
<file path=[Content_Types].xml><?xml version="1.0" encoding="utf-8"?>
<Types xmlns="http://schemas.openxmlformats.org/package/2006/content-types">
  <Default Extension="vml" ContentType="application/vnd.openxmlformats-officedocument.vmlDrawing"/>
  <Default Extension="png" ContentType="image/png"/>
  <Default Extension="jpeg" ContentType="image/jpeg"/>
  <Default Extension="JPG" ContentType="image/.jp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omments1.xml" ContentType="application/vnd.openxmlformats-officedocument.spreadsheetml.comments+xml"/>
  <Override PartName="/xl/comments2.xml" ContentType="application/vnd.openxmlformats-officedocument.spreadsheetml.comments+xml"/>
  <Override PartName="/xl/comments3.xml" ContentType="application/vnd.openxmlformats-officedocument.spreadsheetml.comments+xml"/>
  <Override PartName="/xl/comments4.xml" ContentType="application/vnd.openxmlformats-officedocument.spreadsheetml.comments+xml"/>
  <Override PartName="/xl/drawings/drawing1.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0490" windowHeight="7050" tabRatio="500" activeTab="1"/>
  </bookViews>
  <sheets>
    <sheet name="RESUMO" sheetId="1" r:id="rId1"/>
    <sheet name="Orçamento Sintético" sheetId="2" r:id="rId2"/>
    <sheet name="Orçamento Analitico" sheetId="3" r:id="rId3"/>
    <sheet name="Memória de Cálculo" sheetId="4" r:id="rId4"/>
    <sheet name="Mapa de Cotações" sheetId="5" r:id="rId5"/>
    <sheet name="BDI" sheetId="6" r:id="rId6"/>
    <sheet name="BDI_DIF." sheetId="7" r:id="rId7"/>
    <sheet name="Enc. Sociais" sheetId="8" r:id="rId8"/>
    <sheet name="Curva ABC de Serviços" sheetId="9" r:id="rId9"/>
    <sheet name="Curva ABC de Insumos" sheetId="10" r:id="rId10"/>
    <sheet name="FISICO-FINANCEIRO" sheetId="11" r:id="rId11"/>
  </sheets>
  <externalReferences>
    <externalReference r:id="rId12"/>
    <externalReference r:id="rId13"/>
    <externalReference r:id="rId14"/>
  </externalReferences>
  <definedNames>
    <definedName name="_xlnm._FilterDatabase" localSheetId="2" hidden="1">'Orçamento Analitico'!$A$7:$O$6540</definedName>
    <definedName name="_xlnm._FilterDatabase" localSheetId="3" hidden="1">'Memória de Cálculo'!$A$7:$W$1060</definedName>
    <definedName name="_xlnm._FilterDatabase" localSheetId="4" hidden="1">'Mapa de Cotações'!$A$7:$K$784</definedName>
    <definedName name="_xlnm._FilterDatabase" localSheetId="8" hidden="1">'Curva ABC de Serviços'!$A$8:$J$840</definedName>
    <definedName name="_xlnm._FilterDatabase" localSheetId="9" hidden="1">'Curva ABC de Insumos'!$A$8:$I$1122</definedName>
    <definedName name="BDI.Opcao">[1]DADOS!$F$18</definedName>
    <definedName name="BDI.TipoObra">BDI!$A$138:$A$146</definedName>
    <definedName name="DESONERACAO">IF(OR(Import.Desoneracao="DESONERADO",Import.Desoneracao="SIM"),"SIM","NÃO")</definedName>
    <definedName name="Import.Desoneracao">OFFSET([1]DADOS!$G$18,0,-1)</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omments1.xml><?xml version="1.0" encoding="utf-8"?>
<comments xmlns="http://schemas.openxmlformats.org/spreadsheetml/2006/main">
  <authors>
    <author>Autor desconhecido</author>
  </authors>
  <commentList>
    <comment ref="J519" authorId="0">
      <text>
        <r>
          <rPr>
            <sz val="10"/>
            <rFont val="Arial"/>
            <charset val="134"/>
          </rPr>
          <t>======
ID#AAABpdCWksA
Cintia    (2025-08-19 15:37:54)
BDI DIFERENCIADO</t>
        </r>
      </text>
    </comment>
    <comment ref="J522" authorId="0">
      <text>
        <r>
          <rPr>
            <sz val="10"/>
            <rFont val="Arial"/>
            <charset val="134"/>
          </rPr>
          <t>======
ID#AAABpdCWksQ
Cintia    (2025-08-19 15:37:54)
BDI DIFERENCIADO</t>
        </r>
      </text>
    </comment>
    <comment ref="J537" authorId="0">
      <text>
        <r>
          <rPr>
            <sz val="10"/>
            <rFont val="Arial"/>
            <charset val="134"/>
          </rPr>
          <t>======
ID#AAABpdCWksU
Cintia    (2025-08-19 15:37:54)
BDI DIFERENCIADO</t>
        </r>
      </text>
    </comment>
    <comment ref="J539" authorId="0">
      <text>
        <r>
          <rPr>
            <sz val="10"/>
            <rFont val="Arial"/>
            <charset val="134"/>
          </rPr>
          <t>======
ID#AAABpdCWktk
Cintia    (2025-08-19 15:37:54)
BDI DIFERENCIADO</t>
        </r>
      </text>
    </comment>
    <comment ref="J620" authorId="0">
      <text>
        <r>
          <rPr>
            <sz val="10"/>
            <rFont val="Arial"/>
            <charset val="134"/>
          </rPr>
          <t>======
ID#AAABpdCWkus
Cintia    (2025-08-19 15:37:54)
BDI DIFERENCIADO</t>
        </r>
      </text>
    </comment>
    <comment ref="J788" authorId="0">
      <text>
        <r>
          <rPr>
            <sz val="10"/>
            <rFont val="Arial"/>
            <charset val="134"/>
          </rPr>
          <t>======
ID#AAABpdCWkso
Cintia    (2025-08-19 15:37:54)
BDI DIFERENCIADO</t>
        </r>
      </text>
    </comment>
    <comment ref="J790" authorId="0">
      <text>
        <r>
          <rPr>
            <sz val="10"/>
            <rFont val="Arial"/>
            <charset val="134"/>
          </rPr>
          <t>======
ID#AAABpdCWkuk
Cintia    (2025-08-19 15:37:54)
BDI DIFERENCIADO</t>
        </r>
      </text>
    </comment>
    <comment ref="J792" authorId="0">
      <text>
        <r>
          <rPr>
            <sz val="10"/>
            <rFont val="Arial"/>
            <charset val="134"/>
          </rPr>
          <t>======
ID#AAABpdCWktg
Cintia    (2025-08-19 15:37:54)
BDI DIFERENCIADO</t>
        </r>
      </text>
    </comment>
    <comment ref="J794" authorId="0">
      <text>
        <r>
          <rPr>
            <sz val="10"/>
            <rFont val="Arial"/>
            <charset val="134"/>
          </rPr>
          <t>======
ID#AAABpdCWkt8
Cintia    (2025-08-19 15:37:54)
BDI DIFERENCIADO</t>
        </r>
      </text>
    </comment>
    <comment ref="J796" authorId="0">
      <text>
        <r>
          <rPr>
            <sz val="10"/>
            <rFont val="Arial"/>
            <charset val="134"/>
          </rPr>
          <t>======
ID#AAABpdCWksE
Cintia    (2025-08-19 15:37:54)
BDI DIFERENCIADO</t>
        </r>
      </text>
    </comment>
    <comment ref="J798" authorId="0">
      <text>
        <r>
          <rPr>
            <sz val="10"/>
            <rFont val="Arial"/>
            <charset val="134"/>
          </rPr>
          <t>======
ID#AAABpdCWkuY
Cintia    (2025-08-19 15:37:54)
BDI DIFERENCIADO</t>
        </r>
      </text>
    </comment>
    <comment ref="J800" authorId="0">
      <text>
        <r>
          <rPr>
            <sz val="10"/>
            <rFont val="Arial"/>
            <charset val="134"/>
          </rPr>
          <t>======
ID#AAABpdCWksw
Cintia    (2025-08-19 15:37:54)
BDI DIFERENCIADO</t>
        </r>
      </text>
    </comment>
    <comment ref="J802" authorId="0">
      <text>
        <r>
          <rPr>
            <sz val="10"/>
            <rFont val="Arial"/>
            <charset val="134"/>
          </rPr>
          <t>======
ID#AAABpdCWkss
Cintia    (2025-08-19 15:37:54)
BDI DIFERENCIADO</t>
        </r>
      </text>
    </comment>
    <comment ref="J1016" authorId="0">
      <text>
        <r>
          <rPr>
            <sz val="10"/>
            <rFont val="Arial"/>
            <charset val="134"/>
          </rPr>
          <t>======
ID#AAABpdCWksM
Cintia    (2025-08-19 15:37:54)
BDI DIFERENCIADO</t>
        </r>
      </text>
    </comment>
  </commentList>
</comments>
</file>

<file path=xl/comments2.xml><?xml version="1.0" encoding="utf-8"?>
<comments xmlns="http://schemas.openxmlformats.org/spreadsheetml/2006/main">
  <authors>
    <author>Autor desconhecido</author>
  </authors>
  <commentList>
    <comment ref="F129" authorId="0">
      <text>
        <r>
          <rPr>
            <sz val="10"/>
            <rFont val="Arial"/>
            <charset val="134"/>
          </rPr>
          <t>======
ID#AAABrK09Vp4
Marcio William da Costa Junior    (2025-09-16 21:54:09)
aTUALIZADO INCC</t>
        </r>
      </text>
    </comment>
    <comment ref="F138" authorId="0">
      <text>
        <r>
          <rPr>
            <sz val="10"/>
            <rFont val="Arial"/>
            <charset val="134"/>
          </rPr>
          <t>======
ID#AAABrK09VqA
Marcio William da Costa Junior    (2025-09-16 21:56:53)
aTUALIZADO INCC</t>
        </r>
      </text>
    </comment>
    <comment ref="G338" authorId="0">
      <text>
        <r>
          <rPr>
            <sz val="10"/>
            <rFont val="Arial"/>
            <charset val="134"/>
          </rPr>
          <t>======
ID#AAABrK09VmQ
Marcio William da Costa Junior    (2025-09-16 19:47:45)
Atualizado pelo INCC - desinteresse da empresa em atualizar a proposta</t>
        </r>
      </text>
    </comment>
    <comment ref="E409" authorId="0">
      <text>
        <r>
          <rPr>
            <sz val="10"/>
            <rFont val="Arial"/>
            <charset val="134"/>
          </rPr>
          <t>======
ID#AAABrK09VpU
Marcio William da Costa Junior    (2025-09-16 20:53:17)
Atualizado INCC</t>
        </r>
      </text>
    </comment>
    <comment ref="G431" authorId="0">
      <text>
        <r>
          <rPr>
            <sz val="10"/>
            <rFont val="Arial"/>
            <charset val="134"/>
          </rPr>
          <t>======
ID#AAABrLDeRvE
Soraia Rodrigues Campos Coelho    (2025-09-15 23:18:05)
7.882,59/27</t>
        </r>
      </text>
    </comment>
    <comment ref="H431" authorId="0">
      <text>
        <r>
          <rPr>
            <sz val="10"/>
            <rFont val="Arial"/>
            <charset val="134"/>
          </rPr>
          <t>======
ID#AAABrLDeRvA
Soraia Rodrigues Campos Coelho    (2025-09-15 23:16:39)
8.534,57/27</t>
        </r>
      </text>
    </comment>
    <comment ref="F435" authorId="0">
      <text>
        <r>
          <rPr>
            <sz val="10"/>
            <rFont val="Arial"/>
            <charset val="134"/>
          </rPr>
          <t>======
ID#AAABrLDeRvI
Soraia Rodrigues Campos Coelho    (2025-09-15 23:29:48)
9.207,64/27</t>
        </r>
      </text>
    </comment>
    <comment ref="G435" authorId="0">
      <text>
        <r>
          <rPr>
            <sz val="10"/>
            <rFont val="Arial"/>
            <charset val="134"/>
          </rPr>
          <t>======
ID#AAABrLDeRvM
Soraia Rodrigues Campos Coelho    (2025-09-15 23:31:15)
8.080,24/27</t>
        </r>
      </text>
    </comment>
    <comment ref="H435" authorId="0">
      <text>
        <r>
          <rPr>
            <sz val="10"/>
            <rFont val="Arial"/>
            <charset val="134"/>
          </rPr>
          <t>======
ID#AAABrLDeRvQ
Soraia Rodrigues Campos Coelho    (2025-09-15 23:33:50)
8.493,07/27</t>
        </r>
      </text>
    </comment>
    <comment ref="F439" authorId="0">
      <text>
        <r>
          <rPr>
            <sz val="10"/>
            <rFont val="Arial"/>
            <charset val="134"/>
          </rPr>
          <t>======
ID#AAABrLDeRvg
Soraia Rodrigues Campos Coelho    (2025-09-15 23:42:08)
44.392,06/909</t>
        </r>
      </text>
    </comment>
    <comment ref="G439" authorId="0">
      <text>
        <r>
          <rPr>
            <sz val="10"/>
            <rFont val="Arial"/>
            <charset val="134"/>
          </rPr>
          <t>======
ID#AAABrLDeRvk
Soraia Rodrigues Campos Coelho    (2025-09-15 23:43:58)
35.028,85/909</t>
        </r>
      </text>
    </comment>
    <comment ref="H439" authorId="0">
      <text>
        <r>
          <rPr>
            <sz val="10"/>
            <rFont val="Arial"/>
            <charset val="134"/>
          </rPr>
          <t>======
ID#AAABrLDeRvo
Soraia Rodrigues Campos Coelho    (2025-09-15 23:45:15)
35.124,49/909</t>
        </r>
      </text>
    </comment>
    <comment ref="F443" authorId="0">
      <text>
        <r>
          <rPr>
            <sz val="10"/>
            <rFont val="Arial"/>
            <charset val="134"/>
          </rPr>
          <t>======
ID#AAABrMs4l2o
Soraia Rodrigues Campos Coelho    (2025-09-17 14:14:47)
329767,11/760</t>
        </r>
      </text>
    </comment>
    <comment ref="G443" authorId="0">
      <text>
        <r>
          <rPr>
            <sz val="10"/>
            <rFont val="Arial"/>
            <charset val="134"/>
          </rPr>
          <t>======
ID#AAABrMs4l2s
Soraia Rodrigues Campos Coelho    (2025-09-17 14:16:15)
197838,75/760</t>
        </r>
      </text>
    </comment>
    <comment ref="H443" authorId="0">
      <text>
        <r>
          <rPr>
            <sz val="10"/>
            <rFont val="Arial"/>
            <charset val="134"/>
          </rPr>
          <t>======
ID#AAABrMs4l2w
Soraia Rodrigues Campos Coelho    (2025-09-17 14:17:41)
220898,64/760</t>
        </r>
      </text>
    </comment>
    <comment ref="F447" authorId="0">
      <text>
        <r>
          <rPr>
            <sz val="10"/>
            <rFont val="Arial"/>
            <charset val="134"/>
          </rPr>
          <t>======
ID#AAABrK09Vn8
Soraia Rodrigues Campos Coelho    (2025-09-16 20:49:16)
1.901,05/6</t>
        </r>
      </text>
    </comment>
    <comment ref="G447" authorId="0">
      <text>
        <r>
          <rPr>
            <sz val="10"/>
            <rFont val="Arial"/>
            <charset val="134"/>
          </rPr>
          <t>======
ID#AAABrK09Vn4
Soraia Rodrigues Campos Coelho    (2025-09-16 20:47:17)
1.365,17/6</t>
        </r>
      </text>
    </comment>
    <comment ref="H447" authorId="0">
      <text>
        <r>
          <rPr>
            <sz val="10"/>
            <rFont val="Arial"/>
            <charset val="134"/>
          </rPr>
          <t>======
ID#AAABrK09VoA
Soraia Rodrigues Campos Coelho    (2025-09-16 20:51:02)
1.475,49/6</t>
        </r>
      </text>
    </comment>
    <comment ref="E453" authorId="0">
      <text>
        <r>
          <rPr>
            <sz val="10"/>
            <rFont val="Arial"/>
            <charset val="134"/>
          </rPr>
          <t>======
ID#AAABrK09Vpk
Soraia Rodrigues Campos Coelho    (2025-09-16 21:23:07)
27.708,39/10</t>
        </r>
      </text>
    </comment>
    <comment ref="F453" authorId="0">
      <text>
        <r>
          <rPr>
            <sz val="10"/>
            <rFont val="Arial"/>
            <charset val="134"/>
          </rPr>
          <t>======
ID#AAABrK09Vpc
Soraia Rodrigues Campos Coelho    (2025-09-16 21:12:03)
15.676,79/10</t>
        </r>
      </text>
    </comment>
    <comment ref="G453" authorId="0">
      <text>
        <r>
          <rPr>
            <sz val="10"/>
            <rFont val="Arial"/>
            <charset val="134"/>
          </rPr>
          <t>======
ID#AAABrMhzE2c
Seção de Orçamento    (2025-09-17 15:04:29)
Atualizado pelo INCC</t>
        </r>
      </text>
    </comment>
    <comment ref="E457" authorId="0">
      <text>
        <r>
          <rPr>
            <sz val="10"/>
            <rFont val="Arial"/>
            <charset val="134"/>
          </rPr>
          <t>======
ID#AAABrK09Vpg
Soraia Rodrigues Campos Coelho    (2025-09-16 21:15:53)
7.170,64/2</t>
        </r>
      </text>
    </comment>
    <comment ref="G457" authorId="0">
      <text>
        <r>
          <rPr>
            <sz val="10"/>
            <rFont val="Arial"/>
            <charset val="134"/>
          </rPr>
          <t>======
ID#AAABrK09VpY
Soraia Rodrigues Campos Coelho    (2025-09-16 21:03:49)
8.627,56/2</t>
        </r>
      </text>
    </comment>
    <comment ref="F461" authorId="0">
      <text>
        <r>
          <rPr>
            <sz val="10"/>
            <rFont val="Arial"/>
            <charset val="134"/>
          </rPr>
          <t>======
ID#AAABrK09Vp0
Soraia Rodrigues Campos Coelho    (2025-09-16 21:40:19)
10.274,26/25</t>
        </r>
      </text>
    </comment>
    <comment ref="G461" authorId="0">
      <text>
        <r>
          <rPr>
            <sz val="10"/>
            <rFont val="Arial"/>
            <charset val="134"/>
          </rPr>
          <t>======
ID#AAABrK09Vps
Soraia Rodrigues Campos Coelho    (2025-09-16 21:37:54)
6.729,56/25</t>
        </r>
      </text>
    </comment>
    <comment ref="H461" authorId="0">
      <text>
        <r>
          <rPr>
            <sz val="10"/>
            <rFont val="Arial"/>
            <charset val="134"/>
          </rPr>
          <t>======
ID#AAABrK09Vpw
Soraia Rodrigues Campos Coelho    (2025-09-16 21:39:10)
7.974,87/25</t>
        </r>
      </text>
    </comment>
    <comment ref="F465" authorId="0">
      <text>
        <r>
          <rPr>
            <sz val="10"/>
            <rFont val="Arial"/>
            <charset val="134"/>
          </rPr>
          <t>======
ID#AAABrK09Vp8
Soraia Rodrigues Campos Coelho    (2025-09-16 21:56:45)
8209,73+266,82/373</t>
        </r>
      </text>
    </comment>
    <comment ref="F477" authorId="0">
      <text>
        <r>
          <rPr>
            <sz val="10"/>
            <rFont val="Arial"/>
            <charset val="134"/>
          </rPr>
          <t>======
ID#AAABrMhzE8M
Soraia Rodrigues Campos Coelho    (2025-09-17 17:49:45)
326,00/2 embalagem 600ml</t>
        </r>
      </text>
    </comment>
    <comment ref="G477" authorId="0">
      <text>
        <r>
          <rPr>
            <sz val="10"/>
            <rFont val="Arial"/>
            <charset val="134"/>
          </rPr>
          <t>======
ID#AAABrK09VqE
Soraia Rodrigues Campos Coelho    (2025-09-16 22:26:59)
210,06*3+19,95(frete)/3</t>
        </r>
      </text>
    </comment>
    <comment ref="E778" authorId="0">
      <text>
        <r>
          <rPr>
            <sz val="10"/>
            <rFont val="Arial"/>
            <charset val="134"/>
          </rPr>
          <t>======
ID#AAABrK09Vqk
Soraia Rodrigues Campos Coelho    (2025-09-16 23:25:53)
1890,96+2532,42+387,71</t>
        </r>
      </text>
    </comment>
    <comment ref="F778" authorId="0">
      <text>
        <r>
          <rPr>
            <sz val="10"/>
            <rFont val="Arial"/>
            <charset val="134"/>
          </rPr>
          <t>======
ID#AAABrK09Vqg
Soraia Rodrigues Campos Coelho    (2025-09-16 23:25:10)
3996,51+1730,04</t>
        </r>
      </text>
    </comment>
  </commentList>
</comments>
</file>

<file path=xl/comments3.xml><?xml version="1.0" encoding="utf-8"?>
<comments xmlns="http://schemas.openxmlformats.org/spreadsheetml/2006/main">
  <authors>
    <author>Autor desconhecido</author>
  </authors>
  <commentList>
    <comment ref="C34" authorId="0">
      <text>
        <r>
          <rPr>
            <sz val="10"/>
            <rFont val="Arial"/>
            <charset val="134"/>
          </rPr>
          <t>======
ID#AAABpdCWkts
caixa    (2025-08-19 15:37:54)
Nome do Orgão  ou Empresa Executante</t>
        </r>
      </text>
    </comment>
    <comment ref="C41" authorId="0">
      <text>
        <r>
          <rPr>
            <sz val="10"/>
            <rFont val="Arial"/>
            <charset val="134"/>
          </rPr>
          <t>======
ID#AAABpdCWkuE
Cremilson Inácio de Souza    (2025-08-19 15:37:54)
Escolha</t>
        </r>
      </text>
    </comment>
    <comment ref="C45" authorId="0">
      <text>
        <r>
          <rPr>
            <sz val="10"/>
            <rFont val="Arial"/>
            <charset val="134"/>
          </rPr>
          <t>======
ID#AAABpdCWktU
Cremilson Inácio de Souza    (2025-08-19 15:37:54)
Escolha</t>
        </r>
      </text>
    </comment>
    <comment ref="D49" authorId="0">
      <text>
        <r>
          <rPr>
            <sz val="10"/>
            <rFont val="Arial"/>
            <charset val="134"/>
          </rPr>
          <t>======
ID#AAABpdCWkuU
c094707    (2025-08-19 15:37:54)
ADMINISTRAÇÃO CENTRAL
Diretoria e secretarias
Suprimentos  e Compras
Financeiro, incluindo Tesouraria e Contabilidade
Jurídico
Recursos Humanos
Planejamento e Orçamentos
Comercial
Apoio e Deposito
Despesas de instalação do Escritório Central
Seguros do Escritório Central e Deposito
Taxas para funcionamento
Material de consumo (limpeza, higiene, escritório).
Consumo de energia, água, telefone etc.
Estes custos incidem na obra, pois a operação de uma empresa que tem em sua sede, uma estrutura montada para atender TODAS as obras em andamento é um custo que deverá ser reembolsado pela obra.
A valoração destes custos deveria ser enfocada em função do faturamento anual da empresa, porém nem sempre estes dados estão disponíveis no momento de estabelecer-se o DI.
 Desta forma, usualmente rateia-se os custos acima do escritório central para a obra.  
Varia de empresa para empresa. Quando não é levantado são sugeridos valores entre 2% e 8% sobre o custo direto de produção (CD).</t>
        </r>
      </text>
    </comment>
    <comment ref="D50" authorId="0">
      <text>
        <r>
          <rPr>
            <sz val="10"/>
            <rFont val="Arial"/>
            <charset val="134"/>
          </rPr>
          <t>======
ID#AAABpdCWkt0
c094707    (2025-08-19 15:37:54)
Compreende os imprevistos que são ocasionados na obra, feriados extraordinários, substituição de materiais por outros de melhor qualidade, etc.
TIPOS DE IMPREVISTOS
FORÇA MAIOR: 
NATURAIS:ENCHENTES, RAIOS, VENDAVAIS
ECONÔMICOS:CRIAÇAO DE NOVOS IMPOSTOS, JORNADAS DE TRABALHO DIFERENTES
SÓCIO-POLÍTICOS: GREVES, GUERRAS, SAQUES
DE PREVISIBILIDADE RELATIVA:
NATURAIS:CHEIAS, CHUVAS
ECONÔMICOS:ATRASO DE PAGAMENTO, AUMENTO DA INFLAÇÃO, ATRASOS DE TERCEIROS
HUMANOS: VARIAÇÕES DE PRODUTIVIDADE, INTERRUPÇÕES DE TRABALHO, ACORDOS JUDICIAIS DE QUESTÕES TRABALHISTAS
ALEATÓRIOS:
DE DIFÍCIL PREVISÃO, TAIS COMO ACIDENTES, SUBSTITUIÇÕES DE MATERIAIS, FURTOS, PERDA DE MATERIAL POR VANDALISMO, ETC.</t>
        </r>
      </text>
    </comment>
    <comment ref="D52" authorId="0">
      <text>
        <r>
          <rPr>
            <sz val="10"/>
            <rFont val="Arial"/>
            <charset val="134"/>
          </rPr>
          <t>======
ID#AAABpdCWktI
c094707    (2025-08-19 15:37:54)
Remuneração de recursos investidos pelo contratado na execução da obra em benefício de contratante.
Se o contratante não dá um adiantamento para o início da obra, o contratado deverá investir um capital sobre o qual terá uma despesa financeira correspondente ao prazo entre o desembolso e o recebimento (consideramos 30 dias).
 É sugerido adotar o valor dos rendimentos do CDB.</t>
        </r>
      </text>
    </comment>
    <comment ref="D54" authorId="0">
      <text>
        <r>
          <rPr>
            <sz val="10"/>
            <rFont val="Arial"/>
            <charset val="134"/>
          </rPr>
          <t>======
ID#AAABpdCWktY
c094707    (2025-08-19 15:37:54)
O lucro de uma determinada obra é o resultado financeiro positivo resultante da diferença entre todas as receitas e das despesas da obra.
Este valor, após o recolhimento do Imposto de renda é o lucro da Empresa, ou sua remuneração.</t>
        </r>
      </text>
    </comment>
    <comment ref="D58" authorId="0">
      <text>
        <r>
          <rPr>
            <sz val="10"/>
            <rFont val="Arial"/>
            <charset val="134"/>
          </rPr>
          <t>======
ID#AAABpdCWksI
c094707    (2025-08-19 15:37:54)
Referem-se aos tributos ou impostos cobrados sobre a receita total da obra e compreendem os impostos citados nas colunas abaixo.
Segundo recomendação do TCU (Tribunal de Contas da União) o IRPJ (Imposto de Renda Pessoa Jurídica) e CSLL (Contribuição Social Sobre o Lucro Líquido) não devem ser incluídos nos orçamentos de obras, já que estão relacionados com o desempenho financeiro da empresa e não com a execução do serviço de construção civil que está sendo orçado.</t>
        </r>
      </text>
    </comment>
    <comment ref="D60" authorId="0">
      <text>
        <r>
          <rPr>
            <sz val="10"/>
            <rFont val="Arial"/>
            <charset val="134"/>
          </rPr>
          <t>======
ID#AAABpdCWktw
c094707    (2025-08-19 15:37:54)
COFINS (Contribuição para Financiamento da Seguridade Socia Financia a seguridade social pelo sistema S (SESC, SESI, SENAC, SENAI, SEST, SENAT, SENAR E SEBRAE).</t>
        </r>
      </text>
    </comment>
    <comment ref="D61" authorId="0">
      <text>
        <r>
          <rPr>
            <sz val="10"/>
            <rFont val="Arial"/>
            <charset val="134"/>
          </rPr>
          <t>======
ID#AAABpdCWksk
c094707    (2025-08-19 15:37:54)
PIS (Programa de Integração Social) - 0,65% : Financia o pagamento do seguro desemprego e do abono dos trabalhadores que ganham até dois salários mínimos, bem como o financiamento de  programas de desenvolvimento econômico.</t>
        </r>
      </text>
    </comment>
  </commentList>
</comments>
</file>

<file path=xl/comments4.xml><?xml version="1.0" encoding="utf-8"?>
<comments xmlns="http://schemas.openxmlformats.org/spreadsheetml/2006/main">
  <authors>
    <author>Autor desconhecido</author>
  </authors>
  <commentList>
    <comment ref="C35" authorId="0">
      <text>
        <r>
          <rPr>
            <sz val="10"/>
            <rFont val="Arial"/>
            <charset val="134"/>
          </rPr>
          <t>======
ID#AAABpdCWktQ
caixa    (2025-08-19 15:37:54)
Nome do Orgão  ou Empresa Executante</t>
        </r>
      </text>
    </comment>
    <comment ref="C42" authorId="0">
      <text>
        <r>
          <rPr>
            <sz val="10"/>
            <rFont val="Arial"/>
            <charset val="134"/>
          </rPr>
          <t>======
ID#AAABpdCWkuA
Cremilson Inácio de Souza    (2025-08-19 15:37:54)
Escolha</t>
        </r>
      </text>
    </comment>
    <comment ref="C46" authorId="0">
      <text>
        <r>
          <rPr>
            <sz val="10"/>
            <rFont val="Arial"/>
            <charset val="134"/>
          </rPr>
          <t>======
ID#AAABpdCWkuM
Cremilson Inácio de Souza    (2025-08-19 15:37:54)
Escolha</t>
        </r>
      </text>
    </comment>
    <comment ref="D50" authorId="0">
      <text>
        <r>
          <rPr>
            <sz val="10"/>
            <rFont val="Arial"/>
            <charset val="134"/>
          </rPr>
          <t>======
ID#AAABpdCWks8
c094707    (2025-08-19 15:37:54)
ADMINISTRAÇÃO CENTRAL
Diretoria e secretarias
Suprimentos  e Compras
Financeiro, incluindo Tesouraria e Contabilidade
Jurídico
Recursos Humanos
Planejamento e Orçamentos
Comercial
Apoio e Deposito
Despesas de instalação do Escritório Central
Seguros do Escritório Central e Deposito
Taxas para funcionamento
Material de consumo (limpeza, higiene, escritório).
Consumo de energia, água, telefone etc.
Estes custos incidem na obra, pois a operação de uma empresa que tem em sua sede, uma estrutura montada para atender TODAS as obras em andamento é um custo que deverá ser reembolsado pela obra.
A valoração destes custos deveria ser enfocada em função do faturamento anual da empresa, porém nem sempre estes dados estão disponíveis no momento de estabelecer-se o DI.
 Desta forma, usualmente rateia-se os custos acima do escritório central para a obra.  
Varia de empresa para empresa. Quando não é levantado são sugeridos valores entre 2% e 8% sobre o custo direto de produção (CD).</t>
        </r>
      </text>
    </comment>
    <comment ref="D51" authorId="0">
      <text>
        <r>
          <rPr>
            <sz val="10"/>
            <rFont val="Arial"/>
            <charset val="134"/>
          </rPr>
          <t>======
ID#AAABpdCWkr0
c094707    (2025-08-19 15:37:54)
Compreende os imprevistos que são ocasionados na obra, feriados extraordinários, substituição de materiais por outros de melhor qualidade, etc.
TIPOS DE IMPREVISTOS
FORÇA MAIOR: 
NATURAIS:ENCHENTES, RAIOS, VENDAVAIS
ECONÔMICOS:CRIAÇAO DE NOVOS IMPOSTOS, JORNADAS DE TRABALHO DIFERENTES
SÓCIO-POLÍTICOS: GREVES, GUERRAS, SAQUES
DE PREVISIBILIDADE RELATIVA:
NATURAIS:CHEIAS, CHUVAS
ECONÔMICOS:ATRASO DE PAGAMENTO, AUMENTO DA INFLAÇÃO, ATRASOS DE TERCEIROS
HUMANOS: VARIAÇÕES DE PRODUTIVIDADE, INTERRUPÇÕES DE TRABALHO, ACORDOS JUDICIAIS DE QUESTÕES TRABALHISTAS
ALEATÓRIOS:
DE DIFÍCIL PREVISÃO, TAIS COMO ACIDENTES, SUBSTITUIÇÕES DE MATERIAIS, FURTOS, PERDA DE MATERIAL POR VANDALISMO, ETC.</t>
        </r>
      </text>
    </comment>
    <comment ref="D53" authorId="0">
      <text>
        <r>
          <rPr>
            <sz val="10"/>
            <rFont val="Arial"/>
            <charset val="134"/>
          </rPr>
          <t>======
ID#AAABpdCWkr4
c094707    (2025-08-19 15:37:54)
Remuneração de recursos investidos pelo contratado na execução da obra em benefício de contratante.
Se o contratante não dá um adiantamento para o início da obra, o contratado deverá investir um capital sobre o qual terá uma despesa financeira correspondente ao prazo entre o desembolso e o recebimento (consideramos 30 dias).
 É sugerido adotar o valor dos rendimentos do CDB.</t>
        </r>
      </text>
    </comment>
    <comment ref="D55" authorId="0">
      <text>
        <r>
          <rPr>
            <sz val="10"/>
            <rFont val="Arial"/>
            <charset val="134"/>
          </rPr>
          <t>======
ID#AAABpdCWkto
c094707    (2025-08-19 15:37:54)
O lucro de uma determinada obra é o resultado financeiro positivo resultante da diferença entre todas as receitas e das despesas da obra.
Este valor, após o recolhimento do Imposto de renda é o lucro da Empresa, ou sua remuneração.</t>
        </r>
      </text>
    </comment>
    <comment ref="D59" authorId="0">
      <text>
        <r>
          <rPr>
            <sz val="10"/>
            <rFont val="Arial"/>
            <charset val="134"/>
          </rPr>
          <t>======
ID#AAABpdCWksc
c094707    (2025-08-19 15:37:54)
Referem-se aos tributos ou impostos cobrados sobre a receita total da obra e compreendem os impostos citados nas colunas abaixo.
Segundo recomendação do TCU (Tribunal de Contas da União) o IRPJ (Imposto de Renda Pessoa Jurídica) e CSLL (Contribuição Social Sobre o Lucro Líquido) não devem ser incluídos nos orçamentos de obras, já que estão relacionados com o desempenho financeiro da empresa e não com a execução do serviço de construção civil que está sendo orçado.</t>
        </r>
      </text>
    </comment>
    <comment ref="D61" authorId="0">
      <text>
        <r>
          <rPr>
            <sz val="10"/>
            <rFont val="Arial"/>
            <charset val="134"/>
          </rPr>
          <t>======
ID#AAABpdCWktc
c094707    (2025-08-19 15:37:54)
COFINS (Contribuição para Financiamento da Seguridade Socia Financia a seguridade social pelo sistema S (SESC, SESI, SENAC, SENAI, SEST, SENAT, SENAR E SEBRAE).</t>
        </r>
      </text>
    </comment>
    <comment ref="D62" authorId="0">
      <text>
        <r>
          <rPr>
            <sz val="10"/>
            <rFont val="Arial"/>
            <charset val="134"/>
          </rPr>
          <t>======
ID#AAABpdCWktE
c094707    (2025-08-19 15:37:54)
PIS (Programa de Integração Social) - 0,65% : Financia o pagamento do seguro desemprego e do abono dos trabalhadores que ganham até dois salários mínimos, bem como o financiamento de  programas de desenvolvimento econômico.</t>
        </r>
      </text>
    </comment>
  </commentList>
</comments>
</file>

<file path=xl/sharedStrings.xml><?xml version="1.0" encoding="utf-8"?>
<sst xmlns="http://schemas.openxmlformats.org/spreadsheetml/2006/main" count="88737" uniqueCount="12440">
  <si>
    <t>RESUMO DA PLANILHA DE ORÇAMENTOS DE PROJETOS E OBRAS</t>
  </si>
  <si>
    <t>UFF- INSTITUTO DE QUIMICA</t>
  </si>
  <si>
    <t>AUTOR:</t>
  </si>
  <si>
    <t>FUNÇÃO:</t>
  </si>
  <si>
    <t>LOCAL: CAMPUS PRAIA VERMELHA</t>
  </si>
  <si>
    <t>PROCESSO: 23069.180351/2025-62</t>
  </si>
  <si>
    <t>ART/RRT:</t>
  </si>
  <si>
    <t>NOME/APELIDO DA OBRA:</t>
  </si>
  <si>
    <t>BDI</t>
  </si>
  <si>
    <t>BDI EQUIP.</t>
  </si>
  <si>
    <t>SIAPE</t>
  </si>
  <si>
    <t>DATA</t>
  </si>
  <si>
    <t>REVISÃO</t>
  </si>
  <si>
    <r>
      <rPr>
        <b/>
        <sz val="9"/>
        <color rgb="FF000000"/>
        <rFont val="Arial"/>
        <charset val="134"/>
      </rPr>
      <t xml:space="preserve">BASE DE DADOS: </t>
    </r>
    <r>
      <rPr>
        <sz val="9"/>
        <color rgb="FF000000"/>
        <rFont val="Arial"/>
        <charset val="134"/>
      </rPr>
      <t>SINAPI - 07/2025 - Rio de Janeiro; SBC - 07/2025 - Rio de Janeiro; EMOP - 07/2025 - Rio de Janeiro; SCO - 07/2025 - Rio de Janeiro - DESONERADO</t>
    </r>
  </si>
  <si>
    <t>R21</t>
  </si>
  <si>
    <t>ITEM</t>
  </si>
  <si>
    <t>SERVIÇO</t>
  </si>
  <si>
    <t>PREÇO TOTAL</t>
  </si>
  <si>
    <t xml:space="preserve"> 1 </t>
  </si>
  <si>
    <t>PROJETOS</t>
  </si>
  <si>
    <t xml:space="preserve"> 2 </t>
  </si>
  <si>
    <t>GERENCIAMENTO DE OBRAS / FISCALIZAÇÃO</t>
  </si>
  <si>
    <t xml:space="preserve"> 3 </t>
  </si>
  <si>
    <t>SERVIÇOS PRELIMINARES</t>
  </si>
  <si>
    <t xml:space="preserve"> 4 </t>
  </si>
  <si>
    <t>MOVIMENTO DE TERRA</t>
  </si>
  <si>
    <t xml:space="preserve"> 5 </t>
  </si>
  <si>
    <t>FUNDAÇÃO E INFRAESTRUTURA</t>
  </si>
  <si>
    <t xml:space="preserve"> 6 </t>
  </si>
  <si>
    <t>SUPERESTRUTURA</t>
  </si>
  <si>
    <t xml:space="preserve"> 7 </t>
  </si>
  <si>
    <t>ELEMENTOS DE FECHAMENTO</t>
  </si>
  <si>
    <t xml:space="preserve"> 8 </t>
  </si>
  <si>
    <t>COBERTURAS</t>
  </si>
  <si>
    <t xml:space="preserve"> 9 </t>
  </si>
  <si>
    <t>IMPERMEABILIZAÇÃO, ISOLAMENTO TÉRMICO E ACÚSTICO</t>
  </si>
  <si>
    <t xml:space="preserve"> 10 </t>
  </si>
  <si>
    <t>ESQUADRIAS E VIDROS</t>
  </si>
  <si>
    <t xml:space="preserve"> 11 </t>
  </si>
  <si>
    <t>INSTALAÇÕES HIDRÁULICAS E SANITÁRIAS</t>
  </si>
  <si>
    <t xml:space="preserve"> 12 </t>
  </si>
  <si>
    <t>INSTALAÇÕES ELÉTRICAS</t>
  </si>
  <si>
    <t xml:space="preserve"> 13 </t>
  </si>
  <si>
    <t>INSTALAÇÕES LÓGICA / TELEFONIA /CFTV</t>
  </si>
  <si>
    <t xml:space="preserve"> 14 </t>
  </si>
  <si>
    <t>INSTALAÇÃO DE INCÊNDIO</t>
  </si>
  <si>
    <t xml:space="preserve"> 15 </t>
  </si>
  <si>
    <t>AR CONDICIONADO</t>
  </si>
  <si>
    <t xml:space="preserve"> 16 </t>
  </si>
  <si>
    <t>REVESTIMENTO PAREDE</t>
  </si>
  <si>
    <t xml:space="preserve"> 17 </t>
  </si>
  <si>
    <t>REVESTIMENTO PISO</t>
  </si>
  <si>
    <t xml:space="preserve"> 18 </t>
  </si>
  <si>
    <t>PINTURA</t>
  </si>
  <si>
    <t xml:space="preserve"> 19 </t>
  </si>
  <si>
    <t>EQUIPAMENTOS</t>
  </si>
  <si>
    <t xml:space="preserve"> 20 </t>
  </si>
  <si>
    <t>FORRO</t>
  </si>
  <si>
    <t xml:space="preserve"> 21 </t>
  </si>
  <si>
    <t>SERVIÇOS COMPLEMENTARES</t>
  </si>
  <si>
    <t>TOTAL GERAL</t>
  </si>
  <si>
    <t>PLANILHA DE ORÇAMENTOS DE PROJETOS E OBRAS - SINTÉTICA</t>
  </si>
  <si>
    <t>Item</t>
  </si>
  <si>
    <t>Código</t>
  </si>
  <si>
    <t>Banco</t>
  </si>
  <si>
    <t>Descrição</t>
  </si>
  <si>
    <t>Und</t>
  </si>
  <si>
    <t>Quant.</t>
  </si>
  <si>
    <t>Valor Unit</t>
  </si>
  <si>
    <t>Valor Unit com BDI</t>
  </si>
  <si>
    <t>Total</t>
  </si>
  <si>
    <t>Peso (%)</t>
  </si>
  <si>
    <t>DESCONTO OFERTADO</t>
  </si>
  <si>
    <t>VALOR TOTAL COM DESCONTO</t>
  </si>
  <si>
    <t xml:space="preserve">  </t>
  </si>
  <si>
    <t xml:space="preserve"> 1.1 </t>
  </si>
  <si>
    <t xml:space="preserve"> 01.050.0810-A </t>
  </si>
  <si>
    <t>EMOP</t>
  </si>
  <si>
    <t>PROJETO DE AS BUILT DE ARQUITETURA PARA PREDIOS ESCOLARES E/ OU ADMINISTRATIVOS ATE 500M2,APRESENTADO NOS PADROES DA CONT RATANTE,INCLUSIVE COORDENACAO E COMPATIBILIZACAO COM OS PROJ ETOS COMPLEMENTARES</t>
  </si>
  <si>
    <t xml:space="preserve"> 1.2 </t>
  </si>
  <si>
    <t xml:space="preserve"> 01.050.0811-A </t>
  </si>
  <si>
    <t>PROJETO DE AS BUILT DE ARQUITETURA PARA PREDIOS ESCOLARES E/ OU ADMINISTRATIVOS DE 501 ATE 3000M2,APRESENTADO NOS PADROES DA CONTRATANTE,INCLUSIVE COORDENACAO E COMPATIBILIZACAO COM OS PROJETOS COMPLEMENTARES</t>
  </si>
  <si>
    <t xml:space="preserve"> 1.3 </t>
  </si>
  <si>
    <t xml:space="preserve"> 01.050.0812-A </t>
  </si>
  <si>
    <t>PROJETO DE AS BUILT DE ARQUITETURA PARA PREDIOS ESCOLARES E/ OU ADMINISTRATIVOS ACIMA DE 3000M2,APRESENTADO NOS PADROES D A CONTRATANTE,INCLUSIVE COORDENACAO E COMPATIBILIZACAO COM O S PROJETOS COMPLEMENTARES</t>
  </si>
  <si>
    <t xml:space="preserve"> 1.4 </t>
  </si>
  <si>
    <t xml:space="preserve"> 01.050.0955-A </t>
  </si>
  <si>
    <t>PROJETO DE AS BUILT DE INSTALACAO ELETRICA PARA PREDIOS ESCO LARES E/OU ADMINISTRATIVOS ATE 500M2,APRESENTADO NOS PADROES DA CONTRATANTE</t>
  </si>
  <si>
    <t xml:space="preserve"> 1.5 </t>
  </si>
  <si>
    <t xml:space="preserve"> 01.050.0956-A </t>
  </si>
  <si>
    <t>PROJETO DE AS BUILT DE INSTALACAO ELETRICA PARA PREDIOS ESCO LARES E/OU ADMINISTRATIVOS DE 501 ATE 3000M2,APRESENTADO NOS PADROES DA CONTRATANTE</t>
  </si>
  <si>
    <t xml:space="preserve"> 1.6 </t>
  </si>
  <si>
    <t xml:space="preserve"> 01.050.0957-A </t>
  </si>
  <si>
    <t>PROJETO DE AS BUILT DE INSTALACAO ELETRICA PARA PREDIOS ESCO LARES E/OU ADMINISTRATIVOS ACIMA DE 3000M2,APRESENTADO NOS PADROES DA CONTRATANTE</t>
  </si>
  <si>
    <t xml:space="preserve"> 1.7 </t>
  </si>
  <si>
    <t xml:space="preserve"> 01.050.0980-A </t>
  </si>
  <si>
    <t>PROJETO DE AS BUILT DE INSTALACAO DE SEGURANCA (CFTV E SONOR IZACAO) ATE 500M2,APRESENTADO NOS PADROES DA CONTRATANTE</t>
  </si>
  <si>
    <t xml:space="preserve"> 1.8 </t>
  </si>
  <si>
    <t xml:space="preserve"> 01.050.0981-A </t>
  </si>
  <si>
    <t>PROJETO DE AS BUILT DE INSTALACAO DE SEGURANCA (CFTV E SONOR IZACAO) DE 501 ATE 3000M2,APRESENTADO NOS PADROES DA CONTRAT ANTE</t>
  </si>
  <si>
    <t xml:space="preserve"> 1.9 </t>
  </si>
  <si>
    <t xml:space="preserve"> 01.050.0982-A </t>
  </si>
  <si>
    <t>PROJETO DE AS BUILT DE INSTALACAO DE SEGURANCA (CFTV E SONOR IZACAO) ACIMA DE 3000M2,APRESENTADO NOS PADROES DA CONTRATAN TE</t>
  </si>
  <si>
    <t xml:space="preserve"> 1.10 </t>
  </si>
  <si>
    <t xml:space="preserve"> 01.050.0840-A </t>
  </si>
  <si>
    <t>PROJETO DE AS BUILT DE INSTALACAO DE INCENDIO E SPDA PARA PR EDIOS ESCOLARES E/OU ADMINISTRATIVOS ATE 500M2,APRESENTADO NOS PADROES DA CONTRATANTE</t>
  </si>
  <si>
    <t xml:space="preserve"> 1.11 </t>
  </si>
  <si>
    <t xml:space="preserve"> 01.050.0841-A </t>
  </si>
  <si>
    <t>PROJETO DE AS BUILT DE INSTALACAO DE INCENDIO E SPDA PARA PR EDIOS ESCOLARES E/OU ADMINISTRATIVOS DE 501 ATE 3000M2,APRES ENTADO NOS PADROES DA CONTRATANTE</t>
  </si>
  <si>
    <t xml:space="preserve"> 1.12 </t>
  </si>
  <si>
    <t xml:space="preserve"> 01.050.0842-A </t>
  </si>
  <si>
    <t>PROJETO DE AS BUILT DE INSTALACAO DE INCENDIO E SPDA PARA PR EDIOS ESCOLARES E/OU ADMINISTRATIVOS ACIMA DE 3000M2,APRESEN TADO NOS PADROES DA CONTRATANTE</t>
  </si>
  <si>
    <t xml:space="preserve"> 1.13 </t>
  </si>
  <si>
    <t xml:space="preserve"> 01.050.0930-A </t>
  </si>
  <si>
    <t>PROJETO DE AS BUILT DE INSTALACAO HIDRAULICA PARA PREDIOS ES COLARES E/OU ADMINISTRATIVOS ATE 500M2,APRESENTADO NOS PADRO ES DA CONTRATANTE</t>
  </si>
  <si>
    <t xml:space="preserve"> 1.14 </t>
  </si>
  <si>
    <t xml:space="preserve"> 01.050.0931-A </t>
  </si>
  <si>
    <t>PROJETO DE AS BUILT DE INSTALACAO HIDRAULICA PARA PREDIOS ES COLARES E/OU ADMINISTRATIVOS DE 501 A 3000M2,APRESENTADO NOS PADROES DA CONTRATANTE</t>
  </si>
  <si>
    <t xml:space="preserve"> 1.15 </t>
  </si>
  <si>
    <t xml:space="preserve"> 01.050.0932-A </t>
  </si>
  <si>
    <t>PROJETO DE AS BUILT DE INSTALACAO HIDRAULICA PARA PREDIOS ES COLARES E/OU ADMINISTRATIVOS ACIMA DE 3000M2,APRESENTADO NOS PADROES DA CONTRATANTE</t>
  </si>
  <si>
    <t xml:space="preserve"> 1.16 </t>
  </si>
  <si>
    <t xml:space="preserve"> 01.050.0975-A </t>
  </si>
  <si>
    <t>PROJETO DE AS BUILT DE SISTEMA DE AR CONDICIONADO,EM PREDIOS COM AREA ATE 500M2,APRESENTADO NOS PADROES DA CONTRATANTE</t>
  </si>
  <si>
    <t xml:space="preserve"> 1.17 </t>
  </si>
  <si>
    <t xml:space="preserve"> 01.050.0976-A </t>
  </si>
  <si>
    <t>PROJETO DE AS BUILT DE SISTEMA DE AR CONDICIONADO,EM PREDIOS COM AREA DE 501 ATE 3000M2,APRESENTADO NOS PADROES DA CONTR ATANTE</t>
  </si>
  <si>
    <t xml:space="preserve"> 1.18 </t>
  </si>
  <si>
    <t xml:space="preserve"> 01.050.0977-A </t>
  </si>
  <si>
    <t>PROJETO DE AS BUILT DE SISTEMA DE AR CONDICIONADO,EM PREDIOS ACIMA DE 3000M2,APRESENTADO NOS PADROES DA CONTRATANTE</t>
  </si>
  <si>
    <t xml:space="preserve"> 2.1 </t>
  </si>
  <si>
    <t xml:space="preserve"> UFF00066 </t>
  </si>
  <si>
    <t>Próprio</t>
  </si>
  <si>
    <t>ADMINISTRAÇÃO LOCAL</t>
  </si>
  <si>
    <t>UN</t>
  </si>
  <si>
    <t xml:space="preserve"> 3.1 </t>
  </si>
  <si>
    <t>LICENÇAS / TAXAS / PLACA / INVENTÁRIO</t>
  </si>
  <si>
    <t xml:space="preserve"> 3.1.1 </t>
  </si>
  <si>
    <t xml:space="preserve"> 103689 </t>
  </si>
  <si>
    <t>SINAPI</t>
  </si>
  <si>
    <t>FORNECIMENTO E INSTALAÇÃO DE PLACA DE OBRA COM CHAPA GALVANIZADA E ESTRUTURA DE MADEIRA. AF_03/2022_PS</t>
  </si>
  <si>
    <t>m²</t>
  </si>
  <si>
    <t xml:space="preserve"> 3.1.2 </t>
  </si>
  <si>
    <t xml:space="preserve"> UFF-AT002 </t>
  </si>
  <si>
    <t>SERVIÇO PRELIMINAR (ANTERIOR A MOBILIZAÇÃO DO CANTEIRO) DE LEVANTAMENTO E INVENTÁRIO DOS MATERIAIS DEPOSITADOS NO CANTEIRO E NA OBRA. INCLUSIVE RELATÓRIO E DOCUMENTOS TÉCNICOS PERTINENTES</t>
  </si>
  <si>
    <t xml:space="preserve"> 3.2 </t>
  </si>
  <si>
    <t>MOBILIZAÇÃO E DESMOBILIZAÇÃO</t>
  </si>
  <si>
    <t xml:space="preserve"> 3.2.1 </t>
  </si>
  <si>
    <t xml:space="preserve"> 012689 </t>
  </si>
  <si>
    <t>SBC</t>
  </si>
  <si>
    <t>MOBILIZACAO E DESMOBILIZACAO DE CANTEIRO</t>
  </si>
  <si>
    <t xml:space="preserve"> 3.2.2 </t>
  </si>
  <si>
    <t xml:space="preserve"> 98459 </t>
  </si>
  <si>
    <t>TAPUME COM TELHA METÁLICA. AF_03/2024</t>
  </si>
  <si>
    <t xml:space="preserve"> 3.3 </t>
  </si>
  <si>
    <t>CANTEIRO DE OBRAS (REFORMA DO EXISTENTE)</t>
  </si>
  <si>
    <t xml:space="preserve"> 3.3.1 </t>
  </si>
  <si>
    <t xml:space="preserve"> 98679 </t>
  </si>
  <si>
    <t>PISO CIMENTADO, TRAÇO 1:3 (CIMENTO E AREIA), ACABAMENTO LISO, ESPESSURA 2,0 CM, PREPARO MECÂNICO DA ARGAMASSA. AF_09/2020</t>
  </si>
  <si>
    <t xml:space="preserve"> 3.3.2 </t>
  </si>
  <si>
    <t xml:space="preserve"> 98445 </t>
  </si>
  <si>
    <t>PAREDE DE MADEIRA COMPENSADA PARA CONSTRUÇÃO TEMPORÁRIA EM CHAPA SIMPLES, EXTERNA, COM ÁREA LÍQUIDA MAIOR OU IGUAL A 6 M², COM VÃO. AF_03/2024</t>
  </si>
  <si>
    <t xml:space="preserve"> 3.3.3 </t>
  </si>
  <si>
    <t xml:space="preserve"> 90820 </t>
  </si>
  <si>
    <t>PORTA DE MADEIRA PARA PINTURA, SEMI-OCA (LEVE OU MÉDIA), 60X210CM, ESPESSURA DE 3,5CM, INCLUSO DOBRADIÇAS - FORNECIMENTO E INSTALAÇÃO. AF_12/2019</t>
  </si>
  <si>
    <t xml:space="preserve"> 3.3.4 </t>
  </si>
  <si>
    <t xml:space="preserve"> 90822 </t>
  </si>
  <si>
    <t>PORTA DE MADEIRA PARA PINTURA, SEMI-OCA (LEVE OU MÉDIA), 80X210CM, ESPESSURA DE 3,5CM, INCLUSO DOBRADIÇAS - FORNECIMENTO E INSTALAÇÃO. AF_12/2019</t>
  </si>
  <si>
    <t xml:space="preserve"> 3.3.5 </t>
  </si>
  <si>
    <t xml:space="preserve"> 91304 </t>
  </si>
  <si>
    <t>FECHADURA DE EMBUTIR COM CILINDRO, EXTERNA, COMPLETA, ACABAMENTO PADRÃO POPULAR, INCLUSO EXECUÇÃO DE FURO - FORNECIMENTO E INSTALAÇÃO. AF_12/2019</t>
  </si>
  <si>
    <t xml:space="preserve"> 3.3.6 </t>
  </si>
  <si>
    <t xml:space="preserve"> 91305 </t>
  </si>
  <si>
    <t>FECHADURA DE EMBUTIR PARA PORTA DE BANHEIRO, COMPLETA, ACABAMENTO PADRÃO POPULAR, INCLUSO EXECUÇÃO DE FURO - FORNECIMENTO E INSTALAÇÃO. AF_12/2019</t>
  </si>
  <si>
    <t xml:space="preserve"> 3.3.7 </t>
  </si>
  <si>
    <t xml:space="preserve"> 100666 </t>
  </si>
  <si>
    <t>JANELA DE MADEIRA (PINUS/EUCALIPTO OU EQUIV.) DE ABRIR COM 4 FOLHAS (2 VENEZIANAS E 2 GUILHOTINAS PARA VIDRO), COM BATENTE, ALIZAR E FERRAGENS. EXCLUSIVE VIDROS, ACABAMENTO E CONTRAMARCO. FORNECIMENTO E INSTALAÇÃO. AF_12/2019</t>
  </si>
  <si>
    <t xml:space="preserve"> 3.3.8 </t>
  </si>
  <si>
    <t xml:space="preserve"> 100668 </t>
  </si>
  <si>
    <t>JANELA DE MADEIRA (CEDRINHO/ANGELIM OU EQUIV.) TIPO MAXIM-AR, PARA VIDRO, COM BATENTE, ALIZAR E FERRAGENS. EXCLUSIVE VIDRO, ACABAMENTO E CONTRAMARCO. FORNECIMENTO E INSTALAÇÃO. AF_12/2019</t>
  </si>
  <si>
    <t xml:space="preserve"> 3.3.9 </t>
  </si>
  <si>
    <t xml:space="preserve"> 102152 </t>
  </si>
  <si>
    <t>INSTALAÇÃO DE VIDRO LISO, E = 4 MM, EM ESQUADRIA DE MADEIRA, FIXADO COM BAGUETE. AF_01/2021</t>
  </si>
  <si>
    <t xml:space="preserve"> 3.3.10 </t>
  </si>
  <si>
    <t xml:space="preserve"> 103328 </t>
  </si>
  <si>
    <t>ALVENARIA DE VEDAÇÃO DE BLOCOS CERÂMICOS FURADOS NA HORIZONTAL DE 9X19X19 CM (ESPESSURA 9 CM) E ARGAMASSA DE ASSENTAMENTO COM PREPARO EM BETONEIRA. AF_12/2021</t>
  </si>
  <si>
    <t xml:space="preserve"> 3.3.11 </t>
  </si>
  <si>
    <t xml:space="preserve"> 87548 </t>
  </si>
  <si>
    <t>MASSA ÚNICA, EM ARGAMASSA TRAÇO 1:2:8, PREPARO MANUAL, APLICADA MANUALMENTE EM PAREDES INTERNAS DE AMBIENTES COM ÁREA ENTRE 5M² E 10M², E = 10MM, COM TALISCAS. AF_03/2024</t>
  </si>
  <si>
    <t xml:space="preserve"> 3.3.12 </t>
  </si>
  <si>
    <t xml:space="preserve"> 87878 </t>
  </si>
  <si>
    <t>CHAPISCO APLICADO EM ALVENARIAS E ESTRUTURAS DE CONCRETO INTERNAS, COM COLHER DE PEDREIRO.  ARGAMASSA TRAÇO 1:3 COM PREPARO MANUAL. AF_10/2022</t>
  </si>
  <si>
    <t xml:space="preserve"> 3.3.13 </t>
  </si>
  <si>
    <t xml:space="preserve"> 104642 </t>
  </si>
  <si>
    <t>PINTURA LÁTEX ACRÍLICA STANDARD, APLICAÇÃO MANUAL EM PAREDES, DUAS DEMÃOS. AF_04/2023</t>
  </si>
  <si>
    <t xml:space="preserve"> 3.3.14 </t>
  </si>
  <si>
    <t xml:space="preserve"> 92543 </t>
  </si>
  <si>
    <t>TRAMA DE MADEIRA COMPOSTA POR TERÇAS PARA TELHADOS DE ATÉ 2 ÁGUAS PARA TELHA ONDULADA DE FIBROCIMENTO, METÁLICA, PLÁSTICA OU TERMOACÚSTICA, INCLUSO TRANSPORTE VERTICAL. AF_07/2019</t>
  </si>
  <si>
    <t xml:space="preserve"> 3.3.15 </t>
  </si>
  <si>
    <t xml:space="preserve"> 94210 </t>
  </si>
  <si>
    <t>TELHAMENTO COM TELHA ONDULADA DE FIBROCIMENTO E = 6 MM, COM RECOBRIMENTO LATERAL DE 1 1/4 DE ONDA PARA TELHADO COM INCLINAÇÃO MÁXIMA DE 10°, COM ATÉ 2 ÁGUAS, INCLUSO IÇAMENTO. AF_07/2019</t>
  </si>
  <si>
    <t xml:space="preserve"> 3.3.16 </t>
  </si>
  <si>
    <t xml:space="preserve"> 16.001.0116-A </t>
  </si>
  <si>
    <t>CAIBRO DE MADEIRA SERRADA COM 3"X2".FORNECIMENTO E COLOCACAO</t>
  </si>
  <si>
    <t>M</t>
  </si>
  <si>
    <t xml:space="preserve"> 3.3.17 </t>
  </si>
  <si>
    <t xml:space="preserve"> 96116 </t>
  </si>
  <si>
    <t>FORRO EM RÉGUAS DE PVC, FRISADO, PARA AMBIENTES COMERCIAIS, INCLUSIVE ESTRUTURA BIDIRECIONAL DE FIXAÇÃO. AF_08/2023_PS</t>
  </si>
  <si>
    <t xml:space="preserve"> 3.3.18 </t>
  </si>
  <si>
    <t xml:space="preserve"> UFF00466 (ADAPT_SINAPI: 89957) </t>
  </si>
  <si>
    <t>PONTO DE CONSUMO TERMINAL DE ÁGUA FRIA (SUBRAMAL) COM TUBULAÇÃO DE PVC, DN 25 MM, INSTALADO EM RAMAL DE ÁGUA, INCLUSOS RASGO E CHUMBAMENTO EM ALVENARIA.</t>
  </si>
  <si>
    <t xml:space="preserve"> 3.3.19 </t>
  </si>
  <si>
    <t xml:space="preserve"> 91170 </t>
  </si>
  <si>
    <t>FIXAÇÃO DE TUBOS HORIZONTAIS DE PVC ÁGUA, PVC ESGOTO, PVC ÁGUA PLUVIAL, CPVC, PPR, COBRE OU AÇO, DIÂMETROS MENORES OU IGUAIS A 40 MM, COM ABRAÇADEIRA METÁLICA RÍGIDA TIPO U PERFIL 1 1/4", FIXADA EM PERFILADO EM LAJE. AF_09/2023_PS</t>
  </si>
  <si>
    <t xml:space="preserve"> 3.3.20 </t>
  </si>
  <si>
    <t xml:space="preserve"> 91863 </t>
  </si>
  <si>
    <t>ELETRODUTO RÍGIDO ROSCÁVEL, PVC, DN 25 MM (3/4"), PARA CIRCUITOS TERMINAIS, INSTALADO EM FORRO - FORNECIMENTO E INSTALAÇÃO. AF_03/2023</t>
  </si>
  <si>
    <t xml:space="preserve"> 3.3.21 </t>
  </si>
  <si>
    <t xml:space="preserve"> 91871 </t>
  </si>
  <si>
    <t>ELETRODUTO RÍGIDO ROSCÁVEL, PVC, DN 25 MM (3/4"), PARA CIRCUITOS TERMINAIS, INSTALADO EM PAREDE - FORNECIMENTO E INSTALAÇÃO. AF_03/2023</t>
  </si>
  <si>
    <t xml:space="preserve"> 3.3.22 </t>
  </si>
  <si>
    <t xml:space="preserve"> 91875 </t>
  </si>
  <si>
    <t>LUVA PARA ELETRODUTO, PVC, ROSCÁVEL, DN 25 MM (3/4"), PARA CIRCUITOS TERMINAIS, INSTALADA EM FORRO - FORNECIMENTO E INSTALAÇÃO. AF_03/2023</t>
  </si>
  <si>
    <t xml:space="preserve"> 3.3.23 </t>
  </si>
  <si>
    <t xml:space="preserve"> 91890 </t>
  </si>
  <si>
    <t>CURVA 90 GRAUS PARA ELETRODUTO, PVC, ROSCÁVEL, DN 25 MM (3/4"), PARA CIRCUITOS TERMINAIS, INSTALADA EM FORRO - FORNECIMENTO E INSTALAÇÃO. AF_03/2023</t>
  </si>
  <si>
    <t xml:space="preserve"> 3.3.24 </t>
  </si>
  <si>
    <t xml:space="preserve"> 91926 </t>
  </si>
  <si>
    <t>CABO DE COBRE FLEXÍVEL ISOLADO, 2,5 MM², ANTI-CHAMA 450/750 V, PARA CIRCUITOS TERMINAIS - FORNECIMENTO E INSTALAÇÃO. AF_03/2023</t>
  </si>
  <si>
    <t xml:space="preserve"> 3.3.25 </t>
  </si>
  <si>
    <t xml:space="preserve"> 91939 </t>
  </si>
  <si>
    <t>CAIXA RETANGULAR 4" X 2" ALTA (2,00 M DO PISO), PVC, INSTALADA EM PAREDE - FORNECIMENTO E INSTALAÇÃO. AF_03/2023</t>
  </si>
  <si>
    <t xml:space="preserve"> 3.3.26 </t>
  </si>
  <si>
    <t xml:space="preserve"> 91940 </t>
  </si>
  <si>
    <t>CAIXA RETANGULAR 4" X 2" MÉDIA (1,30 M DO PISO), PVC, INSTALADA EM PAREDE - FORNECIMENTO E INSTALAÇÃO. AF_03/2023</t>
  </si>
  <si>
    <t xml:space="preserve"> 3.3.27 </t>
  </si>
  <si>
    <t xml:space="preserve"> 91941 </t>
  </si>
  <si>
    <t>CAIXA RETANGULAR 4" X 2" BAIXA (0,30 M DO PISO), PVC, INSTALADA EM PAREDE - FORNECIMENTO E INSTALAÇÃO. AF_03/2023</t>
  </si>
  <si>
    <t xml:space="preserve"> 3.3.28 </t>
  </si>
  <si>
    <t xml:space="preserve"> 92000 </t>
  </si>
  <si>
    <t>TOMADA BAIXA DE EMBUTIR (1 MÓDULO), 2P+T 10 A, INCLUINDO SUPORTE E PLACA - FORNECIMENTO E INSTALAÇÃO. AF_03/2023</t>
  </si>
  <si>
    <t xml:space="preserve"> 3.3.29 </t>
  </si>
  <si>
    <t xml:space="preserve"> 92008 </t>
  </si>
  <si>
    <t>TOMADA BAIXA DE EMBUTIR (2 MÓDULOS), 2P+T 10 A, INCLUINDO SUPORTE E PLACA - FORNECIMENTO E INSTALAÇÃO. AF_03/2023</t>
  </si>
  <si>
    <t xml:space="preserve"> 3.3.30 </t>
  </si>
  <si>
    <t xml:space="preserve"> 92023 </t>
  </si>
  <si>
    <t>INTERRUPTOR SIMPLES (1 MÓDULO) COM 1 TOMADA DE EMBUTIR 2P+T 10 A, INCLUINDO SUPORTE E PLACA - FORNECIMENTO E INSTALAÇÃO. AF_03/2023</t>
  </si>
  <si>
    <t xml:space="preserve"> 3.3.31 </t>
  </si>
  <si>
    <t xml:space="preserve"> 97584 </t>
  </si>
  <si>
    <t>LUMINÁRIA TIPO CALHA, DE SOBREPOR, COM 1 LÂMPADA TUBULAR FLUORESCENTE DE 36 W, COM REATOR DE PARTIDA RÁPIDA - FORNECIMENTO E INSTALAÇÃO. AF_02/2020</t>
  </si>
  <si>
    <t xml:space="preserve"> 3.3.32 </t>
  </si>
  <si>
    <t xml:space="preserve"> 101875 </t>
  </si>
  <si>
    <t>QUADRO DE DISTRIBUIÇÃO DE ENERGIA EM CHAPA DE AÇO GALVANIZADO, DE EMBUTIR, COM BARRAMENTO TRIFÁSICO, PARA 12 DISJUNTORES DIN 100A - FORNECIMENTO E INSTALAÇÃO. AF_10/2020</t>
  </si>
  <si>
    <t xml:space="preserve"> 3.3.33 </t>
  </si>
  <si>
    <t xml:space="preserve"> 93664 </t>
  </si>
  <si>
    <t>DISJUNTOR BIPOLAR TIPO DIN, CORRENTE NOMINAL DE 32A - FORNECIMENTO E INSTALAÇÃO. AF_10/2020</t>
  </si>
  <si>
    <t xml:space="preserve"> 3.3.34 </t>
  </si>
  <si>
    <t xml:space="preserve"> 93655 </t>
  </si>
  <si>
    <t>DISJUNTOR MONOPOLAR TIPO DIN, CORRENTE NOMINAL DE 20A - FORNECIMENTO E INSTALAÇÃO. AF_10/2020</t>
  </si>
  <si>
    <t xml:space="preserve"> 3.3.35 </t>
  </si>
  <si>
    <t xml:space="preserve"> UFF00117 (ADAPT_SINAPI: 93214) </t>
  </si>
  <si>
    <t>EXECUÇÃO DE RESERVATÓRIO DE ÁGUA (1000 LITROS) EM CANTEIRO DE OBRA.</t>
  </si>
  <si>
    <t xml:space="preserve"> 3.3.36 </t>
  </si>
  <si>
    <t xml:space="preserve"> UFF00467 (ADAPT_SINAPI: 93582) </t>
  </si>
  <si>
    <t>EXECUÇÃO DE CENTRAL DE ARMADURA EM CANTEIRO DE OBRA, NÃO INCLUSO MOBILIÁRIO E EQUIPAMENTOS.</t>
  </si>
  <si>
    <t xml:space="preserve"> 3.3.37 </t>
  </si>
  <si>
    <t xml:space="preserve"> UFF00468 (ADAPT_SINAPI: 93583) </t>
  </si>
  <si>
    <t>EXECUÇÃO DE CENTRAL DE FÔRMAS, PRODUÇÃO DE ARGAMASSA OU CONCRETO EM CANTEIRO DE OBRA, NÃO INCLUSO MOBILIÁRIO E EQUIPAMENTOS.</t>
  </si>
  <si>
    <t xml:space="preserve"> 3.4 </t>
  </si>
  <si>
    <t>DEMOLIÇÕES / REMOÇÕES</t>
  </si>
  <si>
    <t xml:space="preserve"> 3.4.1 </t>
  </si>
  <si>
    <t xml:space="preserve"> 97637 </t>
  </si>
  <si>
    <t>REMOÇÃO DE TAPUME/ CHAPAS METÁLICAS E DE MADEIRA, DE FORMA MANUAL, SEM REAPROVEITAMENTO. AF_09/2023</t>
  </si>
  <si>
    <t xml:space="preserve"> 3.4.2 </t>
  </si>
  <si>
    <t xml:space="preserve"> 104797 </t>
  </si>
  <si>
    <t>REMOÇAO DE GUIAS PRÉ-FABRICADAS DE CONCRETO, DE FORMA MECANIZADA, COM REAPROVEITAMENTO. AF_09/2023</t>
  </si>
  <si>
    <t xml:space="preserve"> 3.4.3 </t>
  </si>
  <si>
    <t xml:space="preserve"> 97622 </t>
  </si>
  <si>
    <t>DEMOLIÇÃO DE ALVENARIA DE BLOCO FURADO, DE FORMA MANUAL, SEM REAPROVEITAMENTO. AF_09/2023</t>
  </si>
  <si>
    <t>m³</t>
  </si>
  <si>
    <t xml:space="preserve"> 3.4.4 </t>
  </si>
  <si>
    <t xml:space="preserve"> UFF00118 (ADAPT_SINAPI: 97633) </t>
  </si>
  <si>
    <t>RETIRADA DE PLACAS CERÂMICAS DA FACHADA, DE FORMA MANUAL.</t>
  </si>
  <si>
    <t xml:space="preserve"> 3.4.5 </t>
  </si>
  <si>
    <t xml:space="preserve"> UFF00104 (ADAPT_ORSE:36) </t>
  </si>
  <si>
    <t>REMOÇÃO DE BRISES</t>
  </si>
  <si>
    <t xml:space="preserve"> 3.4.6 </t>
  </si>
  <si>
    <t xml:space="preserve"> 97640 </t>
  </si>
  <si>
    <t>REMOÇÃO DE FORROS DE DRYWALL, PVC E FIBROMINERAL, DE FORMA MANUAL, SEM REAPROVEITAMENTO. AF_09/2023</t>
  </si>
  <si>
    <t xml:space="preserve"> 3.4.7 </t>
  </si>
  <si>
    <t xml:space="preserve"> 97642 </t>
  </si>
  <si>
    <t>REMOÇÃO DE TRAMA METÁLICA OU DE MADEIRA PARA FORRO, DE FORMA MANUAL, SEM REAPROVEITAMENTO. AF_09/2023</t>
  </si>
  <si>
    <t xml:space="preserve"> 3.4.8 </t>
  </si>
  <si>
    <t xml:space="preserve"> 97644 </t>
  </si>
  <si>
    <t>REMOÇÃO DE PORTAS, DE FORMA MANUAL, SEM REAPROVEITAMENTO. AF_09/2023</t>
  </si>
  <si>
    <t xml:space="preserve"> 3.4.9 </t>
  </si>
  <si>
    <t xml:space="preserve"> 97645 </t>
  </si>
  <si>
    <t>REMOÇÃO DE JANELAS, DE FORMA MANUAL, SEM REAPROVEITAMENTO. AF_09/2023</t>
  </si>
  <si>
    <t xml:space="preserve"> 3.4.10 </t>
  </si>
  <si>
    <t xml:space="preserve"> 102191 </t>
  </si>
  <si>
    <t>REMOÇÃO DE VIDRO LISO COMUM DE ESQUADRIA COM BAGUETE DE ALUMÍNIO OU PVC. AF_01/2021</t>
  </si>
  <si>
    <t xml:space="preserve"> 3.4.11 </t>
  </si>
  <si>
    <t xml:space="preserve"> 102192 </t>
  </si>
  <si>
    <t>REMOÇÃO DE VIDRO TEMPERADO FIXADO EM PERFIL U. AF_01/2021</t>
  </si>
  <si>
    <t xml:space="preserve"> 3.4.12 </t>
  </si>
  <si>
    <t xml:space="preserve"> 97647 </t>
  </si>
  <si>
    <t>REMOÇÃO DE TELHAS DE FIBROCIMENTO METÁLICA E CERÂMICA, DE FORMA MANUAL, SEM REAPROVEITAMENTO. AF_09/2023</t>
  </si>
  <si>
    <t xml:space="preserve"> 3.4.13 </t>
  </si>
  <si>
    <t xml:space="preserve"> 97650 </t>
  </si>
  <si>
    <t>REMOÇÃO DE TRAMA DE MADEIRA PARA COBERTURA, DE FORMA MANUAL, SEM REAPROVEITAMENTO. AF_09/2023</t>
  </si>
  <si>
    <t xml:space="preserve"> 3.4.14 </t>
  </si>
  <si>
    <t xml:space="preserve"> 97660 </t>
  </si>
  <si>
    <t>REMOÇÃO DE INTERRUPTORES/TOMADAS ELÉTRICAS, DE FORMA MANUAL, SEM REAPROVEITAMENTO. AF_09/2023</t>
  </si>
  <si>
    <t xml:space="preserve"> 3.4.15 </t>
  </si>
  <si>
    <t xml:space="preserve"> 97661 </t>
  </si>
  <si>
    <t>REMOÇÃO DE CABOS ELÉTRICOS, COM SEÇÃO DE 10 MM², FORMA MANUAL, SEM REAPROVEITAMENTO. AF_09/2023</t>
  </si>
  <si>
    <t xml:space="preserve"> 3.4.16 </t>
  </si>
  <si>
    <t xml:space="preserve"> 97663 </t>
  </si>
  <si>
    <t>REMOÇÃO DE LOUÇAS, DE FORMA MANUAL, SEM REAPROVEITAMENTO. AF_09/2023</t>
  </si>
  <si>
    <t xml:space="preserve"> 3.4.17 </t>
  </si>
  <si>
    <t xml:space="preserve"> 97664 </t>
  </si>
  <si>
    <t>REMOÇÃO DE ACESSÓRIOS, DE FORMA MANUAL, SEM REAPROVEITAMENTO. AF_09/2023</t>
  </si>
  <si>
    <t xml:space="preserve"> 3.4.18 </t>
  </si>
  <si>
    <t xml:space="preserve"> 97665 </t>
  </si>
  <si>
    <t>REMOÇÃO DE LUMINÁRIAS, DE FORMA MANUAL, SEM REAPROVEITAMENTO. AF_09/2023</t>
  </si>
  <si>
    <t xml:space="preserve"> 3.4.19 </t>
  </si>
  <si>
    <t xml:space="preserve"> 97666 </t>
  </si>
  <si>
    <t>REMOÇÃO DE METAIS SANITÁRIOS, DE FORMA MANUAL, SEM REAPROVEITAMENTO. AF_09/2023</t>
  </si>
  <si>
    <t xml:space="preserve"> 3.4.20 </t>
  </si>
  <si>
    <t xml:space="preserve"> UFF00494 (ADAPT_CPOS: 04.30.080) </t>
  </si>
  <si>
    <t>REMOÇÃO DE HIDRANTE DE PASSEIO</t>
  </si>
  <si>
    <t xml:space="preserve"> 3.4.21 </t>
  </si>
  <si>
    <t xml:space="preserve"> UFF00495 (ADAPT_ORSE: 11101) </t>
  </si>
  <si>
    <t>RETIRADA DE CAIXA DE HIDRANTE DE PAREDE.</t>
  </si>
  <si>
    <t>un</t>
  </si>
  <si>
    <t xml:space="preserve"> 3.5 </t>
  </si>
  <si>
    <t>ANDAIMES</t>
  </si>
  <si>
    <t xml:space="preserve"> 3.5.1 </t>
  </si>
  <si>
    <t xml:space="preserve"> 05.006.0001-1 </t>
  </si>
  <si>
    <t>LOCACAO DE ANDAIME COM ELEMENTOS TUBULARES SOBRE SAPATAS FIX AS,CONSIDERANDO-SE A AREA DA PROJECAO VERTICAL DO ANDAIME E PAGO PELO TEMPO NECESSARIO A SUA UTILIZACAO,EXCLUSIVE TRANSP ORTE DOS ELEMENTOS DO ANDAIME ATE A OBRA,PLATAFORMA OU PASSA RELA DE PINHO,MONTAGEM E DESMONTAGEM DOS ANDAIMES</t>
  </si>
  <si>
    <t>M2XMES</t>
  </si>
  <si>
    <t xml:space="preserve"> 3.5.2 </t>
  </si>
  <si>
    <t xml:space="preserve"> 04.021.0010-A </t>
  </si>
  <si>
    <t>CARGA E DESCARGA MANUAL DE ANDAIME TUBULAR,INCLUSIVE TEMPO D E ESPERA DO CAMINHAO,CONSIDERANDO-SE A AREA DE PROJECAO VERT ICAL</t>
  </si>
  <si>
    <t xml:space="preserve"> 3.5.3 </t>
  </si>
  <si>
    <t xml:space="preserve"> 04.020.0122-A </t>
  </si>
  <si>
    <t>TRANSPORTE DE ANDAIME TUBULAR,CONSIDERANDO-SE A AREA DE PROJ ECAO VERTICAL DO ANDAIME,EXCLUSIVE CARGA,DESCARGA E TEMPO DE ESPERA DO CAMINHAO(VIDE ITEM 04.021.0010)</t>
  </si>
  <si>
    <t>M2XKM</t>
  </si>
  <si>
    <t xml:space="preserve"> 3.5.4 </t>
  </si>
  <si>
    <t xml:space="preserve"> 05.008.0001-A </t>
  </si>
  <si>
    <t>MONTAGEM E DESMONTAGEM DE ANDAIME COM ELEMENTOS TUBULARES,CO NSIDERANDO-SE A AREA VERTICAL RECOBERTA</t>
  </si>
  <si>
    <t xml:space="preserve"> 3.5.5 </t>
  </si>
  <si>
    <t xml:space="preserve"> 05.007.0007-A </t>
  </si>
  <si>
    <t>LOCACAO DE PASSARELA METALICA,PERFURADA,PARA ANDAIME METALIC O TUBULAR,INCLUSIVE TRANSPORTE,CARGA E DESCARGA,EXCLUSIVE AN DAIME TUBULAR E MOVIMENTACAO (VIDE ITEM 05.008.0008)</t>
  </si>
  <si>
    <t xml:space="preserve"> 3.5.6 </t>
  </si>
  <si>
    <t xml:space="preserve"> 05.008.0008-B </t>
  </si>
  <si>
    <t>MOVIMENTACAO VERTICAL OU HORIZONTAL DE PLATAFORMA OU PASSARE LA</t>
  </si>
  <si>
    <t xml:space="preserve"> 3.6 </t>
  </si>
  <si>
    <t>DESMOBILIZAÇÃO DE EQUIPAMENTOS</t>
  </si>
  <si>
    <t xml:space="preserve"> 3.6.1 </t>
  </si>
  <si>
    <t xml:space="preserve"> UFF00489 (ADAPT_EMOP: 18.030.0206-A) </t>
  </si>
  <si>
    <t>DESMONTAGEM, TRANSPORTE E ELEVACAO VERTICAL DE EQUIPAMENTOS ATÉ 300TR-MEIO MECANICO</t>
  </si>
  <si>
    <t xml:space="preserve"> 3.7 </t>
  </si>
  <si>
    <t>DEMOLIÇÕES / LIMPEZA TERRENO</t>
  </si>
  <si>
    <t xml:space="preserve"> 3.7.1 </t>
  </si>
  <si>
    <t>ÁREA DAS ESCADAS</t>
  </si>
  <si>
    <t xml:space="preserve"> 3.7.1.1 </t>
  </si>
  <si>
    <t xml:space="preserve"> 98524 </t>
  </si>
  <si>
    <t>LIMPEZA MANUAL DE VEGETAÇÃO EM TERRENO COM ENXADA. AF_03/2024</t>
  </si>
  <si>
    <t xml:space="preserve"> 3.7.1.2 </t>
  </si>
  <si>
    <t xml:space="preserve"> 022104 </t>
  </si>
  <si>
    <t>DEMOLICAO MECANICA DE CONCRETO SIMPLES ACIMA DE 2,0M3</t>
  </si>
  <si>
    <t xml:space="preserve"> 4.1 </t>
  </si>
  <si>
    <t>ESCADAS</t>
  </si>
  <si>
    <t xml:space="preserve"> 4.1.1 </t>
  </si>
  <si>
    <t xml:space="preserve"> 93358 </t>
  </si>
  <si>
    <t>ESCAVAÇÃO MANUAL DE VALA COM PROFUNDIDADE MENOR OU IGUAL A 1,30 M. AF_02/2021</t>
  </si>
  <si>
    <t xml:space="preserve"> 4.1.2 </t>
  </si>
  <si>
    <t xml:space="preserve"> 93382 </t>
  </si>
  <si>
    <t>REATERRO MANUAL DE VALAS, COM COMPACTADOR DE SOLOS DE PERCUSSÃO. AF_08/2023</t>
  </si>
  <si>
    <t xml:space="preserve"> 4.2 </t>
  </si>
  <si>
    <t>SUBESTAÇÃO</t>
  </si>
  <si>
    <t xml:space="preserve"> 4.2.1 </t>
  </si>
  <si>
    <t xml:space="preserve"> 4.2.2 </t>
  </si>
  <si>
    <t xml:space="preserve"> 4.3 </t>
  </si>
  <si>
    <t>ABRIGO DE GÁS</t>
  </si>
  <si>
    <t xml:space="preserve"> 4.3.1 </t>
  </si>
  <si>
    <t xml:space="preserve"> 4.3.2 </t>
  </si>
  <si>
    <t>INFRAESTRUTURA: FUNDAÇÕES SIMPLES (OU DIRETAS)</t>
  </si>
  <si>
    <t xml:space="preserve"> 5.1 </t>
  </si>
  <si>
    <t xml:space="preserve"> 5.1.1 </t>
  </si>
  <si>
    <t xml:space="preserve"> 96544 </t>
  </si>
  <si>
    <t>ARMAÇÃO DE BLOCO UTILIZANDO AÇO CA-50 DE 6,3 MM - MONTAGEM. AF_01/2024</t>
  </si>
  <si>
    <t>KG</t>
  </si>
  <si>
    <t xml:space="preserve"> 5.1.2 </t>
  </si>
  <si>
    <t xml:space="preserve"> 96545 </t>
  </si>
  <si>
    <t>ARMAÇÃO DE BLOCO UTILIZANDO AÇO CA-50 DE 8 MM - MONTAGEM. AF_01/2024</t>
  </si>
  <si>
    <t xml:space="preserve"> 5.1.3 </t>
  </si>
  <si>
    <t xml:space="preserve"> 96546 </t>
  </si>
  <si>
    <t>ARMAÇÃO DE BLOCO UTILIZANDO AÇO CA-50 DE 10 MM - MONTAGEM. AF_01/2024</t>
  </si>
  <si>
    <t xml:space="preserve"> 5.1.4 </t>
  </si>
  <si>
    <t xml:space="preserve"> 104920 </t>
  </si>
  <si>
    <t>ARMAÇÃO DE BLOCO, SAPATA ISOLADA, VIGA BALDRAME E SAPATA CORRIDA UTILIZANDO AÇO CA-50 DE 12,5 MM - MONTAGEM. AF_01/2024</t>
  </si>
  <si>
    <t xml:space="preserve"> 5.1.5 </t>
  </si>
  <si>
    <t xml:space="preserve"> 104921 </t>
  </si>
  <si>
    <t>ARMAÇÃO DE BLOCO, SAPATA ISOLADA, VIGA BALDRAME E SAPATA CORRIDA UTILIZANDO AÇO CA-50 DE 16 MM - MONTAGEM. AF_01/2024</t>
  </si>
  <si>
    <t xml:space="preserve"> 5.1.6 </t>
  </si>
  <si>
    <t xml:space="preserve"> 96540 </t>
  </si>
  <si>
    <t>FABRICAÇÃO, MONTAGEM E DESMONTAGEM DE FÔRMA PARA BLOCO DE COROAMENTO, EM CHAPA DE MADEIRA COMPENSADA RESINADA, E=17 MM, 4 UTILIZAÇÕES. AF_01/2024</t>
  </si>
  <si>
    <t xml:space="preserve"> 5.1.7 </t>
  </si>
  <si>
    <t xml:space="preserve"> 96555 </t>
  </si>
  <si>
    <t>CONCRETAGEM DE BLOCO DE COROAMENTO OU VIGA BALDRAME, FCK 30 MPA, COM USO DE JERICA - LANÇAMENTO, ADENSAMENTO E ACABAMENTO. AF_01/2024</t>
  </si>
  <si>
    <t xml:space="preserve"> 5.1.8 </t>
  </si>
  <si>
    <t xml:space="preserve"> 96616 </t>
  </si>
  <si>
    <t>LASTRO DE CONCRETO MAGRO, APLICADO EM BLOCOS DE COROAMENTO OU SAPATAS. AF_01/2024</t>
  </si>
  <si>
    <t xml:space="preserve"> 5.1.9 </t>
  </si>
  <si>
    <t xml:space="preserve"> 031009 </t>
  </si>
  <si>
    <t>MOBILIZACAO/RETIRADA DE EQUIPAMENTO/MOLDAGEM ESTACAS""IN LOCO""</t>
  </si>
  <si>
    <t xml:space="preserve"> 5.1.10 </t>
  </si>
  <si>
    <t xml:space="preserve"> 01.002.0044-A </t>
  </si>
  <si>
    <t>PERFURACAO ROTATIVA COM COROA DE WIDIA,EM SOLO,DIAMETRO 12", VERTICAL,INCLUSIVE DESLOCAMENTO DENTRO DO CANTEIRO E INSTALA CAO DA SONDA EM CADA FURO</t>
  </si>
  <si>
    <t xml:space="preserve"> 5.1.11 </t>
  </si>
  <si>
    <t xml:space="preserve"> 10.003.0050-A </t>
  </si>
  <si>
    <t>ESTACA RAIZ COM DIAMETRO DE 12" PARA CARGA DE 110T,INJECAO D E ARGAMASSA DE CIMENTO E AREIA,COM RESISTENCIA DE 20MPA,CONF ORME ABNT NBR 6122,INCLUSIVE FORNECIMENTO DOS MATERIAIS (CIM ENTO,AREIA E ACO),EXCLUSIVE PERFURACAO</t>
  </si>
  <si>
    <t xml:space="preserve"> 5.2 </t>
  </si>
  <si>
    <t xml:space="preserve"> 5.2.1 </t>
  </si>
  <si>
    <t xml:space="preserve"> 96558 </t>
  </si>
  <si>
    <t>CONCRETAGEM DE SAPATA, FCK 30 MPA, COM USO DE BOMBA - LANÇAMENTO, ADENSAMENTO E ACABAMENTO. AF_01/2024</t>
  </si>
  <si>
    <t xml:space="preserve"> 5.2.2 </t>
  </si>
  <si>
    <t xml:space="preserve"> 96557 </t>
  </si>
  <si>
    <t>CONCRETAGEM DE BLOCO DE COROAMENTO OU VIGA BALDRAME, FCK 30 MPA, COM USO DE BOMBA - LANÇAMENTO, ADENSAMENTO E ACABAMENTO. AF_01/2024</t>
  </si>
  <si>
    <t xml:space="preserve"> 5.2.3 </t>
  </si>
  <si>
    <t xml:space="preserve"> 5.2.4 </t>
  </si>
  <si>
    <t xml:space="preserve"> 97087 </t>
  </si>
  <si>
    <t>CAMADA SEPARADORA PARA EXECUÇÃO DE RADIER, PISO DE CONCRETO OU LAJE SOBRE SOLO, EM LONA PLÁSTICA. AF_09/2021</t>
  </si>
  <si>
    <t xml:space="preserve"> 5.2.5 </t>
  </si>
  <si>
    <t xml:space="preserve"> 104916 </t>
  </si>
  <si>
    <t>ARMAÇÃO DE SAPATA ISOLADA, VIGA BALDRAME E SAPATA CORRIDA UTILIZANDO AÇO CA-60 DE 5 MM - MONTAGEM. AF_01/2024</t>
  </si>
  <si>
    <t xml:space="preserve"> 5.2.6 </t>
  </si>
  <si>
    <t xml:space="preserve"> 104918 </t>
  </si>
  <si>
    <t>ARMAÇÃO DE SAPATA ISOLADA, VIGA BALDRAME E SAPATA CORRIDA UTILIZANDO AÇO CA-50 DE 8 MM - MONTAGEM. AF_01/2024</t>
  </si>
  <si>
    <t xml:space="preserve"> 5.2.7 </t>
  </si>
  <si>
    <t xml:space="preserve"> 104919 </t>
  </si>
  <si>
    <t>ARMAÇÃO DE SAPATA ISOLADA, VIGA BALDRAME E SAPATA CORRIDA UTILIZANDO AÇO CA-50 DE 10 MM - MONTAGEM. AF_01/2024</t>
  </si>
  <si>
    <t xml:space="preserve"> 5.2.8 </t>
  </si>
  <si>
    <t xml:space="preserve"> 5.2.9 </t>
  </si>
  <si>
    <t xml:space="preserve"> 97096 </t>
  </si>
  <si>
    <t>CONCRETAGEM DE RADIER, PISO DE CONCRETO OU LAJE SOBRE SOLO, FCK 30 MPA - LANÇAMENTO, ADENSAMENTO E ACABAMENTO. AF_09/2021</t>
  </si>
  <si>
    <t xml:space="preserve"> 5.2.10 </t>
  </si>
  <si>
    <t xml:space="preserve"> 97083 </t>
  </si>
  <si>
    <t>COMPACTAÇÃO MECÂNICA DE SOLO PARA EXECUÇÃO DE RADIER, PISO DE CONCRETO OU LAJE SOBRE SOLO, COM COMPACTADOR DE SOLOS A PERCUSSÃO. AF_09/2021</t>
  </si>
  <si>
    <t xml:space="preserve"> 5.2.11 </t>
  </si>
  <si>
    <t xml:space="preserve"> 96620 </t>
  </si>
  <si>
    <t>LASTRO DE CONCRETO MAGRO, APLICADO EM PISOS, LAJES SOBRE SOLO OU RADIERS. AF_01/2024</t>
  </si>
  <si>
    <t xml:space="preserve"> 5.2.12 </t>
  </si>
  <si>
    <t xml:space="preserve"> 92769 </t>
  </si>
  <si>
    <t>ARMAÇÃO DE LAJE DE ESTRUTURA CONVENCIONAL DE CONCRETO ARMADO UTILIZANDO AÇO CA-50 DE 6,3 MM - MONTAGEM. AF_06/2022</t>
  </si>
  <si>
    <t xml:space="preserve"> 5.2.13 </t>
  </si>
  <si>
    <t xml:space="preserve"> 92770 </t>
  </si>
  <si>
    <t>ARMAÇÃO DE LAJE DE ESTRUTURA CONVENCIONAL DE CONCRETO ARMADO UTILIZANDO AÇO CA-50 DE 8,0 MM - MONTAGEM. AF_06/2022</t>
  </si>
  <si>
    <t xml:space="preserve"> 5.2.14 </t>
  </si>
  <si>
    <t xml:space="preserve"> 92771 </t>
  </si>
  <si>
    <t>ARMAÇÃO DE LAJE DE ESTRUTURA CONVENCIONAL DE CONCRETO ARMADO UTILIZANDO AÇO CA-50 DE 10,0 MM - MONTAGEM. AF_06/2022</t>
  </si>
  <si>
    <t xml:space="preserve"> 5.2.15 </t>
  </si>
  <si>
    <t xml:space="preserve"> 92772 </t>
  </si>
  <si>
    <t>ARMAÇÃO DE LAJE DE ESTRUTURA CONVENCIONAL DE CONCRETO ARMADO UTILIZANDO AÇO CA-50 DE 12,5 MM - MONTAGEM. AF_06/2022</t>
  </si>
  <si>
    <t xml:space="preserve"> 5.2.16 </t>
  </si>
  <si>
    <t xml:space="preserve"> 96535 </t>
  </si>
  <si>
    <t>FABRICAÇÃO, MONTAGEM E DESMONTAGEM DE FÔRMA PARA SAPATA, EM MADEIRA SERRADA, E=25 MM, 4 UTILIZAÇÕES. AF_01/2024</t>
  </si>
  <si>
    <t xml:space="preserve"> 5.2.17 </t>
  </si>
  <si>
    <t xml:space="preserve"> 96536 </t>
  </si>
  <si>
    <t>FABRICAÇÃO, MONTAGEM E DESMONTAGEM DE FÔRMA PARA VIGA BALDRAME, EM MADEIRA SERRADA, E=25 MM, 4 UTILIZAÇÕES. AF_01/2024</t>
  </si>
  <si>
    <t xml:space="preserve"> 5.2.18 </t>
  </si>
  <si>
    <t xml:space="preserve"> 97086 </t>
  </si>
  <si>
    <t>FABRICAÇÃO, MONTAGEM E DESMONTAGEM DE FORMA PARA RADIER, PISO DE CONCRETO OU LAJE SOBRE SOLO, EM MADEIRA SERRADA, 4 UTILIZAÇÕES. AF_09/2021</t>
  </si>
  <si>
    <t xml:space="preserve"> 5.3 </t>
  </si>
  <si>
    <t xml:space="preserve"> 5.3.1 </t>
  </si>
  <si>
    <t xml:space="preserve"> 5.3.2 </t>
  </si>
  <si>
    <t xml:space="preserve"> 5.3.3 </t>
  </si>
  <si>
    <t xml:space="preserve"> 5.3.4 </t>
  </si>
  <si>
    <t xml:space="preserve"> 5.3.5 </t>
  </si>
  <si>
    <t xml:space="preserve"> 5.3.6 </t>
  </si>
  <si>
    <t xml:space="preserve"> 5.3.7 </t>
  </si>
  <si>
    <t xml:space="preserve"> 5.3.8 </t>
  </si>
  <si>
    <t xml:space="preserve"> 5.3.9 </t>
  </si>
  <si>
    <t xml:space="preserve"> 5.3.10 </t>
  </si>
  <si>
    <t xml:space="preserve"> 5.3.11 </t>
  </si>
  <si>
    <t xml:space="preserve"> 5.3.12 </t>
  </si>
  <si>
    <t xml:space="preserve"> 5.3.13 </t>
  </si>
  <si>
    <t xml:space="preserve"> 5.3.14 </t>
  </si>
  <si>
    <t xml:space="preserve"> 6.1 </t>
  </si>
  <si>
    <t xml:space="preserve"> 6.1.1 </t>
  </si>
  <si>
    <t xml:space="preserve"> 92759 </t>
  </si>
  <si>
    <t>ARMAÇÃO DE PILAR OU VIGA DE ESTRUTURA CONVENCIONAL DE CONCRETO ARMADO UTILIZANDO AÇO CA-60 DE 5,0 MM - MONTAGEM. AF_06/2022</t>
  </si>
  <si>
    <t xml:space="preserve"> 6.1.2 </t>
  </si>
  <si>
    <t xml:space="preserve"> 92760 </t>
  </si>
  <si>
    <t>ARMAÇÃO DE PILAR OU VIGA DE ESTRUTURA CONVENCIONAL DE CONCRETO ARMADO UTILIZANDO AÇO CA-50 DE 6,3 MM - MONTAGEM. AF_06/2022</t>
  </si>
  <si>
    <t xml:space="preserve"> 6.1.3 </t>
  </si>
  <si>
    <t xml:space="preserve"> 92762 </t>
  </si>
  <si>
    <t>ARMAÇÃO DE PILAR OU VIGA DE ESTRUTURA CONVENCIONAL DE CONCRETO ARMADO UTILIZANDO AÇO CA-50 DE 10,0 MM - MONTAGEM. AF_06/2022</t>
  </si>
  <si>
    <t xml:space="preserve"> 6.1.4 </t>
  </si>
  <si>
    <t xml:space="preserve"> 92763 </t>
  </si>
  <si>
    <t>ARMAÇÃO DE PILAR OU VIGA DE ESTRUTURA CONVENCIONAL DE CONCRETO ARMADO UTILIZANDO AÇO CA-50 DE 12,5 MM - MONTAGEM. AF_06/2022</t>
  </si>
  <si>
    <t xml:space="preserve"> 6.1.5 </t>
  </si>
  <si>
    <t xml:space="preserve"> 104106 </t>
  </si>
  <si>
    <t>ARMAÇÃO DE PILAR OU VIGA DE ESTRUTURA DE CONCRETO ARMADO EMBUTIDA EM ALVENARIA DE VEDAÇÃO UTILIZANDO AÇO CA-50 DE 16,0 MM - MONTAGEM. AF_06/2022</t>
  </si>
  <si>
    <t xml:space="preserve"> 6.1.6 </t>
  </si>
  <si>
    <t xml:space="preserve"> 6.1.7 </t>
  </si>
  <si>
    <t xml:space="preserve"> 6.1.8 </t>
  </si>
  <si>
    <t xml:space="preserve"> 92433 </t>
  </si>
  <si>
    <t>MONTAGEM E DESMONTAGEM DE FÔRMA DE PILARES RETANGULARES E ESTRUTURAS SIMILARES, PÉ-DIREITO DUPLO, EM CHAPA DE MADEIRA COMPENSADA PLASTIFICADA, 10 UTILIZAÇÕES. AF_09/2020</t>
  </si>
  <si>
    <t xml:space="preserve"> 6.1.9 </t>
  </si>
  <si>
    <t xml:space="preserve"> 92468 </t>
  </si>
  <si>
    <t>MONTAGEM E DESMONTAGEM DE FÔRMA DE VIGA, ESCORAMENTO METÁLICO, PÉ-DIREITO SIMPLES, EM CHAPA DE MADEIRA PLASTIFICADA, 10 UTILIZAÇÕES. AF_09/2020</t>
  </si>
  <si>
    <t xml:space="preserve"> 6.1.10 </t>
  </si>
  <si>
    <t xml:space="preserve"> 92524 </t>
  </si>
  <si>
    <t>MONTAGEM E DESMONTAGEM DE FÔRMA DE LAJE MACIÇA, PÉ-DIREITO DUPLO, EM CHAPA DE MADEIRA COMPENSADA PLASTIFICADA, 10 UTILIZAÇÕES. AF_09/2020</t>
  </si>
  <si>
    <t xml:space="preserve"> 6.1.11 </t>
  </si>
  <si>
    <t xml:space="preserve"> 040628 </t>
  </si>
  <si>
    <t>CONCRETO USINADO 35MPA PARA ESTRUTURA LANCAMENTO MECANICO</t>
  </si>
  <si>
    <t xml:space="preserve"> 6.1.12 </t>
  </si>
  <si>
    <t xml:space="preserve"> 103673 </t>
  </si>
  <si>
    <t>LANÇAMENTO COM USO DE BOMBA, ADENSAMENTO E ACABAMENTO DE CONCRETO EM ESTRUTURAS. AF_02/2022</t>
  </si>
  <si>
    <t xml:space="preserve"> 6.1.13 </t>
  </si>
  <si>
    <t xml:space="preserve"> 01.001.0152-0 </t>
  </si>
  <si>
    <t>CONTROLE TECNOLOGICO DE OBRAS EM CONCRETO ARMADO CONSIDERAND O APENAS O CONTROLE DO CONCRETO E CONSTANDO DE COLETA,MOLDAG EM E CAPEAMENTO DE CORPOS DE PROVA,TRANSPORTE ATE 250KM,ENSA IOS DE RESISTENCIA A COMPRESSAO AOS 3, 7 E 28 DIAS E "SLUMP TEST",MEDIDO POR M3 DE CONCRETO COLOCADO NAS FORMAS</t>
  </si>
  <si>
    <t xml:space="preserve"> 6.1.14 </t>
  </si>
  <si>
    <t xml:space="preserve"> 95944 </t>
  </si>
  <si>
    <t>ARMAÇÃO DE ESCADA, DE UMA ESTRUTURA CONVENCIONAL DE CONCRETO ARMADO UTILIZANDO AÇO CA-50 DE 6,3 MM - MONTAGEM. AF_11/2020</t>
  </si>
  <si>
    <t xml:space="preserve"> 6.1.15 </t>
  </si>
  <si>
    <t xml:space="preserve"> 95945 </t>
  </si>
  <si>
    <t>ARMAÇÃO DE ESCADA, DE UMA ESTRUTURA CONVENCIONAL DE CONCRETO ARMADO UTILIZANDO AÇO CA-50 DE 8,0 MM - MONTAGEM. AF_11/2020</t>
  </si>
  <si>
    <t xml:space="preserve"> 6.1.16 </t>
  </si>
  <si>
    <t xml:space="preserve"> 95946 </t>
  </si>
  <si>
    <t>ARMAÇÃO DE ESCADA, DE UMA ESTRUTURA CONVENCIONAL DE CONCRETO ARMADO UTILIZANDO AÇO CA-50 DE 10,0 MM - MONTAGEM. AF_11/2020</t>
  </si>
  <si>
    <t xml:space="preserve"> 6.2 </t>
  </si>
  <si>
    <t xml:space="preserve"> 6.2.1 </t>
  </si>
  <si>
    <t xml:space="preserve"> UFF00587 (ADAPT_SINAPI: 103672) </t>
  </si>
  <si>
    <t>CONCRETAGEM DE PILARES, FCK = 30 MPA, COM USO DE BOMBA - LANÇAMENTO, ADENSAMENTO E ACABAMENTO. AF_02/2022_PS</t>
  </si>
  <si>
    <t xml:space="preserve"> 6.2.2 </t>
  </si>
  <si>
    <t xml:space="preserve"> UFF00588 (ADAPT_SINAPI: 103675) </t>
  </si>
  <si>
    <t>CONCRETAGEM DE VIGAS E LAJES, FCK=30 MPA, PARA LAJES MACIÇAS OU NERVURADAS COM USO DE BOMBA - LANÇAMENTO, ADENSAMENTO E ACABAMENTO. AF_02/2022_PS</t>
  </si>
  <si>
    <t xml:space="preserve"> 6.2.3 </t>
  </si>
  <si>
    <t xml:space="preserve"> 6.2.4 </t>
  </si>
  <si>
    <t xml:space="preserve"> 92761 </t>
  </si>
  <si>
    <t>ARMAÇÃO DE PILAR OU VIGA DE ESTRUTURA CONVENCIONAL DE CONCRETO ARMADO UTILIZANDO AÇO CA-50 DE 8,0 MM - MONTAGEM. AF_06/2022</t>
  </si>
  <si>
    <t xml:space="preserve"> 6.2.5 </t>
  </si>
  <si>
    <t xml:space="preserve"> 6.2.6 </t>
  </si>
  <si>
    <t xml:space="preserve"> 92768 </t>
  </si>
  <si>
    <t>ARMAÇÃO DE LAJE DE ESTRUTURA CONVENCIONAL DE CONCRETO ARMADO UTILIZANDO AÇO CA-60 DE 5,0 MM - MONTAGEM. AF_06/2022</t>
  </si>
  <si>
    <t xml:space="preserve"> 6.2.7 </t>
  </si>
  <si>
    <t xml:space="preserve"> 6.2.8 </t>
  </si>
  <si>
    <t xml:space="preserve"> 92431 </t>
  </si>
  <si>
    <t>MONTAGEM E DESMONTAGEM DE FÔRMA DE PILARES RETANGULARES E ESTRUTURAS SIMILARES, PÉ-DIREITO SIMPLES, EM CHAPA DE MADEIRA COMPENSADA PLASTIFICADA, 10 UTILIZAÇÕES. AF_09/2020</t>
  </si>
  <si>
    <t xml:space="preserve"> 6.2.9 </t>
  </si>
  <si>
    <t xml:space="preserve"> 92265 </t>
  </si>
  <si>
    <t>FABRICAÇÃO DE FÔRMA PARA VIGAS, EM CHAPA DE MADEIRA COMPENSADA RESINADA, E = 17 MM. AF_09/2020</t>
  </si>
  <si>
    <t xml:space="preserve"> 6.2.10 </t>
  </si>
  <si>
    <t xml:space="preserve"> 92268 </t>
  </si>
  <si>
    <t>FABRICAÇÃO DE FÔRMA PARA LAJES, EM CHAPA DE MADEIRA COMPENSADA PLASTIFICADA, E = 18 MM. AF_09/2020</t>
  </si>
  <si>
    <t xml:space="preserve"> 6.2.11 </t>
  </si>
  <si>
    <t xml:space="preserve"> 101792 </t>
  </si>
  <si>
    <t>ESCORAMENTO DE FÔRMAS DE LAJE EM MADEIRA NÃO APARELHADA, PÉ-DIREITO SIMPLES, INCLUSO TRAVAMENTO, 4 UTILIZAÇÕES. AF_09/2020</t>
  </si>
  <si>
    <t xml:space="preserve"> 6.3 </t>
  </si>
  <si>
    <t xml:space="preserve"> 6.3.1 </t>
  </si>
  <si>
    <t xml:space="preserve"> 6.3.2 </t>
  </si>
  <si>
    <t xml:space="preserve"> 6.3.3 </t>
  </si>
  <si>
    <t xml:space="preserve"> 6.3.4 </t>
  </si>
  <si>
    <t xml:space="preserve"> 6.3.5 </t>
  </si>
  <si>
    <t xml:space="preserve"> 6.3.6 </t>
  </si>
  <si>
    <t xml:space="preserve"> 6.3.7 </t>
  </si>
  <si>
    <t xml:space="preserve"> 6.3.8 </t>
  </si>
  <si>
    <t xml:space="preserve"> 6.3.9 </t>
  </si>
  <si>
    <t xml:space="preserve"> 6.3.10 </t>
  </si>
  <si>
    <t xml:space="preserve"> 7.1 </t>
  </si>
  <si>
    <t>ALVENARIA</t>
  </si>
  <si>
    <t xml:space="preserve"> 7.1.1 </t>
  </si>
  <si>
    <t xml:space="preserve"> 103324 </t>
  </si>
  <si>
    <t>ALVENARIA DE VEDAÇÃO DE BLOCOS CERÂMICOS FURADOS NA VERTICAL DE 14X19X39 CM (ESPESSURA 14 CM) E ARGAMASSA DE ASSENTAMENTO COM PREPARO EM BETONEIRA. AF_12/2021</t>
  </si>
  <si>
    <t xml:space="preserve"> 7.2 </t>
  </si>
  <si>
    <t>DIVISÓRIA</t>
  </si>
  <si>
    <t xml:space="preserve"> 7.2.1 </t>
  </si>
  <si>
    <t xml:space="preserve"> 96358 </t>
  </si>
  <si>
    <t>PAREDE COM SISTEMA EM CHAPAS DE GESSO PARA DRYWALL, USO INTERNO, COM DUAS FACES SIMPLES E ESTRUTURA METÁLICA COM GUIAS SIMPLES, SEM VÃOS. AF_07/2023_PS</t>
  </si>
  <si>
    <t xml:space="preserve"> 7.2.2 </t>
  </si>
  <si>
    <t xml:space="preserve"> 13.157.0010-A </t>
  </si>
  <si>
    <t>REVESTIMENTO DE PAREDES OU TETOS COM TECIDO ISOLANTE ACUSTIC O,EM MANTA DE LA DE VIDRO REVESTIDA COM FOLHA DE ALUMINIO</t>
  </si>
  <si>
    <t xml:space="preserve"> 8.1 </t>
  </si>
  <si>
    <t xml:space="preserve"> 94216 </t>
  </si>
  <si>
    <t>TELHAMENTO COM TELHA METÁLICA TERMOACÚSTICA E = 30 MM, COM ATÉ 2 ÁGUAS, INCLUSO IÇAMENTO. AF_07/2019</t>
  </si>
  <si>
    <t xml:space="preserve"> 8.2 </t>
  </si>
  <si>
    <t xml:space="preserve"> 92580 </t>
  </si>
  <si>
    <t>TRAMA DE AÇO COMPOSTA POR TERÇAS PARA TELHADOS DE ATÉ 2 ÁGUAS PARA TELHA ONDULADA DE FIBROCIMENTO, METÁLICA, PLÁSTICA OU TERMOACÚSTICA, INCLUSO TRANSPORTE VERTICAL. AF_07/2019</t>
  </si>
  <si>
    <t xml:space="preserve"> 8.3 </t>
  </si>
  <si>
    <t xml:space="preserve"> 100719 </t>
  </si>
  <si>
    <t>PINTURA COM TINTA ALQUÍDICA DE FUNDO (TIPO ZARCÃO) PULVERIZADA SOBRE PERFIL METÁLICO EXECUTADO EM FÁBRICA (POR DEMÃO). AF_01/2020_PE</t>
  </si>
  <si>
    <t xml:space="preserve"> 8.4 </t>
  </si>
  <si>
    <t xml:space="preserve"> 100739 </t>
  </si>
  <si>
    <t>PINTURA COM TINTA ALQUÍDICA DE ACABAMENTO (ESMALTE SINTÉTICO ACETINADO) PULVERIZADA SOBRE PERFIL METÁLICO EXECUTADO EM FÁBRICA (POR DEMÃO). AF_01/2020_PE</t>
  </si>
  <si>
    <t xml:space="preserve"> 8.5 </t>
  </si>
  <si>
    <t xml:space="preserve"> 101966 </t>
  </si>
  <si>
    <t>CHAPIM SOBRE MUROS LINEARES, EM GRANITO OU MÁRMORE, L = 25 CM, ASSENTADO COM ARGAMASSA 1:6 COM ADITIVO. AF_11/2020</t>
  </si>
  <si>
    <t xml:space="preserve"> 9.1 </t>
  </si>
  <si>
    <t>COBERTURA</t>
  </si>
  <si>
    <t xml:space="preserve"> 9.1.1 </t>
  </si>
  <si>
    <t xml:space="preserve"> 98547 </t>
  </si>
  <si>
    <t>IMPERMEABILIZAÇÃO DE SUPERFÍCIE COM MANTA ASFÁLTICA, DUAS CAMADAS, INCLUSIVE APLICAÇÃO DE PRIMER ASFÁLTICO, E=3MM E E=4MM. AF_09/2023</t>
  </si>
  <si>
    <t xml:space="preserve"> 9.1.2 </t>
  </si>
  <si>
    <t xml:space="preserve"> 98553 </t>
  </si>
  <si>
    <t>IMPERMEABILIZAÇÃO DE SUPERFÍCIE COM MEMBRANA À BASE DE POLIURETANO, 2 DEMÃOS. AF_09/2023</t>
  </si>
  <si>
    <t xml:space="preserve"> 9.2 </t>
  </si>
  <si>
    <t>IMPERMEABILIZAÇÃO DE FUNDAÇÕES</t>
  </si>
  <si>
    <t xml:space="preserve"> 9.2.1 </t>
  </si>
  <si>
    <t xml:space="preserve"> 9.2.1.1 </t>
  </si>
  <si>
    <t xml:space="preserve"> 98557 </t>
  </si>
  <si>
    <t>IMPERMEABILIZAÇÃO DE SUPERFÍCIE COM EMULSÃO ASFÁLTICA, 2 DEMÃOS. AF_09/2023</t>
  </si>
  <si>
    <t xml:space="preserve"> 9.2.1.2 </t>
  </si>
  <si>
    <t xml:space="preserve"> 98555 </t>
  </si>
  <si>
    <t>IMPERMEABILIZAÇÃO DE SUPERFÍCIE COM ARGAMASSA POLIMÉRICA / MEMBRANA ACRÍLICA, 3 DEMÃOS. AF_09/2023</t>
  </si>
  <si>
    <t xml:space="preserve"> 9.2.2 </t>
  </si>
  <si>
    <t xml:space="preserve"> 9.2.2.1 </t>
  </si>
  <si>
    <t xml:space="preserve"> 9.2.2.2 </t>
  </si>
  <si>
    <t xml:space="preserve"> 10.1 </t>
  </si>
  <si>
    <t>PORTAS</t>
  </si>
  <si>
    <t xml:space="preserve"> 10.1.1 </t>
  </si>
  <si>
    <t xml:space="preserve"> UFF00084 (ADAPT_SINAPI:90788) </t>
  </si>
  <si>
    <t>PORTA EM MADEIRA LISA, DE 1ª QUALIDADE, 60 X 180 CM, 1 FOLHA, REVESTIDA EM LAMINADO MELAMÍNICO DE ALTA PRESSÃO, COR GELO REFERÊNCIA L106, MARCA FÓRMICA OU EQUIVALENTE, DOBRADIÇAS EM ALUMÍNIO ESTRUDADO, ACABAMENTO CROMADO, FECHADURA TIPO TARJETA LIVRE/OCUPADO ACABAMENTO CROMADO. (PS-01 - Conforme projeto de arquitetura)</t>
  </si>
  <si>
    <t xml:space="preserve"> 10.1.2 </t>
  </si>
  <si>
    <t xml:space="preserve"> UFF00071 (ADAPT_SINAPI:90790) </t>
  </si>
  <si>
    <t>PORTA EM MADEIRA LISA, DE 1ª QUALIDADE, 80 X 210 + 0,40 CM, 1 FOLHA, REVESTIDA EM LAMINADO MELAMÍNICO DE ALTA PRESSÃO, COR GELO REFERÊNCIA L106, MARCA FÓRMICA OU EQUIVALENTE, INCLUSO BATENTE, ALIZAR, FERRAGENS E FECHADURA EM METAL CROMADO NA COR PRETA, BANDEIRA FIXA EM VIDRO INCOLOR, e= 4mm. (PM-01 - Conforme projeto de arquitetura)</t>
  </si>
  <si>
    <t xml:space="preserve"> 10.1.3 </t>
  </si>
  <si>
    <t xml:space="preserve"> UFF00072 (ADAPT_SINAPI:90790) </t>
  </si>
  <si>
    <t>PORTA EM MADEIRA LISA, DE 1ª QUALIDADE, 80 X 210 CM, 1 FOLHA, REVESTIDA EM LAMINADO MELAMÍNICO DE ALTA PRESSÃO, COR GELO REFERÊNCIA L106, MARCA FÓRMICA OU EQUIVALENTE, INCLUSO BATENTE, ALIZAR, FERRAGENS E FECHADURA EM METAL CROMADO NA COR PRETA. (PM-01a - Conforme projeto de arquitetura)</t>
  </si>
  <si>
    <t xml:space="preserve"> 10.1.4 </t>
  </si>
  <si>
    <t xml:space="preserve"> UFF00073 (ADAPT_SINAPI:90790) </t>
  </si>
  <si>
    <t>PORTA EM MADEIRA LISA, DE 1ª QUALIDADE, 80 X 210 + 0,40 CM, 1 FOLHA, REVESTIDA EM LAMINADO MELAMÍNICO DE ALTA PRESSÃO, COR GELO REFERÊNCIA L106, MARCA FÓRMICA OU EQUIVALENTE, INCLUSO BATENTE, ALIZAR, FERRAGENS E FECHADURA EM METAL CROMADO NA COR PRETA, BARRA HORIZONTAL EM AÇO INOX, BANDEIRA FIXA EM VIDRO INCOLOR, e= 4mm. (PM-02 - Conforme projeto de arquitetura)</t>
  </si>
  <si>
    <t xml:space="preserve"> 10.1.5 </t>
  </si>
  <si>
    <t xml:space="preserve"> UFF00074 (ADAPT_EMOP:14.003.0226-A) </t>
  </si>
  <si>
    <t>PORTA DE ABRIR VENEZIANADA 1 FOLHA EM ALUMÍNIO ANODIZADO PRETO FOSCO, NA DIMENSÃO 0,80X2,10+0,40 M.  (PM-03 - Conforme projeto de arquitetura)</t>
  </si>
  <si>
    <t xml:space="preserve"> 10.1.6 </t>
  </si>
  <si>
    <t xml:space="preserve"> UFF00075 (ADAPT_EMOP:14.003.0226-A) </t>
  </si>
  <si>
    <t>PORTA DE ABRIR VENEZIANADA 1 FOLHA EM ALUMÍNIO ANODIZADO PRETO FOSCO, NA DIMENSÃO 0,80X2,10 M.  (PM-03a - Conforme projeto de arquitetura)</t>
  </si>
  <si>
    <t xml:space="preserve"> 10.1.7 </t>
  </si>
  <si>
    <t xml:space="preserve"> UFF00076 (ADAPT_SINAPI:90790) </t>
  </si>
  <si>
    <t>PORTA EM DIVISÓRIA, 80 X 210 CM, 2 FOLHAS, REVESTIDA EM LAMINADO MELAMÍNICO DE ALTA PRESSÃO, COR GELO REFERÊNCIA L106, MARCA FÓRMICA OU EQUIVALENTE, INCLUSO BATENTE, ALIZAR, FERRAGENS E FECHADURA EM METAL CROMADO NA COR PRETA. (PM-04 - Conforme projeto de arquitetura)</t>
  </si>
  <si>
    <t xml:space="preserve"> 10.1.8 </t>
  </si>
  <si>
    <t xml:space="preserve"> UFF00077 (ADAPT_SINAPI:90790) </t>
  </si>
  <si>
    <t>PORTA EM DIVISÓRIA, 80 X 210 + 0,40 CM, 1 FOLHA REVESTIDA EM LAMINADO MELAMÍNICO DE ALTA PRESSÃO, COR GELO REFERÊNCIA L106, MARCA FÓRMICA OU EQUIVALENTE, INCLUSO BATENTE, ALIZAR, FERRAGENS E FECHADURA EM METAL CROMADO NA COR PRETA, VISOR COM VIDRO INCOLOR e= 4mm, BANDEIRA FIXA EM VIDRO INCOLOR, e= 4mm. (PM-05 - Conforme projeto de arquitetura)</t>
  </si>
  <si>
    <t xml:space="preserve"> 10.1.9 </t>
  </si>
  <si>
    <t xml:space="preserve"> UFF00078 (ADAPT_SINAPI:90790) </t>
  </si>
  <si>
    <t>PORTA EM DIVISÓRIA, 110 X 210 + 0,40 CM, 2 FOLHAS, REVESTIDA EM LAMINADO MELAMÍNICO DE ALTA PRESSÃO, COR GELO REFERÊNCIA L106, MARCA FÓRMICA OU EQUIVALENTE, INCLUSO BATENTE, ALIZAR, FERRAGENS E FECHADURA EM METAL CROMADO NA COR PRETA, VISOR COM VIDRO INCOLOR e= 4mm, BANDEIRA FIXA EM VIDRO INCOLOR, e= 4mm. (PM-06 - Conforme projeto de arquitetura)</t>
  </si>
  <si>
    <t xml:space="preserve"> 10.1.10 </t>
  </si>
  <si>
    <t xml:space="preserve"> UFF00079 (ADAPT_SINAPI:90790) </t>
  </si>
  <si>
    <t>PORTA EM MADEIRA LISA, 120 X 210 + 0,40 CM, 2 FOLHAS, DE 1ª QUALIDADE, REVESTIDA EM LAMINADO MELAMÍNICO DE ALTA PRESSÃO, COR GELO REFERÊNCIA L106, MARCA FÓRMICA OU EQUIVALENTE, INCLUSO BATENTE, ALIZAR, FERRAGENS E FECHADURA EM METAL CROMADO NA COR PRETA, VISOR COM VIDRO INCOLOR e= 4mm BANDEIRA FIXA EM VIDRO INCOLOR, e= 4mm. (PM-07 - Conforme projeto de arquitetura)</t>
  </si>
  <si>
    <t xml:space="preserve"> 10.1.11 </t>
  </si>
  <si>
    <t xml:space="preserve"> UFF00011 (ADAPT_SINAPI:102183) </t>
  </si>
  <si>
    <t>PORTA DE VIDRO TEMPERADO 10MM, COM 05 MÓDULOS COM EIXO PIVOTANTE DE 1,20mx2,40m E 02 MÓDULOS FÍXOS DE 0,525mx2,40m, COR TRANSPARENTE, COM PERFIS E INSERTOS EM ALUMÍNIO, ACABAMENTO PRETO FOSCO, MARCA DE REF. DORMA OU EQUIVALENTE TÉCNICO - COMPREENDENDO TAMANHO TOTAL DE 7,05mX2,40m. FORNECIMENTO E COLOCAÇÃO. (PA-01 - Conforme projeto de arquitetura)</t>
  </si>
  <si>
    <t xml:space="preserve"> 10.1.12 </t>
  </si>
  <si>
    <t xml:space="preserve"> UFF00013 (ADAPT_EMOP:14.003.0206-A) </t>
  </si>
  <si>
    <t>PORTA DE VIDRO TEMPERADO 6MM, COM 2 FOLHAS DE ABRIR COM BANDEIRA LATERAL FIXA, COR TRANSPARENTE, COM PERFIS E INSERTOS EM ALUMÍNIO, ACABAMENTO PRETO FOSCO - 2,30X2,40M. (PA-02 - Conforme projeto de arquitetura).</t>
  </si>
  <si>
    <t xml:space="preserve"> 10.1.13 </t>
  </si>
  <si>
    <t xml:space="preserve"> UFF00014 (ADAPT_EMOP:14.003.0206-A) </t>
  </si>
  <si>
    <t>PORTA DE ABRIR EM ALUMÍNIO COM 2 FOLHAS, ACABAMENTO PRETO FOSCO COM VISOR EM VIDRO TEMPERADO 6MM, COR TRANSPARENTE, 1,60X2,40M.(PA-03 - Conforme projeto de arquitetura)</t>
  </si>
  <si>
    <t xml:space="preserve"> 10.1.14 </t>
  </si>
  <si>
    <t xml:space="preserve"> UFF00016 (ADAPT_EMOP:14.003.0206-A) </t>
  </si>
  <si>
    <t>PORTA DE ABRIR EM ALUMÍNIO COM 2 FOLHAS E BANDEIRA FIXA LATERAL, ACABAMENTO PRETO FOSCO COM VISOR EM VIDRO TEMPERADO 6MM, COR TRANSPARENTE - 1,20X2,40M.(PA-05 - Conforme projeto de arquitetura)</t>
  </si>
  <si>
    <t xml:space="preserve"> 10.1.15 </t>
  </si>
  <si>
    <t xml:space="preserve"> UFF00017 (ADAPT_EMOP:14.003.0206-A) </t>
  </si>
  <si>
    <t>PORTA DE ABRIR EM ALUMÍNIO COM 2 FOLHAS E BANDEIRA FIXA LATERAL, ACABAMENTO PRETO FOSCO COM VISOR EM VIDRO TEMPERADO 6MM, COR TRANSPARENTE - 2,80X2,40M. (PA-06 - Conforme projeto de arquitetura)</t>
  </si>
  <si>
    <t xml:space="preserve"> 10.1.16 </t>
  </si>
  <si>
    <t xml:space="preserve"> UFF00018 (ADAPT_EMOP:14.003.0226-A) </t>
  </si>
  <si>
    <t>PORTA DE ABRIR VENEZIANADA 2 FOLHAS EM ALUMÍNIO ANODIZADO PRETO FOSCO, NA DIMENSÃO 1,60X2,40 M.  (PA-07 - Conforme projeto de arquitetura)</t>
  </si>
  <si>
    <t xml:space="preserve"> 10.1.17 </t>
  </si>
  <si>
    <t xml:space="preserve"> UFF00057 (ADAPT_EMOP: 14.003.0206-A) </t>
  </si>
  <si>
    <t>PORTA DE ABRIR EM ALUMÍNIO COM 2 FOLHAS,  EM ALUMÍNIO ANODIZADO PRETO FOSCO COM TELA METÁLICA GALVANIZADA - (PA-08; PA-09A - Conforme projeto de arquitetura).</t>
  </si>
  <si>
    <t xml:space="preserve"> 10.1.18 </t>
  </si>
  <si>
    <t xml:space="preserve"> UFF00095 (ADAPT_EMOP: 14.003.0201-A) </t>
  </si>
  <si>
    <t>PORTA DE ABRIR EM ALUMÍNIO COM 1 FOLHA,  EM ALUMÍNIO ANODIZADO PRETO FOSCO COM TELA METÁLICA GALVANIZADA - (PA-08B - Conforme projeto de arquitetura).</t>
  </si>
  <si>
    <t xml:space="preserve"> 10.1.19 </t>
  </si>
  <si>
    <t xml:space="preserve"> UFF00081 (ADAPT_SBC:112805) </t>
  </si>
  <si>
    <t>PORTÃO DE CONTRAPESO, COM PORTA AUXILIAR, EM ALUMÍNIO ACABAMENTO ANODIZADO PRETO FOSCO FERRAGENS E FECHARURA EM METAL CROMADO NA COR PRETA.  (PA-09 - Conforme projeto de arquitetura).</t>
  </si>
  <si>
    <t xml:space="preserve"> 10.1.20 </t>
  </si>
  <si>
    <t xml:space="preserve"> UFF00085 (ADAPT_EMOP:14.003.0231-A) </t>
  </si>
  <si>
    <t>PORTA DE ABRIR EM ALUMÍNIO COM 2 FOLHAS, ACABAMENTO PRETO FOSCO - 0,80X2,10M.(PA-10 - Conforme projeto de arquitetura)</t>
  </si>
  <si>
    <t xml:space="preserve"> 10.1.21 </t>
  </si>
  <si>
    <t xml:space="preserve"> 90838 </t>
  </si>
  <si>
    <t>PORTA CORTA-FOGO 90X210X4CM - FORNECIMENTO E INSTALAÇÃO. AF_12/2019</t>
  </si>
  <si>
    <t xml:space="preserve"> 10.1.22 </t>
  </si>
  <si>
    <t xml:space="preserve"> UFF00058 (ADAPT_SINAPI: 90838) </t>
  </si>
  <si>
    <t>PORTA CORTA-FOGO 90X210X4CM - INSTALAÇÃO.</t>
  </si>
  <si>
    <t xml:space="preserve"> 10.1.23 </t>
  </si>
  <si>
    <t xml:space="preserve"> UFF00474 (ADAPT_FDE: 06.03.016) </t>
  </si>
  <si>
    <t>BP-01 BARRA ANTIPANICO SIMPLES</t>
  </si>
  <si>
    <t xml:space="preserve"> 10.1.24 </t>
  </si>
  <si>
    <t xml:space="preserve"> UFF00086 (ADAPT_SINAPI:90838) </t>
  </si>
  <si>
    <t>PORTA CORTA-FOGO 140X210X4CM - 02 FOLHAS - FORNECIMENTO E INSTALAÇÃO.</t>
  </si>
  <si>
    <t xml:space="preserve"> 10.1.25 </t>
  </si>
  <si>
    <t xml:space="preserve"> UFF00315 (ADAPT_FDE:06.03.017) </t>
  </si>
  <si>
    <t>BP-02 BARRA ANTIPANICO DUPLA</t>
  </si>
  <si>
    <t xml:space="preserve"> 10.1.26 </t>
  </si>
  <si>
    <t xml:space="preserve"> UFF00083 (ADAPT_SINAPI:74136/001) </t>
  </si>
  <si>
    <t>PORTA DE ENROLAR EM ALUMÍNIO OU PVC, VÃO LIVRE 1,60 X 2,70M. (PER-01 - Conforme projeto de arquitetura)</t>
  </si>
  <si>
    <t xml:space="preserve"> 10.1.27 </t>
  </si>
  <si>
    <t xml:space="preserve"> 91306 </t>
  </si>
  <si>
    <t>FECHADURA DE EMBUTIR PARA PORTAS INTERNAS, COMPLETA, ACABAMENTO PADRÃO MÉDIO, COM EXECUÇÃO DE FURO - FORNECIMENTO E INSTALAÇÃO. AF_12/2019</t>
  </si>
  <si>
    <t xml:space="preserve"> 10.2 </t>
  </si>
  <si>
    <t>JANELAS</t>
  </si>
  <si>
    <t xml:space="preserve"> 10.2.1 </t>
  </si>
  <si>
    <t xml:space="preserve"> 112116 </t>
  </si>
  <si>
    <t>JANELA ALUMINIO MAXIN AR</t>
  </si>
  <si>
    <t xml:space="preserve"> 10.2.2 </t>
  </si>
  <si>
    <t xml:space="preserve"> 112800 </t>
  </si>
  <si>
    <t>CAIXILHO ALUMINIO VENEZIANA FIXA</t>
  </si>
  <si>
    <t xml:space="preserve"> 10.3 </t>
  </si>
  <si>
    <t>ELEMENTOS METÁLICOS</t>
  </si>
  <si>
    <t xml:space="preserve"> 10.3.1 </t>
  </si>
  <si>
    <t xml:space="preserve"> 112561 </t>
  </si>
  <si>
    <t>GUARDA-CORPO EM TUBO DE AǏ INOX (NBR 9050)</t>
  </si>
  <si>
    <t xml:space="preserve"> 10.3.2 </t>
  </si>
  <si>
    <t xml:space="preserve"> 14.002.0216-A </t>
  </si>
  <si>
    <t>CORRIMAO DUPLO EM TUBO DE ACO GALVANIZADO COM DIAMETRO DE 1. 1/4",BARRA SUPERIOR COM ALTURA DE 92CM E BARRA INFERIOR COM ALTURA DE 70CM,FIXADO EM MONTANTES DE ACO GALVANIZADO COM DI AMETRO DE 1.1/4",CONFORME ABNT NBR 9050 PARA ACESSIBILIDADE. FORNECIMENTO E COLOCACAO</t>
  </si>
  <si>
    <t xml:space="preserve"> 10.3.3 </t>
  </si>
  <si>
    <t xml:space="preserve"> 14.002.0215-A </t>
  </si>
  <si>
    <t>CORRIMAO DUPLO EM TUBO DE ACO GALVANIZADO COM DIAMETRO DE 1. 1/4",BARRA SUPERIOR COM ALTURA DE 92CM E BARRA INFERIOR COM ALTURA DE 70CM,FIXADO NA PAREDE POR CHUMBADORES,CONFORME ABN T NBR 9050 PARA ACESSIBILIDADE.FORNECIMENTO E COLOCACAO</t>
  </si>
  <si>
    <t xml:space="preserve"> 10.3.4 </t>
  </si>
  <si>
    <t xml:space="preserve"> 022057 </t>
  </si>
  <si>
    <t>RETIRADA TUBOS GALVANIZADOS 1/2"" A 2""</t>
  </si>
  <si>
    <t xml:space="preserve"> 10.3.5 </t>
  </si>
  <si>
    <t xml:space="preserve"> 180788 </t>
  </si>
  <si>
    <r>
      <rPr>
        <sz val="10"/>
        <color rgb="FF000000"/>
        <rFont val="Arial"/>
        <charset val="134"/>
      </rPr>
      <t>PINTURA ESMALTE TUBULACAO APARENTE (at</t>
    </r>
    <r>
      <rPr>
        <sz val="10"/>
        <color rgb="FF000000"/>
        <rFont val="Noto Sans CJK SC"/>
        <charset val="1"/>
      </rPr>
      <t>頳</t>
    </r>
    <r>
      <rPr>
        <sz val="10"/>
        <color rgb="FF000000"/>
        <rFont val="Arial"/>
        <charset val="134"/>
      </rPr>
      <t>/4"")</t>
    </r>
  </si>
  <si>
    <t xml:space="preserve"> 10.4 </t>
  </si>
  <si>
    <t>VIDROS</t>
  </si>
  <si>
    <t xml:space="preserve"> 10.4.1 </t>
  </si>
  <si>
    <t xml:space="preserve"> 14.004.0015-A </t>
  </si>
  <si>
    <t>VIDRO PLANO TRANSPARENTE,COMUM,DE 4MM DE ESPESSURA.FORNECIME NTO E COLOCACAO</t>
  </si>
  <si>
    <t xml:space="preserve"> 10.4.2 </t>
  </si>
  <si>
    <t xml:space="preserve"> 14.003.0164-A </t>
  </si>
  <si>
    <t>CAIXILHO FIXO DE ALUMINIO ANODIZADO PARA VIDRO EM BRONZE OU PRETO,SERIE 28.FORNECIMENTO E COLOCACAO</t>
  </si>
  <si>
    <t xml:space="preserve"> 11.1 </t>
  </si>
  <si>
    <t>INSTALAÇÃO DE ÁGUA FRIA</t>
  </si>
  <si>
    <t xml:space="preserve"> 11.1.1 </t>
  </si>
  <si>
    <t xml:space="preserve"> 89402 </t>
  </si>
  <si>
    <t>TUBO, PVC, SOLDÁVEL, DN 25MM, INSTALADO EM RAMAL DE DISTRIBUIÇÃO DE ÁGUA - FORNECIMENTO E INSTALAÇÃO. AF_06/2022</t>
  </si>
  <si>
    <t xml:space="preserve"> 11.1.2 </t>
  </si>
  <si>
    <t xml:space="preserve"> 103979 </t>
  </si>
  <si>
    <t>TUBO, PVC, SOLDÁVEL, DN 50MM, INSTALADO EM RAMAL DE DISTRIBUIÇÃO DE ÁGUA - FORNECIMENTO E INSTALAÇÃO. AF_06/2022</t>
  </si>
  <si>
    <t xml:space="preserve"> 11.1.3 </t>
  </si>
  <si>
    <t xml:space="preserve"> 89408 </t>
  </si>
  <si>
    <t>JOELHO 90 GRAUS, PVC, SOLDÁVEL, DN 25MM, INSTALADO EM RAMAL DE DISTRIBUIÇÃO DE ÁGUA - FORNECIMENTO E INSTALAÇÃO. AF_06/2022</t>
  </si>
  <si>
    <t xml:space="preserve"> 11.1.4 </t>
  </si>
  <si>
    <t xml:space="preserve"> 103984 </t>
  </si>
  <si>
    <t>JOELHO 90 GRAUS, PVC, SOLDÁVEL, DN 50MM, INSTALADO EM RAMAL DE DISTRIBUIÇÃO DE ÁGUA - FORNECIMENTO E INSTALAÇÃO. AF_06/2022</t>
  </si>
  <si>
    <t xml:space="preserve"> 11.1.5 </t>
  </si>
  <si>
    <t xml:space="preserve"> 104004 </t>
  </si>
  <si>
    <t>TE, PVC, SOLDÁVEL, DN 50MM, INSTALADO EM RAMAL DE DISTRIBUIÇÃO DE ÁGUA - FORNECIMENTO E INSTALAÇÃO. AF_06/2022</t>
  </si>
  <si>
    <t xml:space="preserve"> 11.1.6 </t>
  </si>
  <si>
    <t xml:space="preserve"> 15.036.0022-A </t>
  </si>
  <si>
    <t>TUBO DE PVC RIGIDO,ROSQUEAVEL,PARA AGUA FRIA,COM DIAMETRO DE 1.1/2",INCLUSIVE CONEXOES E EMENDAS,EXCLUSIVE ABERTURA E FE CHAMENTO DE RASGO.FORNECIMENTO E ASSENTAMENTO</t>
  </si>
  <si>
    <t xml:space="preserve"> 11.1.7 </t>
  </si>
  <si>
    <t xml:space="preserve"> 15.036.0023-A </t>
  </si>
  <si>
    <t>TUBO DE PVC RIGIDO,ROSQUEAVEL,PARA AGUA FRIA,COM DIAMETRO DE 2",INCLUSIVE CONEXOES E EMENDAS,EXCLUSIVE ABERTURA E FECHAM ENTO DE RASGO.FORNECIMENTO E ASSENTAMENTO</t>
  </si>
  <si>
    <t xml:space="preserve"> 11.1.8 </t>
  </si>
  <si>
    <t xml:space="preserve"> UFF00335 (ADAPT_SINAPI: 92650) </t>
  </si>
  <si>
    <t>FORNECIMENTO E INSTALAÇÃO COMPLETA - TUBULAÇÃO DE AÇO CARBONO NBR 5580/5590 PARA SOLDA - Ø4"</t>
  </si>
  <si>
    <t xml:space="preserve"> 11.1.9 </t>
  </si>
  <si>
    <t xml:space="preserve"> UFF00526 (ADAPT_SINAPI: 97457) </t>
  </si>
  <si>
    <t>CURVA 90 GRAUS, EM AÇO CARBONO, CONEXÃO SOLDADA, DN 100 (4") - FORNECIMENTO E INSTALAÇÃO. AF_10/2020</t>
  </si>
  <si>
    <t xml:space="preserve"> 11.1.10 </t>
  </si>
  <si>
    <t xml:space="preserve"> 92699 </t>
  </si>
  <si>
    <t>JOELHO 90 GRAUS, EM FERRO GALVANIZADO, CONEXÃO ROSQUEADA, DN 15 (1/2"), INSTALADO EM RAMAIS E SUB-RAMAIS DE GÁS - FORNECIMENTO E INSTALAÇÃO. AF_10/2020</t>
  </si>
  <si>
    <t xml:space="preserve"> 11.1.11 </t>
  </si>
  <si>
    <t xml:space="preserve"> 92386 </t>
  </si>
  <si>
    <t>JOELHO 90 GRAUS, EM FERRO GALVANIZADO, DN 40 (1 1/2"), CONEXÃO ROSQUEADA, INSTALADO EM REDE DE ALIMENTAÇÃO PARA HIDRANTE - FORNECIMENTO E INSTALAÇÃO. AF_10/2020</t>
  </si>
  <si>
    <t xml:space="preserve"> 11.1.12 </t>
  </si>
  <si>
    <t xml:space="preserve"> 92388 </t>
  </si>
  <si>
    <t>JOELHO 90 GRAUS, EM FERRO GALVANIZADO, DN 50 (2"), CONEXÃO ROSQUEADA, INSTALADO EM REDE DE ALIMENTAÇÃO PARA HIDRANTE - FORNECIMENTO E INSTALAÇÃO. AF_10/2020</t>
  </si>
  <si>
    <t xml:space="preserve"> 11.1.13 </t>
  </si>
  <si>
    <t xml:space="preserve"> 92639 </t>
  </si>
  <si>
    <t>TÊ, EM FERRO GALVANIZADO, CONEXÃO ROSQUEADA, DN 40 (1 1/2"), INSTALADO EM REDE DE ALIMENTAÇÃO PARA HIDRANTE - FORNECIMENTO E INSTALAÇÃO. AF_10/2020</t>
  </si>
  <si>
    <t xml:space="preserve"> 11.1.14 </t>
  </si>
  <si>
    <t xml:space="preserve"> 92640 </t>
  </si>
  <si>
    <t>TÊ, EM FERRO GALVANIZADO, CONEXÃO ROSQUEADA, DN 50 (2"), INSTALADO EM REDE DE ALIMENTAÇÃO PARA HIDRANTE - FORNECIMENTO E INSTALAÇÃO. AF_10/2020</t>
  </si>
  <si>
    <t xml:space="preserve"> 11.1.15 </t>
  </si>
  <si>
    <t xml:space="preserve"> UFF00518 (ADAPT_SINAPI: 105212) </t>
  </si>
  <si>
    <t>TE DE REDUÇÃO, EM FERRO GALVANIZADO, CONEXÃO ROSQUEADA, BSP, (3/4" X 1/2") - FORNECIMENTO E INSTALAÇÃO.</t>
  </si>
  <si>
    <t xml:space="preserve"> 11.1.16 </t>
  </si>
  <si>
    <t xml:space="preserve"> 055332 </t>
  </si>
  <si>
    <t>BUCHA DE REDUCAO GALVANIZADA 1.1/2""x3/4""</t>
  </si>
  <si>
    <t xml:space="preserve"> 11.1.17 </t>
  </si>
  <si>
    <t xml:space="preserve"> UFF00516 (ADAPT_SBC: 055338) </t>
  </si>
  <si>
    <t>UNIAO ASSENTO CONICO GALVANIZADO 1 1/2""</t>
  </si>
  <si>
    <t xml:space="preserve"> 11.1.18 </t>
  </si>
  <si>
    <t xml:space="preserve"> UFF00517 (ADAPT_SBC: 055338) </t>
  </si>
  <si>
    <t>UNIAO ASSENTO CONICO GALVANIZADO 2""</t>
  </si>
  <si>
    <t xml:space="preserve"> 11.1.19 </t>
  </si>
  <si>
    <t xml:space="preserve"> EQ 34.15.0253 </t>
  </si>
  <si>
    <t>SCO</t>
  </si>
  <si>
    <t>Bomba Hidraulica centrifuga, trifasica, motor eletrico 220/380V, com potencia de 5CV, com succao de 2" e elevacao de 1 1/2", serie CAM, modelo 618TJM, Dancor ou similar. Fornecimento.(desonerado)</t>
  </si>
  <si>
    <t xml:space="preserve"> 11.1.20 </t>
  </si>
  <si>
    <t xml:space="preserve"> 102118 </t>
  </si>
  <si>
    <t>BOMBA CENTRÍFUGA, TRIFÁSICA, 3 CV OU 2,96 HP, HM 34 A 40 M, Q 8,6 A 14,8 M3/H - FORNECIMENTO E INSTALAÇÃO. AF_12/2020</t>
  </si>
  <si>
    <t xml:space="preserve"> 11.1.21 </t>
  </si>
  <si>
    <t xml:space="preserve"> UFF00331 (ADAPT_EMOP: 18.017.0105-A) </t>
  </si>
  <si>
    <t>APROVEITAMENTO AGUA CHUVA (AAC) P/AREA DE TELHADO ATE 3000M2,COMPREENDENDO FORN.SEGUINTES EQUIPAMENTOS: FILTRO DO TIPO VORTEX DA WISY WFF 300 -  FILTRO FLUTUANTE DE Ø 1" - KIT DE INTERLIGAÇÃO. FORNECIMENTO.</t>
  </si>
  <si>
    <t xml:space="preserve"> 11.1.22 </t>
  </si>
  <si>
    <t xml:space="preserve"> 15.004.0067-A </t>
  </si>
  <si>
    <t>INSTALACAO E ASSENTAMENTO DE FILTRO INDUSTRIAL(EXCLUSIVE FOR NECIMENTO DO APARELHO),COMPREENDENDO:3,00M DE TUBO DE PVC SO LDAVEL DE 32MM E CONEXOES</t>
  </si>
  <si>
    <t xml:space="preserve"> 11.1.23 </t>
  </si>
  <si>
    <t xml:space="preserve"> IT 09.30.0053 </t>
  </si>
  <si>
    <t>Registro de gaveta, em bronze, com diametro de 3/4". Fornecimento e instalacao.(desonerado)</t>
  </si>
  <si>
    <t xml:space="preserve"> 11.1.24 </t>
  </si>
  <si>
    <t xml:space="preserve"> IT 09.30.0062 </t>
  </si>
  <si>
    <t>Registro de gaveta, em bronze, com diametro de 1 1/2". Fornecimento e instalacao.(desonerado)</t>
  </si>
  <si>
    <t xml:space="preserve"> 11.1.25 </t>
  </si>
  <si>
    <t xml:space="preserve"> IT 09.30.0065 </t>
  </si>
  <si>
    <t>Registro de gaveta, em bronze, com diametro de 2". Fornecimento e instalacao.(desonerado)</t>
  </si>
  <si>
    <t xml:space="preserve"> 11.1.26 </t>
  </si>
  <si>
    <t xml:space="preserve"> 99631 </t>
  </si>
  <si>
    <t>VÁLVULA DE RETENÇÃO VERTICAL, DE BRONZE, ROSCÁVEL, 1 1/2" - FORNECIMENTO E INSTALAÇÃO. AF_08/2021</t>
  </si>
  <si>
    <t xml:space="preserve"> 11.1.27 </t>
  </si>
  <si>
    <t xml:space="preserve"> 95248 </t>
  </si>
  <si>
    <t>VÁLVULA DE ESFERA BRUTA, BRONZE, ROSCÁVEL, 1/2" - FORNECIMENTO E INSTALAÇÃO. AF_08/2021</t>
  </si>
  <si>
    <t xml:space="preserve"> 11.1.28 </t>
  </si>
  <si>
    <t xml:space="preserve"> UFF00519 (ADAPT_SCO: DR 14.50.0050) </t>
  </si>
  <si>
    <t>VOLANTE DE LATÃO PARA REGISTRO GAVETA BRUTO 1 1/2". FORNECIMENTO  E ASSENTAMENTO.</t>
  </si>
  <si>
    <t xml:space="preserve"> 11.1.29 </t>
  </si>
  <si>
    <t xml:space="preserve"> UFF00520 (ADAPT_SCO: DR 14.50.0050) </t>
  </si>
  <si>
    <t>VOLANTE DE LATÃO PARA REGISTRO GAVETA BRUTO 2". FORNECIMENTO  E ASSENTAMENTO.</t>
  </si>
  <si>
    <t xml:space="preserve"> 11.1.30 </t>
  </si>
  <si>
    <t xml:space="preserve"> UFF00521 (ADAPT_SCO: DR 14.50.0050) </t>
  </si>
  <si>
    <t>VOLANTE DE LATÃO PARA REGISTRO GAVETA BRUTO 2. 1/2". FORNECIMENTO  E ASSENTAMENTO.</t>
  </si>
  <si>
    <t xml:space="preserve"> 11.1.31 </t>
  </si>
  <si>
    <t xml:space="preserve"> 101917 </t>
  </si>
  <si>
    <t>MANÔMETRO 0 A 200 PSI (0 A 14 KGF/CM2), D = 50MM - FORNECIMENTO E INSTALAÇÃO. AF_10/2020</t>
  </si>
  <si>
    <t xml:space="preserve"> 11.1.32 </t>
  </si>
  <si>
    <t xml:space="preserve"> 18.009.0078-A </t>
  </si>
  <si>
    <t>TORNEIRA PARA JARDIM,DE 3/4"X10CM APROXIMADAMENTE,EM METAL C ROMADO.FORNECIMENTO</t>
  </si>
  <si>
    <t xml:space="preserve"> 11.1.33 </t>
  </si>
  <si>
    <t xml:space="preserve"> 15.004.0090-A </t>
  </si>
  <si>
    <t>INSTALACAO E COLOCACAO DE TORNEIRA PARA JARDIM OU DE LAVAGEM (EXCLUSIVE FORNECIMENTO DA TORNEIRA),COMPREENDENDO: 2,00M DE TUBO DE PVC DE 20MM E CONEXOES</t>
  </si>
  <si>
    <t xml:space="preserve"> 11.1.34 </t>
  </si>
  <si>
    <t xml:space="preserve"> 94800 </t>
  </si>
  <si>
    <t>TORNEIRA DE BOIA PARA CAIXA D'ÁGUA, ROSCÁVEL, 2" - FORNECIMENTO E INSTALAÇÃO. AF_08/2021</t>
  </si>
  <si>
    <t xml:space="preserve"> 11.1.35 </t>
  </si>
  <si>
    <t xml:space="preserve"> 052734 </t>
  </si>
  <si>
    <t>AUTOMATICO DE BOIA</t>
  </si>
  <si>
    <t xml:space="preserve"> 11.1.36 </t>
  </si>
  <si>
    <t xml:space="preserve"> 91179 </t>
  </si>
  <si>
    <t>FIXAÇÃO DE TUBOS HORIZONTAIS DE PVC ÁGUA/PVC ESGOTO/PVC PLUVIAL/CPVC/PPR/COBRE OU AÇO, DIÂMETROS MENORES OU IGUAIS A 40 MM, COM ABRAÇADEIRA METÁLICA RÍGIDA TIPO  D  COM PARAFUSO DE FIXAÇÃO 1 1/4", FIXADA DIRETAMENTE NA LAJE OU PAREDE. AF_09/2023</t>
  </si>
  <si>
    <t xml:space="preserve"> 11.1.37 </t>
  </si>
  <si>
    <t xml:space="preserve"> 91180 </t>
  </si>
  <si>
    <t>FIXAÇÃO DE TUBOS HORIZONTAIS DE PVC ÁGUA/PVC ESGOTO/PVC PLUVIAL/CPVC/PPR/COBRE OU AÇO, DIÂMETROS MAIORES QUE 40 MM E MENORES OU IGUAIS A 75 MM, COM ABRAÇADEIRA TIPO  D  COM PARAFUSO DE FIXAÇÃO 2 1/2", FIXADA DIRETAMENTE NA LAJE OU PAREDE. AF_09/2023</t>
  </si>
  <si>
    <t xml:space="preserve"> 11.1.38 </t>
  </si>
  <si>
    <t xml:space="preserve"> 91171 </t>
  </si>
  <si>
    <t>FIXAÇÃO DE TUBOS HORIZONTAIS DE PVC ÁGUA, PVC ESGOTO, PVC ÁGUA PLUVIAL, CPVC, PPR, COBRE OU AÇO, DIÂMETROS MAIORES QUE 40 MM E MENORES OU IGUAIS A 75 MM, COM ABRAÇADEIRA METÁLICA RÍGIDA TIPO U PERFIL 2 1/2", FIXADA EM PERFILADO EM LAJE. AF_09/2023_PS</t>
  </si>
  <si>
    <t xml:space="preserve"> 11.1.39 </t>
  </si>
  <si>
    <t xml:space="preserve"> 91172 </t>
  </si>
  <si>
    <t>FIXAÇÃO DE TUBOS HORIZONTAIS DE PVC ÁGUA, PVC ESGOTO, PVC ÁGUA PLUVIAL, CPVC, PPR, COBRE OU AÇO, DIÂMETROS MAIORES QUE 75 MM E MENORES OU IGUAIS A 100 MM, COM ABRAÇADEIRA METÁLICA RÍGIDA TIPO U PERFIL 4", FIXADA EM PERFILADO EM LAJE. AF_09/2023_PS</t>
  </si>
  <si>
    <t xml:space="preserve"> 11.1.40 </t>
  </si>
  <si>
    <t xml:space="preserve"> UFF00021 (ADAPT_ORSE:12545) </t>
  </si>
  <si>
    <t>FIXAÇÃO - BARRA DE TIRANTE ROSQUEADA GALVANIZADA, DE Ø1/4"</t>
  </si>
  <si>
    <t xml:space="preserve"> 11.1.41 </t>
  </si>
  <si>
    <t xml:space="preserve"> MAT007550 </t>
  </si>
  <si>
    <t>Arruela lisa de aco galvanizado, de 1/4"</t>
  </si>
  <si>
    <t xml:space="preserve"> 11.1.42 </t>
  </si>
  <si>
    <t xml:space="preserve"> UFF00103 (ADAPT_SCO: IP 54.10.0950) </t>
  </si>
  <si>
    <t>PORCA SEXTAVADA DE AÇO GALVANIZADO, DE Ø1/4". Fornecimento.(desonerado)</t>
  </si>
  <si>
    <t xml:space="preserve"> 11.2 </t>
  </si>
  <si>
    <t>INSTALAÇÃO SANITÁRIA</t>
  </si>
  <si>
    <t xml:space="preserve"> 11.2.1 </t>
  </si>
  <si>
    <t xml:space="preserve"> 15.036.0092-A </t>
  </si>
  <si>
    <t>TUBO DE PVC,CONFORME ABNT NBR-7362,PARA ESGOTO SANITARIO,COM DIAMETRO NOMINAL DE 200MM,INCLUSIVE ANEL DE BORRACHA.FORNEC IMENTO E COLOCACAO</t>
  </si>
  <si>
    <t xml:space="preserve"> 11.2.2 </t>
  </si>
  <si>
    <t xml:space="preserve"> 103379 </t>
  </si>
  <si>
    <t>TUBO PEAD LISO PARA REDE DE ÁGUA OU ESGOTO, DIÂMETRO DE 200 MM, JUNTA SOLDADA (NÃO INCLUI A EXECUÇÃO DE SOLDA) - FORNECIMENTO E ASSENTAMENTO. AF_12/2021</t>
  </si>
  <si>
    <t xml:space="preserve"> 11.2.3 </t>
  </si>
  <si>
    <t xml:space="preserve"> 103376 </t>
  </si>
  <si>
    <t>TUBO PEAD LISO PARA REDE DE ÁGUA OU ESGOTO, DIÂMETRO DE 110 MM, JUNTA SOLDADA (NÃO INCLUI A EXECUÇÃO DE SOLDA) - FORNECIMENTO E ASSENTAMENTO. AF_12/2021</t>
  </si>
  <si>
    <t xml:space="preserve"> 11.2.4 </t>
  </si>
  <si>
    <t xml:space="preserve"> UFF00527 (ADAPT_CPOS: 46.33.170) </t>
  </si>
  <si>
    <t>Curva 90º em polipropileno de alta resistência - PP, preto, soldável, DN= 110mm</t>
  </si>
  <si>
    <t xml:space="preserve"> 11.2.5 </t>
  </si>
  <si>
    <t xml:space="preserve"> UFF00528 (ADAPT_ORSE: 10817) </t>
  </si>
  <si>
    <t>VÁLVULA ESFERA POLIPROPILENO FLANGE VITON 4" - FORNECIMENTO E INSTALAÇÃO.</t>
  </si>
  <si>
    <t xml:space="preserve"> 11.3 </t>
  </si>
  <si>
    <t>LOUÇAS / METAIS / ACESSÓRIOS</t>
  </si>
  <si>
    <t xml:space="preserve"> 11.3.1 </t>
  </si>
  <si>
    <t xml:space="preserve"> 190396 </t>
  </si>
  <si>
    <t>VASO SANITARIO CONVENCIONAL VOGUE PLUS COMPLETO COM ASSENTO</t>
  </si>
  <si>
    <t xml:space="preserve"> 11.3.2 </t>
  </si>
  <si>
    <t xml:space="preserve"> UFF00001 (ADAPT_SBC  202313) </t>
  </si>
  <si>
    <t>ASSENTO PARA VASO LINHA VOGUE CONFORTO</t>
  </si>
  <si>
    <t xml:space="preserve"> 11.3.3 </t>
  </si>
  <si>
    <t xml:space="preserve"> 95472 </t>
  </si>
  <si>
    <t>VASO SANITARIO SIFONADO CONVENCIONAL PARA PCD SEM FURO FRONTAL COM LOUÇA BRANCA SEM ASSENTO, INCLUSO CONJUNTO DE LIGAÇÃO PARA BACIA SANITÁRIA AJUSTÁVEL - FORNECIMENTO E INSTALAÇÃO. AF_01/2020</t>
  </si>
  <si>
    <t xml:space="preserve"> 11.3.4 </t>
  </si>
  <si>
    <t xml:space="preserve"> 100849 </t>
  </si>
  <si>
    <t>ASSENTO SANITÁRIO CONVENCIONAL - FORNECIMENTO E INSTALACAO. AF_01/2020</t>
  </si>
  <si>
    <t xml:space="preserve"> 11.3.5 </t>
  </si>
  <si>
    <t xml:space="preserve"> 202164 </t>
  </si>
  <si>
    <t>ACABAMENTO PARA VALVULA DE DESCARGA BENEFIT 00184906 DOCOL</t>
  </si>
  <si>
    <t xml:space="preserve"> 11.3.6 </t>
  </si>
  <si>
    <t xml:space="preserve"> UFF00002 (ADAPT_SBC: 202164) </t>
  </si>
  <si>
    <t>ACABAMENTO PARA VALVULA DE DESCARGA ANTIVANDALISMO EM METAL CROMADO DOCOL</t>
  </si>
  <si>
    <t xml:space="preserve"> 11.3.7 </t>
  </si>
  <si>
    <t xml:space="preserve"> 86901 </t>
  </si>
  <si>
    <t>CUBA DE EMBUTIR OVAL EM LOUÇA BRANCA, 35 X 50CM OU EQUIVALENTE - FORNECIMENTO E INSTALAÇÃO. AF_01/2020</t>
  </si>
  <si>
    <t xml:space="preserve"> 11.3.8 </t>
  </si>
  <si>
    <t xml:space="preserve"> 190235 </t>
  </si>
  <si>
    <t>LAVATORIO SUSPENSO MASTER DE CANTO COM MESA L76.17 DECA</t>
  </si>
  <si>
    <t xml:space="preserve"> 11.3.9 </t>
  </si>
  <si>
    <t xml:space="preserve"> 86877 </t>
  </si>
  <si>
    <t>VÁLVULA EM METAL CROMADO 1.1/2" X 1.1/2" PARA TANQUE OU LAVATÓRIO, COM OU SEM LADRÃO - FORNECIMENTO E INSTALAÇÃO. AF_01/2020</t>
  </si>
  <si>
    <t xml:space="preserve"> 11.3.10 </t>
  </si>
  <si>
    <t xml:space="preserve"> UFF00010 (ADAPT_SINAPI:86881) </t>
  </si>
  <si>
    <t>SIFAO EM METAL CROMADO,DE 1.1/2"X1.1/2".FORNECIMENTO E INSTALAÇÃO</t>
  </si>
  <si>
    <t xml:space="preserve"> 11.3.11 </t>
  </si>
  <si>
    <t xml:space="preserve"> UFF00004 (ADAPT_SBC:190066) </t>
  </si>
  <si>
    <t>TORNEIRA P/LAVATORIO, DE PAREDE, ACIONAMENTO HIDROMECANICO MANUAL E FECHAMENTO AUTOMATICO, ANTIVANDALISMO, DE 135MM, CROMADA. FORNECIMENTO E INSTALAÇÃO.</t>
  </si>
  <si>
    <t xml:space="preserve"> 11.3.12 </t>
  </si>
  <si>
    <t xml:space="preserve"> 190060 </t>
  </si>
  <si>
    <t>PAPALEIRA DE EMBUTIR COM ROLETE EM LOUCA A480 - DECA</t>
  </si>
  <si>
    <t xml:space="preserve"> 11.3.13 </t>
  </si>
  <si>
    <t xml:space="preserve"> 18.005.0012-A </t>
  </si>
  <si>
    <t>PORTA-TOALHA DE PAPEL EM PLASTICO ABS.FORNECIMENTO E COLOCAC AO</t>
  </si>
  <si>
    <t xml:space="preserve"> 11.3.14 </t>
  </si>
  <si>
    <t xml:space="preserve"> 95547 </t>
  </si>
  <si>
    <t>SABONETEIRA PLASTICA TIPO DISPENSER PARA SABONETE LIQUIDO COM RESERVATORIO 800 A 1500 ML, INCLUSO FIXAÇÃO. AF_01/2020</t>
  </si>
  <si>
    <t xml:space="preserve"> 11.3.15 </t>
  </si>
  <si>
    <t xml:space="preserve"> 190045 </t>
  </si>
  <si>
    <t>SABONETEIRA 10X17,5cm LOUCA DECA A380</t>
  </si>
  <si>
    <t xml:space="preserve"> 11.3.16 </t>
  </si>
  <si>
    <t xml:space="preserve"> 190464 </t>
  </si>
  <si>
    <t>ESPELHO CRISTAL 4mm COM MOLDURA DE ALUMINIO</t>
  </si>
  <si>
    <t xml:space="preserve"> 11.3.17 </t>
  </si>
  <si>
    <t xml:space="preserve"> 100860 </t>
  </si>
  <si>
    <t>CHUVEIRO ELÉTRICO COMUM CORPO PLÁSTICO, TIPO DUCHA - FORNECIMENTO E INSTALAÇÃO. AF_01/2020</t>
  </si>
  <si>
    <t xml:space="preserve"> 11.3.18 </t>
  </si>
  <si>
    <t xml:space="preserve"> 100858 </t>
  </si>
  <si>
    <t>MICTÓRIO SIFONADO LOUÇA BRANCA - PADRÃO MÉDIO - FORNECIMENTO E INSTALAÇÃO. AF_01/2020</t>
  </si>
  <si>
    <t xml:space="preserve"> 11.3.19 </t>
  </si>
  <si>
    <t xml:space="preserve"> 100869 </t>
  </si>
  <si>
    <t>BARRA DE APOIO RETA, EM ACO INOX POLIDO, COMPRIMENTO 90 CM,  FIXADA NA PAREDE - FORNECIMENTO E INSTALAÇÃO. AF_01/2020</t>
  </si>
  <si>
    <t xml:space="preserve"> 11.3.20 </t>
  </si>
  <si>
    <t xml:space="preserve"> 100863 </t>
  </si>
  <si>
    <t>BARRA DE APOIO EM "L", EM ACO INOX POLIDO 70 X 70 CM, FIXADA NA PAREDE - FORNECIMENTO E INSTALACAO. AF_01/2020</t>
  </si>
  <si>
    <t xml:space="preserve"> 11.3.21 </t>
  </si>
  <si>
    <t xml:space="preserve"> 100874 </t>
  </si>
  <si>
    <t>PUXADOR PARA PCD, FIXADO NA PORTA - FORNECIMENTO E INSTALAÇÃO. AF_01/2020</t>
  </si>
  <si>
    <t xml:space="preserve"> 11.3.22 </t>
  </si>
  <si>
    <t xml:space="preserve"> 190085 </t>
  </si>
  <si>
    <t>CABIDE FLEX CROMADO 2060.C.FLX DECA</t>
  </si>
  <si>
    <t xml:space="preserve"> 11.3.23 </t>
  </si>
  <si>
    <t xml:space="preserve"> 86895 </t>
  </si>
  <si>
    <t>BANCADA DE GRANITO CINZA POLIDO, DE 0,50 X 0,60 M, PARA LAVATÓRIO - FORNECIMENTO E INSTALAÇÃO. AF_01/2020</t>
  </si>
  <si>
    <t xml:space="preserve"> 11.3.24 </t>
  </si>
  <si>
    <t xml:space="preserve"> 150161 </t>
  </si>
  <si>
    <t>VIDRO TEMPERADO INCOLOR 8mm PARA BOX COM FERRAGEM DE FIXACAO</t>
  </si>
  <si>
    <t xml:space="preserve"> 11.4 </t>
  </si>
  <si>
    <t>ÁGUAS PLUVIAIS</t>
  </si>
  <si>
    <t xml:space="preserve"> 11.4.1 </t>
  </si>
  <si>
    <t xml:space="preserve"> 15.036.0090-A </t>
  </si>
  <si>
    <t>TUBO DE PVC RIGIDO,CONFORME ABNT NBR-5688 DE 150MM,LINHA REF ORCADA,SOLDAVEL,INCLUSIVE CONEXOES E EMENDAS,EXCLUSIVE ABERT URA E FECHAMENTO DE RASGO.FORNECIMENTO E ASSENTAMENTO</t>
  </si>
  <si>
    <t xml:space="preserve"> 11.4.2 </t>
  </si>
  <si>
    <t xml:space="preserve"> 11.4.3 </t>
  </si>
  <si>
    <t xml:space="preserve"> UFF00522 (ADAPT_EMOP: 15.036.0092-A) </t>
  </si>
  <si>
    <t>TUBO DE PVC,CONFORME ABNT NBR-7362,PARA ESGOTO SANITARIO,COM DIAMETRO NOMINAL DE 250MM,INCLUSIVE ANEL DE BORRACHA.FORNEC IMENTO E COLOCACAO</t>
  </si>
  <si>
    <t xml:space="preserve"> 11.4.4 </t>
  </si>
  <si>
    <t xml:space="preserve"> UFF00523 (ADAPT_EMOP: 15.036.0092-A) </t>
  </si>
  <si>
    <t>TUBO DE PVC,CONFORME ABNT NBR-7362,PARA ESGOTO SANITARIO,COM DIAMETRO NOMINAL DE 300MM,INCLUSIVE ANEL DE BORRACHA.FORNEC IMENTO E COLOCACAO</t>
  </si>
  <si>
    <t xml:space="preserve"> 11.4.5 </t>
  </si>
  <si>
    <t xml:space="preserve"> 06.017.0007-A </t>
  </si>
  <si>
    <t>POCO DE VISITA,DE ANEIS DE CONCRETO PRE-MOLDADOS,PARA ESGOTO S SANITARIOS,SEGUNDO ESPECIFICACOES DA CEDAE,INCLUSIVE DEGRA US,EXCLUSIVE TAMPAO DE FERRO FUNDIDO,COM PROFUNDIDADE DE 1,5 0M</t>
  </si>
  <si>
    <t xml:space="preserve"> 11.4.6 </t>
  </si>
  <si>
    <t xml:space="preserve"> 98114 </t>
  </si>
  <si>
    <t>TAMPA CIRCULAR PARA ESGOTO E DRENAGEM, EM FERRO FUNDIDO, DIÂMETRO INTERNO = 0,6 M. AF_12/2020</t>
  </si>
  <si>
    <t xml:space="preserve"> 11.4.7 </t>
  </si>
  <si>
    <t xml:space="preserve"> 103001 </t>
  </si>
  <si>
    <t>GRELHA DE FERRO FUNDIDO SIMPLES COM REQUADRO, 150 X 1000 MM, ASSENTADA COM ARGAMASSA 1 : 3 CIMENTO: AREIA - FORNECIMENTO E INSTALAÇÃO. AF_08/2021</t>
  </si>
  <si>
    <t xml:space="preserve"> 11.4.8 </t>
  </si>
  <si>
    <t xml:space="preserve"> 97961 </t>
  </si>
  <si>
    <t>CAIXA PARA BOCA DE LOBO COMBINADA COM GRELHA RETANGULAR, EM ALVENARIA COM BLOCOS DE CONCRETO, DIMENSÕES INTERNAS: 1,3X1X1,2 M. AF_12/2020</t>
  </si>
  <si>
    <t xml:space="preserve"> 12.1 </t>
  </si>
  <si>
    <t>INFRAESTRUTURA</t>
  </si>
  <si>
    <t xml:space="preserve"> 12.1.1 </t>
  </si>
  <si>
    <t>INFRAESTRUTURA INTERNA</t>
  </si>
  <si>
    <t xml:space="preserve"> 12.1.1.1 </t>
  </si>
  <si>
    <t xml:space="preserve"> UFF00096 (ADAPT_FDE: 09.62.012) </t>
  </si>
  <si>
    <t>ELETROCALHA PERFURADA,SEM TAMPA,TIPO "U",100X50MM, TRATAMENTO SUPERFICIAL PRE-ZINCADO A QUENTE. DESMONTAGEM E LIMPEZA</t>
  </si>
  <si>
    <t xml:space="preserve"> 12.1.1.2 </t>
  </si>
  <si>
    <t xml:space="preserve"> UFF00098 (ADAPT_FDE: 09.62.012) </t>
  </si>
  <si>
    <t>ELETROCALHA PERFURADA,SEM TAMPA,TIPO "U",150X50MM, TRATAMENTO SUPERFICIAL PRE-ZINCADO A QUENTE. DESMONTAGEM E LIMPEZA</t>
  </si>
  <si>
    <t xml:space="preserve"> 12.1.1.3 </t>
  </si>
  <si>
    <t xml:space="preserve"> UFF00100 (ADAPT_FDE: 09.62.012) </t>
  </si>
  <si>
    <t>ELETROCALHA PERFURADA,SEM TAMPA,TIPO "U",300X50MM,TRATAMENTOSUPERFICIAL PRE-ZINCADO A QUENTE. DESMONTAGEM E LIMPEZA</t>
  </si>
  <si>
    <t xml:space="preserve"> 12.1.1.4 </t>
  </si>
  <si>
    <t xml:space="preserve"> UFF00097 (ADAPT_EMOP: 15.018.0467-A) </t>
  </si>
  <si>
    <t>ELETROCALHA PERFURADA,SEM TAMPA,TIPO "U",100X50MM,TRATAMENTOSUPERFICIAL PRE-ZINCADO A QUENTE,INCLUSIVE CONEXOES,ACESSORIOS E FIXACAO SUPERIOR. COLOCACAO</t>
  </si>
  <si>
    <t xml:space="preserve"> 12.1.1.5 </t>
  </si>
  <si>
    <t xml:space="preserve"> UFF00099 (ADAPT_EMOP: 15.018.0468-A) </t>
  </si>
  <si>
    <t>ELETROCALHA PERFURADA,SEM TAMPA,TIPO "U",150X50MM,TRATAMENTOSUPERFICIAL PRE-ZINCADO A QUENTE,INCLUSIVE CONEXOES,ACESSORIOS E FIXACAO SUPERIOR. COLOCACAO</t>
  </si>
  <si>
    <t xml:space="preserve"> 12.1.1.6 </t>
  </si>
  <si>
    <t xml:space="preserve"> UFF00496 (ADAPT_EMOP: 15.018.0470-A) </t>
  </si>
  <si>
    <t>ELETROCALHA PERFURADA,SEM TAMPA,TIPO "U",300X50MM,TRATAMENTOSUPERFICIAL PRE-ZINCADO A QUENTE,INCLUSIVE CONEXOES, ACESSORIOS E FIXACAO SUPERIOR.COLOCAÇÃO</t>
  </si>
  <si>
    <t xml:space="preserve"> 12.1.1.7 </t>
  </si>
  <si>
    <t xml:space="preserve"> 063625 </t>
  </si>
  <si>
    <t>LEITOS - LEITO PARA CABOS TIPO MEDIO 300x100mm</t>
  </si>
  <si>
    <t xml:space="preserve"> 12.1.1.8 </t>
  </si>
  <si>
    <t xml:space="preserve"> 063626 </t>
  </si>
  <si>
    <t>LEITOS - LEITO PARA CABOS TIPO MEDIO 400x100mm</t>
  </si>
  <si>
    <t xml:space="preserve"> 12.1.1.9 </t>
  </si>
  <si>
    <t xml:space="preserve"> 063627 </t>
  </si>
  <si>
    <t>LEITOS - LEITO PARA CABOS TIPO MEDIO 500x100mm</t>
  </si>
  <si>
    <t xml:space="preserve"> 12.1.1.10 </t>
  </si>
  <si>
    <t xml:space="preserve"> UFF00580 (ADAPT_SBC:  063048) </t>
  </si>
  <si>
    <t>CURVA VERTICAL EXTERNA 90º PARA LEITO 500x100mm.FORNECIMENTO E COLOCACAO</t>
  </si>
  <si>
    <t xml:space="preserve"> 12.1.1.11 </t>
  </si>
  <si>
    <t xml:space="preserve"> 063698 </t>
  </si>
  <si>
    <t>LEITO - TE 90 TIPO MEDIO HORIZONTAL 500mm</t>
  </si>
  <si>
    <t xml:space="preserve"> 12.1.1.12 </t>
  </si>
  <si>
    <t xml:space="preserve"> UFF00581 (ADAPT_SBC:  063698) </t>
  </si>
  <si>
    <t>TE REDUÇÃO PARA LEITO 500 P/300x100mm.FORNECIMENTO E COLOCACAO</t>
  </si>
  <si>
    <t xml:space="preserve"> 12.1.1.13 </t>
  </si>
  <si>
    <t xml:space="preserve"> UFF00576 (ADAPT_SBC: 063449) </t>
  </si>
  <si>
    <t>JUNÇÃO SIMPLES PARA CONEXÃO DE LEITO METÁLICO C/ABA 100 MM, GALVANIZADA A FOGO, COM 8 PARAFUSOS, PORCAS E ARRUELAS DE PRESSÃO - FORNECIMENTO E INSTALAÇÃO</t>
  </si>
  <si>
    <t xml:space="preserve"> 12.1.1.14 </t>
  </si>
  <si>
    <t xml:space="preserve"> UFF00582 (ADAPT_SBC:  063752) </t>
  </si>
  <si>
    <t>FLANGE PARA LEITO P/PAINEL 500x100mm.FORNECIMENTO E COLOCACAO</t>
  </si>
  <si>
    <t xml:space="preserve"> 12.1.1.15 </t>
  </si>
  <si>
    <t xml:space="preserve"> UFF00583 (ADAPT_SBC:  063752) </t>
  </si>
  <si>
    <t>FLANGE PARA LEITO P/PAINEL 400x100mm.FORNECIMENTO E COLOCACAO</t>
  </si>
  <si>
    <t xml:space="preserve"> 12.1.1.16 </t>
  </si>
  <si>
    <t xml:space="preserve"> UFF00584 (ADAPT_SBC:  063752) </t>
  </si>
  <si>
    <t>FLANGE PARA LEITO P/PAINEL 300x100mm.FORNECIMENTO E COLOCACAO</t>
  </si>
  <si>
    <t xml:space="preserve"> 12.1.1.17 </t>
  </si>
  <si>
    <t xml:space="preserve"> UFF00578 (ADAPT_EMOP: 15.018.0741-A) </t>
  </si>
  <si>
    <t>CURVA REVERSÃO PARA LEITO 500x100mm. FORNECIMENTO E COLOCACAO</t>
  </si>
  <si>
    <t xml:space="preserve"> 12.1.1.18 </t>
  </si>
  <si>
    <t xml:space="preserve"> UFF00585 (ADAPT_EMOP:  15.018.0747-A) </t>
  </si>
  <si>
    <t>CURVA REVERSÃO PARA LEITO 400x100mm. FORNECIMENTO E COLOCACAO</t>
  </si>
  <si>
    <t xml:space="preserve"> 12.1.1.19 </t>
  </si>
  <si>
    <t xml:space="preserve"> UFF00586 (ADAPT_EMOP:  15.018.0746-A) </t>
  </si>
  <si>
    <t>CURVA REVERSÃO PARA LEITO 300x100mm. FORNECIMENTO E COLOCACAO</t>
  </si>
  <si>
    <t xml:space="preserve"> 12.1.1.20 </t>
  </si>
  <si>
    <t xml:space="preserve"> 063648 </t>
  </si>
  <si>
    <t>LEITO - CURVA 90 TIPO MEDIO HORIZONTAL 500mm</t>
  </si>
  <si>
    <t xml:space="preserve"> 12.1.1.21 </t>
  </si>
  <si>
    <t xml:space="preserve"> 063647 </t>
  </si>
  <si>
    <t>LEITO - CURVA 90 TIPO MEDIO HORIZONTAL 400mm</t>
  </si>
  <si>
    <t xml:space="preserve"> 12.1.1.22 </t>
  </si>
  <si>
    <t xml:space="preserve"> 063646 </t>
  </si>
  <si>
    <t>LEITO - CURVA 90 TIPO MEDIO HORIZONTAL 300mm</t>
  </si>
  <si>
    <t xml:space="preserve"> 12.1.1.23 </t>
  </si>
  <si>
    <t xml:space="preserve"> 063663 </t>
  </si>
  <si>
    <t>LEITO - CURVA 45 TIPO MEDIO HORIZONTAL 300mm</t>
  </si>
  <si>
    <t xml:space="preserve"> 12.1.1.24 </t>
  </si>
  <si>
    <t xml:space="preserve"> UFF00579 (ADAPT_EMOP: 15.018.0715-A) </t>
  </si>
  <si>
    <t>CURVA VERTICAL INTERNA PARA LEITO 90º 500x100mm.FORNECIMENTO E COLOCACAO</t>
  </si>
  <si>
    <t xml:space="preserve"> 12.1.1.25 </t>
  </si>
  <si>
    <t xml:space="preserve"> UFF00552 (ADAPT_SETOP: ED-19508) </t>
  </si>
  <si>
    <t>FIXAÇÃO DE LEITO HORIZONTAL COM LARGURA MAIOR QUE 200 MM E MENOR OU IGUAL A 500 MM EM LAJE, COM SUPORTE EM PERFILADO, INCLUSIVE PERFILADO, VERGALHÃO E ACESSÓRIOS, EXCLUSIVE LEITO</t>
  </si>
  <si>
    <t xml:space="preserve"> 12.1.1.26 </t>
  </si>
  <si>
    <t xml:space="preserve"> 078390 </t>
  </si>
  <si>
    <t>CHUMBADOR CB 3/8""x2.1/2""+ PARAFUSO</t>
  </si>
  <si>
    <t xml:space="preserve"> 12.1.1.27 </t>
  </si>
  <si>
    <t xml:space="preserve"> UFF00101 (ADAPT_EMOP: 15.018.0175-A) </t>
  </si>
  <si>
    <t>CANALETA PERFURADA ALTA(PERFILADOS),MEDINDO(38X38X6000)MM PRE-GALVANIZADA,INCLUSIVE SUPORTE E CONEXOES.DESMONTAGEM E LIMPEZA</t>
  </si>
  <si>
    <t xml:space="preserve"> 12.1.1.28 </t>
  </si>
  <si>
    <t xml:space="preserve"> UFF00102 (ADAPT_FDE: 09.62.012) </t>
  </si>
  <si>
    <t>CANALETA PERFURADA ALTA(PERFILADOS),MEDINDO(38X38X6000)MM PRE-GALVANIZADA,INCLUSIVE SUPORTE E CONEXOES. COLOCACAO</t>
  </si>
  <si>
    <t xml:space="preserve"> 12.1.1.29 </t>
  </si>
  <si>
    <t xml:space="preserve"> 15.034.0020-A </t>
  </si>
  <si>
    <t>ELETRODUTO DE FERRO GALVANIZADO,TIPO MEDIO,DIAMETRO DE 3/4", INCLUSIVE CONEXOES E EMENDAS,EXCLUSIVE ABERTURA E FECHAMENTO DE RASGO.FORNECIMENTO E ASSENTAMENTO</t>
  </si>
  <si>
    <t xml:space="preserve"> 12.1.1.30 </t>
  </si>
  <si>
    <t xml:space="preserve"> 15.034.0021-A </t>
  </si>
  <si>
    <t>ELETRODUTO DE FERRO GALVANIZADO,TIPO MEDIO,DIAMETRO DE 1",IN CLUSIVE CONEXOES E EMENDAS,EXCLUSIVE ABERTURA E FECHAMENTO D E RASGO.FORNECIMENTO E ASSENTAMENTO</t>
  </si>
  <si>
    <t xml:space="preserve"> 12.1.1.31 </t>
  </si>
  <si>
    <t xml:space="preserve"> 15.034.0023-A </t>
  </si>
  <si>
    <t>ELETRODUTO DE FERRO GALVANIZADO,TIPO MEDIO,DIAMETRO DE 1.1/2 ",INCLUSIVE CONEXOES E EMENDAS,EXCLUSIVE ABERTURA E FECHAMEN TO DE RASGO.FORNECIMENTO E ASSENTAMENTO</t>
  </si>
  <si>
    <t xml:space="preserve"> 12.1.1.32 </t>
  </si>
  <si>
    <t xml:space="preserve"> 15.034.0024-A </t>
  </si>
  <si>
    <t>ELETRODUTO DE FERRO GALVANIZADO,TIPO MEDIO,DIAMETRO DE 2",IN CLUSIVE CONEXOES E EMENDAS,EXCLUSIVE ABERTURA E FECHAMENTO D E RASGO.FORNECIMENTO E ASSENTAMENTO</t>
  </si>
  <si>
    <t xml:space="preserve"> 12.1.1.33 </t>
  </si>
  <si>
    <t xml:space="preserve"> 15.034.0027-A </t>
  </si>
  <si>
    <t>ELETRODUTO DE FERRO GALVANIZADO,TIPO MEDIO,DIAMETRO DE 4",IN CLUSIVE CONEXOES E EMENDAS,EXCLUSIVE ABERTURA E FECHAMENTO D E RASGO.FORNECIMENTO E ASSENTAMENTO</t>
  </si>
  <si>
    <t xml:space="preserve"> 12.1.1.34 </t>
  </si>
  <si>
    <t xml:space="preserve"> 061553 </t>
  </si>
  <si>
    <t>ELETRODUTO FLEXIVEL SEALTUBE 2""</t>
  </si>
  <si>
    <t xml:space="preserve"> 12.1.1.35 </t>
  </si>
  <si>
    <t xml:space="preserve"> UFF00531 (ADAPT_SBC: 061553) </t>
  </si>
  <si>
    <t>ELETRODUTO FLEXIVEL SEALTUBE 4""</t>
  </si>
  <si>
    <t xml:space="preserve"> 12.1.1.36 </t>
  </si>
  <si>
    <t xml:space="preserve"> UFF00532 (ADAPT_ORSE: 11303) </t>
  </si>
  <si>
    <t>Conector reto de aluminio para eletroduto de 2", para adaptar entrada de eletroduto metalico flexivel em quadros - fornecimento e instalação</t>
  </si>
  <si>
    <t xml:space="preserve"> 12.1.1.37 </t>
  </si>
  <si>
    <t xml:space="preserve"> UFF00533 (ADAPT_ORSE: 11303) </t>
  </si>
  <si>
    <t>Conector reto de aluminio para eletroduto de 4", para adaptar entrada de eletroduto metalico flexivel em quadros - fornecimento e instalação</t>
  </si>
  <si>
    <t xml:space="preserve"> 12.1.1.38 </t>
  </si>
  <si>
    <t xml:space="preserve"> 95778 </t>
  </si>
  <si>
    <t>CONDULETE DE ALUMÍNIO, TIPO C, PARA ELETRODUTO DE AÇO GALVANIZADO DN 20 MM (3/4''), APARENTE - FORNECIMENTO E INSTALAÇÃO. AF_10/2022</t>
  </si>
  <si>
    <t xml:space="preserve"> 12.1.1.39 </t>
  </si>
  <si>
    <t xml:space="preserve"> 95795 </t>
  </si>
  <si>
    <t>CONDULETE DE ALUMÍNIO, TIPO T, PARA ELETRODUTO DE AÇO GALVANIZADO DN 20 MM (3/4''), APARENTE - FORNECIMENTO E INSTALAÇÃO. AF_10/2022</t>
  </si>
  <si>
    <t xml:space="preserve"> 12.1.1.40 </t>
  </si>
  <si>
    <t xml:space="preserve"> 95787 </t>
  </si>
  <si>
    <t>CONDULETE DE ALUMÍNIO, TIPO LR, PARA ELETRODUTO DE AÇO GALVANIZADO DN 20 MM (3/4''), APARENTE - FORNECIMENTO E INSTALAÇÃO. AF_10/2022</t>
  </si>
  <si>
    <t xml:space="preserve"> 12.1.1.41 </t>
  </si>
  <si>
    <t xml:space="preserve"> 95789 </t>
  </si>
  <si>
    <t>CONDULETE DE ALUMÍNIO, TIPO LR, PARA ELETRODUTO DE AÇO GALVANIZADO DN 25 MM (1''), APARENTE - FORNECIMENTO E INSTALAÇÃO. AF_10/2022</t>
  </si>
  <si>
    <t xml:space="preserve"> 12.1.1.42 </t>
  </si>
  <si>
    <t xml:space="preserve"> 061880 </t>
  </si>
  <si>
    <t>CONDULETE ALUMINIO ""LR"" 2"" COM TAMPA</t>
  </si>
  <si>
    <t xml:space="preserve"> 12.1.1.43 </t>
  </si>
  <si>
    <t xml:space="preserve"> 061217 </t>
  </si>
  <si>
    <t>CONDULETE ALUMINIO ""LL"" 4"" COM TAMPA</t>
  </si>
  <si>
    <t xml:space="preserve"> 12.1.1.44 </t>
  </si>
  <si>
    <t xml:space="preserve"> 95782 </t>
  </si>
  <si>
    <t>CONDULETE DE ALUMÍNIO, TIPO E, ELETRODUTO DE AÇO GALVANIZADO DN 25 MM (1''), APARENTE - FORNECIMENTO E INSTALAÇÃO. AF_10/2022</t>
  </si>
  <si>
    <t xml:space="preserve"> 12.1.1.45 </t>
  </si>
  <si>
    <t xml:space="preserve"> UFF00571 (ADAPT_SINAPI: 104785) </t>
  </si>
  <si>
    <t>FIXAÇÃO DE ELETRODUTOS, DIÂMETRO DE 20 MM, COM ABRAÇADEIRA METÁLICA RÍGIDA TIPO D E CUNHA DE FIXAÇÃO.</t>
  </si>
  <si>
    <t xml:space="preserve"> 12.1.1.46 </t>
  </si>
  <si>
    <t xml:space="preserve"> UFF00572 (ADAPT_SINAPI: 104785) </t>
  </si>
  <si>
    <t>FIXAÇÃO DE ELETRODUTOS, DIÂMETRO DE 25 MM, COM ABRAÇADEIRA METÁLICA RÍGIDA TIPO D E CUNHA DE FIXAÇÃO.</t>
  </si>
  <si>
    <t xml:space="preserve"> 12.1.1.47 </t>
  </si>
  <si>
    <t xml:space="preserve"> UFF00573 (ADAPT_SINAPI: 104785) </t>
  </si>
  <si>
    <t>FIXAÇÃO DE ELETRODUTOS, DIÂMETRO DE 40 MM, COM ABRAÇADEIRA METÁLICA RÍGIDA TIPO D E CUNHA DE FIXAÇÃO.</t>
  </si>
  <si>
    <t xml:space="preserve"> 12.1.1.48 </t>
  </si>
  <si>
    <t xml:space="preserve"> UFF00574 (ADAPT_SINAPI: 104785) </t>
  </si>
  <si>
    <t>FIXAÇÃO DE ELETRODUTOS, DIÂMETRO DE 50 MM, COM ABRAÇADEIRA METÁLICA RÍGIDA TIPO D E CUNHA DE FIXAÇÃO.</t>
  </si>
  <si>
    <t xml:space="preserve"> 12.1.1.49 </t>
  </si>
  <si>
    <t xml:space="preserve"> UFF00575 (ADAPT_SINAPI: 104785) </t>
  </si>
  <si>
    <t>FIXAÇÃO DE ELETRODUTOS, DIÂMETRO DE 100 MM, COM ABRAÇADEIRA METÁLICA RÍGIDA TIPO D E CUNHA DE FIXAÇÃO.</t>
  </si>
  <si>
    <t xml:space="preserve"> 12.1.1.50 </t>
  </si>
  <si>
    <t xml:space="preserve"> 12.1.1.51 </t>
  </si>
  <si>
    <t xml:space="preserve"> 12.1.1.52 </t>
  </si>
  <si>
    <t xml:space="preserve"> 12.1.1.53 </t>
  </si>
  <si>
    <t xml:space="preserve"> UFF00115 (ADAPT_SINAPI: 104403) </t>
  </si>
  <si>
    <t>PORTA EQUIPAMENTOS PARA CANALETA DE ALUMINIO 90X35MM. FORNECIMENTO E COLOCAÇÃO.</t>
  </si>
  <si>
    <t xml:space="preserve"> 12.1.1.54 </t>
  </si>
  <si>
    <t xml:space="preserve"> 063452 </t>
  </si>
  <si>
    <t>CAIXA COM TOMADA 10A PARA PERFILADO 38x38mm</t>
  </si>
  <si>
    <t xml:space="preserve"> 12.1.2 </t>
  </si>
  <si>
    <t>INFRAESTRUTURA EXTERNA</t>
  </si>
  <si>
    <t xml:space="preserve"> 12.1.2.1 </t>
  </si>
  <si>
    <t xml:space="preserve"> 90100 </t>
  </si>
  <si>
    <t>ESCAVAÇÃO MECANIZADA DE VALA COM PROF. ATÉ 1,5 M (MÉDIA MONTANTE E JUSANTE/UMA COMPOSIÇÃO POR TRECHO), RETROESCAV. (0,26 M3), LARG. DE 0,8 M A 1,5 M, EM SOLO DE 1A CATEGORIA, EM LOCAIS COM ALTO NÍVEL DE INTERFERÊNCIA. AF_02/2021</t>
  </si>
  <si>
    <t xml:space="preserve"> 12.1.2.2 </t>
  </si>
  <si>
    <t xml:space="preserve"> 104734 </t>
  </si>
  <si>
    <t>REATERRO MECANIZADO DE VALA COM RETROESCAVADEIRA (CAPACIDADE   DA   CAÇAMBA   DA RETRO: 0,26 M³/POTÊNCIA: 88 HP), LARGURA DE 0,8 A 1,5 M, PROFUNDIDADE ATÉ 1,5 M, COM SOLO (SEM SUBSTITUIÇÃO) DE 1ª CATEGORIA, COM PLACA VIBRATÓRIA. AF_08/2023</t>
  </si>
  <si>
    <t xml:space="preserve"> 12.1.2.3 </t>
  </si>
  <si>
    <t xml:space="preserve"> 97670 </t>
  </si>
  <si>
    <t>ELETRODUTO FLEXÍVEL CORRUGADO, PEAD, DN 100 (4"), PARA REDE ENTERRADA DE DISTRIBUIÇÃO DE ENERGIA ELÉTRICA - FORNECIMENTO E INSTALAÇÃO. AF_12/2021</t>
  </si>
  <si>
    <t xml:space="preserve"> 12.1.2.4 </t>
  </si>
  <si>
    <t xml:space="preserve"> 06.069.0050-A </t>
  </si>
  <si>
    <t>DUTO ANELAR FLEXIVEL,NA COR CINZA CONCRETO,SINGELO,DE POLIET ILENO DE ALTA DENSIDADE(PEAD),PARA PROTECAO DE CONDUTORES EL ETRICOS,COM DIAMETRO NOMINAL DE 6",SENDO O DIAMETRO INTERNO DE 138,0MM,COM FIO GUIA DE ACO E FORNECIDO COM 2 PLUGUES(TAM POES)NAS EXTREMIDADES,LANCADO DIRETAMENTE NO SOLO,INCLUSIVE CONEXOES E KIT VEDACAO</t>
  </si>
  <si>
    <t xml:space="preserve"> 12.1.2.5 </t>
  </si>
  <si>
    <t xml:space="preserve"> UFF00530 (ADAPT_SBC: 061307) </t>
  </si>
  <si>
    <t>ENVELOPE CONCRETO 1:2:4 , PARA 2 ELETRODUTOS KANALEX 4""</t>
  </si>
  <si>
    <t xml:space="preserve"> 12.1.2.6 </t>
  </si>
  <si>
    <t xml:space="preserve"> UFF00553 (ADAPT_SBC: 061309) </t>
  </si>
  <si>
    <t>ENVELOPE CONCRETO 1:2:4 , PARA 12 ELETRODUTOS KANALEX 6""</t>
  </si>
  <si>
    <t xml:space="preserve"> 12.1.2.7 </t>
  </si>
  <si>
    <t xml:space="preserve"> UFF00566 (ADAPT_IOPES: 151017) </t>
  </si>
  <si>
    <t>CAIXA DE PASSAGEM DE ALVENARIA DE BLOCOS DE CONCRETO 9x19x39 CM, DIMENSÕES 80x80x80 CM, COM REVESTIMENTO INTERNO EM CHAPISCO E REBOCO, EXCLUSIVE TAMPA DE FERRO FUNDIDO PESADO DIAM. 60 CM, COM DRENO DE BRITA NO FUNDO.</t>
  </si>
  <si>
    <t xml:space="preserve"> 12.1.2.8 </t>
  </si>
  <si>
    <t xml:space="preserve"> UFF00105 (ADAPT_SCO: IP 24.46.0153) </t>
  </si>
  <si>
    <t>Caixa de passagem em alvenaria de bloco de concreto, dimensoes de (150x150x100)cm, exclusive tampao de ferro. Construcao.(desonerado)</t>
  </si>
  <si>
    <t xml:space="preserve"> 12.1.2.9 </t>
  </si>
  <si>
    <t xml:space="preserve"> UFF00270 (ADAPT_EMOP: 06.016.0100-A) </t>
  </si>
  <si>
    <t>TAMPA DE FERRO FUNDIDO ARTICULADA, TIPO MEIO PESADO, 600X600MM, COM CAIXILHO, COM INSCRIÇÃO "INSTALAÇÃO ELÉTRICA"</t>
  </si>
  <si>
    <t xml:space="preserve"> 12.2 </t>
  </si>
  <si>
    <t>CABOS ELÉTRICOS</t>
  </si>
  <si>
    <t xml:space="preserve"> 12.2.1 </t>
  </si>
  <si>
    <t xml:space="preserve"> 12.2.2 </t>
  </si>
  <si>
    <t xml:space="preserve"> 91928 </t>
  </si>
  <si>
    <t>CABO DE COBRE FLEXÍVEL ISOLADO, 4 MM², ANTI-CHAMA 450/750 V, PARA CIRCUITOS TERMINAIS - FORNECIMENTO E INSTALAÇÃO. AF_03/2023</t>
  </si>
  <si>
    <t xml:space="preserve"> 12.2.3 </t>
  </si>
  <si>
    <t xml:space="preserve"> 91930 </t>
  </si>
  <si>
    <t>CABO DE COBRE FLEXÍVEL ISOLADO, 6 MM², ANTI-CHAMA 450/750 V, PARA CIRCUITOS TERMINAIS - FORNECIMENTO E INSTALAÇÃO. AF_03/2023</t>
  </si>
  <si>
    <t xml:space="preserve"> 12.2.4 </t>
  </si>
  <si>
    <t xml:space="preserve"> 91933 </t>
  </si>
  <si>
    <t>CABO DE COBRE FLEXÍVEL ISOLADO, 10 MM², ANTI-CHAMA 0,6/1,0 KV, PARA CIRCUITOS TERMINAIS - FORNECIMENTO E INSTALAÇÃO. AF_03/2023</t>
  </si>
  <si>
    <t xml:space="preserve"> 12.2.5 </t>
  </si>
  <si>
    <t xml:space="preserve"> 91935 </t>
  </si>
  <si>
    <t>CABO DE COBRE FLEXÍVEL ISOLADO, 16 MM², ANTI-CHAMA 0,6/1,0 KV, PARA CIRCUITOS TERMINAIS - FORNECIMENTO E INSTALAÇÃO. AF_03/2023</t>
  </si>
  <si>
    <t xml:space="preserve"> 12.2.6 </t>
  </si>
  <si>
    <t xml:space="preserve"> 92984 </t>
  </si>
  <si>
    <t>CABO DE COBRE FLEXÍVEL ISOLADO, 25 MM², ANTI-CHAMA 0,6/1,0 KV, PARA REDE ENTERRADA DE DISTRIBUIÇÃO DE ENERGIA ELÉTRICA - FORNECIMENTO E INSTALAÇÃO. AF_12/2021</t>
  </si>
  <si>
    <t xml:space="preserve"> 12.2.7 </t>
  </si>
  <si>
    <t xml:space="preserve"> 92986 </t>
  </si>
  <si>
    <t>CABO DE COBRE FLEXÍVEL ISOLADO, 35 MM², ANTI-CHAMA 0,6/1,0 KV, PARA REDE ENTERRADA DE DISTRIBUIÇÃO DE ENERGIA ELÉTRICA - FORNECIMENTO E INSTALAÇÃO. AF_12/2021</t>
  </si>
  <si>
    <t xml:space="preserve"> 12.2.8 </t>
  </si>
  <si>
    <t xml:space="preserve"> 92988 </t>
  </si>
  <si>
    <t>CABO DE COBRE FLEXÍVEL ISOLADO, 50 MM², ANTI-CHAMA 0,6/1,0 KV, PARA REDE ENTERRADA DE DISTRIBUIÇÃO DE ENERGIA ELÉTRICA - FORNECIMENTO E INSTALAÇÃO. AF_12/2021</t>
  </si>
  <si>
    <t xml:space="preserve"> 12.2.9 </t>
  </si>
  <si>
    <t xml:space="preserve"> 92990 </t>
  </si>
  <si>
    <t>CABO DE COBRE FLEXÍVEL ISOLADO, 70 MM², ANTI-CHAMA 0,6/1,0 KV, PARA REDE ENTERRADA DE DISTRIBUIÇÃO DE ENERGIA ELÉTRICA - FORNECIMENTO E INSTALAÇÃO. AF_12/2021</t>
  </si>
  <si>
    <t xml:space="preserve"> 12.2.10 </t>
  </si>
  <si>
    <t xml:space="preserve"> 92992 </t>
  </si>
  <si>
    <t>CABO DE COBRE FLEXÍVEL ISOLADO, 95 MM², ANTI-CHAMA 0,6/1,0 KV, PARA REDE ENTERRADA DE DISTRIBUIÇÃO DE ENERGIA ELÉTRICA - FORNECIMENTO E INSTALAÇÃO. AF_12/2021</t>
  </si>
  <si>
    <t xml:space="preserve"> 12.2.11 </t>
  </si>
  <si>
    <t xml:space="preserve"> 92994 </t>
  </si>
  <si>
    <t>CABO DE COBRE FLEXÍVEL ISOLADO, 120 MM², ANTI-CHAMA 0,6/1,0 KV, PARA REDE ENTERRADA DE DISTRIBUIÇÃO DE ENERGIA ELÉTRICA - FORNECIMENTO E INSTALAÇÃO. AF_12/2021</t>
  </si>
  <si>
    <t xml:space="preserve"> 12.2.12 </t>
  </si>
  <si>
    <t xml:space="preserve"> 93002 </t>
  </si>
  <si>
    <t>CABO DE COBRE FLEXÍVEL ISOLADO, 300 MM², ANTI-CHAMA 0,6/1,0 KV, PARA REDE ENTERRADA DE DISTRIBUIÇÃO DE ENERGIA ELÉTRICA - FORNECIMENTO E INSTALAÇÃO. AF_12/2021</t>
  </si>
  <si>
    <t xml:space="preserve"> 12.2.13 </t>
  </si>
  <si>
    <t xml:space="preserve"> UFF00549 </t>
  </si>
  <si>
    <t>BARRAMENTO BLINDADO DE ALUMÍNIO 400A (512 X 136 X 3000), INCLUSIVE QUADRO ELÉTRICO/CAIXA DE CABOS 400A (1,4 X 0,8 X 0,25), SEM PROTEÇÃO. FORNECIMENTO E INSTALAÇÃO.</t>
  </si>
  <si>
    <t xml:space="preserve"> 12.3 </t>
  </si>
  <si>
    <t>AUTOMAÇÃO</t>
  </si>
  <si>
    <t xml:space="preserve"> 12.3.1 </t>
  </si>
  <si>
    <t xml:space="preserve"> 15.018.0467-A </t>
  </si>
  <si>
    <t>ELETROCALHA PERFURADA,SEM TAMPA,TIPO "U",100X50MM,TRATAMENTO SUPERFICIAL PRE-ZINCADO A QUENTE,INCLUSIVE CONEXOES,ACESSOR IOS E FIXACAO SUPERIOR.FORNECIMENTO E COLOCACAO</t>
  </si>
  <si>
    <t xml:space="preserve"> 12.3.2 </t>
  </si>
  <si>
    <t xml:space="preserve"> 15.018.0750-A </t>
  </si>
  <si>
    <t>TE HORIZONTAL,90º,PARA ELETROCALHA PERFURADA OU LISA,100X50M M.FORNECIMENTO E COLOCACAO</t>
  </si>
  <si>
    <t xml:space="preserve"> 12.3.3 </t>
  </si>
  <si>
    <t xml:space="preserve"> 15.018.0610-A </t>
  </si>
  <si>
    <t>CURVA HORIZONTAL,90º,PARA ELETROCALHA PERFURADA OU LISA,100X 50MM.FORNECIMENTO E COLOCACAO</t>
  </si>
  <si>
    <t xml:space="preserve"> 12.3.4 </t>
  </si>
  <si>
    <t xml:space="preserve"> 15.018.0850-A </t>
  </si>
  <si>
    <t>CRUZETA RETA,PARA ELETROCALHA PERFURADA OU LISA,100X50MM.FOR NECIMENTO E COLOCACAO</t>
  </si>
  <si>
    <t xml:space="preserve"> 12.3.5 </t>
  </si>
  <si>
    <t xml:space="preserve"> 15.018.0730-A </t>
  </si>
  <si>
    <t>CURVA DE INVERSAO,90º,PARA ELETROCALHA PERFURADA OU LISA,100 X50MM.FORNECIMENTO E COLOCACAO</t>
  </si>
  <si>
    <t xml:space="preserve"> 12.3.6 </t>
  </si>
  <si>
    <t xml:space="preserve"> 063747 </t>
  </si>
  <si>
    <t>EMENDA INTERNA PARA ELETROCALHA 50x50</t>
  </si>
  <si>
    <t xml:space="preserve"> 12.3.7 </t>
  </si>
  <si>
    <t xml:space="preserve"> 12.3.8 </t>
  </si>
  <si>
    <t xml:space="preserve"> 12.3.9 </t>
  </si>
  <si>
    <t xml:space="preserve"> 12.3.10 </t>
  </si>
  <si>
    <t xml:space="preserve"> 12.3.11 </t>
  </si>
  <si>
    <t xml:space="preserve"> UFF00350 (ADAPT_SINAPI: 95797) </t>
  </si>
  <si>
    <t>CONDULETE DE ALUMÍNIO, TIPO T, PARA ELETRODUTO DE AÇO GALVANIZADO DN 40 MM (11/2'), APARENTE - FORNECIMENTO E INSTALAÇÃO. AF_10/2022</t>
  </si>
  <si>
    <t xml:space="preserve"> 12.3.12 </t>
  </si>
  <si>
    <t xml:space="preserve"> 12.3.13 </t>
  </si>
  <si>
    <t xml:space="preserve"> UFF00351 (ADAPT_SINAPI: 95791) </t>
  </si>
  <si>
    <t>CONDULETE DE ALUMÍNIO, TIPO LR, PARA ELETRODUTO DE AÇO GALVANIZADO DN 40 MM (11/2''), APARENTE - FORNECIMENTO E INSTALAÇÃO. AF_10/2022</t>
  </si>
  <si>
    <t xml:space="preserve"> 12.3.14 </t>
  </si>
  <si>
    <t xml:space="preserve"> 95779 </t>
  </si>
  <si>
    <t>CONDULETE DE ALUMÍNIO, TIPO E, PARA ELETRODUTO DE AÇO GALVANIZADO DN 20 MM (3/4''), APARENTE - FORNECIMENTO E INSTALAÇÃO. AF_10/2022</t>
  </si>
  <si>
    <t xml:space="preserve"> 12.3.15 </t>
  </si>
  <si>
    <t xml:space="preserve"> 12.3.16 </t>
  </si>
  <si>
    <t xml:space="preserve"> 12.3.17 </t>
  </si>
  <si>
    <t xml:space="preserve"> 12.3.18 </t>
  </si>
  <si>
    <t xml:space="preserve"> 12.3.19 </t>
  </si>
  <si>
    <t xml:space="preserve"> 12.3.20 </t>
  </si>
  <si>
    <t xml:space="preserve"> UFF00567 (ADAPT_AGETOP CIVIL: 070421) </t>
  </si>
  <si>
    <t>BUCHA E ARRUELA METALICA DIAM. 3/4"</t>
  </si>
  <si>
    <t xml:space="preserve"> 12.3.21 </t>
  </si>
  <si>
    <t xml:space="preserve"> UFF00569 (ADAPT_AGETOP CIVIL: 070424) </t>
  </si>
  <si>
    <t>BUCHA E ARRUELA METALICA DIAM. 1.1/2"</t>
  </si>
  <si>
    <t xml:space="preserve"> 12.3.22 </t>
  </si>
  <si>
    <t xml:space="preserve"> 97668 </t>
  </si>
  <si>
    <t>ELETRODUTO FLEXÍVEL CORRUGADO, PEAD, DN 63 (2"), PARA REDE ENTERRADA DE DISTRIBUIÇÃO DE ENERGIA ELÉTRICA - FORNECIMENTO E INSTALAÇÃO. AF_12/2021</t>
  </si>
  <si>
    <t xml:space="preserve"> 12.3.23 </t>
  </si>
  <si>
    <t xml:space="preserve"> 061307 </t>
  </si>
  <si>
    <t>ENVELOPE CONCRETO 1:2:4 P/2 ELETRODUTOS KANALEX 2""</t>
  </si>
  <si>
    <t xml:space="preserve"> 12.3.24 </t>
  </si>
  <si>
    <t xml:space="preserve"> UFF00565 (ADAPT_IOPES: 151017) </t>
  </si>
  <si>
    <t>CAIXA DE PASSAGEM DE ALVENARIA DE BLOCOS DE CONCRETO 9x19x39 CM, DIMENSÕES 60x60x60 CM, COM REVESTIMENTO INTERNO EM CHAPISCO E RECOBO, TAMPA DE FERRO FUNDIDO PESADO DIAM. 60 CM, COM DRENO DE BRITA NO FUNDO.</t>
  </si>
  <si>
    <t xml:space="preserve"> 12.3.25 </t>
  </si>
  <si>
    <t xml:space="preserve"> 063300 </t>
  </si>
  <si>
    <t>CABO PP 2 CONDUTORES 500V 1,0mm2</t>
  </si>
  <si>
    <t xml:space="preserve"> 12.3.26 </t>
  </si>
  <si>
    <t xml:space="preserve"> UFF00537 (ADAPT_ORSE: 11679) </t>
  </si>
  <si>
    <t>CABO PP 4 CONDUTORES 1,0 mm2, 450/750v - FORNECIMENTO E INSTALAÇÃO.</t>
  </si>
  <si>
    <t xml:space="preserve"> 12.3.27 </t>
  </si>
  <si>
    <t xml:space="preserve"> UFF00538 (ADAPT_ORSE: 11679) </t>
  </si>
  <si>
    <t>CABO PP 8 CONDUTORES 1,0 mm2, 450/750v - FORNECIMENTO E INSTALAÇÃO.</t>
  </si>
  <si>
    <t xml:space="preserve"> 12.3.28 </t>
  </si>
  <si>
    <t xml:space="preserve"> UFF00539 (ADAPT_ORSE: 11679) </t>
  </si>
  <si>
    <t>CABO PP 8 CONDUTORES 1,5 mm2, 450/750v - FORNECIMENTO E INSTALAÇÃO.</t>
  </si>
  <si>
    <t xml:space="preserve"> 12.3.29 </t>
  </si>
  <si>
    <t xml:space="preserve"> UFF00540 (ADAPT_AGETOP CIVIL: 070626) </t>
  </si>
  <si>
    <t>CABO UTP-4P, CAT. 6 , 24 AWG</t>
  </si>
  <si>
    <t xml:space="preserve"> 12.3.30 </t>
  </si>
  <si>
    <t xml:space="preserve"> UFF00497 (ADAPT_SBC: 059332) </t>
  </si>
  <si>
    <t>Switch industrial, cat. 6, 8 portas, 1 x gigabit. FORNECIMENTO E INSTALAÇÃO.</t>
  </si>
  <si>
    <t xml:space="preserve"> 12.3.31 </t>
  </si>
  <si>
    <t xml:space="preserve"> UFF00442 (ADAPT_SINAPI:91927) </t>
  </si>
  <si>
    <t>CABO DE INSTRUMENTAÇÃO 2X#1,0MM²</t>
  </si>
  <si>
    <t xml:space="preserve"> 12.3.32 </t>
  </si>
  <si>
    <t xml:space="preserve"> UFF00443 (ADAPT_SINAPI:91927) </t>
  </si>
  <si>
    <t>CABO DE COMUNICAÇÃO RS485 2x24AWG</t>
  </si>
  <si>
    <t xml:space="preserve"> 12.3.33 </t>
  </si>
  <si>
    <t xml:space="preserve"> UFF00444 (ADAPT_EMOP:15.029.0200-A) </t>
  </si>
  <si>
    <t>ATUADOR PARA VÁLVULA DE GAVETA DN=4" MOTORIZADA PROPORCIONAL</t>
  </si>
  <si>
    <t xml:space="preserve"> 12.3.34 </t>
  </si>
  <si>
    <t xml:space="preserve"> UFF00445 (ADAPT_EMOP:15.029.0200-A) </t>
  </si>
  <si>
    <t>ATUADOR ON/OFF E FLOATING DE 20NM PARA VÁLVULAS DE CONTROLE 100/240Vac</t>
  </si>
  <si>
    <t xml:space="preserve"> 12.3.35 </t>
  </si>
  <si>
    <t xml:space="preserve"> 15.029.0202-A </t>
  </si>
  <si>
    <t>VALVULA DE DUAS VIAS COM ATUADOR ON/OFF,220V,DE 3/4".FORNECI MENTO E COLOCACAO</t>
  </si>
  <si>
    <t xml:space="preserve"> 12.3.36 </t>
  </si>
  <si>
    <t xml:space="preserve"> UFF00446 (ADAPT_CPOS: 61.15.170) </t>
  </si>
  <si>
    <t>TRANSMISSOR DIFERENCIAL DE PRESSÃO PARA ÁGUA GELADA</t>
  </si>
  <si>
    <t xml:space="preserve"> 12.3.37 </t>
  </si>
  <si>
    <t xml:space="preserve"> UFF00447 (ADAPT_CPOS: 61.15.170) </t>
  </si>
  <si>
    <t>TRANSMISSOR DE PRESSÃO PARA ÁGUA GELADA</t>
  </si>
  <si>
    <t xml:space="preserve"> 12.3.38 </t>
  </si>
  <si>
    <t xml:space="preserve"> UFF00448 (ADAPT_CPOS: 61.15.170) </t>
  </si>
  <si>
    <t>MEDIDOR DE VAZÃO PARA ÁGUA GELADA DN=6"</t>
  </si>
  <si>
    <t xml:space="preserve"> 12.3.39 </t>
  </si>
  <si>
    <t xml:space="preserve"> UFF00449 (ADAPT_CPOS: 61.15.170) </t>
  </si>
  <si>
    <t>TRANSMISSOR DIFERENCIAL DE PRESSÃO PARA DUTO</t>
  </si>
  <si>
    <t xml:space="preserve"> 12.3.40 </t>
  </si>
  <si>
    <t xml:space="preserve"> UFF00450 (ADAPT_CPOS: 61.15.174) </t>
  </si>
  <si>
    <t>TRANSMISSOR DE TEMPERATURA PARA DUTO DE AR CONDICIONADO</t>
  </si>
  <si>
    <t xml:space="preserve"> 12.3.41 </t>
  </si>
  <si>
    <t xml:space="preserve"> UFF00451 (ADAPT_CPOS: 61.15.174) </t>
  </si>
  <si>
    <t>TRANSMISSOR DE TEMPERATURA PARA AMBIENTE</t>
  </si>
  <si>
    <t xml:space="preserve"> 12.3.42 </t>
  </si>
  <si>
    <t xml:space="preserve"> UFF00452 (ADAPT_CPOS: 61.15.174) </t>
  </si>
  <si>
    <t>TRANSMISSOR DE UMIDADE PARA AMBIENTE</t>
  </si>
  <si>
    <t xml:space="preserve"> 12.3.43 </t>
  </si>
  <si>
    <t xml:space="preserve"> UFF00453 (ADAPT_SBC: 70127) </t>
  </si>
  <si>
    <t>TERMOSTATO DE SEGURANÇA</t>
  </si>
  <si>
    <t xml:space="preserve"> 12.3.44 </t>
  </si>
  <si>
    <t xml:space="preserve"> UFF00454 (ADAPT_SBC: 70634) </t>
  </si>
  <si>
    <t>CHAVE DE FLUXO DE AR TUPO PALHETA PARA DUTO DE AR CONDICIONADO</t>
  </si>
  <si>
    <t xml:space="preserve"> 12.3.45 </t>
  </si>
  <si>
    <t xml:space="preserve"> UFF00455 (ADAPT_CPOS: 61.15.181) </t>
  </si>
  <si>
    <t>CONTROLADOR LOGICO PROGRAMAVEL M241 24IO OU SIMILAR TÉCNICO COM TODOS OS ACESSÓRIOS NECESSÁRIOS</t>
  </si>
  <si>
    <t xml:space="preserve"> 12.3.46 </t>
  </si>
  <si>
    <t xml:space="preserve"> UFF00456 (ADAPT_CPOS: 61.15.191) </t>
  </si>
  <si>
    <t>MÓDULO DE SAÍDAS ANALÓGICAS 4 SAÍDAS 12BITS 24 VDC TENSÃO E CORRENTE TERMINAL PARAFUSO OU SIMILAR TÉCNICO</t>
  </si>
  <si>
    <t xml:space="preserve"> 12.3.47 </t>
  </si>
  <si>
    <t xml:space="preserve"> UFF00457 (ADAPT_CPOS: 61.15.201) </t>
  </si>
  <si>
    <t>MODULO X80 - 16 SAIDAS DIGITAIS A RELE - 2A - CONECT BORNE OU SIMILAR TÉCNICO</t>
  </si>
  <si>
    <t xml:space="preserve"> 12.3.48 </t>
  </si>
  <si>
    <t xml:space="preserve"> UFF00458 (ADAPT_CPOS: 61.15.196) </t>
  </si>
  <si>
    <t>MODULO DE EXPANSAO TM3 2 ENTRADAS ANALOGICAS ALTA RESISTENCIA OU SIMILAR TÉCNICO</t>
  </si>
  <si>
    <t xml:space="preserve"> 12.3.49 </t>
  </si>
  <si>
    <t xml:space="preserve"> UFF00459 (ADAPT_CPOS: 61.15.181) </t>
  </si>
  <si>
    <t>CONTROLLER M251 ETHERNET PROC. UNIT OU SIMILAR TÉCNICO</t>
  </si>
  <si>
    <t xml:space="preserve"> 12.3.50 </t>
  </si>
  <si>
    <t xml:space="preserve"> UFF00460 (ADAPT_CPOS: 61.15.201) </t>
  </si>
  <si>
    <t>MODULO X80 - COMUNICACAO COM 2 PORTAS RS OU SIMILAR TÉCNICO</t>
  </si>
  <si>
    <t xml:space="preserve"> 12.3.51 </t>
  </si>
  <si>
    <t xml:space="preserve"> UFF00461 (ADAPT_SINAPI: 100555) </t>
  </si>
  <si>
    <t>RACK PARA CONTROLADOR M580 - 12 SLOTS OU SIMILAR TÉCNICO</t>
  </si>
  <si>
    <t xml:space="preserve"> 12.3.52 </t>
  </si>
  <si>
    <t xml:space="preserve"> UFF00462 (ADAPT_AGETOP: 070706) </t>
  </si>
  <si>
    <t>Quadro Comando Sobrepor Aço Carbono Bege Ral 7032 1200 mm 800 mm 250 mm Comando Flange Inferior CE1208025 CEMAR OU SIMILAR TÉCNICO</t>
  </si>
  <si>
    <t xml:space="preserve"> 12.4 </t>
  </si>
  <si>
    <t>QUADROS E PAINEIS</t>
  </si>
  <si>
    <t xml:space="preserve"> 12.4.1 </t>
  </si>
  <si>
    <t xml:space="preserve"> UFF00123 (ADAPT_EMOP:15.007.0435-A) </t>
  </si>
  <si>
    <t>QUADRO DE DISTRIBUIÇÃO DE SOBREPOR CDS-5.1, EM CAIXA EM CHAPA DE AÇO, COM TRATAMENTO ANTI-CORROSIVO, COM PINTURA ELETROSTÁTICA EM EPÓXI-PÓ CORRUGADO, NA COR CINZA RAL, PORTA COM FECHO ESCAMOTEAVEL CREMONA YALE COM LINGUETA, COM BARRAMENTO TRIFÁSICO+NEUTRO+ TERRA MONTADO SOBRE PLACA DE MONTAGEM, CORRENTE NOMINAL 150A, CORRENTE DE CURTO CIRCUITO DE 20kA, CONFORME DIAGRAMA TRIFILAR E MEMORIAL DESCRITIVO, COMPLETO. FORNECIMENTO E INSTALAÇÃO.</t>
  </si>
  <si>
    <t xml:space="preserve">16.082,86 
 (BDI 16,12%) </t>
  </si>
  <si>
    <t xml:space="preserve"> 12.4.2 </t>
  </si>
  <si>
    <t xml:space="preserve"> UFF00124 (ADAPT_EMOP:15.007.0435-A) </t>
  </si>
  <si>
    <t>QUADRO DE DISTRIBUIÇÃO DE SOBREPOR CDE-5.1, EM CAIXA EM CHAPA DE AÇO, COM TRATAMENTO ANTI-CORROSIVO, COM PINTURA ELETROSTÁTICA EM EPÓXI-PÓ CORRUGADO, NA COR CINZA RAL, PORTA COM FECHO ESCAMOTEAVEL CREMONA YALE COM LINGUETA, COM BARRAMENTO TRIFÁSICO+NEUTRO+ TERRA MONTADO SOBRE PLACA DE MONTAGEM, CORRENTE NOMINAL 150A, CORRENTE DE CURTO CIRCUITO DE 20kA, CONFORME DIAGRAMA TRIFILAR E MEMORIAL DESCRITIVO, CONTENDO, COMPLETO. FORNECIMENTO E INSTALAÇÃO.</t>
  </si>
  <si>
    <t xml:space="preserve">13.060,96 
 (BDI 16,12%) </t>
  </si>
  <si>
    <t xml:space="preserve"> 12.4.3 </t>
  </si>
  <si>
    <t xml:space="preserve"> UFF00125 (ADAPT_EMOP:15.007.0430-A) </t>
  </si>
  <si>
    <t>QUADRO DE DISTRIBUIÇÃO DE SOBREPOR CDAC-5.1, EM CAIXA EM CHAPA DE AÇO, COM TRATAMENTO ANTI-CORROSIVO, COM PINTURA ELETROSTÁTICA EM EPÓXI-PÓ CORRUGADO, NA COR CINZA RAL, PORTA COM FECHO ESCAMOTEAVEL CREMONA YALE COM LINGUETA, COM BARRAMENTO TRIFÁSICO+NEUTRO+ TERRA MONTADO SOBRE PLACA DE MONTAGEM, CORRENTE NOMINAL 80A, CORRENTE DE CURTO CIRCUITO DE 20kA, CONFORME DIAGRAMA TRIFILAR E MEMORIAL DESCRITIVO, COMPLETO. FORNECIMENTO E INSTALAÇÃO.</t>
  </si>
  <si>
    <t xml:space="preserve">9.416,92 
 (BDI 16,12%) </t>
  </si>
  <si>
    <t xml:space="preserve"> 12.4.4 </t>
  </si>
  <si>
    <t xml:space="preserve"> UFF00126 (ADAPT_EMOP:15.007.0430-A) </t>
  </si>
  <si>
    <t>QUADRO DE DISTRIBUIÇÃO DE SOBREPOR CDS-5.2, EM CAIXA EM CHAPA DE AÇO, COM TRATAMENTO ANTI-CORROSIVO, COM PINTURA ELETROSTÁTICA EM EPÓXI-PÓ CORRUGADO, NA COR CINZA RAL, PORTA COM FECHO ESCAMOTEAVEL CREMONA YALE COM LINGUETA, COM BARRAMENTO TRIFÁSICO+NEUTRO+ TERRA MONTADO SOBRE PLACA DE MONTAGEM, CORRENTE NOMINAL 125A, CORRENTE DE CURTO CIRCUITO DE 20kA, CONFORME DIAGRAMA TRIFILAR E MEMORIAL DESCRITIVO, COMPLETO. FORNECIMENTO E INSTALAÇÃO.</t>
  </si>
  <si>
    <t xml:space="preserve">18.014,68 
 (BDI 16,12%) </t>
  </si>
  <si>
    <t xml:space="preserve"> 12.4.5 </t>
  </si>
  <si>
    <t xml:space="preserve"> UFF00127 (ADAPT_EMOP:15.007.0430-A) </t>
  </si>
  <si>
    <t>QUADRO DE DISTRIBUIÇÃO DE SOBREPOR CDE-5.2, EM CAIXA EM CHAPA DE AÇO, COM TRATAMENTO ANTI-CORROSIVO, COM PINTURA ELETROSTÁTICA EM EPÓXI-PÓ CORRUGADO, NA COR CINZA RAL, PORTA COM FECHO ESCAMOTEAVEL CREMONA YALE COM LINGUETA, COM BARRAMENTO TRIFÁSICO+NEUTRO+ TERRA MONTADO SOBRE PLACA DE MONTAGEM, CORRENTE NOMINAL 125A, CORRENTE DE CURTO CIRCUITO DE 20kA, CONFORME DIAGRAMA TRIFILAR E MEMORIAL DESCRITIVO, COMPLETO. FORNECIMENTO E INSTALAÇÃO.</t>
  </si>
  <si>
    <t xml:space="preserve">12.866,22 
 (BDI 16,12%) </t>
  </si>
  <si>
    <t xml:space="preserve"> 12.4.6 </t>
  </si>
  <si>
    <t xml:space="preserve"> UFF00128 (ADAPT_EMOP:15.007.0430-A) </t>
  </si>
  <si>
    <t>QUADRO DE DISTRIBUIÇÃO DE SOBREPOR CDAC-5.2, EM CAIXA EM CHAPA DE AÇO, COM TRATAMENTO ANTI-CORROSIVO, COM PINTURA ELETROSTÁTICA EM EPÓXI-PÓ CORRUGADO, NA COR CINZA RAL, PORTA COM FECHO ESCAMOTEAVEL CREMONA YALE COM LINGUETA, COM BARRAMENTO TRIFÁSICO+NEUTRO+ TERRA MONTADO SOBRE PLACA DE MONTAGEM, CORRENTE NOMINAL 125A, CORRENTE DE CURTO CIRCUITO DE 20kA, CONFORME DIAGRAMA TRIFILAR E MEMORIAL DESCRITIVO, COMPLETO. FORNECIMENTO E INSTALAÇÃO.</t>
  </si>
  <si>
    <t xml:space="preserve">9.394,70 
 (BDI 16,12%) </t>
  </si>
  <si>
    <t xml:space="preserve"> 12.4.7 </t>
  </si>
  <si>
    <t xml:space="preserve"> UFF00129 (ADAPT_EMOP:15.007.0430-A) </t>
  </si>
  <si>
    <t>QUADRO DE DISTRIBUIÇÃO DE SOBREPOR CDE-5, EM CAIXA EM CHAPA DE AÇO, COM TRATAMENTO ANTI-CORROSIVO, COM PINTURA ELETROSTÁTICA EM EPÓXI-PÓ CORRUGADO, NA COR CINZA RAL, PORTA COM FECHO ESCAMOTEAVEL CREMONA YALE COM LINGUETA, COM BARRAMENTO TRIFÁSICO+NEUTRO+ TERRA MONTADO SOBRE PLACA DE MONTAGEM, CORRENTE NOMINAL 125A, CORRENTE DE CURTO CIRCUITO DE 20kA, CONFORME DIAGRAMA TRIFILAR E MEMORIAL DESCRITIVO, COMPLETO. FORNECIMENTO E INSTALAÇÃO.</t>
  </si>
  <si>
    <t xml:space="preserve">23.599,69 
 (BDI 16,12%) </t>
  </si>
  <si>
    <t xml:space="preserve"> 12.4.8 </t>
  </si>
  <si>
    <t xml:space="preserve"> UFF00130 (ADAPT_EMOP:15.007.0435-A) </t>
  </si>
  <si>
    <t>QUADRO DE DISTRIBUIÇÃO DE SOBREPOR CDS-4.1, EM CAIXA EM CHAPA DE AÇO, COM TRATAMENTO ANTI-CORROSIVO, COM PINTURA ELETROSTÁTICA EM EPÓXI-PÓ CORRUGADO, NA COR CINZA RAL, PORTA COM FECHO ESCAMOTEAVEL CREMONA YALE COM LINGUETA, COM BARRAMENTO TRIFÁSICO+NEUTRO+ TERRA MONTADO SOBRE PLACA DE MONTAGEM, CORRENTE NOMINAL 150A, CORRENTE DE CURTO CIRCUITO DE 20kA, CONFORME DIAGRAMA TRIFILAR E MEMORIAL DESCRITIVO, COMPLETO. FORNECIMENTO E INSTALAÇÃO.</t>
  </si>
  <si>
    <t xml:space="preserve">16.566,46 
 (BDI 16,12%) </t>
  </si>
  <si>
    <t xml:space="preserve"> 12.4.9 </t>
  </si>
  <si>
    <t xml:space="preserve"> UFF00131 (ADAPT_EMOP:15.007.0435-A) </t>
  </si>
  <si>
    <t>QUADRO DE DISTRIBUIÇÃO DE SOBREPOR CDE-4.1, EM CAIXA EM CHAPA DE AÇO, COM TRATAMENTO ANTI-CORROSIVO, COM PINTURA ELETROSTÁTICA EM EPÓXI-PÓ CORRUGADO, NA COR CINZA RAL, PORTA COM FECHO ESCAMOTEAVEL CREMONA YALE COM LINGUETA, COM BARRAMENTO TRIFÁSICO+NEUTRO+ TERRA MONTADO SOBRE PLACA DE MONTAGEM, CORRENTE NOMINAL 150A, CORRENTE DE CURTO CIRCUITO DE 20kA, CONFORME DIAGRAMA TRIFILAR E MEMORIAL DESCRITIVO, COMPLETO. FORNECIMENTO E INSTALAÇÃO.</t>
  </si>
  <si>
    <t xml:space="preserve">12.091,14 
 (BDI 16,12%) </t>
  </si>
  <si>
    <t xml:space="preserve"> 12.4.10 </t>
  </si>
  <si>
    <t xml:space="preserve"> UFF00132 (ADAPT_EMOP:15.007.0430-A) </t>
  </si>
  <si>
    <t>QUADRO DE DISTRIBUIÇÃO DE SOBREPOR CDAC-4.1, EM CAIXA EM CHAPA DE AÇO, COM TRATAMENTO ANTI-CORROSIVO, COM PINTURA ELETROSTÁTICA EM EPÓXI-PÓ CORRUGADO, NA COR CINZA RAL, PORTA COM FECHO ESCAMOTEAVEL CREMONA YALE COM LINGUETA, COM BARRAMENTO TRIFÁSICO+NEUTRO+ TERRA MONTADO SOBRE PLACA DE MONTAGEM, CORRENTE NOMINAL 80A, CORRENTE DE CURTO CIRCUITO DE 20kA, CONFORME DIAGRAMA TRIFILAR E MEMORIAL DESCRITIVO, COMPLETO. FORNECIMENTO E INSTALAÇÃO.</t>
  </si>
  <si>
    <t xml:space="preserve"> 12.4.11 </t>
  </si>
  <si>
    <t xml:space="preserve"> UFF00133 (ADAPT_EMOP:15.007.0430-A) </t>
  </si>
  <si>
    <t>QUADRO DE DISTRIBUIÇÃO DE SOBREPOR CDS-4.2, EM CAIXA EM CHAPA DE AÇO, COM TRATAMENTO ANTI-CORROSIVO, COM PINTURA ELETROSTÁTICA EM EPÓXI-PÓ CORRUGADO, NA COR CINZA RAL, PORTA COM FECHO ESCAMOTEAVEL CREMONA YALE COM LINGUETA, COM BARRAMENTO TRIFÁSICO+NEUTRO+ TERRA MONTADO SOBRE PLACA DE MONTAGEM, CORRENTE NOMINAL 125A, CORRENTE DE CURTO CIRCUITO DE 20kA, CONFORME DIAGRAMA TRIFILAR E MEMORIAL DESCRITIVO, COMPLETO. FORNECIMENTO E INSTALAÇÃO.</t>
  </si>
  <si>
    <t xml:space="preserve">16.034,49 
 (BDI 16,12%) </t>
  </si>
  <si>
    <t xml:space="preserve"> 12.4.12 </t>
  </si>
  <si>
    <t xml:space="preserve"> UFF00134 (ADAPT_EMOP:15.007.0430-A) </t>
  </si>
  <si>
    <t>QUADRO DE DISTRIBUIÇÃO DE SOBREPOR CDE-4.2, EM CAIXA EM CHAPA DE AÇO, COM TRATAMENTO ANTI-CORROSIVO, COM PINTURA ELETROSTÁTICA EM EPÓXI-PÓ CORRUGADO, NA COR CINZA RAL, PORTA COM FECHO ESCAMOTEAVEL CREMONA YALE COM LINGUETA, COM BARRAMENTO TRIFÁSICO+NEUTRO+ TERRA MONTADO SOBRE PLACA DE MONTAGEM, CORRENTE NOMINAL 125A, CORRENTE DE CURTO CIRCUITO DE 20kA, CONFORME DIAGRAMA TRIFILAR E MEMORIAL DESCRITIVO, COMPLETO. FORNECIMENTO E INSTALAÇÃO.</t>
  </si>
  <si>
    <t xml:space="preserve">9.243,08 
 (BDI 16,12%) </t>
  </si>
  <si>
    <t xml:space="preserve"> 12.4.13 </t>
  </si>
  <si>
    <t xml:space="preserve"> UFF00135 (ADAPT_EMOP:15.007.0430-A) </t>
  </si>
  <si>
    <t>QUADRO DE DISTRIBUIÇÃO DE SOBREPOR CDAC-4.2, EM CAIXA EM CHAPA DE AÇO, COM TRATAMENTO ANTI-CORROSIVO, COM PINTURA ELETROSTÁTICA EM EPÓXI-PÓ CORRUGADO, NA COR CINZA RAL, PORTA COM FECHO ESCAMOTEAVEL CREMONA YALE COM LINGUETA, COM BARRAMENTO TRIFÁSICO+NEUTRO+ TERRA MONTADO SOBRE PLACA DE MONTAGEM, CORRENTE NOMINAL 125A, CORRENTE DE CURTO CIRCUITO DE 20kA, CONFORME DIAGRAMA TRIFILAR E MEMORIAL DESCRITIVO, COMPLETO. FORNECIMENTO E INSTALAÇÃO.</t>
  </si>
  <si>
    <t xml:space="preserve">9.373,78 
 (BDI 16,12%) </t>
  </si>
  <si>
    <t xml:space="preserve"> 12.4.14 </t>
  </si>
  <si>
    <t xml:space="preserve"> UFF00136 (ADAPT_EMOP:15.007.0430-A) </t>
  </si>
  <si>
    <t>QUADRO DE DISTRIBUIÇÃO DE SOBREPOR CDE-4, EM CAIXA EM CHAPA DE AÇO, COM TRATAMENTO ANTI-CORROSIVO, COM PINTURA ELETROSTÁTICA EM EPÓXI-PÓ CORRUGADO, NA COR CINZA RAL, PORTA COM FECHO ESCAMOTEAVEL CREMONA YALE COM LINGUETA, COM BARRAMENTO TRIFÁSICO+NEUTRO+ TERRA MONTADO SOBRE PLACA DE MONTAGEM, CORRENTE NOMINAL 125A, CORRENTE DE CURTO CIRCUITO DE 20kA, CONFORME DIAGRAMA TRIFILAR E MEMORIAL DESCRITIVO, COMPLETO. FORNECIMENTO E INSTALAÇÃO.</t>
  </si>
  <si>
    <t xml:space="preserve">21.467,89 
 (BDI 16,12%) </t>
  </si>
  <si>
    <t xml:space="preserve"> 12.4.15 </t>
  </si>
  <si>
    <t xml:space="preserve"> UFF00162 (ADAPT_EMOP:15.007.0430-A) </t>
  </si>
  <si>
    <t>QUADRO DE DISTRIBUIÇÃO DE SOBREPOR CDAC-1.2, EM CAIXA EM CHAPA DE AÇO, COM TRATAMENTO ANTI-CORROSIVO, COM PINTURA ELETROSTÁTICA EM EPÓXI-PÓ CORRUGADO, NA COR CINZA RAL, PORTA COM FECHO ESCAMOTEAVEL CREMONA YALE COM LINGUETA, COM BARRAMENTO TRIFÁSICO+NEUTRO+ TERRA MONTADO SOBRE PLACA DE MONTAGEM, CORRENTE NOMINAL 125A, CORRENTE DE CURTO CIRCUITO DE 5kA, CONFORME DIAGRAMA TRIFILAR E MEMORIAL DESCRITIVO, COMPLETO. FORNECIMENTO E MONTAGEM.</t>
  </si>
  <si>
    <t xml:space="preserve">10.312,25 
 (BDI 16,12%) </t>
  </si>
  <si>
    <t xml:space="preserve"> 12.4.16 </t>
  </si>
  <si>
    <t xml:space="preserve"> UFF00535 (ADAPT_ORSE:13341) </t>
  </si>
  <si>
    <t>QF-RECP - QUADRO DE COMANDO PARA 02 BOMBAS INCÊNDIO 7,5CV/220V. FORNECIMENTO E INSTALAÇÃO.</t>
  </si>
  <si>
    <t xml:space="preserve">19.432,94 
 (BDI 16,12%) </t>
  </si>
  <si>
    <t xml:space="preserve"> 12.4.17 </t>
  </si>
  <si>
    <t xml:space="preserve"> UFF00536 (ADAPT_ORSE:13341) </t>
  </si>
  <si>
    <t>QF-RECR - QUADRO DE COMANDO PARA 02 BOMBAS INCÊNDIO 7,5CV/220V. FORNECIMENTO E INSTALAÇÃO.</t>
  </si>
  <si>
    <t xml:space="preserve"> 12.4.18 </t>
  </si>
  <si>
    <t xml:space="preserve"> UFF00558 (ADAPT_CPOS: 69.05.230) </t>
  </si>
  <si>
    <t>ESTABILIZADOR DE TENSÃO MICROPROCESSADO, TRIFÁSICO, TENSÃO IN/OUT 220/127 V, POTÊNCIA NOMINAL 40 kVA</t>
  </si>
  <si>
    <t xml:space="preserve">29.147,43 
 (BDI 16,12%) </t>
  </si>
  <si>
    <t xml:space="preserve"> 12.4.19 </t>
  </si>
  <si>
    <t xml:space="preserve"> UFF00264 (ADAPT_ORSE: 9728) </t>
  </si>
  <si>
    <t>PAINEL GERAL DE BAIXA TENSÃO, AUTOPORTANTE (QGBT-N), FABRICADOS CONFORME IEC NBR 60439-1, TENSÃO 220/127V, BARRAMENTO TRIPOLAR+NEUTRO+TERRA DE  5500A, COM DOIS CIRCUITOS DE ENTRADA COM DISJUNTORES GERAIS ABERTOS DE 3200A, 2 RELES DE MULTIFUNÇÃO, COM DISJUNTORES DE SAÍDA EM CAIXA MOLDADA ICC=100kA, COMPLETO. FORNECIMENTO.</t>
  </si>
  <si>
    <t xml:space="preserve">654.889,22 
 (BDI 16,12%) </t>
  </si>
  <si>
    <t xml:space="preserve"> 12.4.20 </t>
  </si>
  <si>
    <t xml:space="preserve"> UFF00476 (ADAPT_SBC: 064072) </t>
  </si>
  <si>
    <t>PAINEL GERAL DE BAIXA TENSÃO, AUTOPORTANTE (QGBT-N), FABRICADOS CONFORME IEC NBR 60439-1, TENSÃO 220/127V, BARRAMENTO TRIPOLAR+NEUTRO+TERRA DE  5500A, COM DOIS CIRCUITOS DE ENTRADA COM DISJUNTORES GERAIS ABERTOS DE 3200A, 2 RELES DE MULTIFUNÇÃO, COM DISJUNTORES DE SAÍDA EM CAIXA MOLDADA ICC=100kA, COMPLETO. INSTALAÇÃO.</t>
  </si>
  <si>
    <t xml:space="preserve"> 12.4.21 </t>
  </si>
  <si>
    <t xml:space="preserve"> UFF00265 (ADAPT_ORSE: 9728) </t>
  </si>
  <si>
    <t>PAINEL GERAL DE BAIXA TENSÃO, AUTOPORTANTE (QGBT-SE-AC), FABRICADOS CONFORME IEC NBR 60439-1, TENSÃO 380V, BARRAMENTO TRIPOLAR+NEUTRO+TERRA DE  4000A, COM UM CIRCUITO DE ENTRADA COM DISJUNTOR GERAL ABERTO DE 4000A, 1 RELE DE MULTIFUNÇÃO, COM DISJUNTORES DE SAÍDA EM CAIXA MOLDADA ICC=100kA,  COMPLETO. FORNECIMENTO E INSTALAÇÃO.</t>
  </si>
  <si>
    <t xml:space="preserve">97.481,17 
 (BDI 16,12%) </t>
  </si>
  <si>
    <t xml:space="preserve"> 12.4.22 </t>
  </si>
  <si>
    <t xml:space="preserve"> UFF00266 (ADAPT_ORSE: 9728) </t>
  </si>
  <si>
    <t>PAINEL GERAL DE BAIXA TENSÃO, AUTOPORTANTE (QGBT-AC), FABRICADOS CONFORME IEC NBR 60439-1, TENSÃO 380V, BARRAMENTO TRIPOLAR+NEUTRO+TERRA DE 4000A, COM UM CIRCUITO DE ENTRADA COM DISJUNTOR GERAL ABERTO DE 4000A, 1 RELE DE MULTIFUNÇÃO, COM DISJUNTORES DE SAÍDA EM CAIXA MOLDADA ICC=100kA,  COMPLETO. FORNECIMENTO.</t>
  </si>
  <si>
    <t xml:space="preserve">1.124.492,94 
 (BDI 16,12%) </t>
  </si>
  <si>
    <t xml:space="preserve"> 12.4.23 </t>
  </si>
  <si>
    <t xml:space="preserve"> UFF00477 (ADAPT_SBC: 064072) </t>
  </si>
  <si>
    <t>PAINEL GERAL DE BAIXA TENSÃO, AUTOPORTANTE (QGBT-AC), FABRICADOS CONFORME IEC NBR 60439-1, TENSÃO 380V, BARRAMENTO TRIPOLAR+NEUTRO+TERRA DE 4000A, COM UM CIRCUITO DE ENTRADA COM DISJUNTOR GERAL ABERTO DE 4000A, 1 RELE DE MULTIFUNÇÃO, COM DISJUNTORES DE SAÍDA EM CAIXA MOLDADA ICC=100kA,  COMPLETO. INSTALAÇÃO.</t>
  </si>
  <si>
    <t xml:space="preserve"> 12.4.24 </t>
  </si>
  <si>
    <t xml:space="preserve"> UFF00268 (ADAPT_EMBASA: 60.14.06) </t>
  </si>
  <si>
    <t>PAINEL DE FORÇA E COMANDO PARA AS UTAS, 380V, INCLUINDO CONTROLE DO MOTOR DE 15CV POR INVERSOR DE FREQUENCIA, CONTROLE DE RESISTENCIAS POR MÓDULO DE POTENCIA ANALÓGICO ATÉ 100A E PROTEÇÃO TERMOMAGNÉTICA PARA OS CIRCUITO ALIMENTADOR E O CIRCUITO DA RESISTENACIA POR DISJUNTOR E DO MOTOR POR DISJUNTOR MOTOR E RELÉ TÉRMICO. FORNECIMENTO E INSTALAÇÃO.</t>
  </si>
  <si>
    <t xml:space="preserve">110.640,90 
 (BDI 16,12%) </t>
  </si>
  <si>
    <t xml:space="preserve"> 12.4.25 </t>
  </si>
  <si>
    <t xml:space="preserve"> UFF00491 (ADAPT_SIURB: 9005017) </t>
  </si>
  <si>
    <t>QDLT - 1 - 5kA/220V - QUADRO DE DISTRIBUIÇÃO DE ENERGIA EM CHAPA DE AÇO GALVANIZADO, DE SOBREPOR, PARA ATÉ 48 DISJUNTORES, COM BARRAMENTO TRIFÁSICO, PADRÃO DIN, COMPLETO - COM COMPONENTES. FORNECIMENTO E INSTALAÇÃO.</t>
  </si>
  <si>
    <t xml:space="preserve">13.237,62 
 (BDI 16,12%) </t>
  </si>
  <si>
    <t xml:space="preserve"> 12.4.26 </t>
  </si>
  <si>
    <t xml:space="preserve"> UFF00492 (ADAPT_SINAPI: 101878) </t>
  </si>
  <si>
    <t>QDLT - 2 - 5kA/220V - QUADRO DE DISTRIBUIÇÃO DE ENERGIA EM CHAPA DE AÇO GALVANIZADO, DE SOBREPOR, PARA ATÉ 18 DISJUNTORES, COM BARRAMENTO TRIFÁSICO, PADRÃO DIN, COMPLETO - COM COMPONENTES. FORNECIMENTO E INSTALAÇÃO.</t>
  </si>
  <si>
    <t xml:space="preserve">8.866,00 
 (BDI 16,12%) </t>
  </si>
  <si>
    <t xml:space="preserve"> 12.4.27 </t>
  </si>
  <si>
    <t xml:space="preserve"> UFF00493 (ADAPT_SINAPI: 101878) </t>
  </si>
  <si>
    <t>QDLT - 3 - 5kA/220V - QUADRO DE DISTRIBUIÇÃO DE ENERGIA EM CHAPA DE AÇO GALVANIZADO, DE SOBREPOR, PARA ATÉ 18 DISJUNTORES, COM BARRAMENTO TRIFÁSICO, PADRÃO DIN, COMPLETO - COM COMPONENTES. FORNECIMENTO E INSTALAÇÃO.</t>
  </si>
  <si>
    <t xml:space="preserve">8.843,78 
 (BDI 16,12%) </t>
  </si>
  <si>
    <t xml:space="preserve"> 12.4.28 </t>
  </si>
  <si>
    <t xml:space="preserve"> UFF00503 (ADAPT_SBC: 064200) </t>
  </si>
  <si>
    <t>QDS - CB - 5kA/220V - QUADRO DE DISTRIBUIÇÃO DE ENERGIA EM CHAPA DE AÇO GALVANIZADO, DE SOBREPOR, PARA ATÉ 40 DISJUNTORES, COM BARRAMENTO TRIFÁSICO, PADRÃO DIN, COMPLETO - COM COMPONENTES. FORNECIMENTO E INSTALAÇÃO.</t>
  </si>
  <si>
    <t xml:space="preserve">12.576,77 
 (BDI 16,12%) </t>
  </si>
  <si>
    <t xml:space="preserve"> 12.4.29 </t>
  </si>
  <si>
    <t xml:space="preserve"> UFF00504 (ADAPT_SINAPI: 101878) </t>
  </si>
  <si>
    <t>QF - INC. - 5kA/220V - QUADRO DE DISTRIBUIÇÃO DE ENERGIA EM CHAPA DE AÇO GALVANIZADO, DE SOBREPOR, PARA ATÉ 18 DISJUNTORES, COM BARRAMENTO TRIFÁSICO, PADRÃO DIN, COMPLETO - COM COMPONENTES. FORNECIMENTO E INSTALAÇÃO.</t>
  </si>
  <si>
    <t xml:space="preserve">10.384,78 
 (BDI 16,12%) </t>
  </si>
  <si>
    <t xml:space="preserve"> 12.4.30 </t>
  </si>
  <si>
    <t xml:space="preserve"> UFF00505 (ADAPT_SINAPI: 101878) </t>
  </si>
  <si>
    <t>QD - GUAR / ILUM. EXT. - 5kA/220V - QUADRO DE DISTRIBUIÇÃO DE ENERGIA EM CHAPA DE AÇO GALVANIZADO, DE SOBREPOR, PARA ATÉ 18 DISJUNTORES, COM BARRAMENTO TRIFÁSICO, PADRÃO DIN, COMPLETO - COM COMPONENTES. FORNECIMENTO E INSTALAÇÃO.</t>
  </si>
  <si>
    <t xml:space="preserve">8.639,88 
 (BDI 16,12%) </t>
  </si>
  <si>
    <t xml:space="preserve"> 12.5 </t>
  </si>
  <si>
    <t>SUBESTAÇÃO E REDE DE MÉDIA TENSÃO</t>
  </si>
  <si>
    <t xml:space="preserve"> 12.5.1 </t>
  </si>
  <si>
    <t xml:space="preserve"> 12.5.1.1 </t>
  </si>
  <si>
    <t xml:space="preserve"> 15.008.0392-A </t>
  </si>
  <si>
    <t>CABO DE COBRE COM ISOLAMENTO TERMOPLASTICO PARA TENSAO DE SE RVICO DE 8,7/15KV,COMPREENDENDO:PREPARO,CORTE E ENFIACAO EM ELETRODUTO,NA BITOLA DE 35MM2.FORNECIMENTO E COLOCACAO</t>
  </si>
  <si>
    <t xml:space="preserve"> 12.5.1.2 </t>
  </si>
  <si>
    <t xml:space="preserve"> 15.008.0393-A </t>
  </si>
  <si>
    <t>CABO DE COBRE COM ISOLAMENTO TERMOPLASTICO PARA TENSAO DE SE RVICO DE 8,7/15KV,COMPREENDENDO:PREPARO,CORTE E ENFIACAO EM ELETRODUTO,NA BITOLA DE 50MM2.FORNECIMENTO E COLOCACAO</t>
  </si>
  <si>
    <t xml:space="preserve"> 12.5.1.3 </t>
  </si>
  <si>
    <t xml:space="preserve"> UFF00111 (ADAPT_EMOP: 15.007.0338-A) </t>
  </si>
  <si>
    <t>MUFLA TERMINAL PARA CABO SINGELO 35MM2, 15KV. FORNECIMENTO E COLOCAÇÃO.</t>
  </si>
  <si>
    <t xml:space="preserve"> 12.5.1.4 </t>
  </si>
  <si>
    <t xml:space="preserve"> IP 14.20.0100 </t>
  </si>
  <si>
    <t>Mufla terminal para cabo singelo 50mm2, 15Kv, inclusive bracadeira para fixacao. Fornecimento e assentamento.(desonerado)</t>
  </si>
  <si>
    <t xml:space="preserve"> 12.5.1.5 </t>
  </si>
  <si>
    <t xml:space="preserve"> UFF00484 (ADAPT_EMOP: 18.028.0190-A) </t>
  </si>
  <si>
    <t>TRANSFORMADOR DE DISTRIBUICAO DE 1.000KVA,ABRIGADA,CLASSE 15 KV,A SECO,TENSAO PRIMARIA DE 13,8KV,TENSAO SECUNDARIA DE 220 /127V-60HZ.FORNECIMENTO.</t>
  </si>
  <si>
    <t xml:space="preserve">153.278,40 
 (BDI 16,12%) </t>
  </si>
  <si>
    <t xml:space="preserve"> 12.5.1.6 </t>
  </si>
  <si>
    <t xml:space="preserve"> UFF00478 (ADAPT_CPOS: 36.09.070) </t>
  </si>
  <si>
    <t>TRANSFORMADOR DE DISTRIBUICAO DE 1.000KVA,ABRIGADA,CLASSE 15 KV,A SECO,TENSAO PRIMARIA DE 13,8KV,TENSAO SECUNDARIA DE 220 /127V-60HZ.INSTALAÇÃO.</t>
  </si>
  <si>
    <t xml:space="preserve"> 12.5.1.7 </t>
  </si>
  <si>
    <t xml:space="preserve"> UFF00359 (ADAPT_CPOS:36.01.252) </t>
  </si>
  <si>
    <t>PAINEL DE MÉDIA TENSÃO DA SUBESTAÇÃO. FORNECIMENTO.</t>
  </si>
  <si>
    <t>CJ</t>
  </si>
  <si>
    <t xml:space="preserve">310.453,55 
 (BDI 16,12%) </t>
  </si>
  <si>
    <t xml:space="preserve"> 12.5.1.8 </t>
  </si>
  <si>
    <t xml:space="preserve"> UFF00479 (ADAPT_CPOS: 36.01.242) </t>
  </si>
  <si>
    <t>PAINEL DE MÉDIA TENSÃO DA SUBESTAÇÃO. MONTAGEM NA OBRA.</t>
  </si>
  <si>
    <t xml:space="preserve"> 12.5.1.9 </t>
  </si>
  <si>
    <t xml:space="preserve"> 065125 </t>
  </si>
  <si>
    <t>TAPETE ISOLANTE 20KV 1,00X1,00M COM LAUDO</t>
  </si>
  <si>
    <t xml:space="preserve"> 12.5.1.10 </t>
  </si>
  <si>
    <t xml:space="preserve"> 14.002.0162-A </t>
  </si>
  <si>
    <t>GRADE PARA PROTECAO DE SUBESTACAO ELETRICA OU EQUIVALENTE,EM TELA DE ARAME GALVANIZADO Nº12,MALHA QUADRANGULAR DE (25X25) MM,FORMANDO QUADROS CONTORNADOS POR CANTONEIRAS DE FERRO DE 3/4"X3/4"X1/8",FIXADOS EM MONTANTES DE TUBOS GALVANIZADOS CO M DIAMETRO DE 2".FORNECIMENTO E COLOCACAO</t>
  </si>
  <si>
    <t xml:space="preserve"> 12.5.1.11 </t>
  </si>
  <si>
    <t xml:space="preserve"> UFF00471 (ADAPT_CPOS: 24.03.340) </t>
  </si>
  <si>
    <t>Tampa  em  chapa  de  segurança  tipo  xadrez,  aço  galvanizado  a  fogo  antiderrapante  de  1/4´.</t>
  </si>
  <si>
    <t xml:space="preserve"> 12.5.1.12 </t>
  </si>
  <si>
    <t xml:space="preserve"> UFF00541 (ADAPT_SCO: DR 54.05.0110) </t>
  </si>
  <si>
    <t>Canaleta para rede elétrica, com secao de (0,60x0,60)m, em blocos de concreto prensado de (10x20x40)cm, utilizando no preenchimento dos vazios dos blocos concreto para camada preparatoria, assentes e revestidos internamente com argamassa de cimento e areia, no traco 1:3, sendo o fundo em concreto armado, inclusive escavacao em material de 1a categoria, reaterro e fornecimento de todos os materiais, exclusive carga, descarga e transporte.(desonerado)</t>
  </si>
  <si>
    <t>m</t>
  </si>
  <si>
    <t xml:space="preserve"> 12.5.1.13 </t>
  </si>
  <si>
    <t xml:space="preserve"> UFF00499 (ADAPT_EMOP: 18.028.0190-A) </t>
  </si>
  <si>
    <t>REMANEJAMENTO, COLOCAÇÃO DO TRAFO EXISTENTE ATÉ A SUBESTAÇÃO E INSTALAÇÃO.</t>
  </si>
  <si>
    <t xml:space="preserve"> 12.5.1.14 </t>
  </si>
  <si>
    <t xml:space="preserve"> UFF00506 (ADAPT_SINAPI: 96973) </t>
  </si>
  <si>
    <t>CORDOALHA DE COBRE NU 35 MM², NÃO ENTERRADA - FORNECIMENTO E INSTALAÇÃO. AF_08/2023</t>
  </si>
  <si>
    <t xml:space="preserve"> 12.5.1.15 </t>
  </si>
  <si>
    <t xml:space="preserve"> 96977 </t>
  </si>
  <si>
    <t>CORDOALHA DE COBRE NU 50 MM², ENTERRADA - FORNECIMENTO E INSTALAÇÃO. AF_08/2023</t>
  </si>
  <si>
    <t xml:space="preserve"> 12.5.1.16 </t>
  </si>
  <si>
    <t xml:space="preserve"> 96979 </t>
  </si>
  <si>
    <t>CORDOALHA DE COBRE NU 95 MM², ENTERRADA - FORNECIMENTO E INSTALAÇÃO. AF_08/2023</t>
  </si>
  <si>
    <t xml:space="preserve"> 12.5.1.17 </t>
  </si>
  <si>
    <t xml:space="preserve"> 078051 </t>
  </si>
  <si>
    <t>SOLDA EXOTERMICA COM MOLDE GTB 16Y</t>
  </si>
  <si>
    <t xml:space="preserve"> 12.5.1.18 </t>
  </si>
  <si>
    <t xml:space="preserve"> 15.017.0275-A </t>
  </si>
  <si>
    <t>TERMINAL MECANICO A COMPRESSAO,FABRICADO EM BRONZE,PARA CABO DE 35MM2.FORNECIMENTO E COLOCACAO</t>
  </si>
  <si>
    <t xml:space="preserve"> 12.5.1.19 </t>
  </si>
  <si>
    <t xml:space="preserve"> 078030 </t>
  </si>
  <si>
    <t>CAIXA DE EQUALIZACAO TERRA 210x210x90 TEL-901</t>
  </si>
  <si>
    <t xml:space="preserve"> 12.5.1.20 </t>
  </si>
  <si>
    <t xml:space="preserve"> 12.5.1.21 </t>
  </si>
  <si>
    <t xml:space="preserve"> 12.5.1.22 </t>
  </si>
  <si>
    <t xml:space="preserve"> 12.5.1.23 </t>
  </si>
  <si>
    <t xml:space="preserve"> 12.5.1.24 </t>
  </si>
  <si>
    <t xml:space="preserve"> 12.5.1.25 </t>
  </si>
  <si>
    <t xml:space="preserve"> 12.5.1.26 </t>
  </si>
  <si>
    <t xml:space="preserve"> 12.5.1.27 </t>
  </si>
  <si>
    <t xml:space="preserve"> 12.5.1.28 </t>
  </si>
  <si>
    <t xml:space="preserve"> 12.5.1.29 </t>
  </si>
  <si>
    <t xml:space="preserve"> 12.5.1.30 </t>
  </si>
  <si>
    <t xml:space="preserve"> 12.5.1.31 </t>
  </si>
  <si>
    <t xml:space="preserve"> UFF00556 </t>
  </si>
  <si>
    <t>Parametrização do relé, comissionamento e estudo de proteção.</t>
  </si>
  <si>
    <t xml:space="preserve"> 12.5.2 </t>
  </si>
  <si>
    <t>REDE EXTERNA DE MÉDIA TENSÃO</t>
  </si>
  <si>
    <t xml:space="preserve"> 12.5.2.1 </t>
  </si>
  <si>
    <t xml:space="preserve"> 101817 </t>
  </si>
  <si>
    <t>RECOMPOSIÇÃO DE PAVIMENTO EM PARALELEPÍPEDOS, REJUNTAMENTO COM PÓ DE PEDRA, COM REAPROVEITAMENTO DOS PARALELEPÍPEDOS, PARA O FECHAMENTO DE VALAS - INCLUSO RETIRADA E COLOCAÇÃO DO MATERIAL. AF_12/2020</t>
  </si>
  <si>
    <t xml:space="preserve"> 12.5.2.2 </t>
  </si>
  <si>
    <t xml:space="preserve"> 12.5.2.3 </t>
  </si>
  <si>
    <t xml:space="preserve"> 12.5.2.4 </t>
  </si>
  <si>
    <t xml:space="preserve"> 12.5.2.5 </t>
  </si>
  <si>
    <t xml:space="preserve"> UFF00269 (ADAPT_EMOP: 06.016.0100-A) </t>
  </si>
  <si>
    <t>TAMPA DE FERRO FUNDIDO ARTICULADA, TIPO PESADO, 600X600MM, COM CAIXILHO, COM INSCRIÇÃO "ALTA TENSÃO"</t>
  </si>
  <si>
    <t xml:space="preserve"> 12.5.2.6 </t>
  </si>
  <si>
    <t xml:space="preserve"> 12.5.2.7 </t>
  </si>
  <si>
    <t xml:space="preserve"> UFF00498 (ADAPT_SBC: 061309) </t>
  </si>
  <si>
    <t>ENVELOPE CONCRETO 1:2:4 570x310mm P/3 ELETRODUTOS KANALEX 6""</t>
  </si>
  <si>
    <t xml:space="preserve"> 12.5.2.8 </t>
  </si>
  <si>
    <t xml:space="preserve"> UFF00488 (ADAPT_CPOS: 39.06.084) </t>
  </si>
  <si>
    <t>CABO DE COBRE  ISOLAMENTO EPR 8,7/15KV #120MM²</t>
  </si>
  <si>
    <t xml:space="preserve"> 12.5.2.9 </t>
  </si>
  <si>
    <t xml:space="preserve"> UFF00487 (ADAPT_EMOP: 15.007.0338-A) </t>
  </si>
  <si>
    <t>MUFLA TERMINAL PARA CABO SINGELO 120MM2, 15KV. FORNECIMENTO E COLOCAÇÃO.</t>
  </si>
  <si>
    <t xml:space="preserve"> 12.6 </t>
  </si>
  <si>
    <t>INTERRUPTORES E TOMADAS</t>
  </si>
  <si>
    <t xml:space="preserve"> 12.6.1 </t>
  </si>
  <si>
    <t xml:space="preserve"> 91953 </t>
  </si>
  <si>
    <t>INTERRUPTOR SIMPLES (1 MÓDULO), 10A/250V, INCLUINDO SUPORTE E PLACA - FORNECIMENTO E INSTALAÇÃO. AF_03/2023</t>
  </si>
  <si>
    <t xml:space="preserve"> 12.6.2 </t>
  </si>
  <si>
    <t xml:space="preserve"> 91959 </t>
  </si>
  <si>
    <t>INTERRUPTOR SIMPLES (2 MÓDULOS), 10A/250V, INCLUINDO SUPORTE E PLACA - FORNECIMENTO E INSTALAÇÃO. AF_03/2023</t>
  </si>
  <si>
    <t xml:space="preserve"> 12.6.3 </t>
  </si>
  <si>
    <t xml:space="preserve"> 91996 </t>
  </si>
  <si>
    <t>TOMADA MÉDIA DE EMBUTIR (1 MÓDULO), 2P+T 10 A, INCLUINDO SUPORTE E PLACA - FORNECIMENTO E INSTALAÇÃO. AF_03/2023</t>
  </si>
  <si>
    <t xml:space="preserve"> 12.6.4 </t>
  </si>
  <si>
    <t xml:space="preserve"> 91994 </t>
  </si>
  <si>
    <t>TOMADA MÉDIA DE EMBUTIR (1 MÓDULO), 2P+T 10 A, SEM SUPORTE E SEM PLACA - FORNECIMENTO E INSTALAÇÃO. AF_03/2023</t>
  </si>
  <si>
    <t xml:space="preserve"> 12.6.5 </t>
  </si>
  <si>
    <t xml:space="preserve"> 91997 </t>
  </si>
  <si>
    <t>TOMADA MÉDIA DE EMBUTIR (1 MÓDULO), 2P+T 20 A, INCLUINDO SUPORTE E PLACA - FORNECIMENTO E INSTALAÇÃO. AF_03/2023</t>
  </si>
  <si>
    <t xml:space="preserve"> 12.6.6 </t>
  </si>
  <si>
    <t xml:space="preserve"> UFF00113 (ADAPT_SINAPI: 97595) </t>
  </si>
  <si>
    <t>SENSOR DE PRESENÇA DE LONGO ALCANCE – 127/220V – REGULAGEM ATÉ 15 MINUTOS</t>
  </si>
  <si>
    <t xml:space="preserve"> 12.7 </t>
  </si>
  <si>
    <t>ILUMINAÇÃO</t>
  </si>
  <si>
    <t xml:space="preserve"> 12.7.1 </t>
  </si>
  <si>
    <t>ILUMINAÇÃO INTERNA</t>
  </si>
  <si>
    <t xml:space="preserve"> 12.7.1.1 </t>
  </si>
  <si>
    <t xml:space="preserve"> 060630 </t>
  </si>
  <si>
    <t>LUMINARIA EMBUTIR DIRECIONAVEL LED DICROICA 12W BASE BRANCA</t>
  </si>
  <si>
    <t xml:space="preserve"> 12.7.1.2 </t>
  </si>
  <si>
    <t xml:space="preserve"> UFF00550 (ADAPT_EMOP: 15.020.0178-A) </t>
  </si>
  <si>
    <t>LAMPADA LED DICROICA 12W/12V.FORNECIMENTO E COLOCACAO</t>
  </si>
  <si>
    <t xml:space="preserve"> 12.7.1.3 </t>
  </si>
  <si>
    <t xml:space="preserve"> 18.027.0494-A </t>
  </si>
  <si>
    <t>LUMINARIA LED TUBULAR DE SOBREPOR, 2X18W (INCLUSIVE LAMPADAS ),CORPO EM CHAPA DE ACO TRATADA E PINTURA ELETROSTATICA BRAN CA, REFLETOR EM ALUMINIO DE ALTO BRILHO, COM ALETAS, SEM REA TOR. FORNECIMENTO E COLOCACAO</t>
  </si>
  <si>
    <t xml:space="preserve"> 12.7.1.4 </t>
  </si>
  <si>
    <t xml:space="preserve"> 060121 </t>
  </si>
  <si>
    <t>LUMINARIA DE EMBUTIR PLAFON 18W LED BRANCO FRIO 22,5x22,5</t>
  </si>
  <si>
    <t xml:space="preserve"> 12.7.1.5 </t>
  </si>
  <si>
    <t xml:space="preserve"> UFF00542 (ADAPT_SBC:  060588) </t>
  </si>
  <si>
    <t>INSTALAÇÃO DE LUMINARIA EMBUTIR ALETADA ALUMINIO BRILHANTE 4X9W LED, EXCETO O FORNECIMENTO DA LUMINÁRIA, INCLUSIVE LÂMPADAS E ACESSÓRIOS.</t>
  </si>
  <si>
    <t xml:space="preserve"> 12.7.1.6 </t>
  </si>
  <si>
    <t xml:space="preserve"> UFF00543 (ADAPT_SBC: 060588) </t>
  </si>
  <si>
    <t>LUMINARIA EMBUTIR ALETADA ALUMINIO BRILHANTE 4X9W LED. FORNECIMENTO E INSTALAÇÃO.</t>
  </si>
  <si>
    <t xml:space="preserve"> 12.7.1.7 </t>
  </si>
  <si>
    <t xml:space="preserve"> 060316 </t>
  </si>
  <si>
    <t>REFLETOR 100W LED LINEAR BLINDADO A PROVA D'AGUA</t>
  </si>
  <si>
    <t xml:space="preserve"> 12.7.1.8 </t>
  </si>
  <si>
    <t xml:space="preserve"> UFF00114 (ADAPT_SINAPI: 97607) </t>
  </si>
  <si>
    <t>LUMINÁRIA TIPO TARTARUGA LED1X30W COMPLETA, DE SOBREPOR, COM CONEXÕES E ACESSÓRIOS.</t>
  </si>
  <si>
    <t xml:space="preserve"> 12.7.1.9 </t>
  </si>
  <si>
    <t xml:space="preserve"> 063511 </t>
  </si>
  <si>
    <t>CABO PP 3 CONDUTORES 500V 1,50mm2</t>
  </si>
  <si>
    <t xml:space="preserve"> 12.7.1.10 </t>
  </si>
  <si>
    <t xml:space="preserve"> 063061 </t>
  </si>
  <si>
    <t>CABO PP 3 CONDUTORES 500V 2,50mm2</t>
  </si>
  <si>
    <t xml:space="preserve"> 12.7.1.11 </t>
  </si>
  <si>
    <t xml:space="preserve"> UFF00544 (ADAPT_SBC: 063459) </t>
  </si>
  <si>
    <t>CONECTOR MODULAR PLUG MACHO 2P + T</t>
  </si>
  <si>
    <t xml:space="preserve"> 12.7.1.12 </t>
  </si>
  <si>
    <t xml:space="preserve"> UFF00545 (ADAPT_SEDOP: 171112) </t>
  </si>
  <si>
    <t>PRENSA CABO 8 A 14MM</t>
  </si>
  <si>
    <t xml:space="preserve"> 12.7.2 </t>
  </si>
  <si>
    <t>ILUMINAÇÃO EXTERNA</t>
  </si>
  <si>
    <t xml:space="preserve"> 12.7.2.1 </t>
  </si>
  <si>
    <t xml:space="preserve"> IP 04.25.0050 </t>
  </si>
  <si>
    <t>Poste de aco reto de 3,50m, com flange de aco soldado na sua base, fixado por parafuso chumbadores engastados em fundacao de concreto, exclusive fundacao e fornecimento do poste. Assentamento.(desonerado)</t>
  </si>
  <si>
    <t xml:space="preserve"> 12.7.2.2 </t>
  </si>
  <si>
    <t xml:space="preserve"> 97667 </t>
  </si>
  <si>
    <t>ELETRODUTO FLEXÍVEL CORRUGADO, PEAD, DN 50 (1 1/2"), PARA REDE ENTERRADA DE DISTRIBUIÇÃO DE ENERGIA ELÉTRICA - FORNECIMENTO E INSTALAÇÃO. AF_12/2021</t>
  </si>
  <si>
    <t xml:space="preserve"> 12.7.2.3 </t>
  </si>
  <si>
    <t xml:space="preserve"> 061312 </t>
  </si>
  <si>
    <t>CAIXA DE PASSAGEM E INSPECAO EM CONCRETO 40x40x40cm C/ TAMPA</t>
  </si>
  <si>
    <t xml:space="preserve"> 12.7.2.4 </t>
  </si>
  <si>
    <t xml:space="preserve"> UFF00547 (ADAPT_EMOP:  18.027.0150-A) </t>
  </si>
  <si>
    <t>LUMINARIA DECORATIVA,PARA ILUMINACAO PUBLICA E ESTACIONAMENT OS,COM UMA PETALA,PARA LAMPADA LED DE 80W,EQUIPADA COM CELUL A FOTOELETRICA,INCLUSIVE LAMPADA.FORNECIMENTO E COLOCACAO</t>
  </si>
  <si>
    <t xml:space="preserve"> 12.7.2.5 </t>
  </si>
  <si>
    <t xml:space="preserve"> UFF00548 (ADAPT_EMOP:  18.027.0152-A) </t>
  </si>
  <si>
    <t>LUMINARIA DECORATIVA,PARA ILUMINACAO PUBLICA E ESTACIONAMENT OS,COM DUAS PETALAS,PARA LAMPADA LED DE 80W,EQUIPADA COM CEL ULA FOTOELETRICA,INCLUSIVE LAMPADA.FORNECIMENTO E COLOCACAO</t>
  </si>
  <si>
    <t xml:space="preserve"> 12.7.2.6 </t>
  </si>
  <si>
    <t xml:space="preserve"> UFF00546 (ADAPT_SBC: 060509) </t>
  </si>
  <si>
    <t>LAMPADA LED ALTA POTENCIA T E27 80W BIVOLT LUZ BRANCA 6500K</t>
  </si>
  <si>
    <t xml:space="preserve"> 12.7.2.7 </t>
  </si>
  <si>
    <t xml:space="preserve"> 12.8 </t>
  </si>
  <si>
    <t>SPDA</t>
  </si>
  <si>
    <t xml:space="preserve"> 12.8.1 </t>
  </si>
  <si>
    <t xml:space="preserve"> 90099 </t>
  </si>
  <si>
    <t>ESCAVAÇÃO MECANIZADA DE VALA COM PROF. ATÉ 1,5 M (MÉDIA MONTANTE E JUSANTE/UMA COMPOSIÇÃO POR TRECHO), RETROESCAV. (0,26 M3), LARG. MENOR QUE 0,8 M, EM SOLO DE 1A CATEGORIA, EM LOCAIS COM ALTO NÍVEL DE INTERFERÊNCIA. AF_02/2021</t>
  </si>
  <si>
    <t xml:space="preserve"> 12.8.2 </t>
  </si>
  <si>
    <t xml:space="preserve"> 104733 </t>
  </si>
  <si>
    <t>REATERRO MECANIZADO DE VALA COM RETROESCAVADEIRA (CAPACIDADE   DA   CAÇAMBA   DA RETRO: 0,26 M³/POTÊNCIA: 88 HP), LARGURA ATÉ 0,8 M, PROFUNDIDADE ATÉ 1,5 M, COM SOLO (SEM SUBSTITUIÇÃO) DE 1ª CATEGORIA, COM PLACA VIBRATÓRIA. AF_08/2023</t>
  </si>
  <si>
    <t xml:space="preserve"> 12.8.3 </t>
  </si>
  <si>
    <t xml:space="preserve"> 96973 </t>
  </si>
  <si>
    <t>CORDOALHA DE COBRE NU 35 MM², NÃO ENTERRADA, COM ISOLADOR - FORNECIMENTO E INSTALAÇÃO. AF_08/2023</t>
  </si>
  <si>
    <t xml:space="preserve"> 12.8.4 </t>
  </si>
  <si>
    <t xml:space="preserve"> 12.8.5 </t>
  </si>
  <si>
    <t xml:space="preserve"> 15.007.0216-A </t>
  </si>
  <si>
    <t>TERMINAL AEREO PARA PARA-RAIO(CAPTOR 1 PONTA)EM LATAO MACICO ,3/8"X600MM,FIXACAO COM ROSCA MECANICA E ABRACADEIRA,INCLUSI VE CAPTOR.FORNECIMENTO E COLOCACAO</t>
  </si>
  <si>
    <t xml:space="preserve"> 12.8.6 </t>
  </si>
  <si>
    <t xml:space="preserve"> IT 24.70.0100 </t>
  </si>
  <si>
    <t>Haste para aterramento, de cobre, de 5/8", com 3m de comprimento. Fornecimento e instalacao.(desonerado)</t>
  </si>
  <si>
    <t xml:space="preserve"> 12.8.7 </t>
  </si>
  <si>
    <t xml:space="preserve"> UFF00485 </t>
  </si>
  <si>
    <t>MEDIÇÃO DA RESISTÊNCIA E RESISTIVIDADE DO SOLO, COM EMISSÃO DE LAUDO E ART.</t>
  </si>
  <si>
    <t xml:space="preserve"> 12.8.8 </t>
  </si>
  <si>
    <t xml:space="preserve"> UFF00551 (ADAPT_SBC: 078071) </t>
  </si>
  <si>
    <t>GRAMPO DUPLO PARA HASTE DE ATERRAMENTO (GTDU)</t>
  </si>
  <si>
    <t xml:space="preserve"> 12.8.9 </t>
  </si>
  <si>
    <t xml:space="preserve"> 078031 </t>
  </si>
  <si>
    <t>CAIXA DE INSPECAO PVC SUSPENSA PARA ATERRAMENTO</t>
  </si>
  <si>
    <t xml:space="preserve"> 12.8.10 </t>
  </si>
  <si>
    <t xml:space="preserve"> 98111 </t>
  </si>
  <si>
    <t>CAIXA DE INSPEÇÃO PARA ATERRAMENTO, CIRCULAR, EM POLIETILENO, DIÂMETRO INTERNO = 0,3 M. AF_12/2020</t>
  </si>
  <si>
    <t xml:space="preserve"> 12.8.11 </t>
  </si>
  <si>
    <t xml:space="preserve"> 078032 </t>
  </si>
  <si>
    <t>TAMPA DE FERRO FUNDIDO 300MM PARA CAIXA DE ATERRAMENTO</t>
  </si>
  <si>
    <t xml:space="preserve"> 12.8.12 </t>
  </si>
  <si>
    <t xml:space="preserve"> 12.8.13 </t>
  </si>
  <si>
    <t xml:space="preserve"> 078094 </t>
  </si>
  <si>
    <t>TERMINAL SAPATA DE COBRE PARA CABO 50mm2</t>
  </si>
  <si>
    <t xml:space="preserve"> 12.8.14 </t>
  </si>
  <si>
    <t xml:space="preserve"> UFF00473 (ADAPT_CPOS: 42.05.440) </t>
  </si>
  <si>
    <t>Barra condutora chata em alumínio de 3/4´ x 1/4´ x 3 m</t>
  </si>
  <si>
    <t xml:space="preserve"> 12.8.15 </t>
  </si>
  <si>
    <t xml:space="preserve"> 104752 </t>
  </si>
  <si>
    <t>CONECTOR SPLIT-BOLT, PARA SPDA, PARA CABOS ATÉ 35 MM2 - FORNECIMENTO E INSTALAÇÃO. AF_08/2023</t>
  </si>
  <si>
    <t xml:space="preserve"> 12.9 </t>
  </si>
  <si>
    <t xml:space="preserve"> 12.9.1 </t>
  </si>
  <si>
    <t xml:space="preserve"> UFF00590 (ADAPT_SBC: 065025) </t>
  </si>
  <si>
    <t>GRUPO GERADOR 49,5/55 KVA REF. YBG55TE YANMAR. FORNECIMENTO.</t>
  </si>
  <si>
    <t xml:space="preserve">84.082,49 
 (BDI 16,12%) </t>
  </si>
  <si>
    <t xml:space="preserve"> 12.9.2 </t>
  </si>
  <si>
    <t xml:space="preserve"> UFF00591 (ADAPT_SBC: 065025) </t>
  </si>
  <si>
    <t>GRUPO GERADOR 49,5/55 KVA REF. YBG55TE YANMAR. INSTALAÇÃO.</t>
  </si>
  <si>
    <t xml:space="preserve"> 13.1 </t>
  </si>
  <si>
    <t xml:space="preserve"> 13.2 </t>
  </si>
  <si>
    <t xml:space="preserve"> 15.018.0469-A </t>
  </si>
  <si>
    <t>ELETROCALHA PERFURADA,SEM TAMPA,TIPO "U",200X50MM,TRATAMENTO SUPERFICIAL PRE-ZINCADO A QUENTE,INCLUSIVE CONEXOES,ACESSOR IOS E FIXACAO SUPERIOR.FORNECIMENTO E COLOCACAO</t>
  </si>
  <si>
    <t xml:space="preserve"> 13.3 </t>
  </si>
  <si>
    <t xml:space="preserve"> 15.018.0470-A </t>
  </si>
  <si>
    <t>ELETROCALHA PERFURADA,SEM TAMPA,TIPO "U",300X50MM,TRATAMENTO SUPERFICIAL PRE-ZINCADO A QUENTE,INCLUSIVE CONEXOES,ACESSOR IOS E FIXACAO SUPERIOR.FORNECIMENTO E COLOCACAO</t>
  </si>
  <si>
    <t xml:space="preserve"> 13.4 </t>
  </si>
  <si>
    <t xml:space="preserve"> 13.5 </t>
  </si>
  <si>
    <t xml:space="preserve"> 13.6 </t>
  </si>
  <si>
    <t xml:space="preserve"> 15.018.0752-A </t>
  </si>
  <si>
    <t>TE HORIZONTAL,90º,PARA ELETROCALHA PERFURADA OU LISA,200X50M M.FORNECIMENTO E COLOCACAO</t>
  </si>
  <si>
    <t xml:space="preserve"> 13.7 </t>
  </si>
  <si>
    <t xml:space="preserve"> 15.018.0754-A </t>
  </si>
  <si>
    <t>TE HORIZONTAL,90º,PARA ELETROCALHA PERFURADA OU LISA,300X50M M.FORNECIMENTO E COLOCACAO</t>
  </si>
  <si>
    <t xml:space="preserve"> 13.8 </t>
  </si>
  <si>
    <t xml:space="preserve"> 15.018.0774-A </t>
  </si>
  <si>
    <t>TE VERTICAL DE DERIVACAO OU LATERAL,PARA ELETROCALHA PERFURA DA OU LISA,300X50MM.FORNECIMENTO E COLOCACAO</t>
  </si>
  <si>
    <t xml:space="preserve"> 13.9 </t>
  </si>
  <si>
    <t xml:space="preserve"> 15.018.0614-A </t>
  </si>
  <si>
    <t>CURVA HORIZONTAL,90º,PARA ELETROCALHA PERFURADA OU LISA,300X 50MM.FORNECIMENTO E COLOCACAO</t>
  </si>
  <si>
    <t xml:space="preserve"> 13.10 </t>
  </si>
  <si>
    <t xml:space="preserve"> 15.018.0732-A </t>
  </si>
  <si>
    <t>CURVA DE INVERSAO,90º,PARA ELETROCALHA PERFURADA OU LISA,200 X50MM.FORNECIMENTO E COLOCACAO</t>
  </si>
  <si>
    <t xml:space="preserve"> 13.11 </t>
  </si>
  <si>
    <t xml:space="preserve"> 15.018.0734-A </t>
  </si>
  <si>
    <t>CURVA DE INVERSAO,90º,PARA ELETROCALHA PERFURADA OU LISA,300 X50MM.FORNECIMENTO E COLOCACAO</t>
  </si>
  <si>
    <t xml:space="preserve"> 13.12 </t>
  </si>
  <si>
    <t xml:space="preserve"> 15.018.0881-A </t>
  </si>
  <si>
    <t>REDUCAO CONCENTRICA,PARA ELETROCALHA PERFURADA OU LISA,300X2 00MM.FORNECIMENTO E COLOCACAO</t>
  </si>
  <si>
    <t xml:space="preserve"> 13.13 </t>
  </si>
  <si>
    <t xml:space="preserve"> 13.14 </t>
  </si>
  <si>
    <t xml:space="preserve"> 15.018.0854-A </t>
  </si>
  <si>
    <t>CRUZETA RETA,PARA ELETROCALHA PERFURADA OU LISA,300X50MM.FOR NECIMENTO E COLOCACAO</t>
  </si>
  <si>
    <t xml:space="preserve"> 13.15 </t>
  </si>
  <si>
    <t xml:space="preserve"> 15.018.0883-A </t>
  </si>
  <si>
    <t>REDUCAO CONCENTRICA,PARA ELETROCALHA PERFURADA OU LISA,300X1 00MM.FORNECIMENTO E COLOCACAO</t>
  </si>
  <si>
    <t xml:space="preserve"> 13.16 </t>
  </si>
  <si>
    <t xml:space="preserve"> 13.17 </t>
  </si>
  <si>
    <t xml:space="preserve"> 95796 </t>
  </si>
  <si>
    <t>CONDULETE DE ALUMÍNIO, TIPO T, PARA ELETRODUTO DE AÇO GALVANIZADO DN 25 MM (1''), APARENTE - FORNECIMENTO E INSTALAÇÃO. AF_10/2022</t>
  </si>
  <si>
    <t xml:space="preserve"> 13.18 </t>
  </si>
  <si>
    <t xml:space="preserve"> 13.19 </t>
  </si>
  <si>
    <t xml:space="preserve"> 13.20 </t>
  </si>
  <si>
    <t xml:space="preserve"> 13.21 </t>
  </si>
  <si>
    <t xml:space="preserve"> 13.22 </t>
  </si>
  <si>
    <t xml:space="preserve"> 13.23 </t>
  </si>
  <si>
    <t xml:space="preserve"> UFF00568 (ADAPT_AGETOP CIVIL: 070422) </t>
  </si>
  <si>
    <t>BUCHA E ARRUELA METALICA DIAM. 1"</t>
  </si>
  <si>
    <t xml:space="preserve"> 13.24 </t>
  </si>
  <si>
    <t xml:space="preserve"> 98297 </t>
  </si>
  <si>
    <t>CABO ELETRÔNICO CATEGORIA 6, INSTALADO EM EDIFICAÇÃO INSTITUCIONAL - FORNECIMENTO E INSTALAÇÃO. AF_11/2019</t>
  </si>
  <si>
    <t xml:space="preserve"> 13.25 </t>
  </si>
  <si>
    <t xml:space="preserve"> UFF00554 (ADAPT_SBC: 059434) </t>
  </si>
  <si>
    <t>CABO OPTICO MONOMODO 6Fo</t>
  </si>
  <si>
    <t xml:space="preserve"> 13.26 </t>
  </si>
  <si>
    <t xml:space="preserve"> UFF00555 (ADAPT_SBC: 059434) </t>
  </si>
  <si>
    <t>CABO OPTICO MONOMODO 12Fo</t>
  </si>
  <si>
    <t xml:space="preserve"> 13.27 </t>
  </si>
  <si>
    <t xml:space="preserve"> 13.28 </t>
  </si>
  <si>
    <t xml:space="preserve"> 15.019.0095-A </t>
  </si>
  <si>
    <t>TOMADA TIPO RJ45,DE EMBUTIR,COMPLETA,PARA LOGICA.FORNECIMENT O E COLOCACAO</t>
  </si>
  <si>
    <t xml:space="preserve"> 13.29 </t>
  </si>
  <si>
    <t xml:space="preserve"> 98302 </t>
  </si>
  <si>
    <t>PATCH PANEL 24 PORTAS, CATEGORIA 6 - FORNECIMENTO E INSTALAÇÃO. AF_11/2019</t>
  </si>
  <si>
    <t xml:space="preserve"> 13.30 </t>
  </si>
  <si>
    <t xml:space="preserve"> 079444 </t>
  </si>
  <si>
    <t>ORGANIZADOR HORIZONTAL DE CABOS 1 U</t>
  </si>
  <si>
    <t xml:space="preserve"> 13.31 </t>
  </si>
  <si>
    <t xml:space="preserve"> 059251 </t>
  </si>
  <si>
    <t>DISTRIBUIDOR INTERNO OPTICO DIO 24 FIBRAS</t>
  </si>
  <si>
    <t xml:space="preserve"> 13.32 </t>
  </si>
  <si>
    <t xml:space="preserve"> 98305 </t>
  </si>
  <si>
    <t>RACK FECHADO PARA SERVIDOR - FORNECIMENTO E INSTALAÇÃO. AF_11/2019</t>
  </si>
  <si>
    <t xml:space="preserve"> 13.33 </t>
  </si>
  <si>
    <t xml:space="preserve"> UFF00049 (ADAPT_AGESUL: 1202007081) </t>
  </si>
  <si>
    <t>CAMERA POE, FIXA, RESOLUÇÃO 4K, 8 MEGAPIXELS, ALCANCE DE ATÉ 60 METROS, USO INTERNO/EXTERNO, COM INFRAVERMELHO, CASE METÁLICO, INDICE DE PROTEÇÃO IP67, COM PROTEÇÃO ANTI-SURTO.ILAR- FORNECIMENTO E INSTALAÇÃO</t>
  </si>
  <si>
    <t xml:space="preserve"> 13.34 </t>
  </si>
  <si>
    <t xml:space="preserve"> 13.35 </t>
  </si>
  <si>
    <t xml:space="preserve"> 13.36 </t>
  </si>
  <si>
    <t xml:space="preserve"> 13.37 </t>
  </si>
  <si>
    <t xml:space="preserve"> 13.38 </t>
  </si>
  <si>
    <t xml:space="preserve"> 13.39 </t>
  </si>
  <si>
    <t xml:space="preserve"> 13.40 </t>
  </si>
  <si>
    <t xml:space="preserve"> 14.1 </t>
  </si>
  <si>
    <t>SISTEMA DE DETECÇÃO E ALARME DE INCÊNDIO</t>
  </si>
  <si>
    <t xml:space="preserve"> 14.1.1 </t>
  </si>
  <si>
    <t>INSTALAÇÕES INTERNAS SDAI</t>
  </si>
  <si>
    <t xml:space="preserve"> 14.1.1.1 </t>
  </si>
  <si>
    <t xml:space="preserve"> UFF00524 (ADAPT_EMOP: 15.034.0021-A) </t>
  </si>
  <si>
    <t>REMOÇÃO/DESINSTALAÇÃO DE REDE SISTEMA DETECÇÃO E ALARME DE INCÊNDIO (SDAI).</t>
  </si>
  <si>
    <t xml:space="preserve"> 14.1.1.2 </t>
  </si>
  <si>
    <t xml:space="preserve"> 14.1.1.3 </t>
  </si>
  <si>
    <t xml:space="preserve"> UFF00514 (ADAPT_EMOP:  15.034.0020-A) </t>
  </si>
  <si>
    <t>ELETRODUTO DE ALUMÍNIO DIÂMETRO 3/4" COM ROSCA BSP. FORNECIMENTO E ASSENTAMENTO</t>
  </si>
  <si>
    <t xml:space="preserve"> 14.1.1.4 </t>
  </si>
  <si>
    <t xml:space="preserve"> 061551 </t>
  </si>
  <si>
    <t>ELETRODUTO FLEXIVEL SEALTUBE 1""</t>
  </si>
  <si>
    <t xml:space="preserve"> 14.1.1.5 </t>
  </si>
  <si>
    <t xml:space="preserve"> UFF00024 (ADAPT_SBC:055221) </t>
  </si>
  <si>
    <t>CONECTOR MACHO GIRATORIO 1" POLEGADA ZINCADO</t>
  </si>
  <si>
    <t xml:space="preserve"> 14.1.1.6 </t>
  </si>
  <si>
    <t xml:space="preserve"> 14.1.1.7 </t>
  </si>
  <si>
    <t xml:space="preserve"> 14.1.1.8 </t>
  </si>
  <si>
    <t xml:space="preserve"> 95781 </t>
  </si>
  <si>
    <t>CONDULETE DE ALUMÍNIO, TIPO C, PARA ELETRODUTO DE AÇO GALVANIZADO DN 25 MM (1''), APARENTE - FORNECIMENTO E INSTALAÇÃO. AF_10/2022</t>
  </si>
  <si>
    <t xml:space="preserve"> 14.1.1.9 </t>
  </si>
  <si>
    <t xml:space="preserve"> 14.1.1.10 </t>
  </si>
  <si>
    <t xml:space="preserve"> 95802 </t>
  </si>
  <si>
    <t>CONDULETE DE ALUMÍNIO, TIPO X, PARA ELETRODUTO DE AÇO GALVANIZADO DN 25 MM (1''), APARENTE - FORNECIMENTO E INSTALAÇÃO. AF_10/2022</t>
  </si>
  <si>
    <t xml:space="preserve"> 14.1.1.11 </t>
  </si>
  <si>
    <t xml:space="preserve"> 14.1.1.12 </t>
  </si>
  <si>
    <t xml:space="preserve"> 14.1.1.13 </t>
  </si>
  <si>
    <t xml:space="preserve"> 14.1.1.14 </t>
  </si>
  <si>
    <t xml:space="preserve"> 14.1.1.15 </t>
  </si>
  <si>
    <t xml:space="preserve"> 14.1.1.16 </t>
  </si>
  <si>
    <t xml:space="preserve"> 14.1.1.17 </t>
  </si>
  <si>
    <t xml:space="preserve"> 14.1.1.18 </t>
  </si>
  <si>
    <t xml:space="preserve"> 15.008.0157-A </t>
  </si>
  <si>
    <t>CABO DE COBRE COM ISOLACAO SOLIDA EXTRUDADA,COM BAIXA EMISSA O DE FUMACA,BIPOLAR,2X2,5MM2,ISOLAMENTO 0,6/1KV,COMPREENDEND O:PREPARO,CORTE E ENFIACAO EM ELETRODUTOS.FORNECIMENTO E COL OCACAO</t>
  </si>
  <si>
    <t xml:space="preserve"> 14.1.1.19 </t>
  </si>
  <si>
    <t xml:space="preserve"> UFF00025 (ADAPT_CPOS:39.12.510) </t>
  </si>
  <si>
    <t>FORNECIMENTO E INSTALAÇÃO - CABO 2X1,5MM2 PARA SISTEMA DE ALARME DE INCÊNDIO – TIPO MA AI CONDUTOR: ENCORDOAMENTO CLASSE 2 / ISOLAÇÃO: PVC/EB (105 °C) / 1 PAR OU 1 TERNA /BLINDAGEM ELETROSTÁTICA TOTAL (215 MA AI FR)</t>
  </si>
  <si>
    <t xml:space="preserve"> 14.1.1.20 </t>
  </si>
  <si>
    <t xml:space="preserve"> UFF00064 (ADAPT_ORSE:11820) </t>
  </si>
  <si>
    <t>FORNECIMENTO, INSTALAÇÃO E PROGRAMAÇÃO DE CENTRAL DE ALARME DE INCENDIO INDEREÇAVEL INTELIGENTE PARA ATÉ 10 LAÇOS, COM 159 DETECTORES POR LAÇO, E 318 DISPOSITIVOS POR LAÇO, MODELO NFS2-3030 DE FABRICAÇÃO NOTIFIER OU SIMILAR TÉCNICO.</t>
  </si>
  <si>
    <t xml:space="preserve">54.947,50 
 (BDI 16,12%) </t>
  </si>
  <si>
    <t xml:space="preserve"> 14.1.1.21 </t>
  </si>
  <si>
    <t xml:space="preserve"> UFF00027 (ADAPT_SBC:058610) </t>
  </si>
  <si>
    <t>FORNECIMENTO E INSTALAÇÃO - ACIONADOR MANUAL ENDEREÇÁVEL</t>
  </si>
  <si>
    <t xml:space="preserve"> 14.1.1.22 </t>
  </si>
  <si>
    <t xml:space="preserve"> UFF00022 (ADAPT_SBC:058090) </t>
  </si>
  <si>
    <t>FORNECIMENTO E INSTALAÇÃO - AVISADOR AUDIO VISUAL.</t>
  </si>
  <si>
    <t xml:space="preserve"> 14.1.1.23 </t>
  </si>
  <si>
    <t xml:space="preserve"> UFF00065 (ADAPT_CPOS:50.05.430) </t>
  </si>
  <si>
    <t>FORNECIMENTO E INSTALAÇÃO - BASE PARA SENSOR DE TEMPERATURA, FUMAÇÃO E MULTIFUNÇÃO ENDEREÇÁVEL</t>
  </si>
  <si>
    <t xml:space="preserve"> 14.1.1.24 </t>
  </si>
  <si>
    <t xml:space="preserve"> UFF00028 (ADAPT_CPOS:50.05.430) </t>
  </si>
  <si>
    <t>FORNECIMENTO E INSTALAÇÃO - DETECTOR ENDEREÇÁVEL ÓPTICO DE FUMAÇA FSP-951 DE FABRICAÇÃO NOTIFIER OU SIMILAR TÉCNICO EXCLUSIVE BASE</t>
  </si>
  <si>
    <t xml:space="preserve"> 14.1.1.25 </t>
  </si>
  <si>
    <t xml:space="preserve"> UFF00029 (ADAPT_SBC:067650) </t>
  </si>
  <si>
    <t>FORNECIMENTO E INSTALAÇÃO - DETECTOR ENDEREÇÁVEL DE TEMPERATURA FST-951 DE FABRICAÇÃO NOTIFIER OU SIMILAR TÉCNICO EXCLUSIVE BASE</t>
  </si>
  <si>
    <t xml:space="preserve"> 14.1.1.26 </t>
  </si>
  <si>
    <t xml:space="preserve"> UFF00031 (ADAPT_CPOS:50.05.214) </t>
  </si>
  <si>
    <t>FORNECIMENTO E INSTALAÇÃO - DETECTOR ENDEREÇÁVEL DE GÁS</t>
  </si>
  <si>
    <t xml:space="preserve"> 14.1.1.27 </t>
  </si>
  <si>
    <t xml:space="preserve"> UFF00032 (ADAPT_CPOS:50.05.470) </t>
  </si>
  <si>
    <t>FORNECIMENTO E INSTALAÇÃO - FONTE DE ALIMENTAÇÃO CHAVEADA 24VCC</t>
  </si>
  <si>
    <t xml:space="preserve"> 14.1.1.28 </t>
  </si>
  <si>
    <t xml:space="preserve"> UFF00033 (ADAPT_CPOS:50.05.470) </t>
  </si>
  <si>
    <t>FORNECIMENTO E INSTALAÇÃO - MÓDULO ISOLADOR</t>
  </si>
  <si>
    <t xml:space="preserve"> 14.1.2 </t>
  </si>
  <si>
    <t>REDE EXTERNA DE SDAI</t>
  </si>
  <si>
    <t xml:space="preserve"> 14.1.2.1 </t>
  </si>
  <si>
    <t xml:space="preserve"> MAT066800 </t>
  </si>
  <si>
    <t>Hidrante de coluna de 100mm, completo, com registro cunha de borracha</t>
  </si>
  <si>
    <t xml:space="preserve"> 14.1.2.2 </t>
  </si>
  <si>
    <t xml:space="preserve"> 14.1.2.3 </t>
  </si>
  <si>
    <t xml:space="preserve"> 14.1.2.4 </t>
  </si>
  <si>
    <t xml:space="preserve"> 14.1.2.5 </t>
  </si>
  <si>
    <t xml:space="preserve"> 101619 </t>
  </si>
  <si>
    <t>PREPARO DE FUNDO DE VALA COM LARGURA MENOR QUE 1,5 M, COM CAMADA DE BRITA, LANÇAMENTO MANUAL. AF_08/2020</t>
  </si>
  <si>
    <t xml:space="preserve"> 14.1.2.6 </t>
  </si>
  <si>
    <t xml:space="preserve"> IT 24.10.0112 </t>
  </si>
  <si>
    <t>Linha de duto espiral flexivel em polietileno de alta densidade, tipo Kanalex ou similar, diametro de 50mm (2" ), lancado diretamente ao solo com com arame-guia galvanizado revestido em PVC, inclusive emendas e tamponamento, exclusive excavacao e reaterro.(desonerado)</t>
  </si>
  <si>
    <t xml:space="preserve"> 14.1.2.7 </t>
  </si>
  <si>
    <t xml:space="preserve">  UFF-AT001 (ADAPT_ORSE:11820)  </t>
  </si>
  <si>
    <t>FORNECIMENTO, INSTALAÇÃO E PROGRAMAÇÃO DE PAINEL REPETIDOR DE SINAL ENDEREÇAVEL, DISPLAY REPETIDOR 160 CARACTERES PORTUGUES-ONYX - LCD-160-PO, DE FABRICAÇÃO NOTIFIER OU SIMILAR TÉCNICO.</t>
  </si>
  <si>
    <t xml:space="preserve"> 14.2 </t>
  </si>
  <si>
    <t>INSTALAÇÃO DE COMBATE A INCÊNDIO</t>
  </si>
  <si>
    <t xml:space="preserve"> 14.2.1 </t>
  </si>
  <si>
    <t>INSTALAÇÃO INTERNA DE COMBATE A INCÊNDIO</t>
  </si>
  <si>
    <t xml:space="preserve"> 14.2.1.1 </t>
  </si>
  <si>
    <t xml:space="preserve"> 97535 </t>
  </si>
  <si>
    <t>TUBO DE AÇO GALVANIZADO COM COSTURA, CLASSE MÉDIA, CONEXÃO ROSQUEADA, DN 25 (1"), INSTALADO EM REDE DE ALIMENTAÇÃO PARA SPRINKLER - FORNECIMENTO E INSTALAÇÃO. AF_10/2020</t>
  </si>
  <si>
    <t xml:space="preserve"> 14.2.1.2 </t>
  </si>
  <si>
    <t xml:space="preserve"> 92670 </t>
  </si>
  <si>
    <t>JOELHO 90 GRAUS, EM FERRO GALVANIZADO, CONEXÃO ROSQUEADA, DN 25 (1"), INSTALADO EM REDE DE ALIMENTAÇÃO PARA SPRINKLER - FORNECIMENTO E INSTALAÇÃO. AF_10/2020</t>
  </si>
  <si>
    <t xml:space="preserve"> 14.2.1.3 </t>
  </si>
  <si>
    <t xml:space="preserve"> 92938 </t>
  </si>
  <si>
    <t>LUVA DE REDUÇÃO, EM FERRO GALVANIZADO, 1" X 1/2", CONEXÃO ROSQUEADA, INSTALADO EM REDE DE ALIMENTAÇÃO PARA SPRINKLER - FORNECIMENTO E INSTALAÇÃO. AF_10/2020</t>
  </si>
  <si>
    <t xml:space="preserve"> 14.2.1.4 </t>
  </si>
  <si>
    <t xml:space="preserve"> 92940 </t>
  </si>
  <si>
    <t>LUVA DE REDUÇÃO, EM FERRO GALVANIZADO, 1 1/4" X 1", CONEXÃO ROSQUEADA, INSTALADO EM REDE DE ALIMENTAÇÃO PARA SPRINKLER - FORNECIMENTO E INSTALAÇÃO. AF_10/2020</t>
  </si>
  <si>
    <t xml:space="preserve"> 14.2.1.5 </t>
  </si>
  <si>
    <t xml:space="preserve"> 92944 </t>
  </si>
  <si>
    <t>LUVA DE REDUÇÃO, EM FERRO GALVANIZADO, 1 1/2" X 1", CONEXÃO ROSQUEADA, INSTALADO EM REDE DE ALIMENTAÇÃO PARA SPRINKLER - FORNECIMENTO E INSTALAÇÃO. AF_10/2020</t>
  </si>
  <si>
    <t xml:space="preserve"> 14.2.1.6 </t>
  </si>
  <si>
    <t xml:space="preserve"> 92948 </t>
  </si>
  <si>
    <t>LUVA DE REDUÇÃO, EM FERRO GALVANIZADO, 2" X 1", CONEXÃO ROSQUEADA, INSTALADO EM REDE DE ALIMENTAÇÃO PARA SPRINKLER - FORNECIMENTO E INSTALAÇÃO. AF_10/2020</t>
  </si>
  <si>
    <t xml:space="preserve"> 14.2.1.7 </t>
  </si>
  <si>
    <t xml:space="preserve"> 95696 </t>
  </si>
  <si>
    <t>SPRINKLER TIPO PENDENTE, 68 °C, UNIÃO POR ROSCA DN 15 (1/2") - FORNECIMENTO E INSTALAÇÃO. AF_10/2020</t>
  </si>
  <si>
    <t xml:space="preserve"> 14.2.1.8 </t>
  </si>
  <si>
    <t xml:space="preserve"> UFF00034 (ADAPT_SINAPI:95696) </t>
  </si>
  <si>
    <t>SPRINKLER CROMADO 68° VERMELHO - UPRIGHT 1/2" - FORNECIMENTO E INSTALAÇÃO.</t>
  </si>
  <si>
    <t xml:space="preserve"> 14.2.1.9 </t>
  </si>
  <si>
    <t xml:space="preserve"> 055992 </t>
  </si>
  <si>
    <t>VALVULA GAVETA EXTREMIDAES FLANGEADAS HASTE ASCENDENTE 2""</t>
  </si>
  <si>
    <t xml:space="preserve"> 14.2.1.10 </t>
  </si>
  <si>
    <t xml:space="preserve"> 94501 </t>
  </si>
  <si>
    <t>REGISTRO DE GAVETA BRUTO, LATÃO, ROSCÁVEL, 4" - FORNECIMENTO E INSTALAÇÃO. AF_08/2021</t>
  </si>
  <si>
    <t xml:space="preserve"> 14.2.1.11 </t>
  </si>
  <si>
    <t xml:space="preserve"> 070634 </t>
  </si>
  <si>
    <t>CHAVE DE FLUXO TIPO PALHETA 1"" SERIE 100</t>
  </si>
  <si>
    <t xml:space="preserve"> 14.2.1.12 </t>
  </si>
  <si>
    <t xml:space="preserve"> UFF00490 (ADAPT_SINAPI: 96765) </t>
  </si>
  <si>
    <t>ABRIGO PARA HIDRANTE, 90X60X17CM, COM REGISTRO GLOBO ANGULAR 45 GRAUS 2 1/2", ADAPTADOR STORZ 2 1/2", 02 MANGUEIRAS DE INCÊNDIO 15M, REDUÇÃO 2 1/2" X 1 1/2" E ESGUICHO EM LATÃO 1 1/2" - FORNECIMENTO E INSTALAÇÃO.</t>
  </si>
  <si>
    <t xml:space="preserve"> 14.2.1.13 </t>
  </si>
  <si>
    <t xml:space="preserve"> 17.040.0050-A </t>
  </si>
  <si>
    <t>PINTURA DE SINALIZACAO DE SOLO PARA EQUIPAMENTOS DE COMBATE A INCENDIO (EXTINTORES E HIDRANTES),EM QUADRADOS VERMELHOS D E (0,70X0,70)M E BORDAS AMARELAS DE 0,15M DE LARGURA,CONFORM E ABNT NBR 16820</t>
  </si>
  <si>
    <t xml:space="preserve"> 14.2.1.14 </t>
  </si>
  <si>
    <t xml:space="preserve"> UFF00589 (ADAPT_AGESUL: 1401000125) </t>
  </si>
  <si>
    <t>REGISTRO TIPO GLOBO ANGULAR 45o, 2 1/2", INCLUSIVE TAMPAO CEGO E CORRENTE, DE LATAO, COM ADAPTADOR STORZ (ROSCA 2 1/2"X STORZ 2 1/2"). FORNECIMENTO E INSTALAÇÃO.</t>
  </si>
  <si>
    <t xml:space="preserve"> 14.2.1.15 </t>
  </si>
  <si>
    <t xml:space="preserve"> UFF00035 (ADAPT_SBC:180787) </t>
  </si>
  <si>
    <t>LIXAMENTO DAS TUBULAÇÕES, APLICAÇÃO DE PRIME ANTECORROSIVO E PINTURA DE TUBULAÇÃO NA COR VERMELHO SEGURANÇA DN=1".</t>
  </si>
  <si>
    <t xml:space="preserve"> 14.2.1.16 </t>
  </si>
  <si>
    <t xml:space="preserve"> UFF00036 (ADAPT_SBC:180787) </t>
  </si>
  <si>
    <t>LIXAMENTO DAS TUBULAÇÕES, APLICAÇÃO DE PRIME ANTECORROSIVO E PINTURA DE TUBULAÇÃO NA COR VERMELHO SEGURANÇA DN=11/4".</t>
  </si>
  <si>
    <t xml:space="preserve"> 14.2.1.17 </t>
  </si>
  <si>
    <t xml:space="preserve"> UFF00037 (ADAPT_SBC:180787) </t>
  </si>
  <si>
    <t>LIXAMENTO DAS TUBULAÇÕES, APLICAÇÃO DE PRIME ANTECORROSIVO E PINTURA DE TUBULAÇÃO NA COR VERMELHO SEGURANÇA DN=11/2".</t>
  </si>
  <si>
    <t xml:space="preserve"> 14.2.1.18 </t>
  </si>
  <si>
    <t xml:space="preserve"> UFF00038 (ADAPT_SBC:180787) </t>
  </si>
  <si>
    <t>LIXAMENTO DAS TUBULAÇÕES, APLICAÇÃO DE PRIME ANTECORROSIVO E PINTURA DE TUBULAÇÃO NA COR VERMELHO SEGURANÇA DN=2" a 2.1/2".</t>
  </si>
  <si>
    <t xml:space="preserve"> 14.2.1.19 </t>
  </si>
  <si>
    <t xml:space="preserve"> UFF00039 (ADAPT_SBC:180787) </t>
  </si>
  <si>
    <t>LIXAMENTO DAS TUBULAÇÕES, APLICAÇÃO DE PRIME ANTECORROSIVO E PINTURA DE TUBULAÇÃO NA COR VERMELHO SEGURANÇA DN=3".</t>
  </si>
  <si>
    <t xml:space="preserve"> 14.2.1.20 </t>
  </si>
  <si>
    <t xml:space="preserve"> UFF00040 (ADAPT_SBC:180787) </t>
  </si>
  <si>
    <t>LIXAMENTO DAS TUBULAÇÕES, APLICAÇÃO DE PRIME ANTECORROSIVO E PINTURA DE TUBULAÇÃO NA COR VERMELHO SEGURANÇA DN=4".</t>
  </si>
  <si>
    <t xml:space="preserve"> 14.2.1.21 </t>
  </si>
  <si>
    <t xml:space="preserve"> UFF00041 (ADAPT_SBC:180787) </t>
  </si>
  <si>
    <t>LIXAMENTO DAS TUBULAÇÕES, APLICAÇÃO DE PRIME ANTECORROSIVO E PINTURA DE TUBULAÇÃO NA COR VERMELHO SEGURANÇA DN=6".</t>
  </si>
  <si>
    <t xml:space="preserve"> 14.2.1.22 </t>
  </si>
  <si>
    <t xml:space="preserve"> 101909 </t>
  </si>
  <si>
    <t>EXTINTOR DE INCÊNDIO PORTÁTIL COM CARGA DE PQS DE 6 KG, CLASSE BC - FORNECIMENTO E INSTALAÇÃO. AF_10/2020_PE</t>
  </si>
  <si>
    <t xml:space="preserve"> 14.2.1.23 </t>
  </si>
  <si>
    <t xml:space="preserve"> 055863 </t>
  </si>
  <si>
    <t>EXTINTOR PO QUIMICO SECO 6kg ABC NBR 15808:2017</t>
  </si>
  <si>
    <t xml:space="preserve"> 14.2.1.24 </t>
  </si>
  <si>
    <t xml:space="preserve"> 055281 </t>
  </si>
  <si>
    <t>EXTINTOR CARRETA PO QUIMICO SECO 50 KG BC</t>
  </si>
  <si>
    <t xml:space="preserve"> 14.2.1.25 </t>
  </si>
  <si>
    <t xml:space="preserve"> 101907 </t>
  </si>
  <si>
    <t>EXTINTOR DE INCÊNDIO PORTÁTIL COM CARGA DE CO2 DE 6 KG, CLASSE BC - FORNECIMENTO E INSTALAÇÃO. AF_10/2020_PE</t>
  </si>
  <si>
    <t xml:space="preserve"> 14.2.1.26 </t>
  </si>
  <si>
    <t xml:space="preserve"> UFF00515 (ADAPT_SBC: 055012) </t>
  </si>
  <si>
    <t>Extintor CO2 Alumínio Para Sala de Ressonância Magnética - 6,8 kg - Mo.331 - SC</t>
  </si>
  <si>
    <t xml:space="preserve"> 14.2.1.27 </t>
  </si>
  <si>
    <t xml:space="preserve"> UFF00042 (ADAPT_SINAPI:101909) </t>
  </si>
  <si>
    <t>EXTINTOR DE ESPUMA MECÂNICA (EM) 10L, CARGA EXTINTORA 2-A 10-B.</t>
  </si>
  <si>
    <t xml:space="preserve"> 14.2.1.28 </t>
  </si>
  <si>
    <t xml:space="preserve"> UFF00557 </t>
  </si>
  <si>
    <t>SELAGEM CORTA FOGO SHAFT</t>
  </si>
  <si>
    <t xml:space="preserve"> 14.2.1.29 </t>
  </si>
  <si>
    <t xml:space="preserve"> UFF00043 (ADAPT_CPOS: 50.05.312) </t>
  </si>
  <si>
    <t>Bloco autônomo de iluminação de emergência LED, com autonomia mínima de 2 horas, fluxo luminoso de 2.200 lúmens, equipado com 2 faróis</t>
  </si>
  <si>
    <t xml:space="preserve"> 14.2.1.30 </t>
  </si>
  <si>
    <t xml:space="preserve"> UFF00044 (ADAPT_AGESUL: 1401000160) </t>
  </si>
  <si>
    <t>BLOCO AUTÔNOMO BALIZAMENTO (SINALIZAÇÃO DE SAÍDA- SEM SETA) COM INDICAÇÃO ESCRITA DE "SAÍDA" NA COR VERDE, COM LEDS SMD E AUTONOMIA MÍNIMA DE 3 HORAS</t>
  </si>
  <si>
    <t xml:space="preserve"> 14.2.1.31 </t>
  </si>
  <si>
    <t xml:space="preserve"> UFF00045 (ADAPT_AGESUL: 1401000160) </t>
  </si>
  <si>
    <t>BLOCO AUTÔNOMO BALIZAMENTO (SINALIZAÇÃO DE SAÍDA- COM SETA- DUPLA FACE) COM INDICAÇÃO ESCRITA DE "SAÍDA" NA COR VERDE E SETA INDICADORA DIRECIONAL NAS DUAS FACES, COM LEDS SMD E AUTONOMIA MÍNIMA DE 3 HORAS</t>
  </si>
  <si>
    <t xml:space="preserve"> 14.2.1.32 </t>
  </si>
  <si>
    <t xml:space="preserve"> UFF00051 (ADAPT_CPOS: 47.06.320) </t>
  </si>
  <si>
    <t>MANUTENÇÃO DE VÁLVULA DE GOVERNO Ø 100 MM (4") COMPLETA COM GONGO HIDRÁULICO</t>
  </si>
  <si>
    <t xml:space="preserve"> 14.2.1.33 </t>
  </si>
  <si>
    <t xml:space="preserve"> UFF00048 (ADAPT_SEINFRA: C0450) </t>
  </si>
  <si>
    <t>BOMBA DE PRESSURIZAÇÃO JOCKEY 3,0 CV</t>
  </si>
  <si>
    <t xml:space="preserve"> 14.2.1.34 </t>
  </si>
  <si>
    <t xml:space="preserve"> UFF00534 (ADAPT_SEINFRA: C0450) </t>
  </si>
  <si>
    <t>BOMBA DE PRESSURIZAÇÃO JOCKEY 5,0 CV</t>
  </si>
  <si>
    <t xml:space="preserve"> 14.2.1.35 </t>
  </si>
  <si>
    <t xml:space="preserve"> UFF00047 (ADAPT_SIURB: 10003010) </t>
  </si>
  <si>
    <t>CONJUNTO MOTOR BOMBA 7,5CV</t>
  </si>
  <si>
    <t xml:space="preserve"> 14.2.1.36 </t>
  </si>
  <si>
    <t xml:space="preserve"> UFF00046 (ADAPT_SIURB: 10003013) </t>
  </si>
  <si>
    <t>CONJUNTO MOTOR BOMBA 20CV</t>
  </si>
  <si>
    <t xml:space="preserve"> 14.2.1.37 </t>
  </si>
  <si>
    <t xml:space="preserve"> UFF00060 (ADAPT_ORSE:13341) </t>
  </si>
  <si>
    <t>QUADRO DE COMANDO PARA 02 BOMBAS INCÊNDIO 7,5CV/220V SISTEMA HIDRANTES. FORNECIMENTO E INSTALAÇÃO.</t>
  </si>
  <si>
    <t xml:space="preserve">19.362,35 
 (BDI 16,12%) </t>
  </si>
  <si>
    <t xml:space="preserve"> 14.2.1.38 </t>
  </si>
  <si>
    <t xml:space="preserve"> UFF00500 (ADAPT_ORSE:13341) </t>
  </si>
  <si>
    <t>QUADRO DE COMANDO PARA 02 BOMBAS INCÊNDIO 20CV/220V SISTEMA SPRINKLER. FORNECIMENTO E INSTALAÇÃO.</t>
  </si>
  <si>
    <t xml:space="preserve">18.257,90 
 (BDI 16,12%) </t>
  </si>
  <si>
    <t xml:space="preserve"> 14.2.1.39 </t>
  </si>
  <si>
    <t xml:space="preserve"> UFF00063 (ADAPT_ORSE:13340) </t>
  </si>
  <si>
    <t>QUADRO DE COMANDO PARA BOMBA INCÊNDIO JOCKEY 3CV/220V SISTEMA HIDRANTES. FORNECIMENTO E INSTALAÇÃO.</t>
  </si>
  <si>
    <t xml:space="preserve">11.167,69 
 (BDI 16,12%) </t>
  </si>
  <si>
    <t xml:space="preserve"> 14.2.1.40 </t>
  </si>
  <si>
    <t xml:space="preserve"> UFF00501 (ADAPT_ORSE:13340) </t>
  </si>
  <si>
    <t>QUADRO DE COMANDO PARA BOMBA INCÊNDIO JOCKEY 5CV/220V SISTEMA SPRINKLER. FORNECIMENTO E INSTALAÇÃO.</t>
  </si>
  <si>
    <t xml:space="preserve">11.864,35 
 (BDI 16,12%) </t>
  </si>
  <si>
    <t xml:space="preserve"> 14.2.1.41 </t>
  </si>
  <si>
    <t xml:space="preserve"> 100025 </t>
  </si>
  <si>
    <t>PLACA CIMENTICIA PARA STEEL FRAME BRASILIT 1200x2400x10mm</t>
  </si>
  <si>
    <t xml:space="preserve"> 14.2.2 </t>
  </si>
  <si>
    <t>CAVALETES DE TESTES - HIDRANTE / SPRINKLER</t>
  </si>
  <si>
    <t xml:space="preserve"> 14.2.2.1 </t>
  </si>
  <si>
    <t xml:space="preserve"> 92688 </t>
  </si>
  <si>
    <t>TUBO DE AÇO GALVANIZADO COM COSTURA, CLASSE MÉDIA, CONEXÃO ROSQUEADA, DN 20 (3/4"), INSTALADO EM RAMAIS E SUB-RAMAIS DE GÁS - FORNECIMENTO E INSTALAÇÃO. AF_10/2020</t>
  </si>
  <si>
    <t xml:space="preserve"> 14.2.2.2 </t>
  </si>
  <si>
    <t xml:space="preserve"> 055322 </t>
  </si>
  <si>
    <t>VALVULA GAVETA ROSCA BRONZE 3/4""</t>
  </si>
  <si>
    <t xml:space="preserve"> 14.2.2.3 </t>
  </si>
  <si>
    <t xml:space="preserve"> 14.2.2.4 </t>
  </si>
  <si>
    <t xml:space="preserve"> 055717 </t>
  </si>
  <si>
    <t>TE 90 FERRO GALVANIZADO DIAM. 3/4""</t>
  </si>
  <si>
    <t xml:space="preserve"> 14.2.2.5 </t>
  </si>
  <si>
    <t xml:space="preserve"> 055726 </t>
  </si>
  <si>
    <t>TE REDUCAO FERRO GALVANIZADO 3/4""x1/2""</t>
  </si>
  <si>
    <t xml:space="preserve"> 14.2.2.6 </t>
  </si>
  <si>
    <t xml:space="preserve"> UFF00507 (ADAPT_SINAPI: 055150) </t>
  </si>
  <si>
    <t>JOELHO/COTOVELO 90 FERRO GALVANIZADO 3/4""</t>
  </si>
  <si>
    <t xml:space="preserve"> 14.2.2.7 </t>
  </si>
  <si>
    <t xml:space="preserve"> 105172 </t>
  </si>
  <si>
    <t>BUCHA DE REDUÇÃO, EM FERRO GALVANIZADO, CONEXÃO ROSQUEADA, DN 80 MM X 50 MM (3" X 2"), INSTALADO EM RESERVAÇÃO PREDIAL DE ÁGUA - FORNECIMENTO E INSTALAÇÃO. AF_04/2024</t>
  </si>
  <si>
    <t xml:space="preserve"> 14.2.2.8 </t>
  </si>
  <si>
    <t xml:space="preserve"> UFF00508 (ADAPT_SINAPI: 105172) </t>
  </si>
  <si>
    <t>BUCHA DE REDUÇÃO, EM FERRO GALVANIZADO, CONEXÃO ROSQUEADA, DN 2" X 3/4" - FORNECIMENTO E INSTALAÇÃO.</t>
  </si>
  <si>
    <t xml:space="preserve"> 14.2.2.9 </t>
  </si>
  <si>
    <t xml:space="preserve"> UFF00509 (ADAPT_SINAPI: 105172) </t>
  </si>
  <si>
    <t>BUCHA DE REDUÇÃO, EM FERRO GALVANIZADO, CONEXÃO ROSQUEADA, DN 1/2" X 1/4" - FORNECIMENTO E INSTALAÇÃO.</t>
  </si>
  <si>
    <t xml:space="preserve"> 14.2.2.10 </t>
  </si>
  <si>
    <t xml:space="preserve"> UFF00510 (ADAPT_SINAPI: 105172) </t>
  </si>
  <si>
    <t>BUCHA DE REDUÇÃO, EM FERRO GALVANIZADO, CONEXÃO ROSQUEADA, DN 5" X 4" - FORNECIMENTO E INSTALAÇÃO.</t>
  </si>
  <si>
    <t xml:space="preserve"> 14.2.2.11 </t>
  </si>
  <si>
    <t xml:space="preserve"> UFF00511 (ADAPT_SINAPI: 105172) </t>
  </si>
  <si>
    <t>BUCHA DE REDUÇÃO, EM FERRO GALVANIZADO, CONEXÃO ROSQUEADA, DN 4" X 2" - FORNECIMENTO E INSTALAÇÃO.</t>
  </si>
  <si>
    <t xml:space="preserve"> 14.2.2.12 </t>
  </si>
  <si>
    <t xml:space="preserve"> 92694 </t>
  </si>
  <si>
    <t>NIPLE, EM FERRO GALVANIZADO, CONEXÃO ROSQUEADA, DN 20 (3/4"), INSTALADO EM RAMAIS E SUB-RAMAIS DE GÁS - FORNECIMENTO E INSTALAÇÃO. AF_10/2020</t>
  </si>
  <si>
    <t xml:space="preserve"> 14.2.2.13 </t>
  </si>
  <si>
    <t xml:space="preserve"> UFF00512 (ADAPT_SINAPI: 92692) </t>
  </si>
  <si>
    <t>NIPLE, EM FERRO GALVANIZADO, CONEXÃO ROSQUEADA, DN 6,3MM (1/4") - FORNECIMENTO E INSTALAÇÃO.</t>
  </si>
  <si>
    <t xml:space="preserve"> 14.2.2.14 </t>
  </si>
  <si>
    <t xml:space="preserve"> UFF00513 (ADAPT_SBC: 056215) </t>
  </si>
  <si>
    <t>LUVA FERRO GALVANIZADO DIAM. 1/4""</t>
  </si>
  <si>
    <t xml:space="preserve"> 14.2.2.15 </t>
  </si>
  <si>
    <t xml:space="preserve"> 14.2.2.16 </t>
  </si>
  <si>
    <t xml:space="preserve"> 055700 </t>
  </si>
  <si>
    <t>PRESSOSTATO ALTA/BAIXA COM REARME MANUAL REF. KP15</t>
  </si>
  <si>
    <t xml:space="preserve"> 14.2.2.17 </t>
  </si>
  <si>
    <t xml:space="preserve"> 055053 </t>
  </si>
  <si>
    <t>CONJUNTO PRESSURIZACAO PARA REDE DE INCENDIO</t>
  </si>
  <si>
    <t xml:space="preserve"> 14.2.3 </t>
  </si>
  <si>
    <t>SINALIZAÇÃO DE EMERGÊNCIA E SEGURANÇA</t>
  </si>
  <si>
    <t xml:space="preserve"> 14.2.3.1 </t>
  </si>
  <si>
    <t xml:space="preserve"> 05.054.0105-A </t>
  </si>
  <si>
    <t>PLACA FOTOLUMINESCENTE DE SINALIZACAO DE SEGURANCA CONTRA IN CENDIO,PARA EQUIPAMENTOS DE COMBATE A INCENDIO E ALARME,EM P VC ANTICHAMA,DIMENSOES APROXIMADAS DE (15X15)CM,CONFORME ABN T NBR 16820.FORNECIMENTO E COLOCACAO</t>
  </si>
  <si>
    <t xml:space="preserve"> 14.2.3.2 </t>
  </si>
  <si>
    <t xml:space="preserve"> UFF00559 (ADAPT_SBC: 055918) </t>
  </si>
  <si>
    <t>PLACA FOTOLUMINESCENTE DE SINALIZACAO DE SEGURANCA CONTRA INCENDIO, PARA EQUIPAMENTOS DE COMBATE A INCENDIO E ALARME, EM PVC ANTICHAMA, DIMENSOES APROXIMADAS DE (252X126)MM. FORNECIMENTO E COLOCACAO.</t>
  </si>
  <si>
    <t xml:space="preserve"> 14.2.3.3 </t>
  </si>
  <si>
    <t xml:space="preserve"> UFF00560 (ADAPT_EMOP: 05.054.0120-A) </t>
  </si>
  <si>
    <t>PLACA FOTOLUMINESCENTE DE SINALIZACAO DE SEGURANCA CONTRA INCENDIO, EM PVC ANTICHAMA, FORMA CIRCULAR, DIAMETRO APROXIMADO DE 101MM. FORNECIMENTO E COLOCACAO.</t>
  </si>
  <si>
    <t xml:space="preserve"> 14.2.3.4 </t>
  </si>
  <si>
    <t xml:space="preserve"> UFF00561 (ADAPT_EMOP: 05.054.0120-A) </t>
  </si>
  <si>
    <t>PLACA FOTOLUMINESCENTE DE SINALIZACAO DE SEGURANCA CONTRA INCENDIO, EM PVC ANTICHAMA, FORMA CIRCULAR, DIAMETRO APROXIMADO DE 204MM. FORNECIMENTO E COLOCACAO.</t>
  </si>
  <si>
    <t xml:space="preserve"> 14.2.3.5 </t>
  </si>
  <si>
    <t xml:space="preserve"> UFF00562 (ADAPT_EMOP: 05.054.0120-A) </t>
  </si>
  <si>
    <t>PLACA FOTOLUMINESCENTE DE SINALIZACAO DE SEGURANCA CONTRA INCENDIO, EM PVC ANTICHAMA, FORMA CIRCULAR, DIAMETRO APROXIMADO DE 134MM. FORNECIMENTO E COLOCACAO.</t>
  </si>
  <si>
    <t xml:space="preserve"> 14.2.3.6 </t>
  </si>
  <si>
    <t xml:space="preserve"> UFF00563 (ADAPT_SBC: 055036) </t>
  </si>
  <si>
    <t>PLACA FOTOLUMINESCENTE DE SINALIZACAO DE SEGURANCA CONTRA INCENDIO, PARA EQUIPAMENTOS DE COMBATE A INCENDIO E ALARME, EM PVC ANTICHAMA, DIMENSOES APROXIMADAS DE (179X179)MM. FORNECIMENTO E COLOCACAO.</t>
  </si>
  <si>
    <t xml:space="preserve"> 14.2.3.7 </t>
  </si>
  <si>
    <t xml:space="preserve"> UFF00564 (ADAPT_SBC: 055036) </t>
  </si>
  <si>
    <t>PLACA FOTOLUMINESCENTE DE SINALIZACAO DE SEGURANCA CONTRA INCENDIO, PARA EQUIPAMENTOS DE COMBATE A INCENDIO E ALARME, EM PVC ANTICHAMA, DIMENSOES APROXIMADAS DE (180X180)MM. FORNECIMENTO E COLOCACAO.</t>
  </si>
  <si>
    <t xml:space="preserve"> 15.1 </t>
  </si>
  <si>
    <t xml:space="preserve"> 15.1.1 </t>
  </si>
  <si>
    <t xml:space="preserve"> UFF00297 (ADAPT_IOPES:180602) </t>
  </si>
  <si>
    <t>FORNECIMENTO E INSTALAÇÃO COMPLETA - UNIDADE EVAPORADORA VRF TIPO HI-WALL (NOVO) - MODELO 42VH028H - CAPACIDADE 9600BTU/h - POTÊNCIA 20W / 0,25A - ALIMENTAÇÃO 1F/220V/60Hz - MARCA CARRIER OU EQUIVALENTE TÉCNICO</t>
  </si>
  <si>
    <t>und</t>
  </si>
  <si>
    <t xml:space="preserve"> 15.1.2 </t>
  </si>
  <si>
    <t xml:space="preserve"> UFF00299 (ADAPT_IOPES:180603) </t>
  </si>
  <si>
    <t>FORNECIMENTO E INSTALAÇÃO COMPLETA - UNIDADE EVAPORADORA VRF TIPO HI-WALL (NOVO) - MODELO 42VH045H - CAPACIDADE 15400BTU/h - POTÊNCIA 58W / 0,37A - ALIMENTAÇÃO 1F/220V/60Hz - MARCA CARRIER OU EQUIVALENTE TÉCNICO</t>
  </si>
  <si>
    <t xml:space="preserve"> 15.1.3 </t>
  </si>
  <si>
    <t xml:space="preserve"> UFF00300 (ADAPT_IOPES:180604) </t>
  </si>
  <si>
    <t>FORNECIMENTO E INSTALAÇÃO COMPLETA - UNIDADE EVAPORADORA VRF TIPO HI-WALL (NOVO) - MODELO 42VH056H - CAPACIDADE 19100BTU/h - POTÊNCIA 58W / 0,46A - ALIMENTAÇÃO 1F/220V/60Hz - MARCA CARRIER OU EQUIVALENTE TÉCNICO</t>
  </si>
  <si>
    <t xml:space="preserve"> 15.1.4 </t>
  </si>
  <si>
    <t xml:space="preserve"> UFF00306 (ADAPT_CPOS:61.10.200) </t>
  </si>
  <si>
    <t>FORNECIMENTO E INSTALAÇÃO COMPLETA - FANCOLETE TIPO BUILT-IN DE ALTA EFICIÊNCIA (NOVO) COM FILTRO G4 E KIT VÁLVULA 2 VIAS - MODELO 42BB 012 - CAPACIDADE 14911BTU/h - POTÊNCIA 145W - ALIMENTAÇÃO 1F/220V/60Hz - MARCA CARRIER OU EQUIVALENTE TÉCNICO</t>
  </si>
  <si>
    <t xml:space="preserve"> 15.1.5 </t>
  </si>
  <si>
    <t xml:space="preserve"> UFF00307 (ADAPT_CPOS:61.10.200) </t>
  </si>
  <si>
    <t>FORNECIMENTO E INSTALAÇÃO COMPLETA - FANCOLETE TIPO BUILT-IN DE ALTA EFICIÊNCIA (NOVO) COM FILTRO G4 E KIT VÁLVULA 2 VIAS - MODELO 42BB 018 - CAPACIDADE 18322BTU/h - POTÊNCIA 187W - ALIMENTAÇÃO 1F/220V/60Hz - MARCA CARRIER OU EQUIVALENTE TÉCNICO</t>
  </si>
  <si>
    <t xml:space="preserve"> 15.1.6 </t>
  </si>
  <si>
    <t xml:space="preserve"> UFF00302 (ADAPT_CPOS:61.10.250) </t>
  </si>
  <si>
    <t>INSTALAÇÃO COMPLETA - FANCOLETE TIPO BUILT-IN DE ALTA EFICIÊNCIA (EXISTENTE) COM FILTRO G4 E KIT VÁLVULA 2 VIAS - MODELO 42BB 018 - CAPACIDADE 18000BTU/h - POTÊNCIA 190W - ALIMENTAÇÃO 1F/220V/60Hz - MARCA CARRIER OU EQUIVALENTE TÉCNICO</t>
  </si>
  <si>
    <t xml:space="preserve"> 15.1.7 </t>
  </si>
  <si>
    <t xml:space="preserve"> UFF00303 (ADAPT_CPOS:61.10.260) </t>
  </si>
  <si>
    <t>INSTALAÇÃO COMPLETA - FANCOLETE TIPO BUILT-IN DE ALTA EFICIÊNCIA (EXISTENTE) COM FILTRO G4 E KIT VÁLVULA 2 VIAS - MODELO 42BB 024 - CAPACIDADE 24000BTU/h - POTÊNCIA 260W - ALIMENTAÇÃO 1F/220V/60Hz - MARCA CARRIER OU EQUIVALENTE TÉCNICO</t>
  </si>
  <si>
    <t xml:space="preserve"> 15.1.8 </t>
  </si>
  <si>
    <t xml:space="preserve"> UFF00304 (ADAPT_CPOS:61.10.270) </t>
  </si>
  <si>
    <t>INSTALAÇÃO COMPLETA - FANCOLETE TIPO BUILT-IN DE ALTA EFICIÊNCIA (EXISTENTE) COM FILTRO G4 E KIT VÁLVULA 2 VIAS - MODELO 42BB 036 - CAPACIDADE 36000BTU/h - POTÊNCIA 300W - ALIMENTAÇÃO 1F/220V/60Hz - MARCA CARRIER OU EQUIVALENTE TÉCNICO</t>
  </si>
  <si>
    <t xml:space="preserve"> 15.1.9 </t>
  </si>
  <si>
    <t xml:space="preserve"> UFF00305 (ADAPT_CPOS:61.10.230) </t>
  </si>
  <si>
    <t>INSTALAÇÃO COMPLETA - FANCOLETE TIPO BUILT-IN DE ALTA EFICIÊNCIA (EXISTENTE) COM FILTRO G4 E KIT VÁLVULA 2 VIAS - MODELO 42BB 055 - CAPACIDADE 55000BTU/h - POTÊNCIA 870W - ALIMENTAÇÃO 1F/220V/60Hz - MARCA CARRIER OU EQUIVALENTE TÉCNICO</t>
  </si>
  <si>
    <t xml:space="preserve"> 15.1.10 </t>
  </si>
  <si>
    <t xml:space="preserve"> UFF00308 (ADAPT_CPOS:61.10.220) </t>
  </si>
  <si>
    <t>FORNECIMENTO E INSTALAÇÃO COMPLETA - FANCOLETE TIPO BUILT-IN DE ALTA EFICIÊNCIA (NOVO) COM FILTRO G4 E KIT VÁLVULA 2 VIAS - MODELO 42BB 030 - CAPACIDADE 33014BTU/h - POTÊNCIA 276W - ALIMENTAÇÃO 1F/220V/60Hz - MARCA CARRIER OU EQUIVALENTE TÉCNICO</t>
  </si>
  <si>
    <t xml:space="preserve"> 15.1.11 </t>
  </si>
  <si>
    <t xml:space="preserve"> UFF00309 (ADAPT_CPOS:61.10.220) </t>
  </si>
  <si>
    <t>FORNECIMENTO E INSTALAÇÃO COMPLETA - FANCOLETE TIPO BUILT-IN DE ALTA EFICIÊNCIA (NOVO) COM FILTRO G4 E KIT VÁLVULA 2 VIAS - MODELO 42BB 036 - CAPACIDADE 39280BTU/h - POTÊNCIA 290W - ALIMENTAÇÃO 1F/220V/60Hz - MARCA CARRIER OU EQUIVALENTE TÉCNICO</t>
  </si>
  <si>
    <t xml:space="preserve"> 15.1.12 </t>
  </si>
  <si>
    <t xml:space="preserve"> UFF00310 (ADAPT_CPOS:61.10.230) </t>
  </si>
  <si>
    <t>FORNECIMENTO E INSTALAÇÃO COMPLETA - FANCOLETE TIPO BUILT-IN DE ALTA EFICIÊNCIA (NOVO) COM FILTRO G4 E KIT VÁLVULA 2 VIAS - MODELO 42BB 044 - CAPACIDADE 46319BTU/h - POTÊNCIA 684W - ALIMENTAÇÃO 1F/220V/60Hz - MARCA CARRIER OU EQUIVALENTE TÉCNICO</t>
  </si>
  <si>
    <t xml:space="preserve"> 15.1.13 </t>
  </si>
  <si>
    <t xml:space="preserve"> UFF00311 (ADAPT_CPOS:61.10.230) </t>
  </si>
  <si>
    <t>FORNECIMENTO E INSTALAÇÃO COMPLETA - FANCOLETE TIPO BUILT-IN DE ALTA EFICIÊNCIA (NOVO) COM FILTRO G4 E KIT VÁLVULA 2 VIAS - MODELO 42BB 055 - CAPACIDADE 58316BTU/h - POTÊNCIA 870W - ALIMENTAÇÃO 1F/220V/60Hz - MARCA CARRIER OU EQUIVALENTE TÉCNICO</t>
  </si>
  <si>
    <t xml:space="preserve"> 15.1.14 </t>
  </si>
  <si>
    <t xml:space="preserve"> UFF00312 (ADAPT_CPOS:61.10.250) </t>
  </si>
  <si>
    <t>FORNECIMENTO E INSTALAÇÃO COMPLETA - FANCOLETE TIPO HI-WALL (NOVO) COM KIT VÁLVULA 2 VIAS - MODELO 42HP 09 - CAPACIDADE 9000BTU/h - POTÊNCIA 47W - ALIMENTAÇÃO 1F/220V/60Hz - MARCA CARRIER OU EQUIVALENTE TÉCNICO</t>
  </si>
  <si>
    <t xml:space="preserve"> 15.1.15 </t>
  </si>
  <si>
    <t xml:space="preserve"> UFF00313 (ADAPT_CPOS:61.10.250) </t>
  </si>
  <si>
    <t>FORNECIMENTO E INSTALAÇÃO COMPLETA - FANCOLETE TIPO HI-WALL (NOVO) COM KIT VÁLVULA 2 VIAS - MODELO 42HP 14 - CAPACIDADE 14000BTU/h - POTÊNCIA 60W - ALIMENTAÇÃO 1F/220V/60Hz - MARCA CARRIER OU EQUIVALENTE TÉCNICO</t>
  </si>
  <si>
    <t xml:space="preserve"> 15.1.16 </t>
  </si>
  <si>
    <t xml:space="preserve"> UFF00317 (ADAPT_EMOP:18.034.0010-A) </t>
  </si>
  <si>
    <t>FORNECIMENTO E INSTALAÇÃO COMPLETA - VENTILADOR AXIAL - MODELO INLINE 170 - VAZÃO MÁX 183m³/h - Pd 8,6mmCA - POTÊNCIA 28W / 0,36A - PESO 0,83kg - ALIMENTAÇÃO 1F/220V/60Hz - MARCA SICFLUX OU EQUIVALENTE TÉCNICO</t>
  </si>
  <si>
    <t xml:space="preserve"> 15.1.17 </t>
  </si>
  <si>
    <t xml:space="preserve"> UFF00318 (ADAPT_SBC:077205) </t>
  </si>
  <si>
    <t>FORNECIMENTO - BOMBA CENTRÍFUGA DE VOLUTA (EFETIVO)  - MONOCELULAR NÃO AUTO-FERRANTE - MODELO NBG 150-125-400/414 AASF2KESBQQE1X4 - VAZÃO DE ÁGUA 185 m³/h - ALTURA MANOMÉTICA 80m - ROTAÇÃO 1792rpm - PRESSÃO MÁX. 16bar - POTÊNCIA 110KW / 194A - PESO 1300kg - ALIMENTAÇÃO 3F/400/690V/60Hz - MARCA GRUNDFOS OU EQUIVALENTE TÉCNICO</t>
  </si>
  <si>
    <t xml:space="preserve">87.729,58 
 (BDI 16,12%) </t>
  </si>
  <si>
    <t xml:space="preserve"> 15.1.18 </t>
  </si>
  <si>
    <t xml:space="preserve"> UFF00592 (ADAPT_SBC:077205) </t>
  </si>
  <si>
    <t>INSTALAÇÃO COMPLETA - BOMBA CENTRÍFUGA DE VOLUTA (EFETIVO)  - MONOCELULAR NÃO AUTO-FERRANTE - MODELO NBG 150-125-400/414 AASF2KESBQQE1X4 - VAZÃO DE ÁGUA 185 m³/h - ALTURA MANOMÉTICA 80m - ROTAÇÃO 1792rpm - PRESSÃO MÁX. 16bar - POTÊNCIA 110KW / 194A - PESO 1300kg - ALIMENTAÇÃO 3F/400/690V/60Hz - MARCA GRUNDFOS OU EQUIVALENTE TÉCNICO</t>
  </si>
  <si>
    <t xml:space="preserve"> 15.1.19 </t>
  </si>
  <si>
    <t xml:space="preserve"> UFF00319 (ADAPT_SBC:077205) </t>
  </si>
  <si>
    <t>FORNECIMENTO - BOMBA CENTRÍFUGA DE VOLUTA (RESERVA)  - MONOCELULAR NÃO AUTO-FERRANTE - MODELO NBG 150-125-400/414 AASF2KESBQQE1X4 - VAZÃO DE ÁGUA 185 m³/h - ALTURA MANOMÉTICA 80m - ROTAÇÃO 1792rpm - PRESSÃO MÁX. 16bar - POTÊNCIA 110KW / 194A - PESO 1300kg - ALIMENTAÇÃO 3F/400/690V/60Hz - MARCA GRUNDFOS OU EQUIVALENTE TÉCNICO</t>
  </si>
  <si>
    <t xml:space="preserve"> 15.1.20 </t>
  </si>
  <si>
    <t xml:space="preserve"> UFF00593 (ADAPT_SBC:077205) </t>
  </si>
  <si>
    <t>INSTALAÇÃO COMPLETA - BOMBA CENTRÍFUGA DE VOLUTA (RESERVA)  - MONOCELULAR NÃO AUTO-FERRANTE - MODELO NBG 150-125-400/414 AASF2KESBQQE1X4 - VAZÃO DE ÁGUA 185 m³/h - ALTURA MANOMÉTICA 80m - ROTAÇÃO 1792rpm - PRESSÃO MÁX. 16bar - POTÊNCIA 110KW / 194A - PESO 1300kg - ALIMENTAÇÃO 3F/400/690V/60Hz - MARCA GRUNDFOS OU EQUIVALENTE TÉCNICO</t>
  </si>
  <si>
    <t xml:space="preserve"> 15.1.21 </t>
  </si>
  <si>
    <t xml:space="preserve"> UFF00320 (ADAPT_SBC:077205) </t>
  </si>
  <si>
    <t>FORNECIMENTO - BOMBA CENTRÍFUGA DE VOLUTA  (EFETIVO)  - MONOCELULAR NÃO AUTO-FERRANTE - NBG 150-125-250/269 AASF2LESBQQETX4 - VAZÃO DE ÁGUA 277,50 m³/h - ALTURA MANOMÉTICA 25m - ROTAÇÃO 1782rpm - PRESSÃO MÁX. 16bar - POTÊNCIA 45KW / 80A - PESO 526kg - ALIMENTAÇÃO 3F/400/690V/60Hz - MARCA GRUNDFOS OU EQUIVALENTE TÉCNICO</t>
  </si>
  <si>
    <t xml:space="preserve">91.864,32 
 (BDI 16,12%) </t>
  </si>
  <si>
    <t xml:space="preserve"> 15.1.22 </t>
  </si>
  <si>
    <t xml:space="preserve"> UFF00594 (ADAPT_SBC:077205) </t>
  </si>
  <si>
    <t>INSTALAÇÃO COMPLETA - BOMBA CENTRÍFUGA DE VOLUTA  (EFETIVO)  - MONOCELULAR NÃO AUTO-FERRANTE - NBG 150-125-250/269 AASF2LESBQQETX4 - VAZÃO DE ÁGUA 277,50 m³/h - ALTURA MANOMÉTICA 25m - ROTAÇÃO 1782rpm - PRESSÃO MÁX. 16bar - POTÊNCIA 45KW / 80A - PESO 526kg - ALIMENTAÇÃO 3F/400/690V/60Hz - MARCA GRUNDFOS OU EQUIVALENTE TÉCNICO</t>
  </si>
  <si>
    <t xml:space="preserve"> 15.1.23 </t>
  </si>
  <si>
    <t xml:space="preserve"> UFF00321 (ADAPT_SBC:077205) </t>
  </si>
  <si>
    <t>FORNECIMENTO - BOMBA CENTRÍFUGA DE VOLUTA  (RESERVA) - MONOCELULAR NÃO AUTO-FERRANTE - NBG 150-125-250/269 AASF2LESBQQETX4 - VAZÃO DE ÁGUA 277,50 m³/h - ALTURA MANOMÉTICA 25m - ROTAÇÃO 1782rpm - PRESSÃO MÁX. 16bar - POTÊNCIA 45KW / 80A - PESO 526kg - ALIMENTAÇÃO 3F/400/690V/60Hz - MARCA GRUNDFOS OU EQUIVALENTE TÉCNICO</t>
  </si>
  <si>
    <t xml:space="preserve"> 15.1.24 </t>
  </si>
  <si>
    <t xml:space="preserve"> UFF00595 (ADAPT_SBC:077205) </t>
  </si>
  <si>
    <t>INSTALAÇÃO COMPLETA - BOMBA CENTRÍFUGA DE VOLUTA  (RESERVA) - MONOCELULAR NÃO AUTO-FERRANTE - NBG 150-125-250/269 AASF2LESBQQETX4 - VAZÃO DE ÁGUA 277,50 m³/h - ALTURA MANOMÉTICA 25m - ROTAÇÃO 1782rpm - PRESSÃO MÁX. 16bar - POTÊNCIA 45KW / 80A - PESO 526kg - ALIMENTAÇÃO 3F/400/690V/60Hz - MARCA GRUNDFOS OU EQUIVALENTE TÉCNICO</t>
  </si>
  <si>
    <t xml:space="preserve"> 15.1.25 </t>
  </si>
  <si>
    <t xml:space="preserve"> UFF00344 (ADAPT_CPOS:61.10.010) </t>
  </si>
  <si>
    <t>FORNECIMENTO - CHILLER CONDENSAÇÃO A AR COM COMPRESSOR PARAFUSO (EFETIVO) - MODELO 30XSB300 - CAPACIDADE 282,5TR - TBS EXT 38,1ºC - TBS INT 21ºC - UR EXTERNA 80% - UR INTERNA 50% - VAZÃO DE AR 168544,8m³/h - TEMP. DE ADMISSÃO 5ºC - TEMP. DE RETORNO 10,5ºC - VAZÃO DE ÁGUA 185m³/h - POTÊNCIA 325,6KW / 483A - PESO 6734kg - ALIMENTAÇÃO 3F/380V/60Hz - MARCA CARRIER OU EQUIVALENTE TÉCNICO</t>
  </si>
  <si>
    <t xml:space="preserve">991.523,98 
 (BDI 16,12%) </t>
  </si>
  <si>
    <t xml:space="preserve"> 15.1.26 </t>
  </si>
  <si>
    <t xml:space="preserve"> UFF00480 (ADAPT_EMOP: 18.030.0206-A) </t>
  </si>
  <si>
    <t>INSTALAÇÃO COMPLETA - CHILLER CONDENSAÇÃO A AR COM COMPRESSOR PARAFUSO (EFETIVO) - MODELO 30XSB300 - CAPACIDADE 282,5TR - TBS EXT 38,1ºC - TBS INT 21ºC - UR EXTERNA 80% - UR INTERNA 50% - VAZÃO DE AR 168544,8m³/h - TEMP. DE ADMISSÃO 5ºC - TEMP. DE RETORNO 10,5ºC - VAZÃO DE ÁGUA 185m³/h - POTÊNCIA 325,6KW / 483A - PESO 6734kg - ALIMENTAÇÃO 3F/380V/60Hz - MARCA CARRIER OU EQUIVALENTE TÉCNICO</t>
  </si>
  <si>
    <t xml:space="preserve"> 15.1.27 </t>
  </si>
  <si>
    <t xml:space="preserve"> UFF00345 (ADAPT_CPOS:43.08.004) </t>
  </si>
  <si>
    <t>FORNECIMENTO - UNIDADE CONDENSADORA VRF TIPO - MODELO INOVA MV6-850WV2DN1 - CAPACIDADE 290kBTU/h - POTÊNCIA 25,68kW / 116,73A - ALIMENTAÇÃO 3F/220V/60Hz - PESO 507kg - MARCA CARRIER OU EQUIVALENTE TÉCNICO</t>
  </si>
  <si>
    <t xml:space="preserve">181.107,93 
 (BDI 16,12%) </t>
  </si>
  <si>
    <t xml:space="preserve"> 15.1.28 </t>
  </si>
  <si>
    <t xml:space="preserve"> UFF00481 (ADAPT_CPOS: 43.08.004) </t>
  </si>
  <si>
    <t>INSTALAÇÃO COMPLETA - UNIDADE CONDENSADORA VRF TIPO - MODELO INOVA MV6-850WV2DN1 - CAPACIDADE 290kBTU/h - POTÊNCIA 25,68kW / 116,73A - ALIMENTAÇÃO 3F/220V/60Hz - PESO 507kg - MARCA CARRIER OU EQUIVALENTE TÉCNICO</t>
  </si>
  <si>
    <t xml:space="preserve"> 15.1.29 </t>
  </si>
  <si>
    <t xml:space="preserve"> UFF00346 (ADAPT_CPOS:61.10.120) </t>
  </si>
  <si>
    <t>FORNECIMENTO - UNIDADE DE TRATAMENTO DE AR 100% AR EXTERNO COM MOTOR EC - MODELO TKZ - FILTROS G4 + F8 - CAPACIDADE 93,59TR - TBS EXT 38,1ºC - TBS INT. 21ºC - UR EXTERNA 80% - UR INTERNA 50% - VAZÃO DE INSUFLAMENTO 14340m³/h - TEMP. DE ADMISSÃO 5ºC - TEMP. DE RETORNO 10,5ºC - VAZÃO DE ÁGUA 51,46m³/h - Pd 100Pa - RESIST DE AQUECIMENTO 39kW - POTÊNCIA 6,29KW / 28,59A - PESO 1437kg - ALIMENTAÇÃO 3F/220V/60Hz - MARCA TROX OU EQUIVALENTE TÉCNICO</t>
  </si>
  <si>
    <t xml:space="preserve">214.820,56 
 (BDI 16,12%) </t>
  </si>
  <si>
    <t xml:space="preserve"> 15.1.30 </t>
  </si>
  <si>
    <t xml:space="preserve"> UFF00482 (ADAPT_EMOP: 18.030.0256-A) </t>
  </si>
  <si>
    <t>INSTALAÇÃO COMPLETA - UNIDADE DE TRATAMENTO DE AR 100% AR EXTERNO COM MOTOR EC - MODELO TKZ - FILTROS G4 + F8 - CAPACIDADE 93,59TR - TBS EXT 38,1ºC - TBS INT. 21ºC - UR EXTERNA 80% - UR INTERNA 50% - VAZÃO DE INSUFLAMENTO 14340m³/h - TEMP. DE ADMISSÃO 5ºC - TEMP. DE RETORNO 10,5ºC - VAZÃO DE ÁGUA 51,46m³/h - Pd 100Pa - RESIST DE AQUECIMENTO 39kW - POTÊNCIA 6,29KW / 28,59A - PESO 1437kg - ALIMENTAÇÃO 3F/220V/60Hz - MARCA TROX OU EQUIVALENTE TÉCNICO</t>
  </si>
  <si>
    <t xml:space="preserve"> 15.1.31 </t>
  </si>
  <si>
    <t xml:space="preserve"> UFF00347 (ADAPT_CPOS:61.10.120) </t>
  </si>
  <si>
    <t>FORNECIMENTO - UNIDADE DE TRATAMENTO DE AR 100% AR EXTERNO COM MOTOR EC - MODELO TKZ - FILTROS G4 + F8 - CAPACIDADE 105,31TR - TBS EXT 38,1ºC - TBS INT. 21ºC - UR EXTERNA 80% - UR INTERNA 50% - VAZÃO DE INSUFLAMENTO 15644m³/h - TEMP. DE ADMISSÃO 5ºC - TEMP. DE RETORNO 10,5ºC - VAZÃO DE ÁGUA 57,9m³/h - Pd 100Pa - RESIST DE AQUECIMENTO 46,8kW - POTÊNCIA 6,55KW / 29,77A - PESO 1635kg - ALIMENTAÇÃO 3F/220V/60Hz - MARCA TROX OU EQUIVALENTE TÉCNICO</t>
  </si>
  <si>
    <t xml:space="preserve">237.882,86 
 (BDI 16,12%) </t>
  </si>
  <si>
    <t xml:space="preserve"> 15.1.32 </t>
  </si>
  <si>
    <t xml:space="preserve"> UFF00483 (ADAPT_EMOP: 18.030.0256-A) </t>
  </si>
  <si>
    <t>INSTALAÇÃO COMPLETA - UNIDADE DE TRATAMENTO DE AR 100% AR EXTERNO COM MOTOR EC - MODELO TKZ - FILTROS G4 + F8 - CAPACIDADE 105,31TR - TBS EXT 38,1ºC - TBS INT. 21ºC - UR EXTERNA 80% - UR INTERNA 50% - VAZÃO DE INSUFLAMENTO 15644m³/h - TEMP. DE ADMISSÃO 5ºC - TEMP. DE RETORNO 10,5ºC - VAZÃO DE ÁGUA 57,9m³/h - Pd 100Pa - RESIST DE AQUECIMENTO 46,8kW - POTÊNCIA 6,55KW / 29,77A - PESO 1635kg - ALIMENTAÇÃO 3F/220V/60Hz - MARCA TROX OU EQUIVALENTE TÉCNICO</t>
  </si>
  <si>
    <t xml:space="preserve"> 15.1.33 </t>
  </si>
  <si>
    <t xml:space="preserve"> UFF00348 (ADAPT_CPOS:61.14.051) </t>
  </si>
  <si>
    <t>FORNECIMENTO E INSTALAÇÃO COMPLETA - VENTILADOR CENTRÍFUGO DE SIMPLES ASPIRAÇÃO COM PÁS CURVASDAS PARA TRÁS - MODELO GTS 800 - VAZÃO MÁX 13596m³/h - Pd 100mmCA - POTÊNCIA 7,5W / 34,09A - PESO 523kg - ALIMENTAÇÃO 3F/380V/60Hz - MARCA BERLINERLUFT OU EQUIVALENTE TÉCNICO</t>
  </si>
  <si>
    <t xml:space="preserve"> 15.1.34 </t>
  </si>
  <si>
    <t xml:space="preserve"> UFF00349 (ADAPT_CPOS:61.14.051) </t>
  </si>
  <si>
    <t>FORNECIMENTO E INSTALAÇÃO COMPLETA - VENTILADOR CENTRÍFUGO DE SIMPLES ASPIRAÇÃO COM PÁS CURVASDAS PARA TRÁS - MODELO GTS 630 - VAZÃO MÁX 9816m³/h - Pd 100mmCA - POTÊNCIA 4,5W / 20,45A - PESO 274kg - ALIMENTAÇÃO 3F/380V/60Hz - MARCA BERLINERLUFT OU EQUIVALENTE TÉCNICO</t>
  </si>
  <si>
    <t xml:space="preserve"> 15.2 </t>
  </si>
  <si>
    <t>DIFUSORES - GRELHAS - VENEZIANAS - REGISTROS</t>
  </si>
  <si>
    <t xml:space="preserve"> 15.2.1 </t>
  </si>
  <si>
    <t xml:space="preserve"> UFF00322 (ADAPT_EMOP: 18.016.0340-A) </t>
  </si>
  <si>
    <t>INSTALAÇÃO COMPLETA - DIFUSOR DE INSUFLAMENTO COM REGISTRO E CAIXA PLENUM - MODELO ADLQ-AG - TAMANHO 2 - MARCA TROX OU EQUIVALENTE TÉCNICO (FC-5.02 - FC-5.03 - FC-5.04 - FC-5.05 - FC-5.06 - FC-5.07 - FC-5.08 - FC-5.15 - FC-5.16 - FC-5.17 - FC-5.18 - FC-5.19 - FC-5.20 - FC-5.21 - FC-5.22 - FC-5.23 - FC-5.24 - FC-5.25 - FC-5.26 - FC-5.27 - FC-5.28 - FC-5.29 - FC-5.30 - FC-5.32 - FC-5.33 - FC-5.34 - FC-5.35 - FC-5.36 - FC-5.37 - FC-5.38 - FC-5.39 )</t>
  </si>
  <si>
    <t xml:space="preserve"> 15.2.2 </t>
  </si>
  <si>
    <t xml:space="preserve"> UFF00323 (ADAPT_EMOP: 18.016.0342-A) </t>
  </si>
  <si>
    <t>INSTALAÇÃO COMPLETA - DIFUSOR DE INSUFLAMENTO COM REGISTRO E CAIXA PLENUM - MODELO ADLQ-AG - TAMANHO 3 - MARCA TROX OU EQUIVALENTE TÉCNICO (FC-5.13 - FC-5.12)</t>
  </si>
  <si>
    <t xml:space="preserve"> 15.2.3 </t>
  </si>
  <si>
    <t xml:space="preserve"> UFF00324 (ADAPT_EMOP: 18.016.0344-A) </t>
  </si>
  <si>
    <t>INSTALAÇÃO COMPLETA - DIFUSOR DE INSUFLAMENTO COM REGISTRO E CAIXA PLENUM - MODELO ADLQ-AG - TAMANHO 4 - MARCA TROX OU EQUIVALENTE TÉCNICO (FC-5.10 - FC-5.01 - FC-5.14 - FC-5.31 - FC-5.40 )</t>
  </si>
  <si>
    <t xml:space="preserve"> 15.2.4 </t>
  </si>
  <si>
    <t xml:space="preserve"> UFF00326 (ADAPT_SBC:070542) </t>
  </si>
  <si>
    <t>FORNECIMENTO E INSTALAÇÃO COMPLETA - DIFUSOR DE INSUFLAMENTO 2 VIAS COM REGISTRO E CAIXA PLENUM - MODELO ADQ-1-AG - DIMENSÃO 571X264mm - MARCA TROX OU EQUIVALENTE TÉCNICO (FC-5.09)</t>
  </si>
  <si>
    <t xml:space="preserve"> 15.2.5 </t>
  </si>
  <si>
    <t xml:space="preserve"> UFF00328 (ADAPT_EMOP: 18.016.0340-A) </t>
  </si>
  <si>
    <t>FORNECIMENTO E INSTALAÇÃO COMPLETA - DIFUSOR DE INSUFLAMENTO COM REGISTRO E CAIXA PLENUM (NOVO) - MODELO ADLQ-AG - TAMANHO 1 - MARCA TROX OU EQUIVALENTE TÉCNICO</t>
  </si>
  <si>
    <t xml:space="preserve"> 15.2.6 </t>
  </si>
  <si>
    <t xml:space="preserve"> 18.016.0340-A </t>
  </si>
  <si>
    <t>DIFUSOR PARA INSUFLAMENTO DE AR,EM ALUMINIO ANODIZADO,COM CA IXA PLENUM,DE 4 VIAS,MEDINDO EM TORNO DE (248X248)MM.FORNECI MENTO E COLOCACAO</t>
  </si>
  <si>
    <t xml:space="preserve"> 15.2.7 </t>
  </si>
  <si>
    <t xml:space="preserve"> 18.016.0342-A </t>
  </si>
  <si>
    <t>DIFUSOR PARA INSUFLAMENTO DE AR,EM ALUMINIO ANODIZADO,COM CA IXA PLENUM,DE 4 VIAS,MEDINDO EM TORNO DE (360X360)MM.FORNECI MENTO E COLOCACAO</t>
  </si>
  <si>
    <t xml:space="preserve"> 15.2.8 </t>
  </si>
  <si>
    <t xml:space="preserve"> 18.016.0344-A </t>
  </si>
  <si>
    <t>DIFUSOR PARA INSUFLAMENTO DE AR,EM ALUMINIO ANODIZADO,COM CA IXA PLENUM,DE 4 VIAS,MEDINDO EM TORNO DE (416X416)MM.FORNECI MENTO E COLOCACAO</t>
  </si>
  <si>
    <t xml:space="preserve"> 15.2.9 </t>
  </si>
  <si>
    <t xml:space="preserve"> UFF00329 (ADAPT_EMOP: 18.016.0344-A) </t>
  </si>
  <si>
    <t>FORNECIMENTO E INSTALAÇÃO COMPLETA - DIFUSOR DE INSUFLAMENTO COM REGISTRO E CAIXA PLENUM (NOVO) - MODELO ADLQ-AG - TAMANHO 5 - MARCA TROX OU EQUIVALENTE TÉCNICO</t>
  </si>
  <si>
    <t xml:space="preserve"> 15.2.10 </t>
  </si>
  <si>
    <t xml:space="preserve"> UFF00330 (ADAPT_EMOP: 18.016.0344-A) </t>
  </si>
  <si>
    <t>FORNECIMENTO E INSTALAÇÃO COMPLETA - DIFUSOR DE INSUFLAMENTO COM REGISTRO E CAIXA PLENUM (NOVO) - MODELO ADLQ-AG - TAMANHO 6 - MARCA TROX OU EQUIVALENTE TÉCNICO</t>
  </si>
  <si>
    <t xml:space="preserve"> 15.2.11 </t>
  </si>
  <si>
    <t xml:space="preserve"> UFF00362 (ADAPT_SBC: 112253) </t>
  </si>
  <si>
    <t>FORNECIMENTO E INSTALAÇÃO COMPLETA - VENEZIANA EXTERIOR - MODELO AWG (NOVA) - DIMENSÃO 1985X495mm - MARCA TROX OU EQUIVALENTE TÉCNICO</t>
  </si>
  <si>
    <t xml:space="preserve"> 15.2.12 </t>
  </si>
  <si>
    <t xml:space="preserve"> UFF00363 (ADAPT_SBC: 111131) </t>
  </si>
  <si>
    <t>FORNECIMENTO E INSTALAÇÃO COMPLETA - VENEZIANA EXTERIOR - MODELO GFM-F (NOVA) - TAMANHO 150mm - MARCA SICFLUX OU EQUIVALENTE TÉCNICO</t>
  </si>
  <si>
    <t xml:space="preserve"> 15.2.13 </t>
  </si>
  <si>
    <t xml:space="preserve"> UFF00364 (ADAPT_SBC: 070486) </t>
  </si>
  <si>
    <t>FORNECIMENTO E INSTALAÇÃO COMPLETA - MÓDULO DE FILTRAGEM COM FILTRO DE CARVÃO ATIVADO (NOVO) - MODELO F383 A22 - DIMENSÃO 2052X1428mm - VAZÃO 9816m³/h - MARCA TROX OU EQUIVALENTE TÉCNICO</t>
  </si>
  <si>
    <t xml:space="preserve">16.217,92 
 (BDI 16,12%) </t>
  </si>
  <si>
    <t xml:space="preserve"> 15.2.14 </t>
  </si>
  <si>
    <t xml:space="preserve"> UFF00365 (ADAPT_SBC: 070486) </t>
  </si>
  <si>
    <t>FORNECIMENTO E INSTALAÇÃO COMPLETA - MÓDULO DE FILTRAGEM COM FILTRO DE CARVÃO ATIVADO (NOVO) - MODELO F383 A23 - DIMENSÃO 2676X1428mm - VAZÃO 13589m³/h - MARCA TROX OU EQUIVALENTE TÉCNICO</t>
  </si>
  <si>
    <t xml:space="preserve">18.018,63 
 (BDI 16,12%) </t>
  </si>
  <si>
    <t xml:space="preserve"> 15.2.15 </t>
  </si>
  <si>
    <t xml:space="preserve"> UFF00366 (ADAPT_SBC: 070486) </t>
  </si>
  <si>
    <t>FORNECIMENTO E INSTALAÇÃO COMPLETA - MÓDULO DE FILTRAGEM FABRICADO EM POLIPROPILENO COM FILTRO DE CARVÃO ATIVADO (NOVO) - MODELO CFD - DIMENSÃO 2676X2676mm - VAZÃO 39700m³/h - MARCA DIFUSTHERM OU EQUIVALENTE TÉCNICO</t>
  </si>
  <si>
    <t xml:space="preserve">29.627,26 
 (BDI 16,12%) </t>
  </si>
  <si>
    <t xml:space="preserve"> 15.2.16 </t>
  </si>
  <si>
    <t xml:space="preserve"> UFF00367 (ADAPT_SBC: 070486) </t>
  </si>
  <si>
    <t>FORNECIMENTO E INSTALAÇÃO COMPLETA - MÓDULO DE FILTRAGEM FABRICADO EM POLIPROPILENO COM FILTRO DE CARVÃO ATIVADO (NOVO) - MODELO CFD - DIMENSÃO 3300X3300mm - VAZÃO 88780m³/h - MARCA DIFUSTHERM OU EQUIVALENTE TÉCNICO</t>
  </si>
  <si>
    <t xml:space="preserve">34.069,63 
 (BDI 16,12%) </t>
  </si>
  <si>
    <t xml:space="preserve"> 15.2.17 </t>
  </si>
  <si>
    <t xml:space="preserve"> UFF00368 (ADAPT_SBC: 070930) </t>
  </si>
  <si>
    <t>INSTALAÇÃO COMPLETA - GRELHA DE RETORNO / EXAUSTÃO COM REGISTRO - MODELO AR-AG - DIMENSÃO 225X75mm - MARCA TROX OU EQUIVALENTE TÉCNICO (Banheiros)</t>
  </si>
  <si>
    <t xml:space="preserve"> 15.2.18 </t>
  </si>
  <si>
    <t xml:space="preserve"> UFF00369 (ADAPT_SBC: 070837) </t>
  </si>
  <si>
    <t>INSTALAÇÃO COMPLETA - GRELHA DE RETORNO / EXAUSTÃO COM REGISTRO - MODELO AR-AG - DIMENSÃO 525X325mm - MARCA TROX OU EQUIVALENTE TÉCNICO  (FC-5.02 - FC-5.03 - FC-5.04 - FC-5.05 - FC-5.06 - FC-5.07 - FC-5.08 - FC-5.15 - FC-5.16 - FC-5.17 - FC-5.18 - FC-5.19 - FC-5.20 - FC-5.21 - FC-5.22 - FC-5.23 - FC-5.24 - FC-5.25 - FC-5.26 - FC-5.27 - FC-5.28 - FC-5.29 - FC-5.30 - FC-5.32 - FC-5.33 - FC-5.34 - FC-5.35 - FC-5.36 - FC-5.37 - FC-5.38 - FC-5.39 - FC-5.09)</t>
  </si>
  <si>
    <t xml:space="preserve"> 15.2.19 </t>
  </si>
  <si>
    <t xml:space="preserve"> UFF00370 (ADAPT_SBC: 070837) </t>
  </si>
  <si>
    <t>INSTALAÇÃO COMPLETA - GRELHA DE RETORNO / EXAUSTÃO COM REGISTRO - MODELO AR-AG - DIMENSÃO 525X525mm - MARCA TROX OU EQUIVALENTE TÉCNICO (FC-5.13 - FC-5.12 - FC-5.10 - FC-5.01 - FC-5.14 - FC-5.31 - FC-5.40)</t>
  </si>
  <si>
    <t xml:space="preserve"> 15.2.20 </t>
  </si>
  <si>
    <t xml:space="preserve"> UFF00356 (ADAPT_SBC:070930) </t>
  </si>
  <si>
    <t>FORNECIMENTO E INSTALAÇÃO COMPLETA - GRELHA DE RETORNO / EXAUSTÃO COM REGISTRO (NOVA) - MODELO AR-AG - DIMENSÃO 225X125mm - MARCA TROX OU EQUIVALENTE TÉCNICO</t>
  </si>
  <si>
    <t xml:space="preserve"> 15.2.21 </t>
  </si>
  <si>
    <t xml:space="preserve"> UFF00357 (ADAPT_SBC:070176) </t>
  </si>
  <si>
    <t>FORNECIMENTO E INSTALAÇÃO COMPLETA - GRELHA DE RETORNO / EXAUSTÃO COM REGISTRO (NOVA) - MODELO AR-AG - DIMENSÃO 425X125mm - MARCA TROX OU EQUIVALENTE TÉCNICO</t>
  </si>
  <si>
    <t xml:space="preserve"> 15.2.22 </t>
  </si>
  <si>
    <t xml:space="preserve"> UFF00371 (ADAPT_SBC:070929) </t>
  </si>
  <si>
    <t>FORNECIMENTO E INSTALAÇÃO COMPLETA - GRELHA DE RETORNO / EXAUSTÃO COM REGISTRO (NOVA) - MODELO AR-AG - DIMENSÃO 525X325mm - MARCA TROX OU EQUIVALENTE TÉCNICO</t>
  </si>
  <si>
    <t xml:space="preserve"> 15.2.23 </t>
  </si>
  <si>
    <t xml:space="preserve"> UFF00372 (ADAPT_SBC:070929) </t>
  </si>
  <si>
    <t>FORNECIMENTO E INSTALAÇÃO COMPLETA - GRELHA DE RETORNO / EXAUSTÃO COM REGISTRO (NOVA) - MODELO AR-AG - DIMENSÃO 625X325mm - MARCA TROX OU EQUIVALENTE TÉCNICO</t>
  </si>
  <si>
    <t xml:space="preserve"> 15.2.24 </t>
  </si>
  <si>
    <t xml:space="preserve"> UFF00373 (ADAPT_SBC:070929) </t>
  </si>
  <si>
    <t>FORNECIMENTO E INSTALAÇÃO COMPLETA - GRELHA DE RETORNO / EXAUSTÃO COM REGISTRO (NOVA) - MODELO AR-AG - DIMENSÃO 625X425mm - MARCA TROX OU EQUIVALENTE TÉCNICO</t>
  </si>
  <si>
    <t xml:space="preserve"> 15.2.25 </t>
  </si>
  <si>
    <t xml:space="preserve"> UFF00374 (ADAPT_SBC:070837) </t>
  </si>
  <si>
    <t>FORNECIMENTO E INSTALAÇÃO COMPLETA - GRELHA DE RETORNO / EXAUSTÃO COM REGISTRO (NOVA) - MODELO AR-AG - DIMENSÃO 825X425mm - MARCA TROX OU EQUIVALENTE TÉCNICO</t>
  </si>
  <si>
    <t xml:space="preserve"> 15.2.26 </t>
  </si>
  <si>
    <t xml:space="preserve"> UFF00375 (ADAPT_SBC:070837) </t>
  </si>
  <si>
    <t>FORNECIMENTO E INSTALAÇÃO COMPLETA - GRELHA DE RETORNO / EXAUSTÃO COM REGISTRO (NOVA) - MODELO AR-AG - DIMENSÃO 1025X425mm - MARCA TROX OU EQUIVALENTE TÉCNICO</t>
  </si>
  <si>
    <t xml:space="preserve"> 15.2.27 </t>
  </si>
  <si>
    <t xml:space="preserve"> UFF00376 (ADAPT_SBC:070337) </t>
  </si>
  <si>
    <t>FORNECIMENTO E INSTALAÇÃO COMPLETA - GRELHA DE RETORNO / EXAUSTÃO COM REGISTRO (NOVA) - MODELO AR-AG - DIMENSÃO 1225X425mm - MARCA TROX OU EQUIVALENTE TÉCNICO</t>
  </si>
  <si>
    <t xml:space="preserve"> 15.2.28 </t>
  </si>
  <si>
    <t xml:space="preserve"> UFF00377 (ADAPT_SBC:073420) </t>
  </si>
  <si>
    <t>FORNECIMENTO E INSTALAÇÃO COMPLETA - REGULADOR DE VAZÃO (NOVO) - MODELO EN - DIMENSÃO 100X200mm - MARCA TROX OU EQUIVALENTE TÉCNICO</t>
  </si>
  <si>
    <t xml:space="preserve"> 15.2.29 </t>
  </si>
  <si>
    <t xml:space="preserve"> UFF00378 (ADAPT_SBC:073420) </t>
  </si>
  <si>
    <t>FORNECIMENTO E INSTALAÇÃO COMPLETA - REGULADOR DE VAZÃO (NOVO) - MODELO EN - DIMENSÃO 125X240mm - MARCA TROX OU EQUIVALENTE TÉCNICO</t>
  </si>
  <si>
    <t xml:space="preserve"> 15.2.30 </t>
  </si>
  <si>
    <t xml:space="preserve"> UFF00379 (ADAPT_SBC:073420) </t>
  </si>
  <si>
    <t>FORNECIMENTO E INSTALAÇÃO COMPLETA - REGULADOR DE VAZÃO (NOVO) - MODELO EN - DIMENSÃO 125X300mm - MARCA TROX OU EQUIVALENTE TÉCNICO</t>
  </si>
  <si>
    <t xml:space="preserve"> 15.2.31 </t>
  </si>
  <si>
    <t xml:space="preserve"> UFF00380 (ADAPT_SBC:073420) </t>
  </si>
  <si>
    <t>FORNECIMENTO E INSTALAÇÃO COMPLETA - REGULADOR DE VAZÃO (NOVO) - MODELO EN - DIMENSÃO 150X200mm - MARCA TROX OU EQUIVALENTE TÉCNICO</t>
  </si>
  <si>
    <t xml:space="preserve"> 15.2.32 </t>
  </si>
  <si>
    <t xml:space="preserve"> UFF00382 (ADAPT_SBC:073420) </t>
  </si>
  <si>
    <t>FORNECIMENTO E INSTALAÇÃO COMPLETA - REGULADOR DE VAZÃO (NOVO) - MODELO EN - DIMENSÃO 200X200mm - MARCA TROX OU EQUIVALENTE TÉCNICO</t>
  </si>
  <si>
    <t xml:space="preserve"> 15.2.33 </t>
  </si>
  <si>
    <t xml:space="preserve"> UFF00384 (ADAPT_SBC:073420) </t>
  </si>
  <si>
    <t>FORNECIMENTO E INSTALAÇÃO COMPLETA - REGULADOR DE VAZÃO (NOVO) - MODELO EN - DIMENSÃO 200X300mm - MARCA TROX OU EQUIVALENTE TÉCNICO</t>
  </si>
  <si>
    <t xml:space="preserve"> 15.2.34 </t>
  </si>
  <si>
    <t xml:space="preserve"> UFF00385 (ADAPT_SBC:073420) </t>
  </si>
  <si>
    <t>FORNECIMENTO E INSTALAÇÃO COMPLETA - REGULADOR DE VAZÃO (NOVO) - MODELO EN - DIMENSÃO 225X250mm - MARCA TROX OU EQUIVALENTE TÉCNICO</t>
  </si>
  <si>
    <t xml:space="preserve"> 15.2.35 </t>
  </si>
  <si>
    <t xml:space="preserve"> UFF00386 (ADAPT_SBC:073420) </t>
  </si>
  <si>
    <t>FORNECIMENTO E INSTALAÇÃO COMPLETA - REGULADOR DE VAZÃO (NOVO) - MODELO EN - DIMENSÃO 225X300mm - MARCA TROX OU EQUIVALENTE TÉCNICO</t>
  </si>
  <si>
    <t xml:space="preserve"> 15.2.36 </t>
  </si>
  <si>
    <t xml:space="preserve"> UFF00387 (ADAPT_SBC:073420) </t>
  </si>
  <si>
    <t>FORNECIMENTO E INSTALAÇÃO COMPLETA - REGULADOR DE VAZÃO (NOVO) - MODELO EN - DIMENSÃO 250X325mm - MARCA TROX OU EQUIVALENTE TÉCNICO</t>
  </si>
  <si>
    <t xml:space="preserve"> 15.2.37 </t>
  </si>
  <si>
    <t xml:space="preserve"> UFF00389 (ADAPT_SBC:073420) </t>
  </si>
  <si>
    <t>FORNECIMENTO E INSTALAÇÃO COMPLETA - REGULADOR DE VAZÃO (NOVO) - MODELO EN - DIMENSÃO 275X300mm - MARCA TROX OU EQUIVALENTE TÉCNICO</t>
  </si>
  <si>
    <t xml:space="preserve"> 15.2.38 </t>
  </si>
  <si>
    <t xml:space="preserve"> UFF00392 (ADAPT_SBC:073420) </t>
  </si>
  <si>
    <t>FORNECIMENTO E INSTALAÇÃO COMPLETA - REGULADOR DE VAZÃO (NOVO) - MODELO EN - DIMENSÃO 250X150mm - MARCA TROX OU EQUIVALENTE TÉCNICO</t>
  </si>
  <si>
    <t xml:space="preserve"> 15.2.39 </t>
  </si>
  <si>
    <t xml:space="preserve"> UFF00393 (ADAPT_SBC:073420) </t>
  </si>
  <si>
    <t>FORNECIMENTO E INSTALAÇÃO COMPLETA - REGULADOR DE VAZÃO (NOVO) - MODELO EN - DIMENSÃO 450X300mm - MARCA TROX OU EQUIVALENTE TÉCNICO</t>
  </si>
  <si>
    <t xml:space="preserve"> 15.2.40 </t>
  </si>
  <si>
    <t xml:space="preserve"> UFF00395 (ADAPT_SBC:073420) </t>
  </si>
  <si>
    <t>FORNECIMENTO E INSTALAÇÃO COMPLETA - REGULADOR DE VAZÃO (NOVO) - MODELO EN - DIMENSÃO 500X300mm - MARCA TROX OU EQUIVALENTE TÉCNICO</t>
  </si>
  <si>
    <t xml:space="preserve"> 15.2.41 </t>
  </si>
  <si>
    <t xml:space="preserve"> UFF00396 (ADAPT_SBC:073420) </t>
  </si>
  <si>
    <t>FORNECIMENTO E INSTALAÇÃO COMPLETA - REGULADOR DE VAZÃO (NOVO) - MODELO EN - DIMENSÃO 525X300mm - MARCA TROX OU EQUIVALENTE TÉCNICO</t>
  </si>
  <si>
    <t xml:space="preserve"> 15.2.42 </t>
  </si>
  <si>
    <t xml:space="preserve"> UFF00399 (ADAPT_SBC:073420) </t>
  </si>
  <si>
    <t>FORNECIMENTO E INSTALAÇÃO COMPLETA - REGULADOR DE VAZÃO (NOVO) - MODELO EN - DIMENSÃO 350X200mm - MARCA TROX OU EQUIVALENTE TÉCNICO</t>
  </si>
  <si>
    <t xml:space="preserve"> 15.2.43 </t>
  </si>
  <si>
    <t xml:space="preserve"> UFF00403 (ADAPT_EMOP:18.034.0208-A) </t>
  </si>
  <si>
    <t>FORNECIMENTO E INSTALAÇÃO COMPLETA - DAMPER CORTA-FOGO COM MOTOR DE RETORNO POR MOLA (NOVO) - MODELO FKA-TA-BR-90 - DIMENSÃO 200X300mm - MARCA TROX OU EQUIVALENTE TÉCNICO</t>
  </si>
  <si>
    <t xml:space="preserve"> 15.2.44 </t>
  </si>
  <si>
    <t xml:space="preserve"> 18.034.0210-A </t>
  </si>
  <si>
    <t>DAMPER CORTA FOGO MEDINDO (300X300)MM,ACIONAMENTO AUTOMATICO ,PELA ACAO DE ELEMENTO FUSIVEL,MODELO DCF COM FUSIVEL DE DIS PARO (COM ATESTADO UL) COM ROMPIMENTO EM 72°C OU 141°C,COM C HAVE FIM DE CURSO.FORNECIMENTO E COLOCACAO</t>
  </si>
  <si>
    <t xml:space="preserve"> 15.2.45 </t>
  </si>
  <si>
    <t xml:space="preserve"> 070395 </t>
  </si>
  <si>
    <t>DAMPER CORTA-FOGO COM FECHAMENTO AUTOMATICO 500X350MM</t>
  </si>
  <si>
    <t xml:space="preserve"> 15.2.46 </t>
  </si>
  <si>
    <t xml:space="preserve"> UFF00404 (ADAPT_EMOP:18.034.0218-A) </t>
  </si>
  <si>
    <t>FORNECIMENTO E INSTALAÇÃO COMPLETA - DAMPER CORTA-FOGO COM MOTOR DE RETORNO POR MOLA (NOVO) - MODELO FKA-TA-BR-90 - DIMENSÃO 600X300mm - MARCA TROX OU EQUIVALENTE TÉCNICO</t>
  </si>
  <si>
    <t xml:space="preserve"> 15.2.47 </t>
  </si>
  <si>
    <t xml:space="preserve"> UFF00405 (ADAPT_EMOP:18.034.0218-A) </t>
  </si>
  <si>
    <t>FORNECIMENTO E INSTALAÇÃO COMPLETA - DAMPER CORTA-FOGO COM MOTOR DE RETORNO POR MOLA (NOVO) - MODELO FKA-TA-BR-90 - DIMENSÃO 700X300mm - MARCA TROX OU EQUIVALENTE TÉCNICO</t>
  </si>
  <si>
    <t xml:space="preserve"> 15.2.48 </t>
  </si>
  <si>
    <t xml:space="preserve"> 18.034.0218-A </t>
  </si>
  <si>
    <t>DAMPER CORTA FOGO MEDINDO (800X400)MM,ACIONAMENTO AUTOMATICO ,PELA ACAO DE ELEMENTO FUSIVEL,MODELO DCF COM FUSIVEL DE DIS PARO (COM ATESTADO UL) COM ROMPIMENTO EM 72°C OU 141°C,COM C HAVE FIM DE CURSO.FORNECIMENTO E COLOCACAO</t>
  </si>
  <si>
    <t xml:space="preserve"> 15.2.49 </t>
  </si>
  <si>
    <t xml:space="preserve"> UFF00406 (ADAPT_EMOP:18.034.0220-A) </t>
  </si>
  <si>
    <t>FORNECIMENTO E INSTALAÇÃO COMPLETA - DAMPER CORTA-FOGO COM MOTOR DE RETORNO POR MOLA (NOVO) - MODELO FKA-TA-BR-90 - DIMENSÃO 1200X600mm - MARCA TROX OU EQUIVALENTE TÉCNICO</t>
  </si>
  <si>
    <t xml:space="preserve"> 15.2.50 </t>
  </si>
  <si>
    <t xml:space="preserve"> UFF00407 (ADAPT_EMOP:18.034.0220-A) </t>
  </si>
  <si>
    <t>FORNECIMENTO E INSTALAÇÃO COMPLETA - DAMPER CORTA-FOGO COM MOTOR DE RETORNO POR MOLA (NOVO) - MODELO FKA-TA-BR-90 - DIMENSÃO 1300X600mm - MARCA TROX OU EQUIVALENTE TÉCNICO</t>
  </si>
  <si>
    <t xml:space="preserve"> 15.2.51 </t>
  </si>
  <si>
    <t xml:space="preserve"> UFF00408 (ADAPT_SBC:070488) </t>
  </si>
  <si>
    <t>INSTALAÇÃO COMPLETA - COLARINHO EM CHAPA DE AÇO GALVANIZADO COM REGISTRO BORBOLETA - DIÂMETRO Ø131mm - MARCA MULTIVAC OU EQUIVALENTE TÉCNICO (banheiros)</t>
  </si>
  <si>
    <t xml:space="preserve"> 15.2.52 </t>
  </si>
  <si>
    <t xml:space="preserve"> UFF00409 (ADAPT_SBC:070490) </t>
  </si>
  <si>
    <t>INSTALAÇÃO COMPLETA - COLARINHO EM CHAPA DE AÇO GALVANIZADO COM REGISTRO BORBOLETA - DIÂMETRO Ø161mm - MARCA MULTIVAC OU EQUIVALENTE TÉCNICO ( renovacao de ar)</t>
  </si>
  <si>
    <t xml:space="preserve"> 15.2.53 </t>
  </si>
  <si>
    <t xml:space="preserve"> UFF00410 (ADAPT_SBC:070492) </t>
  </si>
  <si>
    <t>INSTALAÇÃO COMPLETA - COLARINHO EM CHAPA DE AÇO GALVANIZADO COM REGISTRO BORBOLETA - DIÂMETRO Ø209mm - MARCA MULTIVAC OU EQUIVALENTE TÉCNICO  (FC-5.02 - FC-5.03 - FC-5.04 - FC-5.05 - FC-5.06 - FC-5.07 - FC-5.08 - FC-5.15 - FC-5.16 - FC-5.17 - FC-5.18 - FC-5.19 - FC-5.20 - FC-5.21 - FC-5.22 - FC-5.23 - FC-5.24 - FC-5.25 - FC-5.26 - FC-5.27 - FC-5.28 - FC-5.29 - FC-5.30 - FC-5.32 - FC-5.33 - FC-5.34 - FC-5.35 - FC-5.36 - FC-5.37 - FC-5.38 - FC-5.39 - FC-5.09 - FC-5.10 - FC-5.11 - FC-5.12 - FC-5.13)</t>
  </si>
  <si>
    <t xml:space="preserve"> 15.2.54 </t>
  </si>
  <si>
    <t xml:space="preserve"> UFF00411 (ADAPT_SBC:070494) </t>
  </si>
  <si>
    <t>INSTALAÇÃO COMPLETA - COLARINHO EM CHAPA DE AÇO GALVANIZADO COM REGISTRO BORBOLETA - DIÂMETRO Ø314mm - MARCA MULTIVAC OU EQUIVALENTE TÉCNICO (FC-5.01 - FC-5.14 - FC-5.31 - FC-5.40 - FC-5.10)</t>
  </si>
  <si>
    <t xml:space="preserve"> 15.2.55 </t>
  </si>
  <si>
    <t xml:space="preserve"> 070489 </t>
  </si>
  <si>
    <t>COLARINHO EM CHAPA ACO GALV, C/REGISTRO BORBOLETA 100MM 4""</t>
  </si>
  <si>
    <t xml:space="preserve"> 15.2.56 </t>
  </si>
  <si>
    <t xml:space="preserve"> UFF00413 (ADAPT_SBC:070488) </t>
  </si>
  <si>
    <t>FORNECIMENTO E INSTALAÇÃO COMPLETA - COLARINHO EM CHAPA DE AÇO GALVANIZADO COM REGISTRO BORBOLETA (NOVO) - DIÂMETRO Ø131mm - MARCA MULTIVAC OU EQUIVALENTE TÉCNICO</t>
  </si>
  <si>
    <t xml:space="preserve"> 15.2.57 </t>
  </si>
  <si>
    <t xml:space="preserve"> UFF00414 (ADAPT_SBC:070490) </t>
  </si>
  <si>
    <t>FORNECIMENTO E INSTALAÇÃO COMPLETA - COLARINHO EM CHAPA DE AÇO GALVANIZADO COM REGISTRO BORBOLETA (NOVO) - DIÂMETRO Ø161mm - MARCA MULTIVAC OU EQUIVALENTE TÉCNICO</t>
  </si>
  <si>
    <t xml:space="preserve"> 15.2.58 </t>
  </si>
  <si>
    <t xml:space="preserve"> UFF00415 (ADAPT_SBC:070491) </t>
  </si>
  <si>
    <t>FORNECIMENTO E INSTALAÇÃO COMPLETA - COLARINHO EM CHAPA DE AÇO GALVANIZADO COM REGISTRO BORBOLETA (NOVO) - DIÂMETRO Ø185mm - MARCA MULTIVAC OU EQUIVALENTE TÉCNICO</t>
  </si>
  <si>
    <t xml:space="preserve"> 15.2.59 </t>
  </si>
  <si>
    <t xml:space="preserve"> 070492 </t>
  </si>
  <si>
    <t>COLARINHO EM CHAPA ACO GALV, C/REGISTRO BORBOLETA 200MM 8""</t>
  </si>
  <si>
    <t xml:space="preserve"> 15.2.60 </t>
  </si>
  <si>
    <t xml:space="preserve"> UFF00416 (ADAPT_SBC:070493) </t>
  </si>
  <si>
    <t>FORNECIMENTO E INSTALAÇÃO COMPLETA - COLARINHO EM CHAPA DE AÇO GALVANIZADO COM REGISTRO BORBOLETA (NOVO) - DIÂMETRO Ø263mm - MARCA MULTIVAC OU EQUIVALENTE TÉCNICO</t>
  </si>
  <si>
    <t xml:space="preserve"> 15.2.61 </t>
  </si>
  <si>
    <t xml:space="preserve"> UFF00417 (ADAPT_SBC:070198) </t>
  </si>
  <si>
    <t>INSTALAÇÃO COMPLETA - COLARINHO SIMPLES EM CHAPA DE AÇO GALVANIZADO  - DIÂMETRO Ø131mm - MARCA MULTIVAC OU EQUIVALENTE TÉCNICO(banheiros)</t>
  </si>
  <si>
    <t xml:space="preserve"> 15.2.62 </t>
  </si>
  <si>
    <t xml:space="preserve"> UFF00418 (ADAPT_SBC:070199) </t>
  </si>
  <si>
    <t>INSTALAÇÃO COMPLETA - COLARINHO SIMPLES EM CHAPA DE AÇO GALVANIZADO  - DIÂMETRO Ø161mm - MARCA MULTIVAC OU EQUIVALENTE TÉCNICO ( renovacao de ar)</t>
  </si>
  <si>
    <t xml:space="preserve"> 15.2.63 </t>
  </si>
  <si>
    <t xml:space="preserve"> UFF00419 (ADAPT_SBC:070335) </t>
  </si>
  <si>
    <t>INSTALAÇÃO COMPLETA - COLARINHO SIMPLES EM CHAPA DE AÇO GALVANIZADO  - DIÂMETRO Ø209mm - MARCA MULTIVAC OU EQUIVALENTE TÉCNICO  (FC-5.02 - FC-5.03 - FC-5.04 - FC-5.05 - FC-5.06 - FC-5.07 - FC-5.08 - FC-5.15 - FC-5.16 - FC-5.17 - FC-5.18 - FC-5.19 - FC-5.20 - FC-5.21 - FC-5.22 - FC-5.23 - FC-5.24 - FC-5.25 - FC-5.26 - FC-5.27 - FC-5.28 - FC-5.29 - FC-5.30 - FC-5.32 - FC-5.33 - FC-5.34 - FC-5.35 - FC-5.36 - FC-5.37 - FC-5.38 - FC-5.39 - FC-5.09 - FC-5.10 - FC-5.11 - FC-5.12 - FC-5.13)</t>
  </si>
  <si>
    <t xml:space="preserve"> 15.2.64 </t>
  </si>
  <si>
    <t xml:space="preserve"> UFF00420 (ADAPT_SBC:070339) </t>
  </si>
  <si>
    <t>INSTALAÇÃO COMPLETA - COLARINHO SIMPLES EM CHAPA DE AÇO GALVANIZADO  - DIÂMETRO Ø314mm - MARCA MULTIVAC OU EQUIVALENTE TÉCNICO  (FC-5.01 - FC-5.14 - FC-5.31 - FC-5.40 - FC-5.10)</t>
  </si>
  <si>
    <t xml:space="preserve"> 15.2.65 </t>
  </si>
  <si>
    <t xml:space="preserve"> 070079 </t>
  </si>
  <si>
    <t>COLARINHO EM CHAPA DE ACO GALVANIZADO SEM REGISTRO 100MM 4""</t>
  </si>
  <si>
    <t xml:space="preserve"> 15.2.66 </t>
  </si>
  <si>
    <t xml:space="preserve"> UFF00421 (ADAPT_SBC:070198) </t>
  </si>
  <si>
    <t>FORNECIMENTO E INSTALAÇÃO COMPLETA - COLARINHO SIMPLES EM CHAPA DE AÇO GALVANIZADO (NOVO) - DIÂMETRO Ø131mm - MARCA MULTIVAC OU EQUIVALENTE TÉCNICO</t>
  </si>
  <si>
    <t xml:space="preserve"> 15.2.67 </t>
  </si>
  <si>
    <t xml:space="preserve"> UFF00422 (ADAPT_SBC:070199) </t>
  </si>
  <si>
    <t>FORNECIMENTO E INSTALAÇÃO COMPLETA - COLARINHO SIMPLES EM CHAPA DE AÇO GALVANIZADO (NOVO) - DIÂMETRO Ø161mm - MARCA MULTIVAC OU EQUIVALENTE TÉCNICO</t>
  </si>
  <si>
    <t xml:space="preserve"> 15.2.68 </t>
  </si>
  <si>
    <t xml:space="preserve"> UFF00423 (ADAPT_SBC:070335) </t>
  </si>
  <si>
    <t>FORNECIMENTO E INSTALAÇÃO COMPLETA - COLARINHO SIMPLES EM CHAPA DE AÇO GALVANIZADO (NOVO) - DIÂMETRO Ø185mm - MARCA MULTIVAC OU EQUIVALENTE TÉCNICO</t>
  </si>
  <si>
    <t xml:space="preserve"> 15.2.69 </t>
  </si>
  <si>
    <t xml:space="preserve"> 070335 </t>
  </si>
  <si>
    <t>COLARINHO EM CHAPA DE ACO GALVANIZADO, SEM REGISTRO 8"" 200MM</t>
  </si>
  <si>
    <t xml:space="preserve"> 15.2.70 </t>
  </si>
  <si>
    <t xml:space="preserve"> UFF00424 (ADAPT_SBC:070336) </t>
  </si>
  <si>
    <t>FORNECIMENTO E INSTALAÇÃO COMPLETA - COLARINHO SIMPLES EM CHAPA DE AÇO GALVANIZADO (NOVO) - DIÂMETRO Ø263mm - MARCA MULTIVAC OU EQUIVALENTE TÉCNICO</t>
  </si>
  <si>
    <t xml:space="preserve"> 15.3 </t>
  </si>
  <si>
    <t>DUTOS RÍGIDOS - DUTOS FLEXÍVEIS - ISOLAMENTOS</t>
  </si>
  <si>
    <t xml:space="preserve"> 15.3.1 </t>
  </si>
  <si>
    <t xml:space="preserve"> UFF00425 (ADAPT_SBC:073350) </t>
  </si>
  <si>
    <t>FORNECIMENTO E INSTALAÇÃO COMPLETA - CHAPA DE AÇO GALVANIZADO #20</t>
  </si>
  <si>
    <t xml:space="preserve"> 15.3.2 </t>
  </si>
  <si>
    <t xml:space="preserve"> 073350 </t>
  </si>
  <si>
    <t>CHAPA DE ACO GALVANIZADO #22 (6,4kg/m2) PARA DUTOS EXAUSTAO</t>
  </si>
  <si>
    <t xml:space="preserve"> 15.3.3 </t>
  </si>
  <si>
    <t xml:space="preserve"> 073351 </t>
  </si>
  <si>
    <t>CHAPA DE ACO GALVANIZADO #24 (5,20kg/m2) PARA DUTOS EXAUSTAO</t>
  </si>
  <si>
    <t xml:space="preserve"> 15.3.4 </t>
  </si>
  <si>
    <t xml:space="preserve"> 073352 </t>
  </si>
  <si>
    <t>CHAPA DE ACO GALVANIZADO #26 (4,00kg/m2) PARA DUTOS EXAUSTAO</t>
  </si>
  <si>
    <t xml:space="preserve"> 15.3.5 </t>
  </si>
  <si>
    <t xml:space="preserve"> 070660 </t>
  </si>
  <si>
    <t>DUTO FLEXIVEL DE ALUMINIO C/ ISOLAM. TERM.LA VIDRO 100MM 4""</t>
  </si>
  <si>
    <t xml:space="preserve"> 15.3.6 </t>
  </si>
  <si>
    <t xml:space="preserve"> 070662 </t>
  </si>
  <si>
    <t>DUTO FLEXIVEL DE ALUMINIO C/ ISOLAM. TERM.LA VIDRO 125MM 5""</t>
  </si>
  <si>
    <t xml:space="preserve"> 15.3.7 </t>
  </si>
  <si>
    <t xml:space="preserve"> 070665 </t>
  </si>
  <si>
    <t>DUTO FLEXIVEL DE ALUMINIO C/ ISOLAM. TERM.LA VIDRO 150MM 6""</t>
  </si>
  <si>
    <t xml:space="preserve"> 15.3.8 </t>
  </si>
  <si>
    <t xml:space="preserve"> 070666 </t>
  </si>
  <si>
    <t>DUTO FLEXIVEL DE ALUMINIO C/ ISOLAM. TERM.LA VIDRO 185MM 7""</t>
  </si>
  <si>
    <t xml:space="preserve"> 15.3.9 </t>
  </si>
  <si>
    <t xml:space="preserve"> 070667 </t>
  </si>
  <si>
    <t>DUTO FLEXIVEL DE ALUMINIO C/ ISOLAM. TERM.LA VIDRO 200MM 8""</t>
  </si>
  <si>
    <t xml:space="preserve"> 15.3.10 </t>
  </si>
  <si>
    <t xml:space="preserve"> UFF00426 (ADAPT_SBC:070668) </t>
  </si>
  <si>
    <t>FORNECIMENTO E INSTALAÇÃO COMPLETA - DUTO FLEXÍVEL ISOLADO PARA INSUFLAMENTO E TOMADA DE AR EXTERNO (NOVO) - MODELO ISODEC RT 1.2 - RESISTÊNCIA TÉRMICA 1,2M².ºC/W - DIÂMETRO Ø263mm - MARCA MULTIVAC OU EQUIVALENTE TÉCNICO</t>
  </si>
  <si>
    <t xml:space="preserve"> 15.3.11 </t>
  </si>
  <si>
    <t xml:space="preserve"> UFF00427 (ADAPT_SBC:070665) </t>
  </si>
  <si>
    <t>INSTALAÇÃO COMPLETA - DUTO FLEXÍVEL ISOLADO PARA INSUFLAMENTO E TOMADA DE AR EXTERNO - MODELO ISODEC RT 1.2 - RESISTÊNCIA TÉRMICA 1,2M².ºC/W - DIÂMETRO Ø161mm - PACOTE DE 6 METROS - MARCA MULTIVAC OU EQUIVALENTE TÉCNICO</t>
  </si>
  <si>
    <t xml:space="preserve"> 15.3.12 </t>
  </si>
  <si>
    <t xml:space="preserve"> UFF00428 (ADAPT_SBC:070667) </t>
  </si>
  <si>
    <t>DUTO FLEXÍVEL ISOLADO PARA INSUFLAMENTO E TOMADA DE AR EXTERNO - MODELO ISODEC RT 1.2 - RESISTÊNCIA TÉRMICA 1,2M².ºC/W - DIÂMETRO Ø209mm - PACOTE DE 6 METROS  - MARCA MULTIVAC OU EQUIVALENTE TÉCNICO</t>
  </si>
  <si>
    <t xml:space="preserve"> 15.3.13 </t>
  </si>
  <si>
    <t xml:space="preserve"> UFF00429 (ADAPT_SBC:070552) </t>
  </si>
  <si>
    <t>INSTALAÇÃO COMPLETA - DUTO FLEXÍVEL PARA RETORNO / EXAUSTÃO - MODELO ALUDEC - DIÂMETRO Ø131mm  - PACOTE DE 10 METROS - MARCA MULTIVAC OU EQUIVALENTE TÉCNICO</t>
  </si>
  <si>
    <t xml:space="preserve"> 15.3.14 </t>
  </si>
  <si>
    <t xml:space="preserve"> UFF00430 (ADAPT_SBC:070655) </t>
  </si>
  <si>
    <t>INSTALAÇÃO COMPLETA - DUTO FLEXÍVEL PARA RETORNO / EXAUSTÃO - MODELO ALUDEC - DIÂMETRO Ø161mm -  PACOTE DE 6 METROS -MARCA MULTIVAC OU EQUIVALENTE TÉCNICO</t>
  </si>
  <si>
    <t xml:space="preserve"> 15.3.15 </t>
  </si>
  <si>
    <t xml:space="preserve"> 070495 </t>
  </si>
  <si>
    <t>DUTO FLEXIVEL DE ALUMINIO ؽ4"" (100 MM)</t>
  </si>
  <si>
    <t xml:space="preserve"> 15.3.16 </t>
  </si>
  <si>
    <t xml:space="preserve"> 070552 </t>
  </si>
  <si>
    <t>DUTO FLEXIVEL DE ALUMINIO ؽ5"" (125 MM)</t>
  </si>
  <si>
    <t xml:space="preserve"> 15.3.17 </t>
  </si>
  <si>
    <t xml:space="preserve"> UFF00431 (ADAPT_SBC:070655) </t>
  </si>
  <si>
    <t>FORNECIMENTO E INSTALAÇÃO COMPLETA - DUTO FLEXÍVEL PARA RETORNO / EXAUSTÃO (NOVO) - MODELO ALUDEC - DIÂMETRO Ø161mm - MARCA MULTIVAC OU EQUIVALENTE TÉCNICO</t>
  </si>
  <si>
    <t xml:space="preserve"> 15.3.18 </t>
  </si>
  <si>
    <t xml:space="preserve"> 070101 </t>
  </si>
  <si>
    <t>ISOFLEX 4+ LàDE VIDRO PARA DUTOS DE AR-CONDICIONADO</t>
  </si>
  <si>
    <t xml:space="preserve"> 15.4 </t>
  </si>
  <si>
    <t>TUBULAÇÃO DE COBRE - ISOLAMENTOS</t>
  </si>
  <si>
    <t xml:space="preserve"> 15.4.1 </t>
  </si>
  <si>
    <t xml:space="preserve"> 103289 </t>
  </si>
  <si>
    <t>TUBO EM COBRE FLEXÍVEL, DN 1/4", COM ISOLAMENTO, INSTALADO EM FORRO, PARA RAMAL DE ALIMENTAÇÃO DE AR CONDICIONADO, INCLUSO FIXADOR. AF_11/2021_PA</t>
  </si>
  <si>
    <t xml:space="preserve"> 15.4.2 </t>
  </si>
  <si>
    <t xml:space="preserve"> 103290 </t>
  </si>
  <si>
    <t>TUBO EM COBRE FLEXÍVEL, DN 3/8", COM ISOLAMENTO, INSTALADO EM FORRO, PARA RAMAL DE ALIMENTAÇÃO DE AR CONDICIONADO, INCLUSO FIXADOR. AF_11/2021_PA</t>
  </si>
  <si>
    <t xml:space="preserve"> 15.4.3 </t>
  </si>
  <si>
    <t xml:space="preserve"> 103291 </t>
  </si>
  <si>
    <t>TUBO EM COBRE FLEXÍVEL, DN 1/2", COM ISOLAMENTO, INSTALADO EM FORRO, PARA RAMAL DE ALIMENTAÇÃO DE AR CONDICIONADO, INCLUSO FIXADOR. AF_11/2021_PA</t>
  </si>
  <si>
    <t xml:space="preserve"> 15.4.4 </t>
  </si>
  <si>
    <t xml:space="preserve"> 103292 </t>
  </si>
  <si>
    <t>TUBO EM COBRE FLEXÍVEL, DN 5/8", COM ISOLAMENTO, INSTALADO EM FORRO, PARA RAMAL DE ALIMENTAÇÃO DE AR CONDICIONADO, INCLUSO FIXADOR. AF_11/2021_PA</t>
  </si>
  <si>
    <t xml:space="preserve"> 15.4.5 </t>
  </si>
  <si>
    <t xml:space="preserve"> UFF00341 (ADAPT_SINAPI: 103292) </t>
  </si>
  <si>
    <t>FORNECIMENTO E INSTALAÇÃO COMPLETA - TUBULAÇÃO DE COBRE SEM COSTURA PARA SISTEMA VRF - Ø7/8 - DENSIDADE LINEAR 0,635 kg/m</t>
  </si>
  <si>
    <t xml:space="preserve"> 15.4.6 </t>
  </si>
  <si>
    <t xml:space="preserve"> UFF00342 (ADAPT_SINAPI: 103292) </t>
  </si>
  <si>
    <t>FORNECIMENTO E INSTALAÇÃO COMPLETA - TUBULAÇÃO DE COBRE SEM COSTURA PARA SISTEMA VRF - Ø1 1/8 - DENSIDADE LINEAR 0,635 kg/m</t>
  </si>
  <si>
    <t xml:space="preserve"> 15.4.7 </t>
  </si>
  <si>
    <t xml:space="preserve"> UFF00343 (ADAPT_SINAPI: 103292) </t>
  </si>
  <si>
    <t>FORNECIMENTO E INSTALAÇÃO COMPLETA - TUBULAÇÃO DE COBRE SEM COSTURA PARA SISTEMA VRF - Ø1 1/4 - DENSIDADE LINEAR 1,35 kg/m</t>
  </si>
  <si>
    <t xml:space="preserve"> 15.4.8 </t>
  </si>
  <si>
    <t xml:space="preserve"> 070963 </t>
  </si>
  <si>
    <t>ISOLANTE TERMICO FLEXIVEL EM ESPUMA ELASTOMERICA, MANTA 25MM</t>
  </si>
  <si>
    <t xml:space="preserve"> 15.5 </t>
  </si>
  <si>
    <t>CONEXÕES E ACESSÓRIOS</t>
  </si>
  <si>
    <t xml:space="preserve"> 15.5.1 </t>
  </si>
  <si>
    <t xml:space="preserve"> 95249 </t>
  </si>
  <si>
    <t>VÁLVULA DE ESFERA BRUTA, BRONZE, ROSCÁVEL, 3/4'' - FORNECIMENTO E INSTALAÇÃO. AF_08/2021</t>
  </si>
  <si>
    <t xml:space="preserve"> 15.5.2 </t>
  </si>
  <si>
    <t xml:space="preserve"> 95250 </t>
  </si>
  <si>
    <t>VÁLVULA DE ESFERA BRUTA, BRONZE, ROSCÁVEL, 1'' - FORNECIMENTO E INSTALAÇÃO. AF_08/2021</t>
  </si>
  <si>
    <t xml:space="preserve"> 15.5.3 </t>
  </si>
  <si>
    <t xml:space="preserve"> 95251 </t>
  </si>
  <si>
    <t>VÁLVULA DE ESFERA BRUTA, BRONZE, ROSCÁVEL, 1 1/4'' - FORNECIMENTO E INSTALAÇÃO. AF_08/2021</t>
  </si>
  <si>
    <t xml:space="preserve"> 15.5.4 </t>
  </si>
  <si>
    <t xml:space="preserve"> 15.029.0219-A </t>
  </si>
  <si>
    <t>VALVULA DE BALANCEAMENTO ROSQUEADA DE 3/4".FORNECIMENTO E CO LOCACAO</t>
  </si>
  <si>
    <t xml:space="preserve"> 15.5.5 </t>
  </si>
  <si>
    <t xml:space="preserve"> 15.029.0215-A </t>
  </si>
  <si>
    <t>VALVULA DE BALANCEAMENTO ROSQUEADA DE 1".FORNECIMENTO E COLO CACAO</t>
  </si>
  <si>
    <t xml:space="preserve"> 15.5.6 </t>
  </si>
  <si>
    <t xml:space="preserve"> 052530 </t>
  </si>
  <si>
    <t>VALVULA GLOBO BRONZE DISCO METAL PN 16 (CLASSE 150) BSP 3""</t>
  </si>
  <si>
    <t xml:space="preserve"> 15.5.7 </t>
  </si>
  <si>
    <t xml:space="preserve"> 055991 </t>
  </si>
  <si>
    <t>VALVULA GAVETA ROSCA BRONZE 1""</t>
  </si>
  <si>
    <t xml:space="preserve"> 15.5.8 </t>
  </si>
  <si>
    <t xml:space="preserve"> 15.029.0242-A </t>
  </si>
  <si>
    <t>FILTRO Y,CORPO EM METAL,COM TELA REMOVIVEL EM ACO INOX,DE 3/ 4".FORNECIMENTO E COLOCACAO</t>
  </si>
  <si>
    <t xml:space="preserve"> 15.5.9 </t>
  </si>
  <si>
    <t xml:space="preserve"> 15.029.0244-A </t>
  </si>
  <si>
    <t>FILTRO Y,CORPO EM METAL,COM TELA REMOVIVEL EM ACO INOX,DE 1" .FORNECIMENTO E COLOCACAO</t>
  </si>
  <si>
    <t xml:space="preserve"> 15.5.10 </t>
  </si>
  <si>
    <t xml:space="preserve"> 93106 </t>
  </si>
  <si>
    <t>JUNTA DE EXPANSÃO EM COBRE, DN 15 MM, PONTA X PONTA, INSTALADO EM RAMAL E SUB-RAMAL DE HIDRÁULICA PREDIAL - FORNECIMENTO E INSTALAÇÃO. AF_04/2022</t>
  </si>
  <si>
    <t xml:space="preserve"> 15.5.11 </t>
  </si>
  <si>
    <t xml:space="preserve"> 93109 </t>
  </si>
  <si>
    <t>JUNTA DE EXPANSÃO EM COBRE, DN 22 MM, PONTA X PONTA, INSTALADO EM RAMAL E SUB-RAMAL DE HIDRÁULICA PREDIAL - FORNECIMENTO E INSTALAÇÃO. AF_04/2022</t>
  </si>
  <si>
    <t xml:space="preserve"> 15.5.12 </t>
  </si>
  <si>
    <t xml:space="preserve"> 052101 </t>
  </si>
  <si>
    <t>CURVA 90 GALVANIZADA 3/4""</t>
  </si>
  <si>
    <t xml:space="preserve"> 15.5.13 </t>
  </si>
  <si>
    <t xml:space="preserve"> 052102 </t>
  </si>
  <si>
    <t>CURVA 90 GALVANIZADA 1""</t>
  </si>
  <si>
    <t xml:space="preserve"> 15.5.14 </t>
  </si>
  <si>
    <t xml:space="preserve"> 052046 </t>
  </si>
  <si>
    <t>CURVA 90 GALVANIZADA 1.1/4""</t>
  </si>
  <si>
    <t xml:space="preserve"> 15.5.15 </t>
  </si>
  <si>
    <t xml:space="preserve"> 052043 </t>
  </si>
  <si>
    <t>CURVA 90 GALVANIZADA 4""</t>
  </si>
  <si>
    <t xml:space="preserve"> 15.5.16 </t>
  </si>
  <si>
    <t xml:space="preserve"> 052532 </t>
  </si>
  <si>
    <t>CURVA 90 GALVANIZADA 6""</t>
  </si>
  <si>
    <t xml:space="preserve"> 15.5.17 </t>
  </si>
  <si>
    <t xml:space="preserve"> UFF00316 (ADAPT_AGETOP: 072661) </t>
  </si>
  <si>
    <t>FORNECIMENTO E INSTALAÇÃO COMPLETA - VERGALHÃO ROSCADO Ø5/16"</t>
  </si>
  <si>
    <t xml:space="preserve"> 15.5.18 </t>
  </si>
  <si>
    <t xml:space="preserve"> 15.5.19 </t>
  </si>
  <si>
    <t xml:space="preserve"> 15.5.20 </t>
  </si>
  <si>
    <t xml:space="preserve"> MAT007600 </t>
  </si>
  <si>
    <t>Arruela lisa de aco galvanizado, de 5/16"</t>
  </si>
  <si>
    <t xml:space="preserve"> 15.5.21 </t>
  </si>
  <si>
    <t xml:space="preserve"> 72713 </t>
  </si>
  <si>
    <t>TE DE ACO GALVANIZADO 1.1/4" - FORNECIMENTO E INSTALACAO</t>
  </si>
  <si>
    <t xml:space="preserve"> 15.5.22 </t>
  </si>
  <si>
    <t xml:space="preserve"> 72712 </t>
  </si>
  <si>
    <t>TE DE ACO GALVANIZADO 1.1/2" - FORNECIMENTO E INSTALACAO</t>
  </si>
  <si>
    <t xml:space="preserve"> 15.5.23 </t>
  </si>
  <si>
    <t xml:space="preserve"> 72716 </t>
  </si>
  <si>
    <t>TE DE ACO GALVANIZADO 2" - FORNECIMENTO E INSTALACAO</t>
  </si>
  <si>
    <t xml:space="preserve"> 15.5.24 </t>
  </si>
  <si>
    <t xml:space="preserve"> 72719 </t>
  </si>
  <si>
    <t>TE DE ACO GALVANIZADO 4" - FORNECIMENTO E INSTALACAO</t>
  </si>
  <si>
    <t xml:space="preserve"> 15.5.25 </t>
  </si>
  <si>
    <t xml:space="preserve"> 72720 </t>
  </si>
  <si>
    <t>TE DE ACO GALVANIZADO 5" - FORNECIMENTO E INSTALACAO</t>
  </si>
  <si>
    <t xml:space="preserve"> 15.5.26 </t>
  </si>
  <si>
    <t xml:space="preserve"> 052381 </t>
  </si>
  <si>
    <t>TE REDUCAO GALVANIZADO 3/4""x1/2""</t>
  </si>
  <si>
    <t xml:space="preserve"> 15.5.27 </t>
  </si>
  <si>
    <t xml:space="preserve"> 055725 </t>
  </si>
  <si>
    <t>TE REDUCAO GALVANIZADO 1""x1/2""</t>
  </si>
  <si>
    <t xml:space="preserve"> 15.5.28 </t>
  </si>
  <si>
    <t xml:space="preserve"> 052319 </t>
  </si>
  <si>
    <t>TE REDUCAO GALVANIZADO 1""x3/4""</t>
  </si>
  <si>
    <t xml:space="preserve"> 15.5.29 </t>
  </si>
  <si>
    <t xml:space="preserve"> 052312 </t>
  </si>
  <si>
    <t>TE REDUCAO GALVANIZADO 1.1/4""x1/2""</t>
  </si>
  <si>
    <t xml:space="preserve"> 15.5.30 </t>
  </si>
  <si>
    <t xml:space="preserve"> 052317 </t>
  </si>
  <si>
    <t>TE REDUCAO GALVANIZADO 1.1/4""x3/4""</t>
  </si>
  <si>
    <t xml:space="preserve"> 15.5.31 </t>
  </si>
  <si>
    <t xml:space="preserve"> 052316 </t>
  </si>
  <si>
    <t>TE REDUCAO GALVANIZADO 1.1/4""x1""</t>
  </si>
  <si>
    <t xml:space="preserve"> 15.5.32 </t>
  </si>
  <si>
    <t xml:space="preserve"> 052313 </t>
  </si>
  <si>
    <t>TE REDUCAO GALVANIZADO 1.1/2""x1.1/4""</t>
  </si>
  <si>
    <t xml:space="preserve"> 15.5.33 </t>
  </si>
  <si>
    <t xml:space="preserve"> 056149 </t>
  </si>
  <si>
    <t>TE REDUCAO GALVANIZADO DIAM. 2""x1.1/4""</t>
  </si>
  <si>
    <t xml:space="preserve"> 15.5.34 </t>
  </si>
  <si>
    <t xml:space="preserve"> 052305 </t>
  </si>
  <si>
    <t>TE REDUCAO GALVANIZADO 3""x2""</t>
  </si>
  <si>
    <t xml:space="preserve"> 15.5.35 </t>
  </si>
  <si>
    <t xml:space="preserve"> 72657 </t>
  </si>
  <si>
    <t>LUVA REDUCAO ACO GALVANIZADO 1X3/4" - FORNECIMENTO E INSTALACAO</t>
  </si>
  <si>
    <t xml:space="preserve"> 15.5.36 </t>
  </si>
  <si>
    <t xml:space="preserve"> 72655 </t>
  </si>
  <si>
    <t>LUVA REDUCAO ACO GALVANIZADO 1.1/4X3/4" - FORNECIMENTO E INSTALACAO</t>
  </si>
  <si>
    <t xml:space="preserve"> 15.5.37 </t>
  </si>
  <si>
    <t xml:space="preserve"> 72653 </t>
  </si>
  <si>
    <t>LUVA REDUCAO ACO GALVANIZADO 1.1/4X1" - FORNECIMENTO E INSTALACAO</t>
  </si>
  <si>
    <t xml:space="preserve"> 15.5.38 </t>
  </si>
  <si>
    <t xml:space="preserve"> 72650 </t>
  </si>
  <si>
    <t>LUVA REDUCAO ACO GALVANIZADO 1.1/2X1.1/4" - FORNECIMENTO E INSTALACAO</t>
  </si>
  <si>
    <t xml:space="preserve"> 15.5.39 </t>
  </si>
  <si>
    <t xml:space="preserve"> 72661 </t>
  </si>
  <si>
    <t>LUVA REDUCAO ACO GALVANIZADO 2X1.1/4" - FORNECIMENTO E INSTALACAO</t>
  </si>
  <si>
    <t xml:space="preserve"> 15.5.40 </t>
  </si>
  <si>
    <t xml:space="preserve"> 72658 </t>
  </si>
  <si>
    <t>LUVA REDUCAO ACO GALVANIZADO 2.1/2X1.1/2" - FORNECIMENTO E INSTALACAO</t>
  </si>
  <si>
    <t xml:space="preserve"> 15.5.41 </t>
  </si>
  <si>
    <t xml:space="preserve"> 72659 </t>
  </si>
  <si>
    <t>LUVA REDUCAO ACO GALVANIZADO 2.1/2X2" - FORNECIMENTO E INSTALACAO</t>
  </si>
  <si>
    <t xml:space="preserve"> 15.5.42 </t>
  </si>
  <si>
    <t xml:space="preserve"> 72665 </t>
  </si>
  <si>
    <t>LUVA REDUCAO ACO GALVANIZADO 3X2.1/2" - FORNECIMENTO E INSTALACAO</t>
  </si>
  <si>
    <t xml:space="preserve"> 15.5.43 </t>
  </si>
  <si>
    <t xml:space="preserve"> 72669 </t>
  </si>
  <si>
    <t>LUVA REDUCAO ACO GALVANIZADO 4X3" - FORNECIMENTO E INSTALACAO</t>
  </si>
  <si>
    <t xml:space="preserve"> 15.5.44 </t>
  </si>
  <si>
    <t xml:space="preserve"> 070401 </t>
  </si>
  <si>
    <t>GAS REFRIGERANTE R410</t>
  </si>
  <si>
    <t xml:space="preserve"> 15.5.45 </t>
  </si>
  <si>
    <t xml:space="preserve"> 070463 </t>
  </si>
  <si>
    <t>GAS REFRIGERANTE R-141B</t>
  </si>
  <si>
    <t xml:space="preserve"> 15.6 </t>
  </si>
  <si>
    <t>TUBULAÇÃO DE AÇO GALVANIZADO - ISOLAMENTOS</t>
  </si>
  <si>
    <t xml:space="preserve"> 15.6.1 </t>
  </si>
  <si>
    <t xml:space="preserve"> 15.6.2 </t>
  </si>
  <si>
    <t xml:space="preserve"> 92687 </t>
  </si>
  <si>
    <t>TUBO DE AÇO GALVANIZADO COM COSTURA, CLASSE MÉDIA, CONEXÃO ROSQUEADA, DN 15 (1/2"), INSTALADO EM RAMAIS E SUB-RAMAIS DE GÁS - FORNECIMENTO E INSTALAÇÃO. AF_10/2020</t>
  </si>
  <si>
    <t xml:space="preserve"> 15.6.3 </t>
  </si>
  <si>
    <t xml:space="preserve"> 15.6.4 </t>
  </si>
  <si>
    <t xml:space="preserve"> 92652 </t>
  </si>
  <si>
    <t>TUBO DE AÇO GALVANIZADO COM COSTURA, CLASSE MÉDIA, CONEXÃO ROSQUEADA, DN 32 (1 1/4"), INSTALADO EM REDE DE ALIMENTAÇÃO PARA SPRINKLER - FORNECIMENTO E INSTALAÇÃO. AF_10/2020</t>
  </si>
  <si>
    <t xml:space="preserve"> 15.6.5 </t>
  </si>
  <si>
    <t xml:space="preserve"> 92653 </t>
  </si>
  <si>
    <t>TUBO DE AÇO GALVANIZADO COM COSTURA, CLASSE MÉDIA, CONEXÃO ROSQUEADA, DN 40 (1 1/2"), INSTALADO EM REDE DE ALIMENTAÇÃO PARA SPRINKLER - FORNECIMENTO E INSTALAÇÃO. AF_10/2020</t>
  </si>
  <si>
    <t xml:space="preserve"> 15.6.6 </t>
  </si>
  <si>
    <t xml:space="preserve"> 92654 </t>
  </si>
  <si>
    <t>TUBO DE AÇO GALVANIZADO COM COSTURA, CLASSE MÉDIA, CONEXÃO ROSQUEADA, DN 50 (2"), INSTALADO EM REDE DE ALIMENTAÇÃO PARA SPRINKLER - FORNECIMENTO E INSTALAÇÃO. AF_10/2020</t>
  </si>
  <si>
    <t xml:space="preserve"> 15.6.7 </t>
  </si>
  <si>
    <t xml:space="preserve"> 92655 </t>
  </si>
  <si>
    <t>TUBO DE AÇO GALVANIZADO COM COSTURA, CLASSE MÉDIA, CONEXÃO ROSQUEADA, DN 65 (2 1/2"), INSTALADO EM REDE DE ALIMENTAÇÃO PARA SPRINKLER - FORNECIMENTO E INSTALAÇÃO. AF_10/2020</t>
  </si>
  <si>
    <t xml:space="preserve"> 15.6.8 </t>
  </si>
  <si>
    <t xml:space="preserve"> UFF00333 (ADAPT_SINAPI: 92656) </t>
  </si>
  <si>
    <t>FORNECIMENTO E INSTALAÇÃO COMPLETA - TUBULAÇÃO DE AÇO GALVANIZADO DIM 2880 PARA ROSCA BSP - Ø6"</t>
  </si>
  <si>
    <t xml:space="preserve"> 15.6.9 </t>
  </si>
  <si>
    <t xml:space="preserve"> UFF00334 (ADAPT_SINAPI: 92650) </t>
  </si>
  <si>
    <t>FORNECIMENTO E INSTALAÇÃO COMPLETA - TUBULAÇÃO DE AÇO CARBONO NBR 5580/5590 PARA SOLDA - Ø3"</t>
  </si>
  <si>
    <t xml:space="preserve"> 15.6.10 </t>
  </si>
  <si>
    <t xml:space="preserve"> 15.6.11 </t>
  </si>
  <si>
    <t xml:space="preserve"> UFF00337 (ADAPT_SINAPI: 92650) </t>
  </si>
  <si>
    <t>FORNECIMENTO E INSTALAÇÃO COMPLETA - TUBULAÇÃO DE AÇO CARBONO NBR 5580/5590 PARA SOLDA - Ø6"</t>
  </si>
  <si>
    <t xml:space="preserve"> 15.6.12 </t>
  </si>
  <si>
    <t xml:space="preserve"> 15.7 </t>
  </si>
  <si>
    <t>RETIRADA DE ISOLAMENTO E EQUIPAMENTOS</t>
  </si>
  <si>
    <t xml:space="preserve"> 15.7.1 </t>
  </si>
  <si>
    <t xml:space="preserve"> 022283 </t>
  </si>
  <si>
    <t>RETIRADA ISOLAMENTO TERMICO EM TUBOS DE REFRIGERACAO</t>
  </si>
  <si>
    <t xml:space="preserve"> 15.7.2 </t>
  </si>
  <si>
    <t xml:space="preserve"> 022033 </t>
  </si>
  <si>
    <t>RETIRADA DUTOS DE REFRIGERACAO</t>
  </si>
  <si>
    <t xml:space="preserve"> 16.1 </t>
  </si>
  <si>
    <t xml:space="preserve"> 87777 </t>
  </si>
  <si>
    <t>EMBOÇO OU MASSA ÚNICA EM ARGAMASSA TRAÇO 1:2:8, PREPARO MANUAL, APLICADA MANUALMENTE EM PANOS DE FACHADA COM PRESENÇA DE VÃOS, ESPESSURA DE 25 MM. AF_08/2022</t>
  </si>
  <si>
    <t xml:space="preserve"> 16.2 </t>
  </si>
  <si>
    <t xml:space="preserve"> 87879 </t>
  </si>
  <si>
    <t>CHAPISCO APLICADO EM ALVENARIAS E ESTRUTURAS DE CONCRETO INTERNAS, COM COLHER DE PEDREIRO.  ARGAMASSA TRAÇO 1:3 COM PREPARO EM BETONEIRA 400L. AF_10/2022</t>
  </si>
  <si>
    <t xml:space="preserve"> 16.3 </t>
  </si>
  <si>
    <t xml:space="preserve"> 13.025.0020-A </t>
  </si>
  <si>
    <t>REJUNTAMENTO DE AZULEJOS,PASTILHAS OU LADRILHOS,EM PAREDES,C OM PASTA DE CIMENTO BRANCO</t>
  </si>
  <si>
    <t xml:space="preserve"> 16.4 </t>
  </si>
  <si>
    <t xml:space="preserve"> UFF00294 (ADAPT_SBC: 120211) </t>
  </si>
  <si>
    <t>MOLDURA GRANITO ESPESSURA 3x20cm CIM.AREIA-PORTAS DE ELEVADOR</t>
  </si>
  <si>
    <t xml:space="preserve"> 17.1 </t>
  </si>
  <si>
    <t>PISO INTERNO</t>
  </si>
  <si>
    <t xml:space="preserve"> 17.1.1 </t>
  </si>
  <si>
    <t xml:space="preserve"> 104162 </t>
  </si>
  <si>
    <t>PISO EM GRANILITE, MARMORITE OU GRANITINA EM AMBIENTES INTERNOS, COM ESPESSURA DE 8 MM, INCLUSO MISTURA EM BETONEIRA, COLOCAÇÃO DAS JUNTAS, APLICAÇÃO DO PISO, 4 POLIMENTOS COM POLITRIZ, ESTUCAMENTO, SELADOR E CERA. AF_06/2022</t>
  </si>
  <si>
    <t xml:space="preserve"> 17.1.2 </t>
  </si>
  <si>
    <t xml:space="preserve"> UFF00054 (ADAPT_SINAPI: 73800/001) </t>
  </si>
  <si>
    <t>POLIMENTO EM PISO GRANILITE, MARMORITE OU GRANITINA EM AMBIENTES INTERNOS</t>
  </si>
  <si>
    <t xml:space="preserve"> 17.1.3 </t>
  </si>
  <si>
    <t xml:space="preserve"> 13.385.0005-0 </t>
  </si>
  <si>
    <t>RODAPE DE ALTA RESISTENCIA,EM ARGAMASSA DE CIMENTO E AGREGAD OS MINERAIS, COM 10CM DE ALTURA, NA COR NATURAL DO CIMENTO, INCLUSIVE 3 POLIMENTOS,SENDO OS CANTOS SALIENTES BOLEADOS,E OS REENTRANTES E JUNTO AO PISO EM MEIA CANA</t>
  </si>
  <si>
    <t xml:space="preserve"> 17.1.4 </t>
  </si>
  <si>
    <t xml:space="preserve"> 101727 </t>
  </si>
  <si>
    <t>PISO VINÍLICO SEMI-FLEXÍVEL EM PLACAS, PADRÃO LISO, ESPESSURA 3,2 MM, FIXADO COM COLA. AF_09/2020</t>
  </si>
  <si>
    <t xml:space="preserve"> 17.1.5 </t>
  </si>
  <si>
    <t xml:space="preserve"> 130302 </t>
  </si>
  <si>
    <t>RODAPE 7,5CM VINILICO CURVO FADEMAC</t>
  </si>
  <si>
    <t xml:space="preserve"> 17.1.6 </t>
  </si>
  <si>
    <t xml:space="preserve"> 101749 </t>
  </si>
  <si>
    <t>PISO CIMENTADO, TRAÇO 1:3 (CIMENTO E AREIA), ACABAMENTO LISO, ESPESSURA 4,0 CM, PREPARO MECÂNICO DA ARGAMASSA. AF_09/2020</t>
  </si>
  <si>
    <t xml:space="preserve"> 17.1.7 </t>
  </si>
  <si>
    <t xml:space="preserve"> UFF00056 (ADAPT_SBC: 170150) </t>
  </si>
  <si>
    <t>PISO CERÂMICO 30X30CM, REFERÊNCIA LINHA ESSENCIAL, MÁRMORE BIANCO BOLD, DA MARCA PORTOBELLO OU EQUIVALENTE TÉCNICO, ASSENTADO COM ARGAMASSA PRÉ-FABRICADA DE CIMENTO COLANTE</t>
  </si>
  <si>
    <t xml:space="preserve"> 17.1.8 </t>
  </si>
  <si>
    <t xml:space="preserve"> 88648 </t>
  </si>
  <si>
    <t>RODAPÉ CERÂMICO DE 7CM DE ALTURA COM PLACAS TIPO ESMALTADA EXTRA  DE DIMENSÕES 35X35CM. AF_02/2023</t>
  </si>
  <si>
    <t xml:space="preserve"> 17.1.9 </t>
  </si>
  <si>
    <t xml:space="preserve"> UFF00052 (ADAPT_SINAPI: 90934) </t>
  </si>
  <si>
    <t>PAINEL DE LÂ DE VIDRO OPTIMA PISO, REF. ISOVER, e= 15MM, MONTADO COM FACE BRANCA PARA BAIXO</t>
  </si>
  <si>
    <t xml:space="preserve"> 17.1.10 </t>
  </si>
  <si>
    <t xml:space="preserve"> 101094 </t>
  </si>
  <si>
    <t>PISO PODOTÁTIL DE ALERTA OU DIRECIONAL, DE BORRACHA, ASSENTADO SOBRE ARGAMASSA. AF_05/2020</t>
  </si>
  <si>
    <t xml:space="preserve"> 17.1.11 </t>
  </si>
  <si>
    <t xml:space="preserve"> 104658 </t>
  </si>
  <si>
    <t>PISO PODOTÁTIL DE ALERTA OU DIRECIONAL, DE CONCRETO, ASSENTADO SOBRE ARGAMASSA. AF_03/2024</t>
  </si>
  <si>
    <t xml:space="preserve"> 17.1.12 </t>
  </si>
  <si>
    <t xml:space="preserve"> 98689 </t>
  </si>
  <si>
    <t>SOLEIRA EM GRANITO, LARGURA 15 CM, ESPESSURA 2,0 CM. AF_09/2020</t>
  </si>
  <si>
    <t xml:space="preserve"> 17.1.13 </t>
  </si>
  <si>
    <t xml:space="preserve"> UFF00015 (ADAPT_CPOS: 17.12.100) </t>
  </si>
  <si>
    <t>SOLEIRA EM PISO DE ALTA RESISTÊNCIA, TIPO KORODUR OU EQUIVALENTE TÉCNICO.</t>
  </si>
  <si>
    <t xml:space="preserve"> 17.2 </t>
  </si>
  <si>
    <t>PAVIMENTAÇÃO EXTERNA</t>
  </si>
  <si>
    <t xml:space="preserve"> 17.2.1 </t>
  </si>
  <si>
    <t xml:space="preserve"> 92400 </t>
  </si>
  <si>
    <t>EXECUÇÃO DE PAVIMENTO EM PISO INTERTRAVADO, COM BLOCO RETANGULAR DE 20 X 10 CM, ESPESSURA 10 CM. AF_10/2022</t>
  </si>
  <si>
    <t xml:space="preserve"> 17.2.2 </t>
  </si>
  <si>
    <t xml:space="preserve"> 94264 </t>
  </si>
  <si>
    <t>GUIA (MEIO-FIO) CONCRETO, MOLDADA  IN LOCO  EM TRECHO CURVO COM EXTRUSORA, 13 CM BASE X 22 CM ALTURA. AF_01/2024</t>
  </si>
  <si>
    <t xml:space="preserve"> 17.2.3 </t>
  </si>
  <si>
    <t xml:space="preserve"> 94995 </t>
  </si>
  <si>
    <t>EXECUÇÃO DE PASSEIO (CALÇADA) OU PISO DE CONCRETO COM CONCRETO MOLDADO IN LOCO, USINADO, ACABAMENTO CONVENCIONAL, ESPESSURA 8 CM, ARMADO. AF_08/2022</t>
  </si>
  <si>
    <t xml:space="preserve"> 17.2.4 </t>
  </si>
  <si>
    <t xml:space="preserve"> 103946 </t>
  </si>
  <si>
    <t>PLANTIO DE GRAMA ESMERALDA OU SÃO CARLOS OU CURITIBANA, EM PLACAS. AF_05/2022</t>
  </si>
  <si>
    <t xml:space="preserve"> 17.2.5 </t>
  </si>
  <si>
    <t xml:space="preserve"> 00000367 </t>
  </si>
  <si>
    <t>AREIA GROSSA - POSTO JAZIDA/FORNECEDOR (RETIRADO NA JAZIDA, SEM TRANSPORTE)</t>
  </si>
  <si>
    <t>M³</t>
  </si>
  <si>
    <t xml:space="preserve"> 17.2.6 </t>
  </si>
  <si>
    <t xml:space="preserve"> 00004718 </t>
  </si>
  <si>
    <t>PEDRA BRITADA N. 2 (19 A 38 MM) POSTO PEDREIRA/FORNECEDOR, SEM FRETE</t>
  </si>
  <si>
    <t xml:space="preserve"> 18.1 </t>
  </si>
  <si>
    <t>PINTURA PAREDE INTERNA</t>
  </si>
  <si>
    <t xml:space="preserve"> 18.1.1 </t>
  </si>
  <si>
    <t xml:space="preserve"> 88485 </t>
  </si>
  <si>
    <t>FUNDO SELADOR ACRÍLICO, APLICAÇÃO MANUAL EM PAREDE, UMA DEMÃO. AF_04/2023</t>
  </si>
  <si>
    <t xml:space="preserve"> 18.1.2 </t>
  </si>
  <si>
    <t xml:space="preserve"> 88489 </t>
  </si>
  <si>
    <t>PINTURA LÁTEX ACRÍLICA PREMIUM, APLICAÇÃO MANUAL EM PAREDES, DUAS DEMÃOS. AF_04/2023</t>
  </si>
  <si>
    <t xml:space="preserve"> 18.1.3 </t>
  </si>
  <si>
    <t xml:space="preserve"> 88497 </t>
  </si>
  <si>
    <t>EMASSAMENTO COM MASSA LÁTEX, APLICAÇÃO EM PAREDE, DUAS DEMÃOS, LIXAMENTO MANUAL. AF_04/2023</t>
  </si>
  <si>
    <t xml:space="preserve"> 18.2 </t>
  </si>
  <si>
    <t>PINTURA PAREDE EXTERNA</t>
  </si>
  <si>
    <t xml:space="preserve"> 18.2.1 </t>
  </si>
  <si>
    <t xml:space="preserve"> 88415 </t>
  </si>
  <si>
    <t>APLICAÇÃO MANUAL DE FUNDO SELADOR ACRÍLICO EM PAREDES EXTERNAS DE CASAS. AF_03/2024</t>
  </si>
  <si>
    <t xml:space="preserve"> 18.2.2 </t>
  </si>
  <si>
    <t xml:space="preserve"> 95626 </t>
  </si>
  <si>
    <t>APLICAÇÃO MANUAL DE TINTA LÁTEX ACRÍLICA EM PAREDE EXTERNAS DE CASAS, DUAS DEMÃOS. AF_03/2024</t>
  </si>
  <si>
    <t xml:space="preserve"> 18.2.3 </t>
  </si>
  <si>
    <t xml:space="preserve"> 96135 </t>
  </si>
  <si>
    <t>APLICAÇÃO MANUAL DE MASSA ACRÍLICA EM PAREDES EXTERNAS DE CASAS, DUAS DEMÃOS. AF_03/2024</t>
  </si>
  <si>
    <t xml:space="preserve"> 18.2.4 </t>
  </si>
  <si>
    <t xml:space="preserve"> 18.2.5 </t>
  </si>
  <si>
    <t xml:space="preserve"> 100759 </t>
  </si>
  <si>
    <t>PINTURA COM TINTA ALQUÍDICA DE ACABAMENTO (ESMALTE SINTÉTICO BRILHANTE) PULVERIZADA SOBRE SUPERFÍCIES METÁLICAS (EXCETO PERFIL) EXECUTADO EM OBRA (02 DEMÃOS). AF_01/2020_PE</t>
  </si>
  <si>
    <t xml:space="preserve"> 18.3 </t>
  </si>
  <si>
    <t>PINTURA TETO</t>
  </si>
  <si>
    <t xml:space="preserve"> 18.3.1 </t>
  </si>
  <si>
    <t xml:space="preserve"> 88484 </t>
  </si>
  <si>
    <t>FUNDO SELADOR ACRÍLICO, APLICAÇÃO MANUAL EM TETO, UMA DEMÃO. AF_04/2023</t>
  </si>
  <si>
    <t xml:space="preserve"> 18.3.2 </t>
  </si>
  <si>
    <t xml:space="preserve"> 88488 </t>
  </si>
  <si>
    <t>PINTURA LÁTEX ACRÍLICA PREMIUM, APLICAÇÃO MANUAL EM TETO, DUAS DEMÃOS. AF_04/2023</t>
  </si>
  <si>
    <t xml:space="preserve"> 18.3.3 </t>
  </si>
  <si>
    <t xml:space="preserve"> 88496 </t>
  </si>
  <si>
    <t>EMASSAMENTO COM MASSA LÁTEX, APLICAÇÃO EM TETO, DUAS DEMÃOS, LIXAMENTO MANUAL. AF_04/2023</t>
  </si>
  <si>
    <t xml:space="preserve"> 18.4 </t>
  </si>
  <si>
    <t>PINTURA PISO</t>
  </si>
  <si>
    <t xml:space="preserve"> 18.4.1 </t>
  </si>
  <si>
    <t xml:space="preserve"> 180028 </t>
  </si>
  <si>
    <t>PINTURA DE PISOS CIMENTADOS COM TINTA PROTETORA NOVACOR</t>
  </si>
  <si>
    <t xml:space="preserve"> 18.4.2 </t>
  </si>
  <si>
    <t xml:space="preserve"> 102494 </t>
  </si>
  <si>
    <t>PINTURA DE PISO COM TINTA EPÓXI, APLICAÇÃO MANUAL, 2 DEMÃOS, INCLUSO PRIMER EPÓXI. AF_05/2021</t>
  </si>
  <si>
    <t xml:space="preserve"> 19.1 </t>
  </si>
  <si>
    <t xml:space="preserve"> 18.025.0001-A </t>
  </si>
  <si>
    <t>BEBEDOURO PURIFICADOR,DE COLUNA,COM ACESSIBILIDADE,CONFORME ABNT NBR 9050,EM ACO INOXIDAVEL,MODELO PRESSAO,COM 2 TORNEIR AS,VAZAO MINIMA DE 30L/H,CONFORME ABNT NBR 16236.FORNECIMENT O</t>
  </si>
  <si>
    <t xml:space="preserve"> 19.2 </t>
  </si>
  <si>
    <t xml:space="preserve"> UFF00355 </t>
  </si>
  <si>
    <t>MANUTENÇÃO DOS ELEVADORES DE FABRICAÇÃO THYSSENKRUP COM SUBSTITUIÇÃO DOS PAINEIS DE FORÇA E CONTROLE NAS CASAS DE MÁQUINAS, SUBESTITUIÇÃO DOS TRANSFORMADORES, SUBSTITUIÇÃO DAS BOTOEIRAS EXTERNAS, SUBSTITUIÇÃO DOS PAINÉIS DE COMANDO INTERNO DAS CABINES, SUBSTIRUIÇÃO DOS CABOS DE COMANDO ENTRE OS PAINEIS E AS CABINES E SUBSTITUIÇÃO DAS PORTAS</t>
  </si>
  <si>
    <t xml:space="preserve">463.594,23 
 (BDI 16,12%) </t>
  </si>
  <si>
    <t xml:space="preserve"> 20.1 </t>
  </si>
  <si>
    <t xml:space="preserve"> 99054 </t>
  </si>
  <si>
    <t>ACABAMENTOS PARA FORRO (SANCA DE GESSO, MONTADA NA OBRA). AF_08/2023_PS</t>
  </si>
  <si>
    <t xml:space="preserve"> 20.2 </t>
  </si>
  <si>
    <t xml:space="preserve"> 13.193.0010-A </t>
  </si>
  <si>
    <t>FORRO EM PLACA TIPO COLMEIA,EM ALUMINIO PRE-PINTADO,MODULACA O DE (62X62)CM,MALHA MEDINDO APROXIMADAMENTE 5X5CM,FIXADO CO M PERFIL "T" APARENTE.FORNECIMENTO E COLOCACAO</t>
  </si>
  <si>
    <t xml:space="preserve"> 20.3 </t>
  </si>
  <si>
    <t xml:space="preserve"> UFF00030 (ADAPT_SBC: 120715) </t>
  </si>
  <si>
    <t>FORRO TERMOACÚSTICO EM FIBRA MINERAL APOIADAS SOBRE PERFIL EM AÇO TIPO "T", MODULAÇÃO 625X625MM. REF. LINHA ARMSTRONG, MODELO SAHRA, HUNTER DOUGLAS OU EQUIVALENTE TÉCNICO.</t>
  </si>
  <si>
    <t xml:space="preserve"> 20.4 </t>
  </si>
  <si>
    <t xml:space="preserve"> UFF00026 (ADAPT_SCO: RV 24.10.0050) </t>
  </si>
  <si>
    <t>Forro modulado liso, configurado por perfis em aço na forma de "t" invertido, modulação 625 x 625mm. ref. modelo tile tegular, hunter douglas ou equivalente técnico</t>
  </si>
  <si>
    <t xml:space="preserve"> 20.5 </t>
  </si>
  <si>
    <t xml:space="preserve"> UFF00019 (ADAPT_SBC: 120350) </t>
  </si>
  <si>
    <t>Forro com caixilho de alumínio anodizado preto com tela de arame galvanizado revestida com pvc.</t>
  </si>
  <si>
    <t xml:space="preserve"> 20.6 </t>
  </si>
  <si>
    <t xml:space="preserve"> 96113 </t>
  </si>
  <si>
    <t>FORRO EM PLACAS DE GESSO, PARA AMBIENTES COMERCIAIS. AF_08/2023_PS</t>
  </si>
  <si>
    <t xml:space="preserve"> 21.1 </t>
  </si>
  <si>
    <t>RETIRADA DE ENTULHO</t>
  </si>
  <si>
    <t xml:space="preserve"> 21.1.1 </t>
  </si>
  <si>
    <t xml:space="preserve"> 04.014.0095-A </t>
  </si>
  <si>
    <t>RETIRADA DE ENTULHO DE OBRA COM CACAMBA DE ACO TIPO CONTAINE R COM 5M3 DE CAPACIDADE,INCLUSIVE CARREGAMENTO,TRANSPORTE E DESCARREGAMENTO.CUSTO POR UNIDADE DE CACAMBA E INCLUI A TAX A PARA DESCARGA EM LOCAIS AUTORIZADOS</t>
  </si>
  <si>
    <t xml:space="preserve"> 21.2 </t>
  </si>
  <si>
    <t>SEGURANÇA E SAÚDE</t>
  </si>
  <si>
    <t xml:space="preserve"> 21.2.1 </t>
  </si>
  <si>
    <t xml:space="preserve"> UFF00472 (ADAPT_SBC: 016691) </t>
  </si>
  <si>
    <t>ATESTADO PGR - ANUAL</t>
  </si>
  <si>
    <t xml:space="preserve"> 21.2.2 </t>
  </si>
  <si>
    <t xml:space="preserve"> 016691 </t>
  </si>
  <si>
    <t>ATESTADO PCMSO (NR7)- ANUAL</t>
  </si>
  <si>
    <t xml:space="preserve"> 21.3 </t>
  </si>
  <si>
    <t>COMUNICAÇÃO VISUAL / SINALIZAÇÃO</t>
  </si>
  <si>
    <t xml:space="preserve"> 21.3.1 </t>
  </si>
  <si>
    <t xml:space="preserve"> UFF00273 (ADAPT_SBC: 120216) </t>
  </si>
  <si>
    <t>PAINEL GERAL DOS ANDARES/ HALL ELEVADORES Painel composto de perfis modulares cambiáveis em alumínio anodizado natural. Texto em recorte vinílico.</t>
  </si>
  <si>
    <t xml:space="preserve"> 21.3.2 </t>
  </si>
  <si>
    <t xml:space="preserve"> UFF00274 (ADAPT_SCO: RV 09.30.0060) </t>
  </si>
  <si>
    <t>PLACA INDICATIVA DO ANDAR/ HALL ELEVADORES Placa em MDF 12 mm (0.30 x 1.00 m) revestida com vinil impresso laminado na cor específica do Campus com aplicação de tarja em vinil padrão aço escovado e recortes para texto e números. Fixação em alvenaria.</t>
  </si>
  <si>
    <t xml:space="preserve"> 21.3.3 </t>
  </si>
  <si>
    <t xml:space="preserve"> UFF00275 (ADAPT_SCO: RV 09.30.0060) </t>
  </si>
  <si>
    <t>PLACA INDICATIVA DO ANDAR/ HALL ESCADAS Placa em MDF 12mm (0.30 x 0.50m) revestida com vinil impresso laminado na cor específica do Campus com aplicação de tarja em vinil padrão aço escovado e recortes para texto e números.Fixar em alvenaria .</t>
  </si>
  <si>
    <t xml:space="preserve"> 21.3.4 </t>
  </si>
  <si>
    <t xml:space="preserve"> UFF00276 (ADAPT_CPOS: 97.02.036) </t>
  </si>
  <si>
    <t>PLACA DE INDICAÇÃO DAS SALAS DE AULA - LATERAL Placas de Identificação das salas de aula, placa em PVC expandido 4 mm ( 15 x 20cm ) na cor branca com aplicação de vinil impresso laminado e texto recortado. Quando as portas das salas estiverem perpendicular a circulação as placas serão fixadas na lateral através de perfil em “L” , impressas nos dois lados.</t>
  </si>
  <si>
    <t xml:space="preserve"> 21.3.5 </t>
  </si>
  <si>
    <t xml:space="preserve"> UFF00277 (ADAPT_CPOS: 97.02.036) </t>
  </si>
  <si>
    <t>PLACAS DE ADVERTÊNCIA E USO COMUM- FIXAÇÃO LATERAL Placa em PVC expandido 4mm ( 20 x 20 cm) na cor branca com aplicação de vinil impresso laminado na cor específica do Campus e seta recortada em vinil. As placas serão fixadas na lateral através de perfil em “L”, impressas nos dois lados.</t>
  </si>
  <si>
    <t xml:space="preserve"> 21.3.6 </t>
  </si>
  <si>
    <t xml:space="preserve"> UFF00278 (ADAPT_CPOS: 97.02.036) </t>
  </si>
  <si>
    <t>PLACAS DE IDENTIFICAÇÃO DE AMBIENTES Placas de Identificação de portas com 1 ou 2 linhas de texto, placa em PVC expandido 4 mm (30 x 6 cm) na cor branca com aplicação de vinil padrão aço escovado com impressão laminada na cor específica do Campus, com sua logo e texto recortado na cor preta. Fixar na superfície determinada no projeto de comunicação visual, através de fita dupla-face 3M ou similar com resistência adequada para a carga recebida.</t>
  </si>
  <si>
    <t xml:space="preserve"> 21.3.7 </t>
  </si>
  <si>
    <t xml:space="preserve"> UFF00279 (ADAPT_CPOS: 97.02.036) </t>
  </si>
  <si>
    <t>PLACAS DE ADVERTÊNCIA E USO COMUM- FIXAÇÃO NA PORTA Placa em pvc expandido 4mm ( 10 x 6 ) na cor branca com aplicação de vinil padrão aço escovado com texto recortado na cor preta e numeração na cor branca e (10 x 10cm) na cor branca com aplicação de vinil impresso na cor específica do Campus e seta recortada em vinil na cor preta. Fixar na superfície determinada no projeto de comunicação visual, através de fita duplaface 3M ou similar com resistência adequada para a carga recebida.</t>
  </si>
  <si>
    <t xml:space="preserve"> 21.3.8 </t>
  </si>
  <si>
    <t xml:space="preserve"> UFF00280 (ADAPT_SUDECAP: 18.05.29) </t>
  </si>
  <si>
    <t>PLACA DE PICTOGRAMA Placa em pvc expandido 4mm (10x10) na cor branca com aplicação em vinil impresso na cor específica do campus e seta recortada em vinil na cor preta. Fixar na superfície determinada no projeto de comunicação visual, através de fita duplaface (tipo banana).</t>
  </si>
  <si>
    <t xml:space="preserve"> 21.3.9 </t>
  </si>
  <si>
    <t xml:space="preserve"> UFF00281 (ADAPT_SCO: RV 09.30.0060) </t>
  </si>
  <si>
    <t>PLACAS DE CIRCULAÇÃO PARA DIRECIONAR SALAS- FIXA EM ALVENARIA Placa em MDF 10 mm revestido com vinil impresso laminado na cor específica do Campus com aplicação de tarja em vinil padrão aço escovado e recortes para texto e números. Fixar em alvenaria.</t>
  </si>
  <si>
    <t xml:space="preserve"> 21.3.10 </t>
  </si>
  <si>
    <t xml:space="preserve"> UFF00282 (ADAPT_CPOS: 97.02.036) </t>
  </si>
  <si>
    <t>PLACAS DE CIRCULAÇÃO PARA DIRECIONAR SALAS - SUSPENSA. Placa estruturada internamente por perfis de alumínio 3x3 revestida nas duas laterais em chapa de PVC 2mm com aplicação de vinil impresso laminado na cor específica do Campus, tarja em vinil padrão aço escovado e recortes a laser em PVC branco 10mm e fixado sobre chapa. Fixar no teto através de perfil de alumínio 3x3cm com acabamento em pintura branca e com flange aparafusado na laje de teto.</t>
  </si>
  <si>
    <t xml:space="preserve"> 21.3.11 </t>
  </si>
  <si>
    <t xml:space="preserve"> UFF00283 (ADAPT_SINAPI: 84121) </t>
  </si>
  <si>
    <t>PLACAS GABINETE PROFESSOR, SALAS DE AULA E LABORATÓRIOS Placa em acrílico cristal com uma vira de 6cm (vinco), para anexar papel impresso com o(s) nome(s) do(s) professor(es), horários de aula e atividades laboratoriais. Fixar com fita dupla face. Na parte superior da placa de 3x20 cm será aplicado vinil impresso, de acordo com a descrição em planilha.</t>
  </si>
  <si>
    <t xml:space="preserve"> 21.3.12 </t>
  </si>
  <si>
    <t xml:space="preserve"> UFF00284 (ADAPT_SBC: 200511) </t>
  </si>
  <si>
    <t>PLACAS DE IDENTIFICAÇÃO PARA PORTA DE ACESSO PRINCIPAL - PORTA 2 FOLHAS Sinalização composta por vinil padrão jateado recortado, vinil opaco colorido e vinil recortado para texto.</t>
  </si>
  <si>
    <t xml:space="preserve"> 21.3.13 </t>
  </si>
  <si>
    <t xml:space="preserve"> UFF00285 (ADAPT_SBC: 200511) </t>
  </si>
  <si>
    <t>PLACAS DE IDENTIFICAÇÃO PARA PORTA DE ACESSO PRINCIPAL - PORTA 1 FOLHA Sinalização composta por vinil padrão jateado recortado, vinil opaco colorido e vinil recortado para texto.</t>
  </si>
  <si>
    <t xml:space="preserve"> 21.3.14 </t>
  </si>
  <si>
    <t xml:space="preserve"> UFF00286 (ADAPT_SINAPI: 73916/001) </t>
  </si>
  <si>
    <t>PLACAS DE IDENTIFICAÇÃO DO CURSO Placa estruturada em chapa galvanizada (1,30x0,50m) com impressão laminada com fixação na alvenaria.</t>
  </si>
  <si>
    <t xml:space="preserve"> 21.3.15 </t>
  </si>
  <si>
    <t xml:space="preserve"> UFF00287 (ADAPT_SINAPI: 103195) </t>
  </si>
  <si>
    <t>PLACAS DE IDENTIFICAÇÃO DO CURSO Placa estruturada em chapa galvanizada (1,30x0,80m) com impressão laminada com fixação em canteiro com duas hastes metálicas, h= 80cm.</t>
  </si>
  <si>
    <t xml:space="preserve"> 21.3.16 </t>
  </si>
  <si>
    <t xml:space="preserve"> UFF00288 (ADAPT_SBC: 202108) </t>
  </si>
  <si>
    <t>PLACA INDICATIVA DE AMBIENTES EM BRAILE - COM SINALIZAÇÃO TÁTIL EM BRAILLE OU TEXTO EM RELEVO. DIM.: 30X10 CM SITUADA A 0,90M DO PISO</t>
  </si>
  <si>
    <t xml:space="preserve"> 21.3.17 </t>
  </si>
  <si>
    <t xml:space="preserve"> 202330 </t>
  </si>
  <si>
    <t>MAPA TATIL BRAILLE/RELEVO ACO INOX 120x800cm</t>
  </si>
  <si>
    <t xml:space="preserve"> 21.4 </t>
  </si>
  <si>
    <t>SERVIÇOS FINAIS (DEMOLIÇÃO DE DEPÓSITO EXISTENTE)</t>
  </si>
  <si>
    <t xml:space="preserve"> 21.4.1 </t>
  </si>
  <si>
    <t xml:space="preserve"> 21.4.2 </t>
  </si>
  <si>
    <t xml:space="preserve"> 21.4.3 </t>
  </si>
  <si>
    <t xml:space="preserve"> 21.4.4 </t>
  </si>
  <si>
    <t xml:space="preserve"> 21.4.5 </t>
  </si>
  <si>
    <t xml:space="preserve"> 104790 </t>
  </si>
  <si>
    <t>DEMOLIÇÃO DE PISO DE CONCRETO SIMPLES, DE FORMA MECANIZADA COM MARTELETE, SEM REAPROVEITAMENTO. AF_09/2023</t>
  </si>
  <si>
    <t xml:space="preserve"> 21.4.6 </t>
  </si>
  <si>
    <t xml:space="preserve"> 98525 </t>
  </si>
  <si>
    <t>LIMPEZA MECANIZADA DE CAMADA VEGETAL, VEGETAÇÃO E PEQUENAS ÁRVORES (DIÂMETRO DE TRONCO MENOR QUE 0,20 M), COM TRATOR DE ESTEIRAS. AF_03/2024</t>
  </si>
  <si>
    <t xml:space="preserve"> 21.5 </t>
  </si>
  <si>
    <t>LIMPEZA</t>
  </si>
  <si>
    <t xml:space="preserve"> 21.5.1 </t>
  </si>
  <si>
    <t xml:space="preserve"> 20.012.0025-A </t>
  </si>
  <si>
    <t>LIMPEZA DE CAIXA COLETORA</t>
  </si>
  <si>
    <t xml:space="preserve"> 21.5.2 </t>
  </si>
  <si>
    <t xml:space="preserve"> 05.001.0465-A </t>
  </si>
  <si>
    <t>LIMPEZA DE CAIXA D'AGUA OU CISTERNA,COM CAPACIDADE DE 20001 A 60000L,INCLUSIVE DESINFECCAO,CONFORME APROVACAO PELA COMIS SAO ESTADUAL DE CONTROLE AMBIENTAL-CECA,COM BASE NA LEI Nº 1 .893/91 E NO DECRETO Nº20.356/93,MN-353 MANUAL DE LIMPEZA E DESINFECCAO DE RESERVATORIOS DE AGUA</t>
  </si>
  <si>
    <t xml:space="preserve"> 21.5.3 </t>
  </si>
  <si>
    <t xml:space="preserve"> UFF00050 (ADAPT_SINAPI: 9537) </t>
  </si>
  <si>
    <t>LIMPEZA FINAL DA OBRA</t>
  </si>
  <si>
    <t>Total sem BDI</t>
  </si>
  <si>
    <t>Total do BDI</t>
  </si>
  <si>
    <t>Total Geral</t>
  </si>
  <si>
    <t>Desconto ofertado</t>
  </si>
  <si>
    <t>Valor Total com Desconto</t>
  </si>
  <si>
    <t xml:space="preserve">_______________________________________________________________
</t>
  </si>
  <si>
    <t>PLANILHA ORÇAMENTÁRIA ANALÍTICA</t>
  </si>
  <si>
    <t>Composições Analíticas com Preço Unitário</t>
  </si>
  <si>
    <t>Composições Principais</t>
  </si>
  <si>
    <t>Tipo</t>
  </si>
  <si>
    <t>Porcent.</t>
  </si>
  <si>
    <t>Composição</t>
  </si>
  <si>
    <t>PROJETO DE AS BUILT DE ARQUITETURA PARA PREDIOS ESCOLARES E/ OU ADMINISTRATIVOS ATE 500M2,APRESENTADO NOS PADROES DA CONT RATANTE,INCLUSIVE COORDENACAO E COMPATIBILIZACAO COM OS PROJ ETOS COMPLEMENTARES 9%-DESPESAS ADMINISTRATIVAS E DE MATERIAIS</t>
  </si>
  <si>
    <t>Insumo</t>
  </si>
  <si>
    <t xml:space="preserve"> 20017 </t>
  </si>
  <si>
    <t>MAO-DE-OBRA DE ARQUITETO OU ENGENHEIRO J UNIOR-PROJETO E CONSULTORIA, INCLUSIVE E NCARGOS SOCIAIS DESONERADOS</t>
  </si>
  <si>
    <t>Mão de Obra</t>
  </si>
  <si>
    <t>H</t>
  </si>
  <si>
    <t>MO sem LS =&gt;</t>
  </si>
  <si>
    <t>LS =&gt;</t>
  </si>
  <si>
    <t>MO com LS =&gt;</t>
  </si>
  <si>
    <t>Valor do BDI =&gt;</t>
  </si>
  <si>
    <t>Valor com BDI =&gt;</t>
  </si>
  <si>
    <t>PROJETO DE AS BUILT DE ARQUITETURA PARA PREDIOS ESCOLARES E/ OU ADMINISTRATIVOS DE 501 ATE 3000M2,APRESENTADO NOS PADROES DA CONTRATANTE,INCLUSIVE COORDENACAO E COMPATIBILIZACAO COM OS PROJETOS COMPLEMENTARES 9%-DESPESAS ADMINISTRATIVAS E DE MATERIAIS</t>
  </si>
  <si>
    <t>PROJETO DE AS BUILT DE ARQUITETURA PARA PREDIOS ESCOLARES E/ OU ADMINISTRATIVOS ACIMA DE 3000M2,APRESENTADO NOS PADROES D A CONTRATANTE,INCLUSIVE COORDENACAO E COMPATIBILIZACAO COM O S PROJETOS COMPLEMENTARES 9%-DESPESAS ADMINISTRATIVAS E DE MATERIAIS</t>
  </si>
  <si>
    <t>PROJETO DE AS BUILT DE INSTALACAO ELETRICA PARA PREDIOS ESCO LARES E/OU ADMINISTRATIVOS ATE 500M2,APRESENTADO NOS PADROES DA CONTRATANTE 9%-DESPESAS ADMINISTRATIVAS E DE MATERIAIS</t>
  </si>
  <si>
    <t>PROJETO DE AS BUILT DE INSTALACAO ELETRICA PARA PREDIOS ESCO LARES E/OU ADMINISTRATIVOS DE 501 ATE 3000M2,APRESENTADO NOS PADROES DA CONTRATANTE 9%-DESPESAS ADMINISTRATIVAS E DE MATERIAIS</t>
  </si>
  <si>
    <t>PROJETO DE AS BUILT DE INSTALACAO ELETRICA PARA PREDIOS ESCO LARES E/OU ADMINISTRATIVOS ACIMA DE 3000M2,APRESENTADO NOS PADROES DA CONTRATANTE 9%-DESPESAS ADMINISTRATIVAS E DE MATERIAIS</t>
  </si>
  <si>
    <t>PROJETO DE AS BUILT DE INSTALACAO DE SEGURANCA (CFTV E SONOR IZACAO) ATE 500M2,APRESENTADO NOS PADROES DA CONTRATANTE 9%-DESPESAS ADMINISTRATIVAS E DE MATERIAIS</t>
  </si>
  <si>
    <t>PROJETO DE AS BUILT DE INSTALACAO DE SEGURANCA (CFTV E SONOR IZACAO) DE 501 ATE 3000M2,APRESENTADO NOS PADROES DA CONTRAT ANTE 9%-DESPESAS ADMINISTRATIVAS E DE MATERIAIS</t>
  </si>
  <si>
    <t>PROJETO DE AS BUILT DE INSTALACAO DE SEGURANCA (CFTV E SONOR IZACAO) ACIMA DE 3000M2,APRESENTADO NOS PADROES DA CONTRATAN TE 9%-DESPESAS ADMINISTRATIVAS E DE MATERIAIS</t>
  </si>
  <si>
    <t>PROJETO DE AS BUILT DE INSTALACAO DE INCENDIO E SPDA PARA PR EDIOS ESCOLARES E/OU ADMINISTRATIVOS ATE 500M2,APRESENTADO NOS PADROES DA CONTRATANTE 9%-DESPESAS ADMINISTRATIVAS E DE MATERIAIS</t>
  </si>
  <si>
    <t>PROJETO DE AS BUILT DE INSTALACAO DE INCENDIO E SPDA PARA PR EDIOS ESCOLARES E/OU ADMINISTRATIVOS DE 501 ATE 3000M2,APRES ENTADO NOS PADROES DA CONTRATANTE 9%-DESPESAS ADMINISTRATIVAS E DE MATERIAIS</t>
  </si>
  <si>
    <t>PROJETO DE AS BUILT DE INSTALACAO DE INCENDIO E SPDA PARA PR EDIOS ESCOLARES E/OU ADMINISTRATIVOS ACIMA DE 3000M2,APRESEN TADO NOS PADROES DA CONTRATANTE 9%-DESPESAS ADMINISTRATIVAS E DE MATERIAIS</t>
  </si>
  <si>
    <t>PROJETO DE AS BUILT DE INSTALACAO HIDRAULICA PARA PREDIOS ES COLARES E/OU ADMINISTRATIVOS ATE 500M2,APRESENTADO NOS PADRO ES DA CONTRATANTE 9%-DESPESAS ADMINISTRATIVAS E DE MATERIAIS</t>
  </si>
  <si>
    <t>PROJETO DE AS BUILT DE INSTALACAO HIDRAULICA PARA PREDIOS ES COLARES E/OU ADMINISTRATIVOS DE 501 A 3000M2,APRESENTADO NOS PADROES DA CONTRATANTE 9%-DESPESAS ADMINISTRATIVAS E DE MATERIAIS</t>
  </si>
  <si>
    <t>PROJETO DE AS BUILT DE INSTALACAO HIDRAULICA PARA PREDIOS ES COLARES E/OU ADMINISTRATIVOS ACIMA DE 3000M2,APRESENTADO NOS PADROES DA CONTRATANTE 9%-DESPESAS ADMINISTRATIVAS E DE MATERIAIS</t>
  </si>
  <si>
    <t>PROJETO DE AS BUILT DE SISTEMA DE AR CONDICIONADO,EM PREDIOS COM AREA ATE 500M2,APRESENTADO NOS PADROES DA CONTRATANTE 9%-DESPESAS ADMINISTRATIVAS E DE MATERIAIS</t>
  </si>
  <si>
    <t>PROJETO DE AS BUILT DE SISTEMA DE AR CONDICIONADO,EM PREDIOS COM AREA DE 501 ATE 3000M2,APRESENTADO NOS PADROES DA CONTR ATANTE 9%-DESPESAS ADMINISTRATIVAS E DE MATERIAIS</t>
  </si>
  <si>
    <t>PROJETO DE AS BUILT DE SISTEMA DE AR CONDICIONADO,EM PREDIOS ACIMA DE 3000M2,APRESENTADO NOS PADROES DA CONTRATANTE 9%-DESPESAS ADMINISTRATIVAS E DE MATERIAIS</t>
  </si>
  <si>
    <t>CANT - CANTEIRO DE OBRAS</t>
  </si>
  <si>
    <t>Composição Auxiliar</t>
  </si>
  <si>
    <t xml:space="preserve"> UFF00295 (ADAPT_SINAPI: 93565) </t>
  </si>
  <si>
    <t>ENGENHEIRO MECÂNICO COM ENCARGOS COMPLEMENTARES</t>
  </si>
  <si>
    <t>SEDI - SERVIÇOS DIVERSOS</t>
  </si>
  <si>
    <t>MES</t>
  </si>
  <si>
    <t xml:space="preserve"> 93567 </t>
  </si>
  <si>
    <t>ENGENHEIRO CIVIL DE OBRA PLENO COM ENCARGOS COMPLEMENTARES</t>
  </si>
  <si>
    <t>Livro SINAPI: Cálculos e Parâmetros</t>
  </si>
  <si>
    <t xml:space="preserve"> 94295 </t>
  </si>
  <si>
    <t>MESTRE DE OBRAS COM ENCARGOS COMPLEMENTARES</t>
  </si>
  <si>
    <t xml:space="preserve"> UFF00361 (ADAPT_SINAPI: 93565) </t>
  </si>
  <si>
    <t>ENGENHEIRO ELETRICISTA COM ENCARGOS COMPLEMENTARES</t>
  </si>
  <si>
    <t xml:space="preserve"> 101452 </t>
  </si>
  <si>
    <t>SERVENTE DE OBRAS COM ENCARGOS COMPLEMENTARES</t>
  </si>
  <si>
    <t xml:space="preserve"> 100321 </t>
  </si>
  <si>
    <t>TÉCNICO EM SEGURANÇA DO TRABALHO COM ENCARGOS COMPLEMENTARES</t>
  </si>
  <si>
    <t xml:space="preserve"> 93572 </t>
  </si>
  <si>
    <t>ENCARREGADO GERAL DE OBRAS COM ENCARGOS COMPLEMENTARES</t>
  </si>
  <si>
    <t xml:space="preserve"> 101390 </t>
  </si>
  <si>
    <t>AUXILIAR TÉCNICO / ASSISTENTE DE ENGENHARIA COM ENCARGOS COMPLEMENTARES</t>
  </si>
  <si>
    <t xml:space="preserve"> 93563 </t>
  </si>
  <si>
    <t>ALMOXARIFE COM ENCARGOS COMPLEMENTARES</t>
  </si>
  <si>
    <t xml:space="preserve"> 93564 </t>
  </si>
  <si>
    <t>APONTADOR OU APROPRIADOR COM ENCARGOS COMPLEMENTARES</t>
  </si>
  <si>
    <t xml:space="preserve"> 101389 </t>
  </si>
  <si>
    <t>AUXILIAR DE TOPÓGRAFO COM ENCARGOS COMPLEMENTARES</t>
  </si>
  <si>
    <t xml:space="preserve"> 05.105.0200-A </t>
  </si>
  <si>
    <t>SERVICO DE VIGILANCIA COM VIGIA DE OBRA 24H/DIA,PARA 1 POSTO</t>
  </si>
  <si>
    <t xml:space="preserve"> 94296 </t>
  </si>
  <si>
    <t>TOPOGRAFO COM ENCARGOS COMPLEMENTARES</t>
  </si>
  <si>
    <t>Sinalização Vertical Viária</t>
  </si>
  <si>
    <t xml:space="preserve"> 88316 </t>
  </si>
  <si>
    <t>SERVENTE COM ENCARGOS COMPLEMENTARES</t>
  </si>
  <si>
    <t xml:space="preserve"> 88262 </t>
  </si>
  <si>
    <t>CARPINTEIRO DE FORMAS COM ENCARGOS COMPLEMENTARES</t>
  </si>
  <si>
    <t xml:space="preserve"> 102234 </t>
  </si>
  <si>
    <t>PINTURA IMUNIZANTE PARA MADEIRA, 2 DEMÃOS. AF_01/2021</t>
  </si>
  <si>
    <t>Pintura em Madeira</t>
  </si>
  <si>
    <t xml:space="preserve"> 00004813 </t>
  </si>
  <si>
    <t>PLACA DE OBRA (PARA CONSTRUCAO CIVIL) EM CHAPA GALVANIZADA *N. 22*, ADESIVADA, DE *2,4 X 1,2* M (SEM POSTES PARA FIXACAO)</t>
  </si>
  <si>
    <t>Material</t>
  </si>
  <si>
    <t xml:space="preserve"> 00005065 </t>
  </si>
  <si>
    <t>PREGO DE ACO POLIDO COM CABECA 10 X 10 (7/8 X 17)</t>
  </si>
  <si>
    <t xml:space="preserve"> 00004509 </t>
  </si>
  <si>
    <t>SARRAFO *2,5 X 10* CM EM PINUS, MISTA OU EQUIVALENTE DA REGIAO - BRUTA</t>
  </si>
  <si>
    <t xml:space="preserve"> 00005069 </t>
  </si>
  <si>
    <t>PREGO DE ACO POLIDO COM CABECA 17 X 27 (2 1/2 X 11)</t>
  </si>
  <si>
    <t>SERT - SERVIÇOS TÉCNICOS</t>
  </si>
  <si>
    <t xml:space="preserve"> 100534 </t>
  </si>
  <si>
    <t>TECNICO DE EDIFICACOES COM ENCARGOS COMPLEMENTARES</t>
  </si>
  <si>
    <t>Observação</t>
  </si>
  <si>
    <t>PREVISTAS 2 EQUIPES COM PELO MENOS UM TÉCNICO EM EDIFICAÇÕES E AUXILIAR</t>
  </si>
  <si>
    <t>INSTALACOES PROVISORIAS</t>
  </si>
  <si>
    <t xml:space="preserve"> 099900 </t>
  </si>
  <si>
    <t>SERVENTE</t>
  </si>
  <si>
    <t xml:space="preserve"> 099806 </t>
  </si>
  <si>
    <t>AJUDANTE DE ELETRICISTA</t>
  </si>
  <si>
    <t xml:space="preserve"> 099014 </t>
  </si>
  <si>
    <t>MARCENEIRO 1a. CLASSE</t>
  </si>
  <si>
    <t xml:space="preserve"> 099537 </t>
  </si>
  <si>
    <t>VIDRACEIRO</t>
  </si>
  <si>
    <t xml:space="preserve"> 099360 </t>
  </si>
  <si>
    <t>CARPINTEIRO DE ESQUADRIA</t>
  </si>
  <si>
    <t xml:space="preserve"> 099449 </t>
  </si>
  <si>
    <t>AJUDANTE DE CARPINTEIRO</t>
  </si>
  <si>
    <t xml:space="preserve"> 099250 </t>
  </si>
  <si>
    <t>ELETRICISTA</t>
  </si>
  <si>
    <t xml:space="preserve"> 099200 </t>
  </si>
  <si>
    <t>BOMBEIRO OU ENCANADOR</t>
  </si>
  <si>
    <t xml:space="preserve"> 099550 </t>
  </si>
  <si>
    <t>PINTOR</t>
  </si>
  <si>
    <t>Instalações para Canteiros de Obras</t>
  </si>
  <si>
    <t xml:space="preserve"> 91693 </t>
  </si>
  <si>
    <t>SERRA CIRCULAR DE BANCADA COM MOTOR ELÉTRICO POTÊNCIA DE 5HP, COM COIFA PARA DISCO 10" - CHI DIURNO. AF_08/2015</t>
  </si>
  <si>
    <t>Custos Horários Produtivo e Improdutivo dos Equipamentos</t>
  </si>
  <si>
    <t>CHI</t>
  </si>
  <si>
    <t xml:space="preserve"> 94974 </t>
  </si>
  <si>
    <t>CONCRETO MAGRO PARA LASTRO, TRAÇO 1:4,5:4,5 (EM MASSA SECA DE CIMENTO/ AREIA MÉDIA/ BRITA 1) - PREPARO MANUAL. AF_05/2021</t>
  </si>
  <si>
    <t>Produção de Concreto</t>
  </si>
  <si>
    <t xml:space="preserve"> 91692 </t>
  </si>
  <si>
    <t>SERRA CIRCULAR DE BANCADA COM MOTOR ELÉTRICO POTÊNCIA DE 5HP, COM COIFA PARA DISCO 10" - CHP DIURNO. AF_08/2015</t>
  </si>
  <si>
    <t>CHP</t>
  </si>
  <si>
    <t xml:space="preserve"> 88239 </t>
  </si>
  <si>
    <t>AJUDANTE DE CARPINTEIRO COM ENCARGOS COMPLEMENTARES</t>
  </si>
  <si>
    <t xml:space="preserve"> 00007243 </t>
  </si>
  <si>
    <t>TELHA TRAPEZOIDAL EM ACO ZINCADO, SEM PINTURA, ALTURA DE APROXIMADAMENTE 40 MM, ESPESSURA DE 0,50 MM E LARGURA UTIL DE 980 MM</t>
  </si>
  <si>
    <t xml:space="preserve"> 00004491 </t>
  </si>
  <si>
    <t>PONTALETE *7,5 X 7,5* CM EM PINUS, MISTA OU EQUIVALENTE DA REGIAO - BRUTA</t>
  </si>
  <si>
    <t xml:space="preserve"> 00006194 </t>
  </si>
  <si>
    <t>TABUA *2,5 X 15 CM EM PINUS, MISTA OU EQUIVALENTE DA REGIAO - BRUTA</t>
  </si>
  <si>
    <t xml:space="preserve"> 00005061 </t>
  </si>
  <si>
    <t>PREGO DE ACO POLIDO COM CABECA 18 X 27 (2 1/2 X 10)</t>
  </si>
  <si>
    <t>Pisos</t>
  </si>
  <si>
    <t xml:space="preserve"> 87298 </t>
  </si>
  <si>
    <t>ARGAMASSA TRAÇO 1:3 (EM VOLUME DE CIMENTO E AREIA MÉDIA ÚMIDA) PARA CONTRAPISO, PREPARO MECÂNICO COM BETONEIRA 400 L. AF_08/2019</t>
  </si>
  <si>
    <t>Argamassas</t>
  </si>
  <si>
    <t xml:space="preserve"> 88309 </t>
  </si>
  <si>
    <t>PEDREIRO COM ENCARGOS COMPLEMENTARES</t>
  </si>
  <si>
    <t xml:space="preserve"> 00003671 </t>
  </si>
  <si>
    <t>JUNTA PLASTICA DE DILATACAO PARA PISOS, COR CINZA, 17 X 3 MM (ALTURA X ESPESSURA)</t>
  </si>
  <si>
    <t xml:space="preserve"> 00001379 </t>
  </si>
  <si>
    <t>CIMENTO PORTLAND COMPOSTO CP II-32</t>
  </si>
  <si>
    <t xml:space="preserve"> 00043681 </t>
  </si>
  <si>
    <t>CHAPA/PAINEL DE MADEIRA COMPENSADA RESINADA (MADEIRITE RESINADO ROSA) PARA FORMA DE CONCRETO, DE 2200 X 1100 MM, E = 8 A 12 MM</t>
  </si>
  <si>
    <t>Esquadrias - Portas</t>
  </si>
  <si>
    <t xml:space="preserve"> 88261 </t>
  </si>
  <si>
    <t>CARPINTEIRO DE ESQUADRIAS COM ENCARGOS COMPLEMENTARES</t>
  </si>
  <si>
    <t xml:space="preserve"> 00002432 </t>
  </si>
  <si>
    <t>DOBRADICA EM ACO/FERRO, 3 1/2" X 3", E= 1,9 A 2 MM, COM ANEL, CROMADO OU ZINCADO, TAMPA BOLA, COM PARAFUSOS</t>
  </si>
  <si>
    <t xml:space="preserve"> 00011055 </t>
  </si>
  <si>
    <t>PARAFUSO ROSCA SOBERBA ZINCADO CABECA CHATA FENDA SIMPLES 3,5 X 25 MM (1")</t>
  </si>
  <si>
    <t xml:space="preserve"> 00010553 </t>
  </si>
  <si>
    <t>PORTA DE MADEIRA, FOLHA MEDIA (NBR 15930) DE 600 X 2100 MM, DE 35 MM A 40 MM DE ESPESSURA, NUCLEO SEMI-SOLIDO (SARRAFEADO), CAPA LISA EM HDF, ACABAMENTO EM PRIMER PARA PINTURA</t>
  </si>
  <si>
    <t xml:space="preserve"> 00010555 </t>
  </si>
  <si>
    <t>PORTA DE MADEIRA, FOLHA MEDIA (NBR 15930) DE 800 X 2100 MM, DE 35 MM A 40 MM DE ESPESSURA, NUCLEO SEMI-SOLIDO (SARRAFEADO), CAPA LISA EM HDF, ACABAMENTO EM PRIMER PARA PINTURA</t>
  </si>
  <si>
    <t xml:space="preserve"> 00003080 </t>
  </si>
  <si>
    <t>FECHADURA ESPELHO PARA PORTA EXTERNA, EM ACO INOX (MAQUINA, TESTA E CONTRA-TESTA) E EM ZAMAC (MACANETA, LINGUETA E TRINCOS) COM ACABAMENTO CROMADO, MAQUINA DE 40 MM, INCLUINDO CHAVE TIPO CILINDRO</t>
  </si>
  <si>
    <t xml:space="preserve"> 00003097 </t>
  </si>
  <si>
    <t>FECHADURA ROSETA REDONDA PARA PORTA DE BANHEIRO, EM ACO INOX (MAQUINA, TESTA E CONTRA-TESTA) E EM ZAMAC (MACANETA, LINGUETA E TRINCOS) COM ACABAMENTO CROMADO, MAQUINA DE 40 MM, INCLUINDO CHAVE TIPO TRANQUETA</t>
  </si>
  <si>
    <t>JANELA DE MADEIRA PINUS/EUCALIPTO/ TAUARI/ VIROLA OU EQUIVALENTE, CAIXA DO BATENTE/ MARCO 10 CM, COM DUAS FOLHAS DE ABRIR TIPO VENEZIANAS E 2 FOLHAS GUILHOTINAS PARA VIDRO (VIDROS NÃO INCLUSOS), COM GUARNIÇÃO/ ALIZAR E FERRAGENS, FIXAÇÃO COM PARAFUSOS E ESPUMA EXPANSIVA, EXCLUSIVE CONTRAMARCO - FORNECIMENTO E INSTALAÇÃO. AF_11/2024</t>
  </si>
  <si>
    <t>Esquadrias - Janelas</t>
  </si>
  <si>
    <t xml:space="preserve"> 00004430 </t>
  </si>
  <si>
    <t>CAIBRO NAO APARELHADO *5 X 6* CM, EM MACARANDUBA/MASSARANDUBA, ANGELIM OU EQUIVALENTE DA REGIAO - BRUTA</t>
  </si>
  <si>
    <t xml:space="preserve"> 00038124 </t>
  </si>
  <si>
    <t>ESPUMA EXPANSIVA DE POLIURETANO, APLICACAO MANUAL - 500 ML</t>
  </si>
  <si>
    <t xml:space="preserve"> 00003429 </t>
  </si>
  <si>
    <t>JANELA DE ABRIR EM MADEIRA PINUS/EUCALIPTO/TAUARI/VIROLA OU EQUIVALENTE DA REGIAO, CAIXA DO BATENTE/MARCO *10* CM, 2 FOLHAS DE ABRIR TIPO VENEZIANA E 2 FOLHAS GUILHOTINA PARA VIDRO, COM FERRAGENS (SEM VIDRO, SEM GUARNICAO/ALIZAR E SEM ACABAMENTO)</t>
  </si>
  <si>
    <t xml:space="preserve"> 00020017 </t>
  </si>
  <si>
    <t>GUARNICAO / ALIZAR / VISTA LISA EM MADEIRA MACICA, PARA PORTA, E = *1* CM, L = *5* CM, CEDRINHO / ANGELIM COMERCIAL / TAURI/ CURUPIXA / PEROBA / CUMARU OU EQUIVALENTE DA REGIAO</t>
  </si>
  <si>
    <t xml:space="preserve"> 00039961 </t>
  </si>
  <si>
    <t>SILICONE ACETICO USO GERAL INCOLOR 280 G</t>
  </si>
  <si>
    <t>JANELA DE MADEIRA CEDRINHO/ ANGELIM COMERCIAL/ CURUPIXA/ CUMARU OU EQUIVALENTE DA REGIÃO, TIPO MAXIMA AR, PARA VIDRO (VIDRO NÃO INCLUSO), CAIXA DO BATENTE/ MARCO DE 10 CM, COM GUARNIÇÕES/ ALIZAR E FERRAGENS, SEM ACABAMENTO, FIXAÇÃO COM PARAFUSOS E ESPUMA EXPANSIVA, EXCLUSIVE CONTRAMARCO - FORNECIMENTO E INSTALAÇÃO. AF_11/2024</t>
  </si>
  <si>
    <t xml:space="preserve"> 00003423 </t>
  </si>
  <si>
    <t>JANELA MAXIM-AR EM MADEIRA CEDRINHO/ ANGELIM COMERCIAL/ CURUPIXA/ CUMARU OU EQUIVALENTE DA REGIAO, CAIXA DO BATENTE/MARCO *10* CM, 1 FOLHA PARA VIDRO, COM GUARNICAO/ALIZAR, COM FERRAGENS, (SEM VIDRO E SEM ACABAMENTO)</t>
  </si>
  <si>
    <t>Vidros e Espelhos</t>
  </si>
  <si>
    <t xml:space="preserve"> 88325 </t>
  </si>
  <si>
    <t>VIDRACEIRO COM ENCARGOS COMPLEMENTARES</t>
  </si>
  <si>
    <t xml:space="preserve"> 00039026 </t>
  </si>
  <si>
    <t>PREGO DE ACO POLIDO SEM CABECA 15 X 15 (1 1/4 X 13)</t>
  </si>
  <si>
    <t xml:space="preserve"> 00010492 </t>
  </si>
  <si>
    <t>VIDRO LISO INCOLOR 4MM - SEM COLOCACAO</t>
  </si>
  <si>
    <t>Alvenaria de Vedação</t>
  </si>
  <si>
    <t xml:space="preserve"> 87292 </t>
  </si>
  <si>
    <t>ARGAMASSA TRAÇO 1:2:8 (EM VOLUME DE CIMENTO, CAL E AREIA MÉDIA ÚMIDA) PARA EMBOÇO/MASSA ÚNICA/ASSENTAMENTO DE ALVENARIA DE VEDAÇÃO, PREPARO MECÂNICO COM BETONEIRA 400 L. AF_08/2019</t>
  </si>
  <si>
    <t xml:space="preserve"> 00007271 </t>
  </si>
  <si>
    <t>BLOCO CERAMICO / TIJOLO VAZADO PARA ALVENARIA DE VEDACAO, 8 FUROS NA HORIZONTAL DE 9 X 19 X 19 CM (L X A X C)</t>
  </si>
  <si>
    <t xml:space="preserve"> 00037395 </t>
  </si>
  <si>
    <t>PINO DE ACO COM FURO, HASTE = 27 MM (ACAO DIRETA)</t>
  </si>
  <si>
    <t>CENTO</t>
  </si>
  <si>
    <t xml:space="preserve"> 00034557 </t>
  </si>
  <si>
    <t>TELA DE ACO SOLDADA GALVANIZADA/ZINCADA PARA ALVENARIA, FIO D = *1,20 A 1,70* MM, MALHA 15 X 15 MM, (C X L) *50 X 7,5* CM</t>
  </si>
  <si>
    <t>Massa Única Interna</t>
  </si>
  <si>
    <t xml:space="preserve"> 87369 </t>
  </si>
  <si>
    <t>ARGAMASSA TRAÇO 1:2:8 (EM VOLUME DE CIMENTO, CAL E AREIA MÉDIA ÚMIDA) PARA EMBOÇO/MASSA ÚNICA/ASSENTAMENTO DE ALVENARIA DE VEDAÇÃO, PREPARO MANUAL. AF_08/2019</t>
  </si>
  <si>
    <t>CHAPISCO APLICADO EM ALVENARIAS E ESTRUTURAS DE CONCRETO INTERNAS, COM COLHER DE PEDREIRO. ARGAMASSA TRAÇO 1:3 COM PREPARO MANUAL. AF_10/2022</t>
  </si>
  <si>
    <t>Chapisco</t>
  </si>
  <si>
    <t xml:space="preserve"> 87377 </t>
  </si>
  <si>
    <t>ARGAMASSA TRAÇO 1:3 (EM VOLUME DE CIMENTO E AREIA GROSSA ÚMIDA) PARA CHAPISCO CONVENCIONAL, PREPARO MANUAL. AF_08/2019</t>
  </si>
  <si>
    <t>Pintura Interna</t>
  </si>
  <si>
    <t xml:space="preserve"> 88310 </t>
  </si>
  <si>
    <t>PINTOR COM ENCARGOS COMPLEMENTARES</t>
  </si>
  <si>
    <t xml:space="preserve"> 00035692 </t>
  </si>
  <si>
    <t>TINTA LATEX ACRILICA STANDARD, COR BRANCA</t>
  </si>
  <si>
    <t>L</t>
  </si>
  <si>
    <t>Estrutura e Trama para Cobertura</t>
  </si>
  <si>
    <t xml:space="preserve"> 93281 </t>
  </si>
  <si>
    <t>GUINCHO ELÉTRICO DE COLUNA, CAPACIDADE 400 KG, COM MOTO FREIO, MOTOR TRIFÁSICO DE 1,25 CV - CHP DIURNO. AF_03/2016</t>
  </si>
  <si>
    <t xml:space="preserve"> 93282 </t>
  </si>
  <si>
    <t>GUINCHO ELÉTRICO DE COLUNA, CAPACIDADE 400 KG, COM MOTO FREIO, MOTOR TRIFÁSICO DE 1,25 CV - CHI DIURNO. AF_03/2016</t>
  </si>
  <si>
    <t xml:space="preserve"> 00040568 </t>
  </si>
  <si>
    <t>PREGO DE ACO POLIDO COM CABECA 22 X 48 (4 1/4 X 5)</t>
  </si>
  <si>
    <t xml:space="preserve"> 00004425 </t>
  </si>
  <si>
    <t>VIGA NAO APARELHADA *6 X 12* CM, EM MACARANDUBA/MASSARANDUBA, ANGELIM OU EQUIVALENTE DA REGIAO - BRUTA</t>
  </si>
  <si>
    <t>Telhamento para Cobertura</t>
  </si>
  <si>
    <t xml:space="preserve"> 88323 </t>
  </si>
  <si>
    <t>TELHADISTA COM ENCARGOS COMPLEMENTARES</t>
  </si>
  <si>
    <t xml:space="preserve"> 00007194 </t>
  </si>
  <si>
    <t>TELHA DE FIBROCIMENTO ONDULADA E = 6 MM, DE 2,44 X 1,10 M (SEM AMIANTO)</t>
  </si>
  <si>
    <t xml:space="preserve"> 00004302 </t>
  </si>
  <si>
    <t>PARAFUSO ZINCADO ROSCA SOBERBA, CABECA SEXTAVADA, 5/16" X 250 MM, PARA FIXACAO DE TELHA EM MADEIRA</t>
  </si>
  <si>
    <t xml:space="preserve"> 00001607 </t>
  </si>
  <si>
    <t>CONJUNTO ARRUELAS DE VEDACAO 5/16" PARA TELHA FIBROCIMENTO (UMA ARRUELA METALICA E UMA ARRUELA PVC - CONICAS)</t>
  </si>
  <si>
    <t>CAIBRO DE MADEIRA SERRADA COM 3"X2".FORNECIMENTO E COLOCACAO 3%-DESGASTE DE FERRAMENTAS E EPI</t>
  </si>
  <si>
    <t xml:space="preserve"> 58.002.0407-B </t>
  </si>
  <si>
    <t>CAIBRO 2"X3"</t>
  </si>
  <si>
    <t xml:space="preserve"> 20046 </t>
  </si>
  <si>
    <t>MAO-DE-OBRA DE CARPINTEIRO DE FORMA DE C ONCRETO, INCLUSIVE ENCARGOS SOCIAIS DESO NERADOS</t>
  </si>
  <si>
    <t xml:space="preserve"> 20132 </t>
  </si>
  <si>
    <t>MAO-DE-OBRA DE SERVENTE DA CONSTRUCAO CI VIL, INCLUSIVE ENCARGOS SOCIAIS DESONERA DOS</t>
  </si>
  <si>
    <t xml:space="preserve"> 00453 </t>
  </si>
  <si>
    <t>PREGO COM OU SEM CABECA, EM CAIXAS DE 50 KG, OU QUANTIDADES EQUIVALENTES, Nº12X12  A 18X30</t>
  </si>
  <si>
    <t>Forros</t>
  </si>
  <si>
    <t xml:space="preserve"> 88278 </t>
  </si>
  <si>
    <t>MONTADOR DE ESTRUTURAS METÁLICAS COM ENCARGOS COMPLEMENTARES</t>
  </si>
  <si>
    <t xml:space="preserve"> 00039443 </t>
  </si>
  <si>
    <t>PARAFUSO DRY WALL, EM ACO ZINCADO, CABECA LENTILHA E PONTA BROCA (LB), LARGURA 4,2 MM, COMPRIMENTO 13 MM</t>
  </si>
  <si>
    <t xml:space="preserve"> 00040547 </t>
  </si>
  <si>
    <t>PARAFUSO ZINCADO, AUTOBROCANTE, FLANGEADO, 4,2 MM X 19 MM</t>
  </si>
  <si>
    <t xml:space="preserve"> 00039430 </t>
  </si>
  <si>
    <t>PENDURAL OU PRESILHA REGULADORA, EM ACO GALVANIZADO, COM CORPO, MOLA E REBITE, PARA PERFIL TIPO CANALETA DE ESTRUTURA EM FORROS DRYWALL</t>
  </si>
  <si>
    <t xml:space="preserve"> 00039427 </t>
  </si>
  <si>
    <t>PERFIL CANALETA, FORMATO C, EM ACO ZINCADO, PARA ESTRUTURA FORRO DRYWALL, E = 0,5 MM, *46 X 18* (L X H), COMPRIMENTO 3 M</t>
  </si>
  <si>
    <t xml:space="preserve"> 00040552 </t>
  </si>
  <si>
    <t>PARAFUSO, AUTOATARRAXANTE, CABECA CHATA, FENDA SIMPLES, EM ACO ZINCADO, 1/4" (6,35 MM) X 25 MM</t>
  </si>
  <si>
    <t xml:space="preserve"> 00036238 </t>
  </si>
  <si>
    <t>FORRO DE PVC, FRISADO, BRANCO, REGUA DE 20 CM, ESPESSURA APROXIMADA DE 8 MM E COMPRIMENTO 6 M (SEM COLOCACAO)</t>
  </si>
  <si>
    <t xml:space="preserve"> 00043131 </t>
  </si>
  <si>
    <t>ARAME GALVANIZADO 6 BWG, D = 5,16 MM (0,157 KG/M), OU 8 BWG, D = 4,19 MM (0,101 KG/M), OU 10 BWG, D = 3,40 MM (0,0713 KG/M)</t>
  </si>
  <si>
    <t>INHI - INSTALAÇÕES HIDROS SANITÁRIAS</t>
  </si>
  <si>
    <t xml:space="preserve"> 90443 </t>
  </si>
  <si>
    <t>RASGO LINEAR MANUAL EM ALVENARIA, PARA RAMAIS/ DISTRIBUIÇÃO DE INSTALAÇÕES HIDRÁULICAS, DIÂMETROS MENORES OU IGUAIS A 40 MM. AF_09/2023</t>
  </si>
  <si>
    <t>Rasgos e Fixações</t>
  </si>
  <si>
    <t xml:space="preserve"> 89356 </t>
  </si>
  <si>
    <t>TUBO, PVC, SOLDÁVEL, DE 25MM, INSTALADO EM RAMAL OU SUB-RAMAL DE ÁGUA - FORNECIMENTO E INSTALAÇÃO. AF_06/2022</t>
  </si>
  <si>
    <t>Instalações Prediais de Água Fria em PVC</t>
  </si>
  <si>
    <t xml:space="preserve"> 89362 </t>
  </si>
  <si>
    <t>JOELHO 90 GRAUS, PVC, SOLDÁVEL, DN 25MM, INSTALADO EM RAMAL OU SUB-RAMAL DE ÁGUA - FORNECIMENTO E INSTALAÇÃO. AF_06/2022</t>
  </si>
  <si>
    <t xml:space="preserve"> 89395 </t>
  </si>
  <si>
    <t>TE, PVC, SOLDÁVEL, DN 25MM, INSTALADO EM RAMAL OU SUB-RAMAL DE ÁGUA - FORNECIMENTO E INSTALAÇÃO. AF_06/2022</t>
  </si>
  <si>
    <t xml:space="preserve"> 90466 </t>
  </si>
  <si>
    <t>CHUMBAMENTO LINEAR EM ALVENARIA PARA RAMAIS/DISTRIBUIÇÃO DE INSTALAÇÕES HIDRÁULICAS COM DIÂMETROS MENORES OU IGUAIS A 40 MM. AF_09/2023</t>
  </si>
  <si>
    <t xml:space="preserve"> 89366 </t>
  </si>
  <si>
    <t>JOELHO 90 GRAUS COM BUCHA DE LATÃO, PVC, SOLDÁVEL, DN 25MM, X 3/4 INSTALADO EM RAMAL OU SUB-RAMAL DE ÁGUA - FORNECIMENTO E INSTALAÇÃO. AF_06/2022</t>
  </si>
  <si>
    <t xml:space="preserve"> 88267 </t>
  </si>
  <si>
    <t>ENCANADOR OU BOMBEIRO HIDRÁULICO COM ENCARGOS COMPLEMENTARES</t>
  </si>
  <si>
    <t xml:space="preserve"> 88248 </t>
  </si>
  <si>
    <t>AUXILIAR DE ENCANADOR OU BOMBEIRO HIDRÁULICO COM ENCARGOS COMPLEMENTARES</t>
  </si>
  <si>
    <t xml:space="preserve"> 00000392 </t>
  </si>
  <si>
    <t>ABRACADEIRA EM ACO PARA AMARRACAO DE ELETRODUTOS, TIPO D, COM 1/2" E PARAFUSO DE FIXACAO</t>
  </si>
  <si>
    <t>Instalações Elétricas - Eletrodutos Embutidos, Cabos, Caixas, Tomadas e Interruptores</t>
  </si>
  <si>
    <t xml:space="preserve"> 88264 </t>
  </si>
  <si>
    <t>ELETRICISTA COM ENCARGOS COMPLEMENTARES</t>
  </si>
  <si>
    <t xml:space="preserve"> 88247 </t>
  </si>
  <si>
    <t>AUXILIAR DE ELETRICISTA COM ENCARGOS COMPLEMENTARES</t>
  </si>
  <si>
    <t xml:space="preserve"> 00002674 </t>
  </si>
  <si>
    <t>ELETRODUTO DE PVC RIGIDO ROSCAVEL DE 3/4", SEM LUVA</t>
  </si>
  <si>
    <t xml:space="preserve"> 00001891 </t>
  </si>
  <si>
    <t>LUVA EM PVC RIGIDO ROSCAVEL, DE 3/4", PARA ELETRODUTO</t>
  </si>
  <si>
    <t xml:space="preserve"> 00001879 </t>
  </si>
  <si>
    <t>CURVA 90 GRAUS, LONGA, DE PVC RIGIDO ROSCAVEL, DE 3/4", PARA ELETRODUTO</t>
  </si>
  <si>
    <t xml:space="preserve"> 00021127 </t>
  </si>
  <si>
    <t>FITA ISOLANTE ADESIVA ANTICHAMA, USO ATE 750 V, EM ROLO DE 19 MM X 5 M</t>
  </si>
  <si>
    <t xml:space="preserve"> 00001014 </t>
  </si>
  <si>
    <t>CABO DE COBRE, FLEXIVEL, CLASSE 4 OU 5, ISOLACAO EM PVC/A, ANTICHAMA BWF-B, 1 CONDUTOR, 450/750 V, SECAO NOMINAL 2,5 MM2</t>
  </si>
  <si>
    <t xml:space="preserve"> 88629 </t>
  </si>
  <si>
    <t>ARGAMASSA TRAÇO 1:3 (EM VOLUME DE CIMENTO E AREIA MÉDIA ÚMIDA), PREPARO MANUAL. AF_08/2019</t>
  </si>
  <si>
    <t xml:space="preserve"> 00001872 </t>
  </si>
  <si>
    <t>CAIXA DE PASSAGEM, EM PVC, DE 4" X 2", PARA ELETRODUTO FLEXIVEL CORRUGADO</t>
  </si>
  <si>
    <t xml:space="preserve"> 91998 </t>
  </si>
  <si>
    <t>TOMADA BAIXA DE EMBUTIR (1 MÓDULO), 2P+T 10 A, SEM SUPORTE E SEM PLACA - FORNECIMENTO E INSTALAÇÃO. AF_03/2023</t>
  </si>
  <si>
    <t xml:space="preserve"> 91946 </t>
  </si>
  <si>
    <t>SUPORTE PARAFUSADO COM PLACA DE ENCAIXE 4" X 2" MÉDIO (1,30 M DO PISO) PARA PONTO ELÉTRICO - FORNECIMENTO E INSTALAÇÃO. AF_03/2023</t>
  </si>
  <si>
    <t xml:space="preserve"> 92006 </t>
  </si>
  <si>
    <t>TOMADA BAIXA DE EMBUTIR (2 MÓDULOS), 2P+T 10 A, SEM SUPORTE E SEM PLACA - FORNECIMENTO E INSTALAÇÃO. AF_03/2023</t>
  </si>
  <si>
    <t xml:space="preserve"> 92022 </t>
  </si>
  <si>
    <t>INTERRUPTOR SIMPLES (1 MÓDULO) COM 1 TOMADA DE EMBUTIR 2P+T 10 A, SEM SUPORTE E SEM PLACA - FORNECIMENTO E INSTALAÇÃO. AF_03/2023</t>
  </si>
  <si>
    <t>INEL - INSTALAÇÃO ELÉTRICA/ELETRIFICAÇÃO E ILUMINAÇÃO EXTERNA</t>
  </si>
  <si>
    <t xml:space="preserve"> 00003780 </t>
  </si>
  <si>
    <t>LUMINARIA DE SOBREPOR EM CHAPA DE ACO PARA 1 LAMPADA FLUORESCENTE DE *36* W, ALETADA, COMPLETA (LAMPADA E REATOR INCLUSOS)</t>
  </si>
  <si>
    <t>QUADRO DE DISTRIBUIÇÃO DE ENERGIA EM CHAPA DE AÇO GALVANIZADO, DE EMBUTIR, COM BARRAMENTO TRIFÁSICO, PARA 12 DISJUNTORES DIN 100A - FORNECIMENTO E INSTALAÇÃO. AF_07/2025</t>
  </si>
  <si>
    <t>Instalações Elétricas - Quadros, Cabos, Disjuntores, Contatores e Barramentos Blindados</t>
  </si>
  <si>
    <t xml:space="preserve"> 87367 </t>
  </si>
  <si>
    <t>ARGAMASSA TRAÇO 1:1:6 (EM VOLUME DE CIMENTO, CAL E AREIA MÉDIA ÚMIDA) PARA EMBOÇO/MASSA ÚNICA/ASSENTAMENTO DE ALVENARIA DE VEDAÇÃO, PREPARO MANUAL. AF_08/2019</t>
  </si>
  <si>
    <t xml:space="preserve"> 00013393 </t>
  </si>
  <si>
    <t>QUADRO DE DISTRIBUICAO COM BARRAMENTO TRIFASICO, DE EMBUTIR, EM CHAPA DE ACO GALVANIZADO, PARA 12 DISJUNTORES DIN, 100 A</t>
  </si>
  <si>
    <t>DISJUNTOR BIPOLAR TIPO DIN, CORRENTE NOMINAL DE 32A - FORNECIMENTO E INSTALAÇÃO. AF_07/2025</t>
  </si>
  <si>
    <t xml:space="preserve"> 00001573 </t>
  </si>
  <si>
    <t>TERMINAL A COMPRESSAO EM COBRE ESTANHADO PARA CABO 6 MM2, 1 FURO E 1 COMPRESSAO, PARA PARAFUSO DE FIXACAO M6</t>
  </si>
  <si>
    <t xml:space="preserve"> 00034616 </t>
  </si>
  <si>
    <t>DISJUNTOR TERMOMAGNETICO PARA TRILHO DIN (IEC), BIPOLAR, 6 - 32 A</t>
  </si>
  <si>
    <t>DISJUNTOR MONOPOLAR TIPO DIN, CORRENTE NOMINAL DE 20A - FORNECIMENTO E INSTALAÇÃO. AF_07/2025</t>
  </si>
  <si>
    <t xml:space="preserve"> 00001571 </t>
  </si>
  <si>
    <t>TERMINAL A COMPRESSAO EM COBRE ESTANHADO PARA CABO 4 MM2, 1 FURO E 1 COMPRESSAO, PARA PARAFUSO DE FIXACAO M5</t>
  </si>
  <si>
    <t xml:space="preserve"> 00034653 </t>
  </si>
  <si>
    <t>DISJUNTOR TERMOMAGNETICO PARA TRILHO DIN (IEC), MONOPOLAR, 6 - 32 A</t>
  </si>
  <si>
    <t xml:space="preserve"> 94796 </t>
  </si>
  <si>
    <t>TORNEIRA DE BOIA PARA CAIXA D'ÁGUA, ROSCÁVEL, 3/4" - FORNECIMENTO E INSTALAÇÃO. AF_08/2021</t>
  </si>
  <si>
    <t>Válvulas e Registros para Sistemas Prediais</t>
  </si>
  <si>
    <t xml:space="preserve"> 94688 </t>
  </si>
  <si>
    <t>TÊ, PVC, SOLDÁVEL, DN 25 MM INSTALADO EM RESERVAÇÃO PREDIAL DE ÁGUA - FORNECIMENTO E INSTALAÇÃO. AF_04/2024</t>
  </si>
  <si>
    <t>Instalações Hidráulicas - Reservação e Bombas de Recalque</t>
  </si>
  <si>
    <t xml:space="preserve"> 94703 </t>
  </si>
  <si>
    <t>ADAPTADOR COM FLANGE E ANEL DE VEDAÇÃO, PVC, SOLDÁVEL, DN 25 MM X 3/4", INSTALADO EM RESERVAÇÃO PREDIAL DE ÁGUA - FORNECIMENTO E INSTALAÇÃO. AF_04/2024</t>
  </si>
  <si>
    <t xml:space="preserve"> 94648 </t>
  </si>
  <si>
    <t>TUBO, PVC, SOLDÁVEL, DE 25MM, INSTALADO EM RESERVAÇÃO PREDIAL DE ÁGUA - FORNECIMENTO E INSTALAÇÃO. AF_04/2024</t>
  </si>
  <si>
    <t xml:space="preserve"> 89972 </t>
  </si>
  <si>
    <t>KIT DE REGISTRO DE GAVETA BRUTO DE LATÃO ¾", INCLUSIVE CONEXÕES, ROSCÁVEL, INSTALADO EM RAMAL DE ÁGUA FRIA - FORNECIMENTO E INSTALAÇÃO. AF_12/2014</t>
  </si>
  <si>
    <t xml:space="preserve"> 00034636 </t>
  </si>
  <si>
    <t>CAIXA D'AGUA / RESERVATORIO EM POLIETILENO, 1000 LITROS, COM TAMPA</t>
  </si>
  <si>
    <t xml:space="preserve"> 92001 </t>
  </si>
  <si>
    <t>TOMADA BAIXA DE EMBUTIR (1 MÓDULO), 2P+T 20 A, INCLUINDO SUPORTE E PLACA - FORNECIMENTO E INSTALAÇÃO. AF_03/2023</t>
  </si>
  <si>
    <t xml:space="preserve"> 92981 </t>
  </si>
  <si>
    <t>CABO DE COBRE FLEXÍVEL ISOLADO, 16 MM², ANTI-CHAMA 450/750 V, PARA DISTRIBUIÇÃO - FORNECIMENTO E INSTALAÇÃO. AF_10/2020</t>
  </si>
  <si>
    <t>ESCAVAÇÃO MANUAL DE VALA. AF_09/2024</t>
  </si>
  <si>
    <t>Escavação de Valas</t>
  </si>
  <si>
    <t xml:space="preserve"> 97886 </t>
  </si>
  <si>
    <t>CAIXA ENTERRADA ELÉTRICA RETANGULAR, EM ALVENARIA COM TIJOLOS CERÂMICOS MACIÇOS, FUNDO COM BRITA, DIMENSÕES INTERNAS: 0,3X0,3X0,3 M. AF_12/2020</t>
  </si>
  <si>
    <t>Caixas Enterradas</t>
  </si>
  <si>
    <t xml:space="preserve"> 96985 </t>
  </si>
  <si>
    <t>HASTE DE ATERRAMENTO, DIÂMETRO 5/8", COM 3 METROS - FORNECIMENTO E INSTALAÇÃO. AF_08/2023</t>
  </si>
  <si>
    <t>Sistema de Proteção contra Descargas Atmosféricas - SPDA</t>
  </si>
  <si>
    <t xml:space="preserve"> 101891 </t>
  </si>
  <si>
    <t>DISJUNTOR MONOPOLAR TIPO NEMA, CORRENTE NOMINAL DE 35 ATÉ 50A - FORNECIMENTO E INSTALAÇÃO. AF_07/2025</t>
  </si>
  <si>
    <t xml:space="preserve"> 98441 </t>
  </si>
  <si>
    <t>PAREDE DE MADEIRA COMPENSADA PARA CONSTRUÇÃO TEMPORÁRIA EM CHAPA SIMPLES, EXTERNA, SEM VÃO. AF_03/2024</t>
  </si>
  <si>
    <t xml:space="preserve"> 101876 </t>
  </si>
  <si>
    <t>QUADRO DE DISTRIBUIÇÃO DE ENERGIA EM PVC, DE EMBUTIR, SEM BARRAMENTO, PARA 6 DISJUNTORES - FORNECIMENTO E INSTALAÇÃO. AF_07/2025</t>
  </si>
  <si>
    <t xml:space="preserve"> 95241 </t>
  </si>
  <si>
    <t>LASTRO DE CONCRETO MAGRO, APLICADO EM PISOS, LAJES SOBRE SOLO OU RADIERS, ESPESSURA DE 5 CM. AF_01/2024</t>
  </si>
  <si>
    <t>Lastro</t>
  </si>
  <si>
    <t xml:space="preserve"> 91870 </t>
  </si>
  <si>
    <t>ELETRODUTO RÍGIDO ROSCÁVEL, PVC, DN 20 MM (1/2"), PARA CIRCUITOS TERMINAIS, INSTALADO EM PAREDE - FORNECIMENTO E INSTALAÇÃO. AF_03/2023</t>
  </si>
  <si>
    <t xml:space="preserve"> 95805 </t>
  </si>
  <si>
    <t>CONDULETE DE PVC, TIPO B, PARA ELETRODUTO DE PVC SOLDÁVEL DN 25 MM (3/4''), APARENTE - FORNECIMENTO E INSTALAÇÃO. AF_10/2022</t>
  </si>
  <si>
    <t>Instalações Elétricas - Eletrodutos, Conexões e Conduletes Aparentes</t>
  </si>
  <si>
    <t xml:space="preserve"> 91924 </t>
  </si>
  <si>
    <t>CABO DE COBRE FLEXÍVEL ISOLADO, 1,5 MM², ANTI-CHAMA 450/750 V, PARA CIRCUITOS TERMINAIS - FORNECIMENTO E INSTALAÇÃO. AF_03/2023</t>
  </si>
  <si>
    <t xml:space="preserve"> 91862 </t>
  </si>
  <si>
    <t>ELETRODUTO RÍGIDO ROSCÁVEL, PVC, DN 20 MM (1/2"), PARA CIRCUITOS TERMINAIS, INSTALADO EM FORRO - FORNECIMENTO E INSTALAÇÃO. AF_03/2023</t>
  </si>
  <si>
    <t xml:space="preserve"> 98446 </t>
  </si>
  <si>
    <t>PAREDE DE MADEIRA COMPENSADA PARA CONSTRUÇÃO TEMPORÁRIA EM CHAPA SIMPLES, EXTERNA, COM ÁREA LÍQUIDA MENOR QUE 6 M², COM VÃO. AF_03/2024</t>
  </si>
  <si>
    <t xml:space="preserve"> 00010886 </t>
  </si>
  <si>
    <t>EXTINTOR DE INCENDIO PORTATIL COM CARGA DE AGUA PRESSURIZADA DE 10 L, CLASSE A</t>
  </si>
  <si>
    <t xml:space="preserve"> 00010891 </t>
  </si>
  <si>
    <t>EXTINTOR DE INCENDIO PORTATIL COM CARGA DE PO QUIMICO SECO (PQS) DE 4 KG, CLASSE BC</t>
  </si>
  <si>
    <t xml:space="preserve"> 91173 </t>
  </si>
  <si>
    <t>FIXAÇÃO DE TUBOS VERTICAIS DE PVC ÁGUA, PVC ESGOTO, PVC ÁGUA PLUVIAL, CPVC, PPR, COBRE OU AÇO, DIÂMETROS MENORES OU IGUAIS A 40 MM, COM ABRAÇADEIRA METÁLICA RÍGIDA TIPO U PERFIL 1 1/4", FIXADA EM PERFILADO EM PAREDE. AF_09/2023_PS</t>
  </si>
  <si>
    <t>Demolições e Remoções</t>
  </si>
  <si>
    <t xml:space="preserve"> 90965 </t>
  </si>
  <si>
    <t>COMPRESSOR DE AR REBOCÁVEL, VAZÃO 89 PCM, PRESSÃO EFETIVA DE TRABALHO 102 PSI, MOTOR DIESEL, POTÊNCIA 20 CV - CHI DIURNO. AF_06/2015</t>
  </si>
  <si>
    <t xml:space="preserve"> 5952 </t>
  </si>
  <si>
    <t>MARTELETE OU ROMPEDOR PNEUMÁTICO MANUAL, 28 KG, COM SILENCIADOR - CHI DIURNO. AF_07/2016</t>
  </si>
  <si>
    <t xml:space="preserve"> 5795 </t>
  </si>
  <si>
    <t>MARTELETE OU ROMPEDOR PNEUMÁTICO MANUAL, 28 KG, COM SILENCIADOR - CHP DIURNO. AF_07/2016</t>
  </si>
  <si>
    <t xml:space="preserve"> 90964 </t>
  </si>
  <si>
    <t>COMPRESSOR DE AR REBOCÁVEL, VAZÃO 89 PCM, PRESSÃO EFETIVA DE TRABALHO 102 PSI, MOTOR DIESEL, POTÊNCIA 20 CV - CHP DIURNO. AF_06/2015</t>
  </si>
  <si>
    <t>SERP - SERVIÇOS PRELIMINARES</t>
  </si>
  <si>
    <t xml:space="preserve"> 88256 </t>
  </si>
  <si>
    <t>AZULEJISTA OU LADRILHEIRO COM ENCARGOS COMPLEMENTARES</t>
  </si>
  <si>
    <t xml:space="preserve"> 14836 </t>
  </si>
  <si>
    <t>LOCACAO DE ANDAIME METALICO COM ELEMENTO S TUBULARES SOBRE SAPATAS,C/ESCADA DE AC ESSO E GUARDA-CORPO,EXCL.PISO E TRANSP.</t>
  </si>
  <si>
    <t>CARGA E DESCARGA MANUAL DE ANDAIME TUBULAR,INCLUSIVE TEMPO D E ESPERA DO CAMINHAO,CONSIDERANDO-SE A AREA DE PROJECAO VERT ICAL 3%-DESGASTE DE FERRAMENTAS E EPI</t>
  </si>
  <si>
    <t xml:space="preserve"> 19.004.0001-E </t>
  </si>
  <si>
    <t>CAMINHAO COM CARROCERIA FIXA,NO TOCO,CAPACIDADE DE 3,5T,INCL USIVE MOTORISTA 22,76%-SEGURO TOTAL</t>
  </si>
  <si>
    <t xml:space="preserve"> 19.004.0001-C </t>
  </si>
  <si>
    <t>CAMINHAO COM CARROCERIA FIXA,NO TOCO,CAPACICADE DE 3,5T,INCL USIVE MOTORISTA 50%-FILTRO 15%-SEGURO TOTAL</t>
  </si>
  <si>
    <t>MONTAGEM E DESMONTAGEM DE ANDAIME COM ELEMENTOS TUBULARES,CO NSIDERANDO-SE A AREA VERTICAL RECOBERTA 3%-DESGASTE DE FERRAMENTAS E EPI</t>
  </si>
  <si>
    <t xml:space="preserve"> 14268 </t>
  </si>
  <si>
    <t>LOCACAO DE PISO METALICO PARA ANDAIME TU BULAR, COM 0,33M DE LARGURA, EXCLUSIVE T RANSPORTE</t>
  </si>
  <si>
    <t>MXMES</t>
  </si>
  <si>
    <t>MOVIMENTACAO VERTICAL OU HORIZONTAL DE PLATAFORMA OU PASSARE LA 3%-DESGASTE DE FERRAMENTAS E EPI</t>
  </si>
  <si>
    <t xml:space="preserve"> 19.004.0004-D </t>
  </si>
  <si>
    <t>CAMINHAO COM CARROCERIA FIXA,NO TOCO,CAPACIDADE DE 7,5T,INCL USIVE MOTORISTA 50%-FILTRO 20,62%-SEGURO TOTAL</t>
  </si>
  <si>
    <t xml:space="preserve"> 022323 </t>
  </si>
  <si>
    <t>DESMONTAGEM E REMOCAO DE CHILLER DE AR CONDICIONADO</t>
  </si>
  <si>
    <t>DEMOLICOES</t>
  </si>
  <si>
    <t xml:space="preserve"> 19.004.0004-E </t>
  </si>
  <si>
    <t>CAMINHAO COM CARROCERIA FIXA,NO TOCO,CAPACIDADE DE 7,5T,INCL USIVE MOTORISTA 22,76%-SEGURO TOTAL</t>
  </si>
  <si>
    <t xml:space="preserve"> 19.004.0080-E </t>
  </si>
  <si>
    <t>GUINDAUTO COM CAPACIDADE MAXIMA DE CARGA EM TORNO DE 3,5T A APROXIMADAMENTE 2,00M E ALCANCE MAXIMO VERTICAL(DO SOLO)A AP ROXIMADAMENTE 7,00M,ANGULO DE GIRO DE 180º,MONTADO SOBRE CHA SSIS DE CAMINHAO,EXCLUSIVE ESTE.SAO CONSIDERADOS DOIS AJUDAN TES,EXCLUSIVE OPERADOR QUE E CONSIDERADO O MOTORISTA DO CAMI NHAO</t>
  </si>
  <si>
    <t xml:space="preserve"> 19.004.0080-C </t>
  </si>
  <si>
    <t>Supressão Vegetal</t>
  </si>
  <si>
    <t xml:space="preserve"> 099050 </t>
  </si>
  <si>
    <t>PEDREIRO</t>
  </si>
  <si>
    <t xml:space="preserve"> 031374 </t>
  </si>
  <si>
    <t>COMPRESSOR REBOCAVEL ATLAS XAS 186 350pcm, MOTOR DIESEL, 111CV</t>
  </si>
  <si>
    <t xml:space="preserve"> 030589 </t>
  </si>
  <si>
    <t>MARTELETE/ROMPEDOR/FERFURADOR ATLAS TEX-41</t>
  </si>
  <si>
    <t xml:space="preserve"> 030572 </t>
  </si>
  <si>
    <t>CAMINHAO BASCULANTE DIESEL 140CV 8,0m3</t>
  </si>
  <si>
    <t xml:space="preserve"> 030568 </t>
  </si>
  <si>
    <t>PA CARREGADEIRA PNEUS 2,6m3 170CV</t>
  </si>
  <si>
    <t xml:space="preserve"> 099062 </t>
  </si>
  <si>
    <t>OPERADOR DE COMPRESSOR</t>
  </si>
  <si>
    <t xml:space="preserve"> 099516 </t>
  </si>
  <si>
    <t>OPERADOR DE PA CARREGADEIRA</t>
  </si>
  <si>
    <t xml:space="preserve"> 099361 </t>
  </si>
  <si>
    <t>OPERADOR DE MARTELETE</t>
  </si>
  <si>
    <t xml:space="preserve"> 099162 </t>
  </si>
  <si>
    <t>MOTORISTA</t>
  </si>
  <si>
    <t xml:space="preserve"> 099148 </t>
  </si>
  <si>
    <t>APONTADOR</t>
  </si>
  <si>
    <t>Aterro e Reaterro de Valas</t>
  </si>
  <si>
    <t xml:space="preserve"> 5903 </t>
  </si>
  <si>
    <t>CAMINHÃO PIPA 10.000 L TRUCADO, PESO BRUTO TOTAL 23.000 KG, CARGA ÚTIL MÁXIMA 15.935 KG, DISTÂNCIA ENTRE EIXOS 4,8 M, POTÊNCIA 230 CV, INCLUSIVE TANQUE DE AÇO PARA TRANSPORTE DE ÁGUA - CHI DIURNO. AF_06/2014</t>
  </si>
  <si>
    <t xml:space="preserve"> 91533 </t>
  </si>
  <si>
    <t>COMPACTADOR DE SOLOS DE PERCUSSÃO (SOQUETE) COM MOTOR A GASOLINA 4 TEMPOS, POTÊNCIA 4 CV - CHP DIURNO. AF_08/2015</t>
  </si>
  <si>
    <t xml:space="preserve"> 5901 </t>
  </si>
  <si>
    <t>CAMINHÃO PIPA 10.000 L TRUCADO, PESO BRUTO TOTAL 23.000 KG, CARGA ÚTIL MÁXIMA 15.935 KG, DISTÂNCIA ENTRE EIXOS 4,8 M, POTÊNCIA 230 CV, INCLUSIVE TANQUE DE AÇO PARA TRANSPORTE DE ÁGUA - CHP DIURNO. AF_06/2014</t>
  </si>
  <si>
    <t>Fundações Rasas (Blocos, Sapatas, Vigas Baldrame)</t>
  </si>
  <si>
    <t xml:space="preserve"> 88238 </t>
  </si>
  <si>
    <t>AJUDANTE DE ARMADOR COM ENCARGOS COMPLEMENTARES</t>
  </si>
  <si>
    <t xml:space="preserve"> 88245 </t>
  </si>
  <si>
    <t>ARMADOR COM ENCARGOS COMPLEMENTARES</t>
  </si>
  <si>
    <t xml:space="preserve"> 92801 </t>
  </si>
  <si>
    <t>CORTE E DOBRA DE AÇO CA-50, DIÂMETRO DE 6,3 MM. AF_06/2022</t>
  </si>
  <si>
    <t>Armação para Estruturas de Concreto Armado</t>
  </si>
  <si>
    <t xml:space="preserve"> 00043132 </t>
  </si>
  <si>
    <t>ARAME RECOZIDO 16 BWG, D = 1,65 MM (0,016 KG/M) OU 18 BWG, D = 1,25 MM (0,01 KG/M)</t>
  </si>
  <si>
    <t xml:space="preserve"> 00039017 </t>
  </si>
  <si>
    <t>ESPACADOR / DISTANCIADOR CIRCULAR COM ENTRADA LATERAL, EM PLASTICO, PARA VERGALHAO *4,2 A 12,5* MM, COBRIMENTO 20 MM</t>
  </si>
  <si>
    <t xml:space="preserve"> 92802 </t>
  </si>
  <si>
    <t>CORTE E DOBRA DE AÇO CA-50, DIÂMETRO DE 8,0 MM. AF_06/2022</t>
  </si>
  <si>
    <t xml:space="preserve"> 92803 </t>
  </si>
  <si>
    <t>CORTE E DOBRA DE AÇO CA-50, DIÂMETRO DE 10,0 MM. AF_06/2022</t>
  </si>
  <si>
    <t xml:space="preserve"> 92804 </t>
  </si>
  <si>
    <t>CORTE E DOBRA DE AÇO CA-50, DIÂMETRO DE 12,5 MM. AF_06/2022</t>
  </si>
  <si>
    <t xml:space="preserve"> 92805 </t>
  </si>
  <si>
    <t>CORTE E DOBRA DE AÇO CA-50, DIÂMETRO DE 16,0 MM. AF_06/2022</t>
  </si>
  <si>
    <t xml:space="preserve"> 00001358 </t>
  </si>
  <si>
    <t>CHAPA/PAINEL DE MADEIRA COMPENSADA RESINADA (MADEIRITE RESINADO ROSA) PARA FORMA DE CONCRETO, DE 2200 X 1100 MM, E = 17 MM</t>
  </si>
  <si>
    <t xml:space="preserve"> 00040304 </t>
  </si>
  <si>
    <t>PREGO DE ACO POLIDO COM CABECA DUPLA 17 X 27 (2 1/2 X 11)</t>
  </si>
  <si>
    <t xml:space="preserve"> 00004517 </t>
  </si>
  <si>
    <t>SARRAFO *2,5 X 7,5* CM EM PINUS, MISTA OU EQUIVALENTE DA REGIAO - BRUTA</t>
  </si>
  <si>
    <t xml:space="preserve"> 00005073 </t>
  </si>
  <si>
    <t>PREGO DE ACO POLIDO COM CABECA 17 X 24 (2 1/4 X 11)</t>
  </si>
  <si>
    <t xml:space="preserve"> 00006212 </t>
  </si>
  <si>
    <t>TABUA *2,5 X 30 CM EM PINUS, MISTA OU EQUIVALENTE DA REGIAO - BRUTA</t>
  </si>
  <si>
    <t xml:space="preserve"> 00020247 </t>
  </si>
  <si>
    <t>PREGO DE ACO POLIDO COM CABECA 15 X 15 (1 1/4 X 13)</t>
  </si>
  <si>
    <t xml:space="preserve"> 00002692 </t>
  </si>
  <si>
    <t>DESMOLDANTE PROTETOR PARA FORMAS DE MADEIRA, DE BASE OLEOSA EMULSIONADA EM AGUA</t>
  </si>
  <si>
    <t xml:space="preserve"> 94972 </t>
  </si>
  <si>
    <t>CONCRETO FCK = 30MPA, TRAÇO 1:2,1:2,5 (EM MASSA SECA DE CIMENTO/ AREIA MÉDIA/ BRITA 1) - PREPARO MECÂNICO COM BETONEIRA 600 L. AF_05/2021</t>
  </si>
  <si>
    <t xml:space="preserve"> 90587 </t>
  </si>
  <si>
    <t>VIBRADOR DE IMERSÃO, DIÂMETRO DE PONTEIRA 45MM, MOTOR ELÉTRICO TRIFÁSICO POTÊNCIA DE 2 CV - CHI DIURNO. AF_06/2015</t>
  </si>
  <si>
    <t xml:space="preserve"> 90586 </t>
  </si>
  <si>
    <t>VIBRADOR DE IMERSÃO, DIÂMETRO DE PONTEIRA 45MM, MOTOR ELÉTRICO TRIFÁSICO POTÊNCIA DE 2 CV - CHP DIURNO. AF_06/2015</t>
  </si>
  <si>
    <t xml:space="preserve"> 94968 </t>
  </si>
  <si>
    <t>CONCRETO MAGRO PARA LASTRO, TRAÇO 1:4,5:4,5 (EM MASSA SECA DE CIMENTO/ AREIA MÉDIA/ BRITA 1) - PREPARO MECÂNICO COM BETONEIRA 600 L. AF_05/2021</t>
  </si>
  <si>
    <t>FUNDACOES INDIRETAS</t>
  </si>
  <si>
    <t xml:space="preserve"> 031790 </t>
  </si>
  <si>
    <t>MOBILIZACAO EQUIPAMENTO PERFURACAO ESTACAS TIPO STRAUSS</t>
  </si>
  <si>
    <t>PERFURACAO ROTATIVA COM COROA DE WIDIA,EM SOLO,DIAMETRO 12", VERTICAL,INCLUSIVE DESLOCAMENTO DENTRO DO CANTEIRO E INSTALA CAO DO EQUIPAMENTO EM CADA FURO</t>
  </si>
  <si>
    <t xml:space="preserve"> 55.100.0032-B </t>
  </si>
  <si>
    <t>CUSTO HORARIO PRODUTIVO - WIDIA SOLO 33,9%-ASSISTENCIA TECNICA (30%) E DESGASTE DE FERRAMENTAS E EPI (3%)</t>
  </si>
  <si>
    <t xml:space="preserve"> 58.002.0330-B </t>
  </si>
  <si>
    <t>CUSTO IMPRODUTIVO PARALISACAO,DESLOCAMENTOS/INSTALACAO DE EQUIPAM.SONDAGEM ROTATIVA C/EQUIPAMENTO/EQUIPE OPERACAO.</t>
  </si>
  <si>
    <t>ESTACA RAIZ COM DIAMETRO DE 12" PARA CARGA DE 110T,INJECAO D E ARGAMASSA DE CIMENTO E AREIA,COM RESISTENCIA DE 20MPA,CONF ORME ABNT NBR 6122,INCLUSIVE FORNECIMENTO DOS MATERIAIS (CIM ENTO,AREIA E ACO),EXCLUSIVE PERFURACAO 15%-CORTE E SOBREPOSICAO DAS BARRAS DE ACO 30%-PERDAS E EXCESSO</t>
  </si>
  <si>
    <t xml:space="preserve"> 11.011.0023-B </t>
  </si>
  <si>
    <t>CORTE,DOBRAGEM,MONTAGEM E COLOCACAO DE FERRAGENS NA FORMAS,A CO CA-25,EM BARRA REDONDA COM DIAMETRO IGUAL A 6,3MM 3%-DESGASTE DE FERRAMENTAS E EPI</t>
  </si>
  <si>
    <t xml:space="preserve"> 07.100.0040-B </t>
  </si>
  <si>
    <t>INJECAO DE ARGAMASSA DE CIMENTO E AREIA,COM RESISTENCIA DE 2 0MPA,CONFORME ABNT NBR 6122,UTILIZANDO BOMBA DE ARGAMASSA CO M UNIDADE MISTURADORA E BOMBEADORA ACOPLADAS,COM CAPACIDADE DE 900 A 4800L DE MISTURA SECA,DESTINADA A EXECUCAO DE FUNDA COES,INCLUSIVE O FORNECIMENTO DE MATERIAIS 3%- DESGASTE DE FERRAMENTAS E EPI</t>
  </si>
  <si>
    <t xml:space="preserve"> 11.011.0031-B </t>
  </si>
  <si>
    <t>CORTE,DOBRAGEM,MONTAGEM E COLOCACAO DE FERRAGENS NAS FORMAS, ACO CA-50,EM BARRAS REDONDAS,COM DIAMETRO ACIMA DE 12,5MM 3%-DESGASTE DE FERRAMENTAS E EPI</t>
  </si>
  <si>
    <t xml:space="preserve"> 06211 </t>
  </si>
  <si>
    <t>ACO CA-50, ESTIRADO, PRECO DE FABRICA, N O DIAMETRO DE 06,3MM</t>
  </si>
  <si>
    <t xml:space="preserve"> 00004 </t>
  </si>
  <si>
    <t>ARAME RECOZIDO Nº 18</t>
  </si>
  <si>
    <t xml:space="preserve"> 00020 </t>
  </si>
  <si>
    <t>ACO CA-50, ESTIRADO, PRECO DE REVENDEDOR , NO DIAMETRO DE 20,0MM</t>
  </si>
  <si>
    <t xml:space="preserve"> 00001525 </t>
  </si>
  <si>
    <t>CONCRETO USINADO BOMBEAVEL, CLASSE DE RESISTENCIA C30, BRITA 0 E 1, SLUMP = 100 +/- 20 MM, COM BOMBEAMENTO (DISPONIBILIZACAO DE BOMBA), SEM O LANCAMENTO (NBR 8953)</t>
  </si>
  <si>
    <t>Radier, Piso de Concreto e Laje sobre Solo</t>
  </si>
  <si>
    <t xml:space="preserve"> 00042408 </t>
  </si>
  <si>
    <t>LONA PLASTICA EXTRA FORTE PRETA, E = 200 MICRA</t>
  </si>
  <si>
    <t xml:space="preserve"> 92800 </t>
  </si>
  <si>
    <t>CORTE E DOBRA DE AÇO CA-60, DIÂMETRO DE 5,0 MM. AF_06/2022</t>
  </si>
  <si>
    <t xml:space="preserve"> 95264 </t>
  </si>
  <si>
    <t>COMPACTADOR DE SOLOS DE PERCUSÃO (SOQUETE) COM MOTOR A GASOLINA, POTÊNCIA 3 CV - CHP DIURNO. AF_09/2016</t>
  </si>
  <si>
    <t xml:space="preserve"> 95265 </t>
  </si>
  <si>
    <t>COMPACTADOR DE SOLOS DE PERCUSÃO (SOQUETE) COM MOTOR A GASOLINA, POTÊNCIA 3 CV - CHI DIURNO. AF_09/2016</t>
  </si>
  <si>
    <t xml:space="preserve"> 00005074 </t>
  </si>
  <si>
    <t>PREGO DE ACO POLIDO COM CABECA 15 X 18 (1 1/2 X 13)</t>
  </si>
  <si>
    <t xml:space="preserve"> 00006193 </t>
  </si>
  <si>
    <t>TABUA NAO APARELHADA *2,5 X 20* CM, EM MACARANDUBA/MASSARANDUBA, ANGELIM OU EQUIVALENTE DA REGIAO - BRUTA</t>
  </si>
  <si>
    <t xml:space="preserve"> 00005068 </t>
  </si>
  <si>
    <t>PREGO DE ACO POLIDO COM CABECA 17 X 21 (2 X 11)</t>
  </si>
  <si>
    <t>Fôrmas para Estruturas de Concreto Armado</t>
  </si>
  <si>
    <t xml:space="preserve"> 92264 </t>
  </si>
  <si>
    <t>FABRICAÇÃO DE FÔRMA PARA PILARES E ESTRUTURAS SIMILARES, EM CHAPA DE MADEIRA COMPENSADA PLASTIFICADA, E = 18 MM. AF_09/2020</t>
  </si>
  <si>
    <t xml:space="preserve"> 00040287 </t>
  </si>
  <si>
    <t>LOCACAO DE BARRA DE ANCORAGEM DE 0,80 A 1,20 M DE EXTENSAO, COM ROSCA DE 5/8", INCLUINDO PORCA E FLANGE</t>
  </si>
  <si>
    <t>Equipamento</t>
  </si>
  <si>
    <t xml:space="preserve"> 00040271 </t>
  </si>
  <si>
    <t>LOCACAO DE APRUMADOR METALICO DE PILAR, COM ALTURA E ANGULO REGULAVEIS, EXTENSAO DE *1,50* A *2,80* M</t>
  </si>
  <si>
    <t>UNXMES</t>
  </si>
  <si>
    <t xml:space="preserve"> 00040275 </t>
  </si>
  <si>
    <t>LOCACAO DE VIGA SANDUICHE METALICA VAZADA PARA TRAVAMENTO DE PILARES, ALTURA DE *8* CM, LARGURA DE *6* CM E EXTENSAO DE 2 M</t>
  </si>
  <si>
    <t xml:space="preserve"> 92266 </t>
  </si>
  <si>
    <t>FABRICAÇÃO DE FÔRMA PARA VIGAS, EM CHAPA DE MADEIRA COMPENSADA PLASTIFICADA, E = 18 MM. AF_09/2020</t>
  </si>
  <si>
    <t xml:space="preserve"> 00010749 </t>
  </si>
  <si>
    <t>LOCACAO DE ESCORA METALICA TELESCOPICA, COM ALTURA REGULAVEL DE *1,80* A *3,20* M, COM CAPACIDADE DE CARGA DE NO MINIMO 1000 KGF (10 KN), INCLUSO TRIPE E FORCADO</t>
  </si>
  <si>
    <t xml:space="preserve"> 00040339 </t>
  </si>
  <si>
    <t>LOCACAO DE CRUZETA, SIMPLES, PARA ESCORA METALICA, COMPRIMENTO ENTRE 50 A 60 CM, PARA ESCORA DE 1,80 A 3,20 METROS E TUBO EXTERNO ATE 48 MM DE DIAMETRO</t>
  </si>
  <si>
    <t xml:space="preserve"> 00040291 </t>
  </si>
  <si>
    <t>LOCACAO DE TORRE METALICA COMPLETA PARA UMA CARGA DE 8 TF (80 KN) E PE DIREITO DE 6 M, INCLUINDO MODULOS, DIAGONAIS, SAPATAS E FORCADOS</t>
  </si>
  <si>
    <t xml:space="preserve"> 00040270 </t>
  </si>
  <si>
    <t>VIGA DE ESCORAMENTO H20, DE MADEIRA, PESO DE 5,00 A 5,20 KG/M, COM EXTREMIDADES PLASTICAS</t>
  </si>
  <si>
    <t>ESTRUTURA</t>
  </si>
  <si>
    <t xml:space="preserve"> 099350 </t>
  </si>
  <si>
    <t>CARPINTEIRO DE FORMAS</t>
  </si>
  <si>
    <t xml:space="preserve"> 037431 </t>
  </si>
  <si>
    <t>VIBRADOR DE IMERSAO ELETRICO 2CV</t>
  </si>
  <si>
    <t xml:space="preserve"> 008415 </t>
  </si>
  <si>
    <t>CONCRETO USINADO 35.0 MPa COM CUSTO DE BOMBEAMENTO</t>
  </si>
  <si>
    <t xml:space="preserve"> 099322 </t>
  </si>
  <si>
    <t>CONCRETISTA</t>
  </si>
  <si>
    <t xml:space="preserve"> 099323 </t>
  </si>
  <si>
    <t>AJUDANTE ESPECIALIZADO - CONCRETISTA</t>
  </si>
  <si>
    <t>Concretagem para Estruturas de Concreto Armado</t>
  </si>
  <si>
    <t xml:space="preserve"> 58.002.0333-1 </t>
  </si>
  <si>
    <t>MOLDAGEM E COLETA DE CORPO DE PROVA DE CONCRETO EXECUTADO POR FIRMA ESPECIALIZADA COM TRANSPORTE ATE 250KM.</t>
  </si>
  <si>
    <t xml:space="preserve"> 55.100.0002-1 </t>
  </si>
  <si>
    <t>COMPOSICAO BASICA - ENSAIO DE LABORATORIO 33,9%-ASSISTENCIA TECNICA (30%) E DESGASTE DE FERRAMENTAS E EPI (3%)</t>
  </si>
  <si>
    <t>Escadas</t>
  </si>
  <si>
    <t>FUES - FUNDAÇÕES E ESTRUTURAS</t>
  </si>
  <si>
    <t xml:space="preserve"> 00001345 </t>
  </si>
  <si>
    <t>CHAPA/PAINEL DE MADEIRA COMPENSADA PLASTIFICADA (MADEIRITE PLASTIFICADO) PARA FORMA DE CONCRETO, DE 2200 X 1100 MM, E = *17* MM</t>
  </si>
  <si>
    <t xml:space="preserve"> 92273 </t>
  </si>
  <si>
    <t>FABRICAÇÃO DE ESCORAS DO TIPO PONTALETE, EM MADEIRA, PARA PÉ-DIREITO SIMPLES. AF_09/2020</t>
  </si>
  <si>
    <t xml:space="preserve"> 00037593 </t>
  </si>
  <si>
    <t>BLOCO CERAMICO / TIJOLO VAZADO PARA ALVENARIA DE VEDACAO, FUROS NA VERTICAL DE 14 X 19 X 39 CM (L X A X C)</t>
  </si>
  <si>
    <t xml:space="preserve"> 00034547 </t>
  </si>
  <si>
    <t>TELA DE ACO SOLDADA GALVANIZADA/ZINCADA PARA ALVENARIA, FIO D = *1,20 A 1,70* MM, MALHA 15 X 15 MM, (C X L) *50 X 12* CM</t>
  </si>
  <si>
    <t>Paredes em Drywall</t>
  </si>
  <si>
    <t xml:space="preserve"> 00039435 </t>
  </si>
  <si>
    <t>PARAFUSO DRY WALL, EM ACO FOSFATIZADO, CABECA TROMBETA E PONTA AGULHA (TA), COMPRIMENTO 25 MM</t>
  </si>
  <si>
    <t xml:space="preserve"> 00039413 </t>
  </si>
  <si>
    <t>PLACA / CHAPA DE GESSO ACARTONADO, STANDARD (ST), COR BRANCA, E = 12,5 MM, 1200 X 2400 MM (L X C)</t>
  </si>
  <si>
    <t xml:space="preserve"> 00039419 </t>
  </si>
  <si>
    <t>PERFIL GUIA, FORMATO U, EM ACO ZINCADO, PARA ESTRUTURA PAREDE DRYWALL, E = 0,5 MM, 70 X 3000 MM (L X C)</t>
  </si>
  <si>
    <t xml:space="preserve"> 00039422 </t>
  </si>
  <si>
    <t>PERFIL MONTANTE, FORMATO C, EM ACO ZINCADO, PARA ESTRUTURA PAREDE DRYWALL, E = 0,5 MM, 70 X 3000 MM (L X C)</t>
  </si>
  <si>
    <t xml:space="preserve"> 00039434 </t>
  </si>
  <si>
    <t>MASSA DE REJUNTE EM PO PARA DRYWALL, A BASE DE GESSO, SECAGEM RAPIDA, PARA TRATAMENTO DE JUNTAS DE CHAPA DE GESSO (NECESSITA ADICAO DE AGUA)</t>
  </si>
  <si>
    <t xml:space="preserve"> 00037586 </t>
  </si>
  <si>
    <t>PINO DE ACO COM ARRUELA CONICA, DIAMETRO ARRUELA = *23* MM E COMP HASTE = *27* MM (ACAO INDIRETA)</t>
  </si>
  <si>
    <t xml:space="preserve"> 00039432 </t>
  </si>
  <si>
    <t>FITA DE PAPEL REFORCADA COM LAMINA DE METAL PARA REFORCO DE CANTOS DE CHAPA DE GESSO PARA DRYWALL</t>
  </si>
  <si>
    <t xml:space="preserve"> 00039431 </t>
  </si>
  <si>
    <t>FITA DE PAPEL MICROPERFURADO, 50 X 150 MM, PARA TRATAMENTO DE JUNTAS DE CHAPA DE GESSO PARA DRYWALL</t>
  </si>
  <si>
    <t>REVESTIMENTO DE PAREDES OU TETOS COM TECIDO ISOLANTE ACUSTIC O,EM MANTA DE LA DE VIDRO REVESTIDA COM FOLHA DE ALUMINIO 3%-DESGASTE DE FERRAMENTAS E EPI</t>
  </si>
  <si>
    <t xml:space="preserve"> 14287 </t>
  </si>
  <si>
    <t>MANTA DE LA DE VIDRO, REVESTIDA COM FOLH A DE ALUMINIO, ESPESSURA DE 38MM</t>
  </si>
  <si>
    <t xml:space="preserve"> 00225 </t>
  </si>
  <si>
    <t>ADESIVO DE CONTATO A BASE DE SOLVENTES, RESINAS E BORRACHAS SINTETICAS E ADITIVO S, EMBALAGEM DE 3,2L/2,8KG</t>
  </si>
  <si>
    <t>GL</t>
  </si>
  <si>
    <t xml:space="preserve"> 20045 </t>
  </si>
  <si>
    <t>MAO-DE-OBRA DE CARPINTEIRO DE ESQUADRIAS  DE MADEIRA, INCLUSIVE ENCARGOS SOCIAIS DESONERADOS</t>
  </si>
  <si>
    <t xml:space="preserve"> 00011029 </t>
  </si>
  <si>
    <t>HASTE RETA PARA GANCHO DE FERRO GALVANIZADO, COM ROSCA 1/4" X 30 CM PARA FIXACAO DE TELHA METALICA, INCLUI PORCA E ARRUELAS DE VEDACAO</t>
  </si>
  <si>
    <t xml:space="preserve"> 00040740 </t>
  </si>
  <si>
    <t>TELHA GALVALUME COM ISOLAMENTO TERMOACUSTICO EM ESPUMA RIGIDA DE POLIURETANO (PU) INJETADO, ESPESSURA DE 30 MM, DENSIDADE DE 35 KG/M3, REVESTIMENTO EM TELHA TRAPEZOIDAL NAS DUAS FACES COM ESPESSURA DE 0,50 MM CADA, ACABAMENTO NATURAL (NAO INCLUI ACESSORIOS DE FIXACAO)</t>
  </si>
  <si>
    <t xml:space="preserve"> 00043083 </t>
  </si>
  <si>
    <t>PERFIL "U" ENRIJECIDO, EM CHAPA DOBRADA DE ACO LAMINADO, E = 3,75 MM, H = 200 MM, L = 75 MM (9,94 KG/M)</t>
  </si>
  <si>
    <t xml:space="preserve"> 00040549 </t>
  </si>
  <si>
    <t>PARAFUSO, COMUM, ASTM A307, SEXTAVADO, DIAMETRO 1/2" (12,7 MM), COMPRIMENTO 1" (25,4 MM)</t>
  </si>
  <si>
    <t>Pintura em Superfícies Metálicas</t>
  </si>
  <si>
    <t xml:space="preserve"> 00005318 </t>
  </si>
  <si>
    <t>DILUENTE AGUARRAS</t>
  </si>
  <si>
    <t xml:space="preserve"> 00007307 </t>
  </si>
  <si>
    <t>FUNDO ANTICORROSIVO PARA METAIS FERROSOS (ZARCAO)</t>
  </si>
  <si>
    <t xml:space="preserve"> 00007311 </t>
  </si>
  <si>
    <t>TINTA ESMALTE SINTETICO PREMIUM ACETINADO</t>
  </si>
  <si>
    <t>Peitoris e Chapins</t>
  </si>
  <si>
    <t xml:space="preserve"> 87283 </t>
  </si>
  <si>
    <t>ARGAMASSA TRAÇO 1:6 (EM VOLUME DE CIMENTO E AREIA MÉDIA ÚMIDA) COM ADIÇÃO DE PLASTIFICANTE PARA EMBOÇO/MASSA ÚNICA/ASSENTAMENTO DE ALVENARIA DE VEDAÇÃO, PREPARO MECÂNICO COM BETONEIRA 400 L. AF_08/2019</t>
  </si>
  <si>
    <t xml:space="preserve"> 88274 </t>
  </si>
  <si>
    <t>MARMORISTA/GRANITEIRO COM ENCARGOS COMPLEMENTARES</t>
  </si>
  <si>
    <t xml:space="preserve"> 00004825 </t>
  </si>
  <si>
    <t>PEITORIL/ SOLEIRA EM MARMORE, POLIDO, BRANCO COMUM, L= *25* CM, E= *3* CM, CORTE RETO</t>
  </si>
  <si>
    <t>Impermeabilização, Proteção Mecânica e Tratamento de Junta</t>
  </si>
  <si>
    <t xml:space="preserve"> 88270 </t>
  </si>
  <si>
    <t>IMPERMEABILIZADOR COM ENCARGOS COMPLEMENTARES</t>
  </si>
  <si>
    <t xml:space="preserve"> 88243 </t>
  </si>
  <si>
    <t>AJUDANTE ESPECIALIZADO COM ENCARGOS COMPLEMENTARES</t>
  </si>
  <si>
    <t xml:space="preserve"> 00004014 </t>
  </si>
  <si>
    <t>MANTA ASFALTICA ELASTOMERICA EM POLIESTER 3 MM, TIPO III, CLASSE B, ACABAMENTO PP (NBR 9952)</t>
  </si>
  <si>
    <t xml:space="preserve"> 00004015 </t>
  </si>
  <si>
    <t>MANTA ASFALTICA ELASTOMERICA EM POLIESTER 4 MM, TIPO III, CLASSE B, ACABAMENTO PP (NBR 9952)</t>
  </si>
  <si>
    <t xml:space="preserve"> 00004226 </t>
  </si>
  <si>
    <t>GAS DE COZINHA - GLP</t>
  </si>
  <si>
    <t xml:space="preserve"> 00000511 </t>
  </si>
  <si>
    <t>PRIMER PARA MANTA ASFALTICA A BASE DE ASFALTO MODIFICADO DILUIDO EM SOLVENTE, APLICACAO A FRIO</t>
  </si>
  <si>
    <t xml:space="preserve"> 00043148 </t>
  </si>
  <si>
    <t>MEMBRANA IMPERMEABILIZANTE A BASE DE POLIURETANO</t>
  </si>
  <si>
    <t xml:space="preserve"> 00044072 </t>
  </si>
  <si>
    <t>PRIMER EPOXI / EPOXIDICO</t>
  </si>
  <si>
    <t xml:space="preserve"> 00000626 </t>
  </si>
  <si>
    <t>MANTA LIQUIDA DE BASE ASFALTICA MODIFICADA COM A ADICAO DE ELASTOMEROS DILUIDOS EM SOLVENTE ORGANICO, APLICACAO A FRIO (MEMBRANA DE EMULSAO ASFALTICA PARA IMPERMEABILIZACAO FLEXIVEL)</t>
  </si>
  <si>
    <t xml:space="preserve"> 00000135 </t>
  </si>
  <si>
    <t>ARGAMASSA POLIMERICA IMPERMEABILIZANTE SEMIFLEXIVEL, BICOMPONENTE, A BASE DE CIMENTO E ADITIVOS</t>
  </si>
  <si>
    <t>ESQV - ESQUADRIAS/FERRAGENS/VIDROS</t>
  </si>
  <si>
    <t xml:space="preserve"> 90788 </t>
  </si>
  <si>
    <t>KIT DE PORTA-PRONTA DE MADEIRA EM ACABAMENTO MELAMÍNICO BRANCO, FOLHA LEVE OU MÉDIA, 60X210CM, EXCLUSIVE FECHADURA, FIXAÇÃO COM PREENCHIMENTO PARCIAL DE ESPUMA EXPANSIVA - FORNECIMENTO E INSTALAÇÃO. AF_12/2019</t>
  </si>
  <si>
    <t xml:space="preserve"> 100705 </t>
  </si>
  <si>
    <t>TARJETA TIPO LIVRE/OCUPADO PARA PORTA DE BANHEIRO. AF_12/2019</t>
  </si>
  <si>
    <t xml:space="preserve"> 90790 </t>
  </si>
  <si>
    <t>KIT DE PORTA-PRONTA DE MADEIRA EM ACABAMENTO MELAMÍNICO BRANCO, FOLHA LEVE OU MÉDIA, 80X210CM, EXCLUSIVE FECHADURA, FIXAÇÃO COM PREENCHIMENTO PARCIAL DE ESPUMA EXPANSIVA - FORNECIMENTO E INSTALAÇÃO. AF_12/2019</t>
  </si>
  <si>
    <t xml:space="preserve"> 100676 </t>
  </si>
  <si>
    <t>BATENTE PARA PORTA COM BANDEIRA, FIXAÇÃO COM PARAFUSO E BUCHA. AF_12/2019</t>
  </si>
  <si>
    <t xml:space="preserve"> UFF00068 (ADAPT_SINAPI:100677) </t>
  </si>
  <si>
    <t>BANDEIRA EM CHAPA DE AÇO PARA PORTA EM MADEIRA</t>
  </si>
  <si>
    <t>Louças e Metais</t>
  </si>
  <si>
    <t xml:space="preserve"> 14.007.0266-A </t>
  </si>
  <si>
    <t>FERRAGENS P/PORTAS DE ABRIR,DE FERRO OU ALUMINIO,CONSTANDO D E FORNECIMENTO DAS PECAS,EXCL.DOBRADICAS:-FECHADURA DE EMBUT IR P/MONTANTES ESTREITOS,EM METAL C/ACABAMENTO CROMADO;-ESPE LHO,ACABAMENTO CROMADO OU ROSETA EM METAL C/ACABAMENTO CROMA DO;-MACANETA TIPO ALAVANCA,EM METAL COM ACABAMENTO CROMADO</t>
  </si>
  <si>
    <t xml:space="preserve"> 14.003.0226-A </t>
  </si>
  <si>
    <t>PORTA DE ALUMINIO ANODIZADO EM BRONZE OU PRETO,PERFIL SERIE 25,EM VENEZIANA,EXCLUSIVE FECHADURA.FORNECIMENTO E COLOCACAO 59,85%-ANODIZACAO(15%),ACESSORIOS(39%) 18,45%-ANODIZACAO(15%),DESGASTE DE FERRAMENTAS E EPI(3%)</t>
  </si>
  <si>
    <t>MUDEI A FÓRMULA DO %</t>
  </si>
  <si>
    <t xml:space="preserve"> 14.007.0051-0 </t>
  </si>
  <si>
    <t>FERRAGENS P/PORTAS MADEIRA,INTERNAS,2 FOLHAS ABRIR,CONSTANDO FORN.S/COLOC.(INCLUIDA FORN.COLOC.ESQUADRIAS),DE:-FECHADURA TIPO GORGE,TRINCO REVERSIVEL,METAL ACABAMENTO CROMADO;-ROSE TA METAL ACABAMENTO CROMADO;-MACANETA TIPO ALAVANCA METAL AC ABAMENTO CROMADO;-6 DOBRADICAS FERRO GALV.3"X2.1/2",PINO FER RO BOLAS LATAO;-2 FECHOS EMBUTIR,30 A 40CM ALT.METAL CROMADO</t>
  </si>
  <si>
    <t xml:space="preserve"> UFF00470 (ADAPT_SEDOP: 091513) </t>
  </si>
  <si>
    <t>Painel fixo em vidro temperado de 10mm</t>
  </si>
  <si>
    <t xml:space="preserve"> UFF00069 (ADAPT_SINAPI:102182) </t>
  </si>
  <si>
    <t>PORTA PIVOTANTE DE VIDRO TEMPERADO, 120X240 CM, ESPESSURA 10 MM, INCLUSIVE ACESSÓRIOS.</t>
  </si>
  <si>
    <t xml:space="preserve"> 14.003.0206-A </t>
  </si>
  <si>
    <t>PORTA DE ALUMINIO ANODIZADO EM BRONZE OU PRETO, EM 2 FOLHAS DE ABRIR, TENDO 1 CONTRAPINAZIO  DIVIDINDO A ESQUADRIA EM 2 VAZIOS PARA VIDRO,PERFIS SERIE 25,EXCLUSIVE FECHADURA. FORNE CIMENTO E COLOCACAO 59,85%-ANODIZACAO TONAL.BRONZE OU PRETO(15%),ACESSORIOS(39%) 18,45%-ANODIZACAO EM TONALIDADE BRONZE OU PRETO (15%) E DESG ASTE DE FERRAMENTAS E EPI (3%)</t>
  </si>
  <si>
    <t xml:space="preserve"> 14.004.0121-A </t>
  </si>
  <si>
    <t>VIDRO TEMPERADO,INCOLOR,COM 6MM DE ESPESSURA,ENCAIXILHADO EM MADEIRA,ALUMINIO OU FERRO.FORNECIMENTO E COLOCACAO</t>
  </si>
  <si>
    <t xml:space="preserve"> 90830 </t>
  </si>
  <si>
    <t>FECHADURA DE EMBUTIR COM CILINDRO, EXTERNA, COMPLETA, ACABAMENTO PADRÃO MÉDIO, INCLUSO EXECUÇÃO DE FURO - FORNECIMENTO E INSTALAÇÃO. AF_12/2019</t>
  </si>
  <si>
    <t xml:space="preserve"> 00021106 </t>
  </si>
  <si>
    <t>LAMBRI EM ALUMINIO, DE APROXIMADAMENTE 0,6 KG/M, COM APROXIMADAMENTE 168,0 MM DE LARGURA, 6,0 MM DE ALTURA E 6,0 M DE EXTENSAO</t>
  </si>
  <si>
    <t xml:space="preserve"> 14.004.0121-0 </t>
  </si>
  <si>
    <t xml:space="preserve"> 74068/004 </t>
  </si>
  <si>
    <t>FECHADURA DE EMBUTIR COMPLETA, PARA PORTAS EXTERNAS 2 FOLHAS, PADRAO DE ACABAMENTO POPULAR E FECHO DE EMBUTIR TIPO UNHA COM ALAVANCA DE LATAO CROMADO 22CM</t>
  </si>
  <si>
    <t xml:space="preserve"> 00010933 </t>
  </si>
  <si>
    <t>TELA DE ARAME GALVANIZADA QUADRANGULAR / LOSANGULAR, FIO 2,77 MM (12 BWG), MALHA 10 X 10 CM, H = 2 M</t>
  </si>
  <si>
    <t xml:space="preserve"> 14.003.0201-A </t>
  </si>
  <si>
    <t>PORTA DE ALUMINIO ANODIZADO EM BRONZE OU PRETO,TENDO 1 CONTR APINAZIO DIVIDINDO A ESQUADRIA EM 2 VAZIOS PARA VIDRO,EM PER FIS SERIE 25,EXCLUSIVE FECHADURAS.FORNECIMENTO E COLOCACAO 55,25%-ANODIZACAO TONAL.BRONZE OU PRETO(15%),ACESSORIOS(35%) 18,45%-ANODIZACAO EM TONALIDADE BRONZE OU PRETO (15%) E DESG ASTE DE FERRAMENTAS E EPI</t>
  </si>
  <si>
    <t xml:space="preserve"> 88251 </t>
  </si>
  <si>
    <t>AUXILIAR DE SERRALHEIRO COM ENCARGOS COMPLEMENTARES</t>
  </si>
  <si>
    <t xml:space="preserve"> 88315 </t>
  </si>
  <si>
    <t>SERRALHEIRO COM ENCARGOS COMPLEMENTARES</t>
  </si>
  <si>
    <t xml:space="preserve"> UFF_COTAÇÃO 01 </t>
  </si>
  <si>
    <t>PORTÃO DE CONTRAPESO, COM PORTA AUXILIAR, EM ALUMÍNIO</t>
  </si>
  <si>
    <t xml:space="preserve"> 14.003.0231-A </t>
  </si>
  <si>
    <t>PORTA ALUMINIO ANODIZADO EM BRONZE OU PRETO,PERFIL SERIE 25, EM LAMBRI HORIZONTAL, EXCLUSIVE FECHADURA. FORNECIMENTO  E COLOCACAO 59,85%-ANODIZACAO(15%),ACESSORIOS(39%) 18,45%-ANODIZACAO(15%),DESGASTE DE FERRAMENTAS E EPI(3%)</t>
  </si>
  <si>
    <t xml:space="preserve"> 00011154 </t>
  </si>
  <si>
    <t>PORTA CORTA-FOGO SIMPLES PARA SAIDA DE EMERGENCIA, 1 FOLHA DE ABRIR, 5 CM, ACABAMENTO NATURAL / SEM PINTURA, COM FECHADURA TIPO TRINCO, DOBRADICAS E BATENTE, VAO LUZ DE 90 X 210 CM, CLASSE P-90 (NBR 11742)</t>
  </si>
  <si>
    <t xml:space="preserve"> 00039615 </t>
  </si>
  <si>
    <t>BARRA ANTIPANICO SIMPLES, CEGA EM LADO OPOSTO, COR CINZA</t>
  </si>
  <si>
    <t xml:space="preserve"> 00039621 </t>
  </si>
  <si>
    <t>BARRA ANTIPANICO DUPLA, CEGA EM LADO OPOSTO, COR CINZA</t>
  </si>
  <si>
    <t>PAR</t>
  </si>
  <si>
    <t xml:space="preserve"> 88627 </t>
  </si>
  <si>
    <t>ARGAMASSA TRAÇO 1:0,5:4,5 (EM VOLUME DE CIMENTO, CAL E AREIA MÉDIA ÚMIDA) PARA ASSENTAMENTO DE ALVENARIA, PREPARO MANUAL. AF_08/2019</t>
  </si>
  <si>
    <t xml:space="preserve"> 00004944 </t>
  </si>
  <si>
    <t>PORTA GRADE DE ENROLAR MANUAL COMPLETA, PERFIL TUBULAR TIJOLINHO 3/4", EM ACO GALVANIZADO NATURAL (SEM INSTALACAO)</t>
  </si>
  <si>
    <t xml:space="preserve"> 00003093 </t>
  </si>
  <si>
    <t>FECHADURA ROSETA REDONDA PARA PORTA INTERNA, EM ACO INOX (MAQUINA, TESTA E CONTRA-TESTA) E EM ZAMAC (MACANETA, LINGUETA E TRINCOS) COM ACABAMENTO CROMADO, MAQUINA DE 55 MM, INCLUINDO CHAVE TIPO INTERNA</t>
  </si>
  <si>
    <t>ESQUADRIAS DE ALUMINIO</t>
  </si>
  <si>
    <t xml:space="preserve"> 008475 </t>
  </si>
  <si>
    <t>BAGUETE DE NEOPRENE (ESPUMA) PARA ESQUADRIA E CAIXILHOS</t>
  </si>
  <si>
    <t xml:space="preserve"> 001717 </t>
  </si>
  <si>
    <t>JANELA MAXIM AR EM ALUMINIO NATURAL COM VIDRO</t>
  </si>
  <si>
    <t xml:space="preserve"> 000100 </t>
  </si>
  <si>
    <t>AREIA GROSSA LAVADA</t>
  </si>
  <si>
    <t xml:space="preserve"> 099230 </t>
  </si>
  <si>
    <t>SERRALHEIRO</t>
  </si>
  <si>
    <t xml:space="preserve"> 099662 </t>
  </si>
  <si>
    <t>AJUDANTE DE SERRALHEIRO</t>
  </si>
  <si>
    <t xml:space="preserve"> 000050 </t>
  </si>
  <si>
    <t>CIMENTO PORTLAND CP III 32RS NBR 11578 (quilo)</t>
  </si>
  <si>
    <t xml:space="preserve"> 003462 </t>
  </si>
  <si>
    <t>CAIXILHO DE ALUMINIO ANODIZADO C28 NATURAL</t>
  </si>
  <si>
    <t xml:space="preserve"> 036595 </t>
  </si>
  <si>
    <t>TUBO ACO INOX AISI 304 REDONDO 1" (25,40mm) ESPESSURA DA PAREDE 1,2 mm</t>
  </si>
  <si>
    <t xml:space="preserve"> 036594 </t>
  </si>
  <si>
    <t>TUBO ACO INOX AISI 304 REDONDO 1 1/2" (38,10mm) ESPESSURA DA PAREDE 1,2 mm</t>
  </si>
  <si>
    <t>CORRIMAO DUPLO EM TUBO DE ACO GALVANIZADO COM DIAMETRO DE 1. 1/4",BARRA SUPERIOR COM ALTURA DE 92CM E BARRA INFERIOR COM ALTURA DE 70CM,FIXADO EM MONTANTES DE ACO GALVANIZADO COM DI AMETRO DE 1.1/4",CONFORME ABNT NBR 9050 PARA ACESSIBILIDADE. FORNECIMENTO E COLOCACAO 3%-DESGASTE DE FERRAMENTAS E EPI 20%-DEMAIS MATERIAIS NECESSARIOS</t>
  </si>
  <si>
    <t xml:space="preserve"> 02845 </t>
  </si>
  <si>
    <t>TUBO DE ACO GALVANIZADO, COM COSTURA, PE SADO, NBR 5580, DN=1.1/4"</t>
  </si>
  <si>
    <t xml:space="preserve"> 20131 </t>
  </si>
  <si>
    <t>MAO-DE-OBRA DE SERRALHEIRO DA CONSTRUCAO  CIVIL, INCLUSIVE ENCARGOS SOCIAIS DESON ERADOS</t>
  </si>
  <si>
    <t>CORRIMAO DUPLO EM TUBO DE ACO GALVANIZADO COM DIAMETRO DE 1. 1/4",BARRA SUPERIOR COM ALTURA DE 92CM E BARRA INFERIOR COM ALTURA DE 70CM,FIXADO NA PAREDE POR CHUMBADORES,CONFORME ABN T NBR 9050 PARA ACESSIBILIDADE.FORNECIMENTO E COLOCACAO 3%-DESGASTE DE FERRAMENTAS E EPI 20%-DEMAIS MATERIAIS NECESSARIOS</t>
  </si>
  <si>
    <t xml:space="preserve"> 20115 </t>
  </si>
  <si>
    <t>MAO-DE-OBRA DE PEDREIRO, INCLUSIVE ENCAR GOS SOCIAIS DESONERADOS</t>
  </si>
  <si>
    <t>PINTURAS</t>
  </si>
  <si>
    <t xml:space="preserve"> 002608 </t>
  </si>
  <si>
    <t>TINTA ESMALTE BRILHANTE A BASE DE SOLVENTE CORAL</t>
  </si>
  <si>
    <t xml:space="preserve"> 002950 </t>
  </si>
  <si>
    <t>FUNDO ANTICORROSIVO ZARCAO 200 ALARANJADO RENNER</t>
  </si>
  <si>
    <t xml:space="preserve"> 006401 </t>
  </si>
  <si>
    <t>SOLVENTE (AGUARAS MINERAL)</t>
  </si>
  <si>
    <t xml:space="preserve"> 002606 </t>
  </si>
  <si>
    <t>LIXA FERRO 120</t>
  </si>
  <si>
    <t>VIDRO PLANO TRANSPARENTE,COMUM,DE 4MM DE ESPESSURA.FORNECIME NTO E COLOCACAO 10%-MATERIAL PARA FIXACAO DO VIDRO 3%-DESGASTE DE FERRAMENTAS E EPI</t>
  </si>
  <si>
    <t xml:space="preserve"> 20152 </t>
  </si>
  <si>
    <t>MAO-DE-OBRA DE VIDRACEIRO, INCLUSIVE ENC ARGOS SOCIAIS DESONERADOS</t>
  </si>
  <si>
    <t xml:space="preserve"> 00602 </t>
  </si>
  <si>
    <t>VIDRO PLANO TRANSPARENTE, COMUM, COM ESP ESSURA DE 4MM</t>
  </si>
  <si>
    <t>CAIXILHO FIXO DE ALUMINIO ANODIZADO PARA VIDRO EM BRONZE OU PRETO,SERIE 28.FORNECIMENTO E COLOCACAO 38%-ANODIZACAO TONAL.BRONZE E PRETO(15%),ACESSORIOS(20%) 18,45%-ANODIZACAO EM TONALIDADE BRONZE OU PRETO (15%) E DESG ASTE DE FERRAMENTAS E EPI (3%)</t>
  </si>
  <si>
    <t xml:space="preserve"> 00022 </t>
  </si>
  <si>
    <t>ALUMINIO EM PERFIL TUBULAR EXTRUDADO, LI GA COMUM</t>
  </si>
  <si>
    <t>TUBO, PVC, SOLDÁVEL, DE 25MM, INSTALADO EM RAMAL DE DISTRIBUIÇÃO DE ÁGUA - FORNECIMENTO E INSTALAÇÃO. AF_06/2022</t>
  </si>
  <si>
    <t xml:space="preserve"> 00038383 </t>
  </si>
  <si>
    <t>LIXA D'AGUA EM FOLHA, COR PRETA, GRAO 100</t>
  </si>
  <si>
    <t xml:space="preserve"> 00009868 </t>
  </si>
  <si>
    <t>TUBO PVC, SOLDAVEL, DE 25 MM, AGUA FRIA (NBR-5648)</t>
  </si>
  <si>
    <t>TUBO, PVC, SOLDÁVEL, DE 50MM, INSTALADO EM RAMAL DE DISTRIBUIÇÃO DE ÁGUA - FORNECIMENTO E INSTALAÇÃO. AF_06/2022</t>
  </si>
  <si>
    <t xml:space="preserve"> 00009875 </t>
  </si>
  <si>
    <t>TUBO PVC, SOLDAVEL, DE 50 MM, AGUA FRIA (NBR-5648)</t>
  </si>
  <si>
    <t xml:space="preserve"> 00020083 </t>
  </si>
  <si>
    <t>SOLUCAO PREPARADORA / LIMPADORA PARA PVC, FRASCO COM 1000 CM3</t>
  </si>
  <si>
    <t xml:space="preserve"> 00000122 </t>
  </si>
  <si>
    <t>ADESIVO PLASTICO PARA PVC, FRASCO COM *850* GR</t>
  </si>
  <si>
    <t xml:space="preserve"> 00003529 </t>
  </si>
  <si>
    <t>JOELHO PVC, SOLDAVEL, 90 GRAUS, 25 MM, COR MARROM, PARA AGUA FRIA PREDIAL</t>
  </si>
  <si>
    <t xml:space="preserve"> 00003540 </t>
  </si>
  <si>
    <t>JOELHO PVC, SOLDAVEL, 90 GRAUS, 50 MM, COR MARROM, PARA AGUA FRIA PREDIAL</t>
  </si>
  <si>
    <t xml:space="preserve"> 00007142 </t>
  </si>
  <si>
    <t>TE SOLDAVEL, PVC, 90 GRAUS,50 MM, PARA AGUA FRIA PREDIAL (NBR 5648)</t>
  </si>
  <si>
    <t>TUBO DE PVC RIGIDO,ROSQUEAVEL,PARA AGUA FRIA,COM DIAMETRO DE 1.1/2",INCLUSIVE CONEXOES E EMENDAS,EXCLUSIVE ABERTURA E FE CHAMENTO DE RASGO.FORNECIMENTO E ASSENTAMENTO 3%-DESGASTE DE FERRAMENTAS E EPI 10%-CONEXOES E EMENDAS</t>
  </si>
  <si>
    <t xml:space="preserve"> 02357 </t>
  </si>
  <si>
    <t>TUBO DE PVC RIGIDO ROQUEAVEL, EM BARRAS DE 6,00M, ROSCA EM AMBAS AS EXTREMIDADES , DE 1.1/2"</t>
  </si>
  <si>
    <t xml:space="preserve"> 20039 </t>
  </si>
  <si>
    <t>MAO-DE-OBRA DE BOMBEIRO HIDRAULICO DA CO NSTRUCAO CIVIL, INCLUSIVE ENCARGOS SOCIA IS DESONERADOS</t>
  </si>
  <si>
    <t>TUBO DE PVC RIGIDO,ROSQUEAVEL,PARA AGUA FRIA,COM DIAMETRO DE 2",INCLUSIVE CONEXOES E EMENDAS,EXCLUSIVE ABERTURA E FECHAM ENTO DE RASGO.FORNECIMENTO E ASSENTAMENTO 3%-DESGASTE DE FERRAMENTAS E EPI 10%-CONEXOES E EMENDAS</t>
  </si>
  <si>
    <t xml:space="preserve"> 02611 </t>
  </si>
  <si>
    <t>TUBO DE PVC RIGIDO ROSQUEAVEL, EM BARRAS  DE 6,00M, ROSCA EM AMBAS AS EXTREMIDADE S, DE 2"</t>
  </si>
  <si>
    <t xml:space="preserve"> 88317 </t>
  </si>
  <si>
    <t>SOLDADOR COM ENCARGOS COMPLEMENTARES</t>
  </si>
  <si>
    <t xml:space="preserve"> 00021151 </t>
  </si>
  <si>
    <t>TUBO ACO CARBONO SEM COSTURA 4", E= *6,02 MM, SCHEDULE 40, *16,06 KG/M</t>
  </si>
  <si>
    <t xml:space="preserve"> 00011002 </t>
  </si>
  <si>
    <t>ELETRODO REVESTIDO AWS - E6013, DIAMETRO IGUAL A 2,50 MM</t>
  </si>
  <si>
    <t xml:space="preserve"> UFF_COTAÇÃO 02 </t>
  </si>
  <si>
    <t>CURVA 90 GRAUS EM ACO CARBONO, RAIO LONGO, SOLDAVEL, DN 4"</t>
  </si>
  <si>
    <t>Instalações de Gás e Incêndio em Aço e Ferro Galvanizado</t>
  </si>
  <si>
    <t xml:space="preserve"> 00003148 </t>
  </si>
  <si>
    <t>FITA VEDA ROSCA, EM PTFE, ROLO DE 18 MM X 50 M (L X C)</t>
  </si>
  <si>
    <t xml:space="preserve"> 00003455 </t>
  </si>
  <si>
    <t>COTOVELO 90 GRAUS DE FERRO GALVANIZADO, COM ROSCA BSP, DE 1/2"</t>
  </si>
  <si>
    <t xml:space="preserve"> 00003458 </t>
  </si>
  <si>
    <t>COTOVELO 90 GRAUS DE FERRO GALVANIZADO, COM ROSCA BSP, DE 1 1/2"</t>
  </si>
  <si>
    <t xml:space="preserve"> 00003471 </t>
  </si>
  <si>
    <t>COTOVELO 90 GRAUS DE FERRO GALVANIZADO, COM ROSCA BSP, DE 2"</t>
  </si>
  <si>
    <t xml:space="preserve"> 00006297 </t>
  </si>
  <si>
    <t>TE DE FERRO GALVANIZADO, DE 1 1/2"</t>
  </si>
  <si>
    <t xml:space="preserve"> 00006298 </t>
  </si>
  <si>
    <t>TE DE FERRO GALVANIZADO, DE 2"</t>
  </si>
  <si>
    <t xml:space="preserve"> 002113 </t>
  </si>
  <si>
    <t>TE REDUCAO FERRO GALVANIZADO 3/4" x 1/2"</t>
  </si>
  <si>
    <t>INSTALACOES HIDRAULICAS - INCENDIO</t>
  </si>
  <si>
    <t xml:space="preserve"> 002161 </t>
  </si>
  <si>
    <t>BUCHA REDUCAO GALVANIZADO 1.1/2"x3/4"</t>
  </si>
  <si>
    <t xml:space="preserve"> 099034 </t>
  </si>
  <si>
    <t>AJUDANTE DE BOMBEIRO OU ENCANADOR</t>
  </si>
  <si>
    <t xml:space="preserve"> 004636 </t>
  </si>
  <si>
    <t>FITA TEFLON VEDA ROSCA 18mm x 25m</t>
  </si>
  <si>
    <t xml:space="preserve"> 042619 </t>
  </si>
  <si>
    <t>UNIAO ASSENTO CONICO GALVANIZADO BRONZE 1.1/2"</t>
  </si>
  <si>
    <t xml:space="preserve"> 042620 </t>
  </si>
  <si>
    <t>UNIAO ASSENTO CONICO GALVANIZADO BRONZE 2"</t>
  </si>
  <si>
    <t>EQ</t>
  </si>
  <si>
    <t xml:space="preserve"> IEQ001400 </t>
  </si>
  <si>
    <t>Bomba hidraulica centrifuga, trifasica, motor eletrico 220/380V, com potencia de 5CV, com succao de 2" e elevacao de 1 1/2", serie CAM, modelo 618TJM, Dancor ou similar</t>
  </si>
  <si>
    <t>Bombas Hidráulicas - Centrífugas, Horizontais e Submersíveis</t>
  </si>
  <si>
    <t xml:space="preserve"> 00011267 </t>
  </si>
  <si>
    <t>ARRUELA LISA, REDONDA, DE LATAO POLIDO, DIAMETRO NOMINAL 5/8", DIAMETRO EXTERNO = 34 MM, DIAMETRO DO FURO = 17 MM, ESPESSURA = *2,5* MM</t>
  </si>
  <si>
    <t xml:space="preserve"> 00039997 </t>
  </si>
  <si>
    <t>PORCA ZINCADA, SEXTAVADA, DIAMETRO 1/4"</t>
  </si>
  <si>
    <t xml:space="preserve"> 00039996 </t>
  </si>
  <si>
    <t>VERGALHAO ZINCADO ROSCA TOTAL, 1/4" (6,3 MM)</t>
  </si>
  <si>
    <t xml:space="preserve"> 00000736 </t>
  </si>
  <si>
    <t>BOMBA CENTRIFUGA MOTOR ELETRICO TRIFASICO 2,96HP, DIAMETRO DE SUCCAO X ELEVACAO 1 1/2" X 1 1/4", DIAMETRO DO ROTOR 148 MM, HM/Q: 34 M / 14,80 M3/H A 40 M / 8,60 M3/H</t>
  </si>
  <si>
    <t>Equipamento para Aquisição Permanente</t>
  </si>
  <si>
    <t xml:space="preserve"> UFF_COTAÇÃO 05 </t>
  </si>
  <si>
    <t>KIT DE INTERLIGAÇÃO DA WISY OU SIMILAR, COM CAPACIDADE DE 30 L/MIN DE VAZÃO, COMPOSTO DE TORNEIRA, MANGUEIRA, ACIONADOR DE DESCARGA (VÁLVULA SOLENÓIDE ALIMENTADA ELETRICAMENTE), CONECTOR, BÓIA DE NÍVEL E BOCAL SEPARADOR</t>
  </si>
  <si>
    <t xml:space="preserve"> UFF_COTAÇÃO 03 </t>
  </si>
  <si>
    <t>FILTRO DO TIPO VORTEX DA WISY WFF 300 OU SIMILAR, EM INOX E CARCAÇA DE POLIPROPILENO, DOTADOS DE PROLONGADORES E INSERÇÃO CEGA PARA INTERRUPÇÃO DE FILTRAGEM, COM CAPACIDADE DE FILTRAGEM DE 3.000 M² DE TELHADO</t>
  </si>
  <si>
    <t xml:space="preserve"> UFF_COTAÇÃO 04 </t>
  </si>
  <si>
    <t>FILTRO FLUTUANTE DE Ø 1" , DA WISY OU SIMILAR, DO TIPO FILTRAGEM GROSSA, PARTÍCULAS MAIORES DE 1,2 MM, EM AÇO INOX, MONTADO COM VÁLVULA DE RETENÇÃO, FLUTUADOR ESFÉRICO DE POLIETILENO (Ø 150 MM) E MANGUEIRA FLEXÍVEL</t>
  </si>
  <si>
    <t>INSTALACAO E ASSENTAMENTO DE FILTRO INDUSTRIAL(EXCLUSIVE FOR NECIMENTO DO APARELHO),COMPREENDENDO:3,00M DE TUBO DE PVC SO LDAVEL DE 32MM E CONEXOES 3%-DESGASTE DE FERRAMENTAS E EPI</t>
  </si>
  <si>
    <t xml:space="preserve"> 05692 </t>
  </si>
  <si>
    <t>TUBO DE PVC RIGIDO SOLDAVEL, PONTA/BOLSA , EM BARRAS DE 6,00M, DE 032MM</t>
  </si>
  <si>
    <t xml:space="preserve"> 05767 </t>
  </si>
  <si>
    <t>TE 90º DE PVC RIGIDO SOLDAVEL, DE 032MM</t>
  </si>
  <si>
    <t xml:space="preserve"> 05103 </t>
  </si>
  <si>
    <t>SOLVENTE (SOLUCAO LIMPADORA) P/CONEXOES DE PVC, EM FRASCOS PLASTICOS DE 1000CM3</t>
  </si>
  <si>
    <t xml:space="preserve"> 02385 </t>
  </si>
  <si>
    <t>LIXA D'AGUA Nº 100</t>
  </si>
  <si>
    <t xml:space="preserve"> 02339 </t>
  </si>
  <si>
    <t>ADESIVO PLASTICO PARA PVC RIGIDO, EM BIS NAGA DE 75G</t>
  </si>
  <si>
    <t xml:space="preserve"> 07152 </t>
  </si>
  <si>
    <t>BUCHA DE REDUCAO DE PVC RIGIDO, SOLDAVEL  CURTA, DE (40X32)MM</t>
  </si>
  <si>
    <t xml:space="preserve"> 05791 </t>
  </si>
  <si>
    <t>JOELHO 90º DE PVC, PARA ESGOTO, DE 040MM</t>
  </si>
  <si>
    <t xml:space="preserve"> 07133 </t>
  </si>
  <si>
    <t>JOELHO 90º DE PVC SOLDAVEL, DE 032MM</t>
  </si>
  <si>
    <t>IT</t>
  </si>
  <si>
    <t xml:space="preserve"> MOD900650 </t>
  </si>
  <si>
    <t>Bombeiro - instalacao hidro-sanitaria predial (desonerado)</t>
  </si>
  <si>
    <t>h</t>
  </si>
  <si>
    <t xml:space="preserve"> MAT119600 </t>
  </si>
  <si>
    <t>Registro de gaveta bruto, em bronze, diametro nominal de 3/4"</t>
  </si>
  <si>
    <t xml:space="preserve"> MAT054750 </t>
  </si>
  <si>
    <t>Estopa</t>
  </si>
  <si>
    <t>Kg</t>
  </si>
  <si>
    <t xml:space="preserve"> EVE000050 </t>
  </si>
  <si>
    <t>3% incidente sobre mao de obra direta com Encargos Sociais para cobrir despesas relativa a equipamentos de protecao individual, uniformes e ferramentas</t>
  </si>
  <si>
    <t>Outros</t>
  </si>
  <si>
    <t>%</t>
  </si>
  <si>
    <t xml:space="preserve"> MOD902450 </t>
  </si>
  <si>
    <t>Servente (desonerado)</t>
  </si>
  <si>
    <t xml:space="preserve"> MAT119750 </t>
  </si>
  <si>
    <t>Registro de gaveta bruto, em bronze, diametro nominal de 1 1/2"</t>
  </si>
  <si>
    <t xml:space="preserve"> MAT119800 </t>
  </si>
  <si>
    <t>Registro de gaveta bruto, em bronze, diametro nominal de 2"</t>
  </si>
  <si>
    <t xml:space="preserve"> 00010416 </t>
  </si>
  <si>
    <t>VALVULA DE RETENCAO VERTICAL, DE BRONZE (PN-16), 1 1/2", 200 PSI, EXTREMIDADES COM ROSCA</t>
  </si>
  <si>
    <t xml:space="preserve"> 00011748 </t>
  </si>
  <si>
    <t>VALVULA DE ESFERA BRUTA EM BRONZE, BITOLA 1/2"</t>
  </si>
  <si>
    <t>DR</t>
  </si>
  <si>
    <t xml:space="preserve"> 88246 </t>
  </si>
  <si>
    <t>ASSENTADOR DE TUBOS COM ENCARGOS COMPLEMENTARES</t>
  </si>
  <si>
    <t xml:space="preserve"> UFF_COTAÇÃO 06 </t>
  </si>
  <si>
    <t>VOLANTE DE LATÃO PARA REGISTRO GAVETA BRUTO 1 1/2".</t>
  </si>
  <si>
    <t xml:space="preserve"> UFF_COTAÇÃO 07 </t>
  </si>
  <si>
    <t>VOLANTE DE LATÃO PARA REGISTRO GAVETA BRUTO 2".</t>
  </si>
  <si>
    <t xml:space="preserve"> UFF_COTAÇÃO 08 </t>
  </si>
  <si>
    <t>VOLANTE DE LATÃO PARA REGISTRO GAVETA BRUTO 2. 1/2".</t>
  </si>
  <si>
    <t xml:space="preserve"> 00012899 </t>
  </si>
  <si>
    <t>MANOMETRO COM CAIXA EM ACO PINTADO, ESCALA *10* KGF/CM2 (*10* BAR), DIAMETRO NOMINAL DE *63* MM, CONEXAO DE 1/4"</t>
  </si>
  <si>
    <t xml:space="preserve"> 00003146 </t>
  </si>
  <si>
    <t>FITA VEDA ROSCA, EM PTFE, ROLO DE 18 MM X 10 M (L X C)</t>
  </si>
  <si>
    <t xml:space="preserve"> 07018 </t>
  </si>
  <si>
    <t>TORNEIRA PARA JARDIM, EM METAL CROMADO, DE APROXIMADAMENTE 3/4"X10CM</t>
  </si>
  <si>
    <t>INSTALACAO E COLOCACAO DE TORNEIRA PARA JARDIM OU DE LAVAGEM (EXCLUSIVE FORNECIMENTO DA TORNEIRA),COMPREENDENDO: 2,00M DE TUBO DE PVC DE 20MM E CONEXOES 3%-DESGASTE DE FERRAMENTAS E EPI</t>
  </si>
  <si>
    <t xml:space="preserve"> 05035 </t>
  </si>
  <si>
    <t>TE 90º DE PVC RIGIDO SOLDAVEL, DE REDUCA O, DE (025X020)MM</t>
  </si>
  <si>
    <t xml:space="preserve"> 07804 </t>
  </si>
  <si>
    <t>UNIAO PVC SOLDAVEL MARRON, DE 25MM</t>
  </si>
  <si>
    <t xml:space="preserve"> 05030 </t>
  </si>
  <si>
    <t>TUBO DE PVC RIGIDO SOLDAVEL, PONTA/BOLSA C/VIROLA, EM BARRAS DE 6,00M, DE 020MM</t>
  </si>
  <si>
    <t xml:space="preserve"> 05733 </t>
  </si>
  <si>
    <t>JOELHO 90º DE PVC SOLDAVEL, DE 020MM</t>
  </si>
  <si>
    <t xml:space="preserve"> 05050 </t>
  </si>
  <si>
    <t>JOELHO 90º DE PVC SOLDAVEL, REDUCAO COM ROSCA, DE 20MMX1/2"</t>
  </si>
  <si>
    <t xml:space="preserve"> 00011767 </t>
  </si>
  <si>
    <t>TORNEIRA DE BOIA CONVENCIONAL PARA CAIXA D'AGUA, 2", AGUA FRIA, COM HASTE E TORNEIRA METALICOS E BALAO PLASTICO</t>
  </si>
  <si>
    <t>INSTALACOES HIDRAULICAS - AGUA</t>
  </si>
  <si>
    <t xml:space="preserve"> 036795 </t>
  </si>
  <si>
    <t>FITA ISOLANTE P44 19mm x 20m</t>
  </si>
  <si>
    <t xml:space="preserve"> 008881 </t>
  </si>
  <si>
    <t>AUTOMATICO DE BOIA EM CAIXA D'AGUA OU CISTERNA</t>
  </si>
  <si>
    <t>FIXAÇÃO DE TUBOS HORIZONTAIS DE PVC ÁGUA/PVC ESGOTO/PVC PLUVIAL/CPVC/PPR/COBRE OU AÇO, DIÂMETROS MENORES OU IGUAIS A 40 MM, COM ABRAÇADEIRA METÁLICA RÍGIDA TIPO D COM PARAFUSO DE FIXAÇÃO 1 1/4", FIXADA DIRETAMENTE NA LAJE OU PAREDE. AF_09/2023</t>
  </si>
  <si>
    <t xml:space="preserve"> 00004350 </t>
  </si>
  <si>
    <t>BUCHA DE NYLON, DIAMETRO DO FURO 8 MM, COMPRIMENTO 40 MM, COM PARAFUSO DE ROSCA SOBERBA, CABECA CHATA, FENDA SIMPLES, 4,8 X 50 MM</t>
  </si>
  <si>
    <t xml:space="preserve"> 00000395 </t>
  </si>
  <si>
    <t>ABRACADEIRA EM ACO PARA AMARRACAO DE ELETRODUTOS, TIPO D, COM 1 1/4" E PARAFUSO DE FIXACAO</t>
  </si>
  <si>
    <t>FIXAÇÃO DE TUBOS HORIZONTAIS DE PVC ÁGUA/PVC ESGOTO/PVC PLUVIAL/CPVC/PPR/COBRE OU AÇO, DIÂMETROS MAIORES QUE 40 MM E MENORES OU IGUAIS A 75 MM, COM ABRAÇADEIRA TIPO D COM PARAFUSO DE FIXAÇÃO 2 1/2", FIXADA DIRETAMENTE NA LAJE OU PAREDE. AF_09/2023</t>
  </si>
  <si>
    <t xml:space="preserve"> 00000397 </t>
  </si>
  <si>
    <t>ABRACADEIRA EM ACO PARA AMARRACAO DE ELETRODUTOS, TIPO D, COM 2 1/2" E PARAFUSO DE FIXACAO</t>
  </si>
  <si>
    <t xml:space="preserve"> 00000394 </t>
  </si>
  <si>
    <t>ABRACADEIRA EM ACO PARA AMARRACAO DE ELETRODUTOS, TIPO D, COM 1 1/2" E PARAFUSO DE FIXACAO</t>
  </si>
  <si>
    <t xml:space="preserve"> 00000398 </t>
  </si>
  <si>
    <t>ABRACADEIRA EM ACO PARA AMARRACAO DE ELETRODUTOS, TIPO D, COM 3" E PARAFUSO DE FIXACAO</t>
  </si>
  <si>
    <t xml:space="preserve"> 00011976 </t>
  </si>
  <si>
    <t>CHUMBADOR DE ACO ZINCADO, DIAMETRO 1/4" COM PARAFUSO 1/4" X 40 MM</t>
  </si>
  <si>
    <t>IP</t>
  </si>
  <si>
    <t xml:space="preserve"> MAT106200 </t>
  </si>
  <si>
    <t>Porca sextavada de aco galvanizado, de 1/4"</t>
  </si>
  <si>
    <t>TUBO DE PVC,CONFORME ABNT NBR-7362,PARA ESGOTO SANITARIO,COM DIAMETRO NOMINAL DE 200MM,INCLUSIVE ANEL DE BORRACHA.FORNEC IMENTO E COLOCACAO 3%-DESGASTE DE FERRAMENTAS E EPI</t>
  </si>
  <si>
    <t xml:space="preserve"> 05118 </t>
  </si>
  <si>
    <t>TUBO DE PVC PARA ESGOTO, REFORCADO, PONT A E BOLSA, INCLUSIVE ANEL DE BORRACHA, A BNT-NBR 7362, DE 200MM</t>
  </si>
  <si>
    <t>Redes de Água e Esgoto em PEAD Liso (Tubos e Conexões)</t>
  </si>
  <si>
    <t xml:space="preserve"> 00044547 </t>
  </si>
  <si>
    <t>TUBO DE POLIETILENO DE ALTA DENSIDADE, PEAD, PE-80, DE= 200 MM X 18,2 MM PAREDE, (SDR 11 - PN 12,5) PARA REDE DE AGUA OU ESGOTO (NBR 15561)</t>
  </si>
  <si>
    <t xml:space="preserve"> 00044526 </t>
  </si>
  <si>
    <t>TUBO DE POLIETILENO DE ALTA DENSIDADE, PEAD, PE-80, DE = 110 MM X 10,0 MM PAREDE, (SDR 11 - PN 12,5) PARA REDE DE AGUA OU ESGOTO (NBR 15561)</t>
  </si>
  <si>
    <t xml:space="preserve"> UFF_COTAÇÃO 09 </t>
  </si>
  <si>
    <t>CURVA 90° POLIPROPILENO SOLDA PRETO 110 MM</t>
  </si>
  <si>
    <t xml:space="preserve"> UFF_COTAÇÃO 10 </t>
  </si>
  <si>
    <t>VÁLVULA ESFERA POLIPROPILENO FLANGE VITON 4"</t>
  </si>
  <si>
    <t>APARELHOS SANITARIOS</t>
  </si>
  <si>
    <t xml:space="preserve"> 004460 </t>
  </si>
  <si>
    <t>TUBO DECA 1600 PARA LIGACAO DE VASO SANITARIO</t>
  </si>
  <si>
    <t xml:space="preserve"> 040171 </t>
  </si>
  <si>
    <t>ANEL DE CERA PARA VEDACAO DE VASO SANITARIO- DECA</t>
  </si>
  <si>
    <t xml:space="preserve"> 014201 </t>
  </si>
  <si>
    <t>BUCHA DE NYLON PARA FIXACAO TIPO S6 COM PARAFUSO</t>
  </si>
  <si>
    <t xml:space="preserve"> 008100 </t>
  </si>
  <si>
    <t>VASO SANITARIO CONVENCIONAL BRANCO VOGUE PLUS - DECA</t>
  </si>
  <si>
    <t xml:space="preserve"> 001100 </t>
  </si>
  <si>
    <t>CIMENTO DIRECIONAL BRANCO (SACO 1 QUILOGRAMA)</t>
  </si>
  <si>
    <t xml:space="preserve"> 004300 </t>
  </si>
  <si>
    <t>BOLSA DE LIGACAO PVC 1.1/2"x 40mm VASO SANITARIO</t>
  </si>
  <si>
    <t xml:space="preserve"> 002898 </t>
  </si>
  <si>
    <t>ASSENTO SANITARIO EM POLIPROPILENO VOGUE PLUS - DECA</t>
  </si>
  <si>
    <t xml:space="preserve"> 95471 </t>
  </si>
  <si>
    <t>VASO SANITARIO SIFONADO CONVENCIONAL PARA PCD SEM FURO FRONTAL COM LOUÇA BRANCA SEM ASSENTO - FORNECIMENTO E INSTALAÇÃO. AF_01/2020</t>
  </si>
  <si>
    <t xml:space="preserve"> 00006142 </t>
  </si>
  <si>
    <t>CONJUNTO DE LIGACAO AJUSTAVEL, PARA VASO / BACIA SANITARIA, EM PLASTICO BRANCO, COM TUBO, CANOPLA E ESPUDE</t>
  </si>
  <si>
    <t xml:space="preserve"> 00000377 </t>
  </si>
  <si>
    <t>ASSENTO SANITARIO DE PLASTICO, TIPO CONVENCIONAL</t>
  </si>
  <si>
    <t>ACESSIBILIDADE</t>
  </si>
  <si>
    <t xml:space="preserve"> 065246 </t>
  </si>
  <si>
    <t xml:space="preserve"> 40047 </t>
  </si>
  <si>
    <t>ACABAMENTO PARA VALVULA DE DESCARGA ANTI VANDALISMO EM METAL CROMADO</t>
  </si>
  <si>
    <t xml:space="preserve"> 00020269 </t>
  </si>
  <si>
    <t>LAVATORIO / CUBA DE EMBUTIR, OVAL, DE LOUCA BRANCA, SEM LADRAO, DIMENSOES *50 X 35* CM (L X C)</t>
  </si>
  <si>
    <t xml:space="preserve"> 00004823 </t>
  </si>
  <si>
    <t>MASSA PLASTICA PARA MARMORE/GRANITO</t>
  </si>
  <si>
    <t xml:space="preserve"> 006300 </t>
  </si>
  <si>
    <t>LAVATORIO SUSPENSO MASTER DE CANTO COM MESA DECA</t>
  </si>
  <si>
    <t xml:space="preserve"> 00037588 </t>
  </si>
  <si>
    <t>VALVULA DE ESCOAMENTO PARA TANQUE, EM METAL CROMADO, 1.1/2", SEM LADRAO, COM TAMPAO PLASTICO</t>
  </si>
  <si>
    <t xml:space="preserve"> 02356 </t>
  </si>
  <si>
    <t>SIFAO EM METAL CROMADO, DE 1.1/2"X1.1/2"</t>
  </si>
  <si>
    <t xml:space="preserve"> 14010 </t>
  </si>
  <si>
    <t>TORNEIRA P/LAVATORIO,DE PAREDE,ACIONAMEN TO HIDROMECANICO MANUAL E FECHAMENTO AUT OMATICO,ANTIVANDALISMO,DE 135MM,CROMADA</t>
  </si>
  <si>
    <t xml:space="preserve"> 007700 </t>
  </si>
  <si>
    <t>PORTA-TOALHA DE PAPEL EM PLASTICO ABS.FORNECIMENTO E COLOCAC AO 3%-DESGASTE DE FERRAMENTAS E EPI</t>
  </si>
  <si>
    <t xml:space="preserve"> 13108 </t>
  </si>
  <si>
    <t>PORTA-TOALHA DE PAPEL,EM PLASTICO ABS</t>
  </si>
  <si>
    <t xml:space="preserve"> 20087 </t>
  </si>
  <si>
    <t>MAO-DE-OBRA DE LADRILHEIRO, INCLUSIVE EN CARGOS SOCIAIS DESONERADOS</t>
  </si>
  <si>
    <t xml:space="preserve"> 00011758 </t>
  </si>
  <si>
    <t>SABONETEIRA PLASTICA TIPO DISPENSER PARA SABONETE LIQUIDO COM RESERVATORIO 800 A 1500 ML</t>
  </si>
  <si>
    <t xml:space="preserve"> 006952 </t>
  </si>
  <si>
    <t>SABONETEIRA 10x17,5cm LOUCA A380.17 DECA</t>
  </si>
  <si>
    <t xml:space="preserve"> 099661 </t>
  </si>
  <si>
    <t>AJUDANTE ESPECIALIZADO - VIDRACEIRO</t>
  </si>
  <si>
    <t xml:space="preserve"> 040068 </t>
  </si>
  <si>
    <t>ESPELHO CRISTAL 4mm</t>
  </si>
  <si>
    <t xml:space="preserve"> 011802 </t>
  </si>
  <si>
    <t>MOLDURA DE ALUMINIO TP 15 PRATA BRILHANTE - BARRA COM 2,50m</t>
  </si>
  <si>
    <t xml:space="preserve"> 005984 </t>
  </si>
  <si>
    <t>CHAPA DE COMPENSADO COMUM TAPUME MADEIRIT 6mm 1,10x2,20m(2,42m2)</t>
  </si>
  <si>
    <t xml:space="preserve"> 00001368 </t>
  </si>
  <si>
    <t>CHUVEIRO COMUM EM PLASTICO BRANCO, COM CANO, 3 TEMPERATURAS, 5500 W (110/220 V)</t>
  </si>
  <si>
    <t xml:space="preserve"> 00004351 </t>
  </si>
  <si>
    <t>PARAFUSO NIQUELADO 3 1/2" COM ACABAMENTO CROMADO PARA FIXAR PECA SANITARIA, INCLUI PORCA CEGA, ARRUELA E BUCHA DE NYLON TAMANHO S-8</t>
  </si>
  <si>
    <t xml:space="preserve"> 00010432 </t>
  </si>
  <si>
    <t>MICTORIO INDIVIDUAL, SIFONADO, DE LOUCA BRANCA, SEM COMPLEMENTOS</t>
  </si>
  <si>
    <t xml:space="preserve"> 00021112 </t>
  </si>
  <si>
    <t>VALVULA DE DESCARGA EM METAL CROMADO PARA MICTORIO COM ACIONAMENTO POR PRESSAO E FECHAMENTO AUTOMATICO</t>
  </si>
  <si>
    <t>BARRA DE APOIO RETA, EM ACO INOX POLIDO, COMPRIMENTO 90 CM, FIXADA NA PAREDE - FORNECIMENTO E INSTALAÇÃO. AF_01/2020</t>
  </si>
  <si>
    <t xml:space="preserve"> 00036206 </t>
  </si>
  <si>
    <t>BARRA DE APOIO RETA, EM ACO INOX POLIDO, COMPRIMENTO 90 CM, DIAMETRO MINIMO 3 CM</t>
  </si>
  <si>
    <t xml:space="preserve"> 00036207 </t>
  </si>
  <si>
    <t>BARRA DE APOIO EM "L", EM ACO INOX POLIDO 70 X 70 CM, DIAMETRO MINIMO 3 CM</t>
  </si>
  <si>
    <t xml:space="preserve"> 00036204 </t>
  </si>
  <si>
    <t>BARRA DE APOIO RETA, EM ACO INOX POLIDO, COMPRIMENTO 60CM, DIAMETRO MINIMO 3 CM</t>
  </si>
  <si>
    <t xml:space="preserve"> 008437 </t>
  </si>
  <si>
    <t>CABIDE FLEX CROMADO 2060.C.FLEX DECA</t>
  </si>
  <si>
    <t xml:space="preserve"> 00037329 </t>
  </si>
  <si>
    <t>REJUNTE EPOXI, QUALQUER COR</t>
  </si>
  <si>
    <t xml:space="preserve"> 00007568 </t>
  </si>
  <si>
    <t>BUCHA DE NYLON SEM ABA S10, COM PARAFUSO DE 6,10 X 65 MM EM ACO ZINCADO COM ROSCA SOBERBA, CABECA CHATA E FENDA PHILLIPS</t>
  </si>
  <si>
    <t xml:space="preserve"> 00011795 </t>
  </si>
  <si>
    <t>GRANITO PARA BANCADA, POLIDO, TIPO ANDORINHA/ QUARTZ/ CASTELO/ CORUMBA OU OUTROS EQUIVALENTES DA REGIAO, E= *2,5* CM</t>
  </si>
  <si>
    <t xml:space="preserve"> 00037590 </t>
  </si>
  <si>
    <t>SUPORTE MAO-FRANCESA EM ACO, ABAS IGUAIS 30 CM, CAPACIDADE MINIMA 60 KG, BRANCO</t>
  </si>
  <si>
    <t xml:space="preserve"> 017190 </t>
  </si>
  <si>
    <t>VIDRO TEMPERADO INCOLOR 8mm</t>
  </si>
  <si>
    <t xml:space="preserve"> 008426 </t>
  </si>
  <si>
    <t>FERRAGEM - SUPORTE 1326G PARA FIXACAO DE VIDRO</t>
  </si>
  <si>
    <t>TUBO DE PVC RIGIDO,CONFORME ABNT NBR-5688 DE 150MM,LINHA REF ORCADA,SOLDAVEL,INCLUSIVE CONEXOES E EMENDAS,EXCLUSIVE ABERT URA E FECHAMENTO DE RASGO.FORNECIMENTO E ASSENTAMENTO 3%-DESGASTE DE FERRAMENTAS E EPI 10%-CONEXOES E EMENDAS</t>
  </si>
  <si>
    <t xml:space="preserve"> 40114 </t>
  </si>
  <si>
    <t>TUBO DE PVC RIGIDO (NBR-5688), SERIE "R" , PONTA/BOLSA COM VIROLA, EM BARRAS DE 6 ,00M, DE 150MM</t>
  </si>
  <si>
    <t xml:space="preserve"> 05119 </t>
  </si>
  <si>
    <t>TUBO DE PVC PARA ESGOTO, REFORCADO, PONT A E BOLSA, INCLUSIVE ANEL DE BORRACHA, A BNT-NBR 7362, DE 250MM</t>
  </si>
  <si>
    <t xml:space="preserve"> 05017 </t>
  </si>
  <si>
    <t>TUBO DE PVC PARA ESGOTO, REFORCADO, PONT A E BOLSA, INCLUSIVE ANEL DE BORRACHA, A BNT-NBR 7362, DE 300MM</t>
  </si>
  <si>
    <t>POCO DE VISITA,DE ANEIS DE CONCRETO PRE-MOLDADOS,PARA ESGOTO S SANITARIOS,SEGUNDO ESPECIFICACOES DA CEDAE,INCLUSIVE DEGRA US,EXCLUSIVE TAMPAO DE FERRO FUNDIDO,COM PROFUNDIDADE DE 1,5 0M 3% - DESGASTE DE FERRAMENTAS E EPI</t>
  </si>
  <si>
    <t xml:space="preserve"> 07.002.0030-B </t>
  </si>
  <si>
    <t>ARGAMASSA DE CIMENTO E AREIA,NO TRACO 1:4,PREPARO MECANICO 3%-DESGASTE DE FERRAMENTAS E EPI</t>
  </si>
  <si>
    <t xml:space="preserve"> 11.001.0001-B </t>
  </si>
  <si>
    <t>CONCRETO DOSADO RACIONALMENTE PARA UMA RESISTENCIA CARACTERI STICA A COMPRESSAO DE 10MPA,COMPREENDENDO APENAS O FORNECIME NTO DOS MATERIAIS,INCLUSIVE 5% DE PERDAS 5%-PERDAS</t>
  </si>
  <si>
    <t xml:space="preserve"> 00045 </t>
  </si>
  <si>
    <t>PLACA DE CONCRETO INTERM.P/POCO DE VIS.D E ESG.SANIT.,ARMADA,ACORDO C/ESPEC.CEDAE ,C/ABERT.EXCENTR.DIAM.1,30,C/ESPES.0,12M</t>
  </si>
  <si>
    <t xml:space="preserve"> 00029 </t>
  </si>
  <si>
    <t>ACO CA-25, ESTIRADO, PRECO DE REVENDEDOR , NO DIAMETRO DE 06,3MM</t>
  </si>
  <si>
    <t xml:space="preserve"> 00044 </t>
  </si>
  <si>
    <t>ANEL DE CONCRETO CIRCULAR, COM 1,10M DE DIAMETRO X 0,30M DE ALTURA X 0,08M DE ES PESSURA</t>
  </si>
  <si>
    <t xml:space="preserve"> 00041 </t>
  </si>
  <si>
    <t>ANEL DE CONCRETO CIRCULAR, COM 0,60M DE DIAMETRO X 0,15M DE ALTURA X 0,08M DE ES PESSURA</t>
  </si>
  <si>
    <t xml:space="preserve"> 00235 </t>
  </si>
  <si>
    <t>DEGRAU DE FERRO FUNDIDO, FORMATO U, PARA  CHAMINE DE POCO DE VISITA</t>
  </si>
  <si>
    <t xml:space="preserve"> 00040 </t>
  </si>
  <si>
    <t>ANEL DE CONCRETO CIRCULAR, COM 0,60M DE DIAMETRO X 0,075M DE ALTURA X 0,08M DE E SPESSURA</t>
  </si>
  <si>
    <t xml:space="preserve"> 94970 </t>
  </si>
  <si>
    <t>CONCRETO FCK = 20MPA, TRAÇO 1:2,7:3 (EM MASSA SECA DE CIMENTO/ AREIA MÉDIA/ BRITA 1) - PREPARO MECÂNICO COM BETONEIRA 600 L. AF_05/2021</t>
  </si>
  <si>
    <t xml:space="preserve"> 00011301 </t>
  </si>
  <si>
    <t>TAMPAO FOFO ARTICULADO, COM BASE / REQUADRO, CLASSE B125 CARGA MAX 12,5 T, REDONDO, TAMPA 600 MM (COM INSCRICAO EM RELEVO DO TIPO DE REDE)</t>
  </si>
  <si>
    <t>GRELHA DE FERRO FUNDIDO SIMPLES COM REQUADRO, 150 X 1000 MM, ASSENTADA COM ARGAMASSA 1 : 3 CIMENTO: AREIA - FORNECIMENTO E INSTALAÇÃO. AF_05/2025</t>
  </si>
  <si>
    <t>Canaletas, Grelhas e Caixas com Grelha para Drenagem</t>
  </si>
  <si>
    <t xml:space="preserve"> 00011235 </t>
  </si>
  <si>
    <t>GRELHA FOFO SIMPLES COM REQUADRO, CARGA MAXIMA 1,5 T, 150 X 1000 MM, E= *15* MM</t>
  </si>
  <si>
    <t>Poços de Visita e Caixas para Bocas de Lobo</t>
  </si>
  <si>
    <t xml:space="preserve"> 89998 </t>
  </si>
  <si>
    <t>ARMAÇÃO DE CINTA DE ALVENARIA ESTRUTURAL; DIÂMETRO DE 10,0 MM. AF_09/2021</t>
  </si>
  <si>
    <t>Graute e Armação</t>
  </si>
  <si>
    <t xml:space="preserve"> 97735 </t>
  </si>
  <si>
    <t>PEÇA RETANGULAR PRÉ-MOLDADA, VOLUME DE CONCRETO DE 30 A 100 LITROS, TAXA DE AÇO APROXIMADA DE 30KG/M³. AF_03/2024</t>
  </si>
  <si>
    <t>Estruturas Pré-Fabricadas e Pré-Moldadas</t>
  </si>
  <si>
    <t xml:space="preserve"> 5679 </t>
  </si>
  <si>
    <t>RETROESCAVADEIRA SOBRE RODAS COM CARREGADEIRA, TRAÇÃO 4X4, POTÊNCIA LÍQ. 88 HP, CAÇAMBA CARREG. CAP. MÍN. 1 M3, CAÇAMBA RETRO CAP. 0,26 M3, PESO OPERACIONAL MÍN. 6.674 KG, PROFUNDIDADE ESCAVAÇÃO MÁX. 4,37 M - CHI DIURNO. AF_06/2014</t>
  </si>
  <si>
    <t xml:space="preserve"> 89995 </t>
  </si>
  <si>
    <t>GRAUTEAMENTO DE CINTA SUPERIOR OU DE VERGA EM ALVENARIA ESTRUTURAL. AF_09/2021</t>
  </si>
  <si>
    <t xml:space="preserve"> 89993 </t>
  </si>
  <si>
    <t>GRAUTEAMENTO VERTICAL EM ALVENARIA ESTRUTURAL. AF_09/2021</t>
  </si>
  <si>
    <t xml:space="preserve"> 87316 </t>
  </si>
  <si>
    <t>ARGAMASSA TRAÇO 1:4 (EM VOLUME DE CIMENTO E AREIA GROSSA ÚMIDA) PARA CHAPISCO CONVENCIONAL, PREPARO MECÂNICO COM BETONEIRA 400 L. AF_08/2019</t>
  </si>
  <si>
    <t xml:space="preserve"> 89996 </t>
  </si>
  <si>
    <t>ARMAÇÃO VERTICAL DE ALVENARIA ESTRUTURAL; DIÂMETRO DE 10,0 MM. AF_09/2021</t>
  </si>
  <si>
    <t xml:space="preserve"> 88628 </t>
  </si>
  <si>
    <t>ARGAMASSA TRAÇO 1:3 (EM VOLUME DE CIMENTO E AREIA MÉDIA ÚMIDA), PREPARO MECÂNICO COM BETONEIRA 400 L. AF_08/2019</t>
  </si>
  <si>
    <t xml:space="preserve"> 5678 </t>
  </si>
  <si>
    <t>RETROESCAVADEIRA SOBRE RODAS COM CARREGADEIRA, TRAÇÃO 4X4, POTÊNCIA LÍQ. 88 HP, CAÇAMBA CARREG. CAP. MÍN. 1 M3, CAÇAMBA RETRO CAP. 0,26 M3, PESO OPERACIONAL MÍN. 6.674 KG, PROFUNDIDADE ESCAVAÇÃO MÁX. 4,37 M - CHP DIURNO. AF_06/2014</t>
  </si>
  <si>
    <t xml:space="preserve"> 101617 </t>
  </si>
  <si>
    <t>PREPARO DE FUNDO DE VALA COM LARGURA MAIOR OU IGUAL A 1,5 M E MENOR QUE 2,5 M (ACERTO DO SOLO NATURAL). AF_08/2020</t>
  </si>
  <si>
    <t>Escoramento e Preparo de Fundo de Valas</t>
  </si>
  <si>
    <t xml:space="preserve"> 00043386 </t>
  </si>
  <si>
    <t>MEIO-FIO OU GUIA DE CONCRETO PRE-MOLDADO, TIPO CHAPEU PARA BOCA DE LOBO, DIMENSOES *1,20* X 0,15 X 0,30 M</t>
  </si>
  <si>
    <t xml:space="preserve"> 00025067 </t>
  </si>
  <si>
    <t>BLOCO DE CONCRETO ESTRUTURAL 19 X 19 X 39 CM, FBK 4,5 MPA (NBR 6136)</t>
  </si>
  <si>
    <t xml:space="preserve"> 00000660 </t>
  </si>
  <si>
    <t>CANALETA DE CONCRETO 19 X 19 X 19 CM (CLASSE C - NBR 6136)</t>
  </si>
  <si>
    <t xml:space="preserve"> 00043440 </t>
  </si>
  <si>
    <t>CONJUNTO PRE-MOLDADO COMPOSTO POR GRELHA (0,99 X 0,45 M), QUADRO (1,10 X 0,52 M) E CANTONEIRA (1,10 X 0,35 M), EM CONCRETO ARMADO, COM FCK DE 21 MPA</t>
  </si>
  <si>
    <t xml:space="preserve"> 07639 </t>
  </si>
  <si>
    <t>PROLONGADOR PARA TIRANTE ROSQUEADO, DE 1 /4"</t>
  </si>
  <si>
    <t xml:space="preserve"> 07637 </t>
  </si>
  <si>
    <t>TIRANTE ROSQUEADO, DE 1/4"X3000MM</t>
  </si>
  <si>
    <t xml:space="preserve"> 05565 </t>
  </si>
  <si>
    <t>PINO COM ROSCA, EM CAIXAS COM 100 PECAS,  NO DIAMETRO DE 1/4", DE (30X20)MM</t>
  </si>
  <si>
    <t xml:space="preserve"> 07641 </t>
  </si>
  <si>
    <t>ARRUELA LISA DE DIAMETRO INTERNO, DE 1/4 "</t>
  </si>
  <si>
    <t xml:space="preserve"> 13874 </t>
  </si>
  <si>
    <t>SUPORTE SUSPENSAO OMEGA P/ELETROCALHA PE RFURADA OU LISA 100X50MM (LARGURA X ABA)</t>
  </si>
  <si>
    <t xml:space="preserve"> 05568 </t>
  </si>
  <si>
    <t>PORCA ALTA, DE 1/4"</t>
  </si>
  <si>
    <t xml:space="preserve"> 13875 </t>
  </si>
  <si>
    <t>SUPORTE SUSPENSAO OMEGA P/ELETROCALHA PE RFURADA OU LISA 150X50MM (LARGURA X ABA)</t>
  </si>
  <si>
    <t xml:space="preserve"> 13877 </t>
  </si>
  <si>
    <t>SUPORTE SUSPENSAO OMEGA P/ELETROCALHA PE RFURADA OU LISA 300X50MM (LARGURA X ABA)</t>
  </si>
  <si>
    <t>INSTALACOES ELETRICAS - LEITOS E CABOS</t>
  </si>
  <si>
    <t xml:space="preserve"> 036811 </t>
  </si>
  <si>
    <t>LEITO PARA CABOS TIPO MEDIO PRE-GALVANIZADO A QUENTE, CHAPA 16 300x100mm</t>
  </si>
  <si>
    <t xml:space="preserve"> 036812 </t>
  </si>
  <si>
    <t>LEITO PARA CABOS TIPO MEDIO PRE-GALVANIZADO A QUENTE, CHAPA 16 400x100mm</t>
  </si>
  <si>
    <t xml:space="preserve"> 036815 </t>
  </si>
  <si>
    <t>LEITO PARA CABOS TIPO MEDIO PRE-GALVANIZADO A QUENTE, CHAPA 16 500x100mm</t>
  </si>
  <si>
    <t xml:space="preserve"> UFF_COTAÇÃO 11 </t>
  </si>
  <si>
    <t>CURVA VERTICAL EXTERNA 90º PARA LEITO 500x100mm</t>
  </si>
  <si>
    <t xml:space="preserve"> 036934 </t>
  </si>
  <si>
    <t>LEITO - TE 90 TIPO MEDIO HORIZONTAL PRE-GALVANIZADO A QUENTE, CHAPA 16 500mm</t>
  </si>
  <si>
    <t xml:space="preserve"> UFF_COTAÇÃO 12 </t>
  </si>
  <si>
    <t>TE REDUÇÃO PARA LEITO 500 P/300x100mm</t>
  </si>
  <si>
    <t xml:space="preserve"> UFF_COTAÇÃO 13 </t>
  </si>
  <si>
    <t>Junção Simples Galvanizado A Fogo P/Leito 100MM</t>
  </si>
  <si>
    <t xml:space="preserve"> 003563 </t>
  </si>
  <si>
    <t>PARAFUSO LENTILHA 42x13mm COM PORCA E ARRUELA</t>
  </si>
  <si>
    <t xml:space="preserve"> 00004330 </t>
  </si>
  <si>
    <t>PORCA ZINCADA, SEXTAVADA, DIAMETRO 5/16"</t>
  </si>
  <si>
    <t xml:space="preserve"> 13968 </t>
  </si>
  <si>
    <t>ARRUELA LISA DE ACO GALVANIZADO, DE 5/16 "</t>
  </si>
  <si>
    <t xml:space="preserve"> 13979 </t>
  </si>
  <si>
    <t>ARRUELA DE PRESSAO, DE 5/16"</t>
  </si>
  <si>
    <t xml:space="preserve"> UFF_COTAÇÃO 14 </t>
  </si>
  <si>
    <t>FLANGE PARA LEITO P/PAINEL 500x100mm</t>
  </si>
  <si>
    <t xml:space="preserve"> UFF_COTAÇÃO 15 </t>
  </si>
  <si>
    <t>FLANGE PARA LEITO P/PAINEL 400x100mm</t>
  </si>
  <si>
    <t xml:space="preserve"> UFF_COTAÇÃO 16 </t>
  </si>
  <si>
    <t>FLANGE PARA LEITO P/PAINEL 300x100mm</t>
  </si>
  <si>
    <t xml:space="preserve"> UFF_COTAÇÃO 17 </t>
  </si>
  <si>
    <t>CURVA REVERSÃO PARA LEITO 500x100mm</t>
  </si>
  <si>
    <t xml:space="preserve"> UFF_COTAÇÃO 18 </t>
  </si>
  <si>
    <t>CURVA REVERSÃO PARA LEITO 400x100mm</t>
  </si>
  <si>
    <t xml:space="preserve"> UFF_COTAÇÃO 19 </t>
  </si>
  <si>
    <t>CURVA REVERSÃO PARA LEITO 300x100mm</t>
  </si>
  <si>
    <t xml:space="preserve"> 036834 </t>
  </si>
  <si>
    <t>LEITO - CURVA 90 TIPO MEDIO HORIZONTAL PRE-GALVANIZADO A QUENTE, CHAPA 16 500mm</t>
  </si>
  <si>
    <t xml:space="preserve"> 036832 </t>
  </si>
  <si>
    <t>LEITO - CURVA 90 TIPO MEDIO HORIZONTAL PRE-GALVANIZADO A QUENTE, CHAPA 16 300mm</t>
  </si>
  <si>
    <t xml:space="preserve"> 036858 </t>
  </si>
  <si>
    <t>LEITO - CURVA 45 TIPO MEDIO HORIZONTAL PRE-GALVANIZADO A QUENTE, CHAPA 16 300mm</t>
  </si>
  <si>
    <t xml:space="preserve"> UFF_COTAÇÃO 20 </t>
  </si>
  <si>
    <t>CURVA VERTICAL INTERNA PARA LEITO 90º 500x100mm</t>
  </si>
  <si>
    <t>ASTU - ASSENTAMENTO DE TUBOS E PECAS</t>
  </si>
  <si>
    <t xml:space="preserve"> 00039328 </t>
  </si>
  <si>
    <t>PERFILADO PERFURADO 19 X 38 MM, CHAPA 22</t>
  </si>
  <si>
    <t xml:space="preserve"> 006268 </t>
  </si>
  <si>
    <t>PERFILADO - SUPORTE CURTO PARA PERFILADO 100mm CHAPA 14</t>
  </si>
  <si>
    <t xml:space="preserve"> 028055 </t>
  </si>
  <si>
    <t>ARRUELA ACO 3/8" x 1/2"</t>
  </si>
  <si>
    <t xml:space="preserve"> 003549 </t>
  </si>
  <si>
    <t>TIRANTE ACO ROSQUEADO 3/8" x 1,00m</t>
  </si>
  <si>
    <t xml:space="preserve"> 00004342 </t>
  </si>
  <si>
    <t>PORCA ZINCADA, SEXTAVADA, DIAMETRO 3/8"</t>
  </si>
  <si>
    <t>ATERRAMENTO</t>
  </si>
  <si>
    <t xml:space="preserve"> 002375 </t>
  </si>
  <si>
    <t>CHUMBADOR CB 3/8"x2.1/2" + PARAFUSO</t>
  </si>
  <si>
    <t xml:space="preserve"> 021909 </t>
  </si>
  <si>
    <t>ALUGUEL MENSAL FURADEIRA 5/8" BOSCH 1174</t>
  </si>
  <si>
    <t>ELETRODUTO DE FERRO GALVANIZADO,TIPO MEDIO,DIAMETRO DE 3/4", INCLUSIVE CONEXOES E EMENDAS,EXCLUSIVE ABERTURA E FECHAMENTO DE RASGO.FORNECIMENTO E ASSENTAMENTO 3%-DESGASTE DE FERRAMENTAS E EPI 10%-CONEXOES E EMENDAS</t>
  </si>
  <si>
    <t xml:space="preserve"> 20060 </t>
  </si>
  <si>
    <t>MAO-DE-OBRA DE ELETRICISTA DA CONSTRUCAO  CIVIL, INCLUSIVE ENCARGOS SOCIAIS DESON ERADOS</t>
  </si>
  <si>
    <t xml:space="preserve"> 04000 </t>
  </si>
  <si>
    <t>ELETRODUTO DE FERRO GALVANIZADO, MEDIO, GALVANIZACAO A FOGO, NBR 5624, EM BARRAS  DE 3M, DE 3/4"</t>
  </si>
  <si>
    <t>ELETRODUTO DE FERRO GALVANIZADO,TIPO MEDIO,DIAMETRO DE 1",IN CLUSIVE CONEXOES E EMENDAS,EXCLUSIVE ABERTURA E FECHAMENTO D E RASGO.FORNECIMENTO E ASSENTAMENTO 3%-DESGASTE DE FERRAMENTAS E EPI 10%-CONEXOES E EMENDAS</t>
  </si>
  <si>
    <t xml:space="preserve"> 04752 </t>
  </si>
  <si>
    <t>ELETRODUTO DE FERRO GALVANIZADO, MEDIO, GALVANIZACAO A FOGO, NBR 5624, EM BARRAS  DE 3M, DE 1"</t>
  </si>
  <si>
    <t>ELETRODUTO DE FERRO GALVANIZADO,TIPO MEDIO,DIAMETRO DE 1.1/2 ",INCLUSIVE CONEXOES E EMENDAS,EXCLUSIVE ABERTURA E FECHAMEN TO DE RASGO.FORNECIMENTO E ASSENTAMENTO 3%-DESGASTE DE FERRAMENTAS E EPI 10%-CONEXOES E EMENDAS</t>
  </si>
  <si>
    <t xml:space="preserve"> 04754 </t>
  </si>
  <si>
    <t>ELETRODUTO DE FERRO GALVANIZADO, MEDIO, GALVANIZACAO A FOGO, NBR 5624, EM BARRAS  DE 3M, DE 1.1/2"</t>
  </si>
  <si>
    <t>ELETRODUTO DE FERRO GALVANIZADO,TIPO MEDIO,DIAMETRO DE 2",IN CLUSIVE CONEXOES E EMENDAS,EXCLUSIVE ABERTURA E FECHAMENTO D E RASGO.FORNECIMENTO E ASSENTAMENTO 3%-DESGASTE DE FERRAMENTAS E EPI 10%-CONEXOES E EMENDAS</t>
  </si>
  <si>
    <t xml:space="preserve"> 04001 </t>
  </si>
  <si>
    <t>ELETRODUTO DE FERRO GALVANIZADO, MEDIO, GALVANIZACAO A FOGO, NBR 5624, EM BARRAS  DE 3M, DE 2"</t>
  </si>
  <si>
    <t>ELETRODUTO DE FERRO GALVANIZADO,TIPO MEDIO,DIAMETRO DE 4",IN CLUSIVE CONEXOES E EMENDAS,EXCLUSIVE ABERTURA E FECHAMENTO D E RASGO.FORNECIMENTO E ASSENTAMENTO 3%-DESGASTE DE FERRAMENTAS E EPI 10%-CONEXOES E EMENDAS</t>
  </si>
  <si>
    <t xml:space="preserve"> 04003 </t>
  </si>
  <si>
    <t>ELETRODUTO DE FERRO GALVANIZADO, MEDIO, GALVANIZACAO A FOGO, NBR 5624, EM BARRAS  DE 3M, DE 4"</t>
  </si>
  <si>
    <t>INSTALACOES ELETRICAS - ELETRODUTOS</t>
  </si>
  <si>
    <t xml:space="preserve"> 087018 </t>
  </si>
  <si>
    <t>ELETRODUTO FLEXIVEL TIPO SEALTUBE 2"</t>
  </si>
  <si>
    <t xml:space="preserve"> UFF_COTAÇÃO 24 </t>
  </si>
  <si>
    <t>ELETRODUTO FLEXIVEL TIPO SEALTUBE 4"</t>
  </si>
  <si>
    <t xml:space="preserve"> 00002489 </t>
  </si>
  <si>
    <t>CONECTOR RETO DE ALUMINIO PARA ELETRODUTO DE 2", PARA ADAPTAR ENTRADA DE ELETRODUTO METALICO FLEXIVEL EM QUADROS</t>
  </si>
  <si>
    <t xml:space="preserve"> 00002485 </t>
  </si>
  <si>
    <t>CONECTOR RETO DE ALUMINIO PARA ELETRODUTO DE 4", PARA ADAPTAR ENTRADA DE ELETRODUTO METALICO FLEXIVEL EM QUADROS</t>
  </si>
  <si>
    <t xml:space="preserve"> 00011950 </t>
  </si>
  <si>
    <t>BUCHA DE NYLON SEM ABA S6, COM PARAFUSO DE 4,20 X 40 MM EM ACO ZINCADO COM ROSCA SOBERBA, CABECA CHATA E FENDA PHILLIPS</t>
  </si>
  <si>
    <t xml:space="preserve"> 00002559 </t>
  </si>
  <si>
    <t>CONDULETE DE ALUMINIO TIPO C, PARA ELETRODUTO ROSCAVEL DE 3/4", COM TAMPA CEGA</t>
  </si>
  <si>
    <t xml:space="preserve"> 00002574 </t>
  </si>
  <si>
    <t>CONDULETE DE ALUMINIO TIPO T, PARA ELETRODUTO ROSCAVEL DE 3/4", COM TAMPA CEGA</t>
  </si>
  <si>
    <t xml:space="preserve"> 00002593 </t>
  </si>
  <si>
    <t>CONDULETE DE ALUMINIO TIPO LR, PARA ELETRODUTO ROSCAVEL DE 3/4", COM TAMPA CEGA</t>
  </si>
  <si>
    <t xml:space="preserve"> 00002570 </t>
  </si>
  <si>
    <t>CONDULETE DE ALUMINIO TIPO LR, PARA ELETRODUTO ROSCAVEL DE 1", COM TAMPA CEGA</t>
  </si>
  <si>
    <t xml:space="preserve"> 031145 </t>
  </si>
  <si>
    <t>CONDULETE ALUMINIO "LR" 2" COM TAMPA WETZEL</t>
  </si>
  <si>
    <t xml:space="preserve"> 031165 </t>
  </si>
  <si>
    <t>CONDULETE ALUMINIO "LR" 4" COM TAMPA TRAMONTINA</t>
  </si>
  <si>
    <t xml:space="preserve"> 00002590 </t>
  </si>
  <si>
    <t>CONDULETE DE ALUMINIO TIPO E, PARA ELETRODUTO ROSCAVEL DE 1", COM TAMPA CEGA</t>
  </si>
  <si>
    <t xml:space="preserve"> 00039128 </t>
  </si>
  <si>
    <t>ABRACADEIRA EM ACO PARA AMARRACAO DE ELETRODUTOS, TIPO D, COM 3/4" E CUNHA DE FIXACAO</t>
  </si>
  <si>
    <t xml:space="preserve"> 00039129 </t>
  </si>
  <si>
    <t>ABRACADEIRA EM ACO PARA AMARRACAO DE ELETRODUTOS, TIPO D, COM 1" E CUNHA DE FIXACAO</t>
  </si>
  <si>
    <t xml:space="preserve"> 00039131 </t>
  </si>
  <si>
    <t>ABRACADEIRA EM ACO PARA AMARRACAO DE ELETRODUTOS, TIPO D, COM 1 1/2" E CUNHA DE FIXACAO</t>
  </si>
  <si>
    <t xml:space="preserve"> 00039132 </t>
  </si>
  <si>
    <t>ABRACADEIRA EM ACO PARA AMARRACAO DE ELETRODUTOS, TIPO D, COM 2" E CUNHA DE FIXACAO</t>
  </si>
  <si>
    <t xml:space="preserve"> 00039126 </t>
  </si>
  <si>
    <t>ABRACADEIRA EM ACO PARA AMARRACAO DE ELETRODUTOS, TIPO D, COM 4" E CUNHA DE FIXACAO</t>
  </si>
  <si>
    <t xml:space="preserve"> UFF_COTAÇÃO 25 </t>
  </si>
  <si>
    <t>PORTA EQUIPAMENTOS PARA CANALETA DE ALUMINIO 90X35MM</t>
  </si>
  <si>
    <t>CAIXA PARA TOMADA 10A PARA PERFILADO 38x38mm</t>
  </si>
  <si>
    <t xml:space="preserve"> 040490 </t>
  </si>
  <si>
    <t>PERFILADO - CAIXA PARA TOMADA 10A PARA PERFILADO 38x38mm</t>
  </si>
  <si>
    <t>ESCAVAÇÃO MECANIZADA DE VALA COM PROF. ATÉ 1,5 M (MÉDIA MONTANTE E JUSANTE/UMA COMPOSIÇÃO POR TRECHO), RETROESCAV. (0,26 M3), LARG. DE 0,8 M A 1,5 M, EM SOLO DE 1A CATEGORIA, EM LOCAIS COM ALTO NÍVEL DE INTERFERÊNCIA. AF_09/2024</t>
  </si>
  <si>
    <t>REATERRO MECANIZADO DE VALA COM RETROESCAVADEIRA (CAPACIDADE DA CAÇAMBA DA RETRO: 0,26 M³/POTÊNCIA: 88 HP), LARGURA DE 0,8 A 1,5 M, PROFUNDIDADE ATÉ 1,5 M, COM SOLO (SEM SUBSTITUIÇÃO) DE 1ª CATEGORIA, COM PLACA VIBRATÓRIA. AF_08/2023</t>
  </si>
  <si>
    <t xml:space="preserve"> 91277 </t>
  </si>
  <si>
    <t>PLACA VIBRATÓRIA REVERSÍVEL COM MOTOR 4 TEMPOS A GASOLINA, FORÇA CENTRÍFUGA DE 25 KN (2500 KGF), POTÊNCIA 5,5 CV - CHP DIURNO. AF_08/2015</t>
  </si>
  <si>
    <t>Redes Enterradas de Distribuição Elétrica</t>
  </si>
  <si>
    <t xml:space="preserve"> 00039248 </t>
  </si>
  <si>
    <t>ELETRODUTO/DUTO PEAD FLEXIVEL PAREDE SIMPLES, CORRUGACAO HELICOIDAL, COR PRETA, SEM ROSCA, DE 4", CRC 680 N, PARA CABEAMENTO SUBTERRANEO (NBR 15715)</t>
  </si>
  <si>
    <t>DUTO ANELAR FLEXIVEL,NA COR CINZA CONCRETO,SINGELO,DE POLIET ILENO DE ALTA DENSIDADE(PEAD),PARA PROTECAO DE CONDUTORES EL ETRICOS,COM DIAMETRO NOMINAL DE 6",SENDO O DIAMETRO INTERNO DE 138,0MM,COM FIO GUIA DE ACO E FORNECIDO COM 2 PLUGUES(TAM POES)NAS EXTREMIDADES,LANCADO DIRETAMENTE NO SOLO,INCLUSIVE CONEXOES E KIT VEDACAO 3% - DESGASTE DE FERRAMENTAS E EPI</t>
  </si>
  <si>
    <t xml:space="preserve"> 07320 </t>
  </si>
  <si>
    <t>DUTO ANELAR FLEXIVEL,CINZA CONCRETO,POLI ETILENO,P/PROTECAO DE CONDUTORES ELETRIC OS,DN=6",DI=138,0MM,INCL. 2 PLUGS</t>
  </si>
  <si>
    <t xml:space="preserve"> 07323 </t>
  </si>
  <si>
    <t>CONEXAO I,SECAO CIRC.ROSQ.CORRUG.HELICOI DAL,COR PRETA,POLIET.ALTA DENS.P/UNIAO D UTOS P/PROT.COND.ELET.DN=6"A</t>
  </si>
  <si>
    <t xml:space="preserve"> 14349 </t>
  </si>
  <si>
    <t>KIT VEDACAO,COMP.DUAS FITAS MASTIQUE E F ILME PVC TRANSP.P/VEDACAO DAS CONEXOES D OS DUTOS CORRUGADOS,DIAM.NOM.DN=6"</t>
  </si>
  <si>
    <t xml:space="preserve"> 000200 </t>
  </si>
  <si>
    <t>PEDRA BRITADA #1 E 2</t>
  </si>
  <si>
    <t xml:space="preserve"> 88242 </t>
  </si>
  <si>
    <t>AJUDANTE DE PEDREIRO COM ENCARGOS COMPLEMENTARES</t>
  </si>
  <si>
    <t xml:space="preserve"> 008767 </t>
  </si>
  <si>
    <t>PEDRA BRITADA #2</t>
  </si>
  <si>
    <t xml:space="preserve"> 072552 </t>
  </si>
  <si>
    <t>ADITIVO IMPERMEABILIZANTE PARA ARGAMASSA SIKA 1</t>
  </si>
  <si>
    <t xml:space="preserve"> 000098 </t>
  </si>
  <si>
    <t>AREIA MEDIA LAVADA</t>
  </si>
  <si>
    <t xml:space="preserve"> 00000033 </t>
  </si>
  <si>
    <t>ACO CA-50, 8,0 MM, VERGALHAO</t>
  </si>
  <si>
    <t xml:space="preserve"> 000300 </t>
  </si>
  <si>
    <t>CAL HIDRATADA CH-III SACO 20kg (QUILOGRAMA)</t>
  </si>
  <si>
    <t xml:space="preserve"> 00013284 </t>
  </si>
  <si>
    <t>CIMENTO PORTLAND DE ALTO FORNO (AF) CP III-40</t>
  </si>
  <si>
    <t xml:space="preserve"> 000211 </t>
  </si>
  <si>
    <t>PEDRA BRITADA #3</t>
  </si>
  <si>
    <t xml:space="preserve"> 00034599 </t>
  </si>
  <si>
    <t>BLOCO DE VEDACAO CONCRETO APARENTE 9 X 19 X 39 CM (CLASSE C - NBR 6136)</t>
  </si>
  <si>
    <t xml:space="preserve"> 008766 </t>
  </si>
  <si>
    <t>PEDRA BRITADA #1</t>
  </si>
  <si>
    <t xml:space="preserve"> CI 14.05.0800 </t>
  </si>
  <si>
    <t>Pintura asfaltica (uma demao com 200g/m2), para superficies lisas de marquizes, banheiros e demais superficies de pequenas dimensoes. Igol 2 ou similar. Fornecimento e aplicacao.(desonerado)</t>
  </si>
  <si>
    <t>CI</t>
  </si>
  <si>
    <t xml:space="preserve"> AL 04.25.0250 </t>
  </si>
  <si>
    <t>Alvenaria de blocos de concreto (15x20x40)cm, em paredes de 0,15m de espessura, com argamassa de cimento e areia no traco 1:4 (em volume), no assentamento e no preenchimento dos vazios dos blocos, ate 1,50m de altura e medida pela area real.(desonerado)</t>
  </si>
  <si>
    <t>AL</t>
  </si>
  <si>
    <t xml:space="preserve"> RV 09.05.0106 </t>
  </si>
  <si>
    <t>Emboco com argamassa de cimento e areia, no traco 1:3, com 1,50cm de espessura, inclusive chapisco.(desonerado)</t>
  </si>
  <si>
    <t>RV</t>
  </si>
  <si>
    <t xml:space="preserve"> ET 04.05.0100 </t>
  </si>
  <si>
    <t>Materiais para confeccao de concreto estrutural dosado para uma resistencia caracteristica a compressao (fck) minimo de 11MPa, inclusive perdas. Fornecimento.(desonerado)</t>
  </si>
  <si>
    <t>ET</t>
  </si>
  <si>
    <t xml:space="preserve"> 00507 </t>
  </si>
  <si>
    <t>TAMPAO DE FERRO FUNDIDO NODULAR MISTO, A RTICULADO, DIAMETRO DE 60CM, TIPO PESADO</t>
  </si>
  <si>
    <t xml:space="preserve"> 00000981 </t>
  </si>
  <si>
    <t>CABO DE COBRE, FLEXIVEL, CLASSE 4 OU 5, ISOLACAO EM PVC/A, ANTICHAMA BWF-B, 1 CONDUTOR, 450/750 V, SECAO NOMINAL 4 MM2</t>
  </si>
  <si>
    <t xml:space="preserve"> 00000982 </t>
  </si>
  <si>
    <t>CABO DE COBRE, FLEXIVEL, CLASSE 4 OU 5, ISOLACAO EM PVC/A, ANTICHAMA BWF-B, 1 CONDUTOR, 450/750 V, SECAO NOMINAL 6 MM2</t>
  </si>
  <si>
    <t xml:space="preserve"> 00001020 </t>
  </si>
  <si>
    <t>CABO DE COBRE, FLEXIVEL, CLASSE 4 OU 5, ISOLACAO EM PVC/A, ANTICHAMA BWF-B, COBERTURA PVC-ST1, ANTICHAMA BWF-B, 1 CONDUTOR, 0,6/1 KV, SECAO NOMINAL 10 MM2</t>
  </si>
  <si>
    <t xml:space="preserve"> 00000995 </t>
  </si>
  <si>
    <t>CABO DE COBRE, FLEXIVEL, CLASSE 4 OU 5, ISOLACAO EM PVC/A, ANTICHAMA BWF-B, COBERTURA PVC-ST1, ANTICHAMA BWF-B, 1 CONDUTOR, 0,6/1 KV, SECAO NOMINAL 16 MM2</t>
  </si>
  <si>
    <t xml:space="preserve"> 00000996 </t>
  </si>
  <si>
    <t>CABO DE COBRE, FLEXIVEL, CLASSE 4 OU 5, ISOLACAO EM PVC/A, ANTICHAMA BWF-B, COBERTURA PVC-ST1, ANTICHAMA BWF-B, 1 CONDUTOR, 0,6/1 KV, SECAO NOMINAL 25 MM2</t>
  </si>
  <si>
    <t xml:space="preserve"> 00001019 </t>
  </si>
  <si>
    <t>CABO DE COBRE, FLEXIVEL, CLASSE 4 OU 5, ISOLACAO EM PVC/A, ANTICHAMA BWF-B, COBERTURA PVC-ST1, ANTICHAMA BWF-B, 1 CONDUTOR, 0,6/1 KV, SECAO NOMINAL 35 MM2</t>
  </si>
  <si>
    <t xml:space="preserve"> 00001018 </t>
  </si>
  <si>
    <t>CABO DE COBRE, FLEXIVEL, CLASSE 4 OU 5, ISOLACAO EM PVC/A, ANTICHAMA BWF-B, COBERTURA PVC-ST1, ANTICHAMA BWF-B, 1 CONDUTOR, 0,6/1 KV, SECAO NOMINAL 50 MM2</t>
  </si>
  <si>
    <t xml:space="preserve"> 00000977 </t>
  </si>
  <si>
    <t>CABO DE COBRE, FLEXIVEL, CLASSE 4 OU 5, ISOLACAO EM PVC/A, ANTICHAMA BWF-B, COBERTURA PVC-ST1, ANTICHAMA BWF-B, 1 CONDUTOR, 0,6/1 KV, SECAO NOMINAL 70 MM2</t>
  </si>
  <si>
    <t xml:space="preserve"> 00000998 </t>
  </si>
  <si>
    <t>CABO DE COBRE, FLEXIVEL, CLASSE 4 OU 5, ISOLACAO EM PVC/A, ANTICHAMA BWF-B, COBERTURA PVC-ST1, ANTICHAMA BWF-B, 1 CONDUTOR, 0,6/1 KV, SECAO NOMINAL 95 MM2</t>
  </si>
  <si>
    <t xml:space="preserve"> 00001017 </t>
  </si>
  <si>
    <t>CABO DE COBRE, FLEXIVEL, CLASSE 4 OU 5, ISOLACAO EM PVC/A, ANTICHAMA BWF-B, COBERTURA PVC-ST1, ANTICHAMA BWF-B, 1 CONDUTOR, 0,6/1 KV, SECAO NOMINAL 120 MM2</t>
  </si>
  <si>
    <t xml:space="preserve"> 00001001 </t>
  </si>
  <si>
    <t>CABO DE COBRE, FLEXIVEL, CLASSE 4 OU 5, ISOLACAO EM PVC/A, ANTICHAMA BWF-B, COBERTURA PVC-ST1, ANTICHAMA BWF-B, 1 CONDUTOR, 0,6/1 KV, SECAO NOMINAL 300 MM2</t>
  </si>
  <si>
    <t xml:space="preserve"> UFF_COTAÇÃO 27 </t>
  </si>
  <si>
    <t>Quadro de distribuição de luz e força, tipo SOBREPOR, para uso abrigado (interno), construído em chapa de aço bitola #16, grau de proteção IP54, provido de placa de montagem na cor laranja, espelho de proteção dos barramentos em policarbonato (anti-fulgor), portas com dobradiças internas e fecho tipo fenda. Pintura de acabamento final na cor cinza claro RAL-7032. Nas dimensões aproximadas de: (1,4 X 0,8 X 0,25).</t>
  </si>
  <si>
    <t xml:space="preserve"> UFF_COTAÇÃO 28 </t>
  </si>
  <si>
    <t>INSTALAÇÃO DE BARRAMENTO BLINDADO DE ALUMÍNIO 4000A E QUADRO ELÉTRICO</t>
  </si>
  <si>
    <t>Serviços</t>
  </si>
  <si>
    <t xml:space="preserve"> UFF_COTAÇÃO 26 </t>
  </si>
  <si>
    <t>CALHA CONDUTORA TRIFÁSICA COM NEUTRO 100%+ 50% TERRA, ISOLAMENTO PARA 1000V, CORRENTE NOMINAL 4000A, 120KA (Icc), IP55, PARA USO INTERNO/EXTERNO, TIPO BARRA-COLADA, COM UMA BARRA DE ATERRAMENTO 100%. NAS DIMENSÕES APROXIMADAS DE: (512 X 136 X 3000).</t>
  </si>
  <si>
    <t>ELETROCALHA PERFURADA,SEM TAMPA,TIPO "U",100X50MM,TRATAMENTO SUPERFICIAL PRE-ZINCADO A QUENTE,INCLUSIVE CONEXOES,ACESSOR IOS E FIXACAO SUPERIOR.FORNECIMENTO E COLOCACAO 3%-DESGASTE DE FERRAMENTAS E EPI 20%-CONEXOES</t>
  </si>
  <si>
    <t xml:space="preserve"> 11944 </t>
  </si>
  <si>
    <t>ELETROCALHA PERFURADA, SEM VIROLA, MED. (100X50X3000)MM, PRE-ZINCADA, SEM TAMPA</t>
  </si>
  <si>
    <t>TE HORIZONTAL,90º,PARA ELETROCALHA PERFURADA OU LISA,100X50M M.FORNECIMENTO E COLOCACAO 3%-DESGASTE DE FERRAMENTAS E EPI</t>
  </si>
  <si>
    <t xml:space="preserve"> 12124 </t>
  </si>
  <si>
    <t>TE HORIZONTAL 90°, PARA ELETROCALHA PERF URADA OU LISA, 100X50MM, PRE-ZINCADA</t>
  </si>
  <si>
    <t>CURVA HORIZONTAL,90º,PARA ELETROCALHA PERFURADA OU LISA,100X 50MM.FORNECIMENTO E COLOCACAO 3%-DESGASTE DE FERRAMENTAS E EPI</t>
  </si>
  <si>
    <t xml:space="preserve"> 11998 </t>
  </si>
  <si>
    <t>CURVA HORIZONTAL, 90º, PARA ELETROCALHA PERFURADA OU LISA, 100X50MM, PRE-ZINCADA</t>
  </si>
  <si>
    <t>CRUZETA RETA,PARA ELETROCALHA PERFURADA OU LISA,100X50MM.FOR NECIMENTO E COLOCACAO 3%-DESGASTE DE FERRAMENTAS E EPI</t>
  </si>
  <si>
    <t xml:space="preserve"> 12215 </t>
  </si>
  <si>
    <t>CRUZETA RETA, PARA ELETROCALHA PERFURADA  OU LISA, 100X50MM, PRE-ZINCADA</t>
  </si>
  <si>
    <t>CURVA DE INVERSAO,90º,PARA ELETROCALHA PERFURADA OU LISA,100 X50MM.FORNECIMENTO E COLOCACAO 3%-DESGASTE DE FERRAMENTAS E EPI</t>
  </si>
  <si>
    <t xml:space="preserve"> 12106 </t>
  </si>
  <si>
    <t>CURVA DE INVERSAO 90°, PARA ELETROCALHA PERFURADA OU LISA, 100X50MM, PRE-ZINCADA</t>
  </si>
  <si>
    <t xml:space="preserve"> 037484 </t>
  </si>
  <si>
    <t>ELETROCALHA - EMENDA PLANA INTERNA "U" 50x50mm CHAPA 22</t>
  </si>
  <si>
    <t xml:space="preserve"> 00002576 </t>
  </si>
  <si>
    <t>CONDULETE DE ALUMINIO TIPO T, PARA ELETRODUTO ROSCAVEL DE 1 1/2", COM TAMPA CEGA</t>
  </si>
  <si>
    <t xml:space="preserve"> 00002587 </t>
  </si>
  <si>
    <t>CONDULETE DE ALUMINIO TIPO LR, PARA ELETRODUTO ROSCAVEL DE 1 1/2", COM TAMPA CEGA</t>
  </si>
  <si>
    <t xml:space="preserve"> 00002565 </t>
  </si>
  <si>
    <t>CONDULETE DE ALUMINIO TIPO E, PARA ELETRODUTO ROSCAVEL DE 3/4", COM TAMPA CEGA</t>
  </si>
  <si>
    <t xml:space="preserve"> 007824 </t>
  </si>
  <si>
    <t>CONJUNTO DE BUCHA/ARRUELA DE ALUMINIO PARA ELETRODUTO 3/4"</t>
  </si>
  <si>
    <t xml:space="preserve"> 007861 </t>
  </si>
  <si>
    <t>BUCHA DE ALUMINIO PARA ELETRODUTO 1.1/2"</t>
  </si>
  <si>
    <t xml:space="preserve"> 00002446 </t>
  </si>
  <si>
    <t>ELETRODUTO/DUTO PEAD FLEXIVEL PAREDE SIMPLES, CORRUGACAO HELICOIDAL, COR PRETA, SEM ROSCA, DE 2", CRC 680 N, PARA CABEAMENTO SUBTERRANEO (NBR 15715)</t>
  </si>
  <si>
    <t xml:space="preserve"> 039111 </t>
  </si>
  <si>
    <t>ELETRODUTO FLEXIVEL KANALEX 2"</t>
  </si>
  <si>
    <t>CABO PP 2 CONDUTORES 450/750V 1,0mm2</t>
  </si>
  <si>
    <t xml:space="preserve"> 012443 </t>
  </si>
  <si>
    <t>CABO PP CORDPLAST 2 CONDUTORES 450/750V 1,00mm2</t>
  </si>
  <si>
    <t xml:space="preserve"> 012798 </t>
  </si>
  <si>
    <t>CABO PP CORDPLAST 4 CONDUTORES 450/750V 1,0mm2</t>
  </si>
  <si>
    <t xml:space="preserve"> UFF_COTAÇÃO 29 </t>
  </si>
  <si>
    <t>Cabo PP 8X1,00mm² 450/750v Preto</t>
  </si>
  <si>
    <t xml:space="preserve"> UFF_COTAÇÃO 30 </t>
  </si>
  <si>
    <t>Cabo PP 8X1,50mm² 450/750v Preto</t>
  </si>
  <si>
    <t xml:space="preserve"> 00039599 </t>
  </si>
  <si>
    <t>CABO DE REDE, PAR TRANCADO UTP, 4 PARES, CATEGORIA 6 (CAT 6), ISOLAMENTO PVC (LSZH)</t>
  </si>
  <si>
    <t xml:space="preserve"> 88266 </t>
  </si>
  <si>
    <t>ELETROTÉCNICO COM ENCARGOS COMPLEMENTARES</t>
  </si>
  <si>
    <t xml:space="preserve"> UFF_COTAÇÃO 32 </t>
  </si>
  <si>
    <t>Switch industrial, cat. 6, 8 portas, 1 x gigabit</t>
  </si>
  <si>
    <t xml:space="preserve"> UFF_COTAÇÃO 33 </t>
  </si>
  <si>
    <t xml:space="preserve"> UFF_COTAÇÃO 34 </t>
  </si>
  <si>
    <t xml:space="preserve"> 88279 </t>
  </si>
  <si>
    <t>MONTADOR ELETROMECÂNICO COM ENCARGOS COMPLEMENTARES</t>
  </si>
  <si>
    <t xml:space="preserve"> UFF_COTAÇÃO 35 </t>
  </si>
  <si>
    <t xml:space="preserve"> 05100 </t>
  </si>
  <si>
    <t>FITA VEDA ROSCA, ROLO DE 18MMX50M</t>
  </si>
  <si>
    <t xml:space="preserve"> UFF_COTAÇÃO 36 </t>
  </si>
  <si>
    <t>Atuador ON/OFF e Floating de 20Nm para válvulas de controle - 100/240Vac</t>
  </si>
  <si>
    <t>VALVULA DE DUAS VIAS COM ATUADOR ON/OFF,220V,DE 3/4".FORNECI MENTO E COLOCACAO 3%-DESGASTE DE FERRAMENTAS E EPI</t>
  </si>
  <si>
    <t xml:space="preserve"> 40059 </t>
  </si>
  <si>
    <t>VALVULA DE DUAS VIAS COM ATUADOR ON/OFF,  220V, DE 3/4"</t>
  </si>
  <si>
    <t xml:space="preserve"> 20104 </t>
  </si>
  <si>
    <t>MAO DE OBRA DE MONTADOR ELETROMECANICO, INCLUSIVE ENCARGOS SOCIAIS DESONERADOS</t>
  </si>
  <si>
    <t xml:space="preserve"> UFF_COTAÇÃO 37 </t>
  </si>
  <si>
    <t xml:space="preserve"> UFF_COTAÇÃO 38 </t>
  </si>
  <si>
    <t xml:space="preserve"> UFF_COTAÇÃO 39 </t>
  </si>
  <si>
    <t xml:space="preserve"> UFF_COTAÇÃO 40 </t>
  </si>
  <si>
    <t xml:space="preserve"> UFF_COTAÇÃO 41 </t>
  </si>
  <si>
    <t xml:space="preserve"> UFF_COTAÇÃO 42 </t>
  </si>
  <si>
    <t xml:space="preserve"> UFF_COTAÇÃO 43 </t>
  </si>
  <si>
    <t xml:space="preserve"> 100308 </t>
  </si>
  <si>
    <t>MECÂNICO DE REFRIGERAÇÃO COM ENCARGOS COMPLEMENTARES</t>
  </si>
  <si>
    <t xml:space="preserve"> UFF_COTAÇÃO 44 </t>
  </si>
  <si>
    <t xml:space="preserve"> UFF_COTAÇÃO 45 </t>
  </si>
  <si>
    <t>CHAVE DE FLUXO DE AR TIPO PALHETA PARA DUTO DE AR CONDICIONADO</t>
  </si>
  <si>
    <t xml:space="preserve"> UFF00360 (ADAPT_SINAPI:  90777) </t>
  </si>
  <si>
    <t xml:space="preserve"> UFF_COTAÇÃO 46 </t>
  </si>
  <si>
    <t xml:space="preserve"> UFF_COTAÇÃO 47 </t>
  </si>
  <si>
    <t xml:space="preserve"> UFF_COTAÇÃO 48 </t>
  </si>
  <si>
    <t xml:space="preserve"> UFF_COTAÇÃO 49 </t>
  </si>
  <si>
    <t xml:space="preserve"> UFF_COTAÇÃO 50 </t>
  </si>
  <si>
    <t xml:space="preserve"> UFF_COTAÇÃO 51 </t>
  </si>
  <si>
    <t>INES - INSTALAÇÕES ESPECIAIS</t>
  </si>
  <si>
    <t xml:space="preserve"> UFF_COTAÇÃO 52 </t>
  </si>
  <si>
    <t xml:space="preserve"> UFF_COTAÇÃO 53 </t>
  </si>
  <si>
    <t xml:space="preserve"> UFF_COTAÇÃO 54 </t>
  </si>
  <si>
    <t>QUADRO DE DISTRIBUIÇÃO DE SOBREPOR CDS-5.1, EM CAIXA EM CHAPA DE AÇO, COM TRATAMENTO ANTI-CORROSIVO, COM PINTURA ELETROSTÁTICA EM EPÓXI-PÓ CORRUGADO, NA COR CINZA RAL, PORTA COM FECHO ESCAMOTEAVEL CREMONA YALE COM LINGUETA, COM BARRAMENTO TRIFÁSICO+NEUTRO+ TERRA MONTADO SOBRE PLACA DE MONTAGEM, CORRENTE NOMINAL 150A, CORRENTE DE CURTO CIRCUITO DE 20kA, CONFORME DIAGRAMA TRIFILAR E MEMORIAL DESCRITIVO, COMPLETO. FORNECIMENTO E MONTAGEM.</t>
  </si>
  <si>
    <t xml:space="preserve"> UFF_COTAÇÃO 55 </t>
  </si>
  <si>
    <t>QUADRO DE DISTRIBUIÇÃO DE SOBREPOR CDE-5.1, EM CAIXA EM CHAPA DE AÇO, COM TRATAMENTO ANTI-CORROSIVO, COM PINTURA ELETROSTÁTICA EM EPÓXI-PÓ CORRUGADO, NA COR CINZA RAL, PORTA COM FECHO ESCAMOTEAVEL CREMONA YALE COM LINGUETA, COM BARRAMENTO TRIFÁSICO+NEUTRO+ TERRA MONTADO SOBRE PLACA DE MONTAGEM, CORRENTE NOMINAL 150A, CORRENTE DE CURTO CIRCUITO DE 20kA, CONFORME DIAGRAMA TRIFILAR E MEMORIAL DESCRITIVO, CONTENDO, COMPLETO. FORNECIMENTO E MONTAGEM.</t>
  </si>
  <si>
    <t xml:space="preserve"> UFF_COTAÇÃO 56 </t>
  </si>
  <si>
    <t>QUADRO DE DISTRIBUIÇÃO DE SOBREPOR CDAC-5.1, EM CAIXA EM CHAPA DE AÇO, COM TRATAMENTO ANTI-CORROSIVO, COM PINTURA ELETROSTÁTICA EM EPÓXI-PÓ CORRUGADO, NA COR CINZA RAL, PORTA COM FECHO ESCAMOTEAVEL CREMONA YALE COM LINGUETA, COM BARRAMENTO TRIFÁSICO+NEUTRO+ TERRA MONTADO SOBRE PLACA DE MONTAGEM, CORRENTE NOMINAL 80A, CORRENTE DE CURTO CIRCUITO DE 20kA, CONFORME DIAGRAMA TRIFILAR E MEMORIAL DESCRITIVO, COMPLETO. FORNECIMENTO E MONTAGEM.</t>
  </si>
  <si>
    <t xml:space="preserve"> UFF_COTAÇÃO 57 </t>
  </si>
  <si>
    <t>QUADRO DE DISTRIBUIÇÃO DE SOBREPOR CDS-5.2, EM CAIXA EM CHAPA DE AÇO, COM TRATAMENTO ANTI-CORROSIVO, COM PINTURA ELETROSTÁTICA EM EPÓXI-PÓ CORRUGADO, NA COR CINZA RAL, PORTA COM FECHO ESCAMOTEAVEL CREMONA YALE COM LINGUETA, COM BARRAMENTO TRIFÁSICO+NEUTRO+ TERRA MONTADO SOBRE PLACA DE MONTAGEM, CORRENTE NOMINAL 125A, CORRENTE DE CURTO CIRCUITO DE 20kA, CONFORME DIAGRAMA TRIFILAR E MEMORIAL DESCRITIVO, COMPLETO. FORNECIMENTO E MONTAGEM.</t>
  </si>
  <si>
    <t xml:space="preserve"> UFF_COTAÇÃO 58 </t>
  </si>
  <si>
    <t>QUADRO DE DISTRIBUIÇÃO DE SOBREPOR CDE-5.2, EM CAIXA EM CHAPA DE AÇO, COM TRATAMENTO ANTI-CORROSIVO, COM PINTURA ELETROSTÁTICA EM EPÓXI-PÓ CORRUGADO, NA COR CINZA RAL, PORTA COM FECHO ESCAMOTEAVEL CREMONA YALE COM LINGUETA, COM BARRAMENTO TRIFÁSICO+NEUTRO+ TERRA MONTADO SOBRE PLACA DE MONTAGEM, CORRENTE NOMINAL 125A, CORRENTE DE CURTO CIRCUITO DE 20kA, CONFORME DIAGRAMA TRIFILAR E MEMORIAL DESCRITIVO, COMPLETO. FORNECIMENTO E MONTAGEM.</t>
  </si>
  <si>
    <t xml:space="preserve"> UFF_COTAÇÃO 59 </t>
  </si>
  <si>
    <t>QUADRO DE DISTRIBUIÇÃO DE SOBREPOR CDAC-5.2, EM CAIXA EM CHAPA DE AÇO, COM TRATAMENTO ANTI-CORROSIVO, COM PINTURA ELETROSTÁTICA EM EPÓXI-PÓ CORRUGADO, NA COR CINZA RAL, PORTA COM FECHO ESCAMOTEAVEL CREMONA YALE COM LINGUETA, COM BARRAMENTO TRIFÁSICO+NEUTRO+ TERRA MONTADO SOBRE PLACA DE MONTAGEM, CORRENTE NOMINAL 125A, CORRENTE DE CURTO CIRCUITO DE 20kA, CONFORME DIAGRAMA TRIFILAR E MEMORIAL DESCRITIVO, COMPLETO. FORNECIMENTO E MONTAGEM.</t>
  </si>
  <si>
    <t xml:space="preserve"> UFF_COTAÇÃO 60 </t>
  </si>
  <si>
    <t>QUADRO DE DISTRIBUIÇÃO DE SOBREPOR CDE-5, EM CAIXA EM CHAPA DE AÇO, COM TRATAMENTO ANTI-CORROSIVO, COM PINTURA ELETROSTÁTICA EM EPÓXI-PÓ CORRUGADO, NA COR CINZA RAL, PORTA COM FECHO ESCAMOTEAVEL CREMONA YALE COM LINGUETA, COM BARRAMENTO TRIFÁSICO+NEUTRO+ TERRA MONTADO SOBRE PLACA DE MONTAGEM, CORRENTE NOMINAL 125A, CORRENTE DE CURTO CIRCUITO DE 20kA, CONFORME DIAGRAMA TRIFILAR E MEMORIAL DESCRITIVO, COMPLETO. FORNECIMENTO E MONTAGEM.</t>
  </si>
  <si>
    <t xml:space="preserve"> UFF_COTAÇÃO 61 </t>
  </si>
  <si>
    <t>QUADRO DE DISTRIBUIÇÃO DE SOBREPOR CDS-4.1, EM CAIXA EM CHAPA DE AÇO, COM TRATAMENTO ANTI-CORROSIVO, COM PINTURA ELETROSTÁTICA EM EPÓXI-PÓ CORRUGADO, NA COR CINZA RAL, PORTA COM FECHO ESCAMOTEAVEL CREMONA YALE COM LINGUETA, COM BARRAMENTO TRIFÁSICO+NEUTRO+ TERRA MONTADO SOBRE PLACA DE MONTAGEM, CORRENTE NOMINAL 150A, CORRENTE DE CURTO CIRCUITO DE 20kA, CONFORME DIAGRAMA TRIFILAR E MEMORIAL DESCRITIVO, COMPLETO. FORNECIMENTO E MONTAGEM.</t>
  </si>
  <si>
    <t xml:space="preserve"> UFF_COTAÇÃO 62 </t>
  </si>
  <si>
    <t>QUADRO DE DISTRIBUIÇÃO DE SOBREPOR CDE-4.1, EM CAIXA EM CHAPA DE AÇO, COM TRATAMENTO ANTI-CORROSIVO, COM PINTURA ELETROSTÁTICA EM EPÓXI-PÓ CORRUGADO, NA COR CINZA RAL, PORTA COM FECHO ESCAMOTEAVEL CREMONA YALE COM LINGUETA, COM BARRAMENTO TRIFÁSICO+NEUTRO+ TERRA MONTADO SOBRE PLACA DE MONTAGEM, CORRENTE NOMINAL 150A, CORRENTE DE CURTO CIRCUITO DE 20kA, CONFORME DIAGRAMA TRIFILAR E MEMORIAL DESCRITIVO, COMPLETO. FORNECIMENTO E MONTAGEM.</t>
  </si>
  <si>
    <t xml:space="preserve"> UFF_COTAÇÃO 63 </t>
  </si>
  <si>
    <t>QUADRO DE DISTRIBUIÇÃO DE SOBREPOR CDAC-4.1, EM CAIXA EM CHAPA DE AÇO, COM TRATAMENTO ANTI-CORROSIVO, COM PINTURA ELETROSTÁTICA EM EPÓXI-PÓ CORRUGADO, NA COR CINZA RAL, PORTA COM FECHO ESCAMOTEAVEL CREMONA YALE COM LINGUETA, COM BARRAMENTO TRIFÁSICO+NEUTRO+ TERRA MONTADO SOBRE PLACA DE MONTAGEM, CORRENTE NOMINAL 80A, CORRENTE DE CURTO CIRCUITO DE 20kA, CONFORME DIAGRAMA TRIFILAR E MEMORIAL DESCRITIVO, COMPLETO. FORNECIMENTO E MONTAGEM.</t>
  </si>
  <si>
    <t xml:space="preserve"> UFF_COTAÇÃO 64 </t>
  </si>
  <si>
    <t>QUADRO DE DISTRIBUIÇÃO DE SOBREPOR CDS-4.2, EM CAIXA EM CHAPA DE AÇO, COM TRATAMENTO ANTI-CORROSIVO, COM PINTURA ELETROSTÁTICA EM EPÓXI-PÓ CORRUGADO, NA COR CINZA RAL, PORTA COM FECHO ESCAMOTEAVEL CREMONA YALE COM LINGUETA, COM BARRAMENTO TRIFÁSICO+NEUTRO+ TERRA MONTADO SOBRE PLACA DE MONTAGEM, CORRENTE NOMINAL 125A, CORRENTE DE CURTO CIRCUITO DE 20kA, CONFORME DIAGRAMA TRIFILAR E MEMORIAL DESCRITIVO, COMPLETO. FORNECIMENTO E MONTAGEM.</t>
  </si>
  <si>
    <t xml:space="preserve"> UFF_COTAÇÃO 65 </t>
  </si>
  <si>
    <t>QUADRO DE DISTRIBUIÇÃO DE SOBREPOR CDE-4.2, EM CAIXA EM CHAPA DE AÇO, COM TRATAMENTO ANTI-CORROSIVO, COM PINTURA ELETROSTÁTICA EM EPÓXI-PÓ CORRUGADO, NA COR CINZA RAL, PORTA COM FECHO ESCAMOTEAVEL CREMONA YALE COM LINGUETA, COM BARRAMENTO TRIFÁSICO+NEUTRO+ TERRA MONTADO SOBRE PLACA DE MONTAGEM, CORRENTE NOMINAL 125A, CORRENTE DE CURTO CIRCUITO DE 20kA, CONFORME DIAGRAMA TRIFILAR E MEMORIAL DESCRITIVO, COMPLETO. FORNECIMENTO E MONTAGEM.</t>
  </si>
  <si>
    <t xml:space="preserve"> UFF_COTAÇÃO 66 </t>
  </si>
  <si>
    <t>QUADRO DE DISTRIBUIÇÃO DE SOBREPOR CDAC-4.2, EM CAIXA EM CHAPA DE AÇO, COM TRATAMENTO ANTI-CORROSIVO, COM PINTURA ELETROSTÁTICA EM EPÓXI-PÓ CORRUGADO, NA COR CINZA RAL, PORTA COM FECHO ESCAMOTEAVEL CREMONA YALE COM LINGUETA, COM BARRAMENTO TRIFÁSICO+NEUTRO+ TERRA MONTADO SOBRE PLACA DE MONTAGEM, CORRENTE NOMINAL 125A, CORRENTE DE CURTO CIRCUITO DE 20kA, CONFORME DIAGRAMA TRIFILAR E MEMORIAL DESCRITIVO, COMPLETO. FORNECIMENTO E MONTAGEM.</t>
  </si>
  <si>
    <t xml:space="preserve"> UFF_COTAÇÃO 67 </t>
  </si>
  <si>
    <t>QUADRO DE DISTRIBUIÇÃO DE SOBREPOR CDE-4, EM CAIXA EM CHAPA DE AÇO, COM TRATAMENTO ANTI-CORROSIVO, COM PINTURA ELETROSTÁTICA EM EPÓXI-PÓ CORRUGADO, NA COR CINZA RAL, PORTA COM FECHO ESCAMOTEAVEL CREMONA YALE COM LINGUETA, COM BARRAMENTO TRIFÁSICO+NEUTRO+ TERRA MONTADO SOBRE PLACA DE MONTAGEM, CORRENTE NOMINAL 125A, CORRENTE DE CURTO CIRCUITO DE 20kA, CONFORME DIAGRAMA TRIFILAR E MEMORIAL DESCRITIVO, COMPLETO. FORNECIMENTO E MONTAGEM.</t>
  </si>
  <si>
    <t xml:space="preserve"> UFF_COTAÇÃO 68 </t>
  </si>
  <si>
    <t xml:space="preserve"> UFF_COTAÇÃO 69 </t>
  </si>
  <si>
    <t>QF-RECP - QUADRO DE COMANDO PARA 02 BOMBAS INCÊNDIO 7,5CV/220V</t>
  </si>
  <si>
    <t xml:space="preserve"> UFF_COTAÇÃO 70 </t>
  </si>
  <si>
    <t>QF-RECR - QUADRO DE COMANDO PARA 02 BOMBAS INCÊNDIO 7,5CV/220V</t>
  </si>
  <si>
    <t xml:space="preserve"> COTAÇÃO 307 </t>
  </si>
  <si>
    <t xml:space="preserve"> UFF_COTAÇÃO 161 </t>
  </si>
  <si>
    <t>PAINEL GERAL DE BAIXA TENSÃO, AUTOPORTANTE (QGBT-N), FABRICADOS CONFORME IEC NBR 60439-1, TENSÃO 220/127V, BARRAMENTO TRIPOLAR+NEUTRO+TERRA DE  5500A, COM DOIS CIRCUITOS DE ENTRADA COM DISJUNTORES GERAIS ABERTOS DE 3200A, 2 RELES DE MULTIFUNÇÃO, COM DISJUNTORES DE SAÍDA EM CAIXA MOLDADA ICC=100kA</t>
  </si>
  <si>
    <t xml:space="preserve"> 5928 </t>
  </si>
  <si>
    <t>GUINDAUTO HIDRÁULICO, CAPACIDADE MÁXIMA DE CARGA 6200 KG, MOMENTO MÁXIMO DE CARGA 11,7 TM, ALCANCE MÁXIMO HORIZONTAL 9,70 M, INCLUSIVE CAMINHÃO TOCO PBT 16.000 KG, POTÊNCIA DE 189 CV - CHP DIURNO. AF_06/2014</t>
  </si>
  <si>
    <t xml:space="preserve"> UFF_COTAÇÃO 162 </t>
  </si>
  <si>
    <t>PAINEL GERAL DE BAIXA TENSÃO, AUTOPORTANTE (QGBT-SE-AC), FABRICADOS CONFORME IEC NBR 60439-1, TENSÃO 380V, BARRAMENTO TRIPOLAR+NEUTRO+TERRA DE  4000A, COM UM CIRCUITO DE ENTRADA COM DISJUNTOR GERAL ABERTO DE 4000A, 1 RELE DE MULTIFUNÇÃO, COM DISJUNTORES DE SAÍDA EM CAIXA MOLDADA ICC=100kA, COMPLETO. FORNECIMENTO E MONTAGEM.</t>
  </si>
  <si>
    <t xml:space="preserve"> UFF_COTAÇÃO 163 </t>
  </si>
  <si>
    <t>PAINEL GERAL DE BAIXA TENSÃO, AUTOPORTANTE (QGBT-AC), FABRICADOS CONFORME IEC NBR 60439-1, TENSÃO 380V, BARRAMENTO TRIPOLAR+NEUTRO+TERRA DE 4000A, COM UM CIRCUITO DE ENTRADA COM DISJUNTOR GERAL ABERTO DE 4000A, 1 RELE DE MULTIFUNÇÃO, COM DISJUNTORES DE SAÍDA EM CAIXA MOLDADA ICC=100kA, COMPLETO. FORNECIMENTO E MONTAGEM.</t>
  </si>
  <si>
    <t xml:space="preserve"> UFF_COTAÇÃO 165 </t>
  </si>
  <si>
    <t>PAINEL DE FORÇA E COMANDO PARA AS UTAS, 380V, INCLUINDO CONTROLE DO MOTOR DE 15CV POR INVERSOR DE FREQUENCIA,  CONTROLE DE RESISTENCIAS POR MÓDULO DE POTENCIA ANALÓGICO ATÉ 100A  E PROTEÇÃO TERMOMAGNÉTICA PARA OS CIRCUITO ALIMENTADOR E O CIRCUITO DA RESISTENACIA POR DISJUNTOR E DO MOTOR POR DISJUNTOR MOTOR E RELÉ TÉRMICO. FORNECIMENTO E MONTAGEM.</t>
  </si>
  <si>
    <t xml:space="preserve"> UFF_COTAÇÃO 166 </t>
  </si>
  <si>
    <t>QDLT - 1 - 5kA/220V - QUADRO DE DISTRIBUIÇÃO DE ENERGIA EM CHAPA DE AÇO GALVANIZADO, DE SOBREPOR, PARA ATÉ 48 DISJUNTORES, COM BARRAMENTO TRIFÁSICO, PADRÃO DIN, COMPLETO - COM COMPONENTES.</t>
  </si>
  <si>
    <t xml:space="preserve"> UFF_COTAÇÃO 167 </t>
  </si>
  <si>
    <t>QDLT - 2 - 5kA/220V - QUADRO DE DISTRIBUIÇÃO DE ENERGIA EM CHAPA DE AÇO GALVANIZADO, DE SOBREPOR, PARA ATÉ 18 DISJUNTORES, COM BARRAMENTO TRIFÁSICO, PADRÃO DIN, COMPLETO - COM COMPONENTES.</t>
  </si>
  <si>
    <t xml:space="preserve"> UFF_COTAÇÃO 168 </t>
  </si>
  <si>
    <t>QDLT - 3 - 5kA/220V - QUADRO DE DISTRIBUIÇÃO DE ENERGIA EM CHAPA DE AÇO GALVANIZADO, DE SOBREPOR, PARA ATÉ 18 DISJUNTORES, COM BARRAMENTO TRIFÁSICO, PADRÃO DIN, COMPLETO - COM COMPONENTES.</t>
  </si>
  <si>
    <t xml:space="preserve"> UFF_COTAÇÃO 169 </t>
  </si>
  <si>
    <t>QDS - CB - 5kA/220V - QUADRO DE DISTRIBUIÇÃO DE ENERGIA EM CHAPA DE AÇO GALVANIZADO, DE SOBREPOR, PARA ATÉ 40 DISJUNTORES, COM BARRAMENTO TRIFÁSICO, PADRÃO DIN, COMPLETO - COM COMPONENTES.</t>
  </si>
  <si>
    <t xml:space="preserve"> UFF_COTAÇÃO 170 </t>
  </si>
  <si>
    <t>QF - INC. - 5kA/220V - QUADRO DE DISTRIBUIÇÃO DE ENERGIA EM CHAPA DE AÇO GALVANIZADO, DE SOBREPOR, PARA ATÉ 18 DISJUNTORES, COM BARRAMENTO TRIFÁSICO, PADRÃO DIN, COMPLETO - COM COMPONENTES.</t>
  </si>
  <si>
    <t xml:space="preserve"> UFF_COTAÇÃO 171 </t>
  </si>
  <si>
    <t>QD - GUAR / ILUM. EXT. - 5kA/220V - QUADRO DE DISTRIBUIÇÃO DE ENERGIA EM CHAPA DE AÇO GALVANIZADO, DE SOBREPOR, PARA ATÉ 18 DISJUNTORES, COM BARRAMENTO TRIFÁSICO, PADRÃO DIN, COMPLETO - COM COMPONENTES.</t>
  </si>
  <si>
    <t>CABO DE COBRE COM ISOLAMENTO TERMOPLASTICO PARA TENSAO DE SE RVICO DE 8,7/15KV,COMPREENDENDO:PREPARO,CORTE E ENFIACAO EM ELETRODUTO,NA BITOLA DE 35MM2.FORNECIMENTO E COLOCACAO 3%-DESGASTE DE FERRAMENTAS E EPI</t>
  </si>
  <si>
    <t xml:space="preserve"> 07024 </t>
  </si>
  <si>
    <t>CABO SINGELO, TENSAO 15KV, DE 35MM2</t>
  </si>
  <si>
    <t>CABO DE COBRE COM ISOLAMENTO TERMOPLASTICO PARA TENSAO DE SE RVICO DE 8,7/15KV,COMPREENDENDO:PREPARO,CORTE E ENFIACAO EM ELETRODUTO,NA BITOLA DE 50MM2.FORNECIMENTO E COLOCACAO 3%-DESGASTE DE FERRAMENTAS E EPI</t>
  </si>
  <si>
    <t xml:space="preserve"> 05650 </t>
  </si>
  <si>
    <t>CABO SINGELO, TENSAO 15KV, DE 50MM2</t>
  </si>
  <si>
    <t xml:space="preserve"> 045610 </t>
  </si>
  <si>
    <t>MUFLA TERMINAL PRIMARIA UNIPOLAR USO INTERNO PARA CABO 35/120mm2 ISOLACAO 15/25KV EM EPR - BORRACHA DE SILICONE (VALOR DE REFERENCIA SINAPI)</t>
  </si>
  <si>
    <t xml:space="preserve"> MOD900200 </t>
  </si>
  <si>
    <t>Ajudante de montador eletromecanico (desonerado)</t>
  </si>
  <si>
    <t xml:space="preserve"> MAT091150 </t>
  </si>
  <si>
    <t>Mufla terminal, externa, para cabo de 50mm2</t>
  </si>
  <si>
    <t xml:space="preserve"> 13256 </t>
  </si>
  <si>
    <t>TRANSFORMADOR DISTRIB.A SECO DE 1000KVA, ABRIGADO CLASSE 15KV TENSAO PRIMARIA 13, 8KV, TENSAO SECUND.220/127V-60HZ,C/ACESS</t>
  </si>
  <si>
    <t xml:space="preserve"> 93402 </t>
  </si>
  <si>
    <t>GUINDAUTO HIDRÁULICO, CAPACIDADE MÁXIMA DE CARGA 3300 KG, MOMENTO MÁXIMO DE CARGA 5,8 TM, ALCANCE MÁXIMO HORIZONTAL 7,60 M, INCLUSIVE CAMINHÃO TOCO PBT 16.000 KG, POTÊNCIA DE 189 CV - CHP DIURNO. AF_03/2016</t>
  </si>
  <si>
    <t xml:space="preserve"> UFF_COTAÇÃO 172 </t>
  </si>
  <si>
    <t xml:space="preserve"> 100307 </t>
  </si>
  <si>
    <t>MONTADOR DE ELETROELETRÔNICOS COM ENCARGOS COMPLEMENTARES</t>
  </si>
  <si>
    <t>INSTALACOES ELETRICAS - SUBESTACOES E GERACAO</t>
  </si>
  <si>
    <t xml:space="preserve"> 005012 </t>
  </si>
  <si>
    <t>TAPETE ISOLANTE 20KV 1,00x1,00m NR10 COM LAUDO</t>
  </si>
  <si>
    <t>GRADE PARA PROTECAO DE SUBESTACAO ELETRICA OU EQUIVALENTE,EM TELA DE ARAME GALVANIZADO Nº12,MALHA QUADRANGULAR DE (25X25) MM,FORMANDO QUADROS CONTORNADOS POR CANTONEIRAS DE FERRO DE 3/4"X3/4"X1/8",FIXADOS EM MONTANTES DE TUBOS GALVANIZADOS CO M DIAMETRO DE 2".FORNECIMENTO E COLOCACAO 3%-DESGASTE DE FERRAMENTAS E EPI 10%-PERDAS E DEMAIS MATERIAIS NECESSARIOS 20%-PERDAS E DEMAIS MATERIAIS NECESSARIOS</t>
  </si>
  <si>
    <t xml:space="preserve"> 00406 </t>
  </si>
  <si>
    <t>TELA DE ARAME GALVANIZADO, FIO Nº 12(2,7 7mm), MALHA QUADRANGULAR (ONDULADA), DE (25 X 25)MM</t>
  </si>
  <si>
    <t xml:space="preserve"> 00011 </t>
  </si>
  <si>
    <t>CANTONEIRA DE ACO DOCE, P/SERRALHERIA, P RECO DE REVENDEDOR, DE 5/8"X1/8" ATE 1.1 /2"X1/8"</t>
  </si>
  <si>
    <t xml:space="preserve"> 00173 </t>
  </si>
  <si>
    <t>TUBO DE ACO GALVANIZADO, COM COSTURA, PE SADO, NBR 5580, DN=2"</t>
  </si>
  <si>
    <t xml:space="preserve"> 00001337 </t>
  </si>
  <si>
    <t>CHAPA DE ACO XADREZ PARA PISOS, E = 1/4" (6,30 MM) 54,53 KG/M2</t>
  </si>
  <si>
    <t xml:space="preserve"> MT 04.05.0050 </t>
  </si>
  <si>
    <t>Escavacao manual de vala em material de 1a categoria (areia, argila ou picarra), ate 1,50m, exclusive escoramento e esgotamento.(desonerado)</t>
  </si>
  <si>
    <t>MT</t>
  </si>
  <si>
    <t xml:space="preserve"> ET 04.05.0250 </t>
  </si>
  <si>
    <t>Materiais para confeccao de concreto estrutural dosado para uma resistencia caracteristica a compressao (fck) minimo de 15MPa, inclusive perdas. Fornecimento.(desonerado)</t>
  </si>
  <si>
    <t xml:space="preserve"> ET 04.10.0050 </t>
  </si>
  <si>
    <t>Concreto para camada preparatoria com 180Kg de cimento por m3 de concreto, compreendendo apenas o fornecimento dos materiais, inclusive perdas de 5%.(desonerado)</t>
  </si>
  <si>
    <t xml:space="preserve"> ET 04.25.0703 </t>
  </si>
  <si>
    <t>Lancamento de concreto em pecas armadas, inclusive a colocacao, o adensamento e o acabamento, exclusive o transporte (TC 05.10.0050), considerando a producao normal.(desonerado)</t>
  </si>
  <si>
    <t xml:space="preserve"> RV 04.10.0059 </t>
  </si>
  <si>
    <t>Argamassa de cimento e areia, no traco 1:3.(desonerado)</t>
  </si>
  <si>
    <t xml:space="preserve"> ET 09.10.0061 </t>
  </si>
  <si>
    <t>Corte, dobragem, montagem e colocacao de ferragens nas formas, aco CA-50, em barra redonda, com diametro entre 8mm e 12,5mm.(desonerado)</t>
  </si>
  <si>
    <t xml:space="preserve"> MT 14.05.0250 </t>
  </si>
  <si>
    <t>Reaterro de vala, compactado a maco, em camadas de 30cm de espessura maxima, com material de boa qualidade.(desonerado)</t>
  </si>
  <si>
    <t xml:space="preserve"> 90781 </t>
  </si>
  <si>
    <t xml:space="preserve"> ET 04.20.0200 </t>
  </si>
  <si>
    <t>Preparo mecanico de concreto, compreendendo a mistura e o amassamento em betoneira, exclusive materiais, considerando producao normal.(desonerado)</t>
  </si>
  <si>
    <t xml:space="preserve"> RV 09.05.0050 </t>
  </si>
  <si>
    <t>Chapisco de superficie de concreto ou alvenaria, com argamassa de cimento e areia no traco 1:3.(desonerado)</t>
  </si>
  <si>
    <t xml:space="preserve"> MAT000650 </t>
  </si>
  <si>
    <t>Aco CA-50, de: 6,30mm</t>
  </si>
  <si>
    <t xml:space="preserve"> MAT096500 </t>
  </si>
  <si>
    <t>Peca de madeira serrada, secao (2,5cm x 22,5cm / 1" x 9") - grupo II da Tabela Classificatoria de Especificacoes de Produtos Madeireiros</t>
  </si>
  <si>
    <t xml:space="preserve"> MAT096600 </t>
  </si>
  <si>
    <t>Peca de madeira serrada, secao (2,5cm x 30cm / 1" x 12") - grupo II da Tabela Classificatoria de Especificacoes de Produtos Madeireiros</t>
  </si>
  <si>
    <t xml:space="preserve"> MAT000700 </t>
  </si>
  <si>
    <t>Aco CA-50, de: 8mm</t>
  </si>
  <si>
    <t xml:space="preserve"> MAT013700 </t>
  </si>
  <si>
    <t>Bloco de concreto prensado para alvenaria, medindo: (10x20x40)cm</t>
  </si>
  <si>
    <t xml:space="preserve"> MAT096800 </t>
  </si>
  <si>
    <t>Peca de madeira serrada, secao (7,5cm x 7,5cm / 3" x 3") - grupo II da Tabela Classificatoria de Especificacoes de Produtos Madeireiros</t>
  </si>
  <si>
    <t xml:space="preserve"> MAT112150 </t>
  </si>
  <si>
    <t>Prego com cabeca, de (18x30)</t>
  </si>
  <si>
    <t xml:space="preserve"> MAT080400 </t>
  </si>
  <si>
    <t>Lona de polietileno (lona terreiro), espessura de 0,20mm</t>
  </si>
  <si>
    <t xml:space="preserve"> MAT005700 </t>
  </si>
  <si>
    <t>Arame recozido no 18</t>
  </si>
  <si>
    <t xml:space="preserve"> 00000863 </t>
  </si>
  <si>
    <t>CABO DE COBRE NU 35 MM2 MEIO-DURO</t>
  </si>
  <si>
    <t xml:space="preserve"> 00000867 </t>
  </si>
  <si>
    <t>CABO DE COBRE NU 50 MM2 MEIO-DURO</t>
  </si>
  <si>
    <t xml:space="preserve"> 00000865 </t>
  </si>
  <si>
    <t>CABO DE COBRE NU 95 MM2 MEIO-DURO</t>
  </si>
  <si>
    <t xml:space="preserve"> 087547 </t>
  </si>
  <si>
    <t>FERRAMENTA - ALICATE PARA CADINHO SOLDA EXOTERMICA Z201 GRANDE</t>
  </si>
  <si>
    <t xml:space="preserve"> 071889 </t>
  </si>
  <si>
    <t>CARTUCHO EM PO PARA SOLDA EXOTERMICA 90/115/150/250</t>
  </si>
  <si>
    <t xml:space="preserve"> 163358 </t>
  </si>
  <si>
    <t>PALITO IGNITOR PARA SOLDA EXOTERMICA</t>
  </si>
  <si>
    <t xml:space="preserve"> 033225 </t>
  </si>
  <si>
    <t>MOLDE CADINHO SOLDA EXOTERMICA 16/35mm HASTE 35mm Fi Hcj 5/8-35-2 MAXXAWELD</t>
  </si>
  <si>
    <t>TERMINAL MECANICO A COMPRESSAO,FABRICADO EM BRONZE,PARA CABO DE 35MM2.FORNECIMENTO E COLOCACAO 3%-DESGASTE DE FERRAMENTAS E EPI</t>
  </si>
  <si>
    <t xml:space="preserve"> 07697 </t>
  </si>
  <si>
    <t>TERMINAL MECANICO A COMPRESSAO, EM BRONZ E, P/CABO NA BITOLA DE 035MM2</t>
  </si>
  <si>
    <t xml:space="preserve"> 080123 </t>
  </si>
  <si>
    <t>CAIXA DE EQUALIZACAO COM BARRAMENTO TERMOTECNICA 210x210x90 TEL-901</t>
  </si>
  <si>
    <t xml:space="preserve"> UFF_COTAÇÃO 173 </t>
  </si>
  <si>
    <t>Recomposição de Pavimentos</t>
  </si>
  <si>
    <t xml:space="preserve"> 91278 </t>
  </si>
  <si>
    <t>PLACA VIBRATÓRIA REVERSÍVEL COM MOTOR 4 TEMPOS A GASOLINA, FORÇA CENTRÍFUGA DE 25 KN (2500 KGF), POTÊNCIA 5,5 CV - CHI DIURNO. AF_08/2015</t>
  </si>
  <si>
    <t xml:space="preserve"> 00004741 </t>
  </si>
  <si>
    <t>PO DE PEDRA (POSTO PEDREIRA/FORNECEDOR, SEM FRETE)</t>
  </si>
  <si>
    <t xml:space="preserve"> UFF_COTAÇÃO 174 </t>
  </si>
  <si>
    <t>Cabo de cobre 120 mm², tensão de isolamento 8,7/15kV, isolação EPR 90°C</t>
  </si>
  <si>
    <t xml:space="preserve"> 91952 </t>
  </si>
  <si>
    <t>INTERRUPTOR SIMPLES (1 MÓDULO), 10A/250V, SEM SUPORTE E SEM PLACA - FORNECIMENTO E INSTALAÇÃO. AF_03/2023</t>
  </si>
  <si>
    <t xml:space="preserve"> 91958 </t>
  </si>
  <si>
    <t>INTERRUPTOR SIMPLES (2 MÓDULOS), 10A/250V, SEM SUPORTE E SEM PLACA - FORNECIMENTO E INSTALAÇÃO. AF_03/2023</t>
  </si>
  <si>
    <t xml:space="preserve"> 00038101 </t>
  </si>
  <si>
    <t>TOMADA 2P+T 10A, 250V (APENAS MODULO)</t>
  </si>
  <si>
    <t xml:space="preserve"> 91995 </t>
  </si>
  <si>
    <t>TOMADA MÉDIA DE EMBUTIR (1 MÓDULO), 2P+T 20 A, SEM SUPORTE E SEM PLACA - FORNECIMENTO E INSTALAÇÃO. AF_03/2023</t>
  </si>
  <si>
    <t xml:space="preserve"> UFF_COTAÇÃO 175 </t>
  </si>
  <si>
    <t>INSTALACOES ELETRICAS - LUMINARIAS</t>
  </si>
  <si>
    <t xml:space="preserve"> 004629 </t>
  </si>
  <si>
    <t>LUMINARIA DE EMBUTIR DIRECIONAVEL LED DICROICA 12W BASE BRANCA ILUMININ</t>
  </si>
  <si>
    <t xml:space="preserve"> 003420 </t>
  </si>
  <si>
    <t>FITA ISOLANTE HIGHLAND ADESIVA 19m x 20mm</t>
  </si>
  <si>
    <t xml:space="preserve"> UFF_COTAÇÃO 176 </t>
  </si>
  <si>
    <t>LÂMPADA LED AR111 GU10 12° 4000K 12W BIVOLT</t>
  </si>
  <si>
    <t>LUMINARIA LED TUBULAR DE SOBREPOR, 2X18W (INCLUSIVE LAMPADAS ),CORPO EM CHAPA DE ACO TRATADA E PINTURA ELETROSTATICA BRAN CA, REFLETOR EM ALUMINIO DE ALTO BRILHO, COM ALETAS, SEM REA TOR. FORNECIMENTO E COLOCACAO 3%-DESGASTE DE FERRAMENTAS E EPI</t>
  </si>
  <si>
    <t xml:space="preserve"> 13232 </t>
  </si>
  <si>
    <t>LUMINARIA SOBREPOR P/ 2 LAMPADAS TUBULAR ES DE 1200MM C/ REFLETOR EM ALUMINIO ALT O BRILHO EM CHAPA DE ACO COM ALETAS</t>
  </si>
  <si>
    <t xml:space="preserve"> 14190 </t>
  </si>
  <si>
    <t>LAMPADA LED, TUBULAR, 1200MM, T8, 18W, F LUXO LUMINOSO EM TORNO DE 1850LM</t>
  </si>
  <si>
    <t xml:space="preserve"> 050372 </t>
  </si>
  <si>
    <t>LUMINARIA DE EMBUTIR PLAFON 18W LED BRANCO FRIO 22,5x22,5 BRONZEARTE</t>
  </si>
  <si>
    <t xml:space="preserve"> 14189 </t>
  </si>
  <si>
    <t>LAMPADA LED, TUBULAR, 600MM, T8, 9W, FLU XO LUMINOSO EM TORNO DE 900LM</t>
  </si>
  <si>
    <t xml:space="preserve"> 087499 </t>
  </si>
  <si>
    <t>LUMINARIA DE EMBUTIR COM REFLETOR ALETA ALTA PARA 4 LAMPADAS TUBOLED 60cm</t>
  </si>
  <si>
    <t xml:space="preserve"> 049526 </t>
  </si>
  <si>
    <t>LUMINARIA - REFLETOR 100W LED LINEAR BLINDADO A PROVA DE AGUA</t>
  </si>
  <si>
    <t xml:space="preserve"> 00038775 </t>
  </si>
  <si>
    <t>LUMINARIA TIPO TARTARUGA PARA AREA EXTERNA EM ALUMINIO, COM GRADE, PARA 1 LAMPADA, BASE E27, POTENCIA MAXIMA 40/60 W (NAO INCLUI LAMPADA)</t>
  </si>
  <si>
    <t xml:space="preserve"> 14714 </t>
  </si>
  <si>
    <t>LAMPADA LED,BULBO,A60,30W,100/240V,BASE E-27</t>
  </si>
  <si>
    <t>CABO PP 3 CONDUTORES 450/750V 1,50mm2</t>
  </si>
  <si>
    <t xml:space="preserve"> 012824 </t>
  </si>
  <si>
    <t>CABO PP CORDPLAST 3 CONDUTORES 450/750V 1,50mm2</t>
  </si>
  <si>
    <t>CABO PP 3 CONDUTORES 450/750V 2,50mm2</t>
  </si>
  <si>
    <t xml:space="preserve"> 002706 </t>
  </si>
  <si>
    <t>CABO PP CORDPLAST 3 CONDUTORES 450/750V 2,50mm2</t>
  </si>
  <si>
    <t xml:space="preserve"> 036559 </t>
  </si>
  <si>
    <t>PLUG MACHO 2P + T 20A</t>
  </si>
  <si>
    <t xml:space="preserve"> UFF_COTAÇÃO 177 </t>
  </si>
  <si>
    <t>Prensa Cabo Pg16 Preto P/ Cabos 8,5-14mm</t>
  </si>
  <si>
    <t xml:space="preserve"> 00039246 </t>
  </si>
  <si>
    <t>ELETRODUTO/DUTO PEAD FLEXIVEL PAREDE SIMPLES, CORRUGACAO HELICOIDAL, COR PRETA, SEM ROSCA, DE 1 1/2", CRC 680 N, PARA CABEAMENTO SUBTERRANEO (NBR 15715)</t>
  </si>
  <si>
    <t xml:space="preserve"> 055007 </t>
  </si>
  <si>
    <t>CAIXA DE PASSAGEM E INSPECAO EM CONCRETO 40x40x40cm COM TAMPA</t>
  </si>
  <si>
    <t xml:space="preserve"> 14857 </t>
  </si>
  <si>
    <t>SUPORTE (NUCLEO), SIMPLES, EM ACO GALVAN IZADO, PARA LUMINARIA DECORATIVA-PUBLICA  TIPO PETALA EM TOPO DE POSTE</t>
  </si>
  <si>
    <t xml:space="preserve"> 07062 </t>
  </si>
  <si>
    <t>RELE FOTOELETRICO, PARA LUMINARIA EXTERN A, DE 1000W-220V</t>
  </si>
  <si>
    <t xml:space="preserve"> 000366 </t>
  </si>
  <si>
    <t>LUMINARIA PUBLICA COB SUPER LED TIPO PETALA 100W 6500K BRANCO</t>
  </si>
  <si>
    <t xml:space="preserve"> 050571 </t>
  </si>
  <si>
    <t>LAMPADA BULBO LED A125 85W 6500K 48LHP85FK000 ELGIN</t>
  </si>
  <si>
    <t>ESCAVAÇÃO MECANIZADA DE VALA COM PROF. ATÉ 1,5 M (MÉDIA MONTANTE E JUSANTE/UMA COMPOSIÇÃO POR TRECHO), RETROESCAV. (0,26 M3), LARG. MENOR QUE 0,8 M, EM SOLO DE 1A CATEGORIA, EM LOCAIS COM ALTO NÍVEL DE INTERFERÊNCIA. AF_09/2024</t>
  </si>
  <si>
    <t>REATERRO MECANIZADO DE VALA COM RETROESCAVADEIRA (CAPACIDADE DA CAÇAMBA DA RETRO: 0,26 M³/POTÊNCIA: 88 HP), LARGURA ATÉ 0,8 M, PROFUNDIDADE ATÉ 1,5 M, COM SOLO (SEM SUBSTITUIÇÃO) DE 1ª CATEGORIA, COM PLACA VIBRATÓRIA. AF_08/2023</t>
  </si>
  <si>
    <t xml:space="preserve"> 98463 </t>
  </si>
  <si>
    <t>SUPORTE ISOLADOR PARA FIXAÇÃO DA CORDOALHA DE COBRE EM ALVENARIA OU CONCRETO - FORNECIMENTO E INSTALAÇÃO. AF_08/2023</t>
  </si>
  <si>
    <t>TERMINAL AEREO PARA PARA-RAIO(CAPTOR 1 PONTA)EM LATAO MACICO ,3/8"X600MM,FIXACAO COM ROSCA MECANICA E ABRACADEIRA,INCLUSI VE CAPTOR.FORNECIMENTO E COLOCACAO 3%-DESGASTE DE FERRAMENTAS E EPI</t>
  </si>
  <si>
    <t xml:space="preserve"> 11854 </t>
  </si>
  <si>
    <t>TERMINAL AEREO MECANICO, PARA PARA-RAIOS  (CAPTOR 1 PONTA) EM LATAO MACICO 3/8X60 0MM</t>
  </si>
  <si>
    <t xml:space="preserve"> ET 04.60.0050 </t>
  </si>
  <si>
    <t>Concreto armado, executado com concreto dosado para uma resistencia caracteristica a compressao de 15MPa, incluindo materiais para 1m3 de concreto, preparado segundo o item ET 05.20.0200, e colocacao segundo o item ET 05.25.0706; 12m2 de area moldada de formas segundo o item ET 15.10.0100, 60kg de aco CA-50A, inclusive mao-de-obra para corte, dobragem, montagem, tratamento de juntas de concretagem coforme o item 4.16.8 da (NBR-10839), e colocacao nas formas, exclusive escoramento. A utilizacao deste item e recomendada para quantidades inferiores a 20m3.(desonerado)</t>
  </si>
  <si>
    <t xml:space="preserve"> MOD900950 </t>
  </si>
  <si>
    <t>Eletricista - instalacao eletrica predial e industrial comum (desonerado)</t>
  </si>
  <si>
    <t xml:space="preserve"> MAT066600 </t>
  </si>
  <si>
    <t>Haste de aterramento cobreada, alta camada, de (5/8"x3m)</t>
  </si>
  <si>
    <t xml:space="preserve"> 078850 </t>
  </si>
  <si>
    <t>LAUDO DE RESISTIVIDADE DE SOLO PARA ATERRAMENTO</t>
  </si>
  <si>
    <t xml:space="preserve"> 078016 </t>
  </si>
  <si>
    <t>MEDICAO DA MALHA DE ATERRAMENTO INCLUSIVE ART</t>
  </si>
  <si>
    <t xml:space="preserve"> UFF_COTAÇÃO 178 </t>
  </si>
  <si>
    <t xml:space="preserve"> 077114 </t>
  </si>
  <si>
    <t>CAIXA DE INSPECAO SUSPENSA EM POLIPROPILENO REF PRT-960 PARA ATERRAMENTO</t>
  </si>
  <si>
    <t xml:space="preserve"> 101618 </t>
  </si>
  <si>
    <t>PREPARO DE FUNDO DE VALA COM LARGURA MENOR QUE 1,5 M, COM CAMADA DE AREIA, LANÇAMENTO MANUAL. AF_08/2020</t>
  </si>
  <si>
    <t xml:space="preserve"> 00034643 </t>
  </si>
  <si>
    <t>CAIXA DE INSPECAO PARA ATERRAMENTO E PARA RAIOS, EM POLIPROPILENO, DIAMETRO = 300 MM X ALTURA = 400 MM (INCLUIDA TAMPA SEM ESCOTILHA)</t>
  </si>
  <si>
    <t xml:space="preserve"> 077115 </t>
  </si>
  <si>
    <t>TAMPA FERRO FUNDIDO 300mm PARA TEL550/552</t>
  </si>
  <si>
    <t xml:space="preserve"> 045225 </t>
  </si>
  <si>
    <t xml:space="preserve"> 088002 </t>
  </si>
  <si>
    <t>BARRA CHATA DE ACO 1"x1/4"</t>
  </si>
  <si>
    <t xml:space="preserve"> MAT092900 </t>
  </si>
  <si>
    <t>Parafuso de aco galvanizado, cabeca redonda, rosca soberba, medindo: (1/4"x2")</t>
  </si>
  <si>
    <t xml:space="preserve"> 00011854 </t>
  </si>
  <si>
    <t>CONECTOR METALICO TIPO PARAFUSO FENDIDO (SPLIT BOLT), PARA CABOS ATE 35 MM2</t>
  </si>
  <si>
    <t xml:space="preserve"> 001238 </t>
  </si>
  <si>
    <t>GRUPO GERADOR 49,5/55 KVA YBG55TE 127/220V YANMAR</t>
  </si>
  <si>
    <t>ELETROCALHA PERFURADA,SEM TAMPA,TIPO "U",200X50MM,TRATAMENTO SUPERFICIAL PRE-ZINCADO A QUENTE,INCLUSIVE CONEXOES,ACESSOR IOS E FIXACAO SUPERIOR.FORNECIMENTO E COLOCACAO 3%-DESGASTE DE FERRAMENTAS E EPI 20%-CONEXOES</t>
  </si>
  <si>
    <t xml:space="preserve"> 13876 </t>
  </si>
  <si>
    <t>SUPORTE SUSPENSAO OMEGA P/ELETROCALHA PE RFURADA OU LISA 200X50MM (LARGURA X ABA)</t>
  </si>
  <si>
    <t xml:space="preserve"> 11946 </t>
  </si>
  <si>
    <t>ELETROCALHA PERFURADA, SEM VIROLA, MED. (200X50X3000)MM, PRE-ZINCADA, SEM TAMPA</t>
  </si>
  <si>
    <t>ELETROCALHA PERFURADA,SEM TAMPA,TIPO "U",300X50MM,TRATAMENTO SUPERFICIAL PRE-ZINCADO A QUENTE,INCLUSIVE CONEXOES,ACESSOR IOS E FIXACAO SUPERIOR.FORNECIMENTO E COLOCACAO 3%-DESGASTE DE FERRAMENTAS E EPI 20%-CONEXOES</t>
  </si>
  <si>
    <t xml:space="preserve"> 11948 </t>
  </si>
  <si>
    <t>ELETROCALHA PERFURADA, SEM VIROLA, MED. (300X50X3000)MM, PRE-ZINCADA, SEM TAMPA</t>
  </si>
  <si>
    <t>TE HORIZONTAL,90º,PARA ELETROCALHA PERFURADA OU LISA,200X50M M.FORNECIMENTO E COLOCACAO 3%-DESGASTE DE FERRAMENTAS E EPI</t>
  </si>
  <si>
    <t xml:space="preserve"> 12126 </t>
  </si>
  <si>
    <t>TE HORIZONTAL 90°, PARA ELETROCALHA PERF URADA OU LISA, 200X50MM, PRE-ZINCADA</t>
  </si>
  <si>
    <t>TE HORIZONTAL,90º,PARA ELETROCALHA PERFURADA OU LISA,300X50M M.FORNECIMENTO E COLOCACAO 3%-DESGASTE DE FERRAMENTAS E EPI</t>
  </si>
  <si>
    <t xml:space="preserve"> 12128 </t>
  </si>
  <si>
    <t>TE HORIZONTAL 90°, PARA ELETROCALHA PERF URADA OU LISA, 300X50MM, PRE-ZINCADA</t>
  </si>
  <si>
    <t>TE VERTICAL DE DERIVACAO OU LATERAL,PARA ELETROCALHA PERFURA DA OU LISA,300X50MM.FORNECIMENTO E COLOCACAO 3%-DESGASTE DE FERRAMENTAS E EPI</t>
  </si>
  <si>
    <t xml:space="preserve"> 12146 </t>
  </si>
  <si>
    <t>TE VERTICAL DE DERIVACAO, PARA ELETROCAL HA PERFURADA OU LISA, 300X50MM, PRE-ZINC ADA</t>
  </si>
  <si>
    <t>CURVA HORIZONTAL,90º,PARA ELETROCALHA PERFURADA OU LISA,300X 50MM.FORNECIMENTO E COLOCACAO 3%-DESGASTE DE FERRAMENTAS E EPI</t>
  </si>
  <si>
    <t xml:space="preserve"> 12002 </t>
  </si>
  <si>
    <t>CURVA HORIZONTAL, 90º, PARA ELETROCALHA PERFURADA OU LISA, 50X300MM, PRE-ZINCADA</t>
  </si>
  <si>
    <t>CURVA DE INVERSAO,90º,PARA ELETROCALHA PERFURADA OU LISA,200 X50MM.FORNECIMENTO E COLOCACAO 3%-DESGASTE DE FERRAMENTAS E EPI</t>
  </si>
  <si>
    <t xml:space="preserve"> 12108 </t>
  </si>
  <si>
    <t>CURVA DE INVERSAO 90°, PARA ELETROCALHA PERFURADA OU LISA, 200X50MM, PRE-ZINCADA</t>
  </si>
  <si>
    <t>CURVA DE INVERSAO,90º,PARA ELETROCALHA PERFURADA OU LISA,300 X50MM.FORNECIMENTO E COLOCACAO 3%-DESGASTE DE FERRAMENTAS E EPI</t>
  </si>
  <si>
    <t xml:space="preserve"> 12110 </t>
  </si>
  <si>
    <t>CURVA DE INVERSAO 90°, PARA ELETROCALHA PERFURADA OU LISA, 300X50MM, PRE-ZINCADA</t>
  </si>
  <si>
    <t>REDUCAO CONCENTRICA,PARA ELETROCALHA PERFURADA OU LISA,300X2 00MM.FORNECIMENTO E COLOCACAO 3%-DESGASTE DE FERRAMENTAS E EPI</t>
  </si>
  <si>
    <t xml:space="preserve"> 12244 </t>
  </si>
  <si>
    <t>REDUCAO CONCENTRICA, PARA ELETROCALHA PE RFURADA OU LISA, 300X200MM, PRE-ZINCADA</t>
  </si>
  <si>
    <t>CRUZETA RETA,PARA ELETROCALHA PERFURADA OU LISA,300X50MM.FOR NECIMENTO E COLOCACAO 3%-DESGASTE DE FERRAMENTAS E EPI</t>
  </si>
  <si>
    <t xml:space="preserve"> 12219 </t>
  </si>
  <si>
    <t>CRUZETA RETA, PARA ELETROCALHA PERFURADA  OU LISA, 300X50MM, PRE-ZINCADA</t>
  </si>
  <si>
    <t>REDUCAO CONCENTRICA,PARA ELETROCALHA PERFURADA OU LISA,300X1 00MM.FORNECIMENTO E COLOCACAO 3%-DESGASTE DE FERRAMENTAS E EPI</t>
  </si>
  <si>
    <t xml:space="preserve"> 12246 </t>
  </si>
  <si>
    <t>REDUCAO CONCENTRICA, PARA ELETROCALHA PE RFURADA OU LISA, 300X100MM, PRE-ZINCADA</t>
  </si>
  <si>
    <t xml:space="preserve"> 00002586 </t>
  </si>
  <si>
    <t>CONDULETE DE ALUMINIO TIPO T, PARA ELETRODUTO ROSCAVEL DE 1", COM TAMPA CEGA</t>
  </si>
  <si>
    <t xml:space="preserve"> 007863 </t>
  </si>
  <si>
    <t>CONJUNTO DE BUCHA/ARRUELA DE ALUMINIO PARA ELETRODUTO 1"</t>
  </si>
  <si>
    <t xml:space="preserve"> 072256 </t>
  </si>
  <si>
    <t>FIBRA OPTICA - CABO OPTICO MONOMODO AUTOSUSTE. SM9/125 SEMI GELE.9/125 12Fo</t>
  </si>
  <si>
    <t xml:space="preserve"> UFF_COTAÇÃO 179 </t>
  </si>
  <si>
    <t>Cabo Óptico Monomodo 12FO</t>
  </si>
  <si>
    <t>TOMADA TIPO RJ45,DE EMBUTIR,COMPLETA,PARA LOGICA.FORNECIMENT O E COLOCACAO 3%-DESGASTE DE FERRAMENTAS E EPI</t>
  </si>
  <si>
    <t xml:space="preserve"> 12748 </t>
  </si>
  <si>
    <t>TOMADA TIPO RJ45, DE EMBUTIR, COMPLETA, PARA LOGICA</t>
  </si>
  <si>
    <t>Redes de Lógica, Telefonia e Imagem</t>
  </si>
  <si>
    <t xml:space="preserve"> 00039596 </t>
  </si>
  <si>
    <t>PATCH PANEL, 24 PORTAS, CATEGORIA 6, COM RACKS DE 19" DE LARGURA E 1 U DE ALTURA</t>
  </si>
  <si>
    <t xml:space="preserve"> 058975 </t>
  </si>
  <si>
    <t>RACK - ORGANIZADOR HORIZONTAL DE CABOS 1 U</t>
  </si>
  <si>
    <t xml:space="preserve"> 099302 </t>
  </si>
  <si>
    <t>AJUDANTE ESPECIALIZADO - ELETROTECNICO</t>
  </si>
  <si>
    <t>INSTALACOES DE TELEFONE-LOGICA-CFTV-CATV</t>
  </si>
  <si>
    <t xml:space="preserve"> 047588 </t>
  </si>
  <si>
    <t>RACK - DISTRIBUIDOR INTERNO OPTICO DIO 24 FIBRAS ODF FULL JZ-1823 APC</t>
  </si>
  <si>
    <t xml:space="preserve"> 099031 </t>
  </si>
  <si>
    <t>ELETROTECNICO</t>
  </si>
  <si>
    <t xml:space="preserve"> 00043836 </t>
  </si>
  <si>
    <t>RACK DE PISO PARA SERVIDOR, FECHADO, 44U, COM PORTA, 44U X *570* MM</t>
  </si>
  <si>
    <t>REDE DE LOGICA E CFTV</t>
  </si>
  <si>
    <t xml:space="preserve"> UFF_COTAÇÃO 182 </t>
  </si>
  <si>
    <t>CAMERA POE, FIXA, RESOLUÇÃO 4K, 8 MEGAPIXELS, ALCANCE DE ATÉ 60 METROS, USO INTERNO/EXTERNO, COM INFRAVERMELHO, CASE METÁLICO, INDICE DE PROTEÇÃO IP67, COM PROTEÇÃO ANTI-SURTO.</t>
  </si>
  <si>
    <t xml:space="preserve"> UFF_COTAÇÃO 183 </t>
  </si>
  <si>
    <t>ELETRODUTO DE ALUMÍNIO 3/4" COM ROSCA BSP, VARA COM 3M</t>
  </si>
  <si>
    <t xml:space="preserve"> 087016 </t>
  </si>
  <si>
    <t>ELETRODUTO FLEXIVEL TIPO SEALTUBE 1"</t>
  </si>
  <si>
    <t xml:space="preserve"> 00002483 </t>
  </si>
  <si>
    <t>CONECTOR RETO DE ALUMINIO PARA ELETRODUTO DE 1", PARA ADAPTAR ENTRADA DE ELETRODUTO METALICO FLEXIVEL EM QUADROS</t>
  </si>
  <si>
    <t xml:space="preserve"> 00002560 </t>
  </si>
  <si>
    <t>CONDULETE DE ALUMINIO TIPO C, PARA ELETRODUTO ROSCAVEL DE 1", COM TAMPA CEGA</t>
  </si>
  <si>
    <t xml:space="preserve"> 00002581 </t>
  </si>
  <si>
    <t>CONDULETE DE ALUMINIO TIPO X, PARA ELETRODUTO ROSCAVEL DE 1", COM TAMPA CEGA</t>
  </si>
  <si>
    <t>CABO DE COBRE COM ISOLACAO SOLIDA EXTRUDADA,COM BAIXA EMISSA O DE FUMACA,BIPOLAR,2X2,5MM2,ISOLAMENTO 0,6/1KV,COMPREENDEND O:PREPARO,CORTE E ENFIACAO EM ELETRODUTOS.FORNECIMENTO E COL OCACAO 3%-DESGASTE DE FERRAMENTAS E EPI</t>
  </si>
  <si>
    <t xml:space="preserve"> 11875 </t>
  </si>
  <si>
    <t>CABO DE COBRE SOLIDA EXTRUDADA, COM BAIX A EMISSAO DE FUMACA, BIPOLAR, 2X2,5MM2, ISOLAMENTO 0,6/1KV</t>
  </si>
  <si>
    <t xml:space="preserve"> 036470 </t>
  </si>
  <si>
    <t>CABO DE COBRE BLINDADO COM FITA POLIESTER PARA ALARME INCENDIO 105C 2x1,5mm2</t>
  </si>
  <si>
    <t xml:space="preserve"> UFF_COTAÇÃO 185 </t>
  </si>
  <si>
    <t>CENTRAL DE ALARME DE INCENDIO INDEREÇAVEL INTELIGENTE PARA ATÉ 10 LAÇOS, COM 159 DETECTORES POR LAÇO, E 318 DISPOSITIVOS POR LAÇO, MODELO NFS2-3030 DE FABRICAÇÃO NOTIFIER OU SIMILAR TÉCNICO</t>
  </si>
  <si>
    <t xml:space="preserve"> UFF_COTAÇÃO 186 </t>
  </si>
  <si>
    <t>ACIONADOR MANUAL ENDEREÇÁVEL FABRICAÇÃO NOTIFIER</t>
  </si>
  <si>
    <t xml:space="preserve"> UFF_COTAÇÃO 187 </t>
  </si>
  <si>
    <t>SINALIZADOR AUDIOVISUAL ENDEREÇÁVEL</t>
  </si>
  <si>
    <t xml:space="preserve"> UFF_COTAÇÃO 188 </t>
  </si>
  <si>
    <t>BASE PARA SENSOR DE TEMPERATURA, FUMAÇÃO E MULTIFUNÇÃO ENDEREÇÁVEL</t>
  </si>
  <si>
    <t xml:space="preserve"> UFF_COTAÇÃO 189 </t>
  </si>
  <si>
    <t>DETECTOR ENDEREÇÁVEL ÓPTICO DE FUMAÇA FSP-951 DE FABRICAÇÃO NOTIFIER OU SIMILAR TÉCNICO EXCLUSIVE BASE</t>
  </si>
  <si>
    <t xml:space="preserve"> UFF_COTAÇÃO 190 </t>
  </si>
  <si>
    <t>DETECTOR ENDEREÇÁVEL DE TEMPERATURA FST-951 DE FABRICAÇÃO NOTIFIER OU SIMILAR TÉCNICO EXCLUSIVE BASE</t>
  </si>
  <si>
    <t xml:space="preserve"> UFF_COTAÇÃO 192 </t>
  </si>
  <si>
    <t>DETECTOR ENDEREÇÁVEL DE GÁS</t>
  </si>
  <si>
    <t xml:space="preserve"> UFF_COTAÇÃO 193 </t>
  </si>
  <si>
    <t>FONTE DE ALIMENTAÇÃO CHAVEADA 24VCC</t>
  </si>
  <si>
    <t xml:space="preserve"> UFF_COTAÇÃO 194 </t>
  </si>
  <si>
    <t>MODULO ISOLADOR DE FABRICAÇÃO NOTIFIER</t>
  </si>
  <si>
    <t xml:space="preserve"> 91534 </t>
  </si>
  <si>
    <t>COMPACTADOR DE SOLOS DE PERCUSSÃO (SOQUETE) COM MOTOR A GASOLINA 4 TEMPOS, POTÊNCIA 4 CV - CHI DIURNO. AF_08/2015</t>
  </si>
  <si>
    <t xml:space="preserve"> 00004720 </t>
  </si>
  <si>
    <t>PEDRA BRITADA N. 0, OU PEDRISCO (4,8 A 9,5 MM) POSTO PEDREIRA/FORNECEDOR, SEM FRETE</t>
  </si>
  <si>
    <t xml:space="preserve"> MAT051900 </t>
  </si>
  <si>
    <t>Eletroduto espiral, flexivel, de polietileno, linha Kanalex, Kanaflex ou similar, diametro nominal de 50mm (2")</t>
  </si>
  <si>
    <t xml:space="preserve"> COTAÇÃO 306 </t>
  </si>
  <si>
    <t>PAINEL REPETIDO DE SINAL / DISPLAY REPETIDOR 160 CARACTERES PORTUGUES</t>
  </si>
  <si>
    <t xml:space="preserve"> 00040626 </t>
  </si>
  <si>
    <t>TUBO ACO GALVANIZADO COM COSTURA, CLASSE MEDIA, DN 1", E = 3,38 MM, PESO 2,50 KG/M (NBR 5580)</t>
  </si>
  <si>
    <t xml:space="preserve"> 00003472 </t>
  </si>
  <si>
    <t>COTOVELO 90 GRAUS DE FERRO GALVANIZADO, COM ROSCA BSP, DE 1"</t>
  </si>
  <si>
    <t xml:space="preserve"> 00003938 </t>
  </si>
  <si>
    <t>LUVA DE REDUCAO DE FERRO GALVANIZADO, COM ROSCA BSP, DE 1" X 1/2"</t>
  </si>
  <si>
    <t xml:space="preserve"> 00003921 </t>
  </si>
  <si>
    <t>LUVA DE REDUCAO DE FERRO GALVANIZADO, COM ROSCA BSP, DE 1 1/4" X 1"</t>
  </si>
  <si>
    <t xml:space="preserve"> 00003924 </t>
  </si>
  <si>
    <t>LUVA DE REDUCAO DE FERRO GALVANIZADO, COM ROSCA BSP, DE 1 1/2" X 1"</t>
  </si>
  <si>
    <t xml:space="preserve"> 00003925 </t>
  </si>
  <si>
    <t>LUVA DE REDUCAO DE FERRO GALVANIZADO, COM ROSCA BSP, DE 2" X 1"</t>
  </si>
  <si>
    <t xml:space="preserve"> 00021040 </t>
  </si>
  <si>
    <t>SPRINKLER TIPO PENDENTE, BULBO VERMELHO RESPOSTA RAPIDA, 68 GRAUS CELSIUS, ACABAMENTO NATURAL, D = 15 MM (1/2")</t>
  </si>
  <si>
    <t xml:space="preserve"> 00040607 </t>
  </si>
  <si>
    <t>CANOPLA ACABAMENTO CROMADO PARA INSTALACAO DE SPRINKLER, SOB FORRO, 15 MM</t>
  </si>
  <si>
    <t xml:space="preserve"> UFF_COTAÇÃO 195 </t>
  </si>
  <si>
    <t>SPRINKLER CROMADO 68° VERMELHO - UPRIGHT 1/2"</t>
  </si>
  <si>
    <t xml:space="preserve"> 002541 </t>
  </si>
  <si>
    <t>VALVULA GAVETA EXTREMIDAES FLANGEADAS HASTE ASCENDENTE 2" 000.603.212.01 DECA</t>
  </si>
  <si>
    <t xml:space="preserve"> 00006027 </t>
  </si>
  <si>
    <t>REGISTRO GAVETA BRUTO EM LATAO FORJADO, BITOLA 4"</t>
  </si>
  <si>
    <t>CHAVE DE FLUXO TIPO PALHETA 1"" NIVETEC SERIE 100</t>
  </si>
  <si>
    <t>INSTALACOES MECANICAS - AR CONDICIONADO</t>
  </si>
  <si>
    <t xml:space="preserve"> 099303 </t>
  </si>
  <si>
    <t>AJUDANTE ESPECIALIZADO - MECANICO DE REFRIGERACAO</t>
  </si>
  <si>
    <t xml:space="preserve"> 203051 </t>
  </si>
  <si>
    <t>CHAVE DE FLUXO TIPO PALHETA 1 NIVETEC SERIE 100</t>
  </si>
  <si>
    <t xml:space="preserve"> 099970 </t>
  </si>
  <si>
    <t>MECANICO DE REFRIGERACAO</t>
  </si>
  <si>
    <t xml:space="preserve"> 00037527 </t>
  </si>
  <si>
    <t>MANGUEIRA DE INCENDIO, TIPO 2, DE 1 1/2", COMPRIMENTO = 15 M, TECIDO EM FIO DE POLIESTER E TUBO INTERNO EM BORRACHA SINTETICA, COM UNIOES ENGATE RAPIDO</t>
  </si>
  <si>
    <t xml:space="preserve"> 00020971 </t>
  </si>
  <si>
    <t>CHAVE DUPLA PARA CONEXOES TIPO STORZ, ENGATE RAPIDO 1 1/2" X 2 1/2", EM LATAO, PARA INSTALACAO PREDIAL COMBATE A INCENDIO</t>
  </si>
  <si>
    <t xml:space="preserve"> 00010904 </t>
  </si>
  <si>
    <t>REGISTRO OU VALVULA GLOBO ANGULAR EM LATAO, PARA HIDRANTES EM INSTALACAO PREDIAL DE INCENDIO, 45 GRAUS, DIAMETRO DE 2 1/2", COM VOLANTE, CLASSE DE PRESSAO DE ATE 200 PSI</t>
  </si>
  <si>
    <t xml:space="preserve"> 00010900 </t>
  </si>
  <si>
    <t>ADAPTADOR EM LATAO, ENGATE RAPIDO1 1/2" X ROSCA INTERNA 5 FIOS 2 1/2", PARA INSTALACAO PREDIAL DE COMBATE A INCENDIO</t>
  </si>
  <si>
    <t xml:space="preserve"> 00037554 </t>
  </si>
  <si>
    <t>ESGUICHO JATO REGULAVEL, TIPO ELKHART, ENGATE RAPIDO 1 1/2", PARA COMBATE A INCENDIO</t>
  </si>
  <si>
    <t xml:space="preserve"> 00020963 </t>
  </si>
  <si>
    <t>CAIXA DE INCENDIO/ABRIGO PARA MANGUEIRA, DE SOBREPOR/EXTERNA, COM 90 X 60 X 17 CM, EM CHAPA DE ACO, PORTA COM VENTILACAO, VISOR COM A INSCRICAO "INCENDIO", SUPORTE/CESTA INTERNA PARA A MANGUEIRA, PINTURA ELETROSTATICA VERMELHA</t>
  </si>
  <si>
    <t>PINTURA DE SINALIZACAO DE SOLO PARA EQUIPAMENTOS DE COMBATE A INCENDIO (EXTINTORES E HIDRANTES),EM QUADRADOS VERMELHOS D E (0,70X0,70)M E BORDAS AMARELAS DE 0,15M DE LARGURA,CONFORM E ABNT NBR 16820 3%-DESGASTE DE FERRAMENTAS E EPI</t>
  </si>
  <si>
    <t xml:space="preserve"> 20118 </t>
  </si>
  <si>
    <t>MAO-DE-OBRA DE PINTOR, INCLUSIVE ENCARGO S SOCIAIS DESONERADOS</t>
  </si>
  <si>
    <t xml:space="preserve"> 02992 </t>
  </si>
  <si>
    <t>TINTA A BASE DE RESINA ACRILICA, PARA SI NALIZACAO HORIZONTAL, P/2 ANOS DE DURACA O, EM BALDES DE 18 LITROS</t>
  </si>
  <si>
    <t xml:space="preserve"> 06029 </t>
  </si>
  <si>
    <t>FITA CREPE, EM ROLO DE 25MMX50,00M</t>
  </si>
  <si>
    <t xml:space="preserve"> 00010899 </t>
  </si>
  <si>
    <t>ADAPTADOR EM LATAO, ENGATE RAPIDO 2 1/2" X ROSCA INTERNA 5 FIOS 2 1/2", PARA INSTALACAO PREDIAL DE COMBATE A INCENDIO</t>
  </si>
  <si>
    <t xml:space="preserve"> 00010905 </t>
  </si>
  <si>
    <t>TAMPAO COM CORRENTE, EM LATAO, ENGATE RAPIDO 2 1/2", PARA INSTALACAO PREDIAL DE COMBATE A INCENDIO</t>
  </si>
  <si>
    <t>PINT - PINTURAS</t>
  </si>
  <si>
    <t xml:space="preserve"> 00010892 </t>
  </si>
  <si>
    <t>EXTINTOR DE INCENDIO PORTATIL COM CARGA DE PO QUIMICO SECO (PQS) DE 6 KG, CLASSE BC</t>
  </si>
  <si>
    <t xml:space="preserve"> 063010 </t>
  </si>
  <si>
    <t>EXTINTOR PO QUIMICO SECO 6kg ABC NBR 15808</t>
  </si>
  <si>
    <t xml:space="preserve"> 002042 </t>
  </si>
  <si>
    <t>EXTINTOR CARRETA PO QUIMICO SECO 80 BC 50kg NBR 15809</t>
  </si>
  <si>
    <t xml:space="preserve"> 00010889 </t>
  </si>
  <si>
    <t>EXTINTOR DE INCENDIO PORTATIL COM CARGA DE GAS CARBONICO CO2 DE 6 KG, CLASSE BC</t>
  </si>
  <si>
    <t xml:space="preserve"> UFF_COTAÇÃO 196 </t>
  </si>
  <si>
    <t xml:space="preserve"> 063497 </t>
  </si>
  <si>
    <t>EXTINTOR DO TIPO PORTATIL DE ESPUMA MECANICA (EM) 10 L - 2-A:10-B KIDDE</t>
  </si>
  <si>
    <t xml:space="preserve"> UFF_COTAÇÃO 198 </t>
  </si>
  <si>
    <t>SELANTE CORTA-FOGO A BASE DE SILICONE</t>
  </si>
  <si>
    <t xml:space="preserve"> 203034 </t>
  </si>
  <si>
    <t>BLOCO AUTONOMO DE ILUMINACAO DE EMERGENCIA DOIS FAROIS LED 2200 LUMENS BATERIA SELADA AUTONOMIA 2 HORAS INTELBRAS</t>
  </si>
  <si>
    <t xml:space="preserve"> UFF_COTAÇÃO 200 </t>
  </si>
  <si>
    <t xml:space="preserve"> UFF_COTAÇÃO 201 </t>
  </si>
  <si>
    <t xml:space="preserve"> 02526 </t>
  </si>
  <si>
    <t>ARRUELA DE BORRACHA SBR PARA FLANGE, PN 10, COM DIAMETRO NOMINAL DE 100MM</t>
  </si>
  <si>
    <t xml:space="preserve"> 001325 </t>
  </si>
  <si>
    <t>PARAFUSO ACO SEXTAVADO ASTM A325 20 x 90mm COM PORCA</t>
  </si>
  <si>
    <t xml:space="preserve"> UFF_COTAÇÃO 202 </t>
  </si>
  <si>
    <t xml:space="preserve"> UFF_COTAÇÃO 203 </t>
  </si>
  <si>
    <t xml:space="preserve"> IEQ001350 </t>
  </si>
  <si>
    <t>Bomba hidraulica, centrifuga, motor eletrico trifasico 220/380V, com potencia de 7,5CV, modelo DS9, WEG ou similar</t>
  </si>
  <si>
    <t xml:space="preserve"> UFF_COTAÇÃO 204 </t>
  </si>
  <si>
    <t>Motobomba Centrífuga Monoestágio 20CV Trifásica 220/380V</t>
  </si>
  <si>
    <t xml:space="preserve"> UFF_COTAÇÃO 205 </t>
  </si>
  <si>
    <t>QUADRO DE COMANDO PARA 02 BOMBAS INCÊNDIO 7,5CV/220V SISTEMA HIDRANTES</t>
  </si>
  <si>
    <t xml:space="preserve"> UFF_COTAÇÃO 206 </t>
  </si>
  <si>
    <t>QUADRO DE COMANDO PARA 02 BOMBAS INCÊNDIO 20CV/220V SISTEMA SPRINKLER</t>
  </si>
  <si>
    <t xml:space="preserve"> UFF_COTAÇÃO 207 </t>
  </si>
  <si>
    <t>QUADRO DE COMANDO PARA BOMBA INCÊNDIO JOCKEY 3CV/220V SISTEMA HIDRANTES</t>
  </si>
  <si>
    <t xml:space="preserve"> UFF_COTAÇÃO 208 </t>
  </si>
  <si>
    <t>QUADRO DE COMANDO PARA BOMBA INCÊNDIO JOCKEY 5CV/220V SISTEMA SPRINKLER</t>
  </si>
  <si>
    <t xml:space="preserve"> 099135 </t>
  </si>
  <si>
    <t>CARPINTEIRO DE TELHADOS/TELHADISTA</t>
  </si>
  <si>
    <t xml:space="preserve"> 007670 </t>
  </si>
  <si>
    <t>PLACA CIMENTICIA PARA STEEL FRAME BRASILIT LISA E = 6mm, DE 1,20m x 2,40m SEM REBAIXO</t>
  </si>
  <si>
    <t xml:space="preserve"> 00007700 </t>
  </si>
  <si>
    <t>TUBO ACO GALVANIZADO COM COSTURA, CLASSE MEDIA, DN 3/4", E = *2,65* MM, PESO *1,58* KG/M (NBR 5580)</t>
  </si>
  <si>
    <t xml:space="preserve"> 002553 </t>
  </si>
  <si>
    <t>VALVULA OU REGISTRO DE GAVETA 150 LIBRAS ROSCA BRONZE 3/4"</t>
  </si>
  <si>
    <t xml:space="preserve"> 001619 </t>
  </si>
  <si>
    <t>TE 90 FERRO GALVANIZADO 3/4"</t>
  </si>
  <si>
    <t xml:space="preserve"> 00003451 </t>
  </si>
  <si>
    <t>COTOVELO 90 GRAUS DE FERRO GALVANIZADO, COM ROSCA BSP MACHO/FEMEA, DE 3/4"</t>
  </si>
  <si>
    <t xml:space="preserve"> 00000778 </t>
  </si>
  <si>
    <t>BUCHA DE REDUCAO DE FERRO GALVANIZADO, COM ROSCA BSP, DE 3" X 2"</t>
  </si>
  <si>
    <t xml:space="preserve"> UFF_COTAÇÃO 209 </t>
  </si>
  <si>
    <t>BUCHA DE REDUCAO DE FERRO GALVANIZADO, COM ROSCA BSP, DE 2" X 3/4"</t>
  </si>
  <si>
    <t xml:space="preserve"> 00000770 </t>
  </si>
  <si>
    <t>BUCHA DE REDUCAO DE FERRO GALVANIZADO, COM ROSCA BSP, DE 1/2" X 1/4"</t>
  </si>
  <si>
    <t xml:space="preserve"> 00000783 </t>
  </si>
  <si>
    <t>BUCHA DE REDUCAO DE FERRO GALVANIZADO, COM ROSCA BSP, DE 5" X 4"</t>
  </si>
  <si>
    <t xml:space="preserve"> 00000786 </t>
  </si>
  <si>
    <t>BUCHA DE REDUCAO DE FERRO GALVANIZADO, COM ROSCA BSP, DE 4" X 2"</t>
  </si>
  <si>
    <t xml:space="preserve"> 00004178 </t>
  </si>
  <si>
    <t>NIPLE DE FERRO GALVANIZADO, COM ROSCA BSP, DE 3/4"</t>
  </si>
  <si>
    <t xml:space="preserve"> UFF_COTAÇÃO 210 </t>
  </si>
  <si>
    <t>NIPLE DE FERRO GALVANIZADO, COM ROSCA BSP, DE 1/4"</t>
  </si>
  <si>
    <t xml:space="preserve"> UFF_COTAÇÃO 211 </t>
  </si>
  <si>
    <t>LUVA GALVANIZADO 1/4"</t>
  </si>
  <si>
    <t xml:space="preserve"> 006181 </t>
  </si>
  <si>
    <t xml:space="preserve"> 006180 </t>
  </si>
  <si>
    <t>MANOMETRO VERTICAL 1/4 0 A 14 BAR / 0 A 200 LIBRAS ou PSI</t>
  </si>
  <si>
    <t xml:space="preserve"> 070248 </t>
  </si>
  <si>
    <t>TANQUE DE PRESSAO TAP-35 LITROS SCHNEIDER</t>
  </si>
  <si>
    <t>PLACA FOTOLUMINESCENTE DE SINALIZACAO DE SEGURANCA CONTRA IN CENDIO,PARA EQUIPAMENTOS DE COMBATE A INCENDIO E ALARME,EM P VC ANTICHAMA,DIMENSOES APROXIMADAS DE (15X15)CM,CONFORME ABN T NBR 16820.FORNECIMENTO E COLOCACAO 3%-DESGASTE DE FERRAMENTAS E EPI</t>
  </si>
  <si>
    <t xml:space="preserve"> 14719 </t>
  </si>
  <si>
    <t>PLACA FOTOLUMINESCENTE SINALIZACAO SEG.C INCENDIO,P/EQUIP.COMBATE INCEND. E ALARM E,PVC ANTICHAMA,(15X15)CM,ABNT NBR 16820</t>
  </si>
  <si>
    <t xml:space="preserve"> 000873 </t>
  </si>
  <si>
    <t>PLACA DE SINALIZACAO FOTOLUMINESCENTE DE ORIENTACAO E SALVAMENTO 26x13cm</t>
  </si>
  <si>
    <t xml:space="preserve"> UFF_COTAÇÃO 212 </t>
  </si>
  <si>
    <t>PLACA FOTOLUMINESCENTE SINALIZACAO SEG. CONTRA INCENDIO,DE PROIBICAO,PVC ANTIC.,FORMA CIRC.,DIAMETRO 101MM,ABNT NBR 16820</t>
  </si>
  <si>
    <t xml:space="preserve"> 14736 </t>
  </si>
  <si>
    <t>PLACA FOTOLUMINESCENTE SINALIZACAO SEG.C ONTRA INCENDIO,DE PROIBICAO,PVC ANTIC.,F ORMA CIRC.,DIAMETRO 20CM,ABNT NBR 16820</t>
  </si>
  <si>
    <t xml:space="preserve"> UFF_COTAÇÃO 213 </t>
  </si>
  <si>
    <t>PLACA FOTOLUMINESCENTE SINALIZACAO SEG. CONTRA INCENDIO,DE PROIBICAO,PVC ANTIC.,FORMA CIRC.,DIAMETRO 134MM,ABNT NBR 16820</t>
  </si>
  <si>
    <t xml:space="preserve"> 003252 </t>
  </si>
  <si>
    <t>PLACA DE SINALIZACAO FOTOLUMINESCENTE INDICACAO DE PAVIMENTO 18x18cm</t>
  </si>
  <si>
    <t xml:space="preserve"> 88250 </t>
  </si>
  <si>
    <t>AUXILIAR DE MECÂNICO COM ENCARGOS COMPLEMENTARES</t>
  </si>
  <si>
    <t xml:space="preserve"> 203031 </t>
  </si>
  <si>
    <t>AMORTECEDOR DE VIBRACAO MICRO N 2 COM ROSCA 5/16" VIBRA-STOP (4 UNIDADES)</t>
  </si>
  <si>
    <t xml:space="preserve"> UFF_COTAÇÃO 216 </t>
  </si>
  <si>
    <t>UNIDADE EVAPORADORA VRF TIPO HI-WALL (NOVO) - MODELO 42VH028H - CAPACIDADE 9600BTU/h - POTÊNCIA 20W / 0,25A - ALIMENTAÇÃO 1F/220V/60Hz - MARCA CARRIER OU EQUIVALENTE TÉCNICO. FORNECIMENTO</t>
  </si>
  <si>
    <t xml:space="preserve"> UFF_COTAÇÃO 218 </t>
  </si>
  <si>
    <t>UNIDADE EVAPORADORA VRF TIPO HI-WALL (NOVO) - MODELO 42VH045H - CAPACIDADE 15400BTU/h - POTÊNCIA 58W / 0,37A - ALIMENTAÇÃO 1F/220V/60Hz - MARCA CARRIER OU EQUIVALENTE TÉCNICO. FORNECIMENTO</t>
  </si>
  <si>
    <t xml:space="preserve"> UFF_COTAÇÃO 219 </t>
  </si>
  <si>
    <t>UNIDADE EVAPORADORA VRF TIPO HI-WALL (NOVO) - MODELO 42VH056H - CAPACIDADE 19100BTU/h - POTÊNCIA 58W / 0,46A - ALIMENTAÇÃO 1F/220V/60Hz - MARCA CARRIER OU EQUIVALENTE TÉCNICO. FORNECIMENTO</t>
  </si>
  <si>
    <t xml:space="preserve"> 88277 </t>
  </si>
  <si>
    <t>MONTADOR (TUBO AÇO/EQUIPAMENTOS) COM ENCARGOS COMPLEMENTARES</t>
  </si>
  <si>
    <t xml:space="preserve"> UFF_COTAÇÃO 220 </t>
  </si>
  <si>
    <t>FANCOLETE TIPO BUILT-IN DE ALTA EFICIÊNCIA (NOVO) COM FILTRO G4 E KIT VÁLVULA 2 VIAS - MODELO 42BB 012 - CAPACIDADE 14911BTU/h - POTÊNCIA 145W - ALIMENTAÇÃO 1F/220V/60Hz - MARCA CARRIER OU EQUIVALENTE TÉCNICO. FORNECIMENTO</t>
  </si>
  <si>
    <t xml:space="preserve"> UFF_COTAÇÃO 221 </t>
  </si>
  <si>
    <t>FANCOLETE TIPO BUILT-IN DE ALTA EFICIÊNCIA (NOVO) COM FILTRO G4 E KIT VÁLVULA 2 VIAS - MODELO 42BB 018 - CAPACIDADE 18322BTU/h - POTÊNCIA 187W - ALIMENTAÇÃO 1F/220V/60Hz - MARCA CARRIER OU EQUIVALENTE TÉCNICO.FORNECIMENTO</t>
  </si>
  <si>
    <t xml:space="preserve"> UFF_COTAÇÃO 223 </t>
  </si>
  <si>
    <t>FANCOLETE TIPO BUILT-IN DE ALTA EFICIÊNCIA (NOVO) COM FILTRO G4 E KIT VÁLVULA 2 VIAS - MODELO 42BB 030 - CAPACIDADE 33014BTU/h - POTÊNCIA 276W - ALIMENTAÇÃO 1F/220V/60Hz - MARCA CARRIER OU EQUIVALENTE TÉCNICO.FORNECIMENTO</t>
  </si>
  <si>
    <t xml:space="preserve"> UFF_COTAÇÃO 224 </t>
  </si>
  <si>
    <t>FANCOLETE TIPO BUILT-IN DE ALTA EFICIÊNCIA (NOVO) COM FILTRO G4 E KIT VÁLVULA 2 VIAS - MODELO 42BB 036 - CAPACIDADE 39280BTU/h - POTÊNCIA 290W - ALIMENTAÇÃO 1F/220V/60Hz - MARCA CARRIER OU EQUIVALENTE TÉCNICO.FORNECIMENTO</t>
  </si>
  <si>
    <t xml:space="preserve"> UFF_COTAÇÃO 225 </t>
  </si>
  <si>
    <t>FANCOLETE TIPO BUILT-IN DE ALTA EFICIÊNCIA (NOVO) COM FILTRO G4 E KIT VÁLVULA 2 VIAS - MODELO 42BB 044 - CAPACIDADE 46319BTU/h - POTÊNCIA 684W - ALIMENTAÇÃO 1F/220V/60Hz - MARCA CARRIER OU EQUIVALENTE TÉCNICO.FORNECIMENTO</t>
  </si>
  <si>
    <t xml:space="preserve"> UFF_COTAÇÃO 226 </t>
  </si>
  <si>
    <t>FANCOLETE TIPO BUILT-IN DE ALTA EFICIÊNCIA (NOVO) COM FILTRO G4 E KIT VÁLVULA 2 VIAS - MODELO 42BB 055 - CAPACIDADE 58316BTU/h - POTÊNCIA 870W - ALIMENTAÇÃO 1F/220V/60Hz - MARCA CARRIER OU EQUIVALENTE TÉCNICO.FORNECIMENTO</t>
  </si>
  <si>
    <t xml:space="preserve"> UFF_COTAÇÃO 227 </t>
  </si>
  <si>
    <t>FANCOLETE TIPO HI-WALL (NOVO) COM KIT VÁLVULA 2 VIAS - MODELO 42HP 09 - CAPACIDADE 9000BTU/h - POTÊNCIA 47W - ALIMENTAÇÃO 1F/220V/60Hz - MARCA CARRIER OU EQUIVALENTE TÉCNICO. FORNECIMENTO</t>
  </si>
  <si>
    <t xml:space="preserve"> UFF_COTAÇÃO 228 </t>
  </si>
  <si>
    <t>FANCOLETE TIPO HI-WALL (NOVO) COM KIT VÁLVULA 2 VIAS - MODELO 42HP 14 - CAPACIDADE 14000BTU/h - POTÊNCIA 60W - ALIMENTAÇÃO 1F/220V/60Hz - MARCA CARRIER OU EQUIVALENTE TÉCNICO.FORNECIMENTO</t>
  </si>
  <si>
    <t xml:space="preserve"> UFF_COTAÇÃO 230 </t>
  </si>
  <si>
    <t>VENTILADOR AXIAL - MODELO INLINE 170 - VAZÃO MÁX 183m³/h - Pd 8,6mmCA - POTÊNCIA 28W / 0,36A - PESO 0,83kg - ALIMENTAÇÃO 1F/220V/60Hz - MARCA SICFLUX OU EQUIVALENTE TÉCNICO</t>
  </si>
  <si>
    <t xml:space="preserve"> UFF_COTAÇÃO 231 </t>
  </si>
  <si>
    <t>BOMBA CENTRÍFUGA DE VOLUTA (EFETIVO)  - MONOCELULAR NÃO AUTO-FERRANTE - MODELO NBG 150-125-400/414 AASF2KESBQQE1X4 - VAZÃO DE ÁGUA 185 m³/h - ALTURA MANOMÉTICA 80m - ROTAÇÃO 1792rpm - PRESSÃO MÁX. 16bar - POTÊNCIA 110KW / 194A - PESO 1300kg - ALIMENTAÇÃO 3F/400/690V/60Hz - MARCA GRUNDFOS OU EQUIVALENTE TÉCNICO</t>
  </si>
  <si>
    <t xml:space="preserve"> UFF_COTAÇÃO 232 </t>
  </si>
  <si>
    <t>BOMBA CENTRÍFUGA DE VOLUTA (RESERVA)  - MONOCELULAR NÃO AUTO-FERRANTE - MODELO NBG 150-125-400/414 AASF2KESBQQE1X4 - VAZÃO DE ÁGUA 185 m³/h - ALTURA MANOMÉTICA 80m - ROTAÇÃO 1792rpm - PRESSÃO MÁX. 16bar - POTÊNCIA 110KW / 194A - PESO 1300kg - ALIMENTAÇÃO 3F/400/690V/60Hz - MARCA GRUNDFOS OU EQUIVALENTE TÉCNICO</t>
  </si>
  <si>
    <t xml:space="preserve"> UFF_COTAÇÃO 233 </t>
  </si>
  <si>
    <t>BOMBA CENTRÍFUGA DE VOLUTA  (EFETIVO)  - MONOCELULAR NÃO AUTO-FERRANTE - NBG 150-125-250/269 AASF2LESBQQETX4 - VAZÃO DE ÁGUA 277,50 m³/h - ALTURA MANOMÉTICA 25m - ROTAÇÃO 1782rpm - PRESSÃO MÁX. 16bar - POTÊNCIA 45KW / 80A - PESO 526kg - ALIMENTAÇÃO 3F/400/690V/60Hz - MARCA GRUNDFOS OU EQUIVALENTE TÉCNICO</t>
  </si>
  <si>
    <t xml:space="preserve"> UFF_COTAÇÃO 234 </t>
  </si>
  <si>
    <t>BOMBA CENTRÍFUGA DE VOLUTA  (RESERVA) - MONOCELULAR NÃO AUTO-FERRANTE - NBG 150-125-250/269 AASF2LESBQQETX4 - VAZÃO DE ÁGUA 277,50 m³/h - ALTURA MANOMÉTICA 25m - ROTAÇÃO 1782rpm - PRESSÃO MÁX. 16bar - POTÊNCIA 45KW / 80A - PESO 526kg - ALIMENTAÇÃO 3F/400/690V/60Hz - MARCA GRUNDFOS OU EQUIVALENTE TÉCNICO</t>
  </si>
  <si>
    <t xml:space="preserve"> UFF_COTAÇÃO 235 </t>
  </si>
  <si>
    <t>CHILLER CONDENSAÇÃO A AR COM COMPRESSOR PARAFUSO (EFETIVO) - MODELO 30XSB300 - CAPACIDADE 282,5TR - TBS EXT 38,1ºC - TBS INT 21ºC - UR EXTERNA 80% - UR INTERNA 50% - VAZÃO DE AR 168544,8m³/h - TEMP. DE ADMISSÃO 5ºC - TEMP. DE RETORNO 10,5ºC - VAZÃO DE ÁGUA 185m³/h - POTÊNCIA 325,6KW / 483A - PESO 6734kg - ALIMENTAÇÃO 3F/380V/60Hz - MARCA CARRIER OU EQUIVALENTE TÉCNICO</t>
  </si>
  <si>
    <t xml:space="preserve"> UFF_COTAÇÃO 236 </t>
  </si>
  <si>
    <t>UNIDADE CONDENSADORA VRF TIPO - MODELO INOVA MV6-850WV2DN1 - CAPACIDADE 290kBTU/h - POTÊNCIA 25,68kW / 116,73A - ALIMENTAÇÃO 3F/220V/60Hz - PESO 507kg - MARCA CARRIER OU EQUIVALENTE TÉCNICO</t>
  </si>
  <si>
    <t xml:space="preserve"> UFF_COTAÇÃO 237 </t>
  </si>
  <si>
    <t>UNIDADE DE TRATAMENTO DE AR 100% AR EXTERNO COM MOTOR EC - MODELO TKZ - FILTROS G4 + F8 - CAPACIDADE 93,59TR - TBS EXT 38,1ºC - TBS INT. 21ºC - UR EXTERNA 80% - UR INTERNA 50% - VAZÃO DE INSUFLAMENTO 14340m³/h - TEMP. DE ADMISSÃO 5ºC - TEMP. DE RETORNO 10,5ºC - VAZÃO DE ÁGUA 51,46m³/h - Pd 100Pa - RESIST DE AQUECIMENTO 39kW - POTÊNCIA 6,29KW / 28,59A - PESO 1437kg - ALIMENTAÇÃO 3F/220V/60Hz - MARCA TROX OU EQUIVALENTE TÉCNICO</t>
  </si>
  <si>
    <t xml:space="preserve"> UFF_COTAÇÃO 238 </t>
  </si>
  <si>
    <t>UNIDADE DE TRATAMENTO DE AR 100% AR EXTERNO COM MOTOR EC - MODELO TKZ - FILTROS G4 + F8 - CAPACIDADE 105,31TR - TBS EXT 38,1ºC - TBS INT. 21ºC - UR EXTERNA 80% - UR INTERNA 50% - VAZÃO DE INSUFLAMENTO 15644m³/h - TEMP. DE ADMISSÃO 5ºC - TEMP. DE RETORNO 10,5ºC - VAZÃO DE ÁGUA 57,9m³/h - Pd 100Pa - RESIST DE AQUECIMENTO 46,8kW - POTÊNCIA 6,55KW / 29,77A - PESO 1635kg - ALIMENTAÇÃO 3F/220V/60Hz - MARCA TROX OU EQUIVALENTE TÉCNICO</t>
  </si>
  <si>
    <t xml:space="preserve"> UFF_COTAÇÃO 239 </t>
  </si>
  <si>
    <t>VENTILADOR CENTRÍFUGO DE SIMPLES ASPIRAÇÃO COM PÁS CURVASDAS PARA TRÁS - MODELO GTS 800 - VAZÃO MÁX 13596m³/h - Pd 100mmCA - POTÊNCIA 7,5W / 34,09A - PESO 523kg - ALIMENTAÇÃO 3F/380V/60Hz - MARCA BERLINERLUFT OU EQUIVALENTE TÉCNICO</t>
  </si>
  <si>
    <t xml:space="preserve"> UFF_COTAÇÃO 240 </t>
  </si>
  <si>
    <t>VENTILADOR CENTRÍFUGO DE SIMPLES ASPIRAÇÃO COM PÁS CURVASDAS PARA TRÁS - MODELO GTS 630 - VAZÃO MÁX 9816m³/h - Pd 100mmCA - POTÊNCIA 4,5W / 20,45A - PESO 274kg - ALIMENTAÇÃO 3F/380V/60Hz - MARCA BERLINERLUFT OU EQUIVALENTE TÉCNICO</t>
  </si>
  <si>
    <t xml:space="preserve"> 014351 </t>
  </si>
  <si>
    <t>DIFUSOR DE AR EM ALUMINIO 2 VIAS COM REGISTRO 254 x 254mm - TAMANHO 3 NATURAL</t>
  </si>
  <si>
    <t xml:space="preserve"> 40092 </t>
  </si>
  <si>
    <t>DIFUSOR PARA INSUFLAMENTO DE AR, EM ALUM INIO ANODIZADO, COM CAIXA PLENUM, DE 4 V IAS MEDINDO EM TORNO DE (248X248)MM</t>
  </si>
  <si>
    <t>DIFUSOR PARA INSUFLAMENTO DE AR,EM ALUMINIO ANODIZADO,COM CA IXA PLENUM,DE 4 VIAS,MEDINDO EM TORNO DE (248X248)MM.FORNECI MENTO E COLOCACAO 3%-DESGASTE DE FERRAMENTAS E EPI</t>
  </si>
  <si>
    <t xml:space="preserve"> 20102 </t>
  </si>
  <si>
    <t>MAO-DE-OBRA DE MONTADOR A (MONTAGEM DE E STRUTURAS METALICAS), INCLUSIVE ENCARGOS  SOCIAIS DESONERADOS</t>
  </si>
  <si>
    <t>DIFUSOR PARA INSUFLAMENTO DE AR,EM ALUMINIO ANODIZADO,COM CA IXA PLENUM,DE 4 VIAS,MEDINDO EM TORNO DE (360X360)MM.FORNECI MENTO E COLOCACAO 3%-DESGASTE DE FERRAMENTAS E EPI</t>
  </si>
  <si>
    <t xml:space="preserve"> 40093 </t>
  </si>
  <si>
    <t>DIFUSOR PARA INSUFLAMENTO DE AR, EM ALUM INIO ANODIZADO, COM CAIXA PLENUM, DE 4 V IAS MEDINDO EM TORNO DE (360X360)MM</t>
  </si>
  <si>
    <t>DIFUSOR PARA INSUFLAMENTO DE AR,EM ALUMINIO ANODIZADO,COM CA IXA PLENUM,DE 4 VIAS,MEDINDO EM TORNO DE (416X416)MM.FORNECI MENTO E COLOCACAO 3%-DESGASTE DE FERRAMENTAS E EPI</t>
  </si>
  <si>
    <t xml:space="preserve"> 40094 </t>
  </si>
  <si>
    <t>DIFUSOR PARA INSUFLAMENTO DE AR, EM ALUM INIO ANODIZADO, COM CAIXA PLENUM, DE 4 V IAS MEDINDO EM TORNO DE (416X416)MM</t>
  </si>
  <si>
    <t xml:space="preserve"> UFF_COTAÇÃO 241 </t>
  </si>
  <si>
    <t>VENEZIANA EXTERIOR - MODELO AWG (NOVA) - DIMENSÃO 1985X495mm - MARCA TROX OU EQUIVALENTE TÉCNICO</t>
  </si>
  <si>
    <t xml:space="preserve"> UFF_COTAÇÃO 242 </t>
  </si>
  <si>
    <t>VENEZIANA EXTERIOR - MODELO GFM-F (NOVA) - TAMANHO 150mm - MARCA SICFLUX OU EQUIVALENTE TÉCNICO</t>
  </si>
  <si>
    <t xml:space="preserve"> UFF_COTAÇÃO 243 </t>
  </si>
  <si>
    <t>MÓDULO DE FILTRAGEM COM FILTRO DE CARVÃO ATIVADO (NOVO) - MODELO F383 A22 - DIMENSÃO 2052X1428mm - VAZÃO 9816m³/h - MARCA TROX OU EQUIVALENTE TÉCNICO</t>
  </si>
  <si>
    <t xml:space="preserve"> UFF_COTAÇÃO 244 </t>
  </si>
  <si>
    <t>MÓDULO DE FILTRAGEM COM FILTRO DE CARVÃO ATIVADO (NOVO) - MODELO F383 A23 - DIMENSÃO 2676X1428mm - VAZÃO 13589m³/h - MARCA TROX OU EQUIVALENTE TÉCNICO</t>
  </si>
  <si>
    <t xml:space="preserve"> UFF_COTAÇÃO 245 </t>
  </si>
  <si>
    <t>MÓDULO DE FILTRAGEM FABRICADO EM POLIPROPILENO COM FILTRO DE CARVÃO ATIVADO (NOVO) - MODELO CFD - DIMENSÃO 2676X2676mm - VAZÃO 39700m³/h - MARCA DIFUSTHERM OU EQUIVALENTE TÉCNICO</t>
  </si>
  <si>
    <t xml:space="preserve"> UFF_COTAÇÃO 246 </t>
  </si>
  <si>
    <t>MÓDULO DE FILTRAGEM FABRICADO EM POLIPROPILENO COM FILTRO DE CARVÃO ATIVADO (NOVO) - MODELO CFD - DIMENSÃO 3300X3300mm - VAZÃO 88780m³/h - MARCA DIFUSTHERM OU EQUIVALENTE TÉCNICO</t>
  </si>
  <si>
    <t xml:space="preserve"> 005952 </t>
  </si>
  <si>
    <t>GRELHA DE RETORNO EM ALUMINIO FOSCO FIXA ALETAS HORIZONTAIS 200x150mm</t>
  </si>
  <si>
    <t xml:space="preserve"> 006304 </t>
  </si>
  <si>
    <t>GRELHA DE RETORNO EM ALUMINIO FOSCO FIXA ALETAS HORIZONTAIS 300x200mm</t>
  </si>
  <si>
    <t xml:space="preserve"> 005939 </t>
  </si>
  <si>
    <t>GRELHA DE RETORNO EM ALUMINIO FOSCO FIXA ALETAS HORIZONTAIS 600x250mm</t>
  </si>
  <si>
    <t xml:space="preserve"> 006301 </t>
  </si>
  <si>
    <t>GRELHA DE RETORNO EM ALUMINIO FOSCO FIXA ALETAS HORIZONTAIS 500x400mm</t>
  </si>
  <si>
    <t xml:space="preserve"> 060984 </t>
  </si>
  <si>
    <t>GRELHA DE RETORNO EM ALUMINIO FOSCO FIXA ALETAS HORIZONTAIS 600x500mm</t>
  </si>
  <si>
    <t xml:space="preserve"> 068747 </t>
  </si>
  <si>
    <t>GRELHA DE RETORNO EM ALUMINIO FOSCO FIXA ALETAS HORIZONTAIS 1200x600mm</t>
  </si>
  <si>
    <t xml:space="preserve"> UFF_COTAÇÃO 247 </t>
  </si>
  <si>
    <t>REGULADOR DE VAZÃO (NOVO) - MODELO EN - DIMENSÃO 100X200mm - MARCA TROX OU EQUIVALENTE TÉCNICO</t>
  </si>
  <si>
    <t xml:space="preserve"> UFF_COTAÇÃO 248 </t>
  </si>
  <si>
    <t>REGULADOR DE VAZÃO (NOVO) - MODELO EN - DIMENSÃO 125X240mm - MARCA TROX OU EQUIVALENTE TÉCNICO</t>
  </si>
  <si>
    <t xml:space="preserve"> UFF_COTAÇÃO 249 </t>
  </si>
  <si>
    <t>REGULADOR DE VAZÃO (NOVO) - MODELO EN - DIMENSÃO 125X300mm - MARCA TROX OU EQUIVALENTE TÉCNICO</t>
  </si>
  <si>
    <t xml:space="preserve"> UFF_COTAÇÃO 250 </t>
  </si>
  <si>
    <t>REGULADOR DE VAZÃO (NOVO) - MODELO EN - DIMENSÃO 150X200mm - MARCA TROX OU EQUIVALENTE TÉCNICO</t>
  </si>
  <si>
    <t xml:space="preserve"> UFF_COTAÇÃO 252 </t>
  </si>
  <si>
    <t>REGULADOR DE VAZÃO (NOVO) - MODELO EN - DIMENSÃO 200X200mm - MARCA TROX OU EQUIVALENTE TÉCNICO</t>
  </si>
  <si>
    <t xml:space="preserve"> UFF_COTAÇÃO 254 </t>
  </si>
  <si>
    <t>REGULADOR DE VAZÃO (NOVO) - MODELO EN - DIMENSÃO 200X300mm - MARCA TROX OU EQUIVALENTE TÉCNICO</t>
  </si>
  <si>
    <t xml:space="preserve"> UFF_COTAÇÃO 255 </t>
  </si>
  <si>
    <t xml:space="preserve"> UFF_COTAÇÃO 256 </t>
  </si>
  <si>
    <t>REGULADOR DE VAZÃO (NOVO) - MODELO EN - DIMENSÃO 225X300mm - MARCA TROX OU EQUIVALENTE TÉCNICO</t>
  </si>
  <si>
    <t xml:space="preserve"> UFF_COTAÇÃO 257 </t>
  </si>
  <si>
    <t>REGULADOR DE VAZÃO (NOVO) - MODELO EN - DIMENSÃO 250X325mm - MARCA TROX OU EQUIVALENTE TÉCNICO</t>
  </si>
  <si>
    <t xml:space="preserve"> UFF_COTAÇÃO 259 </t>
  </si>
  <si>
    <t>REGULADOR DE VAZÃO (NOVO) - MODELO EN - DIMENSÃO 275X300mm - MARCA TROX OU EQUIVALENTE TÉCNICO</t>
  </si>
  <si>
    <t xml:space="preserve"> UFF_COTAÇÃO 262 </t>
  </si>
  <si>
    <t>REGULADOR DE VAZÃO (NOVO) - MODELO EN - DIMENSÃO 250X150mm - MARCA TROX OU EQUIVALENTE TÉCNICO</t>
  </si>
  <si>
    <t xml:space="preserve"> UFF_COTAÇÃO 263 </t>
  </si>
  <si>
    <t>REGULADOR DE VAZÃO (NOVO) - MODELO EN - DIMENSÃO 450X300mm - MARCA TROX OU EQUIVALENTE TÉCNICO</t>
  </si>
  <si>
    <t xml:space="preserve"> UFF_COTAÇÃO 265 </t>
  </si>
  <si>
    <t>REGULADOR DE VAZÃO (NOVO) - MODELO EN - DIMENSÃO 500X300mm - MARCA TROX OU EQUIVALENTE TÉCNICO</t>
  </si>
  <si>
    <t xml:space="preserve"> UFF_COTAÇÃO 266 </t>
  </si>
  <si>
    <t>REGULADOR DE VAZÃO (NOVO) - MODELO EN - DIMENSÃO 525X300mm - MARCA TROX OU EQUIVALENTE TÉCNICO</t>
  </si>
  <si>
    <t xml:space="preserve"> UFF_COTAÇÃO 269 </t>
  </si>
  <si>
    <t>REGULADOR DE VAZÃO (NOVO) - MODELO EN - DIMENSÃO 350X200mm - MARCA TROX OU EQUIVALENTE TÉCNICO</t>
  </si>
  <si>
    <t xml:space="preserve"> 40075 </t>
  </si>
  <si>
    <t>DAMPER CORTA FOGO (250X250)MM, ACIONAMEN TO AUTOMATICO PELA ACAO DE ELEMENTO FUSI VEL, MODELO DCF COM FUSIVEL DE DISPARO,C /ATESTADO UL, C/ROMPIMENTO 72ºC OU 141ºC</t>
  </si>
  <si>
    <t>DAMPER CORTA FOGO MEDINDO (300X300)MM,ACIONAMENTO AUTOMATICO ,PELA ACAO DE ELEMENTO FUSIVEL,MODELO DCF COM FUSIVEL DE DIS PARO (COM ATESTADO UL) COM ROMPIMENTO EM 72°C OU 141°C,COM C HAVE FIM DE CURSO.FORNECIMENTO E COLOCACAO 3%-DESGASTE DE FERRAMENTAS E EPI</t>
  </si>
  <si>
    <t xml:space="preserve"> 13138 </t>
  </si>
  <si>
    <t>DAMPER CORTA FOGO 30X30CM, ACIONAM.AUT.P ELA ACAO DE ELEM.FUS.MOD.DCF C/FUS.DISP. C/ATESTADO UL C/ROMP.72ºC OU 141ºC</t>
  </si>
  <si>
    <t xml:space="preserve"> 203064 </t>
  </si>
  <si>
    <t>DAMPER CORTA FOGO EM CHAPA GALVANIZADA 500x350mm</t>
  </si>
  <si>
    <t xml:space="preserve"> 40077 </t>
  </si>
  <si>
    <t>DAMPER CORTA FOGO (800X400)MM, ACIONAMEN TO AUTOMATICO PELA ACAO DE ELEMENTO FUSI VEL, MODELO DCF COM FUSIVEL DE DISPARO,C /ATESTADO UL, C/ROMPIMENTO 72ºC OU 141ºC</t>
  </si>
  <si>
    <t>DAMPER CORTA FOGO MEDINDO (800X400)MM,ACIONAMENTO AUTOMATICO ,PELA ACAO DE ELEMENTO FUSIVEL,MODELO DCF COM FUSIVEL DE DIS PARO (COM ATESTADO UL) COM ROMPIMENTO EM 72°C OU 141°C,COM C HAVE FIM DE CURSO.FORNECIMENTO E COLOCACAO 3%-DESGASTE DE FERRAMENTAS E EPI</t>
  </si>
  <si>
    <t xml:space="preserve"> UFF_COTAÇÃO 273 </t>
  </si>
  <si>
    <t>DAMPER CORTA-FOGO COM MOTOR DE RETORNO POR MOLA (NOVO) - MODELO FKA-TA-BR-90 - DIMENSÃO 1200X600mm - MARCA TROX OU EQUIVALENTE TÉCNICO</t>
  </si>
  <si>
    <t xml:space="preserve"> UFF_COTAÇÃO 274 </t>
  </si>
  <si>
    <t>DAMPER CORTA-FOGO COM MOTOR DE RETORNO POR MOLA (NOVO) - MODELO FKA-TA-BR-90 - DIMENSÃO 1300X600mm - MARCA TROX OU EQUIVALENTE TÉCNICO</t>
  </si>
  <si>
    <t xml:space="preserve"> 036487 </t>
  </si>
  <si>
    <t>COLARINHO ACO GALVANIZADO COM REGISTRO BORBOLETA 4" (100mm)</t>
  </si>
  <si>
    <t xml:space="preserve"> 030160 </t>
  </si>
  <si>
    <t>FITA ADESIVA DE POLIPROPILENO ALUMINIZADO (BOPP) 48mmx50m</t>
  </si>
  <si>
    <t xml:space="preserve"> 036488 </t>
  </si>
  <si>
    <t>COLARINHO ACO GALVANIZADO COM REGISTRO BORBOLETA 5" (125mm)</t>
  </si>
  <si>
    <t xml:space="preserve"> 036489 </t>
  </si>
  <si>
    <t>COLARINHO ACO GALVANIZADO COM REGISTRO BORBOLETA 6" (150mm)</t>
  </si>
  <si>
    <t xml:space="preserve"> 036490 </t>
  </si>
  <si>
    <t>COLARINHO ACO GALVANIZADO COM REGISTRO BORBOLETA 7" (175mm)</t>
  </si>
  <si>
    <t xml:space="preserve"> 036486 </t>
  </si>
  <si>
    <t>COLARINHO ACO GALVANIZADO COM REGISTRO BORBOLETA 8" (200mm)</t>
  </si>
  <si>
    <t xml:space="preserve"> 036491 </t>
  </si>
  <si>
    <t>COLARINHO ACO GALVANIZADO COM REGISTRO BORBOLETA 10" (250mm)</t>
  </si>
  <si>
    <t xml:space="preserve"> 203054 </t>
  </si>
  <si>
    <t>COLARINHO ACO GALVANIZADO SEM REGISTRO 4" (100mm)</t>
  </si>
  <si>
    <t xml:space="preserve"> 203055 </t>
  </si>
  <si>
    <t>COLARINHO ACO GALVANIZADO SEM REGISTRO 5" (125mm)</t>
  </si>
  <si>
    <t xml:space="preserve"> 203056 </t>
  </si>
  <si>
    <t>COLARINHO ACO GALVANIZADO SEM REGISTRO 6" (150mm)</t>
  </si>
  <si>
    <t xml:space="preserve"> 203057 </t>
  </si>
  <si>
    <t>COLARINHO ACO GALVANIZADO SEM REGISTRO 8" (200mm)</t>
  </si>
  <si>
    <t xml:space="preserve"> 203058 </t>
  </si>
  <si>
    <t>COLARINHO ACO GALVANIZADO SEM REGISTRO 10" (250mm)</t>
  </si>
  <si>
    <t xml:space="preserve"> 006256 </t>
  </si>
  <si>
    <t>CHAPA DE ACO GALVANIZADA BITOLA GSG 20 0,95mm (7,20kg/m2)</t>
  </si>
  <si>
    <t>INSTALACOES MECANICAS - EXAUSTAO</t>
  </si>
  <si>
    <t xml:space="preserve"> 099715 </t>
  </si>
  <si>
    <t>DUTEIRO - MONTADOR</t>
  </si>
  <si>
    <t xml:space="preserve"> 099065 </t>
  </si>
  <si>
    <t>AJUDANTE DE ESPECIALIZADO - DUTEIRO</t>
  </si>
  <si>
    <t xml:space="preserve"> 010942 </t>
  </si>
  <si>
    <t>CHAPA GALVANIZADA #22 600mm x 0,80m (6,40kg/m2)</t>
  </si>
  <si>
    <t xml:space="preserve"> 014226 </t>
  </si>
  <si>
    <t>CHAPA GALVANIZADA #24 600mm x 0,65mm (5,20kg/m2)</t>
  </si>
  <si>
    <t xml:space="preserve"> 010943 </t>
  </si>
  <si>
    <t>CHAPA GALVANIZADA #26 600mm x 0,46mm (4,00kg/m2)</t>
  </si>
  <si>
    <t>DUTO FLEXIVEL DE ALUMINIO C/ ISOLAM. TERM.LA VIDRO 109mm 4""</t>
  </si>
  <si>
    <t xml:space="preserve"> 036510 </t>
  </si>
  <si>
    <t>DUTO FLEXIVEL ALUMINIO COM ISOLAMENTO TERMICO 25mm LA VIDRO 4" 100mm</t>
  </si>
  <si>
    <t xml:space="preserve"> 099450 </t>
  </si>
  <si>
    <t>AJUDANTE ESPECIALIZADO</t>
  </si>
  <si>
    <t xml:space="preserve"> 099950 </t>
  </si>
  <si>
    <t>MONTADOR DE ESTRUTURA EM ALUMINIO</t>
  </si>
  <si>
    <t xml:space="preserve"> 036511 </t>
  </si>
  <si>
    <t>DUTO ALUMINIZADO FLEXIVEL SEM ISOLAMENTO 24" 610mm</t>
  </si>
  <si>
    <t>DUTO FLEXIVEL DE ALUMINIO C/ ISOLAM. TERM.LA VIDRO 161MM 6""</t>
  </si>
  <si>
    <t xml:space="preserve"> 036512 </t>
  </si>
  <si>
    <t>DUTO FLEXIVEL ALUMINIO COM ISOLAMENTO TERMICO 25mm LA VIDRO 6" 150mm</t>
  </si>
  <si>
    <t>DUTO FLEXIVEL DE ALUMINIO C/ ISOLAM. TERM.LA VIDRO 185mm 7""</t>
  </si>
  <si>
    <t xml:space="preserve"> 036513 </t>
  </si>
  <si>
    <t>DUTO FLEXIVEL ALUMINIO COM ISOLAMENTO TERMICO 25mm LA VIDRO 7" 175mm</t>
  </si>
  <si>
    <t>DUTO FLEXIVEL DE ALUMINIO C/ ISOLAM. TERM.LA VIDRO 209MM 8""</t>
  </si>
  <si>
    <t xml:space="preserve"> 036514 </t>
  </si>
  <si>
    <t>DUTO FLEXIVEL ALUMINIO COM ISOLAMENTO TERMICO 25mm LA VIDRO 8" 200mm</t>
  </si>
  <si>
    <t xml:space="preserve"> 036515 </t>
  </si>
  <si>
    <t>DUTO FLEXIVEL ALUMINIO COM ISOLAMENTO TERMICO 25mm LA VIDRO 10" 263mm</t>
  </si>
  <si>
    <t xml:space="preserve"> 036503 </t>
  </si>
  <si>
    <t>DUTO ALUMINIZADO FLEXIVEL SEM ISOLAMENTO 16" 400mm</t>
  </si>
  <si>
    <t xml:space="preserve"> 036504 </t>
  </si>
  <si>
    <t>DUTO ALUMINIZADO FLEXIVEL SEM ISOLAMENTO 20" 500mm</t>
  </si>
  <si>
    <t xml:space="preserve"> 036505 </t>
  </si>
  <si>
    <t>DUTO ALUMINIZADO FLEXIVEL SEM ISOLAMENTO 6" 150mm</t>
  </si>
  <si>
    <t xml:space="preserve"> 010517 </t>
  </si>
  <si>
    <t>MANTA ISOFLEX 4 + LA DE VIDRO PARA DUTOS DE AR-CONDICIONADO</t>
  </si>
  <si>
    <t xml:space="preserve"> 099022 </t>
  </si>
  <si>
    <t>MONTADOR</t>
  </si>
  <si>
    <t>TUBO EM COBRE FLEXÍVEL, DN 1/4", COM ISOLAMENTO, INSTALADO EM FORRO, PARA RAMAL DE ALIMENTAÇÃO DE AR CONDICIONADO, INCLUSO FIXADOR. AF_11/2021</t>
  </si>
  <si>
    <t>Instalações de ar condicionado</t>
  </si>
  <si>
    <t xml:space="preserve"> 91166 </t>
  </si>
  <si>
    <t>FIXAÇÃO DE TUBOS HORIZONTAIS DE PEX OU MULTICAMADAS, DIÂMETROS IGUAIS OU INFERIORES A 40 MM, COM ABRAÇADEIRA PLÁSTICA FIXADA EM LAJE. AF_09/2023_PE</t>
  </si>
  <si>
    <t xml:space="preserve"> 97327 </t>
  </si>
  <si>
    <t>TUBO EM COBRE FLEXÍVEL, DN 1/4", COM ISOLAMENTO, INSTALADO EM RAMAL DE ALIMENTAÇÃO DE AR-CONDICIONADO - FORNECIMENTO E INSTALAÇÃO. AF_07/2025</t>
  </si>
  <si>
    <t>TUBO EM COBRE FLEXÍVEL, DN 3/8", COM ISOLAMENTO, INSTALADO EM FORRO, PARA RAMAL DE ALIMENTAÇÃO DE AR CONDICIONADO, INCLUSO FIXADOR. AF_11/2021</t>
  </si>
  <si>
    <t xml:space="preserve"> 97328 </t>
  </si>
  <si>
    <t>TUBO EM COBRE FLEXÍVEL, DN 3/8", COM ISOLAMENTO, INSTALADO EM RAMAL DE ALIMENTAÇÃO DE AR-CONDICIONADO - FORNECIMENTO E INSTALAÇÃO. AF_07/2025</t>
  </si>
  <si>
    <t>TUBO EM COBRE FLEXÍVEL, DN 1/2", COM ISOLAMENTO, INSTALADO EM FORRO, PARA RAMAL DE ALIMENTAÇÃO DE AR CONDICIONADO, INCLUSO FIXADOR. AF_11/2021</t>
  </si>
  <si>
    <t xml:space="preserve"> 97329 </t>
  </si>
  <si>
    <t>TUBO EM COBRE FLEXÍVEL, DN 1/2", COM ISOLAMENTO, INSTALADO EM RAMAL DE ALIMENTAÇÃO DE AR-CONDICIONADO - FORNECIMENTO E INSTALAÇÃO. AF_07/2025</t>
  </si>
  <si>
    <t>TUBO EM COBRE FLEXÍVEL, DN 5/8", COM ISOLAMENTO, INSTALADO EM FORRO, PARA RAMAL DE ALIMENTAÇÃO DE AR CONDICIONADO, INCLUSO FIXADOR. AF_11/2021</t>
  </si>
  <si>
    <t xml:space="preserve"> 97330 </t>
  </si>
  <si>
    <t>TUBO EM COBRE FLEXÍVEL, DN 5/8", COM ISOLAMENTO, INSTALADO EM RAMAL DE ALIMENTAÇÃO DE AR-CONDICIONADO - FORNECIMENTO E INSTALAÇÃO. AF_07/2025</t>
  </si>
  <si>
    <t xml:space="preserve"> UFF00338 (ADAPT_SINAPI: 97334) </t>
  </si>
  <si>
    <t>TUBO EM COBRE FLEXÍVEL, DN 7/8", COM ISOLAMENTO, INSTALADO EM RAMAL DE ALIMENTAÇÃO DE AR CONDICIONADO COM CONDENSADORA CENTRAL FORNECIMENTO E INSTALAÇÃO.</t>
  </si>
  <si>
    <t xml:space="preserve"> UFF00339 (ADAPT_SINAPI: 97334) </t>
  </si>
  <si>
    <t>TUBO EM COBRE FLEXÍVEL, DN 1 1/8", COM ISOLAMENTO, INSTALADO EM RAMAL DE ALIMENTAÇÃO DE AR CONDICIONADO COM CONDENSADORA CENTRAL FORNECIMENTO E INSTALAÇÃO.</t>
  </si>
  <si>
    <t xml:space="preserve"> UFF00340 (ADAPT_SINAPI: 97334) </t>
  </si>
  <si>
    <t>TUBO EM COBRE FLEXÍVEL, DN 1 1/4", COM ISOLAMENTO, INSTALADO EM RAMAL DE ALIMENTAÇÃO DE AR CONDICIONADO COM CONDENSADORA CENTRAL FORNECIMENTO E INSTALAÇÃO.</t>
  </si>
  <si>
    <t xml:space="preserve"> 036542 </t>
  </si>
  <si>
    <t>MANTA ISOLANTE FLEXIVEL EM BORRACHA ELASTOMERICA 25mm</t>
  </si>
  <si>
    <t xml:space="preserve"> 00011749 </t>
  </si>
  <si>
    <t>VALVULA DE ESFERA BRUTA EM BRONZE, BITOLA 3/4"</t>
  </si>
  <si>
    <t xml:space="preserve"> 00011746 </t>
  </si>
  <si>
    <t>VALVULA DE ESFERA BRUTA EM BRONZE, BITOLA 1"</t>
  </si>
  <si>
    <t xml:space="preserve"> 00011750 </t>
  </si>
  <si>
    <t>VALVULA DE ESFERA BRUTA EM BRONZE, BITOLA 1 1/4"</t>
  </si>
  <si>
    <t>VALVULA DE BALANCEAMENTO ROSQUEADA DE 3/4".FORNECIMENTO E CO LOCACAO 3%-DESGASTE DE FERRAMENTAS E EPI</t>
  </si>
  <si>
    <t xml:space="preserve"> 40070 </t>
  </si>
  <si>
    <t>VALVULA DE BALANCEAMENTO ROSQUEADA DE 3/ 4"</t>
  </si>
  <si>
    <t>VALVULA DE BALANCEAMENTO ROSQUEADA DE 1".FORNECIMENTO E COLO CACAO 3%-DESGASTE DE FERRAMENTAS E EPI</t>
  </si>
  <si>
    <t xml:space="preserve"> 40068 </t>
  </si>
  <si>
    <t>VALVULA DE BALANCEAMENTO ROSQUEADA DE 1"</t>
  </si>
  <si>
    <t>VALVULA ESFERA ROSCA BRONZE 2""</t>
  </si>
  <si>
    <t xml:space="preserve"> 007828 </t>
  </si>
  <si>
    <t>VALVULA ESFERA ROSCA BRONZE 2"</t>
  </si>
  <si>
    <t xml:space="preserve"> 002554 </t>
  </si>
  <si>
    <t>VALVULA OU REGISTRO DE GAVETA 150 LIBRAS ROSCA BRONZE 1"</t>
  </si>
  <si>
    <t>FILTRO Y,CORPO EM METAL,COM TELA REMOVIVEL EM ACO INOX,DE 3/ 4".FORNECIMENTO E COLOCACAO 3%-DESGASTE DE FERRAMENTAS E EPI</t>
  </si>
  <si>
    <t xml:space="preserve"> 40062 </t>
  </si>
  <si>
    <t>FILTRO Y, CORPO EM METAL, COM TELA REMOV IVEL EM ACO INOX, DE 3/4"</t>
  </si>
  <si>
    <t>FILTRO Y,CORPO EM METAL,COM TELA REMOVIVEL EM ACO INOX,DE 1" .FORNECIMENTO E COLOCACAO 3%-DESGASTE DE FERRAMENTAS E EPI</t>
  </si>
  <si>
    <t xml:space="preserve"> 40063 </t>
  </si>
  <si>
    <t>FILTRO Y, CORPO EM METAL, COM TELA REMOV IVEL EM ACO INOX, DE 1"</t>
  </si>
  <si>
    <t>Instalações em Cobre</t>
  </si>
  <si>
    <t xml:space="preserve"> 00039897 </t>
  </si>
  <si>
    <t>PASTA PARA SOLDA DE TUBOS E CONEXOES DE COBRE (EMBALAGEM COM 250 G)</t>
  </si>
  <si>
    <t xml:space="preserve"> 00012732 </t>
  </si>
  <si>
    <t>SOLDA ESTANHO/COBRE PARA CONEXOES DE COBRE, FIO 2,5 MM, CARRETEL 500 GR (SEM CHUMBO)</t>
  </si>
  <si>
    <t xml:space="preserve"> 00039872 </t>
  </si>
  <si>
    <t>JUNTA DE EXPANSAO DE COBRE, PONTA X PONTA, 15 MM</t>
  </si>
  <si>
    <t xml:space="preserve"> 00039873 </t>
  </si>
  <si>
    <t>JUNTA DE EXPANSAO DE COBRE, PONTA X PONTA, 22 MM</t>
  </si>
  <si>
    <t>CURVA 90 MACHO-FEMEA GALVANIZADA 3/4""</t>
  </si>
  <si>
    <t xml:space="preserve"> 041102 </t>
  </si>
  <si>
    <t>CURVA 90 MACHO-FEMEA GALVANIZADO 3/4"</t>
  </si>
  <si>
    <t>CURVA 90 MACHO-FEMEA GALVANIZADA 1""</t>
  </si>
  <si>
    <t xml:space="preserve"> 041103 </t>
  </si>
  <si>
    <t>CURVA 90 MACHO-FEMEA GALVANIZADO 1"</t>
  </si>
  <si>
    <t>CURVA 90 MACHO-FEMEA GALVANIZADA 1.1/4""</t>
  </si>
  <si>
    <t xml:space="preserve"> 041104 </t>
  </si>
  <si>
    <t>CURVA 90 MACHO-FEMEA GALVANIZADO 1.1/4"</t>
  </si>
  <si>
    <t>CURVA 90 MACHO-FEMEA GALVANIZADA 4""</t>
  </si>
  <si>
    <t xml:space="preserve"> 053431 </t>
  </si>
  <si>
    <t>CURVA MACHO-FEMEA GALVANIZADO 4"</t>
  </si>
  <si>
    <t>CURVA 90 GALVANIZADA 1.1/2""</t>
  </si>
  <si>
    <t xml:space="preserve"> 004526 </t>
  </si>
  <si>
    <t>CURVA 90 MACHO GALVANIZADO 6"</t>
  </si>
  <si>
    <t xml:space="preserve"> 036598 </t>
  </si>
  <si>
    <t>VERGALHAO ZINCADO ROSCA TOTAL 3/8" (10mm)</t>
  </si>
  <si>
    <t xml:space="preserve"> 00006296 </t>
  </si>
  <si>
    <t>TE DE FERRO GALVANIZADO, DE 1 1/4"</t>
  </si>
  <si>
    <t xml:space="preserve"> 00006300 </t>
  </si>
  <si>
    <t>TE DE FERRO GALVANIZADO, DE 4"</t>
  </si>
  <si>
    <t xml:space="preserve"> 00006321 </t>
  </si>
  <si>
    <t>TE DE FERRO GALVANIZADO, DE 5"</t>
  </si>
  <si>
    <t xml:space="preserve"> 003730 </t>
  </si>
  <si>
    <t>TE REDUCAO FERRO GALVANIZADO 1" x 1/2"</t>
  </si>
  <si>
    <t xml:space="preserve"> 002115 </t>
  </si>
  <si>
    <t>TE REDUCAO FERRO GALVANIZADO 1" x 3/4"</t>
  </si>
  <si>
    <t>TE PVC ROSCA 2 1/2""</t>
  </si>
  <si>
    <t xml:space="preserve"> 005687 </t>
  </si>
  <si>
    <t>TE 90 PVC ROSCAVEL 2.1/2"</t>
  </si>
  <si>
    <t>TE PVC SOLDAVEL 20mm</t>
  </si>
  <si>
    <t xml:space="preserve"> 005602 </t>
  </si>
  <si>
    <t>TE 90 PVC SOLDAVEL 20mm</t>
  </si>
  <si>
    <t xml:space="preserve"> 003389 </t>
  </si>
  <si>
    <t>ADESIVO PARA PVC bisnaga de 75 gramas</t>
  </si>
  <si>
    <t xml:space="preserve"> 003487 </t>
  </si>
  <si>
    <t>LIXA PARA MADEIRA S422 NORTON 100</t>
  </si>
  <si>
    <t xml:space="preserve"> 003889 </t>
  </si>
  <si>
    <t>SOLUCAO LIMPADORA PARA TUBOS PVC FRASCO 1 LITRO</t>
  </si>
  <si>
    <t xml:space="preserve"> 002118 </t>
  </si>
  <si>
    <t>TE REDUCAO FERRO GALVANIZADO 1.1/4" x 1"</t>
  </si>
  <si>
    <t xml:space="preserve"> 002122 </t>
  </si>
  <si>
    <t>TE REDUCAO FERRO GALVANIZADO 1.1/2" x 1.1/4"</t>
  </si>
  <si>
    <t>INSTALACOES HIDRAULICAS - GAS</t>
  </si>
  <si>
    <t xml:space="preserve"> 002126 </t>
  </si>
  <si>
    <t>TE REDUCAO FERRO GALVANIZADO 2" x 1.1/4"</t>
  </si>
  <si>
    <t>TUBO PVC ROSCA 4""</t>
  </si>
  <si>
    <t xml:space="preserve"> 001032 </t>
  </si>
  <si>
    <t>TUBO PVC AGUA ROSCA 4</t>
  </si>
  <si>
    <t xml:space="preserve"> 00003143 </t>
  </si>
  <si>
    <t>FITA VEDA ROSCA, EM PTFE, ROLO DE 18 MM X 25 M (L X C)</t>
  </si>
  <si>
    <t xml:space="preserve"> 00003919 </t>
  </si>
  <si>
    <t>LUVA DE REDUCAO DE FERRO GALVANIZADO, COM ROSCA BSP, DE 1" X 3/4"</t>
  </si>
  <si>
    <t xml:space="preserve"> 00003920 </t>
  </si>
  <si>
    <t>LUVA DE REDUCAO DE FERRO GALVANIZADO, COM ROSCA BSP, DE 1 1/4" X 3/4"</t>
  </si>
  <si>
    <t xml:space="preserve"> 00003936 </t>
  </si>
  <si>
    <t>LUVA DE REDUCAO DE FERRO GALVANIZADO, COM ROSCA BSP, DE 1 1/2" X 1 1/4"</t>
  </si>
  <si>
    <t xml:space="preserve"> 00003935 </t>
  </si>
  <si>
    <t>LUVA DE REDUCAO DE FERRO GALVANIZADO, COM ROSCA BSP, DE 2" X 1 1/4"</t>
  </si>
  <si>
    <t xml:space="preserve"> 00003927 </t>
  </si>
  <si>
    <t>LUVA DE REDUCAO DE FERRO GALVANIZADO, COM ROSCA BSP, DE 2 1/2" X 1 1/2"</t>
  </si>
  <si>
    <t xml:space="preserve"> 00003928 </t>
  </si>
  <si>
    <t>LUVA DE REDUCAO DE FERRO GALVANIZADO, COM ROSCA BSP, DE 2 1/2" X 2"</t>
  </si>
  <si>
    <t xml:space="preserve"> 00003931 </t>
  </si>
  <si>
    <t>LUVA DE REDUCAO DE FERRO GALVANIZADO, COM ROSCA BSP, DE 3" X 2 1/2"</t>
  </si>
  <si>
    <t xml:space="preserve"> 00003934 </t>
  </si>
  <si>
    <t>LUVA DE REDUCAO DE FERRO GALVANIZADO, COM ROSCA BSP, DE 4" X 3"</t>
  </si>
  <si>
    <t xml:space="preserve"> 004817 </t>
  </si>
  <si>
    <t>GAS REFRIGERANTE R 410</t>
  </si>
  <si>
    <t xml:space="preserve"> 203068 </t>
  </si>
  <si>
    <t>GAS REFRIGERANTE R-141 B</t>
  </si>
  <si>
    <t xml:space="preserve"> 00007691 </t>
  </si>
  <si>
    <t>TUBO ACO GALVANIZADO COM COSTURA, CLASSE MEDIA, DN 1/2", E = *2,65* MM, PESO *1,22* KG/M (NBR 5580)</t>
  </si>
  <si>
    <t xml:space="preserve"> 00007698 </t>
  </si>
  <si>
    <t>TUBO ACO GALVANIZADO COM COSTURA, CLASSE MEDIA, DN 1.1/4", E = *3,25* MM, PESO *3,14* KG/M (NBR 5580)</t>
  </si>
  <si>
    <t xml:space="preserve"> 00007697 </t>
  </si>
  <si>
    <t>TUBO ACO GALVANIZADO COM COSTURA, CLASSE MEDIA, DN 1.1/2", E = *3,25* MM, PESO *3,61* KG/M (NBR 5580)</t>
  </si>
  <si>
    <t xml:space="preserve"> 00007696 </t>
  </si>
  <si>
    <t>TUBO ACO GALVANIZADO COM COSTURA, CLASSE MEDIA, DN 2", E = *3,65* MM, PESO *5,10* KG/M (NBR 5580)</t>
  </si>
  <si>
    <t xml:space="preserve"> 00007701 </t>
  </si>
  <si>
    <t>TUBO ACO GALVANIZADO COM COSTURA, CLASSE MEDIA, DN 2.1/2", E = *3,65* MM, PESO *6,51* KG/M (NBR 5580)</t>
  </si>
  <si>
    <t xml:space="preserve"> 00007695 </t>
  </si>
  <si>
    <t>TUBO ACO GALVANIZADO COM COSTURA, CLASSE MEDIA, DN 6", E = 4,85* MM, PESO 19,68* KG/M (NBR 5580)</t>
  </si>
  <si>
    <t xml:space="preserve"> 00042576 </t>
  </si>
  <si>
    <t>TUBO ACO CARBONO SEM COSTURA 3", E= *5,49 MM, SCHEDULE 40, *11,28* KG/M</t>
  </si>
  <si>
    <t xml:space="preserve"> 00007672 </t>
  </si>
  <si>
    <t>TUBO ACO CARBONO SEM COSTURA 6", E= 7,11 MM, SCHEDULE 40, *28,26 KG/M</t>
  </si>
  <si>
    <t>Massa Única Externa</t>
  </si>
  <si>
    <t xml:space="preserve"> 00037411 </t>
  </si>
  <si>
    <t>TELA DE ACO SOLDADA GALVANIZADA/ZINCADA PARA ALVENARIA, FIO D = *1,24 MM, MALHA 25 X 25 MM</t>
  </si>
  <si>
    <t>CHAPISCO APLICADO EM ALVENARIAS E ESTRUTURAS DE CONCRETO INTERNAS, COM COLHER DE PEDREIRO. ARGAMASSA TRAÇO 1:3 COM PREPARO EM BETONEIRA 400L. AF_10/2022</t>
  </si>
  <si>
    <t xml:space="preserve"> 87313 </t>
  </si>
  <si>
    <t>ARGAMASSA TRAÇO 1:3 (EM VOLUME DE CIMENTO E AREIA GROSSA ÚMIDA) PARA CHAPISCO CONVENCIONAL, PREPARO MECÂNICO COM BETONEIRA 400 L. AF_08/2019</t>
  </si>
  <si>
    <t>REJUNTAMENTO DE AZULEJOS,PASTILHAS OU LADRILHOS,EM PAREDES,C OM PASTA DE CIMENTO BRANCO 3%-DESGASTE DE FERRAMENTAS E EPI</t>
  </si>
  <si>
    <t xml:space="preserve"> 00150 </t>
  </si>
  <si>
    <t>CIMENTO PORTLAND BRANCO NAO ESTRUTURAL C PB, CONFORME ABNT NBR 16697</t>
  </si>
  <si>
    <t xml:space="preserve"> 012331 </t>
  </si>
  <si>
    <t>ARGAMASSA PRONTA FERMA QUARTZOLIT PARA MARMORES (4,0kg/m2)</t>
  </si>
  <si>
    <t xml:space="preserve"> 00044541 </t>
  </si>
  <si>
    <t>PISO/ REVESTIMENTO EM GRANITO, POLIDO, TIPO ANDORINHA/ QUARTZ/ CASTELO/ CORUMBA OU OUTROS EQUIVALENTES DA REGIAO, FORMATO MAIOR OU IGUAL A 3025 CM2, E = *2*CM</t>
  </si>
  <si>
    <t xml:space="preserve"> 95276 </t>
  </si>
  <si>
    <t>POLIDORA DE PISO (POLITRIZ), PESO DE 100KG, DIÂMETRO 450 MM, MOTOR ELÉTRICO, POTÊNCIA 4 HP - CHP DIURNO. AF_05/2023</t>
  </si>
  <si>
    <t xml:space="preserve"> 95277 </t>
  </si>
  <si>
    <t>POLIDORA DE PISO (POLITRIZ), PESO DE 100KG, DIÂMETRO 450 MM, MOTOR ELÉTRICO, POTÊNCIA 4 HP - CHI DIURNO. AF_05/2023</t>
  </si>
  <si>
    <t xml:space="preserve"> 89226 </t>
  </si>
  <si>
    <t>BETONEIRA CAPACIDADE NOMINAL DE 600 L, CAPACIDADE DE MISTURA 360 L, MOTOR ELÉTRICO TRIFÁSICO POTÊNCIA DE 4 CV, SEM CARREGADOR - CHI DIURNO. AF_05/2023</t>
  </si>
  <si>
    <t xml:space="preserve"> 89225 </t>
  </si>
  <si>
    <t>BETONEIRA CAPACIDADE NOMINAL DE 600 L, CAPACIDADE DE MISTURA 360 L, MOTOR ELÉTRICO TRIFÁSICO POTÊNCIA DE 4 CV, SEM CARREGADOR - CHP DIURNO. AF_05/2023</t>
  </si>
  <si>
    <t xml:space="preserve"> 00006085 </t>
  </si>
  <si>
    <t>SELADOR ACRILICO OPACO PREMIUM INTERIOR/EXTERIOR</t>
  </si>
  <si>
    <t xml:space="preserve"> 00041967 </t>
  </si>
  <si>
    <t>CERA LIQUIDA INCOLOR MULTIPISO</t>
  </si>
  <si>
    <t xml:space="preserve"> 00004824 </t>
  </si>
  <si>
    <t>GRANILHA/ GRANA/ PEDRISCO OU AGREGADO EM MARMORE/ GRANITO/ QUARTZO E CALCARIO, PRETO, CINZA, PALHA OU BRANCO</t>
  </si>
  <si>
    <t xml:space="preserve"> 00044528 </t>
  </si>
  <si>
    <t>CIMENTO PORTLAND ESTRUTURAL BRANCO CPB - 32 OU CPB - 40</t>
  </si>
  <si>
    <t xml:space="preserve"> 73557 </t>
  </si>
  <si>
    <t>MAQUINA POLIDORA 4HP 12AMP 220V EXCL ESMERIL E OPERADOR (CI)</t>
  </si>
  <si>
    <t>CHOR - CUSTOS HORÁRIOS DE MÁQUINAS E EQUIPAMENTOS</t>
  </si>
  <si>
    <t xml:space="preserve"> 73491 </t>
  </si>
  <si>
    <t>MAQUINA POLIDORA 4HP 12A 220V EXCL ESMERIL E OPERADOR (CP)</t>
  </si>
  <si>
    <t xml:space="preserve"> 00002710 </t>
  </si>
  <si>
    <t>REBOLO ABRASIVO RETO DE USO GERAL GRAO 36, DE 6 X 3/4" (DIAMETRO X ESPESSURA)</t>
  </si>
  <si>
    <t xml:space="preserve"> 00005327 </t>
  </si>
  <si>
    <t>PIGMENTO EM PO PARA ARGAMASSAS, CIMENTOS E OUTROS</t>
  </si>
  <si>
    <t xml:space="preserve"> 00007334 </t>
  </si>
  <si>
    <t>ADITIVO ADESIVO LIQUIDO PARA ARGAMASSAS DE REVESTIMENTOS CIMENTICIOS</t>
  </si>
  <si>
    <t xml:space="preserve"> 00001380 </t>
  </si>
  <si>
    <t>CIMENTO BRANCO NAO ESTRUTURAL (CPB - NAO ESTRUTURAL)</t>
  </si>
  <si>
    <t xml:space="preserve"> 14280 </t>
  </si>
  <si>
    <t>RODAPE ALTA RES.C/ARG.CIM.AGREG.MIN.C/10 CM ALT.,COR NAT.CIM.C/CAN.SAL.BOL.REENT. PISO MEIA CANA,COL.INCL.3 POL.EXC.CIM.AR</t>
  </si>
  <si>
    <t xml:space="preserve"> 00149 </t>
  </si>
  <si>
    <t>CIMENTO PORTLAND COMPOSTO CP II-32, EM S ACO DE 50KG, CONFORME ABNT NBR 16697</t>
  </si>
  <si>
    <t xml:space="preserve"> 00001 </t>
  </si>
  <si>
    <t>AREIA LAVADA, GROSSA, PARA REGIAO METROP OLITANA DO RIO DE JANEIRO</t>
  </si>
  <si>
    <t xml:space="preserve"> 00004792 </t>
  </si>
  <si>
    <t>PLACA VINILICA SEMIFLEXIVEL PARA PISOS, E = 3,2 MM, 30 X 30 CM (SEM COLOCACAO)</t>
  </si>
  <si>
    <t xml:space="preserve"> 00004791 </t>
  </si>
  <si>
    <t>ADESIVO ACRILICO DE BASE AQUOSA / COLA DE CONTATO</t>
  </si>
  <si>
    <t>RODAPE 7,5cm VINILICO CURVO FADEMAC</t>
  </si>
  <si>
    <t>RODAPES, SOLEIRAS E PEITORIS</t>
  </si>
  <si>
    <t xml:space="preserve"> 003034 </t>
  </si>
  <si>
    <t>COLA VINILICA PARA PARQUET DE MADEIRA 4,6kg/m2</t>
  </si>
  <si>
    <t xml:space="preserve"> 099100 </t>
  </si>
  <si>
    <t>LADRILHEIRO</t>
  </si>
  <si>
    <t xml:space="preserve"> 002229 </t>
  </si>
  <si>
    <t>PISO - PISOS</t>
  </si>
  <si>
    <t xml:space="preserve"> 070098 </t>
  </si>
  <si>
    <t>CERAMICA 30x30cm PARA PISO SORRENTO BEGE CLASSE A PIERINI</t>
  </si>
  <si>
    <t xml:space="preserve"> 042521 </t>
  </si>
  <si>
    <t>ARGAMASSA PREFABRICADA PARA CERAMICA MC BAUCHEMIE (4,50kg/m2)</t>
  </si>
  <si>
    <t xml:space="preserve"> 042519 </t>
  </si>
  <si>
    <t>ARGAMASSA PRONTA PARA REJUNTAMENTO CERAMICO (0,45kg/m2)</t>
  </si>
  <si>
    <t>RODAPÉ CERÂMICO DE 7CM DE ALTURA COM PLACAS TIPO ESMALTADA DE DIMENSÕES 35X35CM. AF_02/2023</t>
  </si>
  <si>
    <t>Revestimentos Cerâmicos Internos</t>
  </si>
  <si>
    <t xml:space="preserve"> 00034357 </t>
  </si>
  <si>
    <t>REJUNTE CIMENTICIO, QUALQUER COR</t>
  </si>
  <si>
    <t xml:space="preserve"> 00001381 </t>
  </si>
  <si>
    <t>ARGAMASSA COLANTE AC I PARA CERAMICAS</t>
  </si>
  <si>
    <t xml:space="preserve"> 00001287 </t>
  </si>
  <si>
    <t>PISO EM CERAMICA ESMALTADA, COR LISA, PEI MAIOR OU IGUAL A 4, FORMATO MENOR OU IGUAL A 2025 CM2</t>
  </si>
  <si>
    <t xml:space="preserve"> 87399 </t>
  </si>
  <si>
    <t>ARGAMASSA PRONTA PARA CONTRAPISO, PREPARO MANUAL. AF_08/2019</t>
  </si>
  <si>
    <t xml:space="preserve"> UFF_COTAÇÃO 300 </t>
  </si>
  <si>
    <t>PAINEL DE LÂ DE VIDRO OPTIMA PISO 60 1200x1200, REF. ISOVER, e= 15MM</t>
  </si>
  <si>
    <t xml:space="preserve"> 00038186 </t>
  </si>
  <si>
    <t>PISO TATIL DE ALERTA OU DIRECIONAL, DE BORRACHA, COLORIDO, 25 X 25 CM, E = 12 MM, PARA ARGAMASSA</t>
  </si>
  <si>
    <t xml:space="preserve"> 00037595 </t>
  </si>
  <si>
    <t>ARGAMASSA COLANTE TIPO AC III</t>
  </si>
  <si>
    <t>Acessibilidade</t>
  </si>
  <si>
    <t xml:space="preserve"> 00036178 </t>
  </si>
  <si>
    <t>PISO TATIL / PODOTATIL, LADRILHO HIDRAULICO/CONCRETO, *40 X 40* CM, E= 2,5* CM, PADRAO TATIL ALERTA OU DIRECIONAL, COR NATURAL</t>
  </si>
  <si>
    <t xml:space="preserve"> 00034353 </t>
  </si>
  <si>
    <t>ARGAMASSA COLANTE AC II</t>
  </si>
  <si>
    <t xml:space="preserve"> 00020232 </t>
  </si>
  <si>
    <t>SOLEIRA EM GRANITO, POLIDO, TIPO ANDORINHA/ QUARTZ/ CASTELO/ CORUMBA OU OUTROS EQUIVALENTES DA REGIAO, L= *15* CM, E= *2,0* CM</t>
  </si>
  <si>
    <t xml:space="preserve"> 00040653 </t>
  </si>
  <si>
    <t>PISO KORODUR (INCLUSO EXECUCAO)</t>
  </si>
  <si>
    <t>Pavimento Intertravado</t>
  </si>
  <si>
    <t xml:space="preserve"> 91283 </t>
  </si>
  <si>
    <t>CORTADORA DE PISO COM MOTOR 4 TEMPOS A GASOLINA, POTÊNCIA DE 13 HP, COM DISCO DE CORTE DIAMANTADO SEGMENTADO PARA CONCRETO, DIÂMETRO DE 350 MM, FURO DE 1" (14 X 1") - CHP DIURNO. AF_08/2015</t>
  </si>
  <si>
    <t xml:space="preserve"> 88260 </t>
  </si>
  <si>
    <t>CALCETEIRO COM ENCARGOS COMPLEMENTARES</t>
  </si>
  <si>
    <t xml:space="preserve"> 91285 </t>
  </si>
  <si>
    <t>CORTADORA DE PISO COM MOTOR 4 TEMPOS A GASOLINA, POTÊNCIA DE 13 HP, COM DISCO DE CORTE DIAMANTADO SEGMENTADO PARA CONCRETO, DIÂMETRO DE 350 MM, FURO DE 1" (14 X 1") - CHI DIURNO. AF_08/2015</t>
  </si>
  <si>
    <t xml:space="preserve"> 00000370 </t>
  </si>
  <si>
    <t>AREIA MEDIA - POSTO JAZIDA/FORNECEDOR (RETIRADO NA JAZIDA, SEM TRANSPORTE)</t>
  </si>
  <si>
    <t xml:space="preserve"> 00040524 </t>
  </si>
  <si>
    <t>BLOQUETE/PISO INTERTRAVADO DE CONCRETO - MODELO ONDA/16 FACES/RETANGULAR/TIJOLINHO/PAVER/HOLANDES/PARALELEPIPEDO, *20 X 10* CM, E = 10 CM, RESISTENCIA DE 35 MPA, COR NATURAL</t>
  </si>
  <si>
    <t>GUIA (MEIO-FIO) CONCRETO, MOLDADA IN LOCO EM TRECHO CURVO COM EXTRUSORA, 13 CM BASE X 22 CM ALTURA. AF_01/2024</t>
  </si>
  <si>
    <t>Guias e sarjetas</t>
  </si>
  <si>
    <t xml:space="preserve"> 92960 </t>
  </si>
  <si>
    <t>MÁQUINA EXTRUSORA DE CONCRETO PARA GUIAS E SARJETAS, MOTOR A DIESEL, POTÊNCIA 14 CV - CHP DIURNO. AF_12/2015</t>
  </si>
  <si>
    <t xml:space="preserve"> 88631 </t>
  </si>
  <si>
    <t>ARGAMASSA TRAÇO 1:4 (EM VOLUME DE CIMENTO E AREIA MÉDIA ÚMIDA), PREPARO MANUAL. AF_08/2019</t>
  </si>
  <si>
    <t xml:space="preserve"> 92961 </t>
  </si>
  <si>
    <t>MÁQUINA EXTRUSORA DE CONCRETO PARA GUIAS E SARJETAS, MOTOR A DIESEL, POTÊNCIA 14 CV - CHI DIURNO. AF_12/2015</t>
  </si>
  <si>
    <t xml:space="preserve"> 00034492 </t>
  </si>
  <si>
    <t>CONCRETO USINADO BOMBEAVEL, CLASSE DE RESISTENCIA C20, COM BRITA 0 E 1, SLUMP = 100 +/- 20 MM, EXCLUI SERVICO DE BOMBEAMENTO (NBR 8953)</t>
  </si>
  <si>
    <t>Passeios de Concreto</t>
  </si>
  <si>
    <t xml:space="preserve"> 00007156 </t>
  </si>
  <si>
    <t>TELA DE ACO SOLDADA NERVURADA, CA-60, Q-196, (3,11 KG/M2), DIAMETRO DO FIO = 5,0 MM, LARGURA = 2,45 M, ESPACAMENTO DA MALHA = 10 X 10 CM</t>
  </si>
  <si>
    <t>PLANTIO DE GRAMA ESMERALDA OU SÃO CARLOS OU CURITIBANA, EM PLACAS. AF_07/2024</t>
  </si>
  <si>
    <t>Paisagismo - Plantio</t>
  </si>
  <si>
    <t xml:space="preserve"> 88441 </t>
  </si>
  <si>
    <t>JARDINEIRO COM ENCARGOS COMPLEMENTARES</t>
  </si>
  <si>
    <t xml:space="preserve"> 00003322 </t>
  </si>
  <si>
    <t>GRAMA ESMERALDA OU SAO CARLOS OU CURITIBANA, EM PLACAS, SEM PLANTIO</t>
  </si>
  <si>
    <t xml:space="preserve"> 00007356 </t>
  </si>
  <si>
    <t>TINTA LATEX ACRILICA PREMIUM, COR BRANCO FOSCO</t>
  </si>
  <si>
    <t xml:space="preserve"> 00003767 </t>
  </si>
  <si>
    <t>LIXA EM FOLHA PARA PAREDE OU MADEIRA, NUMERO 120, COR VERMELHA</t>
  </si>
  <si>
    <t xml:space="preserve"> 00043626 </t>
  </si>
  <si>
    <t>MASSA CORRIDA PARA SUPERFICIES DE AMBIENTES INTERNOS</t>
  </si>
  <si>
    <t>Pintura Externa</t>
  </si>
  <si>
    <t xml:space="preserve"> 00043651 </t>
  </si>
  <si>
    <t>MASSA ACRILICA PARA SUPERFICIES INTERNAS E EXTERNAS</t>
  </si>
  <si>
    <t xml:space="preserve"> 00007292 </t>
  </si>
  <si>
    <t>TINTA ESMALTE SINTETICO PREMIUM BRILHANTE</t>
  </si>
  <si>
    <t xml:space="preserve"> 043933 </t>
  </si>
  <si>
    <t>TINTA PARA PINTURA PISOS/TELHADOS NOVACOR (GALAO 3,6 L)</t>
  </si>
  <si>
    <t>Pintura para Pisos e para Sinalização Horizontal e Vertical</t>
  </si>
  <si>
    <t xml:space="preserve"> 00005330 </t>
  </si>
  <si>
    <t>DILUENTE EPOXI</t>
  </si>
  <si>
    <t xml:space="preserve"> 00012815 </t>
  </si>
  <si>
    <t>FITA CREPE ROLO DE *25* MM X 50 M</t>
  </si>
  <si>
    <t xml:space="preserve"> 00007304 </t>
  </si>
  <si>
    <t>TINTA EPOXI BASE AGUA PREMIUM, BRANCA</t>
  </si>
  <si>
    <t xml:space="preserve"> 02367 </t>
  </si>
  <si>
    <t>BEBEDOURO PURIFICADOR,COLUNA,C/ACESSIBIL IIDADE,ABNT NBR9050,ACO INOXIDAVEL,PRESS AO,2 TORN.,V.MINIMA 30L/H,ABNT NBR16236</t>
  </si>
  <si>
    <t>mês</t>
  </si>
  <si>
    <t xml:space="preserve"> UFF_COTAÇÃO 301 </t>
  </si>
  <si>
    <t xml:space="preserve"> 88269 </t>
  </si>
  <si>
    <t>GESSEIRO COM ENCARGOS COMPLEMENTARES</t>
  </si>
  <si>
    <t xml:space="preserve"> 00004812 </t>
  </si>
  <si>
    <t>PLACA DE GESSO PARA FORRO, *60 X 60* CM, ESPESSURA DE 12 MM (SEM COLOCACAO)</t>
  </si>
  <si>
    <t xml:space="preserve"> 00020250 </t>
  </si>
  <si>
    <t>SISAL EM FIBRA / ESTOPA SISAL PARA GESSO</t>
  </si>
  <si>
    <t xml:space="preserve"> 00000345 </t>
  </si>
  <si>
    <t>ARAME GALVANIZADO 18 BWG, D = 1,24MM (0,009 KG/M)</t>
  </si>
  <si>
    <t xml:space="preserve"> 00003315 </t>
  </si>
  <si>
    <t>GESSO EM PO PARA REVESTIMENTOS/MOLDURAS/SANCAS E USO GERAL</t>
  </si>
  <si>
    <t xml:space="preserve"> 00005066 </t>
  </si>
  <si>
    <t>PREGO DE ACO POLIDO COM CABECA 12 X 12</t>
  </si>
  <si>
    <t xml:space="preserve"> 11219 </t>
  </si>
  <si>
    <t>PLACA TIPO COLMEIA,EM ALUMINIO PRE-PINTA DO,MODULACAO DE (62X62)CM,MALHA MEDINDO APROX.(5X5)CM,FIXADO C/PERFIL T APARENTE</t>
  </si>
  <si>
    <t>REVE - REVESTIMENTO E TRATAMENTO DE SUPERFÍCIES</t>
  </si>
  <si>
    <t xml:space="preserve"> 005053 </t>
  </si>
  <si>
    <t>FORRO MINERAL DUNE MICROLOOK T15 16 x 625 x 625mm ARMSTRONG</t>
  </si>
  <si>
    <t xml:space="preserve"> 005034 </t>
  </si>
  <si>
    <t>FINCAPINO C22 CURTO ACAO DIRETA PARA PISTOLA</t>
  </si>
  <si>
    <t xml:space="preserve"> 005026 </t>
  </si>
  <si>
    <t>DRYWALL - TRAVESSA CLICADA 24 x 625mm</t>
  </si>
  <si>
    <t xml:space="preserve"> 062222 </t>
  </si>
  <si>
    <t>DRYWALL - PERFIL TRAVESSA CLICADO PARA FORRO REMOVIVEL 24x625mm</t>
  </si>
  <si>
    <t xml:space="preserve"> 005052 </t>
  </si>
  <si>
    <t>DRYWALL - CANTONEIRA 25x30x3000mm</t>
  </si>
  <si>
    <t xml:space="preserve"> MAT061950 </t>
  </si>
  <si>
    <t>Forro acustico, RH-90, perfil Javelim, Armstrong, Hunter Douglas ou similar, medindo: (625x625x19)mm, tipo Cirrus</t>
  </si>
  <si>
    <t xml:space="preserve"> 008518 </t>
  </si>
  <si>
    <t>PINO ARRUELA CONICA 23mm 1/4 x 28 WALSYWA</t>
  </si>
  <si>
    <t xml:space="preserve"> 000433 </t>
  </si>
  <si>
    <t>SOLDA-ELETRODO OK 4804 AWS 7018 5,0mm 3/16" (lata 25kg)</t>
  </si>
  <si>
    <t xml:space="preserve"> 000232 </t>
  </si>
  <si>
    <t>ENERGIA ELETRICA ATE 2000 KWH</t>
  </si>
  <si>
    <t>KWH</t>
  </si>
  <si>
    <t xml:space="preserve"> 000311 </t>
  </si>
  <si>
    <t>TELA DE PROTECAO EXTRUSADA LARANJA</t>
  </si>
  <si>
    <t xml:space="preserve"> 013003 </t>
  </si>
  <si>
    <t>PERFIL "L" ABAS IGUAIS 1.1/2"x1/8" (1,83kg/m)</t>
  </si>
  <si>
    <t xml:space="preserve"> 034422 </t>
  </si>
  <si>
    <t>MAQUINA SOLDA ELET.SMASHWELD SUPER BANTAN 3,5kVA(19065)</t>
  </si>
  <si>
    <t>RETIRADA DE ENTULHO DE OBRA COM CACAMBA DE ACO TIPO CONTAINE R COM 5M3 DE CAPACIDADE,INCLUSIVE CARREGAMENTO,TRANSPORTE E DESCARREGAMENTO.CUSTO POR UNIDADE DE CACAMBA E INCLUI A TAX A PARA DESCARGA EM LOCAIS AUTORIZADOS 3%-DESGASTE DE FERRAMENTAS E EPI</t>
  </si>
  <si>
    <t xml:space="preserve"> 10962 </t>
  </si>
  <si>
    <t>ALUGUEL CACAMBA DE ACO TIPO CONTAINER C/ 5M3 CAPAC.P/RETIRADA ENTULHO OBRA,INCL.C ARREGA.,TRANSP.E DESCAR.LOCAIS AUTORIZ.</t>
  </si>
  <si>
    <t xml:space="preserve"> 087756 </t>
  </si>
  <si>
    <t>ATESTADO - NR-7 PCMSO ANUAL</t>
  </si>
  <si>
    <t>DESPESAS LEGAIS</t>
  </si>
  <si>
    <t xml:space="preserve"> 061678 </t>
  </si>
  <si>
    <t>CHAPA ALUMINIO PARA ABA TIPO WALL/CAP 1,5mm (4,94kg/m2)</t>
  </si>
  <si>
    <t xml:space="preserve"> UFF_COTAÇÃO 302 </t>
  </si>
  <si>
    <t>VINIL AUTO-ADESIVO FOSCO OU BRILHANTE C/ APLICAÇÃO</t>
  </si>
  <si>
    <t xml:space="preserve"> 040015 </t>
  </si>
  <si>
    <t>PREFABRICACAO E USINAGEM DE CHAPAS DE ACO</t>
  </si>
  <si>
    <t xml:space="preserve"> 000881 </t>
  </si>
  <si>
    <t>ALUGUEL ANDAIME TUBULAR FACHADEIRO-ESTRADO 2 OPERARIOS</t>
  </si>
  <si>
    <t xml:space="preserve"> 001091 </t>
  </si>
  <si>
    <t>FITA VHB DUPLA-FACE STRUCTURAL GLAZING PELE DE VIDRO 25mm x 20m</t>
  </si>
  <si>
    <t xml:space="preserve"> 00034659 </t>
  </si>
  <si>
    <t>CHAPA DE MDF BRANCO LISO 1 FACE, E = 12 MM, DE *2,75 X 1,85* M</t>
  </si>
  <si>
    <t xml:space="preserve"> UFF_COTAÇÃO 303 </t>
  </si>
  <si>
    <t>PLACA DE PVC EXPANDIDO 4MM 1220X2440MM</t>
  </si>
  <si>
    <t xml:space="preserve"> 00034668 </t>
  </si>
  <si>
    <t>CHAPA DE MDF BRANCO LISO 1 FACE, E = 9 MM, DE *2,75 X 1,85* M</t>
  </si>
  <si>
    <t xml:space="preserve"> UFF_COTAÇÃO 304 </t>
  </si>
  <si>
    <t>PLACA DE PVC EXPANDIDO 2MM 1220X2440MM</t>
  </si>
  <si>
    <t xml:space="preserve"> UFF_COTAÇÃO 305 </t>
  </si>
  <si>
    <t>LETRA DE PVC EXPANDIDO 10MM – 20CM</t>
  </si>
  <si>
    <t xml:space="preserve"> 00010851 </t>
  </si>
  <si>
    <t>PLACA DE ACRILICO TRANSPARENTE ADESIVADA PARA SINALIZACAO DE PORTAS, BORDA POLIDA, DE *25 X 8*, E = 6 MM (NAO INCLUI ACESSORIOS PARA FIXACAO)</t>
  </si>
  <si>
    <t xml:space="preserve"> 068414 </t>
  </si>
  <si>
    <t>PELICULA ADESIVA JATEADA TRANSLUCIDA PARA APLICACAO EM VIDRO</t>
  </si>
  <si>
    <t xml:space="preserve"> 00011026 </t>
  </si>
  <si>
    <t>CHAPA DE ACO GALVANIZADA BITOLA GSG 14, E = 1,95 MM (15,60 KG/M2)</t>
  </si>
  <si>
    <t>URBA - URBANIZAÇÃO</t>
  </si>
  <si>
    <t xml:space="preserve"> 102486 </t>
  </si>
  <si>
    <t>CONCRETO FCK = 15MPA, TRAÇO 1:3,4:3,4 (EM MASSA SECA DE CIMENTO/ AREIA MÉDIA/ SEIXO ROLADO) - PREPARO MANUAL. AF_05/2021</t>
  </si>
  <si>
    <t xml:space="preserve"> 00004721 </t>
  </si>
  <si>
    <t>PEDRA BRITADA N. 1 (9,5 A 19 MM) POSTO PEDREIRA/FORNECEDOR, SEM FRETE</t>
  </si>
  <si>
    <t xml:space="preserve"> 025826 </t>
  </si>
  <si>
    <t>ACESSIBILIDADE - PLACA TATIL BRAILLE/RELEVO ACRILICO 30x9cm (ATE 30 CARACTERES)</t>
  </si>
  <si>
    <t xml:space="preserve"> 021176 </t>
  </si>
  <si>
    <t>ACESSIBILIDADE - MAPA TATIL BRAILLE/RELEVO ACRILICO 40x60cm</t>
  </si>
  <si>
    <t xml:space="preserve"> 043721 </t>
  </si>
  <si>
    <t>ACESSIBILIDADE - PEDESTAL EM ACO CARBONO COM PINTURA ESMALTE SINTETICO PARA MAPA TATIL 40x80cm</t>
  </si>
  <si>
    <t xml:space="preserve"> 89032 </t>
  </si>
  <si>
    <t>TRATOR DE ESTEIRAS, POTÊNCIA 100 HP, PESO OPERACIONAL 9,4 T, COM LÂMINA 2,19 M3 - CHP DIURNO. AF_06/2014</t>
  </si>
  <si>
    <t xml:space="preserve"> 89031 </t>
  </si>
  <si>
    <t>TRATOR DE ESTEIRAS, POTÊNCIA 100 HP, PESO OPERACIONAL 9,4 T, COM LÂMINA 2,19 M3 - CHI DIURNO. AF_06/2014</t>
  </si>
  <si>
    <t>LIMPEZA DE CAIXA COLETORA 3%-DESGASTE DE FERRAMENTAS E EPI</t>
  </si>
  <si>
    <t>LIMPEZA DE CAIXA D'AGUA OU CISTERNA,COM CAPACIDADE DE 20001 A 60000L,INCLUSIVE DESINFECCAO,CONFORME APROVACAO PELA COMIS SAO ESTADUAL DE CONTROLE AMBIENTAL-CECA,COM BASE NA LEI Nº 1 .893/91 E NO DECRETO Nº20.356/93,MN-353 MANUAL DE LIMPEZA E DESINFECCAO DE RESERVATORIOS DE AGUA 3%-DESGASTE DE FERRAMENTAS E EPI</t>
  </si>
  <si>
    <t xml:space="preserve"> 19.009.0002-E </t>
  </si>
  <si>
    <t>MOTOBOMBA AUTOESCORVANTE,PARA BOMBEAMENTO DE AGUAS LIMPAS OU SUJAS COM ATE 20MM DE DIAMETRO DOS SOLIDOS EM SUSPENSAO,NA PROPORCAO MAXIMA DE 20% NO VOLUME E LIQUIDOS QUIMICAMENTE NA O AGRESSIVOS,MOTOR A GASOLINA,COM POTENCIA DE 6,5CV,PARTIDA MANUAL,MOTOR 4 TEMPOS,VAZAO MAXIMA DE 60M3/H ATE 92M3/H E AL TURA MANOMETRICA ATE 30MCA,EXCLUSIVE OPERADOR</t>
  </si>
  <si>
    <t xml:space="preserve"> 19.009.0002-C </t>
  </si>
  <si>
    <t xml:space="preserve"> 00790 </t>
  </si>
  <si>
    <t>HIPOCLORITO DE SODIO</t>
  </si>
  <si>
    <t xml:space="preserve"> 20112 </t>
  </si>
  <si>
    <t>MAO-DE-OBRA DE OPERADOR DE MAQUINAS AUX.  (COMPRESSOR, ROLO COMPACTADOR LEVE...),  INCLUSIVE ENCARGOS SOCIAIS DESONERADOS</t>
  </si>
  <si>
    <t xml:space="preserve"> 00789 </t>
  </si>
  <si>
    <t>CLORO</t>
  </si>
  <si>
    <t xml:space="preserve"> 00000003 </t>
  </si>
  <si>
    <t>ACIDO CLORIDRICO / ACIDO MURIATICO, DILUICAO 10% A 12% PARA USO EM LIMPEZA</t>
  </si>
  <si>
    <t>Composições Auxiliares</t>
  </si>
  <si>
    <t xml:space="preserve"> 00000096 </t>
  </si>
  <si>
    <t>ADAPTADOR PVC SOLDAVEL, COM FLANGE E ANEL DE VEDACAO, 25 MM X 3/4", PARA CAIXA D'AGUA</t>
  </si>
  <si>
    <t xml:space="preserve"> 89383 </t>
  </si>
  <si>
    <t>ADAPTADOR CURTO COM BOLSA E ROSCA PARA REGISTRO, PVC, SOLDÁVEL, DN 25MM X 3/4, INSTALADO EM RAMAL OU SUB-RAMAL DE ÁGUA - FORNECIMENTO E INSTALAÇÃO. AF_06/2022</t>
  </si>
  <si>
    <t xml:space="preserve"> 00000065 </t>
  </si>
  <si>
    <t>ADAPTADOR PVC SOLDAVEL CURTO COM BOLSA E ROSCA, 25 MM X 3/4", PARA AGUA FRIA</t>
  </si>
  <si>
    <t xml:space="preserve"> 95308 </t>
  </si>
  <si>
    <t>CURSO DE CAPACITAÇÃO PARA AJUDANTE DE ARMADOR (ENCARGOS COMPLEMENTARES) - HORISTA</t>
  </si>
  <si>
    <t xml:space="preserve"> 00043489 </t>
  </si>
  <si>
    <t>EPI - FAMILIA PEDREIRO - HORISTA (ENCARGOS COMPLEMENTARES - COLETADO CAIXA)</t>
  </si>
  <si>
    <t xml:space="preserve"> 00037372 </t>
  </si>
  <si>
    <t>EXAMES - HORISTA (COLETADO CAIXA - ENCARGOS COMPLEMENTARES)</t>
  </si>
  <si>
    <t xml:space="preserve"> 00037370 </t>
  </si>
  <si>
    <t>ALIMENTACAO - HORISTA (COLETADO CAIXA - ENCARGOS COMPLEMENTARES)</t>
  </si>
  <si>
    <t xml:space="preserve"> 00037371 </t>
  </si>
  <si>
    <t>TRANSPORTE - HORISTA (COLETADO CAIXA - ENCARGOS COMPLEMENTARES)</t>
  </si>
  <si>
    <t xml:space="preserve"> 00037373 </t>
  </si>
  <si>
    <t>SEGURO - HORISTA (COLETADO CAIXA - ENCARGOS COMPLEMENTARES)</t>
  </si>
  <si>
    <t xml:space="preserve"> 00043465 </t>
  </si>
  <si>
    <t>FERRAMENTAS - FAMILIA PEDREIRO - HORISTA (ENCARGOS COMPLEMENTARES - COLETADO CAIXA)</t>
  </si>
  <si>
    <t xml:space="preserve"> 00006114 </t>
  </si>
  <si>
    <t>AJUDANTE DE ARMADOR (HORISTA)</t>
  </si>
  <si>
    <t xml:space="preserve"> 95309 </t>
  </si>
  <si>
    <t>CURSO DE CAPACITAÇÃO PARA AJUDANTE DE CARPINTEIRO (ENCARGOS COMPLEMENTARES) - HORISTA</t>
  </si>
  <si>
    <t xml:space="preserve"> 00006117 </t>
  </si>
  <si>
    <t>CARPINTEIRO AUXILIAR (HORISTA)</t>
  </si>
  <si>
    <t xml:space="preserve"> 00043483 </t>
  </si>
  <si>
    <t>EPI - FAMILIA CARPINTEIRO DE FORMAS - HORISTA (ENCARGOS COMPLEMENTARES - COLETADO CAIXA)</t>
  </si>
  <si>
    <t xml:space="preserve"> 00043459 </t>
  </si>
  <si>
    <t>FERRAMENTAS - FAMILIA CARPINTEIRO DE FORMAS - HORISTA (ENCARGOS COMPLEMENTARES - COLETADO CAIXA)</t>
  </si>
  <si>
    <t xml:space="preserve"> 95312 </t>
  </si>
  <si>
    <t>CURSO DE CAPACITAÇÃO PARA AJUDANTE DE PEDREIRO (ENCARGOS COMPLEMENTARES) - HORISTA</t>
  </si>
  <si>
    <t xml:space="preserve"> 00006127 </t>
  </si>
  <si>
    <t>AUXILIAR DE PEDREIRO (HORISTA)</t>
  </si>
  <si>
    <t xml:space="preserve"> 95313 </t>
  </si>
  <si>
    <t>CURSO DE CAPACITAÇÃO PARA AJUDANTE ESPECIALIZADO (ENCARGOS COMPLEMENTARES) - HORISTA</t>
  </si>
  <si>
    <t xml:space="preserve"> 00043491 </t>
  </si>
  <si>
    <t>EPI - FAMILIA SERVENTE - HORISTA (ENCARGOS COMPLEMENTARES - COLETADO CAIXA)</t>
  </si>
  <si>
    <t xml:space="preserve"> 00043467 </t>
  </si>
  <si>
    <t>FERRAMENTAS - FAMILIA SERVENTE - HORISTA (ENCARGOS COMPLEMENTARES - COLETADO CAIXA)</t>
  </si>
  <si>
    <t xml:space="preserve"> 00000242 </t>
  </si>
  <si>
    <t>AJUDANTE ESPECIALIZADO (HORISTA)</t>
  </si>
  <si>
    <t xml:space="preserve"> 95413 </t>
  </si>
  <si>
    <t>CURSO DE CAPACITAÇÃO PARA ALMOXARIFE (ENCARGOS COMPLEMENTARES) - MENSALISTA</t>
  </si>
  <si>
    <t xml:space="preserve"> 00040863 </t>
  </si>
  <si>
    <t>EXAMES - MENSALISTA (COLETADO CAIXA - ENCARGOS COMPLEMENTARES)</t>
  </si>
  <si>
    <t xml:space="preserve"> 00040809 </t>
  </si>
  <si>
    <t>ALMOXARIFE (MENSALISTA)</t>
  </si>
  <si>
    <t xml:space="preserve"> 00043470 </t>
  </si>
  <si>
    <t>FERRAMENTAS - FAMILIA ALMOXARIFE - MENSALISTA (ENCARGOS COMPLEMENTARES - COLETADO CAIXA)</t>
  </si>
  <si>
    <t xml:space="preserve"> 00043494 </t>
  </si>
  <si>
    <t>EPI - FAMILIA ALMOXARIFE - MENSALISTA (ENCARGOS COMPLEMENTARES - COLETADO CAIXA)</t>
  </si>
  <si>
    <t xml:space="preserve"> 00040864 </t>
  </si>
  <si>
    <t>SEGURO - MENSALISTA (COLETADO CAIXA - ENCARGOS COMPLEMENTARES)</t>
  </si>
  <si>
    <t xml:space="preserve"> 95414 </t>
  </si>
  <si>
    <t>CURSO DE CAPACITAÇÃO PARA APONTADOR OU APROPRIADOR (ENCARGOS COMPLEMENTARES) - MENSALISTA</t>
  </si>
  <si>
    <t xml:space="preserve"> 00040810 </t>
  </si>
  <si>
    <t>APONTADOR OU APROPRIADOR DE MAO DE OBRA (MENSALISTA)</t>
  </si>
  <si>
    <t xml:space="preserve"> 19.007.0004-C </t>
  </si>
  <si>
    <t>BETONEIRA PARA 320L DE MISTURA SECA,DE CARREGAMENTO MECANICO E TAMBOR REVERSIVEL,COM MOTOR A GASOLINA,EXCLUSIVE OPERADOR</t>
  </si>
  <si>
    <t xml:space="preserve"> 19.007.0004-E </t>
  </si>
  <si>
    <t>BETONEIRA PARA 320L DE MISTURA SECA,DE CARREGAMENTO MECANICO E TAMBOR REVERSIVEL,COM MOTOR A GASOLINA,EXCLUSIVE OPERADOR 3%-DESGASTE DE FERRAMENTAS E EPI</t>
  </si>
  <si>
    <t xml:space="preserve"> 00036886 </t>
  </si>
  <si>
    <t>ARGAMASSA PRONTA PARA CONTRAPISO</t>
  </si>
  <si>
    <t xml:space="preserve"> 00001106 </t>
  </si>
  <si>
    <t>CAL HIDRATADA CH-I PARA ARGAMASSAS</t>
  </si>
  <si>
    <t xml:space="preserve"> 88830 </t>
  </si>
  <si>
    <t>BETONEIRA CAPACIDADE NOMINAL DE 400 L, CAPACIDADE DE MISTURA 280 L, MOTOR ELÉTRICO TRIFÁSICO POTÊNCIA DE 2 CV, SEM CARREGADOR - CHP DIURNO. AF_05/2023</t>
  </si>
  <si>
    <t xml:space="preserve"> 88831 </t>
  </si>
  <si>
    <t>BETONEIRA CAPACIDADE NOMINAL DE 400 L, CAPACIDADE DE MISTURA 280 L, MOTOR ELÉTRICO TRIFÁSICO POTÊNCIA DE 2 CV, SEM CARREGADOR - CHI DIURNO. AF_05/2023</t>
  </si>
  <si>
    <t xml:space="preserve"> 88377 </t>
  </si>
  <si>
    <t>OPERADOR DE BETONEIRA ESTACIONÁRIA/MISTURADOR COM ENCARGOS COMPLEMENTARES</t>
  </si>
  <si>
    <t xml:space="preserve"> 100475 </t>
  </si>
  <si>
    <t>ARGAMASSA TRAÇO 1:3 (EM VOLUME DE CIMENTO E AREIA MÉDIA ÚMIDA) COM ADIÇÃO DE IMPERMEABILIZANTE, PREPARO MECÂNICO COM BETONEIRA 400 L. AF_08/2019</t>
  </si>
  <si>
    <t xml:space="preserve"> 00000123 </t>
  </si>
  <si>
    <t>ADITIVO IMPERMEABILIZANTE DE PEGA NORMAL PARA ARGAMASSAS E CONCRETOS SEM ARMACAO, LIQUIDO E ISENTO DE CLORETOS</t>
  </si>
  <si>
    <t xml:space="preserve"> 00043617 </t>
  </si>
  <si>
    <t>ADITIVO PLASTIFICANTE E ESTABILIZADOR PARA ARGAMASSAS DE ASSENTAMENTO E REBOCO, LIQUIDO E ISENTO DE CLORETOS</t>
  </si>
  <si>
    <t xml:space="preserve"> 95314 </t>
  </si>
  <si>
    <t>CURSO DE CAPACITAÇÃO PARA ARMADOR (ENCARGOS COMPLEMENTARES) - HORISTA</t>
  </si>
  <si>
    <t xml:space="preserve"> 00000378 </t>
  </si>
  <si>
    <t>ARMADOR (HORISTA)</t>
  </si>
  <si>
    <t xml:space="preserve"> 00000034 </t>
  </si>
  <si>
    <t>ACO CA-50, 10,0 MM, VERGALHAO</t>
  </si>
  <si>
    <t xml:space="preserve"> 92767 </t>
  </si>
  <si>
    <t>ARMAÇÃO DE LAJE DE ESTRUTURA CONVENCIONAL DE CONCRETO ARMADO UTILIZANDO AÇO CA-60 DE 4,2 MM - MONTAGEM. AF_06/2022</t>
  </si>
  <si>
    <t xml:space="preserve"> 92799 </t>
  </si>
  <si>
    <t>CORTE E DOBRA DE AÇO CA-60, DIÂMETRO DE 4,2 MM. AF_06/2022</t>
  </si>
  <si>
    <t xml:space="preserve"> 95315 </t>
  </si>
  <si>
    <t>CURSO DE CAPACITAÇÃO PARA ASSENTADOR DE TUBOS (ENCARGOS COMPLEMENTARES) - HORISTA</t>
  </si>
  <si>
    <t xml:space="preserve"> 00043488 </t>
  </si>
  <si>
    <t>EPI - FAMILIA OPERADOR ESCAVADEIRA - HORISTA (ENCARGOS COMPLEMENTARES - COLETADO CAIXA)</t>
  </si>
  <si>
    <t xml:space="preserve"> 00040331 </t>
  </si>
  <si>
    <t>ASSENTADOR DE MANILHAS (HORISTA)</t>
  </si>
  <si>
    <t xml:space="preserve"> 00043464 </t>
  </si>
  <si>
    <t>FERRAMENTAS - FAMILIA OPERADOR ESCAVADEIRA - HORISTA (ENCARGOS COMPLEMENTARES - COLETADO CAIXA)</t>
  </si>
  <si>
    <t xml:space="preserve"> 95316 </t>
  </si>
  <si>
    <t>CURSO DE CAPACITAÇÃO PARA AUXILIAR DE ELETRICISTA (ENCARGOS COMPLEMENTARES) - HORISTA</t>
  </si>
  <si>
    <t xml:space="preserve"> 00000247 </t>
  </si>
  <si>
    <t>AJUDANTE DE ELETRICISTA (HORISTA)</t>
  </si>
  <si>
    <t xml:space="preserve"> 00043460 </t>
  </si>
  <si>
    <t>FERRAMENTAS - FAMILIA ELETRICISTA - HORISTA (ENCARGOS COMPLEMENTARES - COLETADO CAIXA)</t>
  </si>
  <si>
    <t xml:space="preserve"> 00043484 </t>
  </si>
  <si>
    <t>EPI - FAMILIA ELETRICISTA - HORISTA (ENCARGOS COMPLEMENTARES - COLETADO CAIXA)</t>
  </si>
  <si>
    <t xml:space="preserve"> 95317 </t>
  </si>
  <si>
    <t>CURSO DE CAPACITAÇÃO PARA AUXILIAR DE ENCANADOR OU BOMBEIRO HIDRÁULICO (ENCARGOS COMPLEMENTARES) - HORISTA</t>
  </si>
  <si>
    <t xml:space="preserve"> 00043485 </t>
  </si>
  <si>
    <t>EPI - FAMILIA ENCANADOR - HORISTA (ENCARGOS COMPLEMENTARES - COLETADO CAIXA)</t>
  </si>
  <si>
    <t xml:space="preserve"> 00000246 </t>
  </si>
  <si>
    <t>AUXILIAR DE ENCANADOR OU BOMBEIRO HIDRAULICO (HORISTA)</t>
  </si>
  <si>
    <t xml:space="preserve"> 00043461 </t>
  </si>
  <si>
    <t>FERRAMENTAS - FAMILIA ENCANADOR - HORISTA (ENCARGOS COMPLEMENTARES - COLETADO CAIXA)</t>
  </si>
  <si>
    <t xml:space="preserve"> 95319 </t>
  </si>
  <si>
    <t>CURSO DE CAPACITAÇÃO PARA AUXILIAR DE MECÂNICO (ENCARGOS COMPLEMENTARES) - HORISTA</t>
  </si>
  <si>
    <t xml:space="preserve"> 00000251 </t>
  </si>
  <si>
    <t>AUXILIAR DE MECANICO (HORISTA)</t>
  </si>
  <si>
    <t xml:space="preserve"> 95320 </t>
  </si>
  <si>
    <t>CURSO DE CAPACITAÇÃO PARA AUXILIAR DE SERRALHEIRO (ENCARGOS COMPLEMENTARES) - HORISTA</t>
  </si>
  <si>
    <t xml:space="preserve"> 00000252 </t>
  </si>
  <si>
    <t>AJUDANTE DE SERRALHEIRO (HORISTA)</t>
  </si>
  <si>
    <t xml:space="preserve"> 101301 </t>
  </si>
  <si>
    <t>CURSO DE CAPACITAÇÃO PARA AUXILIAR DE TOPÓGRAFO (ENCARGOS COMPLEMENTARES) - MENSALISTA</t>
  </si>
  <si>
    <t xml:space="preserve"> 00041093 </t>
  </si>
  <si>
    <t>AUXILIAR DE TOPOGRAFO (MENSALISTA)</t>
  </si>
  <si>
    <t xml:space="preserve"> 00043505 </t>
  </si>
  <si>
    <t>EPI - FAMILIA TOPOGRAFO - MENSALISTA (ENCARGOS COMPLEMENTARES - COLETADO CAIXA)</t>
  </si>
  <si>
    <t xml:space="preserve"> 00043481 </t>
  </si>
  <si>
    <t>FERRAMENTAS - FAMILIA TOPOGRAFO - MENSALISTA (ENCARGOS COMPLEMENTARES - COLETADO CAIXA)</t>
  </si>
  <si>
    <t xml:space="preserve"> 101302 </t>
  </si>
  <si>
    <t>CURSO DE CAPACITAÇÃO PARA AUXILIAR TÉCNICO DE ENGENHARIA (ENCARGOS COMPLEMENTARES) - MENSALISTA</t>
  </si>
  <si>
    <t xml:space="preserve"> 00043498 </t>
  </si>
  <si>
    <t>EPI - FAMILIA ENGENHEIRO CIVIL - MENSALISTA (ENCARGOS COMPLEMENTARES - COLETADO CAIXA)</t>
  </si>
  <si>
    <t xml:space="preserve"> 00043474 </t>
  </si>
  <si>
    <t>FERRAMENTAS - FAMILIA ENGENHEIRO CIVIL - MENSALISTA (ENCARGOS COMPLEMENTARES - COLETADO CAIXA)</t>
  </si>
  <si>
    <t xml:space="preserve"> 00040931 </t>
  </si>
  <si>
    <t>AUXILIAR TECNICO / ASSISTENTE DE ENGENHARIA (MENSALISTA)</t>
  </si>
  <si>
    <t xml:space="preserve"> 95324 </t>
  </si>
  <si>
    <t>CURSO DE CAPACITAÇÃO PARA AZULEJISTA OU LADRILHEIRO (ENCARGOS COMPLEMENTARES) - HORISTA</t>
  </si>
  <si>
    <t xml:space="preserve"> 00004760 </t>
  </si>
  <si>
    <t>AZULEJISTA OU LADRILHEIRO (HORISTA)</t>
  </si>
  <si>
    <t xml:space="preserve"> RV 04.10.0062 </t>
  </si>
  <si>
    <t>Argamassa de cimento e areia, no traco 1:4.(desonerado)</t>
  </si>
  <si>
    <t xml:space="preserve"> MOD902150 </t>
  </si>
  <si>
    <t>Pedreiro: assentamento de tijolo, bloco de concreto, alvenaria de pedra, servicos de lancamento de concreto (desonerado)</t>
  </si>
  <si>
    <t xml:space="preserve"> MAT013750 </t>
  </si>
  <si>
    <t>Bloco de concreto prensado para alvenaria, medindo: (15x20x40)cm</t>
  </si>
  <si>
    <t xml:space="preserve"> EVE000700 </t>
  </si>
  <si>
    <t>Perda em cimento CP-32 - 5% - equivalente ao elementar MAT033700</t>
  </si>
  <si>
    <t>Franquia</t>
  </si>
  <si>
    <t xml:space="preserve"> MAT033700 </t>
  </si>
  <si>
    <t>Cimento Portland, tipo 320, saco de 50Kg</t>
  </si>
  <si>
    <t xml:space="preserve"> EVE000250 </t>
  </si>
  <si>
    <t>Perda em areia grossa - 5% - equivalente ao elementar MAT006100</t>
  </si>
  <si>
    <t xml:space="preserve"> MAT006100 </t>
  </si>
  <si>
    <t>Areia grossa lavada, com transporte</t>
  </si>
  <si>
    <t xml:space="preserve"> 00001328 </t>
  </si>
  <si>
    <t>CHAPA DE ACO FINA A FRIO BITOLA MSG 26, E = 0,45 MM (3,60 KG/M2)</t>
  </si>
  <si>
    <t xml:space="preserve"> 00007583 </t>
  </si>
  <si>
    <t>BUCHA DE NYLON SEM ABA S8, COM PARAFUSO DE 4,80 X 50 MM EM ACO ZINCADO COM ROSCA SOBERBA, CABECA CHATA E FENDA PHILLIPS</t>
  </si>
  <si>
    <t xml:space="preserve"> 55.100.0070-1 </t>
  </si>
  <si>
    <t>BARRA CHATA DE ACO CARBONO, P/USOS GERAIS, PADRAO AMERICANO, FABRICACAO USUAL, PRECO DE USINA, DE 5" X 1/2". FORN.</t>
  </si>
  <si>
    <t xml:space="preserve"> 00036 </t>
  </si>
  <si>
    <t>PERFIL "H" DE ACO CARBONO, P/USOS GERAIS , PADRAO AMERICANO, COMPRIMENTO USUAL, P RECO DE REVENDEDOR, DE 6"X6"</t>
  </si>
  <si>
    <t xml:space="preserve"> 00000184 </t>
  </si>
  <si>
    <t>BATENTE / PORTAL / ADUELA / MARCO EM MADEIRA MACICA COM REBAIXO, E = *3* CM, L = *14* CM, PARA PORTAS DE GIRO DE *60 CM A 120* CM X *210* CM, PINUS / EUCALIPTO / VIROLA OU EQUIVALENTE DA REGIAO (NAO INCLUI ALIZARES)</t>
  </si>
  <si>
    <t>JG</t>
  </si>
  <si>
    <t xml:space="preserve"> 88826 </t>
  </si>
  <si>
    <t>BETONEIRA CAPACIDADE NOMINAL DE 400 L, CAPACIDADE DE MISTURA 280 L, MOTOR ELÉTRICO TRIFÁSICO POTÊNCIA DE 2 CV, SEM CARREGADOR - DEPRECIAÇÃO. AF_05/2023</t>
  </si>
  <si>
    <t>Depreciação, Juros, Impostos e Seguros, Manutenção e Materiais na Operação dos Equipamentos</t>
  </si>
  <si>
    <t xml:space="preserve"> 88827 </t>
  </si>
  <si>
    <t>BETONEIRA CAPACIDADE NOMINAL DE 400 L, CAPACIDADE DE MISTURA 280 L, MOTOR ELÉTRICO TRIFÁSICO POTÊNCIA DE 2 CV, SEM CARREGADOR - JUROS. AF_05/2023</t>
  </si>
  <si>
    <t xml:space="preserve"> 88829 </t>
  </si>
  <si>
    <t>BETONEIRA CAPACIDADE NOMINAL DE 400 L, CAPACIDADE DE MISTURA 280 L, MOTOR ELÉTRICO TRIFÁSICO POTÊNCIA DE 2 CV, SEM CARREGADOR - MATERIAIS NA OPERAÇÃO. AF_05/2023</t>
  </si>
  <si>
    <t xml:space="preserve"> 88828 </t>
  </si>
  <si>
    <t>BETONEIRA CAPACIDADE NOMINAL DE 400 L, CAPACIDADE DE MISTURA 280 L, MOTOR ELÉTRICO TRIFÁSICO POTÊNCIA DE 2 CV, SEM CARREGADOR - MANUTENÇÃO. AF_05/2023</t>
  </si>
  <si>
    <t xml:space="preserve"> 00010535 </t>
  </si>
  <si>
    <t>BETONEIRA CAPACIDADE NOMINAL 400 L, CAPACIDADE DE MISTURA 280 L, MOTOR ELETRICO TRIFASICO 220/380 V POTENCIA 2 CV, SEM CARREGADOR</t>
  </si>
  <si>
    <t xml:space="preserve"> 00002705 </t>
  </si>
  <si>
    <t>ENERGIA ELETRICA ATE 2000 KWH INDUSTRIAL, SEM DEMANDA</t>
  </si>
  <si>
    <t xml:space="preserve"> 89222 </t>
  </si>
  <si>
    <t>BETONEIRA CAPACIDADE NOMINAL DE 600 L, CAPACIDADE DE MISTURA 360 L, MOTOR ELÉTRICO TRIFÁSICO POTÊNCIA DE 4 CV, SEM CARREGADOR - JUROS. AF_05/2023</t>
  </si>
  <si>
    <t xml:space="preserve"> 89221 </t>
  </si>
  <si>
    <t>BETONEIRA CAPACIDADE NOMINAL DE 600 L, CAPACIDADE DE MISTURA 360 L, MOTOR ELÉTRICO TRIFÁSICO POTÊNCIA DE 4 CV, SEM CARREGADOR - DEPRECIAÇÃO. AF_05/2023</t>
  </si>
  <si>
    <t xml:space="preserve"> 89223 </t>
  </si>
  <si>
    <t>BETONEIRA CAPACIDADE NOMINAL DE 600 L, CAPACIDADE DE MISTURA 360 L, MOTOR ELÉTRICO TRIFÁSICO POTÊNCIA DE 4 CV, SEM CARREGADOR - MANUTENÇÃO. AF_05/2023</t>
  </si>
  <si>
    <t xml:space="preserve"> 89224 </t>
  </si>
  <si>
    <t>BETONEIRA CAPACIDADE NOMINAL DE 600 L, CAPACIDADE DE MISTURA 360 L, MOTOR ELÉTRICO TRIFÁSICO POTÊNCIA DE 4 CV, SEM CARREGADOR - MATERIAIS NA OPERAÇÃO. AF_05/2023</t>
  </si>
  <si>
    <t xml:space="preserve"> 00036397 </t>
  </si>
  <si>
    <t>BETONEIRA, CAPACIDADE NOMINAL 600 L, CAPACIDADE DE MISTURA 360L, MOTOR ELETRICO TRIFASICO 220/380V, POTENCIA 4CV, EXCLUSO CARREGADOR</t>
  </si>
  <si>
    <t xml:space="preserve"> 00215 </t>
  </si>
  <si>
    <t>GASOLINA COMUM NA BOMBA</t>
  </si>
  <si>
    <t xml:space="preserve"> 00222 </t>
  </si>
  <si>
    <t>GRAXA COMUM P/LUBRIFICACAO DE CHASSIS, E M TAMBORES DE 170KG</t>
  </si>
  <si>
    <t xml:space="preserve"> 01434 </t>
  </si>
  <si>
    <t>BETONEIRA PARA 320 LITROS DE MISTURA SEC A, SEM CARREGAMENTO MECANICO E TAMBOR RE VERSIVEL, COM MOTOR A GASOLINA</t>
  </si>
  <si>
    <t xml:space="preserve"> 00220 </t>
  </si>
  <si>
    <t>OLEO LUBRIFICANTE MINERAL MULTIVISCOSO, CLASSIFICACAO API CG-4, GRAU SAE 20W-40</t>
  </si>
  <si>
    <t xml:space="preserve"> 19.007.0025-C </t>
  </si>
  <si>
    <t>BOMBA DE ARGAMASSA,COM UNIDADE MISTURADORA E BOMBEADORA ACOP LADAS,PARA 900 A 4.800L DE MISTURA SECA,COM MOTOR ELETRICO,E XCLUSIVE OPERADOR 12%-PECAS E MATERIAIS DIVERSOS</t>
  </si>
  <si>
    <t xml:space="preserve"> 01422 </t>
  </si>
  <si>
    <t>BOMBA P/ARGAMASSA, COM UNIDADE MISTURADO RA E BOMBEADORA ACOPLADAS P/900 A 4.800 LITROS DE MISTURA SECA, C/MOTOR ELETRICO</t>
  </si>
  <si>
    <t xml:space="preserve"> 00724 </t>
  </si>
  <si>
    <t>TARIFA DE ENERGIA ELETRICA, TIPO COMERCI AL</t>
  </si>
  <si>
    <t xml:space="preserve"> 19.007.0025-E </t>
  </si>
  <si>
    <t xml:space="preserve"> EQ 29.05.0200 </t>
  </si>
  <si>
    <t>Betoneira com capacidade de 580l, carregador e motor eletrico WEG 7,5CV, 4 polos, 220/380V, sem caixa d'agua, Menegotti ou similar, sem operador. Aluguel produtivo.(desonerado)</t>
  </si>
  <si>
    <t xml:space="preserve"> IEQ000800 </t>
  </si>
  <si>
    <t>Betoneira com capacidade de 580l, carregador e motor eletrico WEG 7,5CV, 4 polos, 220/380V, sem caixa d'agua, Menegotti ou similar</t>
  </si>
  <si>
    <t xml:space="preserve"> MAT128550 </t>
  </si>
  <si>
    <t>Tarifa de Energia eletrica tipo comercial</t>
  </si>
  <si>
    <t>Kwh</t>
  </si>
  <si>
    <t xml:space="preserve"> 00001013 </t>
  </si>
  <si>
    <t>CABO DE COBRE, FLEXIVEL, CLASSE 4 OU 5, ISOLACAO EM PVC/A, ANTICHAMA BWF-B, 1 CONDUTOR, 450/750 V, SECAO NOMINAL 1,5 MM2</t>
  </si>
  <si>
    <t xml:space="preserve"> 00000979 </t>
  </si>
  <si>
    <t>CABO DE COBRE, FLEXIVEL, CLASSE 4 OU 5, ISOLACAO EM PVC/A, ANTICHAMA BWF-B, 1 CONDUTOR, 450/750 V, SECAO NOMINAL 16 MM2</t>
  </si>
  <si>
    <t xml:space="preserve"> 05434 </t>
  </si>
  <si>
    <t>MACARANDUBA EM PECAS, DE 3,75X7,50CM (1. 1/2"X3")</t>
  </si>
  <si>
    <t xml:space="preserve"> 97734 </t>
  </si>
  <si>
    <t>PEÇA RETANGULAR PRÉ-MOLDADA, VOLUME DE CONCRETO DE 10 A 30 LITROS, TAXA DE AÇO APROXIMADA DE 30KG/M³. AF_03/2024</t>
  </si>
  <si>
    <t xml:space="preserve"> 00007258 </t>
  </si>
  <si>
    <t>TIJOLO CERAMICO MACICO COMUM DE *5 X 10 X 20* CM (L X A X C)</t>
  </si>
  <si>
    <t xml:space="preserve"> 95328 </t>
  </si>
  <si>
    <t>CURSO DE CAPACITAÇÃO PARA CALCETEIRO (ENCARGOS COMPLEMENTARES) - HORISTA</t>
  </si>
  <si>
    <t xml:space="preserve"> 00004759 </t>
  </si>
  <si>
    <t>CALCETEIRO / RASTELEIRO (HORISTA)</t>
  </si>
  <si>
    <t xml:space="preserve"> 01585 </t>
  </si>
  <si>
    <t>CAMINHAO COM CARROCERIA FIXA, NO TOCO, P RECO SEM PNEUS, CAPACIDADE DE 3,5T</t>
  </si>
  <si>
    <t xml:space="preserve"> 14919 </t>
  </si>
  <si>
    <t>CONJUNTO DE 6 PNEUS RADIAIS, 275/80R22.5</t>
  </si>
  <si>
    <t xml:space="preserve"> 20105 </t>
  </si>
  <si>
    <t>MAO-DE-OBRA DE MOTORISTA DE CAMINHAO E C ARRETA, INCLUSIVE ENCARGOS SOCIAIS DESON ERADOS</t>
  </si>
  <si>
    <t xml:space="preserve"> 00218 </t>
  </si>
  <si>
    <t>OLEO DIESEL COMBUSTIVEL COMUM, NA BOMBA</t>
  </si>
  <si>
    <t xml:space="preserve"> 01599 </t>
  </si>
  <si>
    <t>CAMINHAO COM CARROCERIA FIXA, NO TOCO, P RECO SEM PNEUS, CAPACIDADE DE 7,5T</t>
  </si>
  <si>
    <t xml:space="preserve"> 91396 </t>
  </si>
  <si>
    <t>CAMINHÃO PIPA 10.000 L TRUCADO, PESO BRUTO TOTAL 23.000 KG, CARGA ÚTIL MÁXIMA 15.935 KG, DISTÂNCIA ENTRE EIXOS 4,8 M, POTÊNCIA 230 CV, INCLUSIVE TANQUE DE AÇO PARA TRANSPORTE DE ÁGUA - DEPRECIAÇÃO. AF_06/2014</t>
  </si>
  <si>
    <t xml:space="preserve"> 88282 </t>
  </si>
  <si>
    <t>MOTORISTA DE CAMINHÃO COM ENCARGOS COMPLEMENTARES</t>
  </si>
  <si>
    <t xml:space="preserve"> 91398 </t>
  </si>
  <si>
    <t>CAMINHÃO PIPA 10.000 L TRUCADO, PESO BRUTO TOTAL 23.000 KG, CARGA ÚTIL MÁXIMA 15.935 KG, DISTÂNCIA ENTRE EIXOS 4,8 M, POTÊNCIA 230 CV, INCLUSIVE TANQUE DE AÇO PARA TRANSPORTE DE ÁGUA - IMPOSTOS E SEGUROS. AF_06/2014</t>
  </si>
  <si>
    <t xml:space="preserve"> 91397 </t>
  </si>
  <si>
    <t>CAMINHÃO PIPA 10.000 L TRUCADO, PESO BRUTO TOTAL 23.000 KG, CARGA ÚTIL MÁXIMA 15.935 KG, DISTÂNCIA ENTRE EIXOS 4,8 M, POTÊNCIA 230 CV, INCLUSIVE TANQUE DE AÇO PARA TRANSPORTE DE ÁGUA - JUROS. AF_06/2014</t>
  </si>
  <si>
    <t xml:space="preserve"> 53831 </t>
  </si>
  <si>
    <t>CAMINHÃO PIPA 10.000 L TRUCADO, PESO BRUTO TOTAL 23.000 KG, CARGA ÚTIL MÁXIMA 15.935 KG, DISTÂNCIA ENTRE EIXOS 4,8 M, POTÊNCIA 230 CV, INCLUSIVE TANQUE DE AÇO PARA TRANSPORTE DE ÁGUA - MATERIAIS NA OPERAÇÃO. AF_06/2014</t>
  </si>
  <si>
    <t xml:space="preserve"> 5763 </t>
  </si>
  <si>
    <t>CAMINHÃO PIPA 10.000 L TRUCADO, PESO BRUTO TOTAL 23.000 KG, CARGA ÚTIL MÁXIMA 15.935 KG, DISTÂNCIA ENTRE EIXOS 4,8 M, POTÊNCIA 230 CV, INCLUSIVE TANQUE DE AÇO PARA TRANSPORTE DE ÁGUA - MANUTENÇÃO. AF_06/2014</t>
  </si>
  <si>
    <t xml:space="preserve"> 00037758 </t>
  </si>
  <si>
    <t>CAMINHAO TRUCADO, PESO BRUTO TOTAL 23000 KG, CARGA UTIL MAXIMA 15285 KG, DISTANCIA ENTRE EIXOS 4,80 M, POTENCIA 326 CV (INCLUI CABINE E CHASSI, NAO INCLUI CARROCERIA)</t>
  </si>
  <si>
    <t xml:space="preserve"> 00037736 </t>
  </si>
  <si>
    <t>TANQUE DE ACO CARBONO NAO REVESTIDO, PARA TRANSPORTE DE AGUA COM CAPACIDADE DE 10 M3, COM BOMBA CENTRIFUGA POR TOMADA DE FORCA, VAZAO MAXIMA *75* M3/H (INCLUI MONTAGEM, NAO INCLUI CAMINHAO)</t>
  </si>
  <si>
    <t xml:space="preserve"> 00004221 </t>
  </si>
  <si>
    <t>OLEO DIESEL COMBUSTIVEL COMUM METROPOLITANO S-10 OU S-500</t>
  </si>
  <si>
    <t xml:space="preserve"> 95329 </t>
  </si>
  <si>
    <t>CURSO DE CAPACITAÇÃO PARA CARPINTEIRO DE ESQUADRIA (ENCARGOS COMPLEMENTARES) - HORISTA</t>
  </si>
  <si>
    <t xml:space="preserve"> 00001214 </t>
  </si>
  <si>
    <t>CARPINTEIRO DE ESQUADRIAS (HORISTA)</t>
  </si>
  <si>
    <t xml:space="preserve"> 95330 </t>
  </si>
  <si>
    <t>CURSO DE CAPACITAÇÃO PARA CARPINTEIRO DE FÔRMAS (ENCARGOS COMPLEMENTARES) - HORISTA</t>
  </si>
  <si>
    <t xml:space="preserve"> 00001213 </t>
  </si>
  <si>
    <t>CARPINTEIRO DE FORMAS PARA CONCRETO (HORISTA)</t>
  </si>
  <si>
    <t xml:space="preserve"> 88297 </t>
  </si>
  <si>
    <t>OPERADOR DE MÁQUINAS E EQUIPAMENTOS COM ENCARGOS COMPLEMENTARES</t>
  </si>
  <si>
    <t xml:space="preserve"> 91529 </t>
  </si>
  <si>
    <t>COMPACTADOR DE SOLOS DE PERCUSSÃO (SOQUETE) COM MOTOR A GASOLINA 4 TEMPOS, POTÊNCIA 4 CV - DEPRECIAÇÃO. AF_08/2015</t>
  </si>
  <si>
    <t xml:space="preserve"> 91530 </t>
  </si>
  <si>
    <t>COMPACTADOR DE SOLOS DE PERCUSSÃO (SOQUETE) COM MOTOR A GASOLINA 4 TEMPOS, POTÊNCIA 4 CV - JUROS. AF_08/2015</t>
  </si>
  <si>
    <t xml:space="preserve"> 91531 </t>
  </si>
  <si>
    <t>COMPACTADOR DE SOLOS DE PERCUSSÃO (SOQUETE) COM MOTOR A GASOLINA 4 TEMPOS, POTÊNCIA 4 CV - MANUTENÇÃO. AF_08/2015</t>
  </si>
  <si>
    <t xml:space="preserve"> 91532 </t>
  </si>
  <si>
    <t>COMPACTADOR DE SOLOS DE PERCUSSÃO (SOQUETE) COM MOTOR A GASOLINA 4 TEMPOS, POTÊNCIA 4 CV - MATERIAIS NA OPERAÇÃO. AF_08/2015</t>
  </si>
  <si>
    <t xml:space="preserve"> 00013458 </t>
  </si>
  <si>
    <t>COMPACTADOR DE SOLOS DE PERCURSAO (SOQUETE) COM MOTOR A GASOLINA 4 TEMPOS DE 4 HP (4 CV)</t>
  </si>
  <si>
    <t xml:space="preserve"> 00004222 </t>
  </si>
  <si>
    <t>GASOLINA COMUM</t>
  </si>
  <si>
    <t xml:space="preserve"> 95260 </t>
  </si>
  <si>
    <t>COMPACTADOR DE SOLOS DE PERCUSÃO (SOQUETE) COM MOTOR A GASOLINA, POTÊNCIA 3 CV - DEPRECIAÇÃO. AF_09/2016</t>
  </si>
  <si>
    <t xml:space="preserve"> 95261 </t>
  </si>
  <si>
    <t>COMPACTADOR DE SOLOS DE PERCUSÃO (SOQUETE) COM MOTOR A GASOLINA, POTÊNCIA 3 CV - JUROS. AF_09/2016</t>
  </si>
  <si>
    <t xml:space="preserve"> 95263 </t>
  </si>
  <si>
    <t>COMPACTADOR DE SOLOS DE PERCUSÃO (SOQUETE) COM MOTOR A GASOLINA, POTÊNCIA 3 CV - MATERIAIS NA OPERAÇÃO. AF_09/2016</t>
  </si>
  <si>
    <t xml:space="preserve"> 95262 </t>
  </si>
  <si>
    <t>COMPACTADOR DE SOLOS DE PERCUSÃO (SOQUETE) COM MOTOR A GASOLINA, POTÊNCIA 3 CV - MANUTENÇÃO. AF_09/2016</t>
  </si>
  <si>
    <t xml:space="preserve"> 00011281 </t>
  </si>
  <si>
    <t>COMPACTADOR DE SOLO A PERCUSSAO (SOQUETE), A GASOLINA 4 TEMPOS, PESO 55 A 65 KG, FORCA DE IMPACTO 1.000 A 1.500 KGF, FREQ. 600 A 700 GOLPES P/ MINUTO, VELOCIDADE TRABALHO DE 10 A 15 M/MIN, POT. DE 2,00 A 3,00 HP</t>
  </si>
  <si>
    <t xml:space="preserve"> 55.100.0058-1 </t>
  </si>
  <si>
    <t>VALOR P/CUSTO DE MATERIA PRIMA NACIONAL</t>
  </si>
  <si>
    <t xml:space="preserve"> 01979 </t>
  </si>
  <si>
    <t>MAO-DE-OBRA DE LABORATORISTA DE SOLOS A,  INCLUSIVE ENCARGOS SOCIAIS</t>
  </si>
  <si>
    <t xml:space="preserve"> 01940 </t>
  </si>
  <si>
    <t>SALARIO MINIMO MENSAL</t>
  </si>
  <si>
    <t xml:space="preserve"> 01956 </t>
  </si>
  <si>
    <t>MAO-DE-OBRA DE LABORATORISTA DE SOLOS B,  INCLUSIVE ENCARGOS SOCIAIS</t>
  </si>
  <si>
    <t xml:space="preserve"> 90961 </t>
  </si>
  <si>
    <t>COMPRESSOR DE AR REBOCÁVEL, VAZÃO 89 PCM, PRESSÃO EFETIVA DE TRABALHO 102 PSI, MOTOR DIESEL, POTÊNCIA 20 CV - JUROS. AF_06/2015</t>
  </si>
  <si>
    <t xml:space="preserve"> 90960 </t>
  </si>
  <si>
    <t>COMPRESSOR DE AR REBOCÁVEL, VAZÃO 89 PCM, PRESSÃO EFETIVA DE TRABALHO 102 PSI, MOTOR DIESEL, POTÊNCIA 20 CV - DEPRECIAÇÃO. AF_06/2015</t>
  </si>
  <si>
    <t xml:space="preserve"> 90963 </t>
  </si>
  <si>
    <t>COMPRESSOR DE AR REBOCÁVEL, VAZÃO 89 PCM, PRESSÃO EFETIVA DE TRABALHO 102 PSI, MOTOR DIESEL, POTÊNCIA 20 CV - MATERIAIS NA OPERAÇÃO. AF_06/2015</t>
  </si>
  <si>
    <t xml:space="preserve"> 90962 </t>
  </si>
  <si>
    <t>COMPRESSOR DE AR REBOCÁVEL, VAZÃO 89 PCM, PRESSÃO EFETIVA DE TRABALHO 102 PSI, MOTOR DIESEL, POTÊNCIA 20 CV - MANUTENÇÃO. AF_06/2015</t>
  </si>
  <si>
    <t xml:space="preserve"> 00013803 </t>
  </si>
  <si>
    <t>COMPRESSOR DE AR REBOCAVEL, VAZAO 89 PCM, PRESSAO EFETIVA DE TRABALHO *102* PSI, MOTOR DIESEL, POTENCIA *20* CV</t>
  </si>
  <si>
    <t xml:space="preserve"> 14543 </t>
  </si>
  <si>
    <t>PEDRA BRITADA 1 E 2 (MEDIA), PARA REGIAO  METROPOLITANA DO RIO DE JANEIRO</t>
  </si>
  <si>
    <t>T</t>
  </si>
  <si>
    <t xml:space="preserve"> 00004734 </t>
  </si>
  <si>
    <t>SEIXO ROLADO PARA APLICACAO EM CONCRETO (POSTO PEDREIRA/FORNECEDOR, SEM FRETE)</t>
  </si>
  <si>
    <t xml:space="preserve"> 94971 </t>
  </si>
  <si>
    <t>CONCRETO FCK = 25MPA, TRAÇO 1:2,3:2,7 (EM MASSA SECA DE CIMENTO/ AREIA MÉDIA/ BRITA 1) - PREPARO MECÂNICO COM BETONEIRA 600 L. AF_05/2021</t>
  </si>
  <si>
    <t xml:space="preserve"> 00012010 </t>
  </si>
  <si>
    <t>CONDULETE EM PVC, TIPO "B", SEM TAMPA, DE 1/2" OU 3/4"</t>
  </si>
  <si>
    <t xml:space="preserve"> 91280 </t>
  </si>
  <si>
    <t>CORTADORA DE PISO COM MOTOR 4 TEMPOS A GASOLINA, POTÊNCIA DE 13 HP, COM DISCO DE CORTE DIAMANTADO SEGMENTADO PARA CONCRETO, DIÂMETRO DE 350 MM, FURO DE 1" (14 X 1") - JUROS. AF_08/2015</t>
  </si>
  <si>
    <t xml:space="preserve"> 91279 </t>
  </si>
  <si>
    <t>CORTADORA DE PISO COM MOTOR 4 TEMPOS A GASOLINA, POTÊNCIA DE 13 HP, COM DISCO DE CORTE DIAMANTADO SEGMENTADO PARA CONCRETO, DIÂMETRO DE 350 MM, FURO DE 1" (14 X 1") - DEPRECIAÇÃO. AF_08/2015</t>
  </si>
  <si>
    <t xml:space="preserve"> 91282 </t>
  </si>
  <si>
    <t>CORTADORA DE PISO COM MOTOR 4 TEMPOS A GASOLINA, POTÊNCIA DE 13 HP, COM DISCO DE CORTE DIAMANTADO SEGMENTADO PARA CONCRETO, DIÂMETRO DE 350 MM, FURO DE 1" (14 X 1") - MATERIAIS NA OPERAÇÃO. AF_08/2015</t>
  </si>
  <si>
    <t xml:space="preserve"> 91281 </t>
  </si>
  <si>
    <t>CORTADORA DE PISO COM MOTOR 4 TEMPOS A GASOLINA, POTÊNCIA DE 13 HP, COM DISCO DE CORTE DIAMANTADO SEGMENTADO PARA CONCRETO, DIÂMETRO DE 350 MM, FURO DE 1" (14 X 1") - MANUTENÇÃO. AF_08/2015</t>
  </si>
  <si>
    <t xml:space="preserve"> 00011280 </t>
  </si>
  <si>
    <t>CORTADEIRA DE PISO DE CONCRETO E ASFALTO, PARA DISCO PADRAO DE DIAMETRO 350 MM (14") OU 450 MM (18"), MOTOR A GASOLINA, POTENCIA 13 HP, SEM DISCO</t>
  </si>
  <si>
    <t xml:space="preserve"> 00013887 </t>
  </si>
  <si>
    <t>DISCO DE CORTE DIAMANTADO SEGMENTADO PARA CONCRETO/ASFALTO, DIAMETRO DE *350* MM, FURO DE 25,40 MM</t>
  </si>
  <si>
    <t xml:space="preserve"> 00043055 </t>
  </si>
  <si>
    <t>ACO CA-50, 12,5 MM OU 16,0 MM, VERGALHAO</t>
  </si>
  <si>
    <t xml:space="preserve"> 00000032 </t>
  </si>
  <si>
    <t>ACO CA-50, 6,3 MM, VERGALHAO</t>
  </si>
  <si>
    <t xml:space="preserve"> 00043059 </t>
  </si>
  <si>
    <t>ACO CA-60, 4,2 MM, OU 5,0 MM, OU 6,0 MM, OU 7,0 MM, VERGALHAO</t>
  </si>
  <si>
    <t xml:space="preserve"> 20015 </t>
  </si>
  <si>
    <t>MAO-DE-OBRA DE ARMADOR DE CONCRETO ARMAD O, INCLUSIVE ENCARGOS SOCIAIS DESONERADO S</t>
  </si>
  <si>
    <t xml:space="preserve"> 95332 </t>
  </si>
  <si>
    <t>CURSO DE CAPACITAÇÃO PARA ELETRICISTA (ENCARGOS COMPLEMENTARES) - HORISTA</t>
  </si>
  <si>
    <t xml:space="preserve"> 00002436 </t>
  </si>
  <si>
    <t>ELETRICISTA (HORISTA)</t>
  </si>
  <si>
    <t xml:space="preserve"> 95334 </t>
  </si>
  <si>
    <t>CURSO DE CAPACITAÇÃO PARA ELETROTÉCNICO (ENCARGOS COMPLEMENTARES) - HORISTA</t>
  </si>
  <si>
    <t xml:space="preserve"> 00002438 </t>
  </si>
  <si>
    <t>ELETROTECNICO (HORISTA)</t>
  </si>
  <si>
    <t xml:space="preserve"> 95335 </t>
  </si>
  <si>
    <t>CURSO DE CAPACITAÇÃO PARA ENCANADOR OU BOMBEIRO HIDRÁULICO (ENCARGOS COMPLEMENTARES) - HORISTA</t>
  </si>
  <si>
    <t xml:space="preserve"> 00002696 </t>
  </si>
  <si>
    <t>ENCANADOR OU BOMBEIRO HIDRAULICO (HORISTA)</t>
  </si>
  <si>
    <t xml:space="preserve"> 95422 </t>
  </si>
  <si>
    <t>CURSO DE CAPACITAÇÃO PARA ENCARREGADO GERAL DE OBRAS (ENCARGOS COMPLEMENTARES) - MENSALISTA</t>
  </si>
  <si>
    <t xml:space="preserve"> 00040818 </t>
  </si>
  <si>
    <t>ENCARREGADO GERAL DE OBRAS (MENSALISTA)</t>
  </si>
  <si>
    <t xml:space="preserve"> 95402 </t>
  </si>
  <si>
    <t>CURSO DE CAPACITAÇÃO PARA ENGENHEIRO CIVIL DE OBRA JÚNIOR (ENCARGOS COMPLEMENTARES) - HORISTA</t>
  </si>
  <si>
    <t xml:space="preserve"> 00002706 </t>
  </si>
  <si>
    <t>ENGENHEIRO CIVIL DE OBRA JUNIOR (HORISTA)</t>
  </si>
  <si>
    <t xml:space="preserve"> 95415 </t>
  </si>
  <si>
    <t>CURSO DE CAPACITAÇÃO PARA ENGENHEIRO CIVIL DE OBRA JÚNIOR (ENCARGOS COMPLEMENTARES) - MENSALISTA</t>
  </si>
  <si>
    <t xml:space="preserve"> 00040811 </t>
  </si>
  <si>
    <t>ENGENHEIRO CIVIL DE OBRA JUNIOR (MENSALISTA)</t>
  </si>
  <si>
    <t xml:space="preserve"> 95417 </t>
  </si>
  <si>
    <t>CURSO DE CAPACITAÇÃO PARA ENGENHEIRO CIVIL DE OBRA PLENO (ENCARGOS COMPLEMENTARES) - MENSALISTA</t>
  </si>
  <si>
    <t xml:space="preserve"> 00040813 </t>
  </si>
  <si>
    <t>ENGENHEIRO CIVIL DE OBRA PLENO (MENSALISTA)</t>
  </si>
  <si>
    <t xml:space="preserve"> 95337 </t>
  </si>
  <si>
    <t>CURSO DE CAPACITAÇÃO PARA GESSEIRO (ENCARGOS COMPLEMENTARES) - HORISTA</t>
  </si>
  <si>
    <t xml:space="preserve"> 00012872 </t>
  </si>
  <si>
    <t>GESSEIRO (HORISTA)</t>
  </si>
  <si>
    <t xml:space="preserve"> 95338 </t>
  </si>
  <si>
    <t>CURSO DE CAPACITAÇÃO PARA IMPERMEABILIZADOR (ENCARGOS COMPLEMENTARES) - HORISTA</t>
  </si>
  <si>
    <t xml:space="preserve"> 00012873 </t>
  </si>
  <si>
    <t>IMPERMEABILIZADOR (HORISTA)</t>
  </si>
  <si>
    <t xml:space="preserve"> 95390 </t>
  </si>
  <si>
    <t>CURSO DE CAPACITAÇÃO PARA JARDINEIRO (ENCARGOS COMPLEMENTARES) - HORISTA</t>
  </si>
  <si>
    <t xml:space="preserve"> 00044503 </t>
  </si>
  <si>
    <t>JARDINEIRO (HORISTA)</t>
  </si>
  <si>
    <t xml:space="preserve"> 95341 </t>
  </si>
  <si>
    <t>CURSO DE CAPACITAÇÃO PARA MARMORISTA/GRANITEIRO (ENCARGOS COMPLEMENTARES) - HORISTA</t>
  </si>
  <si>
    <t xml:space="preserve"> 00004755 </t>
  </si>
  <si>
    <t>MARMORISTA / GRANITEIRO (HORISTA)</t>
  </si>
  <si>
    <t xml:space="preserve"> 100298 </t>
  </si>
  <si>
    <t>CURSO DE CAPACITAÇÃO PARA MECÂNICO DE REFRIGERAÇÃO (ENCARGOS COMPLEMENTARES) - HORISTA</t>
  </si>
  <si>
    <t xml:space="preserve"> 00034794 </t>
  </si>
  <si>
    <t>MECANICO DE REFRIGERACAO (HORISTA)</t>
  </si>
  <si>
    <t xml:space="preserve"> 95423 </t>
  </si>
  <si>
    <t>CURSO DE CAPACITAÇÃO PARA MESTRE DE OBRAS (ENCARGOS COMPLEMENTARES) - MENSALISTA</t>
  </si>
  <si>
    <t xml:space="preserve"> 00040819 </t>
  </si>
  <si>
    <t>MESTRE DE OBRAS (MENSALISTA)</t>
  </si>
  <si>
    <t xml:space="preserve"> 100295 </t>
  </si>
  <si>
    <t>CURSO DE CAPACITAÇÃO PARA MONTADOR DE ELETROELETRONICOS (ENCARGOS COMPLEMENTARES) - HORISTA</t>
  </si>
  <si>
    <t xml:space="preserve"> 00034761 </t>
  </si>
  <si>
    <t>MONTADOR DE ELETROELETRONICOS (HORISTA)</t>
  </si>
  <si>
    <t xml:space="preserve"> 95344 </t>
  </si>
  <si>
    <t>CURSO DE CAPACITAÇÃO PARA MONTADOR DE ESTRUTURA METÁLICA (ENCARGOS COMPLEMENTARES) - HORISTA</t>
  </si>
  <si>
    <t xml:space="preserve"> 00044497 </t>
  </si>
  <si>
    <t>MONTADOR DE ESTRUTURAS METALICAS HORISTA</t>
  </si>
  <si>
    <t xml:space="preserve"> 95343 </t>
  </si>
  <si>
    <t>CURSO DE CAPACITAÇÃO PARA MONTADOR DE TUBO AÇO/EQUIPAMENTOS (ENCARGOS COMPLEMENTARES) - HORISTA</t>
  </si>
  <si>
    <t xml:space="preserve"> 00002701 </t>
  </si>
  <si>
    <t>INSTALADOR DE TUBULACOES - TUBOS/EQUIPAMENTOS (HORISTA)</t>
  </si>
  <si>
    <t xml:space="preserve"> 95345 </t>
  </si>
  <si>
    <t>CURSO DE CAPACITAÇÃO PARA MONTADOR ELETROMECÂNICO (ENCARGOS COMPLEMENTARES) - HORISTA</t>
  </si>
  <si>
    <t xml:space="preserve"> 00002437 </t>
  </si>
  <si>
    <t>MONTADOR DE MAQUINAS (HORISTA)</t>
  </si>
  <si>
    <t xml:space="preserve"> 95347 </t>
  </si>
  <si>
    <t>CURSO DE CAPACITAÇÃO PARA MOTORISTA DE CAMINHÃO (ENCARGOS COMPLEMENTARES) - HORISTA</t>
  </si>
  <si>
    <t xml:space="preserve"> 00004093 </t>
  </si>
  <si>
    <t>MOTORISTA DE CAMINHAO (HORISTA)</t>
  </si>
  <si>
    <t xml:space="preserve"> 95351 </t>
  </si>
  <si>
    <t>CURSO DE CAPACITAÇÃO PARA MOTORISTA OPERADOR DE MUNCK (ENCARGOS COMPLEMENTARES) - HORISTA</t>
  </si>
  <si>
    <t xml:space="preserve"> 00004096 </t>
  </si>
  <si>
    <t>MOTORISTA OPERADOR DE CAMINHAO COM MUNCK (HORISTA)</t>
  </si>
  <si>
    <t xml:space="preserve"> 95389 </t>
  </si>
  <si>
    <t>CURSO DE CAPACITAÇÃO PARA OPERADOR DE BETONEIRA ESTACIONÁRIA/MISTURADOR (ENCARGOS COMPLEMENTARES) - HORISTA</t>
  </si>
  <si>
    <t xml:space="preserve"> 00037666 </t>
  </si>
  <si>
    <t>OPERADOR DE BETONEIRA ESTACIONARIA / MISTURADOR (HORISTA)</t>
  </si>
  <si>
    <t xml:space="preserve"> 95357 </t>
  </si>
  <si>
    <t>CURSO DE CAPACITAÇÃO PARA OPERADOR DE ESCAVADEIRA (ENCARGOS COMPLEMENTARES) - HORISTA</t>
  </si>
  <si>
    <t xml:space="preserve"> 00004234 </t>
  </si>
  <si>
    <t>OPERADOR DE ESCAVADEIRA (HORISTA)</t>
  </si>
  <si>
    <t xml:space="preserve"> 95358 </t>
  </si>
  <si>
    <t>CURSO DE CAPACITAÇÃO PARA OPERADOR DE GUINCHO (ENCARGOS COMPLEMENTARES) - HORISTA</t>
  </si>
  <si>
    <t xml:space="preserve"> 00004253 </t>
  </si>
  <si>
    <t>OPERADOR DE GUINCHO OU GUINCHEIRO (HORISTA)</t>
  </si>
  <si>
    <t xml:space="preserve"> 95361 </t>
  </si>
  <si>
    <t>CURSO DE CAPACITAÇÃO PARA OPERADOR DE MARTELETE OU MARTELETEIRO (ENCARGOS COMPLEMENTARES) - HORISTA</t>
  </si>
  <si>
    <t xml:space="preserve"> 00004257 </t>
  </si>
  <si>
    <t>OPERADOR DE MARTELETE OU MARTELETEIRO (HORISTA)</t>
  </si>
  <si>
    <t xml:space="preserve"> 95360 </t>
  </si>
  <si>
    <t>CURSO DE CAPACITAÇÃO PARA OPERADOR DE MÁQUINAS E EQUIPAMENTOS (ENCARGOS COMPLEMENTARES) - HORISTA</t>
  </si>
  <si>
    <t xml:space="preserve"> 00004230 </t>
  </si>
  <si>
    <t>OPERADOR DE MAQUINAS E TRATORES DIVERSOS - TERRAPLANAGEM (HORISTA)</t>
  </si>
  <si>
    <t xml:space="preserve"> 95371 </t>
  </si>
  <si>
    <t>CURSO DE CAPACITAÇÃO PARA PEDREIRO (ENCARGOS COMPLEMENTARES) - HORISTA</t>
  </si>
  <si>
    <t xml:space="preserve"> 00004750 </t>
  </si>
  <si>
    <t>PEDREIRO (HORISTA)</t>
  </si>
  <si>
    <t xml:space="preserve"> 95372 </t>
  </si>
  <si>
    <t>CURSO DE CAPACITAÇÃO PARA PINTOR (ENCARGOS COMPLEMENTARES) - HORISTA</t>
  </si>
  <si>
    <t xml:space="preserve"> 00004783 </t>
  </si>
  <si>
    <t>PINTOR (HORISTA)</t>
  </si>
  <si>
    <t xml:space="preserve"> 95377 </t>
  </si>
  <si>
    <t>CURSO DE CAPACITAÇÃO PARA SERRALHEIRO (ENCARGOS COMPLEMENTARES) - HORISTA</t>
  </si>
  <si>
    <t xml:space="preserve"> 00006110 </t>
  </si>
  <si>
    <t>SERRALHEIRO (HORISTA)</t>
  </si>
  <si>
    <t xml:space="preserve"> 95378 </t>
  </si>
  <si>
    <t>CURSO DE CAPACITAÇÃO PARA SERVENTE (ENCARGOS COMPLEMENTARES) - HORISTA</t>
  </si>
  <si>
    <t xml:space="preserve"> 00006111 </t>
  </si>
  <si>
    <t>SERVENTE DE OBRAS (HORISTA)</t>
  </si>
  <si>
    <t xml:space="preserve"> 101364 </t>
  </si>
  <si>
    <t>CURSO DE CAPACITAÇÃO PARA SERVENTE DE OBRAS (ENCARGOS COMPLEMENTARES) - MENSALISTA</t>
  </si>
  <si>
    <t xml:space="preserve"> 00041084 </t>
  </si>
  <si>
    <t>SERVENTE DE OBRAS (MENSALISTA)</t>
  </si>
  <si>
    <t xml:space="preserve"> 95379 </t>
  </si>
  <si>
    <t>CURSO DE CAPACITAÇÃO PARA SOLDADOR (ENCARGOS COMPLEMENTARES) - HORISTA</t>
  </si>
  <si>
    <t xml:space="preserve"> 00006160 </t>
  </si>
  <si>
    <t>SOLDADOR (HORISTA)</t>
  </si>
  <si>
    <t xml:space="preserve"> 100536 </t>
  </si>
  <si>
    <t>CURSO DE CAPACITAÇÃO PARA TECNICO DE EDIFICACOES (ENCARGOS COMPLEMENTARES) - MENSALISTA</t>
  </si>
  <si>
    <t xml:space="preserve"> 00040946 </t>
  </si>
  <si>
    <t>TECNICO DE EDIFICACOES (MENSALISTA)</t>
  </si>
  <si>
    <t xml:space="preserve"> 95385 </t>
  </si>
  <si>
    <t>CURSO DE CAPACITAÇÃO PARA TELHADISTA (ENCARGOS COMPLEMENTARES) - HORISTA</t>
  </si>
  <si>
    <t xml:space="preserve"> 00012869 </t>
  </si>
  <si>
    <t>TELHADOR / TELHADISTA (HORISTA)</t>
  </si>
  <si>
    <t xml:space="preserve"> 95406 </t>
  </si>
  <si>
    <t>CURSO DE CAPACITAÇÃO PARA TOPÓGRAFO (ENCARGOS COMPLEMENTARES) - HORISTA</t>
  </si>
  <si>
    <t xml:space="preserve"> 00007592 </t>
  </si>
  <si>
    <t>TOPOGRAFO (HORISTA)</t>
  </si>
  <si>
    <t xml:space="preserve"> 95424 </t>
  </si>
  <si>
    <t>CURSO DE CAPACITAÇÃO PARA TOPÓGRAFO (ENCARGOS COMPLEMENTARES) - MENSALISTA</t>
  </si>
  <si>
    <t xml:space="preserve"> 00040820 </t>
  </si>
  <si>
    <t>TOPOGRAFO (MENSALISTA)</t>
  </si>
  <si>
    <t xml:space="preserve"> 95386 </t>
  </si>
  <si>
    <t>CURSO DE CAPACITAÇÃO PARA TRATORISTA (ENCARGOS COMPLEMENTARES) - HORISTA</t>
  </si>
  <si>
    <t xml:space="preserve"> 100315 </t>
  </si>
  <si>
    <t>CURSO DE CAPACITAÇÃO PARA TÉCNICO EM SEGURANÇA DO TRABALHO (ENCARGOS COMPLEMENTARES) - MENSALISTA</t>
  </si>
  <si>
    <t xml:space="preserve"> 00040944 </t>
  </si>
  <si>
    <t>TECNICO EM SEGURANCA DO TRABALHO (MENSALISTA)</t>
  </si>
  <si>
    <t xml:space="preserve"> 95387 </t>
  </si>
  <si>
    <t>CURSO DE CAPACITAÇÃO PARA VIDRACEIRO (ENCARGOS COMPLEMENTARES) - HORISTA</t>
  </si>
  <si>
    <t xml:space="preserve"> 00010489 </t>
  </si>
  <si>
    <t>VIDRACEIRO (HORISTA)</t>
  </si>
  <si>
    <t xml:space="preserve"> 20147 </t>
  </si>
  <si>
    <t>MAO-DE-OBRA DE TECNICO DE SONDAGEM, INCL USIVE ENCARGOS SOCIAIS DESONERADOS</t>
  </si>
  <si>
    <t xml:space="preserve"> 01443 </t>
  </si>
  <si>
    <t>BOMBA COM MOTOR DIESEL PARA SONDAGEM</t>
  </si>
  <si>
    <t xml:space="preserve"> 20139 </t>
  </si>
  <si>
    <t>MAO-DE-OBRA DE SONDADOR C (AUXILIAR DE O PERACAO DE SONDAGEM OU INJECOES), INCLUS IVE ENCARGOS SOCIAIS DESONERADOS</t>
  </si>
  <si>
    <t xml:space="preserve"> 01446 </t>
  </si>
  <si>
    <t>SONDA ROTATIVA, C/MOTOR A GASOLINA 30HP</t>
  </si>
  <si>
    <t xml:space="preserve"> 20137 </t>
  </si>
  <si>
    <t>MAO-DE-OBRA DE SONDADOR A (ESPECIALISTA DA MAIS ALTO QUALIDADE), INCLUSIVE ENCAR GOS SOCIAIS DESONERADOS</t>
  </si>
  <si>
    <t xml:space="preserve"> ET 14.10.0100 </t>
  </si>
  <si>
    <t>Formas de madeira para moldagem de pecas de concreto armado com paramentos planos, em lajes, vigas, paredes, etc., inclusive fornecimento dos materiais e desmoldagem servindo a madeira 1,4 vezes, tabuas de madeira serrada, com 2,5cm de espessura, servindo tambem para travessas, exclusive escoramento.(desonerado)</t>
  </si>
  <si>
    <t xml:space="preserve"> ET 04.25.0706 </t>
  </si>
  <si>
    <t>Lancamento de concreto em pecas armadas, inclusive a colocacao, o adensamento e o acabamento, exclusive o transporte (TC 05.10.0050), considerando a producao baixa.(desonerado)</t>
  </si>
  <si>
    <t xml:space="preserve"> MAT000750 </t>
  </si>
  <si>
    <t>Aco CA-50, de: 10mm</t>
  </si>
  <si>
    <t xml:space="preserve"> MAT000800 </t>
  </si>
  <si>
    <t>Aco CA-50, de: 12,50mm</t>
  </si>
  <si>
    <t xml:space="preserve"> MAT000950 </t>
  </si>
  <si>
    <t>Aco CA-50, de: 25mm</t>
  </si>
  <si>
    <t xml:space="preserve"> MAT053580 </t>
  </si>
  <si>
    <t>Espacador circular plastico para cobrimento de armadura de 4,2 a 12,5mm, para concreto armado</t>
  </si>
  <si>
    <t xml:space="preserve"> MAT000850 </t>
  </si>
  <si>
    <t>Aco CA-50, de: 16mm</t>
  </si>
  <si>
    <t xml:space="preserve"> MOD900450 </t>
  </si>
  <si>
    <t>Armador - de concreto armado (desonerado)</t>
  </si>
  <si>
    <t xml:space="preserve"> EVE000550 </t>
  </si>
  <si>
    <t>Perda em brita 2 - 5% - equivalente ao elementar MAT018550</t>
  </si>
  <si>
    <t xml:space="preserve"> MAT018550 </t>
  </si>
  <si>
    <t>Brita no 2, com transporte</t>
  </si>
  <si>
    <t xml:space="preserve"> EVE000450 </t>
  </si>
  <si>
    <t>Perda em brita 1 - 5% - equivalente ao elementar MAT018500</t>
  </si>
  <si>
    <t xml:space="preserve"> MAT018500 </t>
  </si>
  <si>
    <t>Brita no 1, com transporte</t>
  </si>
  <si>
    <t xml:space="preserve"> 00002386 </t>
  </si>
  <si>
    <t>DISJUNTOR TIPO NEMA, MONOPOLAR 35 ATE 50 A, TENSAO MAXIMA DE 240 V</t>
  </si>
  <si>
    <t xml:space="preserve"> 00001574 </t>
  </si>
  <si>
    <t>TERMINAL A COMPRESSAO EM COBRE ESTANHADO PARA CABO 10 MM2, 1 FURO E 1 COMPRESSAO, PARA PARAFUSO DE FIXACAO M6</t>
  </si>
  <si>
    <t xml:space="preserve"> 00002673 </t>
  </si>
  <si>
    <t>ELETRODUTO DE PVC RIGIDO ROSCAVEL DE 1/2", SEM LUVA</t>
  </si>
  <si>
    <t xml:space="preserve"> 00043475 </t>
  </si>
  <si>
    <t>FERRAMENTAS - FAMILIA ENCARREGADO GERAL - MENSALISTA (ENCARGOS COMPLEMENTARES - COLETADO CAIXA)</t>
  </si>
  <si>
    <t xml:space="preserve"> 00043499 </t>
  </si>
  <si>
    <t>EPI - FAMILIA ENCARREGADO GERAL - MENSALISTA (ENCARGOS COMPLEMENTARES - COLETADO CAIXA)</t>
  </si>
  <si>
    <t xml:space="preserve"> 00043462 </t>
  </si>
  <si>
    <t>FERRAMENTAS - FAMILIA ENGENHEIRO CIVIL - HORISTA (ENCARGOS COMPLEMENTARES - COLETADO CAIXA)</t>
  </si>
  <si>
    <t xml:space="preserve"> 00043486 </t>
  </si>
  <si>
    <t>EPI - FAMILIA ENGENHEIRO CIVIL - HORISTA (ENCARGOS COMPLEMENTARES - COLETADO CAIXA)</t>
  </si>
  <si>
    <t xml:space="preserve"> 00003081 </t>
  </si>
  <si>
    <t>FECHADURA ESPELHO PARA PORTA EXTERNA, EM ACO INOX (MAQUINA, TESTA E CONTRA-TESTA) E EM ZAMAC (MACANETA, LINGUETA E TRINCOS) COM ACABAMENTO CROMADO, MAQUINA DE 55 MM, INCLUINDO CHAVE TIPO CILINDRO</t>
  </si>
  <si>
    <t xml:space="preserve"> 00003108 </t>
  </si>
  <si>
    <t>FECHO QUEBRA UNHA, EM LATAO COM ACABAMENTO CROMADO, DE EMBUTIR, COM COMANDO ALAVANCA, ALTURA DE DE 22 CM, LARGURA MINIMA DE 1,90 CM E ESPESSURA MINIMA DE 1,90 MM, PARA PORTAS E JANELAS (INCLUI PARAFUSOS)</t>
  </si>
  <si>
    <t xml:space="preserve"> 02918 </t>
  </si>
  <si>
    <t>FECHADURA DE EMBUTIR PARA MONTANTES ESTR EITOS, COM ESPELHO, MACANETA TIPO ALAVAN CA, DISTANCIA DE 19 A 29MM, EM METAL COM  ACABAMENTO CROMADO (CONJ. DE FECHADURA)</t>
  </si>
  <si>
    <t xml:space="preserve"> 00948 </t>
  </si>
  <si>
    <t>FECHO DE EMBUTIR, DE ALAVANCA, EM METAL COM ACABAMENTO CROMADO, DE 30 A 40CM DE ALTURA</t>
  </si>
  <si>
    <t xml:space="preserve"> 04921 </t>
  </si>
  <si>
    <t>DOBRADICA EM FERRO GALVANIZADO, C/PINO D E FERRO E BOLAS DE LATAO, DE 2.1/2"X3"</t>
  </si>
  <si>
    <t xml:space="preserve"> 40023 </t>
  </si>
  <si>
    <t>FECHADURA DE EMBUTIR PARA PORTA INTERNA,  COMPLETA, COM ROSETA, TRINCO REVERSIVEL , MACANETA TIPO ALAVANCA, DISTANCIA DE 4 0 A 55MM, METAL ACAB. CROM. (CONJ.FECH.)</t>
  </si>
  <si>
    <t xml:space="preserve"> 14.007.0195-A </t>
  </si>
  <si>
    <t>FERRAGENS PARA PAINEIS FIXOS DE VIDRO TEMPERADO DE 10MM(CONJ UNTO COMPLETO),CONSTANDO DE FORNECIMENTO SEM COLOCACAO(ESTA INCLUIDA NO FORNECIMENTO E COLOCACAO DO VIDRO)</t>
  </si>
  <si>
    <t xml:space="preserve"> 05535 </t>
  </si>
  <si>
    <t>SUPORTE DE CENTRO, PARA TEMPERADO DE 10M M</t>
  </si>
  <si>
    <t xml:space="preserve"> 05520 </t>
  </si>
  <si>
    <t>SUPORTE SIMPLES CANTO, PARA VIDRO TEMPER ADO DE 10MM</t>
  </si>
  <si>
    <t xml:space="preserve"> 00000408 </t>
  </si>
  <si>
    <t>ABRACADEIRA DE NYLON PARA AMARRACAO DE CABOS, COMPRIMENTO DE 390 X *4,6* MM</t>
  </si>
  <si>
    <t xml:space="preserve"> MOD900850 </t>
  </si>
  <si>
    <t>Carpinteiro - forma de concreto (desonerado)</t>
  </si>
  <si>
    <t xml:space="preserve"> 90279 </t>
  </si>
  <si>
    <t>GRAUTE FGK=20 MPA; TRAÇO 1:0,04:1,8:2,1 (EM MASSA SECA DE CIMENTO/ CAL/ AREIA GROSSA/ BRITA 0) - PREPARO MECÂNICO COM BETONEIRA 400 L. AF_09/2021</t>
  </si>
  <si>
    <t xml:space="preserve"> 93277 </t>
  </si>
  <si>
    <t>GUINCHO ELÉTRICO DE COLUNA, CAPACIDADE 400 KG, COM MOTO FREIO, MOTOR TRIFÁSICO DE 1,25 CV - DEPRECIAÇÃO. AF_03/2016</t>
  </si>
  <si>
    <t xml:space="preserve"> 88295 </t>
  </si>
  <si>
    <t>OPERADOR DE GUINCHO COM ENCARGOS COMPLEMENTARES</t>
  </si>
  <si>
    <t xml:space="preserve"> 93278 </t>
  </si>
  <si>
    <t>GUINCHO ELÉTRICO DE COLUNA, CAPACIDADE 400 KG, COM MOTO FREIO, MOTOR TRIFÁSICO DE 1,25 CV - JUROS. AF_03/2016</t>
  </si>
  <si>
    <t xml:space="preserve"> 93279 </t>
  </si>
  <si>
    <t>GUINCHO ELÉTRICO DE COLUNA, CAPACIDADE 400 KG, COM MOTO FREIO, MOTOR TRIFÁSICO DE 1,25 CV - MANUTENÇÃO. AF_03/2016</t>
  </si>
  <si>
    <t xml:space="preserve"> 93280 </t>
  </si>
  <si>
    <t>GUINCHO ELÉTRICO DE COLUNA, CAPACIDADE 400 KG, COM MOTO FREIO, MOTOR TRIFÁSICO DE 1,25 CV - MATERIAIS NA OPERAÇÃO. AF_03/2016</t>
  </si>
  <si>
    <t xml:space="preserve"> 00036487 </t>
  </si>
  <si>
    <t>GUINCHO ELETRICO DE COLUNA, CAPACIDADE 400 KG, COM MOTO FREIO, MOTOR TRIFASICO DE 1,25 CV</t>
  </si>
  <si>
    <t xml:space="preserve"> 01323 </t>
  </si>
  <si>
    <t>GUINDAUTO MONTADO SOBRE CHASSIS DE CAMIN HAO, EXCLUSIVE O CHASSIS, CAPACIDADE DE 3,5T</t>
  </si>
  <si>
    <t xml:space="preserve"> 93401 </t>
  </si>
  <si>
    <t>GUINDAUTO HIDRÁULICO, CAPACIDADE MÁXIMA DE CARGA 3300 KG, MOMENTO MÁXIMO DE CARGA 5,8 TM, ALCANCE MÁXIMO HORIZONTAL 7,60 M, INCLUSIVE CAMINHÃO TOCO PBT 16.000 KG, POTÊNCIA DE 189 CV - MATERIAIS NA OPERAÇÃO. AF_03/2016</t>
  </si>
  <si>
    <t xml:space="preserve"> 88286 </t>
  </si>
  <si>
    <t>MOTORISTA OPERADOR DE MUNCK COM ENCARGOS COMPLEMENTARES</t>
  </si>
  <si>
    <t xml:space="preserve"> 93398 </t>
  </si>
  <si>
    <t>GUINDAUTO HIDRÁULICO, CAPACIDADE MÁXIMA DE CARGA 3300 KG, MOMENTO MÁXIMO DE CARGA 5,8 TM, ALCANCE MÁXIMO HORIZONTAL 7,60 M, INCLUSIVE CAMINHÃO TOCO PBT 16.000 KG, POTÊNCIA DE 189 CV - JUROS. AF_03/2016</t>
  </si>
  <si>
    <t xml:space="preserve"> 93399 </t>
  </si>
  <si>
    <t>GUINDAUTO HIDRÁULICO, CAPACIDADE MÁXIMA DE CARGA 3300 KG, MOMENTO MÁXIMO DE CARGA 5,8 TM, ALCANCE MÁXIMO HORIZONTAL 7,60 M, INCLUSIVE CAMINHÃO TOCO PBT 16.000 KG, POTÊNCIA DE 189 CV - IMPOSTOS E SEGUROS. AF_03/2016</t>
  </si>
  <si>
    <t xml:space="preserve"> 93397 </t>
  </si>
  <si>
    <t>GUINDAUTO HIDRÁULICO, CAPACIDADE MÁXIMA DE CARGA 3300 KG, MOMENTO MÁXIMO DE CARGA 5,8 TM, ALCANCE MÁXIMO HORIZONTAL 7,60 M, INCLUSIVE CAMINHÃO TOCO PBT 16.000 KG, POTÊNCIA DE 189 CV - DEPRECIAÇÃO. AF_03/2016</t>
  </si>
  <si>
    <t xml:space="preserve"> 93400 </t>
  </si>
  <si>
    <t>GUINDAUTO HIDRÁULICO, CAPACIDADE MÁXIMA DE CARGA 3300 KG, MOMENTO MÁXIMO DE CARGA 5,8 TM, ALCANCE MÁXIMO HORIZONTAL 7,60 M, INCLUSIVE CAMINHÃO TOCO PBT 16.000 KG, POTÊNCIA DE 189 CV - MANUTENÇÃO. AF_03/2016</t>
  </si>
  <si>
    <t xml:space="preserve"> 00037752 </t>
  </si>
  <si>
    <t>CAMINHAO TOCO, PESO BRUTO TOTAL 16000 KG, CARGA UTIL MAXIMA 11030 KG, DISTANCIA ENTRE EIXOS 5,41 M, POTENCIA 185 CV (INCLUI CABINE E CHASSI, NAO INCLUI CARROCERIA)</t>
  </si>
  <si>
    <t xml:space="preserve"> 00010712 </t>
  </si>
  <si>
    <t>GUINDAUTO HIDRAULICO, CAPACIDADE MAXIMA DE CARGA 3300 KG, MOMENTO MAXIMO DE CARGA 5,8 TM, ALCANCE MAXIMO HORIZONTAL 7,60 M, PARA MONTAGEM SOBRE CHASSI DE CAMINHAO PBT MINIMO 8000 KG (INCLUI MONTAGEM, NAO INCLUI CAMINHAO)</t>
  </si>
  <si>
    <t xml:space="preserve"> 89259 </t>
  </si>
  <si>
    <t>GUINDAUTO HIDRÁULICO, CAPACIDADE MÁXIMA DE CARGA 6200 KG, MOMENTO MÁXIMO DE CARGA 11,7 TM, ALCANCE MÁXIMO HORIZONTAL 9,70 M, INCLUSIVE CAMINHÃO TOCO PBT 16.000 KG, POTÊNCIA DE 189 CV - DEPRECIAÇÃO. AF_06/2014</t>
  </si>
  <si>
    <t xml:space="preserve"> 89262 </t>
  </si>
  <si>
    <t>GUINDAUTO HIDRÁULICO, CAPACIDADE MÁXIMA DE CARGA 6200 KG, MOMENTO MÁXIMO DE CARGA 11,7 TM, ALCANCE MÁXIMO HORIZONTAL 9,70 M, INCLUSIVE CAMINHÃO TOCO PBT 16.000 KG, POTÊNCIA DE 189 CV - MANUTENÇÃO. AF_06/2014</t>
  </si>
  <si>
    <t xml:space="preserve"> 91467 </t>
  </si>
  <si>
    <t>GUINDAUTO HIDRÁULICO, CAPACIDADE MÁXIMA DE CARGA 6200 KG, MOMENTO MÁXIMO DE CARGA 11,7 TM, ALCANCE MÁXIMO HORIZONTAL 9,70 M, INCLUSIVE CAMINHÃO TOCO PBT 16.000 KG, POTÊNCIA DE 189 CV - MATERIAIS NA OPERAÇÃO. AF_08/2015</t>
  </si>
  <si>
    <t xml:space="preserve"> 91466 </t>
  </si>
  <si>
    <t>GUINDAUTO HIDRÁULICO, CAPACIDADE MÁXIMA DE CARGA 6200 KG, MOMENTO MÁXIMO DE CARGA 11,7 TM, ALCANCE MÁXIMO HORIZONTAL 9,70 M, INCLUSIVE CAMINHÃO TOCO PBT 16.000 KG, POTÊNCIA DE 189 CV - IMPOSTOS E SEGUROS. AF_08/2015</t>
  </si>
  <si>
    <t xml:space="preserve"> 89260 </t>
  </si>
  <si>
    <t>GUINDAUTO HIDRÁULICO, CAPACIDADE MÁXIMA DE CARGA 6200 KG, MOMENTO MÁXIMO DE CARGA 11,7 TM, ALCANCE MÁXIMO HORIZONTAL 9,70 M, INCLUSIVE CAMINHÃO TOCO PBT 16.000 KG, POTÊNCIA DE 189 CV - JUROS. AF_06/2014</t>
  </si>
  <si>
    <t xml:space="preserve"> 00003363 </t>
  </si>
  <si>
    <t>GUINDAUTO HIDRAULICO, CAPACIDADE MAXIMA DE CARGA 6200 KG, MOMENTO MAXIMO DE CARGA 11,7 TM, ALCANCE MAXIMO HORIZONTAL 9,70 M, PARA MONTAGEM SOBRE CHASSI DE CAMINHAO PBT MINIMO 13000 KG (INCLUI MONTAGEM, NAO INCLUI CAMINHAO)</t>
  </si>
  <si>
    <t xml:space="preserve"> 00003379 </t>
  </si>
  <si>
    <t>HASTE DE ATERRAMENTO EM ACO COM 3,00 M DE COMPRIMENTO E DN = 5/8", REVESTIDA COM BAIXA CAMADA DE COBRE, SEM CONECTOR</t>
  </si>
  <si>
    <t xml:space="preserve"> 20111 </t>
  </si>
  <si>
    <t>MAO-DE-OBRA DE OPERADOR DE MAQUINA (TRAT OR, ETC.), INCLUSIVE ENCARGOS SOCIAIS DE SONERADOS</t>
  </si>
  <si>
    <t xml:space="preserve"> 00038112 </t>
  </si>
  <si>
    <t>INTERRUPTOR SIMPLES 10A, 250V (APENAS MODULO)</t>
  </si>
  <si>
    <t xml:space="preserve"> 00003524 </t>
  </si>
  <si>
    <t>JOELHO PVC, SOLDAVEL, COM BUCHA DE LATAO, 90 GRAUS, 25 MM X 3/4", PARA AGUA FRIA PREDIAL</t>
  </si>
  <si>
    <t xml:space="preserve"> 00039490 </t>
  </si>
  <si>
    <t>KIT PORTA PRONTA DE MADEIRA, FOLHA MEDIA (NBR 15930) DE 600 X 2100 MM OU 700 X 2100 MM, DE 35 MM A 40 MM DE ESPESSURA, NUCLEO SEMI-SOLIDO (SARRAFEADO), ESTRUTURA USINADA PARA FECHADURA, CAPA LISA EM HDF, ACABAMENTO MELAMINICO BRANCO (INCLUI MARCO, ALIZARES E DOBRADICAS)</t>
  </si>
  <si>
    <t xml:space="preserve"> 00039492 </t>
  </si>
  <si>
    <t>KIT PORTA PRONTA DE MADEIRA, FOLHA MEDIA (NBR 15930) DE 800 X 2100 MM, DE 35 MM A 40 MM DE ESPESSURA, NUCLEO SEMI-SOLIDO (SARRAFEADO), ESTRUTURA USINADA PARA FECHADURA, CAPA LISA EM HDF, ACABAMENTO MELAMINICO BRANCO (INCLUI MARCO, ALIZARES E DOBRADICAS)</t>
  </si>
  <si>
    <t xml:space="preserve"> 89353 </t>
  </si>
  <si>
    <t>REGISTRO DE GAVETA BRUTO, LATÃO, ROSCÁVEL, 3/4" - FORNECIMENTO E INSTALAÇÃO. AF_08/2021</t>
  </si>
  <si>
    <t xml:space="preserve"> 099237 </t>
  </si>
  <si>
    <t>ENGENHEIRO CIVIL PLENO (220HORAS)</t>
  </si>
  <si>
    <t xml:space="preserve"> EQ 29.05.0550 </t>
  </si>
  <si>
    <t>Vibrador de Imersao com tubo de 48mmx480mm, sem operador, com material de operacao, energia eletrica e material de manutencao, com as seguintes especificacoes minimas: motor eletrico trifasico de 2CV e mangote de 5m de comprimentor. Custo horario produtivo.(desonerado)</t>
  </si>
  <si>
    <t xml:space="preserve"> EQ 29.05.0556 </t>
  </si>
  <si>
    <t>Vibrador de Imersao com tubo de 48mmx480mm, sem operador, com as seguintes especificacoes minimas: motor eletrico trifasico de 2CV e mangote de 5m de comprimentor. Custo horario improdutivo.(desonerado)</t>
  </si>
  <si>
    <t xml:space="preserve"> 00013954 </t>
  </si>
  <si>
    <t>POLIDORA DE PISO (POLITRIZ) ELETRICA, MOTOR MONOFASICO DE 4 HP, PESO DE 100 KG, DIAMETRO DO TRABALHO DE 450 MM</t>
  </si>
  <si>
    <t xml:space="preserve"> 88298 </t>
  </si>
  <si>
    <t>OPERADOR DE MARTELETE OU MARTELETEIRO COM ENCARGOS COMPLEMENTARES</t>
  </si>
  <si>
    <t xml:space="preserve"> 95114 </t>
  </si>
  <si>
    <t>MARTELETE OU ROMPEDOR PNEUMÁTICO MANUAL, 28 KG, COM SILENCIADOR - DEPRECIAÇÃO. AF_07/2016</t>
  </si>
  <si>
    <t xml:space="preserve"> 95115 </t>
  </si>
  <si>
    <t>MARTELETE OU ROMPEDOR PNEUMÁTICO MANUAL, 28 KG, COM SILENCIADOR - JUROS. AF_07/2016</t>
  </si>
  <si>
    <t xml:space="preserve"> 53863 </t>
  </si>
  <si>
    <t>MARTELETE OU ROMPEDOR PNEUMÁTICO MANUAL, 28 KG, COM SILENCIADOR - MANUTENÇÃO. AF_07/2016</t>
  </si>
  <si>
    <t xml:space="preserve"> 00041898 </t>
  </si>
  <si>
    <t>MARTELO DEMOLIDOR PNEUMATICO MANUAL, PESO DE 28 KG, COM SILENCIADOR</t>
  </si>
  <si>
    <t xml:space="preserve"> 007474 </t>
  </si>
  <si>
    <t>A R T TABELA A DO CREA ACIMA DE 15000,01</t>
  </si>
  <si>
    <t xml:space="preserve"> 099275 </t>
  </si>
  <si>
    <t>ENGENHEIRO ELETRICISTA</t>
  </si>
  <si>
    <t xml:space="preserve"> 19.004.0035-4 </t>
  </si>
  <si>
    <t>MICRO-ONIBUS COM CAPACIDADE MINIMA DE 15 LUGARES,MOTOR DIESE L,INCLUSIVE MOTORISTA</t>
  </si>
  <si>
    <t xml:space="preserve"> 01981 </t>
  </si>
  <si>
    <t>MAO-DE-OBRA DE MOTORISTA DE CAMINHAO E C ARRETA, INCLUSIVE ENCARGOS SOCIAIS</t>
  </si>
  <si>
    <t xml:space="preserve"> 14485 </t>
  </si>
  <si>
    <t>MICROONIBUS COM CAPACIDADE MINIMA DE 15 LUGARES, MOTOR DIESEL, PRECO SEM PNEUS</t>
  </si>
  <si>
    <t xml:space="preserve"> 19.004.0035-2 </t>
  </si>
  <si>
    <t>MICRO-ONIBUS COM CAPACIDADE MINIMA DE 15 LUGARES,MOTOR DIESE L,INCLUSIVE MOTORISTA 50%-FILTRO</t>
  </si>
  <si>
    <t xml:space="preserve"> 14486 </t>
  </si>
  <si>
    <t>CONJUNTO DE 04 PNEUS RADIAIS, 205/70R15</t>
  </si>
  <si>
    <t xml:space="preserve"> 13531 </t>
  </si>
  <si>
    <t>MOTOBOMBA AUTO-ESCORVANTE,GASOLINA,6,5CV ,PARTIDA MANUAL,4 TEMPOS,VAZAO MAXIMA 60 M3/H ATE 92M3/H,ALT.MANOMET. ATE 30MCA</t>
  </si>
  <si>
    <t xml:space="preserve"> 92956 </t>
  </si>
  <si>
    <t>MÁQUINA EXTRUSORA DE CONCRETO PARA GUIAS E SARJETAS, MOTOR A DIESEL, POTÊNCIA 14 CV - DEPRECIAÇÃO. AF_12/2015</t>
  </si>
  <si>
    <t xml:space="preserve"> 92957 </t>
  </si>
  <si>
    <t>MÁQUINA EXTRUSORA DE CONCRETO PARA GUIAS E SARJETAS, MOTOR A DIESEL, POTÊNCIA 14 CV - JUROS. AF_12/2015</t>
  </si>
  <si>
    <t xml:space="preserve"> 92958 </t>
  </si>
  <si>
    <t>MÁQUINA EXTRUSORA DE CONCRETO PARA GUIAS E SARJETAS, MOTOR A DIESEL, POTÊNCIA 14 CV - MANUTENÇÃO. AF_12/2015</t>
  </si>
  <si>
    <t xml:space="preserve"> 92959 </t>
  </si>
  <si>
    <t>MÁQUINA EXTRUSORA DE CONCRETO PARA GUIAS E SARJETAS, MOTOR A DIESEL, POTÊNCIA 14 CV - MATERIAIS NA OPERAÇÃO. AF_12/2015</t>
  </si>
  <si>
    <t xml:space="preserve"> 00013836 </t>
  </si>
  <si>
    <t>MAQUINA EXTRUSORA DE CONCRETO PARA GUIAS E SARJETAS, COM MOTOR A DIESEL E POTENCIA DE 14 CV</t>
  </si>
  <si>
    <t xml:space="preserve"> 88294 </t>
  </si>
  <si>
    <t>OPERADOR DE ESCAVADEIRA COM ENCARGOS COMPLEMENTARES</t>
  </si>
  <si>
    <t xml:space="preserve"> 55.100.0068-1 </t>
  </si>
  <si>
    <t>PERFIL "H" DE ACO CARBONO, P/USOS GERAIS, PADRAO AMERICANO, COMPR. USUAL, PRECO DE USINA, DE 6" X 6". FORN.</t>
  </si>
  <si>
    <t xml:space="preserve"> 55.100.0069-1 </t>
  </si>
  <si>
    <t>PERFIL "U" DE ACO CARBONO, P/USOS GERAIS, PADRAO AMERICANO, COMPR. USUAL, PRECO DE USINA, DE 6" X 2". FORN.</t>
  </si>
  <si>
    <t xml:space="preserve"> 00043466 </t>
  </si>
  <si>
    <t>FERRAMENTAS - FAMILIA PINTOR - HORISTA (ENCARGOS COMPLEMENTARES - COLETADO CAIXA)</t>
  </si>
  <si>
    <t xml:space="preserve"> 00043490 </t>
  </si>
  <si>
    <t>EPI - FAMILIA PINTOR - HORISTA (ENCARGOS COMPLEMENTARES - COLETADO CAIXA)</t>
  </si>
  <si>
    <t xml:space="preserve"> 00007340 </t>
  </si>
  <si>
    <t>IMUNIZANTE PARA MADEIRA, INCOLOR</t>
  </si>
  <si>
    <t xml:space="preserve"> 91274 </t>
  </si>
  <si>
    <t>PLACA VIBRATÓRIA REVERSÍVEL COM MOTOR 4 TEMPOS A GASOLINA, FORÇA CENTRÍFUGA DE 25 KN (2500 KGF), POTÊNCIA 5,5 CV - JUROS. AF_08/2015</t>
  </si>
  <si>
    <t xml:space="preserve"> 91273 </t>
  </si>
  <si>
    <t>PLACA VIBRATÓRIA REVERSÍVEL COM MOTOR 4 TEMPOS A GASOLINA, FORÇA CENTRÍFUGA DE 25 KN (2500 KGF), POTÊNCIA 5,5 CV - DEPRECIAÇÃO. AF_08/2015</t>
  </si>
  <si>
    <t xml:space="preserve"> 91275 </t>
  </si>
  <si>
    <t>PLACA VIBRATÓRIA REVERSÍVEL COM MOTOR 4 TEMPOS A GASOLINA, FORÇA CENTRÍFUGA DE 25 KN (2500 KGF), POTÊNCIA 5,5 CV - MANUTENÇÃO. AF_08/2015</t>
  </si>
  <si>
    <t xml:space="preserve"> 91276 </t>
  </si>
  <si>
    <t>PLACA VIBRATÓRIA REVERSÍVEL COM MOTOR 4 TEMPOS A GASOLINA, FORÇA CENTRÍFUGA DE 25 KN (2500 KGF), POTÊNCIA 5,5 CV - MATERIAIS NA OPERAÇÃO. AF_08/2015</t>
  </si>
  <si>
    <t xml:space="preserve"> 00001442 </t>
  </si>
  <si>
    <t>COMPACTADOR DE SOLO TIPO PLACA VIBRATORIA REVERSIVEL, A GASOLINA 4 TEMPOS, PESO 125 A 150 KG, FORCA CENTRIF. 2500 A 2800 KGF, LARG. TRABALHO 400 A 450 MM, FREQ. VIBRACAO 4300 A 4500 RPM, VELOC. TRABALHO 15 A 20 M/MIN, POT. 5,5 A 6,0 HP</t>
  </si>
  <si>
    <t xml:space="preserve"> 95272 </t>
  </si>
  <si>
    <t>POLIDORA DE PISO (POLITRIZ), PESO DE 100KG, DIÂMETRO 450 MM, MOTOR ELÉTRICO, POTÊNCIA 4 HP - DEPRECIAÇÃO. AF_05/2023</t>
  </si>
  <si>
    <t xml:space="preserve"> 95273 </t>
  </si>
  <si>
    <t>POLIDORA DE PISO (POLITRIZ), PESO DE 100KG, DIÂMETRO 450 MM, MOTOR ELÉTRICO, POTÊNCIA 4 HP - JUROS. AF_05/2023</t>
  </si>
  <si>
    <t xml:space="preserve"> 95274 </t>
  </si>
  <si>
    <t>POLIDORA DE PISO (POLITRIZ), PESO DE 100KG, DIÂMETRO 450 MM, MOTOR ELÉTRICO, POTÊNCIA 4 HP - MANUTENÇÃO. AF_05/2023</t>
  </si>
  <si>
    <t xml:space="preserve"> 95275 </t>
  </si>
  <si>
    <t>POLIDORA DE PISO (POLITRIZ), PESO DE 100KG, DIÂMETRO 450 MM, MOTOR ELÉTRICO, POTÊNCIA 4 HP - MATERIAIS NA OPERAÇÃO. AF_05/2023</t>
  </si>
  <si>
    <t xml:space="preserve"> 00005031 </t>
  </si>
  <si>
    <t>VIDRO TEMPERADO INCOLOR PARA PORTA DE ABRIR, E = 10 MM (SEM FERRAGENS E SEM COLOCACAO)</t>
  </si>
  <si>
    <t xml:space="preserve"> 00003104 </t>
  </si>
  <si>
    <t>CONJ. DE FERRAGENS PARA PORTA DE VIDRO TEMPERADO, EM ZAMAC CROMADO, CONTEMPLANDO DOBRADICA INF., DOBRADICA SUP., PIVO PARA DOBRADICA INF., PIVO PARA DOBRADICA SUP., FECHADURA CENTRAL EM ZAMC. CROMADO, CONTRA FECHADURA DE PRESSAO</t>
  </si>
  <si>
    <t xml:space="preserve"> 00010507 </t>
  </si>
  <si>
    <t>VIDRO TEMPERADO INCOLOR E = 10 MM, SEM COLOCACAO</t>
  </si>
  <si>
    <t xml:space="preserve"> MAT067050 </t>
  </si>
  <si>
    <t>Igol 2 da Sika ou similar, embalagem de 18Kg</t>
  </si>
  <si>
    <t xml:space="preserve"> 00039795 </t>
  </si>
  <si>
    <t>QUADRO DE DISTRIBUICAO, SEM BARRAMENTO, EM PVC, DE EMBUTIR, PARA 6 DISJUNTORES NEMA OU 8 DISJUNTORES DIN</t>
  </si>
  <si>
    <t xml:space="preserve"> 00006016 </t>
  </si>
  <si>
    <t>REGISTRO GAVETA BRUTO EM LATAO FORJADO, BITOLA 3/4"</t>
  </si>
  <si>
    <t xml:space="preserve"> 88858 </t>
  </si>
  <si>
    <t>RETROESCAVADEIRA SOBRE RODAS COM CARREGADEIRA, TRAÇÃO 4X4, POTÊNCIA LÍQ. 88 HP, CAÇAMBA CARREG. CAP. MÍN. 1 M3, CAÇAMBA RETRO CAP. 0,26 M3, PESO OPERACIONAL MÍN. 6.674 KG, PROFUNDIDADE ESCAVAÇÃO MÁX. 4,37 M - JUROS. AF_06/2014</t>
  </si>
  <si>
    <t xml:space="preserve"> 88857 </t>
  </si>
  <si>
    <t>RETROESCAVADEIRA SOBRE RODAS COM CARREGADEIRA, TRAÇÃO 4X4, POTÊNCIA LÍQ. 88 HP, CAÇAMBA CARREG. CAP. MÍN. 1 M3, CAÇAMBA RETRO CAP. 0,26 M3, PESO OPERACIONAL MÍN. 6.674 KG, PROFUNDIDADE ESCAVAÇÃO MÁX. 4,37 M - DEPRECIAÇÃO. AF_06/2014</t>
  </si>
  <si>
    <t xml:space="preserve"> 53786 </t>
  </si>
  <si>
    <t>RETROESCAVADEIRA SOBRE RODAS COM CARREGADEIRA, TRAÇÃO 4X4, POTÊNCIA LÍQ. 88 HP, CAÇAMBA CARREG. CAP. MÍN. 1 M3, CAÇAMBA RETRO CAP. 0,26 M3, PESO OPERACIONAL MÍN. 6.674 KG, PROFUNDIDADE ESCAVAÇÃO MÁX. 4,37 M - MATERIAIS NA OPERAÇÃO. AF_06/2014</t>
  </si>
  <si>
    <t xml:space="preserve"> 5664 </t>
  </si>
  <si>
    <t>RETROESCAVADEIRA SOBRE RODAS COM CARREGADEIRA, TRAÇÃO 4X4, POTÊNCIA LÍQ. 88 HP, CAÇAMBA CARREG. CAP. MÍN. 1 M3, CAÇAMBA RETRO CAP. 0,26 M3, PESO OPERACIONAL MÍN. 6.674 KG, PROFUNDIDADE ESCAVAÇÃO MÁX. 4,37 M - MANUTENÇÃO. AF_06/2014</t>
  </si>
  <si>
    <t xml:space="preserve"> 00036531 </t>
  </si>
  <si>
    <t>RETROESCAVADEIRA SOBRE RODAS COM CARREGADEIRA, TRACAO 4 X 4, POTENCIA LIQUIDA 88 HP, PESO OPERACIONAL MINIMO DE 6674 KG, CAPACIDADE DA CARREGADEIRA DE 1,00 M3 E DA RETROESCAVADEIRA MINIMA DE 0,26 M3, PROFUNDIDADE DE ESCAVACAO MAXIMA DE 4,37 M</t>
  </si>
  <si>
    <t xml:space="preserve"> 91688 </t>
  </si>
  <si>
    <t>SERRA CIRCULAR DE BANCADA COM MOTOR ELÉTRICO POTÊNCIA DE 5HP, COM COIFA PARA DISCO 10" - DEPRECIAÇÃO. AF_08/2015</t>
  </si>
  <si>
    <t xml:space="preserve"> 91689 </t>
  </si>
  <si>
    <t>SERRA CIRCULAR DE BANCADA COM MOTOR ELÉTRICO POTÊNCIA DE 5HP, COM COIFA PARA DISCO 10" - JUROS. AF_08/2015</t>
  </si>
  <si>
    <t xml:space="preserve"> 91690 </t>
  </si>
  <si>
    <t>SERRA CIRCULAR DE BANCADA COM MOTOR ELÉTRICO POTÊNCIA DE 5HP, COM COIFA PARA DISCO 10" - MANUTENÇÃO. AF_08/2015</t>
  </si>
  <si>
    <t xml:space="preserve"> 91691 </t>
  </si>
  <si>
    <t>SERRA CIRCULAR DE BANCADA COM MOTOR ELÉTRICO POTÊNCIA DE 5HP, COM COIFA PARA DISCO 10" - MATERIAIS NA OPERAÇÃO. AF_08/2015</t>
  </si>
  <si>
    <t xml:space="preserve"> 00014618 </t>
  </si>
  <si>
    <t>SERRA CIRCULAR DE BANCADA COM MOTOR ELETRICO, POTENCIA DE *1600* W, PARA DISCO DE DIAMETRO DE 10" (250 MM)</t>
  </si>
  <si>
    <t xml:space="preserve"> 00043479 </t>
  </si>
  <si>
    <t>FERRAMENTAS - FAMILIA SERVENTE - MENSALISTA (ENCARGOS COMPLEMENTARES - COLETADO CAIXA)</t>
  </si>
  <si>
    <t xml:space="preserve"> 00043503 </t>
  </si>
  <si>
    <t>EPI - FAMILIA SERVENTE - MENSALISTA (ENCARGOS COMPLEMENTARES - COLETADO CAIXA)</t>
  </si>
  <si>
    <t xml:space="preserve"> 00040861 </t>
  </si>
  <si>
    <t>TRANSPORTE - MENSALISTA (COLETADO CAIXA - ENCARGOS COMPLEMENTARES)</t>
  </si>
  <si>
    <t xml:space="preserve"> 00040862 </t>
  </si>
  <si>
    <t>ALIMENTACAO - MENSALISTA (COLETADO CAIXA - ENCARGOS COMPLEMENTARES)</t>
  </si>
  <si>
    <t xml:space="preserve"> 20153 </t>
  </si>
  <si>
    <t>MAO-DE-OBRA DE VIGIA, INCLUSIVE ENCARGOS  SOCIAIS DESONERADOS</t>
  </si>
  <si>
    <t xml:space="preserve"> 00043468 </t>
  </si>
  <si>
    <t>FERRAMENTAS - FAMILIA SOLDADOR - HORISTA (ENCARGOS COMPLEMENTARES - COLETADO CAIXA)</t>
  </si>
  <si>
    <t xml:space="preserve"> 00043492 </t>
  </si>
  <si>
    <t>EPI - FAMILIA SOLDADOR - HORISTA (ENCARGOS COMPLEMENTARES - COLETADO CAIXA)</t>
  </si>
  <si>
    <t xml:space="preserve"> 00007572 </t>
  </si>
  <si>
    <t>SUPORTE ISOLADOR REFORCADO DIAMETRO NOMINAL 5/16", COM ROSCA SOBERBA E BUCHA</t>
  </si>
  <si>
    <t xml:space="preserve"> 00038094 </t>
  </si>
  <si>
    <t>ESPELHO / PLACA DE 3 POSTOS 4" X 2", PARA INSTALACAO DE TOMADAS E INTERRUPTORES</t>
  </si>
  <si>
    <t xml:space="preserve"> 00038099 </t>
  </si>
  <si>
    <t>SUPORTE DE FIXACAO PARA ESPELHO / PLACA 4" X 2", PARA 3 MODULOS, PARA INSTALACAO DE TOMADAS E INTERRUPTORES (SOMENTE SUPORTE)</t>
  </si>
  <si>
    <t xml:space="preserve"> 00011457 </t>
  </si>
  <si>
    <t>TARJETA LIVRE / OCUPADO PARA PORTA DE BANHEIRO, CORPO EM ZAMAC E ESPELHO EM LATAO</t>
  </si>
  <si>
    <t xml:space="preserve"> 00007139 </t>
  </si>
  <si>
    <t>TE SOLDAVEL, PVC, 90 GRAUS, 25 MM, PARA AGUA FRIA PREDIAL (NBR 5648)</t>
  </si>
  <si>
    <t xml:space="preserve"> 91999 </t>
  </si>
  <si>
    <t>TOMADA BAIXA DE EMBUTIR (1 MÓDULO), 2P+T 20 A, SEM SUPORTE E SEM PLACA - FORNECIMENTO E INSTALAÇÃO. AF_03/2023</t>
  </si>
  <si>
    <t xml:space="preserve"> 00038102 </t>
  </si>
  <si>
    <t>TOMADA 2P+T 20A, 250V (APENAS MODULO)</t>
  </si>
  <si>
    <t xml:space="preserve"> 00043469 </t>
  </si>
  <si>
    <t>FERRAMENTAS - FAMILIA TOPOGRAFO - HORISTA (ENCARGOS COMPLEMENTARES - COLETADO CAIXA)</t>
  </si>
  <si>
    <t xml:space="preserve"> 00043493 </t>
  </si>
  <si>
    <t>EPI - FAMILIA TOPOGRAFO - HORISTA (ENCARGOS COMPLEMENTARES - COLETADO CAIXA)</t>
  </si>
  <si>
    <t xml:space="preserve"> 00011830 </t>
  </si>
  <si>
    <t>TORNEIRA DE BOIA CONVENCIONAL PARA CAIXA D'AGUA, AGUA FRIA, 3/4", COM HASTE E TORNEIRA METALICOS E BALAO PLASTICO</t>
  </si>
  <si>
    <t xml:space="preserve"> 88324 </t>
  </si>
  <si>
    <t>TRATORISTA COM ENCARGOS COMPLEMENTARES</t>
  </si>
  <si>
    <t xml:space="preserve"> 89029 </t>
  </si>
  <si>
    <t>TRATOR DE ESTEIRAS, POTÊNCIA 100 HP, PESO OPERACIONAL 9,4 T, COM LÂMINA 2,19 M3 - DEPRECIAÇÃO. AF_06/2014</t>
  </si>
  <si>
    <t xml:space="preserve"> 89030 </t>
  </si>
  <si>
    <t>TRATOR DE ESTEIRAS, POTÊNCIA 100 HP, PESO OPERACIONAL 9,4 T, COM LÂMINA 2,19 M3 - JUROS. AF_06/2014</t>
  </si>
  <si>
    <t xml:space="preserve"> 53817 </t>
  </si>
  <si>
    <t>TRATOR DE ESTEIRAS, POTÊNCIA 100 HP, PESO OPERACIONAL 9,4 T, COM LÂMINA 2,19 M3 - MATERIAIS NA OPERAÇÃO. AF_06/2014</t>
  </si>
  <si>
    <t xml:space="preserve"> 5724 </t>
  </si>
  <si>
    <t>TRATOR DE ESTEIRAS, POTÊNCIA 100 HP, PESO OPERACIONAL 9,4 T, COM LÂMINA 2,19 M3 - MANUTENÇÃO. AF_06/2014</t>
  </si>
  <si>
    <t xml:space="preserve"> 00007622 </t>
  </si>
  <si>
    <t>TRATOR DE ESTEIRAS, POTENCIA DE 100 HP, PESO OPERACIONAL DE 9,4 T, COM LAMINA COM CAPACIDADE DE 2,19 M3</t>
  </si>
  <si>
    <t xml:space="preserve"> 00039735 </t>
  </si>
  <si>
    <t>TUBO DE BORRACHA ELASTOMERICA FLEXIVEL, PRETA, PARA ISOLAMENTO TERMICO DE TUBULACAO, DN 1 1/8" (28 MM), E= 32 MM, COEFICIENTE DE CONDUTIVIDADE TERMICA 0,036W/MK, VAPOR DE AGUA MAIOR OU IGUAL A 10.000</t>
  </si>
  <si>
    <t xml:space="preserve"> 00039665 </t>
  </si>
  <si>
    <t>TUBO DE COBRE FLEXIVEL, D = 5/8", E = 0,79 MM, PARA AR-CONDICIONADO/ INSTALACOES GAS RESIDENCIAIS E COMERCIAIS</t>
  </si>
  <si>
    <t xml:space="preserve"> 00039660 </t>
  </si>
  <si>
    <t>TUBO DE COBRE FLEXIVEL, D = 1/2", E = 0,79 MM, PARA AR-CONDICIONADO/ INSTALACOES GAS RESIDENCIAIS E COMERCIAIS</t>
  </si>
  <si>
    <t xml:space="preserve"> 00039737 </t>
  </si>
  <si>
    <t>TUBO DE BORRACHA ELASTOMERICA FLEXIVEL, PRETA, PARA ISOLAMENTO TERMICO DE TUBULACAO, DN 1/2" (12 MM), E= 19 MM, COEFICIENTE DE CONDUTIVIDADE TERMICA 0,036W/MK, VAPOR DE AGUA MAIOR OU IGUAL A 10.000</t>
  </si>
  <si>
    <t xml:space="preserve"> 00039662 </t>
  </si>
  <si>
    <t>TUBO DE COBRE FLEXIVEL, D = 1/4", E = 0,79 MM, PARA AR-CONDICIONADO/ INSTALACOES GAS RESIDENCIAIS E COMERCIAIS</t>
  </si>
  <si>
    <t xml:space="preserve"> 00039738 </t>
  </si>
  <si>
    <t>TUBO DE BORRACHA ELASTOMERICA FLEXIVEL, PRETA, PARA ISOLAMENTO TERMICO DE TUBULACAO, DN 1/4" (6 MM), E= 9 MM, COEFICIENTE DE CONDUTIVIDADE TERMICA 0,036W/MK, VAPOR DE AGUA MAIOR OU IGUAL A 10.000</t>
  </si>
  <si>
    <t xml:space="preserve"> 00039664 </t>
  </si>
  <si>
    <t>TUBO DE COBRE FLEXIVEL, D = 3/8", E = 0,79 MM, PARA AR-CONDICIONADO/ INSTALACOES GAS RESIDENCIAIS E COMERCIAIS</t>
  </si>
  <si>
    <t xml:space="preserve"> 00039741 </t>
  </si>
  <si>
    <t>TUBO DE BORRACHA ELASTOMERICA FLEXIVEL, PRETA, PARA ISOLAMENTO TERMICO DE TUBULACAO, DN 3/8" (10 MM), E= 19 MM, COEFICIENTE DE CONDUTIVIDADE TERMICA 0,036W/MK, VAPOR DE AGUA MAIOR OU IGUAL A 10.000</t>
  </si>
  <si>
    <t xml:space="preserve"> 00039853 </t>
  </si>
  <si>
    <t>TUBO DE BORRACHA ELASTOMERICA FLEXIVEL, PRETA, PARA ISOLAMENTO TERMICO DE TUBULACAO, DN 5/8" (15 MM), E= 19 MM, COEFICIENTE DE CONDUTIVIDADE TERMICA 0,036W/MK, VAPOR DE AGUA MAIOR OU IGUAL A 10.000</t>
  </si>
  <si>
    <t xml:space="preserve"> 00039742 </t>
  </si>
  <si>
    <t>TUBO DE BORRACHA ELASTOMERICA FLEXIVEL, PRETA, PARA ISOLAMENTO TERMICO DE TUBULACAO, DN 7/8" (22 MM), E= 32 MM, COEFICIENTE DE CONDUTIVIDADE TERMICA 0,036W/MK, VAPOR DE AGUA MAIOR OU IGUAL A 10.000</t>
  </si>
  <si>
    <t xml:space="preserve"> 00097 </t>
  </si>
  <si>
    <t>LATAO EM CHAPA, DE (1,2x0,60)M, E C/ESPE S. DE 3,5MM</t>
  </si>
  <si>
    <t xml:space="preserve"> 00091 </t>
  </si>
  <si>
    <t>FERRO GUSA EM LINGOTE, COM 1,91 A 2,4% D E SILICIO, 0,12% MAXIMO DE FOSFORO, 3,80  A 4,2% DE CARBONO, 0,030% MAXIMO DE ENX OFRE E 0,40 A 0,80% MAXIMO DE MANGANES</t>
  </si>
  <si>
    <t xml:space="preserve"> 00089 </t>
  </si>
  <si>
    <t>COBRE ELETROLITICO, TIPO PRENSADO-BARRA</t>
  </si>
  <si>
    <t xml:space="preserve"> 00098 </t>
  </si>
  <si>
    <t>FIO SOLIDO DE COBRE ELETROLITICO, NU, TE MPERA MEIO DURA, CLASSE 1, SECAO CIRCULA R DE 1,0 A 16,0MM2</t>
  </si>
  <si>
    <t xml:space="preserve"> 00088 </t>
  </si>
  <si>
    <t>CHUMBO VIRGEM EM LINGOTE</t>
  </si>
  <si>
    <t xml:space="preserve"> 00090 </t>
  </si>
  <si>
    <t>COBRE ELETROLITICO, TIPO LAMINADO-CHAPA</t>
  </si>
  <si>
    <t xml:space="preserve"> 00032 </t>
  </si>
  <si>
    <t>ACO CA-25, ESTIRADO, PRECO DE REVENDEDOR , NO DIAMETRO DE 12,5MM</t>
  </si>
  <si>
    <t xml:space="preserve"> 00096 </t>
  </si>
  <si>
    <t>LATAO EM BARRA, PRENSADO, RETANGULAR</t>
  </si>
  <si>
    <t xml:space="preserve"> 00087 </t>
  </si>
  <si>
    <t>CHAPA DE ACO CARBONO,P/USOS GERAIS,LAMIN ADA FRIO,SUPERF.COM.,TAM.PADRAO,BORDAS U NIV.,REC.BRANCO,PRECO DE USINA,ESP.1,5MM</t>
  </si>
  <si>
    <t xml:space="preserve"> 00031 </t>
  </si>
  <si>
    <t>ACO CA-25, ESTIRADO, PRECO DE REVENDEDOR , NO DIAMETRO DE 10,0MM</t>
  </si>
  <si>
    <t xml:space="preserve"> 00004384 </t>
  </si>
  <si>
    <t>PARAFUSO NIQUELADO COM ACABAMENTO CROMADO PARA FIXAR PECA SANITARIA, INCLUI PORCA CEGA, ARRUELA E BUCHA DE NYLON TAMANHO S-10</t>
  </si>
  <si>
    <t xml:space="preserve"> 00036520 </t>
  </si>
  <si>
    <t>BACIA SANITARIA (VASO) CONVENCIONAL PARA PCD, SEM FURO FRONTAL, DE LOUCA BRANCA (SEM ASSENTO)</t>
  </si>
  <si>
    <t xml:space="preserve"> 00006138 </t>
  </si>
  <si>
    <t>ANEL DE VEDACAO, PVC FLEXIVEL, 100 MM, PARA SAIDA DE BACIA / VASO SANITARIO</t>
  </si>
  <si>
    <t xml:space="preserve"> 90582 </t>
  </si>
  <si>
    <t>VIBRADOR DE IMERSÃO, DIÂMETRO DE PONTEIRA 45MM, MOTOR ELÉTRICO TRIFÁSICO POTÊNCIA DE 2 CV - DEPRECIAÇÃO. AF_06/2015</t>
  </si>
  <si>
    <t xml:space="preserve"> 90583 </t>
  </si>
  <si>
    <t>VIBRADOR DE IMERSÃO, DIÂMETRO DE PONTEIRA 45MM, MOTOR ELÉTRICO TRIFÁSICO POTÊNCIA DE 2 CV - JUROS. AF_06/2015</t>
  </si>
  <si>
    <t xml:space="preserve"> 90584 </t>
  </si>
  <si>
    <t>VIBRADOR DE IMERSÃO, DIÂMETRO DE PONTEIRA 45MM, MOTOR ELÉTRICO TRIFÁSICO POTÊNCIA DE 2 CV - MANUTENÇÃO. AF_06/2015</t>
  </si>
  <si>
    <t xml:space="preserve"> 90585 </t>
  </si>
  <si>
    <t>VIBRADOR DE IMERSÃO, DIÂMETRO DE PONTEIRA 45MM, MOTOR ELÉTRICO TRIFÁSICO POTÊNCIA DE 2 CV - MATERIAIS NA OPERAÇÃO. AF_06/2015</t>
  </si>
  <si>
    <t xml:space="preserve"> 00013896 </t>
  </si>
  <si>
    <t>VIBRADOR DE IMERSAO, DIAMETRO DA PONTEIRA DE *45* MM, COM MOTOR ELETRICO TRIFASICO DE 2 HP (2 CV)</t>
  </si>
  <si>
    <t xml:space="preserve"> 07165 </t>
  </si>
  <si>
    <t>VIDRO TEMPERADO INCOLOR, COLOCADO, COM E SPESSURA DE 06MM</t>
  </si>
  <si>
    <t xml:space="preserve"> IEQ020200 </t>
  </si>
  <si>
    <t>Vibrador de Imersao, tubo de (45x480)mm, mangote com comprimento de 5m, motor: eletrico de 2CV</t>
  </si>
  <si>
    <t xml:space="preserve"> IEQ011200 </t>
  </si>
  <si>
    <t>Custo de material de operacao, incluindo combustiveis, oleos, lubrificantes, graxa, filtro para combustiveis e filtros lubrificantes - equivalente de Kwh ao elementar MAT128550</t>
  </si>
  <si>
    <t xml:space="preserve"> IEQ010900 </t>
  </si>
  <si>
    <t>Custo de material de manutencao de Vibrador de Imersao, tubo de (48x480)mm, com mangote de 5m de comprimento, motor eletrico de 2CV - equivalente ao elementar IEQ020200</t>
  </si>
  <si>
    <t>PLANILHA DE ORÇAMENTOS DE PROJETOS E OBRAS - MEMÓRIA DE CÁLCULO</t>
  </si>
  <si>
    <t>0000000</t>
  </si>
  <si>
    <t>MEMÓRIA DE CÁLCULO</t>
  </si>
  <si>
    <t>Térreo</t>
  </si>
  <si>
    <t>2º Pav.</t>
  </si>
  <si>
    <t>3º Pav.</t>
  </si>
  <si>
    <t>4º Pav.</t>
  </si>
  <si>
    <t>5º Pav.</t>
  </si>
  <si>
    <t>Pav. Téc.</t>
  </si>
  <si>
    <t>LICENÇAS / TAXAS</t>
  </si>
  <si>
    <t>X</t>
  </si>
  <si>
    <t>=</t>
  </si>
  <si>
    <t xml:space="preserve"> &lt;== CERCAMENTO EXISTENTE</t>
  </si>
  <si>
    <t>Reforma Canteiro existente</t>
  </si>
  <si>
    <t xml:space="preserve"> &lt;== ÁREA EXTERNA</t>
  </si>
  <si>
    <t>&lt; ==Canteiro Exist.</t>
  </si>
  <si>
    <t>&lt; ==Parede de Constr. da Nova escada</t>
  </si>
  <si>
    <t>&lt; ==HALL 5º (TOTAL)</t>
  </si>
  <si>
    <t>&lt; ==CIRCULAÇÃO 4º PAV.</t>
  </si>
  <si>
    <t xml:space="preserve"> &lt;== VER ITEM DE FORNEC. PORTA MADEIRA (PRÉDIO)</t>
  </si>
  <si>
    <t xml:space="preserve"> &lt;== VER ITEM DE FORNEC. PORTA MADEIRA (CANTEIRO)</t>
  </si>
  <si>
    <t xml:space="preserve"> &lt;== VER ITEM DE FORNEC. JANELAS (CANTEIRO)</t>
  </si>
  <si>
    <t xml:space="preserve"> &lt;== VER ITEM DE FORNEC. JANELAS (PREDIO)</t>
  </si>
  <si>
    <t xml:space="preserve"> &lt;== JANELAS - JA-01;JA-02</t>
  </si>
  <si>
    <t xml:space="preserve"> &lt;== TELHADO DO CANTEIRO EXIST.</t>
  </si>
  <si>
    <t xml:space="preserve"> &lt;== NO 4º E 5º PAV.</t>
  </si>
  <si>
    <t xml:space="preserve"> &lt;== NO 5º PAV.</t>
  </si>
  <si>
    <t xml:space="preserve"> &lt;== VER ITEM DE FORNECIMENTO_5º PAV.</t>
  </si>
  <si>
    <t>&lt;= HIDRANTE</t>
  </si>
  <si>
    <t>&lt;= SPRINKLER</t>
  </si>
  <si>
    <t>&lt;== CHILLER</t>
  </si>
  <si>
    <t>&lt;== BOMBAS 60CV</t>
  </si>
  <si>
    <t>&lt;== BOMBAS 30CV</t>
  </si>
  <si>
    <t xml:space="preserve"> &lt;== SHAFT (TÉRREO)</t>
  </si>
  <si>
    <t xml:space="preserve"> &lt;== MURETA (JARDIM INTERNO)</t>
  </si>
  <si>
    <t xml:space="preserve"> &lt;== SÓCULO (GUARDA CORPO EXISTENTE_3º PAV.)</t>
  </si>
  <si>
    <t xml:space="preserve"> &lt;== EDIFICAÇÕES EXTERNAS</t>
  </si>
  <si>
    <t xml:space="preserve"> &lt;== TELHADOS: SUBEST. + ABRIGO DE GASES + CASA DE BOMBAS</t>
  </si>
  <si>
    <t>&lt;= LAJE ABRIGO GASES</t>
  </si>
  <si>
    <t>&lt;= LAJE SUBESTAÇÃO</t>
  </si>
  <si>
    <t>&lt;= LAJE CASA DE BOMBAS</t>
  </si>
  <si>
    <t>&lt;= LAJE SUP. ESCADAS NOVAS</t>
  </si>
  <si>
    <t xml:space="preserve"> &lt;== INTERIOR CISTERNAS</t>
  </si>
  <si>
    <t xml:space="preserve"> &lt;== INTERIOR ETE</t>
  </si>
  <si>
    <t>SUBEST. ==&gt;</t>
  </si>
  <si>
    <t>GASES =&gt;</t>
  </si>
  <si>
    <t>&lt;== QTD. NOVA</t>
  </si>
  <si>
    <t>&lt;== QTD. EXISTENTE</t>
  </si>
  <si>
    <t>JA-01==&gt;</t>
  </si>
  <si>
    <t>JA-02==&gt;</t>
  </si>
  <si>
    <t>JA-05/ 06/ 11==&gt;</t>
  </si>
  <si>
    <t>JA-07==&gt;</t>
  </si>
  <si>
    <t>JA-13==&gt;</t>
  </si>
  <si>
    <t>&lt;== ESCADAS EXISTENTE</t>
  </si>
  <si>
    <t>&lt;== ESCADAS NOVA</t>
  </si>
  <si>
    <t>&lt;== COORD. GRADUAÇÃO; SECRETARIAS; DEP; SALA SERV. TEC.</t>
  </si>
  <si>
    <t>Cobertura</t>
  </si>
  <si>
    <t>Térreo_PNE</t>
  </si>
  <si>
    <t>4º Pav._PNE</t>
  </si>
  <si>
    <t>5º Pav._PNE</t>
  </si>
  <si>
    <t>-</t>
  </si>
  <si>
    <t>EXTENSÃO</t>
  </si>
  <si>
    <t>==&gt;</t>
  </si>
  <si>
    <t>&lt;== PARA BAIXA TENSÃO</t>
  </si>
  <si>
    <t>&lt;== PARA CAIXA 0,80X0,80</t>
  </si>
  <si>
    <t>&lt;== PARA CAIXA 1,70X1,70</t>
  </si>
  <si>
    <t>&lt;== PARA CAIXAS EXISTENTES</t>
  </si>
  <si>
    <t>REGULADOR/ESTABILIZADOR DE VOLTAGEM 4 BOBINAS, SVC-50KVA MONOFASICO 220V</t>
  </si>
  <si>
    <t>&lt;== QDLT 1</t>
  </si>
  <si>
    <t>&lt;== QDLT 2</t>
  </si>
  <si>
    <t>&lt;== QDLT 3</t>
  </si>
  <si>
    <t>&lt;== PARA CABO #50MM²</t>
  </si>
  <si>
    <t>&lt;== PARA CABO #35MM²</t>
  </si>
  <si>
    <t>QUANTIDADE</t>
  </si>
  <si>
    <t>5º Pav./ Pav. Téc.</t>
  </si>
  <si>
    <t>&lt;== HIDRANTES</t>
  </si>
  <si>
    <t>&lt;== EXTINTORES</t>
  </si>
  <si>
    <t>&lt;== ÁREA DA ALVENARIA</t>
  </si>
  <si>
    <t>&lt;== CIRC. TÉRREO</t>
  </si>
  <si>
    <t>&lt;== ELEVADORES TÉRREO</t>
  </si>
  <si>
    <t>&lt;== ÁREA EXTERNA (LEVANT. DE PROJETO)</t>
  </si>
  <si>
    <t>&lt;== A. EXT. (CALÇADA EM VOLTA DO PRÉDIO)</t>
  </si>
  <si>
    <t>&lt;== A. EXT. (CALÇADA DAS EDIF. EXT.)</t>
  </si>
  <si>
    <t>Edif. Exter.</t>
  </si>
  <si>
    <t>PAREDES DAS CONSTR. EXTERNAS ==&gt;</t>
  </si>
  <si>
    <t>ESCADA METÁLICA (COBERTURA) ==&gt;</t>
  </si>
  <si>
    <t>&lt;== NO TETO</t>
  </si>
  <si>
    <t>&lt;== NA SANCA GESSO</t>
  </si>
  <si>
    <t>&lt;== NO FORRO GESSO</t>
  </si>
  <si>
    <t>&lt;== C.M.I</t>
  </si>
  <si>
    <t>&lt;== EM VOLTA FORRO TIPO COLMÉIA</t>
  </si>
  <si>
    <t>&lt;== EM VOLTA FORRO TERMOACÚSTICO</t>
  </si>
  <si>
    <t>&lt;== EM VOLTA FORRO MODULADO LISO</t>
  </si>
  <si>
    <t>&lt;==ESCAPE + ACESSO PRINCIPAL (PA-02)</t>
  </si>
  <si>
    <t>&lt;== ACESSO PRINCIPAL (PA-01B)</t>
  </si>
  <si>
    <t>&lt;== ÁREA EXTERNA</t>
  </si>
  <si>
    <t xml:space="preserve">EMPRESA IMECO - COT 54 A 70 E 165 A 171 - APLICAR 12,56% </t>
  </si>
  <si>
    <t>MAPA DE COTAÇÕES - JULHO DE 2025</t>
  </si>
  <si>
    <t>INCC DEZ/24 ATÉ JUL/25 =</t>
  </si>
  <si>
    <t>BASE DE DADOS: SINAPI - 07/2025 - Rio de Janeiro; SBC - 07/2025 - Rio de Janeiro; EMOP - 07/2025 - Rio de Janeiro; SCO - 07/2025 - Rio de Janeiro - DESONERADO</t>
  </si>
  <si>
    <t>Categoria</t>
  </si>
  <si>
    <t>CÓDIGO</t>
  </si>
  <si>
    <t>DESCRIÇÃO</t>
  </si>
  <si>
    <t>EMPRESA 1</t>
  </si>
  <si>
    <t>EMPRESA 2</t>
  </si>
  <si>
    <t>EMPRESA 3</t>
  </si>
  <si>
    <t>EMPRESA 4</t>
  </si>
  <si>
    <t>EMPRESA 5</t>
  </si>
  <si>
    <t>VALOR (Menor)</t>
  </si>
  <si>
    <t>PREÇO ATUALIZADO INCC</t>
  </si>
  <si>
    <t>PREÇO CPUs</t>
  </si>
  <si>
    <t>CONF.</t>
  </si>
  <si>
    <t>atualização ORÇAFASCIO</t>
  </si>
  <si>
    <t>MADEIRAMADEIRA</t>
  </si>
  <si>
    <t>TAQI</t>
  </si>
  <si>
    <t>WEB CONTINENTAL</t>
  </si>
  <si>
    <t>Feito</t>
  </si>
  <si>
    <t>224 a 274</t>
  </si>
  <si>
    <t>Cotação</t>
  </si>
  <si>
    <t>Link</t>
  </si>
  <si>
    <t>https://www.madeiramadeira.com.br/portao-de-aco-contrapeso-com-painel-em-chapa-frisada-220x240x8-7-868297.html</t>
  </si>
  <si>
    <t>https://www.taqi.com.br/portao-contrapeso-mecal-esquerdo-p402-1/185635</t>
  </si>
  <si>
    <t>https://www.webcontinental.com.br/portao-de-aco-galvanizado-contrapeso-com-painel-chapa-frisada-220cmx240cmx8-7cm-cinza-000628298008/p</t>
  </si>
  <si>
    <t>IDEAL RV</t>
  </si>
  <si>
    <t>ACEPIL</t>
  </si>
  <si>
    <t>BRASIL VAPOR</t>
  </si>
  <si>
    <t>ok</t>
  </si>
  <si>
    <t>https://lojaidealrv.com.br/curva-90o-rl-4-sch40-a-234-s-c</t>
  </si>
  <si>
    <t>https://loja.acepilinox.com.br/acc-90rl-curva-cotovelo-90-graus-aco-carbono-a234-wpb-asme-b16-9-sch-40/?sku=2329681.134092.0.242333</t>
  </si>
  <si>
    <t>https://www.lojabrasilvapor.com.br/curva-aco-carbono-90-1-sch40-soldavel?utm_source=google&amp;utm_medium=Shopping&amp;utm_campaign=curva-aco-carbono-90-1-sch40-soldavel&amp;inStock#derivacao=85/77</t>
  </si>
  <si>
    <t>ECOSOLI</t>
  </si>
  <si>
    <t>AQUASTOCK</t>
  </si>
  <si>
    <t>ver proposta anexo</t>
  </si>
  <si>
    <t>Justificativa pela ausência de três orçamentos:</t>
  </si>
  <si>
    <t>Foram feitas várias buscas em sites e pedidos de envio de orçamentos para diversas empresas do ramo específico, porém só obtivemos retorno, em tempo hábil, com as empresas mencionadas acima, dificultando assim o fechamento com três orçamentos, conforme é orientado.Comprometo-me que o valor considerado está de acordo com o preço de mercado.</t>
  </si>
  <si>
    <t>ATUALIZADA</t>
  </si>
  <si>
    <t>CASA HYDRO</t>
  </si>
  <si>
    <t>HIDRO SHOP</t>
  </si>
  <si>
    <t>CASAS BAHIA</t>
  </si>
  <si>
    <t>https://www.casahydro.com.br/deca/pecas-e-reparos-deca/pecas-e-reparos-registro-deca/volante-de-registro-gaveta-bruto-deca-1502b-1-12-4464084</t>
  </si>
  <si>
    <t>https://www.hidroshop.com.br/valvulas-em-geral/pecas-e-reparos/volante-de-registro-gaveta-bruto-deca-1502b-1-12</t>
  </si>
  <si>
    <t>LEROY MERLIN</t>
  </si>
  <si>
    <t>HIDROSHOP</t>
  </si>
  <si>
    <t>https://www.casahydro.com.br/deca/banheiro/acabamentos-e-registro-deca/volante-de-registro-gaveta-bruto-deca-1502b-2-4464104?parceiro=1&amp;gad_source=1&amp;gclid=Cj0KCQjwyL24BhCtARIsALo0fSAJ_2qG-IYuIigBSo2KqXSXloPO-2c6ktpIRjGNoOaqlEFJS_7qvNkaAjPNEALw_wcB</t>
  </si>
  <si>
    <t>https://www.leroymerlin.com.br/volante-de-registro-gaveta-bruto-deca-1502b-2--4464104_1571439110?region=outros&amp;gad_source=1&amp;gclid=Cj0KCQjwyL24BhCtARIsALo0fSA07lAUcH2SnUA827pfc1ykmWJ3HjripH9z6XBXTepzdo5m15Pzg-kaArYjEALw_wcB</t>
  </si>
  <si>
    <t>https://www.hidroshop.com.br/metais-sanitarios/bases-e-registros/registro-de-gaveta/volante-de-registro-gaveta-bruto-deca-1502b-2?parceiro=5882&amp;gad_source=1&amp;gad_campaignid=22350096876&amp;gbraid=0AAAAA9XnEVBl3CK2s4MniQ1f6trwv9nZd&amp;gclid=Cj0KCQjw267GBhCSARIsAOjVJ4GEZ9b1whpwwoBc-LGALEUL7x8cJEdEX-dd7Zbx-h4JkjxR3o2dlksaAjJ-EALw_wcB</t>
  </si>
  <si>
    <t>MADEIRA MADEIRA</t>
  </si>
  <si>
    <t>AMERICANAS</t>
  </si>
  <si>
    <t>https://www.hidroshop.com.br/metais-sanitarios/bases-e-registros/registro-de-gaveta/volante-de-registro-gaveta-bruto-deca-1502b-2-12</t>
  </si>
  <si>
    <t>https://www.casahydro.com.br/deca/banheiro/acabamentos-e-registro-deca/volante-de-registro-gaveta-bruto-deca-1502b-2-12-4464124?parceiro=1&amp;gad_source=1&amp;gad_campaignid=19143189075&amp;gbraid=0AAAAACwtwpd-rZOCyTxPm2fj_j5cRcLOq&amp;gclid=Cj0KCQjw267GBhCSARIsAOjVJ4FU8oCkaynRrNNSZjfGS3QqqEaN2OICTLC2LsTd7ndMkF-r0jqJB_EaAmFJEALw_wcB</t>
  </si>
  <si>
    <t>https://www.mercadolivre.com.br/volante-p-registro-gaveta-bruto-deca-1501-1502-212-polega-cor-amarelo/p/MLB32607593?pdp_filters=item_id%3AMLB3856012103&amp;from=gshop&amp;matt_tool=29457868&amp;matt_internal_campaign_id=&amp;matt_word=&amp;matt_source=google&amp;matt_campaign_id=22090354295&amp;matt_ad_group_id=173090578996&amp;matt_match_type=&amp;matt_network=g&amp;matt_device=c&amp;matt_creative=727882730820&amp;matt_keyword=&amp;matt_ad_position=&amp;matt_ad_type=pla&amp;matt_merchant_id=735098639&amp;matt_product_id=MLB32607593-product&amp;matt_product_partition_id=2391454777588&amp;matt_target_id=pla-2391454777588&amp;cq_src=google_ads&amp;cq_cmp=22090354295&amp;cq_net=g&amp;cq_plt=gp&amp;cq_med=pla&amp;gad_source=1&amp;gad_campaignid=22090354295&amp;gbraid=0AAAAAD93qcATy0G3dQhHsZ8CUZLsQ-RjD&amp;gclid=Cj0KCQjw267GBhCSARIsAOjVJ4GUdfvHNbR0h06EGr-RYm1_4B1tEcl1kMN93-AsnhbNMNzFpdmKrtUaAtZtEALw_wcB</t>
  </si>
  <si>
    <t>PLASTOLÂNDIA</t>
  </si>
  <si>
    <t>REPLASS*</t>
  </si>
  <si>
    <t>https://www.plastolandia.com.br/curva-90-polipropileno-solda-preto-110-mm</t>
  </si>
  <si>
    <t>Foram feitas várias buscas em sites e pedidos de envio de orçamentos para diversas empresas do ramo específico, porém só obtivemos preço com a empresa mencionada acima, dificultando assim o fechamento com três orçamentos, conforme é orientado.Comprometo-me que o valor considerado está de acordo com o preço de mercado.</t>
  </si>
  <si>
    <t>https://www.plastolandia.com.br/valvula-esfera-polipropileno-flange-viton-4</t>
  </si>
  <si>
    <t>PERFIL LIDER*</t>
  </si>
  <si>
    <t>BH CALHAS*</t>
  </si>
  <si>
    <t>REAL PERFIL*</t>
  </si>
  <si>
    <t>PLENOBRAS*</t>
  </si>
  <si>
    <t>REYMASTER*</t>
  </si>
  <si>
    <t>SCHARF*</t>
  </si>
  <si>
    <t>https://www.plenobras.com.br/6503c7a1df6973c3d9cb3007/juncao-simples-galvanizado-a-fogo-pleito-100mm?srsltid=AfmBOoptYR5RmYkSPWo2fQlyilrLnAKdQh4YEpsZmIqSFGNcm6dEEqGw</t>
  </si>
  <si>
    <t>https://www.reymaster.com.br/product/juncao-simples-pleito-galv-fg-aba-100mm-18/01t1U000003YMezQAG?utm_source=&amp;utm_medium=&amp;utm_campaign=&amp;utm_content=&amp;gad_source=1&amp;gclid=Cj0KCQjwm5e5BhCWARIsANwm06iM5OAZ3NVjAAilnIRk6K3pU0mrfizdQnn0qZtfjprilOisbvDuyYMaAoFSEALw_wcB</t>
  </si>
  <si>
    <t>https://scharftecnologia.com.br/produto/juncao-simples-p-leito-c-aba-100-mm/</t>
  </si>
  <si>
    <t xml:space="preserve"> UFF_COTAÇÃO 21 A 23 </t>
  </si>
  <si>
    <t>COTAÇÕES CANCELADAS</t>
  </si>
  <si>
    <t>ELÉTRICA MARMOTA</t>
  </si>
  <si>
    <t>MERCADO LIVRE 1</t>
  </si>
  <si>
    <t>MERCADO LIVRE 2</t>
  </si>
  <si>
    <t>https://www.marmota.com.br/sealtubo-eletroduto-flexivel-revestido-preto-4-ekoflex-p51469?srsltid=AfmBOoqyGtFgy_lVw_8-BbYvHFUOa_AooInM3H2dNCHo7LF3Del7cswz</t>
  </si>
  <si>
    <t>https://www.mercadolivre.com.br/conduite-flexivel-seal-tubo-de-4--preco-por-metro/up/MLBU3062031773?pdp_filters=item_id:MLB5315509368</t>
  </si>
  <si>
    <t>https://www.mercadolivre.com.br/sealtubo-eletroduto-flexivel-revestido-preto-4-por-metro-/up/MLBU3131343726?pdp_filters=item_id:MLB4034813393</t>
  </si>
  <si>
    <t>DIMENSIONAL</t>
  </si>
  <si>
    <t>LOJA ELÉTRICA</t>
  </si>
  <si>
    <t>ANDRA</t>
  </si>
  <si>
    <t>https://www.dimensional.com.br/acessorio-porta-equipamento-3-blocos-branco-canaleta-dt6444410-dutotec/p</t>
  </si>
  <si>
    <t>https://www.lojaeletrica.com.br/porta-equipamento-3-blocos-branco-dt-64444-10-dutotec.html</t>
  </si>
  <si>
    <t>https://www.andra.com.br/porta-equipamento-abs-dt-64444-10-para-3-modulos-branco-112777-dutotec/p</t>
  </si>
  <si>
    <t>ELETROBARRAS</t>
  </si>
  <si>
    <t>Justifica-se a ausência de três orçamentos para os itens especificados (Cotações 26 a 28), devido os equipamentos possuirem condições específicas e alto nível de detalhamento para elaboração de uma cotação, demandando uma certa resistência dos fornecedores para emissão de propostas, elevando a dificuldade para obtenção de maior variedade de preços com outras empresas do ramo, com isso apenas a empresa citada, em cada uma das cotações (14 a 16) nos enviaram suas cotações. Porém, justifico que o preço colhido junto aos fornecedores anexo ao processo está de acordo com os preços médios praticados por outras empresas do ramo específico/contratação, ou seja, comprometo-me que o valor divulgado está de acordo com o preço de mercado.</t>
  </si>
  <si>
    <t>Ver justificativa do item 12.2.13 (Cotação 26)</t>
  </si>
  <si>
    <t>PLENOBRAS</t>
  </si>
  <si>
    <t>CONDUSCAMP</t>
  </si>
  <si>
    <t>ED CABOS</t>
  </si>
  <si>
    <t>https://www.teky.com.br/650a5bad59524cbc725fda04/cabo-cobre-isolado-pvc-70g-500v-8x-100-mm2-controle-blindado-preto-nbr-7289-classe-5-vias-numeradas-com-fita-aluminio+dreno?srsltid=AfmBOopN5wkcwRtWCNWtQB5qi5lUTokxTFHTUS63ffdL52DKmlmx7Wdi1bc</t>
  </si>
  <si>
    <t>https://loja.conduscamp.com.br/produto/cabo-comandocontrole-8x100-mm%c2%b2-blindado-fita-aluminizada-preto/5415792?idSku=5422494</t>
  </si>
  <si>
    <t>https://www.edcabos.com/cabos/cabo-comando/cabo-controle-8x1-00mm-vias-pretas-numeradas--p?srsltid=AfmBOoq-_DnXDL9KJtUzHErCClSgcNUQyTUwn6MqfIfeYYvKW7_UZOrs</t>
  </si>
  <si>
    <t>CCABOS</t>
  </si>
  <si>
    <t>SUB GRAVE*</t>
  </si>
  <si>
    <t>https://loja.ccabos.com.br/produtos/cabo-comando-e-controle-8x150mm-sem-blindagem-preto/?variant=870686700&amp;pf=mc&amp;gad_source=4&amp;gclid=CjwKCAjwg-24BhB_EiwA1ZOx8raMWoEahE26gHXDxpNum4CTYv2DlgmYer-ilLGfV_so9VKZrXI6HxoC0UsQAvD_BwE</t>
  </si>
  <si>
    <t>https://loja.conduscamp.com.br/produto/cabo-comandocontrole-8x150-mm%c2%b2-sem-blindagem-preto/5415448?idSku=6092257</t>
  </si>
  <si>
    <t>https://www.subgrave.com.br/MLB-3069920031-fio-cabo-pp-cobre-8-vias-8x150mm-5-metros-_JM</t>
  </si>
  <si>
    <t xml:space="preserve"> UFF_COTAÇÃO 31 </t>
  </si>
  <si>
    <t>COTAÇÃO CANCELADA</t>
  </si>
  <si>
    <t>FOURSERV</t>
  </si>
  <si>
    <t>RH Materiais elétricos*</t>
  </si>
  <si>
    <t>NET COMPUTADORES</t>
  </si>
  <si>
    <t>https://www.fourserv.com.br/produto/switch-industrial-delta-8-portas-10100-base-t-x-1x-gigabit-gerenciavel-mpn-dvs-109w02-1ge/979848?gad_source=1&amp;gclid=CjwKCAjw9eO3BhBNEiwAoc0-jUWfFGf-J-nowdJqVJKbC7Z2DrzNAPPLUnycC46XPJZ-TQbRW4DMcBoCOQMQAvD_BwE</t>
  </si>
  <si>
    <t>https://www.rhmateriaiseletricos.com.br/switch-industrial-ethernet-8-portas-icrl-u-8rj45-din?variation=5778637&amp;utm_source=google&amp;utm_medium=cpc&amp;utm_campaign=pmax&amp;gad_source=1&amp;gclid=CjwKCAjw9eO3BhBNEiwAoc0-jQrsC--ohZpt0yu-1UgFOmzBKwFt5tgrMVqaBDgpR7swXOpzvgvWlBoCuRMQAvD_BwE</t>
  </si>
  <si>
    <t>https://netcomputadores.com.br/gs/igs10020pt--planet--switch-industrial-8/91228?srsltid=AfmBOoo26qAw9t5KBoF2tK1dtO3f2zcLxbGB0sCk71jZijfPoYF2bPZLNRQ</t>
  </si>
  <si>
    <t>conduscamp</t>
  </si>
  <si>
    <t>ECO AUTOMAÇÃO</t>
  </si>
  <si>
    <t>INSTRUFIBER</t>
  </si>
  <si>
    <t>https://loja.conduscamp.com.br/produto/cabo-instrumentacaosinal-1x2x100-mm-blindagem-total-dreno-preto/5415739</t>
  </si>
  <si>
    <t>Foram feitas várias buscas em sites e pedidos de envio de orçamentos para diversas empresas do ramo de fornecimento de materiais para sistemas de automação, porém só obtivemos preço para o material na especifícação correta, com a empresa mencionada acima, dificultando assim o fechamento com três orçamentos, conforme é orientado.Comprometo-me que o valor considerado está de acordo com o preço de mercado.</t>
  </si>
  <si>
    <t>DEAL MEX*</t>
  </si>
  <si>
    <t>https://www.edcabos.com/cabo-automacao/cabo-rs485-4-vias-2px24awg-120-ohms-ed-cabos-p</t>
  </si>
  <si>
    <t>rsa-sensors*</t>
  </si>
  <si>
    <t>https://www.rsa-sensors.com.br/produtos/ev400su-317grx24-ev-belimo-energy-valve-de-4-de-180-a-317-gpm-24vac1/</t>
  </si>
  <si>
    <t>Solicitado via site - MW</t>
  </si>
  <si>
    <t>RSA-SENSORS*</t>
  </si>
  <si>
    <t>https://www.rsa-sensors.com.br/produtos/arx120-3-belimo-atuador-on-off-e-floating-de-20nm-para-valvulas-de-controle-100-240vac-copia1/?pf=gs&amp;variant=601280419&amp;gad_source=4&amp;gclid=Cj0KCQiA57G5BhDUARIsACgCYny_OYpvwgPUtP_9HZ8X5A_mNNfA_vkeT6iaC3w_XOQOvVy5q23J9_gaAjUGEALw_wcB</t>
  </si>
  <si>
    <t>fertronshop</t>
  </si>
  <si>
    <t>https://www.fertronshop.com.br/automacao/11-301d-transmissor-de-pressao-diferencial</t>
  </si>
  <si>
    <t>https://www.fertronshop.com.br/automacao/11-201g-transmissor-de-pressao-manometrica</t>
  </si>
  <si>
    <t>FERTRON</t>
  </si>
  <si>
    <t>https://www.fertronshop.com.br/medidores/medidor-de-vazao-vortex-vfm-tamanho-6?parceiro=4194&amp;gad_source=4&amp;gclid=Cj0KCQiA57G5BhDUARIsACgCYnx0iTKLKIngWz6-T250tFyGYXQ9c7kp1O8axiZaWnbNCHHiRlkpYH8aAqwfEALw_wcB</t>
  </si>
  <si>
    <t>loja lefoo</t>
  </si>
  <si>
    <t>https://loja.lefoo.com.br/transmissores-de-pressao/diferencial-de-ar/transmissor-de-pressao-diferencial</t>
  </si>
  <si>
    <t>equipabr</t>
  </si>
  <si>
    <t>https://www.equipabr.com/transmissor-temp-wm-4-20ma-novus/p?gad_source=4&amp;gclid=Cj0KCQjwq_G1BhCSARIsACc7NxoxC3dp9mPwXPE0vGGVljRf-F_naEh-Tb3mULJg4-bWSwCjBWDEsAEaArlWEALw_wcB</t>
  </si>
  <si>
    <t>https://www.equipabr.com/transmissor-txisopack-com-usb-novus/p</t>
  </si>
  <si>
    <t>pjneblina</t>
  </si>
  <si>
    <t>https://www.pjneblina.com.br/produto/transmissor-temperatura-umidade-txisoblock-hrt-universal-isolado-novus/5525506</t>
  </si>
  <si>
    <t>addtherm</t>
  </si>
  <si>
    <t>OK</t>
  </si>
  <si>
    <t>https://www.addtherm.com.br/loja/produto/termostato-capilar-de-seguranca/</t>
  </si>
  <si>
    <t>https://www.rsa-sensors.com.br/produtos/530-dwyer-chave-de-fluxo-para-ar/?pf=gs&amp;variant=371594612&amp;gad_source=1&amp;gclid=Cj0KCQjwq_G1BhCSARIsACc7NxpGciBCMYbrqxJs257Tf_a_F2HRlsbhsF0TuUhuvtM4Oiy5GrDm4iUaAi9-EALw_wcB</t>
  </si>
  <si>
    <t>lojamaisindustrial</t>
  </si>
  <si>
    <t>https://www.lojamaisindustrial.com.br/tm241ce24r-controlador-logico-programavel-m241-24io/p/43161?c=2&amp;t=1&amp;gad_source=4&amp;gclid=Cj0KCQjwzva1BhD3ARIsADQuPnX_xP6h5UByKserxd6RetaHpq8WjUz8kPWPfOJKPuJbVUBIKZHTtV4aAv-vEALw_wcB</t>
  </si>
  <si>
    <t>https://www.lojamaisindustrial.com.br/tm3aq4-modulo-de-saidas-analogicas-4-saidas-12bits-24-vdc-tensao-e-corrente-terminal-parafuso/p/52112</t>
  </si>
  <si>
    <t>https://www.lojamaisindustrial.com.br/bmxdra1605-modulo-x80-16-saidas-digitais-a-rele-2a-conect-borne/p/44625</t>
  </si>
  <si>
    <t>https://www.lojamaisindustrial.com.br/tm3ai2h-modulo-de-expansao-tm3-2-entradas-analogicas-alta-resistencia/p/52086</t>
  </si>
  <si>
    <t>https://www.lojamaisindustrial.com.br/tm251mese-controller-m251-ethernet-proc-unit/p/52253</t>
  </si>
  <si>
    <t>https://www.lojamaisindustrial.com.br/bmxnom0200h-modulo-x80-comunicacao-com-2-portas-rs/p/59410</t>
  </si>
  <si>
    <t>https://www.lojamaisindustrial.com.br/bmexbp1200-rack-para-controlador-m580-12-slots/p/52648</t>
  </si>
  <si>
    <t>Dimensional</t>
  </si>
  <si>
    <t>ELETROFARO</t>
  </si>
  <si>
    <t>NORTE EXPRESS</t>
  </si>
  <si>
    <t>https://www.dimensional.com.br/quadro-comando-sobrepor-aco-carbono-bege-ral-7032-1200-mm-800-mm-250-mm-c-flange-inferior/p?idsku=243512&amp;gad_source=4&amp;gclid=Cj0KCQjwzva1BhD3ARIsADQuPnWB-TmOrvNm3PWl5lb3rxhD4hEHDi055REIxms0vf88BDodW7PdavkaAvRNEALw_wcB</t>
  </si>
  <si>
    <t>https://www.eletrotrafo.com.br/painel-comando-1000-x-600-x-250-ce-10060-25-c-flange-901129-cemar-05050115/p?idsku=6786&amp;gad_source=1&amp;gclid=Cj0KCQjw99e4BhDiARIsAISE7P-Y27i7jZO2ISm8RthfKLYfKROPp-OiauSb3tFg6jonspOVVTFXvGwaAhJyEALw_wcB</t>
  </si>
  <si>
    <t>https://express.nortel.com.br/legrand%E2%88%92ce1208025/p</t>
  </si>
  <si>
    <t>IMECO</t>
  </si>
  <si>
    <t>Justifica-se a ausência de três orçamentos para os itens especificados (Cotações 54 a 70 e 171), devido os equipamentos possuirem condições específicas e alto nível de detalhamento para elaboração de uma cotação, demandando uma certa resistência dos fornecedores para emissão de propostas, elevando a dificuldade para obtenção de maior variedade de preços com outras empresas do ramo, com isso apenas a empresa citada, em cada uma das cotações (54 a 70 e 171) nos enviaram suas cotações. Porém, justifico que o preço colhido junto aos fornecedores anexo ao processo está de acordo com os preços médios praticados por outras empresas do ramo específico/contratação, ou seja, comprometo-me que o valor divulgado está de acordo com o preço de mercado.</t>
  </si>
  <si>
    <t>Ver justificativa do item 12.4.1 (Cotação 54)</t>
  </si>
  <si>
    <t xml:space="preserve"> UFF_COTAÇÃO 71 </t>
  </si>
  <si>
    <t>Cotação Cancelada por estar com a descrição incorreta do equipamento - substituída pela cotação 307</t>
  </si>
  <si>
    <t xml:space="preserve"> UFF_COTAÇÃO 72 A 160</t>
  </si>
  <si>
    <t>BRAVA (SUCESSORA SINKO ENGENHARIA)</t>
  </si>
  <si>
    <t>Justifica-se a ausência de três orçamentos para o item especificado, devido o equipamento possuir condições específicas e alto nível de detalhamento para elaboração de uma cotação, demandando uma certa resistência dos fornecedores para emissão de propostas, elevando a dificuldade para obtenção de maior variedade de preços com outras empresas do ramo, com isso apenas as empresas citadas nos enviaram suas cotações. Porém, justifico que o preço colhido junto aos fornecedores anexo ao processo está de acordo com os preços médios praticados por outras empresas do ramo específico/contratação, ou seja, comprometo-me que o valor divulgado está de acordo com o preço de mercado.</t>
  </si>
  <si>
    <t>ELETRO Z*</t>
  </si>
  <si>
    <t xml:space="preserve"> UFF_COTAÇÃO 164</t>
  </si>
  <si>
    <t>Justifica-se a ausência de três orçamentos para os itens especificados (Cotações 165 a 173), devido os equipamentos possuirem condições específicas e alto nível de detalhamento para elaboração de uma cotação, demandando uma certa resistência dos fornecedores para emissão de propostas, elevando a dificuldade para obtenção de maior variedade de preços com outras empresas do ramo, com isso apenas a empresa citada, em cada uma das cotações (165 a 173) nos enviaram suas cotações. Porém, justifico que o preço colhido junto aos fornecedores anexo ao processo está de acordo com os preços médios praticados por outras empresas do ramo específico/contratação, ou seja, comprometo-me que o valor divulgado está de acordo com o preço de mercado.</t>
  </si>
  <si>
    <t>Ver justificativa do item 12.4.24 (Cotação 165)</t>
  </si>
  <si>
    <t>BRVAL ELECTRICAL</t>
  </si>
  <si>
    <t>BRVAL</t>
  </si>
  <si>
    <t>Sem resposta ainda, porém já atualizada com INCC - tipo C</t>
  </si>
  <si>
    <t>PJ NEBLINA</t>
  </si>
  <si>
    <t>KV LUX</t>
  </si>
  <si>
    <t>https://www.dimensional.com.br/cabo-mt-8-7-15kv-105g-epr-120mm2-pt-eprotenaxcompact105-part-number-26564254-fab-prysmian-ref-fab-eprotenaxcompact105/p</t>
  </si>
  <si>
    <t>INTELBRAS</t>
  </si>
  <si>
    <t>UPPER SEG</t>
  </si>
  <si>
    <t>https://loja.intelbras.com.br/interruptor-sensor-de-presenca-para-ilumunacao-intelbras-esp-360-a-/p</t>
  </si>
  <si>
    <t>https://www.leroymerlin.com.br/interruptor-de-sensor-de-presenca-para-iluminacao-bivolt-branco-esp-360--intelbras_92245132</t>
  </si>
  <si>
    <t>https://www.upperseg.com.br/material-eletrico/sensor-de-iluminacao/sensor-de-presenca-para-iluminacao-esp-360-plus-intelbras/</t>
  </si>
  <si>
    <t>INSPIRE HOME</t>
  </si>
  <si>
    <t>MAETO</t>
  </si>
  <si>
    <t>ELETRO DECORA</t>
  </si>
  <si>
    <t>MERCADO LIVRE</t>
  </si>
  <si>
    <t>https://www.inspirehome.com.br/lampada-led-ar111-gu10-4000k-12w-bivolt-avant-282130574/p?utm_source=google&amp;utm_medium=cpc&amp;utm_campaign=Pmax_Revenda_Importado&amp;gad_source=1&amp;gclid=Cj0KCQjw7Py4BhCbARIsAMMx-_KR6ve8RAh9EGbraQBO4zEzGQVNTwXyshXr0V1TTTW2NOXRpW0_7wcaAkXkEALw_wcB</t>
  </si>
  <si>
    <t>https://www.lojamaeto.com/lampada-ar111-led-12w?gad_source=1&amp;gclid=Cj0KCQjw7Py4BhCbARIsAMMx-_IDegC_PqzhbLz_qwA6WnVWqVnE9dBGhhD-eanqIw64wXuPqew8xNwaAuTxEALw_wcB</t>
  </si>
  <si>
    <t>https://www.eletrodecora.com.br/lampada-led-a111-12w-2700k?utm_source=google&amp;utm_medium=Shopping&amp;utm_campaign=lampada-led-a111-12w-2700k&amp;inStock&amp;gad_source=1&amp;gclid=Cj0KCQjw7Py4BhCbARIsAMMx-_IN2TB1bF_6JbSTmC5-9ZDuJUkws0-eYqrDBqOvMl3N4nzdfjWNUR4aAobOEALw_wcB</t>
  </si>
  <si>
    <t>https://www.mercadolivre.com.br/lmpada-de-led-ar111-12-gu10-12w-4000k-luz-neutra-avant-cor-da-luz-branco-neutro/p/MLB22756814?pdp_filters=item_id%3AMLB3347438903&amp;from=gshop&amp;matt_tool=69440161&amp;matt_internal_campaign_id=&amp;matt_word=&amp;matt_source=google&amp;matt_campaign_id=22090354307&amp;matt_ad_group_id=173090584516&amp;matt_match_type=&amp;matt_network=g&amp;matt_device=c&amp;matt_creative=727882731552&amp;matt_keyword=&amp;matt_ad_position=&amp;matt_ad_type=pla&amp;matt_merchant_id=735128761&amp;matt_product_id=MLB22756814-product&amp;matt_product_partition_id=2392065248078&amp;matt_target_id=pla-2392065248078&amp;cq_src=google_ads&amp;cq_cmp=22090354307&amp;cq_net=g&amp;cq_plt=gp&amp;cq_med=pla&amp;gad_source=1&amp;gad_campaignid=22090354307&amp;gbraid=0AAAAAD93qcBdhy-5Aho_7ZPRR6wwEsgDL&amp;gclid=Cj0KCQjwuKnGBhD5ARIsAD19RsZ8EGB2kR6o3TPXyS1WSAnacV8BuBGVRTiJzRA0pgxhd0UI_cC27zYaAgw3EALw_wcB</t>
  </si>
  <si>
    <t>EZCOMP</t>
  </si>
  <si>
    <t>ELETRORASTRO</t>
  </si>
  <si>
    <t>MULT COMERCIAL</t>
  </si>
  <si>
    <t>https://www.ezcomp.com.br/MLB-2986496209-prensa-cabo-pg16-preto-p-cabos-85-14mm-10-unidades-_JM</t>
  </si>
  <si>
    <t>https://www.eletrorastro.com.br/produto/prensa-cabo-preta-pg16-metaltex-81475?utm_source=google&amp;utm_medium=cpc&amp;gad_source=1&amp;gclid=CjwKCAjwyfe4BhAWEiwAkIL8sIvfy80zVcA1bESqQBj9q5JSlzdJ0qAFvfhwe5jUsbZcj4e0KurtVBoCCEMQAvD_BwE</t>
  </si>
  <si>
    <t>https://www.multcomercial.com.br/prensa-cabo-pg16-preto.html?gad_source=1&amp;gclid=CjwKCAjwyfe4BhAWEiwAkIL8sMdCPwFLQ3-otJVfteAlVt_G8ugn48vLcjBsbIouXIYYA2liGZoiPRoCmMkQAvD_BwE</t>
  </si>
  <si>
    <t>CSESHOP</t>
  </si>
  <si>
    <t>MULTISEG</t>
  </si>
  <si>
    <t>https://www.cseshop.com.br/MLB-4186034184-grampo-terra-duplo-parafuso-tipo-u-38-16-70-58-34-intelli-_JM?gad_source=4&amp;gclid=CjwKCAjwyfe4BhAWEiwAkIL8sCtKa3sTIZTFheYTHLnrBIXUXY0d-XlweFfQhUu0hcILsi3iUa5fARoCIaMQAvD_BwE</t>
  </si>
  <si>
    <t>https://www.multiseg.com.br/1303/grampo-duplo-para-haste-de-aterramento-gtdu?gad_source=4&amp;gclid=CjwKCAjwyfe4BhAWEiwAkIL8sNijtTBHiE8cfrAZvTDkGVMEVDaWnnW8aIDafeUQF2E_ABjZtGJWVBoCZIQQAvD_BwE</t>
  </si>
  <si>
    <t>https://www.dimensional.com.br/grampo-terra-duplo-cobre-25-a-70-mm2-acessorios-aco-zincado-gtdu38ips420-intelli/p?idsku=429642&amp;gad_source=4&amp;gclid=CjwKCAjwyfe4BhAWEiwAkIL8sEsn0zeTrjlDuaUsPo4xAhRULHXi6uk_kPmpwcT6AvXh_0StcnrDzBoCwMQQAvD_BwE</t>
  </si>
  <si>
    <t>SOLUÇÃO CABOS*</t>
  </si>
  <si>
    <t>UNICARSERV</t>
  </si>
  <si>
    <t>https://www.solucaocabos.com.br/cabo-optico-monomodo-12fo-eo-cog/p?idsku=17437&amp;skuId=17434&amp;srsltid=AfmBOopwiWWF6SX3Uf0WwwvNtvFLerDqHz2j8XtXkHMq_p2-NwTZdl1j9io</t>
  </si>
  <si>
    <t>https://www.unicaserv.com.br/cabos/cabos-optico/cabo-de-fibra-optica-12fo-cfot-multimodo-50-ut-cog-furukawa-300-metros?parceiro=3738&amp;gad_source=4&amp;gclid=CjwKCAjwyfe4BhAWEiwAkIL8sARUB8iOglVFPnT1C2NK0smHnNFjCSfeJeLeHEoxIT_8pETBf9CGsBoCOdEQAvD_BwE</t>
  </si>
  <si>
    <t>https://www.dimensional.com.br/cabo-opt-ext-12f-sm-az-17045113-furukawa/p</t>
  </si>
  <si>
    <t xml:space="preserve"> UFF_COTAÇÃO 180 A 181</t>
  </si>
  <si>
    <t>MAGALU</t>
  </si>
  <si>
    <t>CFTV CLUBE</t>
  </si>
  <si>
    <t>https://www.upperseg.com.br/cftv/cameras-de-seguranca/cameras-ip/camera-ip-com-fio/camera-ip-intelbras-vip-3830-ia-inteligencia-artificial-8-megapixel-4k-c-microfone/?gad_source=1&amp;gad_campaignid=17071887064&amp;gbraid=0AAAAADtWOg_sSaX7VGa-ojv_jrV-C_Yc2&amp;gclid=CjwKCAjwlaTGBhANEiwAoRgXBRHjWBan-UXbfBg2zL9-a9cTUCDlo3EyyDOyfnmljLK9cpHMzGDnehoCAH4QAvD_BwE</t>
  </si>
  <si>
    <t>https://www.magazineluiza.com.br/camera-vip-3830-ia-ir-30m-lente-3-6mm-resol-4k-8mp-case-metal-intelig-perimetral-det-mov-microfone-intelbras/p/ef41cgd734/cj/caip/?&amp;seller_id=visiotecnologia&amp;utm_source=google&amp;utm_medium=cpc&amp;utm_term=80674&amp;utm_campaign=google_eco_per_ven_pla_ca_sor_3p_ci-cj-csp&amp;utm_content=&amp;partner_id=80674&amp;gclsrc=aw.ds&amp;gad_source=1&amp;gad_campaignid=22825521530&amp;gbraid=0AAAAAD4zZmRhGrIwviz0_Y7n81pmoQBnA&amp;gclid=CjwKCAjwlaTGBhANEiwAoRgXBdnjuz-7rKwgotlAf7wqkDQEtAOdi32yDbgXfAtmvSvfeOsLnWUGjRoCPiIQAvD_BwE</t>
  </si>
  <si>
    <t>https://www.cftvclube.com.br/cameras/cameras-para-uso-externo/camera-com-imagem-de-8-megapixel-4k/camera-bullet-vip-3830-b</t>
  </si>
  <si>
    <t>TEK DISTRIBUIDOR</t>
  </si>
  <si>
    <t>NORTEL EXPRESS</t>
  </si>
  <si>
    <t xml:space="preserve">PLENOBRAS </t>
  </si>
  <si>
    <t>https://www.tekdistribuidor.com.br/eletroduto-em-aluminio-elecon-3/4o-com-rosca-bsp-schendule-40-sem-costura?parceiro=4158&amp;gad_source=4&amp;gclid=CjwKCAjw9p24BhB_EiwA8ID5Bgi-bcWkmVJMOm8P0X2MjiA3_F6d7x_HRnm1Cvtc4U5j_xWpC4K2qBoCjPAQAvD_BwE</t>
  </si>
  <si>
    <t>https://www.dimensional.com.br/eletroduto-aluminio-com-luva-287mm-34-rosca-npt-3m-eceda2-elecon/p?idsku=476690&amp;gad_source=4&amp;gclid=CjwKCAjw9p24BhB_EiwA8ID5BubC7iBGSK3KgDXME_KpZWFhpjwGE6FTShZdsLeznvseBjRpyrfZhRoC7Q8QAvD_BwE</t>
  </si>
  <si>
    <t>https://express.nortel.com.br/eletroduto-rigido-metalico-aluminio-com-1-luva-2-87mm-3-4-npt-3000mm-schedule-40/p?srsltid=AfmBOoqGa72VM3rJMHhGviGeOAJAK_SpLwf2StPJk-EBicUq7PKnIR4g</t>
  </si>
  <si>
    <t>https://www.plenobras.com.br/6867edf78466665a1942b1c5/eletroduto-leve-aluminio-parede-300mm-34%22x3m-com-rosca-bsp-com-um-luva?srsltid=AfmBOoop5IwdruXtQGWHO_9xgZby1ikHNY0qhHRsVV4M7cPmyhimWkdf</t>
  </si>
  <si>
    <t xml:space="preserve"> UFF_COTAÇÃO 184 </t>
  </si>
  <si>
    <t>CABO 2X1,5MM2 PARA SISTEMA DE ALARME DE INCÊNDIO – TIPO MA AI CONDUTOR: ENCORDOAMENTO CLASSE 2 / ISOLAÇÃO: PVC/EB (105 °C) / 1 PAR OU 1 TERNA /BLINDAGEM ELETROSTÁTICA TOTAL (215 MA AI FR)</t>
  </si>
  <si>
    <t>Cotação Cancelada substituída por item presente na base de dados do SBC</t>
  </si>
  <si>
    <t>MI FIRE</t>
  </si>
  <si>
    <t>TRUE DIGITAL SYSTEMS</t>
  </si>
  <si>
    <t>RDM</t>
  </si>
  <si>
    <t>PROPOSTA</t>
  </si>
  <si>
    <t>Tec and Tec</t>
  </si>
  <si>
    <t xml:space="preserve">RDM </t>
  </si>
  <si>
    <t xml:space="preserve">TRUE DIGITAL SYSTEMS </t>
  </si>
  <si>
    <t>https://loja.tecandtec.com.br/produtos/nbg-12lxp-acionador-manual/</t>
  </si>
  <si>
    <t>https://loja.tecandtec.com.br/produtos/p2rl-sirene-audiovisual/</t>
  </si>
  <si>
    <t>https://loja.tecandtec.com.br/produtos/b501-e-b501w-base-para-detectores/</t>
  </si>
  <si>
    <t>SINALERT</t>
  </si>
  <si>
    <t>https://loja.sinalert.com.br/fsp-851-detector-optico-enderecavel-notifier</t>
  </si>
  <si>
    <t>https://loja.tecandtec.com.br/produtos/fst-951-detectores-termicos/</t>
  </si>
  <si>
    <t xml:space="preserve"> UFF_COTAÇÃO 191</t>
  </si>
  <si>
    <t>CMC COMÉRCIO E IMPORTAÇÃO*</t>
  </si>
  <si>
    <t>TRUE DIGITAL</t>
  </si>
  <si>
    <t>TEC AND TEC</t>
  </si>
  <si>
    <t>https://loja.tecandtec.com.br/produtos/hpf-ps6-e-hpf-ps10-fonte-de-alimentacao-notifier/</t>
  </si>
  <si>
    <t>https://loja.tecandtec.com.br/produtos/iso-x-modulo-isolador/</t>
  </si>
  <si>
    <t>SHOPFIRE</t>
  </si>
  <si>
    <t>SKOP</t>
  </si>
  <si>
    <t>AGROMETAL</t>
  </si>
  <si>
    <t>ZEUS DO BRASIL</t>
  </si>
  <si>
    <t>https://loja.shopfire.com.br/sprinkler-padrao-k80-1-2-crom-68oc-para-cima-upright</t>
  </si>
  <si>
    <t>https://www.lojaagrometal.com.br/produto/sprinkler-vermelho-cromado-68-1-2-r0110-up-right-87095?srsltid=AfmBOooX8LDqPcdmLWpn7tA0g4B0qydfhRpke4QfgP6_HbQed8OqnOAA</t>
  </si>
  <si>
    <t>https://epizeus.com.br/sprinkler-upright-68-1-2-pol-cromado-vermelho-k5-6</t>
  </si>
  <si>
    <t>GIL FIRE</t>
  </si>
  <si>
    <t>CM COUTO</t>
  </si>
  <si>
    <t>RESSONAR</t>
  </si>
  <si>
    <t xml:space="preserve"> UFF_COTAÇÃO 197 </t>
  </si>
  <si>
    <t>EXTINTOR DE ESPUMA MECÂNICA (EM) 10L, CARGA EXTINTORA 2-A 10-B</t>
  </si>
  <si>
    <t>HILTI</t>
  </si>
  <si>
    <t xml:space="preserve">CKC DO BRASIL </t>
  </si>
  <si>
    <t>https://www.hilti.com.br/c/CLS_FIRESTOP_PROTECTION_7131/CLS_FIRESTOP_SEALANTS_SPRAY_7131/r361?CHA_COLOR_PM_REVIEW=Branco&amp;CHA_PACKAGING=Cartucho&amp;itemCode=209625&amp;salespackquantity=1%20un&amp;activeTab=preconfigured-kits-tabs</t>
  </si>
  <si>
    <t>https://loja.tecandtec.com.br/produtos/silicone-resistente-ao-fogo/</t>
  </si>
  <si>
    <t xml:space="preserve"> UFF_COTAÇÃO 199 </t>
  </si>
  <si>
    <t>BLOCO AUTÔNOMO ACLARAMENTO (ILUMINAÇÃO EMERGÊNCIA), LED 2 FAROIS 2200 LUMENS</t>
  </si>
  <si>
    <t>RBA ILUMINAÇÃO</t>
  </si>
  <si>
    <t>ELETRO MW</t>
  </si>
  <si>
    <t>https://www.rbailuminacao.com.br/search/?q=BLK+500%2FL+SE+-+LUM+BLOCO+AUTONOMO+DE+EMERG.+BLOKITO+6V+4AH+ACL+AUREON</t>
  </si>
  <si>
    <t>https://loja.eletromw.com.br/produto/bloco-baliz-saida-4w-500lm-110-220v-blk-500-lse/?utm_source=Google%20Shopping&amp;utm_campaign=Feed%20Marchant%20-%20EletroMW&amp;utm_medium=cpc&amp;utm_term=16645&amp;gad_source=1&amp;gad_campaignid=22510342443&amp;gbraid=0AAAAA_GwUhV70yqQUYnABzWIhvsdZUY1T&amp;gclid=CjwKCAjwlaTGBhANEiwAoRgXBfv5V65HB7MD1oEOPHiw2BLWtB2rT-5ls94ZsfvmixRaDM9QtQ_HJRoC0RIQAvD_BwE</t>
  </si>
  <si>
    <t>Foram feitas várias buscas em sites e pedidos de envio de orçamentos para diversas empresas do ramo específico, porém só obtivemos retorno, em tempo hábil, com a empresa mencionada acima, dificultando assim o fechamento com três orçamentos, conforme é orientado.Comprometo-me que o valor considerado está de acordo com o preço de mercado.</t>
  </si>
  <si>
    <t>GRUPO DAS BOMBAS</t>
  </si>
  <si>
    <t xml:space="preserve">CASA DA THEBE </t>
  </si>
  <si>
    <t>CASA SÃO PAULO</t>
  </si>
  <si>
    <t>COMERCIAL LANEL</t>
  </si>
  <si>
    <t>https://www.grupodasbombas.com.br/bomba-de-incendio-schneider-bpi-me-al-2230-3cv-trifasico-220-380v/p</t>
  </si>
  <si>
    <t>https://www.casadathebe.com.br/bomba-de-incendio-thebe-p-11-4-nr-3-0-cv-trifasico-ip21-ir3/p</t>
  </si>
  <si>
    <t>https://www.casadasbombassp.com.br/bomba-de-incendio-schneider-bpi-me-al-2230-3cv-trifasico-220-380v/p</t>
  </si>
  <si>
    <t>https://www.comerciallanel.com.br/bomba-schneider-bpi-me-al-2230-30cv-trifasica-60hz-220380v-0030000000783-p3407?utm_source=google&amp;utm_medium=cpc&amp;utm_campaign=lojavirtual&amp;srsltid=AfmBOorcey5iTNZQOZD8eDr92Nc27azcVId_KFEBHu6t7qAF4YLD7MSHA4E</t>
  </si>
  <si>
    <t>SHOPPING DAS BOMBAS</t>
  </si>
  <si>
    <t>FLORÊNCIO BOMBAS</t>
  </si>
  <si>
    <t>https://www.grupodasbombas.com.br/bomba-centrifuga-de-incendio-schneider-bpi-me-al-2250-v-5cv-220-380-440v-trifasico/p</t>
  </si>
  <si>
    <t>https://www.casadasbombassp.com.br/bomba-de-incendio-schneider-bpi-me-al-2250-5cv-trifasico/p</t>
  </si>
  <si>
    <t>https://www.florenciobombas.com.br/bomba-centrifuga-de-incendio-schneider-bpi-me-al-2250-v-5cv-220-380-440v-trifasico/p</t>
  </si>
  <si>
    <t>https://www.comerciallanel.com.br/bomba-schneider-bpi-me-al-2250v-50cv-trifasica-60hz-220380440v-0030000000785-p3409?srsltid=AfmBOorY2YXKBSOLebrOAcztGjY6UocdH98S25tBL7XpbmOCXyKBor56</t>
  </si>
  <si>
    <t>LOJA DO MECÂNICO</t>
  </si>
  <si>
    <t>LOJA EBARA</t>
  </si>
  <si>
    <t>ELETRISHOP</t>
  </si>
  <si>
    <t>MÉRITO COMERCIAL</t>
  </si>
  <si>
    <t>PALÁCIO DAS FERRAMENTAS</t>
  </si>
  <si>
    <t>https://www.lojadomecanico.com.br/produto/154167/33/619/Motobomba-Centrifuga-Monoestagio-20CV-Trifasica-220380V-SSCI-5/153/?utm_source=googleshopping&amp;utm_medium=cpc&amp;utm_campaign=PMAX+ROAS+AGRO+E+JARDIM&amp;gad_source=1&amp;gclid=Cj0KCQjw4Oe4BhCcARIsADQ0csmEAkgUb3Jd1TmINV_xUogPJRhlVnE3cQWtG5YB4_alSte9Hc9hGpwaAnzgEALw_wcB</t>
  </si>
  <si>
    <t>https://loja.ebara.com.br/products/bomba-rl-20br-20-0-cv-trif-ip55-ir3-4v-mt-thebe-rt-200?utm_source=google_pmax&amp;utm_medium=max.performance&amp;utm_campaign=maxperformance.all.products&amp;gad_source=1&amp;gad_campaignid=19808022868&amp;gbraid=0AAAAAoJWAM1ySyWYM6ryvlnj_CKM37lEB&amp;gclid=Cj0KCQjwuKnGBhD5ARIsAD19RsZnez99oiBrQ4zWA1DfB-2UtEbFtu2kquM8bdFq626iznPZ4WGcx2oaAvRgEALw_w</t>
  </si>
  <si>
    <t>https://www.eletrishop.com.br/bombas-d-agua/motobomba-centrifuga-para-combate-a-incendio-ssci5-20cv-220-380v?srsltid=AfmBOop797MmMlr8BdUJeOUz7L24UEpuTotqJz1-R6-wuK3QfdsCKWEF</t>
  </si>
  <si>
    <t>https://www.meritocomercial.com.br/bomba-de-incendio-somar-ssci5-212-polegadas-20-cv-trifasica-220v380v-5001001002849-p1062222?tsid=75&amp;srsltid=AfmBOorWbXe0XtU8VW0GTGkT3Sa0ltXQmX8La4GT0r0Uu3aWmYclIvuoMGM</t>
  </si>
  <si>
    <t>https://palaciodasferramentas.com.br/bomba-de-incendio-20-cv-trifasica-220/380v-ssci5-db11-16002868-somar?srsltid=AfmBOoqnHK_2hL-t-wfmRtk4SIIPugra48O6znVQBOcO8F5BX_SmONzCj-k</t>
  </si>
  <si>
    <t>RIBERFLUID</t>
  </si>
  <si>
    <t>CONEXO PEÇAS</t>
  </si>
  <si>
    <t>https://www.riberfluid.com.br/conexoes/bucha-de-reducao-galvanizado-2-x-34?parceiro=3293&amp;gad_source=1&amp;gclid=CjwKCAjw9p24BhB_EiwA8ID5BoS5j1IFdzwDkoshLBJX9oiNOnXzQ0GLWrvH4ubhxQQgJcy3HKgukBoC4aoQAvD_BwE</t>
  </si>
  <si>
    <t>https://www.multiseg.com.br/661/bucha-de-reduo-galvanizada-2-x-3-4?gad_source=1&amp;gclid=CjwKCAjw9p24BhB_EiwA8ID5BqORD_zWhp6n8pnnh3hFtpvhlLNko_47MjRgCZVLHsd4NAa8hiE0NhoC-lkQAvD_BwE</t>
  </si>
  <si>
    <t>https://www.conexopecas.com.br/produtos/ver/1103/bucha-de-reducao-2-x-3-4-bsp-galvanizada</t>
  </si>
  <si>
    <t>QUALITY TUBOS</t>
  </si>
  <si>
    <t>PROPOSTO</t>
  </si>
  <si>
    <t>GETEL</t>
  </si>
  <si>
    <t>https://www.lojaqualitytubos.com.br/niple-duplo-galvanizado-de-1-4-p996266?utm_source=google&amp;utm_medium=upc&amp;utm_campaign=qualitytubos&amp;gad_source=1&amp;gclid=CjwKCAjw9p24BhB_EiwA8ID5BnfluTlqsC1D7PViOy24eocks6HLzpVhOKLuh9149x3rwzsAsOyWDBoCj2kQAvD_BwE</t>
  </si>
  <si>
    <t>https://www.proposto.com.br/51649-niple-duplo-galvanizado-14-bsp-p30895</t>
  </si>
  <si>
    <t>https://www.getelequipamentos.com.br/niple-reto-macho-latao-1-4</t>
  </si>
  <si>
    <t>INCORZUL</t>
  </si>
  <si>
    <t>https://www.lojaqualitytubos.com.br/luva-galvanizada-f-f-1-4-p1000727</t>
  </si>
  <si>
    <t>https://www.riberfluid.com.br/conexoes/luva-galvanizada-14?srsltid=AfmBOopcqr9_wKt_n6WCyfg5ojI29fXm1xQ3zsGK6cUh9FusiWFhDBwt</t>
  </si>
  <si>
    <t>https://www.incorzul.com.br/luva-galvanizado-1/4-tupy?utm_source=shopping&amp;utm_medium=ads&amp;utm_campaign=luva-galvanizado-1/4-tupy&amp;inStock&amp;gad_source=1&amp;gclid=CjwKCAjw9p24BhB_EiwA8ID5BvH1103KQdlibJw7VrZY9Hc5IEZCnMXrelBO6lJT2QEB4GY1IrcvsBoCIvMQAvD_BwE#derivacao=11</t>
  </si>
  <si>
    <t>RF Design*</t>
  </si>
  <si>
    <t>INTERFIRE*</t>
  </si>
  <si>
    <t xml:space="preserve"> UFF_COTAÇÃO 214 A 215</t>
  </si>
  <si>
    <t>SOLUTION*</t>
  </si>
  <si>
    <t>ARCONET*</t>
  </si>
  <si>
    <t>DANCOLD*</t>
  </si>
  <si>
    <t xml:space="preserve"> UFF_COTAÇÃO 217</t>
  </si>
  <si>
    <t xml:space="preserve"> UFF_COTAÇÃO 222</t>
  </si>
  <si>
    <t xml:space="preserve"> UFF_COTAÇÃO 229</t>
  </si>
  <si>
    <t xml:space="preserve"> UFF_COTAÇÃO 251</t>
  </si>
  <si>
    <t xml:space="preserve"> UFF_COTAÇÃO 253</t>
  </si>
  <si>
    <t xml:space="preserve"> UFF_COTAÇÃO 258</t>
  </si>
  <si>
    <t xml:space="preserve"> UFF_COTAÇÃO 260 A 261</t>
  </si>
  <si>
    <t xml:space="preserve"> UFF_COTAÇÃO 264</t>
  </si>
  <si>
    <t xml:space="preserve"> UFF_COTAÇÃO 267 A 268</t>
  </si>
  <si>
    <t xml:space="preserve"> UFF_COTAÇÃO 270 A 272</t>
  </si>
  <si>
    <t xml:space="preserve"> UFF_COTAÇÃO 275 A 299</t>
  </si>
  <si>
    <t>MAGAZINE LUIZA*</t>
  </si>
  <si>
    <t>PORTAL DA ACÚSTICA*</t>
  </si>
  <si>
    <t>ESPAÇO SMART*</t>
  </si>
  <si>
    <t>https://www.magazineluiza.com.br/placa-la-de-vidro-forrovid-boreal-1250-x-625-x-15-mm-1-unidade-078m2-isover/p/kcdc0c1h7h/cj/lavd/</t>
  </si>
  <si>
    <t>https://www.portaldaacustica.com/produto/placa-la-de-vidro-optima-piso-1200-x-1200-x-15-mm-60kg-m-16-unidades-70244</t>
  </si>
  <si>
    <t>https://www.espacosmart.com.br/optima-piso-60-15-x-1200-x-1200mm/p</t>
  </si>
  <si>
    <t>TKE</t>
  </si>
  <si>
    <t>R$ 399.237,20</t>
  </si>
  <si>
    <t>NA PASTA</t>
  </si>
  <si>
    <t>Justifica-se a ausência de três orçamentos para o item especificado acima, devido a empresa citada, possuir exclusividade para realização do serviço, impossibilitando a obtenção de mais cotações com outras empresas do ramo, com isso apenas essa empresa nos enviou sua cotação. Porém, justifico que o preço colhido junto ao fornecedor anexo ao processo está de acordo com os preços médios praticados por outras empresas do ramo específico/contratação, ou seja, comprometo-me que o valor divulgado está de acordo com o preço de mercado.</t>
  </si>
  <si>
    <t xml:space="preserve"> 21.3.10</t>
  </si>
  <si>
    <t>SEGUNDA VIA GRAFICA*</t>
  </si>
  <si>
    <t>LOJA EXIPRINT*</t>
  </si>
  <si>
    <t>GRAFICA IDEAL PRINT*</t>
  </si>
  <si>
    <t>https://www.segundaviagrafica.com.br/produtos/adesivos-em-vinil-por-metro-quadrado/</t>
  </si>
  <si>
    <t>https://www.loja.exiprint.com.br/adesivo-vinil-transparente-por-m-uv-4-0-corte-reto</t>
  </si>
  <si>
    <t>https://www.graficaidealprint.com.br/produto/adesivo-vinil-branco-vinil-branco-brilho-refilado-reto-4x0-grandes-formatos</t>
  </si>
  <si>
    <t>ESCORREGA O PREÇO</t>
  </si>
  <si>
    <t>BOLD*</t>
  </si>
  <si>
    <t>https://www.escorregaopreco.com.br/ofertas/mercadolivre/1036416</t>
  </si>
  <si>
    <t>https://www.bold.net/chapa-de-pvc-branco-expandido-bold-d0%2C55-1220x2440x4mm/T97000BR015122244040.html?lang=pt_BR&amp;srsltid=AfmBOopOygNHOzZRvrJNkOp4-7mxR8sUtxqeBTNF-vEWusTAKXUtVrmO</t>
  </si>
  <si>
    <t>https://www.plastolandia.com.br/chapa-pvc-rigida-branca-2000-x-1000-x-4-mm</t>
  </si>
  <si>
    <t>DWGA*</t>
  </si>
  <si>
    <t>LOJA DO POLI</t>
  </si>
  <si>
    <t>VINIL E CIA*</t>
  </si>
  <si>
    <t>https://www.dwga.com.br/comunicacao-visual/pvc/expandido/chapa-pvc-expandido-branco-2mmx1220x2440mm</t>
  </si>
  <si>
    <t>https://www.lojadopoli.com/pvc-expandido/chapa-de-pvc-expandido-branco-espessura-2mm-1220-x-2440mm-placa-de-pvc-expandido</t>
  </si>
  <si>
    <t>https://vinilecia.commercesuite.com.br/chapas/chapa-de-pvc-expandido-2mm</t>
  </si>
  <si>
    <t>REIS GRAFICA</t>
  </si>
  <si>
    <t>ARTE MAIZ</t>
  </si>
  <si>
    <t>MARGARIDA SHOPP*</t>
  </si>
  <si>
    <t>https://www.revendareisgrafica.com.br/produto/letra-de-pvc-expandido-20cm-20cm-de-altura-pvc-expandido-sem-acabamento-branco</t>
  </si>
  <si>
    <t>https://www.artemaiz.com/letras-pvc-expandido-letra-caixa-pvc-expandido-comunicacao-visual-letreiros--</t>
  </si>
  <si>
    <t>https://www.margaridashopp.com/letras-em-pvc-2023-11-20-14-02-39</t>
  </si>
  <si>
    <t>NOVO</t>
  </si>
  <si>
    <t>14.1.2.7</t>
  </si>
  <si>
    <t xml:space="preserve"> UFF_COTAÇÃO 306</t>
  </si>
  <si>
    <t>12.4.18</t>
  </si>
  <si>
    <t xml:space="preserve"> UFF_COTAÇÃO 307</t>
  </si>
  <si>
    <t>TEASE</t>
  </si>
  <si>
    <t>LOGMASTER</t>
  </si>
  <si>
    <t>CS ELETRO</t>
  </si>
  <si>
    <t>TEKO</t>
  </si>
  <si>
    <t>RFK</t>
  </si>
  <si>
    <t>OBS.: As propostas cujo o nome da empresa aparecem com * ao final foram atualizadas pelo índice INCC de 4,39% referente ao período de 12/2024 a 07/2025</t>
  </si>
  <si>
    <t>OBS2: Foram solicitadas todas as propostas atualizadas as empresas consultadas, sendo em alguns poucos casos prospectados novas propostas, bem como acrescidos 2 itens. A metodologia de preço e justificativas técnicas são da empresa contratada Ecoômica</t>
  </si>
  <si>
    <t>PLANILHA DE MEMÓRIA DE CÁLCULO DE BDI - BÔNUS DE DESPESAS INDIRETAS</t>
  </si>
  <si>
    <t>PROCESSO: 23069.000000/0000-00</t>
  </si>
  <si>
    <r>
      <rPr>
        <b/>
        <sz val="11"/>
        <color rgb="FF000000"/>
        <rFont val="Calibri"/>
        <charset val="134"/>
      </rPr>
      <t xml:space="preserve">BASE DE DADOS: </t>
    </r>
    <r>
      <rPr>
        <sz val="11"/>
        <color rgb="FF000000"/>
        <rFont val="Calibri"/>
        <charset val="134"/>
      </rPr>
      <t>SINAPI - 12/2024 - Rio de Janeiro; SBC - 12/2024 - Rio de Janeiro; EMOP - 12/2024 - Rio de Janeiro; SCO - 12/2024 - Rio de Janeiro - DESONERADO</t>
    </r>
  </si>
  <si>
    <t>Declaro que, de acordo com a legislação tributária do município de Niterói – RJ, considerando a natureza da obra discriminada, para cálculo do valor de ISS a ser cobrado da empresa construtora, é aplicada a alíquota de 3% sobre o valor total da obra.</t>
  </si>
  <si>
    <r>
      <rPr>
        <i/>
        <sz val="10"/>
        <color theme="1"/>
        <rFont val="Arial"/>
        <charset val="134"/>
      </rPr>
      <t xml:space="preserve">Declaro para os devidos fins que o regime de Contribuição Previdenciária sobre a Receita Bruta adotado para elaboração do orçamento foi </t>
    </r>
    <r>
      <rPr>
        <b/>
        <i/>
        <sz val="10"/>
        <color theme="1"/>
        <rFont val="Arial"/>
        <charset val="134"/>
      </rPr>
      <t>COM Desoneração</t>
    </r>
    <r>
      <rPr>
        <i/>
        <sz val="10"/>
        <color theme="1"/>
        <rFont val="Arial"/>
        <charset val="134"/>
      </rPr>
      <t>, e que esta é a alternativa mais adequada para a Administração Pública.</t>
    </r>
  </si>
  <si>
    <t>DETALHAMENTO DO BDI</t>
  </si>
  <si>
    <t>PROPONENTE:</t>
  </si>
  <si>
    <t>Universidade Federal Fluminense (UFF)</t>
  </si>
  <si>
    <t>OBRA:</t>
  </si>
  <si>
    <t>Instituto de Química (Campus Praia Vermelha)</t>
  </si>
  <si>
    <t>PLANILHA  DESONERADA</t>
  </si>
  <si>
    <t>1. Regime de Contribuição Previdenciária</t>
  </si>
  <si>
    <t>Com Desoneração</t>
  </si>
  <si>
    <t>2. Tipo de Intervenção</t>
  </si>
  <si>
    <t>Edificações</t>
  </si>
  <si>
    <t>3. Incidências sobre o custo</t>
  </si>
  <si>
    <r>
      <rPr>
        <sz val="10"/>
        <color theme="1"/>
        <rFont val="Arial"/>
        <charset val="134"/>
      </rPr>
      <t>Administração Central -</t>
    </r>
    <r>
      <rPr>
        <b/>
        <sz val="10"/>
        <color theme="1"/>
        <rFont val="Arial"/>
        <charset val="134"/>
      </rPr>
      <t xml:space="preserve"> AC</t>
    </r>
  </si>
  <si>
    <r>
      <rPr>
        <sz val="10"/>
        <color theme="1"/>
        <rFont val="Arial"/>
        <charset val="134"/>
      </rPr>
      <t>Riscos -</t>
    </r>
    <r>
      <rPr>
        <b/>
        <sz val="10"/>
        <color theme="1"/>
        <rFont val="Arial"/>
        <charset val="134"/>
      </rPr>
      <t xml:space="preserve"> R</t>
    </r>
  </si>
  <si>
    <r>
      <rPr>
        <sz val="10"/>
        <color theme="1"/>
        <rFont val="Arial"/>
        <charset val="134"/>
      </rPr>
      <t>Seguros e Garantias Contratuais -</t>
    </r>
    <r>
      <rPr>
        <b/>
        <sz val="10"/>
        <color theme="1"/>
        <rFont val="Arial"/>
        <charset val="134"/>
      </rPr>
      <t xml:space="preserve"> S+G</t>
    </r>
  </si>
  <si>
    <r>
      <rPr>
        <sz val="10"/>
        <color theme="1"/>
        <rFont val="Arial"/>
        <charset val="134"/>
      </rPr>
      <t xml:space="preserve">Despesas e Encargos Financeiros - </t>
    </r>
    <r>
      <rPr>
        <b/>
        <sz val="10"/>
        <color theme="1"/>
        <rFont val="Arial"/>
        <charset val="134"/>
      </rPr>
      <t>RJ</t>
    </r>
  </si>
  <si>
    <r>
      <rPr>
        <sz val="10"/>
        <color theme="1"/>
        <rFont val="Arial"/>
        <charset val="134"/>
      </rPr>
      <t>Lucro -</t>
    </r>
    <r>
      <rPr>
        <b/>
        <sz val="10"/>
        <color theme="1"/>
        <rFont val="Arial"/>
        <charset val="134"/>
      </rPr>
      <t xml:space="preserve"> L</t>
    </r>
  </si>
  <si>
    <t>4 – Incidências sobre o preço de venda</t>
  </si>
  <si>
    <t>Despesas Tributárias - I</t>
  </si>
  <si>
    <t>ISS</t>
  </si>
  <si>
    <t>COFINS</t>
  </si>
  <si>
    <t>PIS</t>
  </si>
  <si>
    <t>INSS</t>
  </si>
  <si>
    <t>5 – Demonstrativo de cálculo do BDI</t>
  </si>
  <si>
    <r>
      <rPr>
        <sz val="10"/>
        <color theme="1"/>
        <rFont val="Arial"/>
        <charset val="134"/>
      </rPr>
      <t xml:space="preserve">BDI=    </t>
    </r>
    <r>
      <rPr>
        <u/>
        <sz val="10"/>
        <color theme="1"/>
        <rFont val="Arial"/>
        <charset val="134"/>
      </rPr>
      <t>(1+(AC+S+R+G))(1+DF)(1+L))</t>
    </r>
    <r>
      <rPr>
        <sz val="10"/>
        <color theme="1"/>
        <rFont val="Arial"/>
        <charset val="134"/>
      </rPr>
      <t xml:space="preserve">  -1 =</t>
    </r>
  </si>
  <si>
    <t>( 1- I )</t>
  </si>
  <si>
    <t>ENCARGOS SOCIAIS</t>
  </si>
  <si>
    <t>CURVA ABC DE SERVIÇOS</t>
  </si>
  <si>
    <t>Curva ABC de Serviços</t>
  </si>
  <si>
    <t>Valor  Unit</t>
  </si>
  <si>
    <t>Peso Acumulado (%)</t>
  </si>
  <si>
    <t>1,0</t>
  </si>
  <si>
    <t>1.439.486,86</t>
  </si>
  <si>
    <t>7,21</t>
  </si>
  <si>
    <t>968.388,69</t>
  </si>
  <si>
    <t>4,85</t>
  </si>
  <si>
    <t>12,06</t>
  </si>
  <si>
    <t>853.878,73</t>
  </si>
  <si>
    <t>4,28</t>
  </si>
  <si>
    <t>16,34</t>
  </si>
  <si>
    <t>2.180,7</t>
  </si>
  <si>
    <t>350,84</t>
  </si>
  <si>
    <t>765.076,78</t>
  </si>
  <si>
    <t>3,83</t>
  </si>
  <si>
    <t>20,17</t>
  </si>
  <si>
    <t>563.976,25</t>
  </si>
  <si>
    <t>2,83</t>
  </si>
  <si>
    <t>23,00</t>
  </si>
  <si>
    <t>399.237,20</t>
  </si>
  <si>
    <t>2,00</t>
  </si>
  <si>
    <t>25,00</t>
  </si>
  <si>
    <t>70.714,0</t>
  </si>
  <si>
    <t>4,98</t>
  </si>
  <si>
    <t>352.155,72</t>
  </si>
  <si>
    <t>1,76</t>
  </si>
  <si>
    <t>26,76</t>
  </si>
  <si>
    <t>401,4</t>
  </si>
  <si>
    <t>854,54</t>
  </si>
  <si>
    <t>343.012,35</t>
  </si>
  <si>
    <t>1,72</t>
  </si>
  <si>
    <t>28,48</t>
  </si>
  <si>
    <t>1.366,0</t>
  </si>
  <si>
    <t>223,57</t>
  </si>
  <si>
    <t>305.396,62</t>
  </si>
  <si>
    <t>1,53</t>
  </si>
  <si>
    <t>30,01</t>
  </si>
  <si>
    <t>670,74</t>
  </si>
  <si>
    <t>442,66</t>
  </si>
  <si>
    <t>296.909,76</t>
  </si>
  <si>
    <t>1,49</t>
  </si>
  <si>
    <t>31,49</t>
  </si>
  <si>
    <t>882,0</t>
  </si>
  <si>
    <t>327,73</t>
  </si>
  <si>
    <t>289.057,86</t>
  </si>
  <si>
    <t>1,45</t>
  </si>
  <si>
    <t>32,94</t>
  </si>
  <si>
    <t>267.442,62</t>
  </si>
  <si>
    <t>1,34</t>
  </si>
  <si>
    <t>34,28</t>
  </si>
  <si>
    <t>267.355,80</t>
  </si>
  <si>
    <t>35,62</t>
  </si>
  <si>
    <t>4,0</t>
  </si>
  <si>
    <t>61.302,17</t>
  </si>
  <si>
    <t>245.208,68</t>
  </si>
  <si>
    <t>1,23</t>
  </si>
  <si>
    <t>36,85</t>
  </si>
  <si>
    <t>1.064,17</t>
  </si>
  <si>
    <t>203,32</t>
  </si>
  <si>
    <t>216.367,04</t>
  </si>
  <si>
    <t>1,08</t>
  </si>
  <si>
    <t>37,93</t>
  </si>
  <si>
    <t>25.590,0</t>
  </si>
  <si>
    <t>8,30</t>
  </si>
  <si>
    <t>212.397,00</t>
  </si>
  <si>
    <t>1,06</t>
  </si>
  <si>
    <t>39,00</t>
  </si>
  <si>
    <t>204.859,51</t>
  </si>
  <si>
    <t>1,03</t>
  </si>
  <si>
    <t>40,02</t>
  </si>
  <si>
    <t>113,0</t>
  </si>
  <si>
    <t>1.711,95</t>
  </si>
  <si>
    <t>193.450,35</t>
  </si>
  <si>
    <t>0,97</t>
  </si>
  <si>
    <t>40,99</t>
  </si>
  <si>
    <t>2,0</t>
  </si>
  <si>
    <t>95.281,52</t>
  </si>
  <si>
    <t>190.563,04</t>
  </si>
  <si>
    <t>0,95</t>
  </si>
  <si>
    <t>41,95</t>
  </si>
  <si>
    <t>184.998,76</t>
  </si>
  <si>
    <t>0,93</t>
  </si>
  <si>
    <t>42,87</t>
  </si>
  <si>
    <t>62,0</t>
  </si>
  <si>
    <t>2.823,17</t>
  </si>
  <si>
    <t>175.036,54</t>
  </si>
  <si>
    <t>0,88</t>
  </si>
  <si>
    <t>43,75</t>
  </si>
  <si>
    <t>605,0</t>
  </si>
  <si>
    <t>284,69</t>
  </si>
  <si>
    <t>172.237,45</t>
  </si>
  <si>
    <t>0,86</t>
  </si>
  <si>
    <t>44,61</t>
  </si>
  <si>
    <t>2.768,7</t>
  </si>
  <si>
    <t>59,86</t>
  </si>
  <si>
    <t>165.734,38</t>
  </si>
  <si>
    <t>0,83</t>
  </si>
  <si>
    <t>45,44</t>
  </si>
  <si>
    <t>155.966,19</t>
  </si>
  <si>
    <t>0,78</t>
  </si>
  <si>
    <t>46,22</t>
  </si>
  <si>
    <t>615,0</t>
  </si>
  <si>
    <t>246,01</t>
  </si>
  <si>
    <t>151.296,15</t>
  </si>
  <si>
    <t>0,76</t>
  </si>
  <si>
    <t>46,98</t>
  </si>
  <si>
    <t>3.536,09</t>
  </si>
  <si>
    <t>40,31</t>
  </si>
  <si>
    <t>142.539,78</t>
  </si>
  <si>
    <t>0,71</t>
  </si>
  <si>
    <t>47,70</t>
  </si>
  <si>
    <t>160,986</t>
  </si>
  <si>
    <t>849,64</t>
  </si>
  <si>
    <t>136.780,14</t>
  </si>
  <si>
    <t>0,69</t>
  </si>
  <si>
    <t>48,38</t>
  </si>
  <si>
    <t>132.000,00</t>
  </si>
  <si>
    <t>0,66</t>
  </si>
  <si>
    <t>49,04</t>
  </si>
  <si>
    <t>1.278,63</t>
  </si>
  <si>
    <t>101,08</t>
  </si>
  <si>
    <t>129.243,92</t>
  </si>
  <si>
    <t>0,65</t>
  </si>
  <si>
    <t>49,69</t>
  </si>
  <si>
    <t>10,0</t>
  </si>
  <si>
    <t>12.765,89</t>
  </si>
  <si>
    <t>127.658,90</t>
  </si>
  <si>
    <t>0,64</t>
  </si>
  <si>
    <t>50,33</t>
  </si>
  <si>
    <t>549,0</t>
  </si>
  <si>
    <t>230,46</t>
  </si>
  <si>
    <t>126.522,54</t>
  </si>
  <si>
    <t>0,63</t>
  </si>
  <si>
    <t>50,96</t>
  </si>
  <si>
    <t>5.590,93</t>
  </si>
  <si>
    <t>22,13</t>
  </si>
  <si>
    <t>123.727,28</t>
  </si>
  <si>
    <t>0,62</t>
  </si>
  <si>
    <t>51,58</t>
  </si>
  <si>
    <t>1.529,63</t>
  </si>
  <si>
    <t>73,05</t>
  </si>
  <si>
    <t>111.739,47</t>
  </si>
  <si>
    <t>0,56</t>
  </si>
  <si>
    <t>52,14</t>
  </si>
  <si>
    <t>1.229,03</t>
  </si>
  <si>
    <t>90,35</t>
  </si>
  <si>
    <t>111.042,86</t>
  </si>
  <si>
    <t>52,70</t>
  </si>
  <si>
    <t>4.244,0</t>
  </si>
  <si>
    <t>25,31</t>
  </si>
  <si>
    <t>107.415,64</t>
  </si>
  <si>
    <t>0,54</t>
  </si>
  <si>
    <t>53,24</t>
  </si>
  <si>
    <t>335,14</t>
  </si>
  <si>
    <t>316,62</t>
  </si>
  <si>
    <t>106.112,02</t>
  </si>
  <si>
    <t>0,53</t>
  </si>
  <si>
    <t>53,77</t>
  </si>
  <si>
    <t>51.663,00</t>
  </si>
  <si>
    <t>103.326,00</t>
  </si>
  <si>
    <t>0,52</t>
  </si>
  <si>
    <t>54,29</t>
  </si>
  <si>
    <t>1.501,4</t>
  </si>
  <si>
    <t>67,42</t>
  </si>
  <si>
    <t>101.224,38</t>
  </si>
  <si>
    <t>0,51</t>
  </si>
  <si>
    <t>54,79</t>
  </si>
  <si>
    <t>46,0</t>
  </si>
  <si>
    <t>2.095,62</t>
  </si>
  <si>
    <t>96.398,52</t>
  </si>
  <si>
    <t>0,48</t>
  </si>
  <si>
    <t>55,28</t>
  </si>
  <si>
    <t>884,0</t>
  </si>
  <si>
    <t>105,95</t>
  </si>
  <si>
    <t>93.659,80</t>
  </si>
  <si>
    <t>0,47</t>
  </si>
  <si>
    <t>55,75</t>
  </si>
  <si>
    <t>672,1</t>
  </si>
  <si>
    <t>138,56</t>
  </si>
  <si>
    <t>93.126,17</t>
  </si>
  <si>
    <t>56,21</t>
  </si>
  <si>
    <t>272,0</t>
  </si>
  <si>
    <t>334,70</t>
  </si>
  <si>
    <t>91.038,40</t>
  </si>
  <si>
    <t>0,46</t>
  </si>
  <si>
    <t>56,67</t>
  </si>
  <si>
    <t>6.604,0</t>
  </si>
  <si>
    <t>13,02</t>
  </si>
  <si>
    <t>85.984,08</t>
  </si>
  <si>
    <t>0,43</t>
  </si>
  <si>
    <t>57,10</t>
  </si>
  <si>
    <t>15,19</t>
  </si>
  <si>
    <t>84.926,22</t>
  </si>
  <si>
    <t>57,52</t>
  </si>
  <si>
    <t>83.948,65</t>
  </si>
  <si>
    <t>0,42</t>
  </si>
  <si>
    <t>57,94</t>
  </si>
  <si>
    <t>16,0</t>
  </si>
  <si>
    <t>5.236,07</t>
  </si>
  <si>
    <t>83.777,12</t>
  </si>
  <si>
    <t>58,36</t>
  </si>
  <si>
    <t>3.905,75</t>
  </si>
  <si>
    <t>21,39</t>
  </si>
  <si>
    <t>83.543,99</t>
  </si>
  <si>
    <t>58,78</t>
  </si>
  <si>
    <t>822,46</t>
  </si>
  <si>
    <t>100,46</t>
  </si>
  <si>
    <t>82.624,33</t>
  </si>
  <si>
    <t>0,41</t>
  </si>
  <si>
    <t>59,20</t>
  </si>
  <si>
    <t>1.342,49</t>
  </si>
  <si>
    <t>61,23</t>
  </si>
  <si>
    <t>82.200,66</t>
  </si>
  <si>
    <t>59,61</t>
  </si>
  <si>
    <t>324,1</t>
  </si>
  <si>
    <t>252,74</t>
  </si>
  <si>
    <t>81.913,03</t>
  </si>
  <si>
    <t>60,02</t>
  </si>
  <si>
    <t>728,04</t>
  </si>
  <si>
    <t>112,06</t>
  </si>
  <si>
    <t>81.584,16</t>
  </si>
  <si>
    <t>60,43</t>
  </si>
  <si>
    <t>1.522,0</t>
  </si>
  <si>
    <t>53,45</t>
  </si>
  <si>
    <t>81.350,90</t>
  </si>
  <si>
    <t>60,83</t>
  </si>
  <si>
    <t>323,72</t>
  </si>
  <si>
    <t>246,08</t>
  </si>
  <si>
    <t>79.661,01</t>
  </si>
  <si>
    <t>0,40</t>
  </si>
  <si>
    <t>39,0</t>
  </si>
  <si>
    <t>2.033,13</t>
  </si>
  <si>
    <t>79.292,07</t>
  </si>
  <si>
    <t>61,63</t>
  </si>
  <si>
    <t>79.111,54</t>
  </si>
  <si>
    <t>62,03</t>
  </si>
  <si>
    <t>62,42</t>
  </si>
  <si>
    <t>253,0</t>
  </si>
  <si>
    <t>312,41</t>
  </si>
  <si>
    <t>79.039,73</t>
  </si>
  <si>
    <t>62,82</t>
  </si>
  <si>
    <t>949,3</t>
  </si>
  <si>
    <t>82,68</t>
  </si>
  <si>
    <t>78.488,12</t>
  </si>
  <si>
    <t>0,39</t>
  </si>
  <si>
    <t>63,21</t>
  </si>
  <si>
    <t>58,0</t>
  </si>
  <si>
    <t>1.330,92</t>
  </si>
  <si>
    <t>77.193,36</t>
  </si>
  <si>
    <t>63,60</t>
  </si>
  <si>
    <t>278,31</t>
  </si>
  <si>
    <t>75.700,32</t>
  </si>
  <si>
    <t>0,38</t>
  </si>
  <si>
    <t>63,98</t>
  </si>
  <si>
    <t>75.550,80</t>
  </si>
  <si>
    <t>64,36</t>
  </si>
  <si>
    <t>64,74</t>
  </si>
  <si>
    <t>34,0</t>
  </si>
  <si>
    <t>2.210,80</t>
  </si>
  <si>
    <t>75.167,20</t>
  </si>
  <si>
    <t>65,11</t>
  </si>
  <si>
    <t>72.410,00</t>
  </si>
  <si>
    <t>0,36</t>
  </si>
  <si>
    <t>65,47</t>
  </si>
  <si>
    <t>7.032,21</t>
  </si>
  <si>
    <t>70.322,10</t>
  </si>
  <si>
    <t>0,35</t>
  </si>
  <si>
    <t>65,83</t>
  </si>
  <si>
    <t>335,9</t>
  </si>
  <si>
    <t>207,82</t>
  </si>
  <si>
    <t>69.806,73</t>
  </si>
  <si>
    <t>66,18</t>
  </si>
  <si>
    <t>1.515,72</t>
  </si>
  <si>
    <t>69.723,12</t>
  </si>
  <si>
    <t>66,53</t>
  </si>
  <si>
    <t>1.622,5</t>
  </si>
  <si>
    <t>41,42</t>
  </si>
  <si>
    <t>67.203,95</t>
  </si>
  <si>
    <t>0,34</t>
  </si>
  <si>
    <t>66,86</t>
  </si>
  <si>
    <t>9,0</t>
  </si>
  <si>
    <t>7.199,24</t>
  </si>
  <si>
    <t>64.793,16</t>
  </si>
  <si>
    <t>0,32</t>
  </si>
  <si>
    <t>67,19</t>
  </si>
  <si>
    <t>18,24</t>
  </si>
  <si>
    <t>64.498,28</t>
  </si>
  <si>
    <t>67,51</t>
  </si>
  <si>
    <t>208,2</t>
  </si>
  <si>
    <t>307,55</t>
  </si>
  <si>
    <t>64.031,91</t>
  </si>
  <si>
    <t>67,83</t>
  </si>
  <si>
    <t>6.232,12</t>
  </si>
  <si>
    <t>62.321,20</t>
  </si>
  <si>
    <t>0,31</t>
  </si>
  <si>
    <t>68,14</t>
  </si>
  <si>
    <t>1.151,6</t>
  </si>
  <si>
    <t>53,47</t>
  </si>
  <si>
    <t>61.576,05</t>
  </si>
  <si>
    <t>68,45</t>
  </si>
  <si>
    <t>827,48</t>
  </si>
  <si>
    <t>72,30</t>
  </si>
  <si>
    <t>59.826,80</t>
  </si>
  <si>
    <t>0,30</t>
  </si>
  <si>
    <t>68,75</t>
  </si>
  <si>
    <t>3.301,27</t>
  </si>
  <si>
    <t>18,03</t>
  </si>
  <si>
    <t>59.521,89</t>
  </si>
  <si>
    <t>69,05</t>
  </si>
  <si>
    <t>65,0</t>
  </si>
  <si>
    <t>915,20</t>
  </si>
  <si>
    <t>59.488,00</t>
  </si>
  <si>
    <t>69,35</t>
  </si>
  <si>
    <t>65,52</t>
  </si>
  <si>
    <t>899,65</t>
  </si>
  <si>
    <t>58.945,06</t>
  </si>
  <si>
    <t>69,64</t>
  </si>
  <si>
    <t>66,0</t>
  </si>
  <si>
    <t>887,22</t>
  </si>
  <si>
    <t>58.556,52</t>
  </si>
  <si>
    <t>0,29</t>
  </si>
  <si>
    <t>69,94</t>
  </si>
  <si>
    <t>2.486,0</t>
  </si>
  <si>
    <t>23,54</t>
  </si>
  <si>
    <t>58.520,44</t>
  </si>
  <si>
    <t>70,23</t>
  </si>
  <si>
    <t>24,0</t>
  </si>
  <si>
    <t>2.383,07</t>
  </si>
  <si>
    <t>57.193,68</t>
  </si>
  <si>
    <t>70,52</t>
  </si>
  <si>
    <t>1.344,0</t>
  </si>
  <si>
    <t>39,66</t>
  </si>
  <si>
    <t>53.303,04</t>
  </si>
  <si>
    <t>0,27</t>
  </si>
  <si>
    <t>70,78</t>
  </si>
  <si>
    <t>169,0</t>
  </si>
  <si>
    <t>312,85</t>
  </si>
  <si>
    <t>52.871,65</t>
  </si>
  <si>
    <t>0,26</t>
  </si>
  <si>
    <t>71,05</t>
  </si>
  <si>
    <t>139,45</t>
  </si>
  <si>
    <t>373,26</t>
  </si>
  <si>
    <t>52.051,10</t>
  </si>
  <si>
    <t>71,31</t>
  </si>
  <si>
    <t>29,0</t>
  </si>
  <si>
    <t>1.776,86</t>
  </si>
  <si>
    <t>51.528,94</t>
  </si>
  <si>
    <t>71,57</t>
  </si>
  <si>
    <t>25.101,13</t>
  </si>
  <si>
    <t>50.202,26</t>
  </si>
  <si>
    <t>0,25</t>
  </si>
  <si>
    <t>71,82</t>
  </si>
  <si>
    <t>630,0</t>
  </si>
  <si>
    <t>78,29</t>
  </si>
  <si>
    <t>49.322,70</t>
  </si>
  <si>
    <t>72,06</t>
  </si>
  <si>
    <t>1.305,0</t>
  </si>
  <si>
    <t>36,49</t>
  </si>
  <si>
    <t>47.619,45</t>
  </si>
  <si>
    <t>0,24</t>
  </si>
  <si>
    <t>611,0</t>
  </si>
  <si>
    <t>77,62</t>
  </si>
  <si>
    <t>47.425,82</t>
  </si>
  <si>
    <t>72,54</t>
  </si>
  <si>
    <t>47.319,59</t>
  </si>
  <si>
    <t>72,78</t>
  </si>
  <si>
    <t>11.655,14</t>
  </si>
  <si>
    <t>46.620,56</t>
  </si>
  <si>
    <t>0,23</t>
  </si>
  <si>
    <t>73,01</t>
  </si>
  <si>
    <t>194,9</t>
  </si>
  <si>
    <t>237,37</t>
  </si>
  <si>
    <t>46.263,41</t>
  </si>
  <si>
    <t>73,24</t>
  </si>
  <si>
    <t>82,0</t>
  </si>
  <si>
    <t>560,17</t>
  </si>
  <si>
    <t>45.933,94</t>
  </si>
  <si>
    <t>73,47</t>
  </si>
  <si>
    <t>567,0</t>
  </si>
  <si>
    <t>80,82</t>
  </si>
  <si>
    <t>45.824,94</t>
  </si>
  <si>
    <t>73,70</t>
  </si>
  <si>
    <t>45.700,66</t>
  </si>
  <si>
    <t>73,93</t>
  </si>
  <si>
    <t>256,59</t>
  </si>
  <si>
    <t>176,14</t>
  </si>
  <si>
    <t>45.195,76</t>
  </si>
  <si>
    <t>74,16</t>
  </si>
  <si>
    <t>2.512,57</t>
  </si>
  <si>
    <t>17,97</t>
  </si>
  <si>
    <t>45.150,88</t>
  </si>
  <si>
    <t>74,38</t>
  </si>
  <si>
    <t>23,28</t>
  </si>
  <si>
    <t>1.923,02</t>
  </si>
  <si>
    <t>44.767,90</t>
  </si>
  <si>
    <t>0,22</t>
  </si>
  <si>
    <t>74,61</t>
  </si>
  <si>
    <t>785,0</t>
  </si>
  <si>
    <t>55,50</t>
  </si>
  <si>
    <t>43.567,50</t>
  </si>
  <si>
    <t>74,83</t>
  </si>
  <si>
    <t>42,3</t>
  </si>
  <si>
    <t>1.010,76</t>
  </si>
  <si>
    <t>42.755,14</t>
  </si>
  <si>
    <t>0,21</t>
  </si>
  <si>
    <t>75,04</t>
  </si>
  <si>
    <t>8.503,41</t>
  </si>
  <si>
    <t>4,96</t>
  </si>
  <si>
    <t>42.176,91</t>
  </si>
  <si>
    <t>75,25</t>
  </si>
  <si>
    <t>5.503,41</t>
  </si>
  <si>
    <t>7,55</t>
  </si>
  <si>
    <t>41.550,74</t>
  </si>
  <si>
    <t>75,46</t>
  </si>
  <si>
    <t>10.121,34</t>
  </si>
  <si>
    <t>40.485,36</t>
  </si>
  <si>
    <t>0,20</t>
  </si>
  <si>
    <t>75,66</t>
  </si>
  <si>
    <t>175,0</t>
  </si>
  <si>
    <t>228,81</t>
  </si>
  <si>
    <t>40.041,75</t>
  </si>
  <si>
    <t>75,86</t>
  </si>
  <si>
    <t>48,0</t>
  </si>
  <si>
    <t>833,88</t>
  </si>
  <si>
    <t>40.026,24</t>
  </si>
  <si>
    <t>76,06</t>
  </si>
  <si>
    <t>379,0</t>
  </si>
  <si>
    <t>105,47</t>
  </si>
  <si>
    <t>39.973,13</t>
  </si>
  <si>
    <t>76,26</t>
  </si>
  <si>
    <t>5.244,0</t>
  </si>
  <si>
    <t>7,61</t>
  </si>
  <si>
    <t>39.906,84</t>
  </si>
  <si>
    <t>76,46</t>
  </si>
  <si>
    <t>830,0</t>
  </si>
  <si>
    <t>47,35</t>
  </si>
  <si>
    <t>39.300,50</t>
  </si>
  <si>
    <t>76,66</t>
  </si>
  <si>
    <t>363,0</t>
  </si>
  <si>
    <t>106,78</t>
  </si>
  <si>
    <t>38.761,14</t>
  </si>
  <si>
    <t>0,19</t>
  </si>
  <si>
    <t>76,86</t>
  </si>
  <si>
    <t>4.281,52</t>
  </si>
  <si>
    <t>38.533,68</t>
  </si>
  <si>
    <t>77,05</t>
  </si>
  <si>
    <t>241,0</t>
  </si>
  <si>
    <t>158,93</t>
  </si>
  <si>
    <t>38.302,13</t>
  </si>
  <si>
    <t>77,24</t>
  </si>
  <si>
    <t>588,85</t>
  </si>
  <si>
    <t>38.275,25</t>
  </si>
  <si>
    <t>77,43</t>
  </si>
  <si>
    <t>1.375,0</t>
  </si>
  <si>
    <t>27,57</t>
  </si>
  <si>
    <t>37.908,75</t>
  </si>
  <si>
    <t>2.600,4</t>
  </si>
  <si>
    <t>14,24</t>
  </si>
  <si>
    <t>37.029,69</t>
  </si>
  <si>
    <t>77,81</t>
  </si>
  <si>
    <t>413,74</t>
  </si>
  <si>
    <t>88,74</t>
  </si>
  <si>
    <t>36.715,28</t>
  </si>
  <si>
    <t>0,18</t>
  </si>
  <si>
    <t>77,99</t>
  </si>
  <si>
    <t>984,0</t>
  </si>
  <si>
    <t>36.260,40</t>
  </si>
  <si>
    <t>78,17</t>
  </si>
  <si>
    <t>2.556,32</t>
  </si>
  <si>
    <t>14,11</t>
  </si>
  <si>
    <t>36.069,67</t>
  </si>
  <si>
    <t>78,35</t>
  </si>
  <si>
    <t>8,0</t>
  </si>
  <si>
    <t>4.469,49</t>
  </si>
  <si>
    <t>35.755,92</t>
  </si>
  <si>
    <t>78,53</t>
  </si>
  <si>
    <t>35.153,74</t>
  </si>
  <si>
    <t>78,71</t>
  </si>
  <si>
    <t>96,0</t>
  </si>
  <si>
    <t>361,84</t>
  </si>
  <si>
    <t>34.736,64</t>
  </si>
  <si>
    <t>0,17</t>
  </si>
  <si>
    <t>78,88</t>
  </si>
  <si>
    <t>1.142,15</t>
  </si>
  <si>
    <t>30,11</t>
  </si>
  <si>
    <t>34.390,13</t>
  </si>
  <si>
    <t>79,05</t>
  </si>
  <si>
    <t>132,0</t>
  </si>
  <si>
    <t>257,12</t>
  </si>
  <si>
    <t>33.939,84</t>
  </si>
  <si>
    <t>79,22</t>
  </si>
  <si>
    <t>1.855,0</t>
  </si>
  <si>
    <t>17,72</t>
  </si>
  <si>
    <t>32.870,60</t>
  </si>
  <si>
    <t>0,16</t>
  </si>
  <si>
    <t>79,39</t>
  </si>
  <si>
    <t>796,0</t>
  </si>
  <si>
    <t>40,64</t>
  </si>
  <si>
    <t>32.349,44</t>
  </si>
  <si>
    <t>79,55</t>
  </si>
  <si>
    <t>3,0</t>
  </si>
  <si>
    <t>10.765,68</t>
  </si>
  <si>
    <t>32.297,04</t>
  </si>
  <si>
    <t>79,71</t>
  </si>
  <si>
    <t>235,46</t>
  </si>
  <si>
    <t>135,20</t>
  </si>
  <si>
    <t>31.834,19</t>
  </si>
  <si>
    <t>79,87</t>
  </si>
  <si>
    <t>480,41</t>
  </si>
  <si>
    <t>31.707,06</t>
  </si>
  <si>
    <t>80,03</t>
  </si>
  <si>
    <t>3.070,0</t>
  </si>
  <si>
    <t>10,25</t>
  </si>
  <si>
    <t>31.467,50</t>
  </si>
  <si>
    <t>80,19</t>
  </si>
  <si>
    <t>3.936,0</t>
  </si>
  <si>
    <t>7,94</t>
  </si>
  <si>
    <t>31.251,84</t>
  </si>
  <si>
    <t>80,35</t>
  </si>
  <si>
    <t>5,46</t>
  </si>
  <si>
    <t>30.526,47</t>
  </si>
  <si>
    <t>0,15</t>
  </si>
  <si>
    <t>80,50</t>
  </si>
  <si>
    <t>2.600,0</t>
  </si>
  <si>
    <t>11,59</t>
  </si>
  <si>
    <t>30.134,00</t>
  </si>
  <si>
    <t>80,65</t>
  </si>
  <si>
    <t>11,0</t>
  </si>
  <si>
    <t>2.680,71</t>
  </si>
  <si>
    <t>29.487,81</t>
  </si>
  <si>
    <t>80,80</t>
  </si>
  <si>
    <t>29.340,02</t>
  </si>
  <si>
    <t>80,94</t>
  </si>
  <si>
    <t>37,0</t>
  </si>
  <si>
    <t>791,35</t>
  </si>
  <si>
    <t>29.279,95</t>
  </si>
  <si>
    <t>81,09</t>
  </si>
  <si>
    <t>1.040,0</t>
  </si>
  <si>
    <t>28,14</t>
  </si>
  <si>
    <t>29.265,60</t>
  </si>
  <si>
    <t>81,24</t>
  </si>
  <si>
    <t>2.415,06</t>
  </si>
  <si>
    <t>12,03</t>
  </si>
  <si>
    <t>29.053,17</t>
  </si>
  <si>
    <t>81,38</t>
  </si>
  <si>
    <t>1.493,0</t>
  </si>
  <si>
    <t>18,85</t>
  </si>
  <si>
    <t>28.143,05</t>
  </si>
  <si>
    <t>0,14</t>
  </si>
  <si>
    <t>81,52</t>
  </si>
  <si>
    <t>458,0</t>
  </si>
  <si>
    <t>61,15</t>
  </si>
  <si>
    <t>28.006,70</t>
  </si>
  <si>
    <t>81,66</t>
  </si>
  <si>
    <t>1.881,0</t>
  </si>
  <si>
    <t>14,82</t>
  </si>
  <si>
    <t>27.876,42</t>
  </si>
  <si>
    <t>81,80</t>
  </si>
  <si>
    <t>1.216,17</t>
  </si>
  <si>
    <t>22,37</t>
  </si>
  <si>
    <t>27.205,72</t>
  </si>
  <si>
    <t>81,94</t>
  </si>
  <si>
    <t>344,0</t>
  </si>
  <si>
    <t>78,73</t>
  </si>
  <si>
    <t>27.083,12</t>
  </si>
  <si>
    <t>82,08</t>
  </si>
  <si>
    <t>6.755,40</t>
  </si>
  <si>
    <t>27.021,60</t>
  </si>
  <si>
    <t>82,21</t>
  </si>
  <si>
    <t>2.696,24</t>
  </si>
  <si>
    <t>26.962,40</t>
  </si>
  <si>
    <t>82,35</t>
  </si>
  <si>
    <t>287,0</t>
  </si>
  <si>
    <t>93,50</t>
  </si>
  <si>
    <t>26.834,50</t>
  </si>
  <si>
    <t>0,13</t>
  </si>
  <si>
    <t>82,48</t>
  </si>
  <si>
    <t>6.673,05</t>
  </si>
  <si>
    <t>26.692,20</t>
  </si>
  <si>
    <t>82,61</t>
  </si>
  <si>
    <t>263,42</t>
  </si>
  <si>
    <t>98,86</t>
  </si>
  <si>
    <t>26.041,70</t>
  </si>
  <si>
    <t>82,74</t>
  </si>
  <si>
    <t>34,8</t>
  </si>
  <si>
    <t>742,26</t>
  </si>
  <si>
    <t>25.830,64</t>
  </si>
  <si>
    <t>82,87</t>
  </si>
  <si>
    <t>2.843,10</t>
  </si>
  <si>
    <t>25.587,90</t>
  </si>
  <si>
    <t>83,00</t>
  </si>
  <si>
    <t>25.514,35</t>
  </si>
  <si>
    <t>83,13</t>
  </si>
  <si>
    <t>3.181,52</t>
  </si>
  <si>
    <t>25.452,16</t>
  </si>
  <si>
    <t>83,26</t>
  </si>
  <si>
    <t>25.387,53</t>
  </si>
  <si>
    <t>83,38</t>
  </si>
  <si>
    <t>428,66</t>
  </si>
  <si>
    <t>56,68</t>
  </si>
  <si>
    <t>24.296,44</t>
  </si>
  <si>
    <t>0,12</t>
  </si>
  <si>
    <t>83,51</t>
  </si>
  <si>
    <t>1.350,97</t>
  </si>
  <si>
    <t>24.276,93</t>
  </si>
  <si>
    <t>83,63</t>
  </si>
  <si>
    <t>1.318,75</t>
  </si>
  <si>
    <t>18,06</t>
  </si>
  <si>
    <t>23.816,62</t>
  </si>
  <si>
    <t>83,75</t>
  </si>
  <si>
    <t>6,71</t>
  </si>
  <si>
    <t>23.727,16</t>
  </si>
  <si>
    <t>83,87</t>
  </si>
  <si>
    <t>35,0</t>
  </si>
  <si>
    <t>676,39</t>
  </si>
  <si>
    <t>23.673,65</t>
  </si>
  <si>
    <t>83,98</t>
  </si>
  <si>
    <t>2.500,0</t>
  </si>
  <si>
    <t>9,40</t>
  </si>
  <si>
    <t>23.500,00</t>
  </si>
  <si>
    <t>84,10</t>
  </si>
  <si>
    <t>21,0</t>
  </si>
  <si>
    <t>1.081,08</t>
  </si>
  <si>
    <t>22.702,68</t>
  </si>
  <si>
    <t>0,11</t>
  </si>
  <si>
    <t>84,22</t>
  </si>
  <si>
    <t>11.296,13</t>
  </si>
  <si>
    <t>22.592,26</t>
  </si>
  <si>
    <t>84,33</t>
  </si>
  <si>
    <t>33,0</t>
  </si>
  <si>
    <t>681,39</t>
  </si>
  <si>
    <t>22.485,87</t>
  </si>
  <si>
    <t>84,44</t>
  </si>
  <si>
    <t>2.779,64</t>
  </si>
  <si>
    <t>22.237,12</t>
  </si>
  <si>
    <t>84,55</t>
  </si>
  <si>
    <t>110,0</t>
  </si>
  <si>
    <t>200,72</t>
  </si>
  <si>
    <t>22.079,20</t>
  </si>
  <si>
    <t>84,66</t>
  </si>
  <si>
    <t>5.395,98</t>
  </si>
  <si>
    <t>21.583,92</t>
  </si>
  <si>
    <t>84,77</t>
  </si>
  <si>
    <t>1.115,23</t>
  </si>
  <si>
    <t>19,34</t>
  </si>
  <si>
    <t>21.568,54</t>
  </si>
  <si>
    <t>84,88</t>
  </si>
  <si>
    <t>5.612,0</t>
  </si>
  <si>
    <t>3,84</t>
  </si>
  <si>
    <t>21.550,08</t>
  </si>
  <si>
    <t>84,99</t>
  </si>
  <si>
    <t>750,5</t>
  </si>
  <si>
    <t>28,25</t>
  </si>
  <si>
    <t>21.201,62</t>
  </si>
  <si>
    <t>85,09</t>
  </si>
  <si>
    <t>21.065,96</t>
  </si>
  <si>
    <t>85,20</t>
  </si>
  <si>
    <t>37,08</t>
  </si>
  <si>
    <t>568,06</t>
  </si>
  <si>
    <t>21.063,66</t>
  </si>
  <si>
    <t>85,31</t>
  </si>
  <si>
    <t>32,5</t>
  </si>
  <si>
    <t>643,95</t>
  </si>
  <si>
    <t>20.928,37</t>
  </si>
  <si>
    <t>0,10</t>
  </si>
  <si>
    <t>85,41</t>
  </si>
  <si>
    <t>11,76</t>
  </si>
  <si>
    <t>1.778,90</t>
  </si>
  <si>
    <t>20.919,86</t>
  </si>
  <si>
    <t>85,52</t>
  </si>
  <si>
    <t>742,0</t>
  </si>
  <si>
    <t>27,96</t>
  </si>
  <si>
    <t>20.746,32</t>
  </si>
  <si>
    <t>85,62</t>
  </si>
  <si>
    <t>1.952,0</t>
  </si>
  <si>
    <t>10,55</t>
  </si>
  <si>
    <t>20.593,60</t>
  </si>
  <si>
    <t>85,72</t>
  </si>
  <si>
    <t>20.323,54</t>
  </si>
  <si>
    <t>85,82</t>
  </si>
  <si>
    <t>14,0</t>
  </si>
  <si>
    <t>1.441,92</t>
  </si>
  <si>
    <t>20.186,88</t>
  </si>
  <si>
    <t>85,93</t>
  </si>
  <si>
    <t>26,985</t>
  </si>
  <si>
    <t>732,30</t>
  </si>
  <si>
    <t>19.761,11</t>
  </si>
  <si>
    <t>86,02</t>
  </si>
  <si>
    <t>171,1716</t>
  </si>
  <si>
    <t>115,31</t>
  </si>
  <si>
    <t>19.737,79</t>
  </si>
  <si>
    <t>86,12</t>
  </si>
  <si>
    <t>2.466,18</t>
  </si>
  <si>
    <t>19.729,44</t>
  </si>
  <si>
    <t>86,22</t>
  </si>
  <si>
    <t>1.513,49</t>
  </si>
  <si>
    <t>12,99</t>
  </si>
  <si>
    <t>19.660,23</t>
  </si>
  <si>
    <t>86,32</t>
  </si>
  <si>
    <t>137,46</t>
  </si>
  <si>
    <t>139,40</t>
  </si>
  <si>
    <t>19.161,92</t>
  </si>
  <si>
    <t>86,42</t>
  </si>
  <si>
    <t>9.579,90</t>
  </si>
  <si>
    <t>19.159,80</t>
  </si>
  <si>
    <t>86,51</t>
  </si>
  <si>
    <t>1.302,0</t>
  </si>
  <si>
    <t>18.540,48</t>
  </si>
  <si>
    <t>0,09</t>
  </si>
  <si>
    <t>86,61</t>
  </si>
  <si>
    <t>18.487,68</t>
  </si>
  <si>
    <t>86,70</t>
  </si>
  <si>
    <t>47,0</t>
  </si>
  <si>
    <t>390,50</t>
  </si>
  <si>
    <t>18.353,50</t>
  </si>
  <si>
    <t>86,79</t>
  </si>
  <si>
    <t>221,0</t>
  </si>
  <si>
    <t>82,94</t>
  </si>
  <si>
    <t>18.329,74</t>
  </si>
  <si>
    <t>86,88</t>
  </si>
  <si>
    <t>125,0</t>
  </si>
  <si>
    <t>145,89</t>
  </si>
  <si>
    <t>18.236,25</t>
  </si>
  <si>
    <t>86,97</t>
  </si>
  <si>
    <t>1.125,21</t>
  </si>
  <si>
    <t>16,00</t>
  </si>
  <si>
    <t>18.003,36</t>
  </si>
  <si>
    <t>87,06</t>
  </si>
  <si>
    <t>28,35</t>
  </si>
  <si>
    <t>628,92</t>
  </si>
  <si>
    <t>17.829,88</t>
  </si>
  <si>
    <t>87,15</t>
  </si>
  <si>
    <t>17.561,97</t>
  </si>
  <si>
    <t>87,24</t>
  </si>
  <si>
    <t>8.753,93</t>
  </si>
  <si>
    <t>17.507,86</t>
  </si>
  <si>
    <t>87,33</t>
  </si>
  <si>
    <t>498,56</t>
  </si>
  <si>
    <t>17.449,60</t>
  </si>
  <si>
    <t>87,42</t>
  </si>
  <si>
    <t>730,0</t>
  </si>
  <si>
    <t>23,86</t>
  </si>
  <si>
    <t>17.417,80</t>
  </si>
  <si>
    <t>87,50</t>
  </si>
  <si>
    <t>644,0</t>
  </si>
  <si>
    <t>26,96</t>
  </si>
  <si>
    <t>17.362,24</t>
  </si>
  <si>
    <t>87,59</t>
  </si>
  <si>
    <t>165,0</t>
  </si>
  <si>
    <t>105,08</t>
  </si>
  <si>
    <t>17.338,20</t>
  </si>
  <si>
    <t>87,68</t>
  </si>
  <si>
    <t>374,56</t>
  </si>
  <si>
    <t>45,60</t>
  </si>
  <si>
    <t>17.079,93</t>
  </si>
  <si>
    <t>87,76</t>
  </si>
  <si>
    <t>16.735,23</t>
  </si>
  <si>
    <t>0,08</t>
  </si>
  <si>
    <t>87,85</t>
  </si>
  <si>
    <t>87,93</t>
  </si>
  <si>
    <t>16.674,44</t>
  </si>
  <si>
    <t>88,01</t>
  </si>
  <si>
    <t>371,0</t>
  </si>
  <si>
    <t>44,86</t>
  </si>
  <si>
    <t>16.643,06</t>
  </si>
  <si>
    <t>88,10</t>
  </si>
  <si>
    <t>86,94</t>
  </si>
  <si>
    <t>191,30</t>
  </si>
  <si>
    <t>16.631,62</t>
  </si>
  <si>
    <t>88,18</t>
  </si>
  <si>
    <t>44,0</t>
  </si>
  <si>
    <t>373,74</t>
  </si>
  <si>
    <t>16.444,56</t>
  </si>
  <si>
    <t>88,26</t>
  </si>
  <si>
    <t>32,0</t>
  </si>
  <si>
    <t>512,77</t>
  </si>
  <si>
    <t>16.408,64</t>
  </si>
  <si>
    <t>88,34</t>
  </si>
  <si>
    <t>884,4</t>
  </si>
  <si>
    <t>18,46</t>
  </si>
  <si>
    <t>16.326,02</t>
  </si>
  <si>
    <t>88,43</t>
  </si>
  <si>
    <t>1.617,79</t>
  </si>
  <si>
    <t>16.177,90</t>
  </si>
  <si>
    <t>88,51</t>
  </si>
  <si>
    <t>95,0</t>
  </si>
  <si>
    <t>167,61</t>
  </si>
  <si>
    <t>15.922,95</t>
  </si>
  <si>
    <t>88,59</t>
  </si>
  <si>
    <t>15.723,31</t>
  </si>
  <si>
    <t>88,67</t>
  </si>
  <si>
    <t>205,0</t>
  </si>
  <si>
    <t>76,33</t>
  </si>
  <si>
    <t>15.647,65</t>
  </si>
  <si>
    <t>15.517,25</t>
  </si>
  <si>
    <t>88,82</t>
  </si>
  <si>
    <t>15.513,85</t>
  </si>
  <si>
    <t>88,90</t>
  </si>
  <si>
    <t>640,0</t>
  </si>
  <si>
    <t>24,19</t>
  </si>
  <si>
    <t>15.481,60</t>
  </si>
  <si>
    <t>88,98</t>
  </si>
  <si>
    <t>5.122,16</t>
  </si>
  <si>
    <t>15.366,48</t>
  </si>
  <si>
    <t>89,05</t>
  </si>
  <si>
    <t>1.195,0</t>
  </si>
  <si>
    <t>12,71</t>
  </si>
  <si>
    <t>15.188,45</t>
  </si>
  <si>
    <t>89,13</t>
  </si>
  <si>
    <t>30,0</t>
  </si>
  <si>
    <t>505,58</t>
  </si>
  <si>
    <t>15.167,40</t>
  </si>
  <si>
    <t>89,21</t>
  </si>
  <si>
    <t>190,5</t>
  </si>
  <si>
    <t>78,90</t>
  </si>
  <si>
    <t>15.030,45</t>
  </si>
  <si>
    <t>89,28</t>
  </si>
  <si>
    <t>283,8</t>
  </si>
  <si>
    <t>52,04</t>
  </si>
  <si>
    <t>14.768,95</t>
  </si>
  <si>
    <t>0,07</t>
  </si>
  <si>
    <t>89,36</t>
  </si>
  <si>
    <t>182,0</t>
  </si>
  <si>
    <t>79,66</t>
  </si>
  <si>
    <t>14.498,12</t>
  </si>
  <si>
    <t>89,43</t>
  </si>
  <si>
    <t>14.266,68</t>
  </si>
  <si>
    <t>89,50</t>
  </si>
  <si>
    <t>1.239,0</t>
  </si>
  <si>
    <t>11,38</t>
  </si>
  <si>
    <t>14.099,82</t>
  </si>
  <si>
    <t>89,57</t>
  </si>
  <si>
    <t>266,0</t>
  </si>
  <si>
    <t>52,68</t>
  </si>
  <si>
    <t>14.012,88</t>
  </si>
  <si>
    <t>89,64</t>
  </si>
  <si>
    <t>13.966,52</t>
  </si>
  <si>
    <t>89,71</t>
  </si>
  <si>
    <t>687,0</t>
  </si>
  <si>
    <t>20,30</t>
  </si>
  <si>
    <t>13.946,10</t>
  </si>
  <si>
    <t>89,78</t>
  </si>
  <si>
    <t>1.742,79</t>
  </si>
  <si>
    <t>13.942,32</t>
  </si>
  <si>
    <t>89,85</t>
  </si>
  <si>
    <t>13.850,21</t>
  </si>
  <si>
    <t>89,92</t>
  </si>
  <si>
    <t>13.808,56</t>
  </si>
  <si>
    <t>89,99</t>
  </si>
  <si>
    <t>13.688,84</t>
  </si>
  <si>
    <t>90,06</t>
  </si>
  <si>
    <t>90,13</t>
  </si>
  <si>
    <t>482,0</t>
  </si>
  <si>
    <t>28,07</t>
  </si>
  <si>
    <t>13.529,74</t>
  </si>
  <si>
    <t>90,19</t>
  </si>
  <si>
    <t>28,0</t>
  </si>
  <si>
    <t>482,76</t>
  </si>
  <si>
    <t>13.517,28</t>
  </si>
  <si>
    <t>90,26</t>
  </si>
  <si>
    <t>122,71</t>
  </si>
  <si>
    <t>108,75</t>
  </si>
  <si>
    <t>13.344,71</t>
  </si>
  <si>
    <t>90,33</t>
  </si>
  <si>
    <t>365,0</t>
  </si>
  <si>
    <t>36,19</t>
  </si>
  <si>
    <t>13.209,35</t>
  </si>
  <si>
    <t>90,39</t>
  </si>
  <si>
    <t>143,78</t>
  </si>
  <si>
    <t>91,12</t>
  </si>
  <si>
    <t>13.101,23</t>
  </si>
  <si>
    <t>90,46</t>
  </si>
  <si>
    <t>874,05</t>
  </si>
  <si>
    <t>14,89</t>
  </si>
  <si>
    <t>13.014,60</t>
  </si>
  <si>
    <t>90,52</t>
  </si>
  <si>
    <t>19,85</t>
  </si>
  <si>
    <t>654,73</t>
  </si>
  <si>
    <t>12.996,39</t>
  </si>
  <si>
    <t>90,59</t>
  </si>
  <si>
    <t>120,0</t>
  </si>
  <si>
    <t>107,85</t>
  </si>
  <si>
    <t>12.942,00</t>
  </si>
  <si>
    <t>0,06</t>
  </si>
  <si>
    <t>90,65</t>
  </si>
  <si>
    <t>18,97</t>
  </si>
  <si>
    <t>677,33</t>
  </si>
  <si>
    <t>12.848,95</t>
  </si>
  <si>
    <t>90,72</t>
  </si>
  <si>
    <t>373,0</t>
  </si>
  <si>
    <t>34,18</t>
  </si>
  <si>
    <t>12.749,14</t>
  </si>
  <si>
    <t>90,78</t>
  </si>
  <si>
    <t>1.060,33</t>
  </si>
  <si>
    <t>12,01</t>
  </si>
  <si>
    <t>12.734,56</t>
  </si>
  <si>
    <t>90,85</t>
  </si>
  <si>
    <t>901,47</t>
  </si>
  <si>
    <t>12.620,58</t>
  </si>
  <si>
    <t>90,91</t>
  </si>
  <si>
    <t>13,0</t>
  </si>
  <si>
    <t>970,61</t>
  </si>
  <si>
    <t>12.617,93</t>
  </si>
  <si>
    <t>90,97</t>
  </si>
  <si>
    <t>286,65</t>
  </si>
  <si>
    <t>43,95</t>
  </si>
  <si>
    <t>12.598,26</t>
  </si>
  <si>
    <t>91,04</t>
  </si>
  <si>
    <t>216,0</t>
  </si>
  <si>
    <t>56,43</t>
  </si>
  <si>
    <t>12.188,88</t>
  </si>
  <si>
    <t>91,10</t>
  </si>
  <si>
    <t>753,93</t>
  </si>
  <si>
    <t>16,13</t>
  </si>
  <si>
    <t>12.160,89</t>
  </si>
  <si>
    <t>91,16</t>
  </si>
  <si>
    <t>5.990,00</t>
  </si>
  <si>
    <t>11.980,00</t>
  </si>
  <si>
    <t>91,22</t>
  </si>
  <si>
    <t>108,0</t>
  </si>
  <si>
    <t>110,79</t>
  </si>
  <si>
    <t>11.965,32</t>
  </si>
  <si>
    <t>91,28</t>
  </si>
  <si>
    <t>12,72</t>
  </si>
  <si>
    <t>931,17</t>
  </si>
  <si>
    <t>11.844,48</t>
  </si>
  <si>
    <t>91,34</t>
  </si>
  <si>
    <t>391,73</t>
  </si>
  <si>
    <t>11.751,90</t>
  </si>
  <si>
    <t>91,40</t>
  </si>
  <si>
    <t>210,0</t>
  </si>
  <si>
    <t>55,89</t>
  </si>
  <si>
    <t>11.736,90</t>
  </si>
  <si>
    <t>91,46</t>
  </si>
  <si>
    <t>18,0</t>
  </si>
  <si>
    <t>649,25</t>
  </si>
  <si>
    <t>11.686,50</t>
  </si>
  <si>
    <t>91,51</t>
  </si>
  <si>
    <t>44,45</t>
  </si>
  <si>
    <t>262,72</t>
  </si>
  <si>
    <t>11.677,90</t>
  </si>
  <si>
    <t>91,57</t>
  </si>
  <si>
    <t>11.631,77</t>
  </si>
  <si>
    <t>91,63</t>
  </si>
  <si>
    <t>1.476,0</t>
  </si>
  <si>
    <t>7,84</t>
  </si>
  <si>
    <t>11.571,84</t>
  </si>
  <si>
    <t>91,69</t>
  </si>
  <si>
    <t>11.399,95</t>
  </si>
  <si>
    <t>91,75</t>
  </si>
  <si>
    <t>11.247,82</t>
  </si>
  <si>
    <t>91,80</t>
  </si>
  <si>
    <t>90,0</t>
  </si>
  <si>
    <t>124,74</t>
  </si>
  <si>
    <t>11.226,60</t>
  </si>
  <si>
    <t>91,86</t>
  </si>
  <si>
    <t>5,0</t>
  </si>
  <si>
    <t>2.240,33</t>
  </si>
  <si>
    <t>11.201,65</t>
  </si>
  <si>
    <t>91,91</t>
  </si>
  <si>
    <t>173,9</t>
  </si>
  <si>
    <t>63,99</t>
  </si>
  <si>
    <t>11.127,86</t>
  </si>
  <si>
    <t>91,97</t>
  </si>
  <si>
    <t>11.080,11</t>
  </si>
  <si>
    <t>92,03</t>
  </si>
  <si>
    <t>348,62</t>
  </si>
  <si>
    <t>31,52</t>
  </si>
  <si>
    <t>10.988,50</t>
  </si>
  <si>
    <t>92,08</t>
  </si>
  <si>
    <t>994,76</t>
  </si>
  <si>
    <t>10.942,36</t>
  </si>
  <si>
    <t>0,05</t>
  </si>
  <si>
    <t>92,14</t>
  </si>
  <si>
    <t>976,8</t>
  </si>
  <si>
    <t>11,12</t>
  </si>
  <si>
    <t>10.862,01</t>
  </si>
  <si>
    <t>92,19</t>
  </si>
  <si>
    <t>10.830,84</t>
  </si>
  <si>
    <t>92,24</t>
  </si>
  <si>
    <t>234,14</t>
  </si>
  <si>
    <t>10.770,44</t>
  </si>
  <si>
    <t>92,30</t>
  </si>
  <si>
    <t>68,0</t>
  </si>
  <si>
    <t>158,06</t>
  </si>
  <si>
    <t>10.748,08</t>
  </si>
  <si>
    <t>92,35</t>
  </si>
  <si>
    <t>6,0</t>
  </si>
  <si>
    <t>1.786,23</t>
  </si>
  <si>
    <t>10.717,38</t>
  </si>
  <si>
    <t>92,41</t>
  </si>
  <si>
    <t>437,20</t>
  </si>
  <si>
    <t>10.492,80</t>
  </si>
  <si>
    <t>92,46</t>
  </si>
  <si>
    <t>309,0</t>
  </si>
  <si>
    <t>33,73</t>
  </si>
  <si>
    <t>10.422,57</t>
  </si>
  <si>
    <t>92,51</t>
  </si>
  <si>
    <t>10.412,63</t>
  </si>
  <si>
    <t>92,56</t>
  </si>
  <si>
    <t>1.034,26</t>
  </si>
  <si>
    <t>10,02</t>
  </si>
  <si>
    <t>10.363,28</t>
  </si>
  <si>
    <t>92,61</t>
  </si>
  <si>
    <t>10.217,32</t>
  </si>
  <si>
    <t>92,67</t>
  </si>
  <si>
    <t>78,43</t>
  </si>
  <si>
    <t>130,07</t>
  </si>
  <si>
    <t>10.201,39</t>
  </si>
  <si>
    <t>92,72</t>
  </si>
  <si>
    <t>16,33</t>
  </si>
  <si>
    <t>623,59</t>
  </si>
  <si>
    <t>10.183,22</t>
  </si>
  <si>
    <t>92,77</t>
  </si>
  <si>
    <t>960,0</t>
  </si>
  <si>
    <t>10,50</t>
  </si>
  <si>
    <t>10.080,00</t>
  </si>
  <si>
    <t>92,82</t>
  </si>
  <si>
    <t>51,21</t>
  </si>
  <si>
    <t>9.980,82</t>
  </si>
  <si>
    <t>92,87</t>
  </si>
  <si>
    <t>34,58</t>
  </si>
  <si>
    <t>9.924,46</t>
  </si>
  <si>
    <t>92,92</t>
  </si>
  <si>
    <t>61,0</t>
  </si>
  <si>
    <t>162,43</t>
  </si>
  <si>
    <t>9.908,23</t>
  </si>
  <si>
    <t>92,97</t>
  </si>
  <si>
    <t>20,0</t>
  </si>
  <si>
    <t>490,17</t>
  </si>
  <si>
    <t>9.803,40</t>
  </si>
  <si>
    <t>93,02</t>
  </si>
  <si>
    <t>317,0</t>
  </si>
  <si>
    <t>30,59</t>
  </si>
  <si>
    <t>9.697,03</t>
  </si>
  <si>
    <t>93,07</t>
  </si>
  <si>
    <t>15,0</t>
  </si>
  <si>
    <t>645,54</t>
  </si>
  <si>
    <t>9.683,10</t>
  </si>
  <si>
    <t>93,11</t>
  </si>
  <si>
    <t>9.617,37</t>
  </si>
  <si>
    <t>93,16</t>
  </si>
  <si>
    <t>4.807,55</t>
  </si>
  <si>
    <t>9.615,10</t>
  </si>
  <si>
    <t>93,21</t>
  </si>
  <si>
    <t>98,2</t>
  </si>
  <si>
    <t>97,58</t>
  </si>
  <si>
    <t>9.582,35</t>
  </si>
  <si>
    <t>93,26</t>
  </si>
  <si>
    <t>104,0</t>
  </si>
  <si>
    <t>91,33</t>
  </si>
  <si>
    <t>9.498,32</t>
  </si>
  <si>
    <t>93,31</t>
  </si>
  <si>
    <t>2.532,0</t>
  </si>
  <si>
    <t>3,68</t>
  </si>
  <si>
    <t>9.317,76</t>
  </si>
  <si>
    <t>93,35</t>
  </si>
  <si>
    <t>38,26</t>
  </si>
  <si>
    <t>242,13</t>
  </si>
  <si>
    <t>9.263,89</t>
  </si>
  <si>
    <t>93,40</t>
  </si>
  <si>
    <t>441,05</t>
  </si>
  <si>
    <t>9.262,05</t>
  </si>
  <si>
    <t>93,45</t>
  </si>
  <si>
    <t>709,64</t>
  </si>
  <si>
    <t>9.225,32</t>
  </si>
  <si>
    <t>93,49</t>
  </si>
  <si>
    <t>209,39</t>
  </si>
  <si>
    <t>9.213,16</t>
  </si>
  <si>
    <t>93,54</t>
  </si>
  <si>
    <t>4.602,15</t>
  </si>
  <si>
    <t>9.204,30</t>
  </si>
  <si>
    <t>93,58</t>
  </si>
  <si>
    <t>101,88</t>
  </si>
  <si>
    <t>9.169,20</t>
  </si>
  <si>
    <t>93,63</t>
  </si>
  <si>
    <t>4.534,58</t>
  </si>
  <si>
    <t>9.069,16</t>
  </si>
  <si>
    <t>93,67</t>
  </si>
  <si>
    <t>11,75</t>
  </si>
  <si>
    <t>771,54</t>
  </si>
  <si>
    <t>9.065,59</t>
  </si>
  <si>
    <t>93,72</t>
  </si>
  <si>
    <t>56,06</t>
  </si>
  <si>
    <t>9.024,87</t>
  </si>
  <si>
    <t>93,77</t>
  </si>
  <si>
    <t>8.943,15</t>
  </si>
  <si>
    <t>0,04</t>
  </si>
  <si>
    <t>93,81</t>
  </si>
  <si>
    <t>179,02</t>
  </si>
  <si>
    <t>49,75</t>
  </si>
  <si>
    <t>8.906,24</t>
  </si>
  <si>
    <t>93,85</t>
  </si>
  <si>
    <t>8.880,69</t>
  </si>
  <si>
    <t>93,90</t>
  </si>
  <si>
    <t>64,0</t>
  </si>
  <si>
    <t>137,95</t>
  </si>
  <si>
    <t>8.828,80</t>
  </si>
  <si>
    <t>93,94</t>
  </si>
  <si>
    <t>543,99</t>
  </si>
  <si>
    <t>8.703,84</t>
  </si>
  <si>
    <t>93,99</t>
  </si>
  <si>
    <t>194,6</t>
  </si>
  <si>
    <t>43,84</t>
  </si>
  <si>
    <t>8.531,26</t>
  </si>
  <si>
    <t>94,03</t>
  </si>
  <si>
    <t>302,89</t>
  </si>
  <si>
    <t>8.480,92</t>
  </si>
  <si>
    <t>94,07</t>
  </si>
  <si>
    <t>99,78</t>
  </si>
  <si>
    <t>8.281,74</t>
  </si>
  <si>
    <t>94,11</t>
  </si>
  <si>
    <t>343,2</t>
  </si>
  <si>
    <t>23,65</t>
  </si>
  <si>
    <t>8.116,68</t>
  </si>
  <si>
    <t>94,15</t>
  </si>
  <si>
    <t>8.109,65</t>
  </si>
  <si>
    <t>94,20</t>
  </si>
  <si>
    <t>94,24</t>
  </si>
  <si>
    <t>8.090,51</t>
  </si>
  <si>
    <t>94,28</t>
  </si>
  <si>
    <t>8.072,50</t>
  </si>
  <si>
    <t>94,32</t>
  </si>
  <si>
    <t>7.959,94</t>
  </si>
  <si>
    <t>94,36</t>
  </si>
  <si>
    <t>480,0</t>
  </si>
  <si>
    <t>16,57</t>
  </si>
  <si>
    <t>7.953,60</t>
  </si>
  <si>
    <t>94,40</t>
  </si>
  <si>
    <t>187,0</t>
  </si>
  <si>
    <t>41,99</t>
  </si>
  <si>
    <t>7.852,13</t>
  </si>
  <si>
    <t>94,44</t>
  </si>
  <si>
    <t>3.895,03</t>
  </si>
  <si>
    <t>7.790,06</t>
  </si>
  <si>
    <t>94,47</t>
  </si>
  <si>
    <t>9,097</t>
  </si>
  <si>
    <t>852,23</t>
  </si>
  <si>
    <t>7.752,73</t>
  </si>
  <si>
    <t>94,51</t>
  </si>
  <si>
    <t>8.000,0</t>
  </si>
  <si>
    <t>0,96</t>
  </si>
  <si>
    <t>7.680,00</t>
  </si>
  <si>
    <t>94,55</t>
  </si>
  <si>
    <t>7.635,21</t>
  </si>
  <si>
    <t>94,59</t>
  </si>
  <si>
    <t>7.616,07</t>
  </si>
  <si>
    <t>94,63</t>
  </si>
  <si>
    <t>234,0</t>
  </si>
  <si>
    <t>32,26</t>
  </si>
  <si>
    <t>7.548,84</t>
  </si>
  <si>
    <t>94,67</t>
  </si>
  <si>
    <t>62,37</t>
  </si>
  <si>
    <t>7.484,40</t>
  </si>
  <si>
    <t>94,70</t>
  </si>
  <si>
    <t>19,0</t>
  </si>
  <si>
    <t>392,45</t>
  </si>
  <si>
    <t>7.456,55</t>
  </si>
  <si>
    <t>94,74</t>
  </si>
  <si>
    <t>7.440,48</t>
  </si>
  <si>
    <t>94,78</t>
  </si>
  <si>
    <t>157,49</t>
  </si>
  <si>
    <t>7.402,03</t>
  </si>
  <si>
    <t>94,82</t>
  </si>
  <si>
    <t>80,40</t>
  </si>
  <si>
    <t>7.236,00</t>
  </si>
  <si>
    <t>94,85</t>
  </si>
  <si>
    <r>
      <rPr>
        <sz val="10"/>
        <rFont val="Arial"/>
        <charset val="134"/>
      </rPr>
      <t>PINTURA ESMALTE TUBULACAO APARENTE (at</t>
    </r>
    <r>
      <rPr>
        <sz val="10"/>
        <rFont val="Noto Sans CJK SC"/>
        <charset val="1"/>
      </rPr>
      <t>頳</t>
    </r>
    <r>
      <rPr>
        <sz val="10"/>
        <rFont val="Arial"/>
        <charset val="134"/>
      </rPr>
      <t>/4"")</t>
    </r>
  </si>
  <si>
    <t>532,3</t>
  </si>
  <si>
    <t>13,52</t>
  </si>
  <si>
    <t>7.196,69</t>
  </si>
  <si>
    <t>94,89</t>
  </si>
  <si>
    <t>1.792,42</t>
  </si>
  <si>
    <t>7.169,68</t>
  </si>
  <si>
    <t>94,92</t>
  </si>
  <si>
    <t>890,23</t>
  </si>
  <si>
    <t>7.121,84</t>
  </si>
  <si>
    <t>94,96</t>
  </si>
  <si>
    <t>394,91</t>
  </si>
  <si>
    <t>7.108,38</t>
  </si>
  <si>
    <t>95,00</t>
  </si>
  <si>
    <t>7.033,42</t>
  </si>
  <si>
    <t>95,03</t>
  </si>
  <si>
    <t>193,0</t>
  </si>
  <si>
    <t>36,35</t>
  </si>
  <si>
    <t>7.015,55</t>
  </si>
  <si>
    <t>95,07</t>
  </si>
  <si>
    <t>3.505,65</t>
  </si>
  <si>
    <t>7.011,30</t>
  </si>
  <si>
    <t>95,10</t>
  </si>
  <si>
    <t>345,6</t>
  </si>
  <si>
    <t>20,25</t>
  </si>
  <si>
    <t>6.998,40</t>
  </si>
  <si>
    <t>95,14</t>
  </si>
  <si>
    <t>18,94</t>
  </si>
  <si>
    <t>6.913,10</t>
  </si>
  <si>
    <t>0,03</t>
  </si>
  <si>
    <t>95,17</t>
  </si>
  <si>
    <t>6.852,11</t>
  </si>
  <si>
    <t>95,20</t>
  </si>
  <si>
    <t>3.422,52</t>
  </si>
  <si>
    <t>6.845,04</t>
  </si>
  <si>
    <t>95,24</t>
  </si>
  <si>
    <t>25,0</t>
  </si>
  <si>
    <t>269,98</t>
  </si>
  <si>
    <t>6.749,50</t>
  </si>
  <si>
    <t>95,27</t>
  </si>
  <si>
    <t>374,76</t>
  </si>
  <si>
    <t>17,37</t>
  </si>
  <si>
    <t>6.509,58</t>
  </si>
  <si>
    <t>95,31</t>
  </si>
  <si>
    <t>6.492,50</t>
  </si>
  <si>
    <t>95,34</t>
  </si>
  <si>
    <t>500,0</t>
  </si>
  <si>
    <t>12,95</t>
  </si>
  <si>
    <t>6.475,00</t>
  </si>
  <si>
    <t>95,37</t>
  </si>
  <si>
    <t>51,0</t>
  </si>
  <si>
    <t>126,40</t>
  </si>
  <si>
    <t>6.446,40</t>
  </si>
  <si>
    <t>95,40</t>
  </si>
  <si>
    <t>6.394,99</t>
  </si>
  <si>
    <t>95,43</t>
  </si>
  <si>
    <t>176,79</t>
  </si>
  <si>
    <t>36,10</t>
  </si>
  <si>
    <t>6.382,11</t>
  </si>
  <si>
    <t>95,47</t>
  </si>
  <si>
    <t>532,0</t>
  </si>
  <si>
    <t>11,93</t>
  </si>
  <si>
    <t>6.346,76</t>
  </si>
  <si>
    <t>95,50</t>
  </si>
  <si>
    <t>6.216,46</t>
  </si>
  <si>
    <t>95,53</t>
  </si>
  <si>
    <t>1.547,83</t>
  </si>
  <si>
    <t>6.191,32</t>
  </si>
  <si>
    <t>95,56</t>
  </si>
  <si>
    <t>36,58</t>
  </si>
  <si>
    <t>167,18</t>
  </si>
  <si>
    <t>6.115,44</t>
  </si>
  <si>
    <t>95,59</t>
  </si>
  <si>
    <t>1.522,06</t>
  </si>
  <si>
    <t>6.088,24</t>
  </si>
  <si>
    <t>95,62</t>
  </si>
  <si>
    <t>72,41</t>
  </si>
  <si>
    <t>83,04</t>
  </si>
  <si>
    <t>6.012,92</t>
  </si>
  <si>
    <t>95,65</t>
  </si>
  <si>
    <t>5.958,16</t>
  </si>
  <si>
    <t>95,68</t>
  </si>
  <si>
    <t>75,0</t>
  </si>
  <si>
    <t>5.928,75</t>
  </si>
  <si>
    <t>95,71</t>
  </si>
  <si>
    <t>37,84</t>
  </si>
  <si>
    <t>156,54</t>
  </si>
  <si>
    <t>5.923,47</t>
  </si>
  <si>
    <t>95,74</t>
  </si>
  <si>
    <t>1.478,74</t>
  </si>
  <si>
    <t>5.914,96</t>
  </si>
  <si>
    <t>95,77</t>
  </si>
  <si>
    <t>178,50</t>
  </si>
  <si>
    <t>5.890,50</t>
  </si>
  <si>
    <t>95,80</t>
  </si>
  <si>
    <t>5.850,00</t>
  </si>
  <si>
    <t>95,83</t>
  </si>
  <si>
    <t>970,15</t>
  </si>
  <si>
    <t>5.820,90</t>
  </si>
  <si>
    <t>95,86</t>
  </si>
  <si>
    <t>169,3</t>
  </si>
  <si>
    <t>34,35</t>
  </si>
  <si>
    <t>5.815,45</t>
  </si>
  <si>
    <t>95,89</t>
  </si>
  <si>
    <t>5.789,70</t>
  </si>
  <si>
    <t>95,92</t>
  </si>
  <si>
    <t>5.704,65</t>
  </si>
  <si>
    <t>95,95</t>
  </si>
  <si>
    <t>53,42</t>
  </si>
  <si>
    <t>105,63</t>
  </si>
  <si>
    <t>5.642,75</t>
  </si>
  <si>
    <t>95,97</t>
  </si>
  <si>
    <t>281,49</t>
  </si>
  <si>
    <t>5.629,80</t>
  </si>
  <si>
    <t>96,00</t>
  </si>
  <si>
    <t>61,56</t>
  </si>
  <si>
    <t>91,26</t>
  </si>
  <si>
    <t>5.617,96</t>
  </si>
  <si>
    <t>96,03</t>
  </si>
  <si>
    <t>61,6</t>
  </si>
  <si>
    <t>91,17</t>
  </si>
  <si>
    <t>5.616,07</t>
  </si>
  <si>
    <t>96,06</t>
  </si>
  <si>
    <t>279,47</t>
  </si>
  <si>
    <t>5.589,40</t>
  </si>
  <si>
    <t>96,09</t>
  </si>
  <si>
    <t>57,0</t>
  </si>
  <si>
    <t>96,81</t>
  </si>
  <si>
    <t>5.518,17</t>
  </si>
  <si>
    <t>96,11</t>
  </si>
  <si>
    <t>116,78</t>
  </si>
  <si>
    <t>5.488,66</t>
  </si>
  <si>
    <t>96,14</t>
  </si>
  <si>
    <t>159,287</t>
  </si>
  <si>
    <t>34,27</t>
  </si>
  <si>
    <t>5.458,76</t>
  </si>
  <si>
    <t>96,17</t>
  </si>
  <si>
    <t>1.084,78</t>
  </si>
  <si>
    <t>5.423,90</t>
  </si>
  <si>
    <t>96,20</t>
  </si>
  <si>
    <t>2.693,51</t>
  </si>
  <si>
    <t>5.387,02</t>
  </si>
  <si>
    <t>96,22</t>
  </si>
  <si>
    <t>5.361,98</t>
  </si>
  <si>
    <t>96,25</t>
  </si>
  <si>
    <t>672,0</t>
  </si>
  <si>
    <t>7,89</t>
  </si>
  <si>
    <t>5.302,08</t>
  </si>
  <si>
    <t>96,28</t>
  </si>
  <si>
    <t>5.291,59</t>
  </si>
  <si>
    <t>96,30</t>
  </si>
  <si>
    <t>26,0</t>
  </si>
  <si>
    <t>202,56</t>
  </si>
  <si>
    <t>5.266,56</t>
  </si>
  <si>
    <t>96,33</t>
  </si>
  <si>
    <t>642,65</t>
  </si>
  <si>
    <t>5.141,20</t>
  </si>
  <si>
    <t>96,35</t>
  </si>
  <si>
    <t>5.118,17</t>
  </si>
  <si>
    <t>96,38</t>
  </si>
  <si>
    <t>61,5</t>
  </si>
  <si>
    <t>4.921,84</t>
  </si>
  <si>
    <t>0,02</t>
  </si>
  <si>
    <t>96,40</t>
  </si>
  <si>
    <t>4.906,72</t>
  </si>
  <si>
    <t>96,43</t>
  </si>
  <si>
    <t>1.614,26</t>
  </si>
  <si>
    <t>4.842,78</t>
  </si>
  <si>
    <t>96,45</t>
  </si>
  <si>
    <t>76,0</t>
  </si>
  <si>
    <t>63,65</t>
  </si>
  <si>
    <t>4.837,40</t>
  </si>
  <si>
    <t>96,48</t>
  </si>
  <si>
    <t>96,50</t>
  </si>
  <si>
    <t>22,0</t>
  </si>
  <si>
    <t>218,25</t>
  </si>
  <si>
    <t>4.801,50</t>
  </si>
  <si>
    <t>96,53</t>
  </si>
  <si>
    <t>40,55</t>
  </si>
  <si>
    <t>118,28</t>
  </si>
  <si>
    <t>4.796,25</t>
  </si>
  <si>
    <t>96,55</t>
  </si>
  <si>
    <t>27,97</t>
  </si>
  <si>
    <t>4.735,32</t>
  </si>
  <si>
    <t>96,57</t>
  </si>
  <si>
    <t>7,0</t>
  </si>
  <si>
    <t>4.734,73</t>
  </si>
  <si>
    <t>96,60</t>
  </si>
  <si>
    <t>4.732,93</t>
  </si>
  <si>
    <t>96,62</t>
  </si>
  <si>
    <t>64,6</t>
  </si>
  <si>
    <t>72,90</t>
  </si>
  <si>
    <t>4.709,34</t>
  </si>
  <si>
    <t>96,64</t>
  </si>
  <si>
    <t>212,36</t>
  </si>
  <si>
    <t>22,09</t>
  </si>
  <si>
    <t>4.691,03</t>
  </si>
  <si>
    <t>96,67</t>
  </si>
  <si>
    <t>2.344,19</t>
  </si>
  <si>
    <t>4.688,38</t>
  </si>
  <si>
    <t>96,69</t>
  </si>
  <si>
    <t>4,87</t>
  </si>
  <si>
    <t>4.675,20</t>
  </si>
  <si>
    <t>96,72</t>
  </si>
  <si>
    <t>12,0</t>
  </si>
  <si>
    <t>388,50</t>
  </si>
  <si>
    <t>4.662,00</t>
  </si>
  <si>
    <t>96,74</t>
  </si>
  <si>
    <t>6,13</t>
  </si>
  <si>
    <t>756,52</t>
  </si>
  <si>
    <t>4.637,46</t>
  </si>
  <si>
    <t>96,76</t>
  </si>
  <si>
    <t>360,0</t>
  </si>
  <si>
    <t>12,80</t>
  </si>
  <si>
    <t>4.608,00</t>
  </si>
  <si>
    <t>96,79</t>
  </si>
  <si>
    <t>4.587,29</t>
  </si>
  <si>
    <t>4.561,85</t>
  </si>
  <si>
    <t>96,83</t>
  </si>
  <si>
    <t>69,6</t>
  </si>
  <si>
    <t>65,30</t>
  </si>
  <si>
    <t>4.544,88</t>
  </si>
  <si>
    <t>96,85</t>
  </si>
  <si>
    <t>148,0</t>
  </si>
  <si>
    <t>30,58</t>
  </si>
  <si>
    <t>4.525,84</t>
  </si>
  <si>
    <t>96,88</t>
  </si>
  <si>
    <t>4.456,95</t>
  </si>
  <si>
    <t>96,90</t>
  </si>
  <si>
    <t>96,92</t>
  </si>
  <si>
    <t>60,4</t>
  </si>
  <si>
    <t>72,55</t>
  </si>
  <si>
    <t>4.382,02</t>
  </si>
  <si>
    <t>96,94</t>
  </si>
  <si>
    <t>6,07</t>
  </si>
  <si>
    <t>719,07</t>
  </si>
  <si>
    <t>4.364,75</t>
  </si>
  <si>
    <t>96,96</t>
  </si>
  <si>
    <t>2.165,01</t>
  </si>
  <si>
    <t>4.330,02</t>
  </si>
  <si>
    <t>96,99</t>
  </si>
  <si>
    <t>23,39</t>
  </si>
  <si>
    <t>4.256,98</t>
  </si>
  <si>
    <t>97,01</t>
  </si>
  <si>
    <t>4.254,61</t>
  </si>
  <si>
    <t>97,03</t>
  </si>
  <si>
    <t>400,0</t>
  </si>
  <si>
    <t>10,58</t>
  </si>
  <si>
    <t>4.232,00</t>
  </si>
  <si>
    <t>97,05</t>
  </si>
  <si>
    <t>5,10</t>
  </si>
  <si>
    <t>4.220,14</t>
  </si>
  <si>
    <t>97,07</t>
  </si>
  <si>
    <t>678,46</t>
  </si>
  <si>
    <t>6,21</t>
  </si>
  <si>
    <t>4.213,23</t>
  </si>
  <si>
    <t>97,09</t>
  </si>
  <si>
    <t>2.088,14</t>
  </si>
  <si>
    <t>4.176,28</t>
  </si>
  <si>
    <t>97,11</t>
  </si>
  <si>
    <t>258,04</t>
  </si>
  <si>
    <t>4.128,64</t>
  </si>
  <si>
    <t>97,13</t>
  </si>
  <si>
    <t>1.030,58</t>
  </si>
  <si>
    <t>4.122,32</t>
  </si>
  <si>
    <t>97,15</t>
  </si>
  <si>
    <t>41,0</t>
  </si>
  <si>
    <t>99,65</t>
  </si>
  <si>
    <t>4.085,65</t>
  </si>
  <si>
    <t>97,18</t>
  </si>
  <si>
    <t>34,03</t>
  </si>
  <si>
    <t>4.083,60</t>
  </si>
  <si>
    <t>97,20</t>
  </si>
  <si>
    <t>42,48</t>
  </si>
  <si>
    <t>4.078,08</t>
  </si>
  <si>
    <t>97,22</t>
  </si>
  <si>
    <t>4.058,34</t>
  </si>
  <si>
    <t>97,24</t>
  </si>
  <si>
    <t>155,92</t>
  </si>
  <si>
    <t>4.053,92</t>
  </si>
  <si>
    <t>97,26</t>
  </si>
  <si>
    <t>47,84</t>
  </si>
  <si>
    <t>83,58</t>
  </si>
  <si>
    <t>3.998,46</t>
  </si>
  <si>
    <t>97,28</t>
  </si>
  <si>
    <t>132,93</t>
  </si>
  <si>
    <t>3.987,90</t>
  </si>
  <si>
    <t>97,30</t>
  </si>
  <si>
    <t>0,72</t>
  </si>
  <si>
    <t>3.962,45</t>
  </si>
  <si>
    <t>97,32</t>
  </si>
  <si>
    <t>141,46</t>
  </si>
  <si>
    <t>3.960,88</t>
  </si>
  <si>
    <t>97,34</t>
  </si>
  <si>
    <t>3.956,62</t>
  </si>
  <si>
    <t>97,36</t>
  </si>
  <si>
    <t>116,23</t>
  </si>
  <si>
    <t>3.951,82</t>
  </si>
  <si>
    <t>97,38</t>
  </si>
  <si>
    <t>3.927,28</t>
  </si>
  <si>
    <t>97,40</t>
  </si>
  <si>
    <t>1,57</t>
  </si>
  <si>
    <t>3.925,00</t>
  </si>
  <si>
    <t>97,42</t>
  </si>
  <si>
    <t>140,13</t>
  </si>
  <si>
    <t>3.923,64</t>
  </si>
  <si>
    <t>97,44</t>
  </si>
  <si>
    <t>1.936,88</t>
  </si>
  <si>
    <t>3.873,76</t>
  </si>
  <si>
    <t>97,45</t>
  </si>
  <si>
    <t>160,0</t>
  </si>
  <si>
    <t>24,04</t>
  </si>
  <si>
    <t>3.846,40</t>
  </si>
  <si>
    <t>97,47</t>
  </si>
  <si>
    <t>136,99</t>
  </si>
  <si>
    <t>3.835,72</t>
  </si>
  <si>
    <t>97,49</t>
  </si>
  <si>
    <t>1.912,73</t>
  </si>
  <si>
    <t>3.825,46</t>
  </si>
  <si>
    <t>97,51</t>
  </si>
  <si>
    <t>293,82</t>
  </si>
  <si>
    <t>12,97</t>
  </si>
  <si>
    <t>3.810,84</t>
  </si>
  <si>
    <t>97,53</t>
  </si>
  <si>
    <t>916,0</t>
  </si>
  <si>
    <t>4,09</t>
  </si>
  <si>
    <t>3.746,44</t>
  </si>
  <si>
    <t>97,55</t>
  </si>
  <si>
    <t>247,63</t>
  </si>
  <si>
    <t>3.714,45</t>
  </si>
  <si>
    <t>97,57</t>
  </si>
  <si>
    <t>3.702,29</t>
  </si>
  <si>
    <t>97,59</t>
  </si>
  <si>
    <t>3.673,31</t>
  </si>
  <si>
    <t>97,61</t>
  </si>
  <si>
    <t>135,0</t>
  </si>
  <si>
    <t>27,14</t>
  </si>
  <si>
    <t>3.663,90</t>
  </si>
  <si>
    <t>97,62</t>
  </si>
  <si>
    <t>70,82</t>
  </si>
  <si>
    <t>3.611,82</t>
  </si>
  <si>
    <t>97,64</t>
  </si>
  <si>
    <t>447,18</t>
  </si>
  <si>
    <t>3.577,44</t>
  </si>
  <si>
    <t>97,66</t>
  </si>
  <si>
    <t>61,05</t>
  </si>
  <si>
    <t>3.540,90</t>
  </si>
  <si>
    <t>97,68</t>
  </si>
  <si>
    <t>186,5</t>
  </si>
  <si>
    <t>18,88</t>
  </si>
  <si>
    <t>3.521,12</t>
  </si>
  <si>
    <t>97,70</t>
  </si>
  <si>
    <t>45,0</t>
  </si>
  <si>
    <t>77,08</t>
  </si>
  <si>
    <t>3.468,60</t>
  </si>
  <si>
    <t>97,71</t>
  </si>
  <si>
    <t>49,0</t>
  </si>
  <si>
    <t>70,59</t>
  </si>
  <si>
    <t>3.458,91</t>
  </si>
  <si>
    <t>97,73</t>
  </si>
  <si>
    <t>92,0</t>
  </si>
  <si>
    <t>37,44</t>
  </si>
  <si>
    <t>3.444,48</t>
  </si>
  <si>
    <t>97,75</t>
  </si>
  <si>
    <t>222,0</t>
  </si>
  <si>
    <t>15,22</t>
  </si>
  <si>
    <t>3.378,84</t>
  </si>
  <si>
    <t>97,76</t>
  </si>
  <si>
    <t>3.336,93</t>
  </si>
  <si>
    <t>97,78</t>
  </si>
  <si>
    <t>40,17</t>
  </si>
  <si>
    <t>3.293,94</t>
  </si>
  <si>
    <t>97,80</t>
  </si>
  <si>
    <t>287,47</t>
  </si>
  <si>
    <t>11,45</t>
  </si>
  <si>
    <t>3.291,53</t>
  </si>
  <si>
    <t>97,81</t>
  </si>
  <si>
    <t>3.261,55</t>
  </si>
  <si>
    <t>97,83</t>
  </si>
  <si>
    <t>72,0</t>
  </si>
  <si>
    <t>44,11</t>
  </si>
  <si>
    <t>3.175,92</t>
  </si>
  <si>
    <t>97,85</t>
  </si>
  <si>
    <t>221,9</t>
  </si>
  <si>
    <t>14,31</t>
  </si>
  <si>
    <t>3.175,38</t>
  </si>
  <si>
    <t>97,86</t>
  </si>
  <si>
    <t>7,62</t>
  </si>
  <si>
    <t>3.048,00</t>
  </si>
  <si>
    <t>97,88</t>
  </si>
  <si>
    <t>6,33</t>
  </si>
  <si>
    <t>3.038,40</t>
  </si>
  <si>
    <t>97,89</t>
  </si>
  <si>
    <t>14,80</t>
  </si>
  <si>
    <t>3.034,00</t>
  </si>
  <si>
    <t>97,91</t>
  </si>
  <si>
    <t>1.005,56</t>
  </si>
  <si>
    <t>3.016,68</t>
  </si>
  <si>
    <t>97,92</t>
  </si>
  <si>
    <t>3.015,21</t>
  </si>
  <si>
    <t>97,94</t>
  </si>
  <si>
    <t>1,20</t>
  </si>
  <si>
    <t>3.000,00</t>
  </si>
  <si>
    <t>97,95</t>
  </si>
  <si>
    <t>33,25</t>
  </si>
  <si>
    <t>2.992,50</t>
  </si>
  <si>
    <t>0,01</t>
  </si>
  <si>
    <t>97,97</t>
  </si>
  <si>
    <t>1.008,0</t>
  </si>
  <si>
    <t>2,95</t>
  </si>
  <si>
    <t>2.973,60</t>
  </si>
  <si>
    <t>97,98</t>
  </si>
  <si>
    <t>52,0</t>
  </si>
  <si>
    <t>56,96</t>
  </si>
  <si>
    <t>2.961,92</t>
  </si>
  <si>
    <t>98,00</t>
  </si>
  <si>
    <t>4,36</t>
  </si>
  <si>
    <t>676,58</t>
  </si>
  <si>
    <t>2.949,88</t>
  </si>
  <si>
    <t>98,01</t>
  </si>
  <si>
    <t>45,92</t>
  </si>
  <si>
    <t>2.938,88</t>
  </si>
  <si>
    <t>98,03</t>
  </si>
  <si>
    <t>224,0</t>
  </si>
  <si>
    <t>12,87</t>
  </si>
  <si>
    <t>2.882,88</t>
  </si>
  <si>
    <t>98,04</t>
  </si>
  <si>
    <t>1.399,84</t>
  </si>
  <si>
    <t>2.799,68</t>
  </si>
  <si>
    <t>98,06</t>
  </si>
  <si>
    <t>42,0</t>
  </si>
  <si>
    <t>2.794,26</t>
  </si>
  <si>
    <t>98,07</t>
  </si>
  <si>
    <t>465,50</t>
  </si>
  <si>
    <t>2.793,00</t>
  </si>
  <si>
    <t>98,08</t>
  </si>
  <si>
    <t>31,0</t>
  </si>
  <si>
    <t>89,23</t>
  </si>
  <si>
    <t>2.766,13</t>
  </si>
  <si>
    <t>98,10</t>
  </si>
  <si>
    <t>460,96</t>
  </si>
  <si>
    <t>2.765,76</t>
  </si>
  <si>
    <t>98,11</t>
  </si>
  <si>
    <t>460,67</t>
  </si>
  <si>
    <t>2.764,02</t>
  </si>
  <si>
    <t>98,13</t>
  </si>
  <si>
    <t>14,08</t>
  </si>
  <si>
    <t>2.744,19</t>
  </si>
  <si>
    <t>98,14</t>
  </si>
  <si>
    <t>69,0</t>
  </si>
  <si>
    <t>2.736,54</t>
  </si>
  <si>
    <t>98,15</t>
  </si>
  <si>
    <t>17,0</t>
  </si>
  <si>
    <t>160,60</t>
  </si>
  <si>
    <t>2.730,20</t>
  </si>
  <si>
    <t>98,17</t>
  </si>
  <si>
    <t>82,58</t>
  </si>
  <si>
    <t>2.725,14</t>
  </si>
  <si>
    <t>98,18</t>
  </si>
  <si>
    <t>2.709,70</t>
  </si>
  <si>
    <t>98,19</t>
  </si>
  <si>
    <t>238,0</t>
  </si>
  <si>
    <t>2.708,44</t>
  </si>
  <si>
    <t>98,21</t>
  </si>
  <si>
    <t>2,16</t>
  </si>
  <si>
    <t>1.250,46</t>
  </si>
  <si>
    <t>2.700,99</t>
  </si>
  <si>
    <t>98,22</t>
  </si>
  <si>
    <t>445,83</t>
  </si>
  <si>
    <t>2.674,98</t>
  </si>
  <si>
    <t>98,23</t>
  </si>
  <si>
    <t>78,52</t>
  </si>
  <si>
    <t>2.669,68</t>
  </si>
  <si>
    <t>98,25</t>
  </si>
  <si>
    <t>76,08</t>
  </si>
  <si>
    <t>2.662,80</t>
  </si>
  <si>
    <t>98,26</t>
  </si>
  <si>
    <t>45,68</t>
  </si>
  <si>
    <t>2.649,44</t>
  </si>
  <si>
    <t>98,27</t>
  </si>
  <si>
    <t>657,16</t>
  </si>
  <si>
    <t>2.628,64</t>
  </si>
  <si>
    <t>98,29</t>
  </si>
  <si>
    <t>182,46</t>
  </si>
  <si>
    <t>14,25</t>
  </si>
  <si>
    <t>2.600,05</t>
  </si>
  <si>
    <t>98,30</t>
  </si>
  <si>
    <t>86,65</t>
  </si>
  <si>
    <t>2.599,50</t>
  </si>
  <si>
    <t>98,31</t>
  </si>
  <si>
    <t>99,89</t>
  </si>
  <si>
    <t>2.597,14</t>
  </si>
  <si>
    <t>98,33</t>
  </si>
  <si>
    <t>1.292,08</t>
  </si>
  <si>
    <t>2.584,16</t>
  </si>
  <si>
    <t>98,34</t>
  </si>
  <si>
    <t>170,56</t>
  </si>
  <si>
    <t>2.558,40</t>
  </si>
  <si>
    <t>98,35</t>
  </si>
  <si>
    <t>1.274,08</t>
  </si>
  <si>
    <t>2.548,16</t>
  </si>
  <si>
    <t>98,36</t>
  </si>
  <si>
    <t>98,38</t>
  </si>
  <si>
    <t>631,07</t>
  </si>
  <si>
    <t>2.524,28</t>
  </si>
  <si>
    <t>98,39</t>
  </si>
  <si>
    <t>42,25</t>
  </si>
  <si>
    <t>2.450,50</t>
  </si>
  <si>
    <t>98,40</t>
  </si>
  <si>
    <t>76,37</t>
  </si>
  <si>
    <t>2.443,84</t>
  </si>
  <si>
    <t>98,41</t>
  </si>
  <si>
    <t>70,72</t>
  </si>
  <si>
    <t>34,53</t>
  </si>
  <si>
    <t>2.441,96</t>
  </si>
  <si>
    <t>98,43</t>
  </si>
  <si>
    <t>2.401,73</t>
  </si>
  <si>
    <t>98,44</t>
  </si>
  <si>
    <t>70,30</t>
  </si>
  <si>
    <t>2.390,20</t>
  </si>
  <si>
    <t>98,45</t>
  </si>
  <si>
    <t>27,0</t>
  </si>
  <si>
    <t>87,65</t>
  </si>
  <si>
    <t>2.366,55</t>
  </si>
  <si>
    <t>98,46</t>
  </si>
  <si>
    <t>6,46</t>
  </si>
  <si>
    <t>2.357,90</t>
  </si>
  <si>
    <t>98,47</t>
  </si>
  <si>
    <t>392,64</t>
  </si>
  <si>
    <t>2.355,84</t>
  </si>
  <si>
    <t>98,49</t>
  </si>
  <si>
    <t>98,50</t>
  </si>
  <si>
    <t>2.355,05</t>
  </si>
  <si>
    <t>98,51</t>
  </si>
  <si>
    <t>98,52</t>
  </si>
  <si>
    <t>37,88</t>
  </si>
  <si>
    <t>2.348,56</t>
  </si>
  <si>
    <t>98,53</t>
  </si>
  <si>
    <t>259,44</t>
  </si>
  <si>
    <t>2.334,96</t>
  </si>
  <si>
    <t>98,55</t>
  </si>
  <si>
    <t>2.325,00</t>
  </si>
  <si>
    <t>98,56</t>
  </si>
  <si>
    <t>2.314,72</t>
  </si>
  <si>
    <t>98,57</t>
  </si>
  <si>
    <t>115,09</t>
  </si>
  <si>
    <t>2.301,80</t>
  </si>
  <si>
    <t>98,58</t>
  </si>
  <si>
    <t>2.296,32</t>
  </si>
  <si>
    <t>98,59</t>
  </si>
  <si>
    <t>75,60</t>
  </si>
  <si>
    <t>2.268,00</t>
  </si>
  <si>
    <t>98,60</t>
  </si>
  <si>
    <t>1.132,98</t>
  </si>
  <si>
    <t>2.265,96</t>
  </si>
  <si>
    <t>98,61</t>
  </si>
  <si>
    <t>40,5</t>
  </si>
  <si>
    <t>55,94</t>
  </si>
  <si>
    <t>2.265,57</t>
  </si>
  <si>
    <t>98,63</t>
  </si>
  <si>
    <t>561,95</t>
  </si>
  <si>
    <t>3,98</t>
  </si>
  <si>
    <t>2.236,56</t>
  </si>
  <si>
    <t>98,64</t>
  </si>
  <si>
    <t>2.188,14</t>
  </si>
  <si>
    <t>98,65</t>
  </si>
  <si>
    <t>98,66</t>
  </si>
  <si>
    <t>195,8</t>
  </si>
  <si>
    <t>11,17</t>
  </si>
  <si>
    <t>2.187,08</t>
  </si>
  <si>
    <t>98,67</t>
  </si>
  <si>
    <t>135,82</t>
  </si>
  <si>
    <t>2.173,12</t>
  </si>
  <si>
    <t>98,68</t>
  </si>
  <si>
    <t>1.079,69</t>
  </si>
  <si>
    <t>2.159,38</t>
  </si>
  <si>
    <t>98,69</t>
  </si>
  <si>
    <t>154,0</t>
  </si>
  <si>
    <t>13,99</t>
  </si>
  <si>
    <t>2.154,46</t>
  </si>
  <si>
    <t>98,70</t>
  </si>
  <si>
    <t>64,53</t>
  </si>
  <si>
    <t>2.129,49</t>
  </si>
  <si>
    <t>98,71</t>
  </si>
  <si>
    <t>2.129,21</t>
  </si>
  <si>
    <t>98,72</t>
  </si>
  <si>
    <t>130,89</t>
  </si>
  <si>
    <t>16,14</t>
  </si>
  <si>
    <t>2.112,56</t>
  </si>
  <si>
    <t>98,73</t>
  </si>
  <si>
    <t>40,59</t>
  </si>
  <si>
    <t>2.110,68</t>
  </si>
  <si>
    <t>98,74</t>
  </si>
  <si>
    <t>77,55</t>
  </si>
  <si>
    <t>2.093,85</t>
  </si>
  <si>
    <t>98,76</t>
  </si>
  <si>
    <t>1.037,40</t>
  </si>
  <si>
    <t>2.074,80</t>
  </si>
  <si>
    <t>98,77</t>
  </si>
  <si>
    <t>517,89</t>
  </si>
  <si>
    <t>2.071,56</t>
  </si>
  <si>
    <t>98,78</t>
  </si>
  <si>
    <t>36,03</t>
  </si>
  <si>
    <t>2.053,71</t>
  </si>
  <si>
    <t>98,79</t>
  </si>
  <si>
    <t>35,66</t>
  </si>
  <si>
    <t>57,38</t>
  </si>
  <si>
    <t>2.046,17</t>
  </si>
  <si>
    <t>98,80</t>
  </si>
  <si>
    <t>1.016,79</t>
  </si>
  <si>
    <t>2.033,58</t>
  </si>
  <si>
    <t>98,81</t>
  </si>
  <si>
    <t>10.080,0</t>
  </si>
  <si>
    <t>2.016,00</t>
  </si>
  <si>
    <t>98,82</t>
  </si>
  <si>
    <t>91,15</t>
  </si>
  <si>
    <t>2.005,30</t>
  </si>
  <si>
    <t>98,83</t>
  </si>
  <si>
    <t>399,74</t>
  </si>
  <si>
    <t>1.998,70</t>
  </si>
  <si>
    <t>98,84</t>
  </si>
  <si>
    <t>1.970,86</t>
  </si>
  <si>
    <t>98,85</t>
  </si>
  <si>
    <t>161,0</t>
  </si>
  <si>
    <t>12,15</t>
  </si>
  <si>
    <t>1.956,15</t>
  </si>
  <si>
    <t>98,87</t>
  </si>
  <si>
    <t>57,6</t>
  </si>
  <si>
    <t>1.915,20</t>
  </si>
  <si>
    <t>98,88</t>
  </si>
  <si>
    <t>948,04</t>
  </si>
  <si>
    <t>1.896,08</t>
  </si>
  <si>
    <t>98,89</t>
  </si>
  <si>
    <t>39,40</t>
  </si>
  <si>
    <t>1.891,20</t>
  </si>
  <si>
    <t>79,0</t>
  </si>
  <si>
    <t>23,79</t>
  </si>
  <si>
    <t>1.879,41</t>
  </si>
  <si>
    <t>98,90</t>
  </si>
  <si>
    <t>13,5</t>
  </si>
  <si>
    <t>138,96</t>
  </si>
  <si>
    <t>1.875,96</t>
  </si>
  <si>
    <t>98,91</t>
  </si>
  <si>
    <t>187,29</t>
  </si>
  <si>
    <t>1.872,90</t>
  </si>
  <si>
    <t>98,92</t>
  </si>
  <si>
    <t>310,3</t>
  </si>
  <si>
    <t>6,01</t>
  </si>
  <si>
    <t>1.864,90</t>
  </si>
  <si>
    <t>98,93</t>
  </si>
  <si>
    <t>116,48</t>
  </si>
  <si>
    <t>1.863,68</t>
  </si>
  <si>
    <t>98,94</t>
  </si>
  <si>
    <t>107,0</t>
  </si>
  <si>
    <t>17,33</t>
  </si>
  <si>
    <t>1.854,31</t>
  </si>
  <si>
    <t>98,95</t>
  </si>
  <si>
    <t>63,88</t>
  </si>
  <si>
    <t>1.852,52</t>
  </si>
  <si>
    <t>98,96</t>
  </si>
  <si>
    <t>217,0</t>
  </si>
  <si>
    <t>8,48</t>
  </si>
  <si>
    <t>1.840,16</t>
  </si>
  <si>
    <t>98,97</t>
  </si>
  <si>
    <t>1.833,28</t>
  </si>
  <si>
    <t>98,98</t>
  </si>
  <si>
    <t>20,31</t>
  </si>
  <si>
    <t>1.827,90</t>
  </si>
  <si>
    <t>98,99</t>
  </si>
  <si>
    <t>200,37</t>
  </si>
  <si>
    <t>1.803,33</t>
  </si>
  <si>
    <t>99,00</t>
  </si>
  <si>
    <t>256,68</t>
  </si>
  <si>
    <t>1.796,76</t>
  </si>
  <si>
    <t>99,01</t>
  </si>
  <si>
    <t>52,55</t>
  </si>
  <si>
    <t>1.786,70</t>
  </si>
  <si>
    <t>71,0</t>
  </si>
  <si>
    <t>25,12</t>
  </si>
  <si>
    <t>1.783,52</t>
  </si>
  <si>
    <t>99,02</t>
  </si>
  <si>
    <t>295,50</t>
  </si>
  <si>
    <t>1.773,00</t>
  </si>
  <si>
    <t>99,03</t>
  </si>
  <si>
    <t>23,0</t>
  </si>
  <si>
    <t>1.756,51</t>
  </si>
  <si>
    <t>99,04</t>
  </si>
  <si>
    <t>58,11</t>
  </si>
  <si>
    <t>1.743,30</t>
  </si>
  <si>
    <t>99,05</t>
  </si>
  <si>
    <t>64,14</t>
  </si>
  <si>
    <t>1.731,78</t>
  </si>
  <si>
    <t>99,06</t>
  </si>
  <si>
    <t>287,93</t>
  </si>
  <si>
    <t>1.727,58</t>
  </si>
  <si>
    <t>99,07</t>
  </si>
  <si>
    <t>1.694,54</t>
  </si>
  <si>
    <t>99,08</t>
  </si>
  <si>
    <t>843,58</t>
  </si>
  <si>
    <t>1.687,16</t>
  </si>
  <si>
    <t>420,39</t>
  </si>
  <si>
    <t>1.681,56</t>
  </si>
  <si>
    <t>99,09</t>
  </si>
  <si>
    <t>554,32</t>
  </si>
  <si>
    <t>1.662,96</t>
  </si>
  <si>
    <t>99,10</t>
  </si>
  <si>
    <t>50,30</t>
  </si>
  <si>
    <t>1.659,90</t>
  </si>
  <si>
    <t>99,11</t>
  </si>
  <si>
    <t>48,46</t>
  </si>
  <si>
    <t>33,50</t>
  </si>
  <si>
    <t>1.623,41</t>
  </si>
  <si>
    <t>99,12</t>
  </si>
  <si>
    <t>19,57</t>
  </si>
  <si>
    <t>1.619,22</t>
  </si>
  <si>
    <t>99,13</t>
  </si>
  <si>
    <t>13.460,0</t>
  </si>
  <si>
    <t>1.615,20</t>
  </si>
  <si>
    <t>77,0</t>
  </si>
  <si>
    <t>20,86</t>
  </si>
  <si>
    <t>1.606,22</t>
  </si>
  <si>
    <t>99,14</t>
  </si>
  <si>
    <t>10,40</t>
  </si>
  <si>
    <t>1.601,60</t>
  </si>
  <si>
    <t>99,15</t>
  </si>
  <si>
    <t>3,33</t>
  </si>
  <si>
    <t>1.598,40</t>
  </si>
  <si>
    <t>99,16</t>
  </si>
  <si>
    <t>1.595,16</t>
  </si>
  <si>
    <t>99,17</t>
  </si>
  <si>
    <t>66,11</t>
  </si>
  <si>
    <t>1.586,64</t>
  </si>
  <si>
    <t>71,76</t>
  </si>
  <si>
    <t>1.578,72</t>
  </si>
  <si>
    <t>99,18</t>
  </si>
  <si>
    <t>65,61</t>
  </si>
  <si>
    <t>1.574,64</t>
  </si>
  <si>
    <t>99,19</t>
  </si>
  <si>
    <t>37,5</t>
  </si>
  <si>
    <t>1.574,62</t>
  </si>
  <si>
    <t>99,20</t>
  </si>
  <si>
    <t>785,56</t>
  </si>
  <si>
    <t>1.571,12</t>
  </si>
  <si>
    <t>99,21</t>
  </si>
  <si>
    <t>519,89</t>
  </si>
  <si>
    <t>1.559,67</t>
  </si>
  <si>
    <t>519,12</t>
  </si>
  <si>
    <t>1.557,36</t>
  </si>
  <si>
    <t>99,22</t>
  </si>
  <si>
    <t>1.554,88</t>
  </si>
  <si>
    <t>99,23</t>
  </si>
  <si>
    <t>1.527,60</t>
  </si>
  <si>
    <t>99,24</t>
  </si>
  <si>
    <t>25,5</t>
  </si>
  <si>
    <t>59,64</t>
  </si>
  <si>
    <t>1.520,82</t>
  </si>
  <si>
    <t>502,91</t>
  </si>
  <si>
    <t>1.508,73</t>
  </si>
  <si>
    <t>99,25</t>
  </si>
  <si>
    <t>3,15</t>
  </si>
  <si>
    <t>476,28</t>
  </si>
  <si>
    <t>1.500,28</t>
  </si>
  <si>
    <t>99,26</t>
  </si>
  <si>
    <t>2,7</t>
  </si>
  <si>
    <t>550,56</t>
  </si>
  <si>
    <t>1.486,51</t>
  </si>
  <si>
    <t>99,27</t>
  </si>
  <si>
    <t>87,36</t>
  </si>
  <si>
    <t>1.485,12</t>
  </si>
  <si>
    <t>108,8</t>
  </si>
  <si>
    <t>13,64</t>
  </si>
  <si>
    <t>1.484,03</t>
  </si>
  <si>
    <t>99,28</t>
  </si>
  <si>
    <t>142,61</t>
  </si>
  <si>
    <t>1.426,10</t>
  </si>
  <si>
    <t>99,29</t>
  </si>
  <si>
    <t>64,76</t>
  </si>
  <si>
    <t>1.424,72</t>
  </si>
  <si>
    <t>99,30</t>
  </si>
  <si>
    <t>1.944,21</t>
  </si>
  <si>
    <t>0,73</t>
  </si>
  <si>
    <t>1.419,27</t>
  </si>
  <si>
    <t>1.375,85</t>
  </si>
  <si>
    <t>99,31</t>
  </si>
  <si>
    <t>99,32</t>
  </si>
  <si>
    <t>1.365,86</t>
  </si>
  <si>
    <t>193,94</t>
  </si>
  <si>
    <t>1.357,58</t>
  </si>
  <si>
    <t>99,33</t>
  </si>
  <si>
    <t>1.330,80</t>
  </si>
  <si>
    <t>99,34</t>
  </si>
  <si>
    <t>323,87</t>
  </si>
  <si>
    <t>1.295,48</t>
  </si>
  <si>
    <t>99,35</t>
  </si>
  <si>
    <t>321,47</t>
  </si>
  <si>
    <t>1.285,88</t>
  </si>
  <si>
    <t>99,36</t>
  </si>
  <si>
    <t>100,0</t>
  </si>
  <si>
    <t>12,77</t>
  </si>
  <si>
    <t>1.277,00</t>
  </si>
  <si>
    <t>1.275,00</t>
  </si>
  <si>
    <t>99,37</t>
  </si>
  <si>
    <t>315,89</t>
  </si>
  <si>
    <t>1.263,56</t>
  </si>
  <si>
    <t>99,38</t>
  </si>
  <si>
    <t>6,25</t>
  </si>
  <si>
    <t>201,48</t>
  </si>
  <si>
    <t>1.259,25</t>
  </si>
  <si>
    <t>314,75</t>
  </si>
  <si>
    <t>1.259,00</t>
  </si>
  <si>
    <t>99,39</t>
  </si>
  <si>
    <t>1.254,48</t>
  </si>
  <si>
    <t>6,16</t>
  </si>
  <si>
    <t>202,75</t>
  </si>
  <si>
    <t>1.248,94</t>
  </si>
  <si>
    <t>99,40</t>
  </si>
  <si>
    <t>51,45</t>
  </si>
  <si>
    <t>1.234,80</t>
  </si>
  <si>
    <t>99,41</t>
  </si>
  <si>
    <t>10,8</t>
  </si>
  <si>
    <t>113,90</t>
  </si>
  <si>
    <t>1.230,12</t>
  </si>
  <si>
    <t>47,68</t>
  </si>
  <si>
    <t>1.215,84</t>
  </si>
  <si>
    <t>99,42</t>
  </si>
  <si>
    <t>149,13</t>
  </si>
  <si>
    <t>1.193,04</t>
  </si>
  <si>
    <t>99,43</t>
  </si>
  <si>
    <t>77,94</t>
  </si>
  <si>
    <t>1.169,10</t>
  </si>
  <si>
    <t>292,10</t>
  </si>
  <si>
    <t>1.168,40</t>
  </si>
  <si>
    <t>99,44</t>
  </si>
  <si>
    <t>1.165,26</t>
  </si>
  <si>
    <t>387,00</t>
  </si>
  <si>
    <t>1.161,00</t>
  </si>
  <si>
    <t>99,45</t>
  </si>
  <si>
    <t>98,0</t>
  </si>
  <si>
    <t>11,84</t>
  </si>
  <si>
    <t>1.160,32</t>
  </si>
  <si>
    <t>68,04</t>
  </si>
  <si>
    <t>1.156,68</t>
  </si>
  <si>
    <t>99,46</t>
  </si>
  <si>
    <t>115,52</t>
  </si>
  <si>
    <t>1.155,20</t>
  </si>
  <si>
    <t>99,47</t>
  </si>
  <si>
    <t>1.140,01</t>
  </si>
  <si>
    <t>113,21</t>
  </si>
  <si>
    <t>1.132,10</t>
  </si>
  <si>
    <t>99,48</t>
  </si>
  <si>
    <t>1.131,39</t>
  </si>
  <si>
    <t>16,40</t>
  </si>
  <si>
    <t>1.115,20</t>
  </si>
  <si>
    <t>99,49</t>
  </si>
  <si>
    <t>1.105,22</t>
  </si>
  <si>
    <t>94,0</t>
  </si>
  <si>
    <t>11,71</t>
  </si>
  <si>
    <t>1.100,74</t>
  </si>
  <si>
    <t>99,50</t>
  </si>
  <si>
    <t>0,44</t>
  </si>
  <si>
    <t>1.100,00</t>
  </si>
  <si>
    <t>64,66</t>
  </si>
  <si>
    <t>1.099,22</t>
  </si>
  <si>
    <t>99,51</t>
  </si>
  <si>
    <t>60,97</t>
  </si>
  <si>
    <t>1.097,46</t>
  </si>
  <si>
    <t>99,52</t>
  </si>
  <si>
    <t>1.082,44</t>
  </si>
  <si>
    <t>82,90</t>
  </si>
  <si>
    <t>1.077,70</t>
  </si>
  <si>
    <t>99,53</t>
  </si>
  <si>
    <t>1.077,16</t>
  </si>
  <si>
    <t>1.051,00</t>
  </si>
  <si>
    <t>99,54</t>
  </si>
  <si>
    <t>65,62</t>
  </si>
  <si>
    <t>1.049,92</t>
  </si>
  <si>
    <t>260,18</t>
  </si>
  <si>
    <t>1.040,72</t>
  </si>
  <si>
    <t>99,55</t>
  </si>
  <si>
    <t>172,29</t>
  </si>
  <si>
    <t>1.033,74</t>
  </si>
  <si>
    <t>1.032,01</t>
  </si>
  <si>
    <t>99,56</t>
  </si>
  <si>
    <t>16.976,0</t>
  </si>
  <si>
    <t>1.018,56</t>
  </si>
  <si>
    <t>67,87</t>
  </si>
  <si>
    <t>1.018,05</t>
  </si>
  <si>
    <t>99,57</t>
  </si>
  <si>
    <t>413,0</t>
  </si>
  <si>
    <t>2,44</t>
  </si>
  <si>
    <t>1.007,72</t>
  </si>
  <si>
    <t>990,85</t>
  </si>
  <si>
    <t>0,00</t>
  </si>
  <si>
    <t>99,58</t>
  </si>
  <si>
    <t>30,94</t>
  </si>
  <si>
    <t>990,08</t>
  </si>
  <si>
    <t>9,2</t>
  </si>
  <si>
    <t>107,03</t>
  </si>
  <si>
    <t>984,67</t>
  </si>
  <si>
    <t>99,59</t>
  </si>
  <si>
    <t>194,62</t>
  </si>
  <si>
    <t>973,10</t>
  </si>
  <si>
    <t>64,86</t>
  </si>
  <si>
    <t>972,90</t>
  </si>
  <si>
    <t>99,60</t>
  </si>
  <si>
    <t>971,61</t>
  </si>
  <si>
    <t>40,28</t>
  </si>
  <si>
    <t>966,72</t>
  </si>
  <si>
    <t>99,61</t>
  </si>
  <si>
    <t>1,88</t>
  </si>
  <si>
    <t>940,00</t>
  </si>
  <si>
    <t>115,46</t>
  </si>
  <si>
    <t>923,68</t>
  </si>
  <si>
    <t>99,62</t>
  </si>
  <si>
    <t>57,67</t>
  </si>
  <si>
    <t>922,72</t>
  </si>
  <si>
    <t>904,79</t>
  </si>
  <si>
    <t>99,63</t>
  </si>
  <si>
    <t>42,09</t>
  </si>
  <si>
    <t>883,89</t>
  </si>
  <si>
    <t>15,34</t>
  </si>
  <si>
    <t>874,38</t>
  </si>
  <si>
    <t>99,64</t>
  </si>
  <si>
    <t>864,56</t>
  </si>
  <si>
    <t>85,65</t>
  </si>
  <si>
    <t>856,50</t>
  </si>
  <si>
    <t>46,2</t>
  </si>
  <si>
    <t>18,43</t>
  </si>
  <si>
    <t>851,46</t>
  </si>
  <si>
    <t>50,0</t>
  </si>
  <si>
    <t>16,92</t>
  </si>
  <si>
    <t>846,00</t>
  </si>
  <si>
    <t>23,69</t>
  </si>
  <si>
    <t>844,78</t>
  </si>
  <si>
    <t>99,66</t>
  </si>
  <si>
    <t>139,33</t>
  </si>
  <si>
    <t>835,98</t>
  </si>
  <si>
    <t>6,47</t>
  </si>
  <si>
    <t>808,75</t>
  </si>
  <si>
    <t>134,42</t>
  </si>
  <si>
    <t>806,52</t>
  </si>
  <si>
    <t>99,67</t>
  </si>
  <si>
    <t>395,38</t>
  </si>
  <si>
    <t>790,76</t>
  </si>
  <si>
    <t>785,00</t>
  </si>
  <si>
    <t>99,68</t>
  </si>
  <si>
    <t>775,49</t>
  </si>
  <si>
    <t>766,07</t>
  </si>
  <si>
    <t>763,70</t>
  </si>
  <si>
    <t>99,69</t>
  </si>
  <si>
    <t>40,19</t>
  </si>
  <si>
    <t>763,61</t>
  </si>
  <si>
    <t>69,03</t>
  </si>
  <si>
    <t>759,33</t>
  </si>
  <si>
    <t>99,70</t>
  </si>
  <si>
    <t>187,19</t>
  </si>
  <si>
    <t>748,76</t>
  </si>
  <si>
    <t>74,78</t>
  </si>
  <si>
    <t>747,80</t>
  </si>
  <si>
    <t>14,83</t>
  </si>
  <si>
    <t>741,50</t>
  </si>
  <si>
    <t>99,71</t>
  </si>
  <si>
    <t>182,29</t>
  </si>
  <si>
    <t>729,16</t>
  </si>
  <si>
    <t>120,65</t>
  </si>
  <si>
    <t>723,90</t>
  </si>
  <si>
    <t>361,69</t>
  </si>
  <si>
    <t>723,38</t>
  </si>
  <si>
    <t>99,72</t>
  </si>
  <si>
    <t>120,19</t>
  </si>
  <si>
    <t>721,14</t>
  </si>
  <si>
    <t>1,44</t>
  </si>
  <si>
    <t>720,00</t>
  </si>
  <si>
    <t>99,73</t>
  </si>
  <si>
    <t>35,15</t>
  </si>
  <si>
    <t>703,00</t>
  </si>
  <si>
    <t>115,45</t>
  </si>
  <si>
    <t>692,70</t>
  </si>
  <si>
    <t>23,05</t>
  </si>
  <si>
    <t>691,50</t>
  </si>
  <si>
    <t>99,74</t>
  </si>
  <si>
    <t>172,67</t>
  </si>
  <si>
    <t>690,68</t>
  </si>
  <si>
    <t>167,79</t>
  </si>
  <si>
    <t>671,16</t>
  </si>
  <si>
    <t>132,96</t>
  </si>
  <si>
    <t>664,80</t>
  </si>
  <si>
    <t>99,75</t>
  </si>
  <si>
    <t>110,56</t>
  </si>
  <si>
    <t>663,36</t>
  </si>
  <si>
    <t>66,30</t>
  </si>
  <si>
    <t>663,00</t>
  </si>
  <si>
    <t>328,13</t>
  </si>
  <si>
    <t>656,26</t>
  </si>
  <si>
    <t>99,76</t>
  </si>
  <si>
    <t>651,00</t>
  </si>
  <si>
    <t>211,65</t>
  </si>
  <si>
    <t>634,95</t>
  </si>
  <si>
    <t>41,35</t>
  </si>
  <si>
    <t>620,25</t>
  </si>
  <si>
    <t>99,77</t>
  </si>
  <si>
    <t>618,80</t>
  </si>
  <si>
    <t>76,87</t>
  </si>
  <si>
    <t>614,96</t>
  </si>
  <si>
    <t>85,91</t>
  </si>
  <si>
    <t>601,37</t>
  </si>
  <si>
    <t>42,83</t>
  </si>
  <si>
    <t>599,62</t>
  </si>
  <si>
    <t>59,70</t>
  </si>
  <si>
    <t>597,00</t>
  </si>
  <si>
    <t>580,82</t>
  </si>
  <si>
    <t>99,79</t>
  </si>
  <si>
    <t>23,23</t>
  </si>
  <si>
    <t>580,75</t>
  </si>
  <si>
    <t>5,83</t>
  </si>
  <si>
    <t>579,61</t>
  </si>
  <si>
    <t>17,39</t>
  </si>
  <si>
    <t>573,87</t>
  </si>
  <si>
    <t>99,80</t>
  </si>
  <si>
    <t>572,85</t>
  </si>
  <si>
    <t>566,40</t>
  </si>
  <si>
    <t>127,35</t>
  </si>
  <si>
    <t>4,44</t>
  </si>
  <si>
    <t>565,43</t>
  </si>
  <si>
    <t>99,81</t>
  </si>
  <si>
    <t>28,27</t>
  </si>
  <si>
    <t>565,40</t>
  </si>
  <si>
    <t>136,75</t>
  </si>
  <si>
    <t>547,00</t>
  </si>
  <si>
    <t>544,78</t>
  </si>
  <si>
    <t>54,37</t>
  </si>
  <si>
    <t>543,70</t>
  </si>
  <si>
    <t>99,82</t>
  </si>
  <si>
    <t>89,76</t>
  </si>
  <si>
    <t>538,56</t>
  </si>
  <si>
    <t>14,41</t>
  </si>
  <si>
    <t>533,17</t>
  </si>
  <si>
    <t>88,36</t>
  </si>
  <si>
    <t>530,16</t>
  </si>
  <si>
    <t>99,83</t>
  </si>
  <si>
    <t>518,73</t>
  </si>
  <si>
    <t>253,46</t>
  </si>
  <si>
    <t>506,92</t>
  </si>
  <si>
    <t>42,03</t>
  </si>
  <si>
    <t>504,36</t>
  </si>
  <si>
    <t>83,02</t>
  </si>
  <si>
    <t>498,12</t>
  </si>
  <si>
    <t>99,84</t>
  </si>
  <si>
    <t>165,47</t>
  </si>
  <si>
    <t>496,41</t>
  </si>
  <si>
    <t>245,64</t>
  </si>
  <si>
    <t>491,28</t>
  </si>
  <si>
    <t>163,00</t>
  </si>
  <si>
    <t>489,00</t>
  </si>
  <si>
    <t>487,90</t>
  </si>
  <si>
    <t>99,85</t>
  </si>
  <si>
    <t>242,90</t>
  </si>
  <si>
    <t>485,80</t>
  </si>
  <si>
    <t>120,91</t>
  </si>
  <si>
    <t>483,64</t>
  </si>
  <si>
    <t>0,5925</t>
  </si>
  <si>
    <t>787,69</t>
  </si>
  <si>
    <t>466,70</t>
  </si>
  <si>
    <t>465,00</t>
  </si>
  <si>
    <t>99,86</t>
  </si>
  <si>
    <t>168,7</t>
  </si>
  <si>
    <t>2,71</t>
  </si>
  <si>
    <t>457,17</t>
  </si>
  <si>
    <t>449,14</t>
  </si>
  <si>
    <t>4.972,0</t>
  </si>
  <si>
    <t>447,48</t>
  </si>
  <si>
    <t>20,66</t>
  </si>
  <si>
    <t>433,86</t>
  </si>
  <si>
    <t>432,54</t>
  </si>
  <si>
    <t>99,87</t>
  </si>
  <si>
    <t>17,77</t>
  </si>
  <si>
    <t>426,48</t>
  </si>
  <si>
    <t>420,50</t>
  </si>
  <si>
    <t>15,98</t>
  </si>
  <si>
    <t>415,48</t>
  </si>
  <si>
    <t>46,15</t>
  </si>
  <si>
    <t>415,35</t>
  </si>
  <si>
    <t>207,31</t>
  </si>
  <si>
    <t>414,62</t>
  </si>
  <si>
    <t>99,88</t>
  </si>
  <si>
    <t>67,77</t>
  </si>
  <si>
    <t>406,62</t>
  </si>
  <si>
    <t>33,26</t>
  </si>
  <si>
    <t>399,12</t>
  </si>
  <si>
    <t>79,65</t>
  </si>
  <si>
    <t>398,25</t>
  </si>
  <si>
    <t>32,61</t>
  </si>
  <si>
    <t>391,32</t>
  </si>
  <si>
    <t>191,62</t>
  </si>
  <si>
    <t>383,24</t>
  </si>
  <si>
    <t>191,22</t>
  </si>
  <si>
    <t>382,44</t>
  </si>
  <si>
    <t>38,01</t>
  </si>
  <si>
    <t>380,10</t>
  </si>
  <si>
    <t>15,75</t>
  </si>
  <si>
    <t>378,00</t>
  </si>
  <si>
    <t>372,31</t>
  </si>
  <si>
    <t>30,99</t>
  </si>
  <si>
    <t>371,88</t>
  </si>
  <si>
    <t>99,90</t>
  </si>
  <si>
    <t>43,0</t>
  </si>
  <si>
    <t>8,60</t>
  </si>
  <si>
    <t>369,80</t>
  </si>
  <si>
    <t>182,47</t>
  </si>
  <si>
    <t>364,94</t>
  </si>
  <si>
    <t>38,04</t>
  </si>
  <si>
    <t>9,50</t>
  </si>
  <si>
    <t>361,38</t>
  </si>
  <si>
    <t>10,49</t>
  </si>
  <si>
    <t>356,66</t>
  </si>
  <si>
    <t>35,53</t>
  </si>
  <si>
    <t>355,30</t>
  </si>
  <si>
    <t>99,91</t>
  </si>
  <si>
    <t>10,75</t>
  </si>
  <si>
    <t>354,75</t>
  </si>
  <si>
    <t>35,42</t>
  </si>
  <si>
    <t>354,20</t>
  </si>
  <si>
    <t>4,1</t>
  </si>
  <si>
    <t>84,45</t>
  </si>
  <si>
    <t>346,24</t>
  </si>
  <si>
    <t>57,63</t>
  </si>
  <si>
    <t>345,78</t>
  </si>
  <si>
    <t>336,0</t>
  </si>
  <si>
    <t>1,01</t>
  </si>
  <si>
    <t>339,36</t>
  </si>
  <si>
    <t>111,65</t>
  </si>
  <si>
    <t>334,95</t>
  </si>
  <si>
    <t>99,92</t>
  </si>
  <si>
    <t>46,93</t>
  </si>
  <si>
    <t>328,51</t>
  </si>
  <si>
    <t>21,36</t>
  </si>
  <si>
    <t>15,37</t>
  </si>
  <si>
    <t>328,30</t>
  </si>
  <si>
    <t>326,27</t>
  </si>
  <si>
    <t>7,5</t>
  </si>
  <si>
    <t>42,98</t>
  </si>
  <si>
    <t>322,35</t>
  </si>
  <si>
    <t>106,65</t>
  </si>
  <si>
    <t>319,95</t>
  </si>
  <si>
    <t>19,8</t>
  </si>
  <si>
    <t>15,92</t>
  </si>
  <si>
    <t>315,21</t>
  </si>
  <si>
    <t>99,93</t>
  </si>
  <si>
    <t>6,56</t>
  </si>
  <si>
    <t>314,88</t>
  </si>
  <si>
    <t>44,53</t>
  </si>
  <si>
    <t>311,71</t>
  </si>
  <si>
    <t>310,00</t>
  </si>
  <si>
    <t>153,88</t>
  </si>
  <si>
    <t>307,76</t>
  </si>
  <si>
    <t>30,74</t>
  </si>
  <si>
    <t>307,40</t>
  </si>
  <si>
    <t>40,48</t>
  </si>
  <si>
    <t>303,60</t>
  </si>
  <si>
    <t>300,00</t>
  </si>
  <si>
    <t>99,94</t>
  </si>
  <si>
    <t>72,45</t>
  </si>
  <si>
    <t>289,80</t>
  </si>
  <si>
    <t>286,07</t>
  </si>
  <si>
    <t>68,30</t>
  </si>
  <si>
    <t>273,20</t>
  </si>
  <si>
    <t>2,77</t>
  </si>
  <si>
    <t>273,01</t>
  </si>
  <si>
    <t>130,60</t>
  </si>
  <si>
    <t>261,20</t>
  </si>
  <si>
    <t>129,24</t>
  </si>
  <si>
    <t>258,48</t>
  </si>
  <si>
    <t>99,95</t>
  </si>
  <si>
    <t>25,64</t>
  </si>
  <si>
    <t>256,40</t>
  </si>
  <si>
    <t>42,30</t>
  </si>
  <si>
    <t>253,80</t>
  </si>
  <si>
    <t>250,62</t>
  </si>
  <si>
    <t>40,68</t>
  </si>
  <si>
    <t>244,08</t>
  </si>
  <si>
    <t>34,56</t>
  </si>
  <si>
    <t>241,92</t>
  </si>
  <si>
    <t>40,23</t>
  </si>
  <si>
    <t>241,38</t>
  </si>
  <si>
    <t>57,93</t>
  </si>
  <si>
    <t>231,72</t>
  </si>
  <si>
    <t>114,65</t>
  </si>
  <si>
    <t>229,30</t>
  </si>
  <si>
    <t>99,96</t>
  </si>
  <si>
    <t>11,98</t>
  </si>
  <si>
    <t>227,62</t>
  </si>
  <si>
    <t>224,03</t>
  </si>
  <si>
    <t>12,76</t>
  </si>
  <si>
    <t>216,92</t>
  </si>
  <si>
    <t>34,93</t>
  </si>
  <si>
    <t>209,58</t>
  </si>
  <si>
    <t>51,96</t>
  </si>
  <si>
    <t>207,84</t>
  </si>
  <si>
    <t>103,31</t>
  </si>
  <si>
    <t>206,62</t>
  </si>
  <si>
    <t>13,91</t>
  </si>
  <si>
    <t>194,74</t>
  </si>
  <si>
    <t>12,45</t>
  </si>
  <si>
    <t>186,75</t>
  </si>
  <si>
    <t>186,62</t>
  </si>
  <si>
    <t>93,28</t>
  </si>
  <si>
    <t>186,56</t>
  </si>
  <si>
    <t>99,97</t>
  </si>
  <si>
    <t>23,21</t>
  </si>
  <si>
    <t>185,68</t>
  </si>
  <si>
    <t>29,96</t>
  </si>
  <si>
    <t>184,55</t>
  </si>
  <si>
    <t>344,76</t>
  </si>
  <si>
    <t>182,72</t>
  </si>
  <si>
    <t>88,94</t>
  </si>
  <si>
    <t>177,88</t>
  </si>
  <si>
    <t>177,03</t>
  </si>
  <si>
    <t>14,27</t>
  </si>
  <si>
    <t>171,24</t>
  </si>
  <si>
    <t>56,33</t>
  </si>
  <si>
    <t>168,99</t>
  </si>
  <si>
    <t>42,15</t>
  </si>
  <si>
    <t>168,60</t>
  </si>
  <si>
    <t>99,98</t>
  </si>
  <si>
    <t>77,73</t>
  </si>
  <si>
    <t>155,46</t>
  </si>
  <si>
    <t>151,91</t>
  </si>
  <si>
    <t>75,31</t>
  </si>
  <si>
    <t>150,62</t>
  </si>
  <si>
    <t>24,56</t>
  </si>
  <si>
    <t>147,36</t>
  </si>
  <si>
    <t>14,64</t>
  </si>
  <si>
    <t>146,40</t>
  </si>
  <si>
    <t>145,56</t>
  </si>
  <si>
    <t>36,24</t>
  </si>
  <si>
    <t>144,96</t>
  </si>
  <si>
    <t>70,86</t>
  </si>
  <si>
    <t>141,72</t>
  </si>
  <si>
    <t>70,04</t>
  </si>
  <si>
    <t>140,08</t>
  </si>
  <si>
    <t>64,67</t>
  </si>
  <si>
    <t>129,34</t>
  </si>
  <si>
    <t>63,29</t>
  </si>
  <si>
    <t>126,58</t>
  </si>
  <si>
    <t>20,97</t>
  </si>
  <si>
    <t>125,82</t>
  </si>
  <si>
    <t>12,33</t>
  </si>
  <si>
    <t>123,30</t>
  </si>
  <si>
    <t>121,99</t>
  </si>
  <si>
    <t>99,99</t>
  </si>
  <si>
    <t>60,31</t>
  </si>
  <si>
    <t>120,62</t>
  </si>
  <si>
    <t>130,0</t>
  </si>
  <si>
    <t>0,89</t>
  </si>
  <si>
    <t>115,70</t>
  </si>
  <si>
    <t>5,75</t>
  </si>
  <si>
    <t>115,00</t>
  </si>
  <si>
    <t>112,71</t>
  </si>
  <si>
    <t>110,21</t>
  </si>
  <si>
    <t>108,66</t>
  </si>
  <si>
    <t>106,62</t>
  </si>
  <si>
    <t>34,60</t>
  </si>
  <si>
    <t>103,80</t>
  </si>
  <si>
    <t>48,95</t>
  </si>
  <si>
    <t>97,90</t>
  </si>
  <si>
    <t>24,29</t>
  </si>
  <si>
    <t>97,16</t>
  </si>
  <si>
    <t>93,69</t>
  </si>
  <si>
    <t>45,37</t>
  </si>
  <si>
    <t>90,74</t>
  </si>
  <si>
    <t>14,92</t>
  </si>
  <si>
    <t>89,52</t>
  </si>
  <si>
    <t>14,90</t>
  </si>
  <si>
    <t>89,40</t>
  </si>
  <si>
    <t>14,88</t>
  </si>
  <si>
    <t>10,35</t>
  </si>
  <si>
    <t>8,42</t>
  </si>
  <si>
    <t>87,14</t>
  </si>
  <si>
    <t>28,28</t>
  </si>
  <si>
    <t>84,84</t>
  </si>
  <si>
    <t>84,16</t>
  </si>
  <si>
    <t>1,5</t>
  </si>
  <si>
    <t>55,95</t>
  </si>
  <si>
    <t>83,92</t>
  </si>
  <si>
    <t>100,00</t>
  </si>
  <si>
    <t>41,21</t>
  </si>
  <si>
    <t>82,42</t>
  </si>
  <si>
    <t>82,27</t>
  </si>
  <si>
    <t>76,60</t>
  </si>
  <si>
    <t>23,71</t>
  </si>
  <si>
    <t>71,13</t>
  </si>
  <si>
    <t>17,07</t>
  </si>
  <si>
    <t>68,28</t>
  </si>
  <si>
    <t>32,44</t>
  </si>
  <si>
    <t>64,88</t>
  </si>
  <si>
    <t>58,50</t>
  </si>
  <si>
    <t>27,78</t>
  </si>
  <si>
    <t>55,56</t>
  </si>
  <si>
    <t>55,47</t>
  </si>
  <si>
    <t>54,23</t>
  </si>
  <si>
    <t>10,82</t>
  </si>
  <si>
    <t>43,28</t>
  </si>
  <si>
    <t>21,47</t>
  </si>
  <si>
    <t>42,94</t>
  </si>
  <si>
    <t>42,28</t>
  </si>
  <si>
    <t>18,41</t>
  </si>
  <si>
    <t>36,82</t>
  </si>
  <si>
    <t>30,61</t>
  </si>
  <si>
    <t>28,08</t>
  </si>
  <si>
    <t>22,60</t>
  </si>
  <si>
    <t>2,13</t>
  </si>
  <si>
    <t>21,30</t>
  </si>
  <si>
    <t>19,72</t>
  </si>
  <si>
    <t>CURVA ABC DE INSUMOS</t>
  </si>
  <si>
    <t>Curva ABC de Insumos</t>
  </si>
  <si>
    <t>Quantidade</t>
  </si>
  <si>
    <t>Valor  Unitário</t>
  </si>
  <si>
    <t>Peso</t>
  </si>
  <si>
    <t>Valor Acumulado</t>
  </si>
  <si>
    <t>Peso Acumulado</t>
  </si>
  <si>
    <t>Operativa</t>
  </si>
  <si>
    <t>Improdutiva</t>
  </si>
  <si>
    <t>Geral</t>
  </si>
  <si>
    <t>1,0000000</t>
  </si>
  <si>
    <t>4,85%</t>
  </si>
  <si>
    <t>0,0000000</t>
  </si>
  <si>
    <t>817.969,85</t>
  </si>
  <si>
    <t>4,28%</t>
  </si>
  <si>
    <t>9,13%</t>
  </si>
  <si>
    <t>2.213,4105000</t>
  </si>
  <si>
    <t>325,36</t>
  </si>
  <si>
    <t>720.155,24</t>
  </si>
  <si>
    <t>3,61%</t>
  </si>
  <si>
    <t>12,74%</t>
  </si>
  <si>
    <t>2,83%</t>
  </si>
  <si>
    <t>15,56%</t>
  </si>
  <si>
    <t>17.771,0948861</t>
  </si>
  <si>
    <t>25,81</t>
  </si>
  <si>
    <t>458.671,96</t>
  </si>
  <si>
    <t>2,30%</t>
  </si>
  <si>
    <t>17,86%</t>
  </si>
  <si>
    <t>87.457,6064150</t>
  </si>
  <si>
    <t>4,84</t>
  </si>
  <si>
    <t>423.294,82</t>
  </si>
  <si>
    <t>2,12%</t>
  </si>
  <si>
    <t>19,98%</t>
  </si>
  <si>
    <t>2,00%</t>
  </si>
  <si>
    <t>21,98%</t>
  </si>
  <si>
    <t>11.320,8677200</t>
  </si>
  <si>
    <t>34,92</t>
  </si>
  <si>
    <t>395.324,70</t>
  </si>
  <si>
    <t>1,98%</t>
  </si>
  <si>
    <t>23,96%</t>
  </si>
  <si>
    <t>18.945,5940978</t>
  </si>
  <si>
    <t>18,83</t>
  </si>
  <si>
    <t>356.745,54</t>
  </si>
  <si>
    <t>1,79%</t>
  </si>
  <si>
    <t>25,75%</t>
  </si>
  <si>
    <t>17.391,6879630</t>
  </si>
  <si>
    <t>19,82</t>
  </si>
  <si>
    <t>344.703,26</t>
  </si>
  <si>
    <t>1,73%</t>
  </si>
  <si>
    <t>27,47%</t>
  </si>
  <si>
    <t>12,1334400</t>
  </si>
  <si>
    <t>23.997,99</t>
  </si>
  <si>
    <t>291.178,17</t>
  </si>
  <si>
    <t>1,46%</t>
  </si>
  <si>
    <t>28,93%</t>
  </si>
  <si>
    <t>1.516,2600000</t>
  </si>
  <si>
    <t>188,43</t>
  </si>
  <si>
    <t>285.708,87</t>
  </si>
  <si>
    <t>1,43%</t>
  </si>
  <si>
    <t>30,36%</t>
  </si>
  <si>
    <t>670,7400000</t>
  </si>
  <si>
    <t>420,23</t>
  </si>
  <si>
    <t>281.865,07</t>
  </si>
  <si>
    <t>1,41%</t>
  </si>
  <si>
    <t>31,77%</t>
  </si>
  <si>
    <t>1,34%</t>
  </si>
  <si>
    <t>33,11%</t>
  </si>
  <si>
    <t>21.559,39</t>
  </si>
  <si>
    <t>261.589,57</t>
  </si>
  <si>
    <t>1,31%</t>
  </si>
  <si>
    <t>34,42%</t>
  </si>
  <si>
    <t>4,0000000</t>
  </si>
  <si>
    <t>61.283,09</t>
  </si>
  <si>
    <t>245.132,36</t>
  </si>
  <si>
    <t>1,23%</t>
  </si>
  <si>
    <t>35,65%</t>
  </si>
  <si>
    <t>8.978,2120687</t>
  </si>
  <si>
    <t>231.727,65</t>
  </si>
  <si>
    <t>1,16%</t>
  </si>
  <si>
    <t>36,81%</t>
  </si>
  <si>
    <t>882,0000000</t>
  </si>
  <si>
    <t>260,31</t>
  </si>
  <si>
    <t>229.593,42</t>
  </si>
  <si>
    <t>1,15%</t>
  </si>
  <si>
    <t>37,96%</t>
  </si>
  <si>
    <t>88.001,2420856</t>
  </si>
  <si>
    <t>2,38</t>
  </si>
  <si>
    <t>209.442,96</t>
  </si>
  <si>
    <t>1,05%</t>
  </si>
  <si>
    <t>39,01%</t>
  </si>
  <si>
    <t>27.033,7200000</t>
  </si>
  <si>
    <t>7,63</t>
  </si>
  <si>
    <t>206.267,28</t>
  </si>
  <si>
    <t>1,03%</t>
  </si>
  <si>
    <t>40,04%</t>
  </si>
  <si>
    <t>196.244,38</t>
  </si>
  <si>
    <t>41,07%</t>
  </si>
  <si>
    <t>9.902,2800000</t>
  </si>
  <si>
    <t>20,20</t>
  </si>
  <si>
    <t>200.026,06</t>
  </si>
  <si>
    <t>1,00%</t>
  </si>
  <si>
    <t>42,07%</t>
  </si>
  <si>
    <t>2,0000000</t>
  </si>
  <si>
    <t>94.978,13</t>
  </si>
  <si>
    <t>189.956,26</t>
  </si>
  <si>
    <t>0,95%</t>
  </si>
  <si>
    <t>43,02%</t>
  </si>
  <si>
    <t>177.218,85</t>
  </si>
  <si>
    <t>0,93%</t>
  </si>
  <si>
    <t>43,95%</t>
  </si>
  <si>
    <t>182.766,30</t>
  </si>
  <si>
    <t>0,92%</t>
  </si>
  <si>
    <t>44,87%</t>
  </si>
  <si>
    <t>113,0000000</t>
  </si>
  <si>
    <t>1.570,03</t>
  </si>
  <si>
    <t>1.354,05</t>
  </si>
  <si>
    <t>177.413,39</t>
  </si>
  <si>
    <t>0,89%</t>
  </si>
  <si>
    <t>45,75%</t>
  </si>
  <si>
    <t>9.010,6253762</t>
  </si>
  <si>
    <t>19,16</t>
  </si>
  <si>
    <t>172.643,58</t>
  </si>
  <si>
    <t>0,86%</t>
  </si>
  <si>
    <t>46,62%</t>
  </si>
  <si>
    <t>149.407,21</t>
  </si>
  <si>
    <t>0,78%</t>
  </si>
  <si>
    <t>47,40%</t>
  </si>
  <si>
    <t>3.885,1506000</t>
  </si>
  <si>
    <t>39,17</t>
  </si>
  <si>
    <t>152.181,35</t>
  </si>
  <si>
    <t>0,76%</t>
  </si>
  <si>
    <t>48,16%</t>
  </si>
  <si>
    <t>1.117,3785000</t>
  </si>
  <si>
    <t>135,05</t>
  </si>
  <si>
    <t>150.901,97</t>
  </si>
  <si>
    <t>48,92%</t>
  </si>
  <si>
    <t>2.810,2305000</t>
  </si>
  <si>
    <t>53,39</t>
  </si>
  <si>
    <t>150.038,21</t>
  </si>
  <si>
    <t>0,75%</t>
  </si>
  <si>
    <t>49,67%</t>
  </si>
  <si>
    <t>645,7500000</t>
  </si>
  <si>
    <t>223,48</t>
  </si>
  <si>
    <t>144.312,21</t>
  </si>
  <si>
    <t>0,72%</t>
  </si>
  <si>
    <t>50,39%</t>
  </si>
  <si>
    <t>1,58</t>
  </si>
  <si>
    <t>138.183,02</t>
  </si>
  <si>
    <t>0,69%</t>
  </si>
  <si>
    <t>51,09%</t>
  </si>
  <si>
    <t>0,66%</t>
  </si>
  <si>
    <t>51,75%</t>
  </si>
  <si>
    <t>12,1916400</t>
  </si>
  <si>
    <t>10.293,36</t>
  </si>
  <si>
    <t>125.492,94</t>
  </si>
  <si>
    <t>0,63%</t>
  </si>
  <si>
    <t>52,37%</t>
  </si>
  <si>
    <t>87.504,3064150</t>
  </si>
  <si>
    <t>1,43</t>
  </si>
  <si>
    <t>125.131,16</t>
  </si>
  <si>
    <t>53,00%</t>
  </si>
  <si>
    <t>119,7500000</t>
  </si>
  <si>
    <t>1.038,43</t>
  </si>
  <si>
    <t>124.351,99</t>
  </si>
  <si>
    <t>0,62%</t>
  </si>
  <si>
    <t>53,62%</t>
  </si>
  <si>
    <t>605,0000000</t>
  </si>
  <si>
    <t>179,22</t>
  </si>
  <si>
    <t>108.428,10</t>
  </si>
  <si>
    <t>0,54%</t>
  </si>
  <si>
    <t>54,17%</t>
  </si>
  <si>
    <t>792,1077807</t>
  </si>
  <si>
    <t>130,31</t>
  </si>
  <si>
    <t>103.219,56</t>
  </si>
  <si>
    <t>0,52%</t>
  </si>
  <si>
    <t>54,68%</t>
  </si>
  <si>
    <t>169,0353000</t>
  </si>
  <si>
    <t>579,38</t>
  </si>
  <si>
    <t>97.935,67</t>
  </si>
  <si>
    <t>0,49%</t>
  </si>
  <si>
    <t>55,18%</t>
  </si>
  <si>
    <t>46,0000000</t>
  </si>
  <si>
    <t>2.073,00</t>
  </si>
  <si>
    <t>95.358,00</t>
  </si>
  <si>
    <t>0,48%</t>
  </si>
  <si>
    <t>55,65%</t>
  </si>
  <si>
    <t>46.620,00</t>
  </si>
  <si>
    <t>93.240,00</t>
  </si>
  <si>
    <t>0,47%</t>
  </si>
  <si>
    <t>56,12%</t>
  </si>
  <si>
    <t>7.491,62</t>
  </si>
  <si>
    <t>91.335,13</t>
  </si>
  <si>
    <t>0,46%</t>
  </si>
  <si>
    <t>56,58%</t>
  </si>
  <si>
    <t>1.154,0250000</t>
  </si>
  <si>
    <t>77,50</t>
  </si>
  <si>
    <t>89.436,94</t>
  </si>
  <si>
    <t>0,45%</t>
  </si>
  <si>
    <t>57,03%</t>
  </si>
  <si>
    <t>3.373,1565854</t>
  </si>
  <si>
    <t>26,39</t>
  </si>
  <si>
    <t>89.017,60</t>
  </si>
  <si>
    <t>57,47%</t>
  </si>
  <si>
    <t>12,1624800</t>
  </si>
  <si>
    <t>7.234,28</t>
  </si>
  <si>
    <t>87.986,79</t>
  </si>
  <si>
    <t>0,44%</t>
  </si>
  <si>
    <t>57,91%</t>
  </si>
  <si>
    <t>682,1815000</t>
  </si>
  <si>
    <t>126,81</t>
  </si>
  <si>
    <t>86.507,44</t>
  </si>
  <si>
    <t>0,43%</t>
  </si>
  <si>
    <t>58,35%</t>
  </si>
  <si>
    <t>14,0876400</t>
  </si>
  <si>
    <t>6.137,22</t>
  </si>
  <si>
    <t>86.458,95</t>
  </si>
  <si>
    <t>58,78%</t>
  </si>
  <si>
    <t>144,0000000</t>
  </si>
  <si>
    <t>587,00</t>
  </si>
  <si>
    <t>84.528,00</t>
  </si>
  <si>
    <t>0,42%</t>
  </si>
  <si>
    <t>59,20%</t>
  </si>
  <si>
    <t>559,9800000</t>
  </si>
  <si>
    <t>150,29</t>
  </si>
  <si>
    <t>84.159,39</t>
  </si>
  <si>
    <t>59,62%</t>
  </si>
  <si>
    <t>83.783,21</t>
  </si>
  <si>
    <t>60,04%</t>
  </si>
  <si>
    <t>24,3832800</t>
  </si>
  <si>
    <t>3.309,86</t>
  </si>
  <si>
    <t>80.705,24</t>
  </si>
  <si>
    <t>0,40%</t>
  </si>
  <si>
    <t>60,45%</t>
  </si>
  <si>
    <t>75.784,60</t>
  </si>
  <si>
    <t>60,84%</t>
  </si>
  <si>
    <t>61,24%</t>
  </si>
  <si>
    <t>72.373,60</t>
  </si>
  <si>
    <t>0,38%</t>
  </si>
  <si>
    <t>61,62%</t>
  </si>
  <si>
    <t>62,00%</t>
  </si>
  <si>
    <t>2.627,8472400</t>
  </si>
  <si>
    <t>28,55</t>
  </si>
  <si>
    <t>75.025,04</t>
  </si>
  <si>
    <t>62,37%</t>
  </si>
  <si>
    <t>253,0000000</t>
  </si>
  <si>
    <t>291,57</t>
  </si>
  <si>
    <t>73.767,21</t>
  </si>
  <si>
    <t>0,37%</t>
  </si>
  <si>
    <t>62,74%</t>
  </si>
  <si>
    <t>39,0000000</t>
  </si>
  <si>
    <t>1.885,82</t>
  </si>
  <si>
    <t>73.546,98</t>
  </si>
  <si>
    <t>63,11%</t>
  </si>
  <si>
    <t>351,8970000</t>
  </si>
  <si>
    <t>207,00</t>
  </si>
  <si>
    <t>72.842,68</t>
  </si>
  <si>
    <t>0,36%</t>
  </si>
  <si>
    <t>63,48%</t>
  </si>
  <si>
    <t>63,84%</t>
  </si>
  <si>
    <t>963,5395000</t>
  </si>
  <si>
    <t>74,69</t>
  </si>
  <si>
    <t>71.966,77</t>
  </si>
  <si>
    <t>64,20%</t>
  </si>
  <si>
    <t>2.165,1551060</t>
  </si>
  <si>
    <t>32,47</t>
  </si>
  <si>
    <t>70.302,59</t>
  </si>
  <si>
    <t>0,35%</t>
  </si>
  <si>
    <t>64,55%</t>
  </si>
  <si>
    <t>1.704,9413520</t>
  </si>
  <si>
    <t>41,04</t>
  </si>
  <si>
    <t>69.970,79</t>
  </si>
  <si>
    <t>64,90%</t>
  </si>
  <si>
    <t>3.403,7928664</t>
  </si>
  <si>
    <t>20,15</t>
  </si>
  <si>
    <t>68.586,43</t>
  </si>
  <si>
    <t>0,34%</t>
  </si>
  <si>
    <t>65,24%</t>
  </si>
  <si>
    <t>2.360,0779200</t>
  </si>
  <si>
    <t>28,99</t>
  </si>
  <si>
    <t>68.429,86</t>
  </si>
  <si>
    <t>65,59%</t>
  </si>
  <si>
    <t>5.409,52</t>
  </si>
  <si>
    <t>65.950,92</t>
  </si>
  <si>
    <t>0,33%</t>
  </si>
  <si>
    <t>65,92%</t>
  </si>
  <si>
    <t>132,8206390</t>
  </si>
  <si>
    <t>490,00</t>
  </si>
  <si>
    <t>65.082,11</t>
  </si>
  <si>
    <t>66,24%</t>
  </si>
  <si>
    <t>2.449,5769000</t>
  </si>
  <si>
    <t>26,52</t>
  </si>
  <si>
    <t>64.962,78</t>
  </si>
  <si>
    <t>66,57%</t>
  </si>
  <si>
    <t>12,0459600</t>
  </si>
  <si>
    <t>5.315,23</t>
  </si>
  <si>
    <t>64.027,05</t>
  </si>
  <si>
    <t>0,32%</t>
  </si>
  <si>
    <t>66,89%</t>
  </si>
  <si>
    <t>1.522,0000000</t>
  </si>
  <si>
    <t>42,00</t>
  </si>
  <si>
    <t>63.924,00</t>
  </si>
  <si>
    <t>67,21%</t>
  </si>
  <si>
    <t>731,0249640</t>
  </si>
  <si>
    <t>84,18</t>
  </si>
  <si>
    <t>61.537,68</t>
  </si>
  <si>
    <t>0,31%</t>
  </si>
  <si>
    <t>67,52%</t>
  </si>
  <si>
    <t>1.646,8375000</t>
  </si>
  <si>
    <t>59.450,83</t>
  </si>
  <si>
    <t>0,30%</t>
  </si>
  <si>
    <t>67,82%</t>
  </si>
  <si>
    <t>2.365,7799000</t>
  </si>
  <si>
    <t>24,99</t>
  </si>
  <si>
    <t>59.119,87</t>
  </si>
  <si>
    <t>68,11%</t>
  </si>
  <si>
    <t>1.965,0539298</t>
  </si>
  <si>
    <t>29,48</t>
  </si>
  <si>
    <t>57.929,79</t>
  </si>
  <si>
    <t>0,29%</t>
  </si>
  <si>
    <t>68,40%</t>
  </si>
  <si>
    <t>10,0000000</t>
  </si>
  <si>
    <t>5.632,37</t>
  </si>
  <si>
    <t>5.395,51</t>
  </si>
  <si>
    <t>56.323,70</t>
  </si>
  <si>
    <t>0,28%</t>
  </si>
  <si>
    <t>68,97%</t>
  </si>
  <si>
    <t>68,7960000</t>
  </si>
  <si>
    <t>816,56</t>
  </si>
  <si>
    <t>56.176,06</t>
  </si>
  <si>
    <t>69,26%</t>
  </si>
  <si>
    <t>1.503,7137500</t>
  </si>
  <si>
    <t>36,04</t>
  </si>
  <si>
    <t>54.193,84</t>
  </si>
  <si>
    <t>0,27%</t>
  </si>
  <si>
    <t>69,53%</t>
  </si>
  <si>
    <t>1.344,0000000</t>
  </si>
  <si>
    <t>69,79%</t>
  </si>
  <si>
    <t>58,0000000</t>
  </si>
  <si>
    <t>912,88</t>
  </si>
  <si>
    <t>52.947,04</t>
  </si>
  <si>
    <t>70,06%</t>
  </si>
  <si>
    <t>52.650,00</t>
  </si>
  <si>
    <t>0,26%</t>
  </si>
  <si>
    <t>70,32%</t>
  </si>
  <si>
    <t>2.036,0110459</t>
  </si>
  <si>
    <t>25,70</t>
  </si>
  <si>
    <t>52.325,48</t>
  </si>
  <si>
    <t>70,59%</t>
  </si>
  <si>
    <t>6.153,9509000</t>
  </si>
  <si>
    <t>8,50</t>
  </si>
  <si>
    <t>52.308,58</t>
  </si>
  <si>
    <t>70,85%</t>
  </si>
  <si>
    <t>9,0000000</t>
  </si>
  <si>
    <t>5.799,40</t>
  </si>
  <si>
    <t>5.555,51</t>
  </si>
  <si>
    <t>52.194,60</t>
  </si>
  <si>
    <t>71,11%</t>
  </si>
  <si>
    <t>25.000,00</t>
  </si>
  <si>
    <t>50.000,00</t>
  </si>
  <si>
    <t>0,25%</t>
  </si>
  <si>
    <t>71,36%</t>
  </si>
  <si>
    <t>144,8885500</t>
  </si>
  <si>
    <t>340,22</t>
  </si>
  <si>
    <t>49.293,98</t>
  </si>
  <si>
    <t>71,61%</t>
  </si>
  <si>
    <t>1.914,8379792</t>
  </si>
  <si>
    <t>25,72</t>
  </si>
  <si>
    <t>49.249,63</t>
  </si>
  <si>
    <t>71,85%</t>
  </si>
  <si>
    <t>175,5910000</t>
  </si>
  <si>
    <t>277,57</t>
  </si>
  <si>
    <t>48.738,79</t>
  </si>
  <si>
    <t>0,24%</t>
  </si>
  <si>
    <t>72,10%</t>
  </si>
  <si>
    <t>2.371,7799000</t>
  </si>
  <si>
    <t>20,52</t>
  </si>
  <si>
    <t>48.658,85</t>
  </si>
  <si>
    <t>72,34%</t>
  </si>
  <si>
    <t>1.800,7100000</t>
  </si>
  <si>
    <t>26,93</t>
  </si>
  <si>
    <t>48.489,98</t>
  </si>
  <si>
    <t>72,58%</t>
  </si>
  <si>
    <t>2.440,9987925</t>
  </si>
  <si>
    <t>19,47</t>
  </si>
  <si>
    <t>47.530,78</t>
  </si>
  <si>
    <t>72,82%</t>
  </si>
  <si>
    <t>47.282,77</t>
  </si>
  <si>
    <t>73,06%</t>
  </si>
  <si>
    <t>5.197,5464000</t>
  </si>
  <si>
    <t>8,96</t>
  </si>
  <si>
    <t>46.570,02</t>
  </si>
  <si>
    <t>0,23%</t>
  </si>
  <si>
    <t>73,29%</t>
  </si>
  <si>
    <t>671,8000000</t>
  </si>
  <si>
    <t>69,04</t>
  </si>
  <si>
    <t>46.381,07</t>
  </si>
  <si>
    <t>73,52%</t>
  </si>
  <si>
    <t>82,0000000</t>
  </si>
  <si>
    <t>548,33</t>
  </si>
  <si>
    <t>44.963,06</t>
  </si>
  <si>
    <t>73,75%</t>
  </si>
  <si>
    <t>567,0000000</t>
  </si>
  <si>
    <t>44.917,74</t>
  </si>
  <si>
    <t>0,22%</t>
  </si>
  <si>
    <t>73,97%</t>
  </si>
  <si>
    <t>35.390,6056429</t>
  </si>
  <si>
    <t>1,26</t>
  </si>
  <si>
    <t>44.592,16</t>
  </si>
  <si>
    <t>74,20%</t>
  </si>
  <si>
    <t>12.220,1670780</t>
  </si>
  <si>
    <t>3,60</t>
  </si>
  <si>
    <t>43.992,60</t>
  </si>
  <si>
    <t>74,42%</t>
  </si>
  <si>
    <t>1.596,7531049</t>
  </si>
  <si>
    <t>27,40</t>
  </si>
  <si>
    <t>43.751,04</t>
  </si>
  <si>
    <t>74,64%</t>
  </si>
  <si>
    <t>223,3554000</t>
  </si>
  <si>
    <t>195,00</t>
  </si>
  <si>
    <t>43.554,30</t>
  </si>
  <si>
    <t>74,86%</t>
  </si>
  <si>
    <t>1.646,5443846</t>
  </si>
  <si>
    <t>42.217,40</t>
  </si>
  <si>
    <t>0,21%</t>
  </si>
  <si>
    <t>75,07%</t>
  </si>
  <si>
    <t>2.059,7735939</t>
  </si>
  <si>
    <t>20,47</t>
  </si>
  <si>
    <t>42.163,57</t>
  </si>
  <si>
    <t>75,28%</t>
  </si>
  <si>
    <t>1.196,5124000</t>
  </si>
  <si>
    <t>35,18</t>
  </si>
  <si>
    <t>42.093,31</t>
  </si>
  <si>
    <t>75,49%</t>
  </si>
  <si>
    <t>6.604,0000000</t>
  </si>
  <si>
    <t>6,28</t>
  </si>
  <si>
    <t>41.473,12</t>
  </si>
  <si>
    <t>75,70%</t>
  </si>
  <si>
    <t>48,0000000</t>
  </si>
  <si>
    <t>825,00</t>
  </si>
  <si>
    <t>39.600,00</t>
  </si>
  <si>
    <t>0,20%</t>
  </si>
  <si>
    <t>75,89%</t>
  </si>
  <si>
    <t>50,7600000</t>
  </si>
  <si>
    <t>761,11</t>
  </si>
  <si>
    <t>38.633,94</t>
  </si>
  <si>
    <t>0,19%</t>
  </si>
  <si>
    <t>76,09%</t>
  </si>
  <si>
    <t>3.301,2700000</t>
  </si>
  <si>
    <t>11,70</t>
  </si>
  <si>
    <t>38.624,86</t>
  </si>
  <si>
    <t>76,28%</t>
  </si>
  <si>
    <t>1.871,9964000</t>
  </si>
  <si>
    <t>38.405,41</t>
  </si>
  <si>
    <t>76,47%</t>
  </si>
  <si>
    <t>1.828,0100000</t>
  </si>
  <si>
    <t>37.503,00</t>
  </si>
  <si>
    <t>76,66%</t>
  </si>
  <si>
    <t>3.936,0000000</t>
  </si>
  <si>
    <t>9,46</t>
  </si>
  <si>
    <t>37.234,56</t>
  </si>
  <si>
    <t>76,85%</t>
  </si>
  <si>
    <t>4.117,92</t>
  </si>
  <si>
    <t>37.061,28</t>
  </si>
  <si>
    <t>77,03%</t>
  </si>
  <si>
    <t>368,4450000</t>
  </si>
  <si>
    <t>96,97</t>
  </si>
  <si>
    <t>35.728,11</t>
  </si>
  <si>
    <t>0,18%</t>
  </si>
  <si>
    <t>77,21%</t>
  </si>
  <si>
    <t>8,0000000</t>
  </si>
  <si>
    <t>4.400,33</t>
  </si>
  <si>
    <t>35.202,64</t>
  </si>
  <si>
    <t>77,39%</t>
  </si>
  <si>
    <t>34.749,22</t>
  </si>
  <si>
    <t>33.287,88</t>
  </si>
  <si>
    <t>0,17%</t>
  </si>
  <si>
    <t>77,56%</t>
  </si>
  <si>
    <t>920,1449344</t>
  </si>
  <si>
    <t>37,68</t>
  </si>
  <si>
    <t>34.671,06</t>
  </si>
  <si>
    <t>77,74%</t>
  </si>
  <si>
    <t>50.404,8190000</t>
  </si>
  <si>
    <t>0,68</t>
  </si>
  <si>
    <t>34.275,28</t>
  </si>
  <si>
    <t>77,91%</t>
  </si>
  <si>
    <t>126,0000000</t>
  </si>
  <si>
    <t>270,51</t>
  </si>
  <si>
    <t>34.084,26</t>
  </si>
  <si>
    <t>78,08%</t>
  </si>
  <si>
    <t>884,0000000</t>
  </si>
  <si>
    <t>38,53</t>
  </si>
  <si>
    <t>34.060,52</t>
  </si>
  <si>
    <t>78,25%</t>
  </si>
  <si>
    <t>96,0000000</t>
  </si>
  <si>
    <t>350,00</t>
  </si>
  <si>
    <t>33.600,00</t>
  </si>
  <si>
    <t>78,42%</t>
  </si>
  <si>
    <t>58,2326900</t>
  </si>
  <si>
    <t>562,58</t>
  </si>
  <si>
    <t>32.760,55</t>
  </si>
  <si>
    <t>0,16%</t>
  </si>
  <si>
    <t>78,58%</t>
  </si>
  <si>
    <t>32.026,32</t>
  </si>
  <si>
    <t>78,74%</t>
  </si>
  <si>
    <t>3,0000000</t>
  </si>
  <si>
    <t>10.544,70</t>
  </si>
  <si>
    <t>31.634,10</t>
  </si>
  <si>
    <t>78,90%</t>
  </si>
  <si>
    <t>1.329,3188480</t>
  </si>
  <si>
    <t>23,55</t>
  </si>
  <si>
    <t>31.305,46</t>
  </si>
  <si>
    <t>79,06%</t>
  </si>
  <si>
    <t>4.628,1888000</t>
  </si>
  <si>
    <t>6,75</t>
  </si>
  <si>
    <t>31.240,27</t>
  </si>
  <si>
    <t>79,21%</t>
  </si>
  <si>
    <t>66,0000000</t>
  </si>
  <si>
    <t>472,72</t>
  </si>
  <si>
    <t>31.199,52</t>
  </si>
  <si>
    <t>79,37%</t>
  </si>
  <si>
    <t>29,0000000</t>
  </si>
  <si>
    <t>1.074,90</t>
  </si>
  <si>
    <t>31.172,10</t>
  </si>
  <si>
    <t>79,53%</t>
  </si>
  <si>
    <t>1.541,9828070</t>
  </si>
  <si>
    <t>30.562,10</t>
  </si>
  <si>
    <t>0,15%</t>
  </si>
  <si>
    <t>79,68%</t>
  </si>
  <si>
    <t>21.917,2468562</t>
  </si>
  <si>
    <t>1,39</t>
  </si>
  <si>
    <t>30.464,97</t>
  </si>
  <si>
    <t>79,83%</t>
  </si>
  <si>
    <t>30.435,92</t>
  </si>
  <si>
    <t>79,99%</t>
  </si>
  <si>
    <t>1.305,0000000</t>
  </si>
  <si>
    <t>23,30</t>
  </si>
  <si>
    <t>30.406,50</t>
  </si>
  <si>
    <t>80,14%</t>
  </si>
  <si>
    <t>1.159,2822500</t>
  </si>
  <si>
    <t>25,55</t>
  </si>
  <si>
    <t>29.619,66</t>
  </si>
  <si>
    <t>80,29%</t>
  </si>
  <si>
    <t>366,4186680</t>
  </si>
  <si>
    <t>80,02</t>
  </si>
  <si>
    <t>29.320,82</t>
  </si>
  <si>
    <t>80,43%</t>
  </si>
  <si>
    <t>6.520,3896000</t>
  </si>
  <si>
    <t>4,49</t>
  </si>
  <si>
    <t>29.276,55</t>
  </si>
  <si>
    <t>80,58%</t>
  </si>
  <si>
    <t>2.512,5700000</t>
  </si>
  <si>
    <t>11,64</t>
  </si>
  <si>
    <t>29.246,31</t>
  </si>
  <si>
    <t>80,73%</t>
  </si>
  <si>
    <t>29.193,63</t>
  </si>
  <si>
    <t>80,87%</t>
  </si>
  <si>
    <t>1.406,4930000</t>
  </si>
  <si>
    <t>20,33</t>
  </si>
  <si>
    <t>28.594,00</t>
  </si>
  <si>
    <t>0,14%</t>
  </si>
  <si>
    <t>81,02%</t>
  </si>
  <si>
    <t>971,6956800</t>
  </si>
  <si>
    <t>28.174,07</t>
  </si>
  <si>
    <t>81,16%</t>
  </si>
  <si>
    <t>8.224,6000000</t>
  </si>
  <si>
    <t>3,41</t>
  </si>
  <si>
    <t>28.045,89</t>
  </si>
  <si>
    <t>81,30%</t>
  </si>
  <si>
    <t>1.357,9666970</t>
  </si>
  <si>
    <t>27.430,93</t>
  </si>
  <si>
    <t>81,43%</t>
  </si>
  <si>
    <t>569,87</t>
  </si>
  <si>
    <t>27.353,76</t>
  </si>
  <si>
    <t>81,57%</t>
  </si>
  <si>
    <t>693,0000000</t>
  </si>
  <si>
    <t>27.304,20</t>
  </si>
  <si>
    <t>81,71%</t>
  </si>
  <si>
    <t>3.029,8998000</t>
  </si>
  <si>
    <t>9,01</t>
  </si>
  <si>
    <t>27.299,40</t>
  </si>
  <si>
    <t>81,85%</t>
  </si>
  <si>
    <t>3.668,8053000</t>
  </si>
  <si>
    <t>7,36</t>
  </si>
  <si>
    <t>27.002,41</t>
  </si>
  <si>
    <t>81,98%</t>
  </si>
  <si>
    <t>480,9000000</t>
  </si>
  <si>
    <t>56,13</t>
  </si>
  <si>
    <t>26.992,92</t>
  </si>
  <si>
    <t>82,12%</t>
  </si>
  <si>
    <t>1.651,7981250</t>
  </si>
  <si>
    <t>15,88</t>
  </si>
  <si>
    <t>26.230,55</t>
  </si>
  <si>
    <t>0,13%</t>
  </si>
  <si>
    <t>82,25%</t>
  </si>
  <si>
    <t>16,4000000</t>
  </si>
  <si>
    <t>1.586,28</t>
  </si>
  <si>
    <t>26.014,99</t>
  </si>
  <si>
    <t>82,38%</t>
  </si>
  <si>
    <t>6.452,07</t>
  </si>
  <si>
    <t>25.808,28</t>
  </si>
  <si>
    <t>82,51%</t>
  </si>
  <si>
    <t>853,6154660</t>
  </si>
  <si>
    <t>30,09</t>
  </si>
  <si>
    <t>25.685,29</t>
  </si>
  <si>
    <t>82,64%</t>
  </si>
  <si>
    <t>1.127,1889004</t>
  </si>
  <si>
    <t>22,67</t>
  </si>
  <si>
    <t>25.553,37</t>
  </si>
  <si>
    <t>82,76%</t>
  </si>
  <si>
    <t>25.367,96</t>
  </si>
  <si>
    <t>82,89%</t>
  </si>
  <si>
    <t>235,4600000</t>
  </si>
  <si>
    <t>107,45</t>
  </si>
  <si>
    <t>25.300,18</t>
  </si>
  <si>
    <t>83,02%</t>
  </si>
  <si>
    <t>49,0000000</t>
  </si>
  <si>
    <t>514,80</t>
  </si>
  <si>
    <t>25.225,20</t>
  </si>
  <si>
    <t>83,14%</t>
  </si>
  <si>
    <t>24.983,01</t>
  </si>
  <si>
    <t>23.932,38</t>
  </si>
  <si>
    <t>83,39%</t>
  </si>
  <si>
    <t>2.773,94</t>
  </si>
  <si>
    <t>24.965,46</t>
  </si>
  <si>
    <t>83,52%</t>
  </si>
  <si>
    <t>37,0000000</t>
  </si>
  <si>
    <t>657,81</t>
  </si>
  <si>
    <t>24.338,97</t>
  </si>
  <si>
    <t>0,12%</t>
  </si>
  <si>
    <t>83,64%</t>
  </si>
  <si>
    <t>785,0000000</t>
  </si>
  <si>
    <t>24.013,15</t>
  </si>
  <si>
    <t>83,76%</t>
  </si>
  <si>
    <t>132,0000000</t>
  </si>
  <si>
    <t>181,18</t>
  </si>
  <si>
    <t>23.915,76</t>
  </si>
  <si>
    <t>83,88%</t>
  </si>
  <si>
    <t>65,17</t>
  </si>
  <si>
    <t>23.879,50</t>
  </si>
  <si>
    <t>84,00%</t>
  </si>
  <si>
    <t>2.039,3632060</t>
  </si>
  <si>
    <t>23.207,95</t>
  </si>
  <si>
    <t>84,12%</t>
  </si>
  <si>
    <t>1.661,0327320</t>
  </si>
  <si>
    <t>13,76</t>
  </si>
  <si>
    <t>22.855,81</t>
  </si>
  <si>
    <t>0,11%</t>
  </si>
  <si>
    <t>84,23%</t>
  </si>
  <si>
    <t>11.132,53</t>
  </si>
  <si>
    <t>22.265,06</t>
  </si>
  <si>
    <t>84,34%</t>
  </si>
  <si>
    <t>34.527,1602136</t>
  </si>
  <si>
    <t>22.097,38</t>
  </si>
  <si>
    <t>84,56%</t>
  </si>
  <si>
    <t>5,60</t>
  </si>
  <si>
    <t>22.041,60</t>
  </si>
  <si>
    <t>84,68%</t>
  </si>
  <si>
    <t>110,0000000</t>
  </si>
  <si>
    <t>199,49</t>
  </si>
  <si>
    <t>21.943,90</t>
  </si>
  <si>
    <t>84,79%</t>
  </si>
  <si>
    <t>24,0000000</t>
  </si>
  <si>
    <t>913,23</t>
  </si>
  <si>
    <t>21.917,52</t>
  </si>
  <si>
    <t>84,89%</t>
  </si>
  <si>
    <t>1.216,1700000</t>
  </si>
  <si>
    <t>17,50</t>
  </si>
  <si>
    <t>21.282,98</t>
  </si>
  <si>
    <t>85,00%</t>
  </si>
  <si>
    <t>799,1893819</t>
  </si>
  <si>
    <t>26,50</t>
  </si>
  <si>
    <t>21.178,52</t>
  </si>
  <si>
    <t>85,11%</t>
  </si>
  <si>
    <t>139,0000000</t>
  </si>
  <si>
    <t>152,30</t>
  </si>
  <si>
    <t>21.169,70</t>
  </si>
  <si>
    <t>85,21%</t>
  </si>
  <si>
    <t>714,1750000</t>
  </si>
  <si>
    <t>28,96</t>
  </si>
  <si>
    <t>20.682,51</t>
  </si>
  <si>
    <t>0,10%</t>
  </si>
  <si>
    <t>85,32%</t>
  </si>
  <si>
    <t>33,7675000</t>
  </si>
  <si>
    <t>600,75</t>
  </si>
  <si>
    <t>20.285,83</t>
  </si>
  <si>
    <t>85,42%</t>
  </si>
  <si>
    <t>5.789,1750000</t>
  </si>
  <si>
    <t>3,50</t>
  </si>
  <si>
    <t>20.262,11</t>
  </si>
  <si>
    <t>85,52%</t>
  </si>
  <si>
    <t>20.026,68</t>
  </si>
  <si>
    <t>85,62%</t>
  </si>
  <si>
    <t>19.935,07</t>
  </si>
  <si>
    <t>85,72%</t>
  </si>
  <si>
    <t>678,9833485</t>
  </si>
  <si>
    <t>19.384,97</t>
  </si>
  <si>
    <t>85,82%</t>
  </si>
  <si>
    <t>2.486,0000000</t>
  </si>
  <si>
    <t>7,37</t>
  </si>
  <si>
    <t>18.321,82</t>
  </si>
  <si>
    <t>0,09%</t>
  </si>
  <si>
    <t>85,91%</t>
  </si>
  <si>
    <t>18.190,82</t>
  </si>
  <si>
    <t>86,00%</t>
  </si>
  <si>
    <t>8.847,6211801</t>
  </si>
  <si>
    <t>2,05</t>
  </si>
  <si>
    <t>18.137,62</t>
  </si>
  <si>
    <t>86,09%</t>
  </si>
  <si>
    <t>9.004,00</t>
  </si>
  <si>
    <t>10.099,90</t>
  </si>
  <si>
    <t>18.008,00</t>
  </si>
  <si>
    <t>86,18%</t>
  </si>
  <si>
    <t>867,9010000</t>
  </si>
  <si>
    <t>17.805,64</t>
  </si>
  <si>
    <t>86,27%</t>
  </si>
  <si>
    <t>110,4145440</t>
  </si>
  <si>
    <t>159,57</t>
  </si>
  <si>
    <t>17.618,85</t>
  </si>
  <si>
    <t>86,36%</t>
  </si>
  <si>
    <t>125,0000000</t>
  </si>
  <si>
    <t>140,06</t>
  </si>
  <si>
    <t>17.507,50</t>
  </si>
  <si>
    <t>86,45%</t>
  </si>
  <si>
    <t>17.499,99</t>
  </si>
  <si>
    <t>86,53%</t>
  </si>
  <si>
    <t>569,6130000</t>
  </si>
  <si>
    <t>30,25</t>
  </si>
  <si>
    <t>17.231,75</t>
  </si>
  <si>
    <t>86,62%</t>
  </si>
  <si>
    <t>47,0000000</t>
  </si>
  <si>
    <t>363,03</t>
  </si>
  <si>
    <t>17.062,41</t>
  </si>
  <si>
    <t>86,71%</t>
  </si>
  <si>
    <t>1.639,7337500</t>
  </si>
  <si>
    <t>16.971,24</t>
  </si>
  <si>
    <t>86,79%</t>
  </si>
  <si>
    <t>37,0800000</t>
  </si>
  <si>
    <t>450,78</t>
  </si>
  <si>
    <t>16.714,92</t>
  </si>
  <si>
    <t>0,08%</t>
  </si>
  <si>
    <t>86,87%</t>
  </si>
  <si>
    <t>16.537,32</t>
  </si>
  <si>
    <t>86,96%</t>
  </si>
  <si>
    <t>87,04%</t>
  </si>
  <si>
    <t>16.476,53</t>
  </si>
  <si>
    <t>87,12%</t>
  </si>
  <si>
    <t>4.103,82</t>
  </si>
  <si>
    <t>3.931,24</t>
  </si>
  <si>
    <t>16.415,28</t>
  </si>
  <si>
    <t>87,21%</t>
  </si>
  <si>
    <t>1,85</t>
  </si>
  <si>
    <t>16.368,10</t>
  </si>
  <si>
    <t>87,29%</t>
  </si>
  <si>
    <t>8.178,03</t>
  </si>
  <si>
    <t>16.356,06</t>
  </si>
  <si>
    <t>87,37%</t>
  </si>
  <si>
    <t>47,5200000</t>
  </si>
  <si>
    <t>339,90</t>
  </si>
  <si>
    <t>16.152,05</t>
  </si>
  <si>
    <t>87,45%</t>
  </si>
  <si>
    <t>1.597,57</t>
  </si>
  <si>
    <t>15.975,70</t>
  </si>
  <si>
    <t>87,53%</t>
  </si>
  <si>
    <t>1.350,9700000</t>
  </si>
  <si>
    <t>15.725,29</t>
  </si>
  <si>
    <t>87,61%</t>
  </si>
  <si>
    <t>2.619,0147920</t>
  </si>
  <si>
    <t>5,98</t>
  </si>
  <si>
    <t>15.661,71</t>
  </si>
  <si>
    <t>87,69%</t>
  </si>
  <si>
    <t>15.525,40</t>
  </si>
  <si>
    <t>87,77%</t>
  </si>
  <si>
    <t>751,8046200</t>
  </si>
  <si>
    <t>15.423,84</t>
  </si>
  <si>
    <t>87,84%</t>
  </si>
  <si>
    <t>32,0000000</t>
  </si>
  <si>
    <t>481,30</t>
  </si>
  <si>
    <t>15.401,60</t>
  </si>
  <si>
    <t>87,92%</t>
  </si>
  <si>
    <t>933,1717000</t>
  </si>
  <si>
    <t>16,48</t>
  </si>
  <si>
    <t>15.378,67</t>
  </si>
  <si>
    <t>88,00%</t>
  </si>
  <si>
    <t>15.370,86</t>
  </si>
  <si>
    <t>88,07%</t>
  </si>
  <si>
    <t>15.216,99</t>
  </si>
  <si>
    <t>88,15%</t>
  </si>
  <si>
    <t>4.244,4000000</t>
  </si>
  <si>
    <t>3,52</t>
  </si>
  <si>
    <t>14.940,29</t>
  </si>
  <si>
    <t>0,07%</t>
  </si>
  <si>
    <t>88,22%</t>
  </si>
  <si>
    <t>11.134,4489461</t>
  </si>
  <si>
    <t>1,31</t>
  </si>
  <si>
    <t>14.586,13</t>
  </si>
  <si>
    <t>88,30%</t>
  </si>
  <si>
    <t>21,7350000</t>
  </si>
  <si>
    <t>663,47</t>
  </si>
  <si>
    <t>14.420,52</t>
  </si>
  <si>
    <t>88,37%</t>
  </si>
  <si>
    <t>5.626,8640000</t>
  </si>
  <si>
    <t>2,56</t>
  </si>
  <si>
    <t>14.404,77</t>
  </si>
  <si>
    <t>88,44%</t>
  </si>
  <si>
    <t>26,4600000</t>
  </si>
  <si>
    <t>542,71</t>
  </si>
  <si>
    <t>14.360,11</t>
  </si>
  <si>
    <t>88,51%</t>
  </si>
  <si>
    <t>795,7760000</t>
  </si>
  <si>
    <t>17,83</t>
  </si>
  <si>
    <t>14.188,69</t>
  </si>
  <si>
    <t>88,59%</t>
  </si>
  <si>
    <t>1.512,5000000</t>
  </si>
  <si>
    <t>9,38</t>
  </si>
  <si>
    <t>14.187,25</t>
  </si>
  <si>
    <t>88,66%</t>
  </si>
  <si>
    <t>695,4098200</t>
  </si>
  <si>
    <t>20,28</t>
  </si>
  <si>
    <t>14.102,91</t>
  </si>
  <si>
    <t>88,73%</t>
  </si>
  <si>
    <t>13.969,82</t>
  </si>
  <si>
    <t>88,80%</t>
  </si>
  <si>
    <t>128,2280000</t>
  </si>
  <si>
    <t>108,18</t>
  </si>
  <si>
    <t>13.871,71</t>
  </si>
  <si>
    <t>88,87%</t>
  </si>
  <si>
    <t>13.820,13</t>
  </si>
  <si>
    <t>88,94%</t>
  </si>
  <si>
    <t>13.553,35</t>
  </si>
  <si>
    <t>89,00%</t>
  </si>
  <si>
    <t>4.256,6800000</t>
  </si>
  <si>
    <t>3,18</t>
  </si>
  <si>
    <t>13.536,24</t>
  </si>
  <si>
    <t>89,07%</t>
  </si>
  <si>
    <t>13.511,70</t>
  </si>
  <si>
    <t>89,14%</t>
  </si>
  <si>
    <t>564,8545764</t>
  </si>
  <si>
    <t>23,89</t>
  </si>
  <si>
    <t>13.494,38</t>
  </si>
  <si>
    <t>89,21%</t>
  </si>
  <si>
    <t>730,0000000</t>
  </si>
  <si>
    <t>18,40</t>
  </si>
  <si>
    <t>13.432,00</t>
  </si>
  <si>
    <t>89,27%</t>
  </si>
  <si>
    <t>0,0274595</t>
  </si>
  <si>
    <t>487.195,09</t>
  </si>
  <si>
    <t>13.378,15</t>
  </si>
  <si>
    <t>89,34%</t>
  </si>
  <si>
    <t>0,61</t>
  </si>
  <si>
    <t>13.369,52</t>
  </si>
  <si>
    <t>89,41%</t>
  </si>
  <si>
    <t>122,7100000</t>
  </si>
  <si>
    <t>89,47%</t>
  </si>
  <si>
    <t>287,0000000</t>
  </si>
  <si>
    <t>46,00</t>
  </si>
  <si>
    <t>13.202,00</t>
  </si>
  <si>
    <t>89,54%</t>
  </si>
  <si>
    <t>168,9908202</t>
  </si>
  <si>
    <t>13.135,66</t>
  </si>
  <si>
    <t>89,61%</t>
  </si>
  <si>
    <t>145,8759005</t>
  </si>
  <si>
    <t>90,00</t>
  </si>
  <si>
    <t>13.128,83</t>
  </si>
  <si>
    <t>89,67%</t>
  </si>
  <si>
    <t>241,6482000</t>
  </si>
  <si>
    <t>53,96</t>
  </si>
  <si>
    <t>13.039,34</t>
  </si>
  <si>
    <t>89,74%</t>
  </si>
  <si>
    <t>0,0322001</t>
  </si>
  <si>
    <t>404.044,47</t>
  </si>
  <si>
    <t>13.010,28</t>
  </si>
  <si>
    <t>89,80%</t>
  </si>
  <si>
    <t>1.895,0000000</t>
  </si>
  <si>
    <t>6,86</t>
  </si>
  <si>
    <t>12.999,70</t>
  </si>
  <si>
    <t>89,87%</t>
  </si>
  <si>
    <t>475,2408052</t>
  </si>
  <si>
    <t>12.603,39</t>
  </si>
  <si>
    <t>0,06%</t>
  </si>
  <si>
    <t>90,00%</t>
  </si>
  <si>
    <t>475,1569632</t>
  </si>
  <si>
    <t>12.601,16</t>
  </si>
  <si>
    <t>90,06%</t>
  </si>
  <si>
    <t>2.095,4756237</t>
  </si>
  <si>
    <t>6,00</t>
  </si>
  <si>
    <t>12.572,85</t>
  </si>
  <si>
    <t>90,12%</t>
  </si>
  <si>
    <t>154,3690000</t>
  </si>
  <si>
    <t>81,10</t>
  </si>
  <si>
    <t>12.519,33</t>
  </si>
  <si>
    <t>90,18%</t>
  </si>
  <si>
    <t>458,8101000</t>
  </si>
  <si>
    <t>12.354,96</t>
  </si>
  <si>
    <t>90,25%</t>
  </si>
  <si>
    <t>14,0000000</t>
  </si>
  <si>
    <t>870,00</t>
  </si>
  <si>
    <t>12.180,00</t>
  </si>
  <si>
    <t>90,31%</t>
  </si>
  <si>
    <t>605,2272331</t>
  </si>
  <si>
    <t>11.995,60</t>
  </si>
  <si>
    <t>90,37%</t>
  </si>
  <si>
    <t>90,43%</t>
  </si>
  <si>
    <t>1.475,71</t>
  </si>
  <si>
    <t>11.805,68</t>
  </si>
  <si>
    <t>90,49%</t>
  </si>
  <si>
    <t>16.449,2000000</t>
  </si>
  <si>
    <t>11.678,93</t>
  </si>
  <si>
    <t>90,54%</t>
  </si>
  <si>
    <t>554,7625200</t>
  </si>
  <si>
    <t>20,51</t>
  </si>
  <si>
    <t>11.378,18</t>
  </si>
  <si>
    <t>90,60%</t>
  </si>
  <si>
    <t>472,75</t>
  </si>
  <si>
    <t>11.346,00</t>
  </si>
  <si>
    <t>90,66%</t>
  </si>
  <si>
    <t>1.164,8340000</t>
  </si>
  <si>
    <t>9,73</t>
  </si>
  <si>
    <t>11.333,83</t>
  </si>
  <si>
    <t>90,72%</t>
  </si>
  <si>
    <t>11.194,09</t>
  </si>
  <si>
    <t>90,77%</t>
  </si>
  <si>
    <t>1.082,4205000</t>
  </si>
  <si>
    <t>10,26</t>
  </si>
  <si>
    <t>11.105,63</t>
  </si>
  <si>
    <t>90,83%</t>
  </si>
  <si>
    <t>72,0000000</t>
  </si>
  <si>
    <t>154,04</t>
  </si>
  <si>
    <t>11.090,88</t>
  </si>
  <si>
    <t>90,88%</t>
  </si>
  <si>
    <t>10.950,96</t>
  </si>
  <si>
    <t>0,05%</t>
  </si>
  <si>
    <t>90,94%</t>
  </si>
  <si>
    <t>113,4000000</t>
  </si>
  <si>
    <t>96,12</t>
  </si>
  <si>
    <t>10.900,01</t>
  </si>
  <si>
    <t>90,99%</t>
  </si>
  <si>
    <t>65,0000000</t>
  </si>
  <si>
    <t>167,00</t>
  </si>
  <si>
    <t>10.855,00</t>
  </si>
  <si>
    <t>91,05%</t>
  </si>
  <si>
    <t>46,1835500</t>
  </si>
  <si>
    <t>233,83</t>
  </si>
  <si>
    <t>10.799,10</t>
  </si>
  <si>
    <t>91,10%</t>
  </si>
  <si>
    <t>10.783,25</t>
  </si>
  <si>
    <t>91,15%</t>
  </si>
  <si>
    <t>861,1250000</t>
  </si>
  <si>
    <t>12,52</t>
  </si>
  <si>
    <t>10.781,29</t>
  </si>
  <si>
    <t>91,21%</t>
  </si>
  <si>
    <t>371,0662220</t>
  </si>
  <si>
    <t>29,04</t>
  </si>
  <si>
    <t>10.775,76</t>
  </si>
  <si>
    <t>91,26%</t>
  </si>
  <si>
    <t>17.994,7622400</t>
  </si>
  <si>
    <t>0,59</t>
  </si>
  <si>
    <t>10.616,91</t>
  </si>
  <si>
    <t>91,32%</t>
  </si>
  <si>
    <t>1.115,2300000</t>
  </si>
  <si>
    <t>9,45</t>
  </si>
  <si>
    <t>10.538,92</t>
  </si>
  <si>
    <t>91,37%</t>
  </si>
  <si>
    <t>362,2185000</t>
  </si>
  <si>
    <t>10.502,43</t>
  </si>
  <si>
    <t>91,42%</t>
  </si>
  <si>
    <t>241,9560000</t>
  </si>
  <si>
    <t>43,00</t>
  </si>
  <si>
    <t>10.404,11</t>
  </si>
  <si>
    <t>91,47%</t>
  </si>
  <si>
    <t>10.358,90</t>
  </si>
  <si>
    <t>91,53%</t>
  </si>
  <si>
    <t>428,32</t>
  </si>
  <si>
    <t>10.279,68</t>
  </si>
  <si>
    <t>91,58%</t>
  </si>
  <si>
    <t>10.115,77</t>
  </si>
  <si>
    <t>91,63%</t>
  </si>
  <si>
    <t>10.085,38</t>
  </si>
  <si>
    <t>91,68%</t>
  </si>
  <si>
    <t>113,2124600</t>
  </si>
  <si>
    <t>88,64</t>
  </si>
  <si>
    <t>10.035,15</t>
  </si>
  <si>
    <t>91,73%</t>
  </si>
  <si>
    <t>742,0000000</t>
  </si>
  <si>
    <t>13,50</t>
  </si>
  <si>
    <t>10.017,00</t>
  </si>
  <si>
    <t>91,78%</t>
  </si>
  <si>
    <t>343,7500000</t>
  </si>
  <si>
    <t>9.966,94</t>
  </si>
  <si>
    <t>91,83%</t>
  </si>
  <si>
    <t>67,2540000</t>
  </si>
  <si>
    <t>147,50</t>
  </si>
  <si>
    <t>9.919,97</t>
  </si>
  <si>
    <t>91,88%</t>
  </si>
  <si>
    <t>71,4000000</t>
  </si>
  <si>
    <t>138,12</t>
  </si>
  <si>
    <t>9.861,77</t>
  </si>
  <si>
    <t>91,93%</t>
  </si>
  <si>
    <t>50,0000000</t>
  </si>
  <si>
    <t>195,80</t>
  </si>
  <si>
    <t>9.790,00</t>
  </si>
  <si>
    <t>91,98%</t>
  </si>
  <si>
    <t>340,2851005</t>
  </si>
  <si>
    <t>9.715,14</t>
  </si>
  <si>
    <t>92,03%</t>
  </si>
  <si>
    <t>143,2004000</t>
  </si>
  <si>
    <t>66,63</t>
  </si>
  <si>
    <t>9.541,44</t>
  </si>
  <si>
    <t>92,12%</t>
  </si>
  <si>
    <t>9,4281000</t>
  </si>
  <si>
    <t>1.007,70</t>
  </si>
  <si>
    <t>9.500,70</t>
  </si>
  <si>
    <t>92,17%</t>
  </si>
  <si>
    <t>431,6430399</t>
  </si>
  <si>
    <t>22,00</t>
  </si>
  <si>
    <t>9.496,15</t>
  </si>
  <si>
    <t>92,22%</t>
  </si>
  <si>
    <t>9.485,43</t>
  </si>
  <si>
    <t>92,26%</t>
  </si>
  <si>
    <t>0,0325306</t>
  </si>
  <si>
    <t>290.274,31</t>
  </si>
  <si>
    <t>9.442,79</t>
  </si>
  <si>
    <t>92,31%</t>
  </si>
  <si>
    <t>32,74</t>
  </si>
  <si>
    <t>9.396,38</t>
  </si>
  <si>
    <t>92,36%</t>
  </si>
  <si>
    <t>290,2499226</t>
  </si>
  <si>
    <t>31,70</t>
  </si>
  <si>
    <t>9.200,92</t>
  </si>
  <si>
    <t>92,40%</t>
  </si>
  <si>
    <t>270,0000000</t>
  </si>
  <si>
    <t>33,96</t>
  </si>
  <si>
    <t>92,45%</t>
  </si>
  <si>
    <t>306,7611403</t>
  </si>
  <si>
    <t>29,69</t>
  </si>
  <si>
    <t>9.107,74</t>
  </si>
  <si>
    <t>92,50%</t>
  </si>
  <si>
    <t>4.540,17</t>
  </si>
  <si>
    <t>9.080,34</t>
  </si>
  <si>
    <t>92,54%</t>
  </si>
  <si>
    <t>67,1000000</t>
  </si>
  <si>
    <t>134,74</t>
  </si>
  <si>
    <t>9.041,05</t>
  </si>
  <si>
    <t>92,59%</t>
  </si>
  <si>
    <t>30,0000000</t>
  </si>
  <si>
    <t>299,26</t>
  </si>
  <si>
    <t>8.977,80</t>
  </si>
  <si>
    <t>0,04%</t>
  </si>
  <si>
    <t>92,63%</t>
  </si>
  <si>
    <t>8.840,46</t>
  </si>
  <si>
    <t>92,68%</t>
  </si>
  <si>
    <t>835,3572836</t>
  </si>
  <si>
    <t>8.813,02</t>
  </si>
  <si>
    <t>92,72%</t>
  </si>
  <si>
    <t>291,94</t>
  </si>
  <si>
    <t>8.758,20</t>
  </si>
  <si>
    <t>92,76%</t>
  </si>
  <si>
    <t>8,6400000</t>
  </si>
  <si>
    <t>1.006,34</t>
  </si>
  <si>
    <t>8.694,78</t>
  </si>
  <si>
    <t>92,81%</t>
  </si>
  <si>
    <t>8.684,87</t>
  </si>
  <si>
    <t>92,85%</t>
  </si>
  <si>
    <t>8.583,83</t>
  </si>
  <si>
    <t>92,89%</t>
  </si>
  <si>
    <t>8.500,00</t>
  </si>
  <si>
    <t>92,94%</t>
  </si>
  <si>
    <t>373,0000000</t>
  </si>
  <si>
    <t>22,73</t>
  </si>
  <si>
    <t>8.478,29</t>
  </si>
  <si>
    <t>92,98%</t>
  </si>
  <si>
    <t>273,5167831</t>
  </si>
  <si>
    <t>30,89</t>
  </si>
  <si>
    <t>8.448,93</t>
  </si>
  <si>
    <t>93,02%</t>
  </si>
  <si>
    <t>317,9648000</t>
  </si>
  <si>
    <t>8.432,43</t>
  </si>
  <si>
    <t>93,06%</t>
  </si>
  <si>
    <t>4.199,00</t>
  </si>
  <si>
    <t>8.398,00</t>
  </si>
  <si>
    <t>93,11%</t>
  </si>
  <si>
    <t>44,0000000</t>
  </si>
  <si>
    <t>189,76</t>
  </si>
  <si>
    <t>8.349,44</t>
  </si>
  <si>
    <t>93,15%</t>
  </si>
  <si>
    <t>277,21</t>
  </si>
  <si>
    <t>8.316,30</t>
  </si>
  <si>
    <t>93,19%</t>
  </si>
  <si>
    <t>5.612,0000000</t>
  </si>
  <si>
    <t>1,48</t>
  </si>
  <si>
    <t>8.305,76</t>
  </si>
  <si>
    <t>93,23%</t>
  </si>
  <si>
    <t>324,0000000</t>
  </si>
  <si>
    <t>25,04</t>
  </si>
  <si>
    <t>8.112,96</t>
  </si>
  <si>
    <t>93,27%</t>
  </si>
  <si>
    <t>5.402,6581102</t>
  </si>
  <si>
    <t>1,50</t>
  </si>
  <si>
    <t>8.103,99</t>
  </si>
  <si>
    <t>93,31%</t>
  </si>
  <si>
    <t>1.623,6000000</t>
  </si>
  <si>
    <t>4,99</t>
  </si>
  <si>
    <t>8.101,76</t>
  </si>
  <si>
    <t>93,35%</t>
  </si>
  <si>
    <t>984,0000000</t>
  </si>
  <si>
    <t>8,21</t>
  </si>
  <si>
    <t>8.078,64</t>
  </si>
  <si>
    <t>93,39%</t>
  </si>
  <si>
    <t>3.250,0000000</t>
  </si>
  <si>
    <t>2,47</t>
  </si>
  <si>
    <t>8.027,50</t>
  </si>
  <si>
    <t>93,43%</t>
  </si>
  <si>
    <t>180,6821000</t>
  </si>
  <si>
    <t>44,37</t>
  </si>
  <si>
    <t>8.016,86</t>
  </si>
  <si>
    <t>93,47%</t>
  </si>
  <si>
    <t>295,7175000</t>
  </si>
  <si>
    <t>7.963,16</t>
  </si>
  <si>
    <t>93,51%</t>
  </si>
  <si>
    <t>530,2000000</t>
  </si>
  <si>
    <t>14,99</t>
  </si>
  <si>
    <t>7.947,70</t>
  </si>
  <si>
    <t>93,55%</t>
  </si>
  <si>
    <t>3.946,11</t>
  </si>
  <si>
    <t>3.780,16</t>
  </si>
  <si>
    <t>7.892,22</t>
  </si>
  <si>
    <t>93,59%</t>
  </si>
  <si>
    <t>7.812,79</t>
  </si>
  <si>
    <t>93,63%</t>
  </si>
  <si>
    <t>93,67%</t>
  </si>
  <si>
    <t>7.793,65</t>
  </si>
  <si>
    <t>93,71%</t>
  </si>
  <si>
    <t>7.775,64</t>
  </si>
  <si>
    <t>93,75%</t>
  </si>
  <si>
    <t>12,7200000</t>
  </si>
  <si>
    <t>609,83</t>
  </si>
  <si>
    <t>7.757,04</t>
  </si>
  <si>
    <t>93,79%</t>
  </si>
  <si>
    <t>1.140,1900000</t>
  </si>
  <si>
    <t>6,77</t>
  </si>
  <si>
    <t>7.719,09</t>
  </si>
  <si>
    <t>93,83%</t>
  </si>
  <si>
    <t>129,7700000</t>
  </si>
  <si>
    <t>59,28</t>
  </si>
  <si>
    <t>7.692,77</t>
  </si>
  <si>
    <t>93,86%</t>
  </si>
  <si>
    <t>7.663,08</t>
  </si>
  <si>
    <t>93,90%</t>
  </si>
  <si>
    <t>2.532,0000000</t>
  </si>
  <si>
    <t>3,02</t>
  </si>
  <si>
    <t>7.646,64</t>
  </si>
  <si>
    <t>93,94%</t>
  </si>
  <si>
    <t>102,0298000</t>
  </si>
  <si>
    <t>74,33</t>
  </si>
  <si>
    <t>7.583,88</t>
  </si>
  <si>
    <t>93,98%</t>
  </si>
  <si>
    <t>861,2514708</t>
  </si>
  <si>
    <t>8,79</t>
  </si>
  <si>
    <t>7.570,40</t>
  </si>
  <si>
    <t>94,02%</t>
  </si>
  <si>
    <t>235,87</t>
  </si>
  <si>
    <t>7.547,84</t>
  </si>
  <si>
    <t>94,06%</t>
  </si>
  <si>
    <t>938,5201082</t>
  </si>
  <si>
    <t>8,04</t>
  </si>
  <si>
    <t>7.545,70</t>
  </si>
  <si>
    <t>94,09%</t>
  </si>
  <si>
    <t>28,0000000</t>
  </si>
  <si>
    <t>269,18</t>
  </si>
  <si>
    <t>7.537,04</t>
  </si>
  <si>
    <t>94,13%</t>
  </si>
  <si>
    <t>7.532,52</t>
  </si>
  <si>
    <t>94,17%</t>
  </si>
  <si>
    <t>7.513,38</t>
  </si>
  <si>
    <t>94,21%</t>
  </si>
  <si>
    <t>425,1705000</t>
  </si>
  <si>
    <t>17,64</t>
  </si>
  <si>
    <t>7.500,01</t>
  </si>
  <si>
    <t>94,24%</t>
  </si>
  <si>
    <t>16,0000000</t>
  </si>
  <si>
    <t>463,13</t>
  </si>
  <si>
    <t>7.410,08</t>
  </si>
  <si>
    <t>94,28%</t>
  </si>
  <si>
    <t>7.337,79</t>
  </si>
  <si>
    <t>94,32%</t>
  </si>
  <si>
    <t>80,2337187</t>
  </si>
  <si>
    <t>7.314,91</t>
  </si>
  <si>
    <t>94,35%</t>
  </si>
  <si>
    <t>844,5017000</t>
  </si>
  <si>
    <t>8,66</t>
  </si>
  <si>
    <t>7.313,38</t>
  </si>
  <si>
    <t>94,39%</t>
  </si>
  <si>
    <t>298,71</t>
  </si>
  <si>
    <t>7.169,04</t>
  </si>
  <si>
    <t>94,46%</t>
  </si>
  <si>
    <t>49,97</t>
  </si>
  <si>
    <t>7.155,72</t>
  </si>
  <si>
    <t>94,50%</t>
  </si>
  <si>
    <t>94,53%</t>
  </si>
  <si>
    <t>192,5000000</t>
  </si>
  <si>
    <t>36,89</t>
  </si>
  <si>
    <t>7.101,33</t>
  </si>
  <si>
    <t>94,57%</t>
  </si>
  <si>
    <t>297,8293500</t>
  </si>
  <si>
    <t>7.061,53</t>
  </si>
  <si>
    <t>94,61%</t>
  </si>
  <si>
    <t>64,0000000</t>
  </si>
  <si>
    <t>109,90</t>
  </si>
  <si>
    <t>7.033,60</t>
  </si>
  <si>
    <t>94,64%</t>
  </si>
  <si>
    <t>7.000,34</t>
  </si>
  <si>
    <t>94,68%</t>
  </si>
  <si>
    <t>130,6186050</t>
  </si>
  <si>
    <t>53,49</t>
  </si>
  <si>
    <t>6.986,79</t>
  </si>
  <si>
    <t>0,03%</t>
  </si>
  <si>
    <t>94,71%</t>
  </si>
  <si>
    <t>2,0270800</t>
  </si>
  <si>
    <t>3.426,00</t>
  </si>
  <si>
    <t>6.944,78</t>
  </si>
  <si>
    <t>94,75%</t>
  </si>
  <si>
    <t>1.493,0000000</t>
  </si>
  <si>
    <t>4,63</t>
  </si>
  <si>
    <t>6.912,59</t>
  </si>
  <si>
    <t>94,78%</t>
  </si>
  <si>
    <t>6.880,92</t>
  </si>
  <si>
    <t>94,81%</t>
  </si>
  <si>
    <t>94,85%</t>
  </si>
  <si>
    <t>300,2333921</t>
  </si>
  <si>
    <t>22,82</t>
  </si>
  <si>
    <t>6.851,33</t>
  </si>
  <si>
    <t>94,88%</t>
  </si>
  <si>
    <t>0,0433860</t>
  </si>
  <si>
    <t>157.500,00</t>
  </si>
  <si>
    <t>6.833,29</t>
  </si>
  <si>
    <t>94,92%</t>
  </si>
  <si>
    <t>4.244,0000000</t>
  </si>
  <si>
    <t>1,61</t>
  </si>
  <si>
    <t>6.832,84</t>
  </si>
  <si>
    <t>94,95%</t>
  </si>
  <si>
    <t>3.388,81</t>
  </si>
  <si>
    <t>6.777,62</t>
  </si>
  <si>
    <t>94,99%</t>
  </si>
  <si>
    <t>371,0000000</t>
  </si>
  <si>
    <t>18,04</t>
  </si>
  <si>
    <t>6.692,84</t>
  </si>
  <si>
    <t>95,05%</t>
  </si>
  <si>
    <t>25,0000000</t>
  </si>
  <si>
    <t>266,92</t>
  </si>
  <si>
    <t>6.673,00</t>
  </si>
  <si>
    <t>95,09%</t>
  </si>
  <si>
    <t>3.300,48</t>
  </si>
  <si>
    <t>3.161,68</t>
  </si>
  <si>
    <t>6.600,96</t>
  </si>
  <si>
    <t>95,12%</t>
  </si>
  <si>
    <t>197,4151500</t>
  </si>
  <si>
    <t>32,09</t>
  </si>
  <si>
    <t>6.335,05</t>
  </si>
  <si>
    <t>95,15%</t>
  </si>
  <si>
    <t>261,93</t>
  </si>
  <si>
    <t>6.286,32</t>
  </si>
  <si>
    <t>95,18%</t>
  </si>
  <si>
    <t>6.242,49</t>
  </si>
  <si>
    <t>95,21%</t>
  </si>
  <si>
    <t>36,7600000</t>
  </si>
  <si>
    <t>168,07</t>
  </si>
  <si>
    <t>6.178,25</t>
  </si>
  <si>
    <t>95,24%</t>
  </si>
  <si>
    <t>43,1006384</t>
  </si>
  <si>
    <t>143,03</t>
  </si>
  <si>
    <t>6.164,68</t>
  </si>
  <si>
    <t>95,28%</t>
  </si>
  <si>
    <t>256,01</t>
  </si>
  <si>
    <t>6.144,24</t>
  </si>
  <si>
    <t>95,31%</t>
  </si>
  <si>
    <t>4.280,8999018</t>
  </si>
  <si>
    <t>6.121,69</t>
  </si>
  <si>
    <t>95,34%</t>
  </si>
  <si>
    <t>239,2698699</t>
  </si>
  <si>
    <t>25,39</t>
  </si>
  <si>
    <t>6.075,06</t>
  </si>
  <si>
    <t>95,37%</t>
  </si>
  <si>
    <t>135,7825370</t>
  </si>
  <si>
    <t>44,13</t>
  </si>
  <si>
    <t>5.992,08</t>
  </si>
  <si>
    <t>95,40%</t>
  </si>
  <si>
    <t>1.481,70</t>
  </si>
  <si>
    <t>5.926,80</t>
  </si>
  <si>
    <t>95,43%</t>
  </si>
  <si>
    <t>27,0000000</t>
  </si>
  <si>
    <t>218,00</t>
  </si>
  <si>
    <t>5.886,00</t>
  </si>
  <si>
    <t>95,46%</t>
  </si>
  <si>
    <t>95,49%</t>
  </si>
  <si>
    <t>584,47</t>
  </si>
  <si>
    <t>5.844,70</t>
  </si>
  <si>
    <t>95,52%</t>
  </si>
  <si>
    <t>38,0000000</t>
  </si>
  <si>
    <t>153,54</t>
  </si>
  <si>
    <t>5.834,52</t>
  </si>
  <si>
    <t>95,54%</t>
  </si>
  <si>
    <t>294,1141290</t>
  </si>
  <si>
    <t>5.829,34</t>
  </si>
  <si>
    <t>95,57%</t>
  </si>
  <si>
    <t>2.911,10</t>
  </si>
  <si>
    <t>2.788,68</t>
  </si>
  <si>
    <t>5.822,20</t>
  </si>
  <si>
    <t>95,60%</t>
  </si>
  <si>
    <t>51,0000000</t>
  </si>
  <si>
    <t>114,06</t>
  </si>
  <si>
    <t>5.817,06</t>
  </si>
  <si>
    <t>95,63%</t>
  </si>
  <si>
    <t>241,99</t>
  </si>
  <si>
    <t>5.807,76</t>
  </si>
  <si>
    <t>95,66%</t>
  </si>
  <si>
    <t>44,1975000</t>
  </si>
  <si>
    <t>130,20</t>
  </si>
  <si>
    <t>5.754,51</t>
  </si>
  <si>
    <t>95,69%</t>
  </si>
  <si>
    <t>266,0000000</t>
  </si>
  <si>
    <t>21,31</t>
  </si>
  <si>
    <t>5.668,46</t>
  </si>
  <si>
    <t>95,72%</t>
  </si>
  <si>
    <t>1.412,99</t>
  </si>
  <si>
    <t>5.651,96</t>
  </si>
  <si>
    <t>95,75%</t>
  </si>
  <si>
    <t>96,5745000</t>
  </si>
  <si>
    <t>58,31</t>
  </si>
  <si>
    <t>5.631,26</t>
  </si>
  <si>
    <t>95,77%</t>
  </si>
  <si>
    <t>700,00</t>
  </si>
  <si>
    <t>5.600,00</t>
  </si>
  <si>
    <t>95,80%</t>
  </si>
  <si>
    <t>173,3647640</t>
  </si>
  <si>
    <t>32,04</t>
  </si>
  <si>
    <t>5.554,61</t>
  </si>
  <si>
    <t>95,83%</t>
  </si>
  <si>
    <t>146,00</t>
  </si>
  <si>
    <t>5.548,00</t>
  </si>
  <si>
    <t>95,86%</t>
  </si>
  <si>
    <t>1.372,14</t>
  </si>
  <si>
    <t>5.488,56</t>
  </si>
  <si>
    <t>95,89%</t>
  </si>
  <si>
    <t>6,0000000</t>
  </si>
  <si>
    <t>908,17</t>
  </si>
  <si>
    <t>5.449,02</t>
  </si>
  <si>
    <t>95,91%</t>
  </si>
  <si>
    <t>265,2180000</t>
  </si>
  <si>
    <t>5.441,15</t>
  </si>
  <si>
    <t>95,94%</t>
  </si>
  <si>
    <t>187,06</t>
  </si>
  <si>
    <t>5.424,74</t>
  </si>
  <si>
    <t>95,97%</t>
  </si>
  <si>
    <t>7,1890000</t>
  </si>
  <si>
    <t>750,00</t>
  </si>
  <si>
    <t>5.391,75</t>
  </si>
  <si>
    <t>95,99%</t>
  </si>
  <si>
    <t>2.654,69</t>
  </si>
  <si>
    <t>5.309,38</t>
  </si>
  <si>
    <t>96,02%</t>
  </si>
  <si>
    <t>46,5600000</t>
  </si>
  <si>
    <t>5.303,18</t>
  </si>
  <si>
    <t>96,05%</t>
  </si>
  <si>
    <t>5.300,00</t>
  </si>
  <si>
    <t>96,07%</t>
  </si>
  <si>
    <t>90,0900000</t>
  </si>
  <si>
    <t>58,18</t>
  </si>
  <si>
    <t>5.241,44</t>
  </si>
  <si>
    <t>96,10%</t>
  </si>
  <si>
    <t>1.302,0000000</t>
  </si>
  <si>
    <t>3,97</t>
  </si>
  <si>
    <t>5.168,94</t>
  </si>
  <si>
    <t>96,13%</t>
  </si>
  <si>
    <t>106,59</t>
  </si>
  <si>
    <t>5.065,16</t>
  </si>
  <si>
    <t>96,15%</t>
  </si>
  <si>
    <t>235,0000000</t>
  </si>
  <si>
    <t>21,19</t>
  </si>
  <si>
    <t>4.979,65</t>
  </si>
  <si>
    <t>0,02%</t>
  </si>
  <si>
    <t>96,18%</t>
  </si>
  <si>
    <t>13,0000000</t>
  </si>
  <si>
    <t>383,03</t>
  </si>
  <si>
    <t>4.979,39</t>
  </si>
  <si>
    <t>96,20%</t>
  </si>
  <si>
    <t>4.972,45</t>
  </si>
  <si>
    <t>4.169,03</t>
  </si>
  <si>
    <t>96,23%</t>
  </si>
  <si>
    <t>186,3217028</t>
  </si>
  <si>
    <t>4.917,03</t>
  </si>
  <si>
    <t>96,25%</t>
  </si>
  <si>
    <t>828,4007000</t>
  </si>
  <si>
    <t>5,93</t>
  </si>
  <si>
    <t>4.912,42</t>
  </si>
  <si>
    <t>96,28%</t>
  </si>
  <si>
    <t>103,50</t>
  </si>
  <si>
    <t>4.864,50</t>
  </si>
  <si>
    <t>96,30%</t>
  </si>
  <si>
    <t>182,9795000</t>
  </si>
  <si>
    <t>4.852,62</t>
  </si>
  <si>
    <t>96,32%</t>
  </si>
  <si>
    <t>166,9710125</t>
  </si>
  <si>
    <t>4.841,28</t>
  </si>
  <si>
    <t>96,35%</t>
  </si>
  <si>
    <t>103,4151237</t>
  </si>
  <si>
    <t>45,90</t>
  </si>
  <si>
    <t>4.746,75</t>
  </si>
  <si>
    <t>96,37%</t>
  </si>
  <si>
    <t>38,5608800</t>
  </si>
  <si>
    <t>122,68</t>
  </si>
  <si>
    <t>4.730,65</t>
  </si>
  <si>
    <t>96,40%</t>
  </si>
  <si>
    <t>20,0000000</t>
  </si>
  <si>
    <t>233,99</t>
  </si>
  <si>
    <t>4.679,80</t>
  </si>
  <si>
    <t>96,42%</t>
  </si>
  <si>
    <t>171,4231428</t>
  </si>
  <si>
    <t>27,05</t>
  </si>
  <si>
    <t>4.637,00</t>
  </si>
  <si>
    <t>96,44%</t>
  </si>
  <si>
    <t>4.525,03</t>
  </si>
  <si>
    <t>96,47%</t>
  </si>
  <si>
    <t>561,39</t>
  </si>
  <si>
    <t>4.491,12</t>
  </si>
  <si>
    <t>96,49%</t>
  </si>
  <si>
    <t>40,9698305</t>
  </si>
  <si>
    <t>4.432,12</t>
  </si>
  <si>
    <t>96,51%</t>
  </si>
  <si>
    <t>1,0062600</t>
  </si>
  <si>
    <t>4.336,02</t>
  </si>
  <si>
    <t>4.363,16</t>
  </si>
  <si>
    <t>96,53%</t>
  </si>
  <si>
    <t>163,0275600</t>
  </si>
  <si>
    <t>26,62</t>
  </si>
  <si>
    <t>4.339,79</t>
  </si>
  <si>
    <t>96,55%</t>
  </si>
  <si>
    <t>96,58%</t>
  </si>
  <si>
    <t>309,0000000</t>
  </si>
  <si>
    <t>13,81</t>
  </si>
  <si>
    <t>4.267,29</t>
  </si>
  <si>
    <t>96,60%</t>
  </si>
  <si>
    <t>1.358,2171271</t>
  </si>
  <si>
    <t>3,07</t>
  </si>
  <si>
    <t>4.169,73</t>
  </si>
  <si>
    <t>96,62%</t>
  </si>
  <si>
    <t>214,0600000</t>
  </si>
  <si>
    <t>4.167,75</t>
  </si>
  <si>
    <t>96,64%</t>
  </si>
  <si>
    <t>4.164,15</t>
  </si>
  <si>
    <t>96,66%</t>
  </si>
  <si>
    <t>5.364,7024200</t>
  </si>
  <si>
    <t>0,77</t>
  </si>
  <si>
    <t>4.130,82</t>
  </si>
  <si>
    <t>96,68%</t>
  </si>
  <si>
    <t>190,0883840</t>
  </si>
  <si>
    <t>21,63</t>
  </si>
  <si>
    <t>4.111,61</t>
  </si>
  <si>
    <t>96,70%</t>
  </si>
  <si>
    <t>189,0768000</t>
  </si>
  <si>
    <t>21,41</t>
  </si>
  <si>
    <t>4.048,13</t>
  </si>
  <si>
    <t>96,72%</t>
  </si>
  <si>
    <t>3.999,43</t>
  </si>
  <si>
    <t>3.831,24</t>
  </si>
  <si>
    <t>96,76%</t>
  </si>
  <si>
    <t>90,8571100</t>
  </si>
  <si>
    <t>43,66</t>
  </si>
  <si>
    <t>3.966,82</t>
  </si>
  <si>
    <t>96,78%</t>
  </si>
  <si>
    <t>128,5036894</t>
  </si>
  <si>
    <t>30,70</t>
  </si>
  <si>
    <t>3.945,06</t>
  </si>
  <si>
    <t>96,80%</t>
  </si>
  <si>
    <t>16,8000000</t>
  </si>
  <si>
    <t>233,34</t>
  </si>
  <si>
    <t>3.920,11</t>
  </si>
  <si>
    <t>96,82%</t>
  </si>
  <si>
    <t>42,1314500</t>
  </si>
  <si>
    <t>3.886,20</t>
  </si>
  <si>
    <t>96,84%</t>
  </si>
  <si>
    <t>114,1548000</t>
  </si>
  <si>
    <t>33,83</t>
  </si>
  <si>
    <t>3.861,86</t>
  </si>
  <si>
    <t>96,86%</t>
  </si>
  <si>
    <t>3.395,7649328</t>
  </si>
  <si>
    <t>1,13</t>
  </si>
  <si>
    <t>3.837,21</t>
  </si>
  <si>
    <t>96,88%</t>
  </si>
  <si>
    <t>1.889,27</t>
  </si>
  <si>
    <t>3.778,54</t>
  </si>
  <si>
    <t>96,90%</t>
  </si>
  <si>
    <t>162,1567272</t>
  </si>
  <si>
    <t>23,18</t>
  </si>
  <si>
    <t>3.758,79</t>
  </si>
  <si>
    <t>96,92%</t>
  </si>
  <si>
    <t>72,7556000</t>
  </si>
  <si>
    <t>51,54</t>
  </si>
  <si>
    <t>3.749,82</t>
  </si>
  <si>
    <t>96,94%</t>
  </si>
  <si>
    <t>1.874,90</t>
  </si>
  <si>
    <t>3.749,80</t>
  </si>
  <si>
    <t>96,95%</t>
  </si>
  <si>
    <t>12,0000000</t>
  </si>
  <si>
    <t>312,13</t>
  </si>
  <si>
    <t>3.745,56</t>
  </si>
  <si>
    <t>96,97%</t>
  </si>
  <si>
    <t>3.725,85</t>
  </si>
  <si>
    <t>3.569,16</t>
  </si>
  <si>
    <t>96,99%</t>
  </si>
  <si>
    <t>3.654,23</t>
  </si>
  <si>
    <t>97,01%</t>
  </si>
  <si>
    <t>526,9980520</t>
  </si>
  <si>
    <t>6,89</t>
  </si>
  <si>
    <t>3.631,02</t>
  </si>
  <si>
    <t>97,03%</t>
  </si>
  <si>
    <t>134,2490000</t>
  </si>
  <si>
    <t>27,00</t>
  </si>
  <si>
    <t>3.624,72</t>
  </si>
  <si>
    <t>97,05%</t>
  </si>
  <si>
    <t>100,4582815</t>
  </si>
  <si>
    <t>35,95</t>
  </si>
  <si>
    <t>3.611,48</t>
  </si>
  <si>
    <t>97,06%</t>
  </si>
  <si>
    <t>193,0000000</t>
  </si>
  <si>
    <t>18,65</t>
  </si>
  <si>
    <t>3.599,45</t>
  </si>
  <si>
    <t>97,08%</t>
  </si>
  <si>
    <t>180,3194672</t>
  </si>
  <si>
    <t>3.573,93</t>
  </si>
  <si>
    <t>97,10%</t>
  </si>
  <si>
    <t>1.548,7500000</t>
  </si>
  <si>
    <t>2,30</t>
  </si>
  <si>
    <t>3.562,13</t>
  </si>
  <si>
    <t>97,12%</t>
  </si>
  <si>
    <t>444,04</t>
  </si>
  <si>
    <t>3.552,32</t>
  </si>
  <si>
    <t>97,14%</t>
  </si>
  <si>
    <t>158,0000000</t>
  </si>
  <si>
    <t>22,34</t>
  </si>
  <si>
    <t>3.529,72</t>
  </si>
  <si>
    <t>97,15%</t>
  </si>
  <si>
    <t>123,3116000</t>
  </si>
  <si>
    <t>3.520,55</t>
  </si>
  <si>
    <t>97,17%</t>
  </si>
  <si>
    <t>1.364,2659400</t>
  </si>
  <si>
    <t>2,58</t>
  </si>
  <si>
    <t>3.519,81</t>
  </si>
  <si>
    <t>97,19%</t>
  </si>
  <si>
    <t>140,34</t>
  </si>
  <si>
    <t>3.508,50</t>
  </si>
  <si>
    <t>97,21%</t>
  </si>
  <si>
    <t>871,46</t>
  </si>
  <si>
    <t>3.485,84</t>
  </si>
  <si>
    <t>97,22%</t>
  </si>
  <si>
    <t>26,0000000</t>
  </si>
  <si>
    <t>132,65</t>
  </si>
  <si>
    <t>3.448,90</t>
  </si>
  <si>
    <t>97,24%</t>
  </si>
  <si>
    <t>5.542,2280000</t>
  </si>
  <si>
    <t>3.436,18</t>
  </si>
  <si>
    <t>97,26%</t>
  </si>
  <si>
    <t>29,6155788</t>
  </si>
  <si>
    <t>113,75</t>
  </si>
  <si>
    <t>3.368,77</t>
  </si>
  <si>
    <t>97,28%</t>
  </si>
  <si>
    <t>3.362,07</t>
  </si>
  <si>
    <t>3.220,68</t>
  </si>
  <si>
    <t>97,29%</t>
  </si>
  <si>
    <t>30,8000000</t>
  </si>
  <si>
    <t>108,15</t>
  </si>
  <si>
    <t>3.331,02</t>
  </si>
  <si>
    <t>97,31%</t>
  </si>
  <si>
    <t>2.326,1700000</t>
  </si>
  <si>
    <t>3.326,42</t>
  </si>
  <si>
    <t>97,33%</t>
  </si>
  <si>
    <t>114,6599494</t>
  </si>
  <si>
    <t>28,92</t>
  </si>
  <si>
    <t>3.315,97</t>
  </si>
  <si>
    <t>97,34%</t>
  </si>
  <si>
    <t>526,7286010</t>
  </si>
  <si>
    <t>6,27</t>
  </si>
  <si>
    <t>3.302,59</t>
  </si>
  <si>
    <t>97,36%</t>
  </si>
  <si>
    <t>506,2878500</t>
  </si>
  <si>
    <t>3.275,68</t>
  </si>
  <si>
    <t>97,37%</t>
  </si>
  <si>
    <t>100,8000000</t>
  </si>
  <si>
    <t>32,28</t>
  </si>
  <si>
    <t>3.253,82</t>
  </si>
  <si>
    <t>97,39%</t>
  </si>
  <si>
    <t>11,13</t>
  </si>
  <si>
    <t>3.230,48</t>
  </si>
  <si>
    <t>97,41%</t>
  </si>
  <si>
    <t>58,7620000</t>
  </si>
  <si>
    <t>54,90</t>
  </si>
  <si>
    <t>3.226,03</t>
  </si>
  <si>
    <t>97,42%</t>
  </si>
  <si>
    <t>113,0628057</t>
  </si>
  <si>
    <t>28,52</t>
  </si>
  <si>
    <t>3.224,55</t>
  </si>
  <si>
    <t>97,44%</t>
  </si>
  <si>
    <t>119,1713400</t>
  </si>
  <si>
    <t>3.209,08</t>
  </si>
  <si>
    <t>97,46%</t>
  </si>
  <si>
    <t>62,88</t>
  </si>
  <si>
    <t>3.206,88</t>
  </si>
  <si>
    <t>97,47%</t>
  </si>
  <si>
    <t>3.195,08</t>
  </si>
  <si>
    <t>2.678,83</t>
  </si>
  <si>
    <t>97,49%</t>
  </si>
  <si>
    <t>260,70</t>
  </si>
  <si>
    <t>3.128,40</t>
  </si>
  <si>
    <t>97,50%</t>
  </si>
  <si>
    <t>2.211,8058000</t>
  </si>
  <si>
    <t>3.074,41</t>
  </si>
  <si>
    <t>97,52%</t>
  </si>
  <si>
    <t>71,1817992</t>
  </si>
  <si>
    <t>3.060,82</t>
  </si>
  <si>
    <t>97,53%</t>
  </si>
  <si>
    <t>3.025,90</t>
  </si>
  <si>
    <t>2.898,65</t>
  </si>
  <si>
    <t>97,55%</t>
  </si>
  <si>
    <t>675,7035000</t>
  </si>
  <si>
    <t>4,47</t>
  </si>
  <si>
    <t>3.020,39</t>
  </si>
  <si>
    <t>97,56%</t>
  </si>
  <si>
    <t>64,5750000</t>
  </si>
  <si>
    <t>46,76</t>
  </si>
  <si>
    <t>3.019,53</t>
  </si>
  <si>
    <t>97,58%</t>
  </si>
  <si>
    <t>3.013,98</t>
  </si>
  <si>
    <t>97,59%</t>
  </si>
  <si>
    <t>34,0000000</t>
  </si>
  <si>
    <t>3.000,84</t>
  </si>
  <si>
    <t>97,61%</t>
  </si>
  <si>
    <t>420,0210000</t>
  </si>
  <si>
    <t>7,14</t>
  </si>
  <si>
    <t>2.998,95</t>
  </si>
  <si>
    <t>97,62%</t>
  </si>
  <si>
    <t>41,1840000</t>
  </si>
  <si>
    <t>72,51</t>
  </si>
  <si>
    <t>2.986,25</t>
  </si>
  <si>
    <t>0,01%</t>
  </si>
  <si>
    <t>97,64%</t>
  </si>
  <si>
    <t>90,0000000</t>
  </si>
  <si>
    <t>32,90</t>
  </si>
  <si>
    <t>2.961,00</t>
  </si>
  <si>
    <t>97,65%</t>
  </si>
  <si>
    <t>65,2500000</t>
  </si>
  <si>
    <t>45,23</t>
  </si>
  <si>
    <t>2.951,26</t>
  </si>
  <si>
    <t>97,67%</t>
  </si>
  <si>
    <t>226,30</t>
  </si>
  <si>
    <t>2.941,90</t>
  </si>
  <si>
    <t>97,68%</t>
  </si>
  <si>
    <t>57,0000000</t>
  </si>
  <si>
    <t>51,03</t>
  </si>
  <si>
    <t>2.908,71</t>
  </si>
  <si>
    <t>97,70%</t>
  </si>
  <si>
    <t>264,0000000</t>
  </si>
  <si>
    <t>10,92</t>
  </si>
  <si>
    <t>97,71%</t>
  </si>
  <si>
    <t>42,8862000</t>
  </si>
  <si>
    <t>67,20</t>
  </si>
  <si>
    <t>2.881,95</t>
  </si>
  <si>
    <t>97,73%</t>
  </si>
  <si>
    <t>3.549,7922830</t>
  </si>
  <si>
    <t>0,81</t>
  </si>
  <si>
    <t>2.875,33</t>
  </si>
  <si>
    <t>97,74%</t>
  </si>
  <si>
    <t>618,7570000</t>
  </si>
  <si>
    <t>4,64</t>
  </si>
  <si>
    <t>2.871,03</t>
  </si>
  <si>
    <t>97,76%</t>
  </si>
  <si>
    <t>177,6464900</t>
  </si>
  <si>
    <t>16,09</t>
  </si>
  <si>
    <t>2.858,33</t>
  </si>
  <si>
    <t>97,77%</t>
  </si>
  <si>
    <t>44,1000000</t>
  </si>
  <si>
    <t>64,39</t>
  </si>
  <si>
    <t>2.839,60</t>
  </si>
  <si>
    <t>97,78%</t>
  </si>
  <si>
    <t>497,3600000</t>
  </si>
  <si>
    <t>5,68</t>
  </si>
  <si>
    <t>2.825,00</t>
  </si>
  <si>
    <t>97,80%</t>
  </si>
  <si>
    <t>532,0000000</t>
  </si>
  <si>
    <t>5,30</t>
  </si>
  <si>
    <t>2.819,60</t>
  </si>
  <si>
    <t>97,81%</t>
  </si>
  <si>
    <t>92,0000000</t>
  </si>
  <si>
    <t>30,57</t>
  </si>
  <si>
    <t>2.812,44</t>
  </si>
  <si>
    <t>97,83%</t>
  </si>
  <si>
    <t>28,1640000</t>
  </si>
  <si>
    <t>2.793,02</t>
  </si>
  <si>
    <t>97,84%</t>
  </si>
  <si>
    <t>114,77</t>
  </si>
  <si>
    <t>2.754,48</t>
  </si>
  <si>
    <t>97,86%</t>
  </si>
  <si>
    <t>910,00</t>
  </si>
  <si>
    <t>2.730,00</t>
  </si>
  <si>
    <t>97,87%</t>
  </si>
  <si>
    <t>11,0000000</t>
  </si>
  <si>
    <t>247,50</t>
  </si>
  <si>
    <t>2.722,50</t>
  </si>
  <si>
    <t>97,88%</t>
  </si>
  <si>
    <t>46,91</t>
  </si>
  <si>
    <t>2.720,78</t>
  </si>
  <si>
    <t>97,90%</t>
  </si>
  <si>
    <t>224,0000000</t>
  </si>
  <si>
    <t>12,00</t>
  </si>
  <si>
    <t>2.688,00</t>
  </si>
  <si>
    <t>97,91%</t>
  </si>
  <si>
    <t>163,2000000</t>
  </si>
  <si>
    <t>16,47</t>
  </si>
  <si>
    <t>2.687,90</t>
  </si>
  <si>
    <t>97,92%</t>
  </si>
  <si>
    <t>41,19</t>
  </si>
  <si>
    <t>2.687,65</t>
  </si>
  <si>
    <t>97,94%</t>
  </si>
  <si>
    <t>42,6985020</t>
  </si>
  <si>
    <t>62,93</t>
  </si>
  <si>
    <t>2.687,02</t>
  </si>
  <si>
    <t>97,95%</t>
  </si>
  <si>
    <t>2.660,54</t>
  </si>
  <si>
    <t>2.548,65</t>
  </si>
  <si>
    <t>97,96%</t>
  </si>
  <si>
    <t>12.059,2219455</t>
  </si>
  <si>
    <t>2.653,03</t>
  </si>
  <si>
    <t>97,98%</t>
  </si>
  <si>
    <t>357,7680000</t>
  </si>
  <si>
    <t>7,32</t>
  </si>
  <si>
    <t>2.618,86</t>
  </si>
  <si>
    <t>97,99%</t>
  </si>
  <si>
    <t>176,6206000</t>
  </si>
  <si>
    <t>14,58</t>
  </si>
  <si>
    <t>2.575,13</t>
  </si>
  <si>
    <t>98,00%</t>
  </si>
  <si>
    <t>846,44</t>
  </si>
  <si>
    <t>2.539,32</t>
  </si>
  <si>
    <t>98,02%</t>
  </si>
  <si>
    <t>492,0000000</t>
  </si>
  <si>
    <t>5,12</t>
  </si>
  <si>
    <t>2.519,04</t>
  </si>
  <si>
    <t>98,03%</t>
  </si>
  <si>
    <t>946,1410000</t>
  </si>
  <si>
    <t>2,65</t>
  </si>
  <si>
    <t>2.507,27</t>
  </si>
  <si>
    <t>98,04%</t>
  </si>
  <si>
    <t>42,0000000</t>
  </si>
  <si>
    <t>59,48</t>
  </si>
  <si>
    <t>2.498,16</t>
  </si>
  <si>
    <t>98,05%</t>
  </si>
  <si>
    <t>78,7711800</t>
  </si>
  <si>
    <t>31,59</t>
  </si>
  <si>
    <t>2.488,38</t>
  </si>
  <si>
    <t>98,07%</t>
  </si>
  <si>
    <t>29,2800000</t>
  </si>
  <si>
    <t>84,95</t>
  </si>
  <si>
    <t>2.487,34</t>
  </si>
  <si>
    <t>98,08%</t>
  </si>
  <si>
    <t>148,3200000</t>
  </si>
  <si>
    <t>16,69</t>
  </si>
  <si>
    <t>2.475,46</t>
  </si>
  <si>
    <t>98,09%</t>
  </si>
  <si>
    <t>44,2573200</t>
  </si>
  <si>
    <t>55,41</t>
  </si>
  <si>
    <t>2.452,30</t>
  </si>
  <si>
    <t>98,10%</t>
  </si>
  <si>
    <t>52,90</t>
  </si>
  <si>
    <t>2.433,40</t>
  </si>
  <si>
    <t>98,11%</t>
  </si>
  <si>
    <t>2.429,70</t>
  </si>
  <si>
    <t>98,13%</t>
  </si>
  <si>
    <t>33,0000000</t>
  </si>
  <si>
    <t>73,18</t>
  </si>
  <si>
    <t>2.414,94</t>
  </si>
  <si>
    <t>98,14%</t>
  </si>
  <si>
    <t>373,1704000</t>
  </si>
  <si>
    <t>2.414,41</t>
  </si>
  <si>
    <t>98,15%</t>
  </si>
  <si>
    <t>75,00</t>
  </si>
  <si>
    <t>2.400,00</t>
  </si>
  <si>
    <t>98,16%</t>
  </si>
  <si>
    <t>597,82</t>
  </si>
  <si>
    <t>2.391,28</t>
  </si>
  <si>
    <t>98,18%</t>
  </si>
  <si>
    <t>22,0000000</t>
  </si>
  <si>
    <t>108,46</t>
  </si>
  <si>
    <t>2.386,12</t>
  </si>
  <si>
    <t>98,19%</t>
  </si>
  <si>
    <t>9,1320000</t>
  </si>
  <si>
    <t>259,26</t>
  </si>
  <si>
    <t>2.367,56</t>
  </si>
  <si>
    <t>98,20%</t>
  </si>
  <si>
    <t>98,5166400</t>
  </si>
  <si>
    <t>24,00</t>
  </si>
  <si>
    <t>2.364,40</t>
  </si>
  <si>
    <t>98,21%</t>
  </si>
  <si>
    <t>216,0000000</t>
  </si>
  <si>
    <t>10,87</t>
  </si>
  <si>
    <t>2.347,92</t>
  </si>
  <si>
    <t>98,22%</t>
  </si>
  <si>
    <t>389,13</t>
  </si>
  <si>
    <t>2.334,78</t>
  </si>
  <si>
    <t>98,23%</t>
  </si>
  <si>
    <t>67,38</t>
  </si>
  <si>
    <t>2.290,92</t>
  </si>
  <si>
    <t>98,26%</t>
  </si>
  <si>
    <t>379,98</t>
  </si>
  <si>
    <t>2.279,88</t>
  </si>
  <si>
    <t>98,27%</t>
  </si>
  <si>
    <t>5,6000000</t>
  </si>
  <si>
    <t>406,28</t>
  </si>
  <si>
    <t>2.275,17</t>
  </si>
  <si>
    <t>98,28%</t>
  </si>
  <si>
    <t>1.132,96</t>
  </si>
  <si>
    <t>2.265,92</t>
  </si>
  <si>
    <t>98,29%</t>
  </si>
  <si>
    <t>2.254,42</t>
  </si>
  <si>
    <t>98,30%</t>
  </si>
  <si>
    <t>243,0900000</t>
  </si>
  <si>
    <t>9,27</t>
  </si>
  <si>
    <t>2.253,44</t>
  </si>
  <si>
    <t>98,31%</t>
  </si>
  <si>
    <t>86,52</t>
  </si>
  <si>
    <t>2.249,52</t>
  </si>
  <si>
    <t>98,33%</t>
  </si>
  <si>
    <t>21,0000000</t>
  </si>
  <si>
    <t>2.239,65</t>
  </si>
  <si>
    <t>98,34%</t>
  </si>
  <si>
    <t>59,7210470</t>
  </si>
  <si>
    <t>36,61</t>
  </si>
  <si>
    <t>2.186,39</t>
  </si>
  <si>
    <t>98,35%</t>
  </si>
  <si>
    <t>2.434,3687952</t>
  </si>
  <si>
    <t>2.166,59</t>
  </si>
  <si>
    <t>98,36%</t>
  </si>
  <si>
    <t>1.071,00</t>
  </si>
  <si>
    <t>2.142,00</t>
  </si>
  <si>
    <t>98,37%</t>
  </si>
  <si>
    <t>717,4152000</t>
  </si>
  <si>
    <t>2.116,37</t>
  </si>
  <si>
    <t>98,38%</t>
  </si>
  <si>
    <t>31,0000000</t>
  </si>
  <si>
    <t>67,65</t>
  </si>
  <si>
    <t>2.097,15</t>
  </si>
  <si>
    <t>98,39%</t>
  </si>
  <si>
    <t>36,0000000</t>
  </si>
  <si>
    <t>57,13</t>
  </si>
  <si>
    <t>2.056,68</t>
  </si>
  <si>
    <t>98,40%</t>
  </si>
  <si>
    <t>239,5008000</t>
  </si>
  <si>
    <t>8,55</t>
  </si>
  <si>
    <t>2.047,73</t>
  </si>
  <si>
    <t>98,41%</t>
  </si>
  <si>
    <t>585,0000000</t>
  </si>
  <si>
    <t>2.047,50</t>
  </si>
  <si>
    <t>98,42%</t>
  </si>
  <si>
    <t>1.473,1404000</t>
  </si>
  <si>
    <t>1,37</t>
  </si>
  <si>
    <t>2.018,20</t>
  </si>
  <si>
    <t>98,43%</t>
  </si>
  <si>
    <t>37,9080500</t>
  </si>
  <si>
    <t>53,06</t>
  </si>
  <si>
    <t>2.011,40</t>
  </si>
  <si>
    <t>98,44%</t>
  </si>
  <si>
    <t>58,24</t>
  </si>
  <si>
    <t>1.980,16</t>
  </si>
  <si>
    <t>98,45%</t>
  </si>
  <si>
    <t>182,0000000</t>
  </si>
  <si>
    <t>10,84</t>
  </si>
  <si>
    <t>1.972,88</t>
  </si>
  <si>
    <t>98,46%</t>
  </si>
  <si>
    <t>74,2218000</t>
  </si>
  <si>
    <t>1.968,36</t>
  </si>
  <si>
    <t>98,47%</t>
  </si>
  <si>
    <t>3,95</t>
  </si>
  <si>
    <t>1.964,57</t>
  </si>
  <si>
    <t>98,48%</t>
  </si>
  <si>
    <t>1.951,33</t>
  </si>
  <si>
    <t>1.963,55</t>
  </si>
  <si>
    <t>98,49%</t>
  </si>
  <si>
    <t>31,1850000</t>
  </si>
  <si>
    <t>62,54</t>
  </si>
  <si>
    <t>1.950,31</t>
  </si>
  <si>
    <t>98,50%</t>
  </si>
  <si>
    <t>325,00</t>
  </si>
  <si>
    <t>1.950,00</t>
  </si>
  <si>
    <t>98,51%</t>
  </si>
  <si>
    <t>15,46</t>
  </si>
  <si>
    <t>1.947,96</t>
  </si>
  <si>
    <t>98,52%</t>
  </si>
  <si>
    <t>17,6000000</t>
  </si>
  <si>
    <t>110,55</t>
  </si>
  <si>
    <t>1.945,68</t>
  </si>
  <si>
    <t>98,53%</t>
  </si>
  <si>
    <t>26,7820000</t>
  </si>
  <si>
    <t>1.941,96</t>
  </si>
  <si>
    <t>98,54%</t>
  </si>
  <si>
    <t>808,8350000</t>
  </si>
  <si>
    <t>2,40</t>
  </si>
  <si>
    <t>1.941,20</t>
  </si>
  <si>
    <t>98,55%</t>
  </si>
  <si>
    <t>1.938,00</t>
  </si>
  <si>
    <t>98,56%</t>
  </si>
  <si>
    <t>57,3039028</t>
  </si>
  <si>
    <t>33,58</t>
  </si>
  <si>
    <t>1.924,27</t>
  </si>
  <si>
    <t>98,57%</t>
  </si>
  <si>
    <t>954,81</t>
  </si>
  <si>
    <t>1.909,62</t>
  </si>
  <si>
    <t>98,58%</t>
  </si>
  <si>
    <t>66,7458540</t>
  </si>
  <si>
    <t>1.905,59</t>
  </si>
  <si>
    <t>98,59%</t>
  </si>
  <si>
    <t>1.900,08</t>
  </si>
  <si>
    <t>98,60%</t>
  </si>
  <si>
    <t>630,00</t>
  </si>
  <si>
    <t>1.890,00</t>
  </si>
  <si>
    <t>98,61%</t>
  </si>
  <si>
    <t>1.883,60</t>
  </si>
  <si>
    <t>98,62%</t>
  </si>
  <si>
    <t>32,00</t>
  </si>
  <si>
    <t>1.856,00</t>
  </si>
  <si>
    <t>98,63%</t>
  </si>
  <si>
    <t>69,7258500</t>
  </si>
  <si>
    <t>1.849,13</t>
  </si>
  <si>
    <t>0,0056284</t>
  </si>
  <si>
    <t>323.190,76</t>
  </si>
  <si>
    <t>1.819,04</t>
  </si>
  <si>
    <t>98,64%</t>
  </si>
  <si>
    <t>85,2120000</t>
  </si>
  <si>
    <t>21,25</t>
  </si>
  <si>
    <t>1.810,76</t>
  </si>
  <si>
    <t>98,65%</t>
  </si>
  <si>
    <t>5,0000000</t>
  </si>
  <si>
    <t>361,39</t>
  </si>
  <si>
    <t>1.806,95</t>
  </si>
  <si>
    <t>98,66%</t>
  </si>
  <si>
    <t>30,98</t>
  </si>
  <si>
    <t>1.796,84</t>
  </si>
  <si>
    <t>98,67%</t>
  </si>
  <si>
    <t>282,1723100</t>
  </si>
  <si>
    <t>6,36</t>
  </si>
  <si>
    <t>1.794,62</t>
  </si>
  <si>
    <t>98,68%</t>
  </si>
  <si>
    <t>74,74</t>
  </si>
  <si>
    <t>1.793,76</t>
  </si>
  <si>
    <t>98,69%</t>
  </si>
  <si>
    <t>448,25</t>
  </si>
  <si>
    <t>1.793,00</t>
  </si>
  <si>
    <t>98,70%</t>
  </si>
  <si>
    <t>895,15</t>
  </si>
  <si>
    <t>1.790,30</t>
  </si>
  <si>
    <t>98,71%</t>
  </si>
  <si>
    <t>0,1869657</t>
  </si>
  <si>
    <t>9.574,08</t>
  </si>
  <si>
    <t>1.790,02</t>
  </si>
  <si>
    <t>98,72%</t>
  </si>
  <si>
    <t>2,1600000</t>
  </si>
  <si>
    <t>828,63</t>
  </si>
  <si>
    <t>1.789,84</t>
  </si>
  <si>
    <t>60,6882447</t>
  </si>
  <si>
    <t>29,47</t>
  </si>
  <si>
    <t>1.788,48</t>
  </si>
  <si>
    <t>98,73%</t>
  </si>
  <si>
    <t>114,8542240</t>
  </si>
  <si>
    <t>15,26</t>
  </si>
  <si>
    <t>1.752,68</t>
  </si>
  <si>
    <t>98,74%</t>
  </si>
  <si>
    <t>62,5081618</t>
  </si>
  <si>
    <t>27,95</t>
  </si>
  <si>
    <t>1.747,10</t>
  </si>
  <si>
    <t>98,75%</t>
  </si>
  <si>
    <t>0,0030784</t>
  </si>
  <si>
    <t>565.808,09</t>
  </si>
  <si>
    <t>1.741,78</t>
  </si>
  <si>
    <t>98,76%</t>
  </si>
  <si>
    <t>225,5000000</t>
  </si>
  <si>
    <t>7,68</t>
  </si>
  <si>
    <t>1.731,84</t>
  </si>
  <si>
    <t>98,77%</t>
  </si>
  <si>
    <t>288,02</t>
  </si>
  <si>
    <t>1.728,12</t>
  </si>
  <si>
    <t>98,78%</t>
  </si>
  <si>
    <t>14.290,0000000</t>
  </si>
  <si>
    <t>1.714,80</t>
  </si>
  <si>
    <t>98,79%</t>
  </si>
  <si>
    <t>190,4864300</t>
  </si>
  <si>
    <t>8,99</t>
  </si>
  <si>
    <t>1.712,47</t>
  </si>
  <si>
    <t>4.252,0000000</t>
  </si>
  <si>
    <t>1.700,80</t>
  </si>
  <si>
    <t>98,80%</t>
  </si>
  <si>
    <t>844,00</t>
  </si>
  <si>
    <t>1.688,00</t>
  </si>
  <si>
    <t>98,81%</t>
  </si>
  <si>
    <t>344,5419600</t>
  </si>
  <si>
    <t>1.671,03</t>
  </si>
  <si>
    <t>98,82%</t>
  </si>
  <si>
    <t>7,0000000</t>
  </si>
  <si>
    <t>237,71</t>
  </si>
  <si>
    <t>1.663,97</t>
  </si>
  <si>
    <t>98,83%</t>
  </si>
  <si>
    <t>15,4044800</t>
  </si>
  <si>
    <t>105,98</t>
  </si>
  <si>
    <t>1.632,57</t>
  </si>
  <si>
    <t>98,84%</t>
  </si>
  <si>
    <t>815,63</t>
  </si>
  <si>
    <t>1.631,26</t>
  </si>
  <si>
    <t>14,1750000</t>
  </si>
  <si>
    <t>113,50</t>
  </si>
  <si>
    <t>1.608,86</t>
  </si>
  <si>
    <t>98,85%</t>
  </si>
  <si>
    <t>16,9449239</t>
  </si>
  <si>
    <t>1.599,60</t>
  </si>
  <si>
    <t>98,86%</t>
  </si>
  <si>
    <t>788,92</t>
  </si>
  <si>
    <t>1.577,84</t>
  </si>
  <si>
    <t>98,87%</t>
  </si>
  <si>
    <t>51,2179466</t>
  </si>
  <si>
    <t>30,00</t>
  </si>
  <si>
    <t>1.536,54</t>
  </si>
  <si>
    <t>98,88%</t>
  </si>
  <si>
    <t>1.506,62</t>
  </si>
  <si>
    <t>750,15</t>
  </si>
  <si>
    <t>1.500,30</t>
  </si>
  <si>
    <t>98,89%</t>
  </si>
  <si>
    <t>135,0000000</t>
  </si>
  <si>
    <t>11,11</t>
  </si>
  <si>
    <t>1.499,85</t>
  </si>
  <si>
    <t>98,90%</t>
  </si>
  <si>
    <t>330,8236450</t>
  </si>
  <si>
    <t>4,46</t>
  </si>
  <si>
    <t>1.475,47</t>
  </si>
  <si>
    <t>98,91%</t>
  </si>
  <si>
    <t>15,94</t>
  </si>
  <si>
    <t>1.466,48</t>
  </si>
  <si>
    <t>31,20</t>
  </si>
  <si>
    <t>1.466,40</t>
  </si>
  <si>
    <t>98,92%</t>
  </si>
  <si>
    <t>42,5250000</t>
  </si>
  <si>
    <t>34,43</t>
  </si>
  <si>
    <t>1.464,14</t>
  </si>
  <si>
    <t>98,93%</t>
  </si>
  <si>
    <t>189,2975000</t>
  </si>
  <si>
    <t>7,70</t>
  </si>
  <si>
    <t>1.457,59</t>
  </si>
  <si>
    <t>98,94%</t>
  </si>
  <si>
    <t>164,1916400</t>
  </si>
  <si>
    <t>8,84</t>
  </si>
  <si>
    <t>1.451,45</t>
  </si>
  <si>
    <t>240,95</t>
  </si>
  <si>
    <t>1.445,70</t>
  </si>
  <si>
    <t>98,95%</t>
  </si>
  <si>
    <t>160,57</t>
  </si>
  <si>
    <t>1.445,13</t>
  </si>
  <si>
    <t>98,96%</t>
  </si>
  <si>
    <t>89,77</t>
  </si>
  <si>
    <t>1.436,32</t>
  </si>
  <si>
    <t>41,0000000</t>
  </si>
  <si>
    <t>35,00</t>
  </si>
  <si>
    <t>1.435,00</t>
  </si>
  <si>
    <t>98,97%</t>
  </si>
  <si>
    <t>17,0000000</t>
  </si>
  <si>
    <t>84,23</t>
  </si>
  <si>
    <t>1.431,91</t>
  </si>
  <si>
    <t>98,98%</t>
  </si>
  <si>
    <t>5,7000000</t>
  </si>
  <si>
    <t>250,00</t>
  </si>
  <si>
    <t>1.425,00</t>
  </si>
  <si>
    <t>98,99%</t>
  </si>
  <si>
    <t>1.419,00</t>
  </si>
  <si>
    <t>238,0000000</t>
  </si>
  <si>
    <t>5,92</t>
  </si>
  <si>
    <t>1.408,96</t>
  </si>
  <si>
    <t>99,00%</t>
  </si>
  <si>
    <t>692,12</t>
  </si>
  <si>
    <t>1.384,24</t>
  </si>
  <si>
    <t>99,01%</t>
  </si>
  <si>
    <t>217,0000000</t>
  </si>
  <si>
    <t>6,37</t>
  </si>
  <si>
    <t>1.382,29</t>
  </si>
  <si>
    <t>44,7181200</t>
  </si>
  <si>
    <t>1.367,03</t>
  </si>
  <si>
    <t>99,02%</t>
  </si>
  <si>
    <t>16,66</t>
  </si>
  <si>
    <t>1.366,12</t>
  </si>
  <si>
    <t>99,03%</t>
  </si>
  <si>
    <t>111,47</t>
  </si>
  <si>
    <t>1.337,64</t>
  </si>
  <si>
    <t>42,4948930</t>
  </si>
  <si>
    <t>31,38</t>
  </si>
  <si>
    <t>1.333,49</t>
  </si>
  <si>
    <t>99,04%</t>
  </si>
  <si>
    <t>442,75</t>
  </si>
  <si>
    <t>1.328,25</t>
  </si>
  <si>
    <t>99,05%</t>
  </si>
  <si>
    <t>1.151,9083893</t>
  </si>
  <si>
    <t>1,15</t>
  </si>
  <si>
    <t>1.324,69</t>
  </si>
  <si>
    <t>132,39</t>
  </si>
  <si>
    <t>1.323,90</t>
  </si>
  <si>
    <t>99,06%</t>
  </si>
  <si>
    <t>8,05</t>
  </si>
  <si>
    <t>1.312,37</t>
  </si>
  <si>
    <t>99,07%</t>
  </si>
  <si>
    <t>116,72</t>
  </si>
  <si>
    <t>1.283,92</t>
  </si>
  <si>
    <t>480,0000000</t>
  </si>
  <si>
    <t>2,67</t>
  </si>
  <si>
    <t>1.281,60</t>
  </si>
  <si>
    <t>99,08%</t>
  </si>
  <si>
    <t>79,90</t>
  </si>
  <si>
    <t>1.278,40</t>
  </si>
  <si>
    <t>99,09%</t>
  </si>
  <si>
    <t>2,9700000</t>
  </si>
  <si>
    <t>427,30</t>
  </si>
  <si>
    <t>1.269,08</t>
  </si>
  <si>
    <t>3,1500000</t>
  </si>
  <si>
    <t>400,00</t>
  </si>
  <si>
    <t>1.260,00</t>
  </si>
  <si>
    <t>99,10%</t>
  </si>
  <si>
    <t>168,3344000</t>
  </si>
  <si>
    <t>7,41</t>
  </si>
  <si>
    <t>1.247,36</t>
  </si>
  <si>
    <t>99,11%</t>
  </si>
  <si>
    <t>42,1592100</t>
  </si>
  <si>
    <t>1.242,43</t>
  </si>
  <si>
    <t>50,4000000</t>
  </si>
  <si>
    <t>24,46</t>
  </si>
  <si>
    <t>1.232,78</t>
  </si>
  <si>
    <t>99,12%</t>
  </si>
  <si>
    <t>0,0053788</t>
  </si>
  <si>
    <t>227.000,00</t>
  </si>
  <si>
    <t>1.220,99</t>
  </si>
  <si>
    <t>200,8314080</t>
  </si>
  <si>
    <t>1.219,05</t>
  </si>
  <si>
    <t>99,13%</t>
  </si>
  <si>
    <t>1.218,72</t>
  </si>
  <si>
    <t>99,14%</t>
  </si>
  <si>
    <t>58,9090752</t>
  </si>
  <si>
    <t>20,61</t>
  </si>
  <si>
    <t>1.214,12</t>
  </si>
  <si>
    <t>1.206,74</t>
  </si>
  <si>
    <t>99,15%</t>
  </si>
  <si>
    <t>26,4256200</t>
  </si>
  <si>
    <t>44,78</t>
  </si>
  <si>
    <t>1.183,34</t>
  </si>
  <si>
    <t>99,16%</t>
  </si>
  <si>
    <t>13,0382000</t>
  </si>
  <si>
    <t>90,64</t>
  </si>
  <si>
    <t>1.181,78</t>
  </si>
  <si>
    <t>99,17%</t>
  </si>
  <si>
    <t>91,8000000</t>
  </si>
  <si>
    <t>12,81</t>
  </si>
  <si>
    <t>1.175,96</t>
  </si>
  <si>
    <t>1.171,68</t>
  </si>
  <si>
    <t>99,18%</t>
  </si>
  <si>
    <t>290,00</t>
  </si>
  <si>
    <t>1.160,00</t>
  </si>
  <si>
    <t>99,19%</t>
  </si>
  <si>
    <t>6,5000000</t>
  </si>
  <si>
    <t>175,74</t>
  </si>
  <si>
    <t>1.142,31</t>
  </si>
  <si>
    <t>99,20%</t>
  </si>
  <si>
    <t>452,4000000</t>
  </si>
  <si>
    <t>2,52</t>
  </si>
  <si>
    <t>1.140,05</t>
  </si>
  <si>
    <t>61,6857835</t>
  </si>
  <si>
    <t>18,38</t>
  </si>
  <si>
    <t>1.133,78</t>
  </si>
  <si>
    <t>99,21%</t>
  </si>
  <si>
    <t>42,9351340</t>
  </si>
  <si>
    <t>26,30</t>
  </si>
  <si>
    <t>1.129,19</t>
  </si>
  <si>
    <t>76,7045250</t>
  </si>
  <si>
    <t>14,62</t>
  </si>
  <si>
    <t>1.121,42</t>
  </si>
  <si>
    <t>99,22%</t>
  </si>
  <si>
    <t>18.636,0000000</t>
  </si>
  <si>
    <t>1.118,16</t>
  </si>
  <si>
    <t>41,3898000</t>
  </si>
  <si>
    <t>1.114,56</t>
  </si>
  <si>
    <t>99,23%</t>
  </si>
  <si>
    <t>1.184,0000000</t>
  </si>
  <si>
    <t>0,94</t>
  </si>
  <si>
    <t>1.112,96</t>
  </si>
  <si>
    <t>1.095,36</t>
  </si>
  <si>
    <t>99,24%</t>
  </si>
  <si>
    <t>52,0000000</t>
  </si>
  <si>
    <t>20,95</t>
  </si>
  <si>
    <t>1.089,40</t>
  </si>
  <si>
    <t>99,25%</t>
  </si>
  <si>
    <t>176,2795538</t>
  </si>
  <si>
    <t>1.070,02</t>
  </si>
  <si>
    <t>1.257,8450000</t>
  </si>
  <si>
    <t>0,85</t>
  </si>
  <si>
    <t>1.069,17</t>
  </si>
  <si>
    <t>99,26%</t>
  </si>
  <si>
    <t>8,5040000</t>
  </si>
  <si>
    <t>124,95</t>
  </si>
  <si>
    <t>1.062,56</t>
  </si>
  <si>
    <t>4.086,1080000</t>
  </si>
  <si>
    <t>1.062,39</t>
  </si>
  <si>
    <t>99,27%</t>
  </si>
  <si>
    <t>2,2814000</t>
  </si>
  <si>
    <t>463,50</t>
  </si>
  <si>
    <t>1.057,43</t>
  </si>
  <si>
    <t>1.052,69</t>
  </si>
  <si>
    <t>99,28%</t>
  </si>
  <si>
    <t>116,88</t>
  </si>
  <si>
    <t>1.051,92</t>
  </si>
  <si>
    <t>18,44</t>
  </si>
  <si>
    <t>1.051,08</t>
  </si>
  <si>
    <t>99,29%</t>
  </si>
  <si>
    <t>261,79</t>
  </si>
  <si>
    <t>1.047,16</t>
  </si>
  <si>
    <t>16,24</t>
  </si>
  <si>
    <t>1.039,36</t>
  </si>
  <si>
    <t>99,30%</t>
  </si>
  <si>
    <t>174,5960000</t>
  </si>
  <si>
    <t>5,95</t>
  </si>
  <si>
    <t>1.038,85</t>
  </si>
  <si>
    <t>11,47</t>
  </si>
  <si>
    <t>1.032,30</t>
  </si>
  <si>
    <t>99,31%</t>
  </si>
  <si>
    <t>289,1824760</t>
  </si>
  <si>
    <t>3,55</t>
  </si>
  <si>
    <t>1.026,60</t>
  </si>
  <si>
    <t>26,7750000</t>
  </si>
  <si>
    <t>37,96</t>
  </si>
  <si>
    <t>1.016,38</t>
  </si>
  <si>
    <t>99,32%</t>
  </si>
  <si>
    <t>0,0031011</t>
  </si>
  <si>
    <t>326.952,02</t>
  </si>
  <si>
    <t>1.013,90</t>
  </si>
  <si>
    <t>253,19</t>
  </si>
  <si>
    <t>1.012,76</t>
  </si>
  <si>
    <t>99,33%</t>
  </si>
  <si>
    <t>1.006,14</t>
  </si>
  <si>
    <t>108,6069978</t>
  </si>
  <si>
    <t>9,21</t>
  </si>
  <si>
    <t>1.000,27</t>
  </si>
  <si>
    <t>99,34%</t>
  </si>
  <si>
    <t>249,90</t>
  </si>
  <si>
    <t>999,60</t>
  </si>
  <si>
    <t>980,89</t>
  </si>
  <si>
    <t>0,00%</t>
  </si>
  <si>
    <t>99,35%</t>
  </si>
  <si>
    <t>9,5827920</t>
  </si>
  <si>
    <t>102,18</t>
  </si>
  <si>
    <t>979,17</t>
  </si>
  <si>
    <t>19,0000000</t>
  </si>
  <si>
    <t>51,48</t>
  </si>
  <si>
    <t>978,12</t>
  </si>
  <si>
    <t>99,36%</t>
  </si>
  <si>
    <t>975,38</t>
  </si>
  <si>
    <t>972,27</t>
  </si>
  <si>
    <t>99,37%</t>
  </si>
  <si>
    <t>23,2617000</t>
  </si>
  <si>
    <t>41,44</t>
  </si>
  <si>
    <t>963,96</t>
  </si>
  <si>
    <t>25,1581000</t>
  </si>
  <si>
    <t>38,31</t>
  </si>
  <si>
    <t>963,81</t>
  </si>
  <si>
    <t>99,38%</t>
  </si>
  <si>
    <t>15,0000000</t>
  </si>
  <si>
    <t>63,87</t>
  </si>
  <si>
    <t>958,05</t>
  </si>
  <si>
    <t>59,22</t>
  </si>
  <si>
    <t>947,52</t>
  </si>
  <si>
    <t>99,39%</t>
  </si>
  <si>
    <t>33,2202595</t>
  </si>
  <si>
    <t>28,49</t>
  </si>
  <si>
    <t>946,45</t>
  </si>
  <si>
    <t>946,10</t>
  </si>
  <si>
    <t>99,40%</t>
  </si>
  <si>
    <t>409,3755000</t>
  </si>
  <si>
    <t>941,56</t>
  </si>
  <si>
    <t>54,99</t>
  </si>
  <si>
    <t>934,83</t>
  </si>
  <si>
    <t>99,41%</t>
  </si>
  <si>
    <t>34,7110000</t>
  </si>
  <si>
    <t>26,66</t>
  </si>
  <si>
    <t>925,40</t>
  </si>
  <si>
    <t>31,90</t>
  </si>
  <si>
    <t>925,10</t>
  </si>
  <si>
    <t>99,42%</t>
  </si>
  <si>
    <t>923,32</t>
  </si>
  <si>
    <t>762,2345540</t>
  </si>
  <si>
    <t>1,21</t>
  </si>
  <si>
    <t>922,30</t>
  </si>
  <si>
    <t>99,43%</t>
  </si>
  <si>
    <t>918,04</t>
  </si>
  <si>
    <t>13,5140000</t>
  </si>
  <si>
    <t>67,85</t>
  </si>
  <si>
    <t>916,92</t>
  </si>
  <si>
    <t>238,8435000</t>
  </si>
  <si>
    <t>3,80</t>
  </si>
  <si>
    <t>907,61</t>
  </si>
  <si>
    <t>99,44%</t>
  </si>
  <si>
    <t>94,0000000</t>
  </si>
  <si>
    <t>9,65</t>
  </si>
  <si>
    <t>907,10</t>
  </si>
  <si>
    <t>169,4000000</t>
  </si>
  <si>
    <t>5,35</t>
  </si>
  <si>
    <t>906,29</t>
  </si>
  <si>
    <t>99,45%</t>
  </si>
  <si>
    <t>62,9760000</t>
  </si>
  <si>
    <t>14,32</t>
  </si>
  <si>
    <t>901,82</t>
  </si>
  <si>
    <t>891,88</t>
  </si>
  <si>
    <t>99,46%</t>
  </si>
  <si>
    <t>148,0000000</t>
  </si>
  <si>
    <t>885,04</t>
  </si>
  <si>
    <t>29,08</t>
  </si>
  <si>
    <t>872,40</t>
  </si>
  <si>
    <t>99,47%</t>
  </si>
  <si>
    <t>58,05</t>
  </si>
  <si>
    <t>870,75</t>
  </si>
  <si>
    <t>12,23</t>
  </si>
  <si>
    <t>870,55</t>
  </si>
  <si>
    <t>9,2000000</t>
  </si>
  <si>
    <t>94,35</t>
  </si>
  <si>
    <t>868,02</t>
  </si>
  <si>
    <t>99,48%</t>
  </si>
  <si>
    <t>42,8482682</t>
  </si>
  <si>
    <t>20,18</t>
  </si>
  <si>
    <t>864,68</t>
  </si>
  <si>
    <t>0,0065339</t>
  </si>
  <si>
    <t>131.850,00</t>
  </si>
  <si>
    <t>861,49</t>
  </si>
  <si>
    <t>99,49%</t>
  </si>
  <si>
    <t>41,6000000</t>
  </si>
  <si>
    <t>853,46</t>
  </si>
  <si>
    <t>4,39</t>
  </si>
  <si>
    <t>845,08</t>
  </si>
  <si>
    <t>99,50%</t>
  </si>
  <si>
    <t>96,6620000</t>
  </si>
  <si>
    <t>837,09</t>
  </si>
  <si>
    <t>39,3750000</t>
  </si>
  <si>
    <t>21,15</t>
  </si>
  <si>
    <t>832,78</t>
  </si>
  <si>
    <t>831,73</t>
  </si>
  <si>
    <t>99,51%</t>
  </si>
  <si>
    <t>1.051,5190762</t>
  </si>
  <si>
    <t>0,79</t>
  </si>
  <si>
    <t>830,70</t>
  </si>
  <si>
    <t>272,9792000</t>
  </si>
  <si>
    <t>3,03</t>
  </si>
  <si>
    <t>827,13</t>
  </si>
  <si>
    <t>99,52%</t>
  </si>
  <si>
    <t>17,14</t>
  </si>
  <si>
    <t>822,72</t>
  </si>
  <si>
    <t>62,0000000</t>
  </si>
  <si>
    <t>13,23</t>
  </si>
  <si>
    <t>820,26</t>
  </si>
  <si>
    <t>99,53%</t>
  </si>
  <si>
    <t>325,3860000</t>
  </si>
  <si>
    <t>819,97</t>
  </si>
  <si>
    <t>283,5000000</t>
  </si>
  <si>
    <t>2,88</t>
  </si>
  <si>
    <t>816,48</t>
  </si>
  <si>
    <t>43,2000000</t>
  </si>
  <si>
    <t>18,89</t>
  </si>
  <si>
    <t>816,05</t>
  </si>
  <si>
    <t>99,54%</t>
  </si>
  <si>
    <t>0,5345684</t>
  </si>
  <si>
    <t>1.518,00</t>
  </si>
  <si>
    <t>811,47</t>
  </si>
  <si>
    <t>27,92</t>
  </si>
  <si>
    <t>809,68</t>
  </si>
  <si>
    <t>99,55%</t>
  </si>
  <si>
    <t>23,62</t>
  </si>
  <si>
    <t>803,08</t>
  </si>
  <si>
    <t>19,6915147</t>
  </si>
  <si>
    <t>40,71</t>
  </si>
  <si>
    <t>801,64</t>
  </si>
  <si>
    <t>132,70</t>
  </si>
  <si>
    <t>796,20</t>
  </si>
  <si>
    <t>99,56%</t>
  </si>
  <si>
    <t>132,53</t>
  </si>
  <si>
    <t>795,19</t>
  </si>
  <si>
    <t>39,2610644</t>
  </si>
  <si>
    <t>778,15</t>
  </si>
  <si>
    <t>99,57%</t>
  </si>
  <si>
    <t>187,63</t>
  </si>
  <si>
    <t>750,52</t>
  </si>
  <si>
    <t>33,90</t>
  </si>
  <si>
    <t>745,80</t>
  </si>
  <si>
    <t>99,58%</t>
  </si>
  <si>
    <t>5.317,6068560</t>
  </si>
  <si>
    <t>744,46</t>
  </si>
  <si>
    <t>5,4636400</t>
  </si>
  <si>
    <t>132,03</t>
  </si>
  <si>
    <t>721,36</t>
  </si>
  <si>
    <t>0,0010056</t>
  </si>
  <si>
    <t>713.097,82</t>
  </si>
  <si>
    <t>717,10</t>
  </si>
  <si>
    <t>99,59%</t>
  </si>
  <si>
    <t>26,57</t>
  </si>
  <si>
    <t>711,41</t>
  </si>
  <si>
    <t>97,5334000</t>
  </si>
  <si>
    <t>7,08</t>
  </si>
  <si>
    <t>690,54</t>
  </si>
  <si>
    <t>718,3820400</t>
  </si>
  <si>
    <t>675,28</t>
  </si>
  <si>
    <t>99,60%</t>
  </si>
  <si>
    <t>660,00</t>
  </si>
  <si>
    <t>164,91</t>
  </si>
  <si>
    <t>659,64</t>
  </si>
  <si>
    <t>99,61%</t>
  </si>
  <si>
    <t>324,22</t>
  </si>
  <si>
    <t>648,44</t>
  </si>
  <si>
    <t>38,9340000</t>
  </si>
  <si>
    <t>16,50</t>
  </si>
  <si>
    <t>642,41</t>
  </si>
  <si>
    <t>27,4894100</t>
  </si>
  <si>
    <t>638,58</t>
  </si>
  <si>
    <t>99,62%</t>
  </si>
  <si>
    <t>0,0005844</t>
  </si>
  <si>
    <t>1.079.918,00</t>
  </si>
  <si>
    <t>631,14</t>
  </si>
  <si>
    <t>621,00</t>
  </si>
  <si>
    <t>305,46</t>
  </si>
  <si>
    <t>610,92</t>
  </si>
  <si>
    <t>99,63%</t>
  </si>
  <si>
    <t>610,90</t>
  </si>
  <si>
    <t>40,66</t>
  </si>
  <si>
    <t>609,90</t>
  </si>
  <si>
    <t>240,3900000</t>
  </si>
  <si>
    <t>2,53</t>
  </si>
  <si>
    <t>608,19</t>
  </si>
  <si>
    <t>99,64%</t>
  </si>
  <si>
    <t>428,0210000</t>
  </si>
  <si>
    <t>1,42</t>
  </si>
  <si>
    <t>607,79</t>
  </si>
  <si>
    <t>29,5740000</t>
  </si>
  <si>
    <t>606,73</t>
  </si>
  <si>
    <t>35,60</t>
  </si>
  <si>
    <t>605,20</t>
  </si>
  <si>
    <t>99,65%</t>
  </si>
  <si>
    <t>600,00</t>
  </si>
  <si>
    <t>59,90</t>
  </si>
  <si>
    <t>599,00</t>
  </si>
  <si>
    <t>1.041,7610000</t>
  </si>
  <si>
    <t>0,57</t>
  </si>
  <si>
    <t>593,80</t>
  </si>
  <si>
    <t>118,25</t>
  </si>
  <si>
    <t>591,25</t>
  </si>
  <si>
    <t>99,66%</t>
  </si>
  <si>
    <t>147,39</t>
  </si>
  <si>
    <t>589,56</t>
  </si>
  <si>
    <t>4,2000000</t>
  </si>
  <si>
    <t>139,55</t>
  </si>
  <si>
    <t>586,11</t>
  </si>
  <si>
    <t>145,98</t>
  </si>
  <si>
    <t>583,92</t>
  </si>
  <si>
    <t>99,67%</t>
  </si>
  <si>
    <t>574,59</t>
  </si>
  <si>
    <t>2,2640000</t>
  </si>
  <si>
    <t>253,75</t>
  </si>
  <si>
    <t>574,49</t>
  </si>
  <si>
    <t>11,1618000</t>
  </si>
  <si>
    <t>51,37</t>
  </si>
  <si>
    <t>573,38</t>
  </si>
  <si>
    <t>173,7708000</t>
  </si>
  <si>
    <t>3,29</t>
  </si>
  <si>
    <t>571,71</t>
  </si>
  <si>
    <t>99,68%</t>
  </si>
  <si>
    <t>19,1209200</t>
  </si>
  <si>
    <t>29,78</t>
  </si>
  <si>
    <t>569,42</t>
  </si>
  <si>
    <t>239,8691400</t>
  </si>
  <si>
    <t>2,37</t>
  </si>
  <si>
    <t>568,49</t>
  </si>
  <si>
    <t>71,0000000</t>
  </si>
  <si>
    <t>8,00</t>
  </si>
  <si>
    <t>568,00</t>
  </si>
  <si>
    <t>99,69%</t>
  </si>
  <si>
    <t>24,7273600</t>
  </si>
  <si>
    <t>22,96</t>
  </si>
  <si>
    <t>567,74</t>
  </si>
  <si>
    <t>12,90</t>
  </si>
  <si>
    <t>567,60</t>
  </si>
  <si>
    <t>1.064,1700000</t>
  </si>
  <si>
    <t>564,01</t>
  </si>
  <si>
    <t>187,94</t>
  </si>
  <si>
    <t>563,82</t>
  </si>
  <si>
    <t>99,70%</t>
  </si>
  <si>
    <t>56,36</t>
  </si>
  <si>
    <t>563,60</t>
  </si>
  <si>
    <t>93,66</t>
  </si>
  <si>
    <t>561,96</t>
  </si>
  <si>
    <t>245,38</t>
  </si>
  <si>
    <t>555,54</t>
  </si>
  <si>
    <t>99,71%</t>
  </si>
  <si>
    <t>195,1151940</t>
  </si>
  <si>
    <t>2,84</t>
  </si>
  <si>
    <t>554,13</t>
  </si>
  <si>
    <t>138,29</t>
  </si>
  <si>
    <t>553,16</t>
  </si>
  <si>
    <t>50,14</t>
  </si>
  <si>
    <t>551,54</t>
  </si>
  <si>
    <t>42,12</t>
  </si>
  <si>
    <t>547,56</t>
  </si>
  <si>
    <t>99,72%</t>
  </si>
  <si>
    <t>17,7948000</t>
  </si>
  <si>
    <t>3,8376720</t>
  </si>
  <si>
    <t>141,38</t>
  </si>
  <si>
    <t>542,57</t>
  </si>
  <si>
    <t>7,3150000</t>
  </si>
  <si>
    <t>73,88</t>
  </si>
  <si>
    <t>540,43</t>
  </si>
  <si>
    <t>99,73%</t>
  </si>
  <si>
    <t>6,5328160</t>
  </si>
  <si>
    <t>538,43</t>
  </si>
  <si>
    <t>11,0278800</t>
  </si>
  <si>
    <t>48,56</t>
  </si>
  <si>
    <t>535,51</t>
  </si>
  <si>
    <t>48,5139200</t>
  </si>
  <si>
    <t>10,86</t>
  </si>
  <si>
    <t>526,86</t>
  </si>
  <si>
    <t>121,2120000</t>
  </si>
  <si>
    <t>4,34</t>
  </si>
  <si>
    <t>526,06</t>
  </si>
  <si>
    <t>99,74%</t>
  </si>
  <si>
    <t>136,30</t>
  </si>
  <si>
    <t>523,07</t>
  </si>
  <si>
    <t>521,64</t>
  </si>
  <si>
    <t>518,78</t>
  </si>
  <si>
    <t>17,5270000</t>
  </si>
  <si>
    <t>508,19</t>
  </si>
  <si>
    <t>99,75%</t>
  </si>
  <si>
    <t>16,90</t>
  </si>
  <si>
    <t>507,00</t>
  </si>
  <si>
    <t>504,42</t>
  </si>
  <si>
    <t>101,7000000</t>
  </si>
  <si>
    <t>4,92</t>
  </si>
  <si>
    <t>500,36</t>
  </si>
  <si>
    <t>20,76</t>
  </si>
  <si>
    <t>498,24</t>
  </si>
  <si>
    <t>99,76%</t>
  </si>
  <si>
    <t>0,0034608</t>
  </si>
  <si>
    <t>143.750,00</t>
  </si>
  <si>
    <t>497,49</t>
  </si>
  <si>
    <t>2,8875000</t>
  </si>
  <si>
    <t>170,89</t>
  </si>
  <si>
    <t>493,44</t>
  </si>
  <si>
    <t>23,9190000</t>
  </si>
  <si>
    <t>490,72</t>
  </si>
  <si>
    <t>99,77%</t>
  </si>
  <si>
    <t>32,4000000</t>
  </si>
  <si>
    <t>14,95</t>
  </si>
  <si>
    <t>484,38</t>
  </si>
  <si>
    <t>23,0000000</t>
  </si>
  <si>
    <t>20,96</t>
  </si>
  <si>
    <t>482,08</t>
  </si>
  <si>
    <t>60,00</t>
  </si>
  <si>
    <t>480,00</t>
  </si>
  <si>
    <t>3,78</t>
  </si>
  <si>
    <t>472,50</t>
  </si>
  <si>
    <t>99,78%</t>
  </si>
  <si>
    <t>12,6000000</t>
  </si>
  <si>
    <t>37,03</t>
  </si>
  <si>
    <t>466,53</t>
  </si>
  <si>
    <t>2,2000000</t>
  </si>
  <si>
    <t>210,52</t>
  </si>
  <si>
    <t>463,14</t>
  </si>
  <si>
    <t>57,68</t>
  </si>
  <si>
    <t>461,44</t>
  </si>
  <si>
    <t>83,1168000</t>
  </si>
  <si>
    <t>5,48</t>
  </si>
  <si>
    <t>455,48</t>
  </si>
  <si>
    <t>227,52</t>
  </si>
  <si>
    <t>455,04</t>
  </si>
  <si>
    <t>99,79%</t>
  </si>
  <si>
    <t>207,8612672</t>
  </si>
  <si>
    <t>448,98</t>
  </si>
  <si>
    <t>4.972,0000000</t>
  </si>
  <si>
    <t>37,25</t>
  </si>
  <si>
    <t>447,00</t>
  </si>
  <si>
    <t>44,70</t>
  </si>
  <si>
    <t>99,80%</t>
  </si>
  <si>
    <t>20,00</t>
  </si>
  <si>
    <t>440,00</t>
  </si>
  <si>
    <t>17,58</t>
  </si>
  <si>
    <t>439,50</t>
  </si>
  <si>
    <t>439,00</t>
  </si>
  <si>
    <t>437,42</t>
  </si>
  <si>
    <t>72,86</t>
  </si>
  <si>
    <t>437,16</t>
  </si>
  <si>
    <t>99,81%</t>
  </si>
  <si>
    <t>434,64</t>
  </si>
  <si>
    <t>13,55</t>
  </si>
  <si>
    <t>433,60</t>
  </si>
  <si>
    <t>426,26</t>
  </si>
  <si>
    <t>141,76</t>
  </si>
  <si>
    <t>425,28</t>
  </si>
  <si>
    <t>99,82%</t>
  </si>
  <si>
    <t>11,14</t>
  </si>
  <si>
    <t>423,32</t>
  </si>
  <si>
    <t>20,88</t>
  </si>
  <si>
    <t>417,60</t>
  </si>
  <si>
    <t>52,01</t>
  </si>
  <si>
    <t>416,08</t>
  </si>
  <si>
    <t>69,15</t>
  </si>
  <si>
    <t>414,90</t>
  </si>
  <si>
    <t>36,5040000</t>
  </si>
  <si>
    <t>11,34</t>
  </si>
  <si>
    <t>413,96</t>
  </si>
  <si>
    <t>99,83%</t>
  </si>
  <si>
    <t>22,7676500</t>
  </si>
  <si>
    <t>18,07</t>
  </si>
  <si>
    <t>411,41</t>
  </si>
  <si>
    <t>0,0181044</t>
  </si>
  <si>
    <t>22.576,27</t>
  </si>
  <si>
    <t>408,73</t>
  </si>
  <si>
    <t>13,90</t>
  </si>
  <si>
    <t>403,10</t>
  </si>
  <si>
    <t>6,4008000</t>
  </si>
  <si>
    <t>62,77</t>
  </si>
  <si>
    <t>401,78</t>
  </si>
  <si>
    <t>17,5026900</t>
  </si>
  <si>
    <t>22,69</t>
  </si>
  <si>
    <t>397,14</t>
  </si>
  <si>
    <t>99,84%</t>
  </si>
  <si>
    <t>65,69</t>
  </si>
  <si>
    <t>394,14</t>
  </si>
  <si>
    <t>233,6863500</t>
  </si>
  <si>
    <t>1,68</t>
  </si>
  <si>
    <t>392,59</t>
  </si>
  <si>
    <t>77,70</t>
  </si>
  <si>
    <t>35,16</t>
  </si>
  <si>
    <t>386,76</t>
  </si>
  <si>
    <t>95,11</t>
  </si>
  <si>
    <t>380,44</t>
  </si>
  <si>
    <t>99,85%</t>
  </si>
  <si>
    <t>7,44</t>
  </si>
  <si>
    <t>379,44</t>
  </si>
  <si>
    <t>4.652,3400000</t>
  </si>
  <si>
    <t>372,19</t>
  </si>
  <si>
    <t>371,04</t>
  </si>
  <si>
    <t>9,0268560</t>
  </si>
  <si>
    <t>40,87</t>
  </si>
  <si>
    <t>368,93</t>
  </si>
  <si>
    <t>99,86%</t>
  </si>
  <si>
    <t>11,95</t>
  </si>
  <si>
    <t>358,50</t>
  </si>
  <si>
    <t>59,51</t>
  </si>
  <si>
    <t>357,06</t>
  </si>
  <si>
    <t>349,28</t>
  </si>
  <si>
    <t>175,4480000</t>
  </si>
  <si>
    <t>1,99</t>
  </si>
  <si>
    <t>349,14</t>
  </si>
  <si>
    <t>830,0000000</t>
  </si>
  <si>
    <t>348,60</t>
  </si>
  <si>
    <t>347,30</t>
  </si>
  <si>
    <t>99,87%</t>
  </si>
  <si>
    <t>1,1550000</t>
  </si>
  <si>
    <t>298,35</t>
  </si>
  <si>
    <t>344,59</t>
  </si>
  <si>
    <t>12,9780000</t>
  </si>
  <si>
    <t>344,18</t>
  </si>
  <si>
    <t>114,19</t>
  </si>
  <si>
    <t>342,57</t>
  </si>
  <si>
    <t>68,50</t>
  </si>
  <si>
    <t>342,50</t>
  </si>
  <si>
    <t>342,24</t>
  </si>
  <si>
    <t>1,3643000</t>
  </si>
  <si>
    <t>248,46</t>
  </si>
  <si>
    <t>338,97</t>
  </si>
  <si>
    <t>99,88%</t>
  </si>
  <si>
    <t>2,8528000</t>
  </si>
  <si>
    <t>117,04</t>
  </si>
  <si>
    <t>333,89</t>
  </si>
  <si>
    <t>70,3500000</t>
  </si>
  <si>
    <t>4,70</t>
  </si>
  <si>
    <t>330,65</t>
  </si>
  <si>
    <t>2,0300000</t>
  </si>
  <si>
    <t>162,75</t>
  </si>
  <si>
    <t>330,38</t>
  </si>
  <si>
    <t>21,8072000</t>
  </si>
  <si>
    <t>15,15</t>
  </si>
  <si>
    <t>6,1860000</t>
  </si>
  <si>
    <t>53,26</t>
  </si>
  <si>
    <t>329,47</t>
  </si>
  <si>
    <t>3,7300000</t>
  </si>
  <si>
    <t>326,38</t>
  </si>
  <si>
    <t>99,89%</t>
  </si>
  <si>
    <t>3,12</t>
  </si>
  <si>
    <t>314,50</t>
  </si>
  <si>
    <t>0,0044584</t>
  </si>
  <si>
    <t>68.434,17</t>
  </si>
  <si>
    <t>305,11</t>
  </si>
  <si>
    <t>15,1731000</t>
  </si>
  <si>
    <t>300,73</t>
  </si>
  <si>
    <t>4,1874000</t>
  </si>
  <si>
    <t>70,87</t>
  </si>
  <si>
    <t>296,76</t>
  </si>
  <si>
    <t>9,7000000</t>
  </si>
  <si>
    <t>296,53</t>
  </si>
  <si>
    <t>107,0000000</t>
  </si>
  <si>
    <t>2,76</t>
  </si>
  <si>
    <t>295,32</t>
  </si>
  <si>
    <t>99,90%</t>
  </si>
  <si>
    <t>4,1000000</t>
  </si>
  <si>
    <t>71,77</t>
  </si>
  <si>
    <t>294,26</t>
  </si>
  <si>
    <t>3,0261990</t>
  </si>
  <si>
    <t>290,52</t>
  </si>
  <si>
    <t>0,3770000</t>
  </si>
  <si>
    <t>769,81</t>
  </si>
  <si>
    <t>290,22</t>
  </si>
  <si>
    <t>286,50</t>
  </si>
  <si>
    <t>13,00</t>
  </si>
  <si>
    <t>286,00</t>
  </si>
  <si>
    <t>3,5000000</t>
  </si>
  <si>
    <t>81,68</t>
  </si>
  <si>
    <t>285,88</t>
  </si>
  <si>
    <t>247,25</t>
  </si>
  <si>
    <t>285,57</t>
  </si>
  <si>
    <t>99,91%</t>
  </si>
  <si>
    <t>56,14</t>
  </si>
  <si>
    <t>280,70</t>
  </si>
  <si>
    <t>43,0000000</t>
  </si>
  <si>
    <t>6,49</t>
  </si>
  <si>
    <t>279,07</t>
  </si>
  <si>
    <t>138,98</t>
  </si>
  <si>
    <t>277,96</t>
  </si>
  <si>
    <t>22,8000000</t>
  </si>
  <si>
    <t>12,13</t>
  </si>
  <si>
    <t>276,56</t>
  </si>
  <si>
    <t>8,13</t>
  </si>
  <si>
    <t>276,42</t>
  </si>
  <si>
    <t>62,5338000</t>
  </si>
  <si>
    <t>4,40</t>
  </si>
  <si>
    <t>275,15</t>
  </si>
  <si>
    <t>15,99</t>
  </si>
  <si>
    <t>271,83</t>
  </si>
  <si>
    <t>99,92%</t>
  </si>
  <si>
    <t>271,47</t>
  </si>
  <si>
    <t>0,0238308</t>
  </si>
  <si>
    <t>10.941,06</t>
  </si>
  <si>
    <t>260,73</t>
  </si>
  <si>
    <t>4,42</t>
  </si>
  <si>
    <t>260,38</t>
  </si>
  <si>
    <t>31,4452000</t>
  </si>
  <si>
    <t>8,10</t>
  </si>
  <si>
    <t>254,71</t>
  </si>
  <si>
    <t>112,0000000</t>
  </si>
  <si>
    <t>2,24</t>
  </si>
  <si>
    <t>250,88</t>
  </si>
  <si>
    <t>10,2807500</t>
  </si>
  <si>
    <t>24,24</t>
  </si>
  <si>
    <t>249,21</t>
  </si>
  <si>
    <t>15,2746620</t>
  </si>
  <si>
    <t>16,28</t>
  </si>
  <si>
    <t>248,67</t>
  </si>
  <si>
    <t>99,93%</t>
  </si>
  <si>
    <t>124,02</t>
  </si>
  <si>
    <t>248,04</t>
  </si>
  <si>
    <t>29,1176000</t>
  </si>
  <si>
    <t>8,40</t>
  </si>
  <si>
    <t>244,59</t>
  </si>
  <si>
    <t>334,9000000</t>
  </si>
  <si>
    <t>244,48</t>
  </si>
  <si>
    <t>40,49</t>
  </si>
  <si>
    <t>242,94</t>
  </si>
  <si>
    <t>236,80</t>
  </si>
  <si>
    <t>20,7480000</t>
  </si>
  <si>
    <t>11,30</t>
  </si>
  <si>
    <t>234,45</t>
  </si>
  <si>
    <t>283,1000000</t>
  </si>
  <si>
    <t>0,82</t>
  </si>
  <si>
    <t>232,14</t>
  </si>
  <si>
    <t>28,2672000</t>
  </si>
  <si>
    <t>8,18</t>
  </si>
  <si>
    <t>231,23</t>
  </si>
  <si>
    <t>10,1840229</t>
  </si>
  <si>
    <t>22,70</t>
  </si>
  <si>
    <t>231,18</t>
  </si>
  <si>
    <t>99,94%</t>
  </si>
  <si>
    <t>17,0344000</t>
  </si>
  <si>
    <t>13,46</t>
  </si>
  <si>
    <t>229,28</t>
  </si>
  <si>
    <t>8,7722970</t>
  </si>
  <si>
    <t>24,67</t>
  </si>
  <si>
    <t>216,41</t>
  </si>
  <si>
    <t>41,1400000</t>
  </si>
  <si>
    <t>5,17</t>
  </si>
  <si>
    <t>212,69</t>
  </si>
  <si>
    <t>659,2612340</t>
  </si>
  <si>
    <t>210,96</t>
  </si>
  <si>
    <t>21,00</t>
  </si>
  <si>
    <t>210,00</t>
  </si>
  <si>
    <t>13,1560000</t>
  </si>
  <si>
    <t>207,21</t>
  </si>
  <si>
    <t>13,3242980</t>
  </si>
  <si>
    <t>15,50</t>
  </si>
  <si>
    <t>206,53</t>
  </si>
  <si>
    <t>0,0076954</t>
  </si>
  <si>
    <t>26.672,36</t>
  </si>
  <si>
    <t>205,26</t>
  </si>
  <si>
    <t>205,20</t>
  </si>
  <si>
    <t>99,95%</t>
  </si>
  <si>
    <t>28,75</t>
  </si>
  <si>
    <t>201,25</t>
  </si>
  <si>
    <t>49,90</t>
  </si>
  <si>
    <t>199,60</t>
  </si>
  <si>
    <t>197,12</t>
  </si>
  <si>
    <t>197,07</t>
  </si>
  <si>
    <t>48,94</t>
  </si>
  <si>
    <t>195,76</t>
  </si>
  <si>
    <t>10,3900000</t>
  </si>
  <si>
    <t>18,75</t>
  </si>
  <si>
    <t>194,81</t>
  </si>
  <si>
    <t>2.368,0000000</t>
  </si>
  <si>
    <t>189,44</t>
  </si>
  <si>
    <t>1,4853156</t>
  </si>
  <si>
    <t>124,89</t>
  </si>
  <si>
    <t>185,50</t>
  </si>
  <si>
    <t>81,61</t>
  </si>
  <si>
    <t>184,77</t>
  </si>
  <si>
    <t>99,96%</t>
  </si>
  <si>
    <t>184,65</t>
  </si>
  <si>
    <t>176,88</t>
  </si>
  <si>
    <t>2,8995200</t>
  </si>
  <si>
    <t>62,41</t>
  </si>
  <si>
    <t>180,96</t>
  </si>
  <si>
    <t>516,4600000</t>
  </si>
  <si>
    <t>180,76</t>
  </si>
  <si>
    <t>118,0420000</t>
  </si>
  <si>
    <t>180,60</t>
  </si>
  <si>
    <t>7,0485000</t>
  </si>
  <si>
    <t>180,09</t>
  </si>
  <si>
    <t>0,5784000</t>
  </si>
  <si>
    <t>308,60</t>
  </si>
  <si>
    <t>178,49</t>
  </si>
  <si>
    <t>548,1733260</t>
  </si>
  <si>
    <t>175,42</t>
  </si>
  <si>
    <t>173,97</t>
  </si>
  <si>
    <t>0,9776250</t>
  </si>
  <si>
    <t>177,00</t>
  </si>
  <si>
    <t>173,04</t>
  </si>
  <si>
    <t>5,9360000</t>
  </si>
  <si>
    <t>172,11</t>
  </si>
  <si>
    <t>39,7055120</t>
  </si>
  <si>
    <t>4,33</t>
  </si>
  <si>
    <t>171,92</t>
  </si>
  <si>
    <t>99,97%</t>
  </si>
  <si>
    <t>277,1114000</t>
  </si>
  <si>
    <t>171,81</t>
  </si>
  <si>
    <t>2,5940000</t>
  </si>
  <si>
    <t>65,66</t>
  </si>
  <si>
    <t>170,32</t>
  </si>
  <si>
    <t>1,1600000</t>
  </si>
  <si>
    <t>144,99</t>
  </si>
  <si>
    <t>168,19</t>
  </si>
  <si>
    <t>3,45</t>
  </si>
  <si>
    <t>165,60</t>
  </si>
  <si>
    <t>13,71</t>
  </si>
  <si>
    <t>164,52</t>
  </si>
  <si>
    <t>35,7500000</t>
  </si>
  <si>
    <t>4,55</t>
  </si>
  <si>
    <t>162,66</t>
  </si>
  <si>
    <t>3,0617600</t>
  </si>
  <si>
    <t>52,95</t>
  </si>
  <si>
    <t>162,12</t>
  </si>
  <si>
    <t>161,88</t>
  </si>
  <si>
    <t>14,6300000</t>
  </si>
  <si>
    <t>11,00</t>
  </si>
  <si>
    <t>160,93</t>
  </si>
  <si>
    <t>79,60</t>
  </si>
  <si>
    <t>159,20</t>
  </si>
  <si>
    <t>33,0610000</t>
  </si>
  <si>
    <t>4,77</t>
  </si>
  <si>
    <t>157,70</t>
  </si>
  <si>
    <t>10,38</t>
  </si>
  <si>
    <t>155,70</t>
  </si>
  <si>
    <t>35,0007000</t>
  </si>
  <si>
    <t>155,40</t>
  </si>
  <si>
    <t>99,98%</t>
  </si>
  <si>
    <t>7,8750000</t>
  </si>
  <si>
    <t>19,71</t>
  </si>
  <si>
    <t>155,22</t>
  </si>
  <si>
    <t>155,00</t>
  </si>
  <si>
    <t>8,2033800</t>
  </si>
  <si>
    <t>18,52</t>
  </si>
  <si>
    <t>151,93</t>
  </si>
  <si>
    <t>18,4261646</t>
  </si>
  <si>
    <t>7,97</t>
  </si>
  <si>
    <t>146,86</t>
  </si>
  <si>
    <t>12,5454706</t>
  </si>
  <si>
    <t>11,39</t>
  </si>
  <si>
    <t>142,89</t>
  </si>
  <si>
    <t>71,32</t>
  </si>
  <si>
    <t>142,64</t>
  </si>
  <si>
    <t>0,0939855</t>
  </si>
  <si>
    <t>1.508,24</t>
  </si>
  <si>
    <t>141,75</t>
  </si>
  <si>
    <t>37,9999962</t>
  </si>
  <si>
    <t>3,70</t>
  </si>
  <si>
    <t>140,60</t>
  </si>
  <si>
    <t>13,3550000</t>
  </si>
  <si>
    <t>10,31</t>
  </si>
  <si>
    <t>137,69</t>
  </si>
  <si>
    <t>0,0097253</t>
  </si>
  <si>
    <t>13.940,47</t>
  </si>
  <si>
    <t>135,57</t>
  </si>
  <si>
    <t>5,5066680</t>
  </si>
  <si>
    <t>24,22</t>
  </si>
  <si>
    <t>133,37</t>
  </si>
  <si>
    <t>0,8510000</t>
  </si>
  <si>
    <t>156,15</t>
  </si>
  <si>
    <t>132,88</t>
  </si>
  <si>
    <t>99,99%</t>
  </si>
  <si>
    <t>5,21</t>
  </si>
  <si>
    <t>130,25</t>
  </si>
  <si>
    <t>126,90</t>
  </si>
  <si>
    <t>7,4540000</t>
  </si>
  <si>
    <t>16,94</t>
  </si>
  <si>
    <t>126,27</t>
  </si>
  <si>
    <t>1,3592541</t>
  </si>
  <si>
    <t>91,82</t>
  </si>
  <si>
    <t>124,81</t>
  </si>
  <si>
    <t>30,13</t>
  </si>
  <si>
    <t>120,52</t>
  </si>
  <si>
    <t>11,3832000</t>
  </si>
  <si>
    <t>10,48</t>
  </si>
  <si>
    <t>119,30</t>
  </si>
  <si>
    <t>18,3480000</t>
  </si>
  <si>
    <t>118,71</t>
  </si>
  <si>
    <t>0,0095439</t>
  </si>
  <si>
    <t>12.220,41</t>
  </si>
  <si>
    <t>116,63</t>
  </si>
  <si>
    <t>29,5031700</t>
  </si>
  <si>
    <t>116,54</t>
  </si>
  <si>
    <t>3,51</t>
  </si>
  <si>
    <t>115,83</t>
  </si>
  <si>
    <t>9,0540000</t>
  </si>
  <si>
    <t>115,08</t>
  </si>
  <si>
    <t>57,49</t>
  </si>
  <si>
    <t>114,98</t>
  </si>
  <si>
    <t>0,9570000</t>
  </si>
  <si>
    <t>120,00</t>
  </si>
  <si>
    <t>114,84</t>
  </si>
  <si>
    <t>2,5181250</t>
  </si>
  <si>
    <t>45,00</t>
  </si>
  <si>
    <t>113,32</t>
  </si>
  <si>
    <t>18,79</t>
  </si>
  <si>
    <t>112,74</t>
  </si>
  <si>
    <t>9,9000000</t>
  </si>
  <si>
    <t>11,31</t>
  </si>
  <si>
    <t>111,97</t>
  </si>
  <si>
    <t>110,25</t>
  </si>
  <si>
    <t>100,00%</t>
  </si>
  <si>
    <t>106,56</t>
  </si>
  <si>
    <t>0,0012332</t>
  </si>
  <si>
    <t>85.950,00</t>
  </si>
  <si>
    <t>105,99</t>
  </si>
  <si>
    <t>2,07</t>
  </si>
  <si>
    <t>105,07</t>
  </si>
  <si>
    <t>10,3680000</t>
  </si>
  <si>
    <t>9,99</t>
  </si>
  <si>
    <t>103,58</t>
  </si>
  <si>
    <t>17,22</t>
  </si>
  <si>
    <t>103,32</t>
  </si>
  <si>
    <t>56,6501600</t>
  </si>
  <si>
    <t>1,82</t>
  </si>
  <si>
    <t>103,10</t>
  </si>
  <si>
    <t>0,9900000</t>
  </si>
  <si>
    <t>101,16</t>
  </si>
  <si>
    <t>16,72</t>
  </si>
  <si>
    <t>100,32</t>
  </si>
  <si>
    <t>0,0099581</t>
  </si>
  <si>
    <t>9.454,98</t>
  </si>
  <si>
    <t>74,2560000</t>
  </si>
  <si>
    <t>1,24</t>
  </si>
  <si>
    <t>10,3100000</t>
  </si>
  <si>
    <t>8,90</t>
  </si>
  <si>
    <t>91,76</t>
  </si>
  <si>
    <t>3,5333943</t>
  </si>
  <si>
    <t>25,74</t>
  </si>
  <si>
    <t>90,95</t>
  </si>
  <si>
    <t>90,16</t>
  </si>
  <si>
    <t>2,35</t>
  </si>
  <si>
    <t>89,30</t>
  </si>
  <si>
    <t>4,5592600</t>
  </si>
  <si>
    <t>18,73</t>
  </si>
  <si>
    <t>85,39</t>
  </si>
  <si>
    <t>29,2320000</t>
  </si>
  <si>
    <t>2,91</t>
  </si>
  <si>
    <t>85,07</t>
  </si>
  <si>
    <t>41,16</t>
  </si>
  <si>
    <t>82,32</t>
  </si>
  <si>
    <t>81,32</t>
  </si>
  <si>
    <t>100,01%</t>
  </si>
  <si>
    <t>0,2471371</t>
  </si>
  <si>
    <t>324,40</t>
  </si>
  <si>
    <t>80,17</t>
  </si>
  <si>
    <t>0,8472462</t>
  </si>
  <si>
    <t>79,98</t>
  </si>
  <si>
    <t>39,78</t>
  </si>
  <si>
    <t>79,56</t>
  </si>
  <si>
    <t>79,00</t>
  </si>
  <si>
    <t>2,5963350</t>
  </si>
  <si>
    <t>78,54</t>
  </si>
  <si>
    <t>7,80</t>
  </si>
  <si>
    <t>78,00</t>
  </si>
  <si>
    <t>38,50</t>
  </si>
  <si>
    <t>77,00</t>
  </si>
  <si>
    <t>13,2480000</t>
  </si>
  <si>
    <t>5,78</t>
  </si>
  <si>
    <t>76,57</t>
  </si>
  <si>
    <t>50,1214540</t>
  </si>
  <si>
    <t>75,18</t>
  </si>
  <si>
    <t>74,95</t>
  </si>
  <si>
    <t>0,9097200</t>
  </si>
  <si>
    <t>82,38</t>
  </si>
  <si>
    <t>74,94</t>
  </si>
  <si>
    <t>5,62</t>
  </si>
  <si>
    <t>74,45</t>
  </si>
  <si>
    <t>0,6720000</t>
  </si>
  <si>
    <t>108,00</t>
  </si>
  <si>
    <t>72,58</t>
  </si>
  <si>
    <t>72,48</t>
  </si>
  <si>
    <t>64,9740000</t>
  </si>
  <si>
    <t>1,10</t>
  </si>
  <si>
    <t>71,47</t>
  </si>
  <si>
    <t>11,0400000</t>
  </si>
  <si>
    <t>69,33</t>
  </si>
  <si>
    <t>4,61</t>
  </si>
  <si>
    <t>34,46</t>
  </si>
  <si>
    <t>68,92</t>
  </si>
  <si>
    <t>68,68</t>
  </si>
  <si>
    <t>68,55</t>
  </si>
  <si>
    <t>11,42</t>
  </si>
  <si>
    <t>68,52</t>
  </si>
  <si>
    <t>228,0000000</t>
  </si>
  <si>
    <t>68,40</t>
  </si>
  <si>
    <t>0,0042195</t>
  </si>
  <si>
    <t>16.149,52</t>
  </si>
  <si>
    <t>16,6440000</t>
  </si>
  <si>
    <t>4,06</t>
  </si>
  <si>
    <t>67,57</t>
  </si>
  <si>
    <t>32,99</t>
  </si>
  <si>
    <t>65,98</t>
  </si>
  <si>
    <t>1,3350000</t>
  </si>
  <si>
    <t>49,41</t>
  </si>
  <si>
    <t>65,96</t>
  </si>
  <si>
    <t>63,84</t>
  </si>
  <si>
    <t>100,02%</t>
  </si>
  <si>
    <t>0,0185539</t>
  </si>
  <si>
    <t>3.390,99</t>
  </si>
  <si>
    <t>62,92</t>
  </si>
  <si>
    <t>5,5008000</t>
  </si>
  <si>
    <t>11,35</t>
  </si>
  <si>
    <t>62,43</t>
  </si>
  <si>
    <t>30,86</t>
  </si>
  <si>
    <t>61,72</t>
  </si>
  <si>
    <t>20,40</t>
  </si>
  <si>
    <t>61,20</t>
  </si>
  <si>
    <t>2,7000000</t>
  </si>
  <si>
    <t>22,51</t>
  </si>
  <si>
    <t>60,78</t>
  </si>
  <si>
    <t>14,93</t>
  </si>
  <si>
    <t>59,72</t>
  </si>
  <si>
    <t>58,76</t>
  </si>
  <si>
    <t>5,5319092</t>
  </si>
  <si>
    <t>10,18</t>
  </si>
  <si>
    <t>56,31</t>
  </si>
  <si>
    <t>100,3644540</t>
  </si>
  <si>
    <t>56,20</t>
  </si>
  <si>
    <t>2,0600000</t>
  </si>
  <si>
    <t>54,63</t>
  </si>
  <si>
    <t>7,5623956</t>
  </si>
  <si>
    <t>7,19</t>
  </si>
  <si>
    <t>1,5750000</t>
  </si>
  <si>
    <t>34,44</t>
  </si>
  <si>
    <t>54,24</t>
  </si>
  <si>
    <t>17,91</t>
  </si>
  <si>
    <t>53,73</t>
  </si>
  <si>
    <t>0,7150720</t>
  </si>
  <si>
    <t>72,71</t>
  </si>
  <si>
    <t>51,99</t>
  </si>
  <si>
    <t>25,44</t>
  </si>
  <si>
    <t>50,88</t>
  </si>
  <si>
    <t>50,78</t>
  </si>
  <si>
    <t>0,4650000</t>
  </si>
  <si>
    <t>50,57</t>
  </si>
  <si>
    <t>29,8990000</t>
  </si>
  <si>
    <t>1,69</t>
  </si>
  <si>
    <t>50,53</t>
  </si>
  <si>
    <t>50,40</t>
  </si>
  <si>
    <t>50,35</t>
  </si>
  <si>
    <t>1,52</t>
  </si>
  <si>
    <t>50,16</t>
  </si>
  <si>
    <t>25,05</t>
  </si>
  <si>
    <t>50,10</t>
  </si>
  <si>
    <t>12,09</t>
  </si>
  <si>
    <t>48,36</t>
  </si>
  <si>
    <t>5,89</t>
  </si>
  <si>
    <t>47,12</t>
  </si>
  <si>
    <t>0,3459920</t>
  </si>
  <si>
    <t>133,63</t>
  </si>
  <si>
    <t>46,23</t>
  </si>
  <si>
    <t>2,2193820</t>
  </si>
  <si>
    <t>20,67</t>
  </si>
  <si>
    <t>45,87</t>
  </si>
  <si>
    <t>10,7142000</t>
  </si>
  <si>
    <t>45,86</t>
  </si>
  <si>
    <t>5,5040000</t>
  </si>
  <si>
    <t>5,0069978</t>
  </si>
  <si>
    <t>8,72</t>
  </si>
  <si>
    <t>8,52</t>
  </si>
  <si>
    <t>42,66</t>
  </si>
  <si>
    <t>11,7044135</t>
  </si>
  <si>
    <t>41,08</t>
  </si>
  <si>
    <t>1,2678750</t>
  </si>
  <si>
    <t>31,86</t>
  </si>
  <si>
    <t>40,39</t>
  </si>
  <si>
    <t>19,0446260</t>
  </si>
  <si>
    <t>2,08</t>
  </si>
  <si>
    <t>39,61</t>
  </si>
  <si>
    <t>0,0070282</t>
  </si>
  <si>
    <t>5.550,00</t>
  </si>
  <si>
    <t>39,01</t>
  </si>
  <si>
    <t>38,74</t>
  </si>
  <si>
    <t>0,8180000</t>
  </si>
  <si>
    <t>46,35</t>
  </si>
  <si>
    <t>37,91</t>
  </si>
  <si>
    <t>100,03%</t>
  </si>
  <si>
    <t>36,48</t>
  </si>
  <si>
    <t>9,00</t>
  </si>
  <si>
    <t>36,00</t>
  </si>
  <si>
    <t>16,86</t>
  </si>
  <si>
    <t>33,72</t>
  </si>
  <si>
    <t>1,65</t>
  </si>
  <si>
    <t>33,00</t>
  </si>
  <si>
    <t>1,5000000</t>
  </si>
  <si>
    <t>21,62</t>
  </si>
  <si>
    <t>32,43</t>
  </si>
  <si>
    <t>16,20</t>
  </si>
  <si>
    <t>32,40</t>
  </si>
  <si>
    <t>31,96</t>
  </si>
  <si>
    <t>7,46</t>
  </si>
  <si>
    <t>31,33</t>
  </si>
  <si>
    <t>5,5200000</t>
  </si>
  <si>
    <t>5,66</t>
  </si>
  <si>
    <t>31,24</t>
  </si>
  <si>
    <t>15,41</t>
  </si>
  <si>
    <t>30,82</t>
  </si>
  <si>
    <t>30,72</t>
  </si>
  <si>
    <t>30,27</t>
  </si>
  <si>
    <t>10,05</t>
  </si>
  <si>
    <t>30,15</t>
  </si>
  <si>
    <t>0,0002884</t>
  </si>
  <si>
    <t>102.197,26</t>
  </si>
  <si>
    <t>0,6680000</t>
  </si>
  <si>
    <t>43,93</t>
  </si>
  <si>
    <t>29,35</t>
  </si>
  <si>
    <t>29,26</t>
  </si>
  <si>
    <t>1,0078425</t>
  </si>
  <si>
    <t>29,22</t>
  </si>
  <si>
    <t>7,23</t>
  </si>
  <si>
    <t>70,7200000</t>
  </si>
  <si>
    <t>28,29</t>
  </si>
  <si>
    <t>0,1918836</t>
  </si>
  <si>
    <t>27,13</t>
  </si>
  <si>
    <t>26,21</t>
  </si>
  <si>
    <t>26,15</t>
  </si>
  <si>
    <t>2,5000000</t>
  </si>
  <si>
    <t>10,37</t>
  </si>
  <si>
    <t>25,93</t>
  </si>
  <si>
    <t>1,0308700</t>
  </si>
  <si>
    <t>24,34</t>
  </si>
  <si>
    <t>25,09</t>
  </si>
  <si>
    <t>816,9698692</t>
  </si>
  <si>
    <t>24,51</t>
  </si>
  <si>
    <t>110,4000000</t>
  </si>
  <si>
    <t>23,02</t>
  </si>
  <si>
    <t>11,02</t>
  </si>
  <si>
    <t>22,04</t>
  </si>
  <si>
    <t>3,65</t>
  </si>
  <si>
    <t>21,90</t>
  </si>
  <si>
    <t>3,43</t>
  </si>
  <si>
    <t>20,58</t>
  </si>
  <si>
    <t>9,89</t>
  </si>
  <si>
    <t>19,78</t>
  </si>
  <si>
    <t>0,5129775</t>
  </si>
  <si>
    <t>37,86</t>
  </si>
  <si>
    <t>19,42</t>
  </si>
  <si>
    <t>198,0000000</t>
  </si>
  <si>
    <t>17,82</t>
  </si>
  <si>
    <t>0,1916000</t>
  </si>
  <si>
    <t>92,75</t>
  </si>
  <si>
    <t>4,7567000</t>
  </si>
  <si>
    <t>17,36</t>
  </si>
  <si>
    <t>8,16</t>
  </si>
  <si>
    <t>16,32</t>
  </si>
  <si>
    <t>14,4541344</t>
  </si>
  <si>
    <t>1,12</t>
  </si>
  <si>
    <t>16,19</t>
  </si>
  <si>
    <t>1,5600000</t>
  </si>
  <si>
    <t>9,90</t>
  </si>
  <si>
    <t>15,44</t>
  </si>
  <si>
    <t>26,4000000</t>
  </si>
  <si>
    <t>14,26</t>
  </si>
  <si>
    <t>0,0004128</t>
  </si>
  <si>
    <t>34.000,00</t>
  </si>
  <si>
    <t>14,04</t>
  </si>
  <si>
    <t>0,3120000</t>
  </si>
  <si>
    <t>44,28</t>
  </si>
  <si>
    <t>13,82</t>
  </si>
  <si>
    <t>1,38</t>
  </si>
  <si>
    <t>13,80</t>
  </si>
  <si>
    <t>0,6730653</t>
  </si>
  <si>
    <t>20,35</t>
  </si>
  <si>
    <t>13,70</t>
  </si>
  <si>
    <t>1,79</t>
  </si>
  <si>
    <t>13,34</t>
  </si>
  <si>
    <t>12,84</t>
  </si>
  <si>
    <t>0,0100517</t>
  </si>
  <si>
    <t>1.260,59</t>
  </si>
  <si>
    <t>12,67</t>
  </si>
  <si>
    <t>12,38</t>
  </si>
  <si>
    <t>0,0338327</t>
  </si>
  <si>
    <t>355,62</t>
  </si>
  <si>
    <t>0,3805911</t>
  </si>
  <si>
    <t>30,80</t>
  </si>
  <si>
    <t>11,72</t>
  </si>
  <si>
    <t>1,4018806</t>
  </si>
  <si>
    <t>0,0083352</t>
  </si>
  <si>
    <t>1.330,99</t>
  </si>
  <si>
    <t>11,09</t>
  </si>
  <si>
    <t>0,2340000</t>
  </si>
  <si>
    <t>46,90</t>
  </si>
  <si>
    <t>10,97</t>
  </si>
  <si>
    <t>14,0800000</t>
  </si>
  <si>
    <t>10,70</t>
  </si>
  <si>
    <t>0,0007891</t>
  </si>
  <si>
    <t>13.032,95</t>
  </si>
  <si>
    <t>10,28</t>
  </si>
  <si>
    <t>7,3400000</t>
  </si>
  <si>
    <t>1,25</t>
  </si>
  <si>
    <t>9,18</t>
  </si>
  <si>
    <t>9,15</t>
  </si>
  <si>
    <t>8,74</t>
  </si>
  <si>
    <t>0,1446000</t>
  </si>
  <si>
    <t>56,57</t>
  </si>
  <si>
    <t>0,1560000</t>
  </si>
  <si>
    <t>51,00</t>
  </si>
  <si>
    <t>7,96</t>
  </si>
  <si>
    <t>0,6650000</t>
  </si>
  <si>
    <t>3,2531200</t>
  </si>
  <si>
    <t>7,03</t>
  </si>
  <si>
    <t>6,82</t>
  </si>
  <si>
    <t>8,7000000</t>
  </si>
  <si>
    <t>0,74</t>
  </si>
  <si>
    <t>6,44</t>
  </si>
  <si>
    <t>0,1400000</t>
  </si>
  <si>
    <t>45,32</t>
  </si>
  <si>
    <t>6,34</t>
  </si>
  <si>
    <t>5,5853568</t>
  </si>
  <si>
    <t>6,26</t>
  </si>
  <si>
    <t>0,4784000</t>
  </si>
  <si>
    <t>12,54</t>
  </si>
  <si>
    <t>0,2835800</t>
  </si>
  <si>
    <t>5,31</t>
  </si>
  <si>
    <t>0,3300000</t>
  </si>
  <si>
    <t>15,90</t>
  </si>
  <si>
    <t>5,25</t>
  </si>
  <si>
    <t>0,0010420</t>
  </si>
  <si>
    <t>4.919,97</t>
  </si>
  <si>
    <t>5,13</t>
  </si>
  <si>
    <t>6,6157200</t>
  </si>
  <si>
    <t>0,75</t>
  </si>
  <si>
    <t>1,16</t>
  </si>
  <si>
    <t>2,31</t>
  </si>
  <si>
    <t>4,62</t>
  </si>
  <si>
    <t>2,27</t>
  </si>
  <si>
    <t>4,54</t>
  </si>
  <si>
    <t>4,14</t>
  </si>
  <si>
    <t>0,0296250</t>
  </si>
  <si>
    <t>132,00</t>
  </si>
  <si>
    <t>3,91</t>
  </si>
  <si>
    <t>0,1829000</t>
  </si>
  <si>
    <t>20,59</t>
  </si>
  <si>
    <t>3,77</t>
  </si>
  <si>
    <t>0,5964000</t>
  </si>
  <si>
    <t>0,0012648</t>
  </si>
  <si>
    <t>1.830,00</t>
  </si>
  <si>
    <t>0,0077929</t>
  </si>
  <si>
    <t>295,80</t>
  </si>
  <si>
    <t>1,93</t>
  </si>
  <si>
    <t>1,86</t>
  </si>
  <si>
    <t>0,1000000</t>
  </si>
  <si>
    <t>15,35</t>
  </si>
  <si>
    <t>1,54</t>
  </si>
  <si>
    <t>0,0355950</t>
  </si>
  <si>
    <t>34,96</t>
  </si>
  <si>
    <t>0,0065175</t>
  </si>
  <si>
    <t>185,00</t>
  </si>
  <si>
    <t>0,0367350</t>
  </si>
  <si>
    <t>31,87</t>
  </si>
  <si>
    <t>1,17</t>
  </si>
  <si>
    <t>0,0308100</t>
  </si>
  <si>
    <t>26,12</t>
  </si>
  <si>
    <t>0,80</t>
  </si>
  <si>
    <t>0,55</t>
  </si>
  <si>
    <t>0,0000654</t>
  </si>
  <si>
    <t>6.623,23</t>
  </si>
  <si>
    <t>0,2000000</t>
  </si>
  <si>
    <t>0,0023625</t>
  </si>
  <si>
    <t>9,19</t>
  </si>
  <si>
    <t>0,0000038</t>
  </si>
  <si>
    <t>Totais por Tipo</t>
  </si>
  <si>
    <t>R$ 2.202.362,55</t>
  </si>
  <si>
    <t>R$ 25.024,22</t>
  </si>
  <si>
    <t>R$ 4.498.059,19</t>
  </si>
  <si>
    <t>R$ 12.629.173,24</t>
  </si>
  <si>
    <t>R$ 463.491,71</t>
  </si>
  <si>
    <t>Taxas</t>
  </si>
  <si>
    <t>R$ 0,00</t>
  </si>
  <si>
    <t>Administração</t>
  </si>
  <si>
    <t>Aluguel</t>
  </si>
  <si>
    <t>Verba</t>
  </si>
  <si>
    <t>Transporte</t>
  </si>
  <si>
    <t>R$ 1.629,77</t>
  </si>
  <si>
    <t>R$ 24,51</t>
  </si>
  <si>
    <t>Bancos</t>
  </si>
  <si>
    <t>B.D.I.</t>
  </si>
  <si>
    <t>Encargos Sociais</t>
  </si>
  <si>
    <r>
      <rPr>
        <sz val="10"/>
        <color theme="1"/>
        <rFont val="Arial"/>
        <charset val="134"/>
      </rPr>
      <t>SINAPI - 07/2025 - Rio de Janeiro
SBC - 07/2025 - Rio de Janeiro
EMOP - 07/2025 - Rio de Janeiro
SCO - 07/2025</t>
    </r>
    <r>
      <rPr>
        <b/>
        <sz val="10"/>
        <color theme="1"/>
        <rFont val="Arial"/>
        <charset val="134"/>
      </rPr>
      <t xml:space="preserve"> </t>
    </r>
    <r>
      <rPr>
        <sz val="10"/>
        <color theme="1"/>
        <rFont val="Arial"/>
        <charset val="134"/>
      </rPr>
      <t>- Rio de Janeiro</t>
    </r>
  </si>
  <si>
    <t>Desonerado: embutido nos preços unitário dos insumos de mão de obra, de acordo com as bases.</t>
  </si>
  <si>
    <t>Obra: UFF INSTITUTO DE QUÍMICA_CAMPUS PRAIA VERMELHA</t>
  </si>
  <si>
    <t>Prazo - 13 MESES</t>
  </si>
  <si>
    <t>Cronograma Físico e Financeiro</t>
  </si>
  <si>
    <t>Total Por Etapa</t>
  </si>
  <si>
    <t>MÊS 1</t>
  </si>
  <si>
    <t>MÊS 2</t>
  </si>
  <si>
    <t>MÊS 3</t>
  </si>
  <si>
    <t>MÊS 4</t>
  </si>
  <si>
    <t>MÊS 5</t>
  </si>
  <si>
    <t>MÊS 6</t>
  </si>
  <si>
    <t>MÊS 7</t>
  </si>
  <si>
    <t>MÊS 8</t>
  </si>
  <si>
    <t>MÊS 9</t>
  </si>
  <si>
    <t>MÊS 10</t>
  </si>
  <si>
    <t>MÊS 11</t>
  </si>
  <si>
    <t>MÊS 12</t>
  </si>
  <si>
    <t>MÊS 13</t>
  </si>
  <si>
    <t>TOTAL DA ETAPA</t>
  </si>
  <si>
    <t>Custo</t>
  </si>
  <si>
    <t>VALOR ACUMULADO</t>
  </si>
  <si>
    <t>PORCENTAGEM ACUMULADA</t>
  </si>
</sst>
</file>

<file path=xl/styles.xml><?xml version="1.0" encoding="utf-8"?>
<styleSheet xmlns="http://schemas.openxmlformats.org/spreadsheetml/2006/main" xmlns:mc="http://schemas.openxmlformats.org/markup-compatibility/2006" xmlns:xr9="http://schemas.microsoft.com/office/spreadsheetml/2016/revision9" mc:Ignorable="xr9">
  <numFmts count="25">
    <numFmt numFmtId="176" formatCode="_-&quot;R$&quot;* #,##0_-;\-&quot;R$&quot;* #,##0_-;_-&quot;R$&quot;* &quot;-&quot;_-;_-@_-"/>
    <numFmt numFmtId="177" formatCode="_-&quot;R$&quot;* #,##0.00_-;\-&quot;R$&quot;* #,##0.00_-;_-&quot;R$&quot;* &quot;-&quot;??_-;_-@_-"/>
    <numFmt numFmtId="178" formatCode="_-* #,##0_-;\-* #,##0_-;_-* &quot;-&quot;_-;_-@_-"/>
    <numFmt numFmtId="179" formatCode="_-* #,##0.00_-;\-* #,##0.00_-;_-* &quot;-&quot;??_-;_-@_-"/>
    <numFmt numFmtId="180" formatCode="[$R$]#,##0.00"/>
    <numFmt numFmtId="181" formatCode="_-* #,##0.00_-;\-* #,##0.00_-;_-* \-??_-;_-@"/>
    <numFmt numFmtId="182" formatCode="&quot;R$ &quot;#,##0.00"/>
    <numFmt numFmtId="183" formatCode="[$-416]mmm\-yy"/>
    <numFmt numFmtId="184" formatCode="dd/mm/yy"/>
    <numFmt numFmtId="185" formatCode="0.000000"/>
    <numFmt numFmtId="186" formatCode="0.0%"/>
    <numFmt numFmtId="187" formatCode="00000"/>
    <numFmt numFmtId="188" formatCode="[$R$ -416]#,##0.00"/>
    <numFmt numFmtId="189" formatCode="#,##0.00000"/>
    <numFmt numFmtId="190" formatCode="#,##0.00\ %"/>
    <numFmt numFmtId="191" formatCode="#,##0&quot; un&quot;"/>
    <numFmt numFmtId="192" formatCode="0.00&quot;m²&quot;"/>
    <numFmt numFmtId="193" formatCode="#,##0&quot; Km&quot;"/>
    <numFmt numFmtId="194" formatCode="#,##0&quot; meses&quot;"/>
    <numFmt numFmtId="195" formatCode="#,##0&quot; vezes&quot;"/>
    <numFmt numFmtId="196" formatCode="0.00&quot; m&quot;"/>
    <numFmt numFmtId="197" formatCode="0&quot; un&quot;"/>
    <numFmt numFmtId="198" formatCode="0&quot; meses&quot;"/>
    <numFmt numFmtId="199" formatCode="#,##0.0000000"/>
    <numFmt numFmtId="200" formatCode="_-&quot;R$ &quot;* #,##0.00_-;&quot;-R$ &quot;* #,##0.00_-;_-&quot;R$ &quot;* \-??_-;_-@"/>
  </numFmts>
  <fonts count="71">
    <font>
      <sz val="11"/>
      <color rgb="FF000000"/>
      <name val="Arial"/>
      <charset val="134"/>
    </font>
    <font>
      <b/>
      <sz val="10"/>
      <color theme="1"/>
      <name val="Arial"/>
      <charset val="134"/>
    </font>
    <font>
      <b/>
      <sz val="11"/>
      <color theme="1"/>
      <name val="Arial"/>
      <charset val="134"/>
    </font>
    <font>
      <b/>
      <sz val="10"/>
      <color rgb="FF000000"/>
      <name val="Arial"/>
      <charset val="134"/>
    </font>
    <font>
      <sz val="10"/>
      <color rgb="FF000000"/>
      <name val="Arial"/>
      <charset val="134"/>
    </font>
    <font>
      <sz val="10"/>
      <color theme="1"/>
      <name val="Arial"/>
      <charset val="134"/>
    </font>
    <font>
      <sz val="11"/>
      <color theme="1"/>
      <name val="Arial"/>
      <charset val="134"/>
    </font>
    <font>
      <sz val="11"/>
      <color theme="1"/>
      <name val="Calibri"/>
      <charset val="134"/>
    </font>
    <font>
      <b/>
      <sz val="9"/>
      <color rgb="FF000000"/>
      <name val="Arial"/>
      <charset val="134"/>
    </font>
    <font>
      <b/>
      <sz val="11"/>
      <color rgb="FF000000"/>
      <name val="Calibri"/>
      <charset val="134"/>
    </font>
    <font>
      <sz val="9"/>
      <color rgb="FF000000"/>
      <name val="Arial"/>
      <charset val="134"/>
    </font>
    <font>
      <b/>
      <sz val="11"/>
      <name val="Arial"/>
      <charset val="134"/>
    </font>
    <font>
      <sz val="10"/>
      <name val="Arial"/>
      <charset val="134"/>
    </font>
    <font>
      <sz val="9"/>
      <color theme="1"/>
      <name val="Arial"/>
      <charset val="134"/>
    </font>
    <font>
      <sz val="11"/>
      <color rgb="FF000000"/>
      <name val="Calibri"/>
      <charset val="134"/>
    </font>
    <font>
      <b/>
      <sz val="10"/>
      <name val="Arial"/>
      <charset val="134"/>
    </font>
    <font>
      <b/>
      <sz val="9"/>
      <color rgb="FFFF0000"/>
      <name val="Arial"/>
      <charset val="134"/>
    </font>
    <font>
      <sz val="9"/>
      <color rgb="FFFF0000"/>
      <name val="Arial"/>
      <charset val="134"/>
    </font>
    <font>
      <b/>
      <sz val="9"/>
      <color theme="1"/>
      <name val="Arial"/>
      <charset val="134"/>
    </font>
    <font>
      <i/>
      <sz val="9"/>
      <color theme="1"/>
      <name val="Arial"/>
      <charset val="134"/>
    </font>
    <font>
      <i/>
      <sz val="9"/>
      <color rgb="FF000000"/>
      <name val="Arial"/>
      <charset val="134"/>
    </font>
    <font>
      <i/>
      <sz val="10"/>
      <color theme="1"/>
      <name val="Arial"/>
      <charset val="134"/>
    </font>
    <font>
      <sz val="12"/>
      <color rgb="FF000000"/>
      <name val="Arial"/>
      <charset val="134"/>
    </font>
    <font>
      <b/>
      <sz val="12"/>
      <color rgb="FF000000"/>
      <name val="Arial"/>
      <charset val="134"/>
    </font>
    <font>
      <sz val="8"/>
      <color rgb="FF000000"/>
      <name val="Arial"/>
      <charset val="134"/>
    </font>
    <font>
      <sz val="3"/>
      <color theme="1"/>
      <name val="Arial"/>
      <charset val="134"/>
    </font>
    <font>
      <b/>
      <sz val="3"/>
      <color theme="1"/>
      <name val="Arial"/>
      <charset val="134"/>
    </font>
    <font>
      <b/>
      <i/>
      <sz val="14"/>
      <color theme="1"/>
      <name val="Arial"/>
      <charset val="134"/>
    </font>
    <font>
      <sz val="10"/>
      <color rgb="FF000000"/>
      <name val="Calibri"/>
      <charset val="134"/>
    </font>
    <font>
      <sz val="8"/>
      <color theme="1"/>
      <name val="Arial"/>
      <charset val="134"/>
    </font>
    <font>
      <u/>
      <sz val="11"/>
      <color theme="10"/>
      <name val="Arial"/>
      <charset val="134"/>
    </font>
    <font>
      <u/>
      <sz val="11"/>
      <color theme="10"/>
      <name val="Calibri"/>
      <charset val="134"/>
    </font>
    <font>
      <sz val="11"/>
      <color rgb="FF0563C1"/>
      <name val="Arial"/>
      <charset val="134"/>
    </font>
    <font>
      <u/>
      <sz val="11"/>
      <color rgb="FF0563C1"/>
      <name val="Arial"/>
      <charset val="134"/>
    </font>
    <font>
      <u/>
      <sz val="11"/>
      <color rgb="FF0000FF"/>
      <name val="Arial"/>
      <charset val="134"/>
    </font>
    <font>
      <sz val="11"/>
      <color theme="10"/>
      <name val="Calibri"/>
      <charset val="134"/>
    </font>
    <font>
      <u/>
      <sz val="11"/>
      <color rgb="FF0563C1"/>
      <name val="Calibri"/>
      <charset val="134"/>
    </font>
    <font>
      <u/>
      <sz val="9"/>
      <color theme="10"/>
      <name val="Arial"/>
      <charset val="134"/>
    </font>
    <font>
      <u/>
      <sz val="9"/>
      <color rgb="FF0563C1"/>
      <name val="Arial"/>
      <charset val="134"/>
    </font>
    <font>
      <sz val="11"/>
      <color theme="10"/>
      <name val="Arial"/>
      <charset val="134"/>
    </font>
    <font>
      <sz val="9"/>
      <color rgb="FF0563C1"/>
      <name val="Arial"/>
      <charset val="134"/>
    </font>
    <font>
      <b/>
      <sz val="14"/>
      <color theme="1"/>
      <name val="Arial"/>
      <charset val="134"/>
    </font>
    <font>
      <sz val="10"/>
      <color rgb="FFFF0000"/>
      <name val="Arial"/>
      <charset val="134"/>
    </font>
    <font>
      <sz val="11"/>
      <color theme="1"/>
      <name val="Arial"/>
      <charset val="1"/>
    </font>
    <font>
      <b/>
      <sz val="8"/>
      <color rgb="FF000000"/>
      <name val="Arial"/>
      <charset val="134"/>
    </font>
    <font>
      <b/>
      <sz val="11"/>
      <color rgb="FF000000"/>
      <name val="Arial"/>
      <charset val="134"/>
    </font>
    <font>
      <u/>
      <sz val="11"/>
      <color rgb="FF0000FF"/>
      <name val="Arial"/>
      <charset val="0"/>
      <scheme val="minor"/>
    </font>
    <font>
      <u/>
      <sz val="11"/>
      <color rgb="FF800080"/>
      <name val="Arial"/>
      <charset val="0"/>
      <scheme val="minor"/>
    </font>
    <font>
      <sz val="10"/>
      <color theme="1"/>
      <name val="Arial"/>
      <charset val="134"/>
      <scheme val="minor"/>
    </font>
    <font>
      <sz val="11"/>
      <color rgb="FFFF0000"/>
      <name val="Arial"/>
      <charset val="0"/>
      <scheme val="minor"/>
    </font>
    <font>
      <b/>
      <sz val="18"/>
      <color theme="3"/>
      <name val="Arial"/>
      <charset val="134"/>
      <scheme val="minor"/>
    </font>
    <font>
      <i/>
      <sz val="11"/>
      <color rgb="FF7F7F7F"/>
      <name val="Arial"/>
      <charset val="0"/>
      <scheme val="minor"/>
    </font>
    <font>
      <b/>
      <sz val="15"/>
      <color theme="3"/>
      <name val="Arial"/>
      <charset val="134"/>
      <scheme val="minor"/>
    </font>
    <font>
      <b/>
      <sz val="13"/>
      <color theme="3"/>
      <name val="Arial"/>
      <charset val="134"/>
      <scheme val="minor"/>
    </font>
    <font>
      <b/>
      <sz val="11"/>
      <color theme="3"/>
      <name val="Arial"/>
      <charset val="134"/>
      <scheme val="minor"/>
    </font>
    <font>
      <sz val="11"/>
      <color rgb="FF3F3F76"/>
      <name val="Arial"/>
      <charset val="0"/>
      <scheme val="minor"/>
    </font>
    <font>
      <b/>
      <sz val="11"/>
      <color rgb="FF3F3F3F"/>
      <name val="Arial"/>
      <charset val="0"/>
      <scheme val="minor"/>
    </font>
    <font>
      <b/>
      <sz val="11"/>
      <color rgb="FFFA7D00"/>
      <name val="Arial"/>
      <charset val="0"/>
      <scheme val="minor"/>
    </font>
    <font>
      <b/>
      <sz val="11"/>
      <color rgb="FFFFFFFF"/>
      <name val="Arial"/>
      <charset val="0"/>
      <scheme val="minor"/>
    </font>
    <font>
      <sz val="11"/>
      <color rgb="FFFA7D00"/>
      <name val="Arial"/>
      <charset val="0"/>
      <scheme val="minor"/>
    </font>
    <font>
      <b/>
      <sz val="11"/>
      <color theme="1"/>
      <name val="Arial"/>
      <charset val="0"/>
      <scheme val="minor"/>
    </font>
    <font>
      <sz val="11"/>
      <color rgb="FF006100"/>
      <name val="Arial"/>
      <charset val="0"/>
      <scheme val="minor"/>
    </font>
    <font>
      <sz val="11"/>
      <color rgb="FF9C0006"/>
      <name val="Arial"/>
      <charset val="0"/>
      <scheme val="minor"/>
    </font>
    <font>
      <sz val="11"/>
      <color rgb="FF9C6500"/>
      <name val="Arial"/>
      <charset val="0"/>
      <scheme val="minor"/>
    </font>
    <font>
      <sz val="11"/>
      <color theme="0"/>
      <name val="Arial"/>
      <charset val="0"/>
      <scheme val="minor"/>
    </font>
    <font>
      <sz val="11"/>
      <color theme="1"/>
      <name val="Arial"/>
      <charset val="0"/>
      <scheme val="minor"/>
    </font>
    <font>
      <sz val="10"/>
      <name val="Noto Sans CJK SC"/>
      <charset val="1"/>
    </font>
    <font>
      <b/>
      <i/>
      <sz val="10"/>
      <color theme="1"/>
      <name val="Arial"/>
      <charset val="134"/>
    </font>
    <font>
      <sz val="10"/>
      <color rgb="FF000000"/>
      <name val="Noto Sans CJK SC"/>
      <charset val="1"/>
    </font>
    <font>
      <u/>
      <sz val="10"/>
      <color theme="1"/>
      <name val="Arial"/>
      <charset val="134"/>
    </font>
    <font>
      <sz val="10"/>
      <name val="Arial"/>
      <charset val="134"/>
    </font>
  </fonts>
  <fills count="52">
    <fill>
      <patternFill patternType="none"/>
    </fill>
    <fill>
      <patternFill patternType="gray125"/>
    </fill>
    <fill>
      <patternFill patternType="solid">
        <fgColor rgb="FFFFFFFF"/>
        <bgColor rgb="FFF7F3DF"/>
      </patternFill>
    </fill>
    <fill>
      <patternFill patternType="solid">
        <fgColor rgb="FFC8CACB"/>
        <bgColor rgb="FFCCCCCC"/>
      </patternFill>
    </fill>
    <fill>
      <patternFill patternType="solid">
        <fgColor rgb="FFA5A5A5"/>
        <bgColor rgb="FF999999"/>
      </patternFill>
    </fill>
    <fill>
      <patternFill patternType="solid">
        <fgColor rgb="FFD6D6D6"/>
        <bgColor rgb="FFD9D9D9"/>
      </patternFill>
    </fill>
    <fill>
      <patternFill patternType="solid">
        <fgColor rgb="FFEFEFEF"/>
        <bgColor rgb="FFF7F3DF"/>
      </patternFill>
    </fill>
    <fill>
      <patternFill patternType="solid">
        <fgColor rgb="FFF7F3DF"/>
        <bgColor rgb="FFEFEFEF"/>
      </patternFill>
    </fill>
    <fill>
      <patternFill patternType="solid">
        <fgColor rgb="FFFFFFCC"/>
        <bgColor rgb="FFF7F3DF"/>
      </patternFill>
    </fill>
    <fill>
      <patternFill patternType="solid">
        <fgColor rgb="FF969696"/>
        <bgColor rgb="FF999999"/>
      </patternFill>
    </fill>
    <fill>
      <patternFill patternType="solid">
        <fgColor rgb="FFBFBFBF"/>
        <bgColor rgb="FFB7B7B7"/>
      </patternFill>
    </fill>
    <fill>
      <patternFill patternType="solid">
        <fgColor rgb="FFB7B7B7"/>
        <bgColor rgb="FFBFBFBF"/>
      </patternFill>
    </fill>
    <fill>
      <patternFill patternType="solid">
        <fgColor rgb="FFB4A7D6"/>
        <bgColor rgb="FFB7B7B7"/>
      </patternFill>
    </fill>
    <fill>
      <patternFill patternType="solid">
        <fgColor rgb="FFCCCCCC"/>
        <bgColor rgb="FFC8CACB"/>
      </patternFill>
    </fill>
    <fill>
      <patternFill patternType="solid">
        <fgColor rgb="FFD9D9D9"/>
        <bgColor rgb="FFD6D6D6"/>
      </patternFill>
    </fill>
    <fill>
      <patternFill patternType="solid">
        <fgColor rgb="FFFFFF00"/>
        <bgColor rgb="FFFFFF00"/>
      </patternFill>
    </fill>
    <fill>
      <patternFill patternType="solid">
        <fgColor rgb="FF999999"/>
        <bgColor rgb="FF969696"/>
      </patternFill>
    </fill>
    <fill>
      <patternFill patternType="solid">
        <fgColor rgb="FF92CDDC"/>
        <bgColor rgb="FFB6DDE8"/>
      </patternFill>
    </fill>
    <fill>
      <patternFill patternType="solid">
        <fgColor rgb="FFDFF0D8"/>
        <bgColor rgb="FFD8ECF6"/>
      </patternFill>
    </fill>
    <fill>
      <patternFill patternType="solid">
        <fgColor rgb="FFB6DDE8"/>
        <bgColor rgb="FFD6D6D6"/>
      </patternFill>
    </fill>
    <fill>
      <patternFill patternType="solid">
        <fgColor rgb="FFD8ECF6"/>
        <bgColor rgb="FFDFF0D8"/>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1">
    <border>
      <left/>
      <right/>
      <top/>
      <bottom/>
      <diagonal/>
    </border>
    <border>
      <left style="medium">
        <color auto="1"/>
      </left>
      <right/>
      <top style="medium">
        <color auto="1"/>
      </top>
      <bottom/>
      <diagonal/>
    </border>
    <border>
      <left/>
      <right/>
      <top style="medium">
        <color auto="1"/>
      </top>
      <bottom/>
      <diagonal/>
    </border>
    <border>
      <left style="medium">
        <color auto="1"/>
      </left>
      <right/>
      <top/>
      <bottom/>
      <diagonal/>
    </border>
    <border>
      <left style="medium">
        <color auto="1"/>
      </left>
      <right style="thin">
        <color rgb="FFCCCCCC"/>
      </right>
      <top style="thin">
        <color rgb="FFCCCCCC"/>
      </top>
      <bottom/>
      <diagonal/>
    </border>
    <border>
      <left style="thin">
        <color rgb="FFCCCCCC"/>
      </left>
      <right style="thin">
        <color rgb="FFCCCCCC"/>
      </right>
      <top style="thin">
        <color rgb="FFCCCCCC"/>
      </top>
      <bottom/>
      <diagonal/>
    </border>
    <border>
      <left style="medium">
        <color auto="1"/>
      </left>
      <right style="thin">
        <color auto="1"/>
      </right>
      <top style="medium">
        <color auto="1"/>
      </top>
      <bottom style="thin">
        <color auto="1"/>
      </bottom>
      <diagonal/>
    </border>
    <border>
      <left style="thin">
        <color auto="1"/>
      </left>
      <right style="thin">
        <color auto="1"/>
      </right>
      <top style="medium">
        <color auto="1"/>
      </top>
      <bottom style="thin">
        <color auto="1"/>
      </bottom>
      <diagonal/>
    </border>
    <border>
      <left style="thin">
        <color auto="1"/>
      </left>
      <right style="thin">
        <color auto="1"/>
      </right>
      <top style="medium">
        <color auto="1"/>
      </top>
      <bottom/>
      <diagonal/>
    </border>
    <border>
      <left style="thin">
        <color auto="1"/>
      </left>
      <right style="thin">
        <color auto="1"/>
      </right>
      <top style="medium">
        <color auto="1"/>
      </top>
      <bottom style="hair">
        <color auto="1"/>
      </bottom>
      <diagonal/>
    </border>
    <border>
      <left style="thin">
        <color auto="1"/>
      </left>
      <right style="thin">
        <color auto="1"/>
      </right>
      <top/>
      <bottom style="thin">
        <color auto="1"/>
      </bottom>
      <diagonal/>
    </border>
    <border>
      <left style="thin">
        <color auto="1"/>
      </left>
      <right style="thin">
        <color auto="1"/>
      </right>
      <top style="hair">
        <color auto="1"/>
      </top>
      <bottom style="thin">
        <color auto="1"/>
      </bottom>
      <diagonal/>
    </border>
    <border>
      <left style="medium">
        <color auto="1"/>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style="hair">
        <color auto="1"/>
      </bottom>
      <diagonal/>
    </border>
    <border>
      <left style="thin">
        <color auto="1"/>
      </left>
      <right style="thin">
        <color auto="1"/>
      </right>
      <top style="thin">
        <color auto="1"/>
      </top>
      <bottom/>
      <diagonal/>
    </border>
    <border>
      <left style="medium">
        <color auto="1"/>
      </left>
      <right style="thin">
        <color auto="1"/>
      </right>
      <top style="thin">
        <color auto="1"/>
      </top>
      <bottom style="medium">
        <color auto="1"/>
      </bottom>
      <diagonal/>
    </border>
    <border>
      <left style="thin">
        <color auto="1"/>
      </left>
      <right style="thin">
        <color auto="1"/>
      </right>
      <top style="thin">
        <color auto="1"/>
      </top>
      <bottom style="medium">
        <color auto="1"/>
      </bottom>
      <diagonal/>
    </border>
    <border>
      <left/>
      <right style="medium">
        <color auto="1"/>
      </right>
      <top style="medium">
        <color auto="1"/>
      </top>
      <bottom/>
      <diagonal/>
    </border>
    <border>
      <left/>
      <right style="medium">
        <color auto="1"/>
      </right>
      <top/>
      <bottom/>
      <diagonal/>
    </border>
    <border>
      <left style="thin">
        <color rgb="FFCCCCCC"/>
      </left>
      <right style="medium">
        <color auto="1"/>
      </right>
      <top style="thin">
        <color rgb="FFCCCCCC"/>
      </top>
      <bottom/>
      <diagonal/>
    </border>
    <border>
      <left style="thin">
        <color auto="1"/>
      </left>
      <right style="medium">
        <color auto="1"/>
      </right>
      <top style="medium">
        <color auto="1"/>
      </top>
      <bottom style="hair">
        <color auto="1"/>
      </bottom>
      <diagonal/>
    </border>
    <border>
      <left style="thin">
        <color auto="1"/>
      </left>
      <right style="medium">
        <color auto="1"/>
      </right>
      <top style="hair">
        <color auto="1"/>
      </top>
      <bottom style="thin">
        <color auto="1"/>
      </bottom>
      <diagonal/>
    </border>
    <border>
      <left style="thin">
        <color auto="1"/>
      </left>
      <right style="medium">
        <color auto="1"/>
      </right>
      <top style="thin">
        <color auto="1"/>
      </top>
      <bottom style="hair">
        <color auto="1"/>
      </bottom>
      <diagonal/>
    </border>
    <border>
      <left style="thin">
        <color auto="1"/>
      </left>
      <right style="thin">
        <color auto="1"/>
      </right>
      <top/>
      <bottom style="hair">
        <color auto="1"/>
      </bottom>
      <diagonal/>
    </border>
    <border>
      <left style="thin">
        <color auto="1"/>
      </left>
      <right style="medium">
        <color auto="1"/>
      </right>
      <top/>
      <bottom style="hair">
        <color auto="1"/>
      </bottom>
      <diagonal/>
    </border>
    <border>
      <left style="thin">
        <color auto="1"/>
      </left>
      <right style="medium">
        <color auto="1"/>
      </right>
      <top style="thin">
        <color auto="1"/>
      </top>
      <bottom style="thin">
        <color auto="1"/>
      </bottom>
      <diagonal/>
    </border>
    <border>
      <left style="thin">
        <color auto="1"/>
      </left>
      <right style="medium">
        <color auto="1"/>
      </right>
      <top style="thin">
        <color auto="1"/>
      </top>
      <bottom style="medium">
        <color auto="1"/>
      </bottom>
      <diagonal/>
    </border>
    <border>
      <left style="medium">
        <color auto="1"/>
      </left>
      <right style="medium">
        <color auto="1"/>
      </right>
      <top style="medium">
        <color auto="1"/>
      </top>
      <bottom style="medium">
        <color auto="1"/>
      </bottom>
      <diagonal/>
    </border>
    <border>
      <left style="medium">
        <color auto="1"/>
      </left>
      <right/>
      <top/>
      <bottom style="thin">
        <color auto="1"/>
      </bottom>
      <diagonal/>
    </border>
    <border>
      <left style="thin">
        <color auto="1"/>
      </left>
      <right style="medium">
        <color auto="1"/>
      </right>
      <top style="medium">
        <color auto="1"/>
      </top>
      <bottom style="thin">
        <color auto="1"/>
      </bottom>
      <diagonal/>
    </border>
    <border>
      <left style="medium">
        <color auto="1"/>
      </left>
      <right/>
      <top style="thin">
        <color auto="1"/>
      </top>
      <bottom style="thin">
        <color auto="1"/>
      </bottom>
      <diagonal/>
    </border>
    <border>
      <left style="medium">
        <color auto="1"/>
      </left>
      <right style="thin">
        <color auto="1"/>
      </right>
      <top style="thin">
        <color auto="1"/>
      </top>
      <bottom/>
      <diagonal/>
    </border>
    <border>
      <left style="thin">
        <color auto="1"/>
      </left>
      <right style="medium">
        <color auto="1"/>
      </right>
      <top style="thin">
        <color auto="1"/>
      </top>
      <bottom/>
      <diagonal/>
    </border>
    <border>
      <left style="medium">
        <color auto="1"/>
      </left>
      <right style="medium">
        <color auto="1"/>
      </right>
      <top style="thin">
        <color auto="1"/>
      </top>
      <bottom style="medium">
        <color auto="1"/>
      </bottom>
      <diagonal/>
    </border>
    <border>
      <left style="thin">
        <color auto="1"/>
      </left>
      <right style="thin">
        <color auto="1"/>
      </right>
      <top/>
      <bottom style="medium">
        <color auto="1"/>
      </bottom>
      <diagonal/>
    </border>
    <border>
      <left style="medium">
        <color auto="1"/>
      </left>
      <right style="medium">
        <color auto="1"/>
      </right>
      <top/>
      <bottom/>
      <diagonal/>
    </border>
    <border>
      <left style="thin">
        <color rgb="FFCCCCCC"/>
      </left>
      <right style="thin">
        <color rgb="FFCCCCCC"/>
      </right>
      <top style="thin">
        <color rgb="FFCCCCCC"/>
      </top>
      <bottom style="thin">
        <color rgb="FFCCCCCC"/>
      </bottom>
      <diagonal/>
    </border>
    <border>
      <left/>
      <right/>
      <top/>
      <bottom style="thin">
        <color rgb="FFCCCCCC"/>
      </bottom>
      <diagonal/>
    </border>
    <border>
      <left style="medium">
        <color auto="1"/>
      </left>
      <right/>
      <top style="thin">
        <color auto="1"/>
      </top>
      <bottom style="medium">
        <color auto="1"/>
      </bottom>
      <diagonal/>
    </border>
    <border>
      <left style="medium">
        <color auto="1"/>
      </left>
      <right style="thin">
        <color auto="1"/>
      </right>
      <top/>
      <bottom style="medium">
        <color auto="1"/>
      </bottom>
      <diagonal/>
    </border>
    <border>
      <left/>
      <right/>
      <top/>
      <bottom style="medium">
        <color auto="1"/>
      </bottom>
      <diagonal/>
    </border>
    <border>
      <left style="thin">
        <color auto="1"/>
      </left>
      <right style="medium">
        <color auto="1"/>
      </right>
      <top/>
      <bottom style="medium">
        <color auto="1"/>
      </bottom>
      <diagonal/>
    </border>
    <border>
      <left style="thin">
        <color auto="1"/>
      </left>
      <right style="hair">
        <color auto="1"/>
      </right>
      <top style="thin">
        <color auto="1"/>
      </top>
      <bottom style="thin">
        <color auto="1"/>
      </bottom>
      <diagonal/>
    </border>
    <border>
      <left style="hair">
        <color auto="1"/>
      </left>
      <right/>
      <top style="thin">
        <color auto="1"/>
      </top>
      <bottom style="thin">
        <color auto="1"/>
      </bottom>
      <diagonal/>
    </border>
    <border>
      <left/>
      <right style="medium">
        <color auto="1"/>
      </right>
      <top style="thin">
        <color auto="1"/>
      </top>
      <bottom style="thin">
        <color auto="1"/>
      </bottom>
      <diagonal/>
    </border>
    <border>
      <left/>
      <right/>
      <top style="thin">
        <color auto="1"/>
      </top>
      <bottom style="thin">
        <color auto="1"/>
      </bottom>
      <diagonal/>
    </border>
    <border>
      <left style="thin">
        <color auto="1"/>
      </left>
      <right style="medium">
        <color auto="1"/>
      </right>
      <top/>
      <bottom/>
      <diagonal/>
    </border>
    <border>
      <left/>
      <right/>
      <top style="thin">
        <color auto="1"/>
      </top>
      <bottom/>
      <diagonal/>
    </border>
    <border>
      <left style="medium">
        <color auto="1"/>
      </left>
      <right/>
      <top/>
      <bottom style="medium">
        <color auto="1"/>
      </bottom>
      <diagonal/>
    </border>
    <border>
      <left/>
      <right style="medium">
        <color auto="1"/>
      </right>
      <top/>
      <bottom style="medium">
        <color auto="1"/>
      </bottom>
      <diagonal/>
    </border>
    <border>
      <left style="medium">
        <color auto="1"/>
      </left>
      <right style="thin">
        <color auto="1"/>
      </right>
      <top style="medium">
        <color auto="1"/>
      </top>
      <bottom/>
      <diagonal/>
    </border>
    <border>
      <left/>
      <right style="thin">
        <color auto="1"/>
      </right>
      <top style="thin">
        <color auto="1"/>
      </top>
      <bottom style="thin">
        <color auto="1"/>
      </bottom>
      <diagonal/>
    </border>
    <border>
      <left style="medium">
        <color auto="1"/>
      </left>
      <right style="medium">
        <color auto="1"/>
      </right>
      <top/>
      <bottom style="medium">
        <color auto="1"/>
      </bottom>
      <diagonal/>
    </border>
    <border>
      <left style="thin">
        <color auto="1"/>
      </left>
      <right style="medium">
        <color auto="1"/>
      </right>
      <top style="medium">
        <color auto="1"/>
      </top>
      <bottom/>
      <diagonal/>
    </border>
    <border>
      <left style="medium">
        <color auto="1"/>
      </left>
      <right/>
      <top style="thin">
        <color auto="1"/>
      </top>
      <bottom/>
      <diagonal/>
    </border>
    <border>
      <left/>
      <right/>
      <top style="thin">
        <color auto="1"/>
      </top>
      <bottom style="medium">
        <color auto="1"/>
      </bottom>
      <diagonal/>
    </border>
    <border>
      <left style="medium">
        <color auto="1"/>
      </left>
      <right style="medium">
        <color auto="1"/>
      </right>
      <top style="medium">
        <color auto="1"/>
      </top>
      <bottom style="thin">
        <color auto="1"/>
      </bottom>
      <diagonal/>
    </border>
    <border>
      <left style="medium">
        <color auto="1"/>
      </left>
      <right style="medium">
        <color auto="1"/>
      </right>
      <top style="thin">
        <color auto="1"/>
      </top>
      <bottom style="thin">
        <color auto="1"/>
      </bottom>
      <diagonal/>
    </border>
    <border>
      <left style="medium">
        <color auto="1"/>
      </left>
      <right style="thin">
        <color auto="1"/>
      </right>
      <top style="medium">
        <color auto="1"/>
      </top>
      <bottom style="medium">
        <color auto="1"/>
      </bottom>
      <diagonal/>
    </border>
    <border>
      <left style="thin">
        <color auto="1"/>
      </left>
      <right style="thin">
        <color auto="1"/>
      </right>
      <top style="medium">
        <color auto="1"/>
      </top>
      <bottom style="medium">
        <color auto="1"/>
      </bottom>
      <diagonal/>
    </border>
    <border>
      <left style="thin">
        <color auto="1"/>
      </left>
      <right/>
      <top style="medium">
        <color auto="1"/>
      </top>
      <bottom style="medium">
        <color auto="1"/>
      </bottom>
      <diagonal/>
    </border>
    <border>
      <left/>
      <right style="medium">
        <color auto="1"/>
      </right>
      <top style="medium">
        <color auto="1"/>
      </top>
      <bottom style="medium">
        <color auto="1"/>
      </bottom>
      <diagonal/>
    </border>
    <border>
      <left style="thin">
        <color auto="1"/>
      </left>
      <right style="medium">
        <color auto="1"/>
      </right>
      <top style="medium">
        <color auto="1"/>
      </top>
      <bottom style="medium">
        <color auto="1"/>
      </bottom>
      <diagonal/>
    </border>
    <border>
      <left style="thin">
        <color rgb="FFCCCCCC"/>
      </left>
      <right style="medium">
        <color auto="1"/>
      </right>
      <top style="thin">
        <color rgb="FFCCCCCC"/>
      </top>
      <bottom style="thin">
        <color rgb="FFCCCCCC"/>
      </bottom>
      <diagonal/>
    </border>
    <border>
      <left style="medium">
        <color auto="1"/>
      </left>
      <right/>
      <top/>
      <bottom style="hair">
        <color auto="1"/>
      </bottom>
      <diagonal/>
    </border>
    <border>
      <left/>
      <right/>
      <top/>
      <bottom style="hair">
        <color auto="1"/>
      </bottom>
      <diagonal/>
    </border>
    <border>
      <left style="medium">
        <color auto="1"/>
      </left>
      <right/>
      <top style="hair">
        <color auto="1"/>
      </top>
      <bottom style="hair">
        <color auto="1"/>
      </bottom>
      <diagonal/>
    </border>
    <border>
      <left/>
      <right/>
      <top style="hair">
        <color auto="1"/>
      </top>
      <bottom style="hair">
        <color auto="1"/>
      </bottom>
      <diagonal/>
    </border>
    <border>
      <left style="medium">
        <color auto="1"/>
      </left>
      <right/>
      <top style="hair">
        <color auto="1"/>
      </top>
      <bottom style="thin">
        <color auto="1"/>
      </bottom>
      <diagonal/>
    </border>
    <border>
      <left/>
      <right/>
      <top style="hair">
        <color auto="1"/>
      </top>
      <bottom style="thin">
        <color auto="1"/>
      </bottom>
      <diagonal/>
    </border>
    <border>
      <left/>
      <right style="thin">
        <color auto="1"/>
      </right>
      <top/>
      <bottom/>
      <diagonal/>
    </border>
    <border>
      <left/>
      <right style="thin">
        <color auto="1"/>
      </right>
      <top/>
      <bottom style="hair">
        <color auto="1"/>
      </bottom>
      <diagonal/>
    </border>
    <border>
      <left/>
      <right style="thin">
        <color auto="1"/>
      </right>
      <top style="hair">
        <color auto="1"/>
      </top>
      <bottom style="hair">
        <color auto="1"/>
      </bottom>
      <diagonal/>
    </border>
    <border>
      <left/>
      <right style="thin">
        <color auto="1"/>
      </right>
      <top style="hair">
        <color auto="1"/>
      </top>
      <bottom style="thin">
        <color auto="1"/>
      </bottom>
      <diagonal/>
    </border>
    <border>
      <left/>
      <right/>
      <top style="thin">
        <color auto="1"/>
      </top>
      <bottom style="hair">
        <color auto="1"/>
      </bottom>
      <diagonal/>
    </border>
    <border>
      <left/>
      <right style="thin">
        <color auto="1"/>
      </right>
      <top style="thin">
        <color auto="1"/>
      </top>
      <bottom style="hair">
        <color auto="1"/>
      </bottom>
      <diagonal/>
    </border>
    <border>
      <left style="medium">
        <color auto="1"/>
      </left>
      <right/>
      <top style="hair">
        <color auto="1"/>
      </top>
      <bottom/>
      <diagonal/>
    </border>
    <border>
      <left/>
      <right/>
      <top style="hair">
        <color auto="1"/>
      </top>
      <bottom/>
      <diagonal/>
    </border>
    <border>
      <left/>
      <right style="thin">
        <color auto="1"/>
      </right>
      <top style="thin">
        <color auto="1"/>
      </top>
      <bottom/>
      <diagonal/>
    </border>
    <border>
      <left style="medium">
        <color auto="1"/>
      </left>
      <right/>
      <top style="thin">
        <color auto="1"/>
      </top>
      <bottom style="hair">
        <color auto="1"/>
      </bottom>
      <diagonal/>
    </border>
    <border>
      <left style="thin">
        <color rgb="FFCCCCCC"/>
      </left>
      <right/>
      <top style="thin">
        <color rgb="FFCCCCCC"/>
      </top>
      <bottom style="thin">
        <color rgb="FFCCCCCC"/>
      </bottom>
      <diagonal/>
    </border>
    <border>
      <left/>
      <right style="thin">
        <color auto="1"/>
      </right>
      <top style="hair">
        <color auto="1"/>
      </top>
      <bottom/>
      <diagonal/>
    </border>
    <border>
      <left/>
      <right/>
      <top/>
      <bottom style="thin">
        <color auto="1"/>
      </bottom>
      <diagonal/>
    </border>
    <border>
      <left style="thin">
        <color rgb="FFCCCCCC"/>
      </left>
      <right style="thin">
        <color rgb="FFCCCCCC"/>
      </right>
      <top style="thin">
        <color rgb="FFCCCCCC"/>
      </top>
      <bottom style="thin">
        <color auto="1"/>
      </bottom>
      <diagonal/>
    </border>
    <border>
      <left style="thin">
        <color rgb="FFCCCCCC"/>
      </left>
      <right style="medium">
        <color auto="1"/>
      </right>
      <top style="thin">
        <color rgb="FFCCCCCC"/>
      </top>
      <bottom style="thin">
        <color auto="1"/>
      </bottom>
      <diagonal/>
    </border>
    <border>
      <left style="medium">
        <color auto="1"/>
      </left>
      <right/>
      <top style="medium">
        <color auto="1"/>
      </top>
      <bottom style="thin">
        <color auto="1"/>
      </bottom>
      <diagonal/>
    </border>
    <border>
      <left/>
      <right style="medium">
        <color auto="1"/>
      </right>
      <top style="medium">
        <color auto="1"/>
      </top>
      <bottom style="thin">
        <color auto="1"/>
      </bottom>
      <diagonal/>
    </border>
    <border>
      <left/>
      <right style="thin">
        <color auto="1"/>
      </right>
      <top style="medium">
        <color auto="1"/>
      </top>
      <bottom style="thin">
        <color auto="1"/>
      </bottom>
      <diagonal/>
    </border>
    <border>
      <left/>
      <right style="thin">
        <color auto="1"/>
      </right>
      <top style="thin">
        <color auto="1"/>
      </top>
      <bottom style="medium">
        <color auto="1"/>
      </bottom>
      <diagonal/>
    </border>
    <border>
      <left/>
      <right style="medium">
        <color auto="1"/>
      </right>
      <top style="thin">
        <color auto="1"/>
      </top>
      <bottom style="medium">
        <color auto="1"/>
      </bottom>
      <diagonal/>
    </border>
    <border>
      <left/>
      <right/>
      <top style="thick">
        <color auto="1"/>
      </top>
      <bottom/>
      <diagonal/>
    </border>
    <border>
      <left style="medium">
        <color auto="1"/>
      </left>
      <right/>
      <top style="medium">
        <color auto="1"/>
      </top>
      <bottom style="medium">
        <color auto="1"/>
      </bottom>
      <diagonal/>
    </border>
    <border>
      <left style="medium">
        <color auto="1"/>
      </left>
      <right style="thin">
        <color auto="1"/>
      </right>
      <top/>
      <bottom style="thin">
        <color auto="1"/>
      </bottom>
      <diagonal/>
    </border>
    <border>
      <left style="thin">
        <color auto="1"/>
      </left>
      <right/>
      <top style="medium">
        <color auto="1"/>
      </top>
      <bottom style="thin">
        <color auto="1"/>
      </bottom>
      <diagonal/>
    </border>
    <border>
      <left style="thin">
        <color auto="1"/>
      </left>
      <right/>
      <top style="thin">
        <color auto="1"/>
      </top>
      <bottom/>
      <diagonal/>
    </border>
    <border>
      <left/>
      <right/>
      <top style="medium">
        <color auto="1"/>
      </top>
      <bottom style="medium">
        <color auto="1"/>
      </bottom>
      <diagonal/>
    </border>
    <border>
      <left style="double">
        <color auto="1"/>
      </left>
      <right/>
      <top style="thin">
        <color auto="1"/>
      </top>
      <bottom style="thin">
        <color auto="1"/>
      </bottom>
      <diagonal/>
    </border>
    <border>
      <left style="thin">
        <color auto="1"/>
      </left>
      <right/>
      <top style="thin">
        <color auto="1"/>
      </top>
      <bottom style="thin">
        <color auto="1"/>
      </bottom>
      <diagonal/>
    </border>
    <border>
      <left style="double">
        <color auto="1"/>
      </left>
      <right style="thin">
        <color auto="1"/>
      </right>
      <top style="double">
        <color auto="1"/>
      </top>
      <bottom style="thin">
        <color auto="1"/>
      </bottom>
      <diagonal/>
    </border>
    <border>
      <left style="double">
        <color auto="1"/>
      </left>
      <right style="thin">
        <color auto="1"/>
      </right>
      <top style="thin">
        <color auto="1"/>
      </top>
      <bottom style="double">
        <color auto="1"/>
      </bottom>
      <diagonal/>
    </border>
    <border>
      <left/>
      <right style="double">
        <color auto="1"/>
      </right>
      <top style="double">
        <color auto="1"/>
      </top>
      <bottom style="thin">
        <color auto="1"/>
      </bottom>
      <diagonal/>
    </border>
    <border>
      <left/>
      <right style="double">
        <color auto="1"/>
      </right>
      <top style="thin">
        <color auto="1"/>
      </top>
      <bottom style="double">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176" fontId="12" fillId="0" borderId="0" applyBorder="0" applyAlignment="0" applyProtection="0"/>
    <xf numFmtId="177" fontId="12" fillId="0" borderId="0" applyBorder="0" applyAlignment="0" applyProtection="0"/>
    <xf numFmtId="9" fontId="0" fillId="0" borderId="0" applyBorder="0" applyProtection="0"/>
    <xf numFmtId="178" fontId="12" fillId="0" borderId="0" applyBorder="0" applyAlignment="0" applyProtection="0"/>
    <xf numFmtId="179" fontId="12" fillId="0" borderId="0" applyBorder="0" applyAlignment="0" applyProtection="0"/>
    <xf numFmtId="0" fontId="46"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48" fillId="21" borderId="103" applyNumberFormat="0" applyFont="0" applyAlignment="0" applyProtection="0">
      <alignment vertical="center"/>
    </xf>
    <xf numFmtId="0" fontId="49" fillId="0" borderId="0" applyNumberFormat="0" applyFill="0" applyBorder="0" applyAlignment="0" applyProtection="0">
      <alignment vertical="center"/>
    </xf>
    <xf numFmtId="0" fontId="50" fillId="0" borderId="0" applyNumberFormat="0" applyFill="0" applyBorder="0" applyAlignment="0" applyProtection="0">
      <alignment vertical="center"/>
    </xf>
    <xf numFmtId="0" fontId="51" fillId="0" borderId="0" applyNumberFormat="0" applyFill="0" applyBorder="0" applyAlignment="0" applyProtection="0">
      <alignment vertical="center"/>
    </xf>
    <xf numFmtId="0" fontId="52" fillId="0" borderId="104" applyNumberFormat="0" applyFill="0" applyAlignment="0" applyProtection="0">
      <alignment vertical="center"/>
    </xf>
    <xf numFmtId="0" fontId="53" fillId="0" borderId="104" applyNumberFormat="0" applyFill="0" applyAlignment="0" applyProtection="0">
      <alignment vertical="center"/>
    </xf>
    <xf numFmtId="0" fontId="54" fillId="0" borderId="105" applyNumberFormat="0" applyFill="0" applyAlignment="0" applyProtection="0">
      <alignment vertical="center"/>
    </xf>
    <xf numFmtId="0" fontId="54" fillId="0" borderId="0" applyNumberFormat="0" applyFill="0" applyBorder="0" applyAlignment="0" applyProtection="0">
      <alignment vertical="center"/>
    </xf>
    <xf numFmtId="0" fontId="55" fillId="22" borderId="106" applyNumberFormat="0" applyAlignment="0" applyProtection="0">
      <alignment vertical="center"/>
    </xf>
    <xf numFmtId="0" fontId="56" fillId="23" borderId="107" applyNumberFormat="0" applyAlignment="0" applyProtection="0">
      <alignment vertical="center"/>
    </xf>
    <xf numFmtId="0" fontId="57" fillId="23" borderId="106" applyNumberFormat="0" applyAlignment="0" applyProtection="0">
      <alignment vertical="center"/>
    </xf>
    <xf numFmtId="0" fontId="58" fillId="24" borderId="108" applyNumberFormat="0" applyAlignment="0" applyProtection="0">
      <alignment vertical="center"/>
    </xf>
    <xf numFmtId="0" fontId="59" fillId="0" borderId="109" applyNumberFormat="0" applyFill="0" applyAlignment="0" applyProtection="0">
      <alignment vertical="center"/>
    </xf>
    <xf numFmtId="0" fontId="60" fillId="0" borderId="110" applyNumberFormat="0" applyFill="0" applyAlignment="0" applyProtection="0">
      <alignment vertical="center"/>
    </xf>
    <xf numFmtId="0" fontId="61" fillId="25" borderId="0" applyNumberFormat="0" applyBorder="0" applyAlignment="0" applyProtection="0">
      <alignment vertical="center"/>
    </xf>
    <xf numFmtId="0" fontId="62" fillId="26" borderId="0" applyNumberFormat="0" applyBorder="0" applyAlignment="0" applyProtection="0">
      <alignment vertical="center"/>
    </xf>
    <xf numFmtId="0" fontId="63" fillId="27" borderId="0" applyNumberFormat="0" applyBorder="0" applyAlignment="0" applyProtection="0">
      <alignment vertical="center"/>
    </xf>
    <xf numFmtId="0" fontId="64" fillId="28" borderId="0" applyNumberFormat="0" applyBorder="0" applyAlignment="0" applyProtection="0">
      <alignment vertical="center"/>
    </xf>
    <xf numFmtId="0" fontId="65" fillId="29" borderId="0" applyNumberFormat="0" applyBorder="0" applyAlignment="0" applyProtection="0">
      <alignment vertical="center"/>
    </xf>
    <xf numFmtId="0" fontId="65" fillId="30" borderId="0" applyNumberFormat="0" applyBorder="0" applyAlignment="0" applyProtection="0">
      <alignment vertical="center"/>
    </xf>
    <xf numFmtId="0" fontId="64" fillId="31" borderId="0" applyNumberFormat="0" applyBorder="0" applyAlignment="0" applyProtection="0">
      <alignment vertical="center"/>
    </xf>
    <xf numFmtId="0" fontId="64" fillId="32" borderId="0" applyNumberFormat="0" applyBorder="0" applyAlignment="0" applyProtection="0">
      <alignment vertical="center"/>
    </xf>
    <xf numFmtId="0" fontId="65" fillId="33" borderId="0" applyNumberFormat="0" applyBorder="0" applyAlignment="0" applyProtection="0">
      <alignment vertical="center"/>
    </xf>
    <xf numFmtId="0" fontId="65" fillId="34" borderId="0" applyNumberFormat="0" applyBorder="0" applyAlignment="0" applyProtection="0">
      <alignment vertical="center"/>
    </xf>
    <xf numFmtId="0" fontId="64" fillId="35" borderId="0" applyNumberFormat="0" applyBorder="0" applyAlignment="0" applyProtection="0">
      <alignment vertical="center"/>
    </xf>
    <xf numFmtId="0" fontId="64" fillId="36" borderId="0" applyNumberFormat="0" applyBorder="0" applyAlignment="0" applyProtection="0">
      <alignment vertical="center"/>
    </xf>
    <xf numFmtId="0" fontId="65" fillId="37" borderId="0" applyNumberFormat="0" applyBorder="0" applyAlignment="0" applyProtection="0">
      <alignment vertical="center"/>
    </xf>
    <xf numFmtId="0" fontId="65" fillId="38" borderId="0" applyNumberFormat="0" applyBorder="0" applyAlignment="0" applyProtection="0">
      <alignment vertical="center"/>
    </xf>
    <xf numFmtId="0" fontId="64" fillId="39" borderId="0" applyNumberFormat="0" applyBorder="0" applyAlignment="0" applyProtection="0">
      <alignment vertical="center"/>
    </xf>
    <xf numFmtId="0" fontId="64" fillId="40" borderId="0" applyNumberFormat="0" applyBorder="0" applyAlignment="0" applyProtection="0">
      <alignment vertical="center"/>
    </xf>
    <xf numFmtId="0" fontId="65" fillId="41" borderId="0" applyNumberFormat="0" applyBorder="0" applyAlignment="0" applyProtection="0">
      <alignment vertical="center"/>
    </xf>
    <xf numFmtId="0" fontId="65" fillId="42" borderId="0" applyNumberFormat="0" applyBorder="0" applyAlignment="0" applyProtection="0">
      <alignment vertical="center"/>
    </xf>
    <xf numFmtId="0" fontId="64" fillId="43" borderId="0" applyNumberFormat="0" applyBorder="0" applyAlignment="0" applyProtection="0">
      <alignment vertical="center"/>
    </xf>
    <xf numFmtId="0" fontId="64" fillId="44" borderId="0" applyNumberFormat="0" applyBorder="0" applyAlignment="0" applyProtection="0">
      <alignment vertical="center"/>
    </xf>
    <xf numFmtId="0" fontId="65" fillId="45" borderId="0" applyNumberFormat="0" applyBorder="0" applyAlignment="0" applyProtection="0">
      <alignment vertical="center"/>
    </xf>
    <xf numFmtId="0" fontId="65" fillId="46" borderId="0" applyNumberFormat="0" applyBorder="0" applyAlignment="0" applyProtection="0">
      <alignment vertical="center"/>
    </xf>
    <xf numFmtId="0" fontId="64" fillId="47" borderId="0" applyNumberFormat="0" applyBorder="0" applyAlignment="0" applyProtection="0">
      <alignment vertical="center"/>
    </xf>
    <xf numFmtId="0" fontId="64" fillId="48" borderId="0" applyNumberFormat="0" applyBorder="0" applyAlignment="0" applyProtection="0">
      <alignment vertical="center"/>
    </xf>
    <xf numFmtId="0" fontId="65" fillId="49" borderId="0" applyNumberFormat="0" applyBorder="0" applyAlignment="0" applyProtection="0">
      <alignment vertical="center"/>
    </xf>
    <xf numFmtId="0" fontId="65" fillId="50" borderId="0" applyNumberFormat="0" applyBorder="0" applyAlignment="0" applyProtection="0">
      <alignment vertical="center"/>
    </xf>
    <xf numFmtId="0" fontId="64" fillId="51" borderId="0" applyNumberFormat="0" applyBorder="0" applyAlignment="0" applyProtection="0">
      <alignment vertical="center"/>
    </xf>
  </cellStyleXfs>
  <cellXfs count="645">
    <xf numFmtId="0" fontId="0" fillId="0" borderId="0" xfId="0"/>
    <xf numFmtId="0" fontId="0" fillId="0" borderId="0" xfId="0" applyAlignment="1" applyProtection="1"/>
    <xf numFmtId="0" fontId="1" fillId="2" borderId="1" xfId="0" applyFont="1" applyFill="1" applyBorder="1" applyAlignment="1" applyProtection="1">
      <alignment horizontal="left" vertical="top" wrapText="1"/>
    </xf>
    <xf numFmtId="0" fontId="1" fillId="2" borderId="2" xfId="0" applyFont="1" applyFill="1" applyBorder="1" applyAlignment="1" applyProtection="1">
      <alignment horizontal="left" vertical="top" wrapText="1"/>
    </xf>
    <xf numFmtId="0" fontId="1" fillId="2" borderId="3" xfId="0" applyFont="1" applyFill="1" applyBorder="1" applyAlignment="1" applyProtection="1">
      <alignment horizontal="left" vertical="top" wrapText="1"/>
    </xf>
    <xf numFmtId="0" fontId="1" fillId="2" borderId="0" xfId="0" applyFont="1" applyFill="1" applyBorder="1" applyAlignment="1" applyProtection="1">
      <alignment horizontal="left" vertical="top" wrapText="1"/>
    </xf>
    <xf numFmtId="0" fontId="1" fillId="2" borderId="0" xfId="0" applyFont="1" applyFill="1" applyBorder="1" applyAlignment="1" applyProtection="1">
      <alignment horizontal="left" vertical="center" wrapText="1"/>
    </xf>
    <xf numFmtId="0" fontId="1" fillId="2" borderId="0" xfId="0" applyFont="1" applyFill="1" applyBorder="1" applyAlignment="1" applyProtection="1">
      <alignment horizontal="left" vertical="top"/>
    </xf>
    <xf numFmtId="0" fontId="2" fillId="2" borderId="4" xfId="0" applyFont="1" applyFill="1" applyBorder="1" applyAlignment="1" applyProtection="1">
      <alignment horizontal="left" vertical="top" wrapText="1"/>
    </xf>
    <xf numFmtId="0" fontId="2" fillId="2" borderId="5" xfId="0" applyFont="1" applyFill="1" applyBorder="1" applyAlignment="1" applyProtection="1">
      <alignment horizontal="left" vertical="top" wrapText="1"/>
    </xf>
    <xf numFmtId="0" fontId="2" fillId="2" borderId="5" xfId="0" applyFont="1" applyFill="1" applyBorder="1" applyAlignment="1" applyProtection="1">
      <alignment horizontal="center" vertical="top" wrapText="1"/>
    </xf>
    <xf numFmtId="0" fontId="3" fillId="3" borderId="6" xfId="0" applyFont="1" applyFill="1" applyBorder="1" applyAlignment="1" applyProtection="1">
      <alignment horizontal="center" vertical="center" wrapText="1"/>
    </xf>
    <xf numFmtId="180" fontId="3" fillId="3" borderId="7" xfId="0" applyNumberFormat="1" applyFont="1" applyFill="1" applyBorder="1" applyAlignment="1" applyProtection="1">
      <alignment horizontal="left" vertical="center" wrapText="1"/>
    </xf>
    <xf numFmtId="4" fontId="3" fillId="3" borderId="7" xfId="0" applyNumberFormat="1" applyFont="1" applyFill="1" applyBorder="1" applyAlignment="1" applyProtection="1">
      <alignment horizontal="center" vertical="center" wrapText="1"/>
    </xf>
    <xf numFmtId="10" fontId="4" fillId="3" borderId="8" xfId="0" applyNumberFormat="1" applyFont="1" applyFill="1" applyBorder="1" applyAlignment="1" applyProtection="1">
      <alignment horizontal="right" vertical="center" wrapText="1"/>
    </xf>
    <xf numFmtId="10" fontId="4" fillId="3" borderId="9" xfId="0" applyNumberFormat="1" applyFont="1" applyFill="1" applyBorder="1" applyAlignment="1" applyProtection="1">
      <alignment horizontal="right" vertical="center" wrapText="1"/>
    </xf>
    <xf numFmtId="181" fontId="4" fillId="3" borderId="10" xfId="0" applyNumberFormat="1" applyFont="1" applyFill="1" applyBorder="1" applyAlignment="1" applyProtection="1">
      <alignment horizontal="right" vertical="center" wrapText="1"/>
    </xf>
    <xf numFmtId="181" fontId="4" fillId="3" borderId="11" xfId="0" applyNumberFormat="1" applyFont="1" applyFill="1" applyBorder="1" applyAlignment="1" applyProtection="1">
      <alignment horizontal="right" vertical="center" wrapText="1"/>
    </xf>
    <xf numFmtId="0" fontId="3" fillId="3" borderId="12" xfId="0" applyFont="1" applyFill="1" applyBorder="1" applyAlignment="1" applyProtection="1">
      <alignment horizontal="center" vertical="center" wrapText="1"/>
    </xf>
    <xf numFmtId="180" fontId="3" fillId="3" borderId="13" xfId="0" applyNumberFormat="1" applyFont="1" applyFill="1" applyBorder="1" applyAlignment="1" applyProtection="1">
      <alignment horizontal="left" vertical="center" wrapText="1"/>
    </xf>
    <xf numFmtId="4" fontId="3" fillId="3" borderId="13" xfId="0" applyNumberFormat="1" applyFont="1" applyFill="1" applyBorder="1" applyAlignment="1" applyProtection="1">
      <alignment horizontal="center" vertical="center" wrapText="1"/>
    </xf>
    <xf numFmtId="10" fontId="4" fillId="3" borderId="14" xfId="0" applyNumberFormat="1" applyFont="1" applyFill="1" applyBorder="1" applyAlignment="1" applyProtection="1">
      <alignment horizontal="right" vertical="center" wrapText="1"/>
    </xf>
    <xf numFmtId="10" fontId="4" fillId="3" borderId="15" xfId="0" applyNumberFormat="1" applyFont="1" applyFill="1" applyBorder="1" applyAlignment="1" applyProtection="1">
      <alignment horizontal="right" vertical="center" wrapText="1"/>
    </xf>
    <xf numFmtId="0" fontId="1" fillId="2" borderId="12" xfId="0" applyFont="1" applyFill="1" applyBorder="1" applyAlignment="1" applyProtection="1">
      <alignment horizontal="left" vertical="top" wrapText="1"/>
    </xf>
    <xf numFmtId="182" fontId="1" fillId="2" borderId="13" xfId="0" applyNumberFormat="1" applyFont="1" applyFill="1" applyBorder="1" applyAlignment="1" applyProtection="1">
      <alignment horizontal="center" vertical="center" wrapText="1"/>
    </xf>
    <xf numFmtId="182" fontId="1" fillId="2" borderId="13" xfId="0" applyNumberFormat="1" applyFont="1" applyFill="1" applyBorder="1" applyAlignment="1" applyProtection="1">
      <alignment horizontal="right" vertical="top" wrapText="1"/>
    </xf>
    <xf numFmtId="0" fontId="1" fillId="2" borderId="13" xfId="0" applyFont="1" applyFill="1" applyBorder="1" applyAlignment="1" applyProtection="1">
      <alignment horizontal="left" vertical="top" wrapText="1"/>
    </xf>
    <xf numFmtId="10" fontId="1" fillId="2" borderId="13" xfId="0" applyNumberFormat="1" applyFont="1" applyFill="1" applyBorder="1" applyAlignment="1" applyProtection="1">
      <alignment horizontal="center" vertical="center" wrapText="1"/>
    </xf>
    <xf numFmtId="0" fontId="1" fillId="2" borderId="16" xfId="0" applyFont="1" applyFill="1" applyBorder="1" applyAlignment="1" applyProtection="1">
      <alignment horizontal="left" vertical="top" wrapText="1"/>
    </xf>
    <xf numFmtId="0" fontId="1" fillId="2" borderId="17" xfId="0" applyFont="1" applyFill="1" applyBorder="1" applyAlignment="1" applyProtection="1">
      <alignment horizontal="left" vertical="top" wrapText="1"/>
    </xf>
    <xf numFmtId="10" fontId="1" fillId="2" borderId="17" xfId="0" applyNumberFormat="1" applyFont="1" applyFill="1" applyBorder="1" applyAlignment="1" applyProtection="1">
      <alignment horizontal="center" vertical="center" wrapText="1"/>
    </xf>
    <xf numFmtId="0" fontId="5" fillId="2" borderId="0" xfId="0" applyFont="1" applyFill="1" applyBorder="1" applyAlignment="1" applyProtection="1">
      <alignment horizontal="center" vertical="top" wrapText="1"/>
    </xf>
    <xf numFmtId="181" fontId="5" fillId="2" borderId="0" xfId="0" applyNumberFormat="1" applyFont="1" applyFill="1" applyBorder="1" applyAlignment="1" applyProtection="1">
      <alignment horizontal="center" vertical="top" wrapText="1"/>
    </xf>
    <xf numFmtId="10" fontId="5" fillId="2" borderId="0" xfId="0" applyNumberFormat="1" applyFont="1" applyFill="1" applyBorder="1" applyAlignment="1" applyProtection="1">
      <alignment horizontal="center" vertical="top" wrapText="1"/>
    </xf>
    <xf numFmtId="10" fontId="6" fillId="0" borderId="0" xfId="0" applyNumberFormat="1" applyFont="1" applyAlignment="1" applyProtection="1"/>
    <xf numFmtId="181" fontId="6" fillId="0" borderId="0" xfId="0" applyNumberFormat="1" applyFont="1" applyAlignment="1" applyProtection="1"/>
    <xf numFmtId="2" fontId="6" fillId="0" borderId="0" xfId="0" applyNumberFormat="1" applyFont="1" applyAlignment="1" applyProtection="1"/>
    <xf numFmtId="0" fontId="2" fillId="2" borderId="2" xfId="0" applyFont="1" applyFill="1" applyBorder="1" applyAlignment="1" applyProtection="1">
      <alignment horizontal="left" vertical="top" wrapText="1"/>
    </xf>
    <xf numFmtId="0" fontId="2" fillId="2" borderId="2" xfId="0" applyFont="1" applyFill="1" applyBorder="1" applyAlignment="1" applyProtection="1">
      <alignment horizontal="center" vertical="center" wrapText="1"/>
    </xf>
    <xf numFmtId="181" fontId="2" fillId="2" borderId="2" xfId="0" applyNumberFormat="1" applyFont="1" applyFill="1" applyBorder="1" applyAlignment="1" applyProtection="1">
      <alignment horizontal="center" vertical="center" wrapText="1"/>
    </xf>
    <xf numFmtId="0" fontId="2" fillId="2" borderId="2" xfId="0" applyFont="1" applyFill="1" applyBorder="1" applyAlignment="1" applyProtection="1">
      <alignment vertical="top" wrapText="1"/>
    </xf>
    <xf numFmtId="0" fontId="1" fillId="2" borderId="18" xfId="0" applyFont="1" applyFill="1" applyBorder="1" applyAlignment="1" applyProtection="1">
      <alignment horizontal="left" vertical="top" wrapText="1"/>
    </xf>
    <xf numFmtId="0" fontId="5" fillId="2" borderId="0" xfId="0" applyFont="1" applyFill="1" applyBorder="1" applyAlignment="1" applyProtection="1">
      <alignment horizontal="left" vertical="top" wrapText="1"/>
    </xf>
    <xf numFmtId="10" fontId="1" fillId="2" borderId="0" xfId="0" applyNumberFormat="1" applyFont="1" applyFill="1" applyBorder="1" applyAlignment="1" applyProtection="1">
      <alignment horizontal="center" vertical="center" wrapText="1"/>
    </xf>
    <xf numFmtId="9" fontId="1" fillId="2" borderId="0" xfId="0" applyNumberFormat="1" applyFont="1" applyFill="1" applyBorder="1" applyAlignment="1" applyProtection="1">
      <alignment horizontal="center" vertical="center" wrapText="1"/>
    </xf>
    <xf numFmtId="0" fontId="1" fillId="2" borderId="19" xfId="0" applyFont="1" applyFill="1" applyBorder="1" applyAlignment="1" applyProtection="1">
      <alignment horizontal="left" vertical="top" wrapText="1"/>
    </xf>
    <xf numFmtId="0" fontId="2" fillId="2" borderId="0" xfId="0" applyFont="1" applyFill="1" applyBorder="1" applyAlignment="1" applyProtection="1">
      <alignment horizontal="left" vertical="top"/>
    </xf>
    <xf numFmtId="0" fontId="2" fillId="2" borderId="20" xfId="0" applyFont="1" applyFill="1" applyBorder="1" applyAlignment="1" applyProtection="1">
      <alignment horizontal="center" vertical="top" wrapText="1"/>
    </xf>
    <xf numFmtId="10" fontId="4" fillId="3" borderId="21" xfId="0" applyNumberFormat="1" applyFont="1" applyFill="1" applyBorder="1" applyAlignment="1" applyProtection="1">
      <alignment horizontal="right" vertical="center" wrapText="1"/>
    </xf>
    <xf numFmtId="181" fontId="4" fillId="3" borderId="22" xfId="0" applyNumberFormat="1" applyFont="1" applyFill="1" applyBorder="1" applyAlignment="1" applyProtection="1">
      <alignment horizontal="right" vertical="center" wrapText="1"/>
    </xf>
    <xf numFmtId="10" fontId="4" fillId="3" borderId="23" xfId="0" applyNumberFormat="1" applyFont="1" applyFill="1" applyBorder="1" applyAlignment="1" applyProtection="1">
      <alignment horizontal="right" vertical="center" wrapText="1"/>
    </xf>
    <xf numFmtId="0" fontId="4" fillId="3" borderId="24" xfId="0" applyFont="1" applyFill="1" applyBorder="1" applyAlignment="1" applyProtection="1">
      <alignment horizontal="right" vertical="center" wrapText="1"/>
    </xf>
    <xf numFmtId="0" fontId="3" fillId="3" borderId="24" xfId="0" applyFont="1" applyFill="1" applyBorder="1" applyAlignment="1" applyProtection="1">
      <alignment horizontal="right" vertical="top" wrapText="1"/>
    </xf>
    <xf numFmtId="0" fontId="3" fillId="3" borderId="25" xfId="0" applyFont="1" applyFill="1" applyBorder="1" applyAlignment="1" applyProtection="1">
      <alignment horizontal="right" vertical="top" wrapText="1"/>
    </xf>
    <xf numFmtId="182" fontId="1" fillId="2" borderId="26" xfId="0" applyNumberFormat="1" applyFont="1" applyFill="1" applyBorder="1" applyAlignment="1" applyProtection="1">
      <alignment horizontal="right" vertical="top" wrapText="1"/>
    </xf>
    <xf numFmtId="10" fontId="1" fillId="2" borderId="26" xfId="0" applyNumberFormat="1" applyFont="1" applyFill="1" applyBorder="1" applyAlignment="1" applyProtection="1">
      <alignment horizontal="center" vertical="center" wrapText="1"/>
    </xf>
    <xf numFmtId="10" fontId="1" fillId="2" borderId="27" xfId="0" applyNumberFormat="1" applyFont="1" applyFill="1" applyBorder="1" applyAlignment="1" applyProtection="1">
      <alignment horizontal="center" vertical="center" wrapText="1"/>
    </xf>
    <xf numFmtId="9" fontId="5" fillId="2" borderId="0" xfId="0" applyNumberFormat="1" applyFont="1" applyFill="1" applyBorder="1" applyAlignment="1" applyProtection="1">
      <alignment horizontal="center" vertical="top" wrapText="1"/>
    </xf>
    <xf numFmtId="0" fontId="6" fillId="0" borderId="0" xfId="0" applyFont="1" applyAlignment="1" applyProtection="1"/>
    <xf numFmtId="180" fontId="0" fillId="0" borderId="0" xfId="0" applyNumberFormat="1" applyAlignment="1" applyProtection="1">
      <alignment horizontal="center"/>
    </xf>
    <xf numFmtId="182" fontId="0" fillId="0" borderId="0" xfId="0" applyNumberFormat="1" applyAlignment="1" applyProtection="1"/>
    <xf numFmtId="0" fontId="7" fillId="0" borderId="28" xfId="0" applyFont="1" applyBorder="1" applyAlignment="1" applyProtection="1">
      <alignment vertical="center"/>
    </xf>
    <xf numFmtId="180" fontId="8" fillId="4" borderId="28" xfId="0" applyNumberFormat="1" applyFont="1" applyFill="1" applyBorder="1" applyAlignment="1" applyProtection="1">
      <alignment horizontal="center" vertical="center"/>
    </xf>
    <xf numFmtId="180" fontId="8" fillId="0" borderId="29" xfId="0" applyNumberFormat="1" applyFont="1" applyBorder="1" applyAlignment="1" applyProtection="1">
      <alignment horizontal="left" vertical="center" wrapText="1"/>
    </xf>
    <xf numFmtId="180" fontId="8" fillId="0" borderId="6" xfId="0" applyNumberFormat="1" applyFont="1" applyBorder="1" applyAlignment="1" applyProtection="1">
      <alignment horizontal="left" vertical="center"/>
    </xf>
    <xf numFmtId="182" fontId="8" fillId="0" borderId="30" xfId="0" applyNumberFormat="1" applyFont="1" applyBorder="1" applyAlignment="1" applyProtection="1">
      <alignment horizontal="left" vertical="center"/>
    </xf>
    <xf numFmtId="180" fontId="8" fillId="0" borderId="31" xfId="0" applyNumberFormat="1" applyFont="1" applyBorder="1" applyAlignment="1" applyProtection="1">
      <alignment horizontal="left" vertical="center" wrapText="1"/>
    </xf>
    <xf numFmtId="180" fontId="8" fillId="0" borderId="32" xfId="0" applyNumberFormat="1" applyFont="1" applyBorder="1" applyAlignment="1" applyProtection="1">
      <alignment horizontal="left" vertical="center"/>
    </xf>
    <xf numFmtId="182" fontId="8" fillId="0" borderId="33" xfId="0" applyNumberFormat="1" applyFont="1" applyBorder="1" applyAlignment="1" applyProtection="1">
      <alignment horizontal="left" vertical="center"/>
    </xf>
    <xf numFmtId="182" fontId="8" fillId="4" borderId="28" xfId="0" applyNumberFormat="1" applyFont="1" applyFill="1" applyBorder="1" applyAlignment="1" applyProtection="1">
      <alignment horizontal="center" vertical="center"/>
    </xf>
    <xf numFmtId="0" fontId="9" fillId="0" borderId="34" xfId="0" applyFont="1" applyBorder="1" applyAlignment="1" applyProtection="1">
      <alignment horizontal="left" vertical="center" wrapText="1"/>
    </xf>
    <xf numFmtId="10" fontId="10" fillId="0" borderId="35" xfId="3" applyNumberFormat="1" applyFont="1" applyBorder="1" applyAlignment="1" applyProtection="1">
      <alignment horizontal="center" vertical="center"/>
    </xf>
    <xf numFmtId="182" fontId="10" fillId="0" borderId="35" xfId="0" applyNumberFormat="1" applyFont="1" applyBorder="1" applyAlignment="1" applyProtection="1">
      <alignment horizontal="center" vertical="center"/>
    </xf>
    <xf numFmtId="183" fontId="10" fillId="0" borderId="35" xfId="0" applyNumberFormat="1" applyFont="1" applyBorder="1" applyAlignment="1" applyProtection="1">
      <alignment horizontal="center" vertical="center"/>
    </xf>
    <xf numFmtId="0" fontId="2" fillId="2" borderId="36" xfId="0" applyFont="1" applyFill="1" applyBorder="1" applyAlignment="1" applyProtection="1">
      <alignment horizontal="center" wrapText="1"/>
    </xf>
    <xf numFmtId="0" fontId="11" fillId="2" borderId="37" xfId="0" applyFont="1" applyFill="1" applyBorder="1" applyAlignment="1" applyProtection="1">
      <alignment horizontal="right" vertical="top" wrapText="1"/>
    </xf>
    <xf numFmtId="0" fontId="11" fillId="2" borderId="37" xfId="0" applyFont="1" applyFill="1" applyBorder="1" applyAlignment="1" applyProtection="1">
      <alignment horizontal="left" vertical="top" wrapText="1"/>
    </xf>
    <xf numFmtId="0" fontId="11" fillId="2" borderId="37" xfId="0" applyFont="1" applyFill="1" applyBorder="1" applyAlignment="1" applyProtection="1">
      <alignment horizontal="center" vertical="top" wrapText="1"/>
    </xf>
    <xf numFmtId="0" fontId="12" fillId="5" borderId="37" xfId="0" applyFont="1" applyFill="1" applyBorder="1" applyAlignment="1" applyProtection="1">
      <alignment horizontal="right" vertical="top" wrapText="1"/>
    </xf>
    <xf numFmtId="0" fontId="12" fillId="5" borderId="37" xfId="0" applyFont="1" applyFill="1" applyBorder="1" applyAlignment="1" applyProtection="1">
      <alignment horizontal="left" vertical="top" wrapText="1"/>
    </xf>
    <xf numFmtId="0" fontId="12" fillId="5" borderId="37" xfId="0" applyFont="1" applyFill="1" applyBorder="1" applyAlignment="1" applyProtection="1">
      <alignment horizontal="center" vertical="top" wrapText="1"/>
    </xf>
    <xf numFmtId="182" fontId="10" fillId="0" borderId="0" xfId="0" applyNumberFormat="1" applyFont="1" applyAlignment="1" applyProtection="1">
      <alignment vertical="center"/>
    </xf>
    <xf numFmtId="182" fontId="10" fillId="0" borderId="0" xfId="0" applyNumberFormat="1" applyFont="1" applyAlignment="1" applyProtection="1">
      <alignment horizontal="center" vertical="center"/>
    </xf>
    <xf numFmtId="0" fontId="10" fillId="0" borderId="0" xfId="0" applyFont="1" applyAlignment="1" applyProtection="1">
      <alignment vertical="center"/>
    </xf>
    <xf numFmtId="180" fontId="8" fillId="0" borderId="0" xfId="0" applyNumberFormat="1" applyFont="1" applyAlignment="1" applyProtection="1">
      <alignment horizontal="left" vertical="center"/>
    </xf>
    <xf numFmtId="182" fontId="8" fillId="0" borderId="0" xfId="0" applyNumberFormat="1" applyFont="1" applyAlignment="1" applyProtection="1">
      <alignment horizontal="left" vertical="center"/>
    </xf>
    <xf numFmtId="180" fontId="10" fillId="0" borderId="0" xfId="0" applyNumberFormat="1" applyFont="1" applyAlignment="1" applyProtection="1">
      <alignment horizontal="left" vertical="center"/>
    </xf>
    <xf numFmtId="182" fontId="10" fillId="0" borderId="0" xfId="0" applyNumberFormat="1" applyFont="1" applyAlignment="1" applyProtection="1">
      <alignment horizontal="left" vertical="center"/>
    </xf>
    <xf numFmtId="180" fontId="10" fillId="0" borderId="0" xfId="0" applyNumberFormat="1" applyFont="1" applyAlignment="1" applyProtection="1">
      <alignment horizontal="left" vertical="center" wrapText="1"/>
    </xf>
    <xf numFmtId="182" fontId="10" fillId="0" borderId="0" xfId="0" applyNumberFormat="1" applyFont="1" applyAlignment="1" applyProtection="1">
      <alignment horizontal="left" vertical="center" wrapText="1"/>
    </xf>
    <xf numFmtId="182" fontId="6" fillId="0" borderId="0" xfId="0" applyNumberFormat="1" applyFont="1" applyAlignment="1" applyProtection="1"/>
    <xf numFmtId="0" fontId="0" fillId="0" borderId="38" xfId="0" applyBorder="1" applyAlignment="1" applyProtection="1"/>
    <xf numFmtId="4" fontId="12" fillId="5" borderId="37" xfId="0" applyNumberFormat="1" applyFont="1" applyFill="1" applyBorder="1" applyAlignment="1" applyProtection="1">
      <alignment horizontal="right" vertical="top" wrapText="1"/>
    </xf>
    <xf numFmtId="180" fontId="8" fillId="0" borderId="0" xfId="0" applyNumberFormat="1" applyFont="1" applyAlignment="1" applyProtection="1">
      <alignment vertical="center"/>
    </xf>
    <xf numFmtId="0" fontId="13" fillId="0" borderId="0" xfId="0" applyFont="1" applyAlignment="1" applyProtection="1">
      <alignment vertical="center"/>
    </xf>
    <xf numFmtId="49" fontId="10" fillId="0" borderId="0" xfId="0" applyNumberFormat="1" applyFont="1" applyAlignment="1" applyProtection="1">
      <alignment horizontal="center" vertical="center"/>
    </xf>
    <xf numFmtId="0" fontId="10" fillId="0" borderId="0" xfId="0" applyFont="1" applyAlignment="1" applyProtection="1">
      <alignment horizontal="center" vertical="center"/>
    </xf>
    <xf numFmtId="184" fontId="10" fillId="0" borderId="0" xfId="0" applyNumberFormat="1" applyFont="1" applyAlignment="1" applyProtection="1">
      <alignment horizontal="center" vertical="center"/>
    </xf>
    <xf numFmtId="0" fontId="14" fillId="0" borderId="0" xfId="0" applyFont="1" applyAlignment="1" applyProtection="1">
      <alignment vertical="center"/>
    </xf>
    <xf numFmtId="0" fontId="12" fillId="6" borderId="37" xfId="0" applyFont="1" applyFill="1" applyBorder="1" applyAlignment="1" applyProtection="1">
      <alignment horizontal="right" vertical="top" wrapText="1"/>
    </xf>
    <xf numFmtId="0" fontId="12" fillId="6" borderId="37" xfId="0" applyFont="1" applyFill="1" applyBorder="1" applyAlignment="1" applyProtection="1">
      <alignment horizontal="left" vertical="top" wrapText="1"/>
    </xf>
    <xf numFmtId="0" fontId="12" fillId="6" borderId="37" xfId="0" applyFont="1" applyFill="1" applyBorder="1" applyAlignment="1" applyProtection="1">
      <alignment horizontal="center" vertical="top" wrapText="1"/>
    </xf>
    <xf numFmtId="4" fontId="12" fillId="6" borderId="37" xfId="0" applyNumberFormat="1" applyFont="1" applyFill="1" applyBorder="1" applyAlignment="1" applyProtection="1">
      <alignment horizontal="right" vertical="top" wrapText="1"/>
    </xf>
    <xf numFmtId="0" fontId="4" fillId="7" borderId="37" xfId="0" applyFont="1" applyFill="1" applyBorder="1" applyAlignment="1" applyProtection="1">
      <alignment horizontal="right" vertical="top" wrapText="1"/>
    </xf>
    <xf numFmtId="0" fontId="4" fillId="7" borderId="37" xfId="0" applyFont="1" applyFill="1" applyBorder="1" applyAlignment="1" applyProtection="1">
      <alignment horizontal="left" vertical="top" wrapText="1"/>
    </xf>
    <xf numFmtId="0" fontId="4" fillId="7" borderId="37" xfId="0" applyFont="1" applyFill="1" applyBorder="1" applyAlignment="1" applyProtection="1">
      <alignment horizontal="center" vertical="top" wrapText="1"/>
    </xf>
    <xf numFmtId="4" fontId="4" fillId="7" borderId="37" xfId="0" applyNumberFormat="1" applyFont="1" applyFill="1" applyBorder="1" applyAlignment="1" applyProtection="1">
      <alignment horizontal="right" vertical="top" wrapText="1"/>
    </xf>
    <xf numFmtId="0" fontId="12" fillId="2" borderId="0" xfId="0" applyFont="1" applyFill="1" applyAlignment="1" applyProtection="1">
      <alignment horizontal="center" vertical="top" wrapText="1"/>
    </xf>
    <xf numFmtId="0" fontId="12" fillId="2" borderId="0" xfId="0" applyFont="1" applyFill="1" applyAlignment="1" applyProtection="1">
      <alignment horizontal="right" vertical="top" wrapText="1"/>
    </xf>
    <xf numFmtId="0" fontId="15" fillId="2" borderId="0" xfId="0" applyFont="1" applyFill="1" applyBorder="1" applyAlignment="1" applyProtection="1">
      <alignment horizontal="right" vertical="top" wrapText="1"/>
    </xf>
    <xf numFmtId="0" fontId="12" fillId="2" borderId="0" xfId="0" applyFont="1" applyFill="1" applyAlignment="1" applyProtection="1">
      <alignment horizontal="left" vertical="top" wrapText="1"/>
    </xf>
    <xf numFmtId="0" fontId="15" fillId="2" borderId="0" xfId="0" applyFont="1" applyFill="1" applyAlignment="1" applyProtection="1">
      <alignment horizontal="right" vertical="top" wrapText="1"/>
    </xf>
    <xf numFmtId="0" fontId="15" fillId="2" borderId="0" xfId="0" applyFont="1" applyFill="1" applyAlignment="1" applyProtection="1">
      <alignment horizontal="center" vertical="top" wrapText="1"/>
    </xf>
    <xf numFmtId="0" fontId="12" fillId="2" borderId="0" xfId="0" applyFont="1" applyFill="1" applyBorder="1" applyAlignment="1" applyProtection="1">
      <alignment horizontal="center" vertical="top" wrapText="1"/>
    </xf>
    <xf numFmtId="0" fontId="12" fillId="2" borderId="0" xfId="0" applyFont="1" applyFill="1" applyBorder="1" applyAlignment="1" applyProtection="1">
      <alignment horizontal="right" vertical="top" wrapText="1"/>
    </xf>
    <xf numFmtId="0" fontId="15" fillId="2" borderId="0" xfId="0" applyFont="1" applyFill="1" applyBorder="1" applyAlignment="1" applyProtection="1">
      <alignment horizontal="left" vertical="top" wrapText="1"/>
    </xf>
    <xf numFmtId="4" fontId="15" fillId="2" borderId="0" xfId="0" applyNumberFormat="1" applyFont="1" applyFill="1" applyBorder="1" applyAlignment="1" applyProtection="1">
      <alignment horizontal="right" vertical="top" wrapText="1"/>
    </xf>
    <xf numFmtId="10" fontId="10" fillId="0" borderId="35" xfId="0" applyNumberFormat="1" applyFont="1" applyBorder="1" applyAlignment="1" applyProtection="1">
      <alignment horizontal="center" vertical="center"/>
    </xf>
    <xf numFmtId="180" fontId="11" fillId="2" borderId="37" xfId="0" applyNumberFormat="1" applyFont="1" applyFill="1" applyBorder="1" applyAlignment="1" applyProtection="1">
      <alignment horizontal="center" vertical="top" wrapText="1"/>
    </xf>
    <xf numFmtId="182" fontId="11" fillId="2" borderId="37" xfId="0" applyNumberFormat="1" applyFont="1" applyFill="1" applyBorder="1" applyAlignment="1" applyProtection="1">
      <alignment horizontal="right" vertical="top" wrapText="1"/>
    </xf>
    <xf numFmtId="180" fontId="12" fillId="5" borderId="37" xfId="0" applyNumberFormat="1" applyFont="1" applyFill="1" applyBorder="1" applyAlignment="1" applyProtection="1">
      <alignment horizontal="center" vertical="top" wrapText="1"/>
    </xf>
    <xf numFmtId="182" fontId="12" fillId="5" borderId="37" xfId="0" applyNumberFormat="1" applyFont="1" applyFill="1" applyBorder="1" applyAlignment="1" applyProtection="1">
      <alignment horizontal="right" vertical="top" wrapText="1"/>
    </xf>
    <xf numFmtId="185" fontId="12" fillId="5" borderId="37" xfId="0" applyNumberFormat="1" applyFont="1" applyFill="1" applyBorder="1" applyAlignment="1" applyProtection="1">
      <alignment horizontal="center" vertical="top" wrapText="1"/>
    </xf>
    <xf numFmtId="185" fontId="12" fillId="6" borderId="37" xfId="0" applyNumberFormat="1" applyFont="1" applyFill="1" applyBorder="1" applyAlignment="1" applyProtection="1">
      <alignment horizontal="center" vertical="top" wrapText="1"/>
    </xf>
    <xf numFmtId="182" fontId="12" fillId="6" borderId="37" xfId="0" applyNumberFormat="1" applyFont="1" applyFill="1" applyBorder="1" applyAlignment="1" applyProtection="1">
      <alignment horizontal="right" vertical="top" wrapText="1"/>
    </xf>
    <xf numFmtId="185" fontId="4" fillId="7" borderId="37" xfId="0" applyNumberFormat="1" applyFont="1" applyFill="1" applyBorder="1" applyAlignment="1" applyProtection="1">
      <alignment horizontal="center" vertical="top" wrapText="1"/>
    </xf>
    <xf numFmtId="182" fontId="4" fillId="7" borderId="37" xfId="0" applyNumberFormat="1" applyFont="1" applyFill="1" applyBorder="1" applyAlignment="1" applyProtection="1">
      <alignment horizontal="right" vertical="top" wrapText="1"/>
    </xf>
    <xf numFmtId="185" fontId="12" fillId="2" borderId="0" xfId="0" applyNumberFormat="1" applyFont="1" applyFill="1" applyAlignment="1" applyProtection="1">
      <alignment horizontal="center" vertical="top" wrapText="1"/>
    </xf>
    <xf numFmtId="182" fontId="12" fillId="2" borderId="0" xfId="0" applyNumberFormat="1" applyFont="1" applyFill="1" applyAlignment="1" applyProtection="1">
      <alignment horizontal="center" vertical="top" wrapText="1"/>
    </xf>
    <xf numFmtId="185" fontId="15" fillId="2" borderId="0" xfId="0" applyNumberFormat="1" applyFont="1" applyFill="1" applyBorder="1" applyAlignment="1" applyProtection="1">
      <alignment horizontal="left" vertical="top" wrapText="1"/>
    </xf>
    <xf numFmtId="182" fontId="15" fillId="2" borderId="0" xfId="0" applyNumberFormat="1" applyFont="1" applyFill="1" applyBorder="1" applyAlignment="1" applyProtection="1">
      <alignment horizontal="right" vertical="top" wrapText="1"/>
    </xf>
    <xf numFmtId="185" fontId="15" fillId="2" borderId="0" xfId="0" applyNumberFormat="1" applyFont="1" applyFill="1" applyAlignment="1" applyProtection="1">
      <alignment horizontal="center" vertical="top" wrapText="1"/>
    </xf>
    <xf numFmtId="182" fontId="15" fillId="2" borderId="0" xfId="0" applyNumberFormat="1" applyFont="1" applyFill="1" applyAlignment="1" applyProtection="1">
      <alignment horizontal="center" vertical="top" wrapText="1"/>
    </xf>
    <xf numFmtId="185" fontId="6" fillId="0" borderId="0" xfId="0" applyNumberFormat="1" applyFont="1" applyAlignment="1" applyProtection="1">
      <alignment horizontal="center"/>
    </xf>
    <xf numFmtId="185" fontId="0" fillId="0" borderId="0" xfId="0" applyNumberFormat="1" applyAlignment="1" applyProtection="1">
      <alignment horizontal="center"/>
    </xf>
    <xf numFmtId="180" fontId="8" fillId="0" borderId="30" xfId="0" applyNumberFormat="1" applyFont="1" applyBorder="1" applyAlignment="1" applyProtection="1">
      <alignment horizontal="left" vertical="center"/>
    </xf>
    <xf numFmtId="180" fontId="8" fillId="0" borderId="33" xfId="0" applyNumberFormat="1" applyFont="1" applyBorder="1" applyAlignment="1" applyProtection="1">
      <alignment horizontal="left" vertical="center"/>
    </xf>
    <xf numFmtId="0" fontId="9" fillId="0" borderId="39" xfId="0" applyFont="1" applyBorder="1" applyAlignment="1" applyProtection="1">
      <alignment horizontal="left" vertical="center" wrapText="1"/>
    </xf>
    <xf numFmtId="10" fontId="10" fillId="0" borderId="40" xfId="0" applyNumberFormat="1" applyFont="1" applyBorder="1" applyAlignment="1" applyProtection="1">
      <alignment horizontal="center" vertical="center"/>
    </xf>
    <xf numFmtId="49" fontId="10" fillId="0" borderId="35" xfId="0" applyNumberFormat="1" applyFont="1" applyBorder="1" applyAlignment="1" applyProtection="1">
      <alignment horizontal="center" vertical="center"/>
    </xf>
    <xf numFmtId="0" fontId="10" fillId="0" borderId="3" xfId="0" applyFont="1" applyBorder="1" applyAlignment="1" applyProtection="1"/>
    <xf numFmtId="0" fontId="10" fillId="0" borderId="0" xfId="0" applyFont="1" applyBorder="1" applyAlignment="1" applyProtection="1">
      <alignment wrapText="1"/>
    </xf>
    <xf numFmtId="0" fontId="10" fillId="0" borderId="0" xfId="0" applyFont="1" applyBorder="1" applyAlignment="1" applyProtection="1"/>
    <xf numFmtId="0" fontId="16" fillId="0" borderId="3" xfId="0" applyFont="1" applyBorder="1" applyAlignment="1" applyProtection="1">
      <alignment horizontal="center" wrapText="1"/>
    </xf>
    <xf numFmtId="0" fontId="14" fillId="0" borderId="0" xfId="0" applyFont="1" applyBorder="1" applyAlignment="1" applyProtection="1"/>
    <xf numFmtId="0" fontId="16" fillId="0" borderId="19" xfId="0" applyFont="1" applyBorder="1" applyAlignment="1" applyProtection="1">
      <alignment horizontal="center" wrapText="1"/>
    </xf>
    <xf numFmtId="0" fontId="17" fillId="0" borderId="3" xfId="0" applyFont="1" applyBorder="1" applyAlignment="1" applyProtection="1">
      <alignment horizontal="center"/>
    </xf>
    <xf numFmtId="0" fontId="17" fillId="0" borderId="19" xfId="0" applyFont="1" applyBorder="1" applyAlignment="1" applyProtection="1">
      <alignment horizontal="center"/>
    </xf>
    <xf numFmtId="0" fontId="17" fillId="0" borderId="12" xfId="0" applyFont="1" applyBorder="1" applyAlignment="1" applyProtection="1">
      <alignment horizontal="center"/>
    </xf>
    <xf numFmtId="0" fontId="17" fillId="0" borderId="26" xfId="0" applyFont="1" applyBorder="1" applyAlignment="1" applyProtection="1">
      <alignment horizontal="center"/>
    </xf>
    <xf numFmtId="0" fontId="13" fillId="0" borderId="12" xfId="0" applyFont="1" applyBorder="1" applyAlignment="1" applyProtection="1"/>
    <xf numFmtId="0" fontId="13" fillId="0" borderId="13" xfId="0" applyFont="1" applyBorder="1" applyAlignment="1" applyProtection="1">
      <alignment wrapText="1"/>
    </xf>
    <xf numFmtId="0" fontId="13" fillId="0" borderId="13" xfId="0" applyFont="1" applyBorder="1" applyAlignment="1" applyProtection="1"/>
    <xf numFmtId="0" fontId="18" fillId="2" borderId="12" xfId="0" applyFont="1" applyFill="1" applyBorder="1" applyAlignment="1" applyProtection="1">
      <alignment horizontal="center" wrapText="1"/>
    </xf>
    <xf numFmtId="0" fontId="18" fillId="2" borderId="26" xfId="0" applyFont="1" applyFill="1" applyBorder="1" applyAlignment="1" applyProtection="1">
      <alignment horizontal="center" wrapText="1"/>
    </xf>
    <xf numFmtId="0" fontId="13" fillId="2" borderId="12" xfId="0" applyFont="1" applyFill="1" applyBorder="1" applyAlignment="1" applyProtection="1">
      <alignment horizontal="center" vertical="center" wrapText="1"/>
    </xf>
    <xf numFmtId="0" fontId="13" fillId="2" borderId="26" xfId="0" applyFont="1" applyFill="1" applyBorder="1" applyAlignment="1" applyProtection="1">
      <alignment horizontal="center" vertical="center" wrapText="1"/>
    </xf>
    <xf numFmtId="0" fontId="13" fillId="0" borderId="3" xfId="0" applyFont="1" applyBorder="1" applyAlignment="1" applyProtection="1">
      <alignment horizontal="center" wrapText="1"/>
    </xf>
    <xf numFmtId="0" fontId="13" fillId="0" borderId="19" xfId="0" applyFont="1" applyBorder="1" applyAlignment="1" applyProtection="1">
      <alignment horizontal="center" wrapText="1"/>
    </xf>
    <xf numFmtId="0" fontId="13" fillId="0" borderId="12" xfId="0" applyFont="1" applyBorder="1" applyAlignment="1" applyProtection="1">
      <alignment horizontal="center"/>
    </xf>
    <xf numFmtId="0" fontId="13" fillId="0" borderId="26" xfId="0" applyFont="1" applyBorder="1" applyAlignment="1" applyProtection="1">
      <alignment horizontal="center"/>
    </xf>
    <xf numFmtId="0" fontId="18" fillId="0" borderId="12" xfId="0" applyFont="1" applyBorder="1" applyAlignment="1" applyProtection="1">
      <alignment horizontal="center" vertical="center" wrapText="1"/>
    </xf>
    <xf numFmtId="0" fontId="18" fillId="0" borderId="13" xfId="0" applyFont="1" applyBorder="1" applyAlignment="1" applyProtection="1">
      <alignment horizontal="center" vertical="center" wrapText="1"/>
    </xf>
    <xf numFmtId="49" fontId="18" fillId="0" borderId="12" xfId="0" applyNumberFormat="1" applyFont="1" applyBorder="1" applyAlignment="1" applyProtection="1">
      <alignment horizontal="center" vertical="center"/>
    </xf>
    <xf numFmtId="0" fontId="13" fillId="0" borderId="13" xfId="0" applyFont="1" applyBorder="1" applyAlignment="1" applyProtection="1">
      <alignment vertical="center" wrapText="1"/>
    </xf>
    <xf numFmtId="10" fontId="13" fillId="0" borderId="13" xfId="0" applyNumberFormat="1" applyFont="1" applyBorder="1" applyAlignment="1" applyProtection="1">
      <alignment horizontal="center" vertical="center" wrapText="1"/>
    </xf>
    <xf numFmtId="49" fontId="18" fillId="0" borderId="13" xfId="0" applyNumberFormat="1" applyFont="1" applyBorder="1" applyAlignment="1" applyProtection="1">
      <alignment horizontal="center" vertical="center"/>
    </xf>
    <xf numFmtId="0" fontId="10" fillId="2" borderId="13" xfId="0" applyFont="1" applyFill="1" applyBorder="1" applyAlignment="1" applyProtection="1">
      <alignment vertical="center" wrapText="1"/>
    </xf>
    <xf numFmtId="49" fontId="13" fillId="0" borderId="12" xfId="0" applyNumberFormat="1" applyFont="1" applyBorder="1" applyAlignment="1" applyProtection="1">
      <alignment vertical="center"/>
    </xf>
    <xf numFmtId="0" fontId="18" fillId="0" borderId="13" xfId="0" applyFont="1" applyBorder="1" applyAlignment="1" applyProtection="1">
      <alignment vertical="center" wrapText="1"/>
    </xf>
    <xf numFmtId="10" fontId="18" fillId="0" borderId="13" xfId="0" applyNumberFormat="1" applyFont="1" applyBorder="1" applyAlignment="1" applyProtection="1">
      <alignment horizontal="center" vertical="center" wrapText="1"/>
    </xf>
    <xf numFmtId="49" fontId="13" fillId="0" borderId="13" xfId="0" applyNumberFormat="1" applyFont="1" applyBorder="1" applyAlignment="1" applyProtection="1">
      <alignment vertical="center"/>
    </xf>
    <xf numFmtId="10" fontId="13" fillId="0" borderId="13" xfId="0" applyNumberFormat="1" applyFont="1" applyBorder="1" applyAlignment="1" applyProtection="1">
      <alignment vertical="center"/>
    </xf>
    <xf numFmtId="10" fontId="13" fillId="0" borderId="13" xfId="0" applyNumberFormat="1" applyFont="1" applyBorder="1" applyAlignment="1" applyProtection="1">
      <alignment vertical="center" wrapText="1"/>
    </xf>
    <xf numFmtId="10" fontId="18" fillId="0" borderId="13" xfId="0" applyNumberFormat="1" applyFont="1" applyBorder="1" applyAlignment="1" applyProtection="1">
      <alignment horizontal="center" vertical="center"/>
    </xf>
    <xf numFmtId="0" fontId="19" fillId="0" borderId="12" xfId="0" applyFont="1" applyBorder="1" applyAlignment="1" applyProtection="1">
      <alignment horizontal="left" vertical="center" wrapText="1"/>
    </xf>
    <xf numFmtId="0" fontId="19" fillId="0" borderId="26" xfId="0" applyFont="1" applyBorder="1" applyAlignment="1" applyProtection="1">
      <alignment horizontal="left" vertical="center" wrapText="1"/>
    </xf>
    <xf numFmtId="0" fontId="20" fillId="0" borderId="12" xfId="0" applyFont="1" applyBorder="1" applyAlignment="1" applyProtection="1">
      <alignment horizontal="left" vertical="center" wrapText="1"/>
    </xf>
    <xf numFmtId="0" fontId="20" fillId="0" borderId="13" xfId="0" applyFont="1" applyBorder="1" applyAlignment="1" applyProtection="1">
      <alignment horizontal="center" vertical="center" wrapText="1"/>
    </xf>
    <xf numFmtId="0" fontId="20" fillId="0" borderId="13" xfId="0" applyFont="1" applyBorder="1" applyAlignment="1" applyProtection="1">
      <alignment horizontal="left" vertical="center" wrapText="1"/>
    </xf>
    <xf numFmtId="0" fontId="20" fillId="0" borderId="16" xfId="0" applyFont="1" applyBorder="1" applyAlignment="1" applyProtection="1">
      <alignment horizontal="center" vertical="center" wrapText="1"/>
    </xf>
    <xf numFmtId="0" fontId="20" fillId="0" borderId="27" xfId="0" applyFont="1" applyBorder="1" applyAlignment="1" applyProtection="1">
      <alignment horizontal="center" vertical="center" wrapText="1"/>
    </xf>
    <xf numFmtId="0" fontId="14" fillId="0" borderId="41" xfId="0" applyFont="1" applyBorder="1" applyAlignment="1" applyProtection="1"/>
    <xf numFmtId="0" fontId="10" fillId="0" borderId="0" xfId="0" applyFont="1" applyAlignment="1" applyProtection="1"/>
    <xf numFmtId="0" fontId="10" fillId="0" borderId="0" xfId="0" applyFont="1" applyAlignment="1" applyProtection="1">
      <alignment wrapText="1"/>
    </xf>
    <xf numFmtId="0" fontId="13" fillId="0" borderId="0" xfId="0" applyFont="1" applyAlignment="1" applyProtection="1"/>
    <xf numFmtId="0" fontId="13" fillId="0" borderId="0" xfId="0" applyFont="1" applyAlignment="1" applyProtection="1">
      <alignment wrapText="1"/>
    </xf>
    <xf numFmtId="181" fontId="10" fillId="0" borderId="0" xfId="0" applyNumberFormat="1" applyFont="1" applyAlignment="1" applyProtection="1">
      <alignment vertical="center"/>
    </xf>
    <xf numFmtId="183" fontId="10" fillId="0" borderId="42" xfId="0" applyNumberFormat="1" applyFont="1" applyBorder="1" applyAlignment="1" applyProtection="1">
      <alignment horizontal="center" vertical="center"/>
    </xf>
    <xf numFmtId="0" fontId="10" fillId="0" borderId="19" xfId="0" applyFont="1" applyBorder="1" applyAlignment="1" applyProtection="1"/>
    <xf numFmtId="0" fontId="14" fillId="0" borderId="0" xfId="0" applyFont="1" applyAlignment="1" applyProtection="1"/>
    <xf numFmtId="0" fontId="13" fillId="0" borderId="26" xfId="0" applyFont="1" applyBorder="1" applyAlignment="1" applyProtection="1"/>
    <xf numFmtId="0" fontId="18" fillId="0" borderId="26" xfId="0" applyFont="1" applyBorder="1" applyAlignment="1" applyProtection="1">
      <alignment horizontal="center" vertical="center" wrapText="1"/>
    </xf>
    <xf numFmtId="10" fontId="13" fillId="0" borderId="26" xfId="0" applyNumberFormat="1" applyFont="1" applyBorder="1" applyAlignment="1" applyProtection="1">
      <alignment horizontal="center" vertical="center" wrapText="1"/>
    </xf>
    <xf numFmtId="10" fontId="18" fillId="0" borderId="26" xfId="0" applyNumberFormat="1" applyFont="1" applyBorder="1" applyAlignment="1" applyProtection="1">
      <alignment horizontal="center" vertical="center" wrapText="1"/>
    </xf>
    <xf numFmtId="10" fontId="13" fillId="0" borderId="26" xfId="0" applyNumberFormat="1" applyFont="1" applyBorder="1" applyAlignment="1" applyProtection="1">
      <alignment vertical="center"/>
    </xf>
    <xf numFmtId="10" fontId="18" fillId="0" borderId="26" xfId="0" applyNumberFormat="1" applyFont="1" applyBorder="1" applyAlignment="1" applyProtection="1">
      <alignment horizontal="center" vertical="center"/>
    </xf>
    <xf numFmtId="0" fontId="20" fillId="0" borderId="26" xfId="0" applyFont="1" applyBorder="1" applyAlignment="1" applyProtection="1">
      <alignment horizontal="center" vertical="center" wrapText="1"/>
    </xf>
    <xf numFmtId="0" fontId="5" fillId="0" borderId="1" xfId="0" applyFont="1" applyBorder="1" applyAlignment="1" applyProtection="1"/>
    <xf numFmtId="0" fontId="5" fillId="0" borderId="2" xfId="0" applyFont="1" applyBorder="1" applyAlignment="1" applyProtection="1"/>
    <xf numFmtId="0" fontId="5" fillId="0" borderId="2" xfId="0" applyFont="1" applyBorder="1" applyAlignment="1" applyProtection="1">
      <alignment horizontal="center"/>
    </xf>
    <xf numFmtId="0" fontId="5" fillId="0" borderId="3" xfId="0" applyFont="1" applyBorder="1" applyAlignment="1" applyProtection="1"/>
    <xf numFmtId="0" fontId="5" fillId="0" borderId="0" xfId="0" applyFont="1" applyBorder="1" applyAlignment="1" applyProtection="1"/>
    <xf numFmtId="0" fontId="5" fillId="0" borderId="0" xfId="0" applyFont="1" applyBorder="1" applyAlignment="1" applyProtection="1">
      <alignment horizontal="center"/>
    </xf>
    <xf numFmtId="0" fontId="21" fillId="0" borderId="13" xfId="0" applyFont="1" applyBorder="1" applyAlignment="1" applyProtection="1">
      <alignment horizontal="left" wrapText="1"/>
    </xf>
    <xf numFmtId="0" fontId="21" fillId="0" borderId="0" xfId="0" applyFont="1" applyBorder="1" applyAlignment="1" applyProtection="1">
      <alignment horizontal="left" wrapText="1"/>
    </xf>
    <xf numFmtId="0" fontId="22" fillId="0" borderId="3" xfId="0" applyFont="1" applyBorder="1" applyAlignment="1" applyProtection="1"/>
    <xf numFmtId="0" fontId="23" fillId="0" borderId="28" xfId="0" applyFont="1" applyBorder="1" applyAlignment="1" applyProtection="1">
      <alignment horizontal="center"/>
    </xf>
    <xf numFmtId="0" fontId="23" fillId="0" borderId="0" xfId="0" applyFont="1" applyBorder="1" applyAlignment="1" applyProtection="1"/>
    <xf numFmtId="0" fontId="22" fillId="0" borderId="0" xfId="0" applyFont="1" applyBorder="1" applyAlignment="1" applyProtection="1"/>
    <xf numFmtId="0" fontId="4" fillId="0" borderId="3" xfId="0" applyFont="1" applyBorder="1" applyAlignment="1" applyProtection="1"/>
    <xf numFmtId="0" fontId="3" fillId="0" borderId="1" xfId="0" applyFont="1" applyBorder="1" applyAlignment="1" applyProtection="1">
      <alignment horizontal="center"/>
    </xf>
    <xf numFmtId="0" fontId="3" fillId="0" borderId="2" xfId="0" applyFont="1" applyBorder="1" applyAlignment="1" applyProtection="1">
      <alignment horizontal="center"/>
    </xf>
    <xf numFmtId="0" fontId="3" fillId="0" borderId="18" xfId="0" applyFont="1" applyBorder="1" applyAlignment="1" applyProtection="1">
      <alignment horizontal="center"/>
    </xf>
    <xf numFmtId="0" fontId="3" fillId="0" borderId="0" xfId="0" applyFont="1" applyBorder="1" applyAlignment="1" applyProtection="1">
      <alignment horizontal="center"/>
    </xf>
    <xf numFmtId="0" fontId="4" fillId="0" borderId="0" xfId="0" applyFont="1" applyBorder="1" applyAlignment="1" applyProtection="1"/>
    <xf numFmtId="0" fontId="3" fillId="0" borderId="3" xfId="0" applyFont="1" applyBorder="1" applyAlignment="1" applyProtection="1"/>
    <xf numFmtId="0" fontId="24" fillId="0" borderId="3" xfId="0" applyFont="1" applyBorder="1" applyAlignment="1" applyProtection="1">
      <alignment horizontal="right" vertical="center"/>
    </xf>
    <xf numFmtId="10" fontId="3" fillId="8" borderId="19" xfId="0" applyNumberFormat="1" applyFont="1" applyFill="1" applyBorder="1" applyAlignment="1" applyProtection="1">
      <alignment vertical="center" wrapText="1"/>
    </xf>
    <xf numFmtId="0" fontId="3" fillId="0" borderId="0" xfId="0" applyFont="1" applyBorder="1" applyAlignment="1" applyProtection="1"/>
    <xf numFmtId="10" fontId="3" fillId="8" borderId="0" xfId="0" applyNumberFormat="1" applyFont="1" applyFill="1" applyBorder="1" applyAlignment="1" applyProtection="1">
      <alignment horizontal="left" vertical="center" wrapText="1"/>
    </xf>
    <xf numFmtId="0" fontId="3" fillId="0" borderId="0" xfId="0" applyFont="1" applyBorder="1" applyAlignment="1" applyProtection="1">
      <alignment horizontal="center" wrapText="1"/>
    </xf>
    <xf numFmtId="0" fontId="3" fillId="0" borderId="19" xfId="0" applyFont="1" applyBorder="1" applyAlignment="1" applyProtection="1">
      <alignment wrapText="1"/>
    </xf>
    <xf numFmtId="0" fontId="4" fillId="0" borderId="3" xfId="0" applyFont="1" applyBorder="1" applyAlignment="1" applyProtection="1">
      <alignment horizontal="right" vertical="center"/>
    </xf>
    <xf numFmtId="10" fontId="3" fillId="0" borderId="0" xfId="0" applyNumberFormat="1" applyFont="1" applyBorder="1" applyAlignment="1" applyProtection="1">
      <alignment horizontal="left" vertical="center"/>
    </xf>
    <xf numFmtId="0" fontId="3" fillId="0" borderId="19" xfId="0" applyFont="1" applyBorder="1" applyAlignment="1" applyProtection="1"/>
    <xf numFmtId="0" fontId="1" fillId="0" borderId="36" xfId="0" applyFont="1" applyBorder="1" applyAlignment="1" applyProtection="1"/>
    <xf numFmtId="0" fontId="25" fillId="0" borderId="3" xfId="0" applyFont="1" applyBorder="1" applyAlignment="1" applyProtection="1"/>
    <xf numFmtId="0" fontId="26" fillId="0" borderId="0" xfId="0" applyFont="1" applyBorder="1" applyAlignment="1" applyProtection="1"/>
    <xf numFmtId="0" fontId="1" fillId="0" borderId="0" xfId="0" applyFont="1" applyBorder="1" applyAlignment="1" applyProtection="1">
      <alignment horizontal="center"/>
    </xf>
    <xf numFmtId="0" fontId="1" fillId="0" borderId="19" xfId="0" applyFont="1" applyBorder="1" applyAlignment="1" applyProtection="1"/>
    <xf numFmtId="0" fontId="25" fillId="0" borderId="0" xfId="0" applyFont="1" applyBorder="1" applyAlignment="1" applyProtection="1"/>
    <xf numFmtId="0" fontId="5" fillId="8" borderId="0" xfId="0" applyFont="1" applyFill="1" applyBorder="1" applyAlignment="1" applyProtection="1"/>
    <xf numFmtId="0" fontId="26" fillId="0" borderId="0" xfId="0" applyFont="1" applyBorder="1" applyAlignment="1" applyProtection="1">
      <alignment horizontal="center"/>
    </xf>
    <xf numFmtId="0" fontId="26" fillId="0" borderId="19" xfId="0" applyFont="1" applyBorder="1" applyAlignment="1" applyProtection="1"/>
    <xf numFmtId="0" fontId="5" fillId="0" borderId="19" xfId="0" applyFont="1" applyBorder="1" applyAlignment="1" applyProtection="1">
      <alignment horizontal="center"/>
    </xf>
    <xf numFmtId="0" fontId="26" fillId="0" borderId="19" xfId="0" applyFont="1" applyBorder="1" applyAlignment="1" applyProtection="1">
      <alignment horizontal="center"/>
    </xf>
    <xf numFmtId="0" fontId="5" fillId="0" borderId="3" xfId="0" applyFont="1" applyBorder="1" applyAlignment="1" applyProtection="1">
      <alignment wrapText="1"/>
    </xf>
    <xf numFmtId="0" fontId="5" fillId="0" borderId="3" xfId="0" applyFont="1" applyBorder="1" applyAlignment="1" applyProtection="1">
      <alignment horizontal="right" wrapText="1"/>
    </xf>
    <xf numFmtId="0" fontId="5" fillId="0" borderId="43" xfId="0" applyFont="1" applyBorder="1" applyAlignment="1" applyProtection="1">
      <alignment horizontal="left" vertical="top" wrapText="1"/>
    </xf>
    <xf numFmtId="2" fontId="5" fillId="8" borderId="44" xfId="0" applyNumberFormat="1" applyFont="1" applyFill="1" applyBorder="1" applyAlignment="1" applyProtection="1">
      <alignment horizontal="center" vertical="top" wrapText="1"/>
    </xf>
    <xf numFmtId="0" fontId="5" fillId="0" borderId="45" xfId="0" applyFont="1" applyBorder="1" applyAlignment="1" applyProtection="1">
      <alignment horizontal="center" vertical="top" wrapText="1"/>
    </xf>
    <xf numFmtId="0" fontId="5" fillId="0" borderId="0" xfId="0" applyFont="1" applyBorder="1" applyAlignment="1" applyProtection="1">
      <alignment wrapText="1"/>
    </xf>
    <xf numFmtId="0" fontId="5" fillId="0" borderId="3" xfId="0" applyFont="1" applyBorder="1" applyAlignment="1" applyProtection="1">
      <alignment horizontal="right"/>
    </xf>
    <xf numFmtId="0" fontId="21" fillId="0" borderId="46" xfId="0" applyFont="1" applyBorder="1" applyAlignment="1" applyProtection="1">
      <alignment horizontal="left" vertical="top" wrapText="1"/>
    </xf>
    <xf numFmtId="2" fontId="5" fillId="0" borderId="46" xfId="0" applyNumberFormat="1" applyFont="1" applyBorder="1" applyAlignment="1" applyProtection="1">
      <alignment horizontal="center" vertical="top" wrapText="1"/>
    </xf>
    <xf numFmtId="0" fontId="1" fillId="0" borderId="43" xfId="0" applyFont="1" applyBorder="1" applyAlignment="1" applyProtection="1">
      <alignment horizontal="left" wrapText="1"/>
    </xf>
    <xf numFmtId="2" fontId="1" fillId="0" borderId="44" xfId="0" applyNumberFormat="1" applyFont="1" applyBorder="1" applyAlignment="1" applyProtection="1">
      <alignment horizontal="center" wrapText="1"/>
    </xf>
    <xf numFmtId="0" fontId="1" fillId="0" borderId="45" xfId="0" applyFont="1" applyBorder="1" applyAlignment="1" applyProtection="1">
      <alignment horizontal="center" vertical="top" wrapText="1"/>
    </xf>
    <xf numFmtId="0" fontId="21" fillId="0" borderId="43" xfId="0" applyFont="1" applyBorder="1" applyAlignment="1" applyProtection="1">
      <alignment horizontal="left" vertical="top" wrapText="1"/>
    </xf>
    <xf numFmtId="2" fontId="5" fillId="0" borderId="44" xfId="0" applyNumberFormat="1" applyFont="1" applyBorder="1" applyAlignment="1" applyProtection="1">
      <alignment horizontal="center" vertical="top" wrapText="1"/>
    </xf>
    <xf numFmtId="2" fontId="5" fillId="0" borderId="45" xfId="0" applyNumberFormat="1" applyFont="1" applyBorder="1" applyAlignment="1" applyProtection="1">
      <alignment horizontal="center" vertical="top" wrapText="1"/>
    </xf>
    <xf numFmtId="180" fontId="10" fillId="0" borderId="42" xfId="0" applyNumberFormat="1" applyFont="1" applyBorder="1" applyAlignment="1" applyProtection="1">
      <alignment horizontal="center" vertical="center"/>
    </xf>
    <xf numFmtId="0" fontId="5" fillId="0" borderId="18" xfId="0" applyFont="1" applyBorder="1" applyAlignment="1" applyProtection="1"/>
    <xf numFmtId="0" fontId="5" fillId="0" borderId="0" xfId="0" applyFont="1" applyAlignment="1" applyProtection="1"/>
    <xf numFmtId="0" fontId="5" fillId="0" borderId="19" xfId="0" applyFont="1" applyBorder="1" applyAlignment="1" applyProtection="1"/>
    <xf numFmtId="0" fontId="22" fillId="0" borderId="19" xfId="0" applyFont="1" applyBorder="1" applyAlignment="1" applyProtection="1"/>
    <xf numFmtId="0" fontId="22" fillId="0" borderId="0" xfId="0" applyFont="1" applyAlignment="1" applyProtection="1"/>
    <xf numFmtId="0" fontId="4" fillId="0" borderId="19" xfId="0" applyFont="1" applyBorder="1" applyAlignment="1" applyProtection="1"/>
    <xf numFmtId="0" fontId="4" fillId="0" borderId="0" xfId="0" applyFont="1" applyAlignment="1" applyProtection="1"/>
    <xf numFmtId="0" fontId="3" fillId="0" borderId="0" xfId="0" applyFont="1" applyAlignment="1" applyProtection="1"/>
    <xf numFmtId="0" fontId="25" fillId="0" borderId="19" xfId="0" applyFont="1" applyBorder="1" applyAlignment="1" applyProtection="1"/>
    <xf numFmtId="0" fontId="25" fillId="0" borderId="0" xfId="0" applyFont="1" applyAlignment="1" applyProtection="1"/>
    <xf numFmtId="0" fontId="5" fillId="0" borderId="19" xfId="0" applyFont="1" applyBorder="1" applyAlignment="1" applyProtection="1">
      <alignment wrapText="1"/>
    </xf>
    <xf numFmtId="0" fontId="5" fillId="0" borderId="0" xfId="0" applyFont="1" applyAlignment="1" applyProtection="1">
      <alignment wrapText="1"/>
    </xf>
    <xf numFmtId="10" fontId="27" fillId="9" borderId="13" xfId="0" applyNumberFormat="1" applyFont="1" applyFill="1" applyBorder="1" applyAlignment="1" applyProtection="1">
      <alignment vertical="center" wrapText="1"/>
    </xf>
    <xf numFmtId="10" fontId="27" fillId="0" borderId="47" xfId="0" applyNumberFormat="1" applyFont="1" applyBorder="1" applyAlignment="1" applyProtection="1">
      <alignment vertical="center" wrapText="1"/>
    </xf>
    <xf numFmtId="10" fontId="27" fillId="0" borderId="48" xfId="0" applyNumberFormat="1" applyFont="1" applyBorder="1" applyAlignment="1" applyProtection="1">
      <alignment vertical="center" wrapText="1"/>
    </xf>
    <xf numFmtId="10" fontId="27" fillId="0" borderId="19" xfId="0" applyNumberFormat="1" applyFont="1" applyBorder="1" applyAlignment="1" applyProtection="1">
      <alignment vertical="center" wrapText="1"/>
    </xf>
    <xf numFmtId="186" fontId="28" fillId="0" borderId="0" xfId="0" applyNumberFormat="1" applyFont="1" applyBorder="1" applyAlignment="1" applyProtection="1">
      <alignment horizontal="center"/>
    </xf>
    <xf numFmtId="0" fontId="5" fillId="0" borderId="3" xfId="0" applyFont="1" applyBorder="1" applyAlignment="1" applyProtection="1">
      <alignment horizontal="left"/>
    </xf>
    <xf numFmtId="0" fontId="29" fillId="0" borderId="3" xfId="0" applyFont="1" applyBorder="1" applyAlignment="1" applyProtection="1">
      <alignment horizontal="left"/>
    </xf>
    <xf numFmtId="0" fontId="5" fillId="0" borderId="49" xfId="0" applyFont="1" applyBorder="1" applyAlignment="1" applyProtection="1"/>
    <xf numFmtId="0" fontId="5" fillId="0" borderId="41" xfId="0" applyFont="1" applyBorder="1" applyAlignment="1" applyProtection="1"/>
    <xf numFmtId="0" fontId="5" fillId="0" borderId="41" xfId="0" applyFont="1" applyBorder="1" applyAlignment="1" applyProtection="1">
      <alignment horizontal="center"/>
    </xf>
    <xf numFmtId="0" fontId="5" fillId="0" borderId="50" xfId="0" applyFont="1" applyBorder="1" applyAlignment="1" applyProtection="1"/>
    <xf numFmtId="0" fontId="5" fillId="0" borderId="0" xfId="0" applyFont="1" applyAlignment="1" applyProtection="1">
      <alignment horizontal="center"/>
    </xf>
    <xf numFmtId="0" fontId="7" fillId="0" borderId="0" xfId="0" applyFont="1" applyAlignment="1" applyProtection="1">
      <alignment horizontal="center" vertical="center"/>
    </xf>
    <xf numFmtId="180" fontId="8" fillId="4" borderId="0" xfId="0" applyNumberFormat="1" applyFont="1" applyFill="1" applyAlignment="1" applyProtection="1">
      <alignment horizontal="center" vertical="center"/>
    </xf>
    <xf numFmtId="180" fontId="8" fillId="0" borderId="0" xfId="0" applyNumberFormat="1" applyFont="1" applyAlignment="1" applyProtection="1">
      <alignment horizontal="center" vertical="center" wrapText="1"/>
    </xf>
    <xf numFmtId="180" fontId="8" fillId="0" borderId="16" xfId="0" applyNumberFormat="1" applyFont="1" applyBorder="1" applyAlignment="1" applyProtection="1">
      <alignment horizontal="left" vertical="center"/>
    </xf>
    <xf numFmtId="0" fontId="9" fillId="0" borderId="0" xfId="0" applyFont="1" applyAlignment="1" applyProtection="1">
      <alignment horizontal="center" vertical="center" wrapText="1"/>
    </xf>
    <xf numFmtId="0" fontId="8" fillId="4" borderId="0" xfId="0" applyFont="1" applyFill="1" applyAlignment="1" applyProtection="1">
      <alignment horizontal="center" vertical="center" wrapText="1"/>
    </xf>
    <xf numFmtId="0" fontId="8" fillId="4" borderId="51" xfId="0" applyFont="1" applyFill="1" applyBorder="1" applyAlignment="1" applyProtection="1">
      <alignment horizontal="left" vertical="center" wrapText="1"/>
    </xf>
    <xf numFmtId="0" fontId="8" fillId="4" borderId="8" xfId="0" applyFont="1" applyFill="1" applyBorder="1" applyAlignment="1" applyProtection="1">
      <alignment horizontal="center" vertical="center" wrapText="1"/>
    </xf>
    <xf numFmtId="182" fontId="8" fillId="10" borderId="0" xfId="0" applyNumberFormat="1" applyFont="1" applyFill="1" applyAlignment="1" applyProtection="1">
      <alignment horizontal="center" vertical="center" wrapText="1"/>
    </xf>
    <xf numFmtId="182" fontId="8" fillId="10" borderId="12" xfId="0" applyNumberFormat="1" applyFont="1" applyFill="1" applyBorder="1" applyAlignment="1" applyProtection="1">
      <alignment horizontal="left" vertical="center" wrapText="1"/>
    </xf>
    <xf numFmtId="187" fontId="18" fillId="10" borderId="13" xfId="0" applyNumberFormat="1" applyFont="1" applyFill="1" applyBorder="1" applyAlignment="1" applyProtection="1">
      <alignment horizontal="center" vertical="center" wrapText="1"/>
    </xf>
    <xf numFmtId="49" fontId="18" fillId="10" borderId="13" xfId="0" applyNumberFormat="1" applyFont="1" applyFill="1" applyBorder="1" applyAlignment="1" applyProtection="1">
      <alignment horizontal="left" vertical="center" wrapText="1"/>
    </xf>
    <xf numFmtId="180" fontId="18" fillId="10" borderId="13" xfId="0" applyNumberFormat="1" applyFont="1" applyFill="1" applyBorder="1" applyAlignment="1" applyProtection="1">
      <alignment horizontal="center" vertical="center" wrapText="1"/>
    </xf>
    <xf numFmtId="180" fontId="8" fillId="10" borderId="13" xfId="0" applyNumberFormat="1" applyFont="1" applyFill="1" applyBorder="1" applyAlignment="1" applyProtection="1">
      <alignment horizontal="center" vertical="center" wrapText="1"/>
    </xf>
    <xf numFmtId="49" fontId="18" fillId="0" borderId="31" xfId="0" applyNumberFormat="1" applyFont="1" applyBorder="1" applyAlignment="1" applyProtection="1">
      <alignment vertical="center" wrapText="1"/>
    </xf>
    <xf numFmtId="0" fontId="6" fillId="0" borderId="46" xfId="0" applyFont="1" applyBorder="1" applyAlignment="1" applyProtection="1">
      <alignment vertical="center"/>
    </xf>
    <xf numFmtId="49" fontId="2" fillId="0" borderId="52" xfId="0" applyNumberFormat="1" applyFont="1" applyBorder="1" applyAlignment="1" applyProtection="1">
      <alignment horizontal="right" vertical="center"/>
    </xf>
    <xf numFmtId="182" fontId="13" fillId="0" borderId="13" xfId="0" applyNumberFormat="1" applyFont="1" applyBorder="1" applyAlignment="1" applyProtection="1">
      <alignment horizontal="center" vertical="center" wrapText="1"/>
    </xf>
    <xf numFmtId="182" fontId="10" fillId="0" borderId="13" xfId="0" applyNumberFormat="1" applyFont="1" applyBorder="1" applyAlignment="1" applyProtection="1">
      <alignment horizontal="center" vertical="center" wrapText="1"/>
    </xf>
    <xf numFmtId="180" fontId="30" fillId="0" borderId="13" xfId="0" applyNumberFormat="1" applyFont="1" applyBorder="1" applyAlignment="1" applyProtection="1">
      <alignment horizontal="center" vertical="center" wrapText="1"/>
    </xf>
    <xf numFmtId="0" fontId="6" fillId="0" borderId="3" xfId="0" applyFont="1" applyBorder="1" applyAlignment="1" applyProtection="1">
      <alignment horizontal="left" vertical="center"/>
    </xf>
    <xf numFmtId="0" fontId="6" fillId="0" borderId="0" xfId="0" applyFont="1" applyBorder="1" applyAlignment="1" applyProtection="1">
      <alignment vertical="center"/>
    </xf>
    <xf numFmtId="0" fontId="0" fillId="0" borderId="0" xfId="0" applyFont="1" applyBorder="1" applyAlignment="1" applyProtection="1">
      <alignment vertical="center"/>
    </xf>
    <xf numFmtId="49" fontId="18" fillId="10" borderId="12" xfId="0" applyNumberFormat="1" applyFont="1" applyFill="1" applyBorder="1" applyAlignment="1" applyProtection="1">
      <alignment horizontal="left" vertical="center" wrapText="1"/>
    </xf>
    <xf numFmtId="180" fontId="31" fillId="0" borderId="13" xfId="0" applyNumberFormat="1" applyFont="1" applyBorder="1" applyAlignment="1" applyProtection="1">
      <alignment horizontal="center" vertical="center" wrapText="1"/>
    </xf>
    <xf numFmtId="180" fontId="8" fillId="0" borderId="13" xfId="0" applyNumberFormat="1" applyFont="1" applyBorder="1" applyAlignment="1" applyProtection="1">
      <alignment horizontal="center" vertical="center" wrapText="1"/>
    </xf>
    <xf numFmtId="182" fontId="8" fillId="11" borderId="0" xfId="0" applyNumberFormat="1" applyFont="1" applyFill="1" applyAlignment="1" applyProtection="1">
      <alignment horizontal="center" vertical="center" wrapText="1"/>
    </xf>
    <xf numFmtId="2" fontId="6" fillId="0" borderId="26" xfId="0" applyNumberFormat="1" applyFont="1" applyBorder="1" applyAlignment="1" applyProtection="1">
      <alignment horizontal="left" vertical="center" wrapText="1"/>
    </xf>
    <xf numFmtId="49" fontId="18" fillId="10" borderId="13" xfId="0" applyNumberFormat="1" applyFont="1" applyFill="1" applyBorder="1" applyAlignment="1" applyProtection="1">
      <alignment horizontal="center" vertical="center" wrapText="1"/>
    </xf>
    <xf numFmtId="180" fontId="32" fillId="0" borderId="13" xfId="0" applyNumberFormat="1" applyFont="1" applyBorder="1" applyAlignment="1" applyProtection="1">
      <alignment horizontal="center" vertical="center" wrapText="1"/>
    </xf>
    <xf numFmtId="49" fontId="13" fillId="0" borderId="3" xfId="0" applyNumberFormat="1" applyFont="1" applyBorder="1" applyAlignment="1" applyProtection="1">
      <alignment horizontal="left" vertical="center" wrapText="1"/>
    </xf>
    <xf numFmtId="49" fontId="13" fillId="0" borderId="0" xfId="0" applyNumberFormat="1" applyFont="1" applyBorder="1" applyAlignment="1" applyProtection="1">
      <alignment horizontal="center" vertical="center" wrapText="1"/>
    </xf>
    <xf numFmtId="49" fontId="13" fillId="0" borderId="0" xfId="0" applyNumberFormat="1" applyFont="1" applyBorder="1" applyAlignment="1" applyProtection="1">
      <alignment horizontal="left" vertical="center" wrapText="1"/>
    </xf>
    <xf numFmtId="182" fontId="13" fillId="0" borderId="0" xfId="0" applyNumberFormat="1" applyFont="1" applyBorder="1" applyAlignment="1" applyProtection="1">
      <alignment horizontal="center" vertical="center" wrapText="1"/>
    </xf>
    <xf numFmtId="182" fontId="10" fillId="0" borderId="0" xfId="0" applyNumberFormat="1" applyFont="1" applyBorder="1" applyAlignment="1" applyProtection="1">
      <alignment horizontal="center" vertical="center" wrapText="1"/>
    </xf>
    <xf numFmtId="10" fontId="10" fillId="12" borderId="0" xfId="0" applyNumberFormat="1" applyFont="1" applyFill="1" applyAlignment="1" applyProtection="1">
      <alignment vertical="center"/>
    </xf>
    <xf numFmtId="0" fontId="10" fillId="0" borderId="0" xfId="0" applyFont="1" applyAlignment="1" applyProtection="1">
      <alignment vertical="center" wrapText="1"/>
    </xf>
    <xf numFmtId="181" fontId="10" fillId="0" borderId="0" xfId="0" applyNumberFormat="1" applyFont="1" applyAlignment="1" applyProtection="1">
      <alignment horizontal="right" vertical="center"/>
    </xf>
    <xf numFmtId="10" fontId="10" fillId="0" borderId="53" xfId="0" applyNumberFormat="1" applyFont="1" applyBorder="1" applyAlignment="1" applyProtection="1">
      <alignment horizontal="center" vertical="center"/>
    </xf>
    <xf numFmtId="188" fontId="10" fillId="0" borderId="0" xfId="0" applyNumberFormat="1" applyFont="1" applyAlignment="1" applyProtection="1">
      <alignment horizontal="left" vertical="center" wrapText="1"/>
    </xf>
    <xf numFmtId="0" fontId="8" fillId="4" borderId="54" xfId="0" applyFont="1" applyFill="1" applyBorder="1" applyAlignment="1" applyProtection="1">
      <alignment horizontal="center" vertical="center" wrapText="1"/>
    </xf>
    <xf numFmtId="181" fontId="8" fillId="0" borderId="0" xfId="0" applyNumberFormat="1" applyFont="1" applyAlignment="1" applyProtection="1">
      <alignment horizontal="center" vertical="center" wrapText="1"/>
    </xf>
    <xf numFmtId="181" fontId="8" fillId="0" borderId="0" xfId="0" applyNumberFormat="1" applyFont="1" applyAlignment="1" applyProtection="1">
      <alignment horizontal="center" vertical="center"/>
    </xf>
    <xf numFmtId="0" fontId="10" fillId="0" borderId="0" xfId="0" applyFont="1" applyAlignment="1" applyProtection="1">
      <alignment horizontal="center" vertical="center" wrapText="1"/>
    </xf>
    <xf numFmtId="0" fontId="13" fillId="0" borderId="0" xfId="0" applyFont="1" applyAlignment="1" applyProtection="1">
      <alignment horizontal="center" vertical="center"/>
    </xf>
    <xf numFmtId="182" fontId="8" fillId="10" borderId="26" xfId="0" applyNumberFormat="1" applyFont="1" applyFill="1" applyBorder="1" applyAlignment="1" applyProtection="1">
      <alignment horizontal="center" vertical="center" wrapText="1"/>
    </xf>
    <xf numFmtId="3" fontId="8" fillId="13" borderId="0" xfId="0" applyNumberFormat="1" applyFont="1" applyFill="1" applyAlignment="1" applyProtection="1">
      <alignment horizontal="center" vertical="center" wrapText="1"/>
    </xf>
    <xf numFmtId="180" fontId="8" fillId="0" borderId="0" xfId="0" applyNumberFormat="1" applyFont="1" applyAlignment="1" applyProtection="1">
      <alignment vertical="center" wrapText="1"/>
    </xf>
    <xf numFmtId="182" fontId="8" fillId="0" borderId="26" xfId="0" applyNumberFormat="1" applyFont="1" applyBorder="1" applyAlignment="1" applyProtection="1">
      <alignment horizontal="center" vertical="center" wrapText="1"/>
    </xf>
    <xf numFmtId="3" fontId="8" fillId="0" borderId="0" xfId="0" applyNumberFormat="1" applyFont="1" applyAlignment="1" applyProtection="1">
      <alignment horizontal="center" vertical="center" wrapText="1"/>
    </xf>
    <xf numFmtId="0" fontId="0" fillId="0" borderId="19" xfId="0" applyFont="1" applyBorder="1" applyAlignment="1" applyProtection="1">
      <alignment vertical="center"/>
    </xf>
    <xf numFmtId="0" fontId="0" fillId="0" borderId="0" xfId="0" applyFont="1" applyAlignment="1" applyProtection="1">
      <alignment vertical="center"/>
    </xf>
    <xf numFmtId="0" fontId="0" fillId="0" borderId="0" xfId="0" applyFont="1" applyAlignment="1" applyProtection="1">
      <alignment horizontal="center" vertical="center"/>
    </xf>
    <xf numFmtId="181" fontId="10" fillId="2" borderId="0" xfId="0" applyNumberFormat="1" applyFont="1" applyFill="1" applyAlignment="1" applyProtection="1">
      <alignment vertical="center"/>
    </xf>
    <xf numFmtId="182" fontId="8" fillId="0" borderId="19" xfId="0" applyNumberFormat="1" applyFont="1" applyBorder="1" applyAlignment="1" applyProtection="1">
      <alignment horizontal="center" vertical="center" wrapText="1"/>
    </xf>
    <xf numFmtId="187" fontId="16" fillId="10" borderId="13" xfId="0" applyNumberFormat="1" applyFont="1" applyFill="1" applyBorder="1" applyAlignment="1" applyProtection="1">
      <alignment horizontal="center" vertical="center" wrapText="1"/>
    </xf>
    <xf numFmtId="49" fontId="16" fillId="10" borderId="13" xfId="0" applyNumberFormat="1" applyFont="1" applyFill="1" applyBorder="1" applyAlignment="1" applyProtection="1">
      <alignment horizontal="center" vertical="center" wrapText="1"/>
    </xf>
    <xf numFmtId="49" fontId="8" fillId="10" borderId="13" xfId="0" applyNumberFormat="1" applyFont="1" applyFill="1" applyBorder="1" applyAlignment="1" applyProtection="1">
      <alignment horizontal="center" vertical="center" wrapText="1"/>
    </xf>
    <xf numFmtId="0" fontId="18" fillId="10" borderId="13" xfId="0" applyFont="1" applyFill="1" applyBorder="1" applyAlignment="1" applyProtection="1">
      <alignment horizontal="left" vertical="center" wrapText="1"/>
    </xf>
    <xf numFmtId="0" fontId="0" fillId="0" borderId="3" xfId="0" applyFont="1" applyBorder="1" applyAlignment="1" applyProtection="1">
      <alignment horizontal="left" vertical="center"/>
    </xf>
    <xf numFmtId="2" fontId="18" fillId="10" borderId="13" xfId="0" applyNumberFormat="1" applyFont="1" applyFill="1" applyBorder="1" applyAlignment="1" applyProtection="1">
      <alignment horizontal="left" vertical="center" wrapText="1"/>
    </xf>
    <xf numFmtId="181" fontId="0" fillId="0" borderId="0" xfId="0" applyNumberFormat="1" applyFont="1" applyAlignment="1" applyProtection="1">
      <alignment vertical="center"/>
    </xf>
    <xf numFmtId="180" fontId="33" fillId="0" borderId="13" xfId="0" applyNumberFormat="1" applyFont="1" applyBorder="1" applyAlignment="1" applyProtection="1">
      <alignment horizontal="center" vertical="center" wrapText="1"/>
    </xf>
    <xf numFmtId="182" fontId="8" fillId="2" borderId="0" xfId="0" applyNumberFormat="1" applyFont="1" applyFill="1" applyAlignment="1" applyProtection="1">
      <alignment horizontal="center" vertical="center" wrapText="1"/>
    </xf>
    <xf numFmtId="182" fontId="8" fillId="14" borderId="0" xfId="0" applyNumberFormat="1" applyFont="1" applyFill="1" applyAlignment="1" applyProtection="1">
      <alignment horizontal="center" vertical="center" wrapText="1"/>
    </xf>
    <xf numFmtId="49" fontId="18" fillId="13" borderId="13" xfId="0" applyNumberFormat="1" applyFont="1" applyFill="1" applyBorder="1" applyAlignment="1" applyProtection="1">
      <alignment horizontal="center" vertical="center" wrapText="1"/>
    </xf>
    <xf numFmtId="3" fontId="8" fillId="15" borderId="0" xfId="0" applyNumberFormat="1" applyFont="1" applyFill="1" applyAlignment="1" applyProtection="1">
      <alignment horizontal="center" vertical="center" wrapText="1"/>
    </xf>
    <xf numFmtId="180" fontId="34" fillId="0" borderId="13" xfId="0" applyNumberFormat="1" applyFont="1" applyBorder="1" applyAlignment="1" applyProtection="1">
      <alignment horizontal="center" vertical="center" wrapText="1"/>
    </xf>
    <xf numFmtId="182" fontId="8" fillId="13" borderId="0" xfId="0" applyNumberFormat="1" applyFont="1" applyFill="1" applyAlignment="1" applyProtection="1">
      <alignment horizontal="center" vertical="center" wrapText="1"/>
    </xf>
    <xf numFmtId="0" fontId="18" fillId="10" borderId="13" xfId="0" applyFont="1" applyFill="1" applyBorder="1" applyAlignment="1" applyProtection="1">
      <alignment horizontal="center" vertical="center" wrapText="1"/>
    </xf>
    <xf numFmtId="49" fontId="18" fillId="0" borderId="3" xfId="0" applyNumberFormat="1" applyFont="1" applyBorder="1" applyAlignment="1" applyProtection="1">
      <alignment vertical="center" wrapText="1"/>
    </xf>
    <xf numFmtId="49" fontId="2" fillId="0" borderId="0" xfId="0" applyNumberFormat="1" applyFont="1" applyBorder="1" applyAlignment="1" applyProtection="1">
      <alignment horizontal="right" vertical="center"/>
    </xf>
    <xf numFmtId="180" fontId="30" fillId="0" borderId="0" xfId="0" applyNumberFormat="1" applyFont="1" applyBorder="1" applyAlignment="1" applyProtection="1">
      <alignment horizontal="center" vertical="center" wrapText="1"/>
    </xf>
    <xf numFmtId="180" fontId="8" fillId="0" borderId="0" xfId="0" applyNumberFormat="1" applyFont="1" applyBorder="1" applyAlignment="1" applyProtection="1">
      <alignment horizontal="center" vertical="center" wrapText="1"/>
    </xf>
    <xf numFmtId="49" fontId="18" fillId="13" borderId="12" xfId="0" applyNumberFormat="1" applyFont="1" applyFill="1" applyBorder="1" applyAlignment="1" applyProtection="1">
      <alignment horizontal="left" vertical="center" wrapText="1"/>
    </xf>
    <xf numFmtId="49" fontId="8" fillId="13" borderId="13" xfId="0" applyNumberFormat="1" applyFont="1" applyFill="1" applyBorder="1" applyAlignment="1" applyProtection="1">
      <alignment horizontal="center" vertical="center" wrapText="1"/>
    </xf>
    <xf numFmtId="49" fontId="18" fillId="13" borderId="13" xfId="0" applyNumberFormat="1" applyFont="1" applyFill="1" applyBorder="1" applyAlignment="1" applyProtection="1">
      <alignment horizontal="left" vertical="center" wrapText="1"/>
    </xf>
    <xf numFmtId="180" fontId="18" fillId="13" borderId="26" xfId="0" applyNumberFormat="1" applyFont="1" applyFill="1" applyBorder="1" applyAlignment="1" applyProtection="1">
      <alignment horizontal="center" vertical="center" wrapText="1"/>
    </xf>
    <xf numFmtId="49" fontId="18" fillId="2" borderId="31" xfId="0" applyNumberFormat="1" applyFont="1" applyFill="1" applyBorder="1" applyAlignment="1" applyProtection="1">
      <alignment vertical="center" wrapText="1"/>
    </xf>
    <xf numFmtId="0" fontId="6" fillId="2" borderId="46" xfId="0" applyFont="1" applyFill="1" applyBorder="1" applyAlignment="1" applyProtection="1">
      <alignment vertical="center"/>
    </xf>
    <xf numFmtId="49" fontId="2" fillId="2" borderId="52" xfId="0" applyNumberFormat="1" applyFont="1" applyFill="1" applyBorder="1" applyAlignment="1" applyProtection="1">
      <alignment horizontal="right" vertical="center"/>
    </xf>
    <xf numFmtId="182" fontId="13" fillId="2" borderId="13" xfId="0" applyNumberFormat="1" applyFont="1" applyFill="1" applyBorder="1" applyAlignment="1" applyProtection="1">
      <alignment horizontal="center" vertical="center" wrapText="1"/>
    </xf>
    <xf numFmtId="182" fontId="10" fillId="2" borderId="13" xfId="0" applyNumberFormat="1" applyFont="1" applyFill="1" applyBorder="1" applyAlignment="1" applyProtection="1">
      <alignment horizontal="center" vertical="center" wrapText="1"/>
    </xf>
    <xf numFmtId="180" fontId="35" fillId="2" borderId="13" xfId="0" applyNumberFormat="1" applyFont="1" applyFill="1" applyBorder="1" applyAlignment="1" applyProtection="1">
      <alignment horizontal="center" vertical="center" wrapText="1"/>
    </xf>
    <xf numFmtId="180" fontId="30" fillId="2" borderId="13" xfId="0" applyNumberFormat="1" applyFont="1" applyFill="1" applyBorder="1" applyAlignment="1" applyProtection="1">
      <alignment horizontal="center" vertical="center" wrapText="1"/>
    </xf>
    <xf numFmtId="180" fontId="8" fillId="2" borderId="13" xfId="0" applyNumberFormat="1" applyFont="1" applyFill="1" applyBorder="1" applyAlignment="1" applyProtection="1">
      <alignment horizontal="center" vertical="center" wrapText="1"/>
    </xf>
    <xf numFmtId="182" fontId="8" fillId="2" borderId="26" xfId="0" applyNumberFormat="1" applyFont="1" applyFill="1" applyBorder="1" applyAlignment="1" applyProtection="1">
      <alignment horizontal="center" vertical="center" wrapText="1"/>
    </xf>
    <xf numFmtId="180" fontId="36" fillId="0" borderId="13" xfId="0" applyNumberFormat="1" applyFont="1" applyBorder="1" applyAlignment="1" applyProtection="1">
      <alignment horizontal="center" vertical="center" wrapText="1"/>
    </xf>
    <xf numFmtId="180" fontId="37" fillId="0" borderId="13" xfId="0" applyNumberFormat="1" applyFont="1" applyBorder="1" applyAlignment="1" applyProtection="1">
      <alignment horizontal="center" vertical="center" wrapText="1"/>
    </xf>
    <xf numFmtId="180" fontId="38" fillId="0" borderId="13" xfId="0" applyNumberFormat="1" applyFont="1" applyBorder="1" applyAlignment="1" applyProtection="1">
      <alignment horizontal="center" vertical="center" wrapText="1"/>
    </xf>
    <xf numFmtId="0" fontId="6" fillId="10" borderId="0" xfId="0" applyFont="1" applyFill="1" applyAlignment="1" applyProtection="1"/>
    <xf numFmtId="180" fontId="38" fillId="2" borderId="13" xfId="0" applyNumberFormat="1" applyFont="1" applyFill="1" applyBorder="1" applyAlignment="1" applyProtection="1">
      <alignment horizontal="center" vertical="center" wrapText="1"/>
    </xf>
    <xf numFmtId="49" fontId="18" fillId="11" borderId="12" xfId="0" applyNumberFormat="1" applyFont="1" applyFill="1" applyBorder="1" applyAlignment="1" applyProtection="1">
      <alignment horizontal="left" vertical="center" wrapText="1"/>
    </xf>
    <xf numFmtId="49" fontId="8" fillId="11" borderId="13" xfId="0" applyNumberFormat="1" applyFont="1" applyFill="1" applyBorder="1" applyAlignment="1" applyProtection="1">
      <alignment horizontal="center" vertical="center" wrapText="1"/>
    </xf>
    <xf numFmtId="49" fontId="18" fillId="11" borderId="13" xfId="0" applyNumberFormat="1" applyFont="1" applyFill="1" applyBorder="1" applyAlignment="1" applyProtection="1">
      <alignment horizontal="left" vertical="center" wrapText="1"/>
    </xf>
    <xf numFmtId="180" fontId="18" fillId="11" borderId="26" xfId="0" applyNumberFormat="1" applyFont="1" applyFill="1" applyBorder="1" applyAlignment="1" applyProtection="1">
      <alignment horizontal="center" vertical="center" wrapText="1"/>
    </xf>
    <xf numFmtId="180" fontId="39" fillId="2" borderId="13" xfId="0" applyNumberFormat="1" applyFont="1" applyFill="1" applyBorder="1" applyAlignment="1" applyProtection="1">
      <alignment horizontal="center" vertical="center" wrapText="1"/>
    </xf>
    <xf numFmtId="182" fontId="8" fillId="4" borderId="0" xfId="0" applyNumberFormat="1" applyFont="1" applyFill="1" applyAlignment="1" applyProtection="1">
      <alignment horizontal="center" vertical="center" wrapText="1"/>
    </xf>
    <xf numFmtId="180" fontId="10" fillId="0" borderId="13" xfId="0" applyNumberFormat="1" applyFont="1" applyBorder="1" applyAlignment="1" applyProtection="1">
      <alignment horizontal="center" vertical="center" wrapText="1"/>
    </xf>
    <xf numFmtId="180" fontId="10" fillId="2" borderId="13" xfId="0" applyNumberFormat="1" applyFont="1" applyFill="1" applyBorder="1" applyAlignment="1" applyProtection="1">
      <alignment horizontal="center" vertical="center" wrapText="1"/>
    </xf>
    <xf numFmtId="3" fontId="8" fillId="10" borderId="0" xfId="0" applyNumberFormat="1" applyFont="1" applyFill="1" applyAlignment="1" applyProtection="1">
      <alignment horizontal="center" vertical="center" wrapText="1"/>
    </xf>
    <xf numFmtId="3" fontId="8" fillId="2" borderId="0" xfId="0" applyNumberFormat="1" applyFont="1" applyFill="1" applyAlignment="1" applyProtection="1">
      <alignment horizontal="center" vertical="center" wrapText="1"/>
    </xf>
    <xf numFmtId="181" fontId="10" fillId="0" borderId="0" xfId="0" applyNumberFormat="1" applyFont="1" applyAlignment="1" applyProtection="1">
      <alignment vertical="center" wrapText="1"/>
    </xf>
    <xf numFmtId="180" fontId="2" fillId="2" borderId="13" xfId="0" applyNumberFormat="1" applyFont="1" applyFill="1" applyBorder="1" applyAlignment="1" applyProtection="1">
      <alignment horizontal="center" vertical="center" wrapText="1"/>
    </xf>
    <xf numFmtId="188" fontId="13" fillId="2" borderId="13" xfId="0" applyNumberFormat="1" applyFont="1" applyFill="1" applyBorder="1" applyAlignment="1" applyProtection="1">
      <alignment horizontal="center" vertical="center" wrapText="1"/>
    </xf>
    <xf numFmtId="180" fontId="40" fillId="0" borderId="13" xfId="0" applyNumberFormat="1" applyFont="1" applyBorder="1" applyAlignment="1" applyProtection="1">
      <alignment horizontal="center" vertical="center" wrapText="1"/>
    </xf>
    <xf numFmtId="180" fontId="33" fillId="2" borderId="13" xfId="0" applyNumberFormat="1" applyFont="1" applyFill="1" applyBorder="1" applyAlignment="1" applyProtection="1">
      <alignment horizontal="center" vertical="center" wrapText="1"/>
    </xf>
    <xf numFmtId="180" fontId="3" fillId="10" borderId="13" xfId="0" applyNumberFormat="1" applyFont="1" applyFill="1" applyBorder="1" applyAlignment="1" applyProtection="1">
      <alignment horizontal="center" vertical="center" wrapText="1"/>
    </xf>
    <xf numFmtId="180" fontId="1" fillId="10" borderId="13" xfId="0" applyNumberFormat="1" applyFont="1" applyFill="1" applyBorder="1" applyAlignment="1" applyProtection="1">
      <alignment horizontal="center" vertical="center" wrapText="1"/>
    </xf>
    <xf numFmtId="181" fontId="10" fillId="0" borderId="0" xfId="0" applyNumberFormat="1" applyFont="1" applyAlignment="1" applyProtection="1">
      <alignment horizontal="left" vertical="center"/>
    </xf>
    <xf numFmtId="189" fontId="8" fillId="0" borderId="0" xfId="0" applyNumberFormat="1" applyFont="1" applyAlignment="1" applyProtection="1">
      <alignment horizontal="center" vertical="center" wrapText="1"/>
    </xf>
    <xf numFmtId="49" fontId="18" fillId="10" borderId="0" xfId="0" applyNumberFormat="1" applyFont="1" applyFill="1" applyAlignment="1" applyProtection="1">
      <alignment horizontal="center" vertical="center" wrapText="1"/>
    </xf>
    <xf numFmtId="49" fontId="18" fillId="0" borderId="55" xfId="0" applyNumberFormat="1" applyFont="1" applyBorder="1" applyAlignment="1" applyProtection="1">
      <alignment vertical="center" wrapText="1"/>
    </xf>
    <xf numFmtId="0" fontId="6" fillId="0" borderId="48" xfId="0" applyFont="1" applyBorder="1" applyAlignment="1" applyProtection="1">
      <alignment vertical="center"/>
    </xf>
    <xf numFmtId="49" fontId="18" fillId="14" borderId="12" xfId="0" applyNumberFormat="1" applyFont="1" applyFill="1" applyBorder="1" applyAlignment="1" applyProtection="1">
      <alignment horizontal="left" vertical="center" wrapText="1"/>
    </xf>
    <xf numFmtId="49" fontId="18" fillId="0" borderId="39" xfId="0" applyNumberFormat="1" applyFont="1" applyBorder="1" applyAlignment="1" applyProtection="1">
      <alignment vertical="center" wrapText="1"/>
    </xf>
    <xf numFmtId="0" fontId="6" fillId="0" borderId="56" xfId="0" applyFont="1" applyBorder="1" applyAlignment="1" applyProtection="1">
      <alignment vertical="center"/>
    </xf>
    <xf numFmtId="182" fontId="8" fillId="16" borderId="0" xfId="0" applyNumberFormat="1" applyFont="1" applyFill="1" applyAlignment="1" applyProtection="1">
      <alignment horizontal="center" vertical="center" wrapText="1"/>
    </xf>
    <xf numFmtId="49" fontId="18" fillId="16" borderId="12" xfId="0" applyNumberFormat="1" applyFont="1" applyFill="1" applyBorder="1" applyAlignment="1" applyProtection="1">
      <alignment horizontal="left" vertical="center" wrapText="1"/>
    </xf>
    <xf numFmtId="49" fontId="18" fillId="11" borderId="13" xfId="0" applyNumberFormat="1" applyFont="1" applyFill="1" applyBorder="1" applyAlignment="1" applyProtection="1">
      <alignment horizontal="center" vertical="center" wrapText="1"/>
    </xf>
    <xf numFmtId="180" fontId="18" fillId="11" borderId="13" xfId="0" applyNumberFormat="1" applyFont="1" applyFill="1" applyBorder="1" applyAlignment="1" applyProtection="1">
      <alignment horizontal="center" vertical="center" wrapText="1"/>
    </xf>
    <xf numFmtId="180" fontId="8" fillId="11" borderId="13" xfId="0" applyNumberFormat="1" applyFont="1" applyFill="1" applyBorder="1" applyAlignment="1" applyProtection="1">
      <alignment horizontal="center" vertical="center" wrapText="1"/>
    </xf>
    <xf numFmtId="49" fontId="18" fillId="2" borderId="0" xfId="0" applyNumberFormat="1" applyFont="1" applyFill="1" applyAlignment="1" applyProtection="1">
      <alignment horizontal="center" vertical="center" wrapText="1"/>
    </xf>
    <xf numFmtId="0" fontId="18" fillId="0" borderId="0" xfId="0" applyFont="1" applyAlignment="1" applyProtection="1">
      <alignment horizontal="center" vertical="center"/>
    </xf>
    <xf numFmtId="0" fontId="18" fillId="0" borderId="57" xfId="0" applyFont="1" applyBorder="1" applyAlignment="1" applyProtection="1">
      <alignment horizontal="left" vertical="center"/>
    </xf>
    <xf numFmtId="0" fontId="18" fillId="0" borderId="58" xfId="0" applyFont="1" applyBorder="1" applyAlignment="1" applyProtection="1">
      <alignment horizontal="left" vertical="center" wrapText="1"/>
    </xf>
    <xf numFmtId="0" fontId="18" fillId="0" borderId="0" xfId="0" applyFont="1" applyAlignment="1" applyProtection="1">
      <alignment horizontal="center" vertical="center" wrapText="1"/>
    </xf>
    <xf numFmtId="0" fontId="18" fillId="0" borderId="34" xfId="0" applyFont="1" applyBorder="1" applyAlignment="1" applyProtection="1">
      <alignment horizontal="left" vertical="center" wrapText="1"/>
    </xf>
    <xf numFmtId="0" fontId="13" fillId="0" borderId="36" xfId="0" applyFont="1" applyBorder="1" applyAlignment="1" applyProtection="1">
      <alignment horizontal="left" vertical="center"/>
    </xf>
    <xf numFmtId="49" fontId="10" fillId="0" borderId="0" xfId="0" applyNumberFormat="1" applyFont="1" applyAlignment="1" applyProtection="1">
      <alignment horizontal="center" vertical="center" wrapText="1"/>
    </xf>
    <xf numFmtId="49" fontId="10" fillId="0" borderId="3" xfId="0" applyNumberFormat="1" applyFont="1" applyBorder="1" applyAlignment="1" applyProtection="1">
      <alignment horizontal="left" vertical="center" wrapText="1"/>
    </xf>
    <xf numFmtId="49" fontId="10" fillId="0" borderId="0" xfId="0" applyNumberFormat="1" applyFont="1" applyBorder="1" applyAlignment="1" applyProtection="1">
      <alignment vertical="center" wrapText="1"/>
    </xf>
    <xf numFmtId="49" fontId="10" fillId="0" borderId="49" xfId="0" applyNumberFormat="1" applyFont="1" applyBorder="1" applyAlignment="1" applyProtection="1">
      <alignment horizontal="left" vertical="center" wrapText="1"/>
    </xf>
    <xf numFmtId="49" fontId="10" fillId="0" borderId="41" xfId="0" applyNumberFormat="1" applyFont="1" applyBorder="1" applyAlignment="1" applyProtection="1">
      <alignment vertical="center" wrapText="1"/>
    </xf>
    <xf numFmtId="182" fontId="10" fillId="0" borderId="41" xfId="0" applyNumberFormat="1" applyFont="1" applyBorder="1" applyAlignment="1" applyProtection="1">
      <alignment horizontal="center" vertical="center" wrapText="1"/>
    </xf>
    <xf numFmtId="49" fontId="10" fillId="0" borderId="0" xfId="0" applyNumberFormat="1" applyFont="1" applyAlignment="1" applyProtection="1">
      <alignment horizontal="left" vertical="center" wrapText="1"/>
    </xf>
    <xf numFmtId="49" fontId="10" fillId="0" borderId="0" xfId="0" applyNumberFormat="1" applyFont="1" applyAlignment="1" applyProtection="1">
      <alignment vertical="center" wrapText="1"/>
    </xf>
    <xf numFmtId="182" fontId="10" fillId="0" borderId="0" xfId="0" applyNumberFormat="1" applyFont="1" applyAlignment="1" applyProtection="1">
      <alignment horizontal="center" vertical="center" wrapText="1"/>
    </xf>
    <xf numFmtId="3" fontId="8" fillId="0" borderId="0" xfId="0" applyNumberFormat="1" applyFont="1" applyAlignment="1" applyProtection="1">
      <alignment horizontal="left" vertical="center" wrapText="1"/>
    </xf>
    <xf numFmtId="180" fontId="8" fillId="0" borderId="0" xfId="0" applyNumberFormat="1" applyFont="1" applyAlignment="1" applyProtection="1">
      <alignment horizontal="left" vertical="center" wrapText="1"/>
    </xf>
    <xf numFmtId="182" fontId="8" fillId="11" borderId="26" xfId="0" applyNumberFormat="1" applyFont="1" applyFill="1" applyBorder="1" applyAlignment="1" applyProtection="1">
      <alignment horizontal="center" vertical="center" wrapText="1"/>
    </xf>
    <xf numFmtId="182" fontId="10" fillId="0" borderId="19" xfId="0" applyNumberFormat="1" applyFont="1" applyBorder="1" applyAlignment="1" applyProtection="1">
      <alignment horizontal="center" vertical="center" wrapText="1"/>
    </xf>
    <xf numFmtId="182" fontId="10" fillId="0" borderId="50" xfId="0" applyNumberFormat="1" applyFont="1" applyBorder="1" applyAlignment="1" applyProtection="1">
      <alignment horizontal="center" vertical="center" wrapText="1"/>
    </xf>
    <xf numFmtId="0" fontId="10" fillId="0" borderId="0" xfId="0" applyFont="1" applyAlignment="1" applyProtection="1">
      <alignment horizontal="left" vertical="center"/>
    </xf>
    <xf numFmtId="0" fontId="0" fillId="0" borderId="0" xfId="0" applyFont="1" applyAlignment="1" applyProtection="1">
      <alignment horizontal="left" vertical="center"/>
    </xf>
    <xf numFmtId="0" fontId="5" fillId="0" borderId="0" xfId="0" applyFont="1" applyAlignment="1" applyProtection="1">
      <alignment vertical="center"/>
    </xf>
    <xf numFmtId="0" fontId="5" fillId="0" borderId="0" xfId="0" applyFont="1" applyAlignment="1" applyProtection="1">
      <alignment horizontal="right" vertical="center"/>
    </xf>
    <xf numFmtId="0" fontId="1" fillId="2" borderId="0" xfId="0" applyFont="1" applyFill="1" applyBorder="1" applyAlignment="1" applyProtection="1">
      <alignment horizontal="center" vertical="center" wrapText="1"/>
    </xf>
    <xf numFmtId="180" fontId="3" fillId="4" borderId="28" xfId="0" applyNumberFormat="1" applyFont="1" applyFill="1" applyBorder="1" applyAlignment="1" applyProtection="1">
      <alignment horizontal="center" vertical="center"/>
    </xf>
    <xf numFmtId="180" fontId="3" fillId="0" borderId="57" xfId="0" applyNumberFormat="1" applyFont="1" applyBorder="1" applyAlignment="1" applyProtection="1">
      <alignment horizontal="left" vertical="center"/>
    </xf>
    <xf numFmtId="180" fontId="3" fillId="0" borderId="6" xfId="0" applyNumberFormat="1" applyFont="1" applyBorder="1" applyAlignment="1" applyProtection="1">
      <alignment horizontal="left" vertical="center"/>
    </xf>
    <xf numFmtId="180" fontId="3" fillId="0" borderId="58" xfId="0" applyNumberFormat="1" applyFont="1" applyBorder="1" applyAlignment="1" applyProtection="1">
      <alignment horizontal="left" vertical="center"/>
    </xf>
    <xf numFmtId="180" fontId="3" fillId="0" borderId="16" xfId="0" applyNumberFormat="1" applyFont="1" applyBorder="1" applyAlignment="1" applyProtection="1">
      <alignment horizontal="left" vertical="center"/>
    </xf>
    <xf numFmtId="180" fontId="3" fillId="4" borderId="59" xfId="0" applyNumberFormat="1" applyFont="1" applyFill="1" applyBorder="1" applyAlignment="1" applyProtection="1">
      <alignment horizontal="center" vertical="center"/>
    </xf>
    <xf numFmtId="180" fontId="3" fillId="4" borderId="60" xfId="0" applyNumberFormat="1" applyFont="1" applyFill="1" applyBorder="1" applyAlignment="1" applyProtection="1">
      <alignment horizontal="center" vertical="center"/>
    </xf>
    <xf numFmtId="0" fontId="3" fillId="0" borderId="34" xfId="0" applyFont="1" applyBorder="1" applyAlignment="1" applyProtection="1">
      <alignment horizontal="left" vertical="top" wrapText="1"/>
    </xf>
    <xf numFmtId="10" fontId="1" fillId="0" borderId="40" xfId="0" applyNumberFormat="1" applyFont="1" applyBorder="1" applyAlignment="1" applyProtection="1">
      <alignment horizontal="center" vertical="center" wrapText="1"/>
    </xf>
    <xf numFmtId="10" fontId="1" fillId="2" borderId="35" xfId="0" applyNumberFormat="1" applyFont="1" applyFill="1" applyBorder="1" applyAlignment="1" applyProtection="1">
      <alignment horizontal="center" vertical="center" wrapText="1"/>
    </xf>
    <xf numFmtId="49" fontId="3" fillId="4" borderId="59" xfId="0" applyNumberFormat="1" applyFont="1" applyFill="1" applyBorder="1" applyAlignment="1" applyProtection="1">
      <alignment horizontal="center" vertical="center"/>
    </xf>
    <xf numFmtId="0" fontId="3" fillId="4" borderId="60" xfId="0" applyFont="1" applyFill="1" applyBorder="1" applyAlignment="1" applyProtection="1">
      <alignment horizontal="center" vertical="center"/>
    </xf>
    <xf numFmtId="180" fontId="3" fillId="4" borderId="60" xfId="0" applyNumberFormat="1" applyFont="1" applyFill="1" applyBorder="1" applyAlignment="1" applyProtection="1">
      <alignment horizontal="center" vertical="center" wrapText="1"/>
    </xf>
    <xf numFmtId="0" fontId="3" fillId="17" borderId="37" xfId="0" applyFont="1" applyFill="1" applyBorder="1" applyAlignment="1" applyProtection="1">
      <alignment horizontal="left" vertical="center" wrapText="1"/>
    </xf>
    <xf numFmtId="0" fontId="3" fillId="17" borderId="37" xfId="0" applyFont="1" applyFill="1" applyBorder="1" applyAlignment="1" applyProtection="1">
      <alignment horizontal="center" vertical="center" wrapText="1"/>
    </xf>
    <xf numFmtId="181" fontId="3" fillId="17" borderId="37" xfId="0" applyNumberFormat="1" applyFont="1" applyFill="1" applyBorder="1" applyAlignment="1" applyProtection="1">
      <alignment horizontal="right" vertical="center" wrapText="1"/>
    </xf>
    <xf numFmtId="0" fontId="4" fillId="18" borderId="37" xfId="0" applyFont="1" applyFill="1" applyBorder="1" applyAlignment="1" applyProtection="1">
      <alignment horizontal="left" vertical="center" wrapText="1"/>
    </xf>
    <xf numFmtId="0" fontId="4" fillId="18" borderId="37" xfId="0" applyFont="1" applyFill="1" applyBorder="1" applyAlignment="1" applyProtection="1">
      <alignment horizontal="center" vertical="center" wrapText="1"/>
    </xf>
    <xf numFmtId="181" fontId="4" fillId="18" borderId="37" xfId="0" applyNumberFormat="1" applyFont="1" applyFill="1" applyBorder="1" applyAlignment="1" applyProtection="1">
      <alignment horizontal="right" vertical="center" wrapText="1"/>
    </xf>
    <xf numFmtId="0" fontId="3" fillId="19" borderId="37" xfId="0" applyFont="1" applyFill="1" applyBorder="1" applyAlignment="1" applyProtection="1">
      <alignment horizontal="left" vertical="center" wrapText="1"/>
    </xf>
    <xf numFmtId="0" fontId="3" fillId="19" borderId="37" xfId="0" applyFont="1" applyFill="1" applyBorder="1" applyAlignment="1" applyProtection="1">
      <alignment horizontal="center" vertical="center" wrapText="1"/>
    </xf>
    <xf numFmtId="0" fontId="3" fillId="19" borderId="37" xfId="0" applyFont="1" applyFill="1" applyBorder="1" applyAlignment="1" applyProtection="1">
      <alignment horizontal="right" vertical="center" wrapText="1"/>
    </xf>
    <xf numFmtId="10" fontId="1" fillId="0" borderId="0" xfId="0" applyNumberFormat="1" applyFont="1" applyAlignment="1" applyProtection="1">
      <alignment horizontal="center" vertical="center" wrapText="1"/>
    </xf>
    <xf numFmtId="180" fontId="3" fillId="0" borderId="30" xfId="0" applyNumberFormat="1" applyFont="1" applyBorder="1" applyAlignment="1" applyProtection="1">
      <alignment horizontal="left" vertical="center"/>
    </xf>
    <xf numFmtId="180" fontId="3" fillId="0" borderId="27" xfId="0" applyNumberFormat="1" applyFont="1" applyBorder="1" applyAlignment="1" applyProtection="1">
      <alignment horizontal="left" vertical="center"/>
    </xf>
    <xf numFmtId="180" fontId="3" fillId="4" borderId="61" xfId="0" applyNumberFormat="1" applyFont="1" applyFill="1" applyBorder="1" applyAlignment="1" applyProtection="1">
      <alignment horizontal="center" vertical="center"/>
    </xf>
    <xf numFmtId="180" fontId="3" fillId="4" borderId="62" xfId="0" applyNumberFormat="1" applyFont="1" applyFill="1" applyBorder="1" applyAlignment="1" applyProtection="1">
      <alignment horizontal="left" vertical="center"/>
    </xf>
    <xf numFmtId="49" fontId="4" fillId="0" borderId="60" xfId="0" applyNumberFormat="1" applyFont="1" applyBorder="1" applyAlignment="1" applyProtection="1">
      <alignment horizontal="center" vertical="center"/>
    </xf>
    <xf numFmtId="183" fontId="4" fillId="0" borderId="60" xfId="0" applyNumberFormat="1" applyFont="1" applyBorder="1" applyAlignment="1" applyProtection="1">
      <alignment horizontal="center" vertical="center"/>
    </xf>
    <xf numFmtId="183" fontId="4" fillId="0" borderId="61" xfId="0" applyNumberFormat="1" applyFont="1" applyBorder="1" applyAlignment="1" applyProtection="1">
      <alignment horizontal="center" vertical="center"/>
    </xf>
    <xf numFmtId="180" fontId="4" fillId="0" borderId="62" xfId="0" applyNumberFormat="1" applyFont="1" applyBorder="1" applyAlignment="1" applyProtection="1">
      <alignment horizontal="center" vertical="center"/>
    </xf>
    <xf numFmtId="0" fontId="41" fillId="0" borderId="59" xfId="0" applyFont="1" applyBorder="1" applyAlignment="1" applyProtection="1">
      <alignment horizontal="center" vertical="center"/>
    </xf>
    <xf numFmtId="180" fontId="3" fillId="4" borderId="63" xfId="0" applyNumberFormat="1" applyFont="1" applyFill="1" applyBorder="1" applyAlignment="1" applyProtection="1">
      <alignment horizontal="center" vertical="center" wrapText="1"/>
    </xf>
    <xf numFmtId="190" fontId="3" fillId="17" borderId="64" xfId="0" applyNumberFormat="1" applyFont="1" applyFill="1" applyBorder="1" applyAlignment="1" applyProtection="1">
      <alignment horizontal="right" vertical="center" wrapText="1"/>
    </xf>
    <xf numFmtId="0" fontId="3" fillId="0" borderId="31" xfId="0" applyFont="1" applyBorder="1" applyAlignment="1" applyProtection="1">
      <alignment horizontal="center" vertical="center" wrapText="1"/>
    </xf>
    <xf numFmtId="0" fontId="3" fillId="0" borderId="46" xfId="0" applyFont="1" applyBorder="1" applyAlignment="1" applyProtection="1">
      <alignment horizontal="center" vertical="center" wrapText="1"/>
    </xf>
    <xf numFmtId="190" fontId="4" fillId="18" borderId="64" xfId="0" applyNumberFormat="1" applyFont="1" applyFill="1" applyBorder="1" applyAlignment="1" applyProtection="1">
      <alignment horizontal="right" vertical="center" wrapText="1"/>
    </xf>
    <xf numFmtId="181" fontId="5" fillId="0" borderId="65" xfId="0" applyNumberFormat="1" applyFont="1" applyBorder="1" applyAlignment="1" applyProtection="1">
      <alignment vertical="center"/>
    </xf>
    <xf numFmtId="181" fontId="5" fillId="0" borderId="66" xfId="0" applyNumberFormat="1" applyFont="1" applyBorder="1" applyAlignment="1" applyProtection="1">
      <alignment vertical="center"/>
    </xf>
    <xf numFmtId="181" fontId="5" fillId="0" borderId="67" xfId="0" applyNumberFormat="1" applyFont="1" applyBorder="1" applyAlignment="1" applyProtection="1">
      <alignment vertical="center"/>
    </xf>
    <xf numFmtId="181" fontId="5" fillId="0" borderId="68" xfId="0" applyNumberFormat="1" applyFont="1" applyBorder="1" applyAlignment="1" applyProtection="1">
      <alignment vertical="center"/>
    </xf>
    <xf numFmtId="4" fontId="3" fillId="19" borderId="37" xfId="0" applyNumberFormat="1" applyFont="1" applyFill="1" applyBorder="1" applyAlignment="1" applyProtection="1">
      <alignment horizontal="right" vertical="center" wrapText="1"/>
    </xf>
    <xf numFmtId="190" fontId="3" fillId="19" borderId="64" xfId="0" applyNumberFormat="1" applyFont="1" applyFill="1" applyBorder="1" applyAlignment="1" applyProtection="1">
      <alignment horizontal="right" vertical="center" wrapText="1"/>
    </xf>
    <xf numFmtId="181" fontId="4" fillId="0" borderId="69" xfId="0" applyNumberFormat="1" applyFont="1" applyBorder="1" applyAlignment="1" applyProtection="1">
      <alignment horizontal="center" vertical="center" wrapText="1"/>
    </xf>
    <xf numFmtId="181" fontId="4" fillId="0" borderId="70" xfId="0" applyNumberFormat="1" applyFont="1" applyBorder="1" applyAlignment="1" applyProtection="1">
      <alignment horizontal="center" vertical="center" wrapText="1"/>
    </xf>
    <xf numFmtId="0" fontId="3" fillId="0" borderId="31" xfId="0" applyFont="1" applyBorder="1" applyAlignment="1" applyProtection="1">
      <alignment horizontal="left" vertical="center"/>
    </xf>
    <xf numFmtId="181" fontId="4" fillId="0" borderId="55" xfId="0" applyNumberFormat="1" applyFont="1" applyBorder="1" applyAlignment="1" applyProtection="1">
      <alignment horizontal="center" vertical="center" wrapText="1"/>
    </xf>
    <xf numFmtId="181" fontId="4" fillId="0" borderId="48" xfId="0" applyNumberFormat="1" applyFont="1" applyBorder="1" applyAlignment="1" applyProtection="1">
      <alignment horizontal="center" vertical="center" wrapText="1"/>
    </xf>
    <xf numFmtId="181" fontId="4" fillId="0" borderId="67" xfId="0" applyNumberFormat="1" applyFont="1" applyBorder="1" applyAlignment="1" applyProtection="1">
      <alignment horizontal="center" vertical="center" wrapText="1"/>
    </xf>
    <xf numFmtId="181" fontId="4" fillId="0" borderId="68" xfId="0" applyNumberFormat="1" applyFont="1" applyBorder="1" applyAlignment="1" applyProtection="1">
      <alignment horizontal="center" vertical="center" wrapText="1"/>
    </xf>
    <xf numFmtId="191" fontId="5" fillId="0" borderId="67" xfId="0" applyNumberFormat="1" applyFont="1" applyBorder="1" applyAlignment="1" applyProtection="1">
      <alignment vertical="center"/>
    </xf>
    <xf numFmtId="0" fontId="1" fillId="2" borderId="71" xfId="0" applyFont="1" applyFill="1" applyBorder="1" applyAlignment="1" applyProtection="1">
      <alignment horizontal="left" vertical="center" wrapText="1"/>
    </xf>
    <xf numFmtId="0" fontId="3" fillId="0" borderId="52" xfId="0" applyFont="1" applyBorder="1" applyAlignment="1" applyProtection="1">
      <alignment horizontal="center" vertical="center" wrapText="1"/>
    </xf>
    <xf numFmtId="181" fontId="5" fillId="0" borderId="72" xfId="0" applyNumberFormat="1" applyFont="1" applyBorder="1" applyAlignment="1" applyProtection="1">
      <alignment vertical="center"/>
    </xf>
    <xf numFmtId="181" fontId="5" fillId="0" borderId="73" xfId="0" applyNumberFormat="1" applyFont="1" applyBorder="1" applyAlignment="1" applyProtection="1">
      <alignment vertical="center"/>
    </xf>
    <xf numFmtId="181" fontId="4" fillId="0" borderId="70" xfId="0" applyNumberFormat="1" applyFont="1" applyBorder="1" applyAlignment="1" applyProtection="1">
      <alignment horizontal="left" vertical="center"/>
    </xf>
    <xf numFmtId="181" fontId="5" fillId="0" borderId="70" xfId="0" applyNumberFormat="1" applyFont="1" applyBorder="1" applyAlignment="1" applyProtection="1">
      <alignment vertical="center"/>
    </xf>
    <xf numFmtId="181" fontId="5" fillId="0" borderId="74" xfId="0" applyNumberFormat="1" applyFont="1" applyBorder="1" applyAlignment="1" applyProtection="1">
      <alignment vertical="center"/>
    </xf>
    <xf numFmtId="181" fontId="4" fillId="0" borderId="75" xfId="0" applyNumberFormat="1" applyFont="1" applyBorder="1" applyAlignment="1" applyProtection="1">
      <alignment horizontal="right" vertical="center"/>
    </xf>
    <xf numFmtId="181" fontId="5" fillId="0" borderId="76" xfId="0" applyNumberFormat="1" applyFont="1" applyBorder="1" applyAlignment="1" applyProtection="1">
      <alignment vertical="center"/>
    </xf>
    <xf numFmtId="192" fontId="5" fillId="0" borderId="0" xfId="0" applyNumberFormat="1" applyFont="1" applyAlignment="1" applyProtection="1">
      <alignment vertical="center"/>
    </xf>
    <xf numFmtId="9" fontId="4" fillId="0" borderId="68" xfId="0" applyNumberFormat="1" applyFont="1" applyBorder="1" applyAlignment="1" applyProtection="1">
      <alignment horizontal="center" vertical="center" wrapText="1"/>
    </xf>
    <xf numFmtId="0" fontId="5" fillId="18" borderId="37" xfId="0" applyFont="1" applyFill="1" applyBorder="1" applyAlignment="1" applyProtection="1">
      <alignment horizontal="center" vertical="center" wrapText="1"/>
    </xf>
    <xf numFmtId="0" fontId="3" fillId="20" borderId="37" xfId="0" applyFont="1" applyFill="1" applyBorder="1" applyAlignment="1" applyProtection="1">
      <alignment horizontal="left" vertical="center" wrapText="1"/>
    </xf>
    <xf numFmtId="0" fontId="3" fillId="20" borderId="37" xfId="0" applyFont="1" applyFill="1" applyBorder="1" applyAlignment="1" applyProtection="1">
      <alignment horizontal="center" vertical="center" wrapText="1"/>
    </xf>
    <xf numFmtId="181" fontId="3" fillId="20" borderId="37" xfId="0" applyNumberFormat="1" applyFont="1" applyFill="1" applyBorder="1" applyAlignment="1" applyProtection="1">
      <alignment horizontal="right" vertical="center" wrapText="1"/>
    </xf>
    <xf numFmtId="181" fontId="5" fillId="0" borderId="77" xfId="0" applyNumberFormat="1" applyFont="1" applyBorder="1" applyAlignment="1" applyProtection="1">
      <alignment vertical="center"/>
    </xf>
    <xf numFmtId="181" fontId="5" fillId="0" borderId="78" xfId="0" applyNumberFormat="1" applyFont="1" applyBorder="1" applyAlignment="1" applyProtection="1">
      <alignment vertical="center"/>
    </xf>
    <xf numFmtId="181" fontId="4" fillId="0" borderId="68" xfId="0" applyNumberFormat="1" applyFont="1" applyBorder="1" applyAlignment="1" applyProtection="1">
      <alignment horizontal="left" vertical="center"/>
    </xf>
    <xf numFmtId="181" fontId="5" fillId="0" borderId="68" xfId="0" applyNumberFormat="1" applyFont="1" applyBorder="1" applyAlignment="1" applyProtection="1">
      <alignment horizontal="center" vertical="center"/>
    </xf>
    <xf numFmtId="193" fontId="5" fillId="0" borderId="68" xfId="0" applyNumberFormat="1" applyFont="1" applyBorder="1" applyAlignment="1" applyProtection="1">
      <alignment vertical="center"/>
    </xf>
    <xf numFmtId="190" fontId="3" fillId="20" borderId="64" xfId="0" applyNumberFormat="1" applyFont="1" applyFill="1" applyBorder="1" applyAlignment="1" applyProtection="1">
      <alignment horizontal="right" vertical="center" wrapText="1"/>
    </xf>
    <xf numFmtId="0" fontId="42" fillId="0" borderId="0" xfId="0" applyFont="1" applyAlignment="1" applyProtection="1">
      <alignment vertical="center"/>
    </xf>
    <xf numFmtId="194" fontId="5" fillId="0" borderId="68" xfId="0" applyNumberFormat="1" applyFont="1" applyBorder="1" applyAlignment="1" applyProtection="1">
      <alignment vertical="center"/>
    </xf>
    <xf numFmtId="195" fontId="5" fillId="0" borderId="68" xfId="0" applyNumberFormat="1" applyFont="1" applyBorder="1" applyAlignment="1" applyProtection="1">
      <alignment vertical="center"/>
    </xf>
    <xf numFmtId="181" fontId="5" fillId="0" borderId="3" xfId="0" applyNumberFormat="1" applyFont="1" applyBorder="1" applyAlignment="1" applyProtection="1">
      <alignment vertical="center"/>
    </xf>
    <xf numFmtId="181" fontId="5" fillId="0" borderId="0" xfId="0" applyNumberFormat="1" applyFont="1" applyAlignment="1" applyProtection="1">
      <alignment vertical="center"/>
    </xf>
    <xf numFmtId="0" fontId="3" fillId="0" borderId="55" xfId="0" applyFont="1" applyBorder="1" applyAlignment="1" applyProtection="1">
      <alignment horizontal="center" vertical="center" wrapText="1"/>
    </xf>
    <xf numFmtId="0" fontId="3" fillId="0" borderId="48" xfId="0" applyFont="1" applyBorder="1" applyAlignment="1" applyProtection="1">
      <alignment horizontal="center" vertical="center" wrapText="1"/>
    </xf>
    <xf numFmtId="181" fontId="4" fillId="0" borderId="0" xfId="0" applyNumberFormat="1" applyFont="1" applyAlignment="1" applyProtection="1">
      <alignment horizontal="left" vertical="center"/>
    </xf>
    <xf numFmtId="181" fontId="5" fillId="0" borderId="71" xfId="0" applyNumberFormat="1" applyFont="1" applyBorder="1" applyAlignment="1" applyProtection="1">
      <alignment vertical="center"/>
    </xf>
    <xf numFmtId="0" fontId="3" fillId="0" borderId="79" xfId="0" applyFont="1" applyBorder="1" applyAlignment="1" applyProtection="1">
      <alignment horizontal="center" vertical="center" wrapText="1"/>
    </xf>
    <xf numFmtId="181" fontId="4" fillId="0" borderId="68" xfId="0" applyNumberFormat="1" applyFont="1" applyBorder="1" applyAlignment="1" applyProtection="1">
      <alignment horizontal="right" vertical="center"/>
    </xf>
    <xf numFmtId="181" fontId="4" fillId="0" borderId="0" xfId="0" applyNumberFormat="1" applyFont="1" applyAlignment="1" applyProtection="1">
      <alignment horizontal="center" vertical="center" wrapText="1"/>
    </xf>
    <xf numFmtId="181" fontId="5" fillId="0" borderId="67" xfId="0" applyNumberFormat="1" applyFont="1" applyBorder="1" applyAlignment="1" applyProtection="1">
      <alignment horizontal="center" vertical="center"/>
    </xf>
    <xf numFmtId="0" fontId="4" fillId="7" borderId="37" xfId="0" applyFont="1" applyFill="1" applyBorder="1" applyAlignment="1" applyProtection="1">
      <alignment horizontal="left" vertical="center" wrapText="1"/>
    </xf>
    <xf numFmtId="0" fontId="4" fillId="7" borderId="37" xfId="0" applyFont="1" applyFill="1" applyBorder="1" applyAlignment="1" applyProtection="1">
      <alignment horizontal="center" vertical="center" wrapText="1"/>
    </xf>
    <xf numFmtId="181" fontId="4" fillId="7" borderId="37" xfId="0" applyNumberFormat="1" applyFont="1" applyFill="1" applyBorder="1" applyAlignment="1" applyProtection="1">
      <alignment horizontal="right" vertical="center" wrapText="1"/>
    </xf>
    <xf numFmtId="190" fontId="4" fillId="7" borderId="64" xfId="0" applyNumberFormat="1" applyFont="1" applyFill="1" applyBorder="1" applyAlignment="1" applyProtection="1">
      <alignment horizontal="right" vertical="center" wrapText="1"/>
    </xf>
    <xf numFmtId="181" fontId="5" fillId="0" borderId="80" xfId="0" applyNumberFormat="1" applyFont="1" applyBorder="1" applyAlignment="1" applyProtection="1">
      <alignment vertical="center"/>
    </xf>
    <xf numFmtId="181" fontId="5" fillId="0" borderId="75" xfId="0" applyNumberFormat="1" applyFont="1" applyBorder="1" applyAlignment="1" applyProtection="1">
      <alignment vertical="center"/>
    </xf>
    <xf numFmtId="181" fontId="5" fillId="0" borderId="69" xfId="0" applyNumberFormat="1" applyFont="1" applyBorder="1" applyAlignment="1" applyProtection="1">
      <alignment vertical="center"/>
    </xf>
    <xf numFmtId="0" fontId="3" fillId="0" borderId="3" xfId="0" applyFont="1" applyBorder="1" applyAlignment="1" applyProtection="1">
      <alignment horizontal="center" vertical="center" wrapText="1"/>
    </xf>
    <xf numFmtId="0" fontId="3" fillId="0" borderId="0" xfId="0" applyFont="1" applyAlignment="1" applyProtection="1">
      <alignment horizontal="center" vertical="center" wrapText="1"/>
    </xf>
    <xf numFmtId="0" fontId="3" fillId="0" borderId="71" xfId="0" applyFont="1" applyBorder="1" applyAlignment="1" applyProtection="1">
      <alignment horizontal="center" vertical="center" wrapText="1"/>
    </xf>
    <xf numFmtId="196" fontId="5" fillId="0" borderId="68" xfId="0" applyNumberFormat="1" applyFont="1" applyBorder="1" applyAlignment="1" applyProtection="1">
      <alignment vertical="center"/>
    </xf>
    <xf numFmtId="190" fontId="4" fillId="18" borderId="37" xfId="0" applyNumberFormat="1" applyFont="1" applyFill="1" applyBorder="1" applyAlignment="1" applyProtection="1">
      <alignment horizontal="right" vertical="center" wrapText="1"/>
    </xf>
    <xf numFmtId="197" fontId="5" fillId="0" borderId="68" xfId="0" applyNumberFormat="1" applyFont="1" applyBorder="1" applyAlignment="1" applyProtection="1">
      <alignment vertical="center"/>
    </xf>
    <xf numFmtId="190" fontId="4" fillId="18" borderId="81" xfId="0" applyNumberFormat="1" applyFont="1" applyFill="1" applyBorder="1" applyAlignment="1" applyProtection="1">
      <alignment horizontal="right" vertical="center" wrapText="1"/>
    </xf>
    <xf numFmtId="181" fontId="5" fillId="0" borderId="52" xfId="0" applyNumberFormat="1" applyFont="1" applyBorder="1" applyAlignment="1" applyProtection="1">
      <alignment vertical="center"/>
    </xf>
    <xf numFmtId="181" fontId="42" fillId="18" borderId="37" xfId="0" applyNumberFormat="1" applyFont="1" applyFill="1" applyBorder="1" applyAlignment="1" applyProtection="1">
      <alignment horizontal="right" vertical="center" wrapText="1"/>
    </xf>
    <xf numFmtId="196" fontId="5" fillId="0" borderId="67" xfId="0" applyNumberFormat="1" applyFont="1" applyBorder="1" applyAlignment="1" applyProtection="1">
      <alignment vertical="center"/>
    </xf>
    <xf numFmtId="181" fontId="5" fillId="0" borderId="3" xfId="0" applyNumberFormat="1" applyFont="1" applyBorder="1" applyAlignment="1" applyProtection="1">
      <alignment horizontal="center" vertical="center"/>
    </xf>
    <xf numFmtId="190" fontId="4" fillId="7" borderId="37" xfId="0" applyNumberFormat="1" applyFont="1" applyFill="1" applyBorder="1" applyAlignment="1" applyProtection="1">
      <alignment horizontal="right" vertical="center" wrapText="1"/>
    </xf>
    <xf numFmtId="181" fontId="5" fillId="0" borderId="82" xfId="0" applyNumberFormat="1" applyFont="1" applyBorder="1" applyAlignment="1" applyProtection="1">
      <alignment vertical="center"/>
    </xf>
    <xf numFmtId="0" fontId="3" fillId="0" borderId="67" xfId="0" applyFont="1" applyBorder="1" applyAlignment="1" applyProtection="1">
      <alignment horizontal="center" vertical="center" wrapText="1"/>
    </xf>
    <xf numFmtId="0" fontId="3" fillId="0" borderId="68" xfId="0" applyFont="1" applyBorder="1" applyAlignment="1" applyProtection="1">
      <alignment horizontal="center" vertical="center" wrapText="1"/>
    </xf>
    <xf numFmtId="0" fontId="3" fillId="0" borderId="29" xfId="0" applyFont="1" applyBorder="1" applyAlignment="1" applyProtection="1">
      <alignment horizontal="center" vertical="center" wrapText="1"/>
    </xf>
    <xf numFmtId="0" fontId="3" fillId="0" borderId="83" xfId="0" applyFont="1" applyBorder="1" applyAlignment="1" applyProtection="1">
      <alignment horizontal="center" vertical="center" wrapText="1"/>
    </xf>
    <xf numFmtId="4" fontId="4" fillId="18" borderId="37" xfId="0" applyNumberFormat="1" applyFont="1" applyFill="1" applyBorder="1" applyAlignment="1" applyProtection="1">
      <alignment horizontal="right" vertical="center" wrapText="1"/>
    </xf>
    <xf numFmtId="0" fontId="5" fillId="18" borderId="37" xfId="0" applyFont="1" applyFill="1" applyBorder="1" applyAlignment="1" applyProtection="1">
      <alignment horizontal="left" vertical="center" wrapText="1"/>
    </xf>
    <xf numFmtId="191" fontId="5" fillId="0" borderId="68" xfId="0" applyNumberFormat="1" applyFont="1" applyBorder="1" applyAlignment="1" applyProtection="1">
      <alignment vertical="center"/>
    </xf>
    <xf numFmtId="181" fontId="5" fillId="18" borderId="37" xfId="0" applyNumberFormat="1" applyFont="1" applyFill="1" applyBorder="1" applyAlignment="1" applyProtection="1">
      <alignment horizontal="right" vertical="center" wrapText="1"/>
    </xf>
    <xf numFmtId="190" fontId="5" fillId="18" borderId="64" xfId="0" applyNumberFormat="1" applyFont="1" applyFill="1" applyBorder="1" applyAlignment="1" applyProtection="1">
      <alignment horizontal="right" vertical="center" wrapText="1"/>
    </xf>
    <xf numFmtId="181" fontId="5" fillId="0" borderId="68" xfId="0" applyNumberFormat="1" applyFont="1" applyBorder="1" applyAlignment="1" applyProtection="1">
      <alignment horizontal="right" vertical="center"/>
    </xf>
    <xf numFmtId="0" fontId="4" fillId="18" borderId="84" xfId="0" applyFont="1" applyFill="1" applyBorder="1" applyAlignment="1" applyProtection="1">
      <alignment horizontal="left" vertical="center" wrapText="1"/>
    </xf>
    <xf numFmtId="0" fontId="4" fillId="18" borderId="84" xfId="0" applyFont="1" applyFill="1" applyBorder="1" applyAlignment="1" applyProtection="1">
      <alignment horizontal="center" vertical="center" wrapText="1"/>
    </xf>
    <xf numFmtId="181" fontId="4" fillId="18" borderId="84" xfId="0" applyNumberFormat="1" applyFont="1" applyFill="1" applyBorder="1" applyAlignment="1" applyProtection="1">
      <alignment horizontal="right" vertical="center" wrapText="1"/>
    </xf>
    <xf numFmtId="0" fontId="5" fillId="2" borderId="0" xfId="0" applyFont="1" applyFill="1" applyBorder="1" applyAlignment="1" applyProtection="1">
      <alignment horizontal="center" vertical="center" wrapText="1"/>
    </xf>
    <xf numFmtId="181" fontId="5" fillId="2" borderId="0" xfId="0" applyNumberFormat="1" applyFont="1" applyFill="1" applyBorder="1" applyAlignment="1" applyProtection="1">
      <alignment horizontal="center" vertical="center" wrapText="1"/>
    </xf>
    <xf numFmtId="0" fontId="1" fillId="2" borderId="0" xfId="0" applyFont="1" applyFill="1" applyBorder="1" applyAlignment="1" applyProtection="1">
      <alignment horizontal="right" vertical="center" wrapText="1"/>
    </xf>
    <xf numFmtId="0" fontId="5" fillId="2" borderId="0" xfId="0" applyFont="1" applyFill="1" applyBorder="1" applyAlignment="1" applyProtection="1">
      <alignment horizontal="left" vertical="center" wrapText="1"/>
    </xf>
    <xf numFmtId="0" fontId="5" fillId="0" borderId="0" xfId="0" applyFont="1" applyAlignment="1" applyProtection="1">
      <alignment horizontal="center" vertical="center"/>
    </xf>
    <xf numFmtId="197" fontId="4" fillId="0" borderId="67" xfId="0" applyNumberFormat="1" applyFont="1" applyBorder="1" applyAlignment="1" applyProtection="1">
      <alignment horizontal="center" vertical="center" wrapText="1"/>
    </xf>
    <xf numFmtId="198" fontId="4" fillId="0" borderId="68" xfId="0" applyNumberFormat="1" applyFont="1" applyBorder="1" applyAlignment="1" applyProtection="1">
      <alignment horizontal="center" vertical="center" wrapText="1"/>
    </xf>
    <xf numFmtId="190" fontId="4" fillId="18" borderId="85" xfId="0" applyNumberFormat="1" applyFont="1" applyFill="1" applyBorder="1" applyAlignment="1" applyProtection="1">
      <alignment horizontal="right" vertical="center" wrapText="1"/>
    </xf>
    <xf numFmtId="4" fontId="1" fillId="2" borderId="0" xfId="0" applyNumberFormat="1" applyFont="1" applyFill="1" applyBorder="1" applyAlignment="1" applyProtection="1">
      <alignment vertical="center" wrapText="1"/>
    </xf>
    <xf numFmtId="181" fontId="1" fillId="2" borderId="0" xfId="0" applyNumberFormat="1" applyFont="1" applyFill="1" applyBorder="1" applyAlignment="1" applyProtection="1">
      <alignment horizontal="center" vertical="center" wrapText="1"/>
    </xf>
    <xf numFmtId="0" fontId="1" fillId="2" borderId="0" xfId="0" applyFont="1" applyFill="1" applyBorder="1" applyAlignment="1" applyProtection="1">
      <alignment vertical="center" wrapText="1"/>
    </xf>
    <xf numFmtId="9" fontId="1" fillId="2" borderId="0" xfId="0" applyNumberFormat="1" applyFont="1" applyFill="1" applyBorder="1" applyAlignment="1" applyProtection="1">
      <alignment vertical="center" wrapText="1"/>
    </xf>
    <xf numFmtId="181" fontId="5" fillId="0" borderId="0" xfId="0" applyNumberFormat="1" applyFont="1" applyAlignment="1" applyProtection="1">
      <alignment horizontal="center" vertical="center"/>
    </xf>
    <xf numFmtId="0" fontId="5" fillId="0" borderId="0" xfId="0" applyFont="1" applyAlignment="1" applyProtection="1">
      <alignment vertical="top"/>
    </xf>
    <xf numFmtId="0" fontId="5" fillId="0" borderId="0" xfId="0" applyFont="1" applyAlignment="1" applyProtection="1">
      <alignment horizontal="right" vertical="top"/>
    </xf>
    <xf numFmtId="0" fontId="1" fillId="2" borderId="2" xfId="0" applyFont="1" applyFill="1" applyBorder="1" applyAlignment="1" applyProtection="1">
      <alignment horizontal="left" vertical="center" wrapText="1"/>
    </xf>
    <xf numFmtId="180" fontId="3" fillId="0" borderId="86" xfId="0" applyNumberFormat="1" applyFont="1" applyBorder="1" applyAlignment="1" applyProtection="1">
      <alignment horizontal="left" vertical="center"/>
    </xf>
    <xf numFmtId="0" fontId="6" fillId="0" borderId="87" xfId="0" applyFont="1" applyBorder="1" applyAlignment="1" applyProtection="1"/>
    <xf numFmtId="180" fontId="3" fillId="0" borderId="88" xfId="0" applyNumberFormat="1" applyFont="1" applyBorder="1" applyAlignment="1" applyProtection="1">
      <alignment horizontal="left" vertical="center"/>
    </xf>
    <xf numFmtId="180" fontId="3" fillId="0" borderId="31" xfId="0" applyNumberFormat="1" applyFont="1" applyBorder="1" applyAlignment="1" applyProtection="1">
      <alignment horizontal="left" vertical="center"/>
    </xf>
    <xf numFmtId="0" fontId="6" fillId="0" borderId="45" xfId="0" applyFont="1" applyBorder="1" applyAlignment="1" applyProtection="1"/>
    <xf numFmtId="180" fontId="3" fillId="0" borderId="89" xfId="0" applyNumberFormat="1" applyFont="1" applyBorder="1" applyAlignment="1" applyProtection="1">
      <alignment horizontal="left" vertical="center"/>
    </xf>
    <xf numFmtId="0" fontId="3" fillId="0" borderId="39" xfId="0" applyFont="1" applyBorder="1" applyAlignment="1" applyProtection="1">
      <alignment horizontal="left" vertical="top" wrapText="1"/>
    </xf>
    <xf numFmtId="0" fontId="6" fillId="0" borderId="90" xfId="0" applyFont="1" applyBorder="1" applyAlignment="1" applyProtection="1"/>
    <xf numFmtId="10" fontId="1" fillId="2" borderId="59" xfId="0" applyNumberFormat="1" applyFont="1" applyFill="1" applyBorder="1" applyAlignment="1" applyProtection="1">
      <alignment horizontal="center" vertical="center" wrapText="1"/>
    </xf>
    <xf numFmtId="0" fontId="11" fillId="2" borderId="0" xfId="0" applyFont="1" applyFill="1" applyBorder="1" applyAlignment="1" applyProtection="1">
      <alignment horizontal="center" wrapText="1"/>
    </xf>
    <xf numFmtId="0" fontId="4" fillId="18" borderId="37" xfId="0" applyFont="1" applyFill="1" applyBorder="1" applyAlignment="1" applyProtection="1">
      <alignment horizontal="left" vertical="top" wrapText="1"/>
    </xf>
    <xf numFmtId="0" fontId="4" fillId="18" borderId="37" xfId="0" applyFont="1" applyFill="1" applyBorder="1" applyAlignment="1" applyProtection="1">
      <alignment horizontal="right" vertical="top" wrapText="1"/>
    </xf>
    <xf numFmtId="0" fontId="4" fillId="18" borderId="91" xfId="0" applyFont="1" applyFill="1" applyBorder="1" applyAlignment="1" applyProtection="1">
      <alignment horizontal="left" vertical="top" wrapText="1"/>
    </xf>
    <xf numFmtId="0" fontId="6" fillId="0" borderId="18" xfId="0" applyFont="1" applyBorder="1" applyAlignment="1" applyProtection="1"/>
    <xf numFmtId="181" fontId="5" fillId="0" borderId="0" xfId="0" applyNumberFormat="1" applyFont="1" applyAlignment="1" applyProtection="1">
      <alignment vertical="top"/>
    </xf>
    <xf numFmtId="180" fontId="3" fillId="4" borderId="63" xfId="0" applyNumberFormat="1" applyFont="1" applyFill="1" applyBorder="1" applyAlignment="1" applyProtection="1">
      <alignment horizontal="center" vertical="center"/>
    </xf>
    <xf numFmtId="10" fontId="1" fillId="2" borderId="60" xfId="0" applyNumberFormat="1" applyFont="1" applyFill="1" applyBorder="1" applyAlignment="1" applyProtection="1">
      <alignment horizontal="center" vertical="center" wrapText="1"/>
    </xf>
    <xf numFmtId="180" fontId="4" fillId="0" borderId="63" xfId="0" applyNumberFormat="1" applyFont="1" applyBorder="1" applyAlignment="1" applyProtection="1">
      <alignment horizontal="center" vertical="center"/>
    </xf>
    <xf numFmtId="0" fontId="4" fillId="18" borderId="37" xfId="0" applyFont="1" applyFill="1" applyBorder="1" applyAlignment="1" applyProtection="1">
      <alignment horizontal="center" vertical="top" wrapText="1"/>
    </xf>
    <xf numFmtId="199" fontId="4" fillId="18" borderId="37" xfId="0" applyNumberFormat="1" applyFont="1" applyFill="1" applyBorder="1" applyAlignment="1" applyProtection="1">
      <alignment horizontal="right" vertical="top" wrapText="1"/>
    </xf>
    <xf numFmtId="4" fontId="4" fillId="18" borderId="37" xfId="0" applyNumberFormat="1" applyFont="1" applyFill="1" applyBorder="1" applyAlignment="1" applyProtection="1">
      <alignment horizontal="right" vertical="top" wrapText="1"/>
    </xf>
    <xf numFmtId="199" fontId="12" fillId="6" borderId="37" xfId="0" applyNumberFormat="1" applyFont="1" applyFill="1" applyBorder="1" applyAlignment="1" applyProtection="1">
      <alignment horizontal="right" vertical="top" wrapText="1"/>
    </xf>
    <xf numFmtId="4" fontId="12" fillId="2" borderId="0" xfId="0" applyNumberFormat="1" applyFont="1" applyFill="1" applyAlignment="1" applyProtection="1">
      <alignment horizontal="right" vertical="top" wrapText="1"/>
    </xf>
    <xf numFmtId="0" fontId="6" fillId="0" borderId="0" xfId="0" applyFont="1" applyAlignment="1" applyProtection="1">
      <alignment vertical="top"/>
    </xf>
    <xf numFmtId="199" fontId="12" fillId="5" borderId="37" xfId="0" applyNumberFormat="1" applyFont="1" applyFill="1" applyBorder="1" applyAlignment="1" applyProtection="1">
      <alignment horizontal="right" vertical="top" wrapText="1"/>
    </xf>
    <xf numFmtId="0" fontId="12" fillId="2" borderId="0" xfId="0" applyFont="1" applyFill="1" applyBorder="1" applyAlignment="1" applyProtection="1">
      <alignment horizontal="left" vertical="top" wrapText="1"/>
    </xf>
    <xf numFmtId="0" fontId="15" fillId="2" borderId="0" xfId="0" applyFont="1" applyFill="1" applyAlignment="1" applyProtection="1">
      <alignment horizontal="left" vertical="top" wrapText="1"/>
    </xf>
    <xf numFmtId="0" fontId="1" fillId="0" borderId="0" xfId="0" applyFont="1" applyAlignment="1" applyProtection="1">
      <alignment vertical="top"/>
    </xf>
    <xf numFmtId="181" fontId="6" fillId="0" borderId="0" xfId="0" applyNumberFormat="1" applyFont="1" applyAlignment="1" applyProtection="1">
      <alignment vertical="center"/>
    </xf>
    <xf numFmtId="182" fontId="1" fillId="2" borderId="0" xfId="0" applyNumberFormat="1" applyFont="1" applyFill="1" applyBorder="1" applyAlignment="1" applyProtection="1">
      <alignment horizontal="left" vertical="center" wrapText="1"/>
    </xf>
    <xf numFmtId="180" fontId="3" fillId="4" borderId="92" xfId="0" applyNumberFormat="1" applyFont="1" applyFill="1" applyBorder="1" applyAlignment="1" applyProtection="1">
      <alignment horizontal="center" vertical="center"/>
    </xf>
    <xf numFmtId="180" fontId="3" fillId="0" borderId="29" xfId="0" applyNumberFormat="1" applyFont="1" applyBorder="1" applyAlignment="1" applyProtection="1">
      <alignment horizontal="left" vertical="center"/>
    </xf>
    <xf numFmtId="180" fontId="3" fillId="0" borderId="93" xfId="0" applyNumberFormat="1" applyFont="1" applyBorder="1" applyAlignment="1" applyProtection="1">
      <alignment horizontal="left" vertical="center"/>
    </xf>
    <xf numFmtId="180" fontId="3" fillId="0" borderId="94" xfId="0" applyNumberFormat="1" applyFont="1" applyBorder="1" applyAlignment="1" applyProtection="1">
      <alignment horizontal="left" vertical="center"/>
    </xf>
    <xf numFmtId="180" fontId="3" fillId="0" borderId="32" xfId="0" applyNumberFormat="1" applyFont="1" applyBorder="1" applyAlignment="1" applyProtection="1">
      <alignment horizontal="left" vertical="center"/>
    </xf>
    <xf numFmtId="180" fontId="3" fillId="0" borderId="95" xfId="0" applyNumberFormat="1" applyFont="1" applyBorder="1" applyAlignment="1" applyProtection="1">
      <alignment horizontal="left" vertical="center"/>
    </xf>
    <xf numFmtId="182" fontId="3" fillId="4" borderId="60" xfId="0" applyNumberFormat="1" applyFont="1" applyFill="1" applyBorder="1" applyAlignment="1" applyProtection="1">
      <alignment horizontal="center" vertical="center"/>
    </xf>
    <xf numFmtId="0" fontId="3" fillId="20" borderId="37" xfId="0" applyFont="1" applyFill="1" applyBorder="1" applyAlignment="1" applyProtection="1">
      <alignment horizontal="left" vertical="top" wrapText="1"/>
    </xf>
    <xf numFmtId="0" fontId="3" fillId="20" borderId="37" xfId="0" applyFont="1" applyFill="1" applyBorder="1" applyAlignment="1" applyProtection="1">
      <alignment horizontal="center" vertical="top" wrapText="1"/>
    </xf>
    <xf numFmtId="0" fontId="3" fillId="20" borderId="37" xfId="0" applyFont="1" applyFill="1" applyBorder="1" applyAlignment="1" applyProtection="1">
      <alignment horizontal="right" vertical="top" wrapText="1"/>
    </xf>
    <xf numFmtId="182" fontId="3" fillId="20" borderId="37" xfId="0" applyNumberFormat="1" applyFont="1" applyFill="1" applyBorder="1" applyAlignment="1" applyProtection="1">
      <alignment horizontal="right" vertical="top" wrapText="1"/>
    </xf>
    <xf numFmtId="182" fontId="4" fillId="18" borderId="37" xfId="0" applyNumberFormat="1" applyFont="1" applyFill="1" applyBorder="1" applyAlignment="1" applyProtection="1">
      <alignment horizontal="right" vertical="top" wrapText="1"/>
    </xf>
    <xf numFmtId="0" fontId="6" fillId="0" borderId="0" xfId="0" applyFont="1" applyAlignment="1" applyProtection="1">
      <alignment vertical="center"/>
    </xf>
    <xf numFmtId="182" fontId="3" fillId="4" borderId="61" xfId="0" applyNumberFormat="1" applyFont="1" applyFill="1" applyBorder="1" applyAlignment="1" applyProtection="1">
      <alignment horizontal="center" vertical="center"/>
    </xf>
    <xf numFmtId="180" fontId="3" fillId="4" borderId="96" xfId="0" applyNumberFormat="1" applyFont="1" applyFill="1" applyBorder="1" applyAlignment="1" applyProtection="1">
      <alignment horizontal="left" vertical="center"/>
    </xf>
    <xf numFmtId="180" fontId="4" fillId="0" borderId="61" xfId="0" applyNumberFormat="1" applyFont="1" applyBorder="1" applyAlignment="1" applyProtection="1">
      <alignment horizontal="center" vertical="center"/>
    </xf>
    <xf numFmtId="181" fontId="43" fillId="0" borderId="0" xfId="0" applyNumberFormat="1" applyFont="1" applyAlignment="1" applyProtection="1">
      <alignment vertical="center"/>
    </xf>
    <xf numFmtId="180" fontId="44" fillId="4" borderId="97" xfId="0" applyNumberFormat="1" applyFont="1" applyFill="1" applyBorder="1" applyAlignment="1" applyProtection="1">
      <alignment horizontal="center" vertical="center" wrapText="1"/>
    </xf>
    <xf numFmtId="180" fontId="44" fillId="4" borderId="98" xfId="0" applyNumberFormat="1" applyFont="1" applyFill="1" applyBorder="1" applyAlignment="1" applyProtection="1">
      <alignment horizontal="center" vertical="center" wrapText="1"/>
    </xf>
    <xf numFmtId="190" fontId="3" fillId="20" borderId="37" xfId="0" applyNumberFormat="1" applyFont="1" applyFill="1" applyBorder="1" applyAlignment="1" applyProtection="1">
      <alignment horizontal="right" vertical="top" wrapText="1"/>
    </xf>
    <xf numFmtId="10" fontId="6" fillId="0" borderId="0" xfId="3" applyNumberFormat="1" applyFont="1" applyBorder="1" applyAlignment="1" applyProtection="1">
      <alignment vertical="center"/>
    </xf>
    <xf numFmtId="182" fontId="2" fillId="0" borderId="0" xfId="0" applyNumberFormat="1" applyFont="1" applyAlignment="1" applyProtection="1">
      <alignment vertical="center"/>
    </xf>
    <xf numFmtId="10" fontId="43" fillId="0" borderId="0" xfId="0" applyNumberFormat="1" applyFont="1" applyAlignment="1" applyProtection="1">
      <alignment vertical="center"/>
    </xf>
    <xf numFmtId="190" fontId="4" fillId="18" borderId="37" xfId="0" applyNumberFormat="1" applyFont="1" applyFill="1" applyBorder="1" applyAlignment="1" applyProtection="1">
      <alignment horizontal="right" vertical="top" wrapText="1"/>
    </xf>
    <xf numFmtId="10" fontId="43" fillId="0" borderId="0" xfId="3" applyNumberFormat="1" applyFont="1" applyBorder="1" applyAlignment="1" applyProtection="1">
      <alignment vertical="center"/>
    </xf>
    <xf numFmtId="190" fontId="4" fillId="7" borderId="37" xfId="0" applyNumberFormat="1" applyFont="1" applyFill="1" applyBorder="1" applyAlignment="1" applyProtection="1">
      <alignment horizontal="right" vertical="top" wrapText="1"/>
    </xf>
    <xf numFmtId="0" fontId="15" fillId="2" borderId="99" xfId="0" applyFont="1" applyFill="1" applyBorder="1" applyAlignment="1" applyProtection="1">
      <alignment horizontal="center" vertical="top" wrapText="1"/>
    </xf>
    <xf numFmtId="0" fontId="15" fillId="2" borderId="100" xfId="0" applyFont="1" applyFill="1" applyBorder="1" applyAlignment="1" applyProtection="1">
      <alignment horizontal="center" vertical="top" wrapText="1"/>
    </xf>
    <xf numFmtId="10" fontId="15" fillId="2" borderId="101" xfId="3" applyNumberFormat="1" applyFont="1" applyFill="1" applyBorder="1" applyAlignment="1" applyProtection="1">
      <alignment horizontal="center" vertical="top" wrapText="1"/>
    </xf>
    <xf numFmtId="182" fontId="15" fillId="2" borderId="102" xfId="0" applyNumberFormat="1" applyFont="1" applyFill="1" applyBorder="1" applyAlignment="1" applyProtection="1">
      <alignment horizontal="center" vertical="top" wrapText="1"/>
    </xf>
    <xf numFmtId="182" fontId="45" fillId="0" borderId="0" xfId="0" applyNumberFormat="1" applyFont="1" applyAlignment="1" applyProtection="1"/>
    <xf numFmtId="0" fontId="10" fillId="2" borderId="28" xfId="0" applyFont="1" applyFill="1" applyBorder="1" applyAlignment="1" applyProtection="1">
      <alignment horizontal="center" vertical="center"/>
    </xf>
    <xf numFmtId="180" fontId="8" fillId="9" borderId="28" xfId="0" applyNumberFormat="1" applyFont="1" applyFill="1" applyBorder="1" applyAlignment="1" applyProtection="1">
      <alignment horizontal="center" vertical="center"/>
    </xf>
    <xf numFmtId="180" fontId="8" fillId="0" borderId="29" xfId="0" applyNumberFormat="1" applyFont="1" applyBorder="1" applyAlignment="1" applyProtection="1">
      <alignment horizontal="left" vertical="center"/>
    </xf>
    <xf numFmtId="180" fontId="8" fillId="0" borderId="31" xfId="0" applyNumberFormat="1" applyFont="1" applyBorder="1" applyAlignment="1" applyProtection="1">
      <alignment horizontal="left" vertical="center"/>
    </xf>
    <xf numFmtId="180" fontId="8" fillId="9" borderId="59" xfId="0" applyNumberFormat="1" applyFont="1" applyFill="1" applyBorder="1" applyAlignment="1" applyProtection="1">
      <alignment horizontal="center" vertical="center"/>
    </xf>
    <xf numFmtId="180" fontId="8" fillId="9" borderId="60" xfId="0" applyNumberFormat="1" applyFont="1" applyFill="1" applyBorder="1" applyAlignment="1" applyProtection="1">
      <alignment horizontal="center" vertical="center"/>
    </xf>
    <xf numFmtId="0" fontId="8" fillId="0" borderId="34" xfId="0" applyFont="1" applyBorder="1" applyAlignment="1" applyProtection="1">
      <alignment horizontal="left" vertical="center" wrapText="1"/>
    </xf>
    <xf numFmtId="0" fontId="8" fillId="9" borderId="51" xfId="0" applyFont="1" applyFill="1" applyBorder="1" applyAlignment="1" applyProtection="1">
      <alignment horizontal="center" vertical="center"/>
    </xf>
    <xf numFmtId="0" fontId="8" fillId="9" borderId="60" xfId="0" applyFont="1" applyFill="1" applyBorder="1" applyAlignment="1" applyProtection="1">
      <alignment horizontal="center" vertical="center"/>
    </xf>
    <xf numFmtId="1" fontId="18" fillId="0" borderId="13" xfId="0" applyNumberFormat="1" applyFont="1" applyBorder="1" applyAlignment="1" applyProtection="1">
      <alignment horizontal="center" vertical="center"/>
    </xf>
    <xf numFmtId="180" fontId="18" fillId="0" borderId="7" xfId="0" applyNumberFormat="1" applyFont="1" applyBorder="1" applyAlignment="1" applyProtection="1">
      <alignment horizontal="left" vertical="center"/>
    </xf>
    <xf numFmtId="180" fontId="18" fillId="0" borderId="13" xfId="0" applyNumberFormat="1" applyFont="1" applyBorder="1" applyAlignment="1" applyProtection="1">
      <alignment horizontal="left" vertical="center"/>
    </xf>
    <xf numFmtId="1" fontId="18" fillId="0" borderId="12" xfId="0" applyNumberFormat="1" applyFont="1" applyBorder="1" applyAlignment="1" applyProtection="1">
      <alignment horizontal="center" vertical="center"/>
    </xf>
    <xf numFmtId="1" fontId="8" fillId="0" borderId="12" xfId="0" applyNumberFormat="1" applyFont="1" applyBorder="1" applyAlignment="1" applyProtection="1">
      <alignment horizontal="center" vertical="center"/>
    </xf>
    <xf numFmtId="1" fontId="8" fillId="0" borderId="32" xfId="0" applyNumberFormat="1" applyFont="1" applyBorder="1" applyAlignment="1" applyProtection="1">
      <alignment horizontal="center" vertical="center"/>
    </xf>
    <xf numFmtId="1" fontId="8" fillId="9" borderId="59" xfId="0" applyNumberFormat="1" applyFont="1" applyFill="1" applyBorder="1" applyAlignment="1" applyProtection="1">
      <alignment horizontal="center" vertical="center"/>
    </xf>
    <xf numFmtId="180" fontId="8" fillId="9" borderId="63" xfId="0" applyNumberFormat="1" applyFont="1" applyFill="1" applyBorder="1" applyAlignment="1" applyProtection="1">
      <alignment horizontal="center" vertical="center"/>
    </xf>
    <xf numFmtId="181" fontId="5" fillId="0" borderId="0" xfId="0" applyNumberFormat="1" applyFont="1" applyAlignment="1" applyProtection="1">
      <alignment horizontal="center"/>
    </xf>
    <xf numFmtId="180" fontId="18" fillId="0" borderId="94" xfId="0" applyNumberFormat="1" applyFont="1" applyBorder="1" applyAlignment="1" applyProtection="1">
      <alignment horizontal="center" vertical="center"/>
    </xf>
    <xf numFmtId="200" fontId="5" fillId="0" borderId="0" xfId="0" applyNumberFormat="1" applyFont="1" applyAlignment="1" applyProtection="1"/>
    <xf numFmtId="200" fontId="6" fillId="0" borderId="0" xfId="0" applyNumberFormat="1" applyFont="1" applyAlignment="1" applyProtection="1"/>
    <xf numFmtId="180" fontId="18" fillId="0" borderId="98" xfId="0" applyNumberFormat="1" applyFont="1" applyBorder="1" applyAlignment="1" applyProtection="1">
      <alignment horizontal="center" vertical="center"/>
    </xf>
    <xf numFmtId="182" fontId="8" fillId="9" borderId="60" xfId="0" applyNumberFormat="1" applyFont="1" applyFill="1" applyBorder="1" applyAlignment="1" applyProtection="1">
      <alignment vertical="center"/>
    </xf>
    <xf numFmtId="200" fontId="1" fillId="0" borderId="0" xfId="0" applyNumberFormat="1" applyFont="1" applyAlignment="1" applyProtection="1"/>
    <xf numFmtId="182" fontId="5" fillId="0" borderId="0" xfId="0" applyNumberFormat="1" applyFont="1" applyAlignment="1" applyProtection="1"/>
  </cellXfs>
  <cellStyles count="49">
    <cellStyle name="Normal" xfId="0" builtinId="0"/>
    <cellStyle name="Comma" xfId="1" builtinId="3"/>
    <cellStyle name="Moeda" xfId="2" builtinId="4"/>
    <cellStyle name="Porcentagem" xfId="3" builtinId="5"/>
    <cellStyle name="Comma [0]" xfId="4" builtinId="6"/>
    <cellStyle name="Moeda [0]" xfId="5" builtinId="7"/>
    <cellStyle name="Hyperlink" xfId="6" builtinId="8"/>
    <cellStyle name="Hyperlink seguido" xfId="7" builtinId="9"/>
    <cellStyle name="Observação" xfId="8" builtinId="10"/>
    <cellStyle name="Texto de Aviso" xfId="9" builtinId="11"/>
    <cellStyle name="Título" xfId="10" builtinId="15"/>
    <cellStyle name="Texto Explicativo" xfId="11" builtinId="53"/>
    <cellStyle name="Título 1" xfId="12" builtinId="16"/>
    <cellStyle name="Título 2" xfId="13" builtinId="17"/>
    <cellStyle name="Título 3" xfId="14" builtinId="18"/>
    <cellStyle name="Título 4" xfId="15" builtinId="19"/>
    <cellStyle name="Entrada" xfId="16" builtinId="20"/>
    <cellStyle name="Saída" xfId="17" builtinId="21"/>
    <cellStyle name="Cálculo" xfId="18" builtinId="22"/>
    <cellStyle name="Célula de Verificação" xfId="19" builtinId="23"/>
    <cellStyle name="Célula Vinculada" xfId="20" builtinId="24"/>
    <cellStyle name="Total" xfId="21" builtinId="25"/>
    <cellStyle name="Bom" xfId="22" builtinId="26"/>
    <cellStyle name="Ruim" xfId="23" builtinId="27"/>
    <cellStyle name="Neutro" xfId="24" builtinId="28"/>
    <cellStyle name="Ênfase 1" xfId="25" builtinId="29"/>
    <cellStyle name="20% - Ênfase 1" xfId="26" builtinId="30"/>
    <cellStyle name="40% - Ênfase 1" xfId="27" builtinId="31"/>
    <cellStyle name="60% - Ênfase 1" xfId="28" builtinId="32"/>
    <cellStyle name="Ênfase 2" xfId="29" builtinId="33"/>
    <cellStyle name="20% - Ênfase 2" xfId="30" builtinId="34"/>
    <cellStyle name="40% - Ênfase 2" xfId="31" builtinId="35"/>
    <cellStyle name="60% - Ênfase 2" xfId="32" builtinId="36"/>
    <cellStyle name="Ênfase 3" xfId="33" builtinId="37"/>
    <cellStyle name="20% - Ênfase 3" xfId="34" builtinId="38"/>
    <cellStyle name="40% - Ênfase 3" xfId="35" builtinId="39"/>
    <cellStyle name="60% - Ênfase 3" xfId="36" builtinId="40"/>
    <cellStyle name="Ênfase 4" xfId="37" builtinId="41"/>
    <cellStyle name="20% - Ênfase 4" xfId="38" builtinId="42"/>
    <cellStyle name="40% - Ênfase 4" xfId="39" builtinId="43"/>
    <cellStyle name="60% - Ênfase 4" xfId="40" builtinId="44"/>
    <cellStyle name="Ênfase 5" xfId="41" builtinId="45"/>
    <cellStyle name="20% - Ênfase 5" xfId="42" builtinId="46"/>
    <cellStyle name="40% - Ênfase 5" xfId="43" builtinId="47"/>
    <cellStyle name="60% - Ênfase 5" xfId="44" builtinId="48"/>
    <cellStyle name="Ênfase 6" xfId="45" builtinId="49"/>
    <cellStyle name="20% - Ênfase 6" xfId="46" builtinId="50"/>
    <cellStyle name="40% - Ênfase 6" xfId="47" builtinId="51"/>
    <cellStyle name="60% - Ênfase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colors>
    <indexedColors>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BFBFBF"/>
      <rgbColor rgb="00999999"/>
      <rgbColor rgb="00A5A5A5"/>
      <rgbColor rgb="00993366"/>
      <rgbColor rgb="00FFFFCC"/>
      <rgbColor rgb="00D8ECF6"/>
      <rgbColor rgb="00660066"/>
      <rgbColor rgb="00C8CACB"/>
      <rgbColor rgb="000563C1"/>
      <rgbColor rgb="00D6D6D6"/>
      <rgbColor rgb="00000080"/>
      <rgbColor rgb="00FF00FF"/>
      <rgbColor rgb="00FFFF00"/>
      <rgbColor rgb="0000FFFF"/>
      <rgbColor rgb="00800080"/>
      <rgbColor rgb="00800000"/>
      <rgbColor rgb="00008080"/>
      <rgbColor rgb="000000FF"/>
      <rgbColor rgb="0000CCFF"/>
      <rgbColor rgb="00EFEFEF"/>
      <rgbColor rgb="00DFF0D8"/>
      <rgbColor rgb="00F7F3DF"/>
      <rgbColor rgb="0092CDDC"/>
      <rgbColor rgb="00B7B7B7"/>
      <rgbColor rgb="00B4A7D6"/>
      <rgbColor rgb="00D9D9D9"/>
      <rgbColor rgb="003366FF"/>
      <rgbColor rgb="00B6DDE8"/>
      <rgbColor rgb="00CCCCCC"/>
      <rgbColor rgb="00FFCC00"/>
      <rgbColor rgb="00FF9900"/>
      <rgbColor rgb="00FF6600"/>
      <rgbColor rgb="00666699"/>
      <rgbColor rgb="00969696"/>
      <rgbColor rgb="00003366"/>
      <rgbColor rgb="00339966"/>
      <rgbColor rgb="00003300"/>
      <rgbColor rgb="00333300"/>
      <rgbColor rgb="00993300"/>
      <rgbColor rgb="00993366"/>
      <rgbColor rgb="00333399"/>
      <rgbColor rgb="00333333"/>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7" Type="http://schemas.openxmlformats.org/officeDocument/2006/relationships/styles" Target="styles.xml"/><Relationship Id="rId16" Type="http://schemas.openxmlformats.org/officeDocument/2006/relationships/sharedStrings" Target="sharedStrings.xml"/><Relationship Id="rId15" Type="http://schemas.openxmlformats.org/officeDocument/2006/relationships/theme" Target="theme/theme1.xml"/><Relationship Id="rId14" Type="http://schemas.openxmlformats.org/officeDocument/2006/relationships/externalLink" Target="externalLinks/externalLink3.xml"/><Relationship Id="rId13" Type="http://schemas.openxmlformats.org/officeDocument/2006/relationships/externalLink" Target="externalLinks/externalLink2.xml"/><Relationship Id="rId12" Type="http://schemas.openxmlformats.org/officeDocument/2006/relationships/externalLink" Target="externalLinks/externalLink1.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6.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png"/></Relationships>
</file>

<file path=xl/drawings/_rels/drawing7.xml.rels><?xml version="1.0" encoding="UTF-8" standalone="yes"?>
<Relationships xmlns="http://schemas.openxmlformats.org/package/2006/relationships"><Relationship Id="rId3" Type="http://schemas.openxmlformats.org/officeDocument/2006/relationships/image" Target="../media/image4.png"/><Relationship Id="rId2" Type="http://schemas.openxmlformats.org/officeDocument/2006/relationships/image" Target="../media/image2.png"/><Relationship Id="rId1" Type="http://schemas.openxmlformats.org/officeDocument/2006/relationships/image" Target="../media/image1.png"/></Relationships>
</file>

<file path=xl/drawings/_rels/drawing8.xml.rels><?xml version="1.0" encoding="UTF-8" standalone="yes"?>
<Relationships xmlns="http://schemas.openxmlformats.org/package/2006/relationships"><Relationship Id="rId3" Type="http://schemas.openxmlformats.org/officeDocument/2006/relationships/image" Target="../media/image5.jpeg"/><Relationship Id="rId2" Type="http://schemas.openxmlformats.org/officeDocument/2006/relationships/image" Target="../media/image2.png"/><Relationship Id="rId1" Type="http://schemas.openxmlformats.org/officeDocument/2006/relationships/image" Target="../media/image1.png"/></Relationships>
</file>

<file path=xl/drawings/_rels/drawing9.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10.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1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66600</xdr:colOff>
      <xdr:row>3</xdr:row>
      <xdr:rowOff>0</xdr:rowOff>
    </xdr:from>
    <xdr:to>
      <xdr:col>5</xdr:col>
      <xdr:colOff>288000</xdr:colOff>
      <xdr:row>8</xdr:row>
      <xdr:rowOff>8640</xdr:rowOff>
    </xdr:to>
    <xdr:pic>
      <xdr:nvPicPr>
        <xdr:cNvPr id="2" name="image2.png"/>
        <xdr:cNvPicPr/>
      </xdr:nvPicPr>
      <xdr:blipFill>
        <a:blip r:embed="rId1"/>
        <a:stretch>
          <a:fillRect/>
        </a:stretch>
      </xdr:blipFill>
      <xdr:spPr>
        <a:xfrm>
          <a:off x="66040" y="542925"/>
          <a:ext cx="3504565" cy="932180"/>
        </a:xfrm>
        <a:prstGeom prst="rect">
          <a:avLst/>
        </a:prstGeom>
        <a:ln w="0">
          <a:noFill/>
        </a:ln>
      </xdr:spPr>
    </xdr:pic>
    <xdr:clientData/>
  </xdr:twoCellAnchor>
  <xdr:twoCellAnchor editAs="oneCell">
    <xdr:from>
      <xdr:col>5</xdr:col>
      <xdr:colOff>504720</xdr:colOff>
      <xdr:row>3</xdr:row>
      <xdr:rowOff>104760</xdr:rowOff>
    </xdr:from>
    <xdr:to>
      <xdr:col>8</xdr:col>
      <xdr:colOff>1166400</xdr:colOff>
      <xdr:row>7</xdr:row>
      <xdr:rowOff>84960</xdr:rowOff>
    </xdr:to>
    <xdr:pic>
      <xdr:nvPicPr>
        <xdr:cNvPr id="3" name="image1.png"/>
        <xdr:cNvPicPr/>
      </xdr:nvPicPr>
      <xdr:blipFill>
        <a:blip r:embed="rId2"/>
        <a:stretch>
          <a:fillRect/>
        </a:stretch>
      </xdr:blipFill>
      <xdr:spPr>
        <a:xfrm>
          <a:off x="3787140" y="647065"/>
          <a:ext cx="2660650" cy="713740"/>
        </a:xfrm>
        <a:prstGeom prst="rect">
          <a:avLst/>
        </a:prstGeom>
        <a:ln w="0">
          <a:noFill/>
        </a:ln>
      </xdr:spPr>
    </xdr:pic>
    <xdr:clientData/>
  </xdr:twoCellAnchor>
</xdr:wsDr>
</file>

<file path=xl/drawings/drawing2.xml><?xml version="1.0" encoding="utf-8"?>
<xdr:wsDr xmlns:xdr="http://schemas.openxmlformats.org/drawingml/2006/spreadsheetDrawing" xmlns:r="http://schemas.openxmlformats.org/officeDocument/2006/relationships" xmlns:a="http://schemas.openxmlformats.org/drawingml/2006/main">
  <xdr:twoCellAnchor editAs="oneCell">
    <xdr:from>
      <xdr:col>1</xdr:col>
      <xdr:colOff>723960</xdr:colOff>
      <xdr:row>0</xdr:row>
      <xdr:rowOff>266760</xdr:rowOff>
    </xdr:from>
    <xdr:to>
      <xdr:col>3</xdr:col>
      <xdr:colOff>1902960</xdr:colOff>
      <xdr:row>0</xdr:row>
      <xdr:rowOff>1199520</xdr:rowOff>
    </xdr:to>
    <xdr:pic>
      <xdr:nvPicPr>
        <xdr:cNvPr id="2" name="image2.png"/>
        <xdr:cNvPicPr/>
      </xdr:nvPicPr>
      <xdr:blipFill>
        <a:blip r:embed="rId1"/>
        <a:stretch>
          <a:fillRect/>
        </a:stretch>
      </xdr:blipFill>
      <xdr:spPr>
        <a:xfrm>
          <a:off x="1362710" y="266700"/>
          <a:ext cx="3521710" cy="932815"/>
        </a:xfrm>
        <a:prstGeom prst="rect">
          <a:avLst/>
        </a:prstGeom>
        <a:ln w="0">
          <a:noFill/>
        </a:ln>
      </xdr:spPr>
    </xdr:pic>
    <xdr:clientData/>
  </xdr:twoCellAnchor>
  <xdr:twoCellAnchor editAs="oneCell">
    <xdr:from>
      <xdr:col>5</xdr:col>
      <xdr:colOff>9360</xdr:colOff>
      <xdr:row>0</xdr:row>
      <xdr:rowOff>361800</xdr:rowOff>
    </xdr:from>
    <xdr:to>
      <xdr:col>7</xdr:col>
      <xdr:colOff>854280</xdr:colOff>
      <xdr:row>0</xdr:row>
      <xdr:rowOff>1075320</xdr:rowOff>
    </xdr:to>
    <xdr:pic>
      <xdr:nvPicPr>
        <xdr:cNvPr id="3" name="image1.png"/>
        <xdr:cNvPicPr/>
      </xdr:nvPicPr>
      <xdr:blipFill>
        <a:blip r:embed="rId2"/>
        <a:stretch>
          <a:fillRect/>
        </a:stretch>
      </xdr:blipFill>
      <xdr:spPr>
        <a:xfrm>
          <a:off x="8105140" y="361315"/>
          <a:ext cx="2665095" cy="713740"/>
        </a:xfrm>
        <a:prstGeom prst="rect">
          <a:avLst/>
        </a:prstGeom>
        <a:ln w="0">
          <a:noFill/>
        </a:ln>
      </xdr:spPr>
    </xdr:pic>
    <xdr:clientData/>
  </xdr:twoCellAnchor>
</xdr:wsDr>
</file>

<file path=xl/drawings/drawing3.xml><?xml version="1.0" encoding="utf-8"?>
<xdr:wsDr xmlns:xdr="http://schemas.openxmlformats.org/drawingml/2006/spreadsheetDrawing" xmlns:r="http://schemas.openxmlformats.org/officeDocument/2006/relationships" xmlns:a="http://schemas.openxmlformats.org/drawingml/2006/main">
  <xdr:twoCellAnchor editAs="oneCell">
    <xdr:from>
      <xdr:col>3</xdr:col>
      <xdr:colOff>600120</xdr:colOff>
      <xdr:row>0</xdr:row>
      <xdr:rowOff>295200</xdr:rowOff>
    </xdr:from>
    <xdr:to>
      <xdr:col>5</xdr:col>
      <xdr:colOff>2321280</xdr:colOff>
      <xdr:row>0</xdr:row>
      <xdr:rowOff>1227960</xdr:rowOff>
    </xdr:to>
    <xdr:pic>
      <xdr:nvPicPr>
        <xdr:cNvPr id="4" name="image2.png"/>
        <xdr:cNvPicPr/>
      </xdr:nvPicPr>
      <xdr:blipFill>
        <a:blip r:embed="rId1"/>
        <a:stretch>
          <a:fillRect/>
        </a:stretch>
      </xdr:blipFill>
      <xdr:spPr>
        <a:xfrm>
          <a:off x="3180715" y="294640"/>
          <a:ext cx="3530600" cy="932815"/>
        </a:xfrm>
        <a:prstGeom prst="rect">
          <a:avLst/>
        </a:prstGeom>
        <a:ln w="0">
          <a:noFill/>
        </a:ln>
      </xdr:spPr>
    </xdr:pic>
    <xdr:clientData/>
  </xdr:twoCellAnchor>
  <xdr:twoCellAnchor editAs="oneCell">
    <xdr:from>
      <xdr:col>7</xdr:col>
      <xdr:colOff>142920</xdr:colOff>
      <xdr:row>0</xdr:row>
      <xdr:rowOff>390600</xdr:rowOff>
    </xdr:from>
    <xdr:to>
      <xdr:col>10</xdr:col>
      <xdr:colOff>445680</xdr:colOff>
      <xdr:row>0</xdr:row>
      <xdr:rowOff>1104120</xdr:rowOff>
    </xdr:to>
    <xdr:pic>
      <xdr:nvPicPr>
        <xdr:cNvPr id="5" name="image1.png"/>
        <xdr:cNvPicPr/>
      </xdr:nvPicPr>
      <xdr:blipFill>
        <a:blip r:embed="rId2"/>
        <a:stretch>
          <a:fillRect/>
        </a:stretch>
      </xdr:blipFill>
      <xdr:spPr>
        <a:xfrm>
          <a:off x="10248265" y="390525"/>
          <a:ext cx="2655570" cy="713105"/>
        </a:xfrm>
        <a:prstGeom prst="rect">
          <a:avLst/>
        </a:prstGeom>
        <a:ln w="0">
          <a:noFill/>
        </a:ln>
      </xdr:spPr>
    </xdr:pic>
    <xdr:clientData/>
  </xdr:twoCellAnchor>
</xdr:wsDr>
</file>

<file path=xl/drawings/drawing4.xml><?xml version="1.0" encoding="utf-8"?>
<xdr:wsDr xmlns:xdr="http://schemas.openxmlformats.org/drawingml/2006/spreadsheetDrawing" xmlns:r="http://schemas.openxmlformats.org/officeDocument/2006/relationships" xmlns:a="http://schemas.openxmlformats.org/drawingml/2006/main">
  <xdr:twoCellAnchor editAs="oneCell">
    <xdr:from>
      <xdr:col>3</xdr:col>
      <xdr:colOff>828720</xdr:colOff>
      <xdr:row>0</xdr:row>
      <xdr:rowOff>228600</xdr:rowOff>
    </xdr:from>
    <xdr:to>
      <xdr:col>5</xdr:col>
      <xdr:colOff>2124000</xdr:colOff>
      <xdr:row>0</xdr:row>
      <xdr:rowOff>1161360</xdr:rowOff>
    </xdr:to>
    <xdr:pic>
      <xdr:nvPicPr>
        <xdr:cNvPr id="6" name="image2.png"/>
        <xdr:cNvPicPr/>
      </xdr:nvPicPr>
      <xdr:blipFill>
        <a:blip r:embed="rId1"/>
        <a:stretch>
          <a:fillRect/>
        </a:stretch>
      </xdr:blipFill>
      <xdr:spPr>
        <a:xfrm>
          <a:off x="2513965" y="228600"/>
          <a:ext cx="3523615" cy="932180"/>
        </a:xfrm>
        <a:prstGeom prst="rect">
          <a:avLst/>
        </a:prstGeom>
        <a:ln w="0">
          <a:noFill/>
        </a:ln>
      </xdr:spPr>
    </xdr:pic>
    <xdr:clientData/>
  </xdr:twoCellAnchor>
  <xdr:twoCellAnchor editAs="oneCell">
    <xdr:from>
      <xdr:col>7</xdr:col>
      <xdr:colOff>333360</xdr:colOff>
      <xdr:row>0</xdr:row>
      <xdr:rowOff>333360</xdr:rowOff>
    </xdr:from>
    <xdr:to>
      <xdr:col>10</xdr:col>
      <xdr:colOff>335880</xdr:colOff>
      <xdr:row>0</xdr:row>
      <xdr:rowOff>1046880</xdr:rowOff>
    </xdr:to>
    <xdr:pic>
      <xdr:nvPicPr>
        <xdr:cNvPr id="7" name="image1.png"/>
        <xdr:cNvPicPr/>
      </xdr:nvPicPr>
      <xdr:blipFill>
        <a:blip r:embed="rId2"/>
        <a:stretch>
          <a:fillRect/>
        </a:stretch>
      </xdr:blipFill>
      <xdr:spPr>
        <a:xfrm>
          <a:off x="9570720" y="332740"/>
          <a:ext cx="2650490" cy="713740"/>
        </a:xfrm>
        <a:prstGeom prst="rect">
          <a:avLst/>
        </a:prstGeom>
        <a:ln w="0">
          <a:noFill/>
        </a:ln>
      </xdr:spPr>
    </xdr:pic>
    <xdr:clientData/>
  </xdr:twoCellAnchor>
</xdr:wsDr>
</file>

<file path=xl/drawings/drawing5.xml><?xml version="1.0" encoding="utf-8"?>
<xdr:wsDr xmlns:xdr="http://schemas.openxmlformats.org/drawingml/2006/spreadsheetDrawing" xmlns:r="http://schemas.openxmlformats.org/officeDocument/2006/relationships" xmlns:a="http://schemas.openxmlformats.org/drawingml/2006/main">
  <xdr:twoCellAnchor editAs="oneCell">
    <xdr:from>
      <xdr:col>1</xdr:col>
      <xdr:colOff>374760</xdr:colOff>
      <xdr:row>0</xdr:row>
      <xdr:rowOff>146160</xdr:rowOff>
    </xdr:from>
    <xdr:to>
      <xdr:col>3</xdr:col>
      <xdr:colOff>2279880</xdr:colOff>
      <xdr:row>0</xdr:row>
      <xdr:rowOff>1078920</xdr:rowOff>
    </xdr:to>
    <xdr:pic>
      <xdr:nvPicPr>
        <xdr:cNvPr id="8" name="image2.png"/>
        <xdr:cNvPicPr/>
      </xdr:nvPicPr>
      <xdr:blipFill>
        <a:blip r:embed="rId1"/>
        <a:stretch>
          <a:fillRect/>
        </a:stretch>
      </xdr:blipFill>
      <xdr:spPr>
        <a:xfrm>
          <a:off x="955040" y="146050"/>
          <a:ext cx="3533140" cy="932815"/>
        </a:xfrm>
        <a:prstGeom prst="rect">
          <a:avLst/>
        </a:prstGeom>
        <a:ln w="0">
          <a:noFill/>
        </a:ln>
      </xdr:spPr>
    </xdr:pic>
    <xdr:clientData/>
  </xdr:twoCellAnchor>
  <xdr:twoCellAnchor editAs="oneCell">
    <xdr:from>
      <xdr:col>6</xdr:col>
      <xdr:colOff>152280</xdr:colOff>
      <xdr:row>0</xdr:row>
      <xdr:rowOff>235080</xdr:rowOff>
    </xdr:from>
    <xdr:to>
      <xdr:col>8</xdr:col>
      <xdr:colOff>803880</xdr:colOff>
      <xdr:row>0</xdr:row>
      <xdr:rowOff>948600</xdr:rowOff>
    </xdr:to>
    <xdr:pic>
      <xdr:nvPicPr>
        <xdr:cNvPr id="9" name="image1.png"/>
        <xdr:cNvPicPr/>
      </xdr:nvPicPr>
      <xdr:blipFill>
        <a:blip r:embed="rId2"/>
        <a:stretch>
          <a:fillRect/>
        </a:stretch>
      </xdr:blipFill>
      <xdr:spPr>
        <a:xfrm>
          <a:off x="9495155" y="234950"/>
          <a:ext cx="2660650" cy="713105"/>
        </a:xfrm>
        <a:prstGeom prst="rect">
          <a:avLst/>
        </a:prstGeom>
        <a:ln w="0">
          <a:noFill/>
        </a:ln>
      </xdr:spPr>
    </xdr:pic>
    <xdr:clientData/>
  </xdr:twoCellAnchor>
</xdr:wsDr>
</file>

<file path=xl/drawings/drawing6.xml><?xml version="1.0" encoding="utf-8"?>
<xdr:wsDr xmlns:xdr="http://schemas.openxmlformats.org/drawingml/2006/spreadsheetDrawing" xmlns:r="http://schemas.openxmlformats.org/officeDocument/2006/relationships" xmlns:a="http://schemas.openxmlformats.org/drawingml/2006/main">
  <xdr:twoCellAnchor editAs="oneCell">
    <xdr:from>
      <xdr:col>1</xdr:col>
      <xdr:colOff>209520</xdr:colOff>
      <xdr:row>0</xdr:row>
      <xdr:rowOff>314280</xdr:rowOff>
    </xdr:from>
    <xdr:to>
      <xdr:col>2</xdr:col>
      <xdr:colOff>2754360</xdr:colOff>
      <xdr:row>0</xdr:row>
      <xdr:rowOff>1247040</xdr:rowOff>
    </xdr:to>
    <xdr:pic>
      <xdr:nvPicPr>
        <xdr:cNvPr id="10" name="image2.png"/>
        <xdr:cNvPicPr/>
      </xdr:nvPicPr>
      <xdr:blipFill>
        <a:blip r:embed="rId1"/>
        <a:stretch>
          <a:fillRect/>
        </a:stretch>
      </xdr:blipFill>
      <xdr:spPr>
        <a:xfrm>
          <a:off x="894715" y="313690"/>
          <a:ext cx="3544570" cy="932815"/>
        </a:xfrm>
        <a:prstGeom prst="rect">
          <a:avLst/>
        </a:prstGeom>
        <a:ln w="0">
          <a:noFill/>
        </a:ln>
      </xdr:spPr>
    </xdr:pic>
    <xdr:clientData/>
  </xdr:twoCellAnchor>
  <xdr:twoCellAnchor editAs="oneCell">
    <xdr:from>
      <xdr:col>4</xdr:col>
      <xdr:colOff>581040</xdr:colOff>
      <xdr:row>0</xdr:row>
      <xdr:rowOff>399960</xdr:rowOff>
    </xdr:from>
    <xdr:to>
      <xdr:col>6</xdr:col>
      <xdr:colOff>990000</xdr:colOff>
      <xdr:row>0</xdr:row>
      <xdr:rowOff>1113480</xdr:rowOff>
    </xdr:to>
    <xdr:pic>
      <xdr:nvPicPr>
        <xdr:cNvPr id="11" name="image1.png"/>
        <xdr:cNvPicPr/>
      </xdr:nvPicPr>
      <xdr:blipFill>
        <a:blip r:embed="rId2"/>
        <a:stretch>
          <a:fillRect/>
        </a:stretch>
      </xdr:blipFill>
      <xdr:spPr>
        <a:xfrm>
          <a:off x="6161405" y="399415"/>
          <a:ext cx="2656840" cy="713740"/>
        </a:xfrm>
        <a:prstGeom prst="rect">
          <a:avLst/>
        </a:prstGeom>
        <a:ln w="0">
          <a:noFill/>
        </a:ln>
      </xdr:spPr>
    </xdr:pic>
    <xdr:clientData/>
  </xdr:twoCellAnchor>
  <xdr:twoCellAnchor editAs="oneCell">
    <xdr:from>
      <xdr:col>0</xdr:col>
      <xdr:colOff>28440</xdr:colOff>
      <xdr:row>6</xdr:row>
      <xdr:rowOff>142920</xdr:rowOff>
    </xdr:from>
    <xdr:to>
      <xdr:col>8</xdr:col>
      <xdr:colOff>1065960</xdr:colOff>
      <xdr:row>26</xdr:row>
      <xdr:rowOff>69120</xdr:rowOff>
    </xdr:to>
    <xdr:pic>
      <xdr:nvPicPr>
        <xdr:cNvPr id="12" name="Imagem 3"/>
        <xdr:cNvPicPr/>
      </xdr:nvPicPr>
      <xdr:blipFill>
        <a:blip r:embed="rId3"/>
        <a:stretch>
          <a:fillRect/>
        </a:stretch>
      </xdr:blipFill>
      <xdr:spPr>
        <a:xfrm>
          <a:off x="27940" y="3324225"/>
          <a:ext cx="11113770" cy="3164205"/>
        </a:xfrm>
        <a:prstGeom prst="rect">
          <a:avLst/>
        </a:prstGeom>
        <a:ln w="0">
          <a:noFill/>
        </a:ln>
      </xdr:spPr>
    </xdr:pic>
    <xdr:clientData/>
  </xdr:twoCellAnchor>
</xdr:wsDr>
</file>

<file path=xl/drawings/drawing7.xml><?xml version="1.0" encoding="utf-8"?>
<xdr:wsDr xmlns:xdr="http://schemas.openxmlformats.org/drawingml/2006/spreadsheetDrawing" xmlns:r="http://schemas.openxmlformats.org/officeDocument/2006/relationships" xmlns:a="http://schemas.openxmlformats.org/drawingml/2006/main">
  <xdr:twoCellAnchor editAs="oneCell">
    <xdr:from>
      <xdr:col>1</xdr:col>
      <xdr:colOff>209520</xdr:colOff>
      <xdr:row>0</xdr:row>
      <xdr:rowOff>314280</xdr:rowOff>
    </xdr:from>
    <xdr:to>
      <xdr:col>2</xdr:col>
      <xdr:colOff>2754360</xdr:colOff>
      <xdr:row>0</xdr:row>
      <xdr:rowOff>1247040</xdr:rowOff>
    </xdr:to>
    <xdr:pic>
      <xdr:nvPicPr>
        <xdr:cNvPr id="13" name="image2.png"/>
        <xdr:cNvPicPr/>
      </xdr:nvPicPr>
      <xdr:blipFill>
        <a:blip r:embed="rId1"/>
        <a:stretch>
          <a:fillRect/>
        </a:stretch>
      </xdr:blipFill>
      <xdr:spPr>
        <a:xfrm>
          <a:off x="894715" y="313690"/>
          <a:ext cx="3544570" cy="932815"/>
        </a:xfrm>
        <a:prstGeom prst="rect">
          <a:avLst/>
        </a:prstGeom>
        <a:ln w="0">
          <a:noFill/>
        </a:ln>
      </xdr:spPr>
    </xdr:pic>
    <xdr:clientData/>
  </xdr:twoCellAnchor>
  <xdr:twoCellAnchor editAs="oneCell">
    <xdr:from>
      <xdr:col>4</xdr:col>
      <xdr:colOff>581040</xdr:colOff>
      <xdr:row>0</xdr:row>
      <xdr:rowOff>399960</xdr:rowOff>
    </xdr:from>
    <xdr:to>
      <xdr:col>7</xdr:col>
      <xdr:colOff>50760</xdr:colOff>
      <xdr:row>0</xdr:row>
      <xdr:rowOff>1113480</xdr:rowOff>
    </xdr:to>
    <xdr:pic>
      <xdr:nvPicPr>
        <xdr:cNvPr id="14" name="image1.png"/>
        <xdr:cNvPicPr/>
      </xdr:nvPicPr>
      <xdr:blipFill>
        <a:blip r:embed="rId2"/>
        <a:stretch>
          <a:fillRect/>
        </a:stretch>
      </xdr:blipFill>
      <xdr:spPr>
        <a:xfrm>
          <a:off x="6161405" y="399415"/>
          <a:ext cx="2642870" cy="713740"/>
        </a:xfrm>
        <a:prstGeom prst="rect">
          <a:avLst/>
        </a:prstGeom>
        <a:ln w="0">
          <a:noFill/>
        </a:ln>
      </xdr:spPr>
    </xdr:pic>
    <xdr:clientData/>
  </xdr:twoCellAnchor>
  <xdr:twoCellAnchor editAs="oneCell">
    <xdr:from>
      <xdr:col>0</xdr:col>
      <xdr:colOff>38160</xdr:colOff>
      <xdr:row>7</xdr:row>
      <xdr:rowOff>104760</xdr:rowOff>
    </xdr:from>
    <xdr:to>
      <xdr:col>8</xdr:col>
      <xdr:colOff>922320</xdr:colOff>
      <xdr:row>26</xdr:row>
      <xdr:rowOff>107280</xdr:rowOff>
    </xdr:to>
    <xdr:pic>
      <xdr:nvPicPr>
        <xdr:cNvPr id="15" name="Imagem 3"/>
        <xdr:cNvPicPr/>
      </xdr:nvPicPr>
      <xdr:blipFill>
        <a:blip r:embed="rId3"/>
        <a:stretch>
          <a:fillRect/>
        </a:stretch>
      </xdr:blipFill>
      <xdr:spPr>
        <a:xfrm>
          <a:off x="38100" y="3447415"/>
          <a:ext cx="10695940" cy="3079115"/>
        </a:xfrm>
        <a:prstGeom prst="rect">
          <a:avLst/>
        </a:prstGeom>
        <a:ln w="0">
          <a:noFill/>
        </a:ln>
      </xdr:spPr>
    </xdr:pic>
    <xdr:clientData/>
  </xdr:twoCellAnchor>
</xdr:wsDr>
</file>

<file path=xl/drawings/drawing8.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666720</xdr:colOff>
      <xdr:row>0</xdr:row>
      <xdr:rowOff>285840</xdr:rowOff>
    </xdr:from>
    <xdr:to>
      <xdr:col>3</xdr:col>
      <xdr:colOff>102600</xdr:colOff>
      <xdr:row>0</xdr:row>
      <xdr:rowOff>1218600</xdr:rowOff>
    </xdr:to>
    <xdr:pic>
      <xdr:nvPicPr>
        <xdr:cNvPr id="16" name="image2.png"/>
        <xdr:cNvPicPr/>
      </xdr:nvPicPr>
      <xdr:blipFill>
        <a:blip r:embed="rId1"/>
        <a:stretch>
          <a:fillRect/>
        </a:stretch>
      </xdr:blipFill>
      <xdr:spPr>
        <a:xfrm>
          <a:off x="666115" y="285750"/>
          <a:ext cx="3495040" cy="932815"/>
        </a:xfrm>
        <a:prstGeom prst="rect">
          <a:avLst/>
        </a:prstGeom>
        <a:ln w="0">
          <a:noFill/>
        </a:ln>
      </xdr:spPr>
    </xdr:pic>
    <xdr:clientData/>
  </xdr:twoCellAnchor>
  <xdr:twoCellAnchor editAs="oneCell">
    <xdr:from>
      <xdr:col>6</xdr:col>
      <xdr:colOff>100800</xdr:colOff>
      <xdr:row>0</xdr:row>
      <xdr:rowOff>485640</xdr:rowOff>
    </xdr:from>
    <xdr:to>
      <xdr:col>7</xdr:col>
      <xdr:colOff>239400</xdr:colOff>
      <xdr:row>0</xdr:row>
      <xdr:rowOff>1199160</xdr:rowOff>
    </xdr:to>
    <xdr:pic>
      <xdr:nvPicPr>
        <xdr:cNvPr id="17" name="image1.png"/>
        <xdr:cNvPicPr/>
      </xdr:nvPicPr>
      <xdr:blipFill>
        <a:blip r:embed="rId2"/>
        <a:stretch>
          <a:fillRect/>
        </a:stretch>
      </xdr:blipFill>
      <xdr:spPr>
        <a:xfrm>
          <a:off x="6606540" y="485140"/>
          <a:ext cx="2653665" cy="713740"/>
        </a:xfrm>
        <a:prstGeom prst="rect">
          <a:avLst/>
        </a:prstGeom>
        <a:ln w="0">
          <a:noFill/>
        </a:ln>
      </xdr:spPr>
    </xdr:pic>
    <xdr:clientData/>
  </xdr:twoCellAnchor>
  <xdr:twoCellAnchor editAs="oneCell">
    <xdr:from>
      <xdr:col>1</xdr:col>
      <xdr:colOff>727200</xdr:colOff>
      <xdr:row>6</xdr:row>
      <xdr:rowOff>162000</xdr:rowOff>
    </xdr:from>
    <xdr:to>
      <xdr:col>6</xdr:col>
      <xdr:colOff>1692720</xdr:colOff>
      <xdr:row>55</xdr:row>
      <xdr:rowOff>129240</xdr:rowOff>
    </xdr:to>
    <xdr:pic>
      <xdr:nvPicPr>
        <xdr:cNvPr id="18" name="image7.jpg"/>
        <xdr:cNvPicPr/>
      </xdr:nvPicPr>
      <xdr:blipFill>
        <a:blip r:embed="rId3"/>
        <a:stretch>
          <a:fillRect/>
        </a:stretch>
      </xdr:blipFill>
      <xdr:spPr>
        <a:xfrm>
          <a:off x="1784985" y="3267075"/>
          <a:ext cx="6413500" cy="9634855"/>
        </a:xfrm>
        <a:prstGeom prst="rect">
          <a:avLst/>
        </a:prstGeom>
        <a:ln w="0">
          <a:noFill/>
        </a:ln>
      </xdr:spPr>
    </xdr:pic>
    <xdr:clientData/>
  </xdr:twoCellAnchor>
</xdr:wsDr>
</file>

<file path=xl/drawings/drawing9.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666720</xdr:colOff>
      <xdr:row>0</xdr:row>
      <xdr:rowOff>285840</xdr:rowOff>
    </xdr:from>
    <xdr:to>
      <xdr:col>2</xdr:col>
      <xdr:colOff>1836000</xdr:colOff>
      <xdr:row>0</xdr:row>
      <xdr:rowOff>1218600</xdr:rowOff>
    </xdr:to>
    <xdr:pic>
      <xdr:nvPicPr>
        <xdr:cNvPr id="19" name="image2.png"/>
        <xdr:cNvPicPr/>
      </xdr:nvPicPr>
      <xdr:blipFill>
        <a:blip r:embed="rId1"/>
        <a:stretch>
          <a:fillRect/>
        </a:stretch>
      </xdr:blipFill>
      <xdr:spPr>
        <a:xfrm>
          <a:off x="666115" y="285750"/>
          <a:ext cx="3522980" cy="932815"/>
        </a:xfrm>
        <a:prstGeom prst="rect">
          <a:avLst/>
        </a:prstGeom>
        <a:ln w="0">
          <a:noFill/>
        </a:ln>
      </xdr:spPr>
    </xdr:pic>
    <xdr:clientData/>
  </xdr:twoCellAnchor>
  <xdr:twoCellAnchor editAs="oneCell">
    <xdr:from>
      <xdr:col>3</xdr:col>
      <xdr:colOff>2305080</xdr:colOff>
      <xdr:row>0</xdr:row>
      <xdr:rowOff>438120</xdr:rowOff>
    </xdr:from>
    <xdr:to>
      <xdr:col>6</xdr:col>
      <xdr:colOff>884160</xdr:colOff>
      <xdr:row>0</xdr:row>
      <xdr:rowOff>1151640</xdr:rowOff>
    </xdr:to>
    <xdr:pic>
      <xdr:nvPicPr>
        <xdr:cNvPr id="20" name="image1.png"/>
        <xdr:cNvPicPr/>
      </xdr:nvPicPr>
      <xdr:blipFill>
        <a:blip r:embed="rId2"/>
        <a:stretch>
          <a:fillRect/>
        </a:stretch>
      </xdr:blipFill>
      <xdr:spPr>
        <a:xfrm>
          <a:off x="10982960" y="437515"/>
          <a:ext cx="2628265" cy="713740"/>
        </a:xfrm>
        <a:prstGeom prst="rect">
          <a:avLst/>
        </a:prstGeom>
        <a:ln w="0">
          <a:noFill/>
        </a:ln>
      </xdr:spPr>
    </xdr:pic>
    <xdr:clientData/>
  </xdr:twoCellAnchor>
</xdr:wsDr>
</file>

<file path=xl/drawings/drawing10.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666720</xdr:colOff>
      <xdr:row>0</xdr:row>
      <xdr:rowOff>285840</xdr:rowOff>
    </xdr:from>
    <xdr:to>
      <xdr:col>2</xdr:col>
      <xdr:colOff>1836000</xdr:colOff>
      <xdr:row>0</xdr:row>
      <xdr:rowOff>1218600</xdr:rowOff>
    </xdr:to>
    <xdr:pic>
      <xdr:nvPicPr>
        <xdr:cNvPr id="21" name="image2.png"/>
        <xdr:cNvPicPr/>
      </xdr:nvPicPr>
      <xdr:blipFill>
        <a:blip r:embed="rId1"/>
        <a:stretch>
          <a:fillRect/>
        </a:stretch>
      </xdr:blipFill>
      <xdr:spPr>
        <a:xfrm>
          <a:off x="666115" y="285750"/>
          <a:ext cx="3522980" cy="932815"/>
        </a:xfrm>
        <a:prstGeom prst="rect">
          <a:avLst/>
        </a:prstGeom>
        <a:ln w="0">
          <a:noFill/>
        </a:ln>
      </xdr:spPr>
    </xdr:pic>
    <xdr:clientData/>
  </xdr:twoCellAnchor>
  <xdr:twoCellAnchor editAs="oneCell">
    <xdr:from>
      <xdr:col>2</xdr:col>
      <xdr:colOff>2305080</xdr:colOff>
      <xdr:row>0</xdr:row>
      <xdr:rowOff>438120</xdr:rowOff>
    </xdr:from>
    <xdr:to>
      <xdr:col>4</xdr:col>
      <xdr:colOff>477720</xdr:colOff>
      <xdr:row>0</xdr:row>
      <xdr:rowOff>1151640</xdr:rowOff>
    </xdr:to>
    <xdr:pic>
      <xdr:nvPicPr>
        <xdr:cNvPr id="22" name="image1.png"/>
        <xdr:cNvPicPr/>
      </xdr:nvPicPr>
      <xdr:blipFill>
        <a:blip r:embed="rId2"/>
        <a:stretch>
          <a:fillRect/>
        </a:stretch>
      </xdr:blipFill>
      <xdr:spPr>
        <a:xfrm>
          <a:off x="4658360" y="437515"/>
          <a:ext cx="2620010" cy="713740"/>
        </a:xfrm>
        <a:prstGeom prst="rect">
          <a:avLst/>
        </a:prstGeom>
        <a:ln w="0">
          <a:noFill/>
        </a:ln>
      </xdr:spPr>
    </xdr:pic>
    <xdr:clientData/>
  </xdr:twoCellAnchor>
</xdr:wsDr>
</file>

<file path=xl/drawings/drawing11.xml><?xml version="1.0" encoding="utf-8"?>
<xdr:wsDr xmlns:xdr="http://schemas.openxmlformats.org/drawingml/2006/spreadsheetDrawing" xmlns:r="http://schemas.openxmlformats.org/officeDocument/2006/relationships" xmlns:a="http://schemas.openxmlformats.org/drawingml/2006/main">
  <xdr:twoCellAnchor editAs="oneCell">
    <xdr:from>
      <xdr:col>1</xdr:col>
      <xdr:colOff>57240</xdr:colOff>
      <xdr:row>1</xdr:row>
      <xdr:rowOff>0</xdr:rowOff>
    </xdr:from>
    <xdr:to>
      <xdr:col>1</xdr:col>
      <xdr:colOff>3618720</xdr:colOff>
      <xdr:row>1</xdr:row>
      <xdr:rowOff>932760</xdr:rowOff>
    </xdr:to>
    <xdr:pic>
      <xdr:nvPicPr>
        <xdr:cNvPr id="23" name="image2.png"/>
        <xdr:cNvPicPr/>
      </xdr:nvPicPr>
      <xdr:blipFill>
        <a:blip r:embed="rId1"/>
        <a:stretch>
          <a:fillRect/>
        </a:stretch>
      </xdr:blipFill>
      <xdr:spPr>
        <a:xfrm>
          <a:off x="485140" y="238125"/>
          <a:ext cx="3561080" cy="932180"/>
        </a:xfrm>
        <a:prstGeom prst="rect">
          <a:avLst/>
        </a:prstGeom>
        <a:ln w="0">
          <a:noFill/>
        </a:ln>
      </xdr:spPr>
    </xdr:pic>
    <xdr:clientData/>
  </xdr:twoCellAnchor>
  <xdr:twoCellAnchor editAs="oneCell">
    <xdr:from>
      <xdr:col>4</xdr:col>
      <xdr:colOff>971640</xdr:colOff>
      <xdr:row>1</xdr:row>
      <xdr:rowOff>95400</xdr:rowOff>
    </xdr:from>
    <xdr:to>
      <xdr:col>7</xdr:col>
      <xdr:colOff>325440</xdr:colOff>
      <xdr:row>1</xdr:row>
      <xdr:rowOff>808920</xdr:rowOff>
    </xdr:to>
    <xdr:pic>
      <xdr:nvPicPr>
        <xdr:cNvPr id="24" name="image1.png"/>
        <xdr:cNvPicPr/>
      </xdr:nvPicPr>
      <xdr:blipFill>
        <a:blip r:embed="rId2"/>
        <a:stretch>
          <a:fillRect/>
        </a:stretch>
      </xdr:blipFill>
      <xdr:spPr>
        <a:xfrm>
          <a:off x="7573645" y="333375"/>
          <a:ext cx="2641600" cy="713105"/>
        </a:xfrm>
        <a:prstGeom prst="rect">
          <a:avLst/>
        </a:prstGeom>
        <a:ln w="0">
          <a:noFill/>
        </a:ln>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Users\jubor\AppData\Local\Microsoft\Windows\INetCache\IE\1YWCRM5F\..\..\..\Users\cintiageremiasclg.PAMAGL\AppData\Local\Temp\Temp1_planilha_multipla_v_3_06.zip\planilha-multipla-v-3.06\PM%203.06.xlsm"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Users\jubor\AppData\Local\Microsoft\Windows\INetCache\IE\1YWCRM5F\Curva%20ABC%20Insumos%20-%20Apenas%20Cota&#231;&#245;es%20para%20atualizar.xlsx"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Users\jubor\AppData\Local\Microsoft\Windows\INetCache\IE\1YWCRM5F\UFF%20GERAL_COM%20CORTE%20-%20Or&#231;amento%20Sint&#233;tico_R21.xlsx"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MENU"/>
      <sheetName val="DADOS"/>
      <sheetName val="NOVO"/>
      <sheetName val="BDI"/>
      <sheetName val="ORÇAMENTO"/>
      <sheetName val="CÁLCULO"/>
      <sheetName val="EVENTOS"/>
      <sheetName val="CRONO"/>
      <sheetName val="CRONOPLE"/>
      <sheetName val="PLE"/>
      <sheetName val="QCI"/>
      <sheetName val="BM"/>
      <sheetName val="RRE"/>
      <sheetName val="OFÍCIO"/>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Set>
  </externalBook>
</externalLink>
</file>

<file path=xl/externalLinks/externalLink2.xml><?xml version="1.0" encoding="utf-8"?>
<externalLink xmlns="http://schemas.openxmlformats.org/spreadsheetml/2006/main">
  <externalBook xmlns:r="http://schemas.openxmlformats.org/officeDocument/2006/relationships" r:id="rId1">
    <sheetNames>
      <sheetName val="Mapa de Cotações 2025 - Final"/>
      <sheetName val="2024 - Curva ABC de Insumos"/>
      <sheetName val="2024 - Mapa de Cotações"/>
      <sheetName val="2025 - Mapa de Cotações Atualiz"/>
      <sheetName val="2025 - Curva ABC de Insumos Atu"/>
    </sheetNames>
    <sheetDataSet>
      <sheetData sheetId="0"/>
      <sheetData sheetId="1">
        <row r="6">
          <cell r="B6" t="str">
            <v>UFF_COTAÇÃO 163</v>
          </cell>
          <cell r="C6" t="str">
            <v>Próprio</v>
          </cell>
        </row>
        <row r="6">
          <cell r="E6" t="str">
            <v>PAINEL GERAL DE BAIXA TENSÃO, AUTOPORTANTE (QGBT-AC), FABRICADOS CONFORME IEC NBR 60439-1, TENSÃO 380V, BARRAMENTO TRIPOLAR+NEUTRO+TERRA DE 4000A, COM UM CIRCUITO DE ENTRADA COM DISJUNTOR GERAL ABERTO DE 4000A, 1 RELE DE MULTIFUNÇÃO, COM DISJUNTORES DE SAÍDA EM CAIXA MOLDADA ICC=100kA, COMPLETO. FORNECIMENTO E MONTAGEM.</v>
          </cell>
          <cell r="F6" t="str">
            <v>Material</v>
          </cell>
          <cell r="G6" t="str">
            <v>UN</v>
          </cell>
          <cell r="H6" t="str">
            <v>1,0000000</v>
          </cell>
        </row>
        <row r="6">
          <cell r="J6" t="str">
            <v>833.580,00</v>
          </cell>
        </row>
        <row r="6">
          <cell r="L6" t="str">
            <v>833.580,00</v>
          </cell>
        </row>
        <row r="6">
          <cell r="N6">
            <v>833580</v>
          </cell>
          <cell r="O6">
            <v>0.128031509470532</v>
          </cell>
          <cell r="P6">
            <v>833580</v>
          </cell>
          <cell r="Q6">
            <v>0.128031509470532</v>
          </cell>
          <cell r="R6" t="str">
            <v>A</v>
          </cell>
        </row>
        <row r="7">
          <cell r="B7" t="str">
            <v>UFF_COTAÇÃO 235</v>
          </cell>
          <cell r="C7" t="str">
            <v>Próprio</v>
          </cell>
        </row>
        <row r="7">
          <cell r="E7" t="str">
            <v>CHILLER CONDENSAÇÃO A AR COM COMPRESSOR PARAFUSO (EFETIVO) - MODELO 30XSB300 - CAPACIDADE 282,5TR - TBS EXT 38,1ºC - TBS INT 21ºC - UR EXTERNA 80% - UR INTERNA 50% - VAZÃO DE AR 168544,8m³/h - TEMP. DE ADMISSÃO 5ºC - TEMP. DE RETORNO 10,5ºC - VAZÃO DE ÁGUA 185m³/h - POTÊNCIA 325,6KW / 483A - PESO 6734kg - ALIMENTAÇÃO 3F/380V/60Hz - MARCA CARRIER OU EQUIVALENTE TÉCNICO</v>
          </cell>
          <cell r="F7" t="str">
            <v>Equipamento</v>
          </cell>
          <cell r="G7" t="str">
            <v>UN</v>
          </cell>
          <cell r="H7" t="str">
            <v>1,0000000</v>
          </cell>
          <cell r="I7" t="str">
            <v>0,0000000</v>
          </cell>
          <cell r="J7" t="str">
            <v>817.969,85</v>
          </cell>
          <cell r="K7" t="str">
            <v>817.969,85</v>
          </cell>
          <cell r="L7" t="str">
            <v>817.969,85</v>
          </cell>
          <cell r="M7" t="str">
            <v>0,00</v>
          </cell>
          <cell r="N7">
            <v>817969.85</v>
          </cell>
          <cell r="O7">
            <v>0.125633909878938</v>
          </cell>
          <cell r="P7">
            <v>1651549.85</v>
          </cell>
          <cell r="Q7">
            <v>0.25366541934947</v>
          </cell>
          <cell r="R7" t="str">
            <v>A</v>
          </cell>
        </row>
        <row r="8">
          <cell r="B8" t="str">
            <v>UFF_COTAÇÃO 161</v>
          </cell>
          <cell r="C8" t="str">
            <v>Próprio</v>
          </cell>
        </row>
        <row r="8">
          <cell r="E8" t="str">
            <v>PAINEL GERAL DE BAIXA TENSÃO, AUTOPORTANTE (QGBT-N), FABRICADOS CONFORME IEC NBR 60439-1, TENSÃO 220/127V, BARRAMENTO TRIPOLAR+NEUTRO+TERRA DE  5500A, COM DOIS CIRCUITOS DE ENTRADA COM DISJUNTORES GERAIS ABERTOS DE 3200A, 2 RELES DE MULTIFUNÇÃO, COM DISJUNTORES DE SAÍDA EM CAIXA MOLDADA ICC=100kA</v>
          </cell>
          <cell r="F8" t="str">
            <v>Material</v>
          </cell>
          <cell r="G8" t="str">
            <v>UN</v>
          </cell>
          <cell r="H8" t="str">
            <v>1,0000000</v>
          </cell>
        </row>
        <row r="8">
          <cell r="J8" t="str">
            <v>501.045,00</v>
          </cell>
        </row>
        <row r="8">
          <cell r="L8" t="str">
            <v>501.045,00</v>
          </cell>
        </row>
        <row r="8">
          <cell r="N8">
            <v>501045</v>
          </cell>
          <cell r="O8">
            <v>0.0769566780185021</v>
          </cell>
          <cell r="P8">
            <v>2152594.85</v>
          </cell>
          <cell r="Q8">
            <v>0.330622097367972</v>
          </cell>
          <cell r="R8" t="str">
            <v>A</v>
          </cell>
        </row>
        <row r="9">
          <cell r="B9" t="str">
            <v>UFF_COTAÇÃO 301</v>
          </cell>
          <cell r="C9" t="str">
            <v>Próprio</v>
          </cell>
        </row>
        <row r="9">
          <cell r="E9" t="str">
            <v>MANUTENÇÃO DOS ELEVADORES DE FABRICAÇÃO THYSSENKRUP COM SUBSTITUIÇÃO DOS PAINEIS DE FORÇA E CONTROLE NAS CASAS DE MÁQUINAS, SUBESTITUIÇÃO DOS TRANSFORMADORES, SUBSTITUIÇÃO DAS BOTOEIRAS EXTERNAS, SUBSTITUIÇÃO DOS PAINÉIS DE COMANDO INTERNO DAS CABINES, SUBSTIRUIÇÃO DOS CABOS DE COMANDO ENTRE OS PAINEIS E AS CABINES E SUBSTITUIÇÃO DAS PORTAS</v>
          </cell>
          <cell r="F9" t="str">
            <v>Serviços</v>
          </cell>
          <cell r="G9" t="str">
            <v>mês</v>
          </cell>
          <cell r="H9" t="str">
            <v>1,0000000</v>
          </cell>
        </row>
        <row r="9">
          <cell r="J9" t="str">
            <v>399.237,20</v>
          </cell>
        </row>
        <row r="9">
          <cell r="L9" t="str">
            <v>399.237,20</v>
          </cell>
        </row>
        <row r="9">
          <cell r="N9">
            <v>399237.2</v>
          </cell>
          <cell r="O9">
            <v>0.0613197789687719</v>
          </cell>
          <cell r="P9">
            <v>2551832.05</v>
          </cell>
          <cell r="Q9">
            <v>0.391941876336744</v>
          </cell>
          <cell r="R9" t="str">
            <v>A</v>
          </cell>
        </row>
        <row r="10">
          <cell r="B10" t="str">
            <v>UFF_COTAÇÃO 172</v>
          </cell>
          <cell r="C10" t="str">
            <v>Próprio</v>
          </cell>
        </row>
        <row r="10">
          <cell r="E10" t="str">
            <v>PAINEL DE MÉDIA TENSÃO DA SUBESTAÇÃO. FORNECIMENTO.</v>
          </cell>
          <cell r="F10" t="str">
            <v>Material</v>
          </cell>
          <cell r="G10" t="str">
            <v>CJ</v>
          </cell>
          <cell r="H10" t="str">
            <v>1,0000000</v>
          </cell>
        </row>
        <row r="10">
          <cell r="J10" t="str">
            <v>362.384,77</v>
          </cell>
        </row>
        <row r="10">
          <cell r="L10" t="str">
            <v>362.384,77</v>
          </cell>
        </row>
        <row r="10">
          <cell r="N10">
            <v>362384.77</v>
          </cell>
          <cell r="O10">
            <v>0.0556595277144746</v>
          </cell>
          <cell r="P10">
            <v>2914216.82</v>
          </cell>
          <cell r="Q10">
            <v>0.447601404051219</v>
          </cell>
          <cell r="R10" t="str">
            <v>A</v>
          </cell>
        </row>
        <row r="11">
          <cell r="B11" t="str">
            <v>UFF_COTAÇÃO 189</v>
          </cell>
          <cell r="C11" t="str">
            <v>Próprio</v>
          </cell>
        </row>
        <row r="11">
          <cell r="E11" t="str">
            <v>DETECTOR ENDEREÇÁVEL ÓPTICO DE FUMAÇA FSP-951 DE FABRICAÇÃO NOTIFIER OU SIMILAR TÉCNICO EXCLUSIVE BASE</v>
          </cell>
          <cell r="F11" t="str">
            <v>Material</v>
          </cell>
          <cell r="G11" t="str">
            <v>UN</v>
          </cell>
          <cell r="H11" t="str">
            <v>882,0000000</v>
          </cell>
        </row>
        <row r="11">
          <cell r="J11" t="str">
            <v>282,44</v>
          </cell>
        </row>
        <row r="11">
          <cell r="L11" t="str">
            <v>249.112,08</v>
          </cell>
        </row>
        <row r="11">
          <cell r="N11">
            <v>249112.08</v>
          </cell>
          <cell r="O11">
            <v>0.0382617092897431</v>
          </cell>
          <cell r="P11">
            <v>3163328.9</v>
          </cell>
          <cell r="Q11">
            <v>0.485863113340962</v>
          </cell>
          <cell r="R11" t="str">
            <v>A</v>
          </cell>
        </row>
        <row r="12">
          <cell r="B12" t="str">
            <v>UFF_COTAÇÃO 35</v>
          </cell>
          <cell r="C12" t="str">
            <v>Próprio</v>
          </cell>
        </row>
        <row r="12">
          <cell r="E12" t="str">
            <v>ATUADOR PARA VÁLVULA DE GAVETA DN=4" MOTORIZADA PROPORCIONAL</v>
          </cell>
          <cell r="F12" t="str">
            <v>Material</v>
          </cell>
          <cell r="G12" t="str">
            <v>UN</v>
          </cell>
          <cell r="H12" t="str">
            <v>4,0000000</v>
          </cell>
        </row>
        <row r="12">
          <cell r="J12" t="str">
            <v>58.705,90</v>
          </cell>
        </row>
        <row r="12">
          <cell r="L12" t="str">
            <v>234.823,60</v>
          </cell>
        </row>
        <row r="12">
          <cell r="N12">
            <v>234823.6</v>
          </cell>
          <cell r="O12">
            <v>0.0360671080967688</v>
          </cell>
          <cell r="P12">
            <v>3398152.5</v>
          </cell>
          <cell r="Q12">
            <v>0.521930221437731</v>
          </cell>
          <cell r="R12" t="str">
            <v>A</v>
          </cell>
        </row>
        <row r="13">
          <cell r="B13" t="str">
            <v>UFF_COTAÇÃO 238</v>
          </cell>
          <cell r="C13" t="str">
            <v>Próprio</v>
          </cell>
        </row>
        <row r="13">
          <cell r="E13" t="str">
            <v>UNIDADE DE TRATAMENTO DE AR 100% AR EXTERNO COM MOTOR EC - MODELO TKZ - FILTROS G4 + F8 - CAPACIDADE 105,31TR - TBS EXT 38,1ºC - TBS INT. 21ºC - UR EXTERNA 80% - UR INTERNA 50% - VAZÃO DE INSUFLAMENTO 15644m³/h - TEMP. DE ADMISSÃO 5ºC - TEMP. DE RETORNO 10,5ºC - VAZÃO DE ÁGUA 57,9m³/h - Pd 100Pa - RESIST DE AQUECIMENTO 46,8kW - POTÊNCIA 6,55KW / 29,77A - PESO 1635kg - ALIMENTAÇÃO 3F/220V/60Hz - MARCA TROX OU EQUIVALENTE TÉCNICO</v>
          </cell>
          <cell r="F13" t="str">
            <v>Equipamento</v>
          </cell>
          <cell r="G13" t="str">
            <v>UN</v>
          </cell>
          <cell r="H13" t="str">
            <v>1,0000000</v>
          </cell>
          <cell r="I13" t="str">
            <v>0,0000000</v>
          </cell>
          <cell r="J13" t="str">
            <v>196.244,38</v>
          </cell>
          <cell r="K13" t="str">
            <v>196.244,38</v>
          </cell>
          <cell r="L13" t="str">
            <v>196.244,38</v>
          </cell>
          <cell r="M13" t="str">
            <v>0,00</v>
          </cell>
          <cell r="N13">
            <v>196244.38</v>
          </cell>
          <cell r="O13">
            <v>0.0301416351118174</v>
          </cell>
          <cell r="P13">
            <v>3594396.88</v>
          </cell>
          <cell r="Q13">
            <v>0.552071856549548</v>
          </cell>
          <cell r="R13" t="str">
            <v>A</v>
          </cell>
        </row>
        <row r="14">
          <cell r="B14" t="str">
            <v>UFF_COTAÇÃO 237</v>
          </cell>
          <cell r="C14" t="str">
            <v>Próprio</v>
          </cell>
        </row>
        <row r="14">
          <cell r="E14" t="str">
            <v>UNIDADE DE TRATAMENTO DE AR 100% AR EXTERNO COM MOTOR EC - MODELO TKZ - FILTROS G4 + F8 - CAPACIDADE 93,59TR - TBS EXT 38,1ºC - TBS INT. 21ºC - UR EXTERNA 80% - UR INTERNA 50% - VAZÃO DE INSUFLAMENTO 14340m³/h - TEMP. DE ADMISSÃO 5ºC - TEMP. DE RETORNO 10,5ºC - VAZÃO DE ÁGUA 51,46m³/h - Pd 100Pa - RESIST DE AQUECIMENTO 39kW - POTÊNCIA 6,29KW / 28,59A - PESO 1437kg - ALIMENTAÇÃO 3F/220V/60Hz - MARCA TROX OU EQUIVALENTE TÉCNICO</v>
          </cell>
          <cell r="F14" t="str">
            <v>Equipamento</v>
          </cell>
          <cell r="G14" t="str">
            <v>UN</v>
          </cell>
          <cell r="H14" t="str">
            <v>1,0000000</v>
          </cell>
          <cell r="I14" t="str">
            <v>0,0000000</v>
          </cell>
          <cell r="J14" t="str">
            <v>177.218,85</v>
          </cell>
          <cell r="K14" t="str">
            <v>177.218,85</v>
          </cell>
          <cell r="L14" t="str">
            <v>177.218,85</v>
          </cell>
          <cell r="M14" t="str">
            <v>0,00</v>
          </cell>
          <cell r="N14">
            <v>177218.85</v>
          </cell>
          <cell r="O14">
            <v>0.0272194592866094</v>
          </cell>
          <cell r="P14">
            <v>3771615.73</v>
          </cell>
          <cell r="Q14">
            <v>0.579291315836158</v>
          </cell>
          <cell r="R14" t="str">
            <v>A</v>
          </cell>
        </row>
        <row r="15">
          <cell r="B15" t="str">
            <v>UFF_COTAÇÃO 26</v>
          </cell>
          <cell r="C15" t="str">
            <v>Próprio</v>
          </cell>
        </row>
        <row r="15">
          <cell r="E15" t="str">
            <v>CALHA CONDUTORA TRIFÁSICA COM NEUTRO 100%+ 50% TERRA, ISOLAMENTO PARA 1000V, CORRENTE NOMINAL 4000A, 120KA (Icc), IP55, PARA USO INTERNO/EXTERNO, TIPO BARRA-COLADA, COM UMA BARRA DE ATERRAMENTO 100%. NAS DIMENSÕES APROXIMADAS DE: (512 X 136 X 3000).</v>
          </cell>
          <cell r="F15" t="str">
            <v>Material</v>
          </cell>
          <cell r="G15" t="str">
            <v>UN</v>
          </cell>
          <cell r="H15" t="str">
            <v>1,0000000</v>
          </cell>
        </row>
        <row r="15">
          <cell r="J15" t="str">
            <v>172.001,58</v>
          </cell>
        </row>
        <row r="15">
          <cell r="L15" t="str">
            <v>172.001,58</v>
          </cell>
        </row>
        <row r="15">
          <cell r="N15">
            <v>172001.58</v>
          </cell>
          <cell r="O15">
            <v>0.0264181265370049</v>
          </cell>
          <cell r="P15">
            <v>3943617.31</v>
          </cell>
          <cell r="Q15">
            <v>0.605709442373163</v>
          </cell>
          <cell r="R15" t="str">
            <v>A</v>
          </cell>
        </row>
        <row r="16">
          <cell r="B16" t="str">
            <v>UFF_COTAÇÃO 165</v>
          </cell>
          <cell r="C16" t="str">
            <v>Próprio</v>
          </cell>
        </row>
        <row r="16">
          <cell r="E16" t="str">
            <v>PAINEL DE FORÇA E COMANDO PARA AS UTAS, 380V, INCLUINDO CONTROLE DO MOTOR DE 15CV POR INVERSOR DE FREQUENCIA,  CONTROLE DE RESISTENCIAS POR MÓDULO DE POTENCIA ANALÓGICO ATÉ 100A  E PROTEÇÃO TERMOMAGNÉTICA PARA OS CIRCUITO ALIMENTADOR E O CIRCUITO DA RESISTENACIA POR DISJUNTOR E DO MOTOR POR DISJUNTOR MOTOR E RELÉ TÉRMICO. FORNECIMENTO E MONTAGEM.</v>
          </cell>
          <cell r="F16" t="str">
            <v>Material</v>
          </cell>
          <cell r="G16" t="str">
            <v>UN</v>
          </cell>
          <cell r="H16" t="str">
            <v>2,0000000</v>
          </cell>
        </row>
        <row r="16">
          <cell r="J16" t="str">
            <v>84.380,00</v>
          </cell>
        </row>
        <row r="16">
          <cell r="L16" t="str">
            <v>168.760,00</v>
          </cell>
        </row>
        <row r="16">
          <cell r="N16">
            <v>168760</v>
          </cell>
          <cell r="O16">
            <v>0.025920244653479</v>
          </cell>
          <cell r="P16">
            <v>4112377.31</v>
          </cell>
          <cell r="Q16">
            <v>0.631629687026642</v>
          </cell>
          <cell r="R16" t="str">
            <v>A</v>
          </cell>
        </row>
        <row r="17">
          <cell r="B17" t="str">
            <v>UFF_COTAÇÃO 182</v>
          </cell>
          <cell r="C17" t="str">
            <v>Próprio</v>
          </cell>
        </row>
        <row r="17">
          <cell r="E17" t="str">
            <v>CAMERA POE, FIXA, RESOLUÇÃO 4K, 8 MEGAPIXELS, ALCANCE DE ATÉ 60 METROS, USO INTERNO/EXTERNO, COM INFRAVERMELHO, CASE METÁLICO, INDICE DE PROTEÇÃO IP67, COM PROTEÇÃO ANTI-SURTO.</v>
          </cell>
          <cell r="F17" t="str">
            <v>Equipamento</v>
          </cell>
          <cell r="G17" t="str">
            <v>UN</v>
          </cell>
          <cell r="H17" t="str">
            <v>113,0000000</v>
          </cell>
          <cell r="I17" t="str">
            <v>0,0000000</v>
          </cell>
          <cell r="J17" t="str">
            <v>1.354,05</v>
          </cell>
          <cell r="K17" t="str">
            <v>1.354,05</v>
          </cell>
          <cell r="L17" t="str">
            <v>153.007,65</v>
          </cell>
          <cell r="M17" t="str">
            <v>0,00</v>
          </cell>
          <cell r="N17">
            <v>153007.65</v>
          </cell>
          <cell r="O17">
            <v>0.0235008042299946</v>
          </cell>
          <cell r="P17">
            <v>4265384.96</v>
          </cell>
          <cell r="Q17">
            <v>0.655130491256636</v>
          </cell>
          <cell r="R17" t="str">
            <v>A</v>
          </cell>
        </row>
        <row r="18">
          <cell r="B18" t="str">
            <v>UFF_COTAÇÃO 236</v>
          </cell>
          <cell r="C18" t="str">
            <v>Próprio</v>
          </cell>
        </row>
        <row r="18">
          <cell r="E18" t="str">
            <v>UNIDADE CONDENSADORA VRF TIPO - MODELO INOVA MV6-850WV2DN1 - CAPACIDADE 290kBTU/h - POTÊNCIA 25,68kW / 116,73A - ALIMENTAÇÃO 3F/220V/60Hz - PESO 507kg - MARCA CARRIER OU EQUIVALENTE TÉCNICO</v>
          </cell>
          <cell r="F18" t="str">
            <v>Equipamento</v>
          </cell>
          <cell r="G18" t="str">
            <v>UN</v>
          </cell>
          <cell r="H18" t="str">
            <v>1,0000000</v>
          </cell>
          <cell r="I18" t="str">
            <v>0,0000000</v>
          </cell>
          <cell r="J18" t="str">
            <v>149.407,21</v>
          </cell>
          <cell r="K18" t="str">
            <v>149.407,21</v>
          </cell>
          <cell r="L18" t="str">
            <v>149.407,21</v>
          </cell>
          <cell r="M18" t="str">
            <v>0,00</v>
          </cell>
          <cell r="N18">
            <v>149407.21</v>
          </cell>
          <cell r="O18">
            <v>0.0229478041964549</v>
          </cell>
          <cell r="P18">
            <v>4414792.17</v>
          </cell>
          <cell r="Q18">
            <v>0.678078295453091</v>
          </cell>
          <cell r="R18" t="str">
            <v>A</v>
          </cell>
        </row>
        <row r="19">
          <cell r="B19" t="str">
            <v>UFF_COTAÇÃO 49</v>
          </cell>
          <cell r="C19" t="str">
            <v>Próprio</v>
          </cell>
        </row>
        <row r="19">
          <cell r="E19" t="str">
            <v>MODULO DE EXPANSAO TM3 2 ENTRADAS ANALOGICAS ALTA RESISTENCIA OU SIMILAR TÉCNICO</v>
          </cell>
          <cell r="F19" t="str">
            <v>Material</v>
          </cell>
          <cell r="G19" t="str">
            <v>UN</v>
          </cell>
          <cell r="H19" t="str">
            <v>39,0000000</v>
          </cell>
        </row>
        <row r="19">
          <cell r="J19" t="str">
            <v>2.352,70</v>
          </cell>
        </row>
        <row r="19">
          <cell r="L19" t="str">
            <v>91.755,30</v>
          </cell>
        </row>
        <row r="19">
          <cell r="N19">
            <v>91755.3</v>
          </cell>
          <cell r="O19">
            <v>0.0140929119711624</v>
          </cell>
          <cell r="P19">
            <v>4506547.47</v>
          </cell>
          <cell r="Q19">
            <v>0.692171207424254</v>
          </cell>
          <cell r="R19" t="str">
            <v>A</v>
          </cell>
        </row>
        <row r="20">
          <cell r="B20" t="str">
            <v>UFF_COTAÇÃO 03</v>
          </cell>
          <cell r="C20" t="str">
            <v>Próprio</v>
          </cell>
        </row>
        <row r="20">
          <cell r="E20" t="str">
            <v>FILTRO DO TIPO VORTEX DA WISY WFF 300 OU SIMILAR, EM INOX E CARCAÇA DE POLIPROPILENO, DOTADOS DE PROLONGADORES E INSERÇÃO CEGA PARA INTERRUPÇÃO DE FILTRAGEM, COM CAPACIDADE DE FILTRAGEM DE 3.000 M² DE TELHADO</v>
          </cell>
          <cell r="F20" t="str">
            <v>Material</v>
          </cell>
          <cell r="G20" t="str">
            <v>UN</v>
          </cell>
          <cell r="H20" t="str">
            <v>2,0000000</v>
          </cell>
        </row>
        <row r="20">
          <cell r="J20" t="str">
            <v>43.346,00</v>
          </cell>
        </row>
        <row r="20">
          <cell r="L20" t="str">
            <v>86.692,00</v>
          </cell>
        </row>
        <row r="20">
          <cell r="N20">
            <v>86692</v>
          </cell>
          <cell r="O20">
            <v>0.013315227835384</v>
          </cell>
          <cell r="P20">
            <v>4593239.47</v>
          </cell>
          <cell r="Q20">
            <v>0.705486435259638</v>
          </cell>
          <cell r="R20" t="str">
            <v>A</v>
          </cell>
        </row>
        <row r="21">
          <cell r="B21" t="str">
            <v>UFF_COTAÇÃO 174</v>
          </cell>
          <cell r="C21" t="str">
            <v>Próprio</v>
          </cell>
        </row>
        <row r="21">
          <cell r="E21" t="str">
            <v>Cabo de cobre 120 mm², tensão de isolamento 8,7/15kV, isolação EPR 90°C</v>
          </cell>
          <cell r="F21" t="str">
            <v>Material</v>
          </cell>
          <cell r="G21" t="str">
            <v>M</v>
          </cell>
          <cell r="H21" t="str">
            <v>559,9800000</v>
          </cell>
        </row>
        <row r="21">
          <cell r="J21" t="str">
            <v>146,45</v>
          </cell>
        </row>
        <row r="21">
          <cell r="L21" t="str">
            <v>82.009,07</v>
          </cell>
        </row>
        <row r="21">
          <cell r="N21">
            <v>82009.071</v>
          </cell>
          <cell r="O21">
            <v>0.012595965774618</v>
          </cell>
          <cell r="P21">
            <v>4675248.541</v>
          </cell>
          <cell r="Q21">
            <v>0.718082401034255</v>
          </cell>
          <cell r="R21" t="str">
            <v>A</v>
          </cell>
        </row>
        <row r="22">
          <cell r="B22" t="str">
            <v>UFF_COTAÇÃO 233</v>
          </cell>
          <cell r="C22" t="str">
            <v>Próprio</v>
          </cell>
        </row>
        <row r="22">
          <cell r="E22" t="str">
            <v>BOMBA CENTRÍFUGA DE VOLUTA  (EFETIVO)  - MONOCELULAR NÃO AUTO-FERRANTE - NBG 150-125-250/269 AASF2LESBQQETX4 - VAZÃO DE ÁGUA 277,50 m³/h - ALTURA MANOMÉTICA 25m - ROTAÇÃO 1782rpm - PRESSÃO MÁX. 16bar - POTÊNCIA 45KW / 80A - PESO 526kg - ALIMENTAÇÃO 3F/400/690V/60Hz - MARCA GRUNDFOS OU EQUIVALENTE TÉCNICO</v>
          </cell>
          <cell r="F22" t="str">
            <v>Equipamento</v>
          </cell>
          <cell r="G22" t="str">
            <v>UN</v>
          </cell>
          <cell r="H22" t="str">
            <v>1,0000000</v>
          </cell>
          <cell r="I22" t="str">
            <v>0,0000000</v>
          </cell>
          <cell r="J22" t="str">
            <v>75.784,60</v>
          </cell>
          <cell r="K22" t="str">
            <v>75.784,60</v>
          </cell>
          <cell r="L22" t="str">
            <v>75.784,60</v>
          </cell>
          <cell r="M22" t="str">
            <v>0,00</v>
          </cell>
          <cell r="N22">
            <v>75784.6</v>
          </cell>
          <cell r="O22">
            <v>0.0116399346584857</v>
          </cell>
          <cell r="P22">
            <v>4751033.141</v>
          </cell>
          <cell r="Q22">
            <v>0.729722335692741</v>
          </cell>
          <cell r="R22" t="str">
            <v>A</v>
          </cell>
        </row>
        <row r="23">
          <cell r="B23" t="str">
            <v>UFF_COTAÇÃO 234</v>
          </cell>
          <cell r="C23" t="str">
            <v>Próprio</v>
          </cell>
        </row>
        <row r="23">
          <cell r="E23" t="str">
            <v>BOMBA CENTRÍFUGA DE VOLUTA  (RESERVA) - MONOCELULAR NÃO AUTO-FERRANTE - NBG 150-125-250/269 AASF2LESBQQETX4 - VAZÃO DE ÁGUA 277,50 m³/h - ALTURA MANOMÉTICA 25m - ROTAÇÃO 1782rpm - PRESSÃO MÁX. 16bar - POTÊNCIA 45KW / 80A - PESO 526kg - ALIMENTAÇÃO 3F/400/690V/60Hz - MARCA GRUNDFOS OU EQUIVALENTE TÉCNICO</v>
          </cell>
          <cell r="F23" t="str">
            <v>Equipamento</v>
          </cell>
          <cell r="G23" t="str">
            <v>UN</v>
          </cell>
          <cell r="H23" t="str">
            <v>1,0000000</v>
          </cell>
          <cell r="I23" t="str">
            <v>0,0000000</v>
          </cell>
          <cell r="J23" t="str">
            <v>75.784,60</v>
          </cell>
          <cell r="K23" t="str">
            <v>75.784,60</v>
          </cell>
          <cell r="L23" t="str">
            <v>75.784,60</v>
          </cell>
          <cell r="M23" t="str">
            <v>0,00</v>
          </cell>
          <cell r="N23">
            <v>75784.6</v>
          </cell>
          <cell r="O23">
            <v>0.0116399346584857</v>
          </cell>
          <cell r="P23">
            <v>4826817.741</v>
          </cell>
          <cell r="Q23">
            <v>0.741362270351227</v>
          </cell>
          <cell r="R23" t="str">
            <v>A</v>
          </cell>
        </row>
        <row r="24">
          <cell r="B24" t="str">
            <v>UFF_COTAÇÃO 232</v>
          </cell>
          <cell r="C24" t="str">
            <v>Próprio</v>
          </cell>
        </row>
        <row r="24">
          <cell r="E24" t="str">
            <v>BOMBA CENTRÍFUGA DE VOLUTA (RESERVA)  - MONOCELULAR NÃO AUTO-FERRANTE - MODELO NBG 150-125-400/414 AASF2KESBQQE1X4 - VAZÃO DE ÁGUA 185 m³/h - ALTURA MANOMÉTICA 80m - ROTAÇÃO 1792rpm - PRESSÃO MÁX. 16bar - POTÊNCIA 110KW / 194A - PESO 1300kg - ALIMENTAÇÃO 3F/400/690V/60Hz - MARCA GRUNDFOS OU EQUIVALENTE TÉCNICO</v>
          </cell>
          <cell r="F24" t="str">
            <v>Equipamento</v>
          </cell>
          <cell r="G24" t="str">
            <v>UN</v>
          </cell>
          <cell r="H24" t="str">
            <v>1,0000000</v>
          </cell>
          <cell r="I24" t="str">
            <v>0,0000000</v>
          </cell>
          <cell r="J24" t="str">
            <v>72.373,60</v>
          </cell>
          <cell r="K24" t="str">
            <v>72.373,60</v>
          </cell>
          <cell r="L24" t="str">
            <v>72.373,60</v>
          </cell>
          <cell r="M24" t="str">
            <v>0,00</v>
          </cell>
          <cell r="N24">
            <v>72373.6</v>
          </cell>
          <cell r="O24">
            <v>0.0111160311593567</v>
          </cell>
          <cell r="P24">
            <v>4899191.341</v>
          </cell>
          <cell r="Q24">
            <v>0.752478301510583</v>
          </cell>
          <cell r="R24" t="str">
            <v>A</v>
          </cell>
        </row>
        <row r="25">
          <cell r="B25" t="str">
            <v>UFF_COTAÇÃO 231</v>
          </cell>
          <cell r="C25" t="str">
            <v>Próprio</v>
          </cell>
        </row>
        <row r="25">
          <cell r="E25" t="str">
            <v>BOMBA CENTRÍFUGA DE VOLUTA (EFETIVO)  - MONOCELULAR NÃO AUTO-FERRANTE - MODELO NBG 150-125-400/414 AASF2KESBQQE1X4 - VAZÃO DE ÁGUA 185 m³/h - ALTURA MANOMÉTICA 80m - ROTAÇÃO 1792rpm - PRESSÃO MÁX. 16bar - POTÊNCIA 110KW / 194A - PESO 1300kg - ALIMENTAÇÃO 3F/400/690V/60Hz - MARCA GRUNDFOS OU EQUIVALENTE TÉCNICO</v>
          </cell>
          <cell r="F25" t="str">
            <v>Equipamento</v>
          </cell>
          <cell r="G25" t="str">
            <v>UN</v>
          </cell>
          <cell r="H25" t="str">
            <v>1,0000000</v>
          </cell>
          <cell r="I25" t="str">
            <v>0,0000000</v>
          </cell>
          <cell r="J25" t="str">
            <v>72.373,60</v>
          </cell>
          <cell r="K25" t="str">
            <v>72.373,60</v>
          </cell>
          <cell r="L25" t="str">
            <v>72.373,60</v>
          </cell>
          <cell r="M25" t="str">
            <v>0,00</v>
          </cell>
          <cell r="N25">
            <v>72373.6</v>
          </cell>
          <cell r="O25">
            <v>0.0111160311593567</v>
          </cell>
          <cell r="P25">
            <v>4971564.941</v>
          </cell>
          <cell r="Q25">
            <v>0.76359433266994</v>
          </cell>
          <cell r="R25" t="str">
            <v>A</v>
          </cell>
        </row>
        <row r="26">
          <cell r="B26" t="str">
            <v>UFF_COTAÇÃO 188</v>
          </cell>
          <cell r="C26" t="str">
            <v>Próprio</v>
          </cell>
        </row>
        <row r="26">
          <cell r="E26" t="str">
            <v>BASE PARA SENSOR DE TEMPERATURA, FUMAÇÃO E MULTIFUNÇÃO ENDEREÇÁVEL</v>
          </cell>
          <cell r="F26" t="str">
            <v>Material</v>
          </cell>
          <cell r="G26" t="str">
            <v>UN</v>
          </cell>
          <cell r="H26" t="str">
            <v>884,0000000</v>
          </cell>
        </row>
        <row r="26">
          <cell r="J26" t="str">
            <v>74,79</v>
          </cell>
        </row>
        <row r="26">
          <cell r="L26" t="str">
            <v>66.114,36</v>
          </cell>
        </row>
        <row r="26">
          <cell r="N26">
            <v>66114.36</v>
          </cell>
          <cell r="O26">
            <v>0.0101546597908757</v>
          </cell>
          <cell r="P26">
            <v>5037679.301</v>
          </cell>
          <cell r="Q26">
            <v>0.773748992460816</v>
          </cell>
          <cell r="R26" t="str">
            <v>A</v>
          </cell>
        </row>
        <row r="27">
          <cell r="B27" t="str">
            <v>UFF_COTAÇÃO 162</v>
          </cell>
          <cell r="C27" t="str">
            <v>Próprio</v>
          </cell>
        </row>
        <row r="27">
          <cell r="E27" t="str">
            <v>PAINEL GERAL DE BAIXA TENSÃO, AUTOPORTANTE (QGBT-SE-AC), FABRICADOS CONFORME IEC NBR 60439-1, TENSÃO 380V, BARRAMENTO TRIPOLAR+NEUTRO+TERRA DE  4000A, COM UM CIRCUITO DE ENTRADA COM DISJUNTOR GERAL ABERTO DE 4000A, 1 RELE DE MULTIFUNÇÃO, COM DISJUNTORES DE SAÍDA EM CAIXA MOLDADA ICC=100kA, COMPLETO. FORNECIMENTO E MONTAGEM.</v>
          </cell>
          <cell r="F27" t="str">
            <v>Material</v>
          </cell>
          <cell r="G27" t="str">
            <v>UN</v>
          </cell>
          <cell r="H27" t="str">
            <v>1,0000000</v>
          </cell>
        </row>
        <row r="27">
          <cell r="J27" t="str">
            <v>61.819,00</v>
          </cell>
        </row>
        <row r="27">
          <cell r="L27" t="str">
            <v>61.819,00</v>
          </cell>
        </row>
        <row r="27">
          <cell r="N27">
            <v>61819</v>
          </cell>
          <cell r="O27">
            <v>0.00949492536284322</v>
          </cell>
          <cell r="P27">
            <v>5099498.301</v>
          </cell>
          <cell r="Q27">
            <v>0.783243917823659</v>
          </cell>
          <cell r="R27" t="str">
            <v>A</v>
          </cell>
        </row>
        <row r="28">
          <cell r="B28" t="str">
            <v>UFF_COTAÇÃO 52</v>
          </cell>
          <cell r="C28" t="str">
            <v>Próprio</v>
          </cell>
        </row>
        <row r="28">
          <cell r="E28" t="str">
            <v>RACK PARA CONTROLADOR M580 - 12 SLOTS OU SIMILAR TÉCNICO</v>
          </cell>
          <cell r="F28" t="str">
            <v>Material</v>
          </cell>
          <cell r="G28" t="str">
            <v>UN</v>
          </cell>
          <cell r="H28" t="str">
            <v>8,0000000</v>
          </cell>
        </row>
        <row r="28">
          <cell r="J28" t="str">
            <v>7.233,53</v>
          </cell>
        </row>
        <row r="28">
          <cell r="L28" t="str">
            <v>57.868,24</v>
          </cell>
        </row>
        <row r="28">
          <cell r="N28">
            <v>57868.24</v>
          </cell>
          <cell r="O28">
            <v>0.0088881188579417</v>
          </cell>
          <cell r="P28">
            <v>5157366.541</v>
          </cell>
          <cell r="Q28">
            <v>0.792132036681601</v>
          </cell>
          <cell r="R28" t="str">
            <v>A</v>
          </cell>
        </row>
        <row r="29">
          <cell r="B29" t="str">
            <v>UFF_COTAÇÃO 199</v>
          </cell>
          <cell r="C29" t="str">
            <v>Próprio</v>
          </cell>
        </row>
        <row r="29">
          <cell r="E29" t="str">
            <v>BLOCO AUTÔNOMO ACLARAMENTO (ILUMINAÇÃO EMERGÊNCIA), LED 2 FAROIS 2200 LUMENS</v>
          </cell>
          <cell r="F29" t="str">
            <v>Material</v>
          </cell>
          <cell r="G29" t="str">
            <v>UN</v>
          </cell>
          <cell r="H29" t="str">
            <v>253,0000000</v>
          </cell>
        </row>
        <row r="29">
          <cell r="J29" t="str">
            <v>218,90</v>
          </cell>
        </row>
        <row r="29">
          <cell r="L29" t="str">
            <v>55.381,70</v>
          </cell>
        </row>
        <row r="29">
          <cell r="N29">
            <v>55381.7</v>
          </cell>
          <cell r="O29">
            <v>0.00850620534087213</v>
          </cell>
          <cell r="P29">
            <v>5212748.241</v>
          </cell>
          <cell r="Q29">
            <v>0.800638242022473</v>
          </cell>
          <cell r="R29" t="str">
            <v>A</v>
          </cell>
        </row>
        <row r="30">
          <cell r="B30" t="str">
            <v>UFF_COTAÇÃO 225</v>
          </cell>
          <cell r="C30" t="str">
            <v>Próprio</v>
          </cell>
        </row>
        <row r="30">
          <cell r="E30" t="str">
            <v>FANCOLETE TIPO BUILT-IN DE ALTA EFICIÊNCIA (NOVO) COM FILTRO G4 E KIT VÁLVULA 2 VIAS - MODELO 42BB 044 - CAPACIDADE 46319BTU/h - POTÊNCIA 684W - ALIMENTAÇÃO 1F/220V/60Hz - MARCA CARRIER OU EQUIVALENTE TÉCNICO.FORNECIMENTO</v>
          </cell>
          <cell r="F30" t="str">
            <v>Equipamento</v>
          </cell>
          <cell r="G30" t="str">
            <v>UN</v>
          </cell>
          <cell r="H30" t="str">
            <v>10,0000000</v>
          </cell>
          <cell r="I30" t="str">
            <v>0,0000000</v>
          </cell>
          <cell r="J30" t="str">
            <v>5.395,51</v>
          </cell>
          <cell r="K30" t="str">
            <v>5.395,51</v>
          </cell>
          <cell r="L30" t="str">
            <v>53.955,10</v>
          </cell>
          <cell r="M30" t="str">
            <v>0,00</v>
          </cell>
          <cell r="N30">
            <v>53955.1</v>
          </cell>
          <cell r="O30">
            <v>0.00828709049717307</v>
          </cell>
          <cell r="P30">
            <v>5266703.341</v>
          </cell>
          <cell r="Q30">
            <v>0.808925332519646</v>
          </cell>
          <cell r="R30" t="str">
            <v>A</v>
          </cell>
        </row>
        <row r="31">
          <cell r="B31" t="str">
            <v>UFF_COTAÇÃO 28</v>
          </cell>
          <cell r="C31" t="str">
            <v>Próprio</v>
          </cell>
        </row>
        <row r="31">
          <cell r="E31" t="str">
            <v>INSTALAÇÃO DE BARRAMENTO BLINDADO DE ALUMÍNIO 4000A E QUADRO ELÉTRICO</v>
          </cell>
          <cell r="F31" t="str">
            <v>Serviços</v>
          </cell>
          <cell r="G31" t="str">
            <v>UN</v>
          </cell>
          <cell r="H31" t="str">
            <v>1,0000000</v>
          </cell>
        </row>
        <row r="31">
          <cell r="J31" t="str">
            <v>52.650,00</v>
          </cell>
        </row>
        <row r="31">
          <cell r="L31" t="str">
            <v>52.650,00</v>
          </cell>
        </row>
        <row r="31">
          <cell r="N31">
            <v>52650</v>
          </cell>
          <cell r="O31">
            <v>0.00808663712375961</v>
          </cell>
          <cell r="P31">
            <v>5319353.341</v>
          </cell>
          <cell r="Q31">
            <v>0.817011969643405</v>
          </cell>
          <cell r="R31" t="str">
            <v>B</v>
          </cell>
        </row>
        <row r="32">
          <cell r="B32" t="str">
            <v>UFF_COTAÇÃO 185</v>
          </cell>
          <cell r="C32" t="str">
            <v>Próprio</v>
          </cell>
        </row>
        <row r="32">
          <cell r="E32" t="str">
            <v>CENTRAL DE ALARME DE INCENDIO INDEREÇAVEL INTELIGENTE PARA ATÉ 10 LAÇOS, COM 159 DETECTORES POR LAÇO, E 318 DISPOSITIVOS POR LAÇO, MODELO NFS2-3030 DE FABRICAÇÃO NOTIFIER OU SIMILAR TÉCNICO</v>
          </cell>
          <cell r="F32" t="str">
            <v>Material</v>
          </cell>
          <cell r="G32" t="str">
            <v>UN</v>
          </cell>
          <cell r="H32" t="str">
            <v>1,0000000</v>
          </cell>
        </row>
        <row r="32">
          <cell r="J32" t="str">
            <v>51.679,32</v>
          </cell>
        </row>
        <row r="32">
          <cell r="L32" t="str">
            <v>51.679,32</v>
          </cell>
        </row>
        <row r="32">
          <cell r="N32">
            <v>51679.32</v>
          </cell>
          <cell r="O32">
            <v>0.00793754810337422</v>
          </cell>
          <cell r="P32">
            <v>5371032.661</v>
          </cell>
          <cell r="Q32">
            <v>0.82494951774678</v>
          </cell>
          <cell r="R32" t="str">
            <v>B</v>
          </cell>
        </row>
        <row r="33">
          <cell r="B33" t="str">
            <v>UFF_COTAÇÃO 226</v>
          </cell>
          <cell r="C33" t="str">
            <v>Próprio</v>
          </cell>
        </row>
        <row r="33">
          <cell r="E33" t="str">
            <v>FANCOLETE TIPO BUILT-IN DE ALTA EFICIÊNCIA (NOVO) COM FILTRO G4 E KIT VÁLVULA 2 VIAS - MODELO 42BB 055 - CAPACIDADE 58316BTU/h - POTÊNCIA 870W - ALIMENTAÇÃO 1F/220V/60Hz - MARCA CARRIER OU EQUIVALENTE TÉCNICO.FORNECIMENTO</v>
          </cell>
          <cell r="F33" t="str">
            <v>Equipamento</v>
          </cell>
          <cell r="G33" t="str">
            <v>UN</v>
          </cell>
          <cell r="H33" t="str">
            <v>9,0000000</v>
          </cell>
          <cell r="I33" t="str">
            <v>0,0000000</v>
          </cell>
          <cell r="J33" t="str">
            <v>5.555,51</v>
          </cell>
          <cell r="K33" t="str">
            <v>5.555,51</v>
          </cell>
          <cell r="L33" t="str">
            <v>49.999,59</v>
          </cell>
          <cell r="M33" t="str">
            <v>0,00</v>
          </cell>
          <cell r="N33">
            <v>49999.59</v>
          </cell>
          <cell r="O33">
            <v>0.00767955442861842</v>
          </cell>
          <cell r="P33">
            <v>5421032.251</v>
          </cell>
          <cell r="Q33">
            <v>0.832629072175398</v>
          </cell>
          <cell r="R33" t="str">
            <v>B</v>
          </cell>
        </row>
        <row r="34">
          <cell r="B34" t="str">
            <v>UFF_COTAÇÃO 201</v>
          </cell>
          <cell r="C34" t="str">
            <v>Próprio</v>
          </cell>
        </row>
        <row r="34">
          <cell r="E34" t="str">
            <v>BLOCO AUTÔNOMO BALIZAMENTO (SINALIZAÇÃO DE SAÍDA- COM SETA- DUPLA FACE) COM INDICAÇÃO ESCRITA DE "SAÍDA" NA COR VERDE E SETA INDICADORA DIRECIONAL NAS DUAS FACES, COM LEDS SMD E AUTONOMIA MÍNIMA DE 3 HORAS</v>
          </cell>
          <cell r="F34" t="str">
            <v>Material</v>
          </cell>
          <cell r="G34" t="str">
            <v>UN</v>
          </cell>
          <cell r="H34" t="str">
            <v>48,0000000</v>
          </cell>
        </row>
        <row r="34">
          <cell r="J34" t="str">
            <v>899,00</v>
          </cell>
        </row>
        <row r="34">
          <cell r="L34" t="str">
            <v>43.152,00</v>
          </cell>
        </row>
        <row r="34">
          <cell r="N34">
            <v>43152</v>
          </cell>
          <cell r="O34">
            <v>0.00662781700217426</v>
          </cell>
          <cell r="P34">
            <v>5464184.251</v>
          </cell>
          <cell r="Q34">
            <v>0.839256889177572</v>
          </cell>
          <cell r="R34" t="str">
            <v>B</v>
          </cell>
        </row>
        <row r="35">
          <cell r="B35" t="str">
            <v>UFF_COTAÇÃO 71</v>
          </cell>
          <cell r="C35" t="str">
            <v>Próprio</v>
          </cell>
        </row>
        <row r="35">
          <cell r="E35" t="str">
            <v>REGULADOR/ESTABILIZADOR DE VOLTAGEM 4 BOBINAS, SVC-50KVA MONOFASICO 220V</v>
          </cell>
          <cell r="F35" t="str">
            <v>Material</v>
          </cell>
          <cell r="G35" t="str">
            <v>UN</v>
          </cell>
          <cell r="H35" t="str">
            <v>2,0000000</v>
          </cell>
        </row>
        <row r="35">
          <cell r="J35" t="str">
            <v>19.755,12</v>
          </cell>
        </row>
        <row r="35">
          <cell r="L35" t="str">
            <v>39.510,24</v>
          </cell>
        </row>
        <row r="35">
          <cell r="N35">
            <v>39510.24</v>
          </cell>
          <cell r="O35">
            <v>0.0060684705328139</v>
          </cell>
          <cell r="P35">
            <v>5503694.491</v>
          </cell>
          <cell r="Q35">
            <v>0.845325359710386</v>
          </cell>
          <cell r="R35" t="str">
            <v>B</v>
          </cell>
        </row>
        <row r="36">
          <cell r="B36" t="str">
            <v>UFF_COTAÇÃO 184</v>
          </cell>
          <cell r="C36" t="str">
            <v>Próprio</v>
          </cell>
        </row>
        <row r="36">
          <cell r="E36" t="str">
            <v>CABO 2X1,5MM2 PARA SISTEMA DE ALARME DE INCÊNDIO – TIPO MA AI CONDUTOR: ENCORDOAMENTO CLASSE 2 / ISOLAÇÃO: PVC/EB (105 °C) / 1 PAR OU 1 TERNA /BLINDAGEM ELETROSTÁTICA TOTAL (215 MA AI FR)</v>
          </cell>
          <cell r="F36" t="str">
            <v>Material</v>
          </cell>
          <cell r="G36" t="str">
            <v>M</v>
          </cell>
          <cell r="H36" t="str">
            <v>6.604,0000000</v>
          </cell>
        </row>
        <row r="36">
          <cell r="J36" t="str">
            <v>5,28</v>
          </cell>
        </row>
        <row r="36">
          <cell r="L36" t="str">
            <v>34.869,12</v>
          </cell>
        </row>
        <row r="36">
          <cell r="N36">
            <v>34869.12</v>
          </cell>
          <cell r="O36">
            <v>0.00535563001452666</v>
          </cell>
          <cell r="P36">
            <v>5538563.611</v>
          </cell>
          <cell r="Q36">
            <v>0.850680989724913</v>
          </cell>
          <cell r="R36" t="str">
            <v>B</v>
          </cell>
        </row>
        <row r="37">
          <cell r="B37" t="str">
            <v>UFF_COTAÇÃO 239</v>
          </cell>
          <cell r="C37" t="str">
            <v>Próprio</v>
          </cell>
        </row>
        <row r="37">
          <cell r="E37" t="str">
            <v>VENTILADOR CENTRÍFUGO DE SIMPLES ASPIRAÇÃO COM PÁS CURVASDAS PARA TRÁS - MODELO GTS 800 - VAZÃO MÁX 13596m³/h - Pd 100mmCA - POTÊNCIA 7,5W / 34,09A - PESO 523kg - ALIMENTAÇÃO 3F/380V/60Hz - MARCA BERLINERLUFT OU EQUIVALENTE TÉCNICO</v>
          </cell>
          <cell r="F37" t="str">
            <v>Equipamento</v>
          </cell>
          <cell r="G37" t="str">
            <v>UN</v>
          </cell>
          <cell r="H37" t="str">
            <v>1,0000000</v>
          </cell>
          <cell r="I37" t="str">
            <v>0,0000000</v>
          </cell>
          <cell r="J37" t="str">
            <v>33.287,88</v>
          </cell>
          <cell r="K37" t="str">
            <v>33.287,88</v>
          </cell>
          <cell r="L37" t="str">
            <v>33.287,88</v>
          </cell>
          <cell r="M37" t="str">
            <v>0,00</v>
          </cell>
          <cell r="N37">
            <v>33287.88</v>
          </cell>
          <cell r="O37">
            <v>0.0051127636501283</v>
          </cell>
          <cell r="P37">
            <v>5571851.491</v>
          </cell>
          <cell r="Q37">
            <v>0.855793753375041</v>
          </cell>
          <cell r="R37" t="str">
            <v>B</v>
          </cell>
        </row>
        <row r="38">
          <cell r="B38" t="str">
            <v>UFF_COTAÇÃO 48</v>
          </cell>
          <cell r="C38" t="str">
            <v>Próprio</v>
          </cell>
        </row>
        <row r="38">
          <cell r="E38" t="str">
            <v>MODULO X80 - 16 SAIDAS DIGITAIS A RELE - 2A - CONECT BORNE OU SIMILAR TÉCNICO</v>
          </cell>
          <cell r="F38" t="str">
            <v>Material</v>
          </cell>
          <cell r="G38" t="str">
            <v>UN</v>
          </cell>
          <cell r="H38" t="str">
            <v>9,0000000</v>
          </cell>
        </row>
        <row r="38">
          <cell r="J38" t="str">
            <v>3.548,42</v>
          </cell>
        </row>
        <row r="38">
          <cell r="L38" t="str">
            <v>31.935,78</v>
          </cell>
        </row>
        <row r="38">
          <cell r="N38">
            <v>31935.78</v>
          </cell>
          <cell r="O38">
            <v>0.00490509143635745</v>
          </cell>
          <cell r="P38">
            <v>5603787.271</v>
          </cell>
          <cell r="Q38">
            <v>0.860698844811399</v>
          </cell>
          <cell r="R38" t="str">
            <v>B</v>
          </cell>
        </row>
        <row r="39">
          <cell r="B39" t="str">
            <v>UFF_COTAÇÃO 46</v>
          </cell>
          <cell r="C39" t="str">
            <v>Próprio</v>
          </cell>
        </row>
        <row r="39">
          <cell r="E39" t="str">
            <v>CONTROLADOR LOGICO PROGRAMAVEL M241 24IO OU SIMILAR TÉCNICO COM TODOS OS ACESSÓRIOS NECESSÁRIOS</v>
          </cell>
          <cell r="F39" t="str">
            <v>Material</v>
          </cell>
          <cell r="G39" t="str">
            <v>UN</v>
          </cell>
          <cell r="H39" t="str">
            <v>3,0000000</v>
          </cell>
        </row>
        <row r="39">
          <cell r="J39" t="str">
            <v>10.314,88</v>
          </cell>
        </row>
        <row r="39">
          <cell r="L39" t="str">
            <v>30.944,64</v>
          </cell>
        </row>
        <row r="39">
          <cell r="N39">
            <v>30944.64</v>
          </cell>
          <cell r="O39">
            <v>0.00475285991653137</v>
          </cell>
          <cell r="P39">
            <v>5634731.911</v>
          </cell>
          <cell r="Q39">
            <v>0.86545170472793</v>
          </cell>
          <cell r="R39" t="str">
            <v>B</v>
          </cell>
        </row>
        <row r="40">
          <cell r="B40" t="str">
            <v>UFF_COTAÇÃO 27</v>
          </cell>
          <cell r="C40" t="str">
            <v>Próprio</v>
          </cell>
        </row>
        <row r="40">
          <cell r="E40" t="str">
            <v>Quadro de distribuição de luz e força, tipo SOBREPOR, para uso abrigado (interno), construído em chapa de aço bitola #16, grau de proteção IP54, provido de placa de montagem na cor laranja, espelho de proteção dos barramentos em policarbonato (anti-fulgor), portas com dobradiças internas e fecho tipo fenda. Pintura de acabamento final na cor cinza claro RAL-7032. Nas dimensões aproximadas de: (1,4 X 0,8 X 0,25).</v>
          </cell>
          <cell r="F40" t="str">
            <v>Material</v>
          </cell>
          <cell r="G40" t="str">
            <v>UN</v>
          </cell>
          <cell r="H40" t="str">
            <v>1,0000000</v>
          </cell>
        </row>
        <row r="40">
          <cell r="J40" t="str">
            <v>29.189,50</v>
          </cell>
        </row>
        <row r="40">
          <cell r="L40" t="str">
            <v>29.189,50</v>
          </cell>
        </row>
        <row r="40">
          <cell r="N40">
            <v>29189.5</v>
          </cell>
          <cell r="O40">
            <v>0.00448328384281066</v>
          </cell>
          <cell r="P40">
            <v>5663921.411</v>
          </cell>
          <cell r="Q40">
            <v>0.869934988570741</v>
          </cell>
          <cell r="R40" t="str">
            <v>B</v>
          </cell>
        </row>
        <row r="41">
          <cell r="B41" t="str">
            <v>UFF_COTAÇÃO 246</v>
          </cell>
          <cell r="C41" t="str">
            <v>Próprio</v>
          </cell>
        </row>
        <row r="41">
          <cell r="E41" t="str">
            <v>MÓDULO DE FILTRAGEM FABRICADO EM POLIPROPILENO COM FILTRO DE CARVÃO ATIVADO (NOVO) - MODELO CFD - DIMENSÃO 3300X3300mm - VAZÃO 88780m³/h - MARCA DIFUSTHERM OU EQUIVALENTE TÉCNICO</v>
          </cell>
          <cell r="F41" t="str">
            <v>Material</v>
          </cell>
          <cell r="G41" t="str">
            <v>UN</v>
          </cell>
          <cell r="H41" t="str">
            <v>1,0000000</v>
          </cell>
        </row>
        <row r="41">
          <cell r="J41" t="str">
            <v>27.965,93</v>
          </cell>
        </row>
        <row r="41">
          <cell r="L41" t="str">
            <v>27.965,93</v>
          </cell>
        </row>
        <row r="41">
          <cell r="N41">
            <v>27965.93</v>
          </cell>
          <cell r="O41">
            <v>0.00429535285353205</v>
          </cell>
          <cell r="P41">
            <v>5691887.341</v>
          </cell>
          <cell r="Q41">
            <v>0.874230341424273</v>
          </cell>
          <cell r="R41" t="str">
            <v>B</v>
          </cell>
        </row>
        <row r="42">
          <cell r="B42" t="str">
            <v>UFF_COTAÇÃO 33</v>
          </cell>
          <cell r="C42" t="str">
            <v>Próprio</v>
          </cell>
        </row>
        <row r="42">
          <cell r="E42" t="str">
            <v>CABO DE INSTRUMENTAÇÃO 2X#1,0MM²</v>
          </cell>
          <cell r="F42" t="str">
            <v>Material</v>
          </cell>
          <cell r="G42" t="str">
            <v>UN</v>
          </cell>
          <cell r="H42" t="str">
            <v>6.520,3896000</v>
          </cell>
        </row>
        <row r="42">
          <cell r="J42" t="str">
            <v>4,08</v>
          </cell>
        </row>
        <row r="42">
          <cell r="L42" t="str">
            <v>26.603,19</v>
          </cell>
        </row>
        <row r="42">
          <cell r="N42">
            <v>26603.189568</v>
          </cell>
          <cell r="O42">
            <v>0.00408604635082627</v>
          </cell>
          <cell r="P42">
            <v>5718490.530568</v>
          </cell>
          <cell r="Q42">
            <v>0.878316387775099</v>
          </cell>
          <cell r="R42" t="str">
            <v>B</v>
          </cell>
        </row>
        <row r="43">
          <cell r="B43" t="str">
            <v>UFF_COTAÇÃO 50</v>
          </cell>
          <cell r="C43" t="str">
            <v>Próprio</v>
          </cell>
        </row>
        <row r="43">
          <cell r="E43" t="str">
            <v>CONTROLLER M251 ETHERNET PROC. UNIT OU SIMILAR TÉCNICO</v>
          </cell>
          <cell r="F43" t="str">
            <v>Material</v>
          </cell>
          <cell r="G43" t="str">
            <v>UN</v>
          </cell>
          <cell r="H43" t="str">
            <v>4,0000000</v>
          </cell>
        </row>
        <row r="43">
          <cell r="J43" t="str">
            <v>6.582,59</v>
          </cell>
        </row>
        <row r="43">
          <cell r="L43" t="str">
            <v>26.330,36</v>
          </cell>
        </row>
        <row r="43">
          <cell r="N43">
            <v>26330.36</v>
          </cell>
          <cell r="O43">
            <v>0.00404414181686524</v>
          </cell>
          <cell r="P43">
            <v>5744820.890568</v>
          </cell>
          <cell r="Q43">
            <v>0.882360529591964</v>
          </cell>
          <cell r="R43" t="str">
            <v>B</v>
          </cell>
        </row>
        <row r="44">
          <cell r="B44" t="str">
            <v>UFF_COTAÇÃO 245</v>
          </cell>
          <cell r="C44" t="str">
            <v>Próprio</v>
          </cell>
        </row>
        <row r="44">
          <cell r="E44" t="str">
            <v>MÓDULO DE FILTRAGEM FABRICADO EM POLIPROPILENO COM FILTRO DE CARVÃO ATIVADO (NOVO) - MODELO CFD - DIMENSÃO 2676X2676mm - VAZÃO 39700m³/h - MARCA DIFUSTHERM OU EQUIVALENTE TÉCNICO</v>
          </cell>
          <cell r="F44" t="str">
            <v>Material</v>
          </cell>
          <cell r="G44" t="str">
            <v>UN</v>
          </cell>
          <cell r="H44" t="str">
            <v>1,0000000</v>
          </cell>
        </row>
        <row r="44">
          <cell r="J44" t="str">
            <v>24.301,14</v>
          </cell>
        </row>
        <row r="44">
          <cell r="L44" t="str">
            <v>24.301,14</v>
          </cell>
        </row>
        <row r="44">
          <cell r="N44">
            <v>24301.14</v>
          </cell>
          <cell r="O44">
            <v>0.00373246915239657</v>
          </cell>
          <cell r="P44">
            <v>5769122.030568</v>
          </cell>
          <cell r="Q44">
            <v>0.886092998744361</v>
          </cell>
          <cell r="R44" t="str">
            <v>B</v>
          </cell>
        </row>
        <row r="45">
          <cell r="B45" t="str">
            <v>UFF_COTAÇÃO 240</v>
          </cell>
          <cell r="C45" t="str">
            <v>Próprio</v>
          </cell>
        </row>
        <row r="45">
          <cell r="E45" t="str">
            <v>VENTILADOR CENTRÍFUGO DE SIMPLES ASPIRAÇÃO COM PÁS CURVASDAS PARA TRÁS - MODELO GTS 630 - VAZÃO MÁX 9816m³/h - Pd 100mmCA - POTÊNCIA 4,5W / 20,45A - PESO 274kg - ALIMENTAÇÃO 3F/380V/60Hz - MARCA BERLINERLUFT OU EQUIVALENTE TÉCNICO</v>
          </cell>
          <cell r="F45" t="str">
            <v>Equipamento</v>
          </cell>
          <cell r="G45" t="str">
            <v>UN</v>
          </cell>
          <cell r="H45" t="str">
            <v>1,0000000</v>
          </cell>
          <cell r="I45" t="str">
            <v>0,0000000</v>
          </cell>
          <cell r="J45" t="str">
            <v>23.932,38</v>
          </cell>
          <cell r="K45" t="str">
            <v>23.932,38</v>
          </cell>
          <cell r="L45" t="str">
            <v>23.932,38</v>
          </cell>
          <cell r="M45" t="str">
            <v>0,00</v>
          </cell>
          <cell r="N45">
            <v>23932.38</v>
          </cell>
          <cell r="O45">
            <v>0.00367583043813717</v>
          </cell>
          <cell r="P45">
            <v>5793054.410568</v>
          </cell>
          <cell r="Q45">
            <v>0.889768829182498</v>
          </cell>
          <cell r="R45" t="str">
            <v>B</v>
          </cell>
        </row>
        <row r="46">
          <cell r="B46" t="str">
            <v>UFF_COTAÇÃO 25</v>
          </cell>
          <cell r="C46" t="str">
            <v>Próprio</v>
          </cell>
        </row>
        <row r="46">
          <cell r="E46" t="str">
            <v>PORTA EQUIPAMENTOS PARA CANALETA DE ALUMINIO 90X35MM</v>
          </cell>
          <cell r="F46" t="str">
            <v>Material</v>
          </cell>
          <cell r="G46" t="str">
            <v>UN</v>
          </cell>
          <cell r="H46" t="str">
            <v>785,0000000</v>
          </cell>
        </row>
        <row r="46">
          <cell r="J46" t="str">
            <v>29,62</v>
          </cell>
        </row>
        <row r="46">
          <cell r="L46" t="str">
            <v>23.251,70</v>
          </cell>
        </row>
        <row r="46">
          <cell r="N46">
            <v>23251.7</v>
          </cell>
          <cell r="O46">
            <v>0.00357128319868037</v>
          </cell>
          <cell r="P46">
            <v>5816306.110568</v>
          </cell>
          <cell r="Q46">
            <v>0.893340112381178</v>
          </cell>
          <cell r="R46" t="str">
            <v>B</v>
          </cell>
        </row>
        <row r="47">
          <cell r="B47" t="str">
            <v>UFF_COTAÇÃO 39</v>
          </cell>
          <cell r="C47" t="str">
            <v>Próprio</v>
          </cell>
        </row>
        <row r="47">
          <cell r="E47" t="str">
            <v>MEDIDOR DE VAZÃO PARA ÁGUA GELADA DN=6"</v>
          </cell>
          <cell r="F47" t="str">
            <v>Material</v>
          </cell>
          <cell r="G47" t="str">
            <v>UN</v>
          </cell>
          <cell r="H47" t="str">
            <v>1,0000000</v>
          </cell>
        </row>
        <row r="47">
          <cell r="J47" t="str">
            <v>20.336,38</v>
          </cell>
        </row>
        <row r="47">
          <cell r="L47" t="str">
            <v>20.336,38</v>
          </cell>
        </row>
        <row r="47">
          <cell r="N47">
            <v>20336.38</v>
          </cell>
          <cell r="O47">
            <v>0.00312351235462265</v>
          </cell>
          <cell r="P47">
            <v>5836642.490568</v>
          </cell>
          <cell r="Q47">
            <v>0.896463624735801</v>
          </cell>
          <cell r="R47" t="str">
            <v>B</v>
          </cell>
        </row>
        <row r="48">
          <cell r="B48" t="str">
            <v>UFF_COTAÇÃO 204</v>
          </cell>
          <cell r="C48" t="str">
            <v>Próprio</v>
          </cell>
        </row>
        <row r="48">
          <cell r="E48" t="str">
            <v>Motobomba Centrífuga Monoestágio 20CV Trifásica 220/380V</v>
          </cell>
          <cell r="F48" t="str">
            <v>Equipamento</v>
          </cell>
          <cell r="G48" t="str">
            <v>UN</v>
          </cell>
          <cell r="H48" t="str">
            <v>2,0000000</v>
          </cell>
          <cell r="I48" t="str">
            <v>0,0000000</v>
          </cell>
          <cell r="J48" t="str">
            <v>10.099,90</v>
          </cell>
          <cell r="K48" t="str">
            <v>10.099,90</v>
          </cell>
          <cell r="L48" t="str">
            <v>20.199,80</v>
          </cell>
          <cell r="M48" t="str">
            <v>0,00</v>
          </cell>
          <cell r="N48">
            <v>20199.8</v>
          </cell>
          <cell r="O48">
            <v>0.00310253471172876</v>
          </cell>
          <cell r="P48">
            <v>5856842.290568</v>
          </cell>
          <cell r="Q48">
            <v>0.89956615944753</v>
          </cell>
          <cell r="R48" t="str">
            <v>B</v>
          </cell>
        </row>
        <row r="49">
          <cell r="B49" t="str">
            <v>UFF_COTAÇÃO 186</v>
          </cell>
          <cell r="C49" t="str">
            <v>Próprio</v>
          </cell>
        </row>
        <row r="49">
          <cell r="E49" t="str">
            <v>ACIONADOR MANUAL ENDEREÇÁVEL FABRICAÇÃO NOTIFIER</v>
          </cell>
          <cell r="F49" t="str">
            <v>Material</v>
          </cell>
          <cell r="G49" t="str">
            <v>UN</v>
          </cell>
          <cell r="H49" t="str">
            <v>30,0000000</v>
          </cell>
        </row>
        <row r="49">
          <cell r="J49" t="str">
            <v>650,00</v>
          </cell>
        </row>
        <row r="49">
          <cell r="L49" t="str">
            <v>19.500,00</v>
          </cell>
        </row>
        <row r="49">
          <cell r="N49">
            <v>19500</v>
          </cell>
          <cell r="O49">
            <v>0.00299505078657763</v>
          </cell>
          <cell r="P49">
            <v>5876342.290568</v>
          </cell>
          <cell r="Q49">
            <v>0.902561210234107</v>
          </cell>
          <cell r="R49" t="str">
            <v>B</v>
          </cell>
        </row>
        <row r="50">
          <cell r="B50" t="str">
            <v>UFF_COTAÇÃO 51</v>
          </cell>
          <cell r="C50" t="str">
            <v>Próprio</v>
          </cell>
        </row>
        <row r="50">
          <cell r="E50" t="str">
            <v>MODULO X80 - COMUNICACAO COM 2 PORTAS RS OU SIMILAR TÉCNICO</v>
          </cell>
          <cell r="F50" t="str">
            <v>Material</v>
          </cell>
          <cell r="G50" t="str">
            <v>UN</v>
          </cell>
          <cell r="H50" t="str">
            <v>2,0000000</v>
          </cell>
        </row>
        <row r="50">
          <cell r="J50" t="str">
            <v>9.424,13</v>
          </cell>
        </row>
        <row r="50">
          <cell r="L50" t="str">
            <v>18.848,26</v>
          </cell>
        </row>
        <row r="50">
          <cell r="N50">
            <v>18848.26</v>
          </cell>
          <cell r="O50">
            <v>0.00289494850967281</v>
          </cell>
          <cell r="P50">
            <v>5895190.550568</v>
          </cell>
          <cell r="Q50">
            <v>0.90545615874378</v>
          </cell>
          <cell r="R50" t="str">
            <v>B</v>
          </cell>
        </row>
        <row r="51">
          <cell r="B51" t="str">
            <v>UFF_COTAÇÃO 60</v>
          </cell>
          <cell r="C51" t="str">
            <v>Próprio</v>
          </cell>
        </row>
        <row r="51">
          <cell r="E51" t="str">
            <v>QUADRO DE DISTRIBUIÇÃO DE SOBREPOR CDE-5, EM CAIXA EM CHAPA DE AÇO, COM TRATAMENTO ANTI-CORROSIVO, COM PINTURA ELETROSTÁTICA EM EPÓXI-PÓ CORRUGADO, NA COR CINZA RAL, PORTA COM FECHO ESCAMOTEAVEL CREMONA YALE COM LINGUETA, COM BARRAMENTO TRIFÁSICO+NEUTRO+ TERRA MONTADO SOBRE PLACA DE MONTAGEM, CORRENTE NOMINAL 125A, CORRENTE DE CURTO CIRCUITO DE 20kA, CONFORME DIAGRAMA TRIFILAR E MEMORIAL DESCRITIVO, COMPLETO. FORNECIMENTO E MONTAGEM.</v>
          </cell>
          <cell r="F51" t="str">
            <v>Material</v>
          </cell>
          <cell r="G51" t="str">
            <v>UN</v>
          </cell>
          <cell r="H51" t="str">
            <v>1,0000000</v>
          </cell>
        </row>
        <row r="51">
          <cell r="J51" t="str">
            <v>17.792,00</v>
          </cell>
        </row>
        <row r="51">
          <cell r="L51" t="str">
            <v>17.792,00</v>
          </cell>
        </row>
        <row r="51">
          <cell r="N51">
            <v>17792</v>
          </cell>
          <cell r="O51">
            <v>0.00273271505614304</v>
          </cell>
          <cell r="P51">
            <v>5912982.550568</v>
          </cell>
          <cell r="Q51">
            <v>0.908188873799923</v>
          </cell>
          <cell r="R51" t="str">
            <v>B</v>
          </cell>
        </row>
        <row r="52">
          <cell r="B52" t="str">
            <v>UFF_COTAÇÃO 194</v>
          </cell>
          <cell r="C52" t="str">
            <v>Próprio</v>
          </cell>
        </row>
        <row r="52">
          <cell r="E52" t="str">
            <v>MODULO ISOLADOR DE FABRICAÇÃO NOTIFIER</v>
          </cell>
          <cell r="F52" t="str">
            <v>Material</v>
          </cell>
          <cell r="G52" t="str">
            <v>UN</v>
          </cell>
          <cell r="H52" t="str">
            <v>28,0000000</v>
          </cell>
        </row>
        <row r="52">
          <cell r="J52" t="str">
            <v>603,49</v>
          </cell>
        </row>
        <row r="52">
          <cell r="L52" t="str">
            <v>16.897,72</v>
          </cell>
        </row>
        <row r="52">
          <cell r="N52">
            <v>16897.72</v>
          </cell>
          <cell r="O52">
            <v>0.00259536049114711</v>
          </cell>
          <cell r="P52">
            <v>5929880.270568</v>
          </cell>
          <cell r="Q52">
            <v>0.91078423429107</v>
          </cell>
          <cell r="R52" t="str">
            <v>B</v>
          </cell>
        </row>
        <row r="53">
          <cell r="B53" t="str">
            <v>UFF_COTAÇÃO 67</v>
          </cell>
          <cell r="C53" t="str">
            <v>Próprio</v>
          </cell>
        </row>
        <row r="53">
          <cell r="E53" t="str">
            <v>QUADRO DE DISTRIBUIÇÃO DE SOBREPOR CDE-4, EM CAIXA EM CHAPA DE AÇO, COM TRATAMENTO ANTI-CORROSIVO, COM PINTURA ELETROSTÁTICA EM EPÓXI-PÓ CORRUGADO, NA COR CINZA RAL, PORTA COM FECHO ESCAMOTEAVEL CREMONA YALE COM LINGUETA, COM BARRAMENTO TRIFÁSICO+NEUTRO+ TERRA MONTADO SOBRE PLACA DE MONTAGEM, CORRENTE NOMINAL 125A, CORRENTE DE CURTO CIRCUITO DE 20kA, CONFORME DIAGRAMA TRIFILAR E MEMORIAL DESCRITIVO, COMPLETO. FORNECIMENTO E MONTAGEM.</v>
          </cell>
          <cell r="F53" t="str">
            <v>Material</v>
          </cell>
          <cell r="G53" t="str">
            <v>UN</v>
          </cell>
          <cell r="H53" t="str">
            <v>1,0000000</v>
          </cell>
        </row>
        <row r="53">
          <cell r="J53" t="str">
            <v>16.161,00</v>
          </cell>
        </row>
        <row r="53">
          <cell r="L53" t="str">
            <v>16.161,00</v>
          </cell>
        </row>
        <row r="53">
          <cell r="N53">
            <v>16161</v>
          </cell>
          <cell r="O53">
            <v>0.00248220593650672</v>
          </cell>
          <cell r="P53">
            <v>5946041.270568</v>
          </cell>
          <cell r="Q53">
            <v>0.913266440227577</v>
          </cell>
          <cell r="R53" t="str">
            <v>B</v>
          </cell>
        </row>
        <row r="54">
          <cell r="B54" t="str">
            <v>UFF_COTAÇÃO 192</v>
          </cell>
          <cell r="C54" t="str">
            <v>Próprio</v>
          </cell>
        </row>
        <row r="54">
          <cell r="E54" t="str">
            <v>DETECTOR ENDEREÇÁVEL DE GÁS</v>
          </cell>
          <cell r="F54" t="str">
            <v>Material</v>
          </cell>
          <cell r="G54" t="str">
            <v>UN</v>
          </cell>
          <cell r="H54" t="str">
            <v>10,0000000</v>
          </cell>
        </row>
        <row r="54">
          <cell r="J54" t="str">
            <v>1.597,57</v>
          </cell>
        </row>
        <row r="54">
          <cell r="L54" t="str">
            <v>15.975,70</v>
          </cell>
        </row>
        <row r="54">
          <cell r="N54">
            <v>15975.7</v>
          </cell>
          <cell r="O54">
            <v>0.00245374527441684</v>
          </cell>
          <cell r="P54">
            <v>5962016.970568</v>
          </cell>
          <cell r="Q54">
            <v>0.915720185501994</v>
          </cell>
          <cell r="R54" t="str">
            <v>B</v>
          </cell>
        </row>
        <row r="55">
          <cell r="B55" t="str">
            <v>UFF_COTAÇÃO 224</v>
          </cell>
          <cell r="C55" t="str">
            <v>Próprio</v>
          </cell>
        </row>
        <row r="55">
          <cell r="E55" t="str">
            <v>FANCOLETE TIPO BUILT-IN DE ALTA EFICIÊNCIA (NOVO) COM FILTRO G4 E KIT VÁLVULA 2 VIAS - MODELO 42BB 036 - CAPACIDADE 39280BTU/h - POTÊNCIA 290W - ALIMENTAÇÃO 1F/220V/60Hz - MARCA CARRIER OU EQUIVALENTE TÉCNICO.FORNECIMENTO</v>
          </cell>
          <cell r="F55" t="str">
            <v>Equipamento</v>
          </cell>
          <cell r="G55" t="str">
            <v>UN</v>
          </cell>
          <cell r="H55" t="str">
            <v>4,0000000</v>
          </cell>
          <cell r="I55" t="str">
            <v>0,0000000</v>
          </cell>
          <cell r="J55" t="str">
            <v>3.931,24</v>
          </cell>
          <cell r="K55" t="str">
            <v>3.931,24</v>
          </cell>
          <cell r="L55" t="str">
            <v>15.724,96</v>
          </cell>
          <cell r="M55" t="str">
            <v>0,00</v>
          </cell>
          <cell r="N55">
            <v>15724.96</v>
          </cell>
          <cell r="O55">
            <v>0.00241523352907189</v>
          </cell>
          <cell r="P55">
            <v>5977741.930568</v>
          </cell>
          <cell r="Q55">
            <v>0.918135419031066</v>
          </cell>
          <cell r="R55" t="str">
            <v>B</v>
          </cell>
        </row>
        <row r="56">
          <cell r="B56" t="str">
            <v>UFF_COTAÇÃO 244</v>
          </cell>
          <cell r="C56" t="str">
            <v>Próprio</v>
          </cell>
        </row>
        <row r="56">
          <cell r="E56" t="str">
            <v>MÓDULO DE FILTRAGEM COM FILTRO DE CARVÃO ATIVADO (NOVO) - MODELO F383 A23 - DIMENSÃO 2676X1428mm - VAZÃO 13589m³/h - MARCA TROX OU EQUIVALENTE TÉCNICO</v>
          </cell>
          <cell r="F56" t="str">
            <v>Material</v>
          </cell>
          <cell r="G56" t="str">
            <v>UN</v>
          </cell>
          <cell r="H56" t="str">
            <v>1,0000000</v>
          </cell>
        </row>
        <row r="56">
          <cell r="J56" t="str">
            <v>14.724,46</v>
          </cell>
        </row>
        <row r="56">
          <cell r="L56" t="str">
            <v>14.724,46</v>
          </cell>
        </row>
        <row r="56">
          <cell r="N56">
            <v>14724.46</v>
          </cell>
          <cell r="O56">
            <v>0.00226156438486825</v>
          </cell>
          <cell r="P56">
            <v>5992466.390568</v>
          </cell>
          <cell r="Q56">
            <v>0.920396983415934</v>
          </cell>
          <cell r="R56" t="str">
            <v>B</v>
          </cell>
        </row>
        <row r="57">
          <cell r="B57" t="str">
            <v>UFF_COTAÇÃO 70</v>
          </cell>
          <cell r="C57" t="str">
            <v>Próprio</v>
          </cell>
        </row>
        <row r="57">
          <cell r="E57" t="str">
            <v>QF-RECR - QUADRO DE COMANDO PARA 02 BOMBAS INCÊNDIO 7,5CV/220V</v>
          </cell>
          <cell r="F57" t="str">
            <v>Material</v>
          </cell>
          <cell r="G57" t="str">
            <v>UN</v>
          </cell>
          <cell r="H57" t="str">
            <v>1,0000000</v>
          </cell>
        </row>
        <row r="57">
          <cell r="J57" t="str">
            <v>14.692,00</v>
          </cell>
        </row>
        <row r="57">
          <cell r="L57" t="str">
            <v>14.692,00</v>
          </cell>
        </row>
        <row r="57">
          <cell r="N57">
            <v>14692</v>
          </cell>
          <cell r="O57">
            <v>0.00225657877725121</v>
          </cell>
          <cell r="P57">
            <v>6007158.390568</v>
          </cell>
          <cell r="Q57">
            <v>0.922653562193185</v>
          </cell>
          <cell r="R57" t="str">
            <v>B</v>
          </cell>
        </row>
        <row r="58">
          <cell r="B58" t="str">
            <v>UFF_COTAÇÃO 69</v>
          </cell>
          <cell r="C58" t="str">
            <v>Próprio</v>
          </cell>
        </row>
        <row r="58">
          <cell r="E58" t="str">
            <v>QF-RECP - QUADRO DE COMANDO PARA 02 BOMBAS INCÊNDIO 7,5CV/220V</v>
          </cell>
          <cell r="F58" t="str">
            <v>Material</v>
          </cell>
          <cell r="G58" t="str">
            <v>UN</v>
          </cell>
          <cell r="H58" t="str">
            <v>1,0000000</v>
          </cell>
        </row>
        <row r="58">
          <cell r="J58" t="str">
            <v>14.692,00</v>
          </cell>
        </row>
        <row r="58">
          <cell r="L58" t="str">
            <v>14.692,00</v>
          </cell>
        </row>
        <row r="58">
          <cell r="N58">
            <v>14692</v>
          </cell>
          <cell r="O58">
            <v>0.00225657877725121</v>
          </cell>
          <cell r="P58">
            <v>6021850.390568</v>
          </cell>
          <cell r="Q58">
            <v>0.924910140970436</v>
          </cell>
          <cell r="R58" t="str">
            <v>B</v>
          </cell>
        </row>
        <row r="59">
          <cell r="B59" t="str">
            <v>UFF_COTAÇÃO 205</v>
          </cell>
          <cell r="C59" t="str">
            <v>Próprio</v>
          </cell>
        </row>
        <row r="59">
          <cell r="E59" t="str">
            <v>QUADRO DE COMANDO PARA 02 BOMBAS INCÊNDIO 7,5CV/220V SISTEMA HIDRANTES</v>
          </cell>
          <cell r="F59" t="str">
            <v>Material</v>
          </cell>
          <cell r="G59" t="str">
            <v>UN</v>
          </cell>
          <cell r="H59" t="str">
            <v>1,0000000</v>
          </cell>
        </row>
        <row r="59">
          <cell r="J59" t="str">
            <v>14.638,00</v>
          </cell>
        </row>
        <row r="59">
          <cell r="L59" t="str">
            <v>14.638,00</v>
          </cell>
        </row>
        <row r="59">
          <cell r="N59">
            <v>14638</v>
          </cell>
          <cell r="O59">
            <v>0.00224828479045761</v>
          </cell>
          <cell r="P59">
            <v>6036488.390568</v>
          </cell>
          <cell r="Q59">
            <v>0.927158425760894</v>
          </cell>
          <cell r="R59" t="str">
            <v>B</v>
          </cell>
        </row>
        <row r="60">
          <cell r="B60" t="str">
            <v>UFF_COTAÇÃO 197</v>
          </cell>
          <cell r="C60" t="str">
            <v>Próprio</v>
          </cell>
        </row>
        <row r="60">
          <cell r="E60" t="str">
            <v>EXTINTOR DE ESPUMA MECÂNICA (EM) 10L, CARGA EXTINTORA 2-A 10-B</v>
          </cell>
          <cell r="F60" t="str">
            <v>Material</v>
          </cell>
          <cell r="G60" t="str">
            <v>UN</v>
          </cell>
          <cell r="H60" t="str">
            <v>32,0000000</v>
          </cell>
        </row>
        <row r="60">
          <cell r="J60" t="str">
            <v>433,74</v>
          </cell>
        </row>
        <row r="60">
          <cell r="L60" t="str">
            <v>13.879,68</v>
          </cell>
        </row>
        <row r="60">
          <cell r="N60">
            <v>13879.68</v>
          </cell>
          <cell r="O60">
            <v>0.00213181264109979</v>
          </cell>
          <cell r="P60">
            <v>6050368.070568</v>
          </cell>
          <cell r="Q60">
            <v>0.929290238401994</v>
          </cell>
          <cell r="R60" t="str">
            <v>B</v>
          </cell>
        </row>
        <row r="61">
          <cell r="B61" t="str">
            <v>UFF_COTAÇÃO 206</v>
          </cell>
          <cell r="C61" t="str">
            <v>Próprio</v>
          </cell>
        </row>
        <row r="61">
          <cell r="E61" t="str">
            <v>QUADRO DE COMANDO PARA 02 BOMBAS INCÊNDIO 20CV/220V SISTEMA SPRINKLER</v>
          </cell>
          <cell r="F61" t="str">
            <v>Material</v>
          </cell>
          <cell r="G61" t="str">
            <v>UN</v>
          </cell>
          <cell r="H61" t="str">
            <v>1,0000000</v>
          </cell>
        </row>
        <row r="61">
          <cell r="J61" t="str">
            <v>13.793,00</v>
          </cell>
        </row>
        <row r="61">
          <cell r="L61" t="str">
            <v>13.793,00</v>
          </cell>
        </row>
        <row r="61">
          <cell r="N61">
            <v>13793</v>
          </cell>
          <cell r="O61">
            <v>0.00211849925637258</v>
          </cell>
          <cell r="P61">
            <v>6064161.070568</v>
          </cell>
          <cell r="Q61">
            <v>0.931408737658366</v>
          </cell>
          <cell r="R61" t="str">
            <v>B</v>
          </cell>
        </row>
        <row r="62">
          <cell r="B62" t="str">
            <v>UFF_COTAÇÃO 196</v>
          </cell>
          <cell r="C62" t="str">
            <v>Próprio</v>
          </cell>
        </row>
        <row r="62">
          <cell r="E62" t="str">
            <v>Extintor CO2 Alumínio Para Sala de Ressonância Magnética - 6,8 kg - Mo.331 - SC</v>
          </cell>
          <cell r="F62" t="str">
            <v>Material</v>
          </cell>
          <cell r="G62" t="str">
            <v>UN</v>
          </cell>
          <cell r="H62" t="str">
            <v>2,0000000</v>
          </cell>
        </row>
        <row r="62">
          <cell r="J62" t="str">
            <v>6.820,00</v>
          </cell>
        </row>
        <row r="62">
          <cell r="L62" t="str">
            <v>13.640,00</v>
          </cell>
        </row>
        <row r="62">
          <cell r="N62">
            <v>13640</v>
          </cell>
          <cell r="O62">
            <v>0.00209499962712405</v>
          </cell>
          <cell r="P62">
            <v>6077801.070568</v>
          </cell>
          <cell r="Q62">
            <v>0.93350373728549</v>
          </cell>
          <cell r="R62" t="str">
            <v>B</v>
          </cell>
        </row>
        <row r="63">
          <cell r="B63" t="str">
            <v>UFF_COTAÇÃO 57</v>
          </cell>
          <cell r="C63" t="str">
            <v>Próprio</v>
          </cell>
        </row>
        <row r="63">
          <cell r="E63" t="str">
            <v>QUADRO DE DISTRIBUIÇÃO DE SOBREPOR CDS-5.2, EM CAIXA EM CHAPA DE AÇO, COM TRATAMENTO ANTI-CORROSIVO, COM PINTURA ELETROSTÁTICA EM EPÓXI-PÓ CORRUGADO, NA COR CINZA RAL, PORTA COM FECHO ESCAMOTEAVEL CREMONA YALE COM LINGUETA, COM BARRAMENTO TRIFÁSICO+NEUTRO+ TERRA MONTADO SOBRE PLACA DE MONTAGEM, CORRENTE NOMINAL 125A, CORRENTE DE CURTO CIRCUITO DE 20kA, CONFORME DIAGRAMA TRIFILAR E MEMORIAL DESCRITIVO, COMPLETO. FORNECIMENTO E MONTAGEM.</v>
          </cell>
          <cell r="F63" t="str">
            <v>Material</v>
          </cell>
          <cell r="G63" t="str">
            <v>UN</v>
          </cell>
          <cell r="H63" t="str">
            <v>1,0000000</v>
          </cell>
        </row>
        <row r="63">
          <cell r="J63" t="str">
            <v>13.519,00</v>
          </cell>
        </row>
        <row r="63">
          <cell r="L63" t="str">
            <v>13.519,00</v>
          </cell>
        </row>
        <row r="63">
          <cell r="N63">
            <v>13519</v>
          </cell>
          <cell r="O63">
            <v>0.00207641495301246</v>
          </cell>
          <cell r="P63">
            <v>6091320.070568</v>
          </cell>
          <cell r="Q63">
            <v>0.935580152238503</v>
          </cell>
          <cell r="R63" t="str">
            <v>B</v>
          </cell>
        </row>
        <row r="64">
          <cell r="B64" t="str">
            <v>UFF_COTAÇÃO 243</v>
          </cell>
          <cell r="C64" t="str">
            <v>Próprio</v>
          </cell>
        </row>
        <row r="64">
          <cell r="E64" t="str">
            <v>MÓDULO DE FILTRAGEM COM FILTRO DE CARVÃO ATIVADO (NOVO) - MODELO F383 A22 - DIMENSÃO 2052X1428mm - VAZÃO 9816m³/h - MARCA TROX OU EQUIVALENTE TÉCNICO</v>
          </cell>
          <cell r="F64" t="str">
            <v>Material</v>
          </cell>
          <cell r="G64" t="str">
            <v>UN</v>
          </cell>
          <cell r="H64" t="str">
            <v>1,0000000</v>
          </cell>
        </row>
        <row r="64">
          <cell r="J64" t="str">
            <v>13.238,94</v>
          </cell>
        </row>
        <row r="64">
          <cell r="L64" t="str">
            <v>13.238,94</v>
          </cell>
        </row>
        <row r="64">
          <cell r="N64">
            <v>13238.94</v>
          </cell>
          <cell r="O64">
            <v>0.00203339988002329</v>
          </cell>
          <cell r="P64">
            <v>6104559.010568</v>
          </cell>
          <cell r="Q64">
            <v>0.937613552118526</v>
          </cell>
          <cell r="R64" t="str">
            <v>B</v>
          </cell>
        </row>
        <row r="65">
          <cell r="B65" t="str">
            <v>UFF_COTAÇÃO 61</v>
          </cell>
          <cell r="C65" t="str">
            <v>Próprio</v>
          </cell>
        </row>
        <row r="65">
          <cell r="E65" t="str">
            <v>QUADRO DE DISTRIBUIÇÃO DE SOBREPOR CDS-4.1, EM CAIXA EM CHAPA DE AÇO, COM TRATAMENTO ANTI-CORROSIVO, COM PINTURA ELETROSTÁTICA EM EPÓXI-PÓ CORRUGADO, NA COR CINZA RAL, PORTA COM FECHO ESCAMOTEAVEL CREMONA YALE COM LINGUETA, COM BARRAMENTO TRIFÁSICO+NEUTRO+ TERRA MONTADO SOBRE PLACA DE MONTAGEM, CORRENTE NOMINAL 150A, CORRENTE DE CURTO CIRCUITO DE 20kA, CONFORME DIAGRAMA TRIFILAR E MEMORIAL DESCRITIVO, COMPLETO. FORNECIMENTO E MONTAGEM.</v>
          </cell>
          <cell r="F65" t="str">
            <v>Material</v>
          </cell>
          <cell r="G65" t="str">
            <v>UN</v>
          </cell>
          <cell r="H65" t="str">
            <v>1,0000000</v>
          </cell>
        </row>
        <row r="65">
          <cell r="J65" t="str">
            <v>12.411,00</v>
          </cell>
        </row>
        <row r="65">
          <cell r="L65" t="str">
            <v>12.411,00</v>
          </cell>
        </row>
        <row r="65">
          <cell r="N65">
            <v>12411</v>
          </cell>
          <cell r="O65">
            <v>0.00190623463139564</v>
          </cell>
          <cell r="P65">
            <v>6116970.010568</v>
          </cell>
          <cell r="Q65">
            <v>0.939519786749921</v>
          </cell>
          <cell r="R65" t="str">
            <v>B</v>
          </cell>
        </row>
        <row r="66">
          <cell r="B66" t="str">
            <v>UFF_COTAÇÃO 54</v>
          </cell>
          <cell r="C66" t="str">
            <v>Próprio</v>
          </cell>
        </row>
        <row r="66">
          <cell r="E66" t="str">
            <v>QUADRO DE DISTRIBUIÇÃO DE SOBREPOR CDS-5.1, EM CAIXA EM CHAPA DE AÇO, COM TRATAMENTO ANTI-CORROSIVO, COM PINTURA ELETROSTÁTICA EM EPÓXI-PÓ CORRUGADO, NA COR CINZA RAL, PORTA COM FECHO ESCAMOTEAVEL CREMONA YALE COM LINGUETA, COM BARRAMENTO TRIFÁSICO+NEUTRO+ TERRA MONTADO SOBRE PLACA DE MONTAGEM, CORRENTE NOMINAL 150A, CORRENTE DE CURTO CIRCUITO DE 20kA, CONFORME DIAGRAMA TRIFILAR E MEMORIAL DESCRITIVO, COMPLETO. FORNECIMENTO E MONTAGEM.</v>
          </cell>
          <cell r="F66" t="str">
            <v>Material</v>
          </cell>
          <cell r="G66" t="str">
            <v>UN</v>
          </cell>
          <cell r="H66" t="str">
            <v>1,0000000</v>
          </cell>
        </row>
        <row r="66">
          <cell r="J66" t="str">
            <v>12.041,00</v>
          </cell>
        </row>
        <row r="66">
          <cell r="L66" t="str">
            <v>12.041,00</v>
          </cell>
        </row>
        <row r="66">
          <cell r="N66">
            <v>12041</v>
          </cell>
          <cell r="O66">
            <v>0.00184940546262468</v>
          </cell>
          <cell r="P66">
            <v>6129011.010568</v>
          </cell>
          <cell r="Q66">
            <v>0.941369192212546</v>
          </cell>
          <cell r="R66" t="str">
            <v>B</v>
          </cell>
        </row>
        <row r="67">
          <cell r="B67" t="str">
            <v>UFF_COTAÇÃO 64</v>
          </cell>
          <cell r="C67" t="str">
            <v>Próprio</v>
          </cell>
        </row>
        <row r="67">
          <cell r="E67" t="str">
            <v>QUADRO DE DISTRIBUIÇÃO DE SOBREPOR CDS-4.2, EM CAIXA EM CHAPA DE AÇO, COM TRATAMENTO ANTI-CORROSIVO, COM PINTURA ELETROSTÁTICA EM EPÓXI-PÓ CORRUGADO, NA COR CINZA RAL, PORTA COM FECHO ESCAMOTEAVEL CREMONA YALE COM LINGUETA, COM BARRAMENTO TRIFÁSICO+NEUTRO+ TERRA MONTADO SOBRE PLACA DE MONTAGEM, CORRENTE NOMINAL 125A, CORRENTE DE CURTO CIRCUITO DE 20kA, CONFORME DIAGRAMA TRIFILAR E MEMORIAL DESCRITIVO, COMPLETO. FORNECIMENTO E MONTAGEM.</v>
          </cell>
          <cell r="F67" t="str">
            <v>Material</v>
          </cell>
          <cell r="G67" t="str">
            <v>UN</v>
          </cell>
          <cell r="H67" t="str">
            <v>1,0000000</v>
          </cell>
        </row>
        <row r="67">
          <cell r="J67" t="str">
            <v>12.004,00</v>
          </cell>
        </row>
        <row r="67">
          <cell r="L67" t="str">
            <v>12.004,00</v>
          </cell>
        </row>
        <row r="67">
          <cell r="N67">
            <v>12004</v>
          </cell>
          <cell r="O67">
            <v>0.00184372254574759</v>
          </cell>
          <cell r="P67">
            <v>6141015.010568</v>
          </cell>
          <cell r="Q67">
            <v>0.943212914758294</v>
          </cell>
          <cell r="R67" t="str">
            <v>B</v>
          </cell>
        </row>
        <row r="68">
          <cell r="B68" t="str">
            <v>UFF_COTAÇÃO 187</v>
          </cell>
          <cell r="C68" t="str">
            <v>Próprio</v>
          </cell>
        </row>
        <row r="68">
          <cell r="E68" t="str">
            <v>SINALIZADOR AUDIOVISUAL ENDEREÇÁVEL</v>
          </cell>
          <cell r="F68" t="str">
            <v>Material</v>
          </cell>
          <cell r="G68" t="str">
            <v>UN</v>
          </cell>
          <cell r="H68" t="str">
            <v>30,0000000</v>
          </cell>
        </row>
        <row r="68">
          <cell r="J68" t="str">
            <v>397,67</v>
          </cell>
        </row>
        <row r="68">
          <cell r="L68" t="str">
            <v>11.930,10</v>
          </cell>
        </row>
        <row r="68">
          <cell r="N68">
            <v>11930.1</v>
          </cell>
          <cell r="O68">
            <v>0.0018323720712282</v>
          </cell>
          <cell r="P68">
            <v>6152945.110568</v>
          </cell>
          <cell r="Q68">
            <v>0.945045286829522</v>
          </cell>
          <cell r="R68" t="str">
            <v>B</v>
          </cell>
        </row>
        <row r="69">
          <cell r="B69" t="str">
            <v>UFF_COTAÇÃO 200</v>
          </cell>
          <cell r="C69" t="str">
            <v>Próprio</v>
          </cell>
        </row>
        <row r="69">
          <cell r="E69" t="str">
            <v>BLOCO AUTÔNOMO BALIZAMENTO (SINALIZAÇÃO DE SAÍDA- SEM SETA) COM INDICAÇÃO ESCRITA DE "SAÍDA" NA COR VERDE, COM LEDS SMD E AUTONOMIA MÍNIMA DE 3 HORAS</v>
          </cell>
          <cell r="F69" t="str">
            <v>Material</v>
          </cell>
          <cell r="G69" t="str">
            <v>UN</v>
          </cell>
          <cell r="H69" t="str">
            <v>24,0000000</v>
          </cell>
        </row>
        <row r="69">
          <cell r="J69" t="str">
            <v>462,00</v>
          </cell>
        </row>
        <row r="69">
          <cell r="L69" t="str">
            <v>11.088,00</v>
          </cell>
        </row>
        <row r="69">
          <cell r="N69">
            <v>11088</v>
          </cell>
          <cell r="O69">
            <v>0.00170303195495245</v>
          </cell>
          <cell r="P69">
            <v>6164033.110568</v>
          </cell>
          <cell r="Q69">
            <v>0.946748318784474</v>
          </cell>
          <cell r="R69" t="str">
            <v>B</v>
          </cell>
        </row>
        <row r="70">
          <cell r="B70" t="str">
            <v>UFF_COTAÇÃO 44</v>
          </cell>
          <cell r="C70" t="str">
            <v>Próprio</v>
          </cell>
        </row>
        <row r="70">
          <cell r="E70" t="str">
            <v>TERMOSTATO DE SEGURANÇA</v>
          </cell>
          <cell r="F70" t="str">
            <v>Material</v>
          </cell>
          <cell r="G70" t="str">
            <v>UN</v>
          </cell>
          <cell r="H70" t="str">
            <v>65,0000000</v>
          </cell>
        </row>
        <row r="70">
          <cell r="J70" t="str">
            <v>167,00</v>
          </cell>
        </row>
        <row r="70">
          <cell r="L70" t="str">
            <v>10.855,00</v>
          </cell>
        </row>
        <row r="70">
          <cell r="N70">
            <v>10855</v>
          </cell>
          <cell r="O70">
            <v>0.00166724493786155</v>
          </cell>
          <cell r="P70">
            <v>6174888.110568</v>
          </cell>
          <cell r="Q70">
            <v>0.948415563722336</v>
          </cell>
          <cell r="R70" t="str">
            <v>B</v>
          </cell>
        </row>
        <row r="71">
          <cell r="B71" t="str">
            <v>UFF_COTAÇÃO 176</v>
          </cell>
          <cell r="C71" t="str">
            <v>Próprio</v>
          </cell>
        </row>
        <row r="71">
          <cell r="E71" t="str">
            <v>LÂMPADA LED AR111 GU10 12° 4000K 12W BIVOLT</v>
          </cell>
          <cell r="F71" t="str">
            <v>Material</v>
          </cell>
          <cell r="G71" t="str">
            <v>UN</v>
          </cell>
          <cell r="H71" t="str">
            <v>287,0000000</v>
          </cell>
        </row>
        <row r="71">
          <cell r="J71" t="str">
            <v>36,50</v>
          </cell>
        </row>
        <row r="71">
          <cell r="L71" t="str">
            <v>10.475,50</v>
          </cell>
        </row>
        <row r="71">
          <cell r="N71">
            <v>10475.5</v>
          </cell>
          <cell r="O71">
            <v>0.00160895664178431</v>
          </cell>
          <cell r="P71">
            <v>6185363.610568</v>
          </cell>
          <cell r="Q71">
            <v>0.95002452036412</v>
          </cell>
          <cell r="R71" t="str">
            <v>B</v>
          </cell>
        </row>
        <row r="72">
          <cell r="B72" t="str">
            <v>UFF_COTAÇÃO 195</v>
          </cell>
          <cell r="C72" t="str">
            <v>Próprio</v>
          </cell>
        </row>
        <row r="72">
          <cell r="E72" t="str">
            <v>SPRINKLER CROMADO 68° VERMELHO - UPRIGHT 1/2"</v>
          </cell>
          <cell r="F72" t="str">
            <v>Material</v>
          </cell>
          <cell r="G72" t="str">
            <v>UN</v>
          </cell>
          <cell r="H72" t="str">
            <v>373,0000000</v>
          </cell>
        </row>
        <row r="72">
          <cell r="J72" t="str">
            <v>28,00</v>
          </cell>
        </row>
        <row r="72">
          <cell r="L72" t="str">
            <v>10.444,00</v>
          </cell>
        </row>
        <row r="72">
          <cell r="N72">
            <v>10444</v>
          </cell>
          <cell r="O72">
            <v>0.00160411848282137</v>
          </cell>
          <cell r="P72">
            <v>6195807.610568</v>
          </cell>
          <cell r="Q72">
            <v>0.951628638846942</v>
          </cell>
          <cell r="R72" t="str">
            <v>C</v>
          </cell>
        </row>
        <row r="73">
          <cell r="B73" t="str">
            <v>UFF_COTAÇÃO 166</v>
          </cell>
          <cell r="C73" t="str">
            <v>Próprio</v>
          </cell>
        </row>
        <row r="73">
          <cell r="E73" t="str">
            <v>QDLT - 1 - 5kA/220V - QUADRO DE DISTRIBUIÇÃO DE ENERGIA EM CHAPA DE AÇO GALVANIZADO, DE SOBREPOR, PARA ATÉ 48 DISJUNTORES, COM BARRAMENTO TRIFÁSICO, PADRÃO DIN, COMPLETO - COM COMPONENTES.</v>
          </cell>
          <cell r="F73" t="str">
            <v>Material</v>
          </cell>
          <cell r="G73" t="str">
            <v>UN</v>
          </cell>
          <cell r="H73" t="str">
            <v>1,0000000</v>
          </cell>
        </row>
        <row r="73">
          <cell r="J73" t="str">
            <v>9.945,00</v>
          </cell>
        </row>
        <row r="73">
          <cell r="L73" t="str">
            <v>9.945,00</v>
          </cell>
        </row>
        <row r="73">
          <cell r="N73">
            <v>9945</v>
          </cell>
          <cell r="O73">
            <v>0.00152747590115459</v>
          </cell>
          <cell r="P73">
            <v>6205752.610568</v>
          </cell>
          <cell r="Q73">
            <v>0.953156114748096</v>
          </cell>
          <cell r="R73" t="str">
            <v>C</v>
          </cell>
        </row>
        <row r="74">
          <cell r="B74" t="str">
            <v>UFF_COTAÇÃO 55</v>
          </cell>
          <cell r="C74" t="str">
            <v>Próprio</v>
          </cell>
        </row>
        <row r="74">
          <cell r="E74" t="str">
            <v>QUADRO DE DISTRIBUIÇÃO DE SOBREPOR CDE-5.1, EM CAIXA EM CHAPA DE AÇO, COM TRATAMENTO ANTI-CORROSIVO, COM PINTURA ELETROSTÁTICA EM EPÓXI-PÓ CORRUGADO, NA COR CINZA RAL, PORTA COM FECHO ESCAMOTEAVEL CREMONA YALE COM LINGUETA, COM BARRAMENTO TRIFÁSICO+NEUTRO+ TERRA MONTADO SOBRE PLACA DE MONTAGEM, CORRENTE NOMINAL 150A, CORRENTE DE CURTO CIRCUITO DE 20kA, CONFORME DIAGRAMA TRIFILAR E MEMORIAL DESCRITIVO, CONTENDO, COMPLETO. FORNECIMENTO E MONTAGEM.</v>
          </cell>
          <cell r="F74" t="str">
            <v>Material</v>
          </cell>
          <cell r="G74" t="str">
            <v>UN</v>
          </cell>
          <cell r="H74" t="str">
            <v>1,0000000</v>
          </cell>
        </row>
        <row r="74">
          <cell r="J74" t="str">
            <v>9.729,00</v>
          </cell>
        </row>
        <row r="74">
          <cell r="L74" t="str">
            <v>9.729,00</v>
          </cell>
        </row>
        <row r="74">
          <cell r="N74">
            <v>9729</v>
          </cell>
          <cell r="O74">
            <v>0.00149429995398019</v>
          </cell>
          <cell r="P74">
            <v>6215481.610568</v>
          </cell>
          <cell r="Q74">
            <v>0.954650414702076</v>
          </cell>
          <cell r="R74" t="str">
            <v>C</v>
          </cell>
        </row>
        <row r="75">
          <cell r="B75" t="str">
            <v>UFF_COTAÇÃO 58</v>
          </cell>
          <cell r="C75" t="str">
            <v>Próprio</v>
          </cell>
        </row>
        <row r="75">
          <cell r="E75" t="str">
            <v>QUADRO DE DISTRIBUIÇÃO DE SOBREPOR CDE-5.2, EM CAIXA EM CHAPA DE AÇO, COM TRATAMENTO ANTI-CORROSIVO, COM PINTURA ELETROSTÁTICA EM EPÓXI-PÓ CORRUGADO, NA COR CINZA RAL, PORTA COM FECHO ESCAMOTEAVEL CREMONA YALE COM LINGUETA, COM BARRAMENTO TRIFÁSICO+NEUTRO+ TERRA MONTADO SOBRE PLACA DE MONTAGEM, CORRENTE NOMINAL 125A, CORRENTE DE CURTO CIRCUITO DE 20kA, CONFORME DIAGRAMA TRIFILAR E MEMORIAL DESCRITIVO, COMPLETO. FORNECIMENTO E MONTAGEM.</v>
          </cell>
          <cell r="F75" t="str">
            <v>Material</v>
          </cell>
          <cell r="G75" t="str">
            <v>UN</v>
          </cell>
          <cell r="H75" t="str">
            <v>1,0000000</v>
          </cell>
        </row>
        <row r="75">
          <cell r="J75" t="str">
            <v>9.580,00</v>
          </cell>
        </row>
        <row r="75">
          <cell r="L75" t="str">
            <v>9.580,00</v>
          </cell>
        </row>
        <row r="75">
          <cell r="N75">
            <v>9580</v>
          </cell>
          <cell r="O75">
            <v>0.00147141469412378</v>
          </cell>
          <cell r="P75">
            <v>6225061.610568</v>
          </cell>
          <cell r="Q75">
            <v>0.9561218293962</v>
          </cell>
          <cell r="R75" t="str">
            <v>C</v>
          </cell>
        </row>
        <row r="76">
          <cell r="B76" t="str">
            <v>UFF_COTAÇÃO 169</v>
          </cell>
          <cell r="C76" t="str">
            <v>Próprio</v>
          </cell>
        </row>
        <row r="76">
          <cell r="E76" t="str">
            <v>QDS - CB - 5kA/220V - QUADRO DE DISTRIBUIÇÃO DE ENERGIA EM CHAPA DE AÇO GALVANIZADO, DE SOBREPOR, PARA ATÉ 40 DISJUNTORES, COM BARRAMENTO TRIFÁSICO, PADRÃO DIN, COMPLETO - COM COMPONENTES.</v>
          </cell>
          <cell r="F76" t="str">
            <v>Material</v>
          </cell>
          <cell r="G76" t="str">
            <v>UN</v>
          </cell>
          <cell r="H76" t="str">
            <v>1,0000000</v>
          </cell>
        </row>
        <row r="76">
          <cell r="J76" t="str">
            <v>9.203,00</v>
          </cell>
        </row>
        <row r="76">
          <cell r="L76" t="str">
            <v>9.203,00</v>
          </cell>
        </row>
        <row r="76">
          <cell r="N76">
            <v>9203</v>
          </cell>
          <cell r="O76">
            <v>0.00141351037891661</v>
          </cell>
          <cell r="P76">
            <v>6234264.610568</v>
          </cell>
          <cell r="Q76">
            <v>0.957535339775117</v>
          </cell>
          <cell r="R76" t="str">
            <v>C</v>
          </cell>
        </row>
        <row r="77">
          <cell r="B77" t="str">
            <v>UFF_COTAÇÃO 38</v>
          </cell>
          <cell r="C77" t="str">
            <v>Próprio</v>
          </cell>
        </row>
        <row r="77">
          <cell r="E77" t="str">
            <v>TRANSMISSOR DE PRESSÃO PARA ÁGUA GELADA</v>
          </cell>
          <cell r="F77" t="str">
            <v>Material</v>
          </cell>
          <cell r="G77" t="str">
            <v>UN</v>
          </cell>
          <cell r="H77" t="str">
            <v>2,0000000</v>
          </cell>
        </row>
        <row r="77">
          <cell r="J77" t="str">
            <v>4.539,15</v>
          </cell>
        </row>
        <row r="77">
          <cell r="L77" t="str">
            <v>9.078,30</v>
          </cell>
        </row>
        <row r="77">
          <cell r="N77">
            <v>9078.3</v>
          </cell>
          <cell r="O77">
            <v>0.00139435741311732</v>
          </cell>
          <cell r="P77">
            <v>6243342.910568</v>
          </cell>
          <cell r="Q77">
            <v>0.958929697188234</v>
          </cell>
          <cell r="R77" t="str">
            <v>C</v>
          </cell>
        </row>
        <row r="78">
          <cell r="B78" t="str">
            <v>UFF_COTAÇÃO 62</v>
          </cell>
          <cell r="C78" t="str">
            <v>Próprio</v>
          </cell>
        </row>
        <row r="78">
          <cell r="E78" t="str">
            <v>QUADRO DE DISTRIBUIÇÃO DE SOBREPOR CDE-4.1, EM CAIXA EM CHAPA DE AÇO, COM TRATAMENTO ANTI-CORROSIVO, COM PINTURA ELETROSTÁTICA EM EPÓXI-PÓ CORRUGADO, NA COR CINZA RAL, PORTA COM FECHO ESCAMOTEAVEL CREMONA YALE COM LINGUETA, COM BARRAMENTO TRIFÁSICO+NEUTRO+ TERRA MONTADO SOBRE PLACA DE MONTAGEM, CORRENTE NOMINAL 150A, CORRENTE DE CURTO CIRCUITO DE 20kA, CONFORME DIAGRAMA TRIFILAR E MEMORIAL DESCRITIVO, COMPLETO. FORNECIMENTO E MONTAGEM.</v>
          </cell>
          <cell r="F78" t="str">
            <v>Material</v>
          </cell>
          <cell r="G78" t="str">
            <v>UN</v>
          </cell>
          <cell r="H78" t="str">
            <v>1,0000000</v>
          </cell>
        </row>
        <row r="78">
          <cell r="J78" t="str">
            <v>8.987,00</v>
          </cell>
        </row>
        <row r="78">
          <cell r="L78" t="str">
            <v>8.987,00</v>
          </cell>
        </row>
        <row r="78">
          <cell r="N78">
            <v>8987</v>
          </cell>
          <cell r="O78">
            <v>0.00138033443174221</v>
          </cell>
          <cell r="P78">
            <v>6252329.910568</v>
          </cell>
          <cell r="Q78">
            <v>0.960310031619976</v>
          </cell>
          <cell r="R78" t="str">
            <v>C</v>
          </cell>
        </row>
        <row r="79">
          <cell r="B79" t="str">
            <v>UFF_COTAÇÃO 208</v>
          </cell>
          <cell r="C79" t="str">
            <v>Próprio</v>
          </cell>
        </row>
        <row r="79">
          <cell r="E79" t="str">
            <v>QUADRO DE COMANDO PARA BOMBA INCÊNDIO JOCKEY 5CV/220V SISTEMA SPRINKLER</v>
          </cell>
          <cell r="F79" t="str">
            <v>Material</v>
          </cell>
          <cell r="G79" t="str">
            <v>UN</v>
          </cell>
          <cell r="H79" t="str">
            <v>1,0000000</v>
          </cell>
        </row>
        <row r="79">
          <cell r="J79" t="str">
            <v>8.960,00</v>
          </cell>
        </row>
        <row r="79">
          <cell r="L79" t="str">
            <v>8.960,00</v>
          </cell>
        </row>
        <row r="79">
          <cell r="N79">
            <v>8960</v>
          </cell>
          <cell r="O79">
            <v>0.00137618743834541</v>
          </cell>
          <cell r="P79">
            <v>6261289.910568</v>
          </cell>
          <cell r="Q79">
            <v>0.961686219058322</v>
          </cell>
          <cell r="R79" t="str">
            <v>C</v>
          </cell>
        </row>
        <row r="80">
          <cell r="B80" t="str">
            <v>UFF_COTAÇÃO 207</v>
          </cell>
          <cell r="C80" t="str">
            <v>Próprio</v>
          </cell>
        </row>
        <row r="80">
          <cell r="E80" t="str">
            <v>QUADRO DE COMANDO PARA BOMBA INCÊNDIO JOCKEY 3CV/220V SISTEMA HIDRANTES</v>
          </cell>
          <cell r="F80" t="str">
            <v>Material</v>
          </cell>
          <cell r="G80" t="str">
            <v>UN</v>
          </cell>
          <cell r="H80" t="str">
            <v>1,0000000</v>
          </cell>
        </row>
        <row r="80">
          <cell r="J80" t="str">
            <v>8.427,00</v>
          </cell>
        </row>
        <row r="80">
          <cell r="L80" t="str">
            <v>8.427,00</v>
          </cell>
        </row>
        <row r="80">
          <cell r="N80">
            <v>8427</v>
          </cell>
          <cell r="O80">
            <v>0.00129432271684563</v>
          </cell>
          <cell r="P80">
            <v>6269716.910568</v>
          </cell>
          <cell r="Q80">
            <v>0.962980541775167</v>
          </cell>
          <cell r="R80" t="str">
            <v>C</v>
          </cell>
        </row>
        <row r="81">
          <cell r="B81" t="str">
            <v>UFF_COTAÇÃO 05</v>
          </cell>
          <cell r="C81" t="str">
            <v>Próprio</v>
          </cell>
        </row>
        <row r="81">
          <cell r="E81" t="str">
            <v>KIT DE INTERLIGAÇÃO DA WISY OU SIMILAR, COM CAPACIDADE DE 30 L/MIN DE VAZÃO, COMPOSTO DE TORNEIRA, MANGUEIRA, ACIONADOR DE DESCARGA (VÁLVULA SOLENÓIDE ALIMENTADA ELETRICAMENTE), CONECTOR, BÓIA DE NÍVEL E BOCAL SEPARADOR</v>
          </cell>
          <cell r="F81" t="str">
            <v>Material</v>
          </cell>
          <cell r="G81" t="str">
            <v>UN</v>
          </cell>
          <cell r="H81" t="str">
            <v>2,0000000</v>
          </cell>
        </row>
        <row r="81">
          <cell r="J81" t="str">
            <v>4.176,00</v>
          </cell>
        </row>
        <row r="81">
          <cell r="L81" t="str">
            <v>8.352,00</v>
          </cell>
        </row>
        <row r="81">
          <cell r="N81">
            <v>8352</v>
          </cell>
          <cell r="O81">
            <v>0.0012828032907434</v>
          </cell>
          <cell r="P81">
            <v>6278068.910568</v>
          </cell>
          <cell r="Q81">
            <v>0.964263345065911</v>
          </cell>
          <cell r="R81" t="str">
            <v>C</v>
          </cell>
        </row>
        <row r="82">
          <cell r="B82" t="str">
            <v>UFF_COTAÇÃO 173</v>
          </cell>
          <cell r="C82" t="str">
            <v>Próprio</v>
          </cell>
        </row>
        <row r="82">
          <cell r="E82" t="str">
            <v>Parametrização do relé, comissionamento e estudo de proteção.</v>
          </cell>
          <cell r="F82" t="str">
            <v>Serviços</v>
          </cell>
          <cell r="G82" t="str">
            <v>UN</v>
          </cell>
          <cell r="H82" t="str">
            <v>1,0000000</v>
          </cell>
        </row>
        <row r="82">
          <cell r="J82" t="str">
            <v>7.970,00</v>
          </cell>
        </row>
        <row r="82">
          <cell r="L82" t="str">
            <v>7.970,00</v>
          </cell>
        </row>
        <row r="82">
          <cell r="N82">
            <v>7970</v>
          </cell>
          <cell r="O82">
            <v>0.00122413101379609</v>
          </cell>
          <cell r="P82">
            <v>6286038.910568</v>
          </cell>
          <cell r="Q82">
            <v>0.965487476079707</v>
          </cell>
          <cell r="R82" t="str">
            <v>C</v>
          </cell>
        </row>
        <row r="83">
          <cell r="B83" t="str">
            <v>UFF_COTAÇÃO 170</v>
          </cell>
          <cell r="C83" t="str">
            <v>Próprio</v>
          </cell>
        </row>
        <row r="83">
          <cell r="E83" t="str">
            <v>QF - INC. - 5kA/220V - QUADRO DE DISTRIBUIÇÃO DE ENERGIA EM CHAPA DE AÇO GALVANIZADO, DE SOBREPOR, PARA ATÉ 18 DISJUNTORES, COM BARRAMENTO TRIFÁSICO, PADRÃO DIN, COMPLETO - COM COMPONENTES.</v>
          </cell>
          <cell r="F83" t="str">
            <v>Material</v>
          </cell>
          <cell r="G83" t="str">
            <v>UN</v>
          </cell>
          <cell r="H83" t="str">
            <v>1,0000000</v>
          </cell>
        </row>
        <row r="83">
          <cell r="J83" t="str">
            <v>7.854,00</v>
          </cell>
        </row>
        <row r="83">
          <cell r="L83" t="str">
            <v>7.854,00</v>
          </cell>
        </row>
        <row r="83">
          <cell r="N83">
            <v>7854</v>
          </cell>
          <cell r="O83">
            <v>0.00120631430142465</v>
          </cell>
          <cell r="P83">
            <v>6293892.910568</v>
          </cell>
          <cell r="Q83">
            <v>0.966693790381131</v>
          </cell>
          <cell r="R83" t="str">
            <v>C</v>
          </cell>
        </row>
        <row r="84">
          <cell r="B84" t="str">
            <v>UFF_COTAÇÃO 68</v>
          </cell>
          <cell r="C84" t="str">
            <v>Próprio</v>
          </cell>
        </row>
        <row r="84">
          <cell r="E84" t="str">
            <v>QUADRO DE DISTRIBUIÇÃO DE SOBREPOR CDAC-1.2, EM CAIXA EM CHAPA DE AÇO, COM TRATAMENTO ANTI-CORROSIVO, COM PINTURA ELETROSTÁTICA EM EPÓXI-PÓ CORRUGADO, NA COR CINZA RAL, PORTA COM FECHO ESCAMOTEAVEL CREMONA YALE COM LINGUETA, COM BARRAMENTO TRIFÁSICO+NEUTRO+ TERRA MONTADO SOBRE PLACA DE MONTAGEM, CORRENTE NOMINAL 125A, CORRENTE DE CURTO CIRCUITO DE 5kA, CONFORME DIAGRAMA TRIFILAR E MEMORIAL DESCRITIVO, COMPLETO. FORNECIMENTO E MONTAGEM.</v>
          </cell>
          <cell r="F84" t="str">
            <v>Material</v>
          </cell>
          <cell r="G84" t="str">
            <v>UN</v>
          </cell>
          <cell r="H84" t="str">
            <v>1,0000000</v>
          </cell>
        </row>
        <row r="84">
          <cell r="J84" t="str">
            <v>7.626,00</v>
          </cell>
        </row>
        <row r="84">
          <cell r="L84" t="str">
            <v>7.626,00</v>
          </cell>
        </row>
        <row r="84">
          <cell r="N84">
            <v>7626</v>
          </cell>
          <cell r="O84">
            <v>0.0011712952460739</v>
          </cell>
          <cell r="P84">
            <v>6301518.910568</v>
          </cell>
          <cell r="Q84">
            <v>0.967865085627205</v>
          </cell>
          <cell r="R84" t="str">
            <v>C</v>
          </cell>
        </row>
        <row r="85">
          <cell r="B85" t="str">
            <v>UFF_COTAÇÃO 221</v>
          </cell>
          <cell r="C85" t="str">
            <v>Próprio</v>
          </cell>
        </row>
        <row r="85">
          <cell r="E85" t="str">
            <v>FANCOLETE TIPO BUILT-IN DE ALTA EFICIÊNCIA (NOVO) COM FILTRO G4 E KIT VÁLVULA 2 VIAS - MODELO 42BB 018 - CAPACIDADE 18322BTU/h - POTÊNCIA 187W - ALIMENTAÇÃO 1F/220V/60Hz - MARCA CARRIER OU EQUIVALENTE TÉCNICO.FORNECIMENTO</v>
          </cell>
          <cell r="F85" t="str">
            <v>Equipamento</v>
          </cell>
          <cell r="G85" t="str">
            <v>UN</v>
          </cell>
          <cell r="H85" t="str">
            <v>2,0000000</v>
          </cell>
          <cell r="I85" t="str">
            <v>0,0000000</v>
          </cell>
          <cell r="J85" t="str">
            <v>3.780,16</v>
          </cell>
          <cell r="K85" t="str">
            <v>3.780,16</v>
          </cell>
          <cell r="L85" t="str">
            <v>7.560,32</v>
          </cell>
          <cell r="M85" t="str">
            <v>0,00</v>
          </cell>
          <cell r="N85">
            <v>7560.32</v>
          </cell>
          <cell r="O85">
            <v>0.00116120730065531</v>
          </cell>
          <cell r="P85">
            <v>6309079.230568</v>
          </cell>
          <cell r="Q85">
            <v>0.969026292927861</v>
          </cell>
          <cell r="R85" t="str">
            <v>C</v>
          </cell>
        </row>
        <row r="86">
          <cell r="B86" t="str">
            <v>UFF_COTAÇÃO 01</v>
          </cell>
          <cell r="C86" t="str">
            <v>Próprio</v>
          </cell>
        </row>
        <row r="86">
          <cell r="E86" t="str">
            <v>PORTÃO DE CONTRAPESO, COM PORTA AUXILIAR, EM ALUMÍNIO</v>
          </cell>
          <cell r="F86" t="str">
            <v>Material</v>
          </cell>
          <cell r="G86" t="str">
            <v>m²</v>
          </cell>
          <cell r="H86" t="str">
            <v>12,7200000</v>
          </cell>
        </row>
        <row r="86">
          <cell r="J86" t="str">
            <v>558,52</v>
          </cell>
        </row>
        <row r="86">
          <cell r="L86" t="str">
            <v>7.104,37</v>
          </cell>
        </row>
        <row r="86">
          <cell r="N86">
            <v>7104.3744</v>
          </cell>
          <cell r="O86">
            <v>0.00109117754537754</v>
          </cell>
          <cell r="P86">
            <v>6316183.604968</v>
          </cell>
          <cell r="Q86">
            <v>0.970117470473238</v>
          </cell>
          <cell r="R86" t="str">
            <v>C</v>
          </cell>
        </row>
        <row r="87">
          <cell r="B87" t="str">
            <v>UFF_COTAÇÃO 56</v>
          </cell>
          <cell r="C87" t="str">
            <v>Próprio</v>
          </cell>
        </row>
        <row r="87">
          <cell r="E87" t="str">
            <v>QUADRO DE DISTRIBUIÇÃO DE SOBREPOR CDAC-5.1, EM CAIXA EM CHAPA DE AÇO, COM TRATAMENTO ANTI-CORROSIVO, COM PINTURA ELETROSTÁTICA EM EPÓXI-PÓ CORRUGADO, NA COR CINZA RAL, PORTA COM FECHO ESCAMOTEAVEL CREMONA YALE COM LINGUETA, COM BARRAMENTO TRIFÁSICO+NEUTRO+ TERRA MONTADO SOBRE PLACA DE MONTAGEM, CORRENTE NOMINAL 80A, CORRENTE DE CURTO CIRCUITO DE 20kA, CONFORME DIAGRAMA TRIFILAR E MEMORIAL DESCRITIVO, COMPLETO. FORNECIMENTO E MONTAGEM.</v>
          </cell>
          <cell r="F87" t="str">
            <v>Material</v>
          </cell>
          <cell r="G87" t="str">
            <v>UN</v>
          </cell>
          <cell r="H87" t="str">
            <v>1,0000000</v>
          </cell>
        </row>
        <row r="87">
          <cell r="J87" t="str">
            <v>6.941,00</v>
          </cell>
        </row>
        <row r="87">
          <cell r="L87" t="str">
            <v>6.941,00</v>
          </cell>
        </row>
        <row r="87">
          <cell r="N87">
            <v>6941</v>
          </cell>
          <cell r="O87">
            <v>0.00106608448767361</v>
          </cell>
          <cell r="P87">
            <v>6323124.604968</v>
          </cell>
          <cell r="Q87">
            <v>0.971183554960912</v>
          </cell>
          <cell r="R87" t="str">
            <v>C</v>
          </cell>
        </row>
        <row r="88">
          <cell r="B88" t="str">
            <v>UFF_COTAÇÃO 63</v>
          </cell>
          <cell r="C88" t="str">
            <v>Próprio</v>
          </cell>
        </row>
        <row r="88">
          <cell r="E88" t="str">
            <v>QUADRO DE DISTRIBUIÇÃO DE SOBREPOR CDAC-4.1, EM CAIXA EM CHAPA DE AÇO, COM TRATAMENTO ANTI-CORROSIVO, COM PINTURA ELETROSTÁTICA EM EPÓXI-PÓ CORRUGADO, NA COR CINZA RAL, PORTA COM FECHO ESCAMOTEAVEL CREMONA YALE COM LINGUETA, COM BARRAMENTO TRIFÁSICO+NEUTRO+ TERRA MONTADO SOBRE PLACA DE MONTAGEM, CORRENTE NOMINAL 80A, CORRENTE DE CURTO CIRCUITO DE 20kA, CONFORME DIAGRAMA TRIFILAR E MEMORIAL DESCRITIVO, COMPLETO. FORNECIMENTO E MONTAGEM.</v>
          </cell>
          <cell r="F88" t="str">
            <v>Material</v>
          </cell>
          <cell r="G88" t="str">
            <v>UN</v>
          </cell>
          <cell r="H88" t="str">
            <v>1,0000000</v>
          </cell>
        </row>
        <row r="88">
          <cell r="J88" t="str">
            <v>6.941,00</v>
          </cell>
        </row>
        <row r="88">
          <cell r="L88" t="str">
            <v>6.941,00</v>
          </cell>
        </row>
        <row r="88">
          <cell r="N88">
            <v>6941</v>
          </cell>
          <cell r="O88">
            <v>0.00106608448767361</v>
          </cell>
          <cell r="P88">
            <v>6330065.604968</v>
          </cell>
          <cell r="Q88">
            <v>0.972249639448585</v>
          </cell>
          <cell r="R88" t="str">
            <v>C</v>
          </cell>
        </row>
        <row r="89">
          <cell r="B89" t="str">
            <v>UFF_COTAÇÃO 59</v>
          </cell>
          <cell r="C89" t="str">
            <v>Próprio</v>
          </cell>
        </row>
        <row r="89">
          <cell r="E89" t="str">
            <v>QUADRO DE DISTRIBUIÇÃO DE SOBREPOR CDAC-5.2, EM CAIXA EM CHAPA DE AÇO, COM TRATAMENTO ANTI-CORROSIVO, COM PINTURA ELETROSTÁTICA EM EPÓXI-PÓ CORRUGADO, NA COR CINZA RAL, PORTA COM FECHO ESCAMOTEAVEL CREMONA YALE COM LINGUETA, COM BARRAMENTO TRIFÁSICO+NEUTRO+ TERRA MONTADO SOBRE PLACA DE MONTAGEM, CORRENTE NOMINAL 125A, CORRENTE DE CURTO CIRCUITO DE 20kA, CONFORME DIAGRAMA TRIFILAR E MEMORIAL DESCRITIVO, COMPLETO. FORNECIMENTO E MONTAGEM.</v>
          </cell>
          <cell r="F89" t="str">
            <v>Material</v>
          </cell>
          <cell r="G89" t="str">
            <v>UN</v>
          </cell>
          <cell r="H89" t="str">
            <v>1,0000000</v>
          </cell>
        </row>
        <row r="89">
          <cell r="J89" t="str">
            <v>6.924,00</v>
          </cell>
        </row>
        <row r="89">
          <cell r="L89" t="str">
            <v>6.924,00</v>
          </cell>
        </row>
        <row r="89">
          <cell r="N89">
            <v>6924</v>
          </cell>
          <cell r="O89">
            <v>0.0010634734177571</v>
          </cell>
          <cell r="P89">
            <v>6336989.604968</v>
          </cell>
          <cell r="Q89">
            <v>0.973313112866343</v>
          </cell>
          <cell r="R89" t="str">
            <v>C</v>
          </cell>
        </row>
        <row r="90">
          <cell r="B90" t="str">
            <v>UFF_COTAÇÃO 66</v>
          </cell>
          <cell r="C90" t="str">
            <v>Próprio</v>
          </cell>
        </row>
        <row r="90">
          <cell r="E90" t="str">
            <v>QUADRO DE DISTRIBUIÇÃO DE SOBREPOR CDAC-4.2, EM CAIXA EM CHAPA DE AÇO, COM TRATAMENTO ANTI-CORROSIVO, COM PINTURA ELETROSTÁTICA EM EPÓXI-PÓ CORRUGADO, NA COR CINZA RAL, PORTA COM FECHO ESCAMOTEAVEL CREMONA YALE COM LINGUETA, COM BARRAMENTO TRIFÁSICO+NEUTRO+ TERRA MONTADO SOBRE PLACA DE MONTAGEM, CORRENTE NOMINAL 125A, CORRENTE DE CURTO CIRCUITO DE 20kA, CONFORME DIAGRAMA TRIFILAR E MEMORIAL DESCRITIVO, COMPLETO. FORNECIMENTO E MONTAGEM.</v>
          </cell>
          <cell r="F90" t="str">
            <v>Material</v>
          </cell>
          <cell r="G90" t="str">
            <v>UN</v>
          </cell>
          <cell r="H90" t="str">
            <v>1,0000000</v>
          </cell>
        </row>
        <row r="90">
          <cell r="J90" t="str">
            <v>6.908,00</v>
          </cell>
        </row>
        <row r="90">
          <cell r="L90" t="str">
            <v>6.908,00</v>
          </cell>
        </row>
        <row r="90">
          <cell r="N90">
            <v>6908</v>
          </cell>
          <cell r="O90">
            <v>0.00106101594018863</v>
          </cell>
          <cell r="P90">
            <v>6343897.604968</v>
          </cell>
          <cell r="Q90">
            <v>0.974374128806531</v>
          </cell>
          <cell r="R90" t="str">
            <v>C</v>
          </cell>
        </row>
        <row r="91">
          <cell r="B91" t="str">
            <v>UFF_COTAÇÃO 65</v>
          </cell>
          <cell r="C91" t="str">
            <v>Próprio</v>
          </cell>
        </row>
        <row r="91">
          <cell r="E91" t="str">
            <v>QUADRO DE DISTRIBUIÇÃO DE SOBREPOR CDE-4.2, EM CAIXA EM CHAPA DE AÇO, COM TRATAMENTO ANTI-CORROSIVO, COM PINTURA ELETROSTÁTICA EM EPÓXI-PÓ CORRUGADO, NA COR CINZA RAL, PORTA COM FECHO ESCAMOTEAVEL CREMONA YALE COM LINGUETA, COM BARRAMENTO TRIFÁSICO+NEUTRO+ TERRA MONTADO SOBRE PLACA DE MONTAGEM, CORRENTE NOMINAL 125A, CORRENTE DE CURTO CIRCUITO DE 20kA, CONFORME DIAGRAMA TRIFILAR E MEMORIAL DESCRITIVO, COMPLETO. FORNECIMENTO E MONTAGEM.</v>
          </cell>
          <cell r="F91" t="str">
            <v>Material</v>
          </cell>
          <cell r="G91" t="str">
            <v>UN</v>
          </cell>
          <cell r="H91" t="str">
            <v>1,0000000</v>
          </cell>
        </row>
        <row r="91">
          <cell r="J91" t="str">
            <v>6.808,00</v>
          </cell>
        </row>
        <row r="91">
          <cell r="L91" t="str">
            <v>6.808,00</v>
          </cell>
        </row>
        <row r="91">
          <cell r="N91">
            <v>6808</v>
          </cell>
          <cell r="O91">
            <v>0.00104565670538567</v>
          </cell>
          <cell r="P91">
            <v>6350705.604968</v>
          </cell>
          <cell r="Q91">
            <v>0.975419785511917</v>
          </cell>
          <cell r="R91" t="str">
            <v>C</v>
          </cell>
        </row>
        <row r="92">
          <cell r="B92" t="str">
            <v>UFF_COTAÇÃO 167</v>
          </cell>
          <cell r="C92" t="str">
            <v>Próprio</v>
          </cell>
        </row>
        <row r="92">
          <cell r="E92" t="str">
            <v>QDLT - 2 - 5kA/220V - QUADRO DE DISTRIBUIÇÃO DE ENERGIA EM CHAPA DE AÇO GALVANIZADO, DE SOBREPOR, PARA ATÉ 18 DISJUNTORES, COM BARRAMENTO TRIFÁSICO, PADRÃO DIN, COMPLETO - COM COMPONENTES.</v>
          </cell>
          <cell r="F92" t="str">
            <v>Material</v>
          </cell>
          <cell r="G92" t="str">
            <v>UN</v>
          </cell>
          <cell r="H92" t="str">
            <v>1,0000000</v>
          </cell>
        </row>
        <row r="92">
          <cell r="J92" t="str">
            <v>6.692,00</v>
          </cell>
        </row>
        <row r="92">
          <cell r="L92" t="str">
            <v>6.692,00</v>
          </cell>
        </row>
        <row r="92">
          <cell r="N92">
            <v>6692</v>
          </cell>
          <cell r="O92">
            <v>0.00102783999301423</v>
          </cell>
          <cell r="P92">
            <v>6357397.604968</v>
          </cell>
          <cell r="Q92">
            <v>0.976447625504931</v>
          </cell>
          <cell r="R92" t="str">
            <v>C</v>
          </cell>
        </row>
        <row r="93">
          <cell r="B93" t="str">
            <v>UFF_COTAÇÃO 168</v>
          </cell>
          <cell r="C93" t="str">
            <v>Próprio</v>
          </cell>
        </row>
        <row r="93">
          <cell r="E93" t="str">
            <v>QDLT - 3 - 5kA/220V - QUADRO DE DISTRIBUIÇÃO DE ENERGIA EM CHAPA DE AÇO GALVANIZADO, DE SOBREPOR, PARA ATÉ 18 DISJUNTORES, COM BARRAMENTO TRIFÁSICO, PADRÃO DIN, COMPLETO - COM COMPONENTES.</v>
          </cell>
          <cell r="F93" t="str">
            <v>Material</v>
          </cell>
          <cell r="G93" t="str">
            <v>UN</v>
          </cell>
          <cell r="H93" t="str">
            <v>1,0000000</v>
          </cell>
        </row>
        <row r="93">
          <cell r="J93" t="str">
            <v>6.675,00</v>
          </cell>
        </row>
        <row r="93">
          <cell r="L93" t="str">
            <v>6.675,00</v>
          </cell>
        </row>
        <row r="93">
          <cell r="N93">
            <v>6675</v>
          </cell>
          <cell r="O93">
            <v>0.00102522892309773</v>
          </cell>
          <cell r="P93">
            <v>6364072.604968</v>
          </cell>
          <cell r="Q93">
            <v>0.977472854428029</v>
          </cell>
          <cell r="R93" t="str">
            <v>C</v>
          </cell>
        </row>
        <row r="94">
          <cell r="B94" t="str">
            <v>UFF_COTAÇÃO 274</v>
          </cell>
          <cell r="C94" t="str">
            <v>Próprio</v>
          </cell>
        </row>
        <row r="94">
          <cell r="E94" t="str">
            <v>DAMPER CORTA-FOGO COM MOTOR DE RETORNO POR MOLA (NOVO) - MODELO FKA-TA-BR-90 - DIMENSÃO 1300X600mm - MARCA TROX OU EQUIVALENTE TÉCNICO</v>
          </cell>
          <cell r="F94" t="str">
            <v>Material</v>
          </cell>
          <cell r="G94" t="str">
            <v>UN</v>
          </cell>
          <cell r="H94" t="str">
            <v>1,0000000</v>
          </cell>
        </row>
        <row r="94">
          <cell r="J94" t="str">
            <v>6.591,55</v>
          </cell>
        </row>
        <row r="94">
          <cell r="L94" t="str">
            <v>6.591,55</v>
          </cell>
        </row>
        <row r="94">
          <cell r="N94">
            <v>6591.55</v>
          </cell>
          <cell r="O94">
            <v>0.00101241164165466</v>
          </cell>
          <cell r="P94">
            <v>6370664.154968</v>
          </cell>
          <cell r="Q94">
            <v>0.978485266069684</v>
          </cell>
          <cell r="R94" t="str">
            <v>C</v>
          </cell>
        </row>
        <row r="95">
          <cell r="B95" t="str">
            <v>UFF_COTAÇÃO 171</v>
          </cell>
          <cell r="C95" t="str">
            <v>Próprio</v>
          </cell>
        </row>
        <row r="95">
          <cell r="E95" t="str">
            <v>QD - GUAR / ILUM. EXT. - 5kA/220V - QUADRO DE DISTRIBUIÇÃO DE ENERGIA EM CHAPA DE AÇO GALVANIZADO, DE SOBREPOR, PARA ATÉ 18 DISJUNTORES, COM BARRAMENTO TRIFÁSICO, PADRÃO DIN, COMPLETO - COM COMPONENTES.</v>
          </cell>
          <cell r="F95" t="str">
            <v>Material</v>
          </cell>
          <cell r="G95" t="str">
            <v>UN</v>
          </cell>
          <cell r="H95" t="str">
            <v>1,0000000</v>
          </cell>
        </row>
        <row r="95">
          <cell r="J95" t="str">
            <v>6.519,00</v>
          </cell>
        </row>
        <row r="95">
          <cell r="L95" t="str">
            <v>6.519,00</v>
          </cell>
        </row>
        <row r="95">
          <cell r="N95">
            <v>6519</v>
          </cell>
          <cell r="O95">
            <v>0.00100126851680511</v>
          </cell>
          <cell r="P95">
            <v>6377183.154968</v>
          </cell>
          <cell r="Q95">
            <v>0.979486534586489</v>
          </cell>
          <cell r="R95" t="str">
            <v>C</v>
          </cell>
        </row>
        <row r="96">
          <cell r="B96" t="str">
            <v>UFF_COTAÇÃO 218</v>
          </cell>
          <cell r="C96" t="str">
            <v>Próprio</v>
          </cell>
        </row>
        <row r="96">
          <cell r="E96" t="str">
            <v>UNIDADE EVAPORADORA VRF TIPO HI-WALL (NOVO) - MODELO 42VH045H - CAPACIDADE 15400BTU/h - POTÊNCIA 58W / 0,37A - ALIMENTAÇÃO 1F/220V/60Hz - MARCA CARRIER OU EQUIVALENTE TÉCNICO. FORNECIMENTO</v>
          </cell>
          <cell r="F96" t="str">
            <v>Equipamento</v>
          </cell>
          <cell r="G96" t="str">
            <v>UN</v>
          </cell>
          <cell r="H96" t="str">
            <v>2,0000000</v>
          </cell>
          <cell r="I96" t="str">
            <v>0,0000000</v>
          </cell>
          <cell r="J96" t="str">
            <v>3.161,68</v>
          </cell>
          <cell r="K96" t="str">
            <v>3.161,68</v>
          </cell>
          <cell r="L96" t="str">
            <v>6.323,36</v>
          </cell>
          <cell r="M96" t="str">
            <v>0,00</v>
          </cell>
          <cell r="N96">
            <v>6323.36</v>
          </cell>
          <cell r="O96">
            <v>0.000971219709836592</v>
          </cell>
          <cell r="P96">
            <v>6383506.514968</v>
          </cell>
          <cell r="Q96">
            <v>0.980457754296325</v>
          </cell>
          <cell r="R96" t="str">
            <v>C</v>
          </cell>
        </row>
        <row r="97">
          <cell r="B97" t="str">
            <v>UFF_COTAÇÃO 193</v>
          </cell>
          <cell r="C97" t="str">
            <v>Próprio</v>
          </cell>
        </row>
        <row r="97">
          <cell r="E97" t="str">
            <v>FONTE DE ALIMENTAÇÃO CHAVEADA 24VCC</v>
          </cell>
          <cell r="F97" t="str">
            <v>Material</v>
          </cell>
          <cell r="G97" t="str">
            <v>UN</v>
          </cell>
          <cell r="H97" t="str">
            <v>2,0000000</v>
          </cell>
        </row>
        <row r="97">
          <cell r="J97" t="str">
            <v>3.030,32</v>
          </cell>
        </row>
        <row r="97">
          <cell r="L97" t="str">
            <v>6.060,64</v>
          </cell>
        </row>
        <row r="97">
          <cell r="N97">
            <v>6060.64</v>
          </cell>
          <cell r="O97">
            <v>0.00093086792816225</v>
          </cell>
          <cell r="P97">
            <v>6389567.154968</v>
          </cell>
          <cell r="Q97">
            <v>0.981388622224488</v>
          </cell>
          <cell r="R97" t="str">
            <v>C</v>
          </cell>
        </row>
        <row r="98">
          <cell r="B98" t="str">
            <v>UFF_COTAÇÃO 273</v>
          </cell>
          <cell r="C98" t="str">
            <v>Próprio</v>
          </cell>
        </row>
        <row r="98">
          <cell r="E98" t="str">
            <v>DAMPER CORTA-FOGO COM MOTOR DE RETORNO POR MOLA (NOVO) - MODELO FKA-TA-BR-90 - DIMENSÃO 1200X600mm - MARCA TROX OU EQUIVALENTE TÉCNICO</v>
          </cell>
          <cell r="F98" t="str">
            <v>Material</v>
          </cell>
          <cell r="G98" t="str">
            <v>UN</v>
          </cell>
          <cell r="H98" t="str">
            <v>1,0000000</v>
          </cell>
        </row>
        <row r="98">
          <cell r="J98" t="str">
            <v>5.979,97</v>
          </cell>
        </row>
        <row r="98">
          <cell r="L98" t="str">
            <v>5.979,97</v>
          </cell>
        </row>
        <row r="98">
          <cell r="N98">
            <v>5979.97</v>
          </cell>
          <cell r="O98">
            <v>0.0009184776334467</v>
          </cell>
          <cell r="P98">
            <v>6395547.124968</v>
          </cell>
          <cell r="Q98">
            <v>0.982307099857934</v>
          </cell>
          <cell r="R98" t="str">
            <v>C</v>
          </cell>
        </row>
        <row r="99">
          <cell r="B99" t="str">
            <v>UFF_COTAÇÃO 216</v>
          </cell>
          <cell r="C99" t="str">
            <v>Próprio</v>
          </cell>
        </row>
        <row r="99">
          <cell r="E99" t="str">
            <v>UNIDADE EVAPORADORA VRF TIPO HI-WALL (NOVO) - MODELO 42VH028H - CAPACIDADE 9600BTU/h - POTÊNCIA 20W / 0,25A - ALIMENTAÇÃO 1F/220V/60Hz - MARCA CARRIER OU EQUIVALENTE TÉCNICO. FORNECIMENTO</v>
          </cell>
          <cell r="F99" t="str">
            <v>Equipamento</v>
          </cell>
          <cell r="G99" t="str">
            <v>UN</v>
          </cell>
          <cell r="H99" t="str">
            <v>2,0000000</v>
          </cell>
          <cell r="I99" t="str">
            <v>0,0000000</v>
          </cell>
          <cell r="J99" t="str">
            <v>2.788,68</v>
          </cell>
          <cell r="K99" t="str">
            <v>2.788,68</v>
          </cell>
          <cell r="L99" t="str">
            <v>5.577,36</v>
          </cell>
          <cell r="M99" t="str">
            <v>0,00</v>
          </cell>
          <cell r="N99">
            <v>5577.36</v>
          </cell>
          <cell r="O99">
            <v>0.000856639818206494</v>
          </cell>
          <cell r="P99">
            <v>6401124.484968</v>
          </cell>
          <cell r="Q99">
            <v>0.983163739676141</v>
          </cell>
          <cell r="R99" t="str">
            <v>C</v>
          </cell>
        </row>
        <row r="100">
          <cell r="B100" t="str">
            <v>UFF_COTAÇÃO 10</v>
          </cell>
          <cell r="C100" t="str">
            <v>Próprio</v>
          </cell>
        </row>
        <row r="100">
          <cell r="E100" t="str">
            <v>VÁLVULA ESFERA POLIPROPILENO FLANGE VITON 4"</v>
          </cell>
          <cell r="F100" t="str">
            <v>Material</v>
          </cell>
          <cell r="G100" t="str">
            <v>UN</v>
          </cell>
          <cell r="H100" t="str">
            <v>2,0000000</v>
          </cell>
        </row>
        <row r="100">
          <cell r="J100" t="str">
            <v>2.585,72</v>
          </cell>
        </row>
        <row r="100">
          <cell r="L100" t="str">
            <v>5.171,44</v>
          </cell>
        </row>
        <row r="100">
          <cell r="N100">
            <v>5171.44</v>
          </cell>
          <cell r="O100">
            <v>0.000794293612294309</v>
          </cell>
          <cell r="P100">
            <v>6406295.924968</v>
          </cell>
          <cell r="Q100">
            <v>0.983958033288435</v>
          </cell>
          <cell r="R100" t="str">
            <v>C</v>
          </cell>
        </row>
        <row r="101">
          <cell r="B101" t="str">
            <v>UFF_COTAÇÃO 53</v>
          </cell>
          <cell r="C101" t="str">
            <v>Próprio</v>
          </cell>
        </row>
        <row r="101">
          <cell r="E101" t="str">
            <v>Quadro Comando Sobrepor Aço Carbono Bege Ral 7032 1200 mm 800 mm 250 mm Comando Flange Inferior CE1208025 CEMAR OU SIMILAR TÉCNICO</v>
          </cell>
          <cell r="F101" t="str">
            <v>Material</v>
          </cell>
          <cell r="G101" t="str">
            <v>UN</v>
          </cell>
          <cell r="H101" t="str">
            <v>4,0000000</v>
          </cell>
        </row>
        <row r="101">
          <cell r="J101" t="str">
            <v>1.289,00</v>
          </cell>
        </row>
        <row r="101">
          <cell r="L101" t="str">
            <v>5.156,00</v>
          </cell>
        </row>
        <row r="101">
          <cell r="N101">
            <v>5156</v>
          </cell>
          <cell r="O101">
            <v>0.000791922146440732</v>
          </cell>
          <cell r="P101">
            <v>6411451.924968</v>
          </cell>
          <cell r="Q101">
            <v>0.984749955434876</v>
          </cell>
          <cell r="R101" t="str">
            <v>C</v>
          </cell>
        </row>
        <row r="102">
          <cell r="B102" t="str">
            <v>UFF_COTAÇÃO 37</v>
          </cell>
          <cell r="C102" t="str">
            <v>Próprio</v>
          </cell>
        </row>
        <row r="102">
          <cell r="E102" t="str">
            <v>TRANSMISSOR DIFERENCIAL DE PRESSÃO PARA ÁGUA GELADA</v>
          </cell>
          <cell r="F102" t="str">
            <v>Material</v>
          </cell>
          <cell r="G102" t="str">
            <v>UN</v>
          </cell>
          <cell r="H102" t="str">
            <v>1,0000000</v>
          </cell>
        </row>
        <row r="102">
          <cell r="J102" t="str">
            <v>5.000,00</v>
          </cell>
        </row>
        <row r="102">
          <cell r="L102" t="str">
            <v>5.000,00</v>
          </cell>
        </row>
        <row r="102">
          <cell r="N102">
            <v>5000</v>
          </cell>
          <cell r="O102">
            <v>0.000767961740148111</v>
          </cell>
          <cell r="P102">
            <v>6416451.924968</v>
          </cell>
          <cell r="Q102">
            <v>0.985517917175024</v>
          </cell>
          <cell r="R102" t="str">
            <v>C</v>
          </cell>
        </row>
        <row r="103">
          <cell r="B103" t="str">
            <v>UFF_COTAÇÃO 41</v>
          </cell>
          <cell r="C103" t="str">
            <v>Próprio</v>
          </cell>
        </row>
        <row r="103">
          <cell r="E103" t="str">
            <v>TRANSMISSOR DE TEMPERATURA PARA DUTO DE AR CONDICIONADO</v>
          </cell>
          <cell r="F103" t="str">
            <v>Material</v>
          </cell>
          <cell r="G103" t="str">
            <v>UN</v>
          </cell>
          <cell r="H103" t="str">
            <v>6,0000000</v>
          </cell>
        </row>
        <row r="103">
          <cell r="J103" t="str">
            <v>822,22</v>
          </cell>
        </row>
        <row r="103">
          <cell r="L103" t="str">
            <v>4.933,32</v>
          </cell>
        </row>
        <row r="103">
          <cell r="N103">
            <v>4933.32</v>
          </cell>
          <cell r="O103">
            <v>0.000757720202381496</v>
          </cell>
          <cell r="P103">
            <v>6421385.244968</v>
          </cell>
          <cell r="Q103">
            <v>0.986275637377405</v>
          </cell>
          <cell r="R103" t="str">
            <v>C</v>
          </cell>
        </row>
        <row r="104">
          <cell r="B104" t="str">
            <v>UFF_COTAÇÃO 203</v>
          </cell>
          <cell r="C104" t="str">
            <v>Próprio</v>
          </cell>
        </row>
        <row r="104">
          <cell r="E104" t="str">
            <v>BOMBA DE PRESSURIZAÇÃO JOCKEY 5,0 CV</v>
          </cell>
          <cell r="F104" t="str">
            <v>Equipamento</v>
          </cell>
          <cell r="G104" t="str">
            <v>UN</v>
          </cell>
          <cell r="H104" t="str">
            <v>1,0000000</v>
          </cell>
          <cell r="I104" t="str">
            <v>0,0000000</v>
          </cell>
          <cell r="J104" t="str">
            <v>4.169,03</v>
          </cell>
          <cell r="K104" t="str">
            <v>4.169,03</v>
          </cell>
          <cell r="L104" t="str">
            <v>4.169,03</v>
          </cell>
          <cell r="M104" t="str">
            <v>0,00</v>
          </cell>
          <cell r="N104">
            <v>4169.03</v>
          </cell>
          <cell r="O104">
            <v>0.000640331106705936</v>
          </cell>
          <cell r="P104">
            <v>6425554.274968</v>
          </cell>
          <cell r="Q104">
            <v>0.986915968484111</v>
          </cell>
          <cell r="R104" t="str">
            <v>C</v>
          </cell>
        </row>
        <row r="105">
          <cell r="B105" t="str">
            <v>UFF_COTAÇÃO 32</v>
          </cell>
          <cell r="C105" t="str">
            <v>Próprio</v>
          </cell>
        </row>
        <row r="105">
          <cell r="E105" t="str">
            <v>Switch industrial, cat. 6, 8 portas, 1 x gigabit</v>
          </cell>
          <cell r="F105" t="str">
            <v>Material</v>
          </cell>
          <cell r="G105" t="str">
            <v>UN</v>
          </cell>
          <cell r="H105" t="str">
            <v>1,0000000</v>
          </cell>
        </row>
        <row r="105">
          <cell r="J105" t="str">
            <v>4.164,15</v>
          </cell>
        </row>
        <row r="105">
          <cell r="L105" t="str">
            <v>4.164,15</v>
          </cell>
        </row>
        <row r="105">
          <cell r="N105">
            <v>4164.15</v>
          </cell>
          <cell r="O105">
            <v>0.000639581576047551</v>
          </cell>
          <cell r="P105">
            <v>6429718.424968</v>
          </cell>
          <cell r="Q105">
            <v>0.987555550060159</v>
          </cell>
          <cell r="R105" t="str">
            <v>C</v>
          </cell>
        </row>
        <row r="106">
          <cell r="B106" t="str">
            <v>UFF_COTAÇÃO 223</v>
          </cell>
          <cell r="C106" t="str">
            <v>Próprio</v>
          </cell>
        </row>
        <row r="106">
          <cell r="E106" t="str">
            <v>FANCOLETE TIPO BUILT-IN DE ALTA EFICIÊNCIA (NOVO) COM FILTRO G4 E KIT VÁLVULA 2 VIAS - MODELO 42BB 030 - CAPACIDADE 33014BTU/h - POTÊNCIA 276W - ALIMENTAÇÃO 1F/220V/60Hz - MARCA CARRIER OU EQUIVALENTE TÉCNICO.FORNECIMENTO</v>
          </cell>
          <cell r="F106" t="str">
            <v>Equipamento</v>
          </cell>
          <cell r="G106" t="str">
            <v>UN</v>
          </cell>
          <cell r="H106" t="str">
            <v>1,0000000</v>
          </cell>
          <cell r="I106" t="str">
            <v>0,0000000</v>
          </cell>
          <cell r="J106" t="str">
            <v>3.831,24</v>
          </cell>
          <cell r="K106" t="str">
            <v>3.831,24</v>
          </cell>
          <cell r="L106" t="str">
            <v>3.831,24</v>
          </cell>
          <cell r="M106" t="str">
            <v>0,00</v>
          </cell>
          <cell r="N106">
            <v>3831.24</v>
          </cell>
          <cell r="O106">
            <v>0.00058844914746501</v>
          </cell>
          <cell r="P106">
            <v>6433549.664968</v>
          </cell>
          <cell r="Q106">
            <v>0.988143999207624</v>
          </cell>
          <cell r="R106" t="str">
            <v>C</v>
          </cell>
        </row>
        <row r="107">
          <cell r="B107" t="str">
            <v>UFF_COTAÇÃO 220</v>
          </cell>
          <cell r="C107" t="str">
            <v>Próprio</v>
          </cell>
        </row>
        <row r="107">
          <cell r="E107" t="str">
            <v>FANCOLETE TIPO BUILT-IN DE ALTA EFICIÊNCIA (NOVO) COM FILTRO G4 E KIT VÁLVULA 2 VIAS - MODELO 42BB 012 - CAPACIDADE 14911BTU/h - POTÊNCIA 145W - ALIMENTAÇÃO 1F/220V/60Hz - MARCA CARRIER OU EQUIVALENTE TÉCNICO. FORNECIMENTO</v>
          </cell>
          <cell r="F107" t="str">
            <v>Equipamento</v>
          </cell>
          <cell r="G107" t="str">
            <v>UN</v>
          </cell>
          <cell r="H107" t="str">
            <v>1,0000000</v>
          </cell>
          <cell r="I107" t="str">
            <v>0,0000000</v>
          </cell>
          <cell r="J107" t="str">
            <v>3.569,16</v>
          </cell>
          <cell r="K107" t="str">
            <v>3.569,16</v>
          </cell>
          <cell r="L107" t="str">
            <v>3.569,16</v>
          </cell>
          <cell r="M107" t="str">
            <v>0,00</v>
          </cell>
          <cell r="N107">
            <v>3569.16</v>
          </cell>
          <cell r="O107">
            <v>0.000548195664893406</v>
          </cell>
          <cell r="P107">
            <v>6437118.824968</v>
          </cell>
          <cell r="Q107">
            <v>0.988692194872517</v>
          </cell>
          <cell r="R107" t="str">
            <v>C</v>
          </cell>
        </row>
        <row r="108">
          <cell r="B108" t="str">
            <v>UFF_COTAÇÃO 36</v>
          </cell>
          <cell r="C108" t="str">
            <v>Próprio</v>
          </cell>
        </row>
        <row r="108">
          <cell r="E108" t="str">
            <v>Atuador ON/OFF e Floating de 20Nm para válvulas de controle - 100/240Vac</v>
          </cell>
          <cell r="F108" t="str">
            <v>Material</v>
          </cell>
          <cell r="G108" t="str">
            <v>UN</v>
          </cell>
          <cell r="H108" t="str">
            <v>1,0000000</v>
          </cell>
        </row>
        <row r="108">
          <cell r="J108" t="str">
            <v>3.500,56</v>
          </cell>
        </row>
        <row r="108">
          <cell r="L108" t="str">
            <v>3.500,56</v>
          </cell>
        </row>
        <row r="108">
          <cell r="N108">
            <v>3500.56</v>
          </cell>
          <cell r="O108">
            <v>0.000537659229818574</v>
          </cell>
          <cell r="P108">
            <v>6440619.384968</v>
          </cell>
          <cell r="Q108">
            <v>0.989229854102336</v>
          </cell>
          <cell r="R108" t="str">
            <v>C</v>
          </cell>
        </row>
        <row r="109">
          <cell r="B109" t="str">
            <v>UFF_COTAÇÃO 250</v>
          </cell>
          <cell r="C109" t="str">
            <v>Próprio</v>
          </cell>
        </row>
        <row r="109">
          <cell r="E109" t="str">
            <v>REGULADOR DE VAZÃO (NOVO) - MODELO EN - DIMENSÃO 150X200mm - MARCA TROX OU EQUIVALENTE TÉCNICO</v>
          </cell>
          <cell r="F109" t="str">
            <v>Material</v>
          </cell>
          <cell r="G109" t="str">
            <v>UN</v>
          </cell>
          <cell r="H109" t="str">
            <v>4,0000000</v>
          </cell>
        </row>
        <row r="109">
          <cell r="J109" t="str">
            <v>834,81</v>
          </cell>
        </row>
        <row r="109">
          <cell r="L109" t="str">
            <v>3.339,24</v>
          </cell>
        </row>
        <row r="109">
          <cell r="N109">
            <v>3339.24</v>
          </cell>
          <cell r="O109">
            <v>0.000512881712234436</v>
          </cell>
          <cell r="P109">
            <v>6443958.624968</v>
          </cell>
          <cell r="Q109">
            <v>0.98974273581457</v>
          </cell>
          <cell r="R109" t="str">
            <v>C</v>
          </cell>
        </row>
        <row r="110">
          <cell r="B110" t="str">
            <v>UFF_COTAÇÃO 219</v>
          </cell>
          <cell r="C110" t="str">
            <v>Próprio</v>
          </cell>
        </row>
        <row r="110">
          <cell r="E110" t="str">
            <v>UNIDADE EVAPORADORA VRF TIPO HI-WALL (NOVO) - MODELO 42VH056H - CAPACIDADE 19100BTU/h - POTÊNCIA 58W / 0,46A - ALIMENTAÇÃO 1F/220V/60Hz - MARCA CARRIER OU EQUIVALENTE TÉCNICO. FORNECIMENTO</v>
          </cell>
          <cell r="F110" t="str">
            <v>Equipamento</v>
          </cell>
          <cell r="G110" t="str">
            <v>UN</v>
          </cell>
          <cell r="H110" t="str">
            <v>1,0000000</v>
          </cell>
          <cell r="I110" t="str">
            <v>0,0000000</v>
          </cell>
          <cell r="J110" t="str">
            <v>3.220,68</v>
          </cell>
          <cell r="K110" t="str">
            <v>3.220,68</v>
          </cell>
          <cell r="L110" t="str">
            <v>3.220,68</v>
          </cell>
          <cell r="M110" t="str">
            <v>0,00</v>
          </cell>
          <cell r="N110">
            <v>3220.68</v>
          </cell>
          <cell r="O110">
            <v>0.000494671803452044</v>
          </cell>
          <cell r="P110">
            <v>6447179.304968</v>
          </cell>
          <cell r="Q110">
            <v>0.990237407618022</v>
          </cell>
          <cell r="R110" t="str">
            <v>C</v>
          </cell>
        </row>
        <row r="111">
          <cell r="B111" t="str">
            <v>UFF_COTAÇÃO 34</v>
          </cell>
          <cell r="C111" t="str">
            <v>Próprio</v>
          </cell>
        </row>
        <row r="111">
          <cell r="E111" t="str">
            <v>CABO DE COMUNICAÇÃO RS485 2x24AWG</v>
          </cell>
          <cell r="F111" t="str">
            <v>Material</v>
          </cell>
          <cell r="G111" t="str">
            <v>UN</v>
          </cell>
          <cell r="H111" t="str">
            <v>795,7760000</v>
          </cell>
        </row>
        <row r="111">
          <cell r="J111" t="str">
            <v>3,99</v>
          </cell>
        </row>
        <row r="111">
          <cell r="L111" t="str">
            <v>3.175,15</v>
          </cell>
        </row>
        <row r="111">
          <cell r="N111">
            <v>3175.14624</v>
          </cell>
          <cell r="O111">
            <v>0.000487678166339026</v>
          </cell>
          <cell r="P111">
            <v>6450354.451208</v>
          </cell>
          <cell r="Q111">
            <v>0.990725085784361</v>
          </cell>
          <cell r="R111" t="str">
            <v>C</v>
          </cell>
        </row>
        <row r="112">
          <cell r="B112" t="str">
            <v>UFF_COTAÇÃO 47</v>
          </cell>
          <cell r="C112" t="str">
            <v>Próprio</v>
          </cell>
        </row>
        <row r="112">
          <cell r="E112" t="str">
            <v>MÓDULO DE SAÍDAS ANALÓGICAS 4 SAÍDAS 12BITS 24 VDC TENSÃO E CORRENTE TERMINAL PARAFUSO OU SIMILAR TÉCNICO</v>
          </cell>
          <cell r="F112" t="str">
            <v>Material</v>
          </cell>
          <cell r="G112" t="str">
            <v>UN</v>
          </cell>
          <cell r="H112" t="str">
            <v>1,0000000</v>
          </cell>
        </row>
        <row r="112">
          <cell r="J112" t="str">
            <v>2.915,19</v>
          </cell>
        </row>
        <row r="112">
          <cell r="L112" t="str">
            <v>2.915,19</v>
          </cell>
        </row>
        <row r="112">
          <cell r="N112">
            <v>2915.19</v>
          </cell>
          <cell r="O112">
            <v>0.000447750877052474</v>
          </cell>
          <cell r="P112">
            <v>6453269.641208</v>
          </cell>
          <cell r="Q112">
            <v>0.991172836661414</v>
          </cell>
          <cell r="R112" t="str">
            <v>C</v>
          </cell>
        </row>
        <row r="113">
          <cell r="B113" t="str">
            <v>UFF_COTAÇÃO 175</v>
          </cell>
          <cell r="C113" t="str">
            <v>Próprio</v>
          </cell>
        </row>
        <row r="113">
          <cell r="E113" t="str">
            <v>SENSOR DE PRESENÇA DE LONGO ALCANCE – 127/220V – REGULAGEM ATÉ 15 MINUTOS</v>
          </cell>
          <cell r="F113" t="str">
            <v>Material</v>
          </cell>
          <cell r="G113" t="str">
            <v>UN</v>
          </cell>
          <cell r="H113" t="str">
            <v>34,0000000</v>
          </cell>
        </row>
        <row r="113">
          <cell r="J113" t="str">
            <v>85,41</v>
          </cell>
        </row>
        <row r="113">
          <cell r="L113" t="str">
            <v>2.903,94</v>
          </cell>
        </row>
        <row r="113">
          <cell r="N113">
            <v>2903.94</v>
          </cell>
          <cell r="O113">
            <v>0.000446022963137141</v>
          </cell>
          <cell r="P113">
            <v>6456173.581208</v>
          </cell>
          <cell r="Q113">
            <v>0.991618859624551</v>
          </cell>
          <cell r="R113" t="str">
            <v>C</v>
          </cell>
        </row>
        <row r="114">
          <cell r="B114" t="str">
            <v>UFF_COTAÇÃO 228</v>
          </cell>
          <cell r="C114" t="str">
            <v>Próprio</v>
          </cell>
        </row>
        <row r="114">
          <cell r="E114" t="str">
            <v>FANCOLETE TIPO HI-WALL (NOVO) COM KIT VÁLVULA 2 VIAS - MODELO 42HP 14 - CAPACIDADE 14000BTU/h - POTÊNCIA 60W - ALIMENTAÇÃO 1F/220V/60Hz - MARCA CARRIER OU EQUIVALENTE TÉCNICO.FORNECIMENTO</v>
          </cell>
          <cell r="F114" t="str">
            <v>Equipamento</v>
          </cell>
          <cell r="G114" t="str">
            <v>UN</v>
          </cell>
          <cell r="H114" t="str">
            <v>1,0000000</v>
          </cell>
          <cell r="I114" t="str">
            <v>0,0000000</v>
          </cell>
          <cell r="J114" t="str">
            <v>2.898,65</v>
          </cell>
          <cell r="K114" t="str">
            <v>2.898,65</v>
          </cell>
          <cell r="L114" t="str">
            <v>2.898,65</v>
          </cell>
          <cell r="M114" t="str">
            <v>0,00</v>
          </cell>
          <cell r="N114">
            <v>2898.65</v>
          </cell>
          <cell r="O114">
            <v>0.000445210459616064</v>
          </cell>
          <cell r="P114">
            <v>6459072.231208</v>
          </cell>
          <cell r="Q114">
            <v>0.992064070084167</v>
          </cell>
          <cell r="R114" t="str">
            <v>C</v>
          </cell>
        </row>
        <row r="115">
          <cell r="B115" t="str">
            <v>UFF_COTAÇÃO 202</v>
          </cell>
          <cell r="C115" t="str">
            <v>Próprio</v>
          </cell>
        </row>
        <row r="115">
          <cell r="E115" t="str">
            <v>BOMBA DE PRESSURIZAÇÃO JOCKEY 3,0 CV</v>
          </cell>
          <cell r="F115" t="str">
            <v>Equipamento</v>
          </cell>
          <cell r="G115" t="str">
            <v>UN</v>
          </cell>
          <cell r="H115" t="str">
            <v>1,0000000</v>
          </cell>
          <cell r="I115" t="str">
            <v>0,0000000</v>
          </cell>
          <cell r="J115" t="str">
            <v>2.678,83</v>
          </cell>
          <cell r="K115" t="str">
            <v>2.678,83</v>
          </cell>
          <cell r="L115" t="str">
            <v>2.678,83</v>
          </cell>
          <cell r="M115" t="str">
            <v>0,00</v>
          </cell>
          <cell r="N115">
            <v>2678.83</v>
          </cell>
          <cell r="O115">
            <v>0.000411447789672193</v>
          </cell>
          <cell r="P115">
            <v>6461751.061208</v>
          </cell>
          <cell r="Q115">
            <v>0.992475517873839</v>
          </cell>
          <cell r="R115" t="str">
            <v>C</v>
          </cell>
        </row>
        <row r="116">
          <cell r="B116" t="str">
            <v>UFF_COTAÇÃO 302</v>
          </cell>
          <cell r="C116" t="str">
            <v>Próprio</v>
          </cell>
        </row>
        <row r="116">
          <cell r="E116" t="str">
            <v>VINIL AUTO-ADESIVO FOSCO OU BRILHANTE C/ APLICAÇÃO</v>
          </cell>
          <cell r="F116" t="str">
            <v>Material</v>
          </cell>
          <cell r="G116" t="str">
            <v>m²</v>
          </cell>
          <cell r="H116" t="str">
            <v>28,1640000</v>
          </cell>
        </row>
        <row r="116">
          <cell r="J116" t="str">
            <v>95,00</v>
          </cell>
        </row>
        <row r="116">
          <cell r="L116" t="str">
            <v>2.675,58</v>
          </cell>
        </row>
        <row r="116">
          <cell r="N116">
            <v>2675.58</v>
          </cell>
          <cell r="O116">
            <v>0.000410948614541097</v>
          </cell>
          <cell r="P116">
            <v>6464426.641208</v>
          </cell>
          <cell r="Q116">
            <v>0.99288646648838</v>
          </cell>
          <cell r="R116" t="str">
            <v>C</v>
          </cell>
        </row>
        <row r="117">
          <cell r="B117" t="str">
            <v>UFF_COTAÇÃO 227</v>
          </cell>
          <cell r="C117" t="str">
            <v>Próprio</v>
          </cell>
        </row>
        <row r="117">
          <cell r="E117" t="str">
            <v>FANCOLETE TIPO HI-WALL (NOVO) COM KIT VÁLVULA 2 VIAS - MODELO 42HP 09 - CAPACIDADE 9000BTU/h - POTÊNCIA 47W - ALIMENTAÇÃO 1F/220V/60Hz - MARCA CARRIER OU EQUIVALENTE TÉCNICO. FORNECIMENTO</v>
          </cell>
          <cell r="F117" t="str">
            <v>Equipamento</v>
          </cell>
          <cell r="G117" t="str">
            <v>UN</v>
          </cell>
          <cell r="H117" t="str">
            <v>1,0000000</v>
          </cell>
          <cell r="I117" t="str">
            <v>0,0000000</v>
          </cell>
          <cell r="J117" t="str">
            <v>2.548,65</v>
          </cell>
          <cell r="K117" t="str">
            <v>2.548,65</v>
          </cell>
          <cell r="L117" t="str">
            <v>2.548,65</v>
          </cell>
          <cell r="M117" t="str">
            <v>0,00</v>
          </cell>
          <cell r="N117">
            <v>2548.65</v>
          </cell>
          <cell r="O117">
            <v>0.000391453137805697</v>
          </cell>
          <cell r="P117">
            <v>6466975.291208</v>
          </cell>
          <cell r="Q117">
            <v>0.993277919626186</v>
          </cell>
          <cell r="R117" t="str">
            <v>C</v>
          </cell>
        </row>
        <row r="118">
          <cell r="B118" t="str">
            <v>UFF_COTAÇÃO 249</v>
          </cell>
          <cell r="C118" t="str">
            <v>Próprio</v>
          </cell>
        </row>
        <row r="118">
          <cell r="E118" t="str">
            <v>REGULADOR DE VAZÃO (NOVO) - MODELO EN - DIMENSÃO 125X300mm - MARCA TROX OU EQUIVALENTE TÉCNICO</v>
          </cell>
          <cell r="F118" t="str">
            <v>Material</v>
          </cell>
          <cell r="G118" t="str">
            <v>UN</v>
          </cell>
          <cell r="H118" t="str">
            <v>3,0000000</v>
          </cell>
        </row>
        <row r="118">
          <cell r="J118" t="str">
            <v>810,84</v>
          </cell>
        </row>
        <row r="118">
          <cell r="L118" t="str">
            <v>2.432,52</v>
          </cell>
        </row>
        <row r="118">
          <cell r="N118">
            <v>2432.52</v>
          </cell>
          <cell r="O118">
            <v>0.000373616458429017</v>
          </cell>
          <cell r="P118">
            <v>6469407.811208</v>
          </cell>
          <cell r="Q118">
            <v>0.993651536084615</v>
          </cell>
          <cell r="R118" t="str">
            <v>C</v>
          </cell>
        </row>
        <row r="119">
          <cell r="B119" t="str">
            <v>UFF_COTAÇÃO 43</v>
          </cell>
          <cell r="C119" t="str">
            <v>Próprio</v>
          </cell>
        </row>
        <row r="119">
          <cell r="E119" t="str">
            <v>TRANSMISSOR DE UMIDADE PARA AMBIENTE</v>
          </cell>
          <cell r="F119" t="str">
            <v>Material</v>
          </cell>
          <cell r="G119" t="str">
            <v>UN</v>
          </cell>
          <cell r="H119" t="str">
            <v>2,0000000</v>
          </cell>
        </row>
        <row r="119">
          <cell r="J119" t="str">
            <v>1.159,09</v>
          </cell>
        </row>
        <row r="119">
          <cell r="L119" t="str">
            <v>2.318,18</v>
          </cell>
        </row>
        <row r="119">
          <cell r="N119">
            <v>2318.18</v>
          </cell>
          <cell r="O119">
            <v>0.00035605470935531</v>
          </cell>
          <cell r="P119">
            <v>6471725.991208</v>
          </cell>
          <cell r="Q119">
            <v>0.99400759079397</v>
          </cell>
          <cell r="R119" t="str">
            <v>C</v>
          </cell>
        </row>
        <row r="120">
          <cell r="B120" t="str">
            <v>UFF_COTAÇÃO 30</v>
          </cell>
          <cell r="C120" t="str">
            <v>Próprio</v>
          </cell>
        </row>
        <row r="120">
          <cell r="E120" t="str">
            <v>Cabo PP 8X1,50mm² 450/750v Preto</v>
          </cell>
          <cell r="F120" t="str">
            <v>Material</v>
          </cell>
          <cell r="G120" t="str">
            <v>M</v>
          </cell>
          <cell r="H120" t="str">
            <v>163,2000000</v>
          </cell>
        </row>
        <row r="120">
          <cell r="J120" t="str">
            <v>14,08</v>
          </cell>
        </row>
        <row r="120">
          <cell r="L120" t="str">
            <v>2.297,86</v>
          </cell>
        </row>
        <row r="120">
          <cell r="N120">
            <v>2297.856</v>
          </cell>
          <cell r="O120">
            <v>0.000352933098473956</v>
          </cell>
          <cell r="P120">
            <v>6474023.847208</v>
          </cell>
          <cell r="Q120">
            <v>0.994360523892444</v>
          </cell>
          <cell r="R120" t="str">
            <v>C</v>
          </cell>
        </row>
        <row r="121">
          <cell r="B121" t="str">
            <v>UFF_COTAÇÃO 265</v>
          </cell>
          <cell r="C121" t="str">
            <v>Próprio</v>
          </cell>
        </row>
        <row r="121">
          <cell r="E121" t="str">
            <v>REGULADOR DE VAZÃO (NOVO) - MODELO EN - DIMENSÃO 500X300mm - MARCA TROX OU EQUIVALENTE TÉCNICO</v>
          </cell>
          <cell r="F121" t="str">
            <v>Material</v>
          </cell>
          <cell r="G121" t="str">
            <v>UN</v>
          </cell>
          <cell r="H121" t="str">
            <v>2,0000000</v>
          </cell>
        </row>
        <row r="121">
          <cell r="J121" t="str">
            <v>1.085,31</v>
          </cell>
        </row>
        <row r="121">
          <cell r="L121" t="str">
            <v>2.170,62</v>
          </cell>
        </row>
        <row r="121">
          <cell r="N121">
            <v>2170.62</v>
          </cell>
          <cell r="O121">
            <v>0.000333390622480059</v>
          </cell>
          <cell r="P121">
            <v>6476194.467208</v>
          </cell>
          <cell r="Q121">
            <v>0.994693914514924</v>
          </cell>
          <cell r="R121" t="str">
            <v>C</v>
          </cell>
        </row>
        <row r="122">
          <cell r="B122" t="str">
            <v>UFF_COTAÇÃO 40</v>
          </cell>
          <cell r="C122" t="str">
            <v>Próprio</v>
          </cell>
        </row>
        <row r="122">
          <cell r="E122" t="str">
            <v>TRANSMISSOR DIFERENCIAL DE PRESSÃO PARA DUTO</v>
          </cell>
          <cell r="F122" t="str">
            <v>Material</v>
          </cell>
          <cell r="G122" t="str">
            <v>UN</v>
          </cell>
          <cell r="H122" t="str">
            <v>2,0000000</v>
          </cell>
        </row>
        <row r="122">
          <cell r="J122" t="str">
            <v>1.071,00</v>
          </cell>
        </row>
        <row r="122">
          <cell r="L122" t="str">
            <v>2.142,00</v>
          </cell>
        </row>
        <row r="122">
          <cell r="N122">
            <v>2142</v>
          </cell>
          <cell r="O122">
            <v>0.000328994809479451</v>
          </cell>
          <cell r="P122">
            <v>6478336.467208</v>
          </cell>
          <cell r="Q122">
            <v>0.995022909324404</v>
          </cell>
          <cell r="R122" t="str">
            <v>C</v>
          </cell>
        </row>
        <row r="123">
          <cell r="B123" t="str">
            <v>UFF_COTAÇÃO 300</v>
          </cell>
          <cell r="C123" t="str">
            <v>Próprio</v>
          </cell>
        </row>
        <row r="123">
          <cell r="E123" t="str">
            <v>PAINEL DE LÂ DE VIDRO OPTIMA PISO 60 1200x1200, REF. ISOVER, e= 15MM</v>
          </cell>
          <cell r="F123" t="str">
            <v>Material</v>
          </cell>
          <cell r="G123" t="str">
            <v>UN</v>
          </cell>
          <cell r="H123" t="str">
            <v>26,7820000</v>
          </cell>
        </row>
        <row r="123">
          <cell r="J123" t="str">
            <v>69,46</v>
          </cell>
        </row>
        <row r="123">
          <cell r="L123" t="str">
            <v>1.860,28</v>
          </cell>
        </row>
        <row r="123">
          <cell r="N123">
            <v>1860.27772</v>
          </cell>
          <cell r="O123">
            <v>0.000285724423001992</v>
          </cell>
          <cell r="P123">
            <v>6480196.744928</v>
          </cell>
          <cell r="Q123">
            <v>0.995308633747406</v>
          </cell>
          <cell r="R123" t="str">
            <v>C</v>
          </cell>
        </row>
        <row r="124">
          <cell r="B124" t="str">
            <v>UFF_COTAÇÃO 42</v>
          </cell>
          <cell r="C124" t="str">
            <v>Próprio</v>
          </cell>
        </row>
        <row r="124">
          <cell r="E124" t="str">
            <v>TRANSMISSOR DE TEMPERATURA PARA AMBIENTE</v>
          </cell>
          <cell r="F124" t="str">
            <v>Material</v>
          </cell>
          <cell r="G124" t="str">
            <v>UN</v>
          </cell>
          <cell r="H124" t="str">
            <v>2,0000000</v>
          </cell>
        </row>
        <row r="124">
          <cell r="J124" t="str">
            <v>862,77</v>
          </cell>
        </row>
        <row r="124">
          <cell r="L124" t="str">
            <v>1.725,54</v>
          </cell>
        </row>
        <row r="124">
          <cell r="N124">
            <v>1725.54</v>
          </cell>
          <cell r="O124">
            <v>0.000265029740219034</v>
          </cell>
          <cell r="P124">
            <v>6481922.284928</v>
          </cell>
          <cell r="Q124">
            <v>0.995573663487625</v>
          </cell>
          <cell r="R124" t="str">
            <v>C</v>
          </cell>
        </row>
        <row r="125">
          <cell r="B125" t="str">
            <v>UFF_COTAÇÃO 241</v>
          </cell>
          <cell r="C125" t="str">
            <v>Próprio</v>
          </cell>
        </row>
        <row r="125">
          <cell r="E125" t="str">
            <v>VENEZIANA EXTERIOR - MODELO AWG (NOVA) - DIMENSÃO 1985X495mm - MARCA TROX OU EQUIVALENTE TÉCNICO</v>
          </cell>
          <cell r="F125" t="str">
            <v>Material</v>
          </cell>
          <cell r="G125" t="str">
            <v>UN</v>
          </cell>
          <cell r="H125" t="str">
            <v>2,0000000</v>
          </cell>
        </row>
        <row r="125">
          <cell r="J125" t="str">
            <v>857,51</v>
          </cell>
        </row>
        <row r="125">
          <cell r="L125" t="str">
            <v>1.715,02</v>
          </cell>
        </row>
        <row r="125">
          <cell r="N125">
            <v>1715.02</v>
          </cell>
          <cell r="O125">
            <v>0.000263413948717763</v>
          </cell>
          <cell r="P125">
            <v>6483637.304928</v>
          </cell>
          <cell r="Q125">
            <v>0.995837077436343</v>
          </cell>
          <cell r="R125" t="str">
            <v>C</v>
          </cell>
        </row>
        <row r="126">
          <cell r="B126" t="str">
            <v>UFF_COTAÇÃO 247</v>
          </cell>
          <cell r="C126" t="str">
            <v>Próprio</v>
          </cell>
        </row>
        <row r="126">
          <cell r="E126" t="str">
            <v>REGULADOR DE VAZÃO (NOVO) - MODELO EN - DIMENSÃO 100X200mm - MARCA TROX OU EQUIVALENTE TÉCNICO</v>
          </cell>
          <cell r="F126" t="str">
            <v>Material</v>
          </cell>
          <cell r="G126" t="str">
            <v>UN</v>
          </cell>
          <cell r="H126" t="str">
            <v>2,0000000</v>
          </cell>
        </row>
        <row r="126">
          <cell r="J126" t="str">
            <v>755,74</v>
          </cell>
        </row>
        <row r="126">
          <cell r="L126" t="str">
            <v>1.511,48</v>
          </cell>
        </row>
        <row r="126">
          <cell r="N126">
            <v>1511.48</v>
          </cell>
          <cell r="O126">
            <v>0.000232151762199813</v>
          </cell>
          <cell r="P126">
            <v>6485148.784928</v>
          </cell>
          <cell r="Q126">
            <v>0.996069229198542</v>
          </cell>
          <cell r="R126" t="str">
            <v>C</v>
          </cell>
        </row>
        <row r="127">
          <cell r="B127" t="str">
            <v>UFF_COTAÇÃO 04</v>
          </cell>
          <cell r="C127" t="str">
            <v>Próprio</v>
          </cell>
        </row>
        <row r="127">
          <cell r="E127" t="str">
            <v>FILTRO FLUTUANTE DE Ø 1" , DA WISY OU SIMILAR, DO TIPO FILTRAGEM GROSSA, PARTÍCULAS MAIORES DE 1,2 MM, EM AÇO INOX, MONTADO COM VÁLVULA DE RETENÇÃO, FLUTUADOR ESFÉRICO DE POLIETILENO (Ø 150 MM) E MANGUEIRA FLEXÍVEL</v>
          </cell>
          <cell r="F127" t="str">
            <v>Material</v>
          </cell>
          <cell r="G127" t="str">
            <v>UN</v>
          </cell>
          <cell r="H127" t="str">
            <v>2,0000000</v>
          </cell>
        </row>
        <row r="127">
          <cell r="J127" t="str">
            <v>744,00</v>
          </cell>
        </row>
        <row r="127">
          <cell r="L127" t="str">
            <v>1.488,00</v>
          </cell>
        </row>
        <row r="127">
          <cell r="N127">
            <v>1488</v>
          </cell>
          <cell r="O127">
            <v>0.000228545413868078</v>
          </cell>
          <cell r="P127">
            <v>6486636.784928</v>
          </cell>
          <cell r="Q127">
            <v>0.99629777461241</v>
          </cell>
          <cell r="R127" t="str">
            <v>C</v>
          </cell>
        </row>
        <row r="128">
          <cell r="B128" t="str">
            <v>UFF_COTAÇÃO 178</v>
          </cell>
          <cell r="C128" t="str">
            <v>Próprio</v>
          </cell>
        </row>
        <row r="128">
          <cell r="E128" t="str">
            <v>GRAMPO DUPLO PARA HASTE DE ATERRAMENTO (GTDU)</v>
          </cell>
          <cell r="F128" t="str">
            <v>Material</v>
          </cell>
          <cell r="G128" t="str">
            <v>UN</v>
          </cell>
          <cell r="H128" t="str">
            <v>92,0000000</v>
          </cell>
        </row>
        <row r="128">
          <cell r="J128" t="str">
            <v>15,94</v>
          </cell>
        </row>
        <row r="128">
          <cell r="L128" t="str">
            <v>1.466,48</v>
          </cell>
        </row>
        <row r="128">
          <cell r="N128">
            <v>1466.48</v>
          </cell>
          <cell r="O128">
            <v>0.00022524010653848</v>
          </cell>
          <cell r="P128">
            <v>6488103.264928</v>
          </cell>
          <cell r="Q128">
            <v>0.996523014718949</v>
          </cell>
          <cell r="R128" t="str">
            <v>C</v>
          </cell>
        </row>
        <row r="129">
          <cell r="B129" t="str">
            <v>UFF_COTAÇÃO 45</v>
          </cell>
          <cell r="C129" t="str">
            <v>Próprio</v>
          </cell>
        </row>
        <row r="129">
          <cell r="E129" t="str">
            <v>CHAVE DE FLUXO DE AR TIPO PALHETA PARA DUTO DE AR CONDICIONADO</v>
          </cell>
          <cell r="F129" t="str">
            <v>Material</v>
          </cell>
          <cell r="G129" t="str">
            <v>UN</v>
          </cell>
          <cell r="H129" t="str">
            <v>1,0000000</v>
          </cell>
        </row>
        <row r="129">
          <cell r="J129" t="str">
            <v>1.443,26</v>
          </cell>
        </row>
        <row r="129">
          <cell r="L129" t="str">
            <v>1.443,26</v>
          </cell>
        </row>
        <row r="129">
          <cell r="N129">
            <v>1443.26</v>
          </cell>
          <cell r="O129">
            <v>0.000221673692217233</v>
          </cell>
          <cell r="P129">
            <v>6489546.524928</v>
          </cell>
          <cell r="Q129">
            <v>0.996744688411166</v>
          </cell>
          <cell r="R129" t="str">
            <v>C</v>
          </cell>
        </row>
        <row r="130">
          <cell r="B130" t="str">
            <v>UFF_COTAÇÃO 198</v>
          </cell>
          <cell r="C130" t="str">
            <v>Próprio</v>
          </cell>
        </row>
        <row r="130">
          <cell r="E130" t="str">
            <v>SELANTE CORTA-FOGO A BASE DE SILICONE</v>
          </cell>
          <cell r="F130" t="str">
            <v>Material</v>
          </cell>
          <cell r="G130" t="str">
            <v>UN</v>
          </cell>
          <cell r="H130" t="str">
            <v>3,0000000</v>
          </cell>
        </row>
        <row r="130">
          <cell r="J130" t="str">
            <v>465,18</v>
          </cell>
        </row>
        <row r="130">
          <cell r="L130" t="str">
            <v>1.395,54</v>
          </cell>
        </row>
        <row r="130">
          <cell r="N130">
            <v>1395.54</v>
          </cell>
          <cell r="O130">
            <v>0.000214344265369259</v>
          </cell>
          <cell r="P130">
            <v>6490942.064928</v>
          </cell>
          <cell r="Q130">
            <v>0.996959032676535</v>
          </cell>
          <cell r="R130" t="str">
            <v>C</v>
          </cell>
        </row>
        <row r="131">
          <cell r="B131" t="str">
            <v>UFF_COTAÇÃO 02</v>
          </cell>
          <cell r="C131" t="str">
            <v>Próprio</v>
          </cell>
        </row>
        <row r="131">
          <cell r="E131" t="str">
            <v>CURVA 90 GRAUS EM ACO CARBONO, RAIO LONGO, SOLDAVEL, DN 4"</v>
          </cell>
          <cell r="F131" t="str">
            <v>Material</v>
          </cell>
          <cell r="G131" t="str">
            <v>UN</v>
          </cell>
          <cell r="H131" t="str">
            <v>15,0000000</v>
          </cell>
        </row>
        <row r="131">
          <cell r="J131" t="str">
            <v>80,70</v>
          </cell>
        </row>
        <row r="131">
          <cell r="L131" t="str">
            <v>1.210,50</v>
          </cell>
        </row>
        <row r="131">
          <cell r="N131">
            <v>1210.5</v>
          </cell>
          <cell r="O131">
            <v>0.000185923537289858</v>
          </cell>
          <cell r="P131">
            <v>6492152.564928</v>
          </cell>
          <cell r="Q131">
            <v>0.997144956213825</v>
          </cell>
          <cell r="R131" t="str">
            <v>C</v>
          </cell>
        </row>
        <row r="132">
          <cell r="B132" t="str">
            <v>UFF_COTAÇÃO 269</v>
          </cell>
          <cell r="C132" t="str">
            <v>Próprio</v>
          </cell>
        </row>
        <row r="132">
          <cell r="E132" t="str">
            <v>REGULADOR DE VAZÃO (NOVO) - MODELO EN - DIMENSÃO 350X200mm - MARCA TROX OU EQUIVALENTE TÉCNICO</v>
          </cell>
          <cell r="F132" t="str">
            <v>Material</v>
          </cell>
          <cell r="G132" t="str">
            <v>UN</v>
          </cell>
          <cell r="H132" t="str">
            <v>1,0000000</v>
          </cell>
        </row>
        <row r="132">
          <cell r="J132" t="str">
            <v>1.155,99</v>
          </cell>
        </row>
        <row r="132">
          <cell r="L132" t="str">
            <v>1.155,99</v>
          </cell>
        </row>
        <row r="132">
          <cell r="N132">
            <v>1155.99</v>
          </cell>
          <cell r="O132">
            <v>0.000177551218398763</v>
          </cell>
          <cell r="P132">
            <v>6493308.554928</v>
          </cell>
          <cell r="Q132">
            <v>0.997322507432224</v>
          </cell>
          <cell r="R132" t="str">
            <v>C</v>
          </cell>
        </row>
        <row r="133">
          <cell r="B133" t="str">
            <v>UFF_COTAÇÃO 266</v>
          </cell>
          <cell r="C133" t="str">
            <v>Próprio</v>
          </cell>
        </row>
        <row r="133">
          <cell r="E133" t="str">
            <v>REGULADOR DE VAZÃO (NOVO) - MODELO EN - DIMENSÃO 525X300mm - MARCA TROX OU EQUIVALENTE TÉCNICO</v>
          </cell>
          <cell r="F133" t="str">
            <v>Material</v>
          </cell>
          <cell r="G133" t="str">
            <v>UN</v>
          </cell>
          <cell r="H133" t="str">
            <v>1,0000000</v>
          </cell>
        </row>
        <row r="133">
          <cell r="J133" t="str">
            <v>1.122,41</v>
          </cell>
        </row>
        <row r="133">
          <cell r="L133" t="str">
            <v>1.122,41</v>
          </cell>
        </row>
        <row r="133">
          <cell r="N133">
            <v>1122.41</v>
          </cell>
          <cell r="O133">
            <v>0.000172393587351928</v>
          </cell>
          <cell r="P133">
            <v>6494430.964928</v>
          </cell>
          <cell r="Q133">
            <v>0.997494901019576</v>
          </cell>
          <cell r="R133" t="str">
            <v>C</v>
          </cell>
        </row>
        <row r="134">
          <cell r="B134" t="str">
            <v>UFF_COTAÇÃO 263</v>
          </cell>
          <cell r="C134" t="str">
            <v>Próprio</v>
          </cell>
        </row>
        <row r="134">
          <cell r="E134" t="str">
            <v>REGULADOR DE VAZÃO (NOVO) - MODELO EN - DIMENSÃO 450X300mm - MARCA TROX OU EQUIVALENTE TÉCNICO</v>
          </cell>
          <cell r="F134" t="str">
            <v>Material</v>
          </cell>
          <cell r="G134" t="str">
            <v>UN</v>
          </cell>
          <cell r="H134" t="str">
            <v>1,0000000</v>
          </cell>
        </row>
        <row r="134">
          <cell r="J134" t="str">
            <v>1.049,30</v>
          </cell>
        </row>
        <row r="134">
          <cell r="L134" t="str">
            <v>1.049,30</v>
          </cell>
        </row>
        <row r="134">
          <cell r="N134">
            <v>1049.3</v>
          </cell>
          <cell r="O134">
            <v>0.000161164450787483</v>
          </cell>
          <cell r="P134">
            <v>6495480.264928</v>
          </cell>
          <cell r="Q134">
            <v>0.997656065470363</v>
          </cell>
          <cell r="R134" t="str">
            <v>C</v>
          </cell>
        </row>
        <row r="135">
          <cell r="B135" t="str">
            <v>UFF_COTAÇÃO 29</v>
          </cell>
          <cell r="C135" t="str">
            <v>Próprio</v>
          </cell>
        </row>
        <row r="135">
          <cell r="E135" t="str">
            <v>Cabo PP 8X1,00mm² 450/750v Preto</v>
          </cell>
          <cell r="F135" t="str">
            <v>Material</v>
          </cell>
          <cell r="G135" t="str">
            <v>M</v>
          </cell>
          <cell r="H135" t="str">
            <v>91,8000000</v>
          </cell>
        </row>
        <row r="135">
          <cell r="J135" t="str">
            <v>11,36</v>
          </cell>
        </row>
        <row r="135">
          <cell r="L135" t="str">
            <v>1.042,85</v>
          </cell>
        </row>
        <row r="135">
          <cell r="N135">
            <v>1042.848</v>
          </cell>
          <cell r="O135">
            <v>0.000160173472957995</v>
          </cell>
          <cell r="P135">
            <v>6496523.112928</v>
          </cell>
          <cell r="Q135">
            <v>0.997816238943321</v>
          </cell>
          <cell r="R135" t="str">
            <v>C</v>
          </cell>
        </row>
        <row r="136">
          <cell r="B136" t="str">
            <v>UFF_COTAÇÃO 259</v>
          </cell>
          <cell r="C136" t="str">
            <v>Próprio</v>
          </cell>
        </row>
        <row r="136">
          <cell r="E136" t="str">
            <v>REGULADOR DE VAZÃO (NOVO) - MODELO EN - DIMENSÃO 275X300mm - MARCA TROX OU EQUIVALENTE TÉCNICO</v>
          </cell>
          <cell r="F136" t="str">
            <v>Material</v>
          </cell>
          <cell r="G136" t="str">
            <v>UN</v>
          </cell>
          <cell r="H136" t="str">
            <v>1,0000000</v>
          </cell>
        </row>
        <row r="136">
          <cell r="J136" t="str">
            <v>963,83</v>
          </cell>
        </row>
        <row r="136">
          <cell r="L136" t="str">
            <v>963,83</v>
          </cell>
        </row>
        <row r="136">
          <cell r="N136">
            <v>963.83</v>
          </cell>
          <cell r="O136">
            <v>0.000148036912801391</v>
          </cell>
          <cell r="P136">
            <v>6497486.942928</v>
          </cell>
          <cell r="Q136">
            <v>0.997964275856123</v>
          </cell>
          <cell r="R136" t="str">
            <v>C</v>
          </cell>
        </row>
        <row r="137">
          <cell r="B137" t="str">
            <v>UFF_COTAÇÃO 08</v>
          </cell>
          <cell r="C137" t="str">
            <v>Próprio</v>
          </cell>
        </row>
        <row r="137">
          <cell r="E137" t="str">
            <v>VOLANTE DE LATÃO PARA REGISTRO GAVETA BRUTO 2. 1/2".</v>
          </cell>
          <cell r="F137" t="str">
            <v>Material</v>
          </cell>
          <cell r="G137" t="str">
            <v>UN</v>
          </cell>
          <cell r="H137" t="str">
            <v>16,0000000</v>
          </cell>
        </row>
        <row r="137">
          <cell r="J137" t="str">
            <v>59,22</v>
          </cell>
        </row>
        <row r="137">
          <cell r="L137" t="str">
            <v>947,52</v>
          </cell>
        </row>
        <row r="137">
          <cell r="N137">
            <v>947.52</v>
          </cell>
          <cell r="O137">
            <v>0.000145531821605028</v>
          </cell>
          <cell r="P137">
            <v>6498434.462928</v>
          </cell>
          <cell r="Q137">
            <v>0.998109807677728</v>
          </cell>
          <cell r="R137" t="str">
            <v>C</v>
          </cell>
        </row>
        <row r="138">
          <cell r="B138" t="str">
            <v>UFF_COTAÇÃO 262</v>
          </cell>
          <cell r="C138" t="str">
            <v>Próprio</v>
          </cell>
        </row>
        <row r="138">
          <cell r="E138" t="str">
            <v>REGULADOR DE VAZÃO (NOVO) - MODELO EN - DIMENSÃO 250X150mm - MARCA TROX OU EQUIVALENTE TÉCNICO</v>
          </cell>
          <cell r="F138" t="str">
            <v>Material</v>
          </cell>
          <cell r="G138" t="str">
            <v>UN</v>
          </cell>
          <cell r="H138" t="str">
            <v>1,0000000</v>
          </cell>
        </row>
        <row r="138">
          <cell r="J138" t="str">
            <v>939,64</v>
          </cell>
        </row>
        <row r="138">
          <cell r="L138" t="str">
            <v>939,64</v>
          </cell>
        </row>
        <row r="138">
          <cell r="N138">
            <v>939.64</v>
          </cell>
          <cell r="O138">
            <v>0.000144321513902554</v>
          </cell>
          <cell r="P138">
            <v>6499374.102928</v>
          </cell>
          <cell r="Q138">
            <v>0.99825412919163</v>
          </cell>
          <cell r="R138" t="str">
            <v>C</v>
          </cell>
        </row>
        <row r="139">
          <cell r="B139" t="str">
            <v>UFF_COTAÇÃO 257</v>
          </cell>
          <cell r="C139" t="str">
            <v>Próprio</v>
          </cell>
        </row>
        <row r="139">
          <cell r="E139" t="str">
            <v>REGULADOR DE VAZÃO (NOVO) - MODELO EN - DIMENSÃO 250X325mm - MARCA TROX OU EQUIVALENTE TÉCNICO</v>
          </cell>
          <cell r="F139" t="str">
            <v>Material</v>
          </cell>
          <cell r="G139" t="str">
            <v>UN</v>
          </cell>
          <cell r="H139" t="str">
            <v>1,0000000</v>
          </cell>
        </row>
        <row r="139">
          <cell r="J139" t="str">
            <v>931,38</v>
          </cell>
        </row>
        <row r="139">
          <cell r="L139" t="str">
            <v>931,38</v>
          </cell>
        </row>
        <row r="139">
          <cell r="N139">
            <v>931.38</v>
          </cell>
          <cell r="O139">
            <v>0.00014305284110783</v>
          </cell>
          <cell r="P139">
            <v>6500305.482928</v>
          </cell>
          <cell r="Q139">
            <v>0.998397182032738</v>
          </cell>
          <cell r="R139" t="str">
            <v>C</v>
          </cell>
        </row>
        <row r="140">
          <cell r="B140" t="str">
            <v>UFF_COTAÇÃO 256</v>
          </cell>
          <cell r="C140" t="str">
            <v>Próprio</v>
          </cell>
        </row>
        <row r="140">
          <cell r="E140" t="str">
            <v>REGULADOR DE VAZÃO (NOVO) - MODELO EN - DIMENSÃO 225X300mm - MARCA TROX OU EQUIVALENTE TÉCNICO</v>
          </cell>
          <cell r="F140" t="str">
            <v>Material</v>
          </cell>
          <cell r="G140" t="str">
            <v>UN</v>
          </cell>
          <cell r="H140" t="str">
            <v>1,0000000</v>
          </cell>
        </row>
        <row r="140">
          <cell r="J140" t="str">
            <v>906,31</v>
          </cell>
        </row>
        <row r="140">
          <cell r="L140" t="str">
            <v>906,31</v>
          </cell>
        </row>
        <row r="140">
          <cell r="N140">
            <v>906.31</v>
          </cell>
          <cell r="O140">
            <v>0.000139202280942727</v>
          </cell>
          <cell r="P140">
            <v>6501211.792928</v>
          </cell>
          <cell r="Q140">
            <v>0.998536384313681</v>
          </cell>
          <cell r="R140" t="str">
            <v>C</v>
          </cell>
        </row>
        <row r="141">
          <cell r="B141" t="str">
            <v>UFF_COTAÇÃO 255</v>
          </cell>
          <cell r="C141" t="str">
            <v>Próprio</v>
          </cell>
        </row>
        <row r="141">
          <cell r="E141" t="str">
            <v>FORNECIMENTO E INSTALAÇÃO COMPLETA - REGULADOR DE VAZÃO (NOVO) - MODELO EN - DIMENSÃO 225X250mm - MARCA TROX OU EQUIVALENTE TÉCNICO</v>
          </cell>
          <cell r="F141" t="str">
            <v>Material</v>
          </cell>
          <cell r="G141" t="str">
            <v>UN</v>
          </cell>
          <cell r="H141" t="str">
            <v>1,0000000</v>
          </cell>
        </row>
        <row r="141">
          <cell r="J141" t="str">
            <v>884,49</v>
          </cell>
        </row>
        <row r="141">
          <cell r="L141" t="str">
            <v>884,49</v>
          </cell>
        </row>
        <row r="141">
          <cell r="N141">
            <v>884.49</v>
          </cell>
          <cell r="O141">
            <v>0.000135850895908721</v>
          </cell>
          <cell r="P141">
            <v>6502096.282928</v>
          </cell>
          <cell r="Q141">
            <v>0.99867223520959</v>
          </cell>
          <cell r="R141" t="str">
            <v>C</v>
          </cell>
        </row>
        <row r="142">
          <cell r="B142" t="str">
            <v>UFF_COTAÇÃO 254</v>
          </cell>
          <cell r="C142" t="str">
            <v>Próprio</v>
          </cell>
        </row>
        <row r="142">
          <cell r="E142" t="str">
            <v>REGULADOR DE VAZÃO (NOVO) - MODELO EN - DIMENSÃO 200X300mm - MARCA TROX OU EQUIVALENTE TÉCNICO</v>
          </cell>
          <cell r="F142" t="str">
            <v>Material</v>
          </cell>
          <cell r="G142" t="str">
            <v>UN</v>
          </cell>
          <cell r="H142" t="str">
            <v>1,0000000</v>
          </cell>
        </row>
        <row r="142">
          <cell r="J142" t="str">
            <v>879,43</v>
          </cell>
        </row>
        <row r="142">
          <cell r="L142" t="str">
            <v>879,43</v>
          </cell>
        </row>
        <row r="142">
          <cell r="N142">
            <v>879.43</v>
          </cell>
          <cell r="O142">
            <v>0.000135073718627691</v>
          </cell>
          <cell r="P142">
            <v>6502975.712928</v>
          </cell>
          <cell r="Q142">
            <v>0.998807308928217</v>
          </cell>
          <cell r="R142" t="str">
            <v>C</v>
          </cell>
        </row>
        <row r="143">
          <cell r="B143" t="str">
            <v>UFF_COTAÇÃO 252</v>
          </cell>
          <cell r="C143" t="str">
            <v>Próprio</v>
          </cell>
        </row>
        <row r="143">
          <cell r="E143" t="str">
            <v>REGULADOR DE VAZÃO (NOVO) - MODELO EN - DIMENSÃO 200X200mm - MARCA TROX OU EQUIVALENTE TÉCNICO</v>
          </cell>
          <cell r="F143" t="str">
            <v>Material</v>
          </cell>
          <cell r="G143" t="str">
            <v>UN</v>
          </cell>
          <cell r="H143" t="str">
            <v>1,0000000</v>
          </cell>
        </row>
        <row r="143">
          <cell r="J143" t="str">
            <v>854,37</v>
          </cell>
        </row>
        <row r="143">
          <cell r="L143" t="str">
            <v>854,37</v>
          </cell>
        </row>
        <row r="143">
          <cell r="N143">
            <v>854.37</v>
          </cell>
          <cell r="O143">
            <v>0.000131224694386068</v>
          </cell>
          <cell r="P143">
            <v>6503830.082928</v>
          </cell>
          <cell r="Q143">
            <v>0.998938533622604</v>
          </cell>
          <cell r="R143" t="str">
            <v>C</v>
          </cell>
        </row>
        <row r="144">
          <cell r="B144" t="str">
            <v>UFF_COTAÇÃO 190</v>
          </cell>
          <cell r="C144" t="str">
            <v>Próprio</v>
          </cell>
        </row>
        <row r="144">
          <cell r="E144" t="str">
            <v>DETECTOR ENDEREÇÁVEL DE TEMPERATURA FST-951 DE FABRICAÇÃO NOTIFIER OU SIMILAR TÉCNICO EXCLUSIVE BASE</v>
          </cell>
          <cell r="F144" t="str">
            <v>Material</v>
          </cell>
          <cell r="G144" t="str">
            <v>UN</v>
          </cell>
          <cell r="H144" t="str">
            <v>2,0000000</v>
          </cell>
        </row>
        <row r="144">
          <cell r="J144" t="str">
            <v>425,92</v>
          </cell>
        </row>
        <row r="144">
          <cell r="L144" t="str">
            <v>851,84</v>
          </cell>
        </row>
        <row r="144">
          <cell r="N144">
            <v>851.84</v>
          </cell>
          <cell r="O144">
            <v>0.000130836105745553</v>
          </cell>
          <cell r="P144">
            <v>6504681.922928</v>
          </cell>
          <cell r="Q144">
            <v>0.999069369728349</v>
          </cell>
          <cell r="R144" t="str">
            <v>C</v>
          </cell>
        </row>
        <row r="145">
          <cell r="B145" t="str">
            <v>UFF_COTAÇÃO 13</v>
          </cell>
          <cell r="C145" t="str">
            <v>Próprio</v>
          </cell>
        </row>
        <row r="145">
          <cell r="E145" t="str">
            <v>Junção Simples Galvanizado A Fogo P/Leito 100MM</v>
          </cell>
          <cell r="F145" t="str">
            <v>Material</v>
          </cell>
          <cell r="G145" t="str">
            <v>UN</v>
          </cell>
          <cell r="H145" t="str">
            <v>148,0000000</v>
          </cell>
        </row>
        <row r="145">
          <cell r="J145" t="str">
            <v>5,73</v>
          </cell>
        </row>
        <row r="145">
          <cell r="L145" t="str">
            <v>848,04</v>
          </cell>
        </row>
        <row r="145">
          <cell r="N145">
            <v>848.04</v>
          </cell>
          <cell r="O145">
            <v>0.000130252454823041</v>
          </cell>
          <cell r="P145">
            <v>6505529.962928</v>
          </cell>
          <cell r="Q145">
            <v>0.999199622183172</v>
          </cell>
          <cell r="R145" t="str">
            <v>C</v>
          </cell>
        </row>
        <row r="146">
          <cell r="B146" t="str">
            <v>UFF_COTAÇÃO 248</v>
          </cell>
          <cell r="C146" t="str">
            <v>Próprio</v>
          </cell>
        </row>
        <row r="146">
          <cell r="E146" t="str">
            <v>REGULADOR DE VAZÃO (NOVO) - MODELO EN - DIMENSÃO 125X240mm - MARCA TROX OU EQUIVALENTE TÉCNICO</v>
          </cell>
          <cell r="F146" t="str">
            <v>Material</v>
          </cell>
          <cell r="G146" t="str">
            <v>UN</v>
          </cell>
          <cell r="H146" t="str">
            <v>1,0000000</v>
          </cell>
        </row>
        <row r="146">
          <cell r="J146" t="str">
            <v>796,75</v>
          </cell>
        </row>
        <row r="146">
          <cell r="L146" t="str">
            <v>796,75</v>
          </cell>
        </row>
        <row r="146">
          <cell r="N146">
            <v>796.75</v>
          </cell>
          <cell r="O146">
            <v>0.000122374703292602</v>
          </cell>
          <cell r="P146">
            <v>6506326.712928</v>
          </cell>
          <cell r="Q146">
            <v>0.999321996886465</v>
          </cell>
          <cell r="R146" t="str">
            <v>C</v>
          </cell>
        </row>
        <row r="147">
          <cell r="B147" t="str">
            <v>UFF_COTAÇÃO 06</v>
          </cell>
          <cell r="C147" t="str">
            <v>Próprio</v>
          </cell>
        </row>
        <row r="147">
          <cell r="E147" t="str">
            <v>VOLANTE DE LATÃO PARA REGISTRO GAVETA BRUTO 1 1/2".</v>
          </cell>
          <cell r="F147" t="str">
            <v>Material</v>
          </cell>
          <cell r="G147" t="str">
            <v>UN</v>
          </cell>
          <cell r="H147" t="str">
            <v>10,0000000</v>
          </cell>
        </row>
        <row r="147">
          <cell r="J147" t="str">
            <v>58,90</v>
          </cell>
        </row>
        <row r="147">
          <cell r="L147" t="str">
            <v>589,00</v>
          </cell>
        </row>
        <row r="147">
          <cell r="N147">
            <v>589</v>
          </cell>
          <cell r="O147">
            <v>9.04658929894475e-5</v>
          </cell>
          <cell r="P147">
            <v>6506915.712928</v>
          </cell>
          <cell r="Q147">
            <v>0.999412462779454</v>
          </cell>
          <cell r="R147" t="str">
            <v>C</v>
          </cell>
        </row>
        <row r="148">
          <cell r="B148" t="str">
            <v>UFF_COTAÇÃO 17</v>
          </cell>
          <cell r="C148" t="str">
            <v>Próprio</v>
          </cell>
        </row>
        <row r="148">
          <cell r="E148" t="str">
            <v>CURVA REVERSÃO PARA LEITO 500x100mm</v>
          </cell>
          <cell r="F148" t="str">
            <v>Material</v>
          </cell>
          <cell r="G148" t="str">
            <v>UN</v>
          </cell>
          <cell r="H148" t="str">
            <v>6,0000000</v>
          </cell>
        </row>
        <row r="148">
          <cell r="J148" t="str">
            <v>83,28</v>
          </cell>
        </row>
        <row r="148">
          <cell r="L148" t="str">
            <v>499,68</v>
          </cell>
        </row>
        <row r="148">
          <cell r="N148">
            <v>499.68</v>
          </cell>
          <cell r="O148">
            <v>7.67470244634416e-5</v>
          </cell>
          <cell r="P148">
            <v>6507415.392928</v>
          </cell>
          <cell r="Q148">
            <v>0.999489209803918</v>
          </cell>
          <cell r="R148" t="str">
            <v>C</v>
          </cell>
        </row>
        <row r="149">
          <cell r="B149" t="str">
            <v>UFF_COTAÇÃO 212</v>
          </cell>
          <cell r="C149" t="str">
            <v>Próprio</v>
          </cell>
        </row>
        <row r="149">
          <cell r="E149" t="str">
            <v>PLACA FOTOLUMINESCENTE SINALIZACAO SEG. CONTRA INCENDIO,DE PROIBICAO,PVC ANTIC.,FORMA CIRC.,DIAMETRO 101MM,ABNT NBR 16820</v>
          </cell>
          <cell r="F149" t="str">
            <v>Material</v>
          </cell>
          <cell r="G149" t="str">
            <v>UN</v>
          </cell>
          <cell r="H149" t="str">
            <v>20,0000000</v>
          </cell>
        </row>
        <row r="149">
          <cell r="J149" t="str">
            <v>20,00</v>
          </cell>
        </row>
        <row r="149">
          <cell r="L149" t="str">
            <v>400,00</v>
          </cell>
        </row>
        <row r="149">
          <cell r="N149">
            <v>400</v>
          </cell>
          <cell r="O149">
            <v>6.14369392118489e-5</v>
          </cell>
          <cell r="P149">
            <v>6507815.392928</v>
          </cell>
          <cell r="Q149">
            <v>0.99955064674313</v>
          </cell>
          <cell r="R149" t="str">
            <v>C</v>
          </cell>
        </row>
        <row r="150">
          <cell r="B150" t="str">
            <v>UFF_COTAÇÃO 07</v>
          </cell>
          <cell r="C150" t="str">
            <v>Próprio</v>
          </cell>
        </row>
        <row r="150">
          <cell r="E150" t="str">
            <v>VOLANTE DE LATÃO PARA REGISTRO GAVETA BRUTO 2".</v>
          </cell>
          <cell r="F150" t="str">
            <v>Material</v>
          </cell>
          <cell r="G150" t="str">
            <v>UN</v>
          </cell>
          <cell r="H150" t="str">
            <v>5,0000000</v>
          </cell>
        </row>
        <row r="150">
          <cell r="J150" t="str">
            <v>76,70</v>
          </cell>
        </row>
        <row r="150">
          <cell r="L150" t="str">
            <v>383,50</v>
          </cell>
        </row>
        <row r="150">
          <cell r="N150">
            <v>383.5</v>
          </cell>
          <cell r="O150">
            <v>5.89026654693601e-5</v>
          </cell>
          <cell r="P150">
            <v>6508198.892928</v>
          </cell>
          <cell r="Q150">
            <v>0.999609549408599</v>
          </cell>
          <cell r="R150" t="str">
            <v>C</v>
          </cell>
        </row>
        <row r="151">
          <cell r="B151" t="str">
            <v>UFF_COTAÇÃO 09</v>
          </cell>
          <cell r="C151" t="str">
            <v>Próprio</v>
          </cell>
        </row>
        <row r="151">
          <cell r="E151" t="str">
            <v>CURVA 90° POLIPROPILENO SOLDA PRETO 110 MM</v>
          </cell>
          <cell r="F151" t="str">
            <v>Material</v>
          </cell>
          <cell r="G151" t="str">
            <v>UN</v>
          </cell>
          <cell r="H151" t="str">
            <v>2,0300000</v>
          </cell>
        </row>
        <row r="151">
          <cell r="J151" t="str">
            <v>162,75</v>
          </cell>
        </row>
        <row r="151">
          <cell r="L151" t="str">
            <v>330,38</v>
          </cell>
        </row>
        <row r="151">
          <cell r="N151">
            <v>330.3825</v>
          </cell>
          <cell r="O151">
            <v>5.07442239228967e-5</v>
          </cell>
          <cell r="P151">
            <v>6508529.275428</v>
          </cell>
          <cell r="Q151">
            <v>0.999660293632522</v>
          </cell>
          <cell r="R151" t="str">
            <v>C</v>
          </cell>
        </row>
        <row r="152">
          <cell r="B152" t="str">
            <v>UFF_COTAÇÃO 183</v>
          </cell>
          <cell r="C152" t="str">
            <v>Próprio</v>
          </cell>
        </row>
        <row r="152">
          <cell r="E152" t="str">
            <v>ELETRODUTO DE ALUMÍNIO 3/4" COM ROSCA BSP, VARA COM 3M</v>
          </cell>
          <cell r="F152" t="str">
            <v>Material</v>
          </cell>
          <cell r="G152" t="str">
            <v>M</v>
          </cell>
          <cell r="H152" t="str">
            <v>3,5000000</v>
          </cell>
        </row>
        <row r="152">
          <cell r="J152" t="str">
            <v>73,56</v>
          </cell>
        </row>
        <row r="152">
          <cell r="L152" t="str">
            <v>257,46</v>
          </cell>
        </row>
        <row r="152">
          <cell r="N152">
            <v>257.46</v>
          </cell>
          <cell r="O152">
            <v>3.95438859237065e-5</v>
          </cell>
          <cell r="P152">
            <v>6508786.735428</v>
          </cell>
          <cell r="Q152">
            <v>0.999699837518446</v>
          </cell>
          <cell r="R152" t="str">
            <v>C</v>
          </cell>
        </row>
        <row r="153">
          <cell r="B153" t="str">
            <v>UFF_COTAÇÃO 179</v>
          </cell>
          <cell r="C153" t="str">
            <v>Próprio</v>
          </cell>
        </row>
        <row r="153">
          <cell r="E153" t="str">
            <v>Cabo Óptico Monomodo 12FO</v>
          </cell>
          <cell r="F153" t="str">
            <v>Material</v>
          </cell>
          <cell r="G153" t="str">
            <v>m</v>
          </cell>
          <cell r="H153" t="str">
            <v>43,0000000</v>
          </cell>
        </row>
        <row r="153">
          <cell r="J153" t="str">
            <v>5,89</v>
          </cell>
        </row>
        <row r="153">
          <cell r="L153" t="str">
            <v>253,27</v>
          </cell>
        </row>
        <row r="153">
          <cell r="N153">
            <v>253.27</v>
          </cell>
          <cell r="O153">
            <v>3.89003339854624e-5</v>
          </cell>
          <cell r="P153">
            <v>6509040.005428</v>
          </cell>
          <cell r="Q153">
            <v>0.999738737852431</v>
          </cell>
          <cell r="R153" t="str">
            <v>C</v>
          </cell>
        </row>
        <row r="154">
          <cell r="B154" t="str">
            <v>UFF_COTAÇÃO 24</v>
          </cell>
          <cell r="C154" t="str">
            <v>Próprio</v>
          </cell>
        </row>
        <row r="154">
          <cell r="E154" t="str">
            <v>ELETRODUTO FLEXIVEL TIPO SEALTUBE 4"</v>
          </cell>
          <cell r="F154" t="str">
            <v>Material</v>
          </cell>
          <cell r="G154" t="str">
            <v>M</v>
          </cell>
          <cell r="H154" t="str">
            <v>2,0000000</v>
          </cell>
        </row>
        <row r="154">
          <cell r="J154" t="str">
            <v>118,80</v>
          </cell>
        </row>
        <row r="154">
          <cell r="L154" t="str">
            <v>237,60</v>
          </cell>
        </row>
        <row r="154">
          <cell r="N154">
            <v>237.6</v>
          </cell>
          <cell r="O154">
            <v>3.64935418918382e-5</v>
          </cell>
          <cell r="P154">
            <v>6509277.605428</v>
          </cell>
          <cell r="Q154">
            <v>0.999775231394323</v>
          </cell>
          <cell r="R154" t="str">
            <v>C</v>
          </cell>
        </row>
        <row r="155">
          <cell r="B155" t="str">
            <v>UFF_COTAÇÃO 12</v>
          </cell>
          <cell r="C155" t="str">
            <v>Próprio</v>
          </cell>
        </row>
        <row r="155">
          <cell r="E155" t="str">
            <v>TE REDUÇÃO PARA LEITO 500 P/300x100mm</v>
          </cell>
          <cell r="F155" t="str">
            <v>Material</v>
          </cell>
          <cell r="G155" t="str">
            <v>UN</v>
          </cell>
          <cell r="H155" t="str">
            <v>1,0000000</v>
          </cell>
        </row>
        <row r="155">
          <cell r="J155" t="str">
            <v>188,78</v>
          </cell>
        </row>
        <row r="155">
          <cell r="L155" t="str">
            <v>188,78</v>
          </cell>
        </row>
        <row r="155">
          <cell r="N155">
            <v>188.78</v>
          </cell>
          <cell r="O155">
            <v>2.89951634610321e-5</v>
          </cell>
          <cell r="P155">
            <v>6509466.385428</v>
          </cell>
          <cell r="Q155">
            <v>0.999804226557784</v>
          </cell>
          <cell r="R155" t="str">
            <v>C</v>
          </cell>
        </row>
        <row r="156">
          <cell r="B156" t="str">
            <v>UFF_COTAÇÃO 230</v>
          </cell>
          <cell r="C156" t="str">
            <v>Próprio</v>
          </cell>
        </row>
        <row r="156">
          <cell r="E156" t="str">
            <v>VENTILADOR AXIAL - MODELO INLINE 170 - VAZÃO MÁX 183m³/h - Pd 8,6mmCA - POTÊNCIA 28W / 0,36A - PESO 0,83kg - ALIMENTAÇÃO 1F/220V/60Hz - MARCA SICFLUX OU EQUIVALENTE TÉCNICO</v>
          </cell>
          <cell r="F156" t="str">
            <v>Equipamento</v>
          </cell>
          <cell r="G156" t="str">
            <v>UN</v>
          </cell>
          <cell r="H156" t="str">
            <v>1,0000000</v>
          </cell>
          <cell r="I156" t="str">
            <v>0,0000000</v>
          </cell>
          <cell r="J156" t="str">
            <v>176,88</v>
          </cell>
          <cell r="K156" t="str">
            <v>176,88</v>
          </cell>
          <cell r="L156" t="str">
            <v>176,88</v>
          </cell>
          <cell r="M156" t="str">
            <v>0,00</v>
          </cell>
          <cell r="N156">
            <v>176.88</v>
          </cell>
          <cell r="O156">
            <v>2.71674145194796e-5</v>
          </cell>
          <cell r="P156">
            <v>6509643.265428</v>
          </cell>
          <cell r="Q156">
            <v>0.999831393972303</v>
          </cell>
          <cell r="R156" t="str">
            <v>C</v>
          </cell>
        </row>
        <row r="157">
          <cell r="B157" t="str">
            <v>UFF_COTAÇÃO 177</v>
          </cell>
          <cell r="C157" t="str">
            <v>Próprio</v>
          </cell>
        </row>
        <row r="157">
          <cell r="E157" t="str">
            <v>Prensa Cabo Pg16 Preto P/ Cabos 8,5-14mm</v>
          </cell>
          <cell r="F157" t="str">
            <v>Material</v>
          </cell>
          <cell r="G157" t="str">
            <v>UN</v>
          </cell>
          <cell r="H157" t="str">
            <v>48,0000000</v>
          </cell>
        </row>
        <row r="157">
          <cell r="J157" t="str">
            <v>3,45</v>
          </cell>
        </row>
        <row r="157">
          <cell r="L157" t="str">
            <v>165,60</v>
          </cell>
        </row>
        <row r="157">
          <cell r="N157">
            <v>165.6</v>
          </cell>
          <cell r="O157">
            <v>2.54348928337054e-5</v>
          </cell>
          <cell r="P157">
            <v>6509808.865428</v>
          </cell>
          <cell r="Q157">
            <v>0.999856828865137</v>
          </cell>
          <cell r="R157" t="str">
            <v>C</v>
          </cell>
        </row>
        <row r="158">
          <cell r="B158" t="str">
            <v>UFF_COTAÇÃO 18</v>
          </cell>
          <cell r="C158" t="str">
            <v>Próprio</v>
          </cell>
        </row>
        <row r="158">
          <cell r="E158" t="str">
            <v>CURVA REVERSÃO PARA LEITO 400x100mm</v>
          </cell>
          <cell r="F158" t="str">
            <v>Material</v>
          </cell>
          <cell r="G158" t="str">
            <v>UN</v>
          </cell>
          <cell r="H158" t="str">
            <v>2,0000000</v>
          </cell>
        </row>
        <row r="158">
          <cell r="J158" t="str">
            <v>77,54</v>
          </cell>
        </row>
        <row r="158">
          <cell r="L158" t="str">
            <v>155,08</v>
          </cell>
        </row>
        <row r="158">
          <cell r="N158">
            <v>155.08</v>
          </cell>
          <cell r="O158">
            <v>2.38191013324338e-5</v>
          </cell>
          <cell r="P158">
            <v>6509963.945428</v>
          </cell>
          <cell r="Q158">
            <v>0.999880647966469</v>
          </cell>
          <cell r="R158" t="str">
            <v>C</v>
          </cell>
        </row>
        <row r="159">
          <cell r="B159" t="str">
            <v>UFF_COTAÇÃO 303</v>
          </cell>
          <cell r="C159" t="str">
            <v>Próprio</v>
          </cell>
        </row>
        <row r="159">
          <cell r="E159" t="str">
            <v>PLACA DE PVC EXPANDIDO 4MM 1220X2440MM</v>
          </cell>
          <cell r="F159" t="str">
            <v>Material</v>
          </cell>
          <cell r="G159" t="str">
            <v>UN</v>
          </cell>
          <cell r="H159" t="str">
            <v>0,8510000</v>
          </cell>
        </row>
        <row r="159">
          <cell r="J159" t="str">
            <v>149,58</v>
          </cell>
        </row>
        <row r="159">
          <cell r="L159" t="str">
            <v>127,29</v>
          </cell>
        </row>
        <row r="159">
          <cell r="N159">
            <v>127.29258</v>
          </cell>
          <cell r="O159">
            <v>1.95511662489485e-5</v>
          </cell>
          <cell r="P159">
            <v>6510091.238008</v>
          </cell>
          <cell r="Q159">
            <v>0.999900199132718</v>
          </cell>
          <cell r="R159" t="str">
            <v>C</v>
          </cell>
        </row>
        <row r="160">
          <cell r="B160" t="str">
            <v>UFF_COTAÇÃO 14</v>
          </cell>
          <cell r="C160" t="str">
            <v>Próprio</v>
          </cell>
        </row>
        <row r="160">
          <cell r="E160" t="str">
            <v>FLANGE PARA LEITO P/PAINEL 500x100mm</v>
          </cell>
          <cell r="F160" t="str">
            <v>Material</v>
          </cell>
          <cell r="G160" t="str">
            <v>UN</v>
          </cell>
          <cell r="H160" t="str">
            <v>6,0000000</v>
          </cell>
        </row>
        <row r="160">
          <cell r="J160" t="str">
            <v>16,50</v>
          </cell>
        </row>
        <row r="160">
          <cell r="L160" t="str">
            <v>99,00</v>
          </cell>
        </row>
        <row r="160">
          <cell r="N160">
            <v>99</v>
          </cell>
          <cell r="O160">
            <v>1.52056424549326e-5</v>
          </cell>
          <cell r="P160">
            <v>6510190.238008</v>
          </cell>
          <cell r="Q160">
            <v>0.999915404775173</v>
          </cell>
          <cell r="R160" t="str">
            <v>C</v>
          </cell>
        </row>
        <row r="161">
          <cell r="B161" t="str">
            <v>UFF_COTAÇÃO 20</v>
          </cell>
          <cell r="C161" t="str">
            <v>Próprio</v>
          </cell>
        </row>
        <row r="161">
          <cell r="E161" t="str">
            <v>CURVA VERTICAL INTERNA PARA LEITO 90º 500x100mm</v>
          </cell>
          <cell r="F161" t="str">
            <v>Material</v>
          </cell>
          <cell r="G161" t="str">
            <v>UN</v>
          </cell>
          <cell r="H161" t="str">
            <v>1,0000000</v>
          </cell>
        </row>
        <row r="161">
          <cell r="J161" t="str">
            <v>83,28</v>
          </cell>
        </row>
        <row r="161">
          <cell r="L161" t="str">
            <v>83,28</v>
          </cell>
        </row>
        <row r="161">
          <cell r="N161">
            <v>83.28</v>
          </cell>
          <cell r="O161">
            <v>1.27911707439069e-5</v>
          </cell>
          <cell r="P161">
            <v>6510273.518008</v>
          </cell>
          <cell r="Q161">
            <v>0.999928195945917</v>
          </cell>
          <cell r="R161" t="str">
            <v>C</v>
          </cell>
        </row>
        <row r="162">
          <cell r="B162" t="str">
            <v>UFF_COTAÇÃO 11</v>
          </cell>
          <cell r="C162" t="str">
            <v>Próprio</v>
          </cell>
        </row>
        <row r="162">
          <cell r="E162" t="str">
            <v>CURVA VERTICAL EXTERNA 90º PARA LEITO 500x100mm</v>
          </cell>
          <cell r="F162" t="str">
            <v>Material</v>
          </cell>
          <cell r="G162" t="str">
            <v>UN</v>
          </cell>
          <cell r="H162" t="str">
            <v>1,0000000</v>
          </cell>
        </row>
        <row r="162">
          <cell r="J162" t="str">
            <v>83,28</v>
          </cell>
        </row>
        <row r="162">
          <cell r="L162" t="str">
            <v>83,28</v>
          </cell>
        </row>
        <row r="162">
          <cell r="N162">
            <v>83.28</v>
          </cell>
          <cell r="O162">
            <v>1.27911707439069e-5</v>
          </cell>
          <cell r="P162">
            <v>6510356.798008</v>
          </cell>
          <cell r="Q162">
            <v>0.999940987116661</v>
          </cell>
          <cell r="R162" t="str">
            <v>C</v>
          </cell>
        </row>
        <row r="163">
          <cell r="B163" t="str">
            <v>UFF_COTAÇÃO 304</v>
          </cell>
          <cell r="C163" t="str">
            <v>Próprio</v>
          </cell>
        </row>
        <row r="163">
          <cell r="E163" t="str">
            <v>PLACA DE PVC EXPANDIDO 2MM 1220X2440MM</v>
          </cell>
          <cell r="F163" t="str">
            <v>Material</v>
          </cell>
          <cell r="G163" t="str">
            <v>UN</v>
          </cell>
          <cell r="H163" t="str">
            <v>0,6720000</v>
          </cell>
        </row>
        <row r="163">
          <cell r="J163" t="str">
            <v>109,55</v>
          </cell>
        </row>
        <row r="163">
          <cell r="L163" t="str">
            <v>73,62</v>
          </cell>
        </row>
        <row r="163">
          <cell r="N163">
            <v>73.6176</v>
          </cell>
          <cell r="O163">
            <v>1.13071000403055e-5</v>
          </cell>
          <cell r="P163">
            <v>6510430.415608</v>
          </cell>
          <cell r="Q163">
            <v>0.999952294216702</v>
          </cell>
          <cell r="R163" t="str">
            <v>C</v>
          </cell>
        </row>
        <row r="164">
          <cell r="B164" t="str">
            <v>UFF_COTAÇÃO 19</v>
          </cell>
          <cell r="C164" t="str">
            <v>Próprio</v>
          </cell>
        </row>
        <row r="164">
          <cell r="E164" t="str">
            <v>CURVA REVERSÃO PARA LEITO 300x100mm</v>
          </cell>
          <cell r="F164" t="str">
            <v>Material</v>
          </cell>
          <cell r="G164" t="str">
            <v>UN</v>
          </cell>
          <cell r="H164" t="str">
            <v>1,0000000</v>
          </cell>
        </row>
        <row r="164">
          <cell r="J164" t="str">
            <v>71,80</v>
          </cell>
        </row>
        <row r="164">
          <cell r="L164" t="str">
            <v>71,80</v>
          </cell>
        </row>
        <row r="164">
          <cell r="N164">
            <v>71.8</v>
          </cell>
          <cell r="O164">
            <v>1.10279305885269e-5</v>
          </cell>
          <cell r="P164">
            <v>6510502.215608</v>
          </cell>
          <cell r="Q164">
            <v>0.99996332214729</v>
          </cell>
          <cell r="R164" t="str">
            <v>C</v>
          </cell>
        </row>
        <row r="165">
          <cell r="B165" t="str">
            <v>UFF_COTAÇÃO 213</v>
          </cell>
          <cell r="C165" t="str">
            <v>Próprio</v>
          </cell>
        </row>
        <row r="165">
          <cell r="E165" t="str">
            <v>PLACA FOTOLUMINESCENTE SINALIZACAO SEG. CONTRA INCENDIO,DE PROIBICAO,PVC ANTIC.,FORMA CIRC.,DIAMETRO 134MM,ABNT NBR 16820</v>
          </cell>
          <cell r="F165" t="str">
            <v>Material</v>
          </cell>
          <cell r="G165" t="str">
            <v>UN</v>
          </cell>
          <cell r="H165" t="str">
            <v>2,0000000</v>
          </cell>
        </row>
        <row r="165">
          <cell r="J165" t="str">
            <v>24,00</v>
          </cell>
        </row>
        <row r="165">
          <cell r="L165" t="str">
            <v>48,00</v>
          </cell>
        </row>
        <row r="165">
          <cell r="N165">
            <v>48</v>
          </cell>
          <cell r="O165">
            <v>7.37243270542187e-6</v>
          </cell>
          <cell r="P165">
            <v>6510550.215608</v>
          </cell>
          <cell r="Q165">
            <v>0.999970694579995</v>
          </cell>
          <cell r="R165" t="str">
            <v>C</v>
          </cell>
        </row>
        <row r="166">
          <cell r="B166" t="str">
            <v>UFF_COTAÇÃO 305</v>
          </cell>
          <cell r="C166" t="str">
            <v>Próprio</v>
          </cell>
        </row>
        <row r="166">
          <cell r="E166" t="str">
            <v>LETRA DE PVC EXPANDIDO 10MM – 20CM</v>
          </cell>
          <cell r="F166" t="str">
            <v>Material</v>
          </cell>
          <cell r="G166" t="str">
            <v>UN</v>
          </cell>
          <cell r="H166" t="str">
            <v>8,0000000</v>
          </cell>
        </row>
        <row r="166">
          <cell r="J166" t="str">
            <v>5,50</v>
          </cell>
        </row>
        <row r="166">
          <cell r="L166" t="str">
            <v>44,00</v>
          </cell>
        </row>
        <row r="166">
          <cell r="N166">
            <v>44</v>
          </cell>
          <cell r="O166">
            <v>6.75806331330338e-6</v>
          </cell>
          <cell r="P166">
            <v>6510594.215608</v>
          </cell>
          <cell r="Q166">
            <v>0.999977452643309</v>
          </cell>
          <cell r="R166" t="str">
            <v>C</v>
          </cell>
        </row>
        <row r="167">
          <cell r="B167" t="str">
            <v>UFF_COTAÇÃO 209</v>
          </cell>
          <cell r="C167" t="str">
            <v>Próprio</v>
          </cell>
        </row>
        <row r="167">
          <cell r="E167" t="str">
            <v>BUCHA DE REDUCAO DE FERRO GALVANIZADO, COM ROSCA BSP, DE 2" X 3/4"</v>
          </cell>
          <cell r="F167" t="str">
            <v>Material</v>
          </cell>
          <cell r="G167" t="str">
            <v>UN</v>
          </cell>
          <cell r="H167" t="str">
            <v>2,0000000</v>
          </cell>
        </row>
        <row r="167">
          <cell r="J167" t="str">
            <v>18,06</v>
          </cell>
        </row>
        <row r="167">
          <cell r="L167" t="str">
            <v>36,12</v>
          </cell>
        </row>
        <row r="167">
          <cell r="N167">
            <v>36.12</v>
          </cell>
          <cell r="O167">
            <v>5.54775561082995e-6</v>
          </cell>
          <cell r="P167">
            <v>6510630.335608</v>
          </cell>
          <cell r="Q167">
            <v>0.99998300039892</v>
          </cell>
          <cell r="R167" t="str">
            <v>C</v>
          </cell>
        </row>
        <row r="168">
          <cell r="B168" t="str">
            <v>UFF_COTAÇÃO 242</v>
          </cell>
          <cell r="C168" t="str">
            <v>Próprio</v>
          </cell>
        </row>
        <row r="168">
          <cell r="E168" t="str">
            <v>VENEZIANA EXTERIOR - MODELO GFM-F (NOVA) - TAMANHO 150mm - MARCA SICFLUX OU EQUIVALENTE TÉCNICO</v>
          </cell>
          <cell r="F168" t="str">
            <v>Material</v>
          </cell>
          <cell r="G168" t="str">
            <v>UN</v>
          </cell>
          <cell r="H168" t="str">
            <v>1,0000000</v>
          </cell>
        </row>
        <row r="168">
          <cell r="J168" t="str">
            <v>29,00</v>
          </cell>
        </row>
        <row r="168">
          <cell r="L168" t="str">
            <v>29,00</v>
          </cell>
        </row>
        <row r="168">
          <cell r="N168">
            <v>29</v>
          </cell>
          <cell r="O168">
            <v>4.45417809285904e-6</v>
          </cell>
          <cell r="P168">
            <v>6510659.335608</v>
          </cell>
          <cell r="Q168">
            <v>0.999987454577012</v>
          </cell>
          <cell r="R168" t="str">
            <v>C</v>
          </cell>
        </row>
        <row r="169">
          <cell r="B169" t="str">
            <v>UFF_COTAÇÃO 211</v>
          </cell>
          <cell r="C169" t="str">
            <v>Próprio</v>
          </cell>
        </row>
        <row r="169">
          <cell r="E169" t="str">
            <v>LUVA GALVANIZADO 1/4"</v>
          </cell>
          <cell r="F169" t="str">
            <v>Material</v>
          </cell>
          <cell r="G169" t="str">
            <v>UN</v>
          </cell>
          <cell r="H169" t="str">
            <v>6,0000000</v>
          </cell>
        </row>
        <row r="169">
          <cell r="J169" t="str">
            <v>4,74</v>
          </cell>
        </row>
        <row r="169">
          <cell r="L169" t="str">
            <v>28,44</v>
          </cell>
        </row>
        <row r="169">
          <cell r="N169">
            <v>28.44</v>
          </cell>
          <cell r="O169">
            <v>4.36816637796246e-6</v>
          </cell>
          <cell r="P169">
            <v>6510687.775608</v>
          </cell>
          <cell r="Q169">
            <v>0.99999182274339</v>
          </cell>
          <cell r="R169" t="str">
            <v>C</v>
          </cell>
        </row>
        <row r="170">
          <cell r="B170" t="str">
            <v>UFF_COTAÇÃO 210</v>
          </cell>
          <cell r="C170" t="str">
            <v>Próprio</v>
          </cell>
        </row>
        <row r="170">
          <cell r="E170" t="str">
            <v>NIPLE DE FERRO GALVANIZADO, COM ROSCA BSP, DE 1/4"</v>
          </cell>
          <cell r="F170" t="str">
            <v>Material</v>
          </cell>
          <cell r="G170" t="str">
            <v>UN</v>
          </cell>
          <cell r="H170" t="str">
            <v>6,0000000</v>
          </cell>
        </row>
        <row r="170">
          <cell r="J170" t="str">
            <v>4,46</v>
          </cell>
        </row>
        <row r="170">
          <cell r="L170" t="str">
            <v>26,76</v>
          </cell>
        </row>
        <row r="170">
          <cell r="N170">
            <v>26.76</v>
          </cell>
          <cell r="O170">
            <v>4.11013123327269e-6</v>
          </cell>
          <cell r="P170">
            <v>6510714.535608</v>
          </cell>
          <cell r="Q170">
            <v>0.999995932874624</v>
          </cell>
          <cell r="R170" t="str">
            <v>C</v>
          </cell>
        </row>
        <row r="171">
          <cell r="B171" t="str">
            <v>UFF_COTAÇÃO 15</v>
          </cell>
          <cell r="C171" t="str">
            <v>Próprio</v>
          </cell>
        </row>
        <row r="171">
          <cell r="E171" t="str">
            <v>FLANGE PARA LEITO P/PAINEL 400x100mm</v>
          </cell>
          <cell r="F171" t="str">
            <v>Material</v>
          </cell>
          <cell r="G171" t="str">
            <v>UN</v>
          </cell>
          <cell r="H171" t="str">
            <v>1,0000000</v>
          </cell>
        </row>
        <row r="171">
          <cell r="J171" t="str">
            <v>14,62</v>
          </cell>
        </row>
        <row r="171">
          <cell r="L171" t="str">
            <v>14,62</v>
          </cell>
        </row>
        <row r="171">
          <cell r="N171">
            <v>14.62</v>
          </cell>
          <cell r="O171">
            <v>2.24552012819308e-6</v>
          </cell>
          <cell r="P171">
            <v>6510729.155608</v>
          </cell>
          <cell r="Q171">
            <v>0.999998178394752</v>
          </cell>
          <cell r="R171" t="str">
            <v>C</v>
          </cell>
        </row>
        <row r="172">
          <cell r="B172" t="str">
            <v>UFF_COTAÇÃO 16</v>
          </cell>
          <cell r="C172" t="str">
            <v>Próprio</v>
          </cell>
        </row>
        <row r="172">
          <cell r="E172" t="str">
            <v>FLANGE PARA LEITO P/PAINEL 300x100mm</v>
          </cell>
          <cell r="F172" t="str">
            <v>Material</v>
          </cell>
          <cell r="G172" t="str">
            <v>UN</v>
          </cell>
          <cell r="H172" t="str">
            <v>1,0000000</v>
          </cell>
        </row>
        <row r="172">
          <cell r="J172" t="str">
            <v>11,86</v>
          </cell>
        </row>
        <row r="172">
          <cell r="L172" t="str">
            <v>11,86</v>
          </cell>
        </row>
        <row r="172">
          <cell r="N172">
            <v>11.86</v>
          </cell>
          <cell r="O172">
            <v>1.82160524763132e-6</v>
          </cell>
          <cell r="P172">
            <v>6510741.015608</v>
          </cell>
          <cell r="Q172">
            <v>0.999999999999999</v>
          </cell>
          <cell r="R172" t="str">
            <v>C</v>
          </cell>
        </row>
      </sheetData>
      <sheetData sheetId="2"/>
      <sheetData sheetId="3"/>
      <sheetData sheetId="4"/>
    </sheetDataSet>
  </externalBook>
</externalLink>
</file>

<file path=xl/externalLinks/externalLink3.xml><?xml version="1.0" encoding="utf-8"?>
<externalLink xmlns="http://schemas.openxmlformats.org/spreadsheetml/2006/main">
  <externalBook xmlns:r="http://schemas.openxmlformats.org/officeDocument/2006/relationships" r:id="rId1">
    <sheetNames>
      <sheetName val="RESUMO"/>
      <sheetName val="Orçamento Sintético"/>
      <sheetName val="Memória de Cálculo"/>
      <sheetName val="CPUs"/>
      <sheetName val="CPUs_Auxiliares"/>
      <sheetName val="FISICO-FINANCEIRO"/>
      <sheetName val="Enc. Sociais"/>
      <sheetName val="Curva ABC de Serviços"/>
      <sheetName val="BDI"/>
      <sheetName val="BDI_DIF."/>
    </sheetNames>
    <sheetDataSet>
      <sheetData sheetId="0"/>
      <sheetData sheetId="1"/>
      <sheetData sheetId="2"/>
      <sheetData sheetId="3"/>
      <sheetData sheetId="4"/>
      <sheetData sheetId="5"/>
      <sheetData sheetId="6"/>
      <sheetData sheetId="7"/>
      <sheetData sheetId="8"/>
      <sheetData sheetId="9"/>
    </sheetDataSet>
  </externalBook>
</externalLink>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0000FF"/>
      </a:folHlink>
    </a:clrScheme>
    <a:fontScheme name="Sheets">
      <a:majorFont>
        <a:latin typeface="Arial"/>
        <a:ea typeface="Arial"/>
        <a:cs typeface="Arial"/>
      </a:majorFont>
      <a:minorFont>
        <a:latin typeface="Arial"/>
        <a:ea typeface="Arial"/>
        <a:cs typeface="Arial"/>
      </a:minorFont>
    </a:fontScheme>
    <a:fmtScheme name="">
      <a:fillStyleLst>
        <a:solidFill>
          <a:schemeClr val="phClr"/>
        </a:solidFill>
        <a:gradFill>
          <a:gsLst>
            <a:gs pos="0">
              <a:schemeClr val="phClr">
                <a:lumMod val="110000"/>
                <a:tint val="67000"/>
              </a:schemeClr>
            </a:gs>
            <a:gs pos="50000">
              <a:schemeClr val="phClr">
                <a:lumMod val="105000"/>
                <a:tint val="73000"/>
              </a:schemeClr>
            </a:gs>
            <a:gs pos="100000">
              <a:schemeClr val="phClr">
                <a:lumMod val="105000"/>
                <a:tint val="81000"/>
              </a:schemeClr>
            </a:gs>
          </a:gsLst>
          <a:lin ang="5400000" scaled="0"/>
          <a:tileRect/>
        </a:gradFill>
        <a:gradFill>
          <a:gsLst>
            <a:gs pos="0">
              <a:schemeClr val="phClr">
                <a:lumMod val="102000"/>
                <a:tint val="94000"/>
              </a:schemeClr>
            </a:gs>
            <a:gs pos="50000">
              <a:schemeClr val="phClr">
                <a:lumMod val="100000"/>
                <a:shade val="100000"/>
              </a:schemeClr>
            </a:gs>
            <a:gs pos="100000">
              <a:schemeClr val="phClr">
                <a:lumMod val="99000"/>
                <a:shade val="78000"/>
              </a:schemeClr>
            </a:gs>
          </a:gsLst>
          <a:lin ang="5400000" scaled="0"/>
          <a:tileRect/>
        </a:gradFill>
      </a:fillStyleLst>
      <a:lnStyleLst>
        <a:ln w="6350" cap="flat" cmpd="sng" algn="ctr">
          <a:prstDash val="solid"/>
          <a:miter lim="800000"/>
        </a:ln>
        <a:ln w="12700" cap="flat" cmpd="sng" algn="ctr">
          <a:prstDash val="solid"/>
          <a:miter lim="800000"/>
        </a:ln>
        <a:ln w="19050" cap="flat" cmpd="sng" algn="ctr">
          <a:prstDash val="solid"/>
          <a:miter lim="800000"/>
        </a:ln>
      </a:lnStyleLst>
      <a:effectStyleLst>
        <a:effectStyle>
          <a:effectLst/>
        </a:effectStyle>
        <a:effectStyle>
          <a:effectLst/>
        </a:effectStyle>
        <a:effectStyle>
          <a:effectLst/>
        </a:effectStyle>
      </a:effectStyleLst>
      <a:bgFillStyleLst>
        <a:solidFill>
          <a:schemeClr val="phClr"/>
        </a:solidFill>
        <a:solidFill>
          <a:schemeClr val="phClr">
            <a:tint val="95000"/>
          </a:schemeClr>
        </a:solidFill>
        <a:gradFill>
          <a:gsLst>
            <a:gs pos="0">
              <a:schemeClr val="phClr">
                <a:tint val="93000"/>
                <a:shade val="98000"/>
                <a:lumMod val="102000"/>
              </a:schemeClr>
            </a:gs>
            <a:gs pos="50000">
              <a:schemeClr val="phClr">
                <a:tint val="98000"/>
                <a:shade val="90000"/>
                <a:lumMod val="103000"/>
              </a:schemeClr>
            </a:gs>
            <a:gs pos="100000">
              <a:schemeClr val="phClr">
                <a:shade val="63000"/>
              </a:schemeClr>
            </a:gs>
          </a:gsLst>
          <a:lin ang="5400000" scaled="0"/>
          <a:tileRect/>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4.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4.xml"/><Relationship Id="rId1" Type="http://schemas.openxmlformats.org/officeDocument/2006/relationships/comments" Target="../comments1.xml"/></Relationships>
</file>

<file path=xl/worksheets/_rels/sheet5.xml.rels><?xml version="1.0" encoding="UTF-8" standalone="yes"?>
<Relationships xmlns="http://schemas.openxmlformats.org/package/2006/relationships"><Relationship Id="rId99" Type="http://schemas.openxmlformats.org/officeDocument/2006/relationships/hyperlink" Target="https://www.meritocomercial.com.br/bomba-de-incendio-somar-ssci5-212-polegadas-20-cv-trifasica-220v380v-5001001002849-p1062222?tsid=75&amp;srsltid=AfmBOorWbXe0XtU8VW0GTGkT3Sa0ltXQmX8La4GT0r0Uu3aWmYclIvuoMGM" TargetMode="External"/><Relationship Id="rId98" Type="http://schemas.openxmlformats.org/officeDocument/2006/relationships/hyperlink" Target="https://www.eletrishop.com.br/bombas-d-agua/motobomba-centrifuga-para-combate-a-incendio-ssci5-20cv-220-380v?srsltid=AfmBOop797MmMlr8BdUJeOUz7L24UEpuTotqJz1-R6-wuK3QfdsCKWEF" TargetMode="External"/><Relationship Id="rId97" Type="http://schemas.openxmlformats.org/officeDocument/2006/relationships/hyperlink" Target="https://loja.ebara.com.br/products/bomba-rl-20br-20-0-cv-trif-ip55-ir3-4v-mt-thebe-rt-200?utm_source=google_pmax&amp;utm_medium=max.performance&amp;utm_campaign=maxperformance.all.products&amp;gad_source=1&amp;gad_campaignid=19808022868&amp;gbraid=0AAAAAoJWAM1ySyWYM6ryvlnj_C" TargetMode="External"/><Relationship Id="rId96" Type="http://schemas.openxmlformats.org/officeDocument/2006/relationships/hyperlink" Target="https://www.lojadomecanico.com.br/produto/154167/33/619/Motobomba-Centrifuga-Monoestagio-20CV-Trifasica-220380V-SSCI-5/153/?utm_source=googleshopping&amp;utm_medium=cpc&amp;utm_campaign=PMAX+ROAS+AGRO+E+JARDIM&amp;gad_source=1&amp;gclid=Cj0KCQjw4Oe4BhCcARIsADQ0csmEAkgUb3" TargetMode="External"/><Relationship Id="rId95" Type="http://schemas.openxmlformats.org/officeDocument/2006/relationships/hyperlink" Target="https://www.comerciallanel.com.br/bomba-schneider-bpi-me-al-2250v-50cv-trifasica-60hz-220380440v-0030000000785-p3409?srsltid=AfmBOorY2YXKBSOLebrOAcztGjY6UocdH98S25tBL7XpbmOCXyKBor56" TargetMode="External"/><Relationship Id="rId94" Type="http://schemas.openxmlformats.org/officeDocument/2006/relationships/hyperlink" Target="https://www.florenciobombas.com.br/bomba-centrifuga-de-incendio-schneider-bpi-me-al-2250-v-5cv-220-380-440v-trifasico/p" TargetMode="External"/><Relationship Id="rId93" Type="http://schemas.openxmlformats.org/officeDocument/2006/relationships/hyperlink" Target="https://www.grupodasbombas.com.br/bomba-centrifuga-de-incendio-schneider-bpi-me-al-2250-v-5cv-220-380-440v-trifasico/p" TargetMode="External"/><Relationship Id="rId92" Type="http://schemas.openxmlformats.org/officeDocument/2006/relationships/hyperlink" Target="https://www.comerciallanel.com.br/bomba-schneider-bpi-me-al-2230-30cv-trifasica-60hz-220380v-0030000000783-p3407?utm_source=google&amp;utm_medium=cpc&amp;utm_campaign=lojavirtual&amp;srsltid=AfmBOorcey5iTNZQOZD8eDr92Nc27azcVId_KFEBHu6t7qAF4YLD7MSHA4E" TargetMode="External"/><Relationship Id="rId91" Type="http://schemas.openxmlformats.org/officeDocument/2006/relationships/hyperlink" Target="https://www.casadasbombassp.com.br/bomba-de-incendio-schneider-bpi-me-al-2230-3cv-trifasico-220-380v/p" TargetMode="External"/><Relationship Id="rId90" Type="http://schemas.openxmlformats.org/officeDocument/2006/relationships/hyperlink" Target="https://www.casadathebe.com.br/bomba-de-incendio-thebe-p-11-4-nr-3-0-cv-trifasico-ip21-ir3/p" TargetMode="External"/><Relationship Id="rId9" Type="http://schemas.openxmlformats.org/officeDocument/2006/relationships/hyperlink" Target="https://www.lojabrasilvapor.com.br/curva-aco-carbono-90-1-sch40-soldavel?utm_source=google&amp;utm_medium=Shopping&amp;utm_campaign=curva-aco-carbono-90-1-sch40-soldavel&amp;inStock" TargetMode="External"/><Relationship Id="rId89" Type="http://schemas.openxmlformats.org/officeDocument/2006/relationships/hyperlink" Target="https://www.grupodasbombas.com.br/bomba-de-incendio-schneider-bpi-me-al-2230-3cv-trifasico-220-380v/p" TargetMode="External"/><Relationship Id="rId88" Type="http://schemas.openxmlformats.org/officeDocument/2006/relationships/hyperlink" Target="https://loja.eletromw.com.br/produto/bloco-baliz-saida-4w-500lm-110-220v-blk-500-lse/?utm_source=Google%20Shopping&amp;utm_campaign=Feed%20Marchant%20-%20EletroMW&amp;utm_medium=cpc&amp;utm_term=16645&amp;gad_source=1&amp;gad_campaignid=22510342443&amp;gbraid=0AAAAA_GwUhV70yqQUY" TargetMode="External"/><Relationship Id="rId87" Type="http://schemas.openxmlformats.org/officeDocument/2006/relationships/hyperlink" Target="https://www.rbailuminacao.com.br/search/?q=BLK+500%2FL+SE+-+LUM+BLOCO+AUTONOMO+DE+EMERG.+BLOKITO+6V+4AH+ACL+AUREON" TargetMode="External"/><Relationship Id="rId86" Type="http://schemas.openxmlformats.org/officeDocument/2006/relationships/hyperlink" Target="https://loja.tecandtec.com.br/produtos/silicone-resistente-ao-fogo/" TargetMode="External"/><Relationship Id="rId85" Type="http://schemas.openxmlformats.org/officeDocument/2006/relationships/hyperlink" Target="https://www.hilti.com.br/c/CLS_FIRESTOP_PROTECTION_7131/CLS_FIRESTOP_SEALANTS_SPRAY_7131/r361?CHA_COLOR_PM_REVIEW=Branco&amp;CHA_PACKAGING=Cartucho&amp;itemCode=209625&amp;salespackquantity=1%20un&amp;activeTab=preconfigured-kits-tabs" TargetMode="External"/><Relationship Id="rId84" Type="http://schemas.openxmlformats.org/officeDocument/2006/relationships/hyperlink" Target="https://epizeus.com.br/sprinkler-upright-68-1-2-pol-cromado-vermelho-k5-6" TargetMode="External"/><Relationship Id="rId83" Type="http://schemas.openxmlformats.org/officeDocument/2006/relationships/hyperlink" Target="https://www.lojaagrometal.com.br/produto/sprinkler-vermelho-cromado-68-1-2-r0110-up-right-87095?srsltid=AfmBOooX8LDqPcdmLWpn7tA0g4B0qydfhRpke4QfgP6_HbQed8OqnOAA" TargetMode="External"/><Relationship Id="rId82" Type="http://schemas.openxmlformats.org/officeDocument/2006/relationships/hyperlink" Target="https://loja.shopfire.com.br/sprinkler-padrao-k80-1-2-crom-68oc-para-cima-upright" TargetMode="External"/><Relationship Id="rId81" Type="http://schemas.openxmlformats.org/officeDocument/2006/relationships/hyperlink" Target="https://loja.tecandtec.com.br/produtos/iso-x-modulo-isolador/" TargetMode="External"/><Relationship Id="rId80" Type="http://schemas.openxmlformats.org/officeDocument/2006/relationships/hyperlink" Target="https://loja.tecandtec.com.br/produtos/hpf-ps6-e-hpf-ps10-fonte-de-alimentacao-notifier/" TargetMode="External"/><Relationship Id="rId8" Type="http://schemas.openxmlformats.org/officeDocument/2006/relationships/hyperlink" Target="https://loja.acepilinox.com.br/acc-90rl-curva-cotovelo-90-graus-aco-carbono-a234-wpb-asme-b16-9-sch-40/?sku=2329681.134092.0.242333" TargetMode="External"/><Relationship Id="rId79" Type="http://schemas.openxmlformats.org/officeDocument/2006/relationships/hyperlink" Target="https://loja.tecandtec.com.br/produtos/fst-951-detectores-termicos/" TargetMode="External"/><Relationship Id="rId78" Type="http://schemas.openxmlformats.org/officeDocument/2006/relationships/hyperlink" Target="https://loja.sinalert.com.br/fsp-851-detector-optico-enderecavel-notifier" TargetMode="External"/><Relationship Id="rId77" Type="http://schemas.openxmlformats.org/officeDocument/2006/relationships/hyperlink" Target="https://loja.tecandtec.com.br/produtos/b501-e-b501w-base-para-detectores/" TargetMode="External"/><Relationship Id="rId76" Type="http://schemas.openxmlformats.org/officeDocument/2006/relationships/hyperlink" Target="https://loja.tecandtec.com.br/produtos/p2rl-sirene-audiovisual/" TargetMode="External"/><Relationship Id="rId75" Type="http://schemas.openxmlformats.org/officeDocument/2006/relationships/hyperlink" Target="https://loja.tecandtec.com.br/produtos/nbg-12lxp-acionador-manual/" TargetMode="External"/><Relationship Id="rId74" Type="http://schemas.openxmlformats.org/officeDocument/2006/relationships/hyperlink" Target="https://www.plenobras.com.br/6867edf78466665a1942b1c5/eletroduto-leve-aluminio-parede-300mm-34%22x3m-com-rosca-bsp-com-um-luva?srsltid=AfmBOoop5IwdruXtQGWHO_9xgZby1ikHNY0qhHRsVV4M7cPmyhimWkdf" TargetMode="External"/><Relationship Id="rId73" Type="http://schemas.openxmlformats.org/officeDocument/2006/relationships/hyperlink" Target="https://express.nortel.com.br/eletroduto-rigido-metalico-aluminio-com-1-luva-2-87mm-3-4-npt-3000mm-schedule-40/p?srsltid=AfmBOoqGa72VM3rJMHhGviGeOAJAK_SpLwf2StPJk-EBicUq7PKnIR4g" TargetMode="External"/><Relationship Id="rId72" Type="http://schemas.openxmlformats.org/officeDocument/2006/relationships/hyperlink" Target="https://www.dimensional.com.br/eletroduto-aluminio-com-luva-287mm-34-rosca-npt-3m-eceda2-elecon/p?idsku=476690&amp;gad_source=4&amp;gclid=CjwKCAjw9p24BhB_EiwA8ID5BubC7iBGSK3KgDXME_KpZWFhpjwGE6FTShZdsLeznvseBjRpyrfZhRoC7Q8QAvD_BwE" TargetMode="External"/><Relationship Id="rId71" Type="http://schemas.openxmlformats.org/officeDocument/2006/relationships/hyperlink" Target="https://www.tekdistribuidor.com.br/eletroduto-em-aluminio-elecon-3/4o-com-rosca-bsp-schendule-40-sem-costura?parceiro=4158&amp;gad_source=4&amp;gclid=CjwKCAjw9p24BhB_EiwA8ID5Bgi-bcWkmVJMOm8P0X2MjiA3_F6d7x_HRnm1Cvtc4U5j_xWpC4K2qBoCjPAQAvD_BwE" TargetMode="External"/><Relationship Id="rId70" Type="http://schemas.openxmlformats.org/officeDocument/2006/relationships/hyperlink" Target="https://www.cftvclube.com.br/cameras/cameras-para-uso-externo/camera-com-imagem-de-8-megapixel-4k/camera-bullet-vip-3830-b" TargetMode="External"/><Relationship Id="rId7" Type="http://schemas.openxmlformats.org/officeDocument/2006/relationships/hyperlink" Target="https://lojaidealrv.com.br/curva-90o-rl-4-sch40-a-234-s-c" TargetMode="External"/><Relationship Id="rId69" Type="http://schemas.openxmlformats.org/officeDocument/2006/relationships/hyperlink" Target="https://www.magazineluiza.com.br/camera-vip-3830-ia-ir-30m-lente-3-6mm-resol-4k-8mp-case-metal-intelig-perimetral-det-mov-microfone-intelbras/p/ef41cgd734/cj/caip/?&amp;seller_id=visiotecnologia&amp;utm_source=google&amp;utm_medium=cpc&amp;utm_term=80674&amp;utm_campaign=goo" TargetMode="External"/><Relationship Id="rId68" Type="http://schemas.openxmlformats.org/officeDocument/2006/relationships/hyperlink" Target="https://www.upperseg.com.br/cftv/cameras-de-seguranca/cameras-ip/camera-ip-com-fio/camera-ip-intelbras-vip-3830-ia-inteligencia-artificial-8-megapixel-4k-c-microfone/?gad_source=1&amp;gad_campaignid=17071887064&amp;gbraid=0AAAAADtWOg_sSaX7VGa-ojv_jrV-C_Yc2&amp;gclid=" TargetMode="External"/><Relationship Id="rId67" Type="http://schemas.openxmlformats.org/officeDocument/2006/relationships/hyperlink" Target="https://www.unicaserv.com.br/cabos/cabos-optico/cabo-de-fibra-optica-12fo-cfot-multimodo-50-ut-cog-furukawa-300-metros?parceiro=3738&amp;gad_source=4&amp;gclid=CjwKCAjwyfe4BhAWEiwAkIL8sARUB8iOglVFPnT1C2NK0smHnNFjCSfeJeLeHEoxIT_8pETBf9CGsBoCOdEQAvD_BwE" TargetMode="External"/><Relationship Id="rId66" Type="http://schemas.openxmlformats.org/officeDocument/2006/relationships/hyperlink" Target="https://www.solucaocabos.com.br/cabo-optico-monomodo-12fo-eo-cog/p?idsku=17437&amp;skuId=17434&amp;srsltid=AfmBOopwiWWF6SX3Uf0WwwvNtvFLerDqHz2j8XtXkHMq_p2-NwTZdl1j9io" TargetMode="External"/><Relationship Id="rId65" Type="http://schemas.openxmlformats.org/officeDocument/2006/relationships/hyperlink" Target="https://www.dimensional.com.br/grampo-terra-duplo-cobre-25-a-70-mm2-acessorios-aco-zincado-gtdu38ips420-intelli/p?idsku=429642&amp;gad_source=4&amp;gclid=CjwKCAjwyfe4BhAWEiwAkIL8sEsn0zeTrjlDuaUsPo4xAhRULHXi6uk_kPmpwcT6AvXh_0StcnrDzBoCwMQQAvD_BwE" TargetMode="External"/><Relationship Id="rId64" Type="http://schemas.openxmlformats.org/officeDocument/2006/relationships/hyperlink" Target="https://www.multiseg.com.br/1303/grampo-duplo-para-haste-de-aterramento-gtdu?gad_source=4&amp;gclid=CjwKCAjwyfe4BhAWEiwAkIL8sNijtTBHiE8cfrAZvTDkGVMEVDaWnnW8aIDafeUQF2E_ABjZtGJWVBoCZIQQAvD_BwE" TargetMode="External"/><Relationship Id="rId63" Type="http://schemas.openxmlformats.org/officeDocument/2006/relationships/hyperlink" Target="https://www.cseshop.com.br/MLB-4186034184-grampo-terra-duplo-parafuso-tipo-u-38-16-70-58-34-intelli-_JM?gad_source=4&amp;gclid=CjwKCAjwyfe4BhAWEiwAkIL8sCtKa3sTIZTFheYTHLnrBIXUXY0d-XlweFfQhUu0hcILsi3iUa5fARoCIaMQAvD_BwE" TargetMode="External"/><Relationship Id="rId62" Type="http://schemas.openxmlformats.org/officeDocument/2006/relationships/hyperlink" Target="https://www.multcomercial.com.br/prensa-cabo-pg16-preto.html?gad_source=1&amp;gclid=CjwKCAjwyfe4BhAWEiwAkIL8sMdCPwFLQ3-otJVfteAlVt_G8ugn48vLcjBsbIouXIYYA2liGZoiPRoCmMkQAvD_BwE" TargetMode="External"/><Relationship Id="rId61" Type="http://schemas.openxmlformats.org/officeDocument/2006/relationships/hyperlink" Target="https://www.eletrorastro.com.br/produto/prensa-cabo-preta-pg16-metaltex-81475?utm_source=google&amp;utm_medium=cpc&amp;gad_source=1&amp;gclid=CjwKCAjwyfe4BhAWEiwAkIL8sIvfy80zVcA1bESqQBj9q5JSlzdJ0qAFvfhwe5jUsbZcj4e0KurtVBoCCEMQAvD_BwE" TargetMode="External"/><Relationship Id="rId60" Type="http://schemas.openxmlformats.org/officeDocument/2006/relationships/hyperlink" Target="https://www.ezcomp.com.br/MLB-2986496209-prensa-cabo-pg16-preto-p-cabos-85-14mm-10-unidades-_JM" TargetMode="External"/><Relationship Id="rId6" Type="http://schemas.openxmlformats.org/officeDocument/2006/relationships/hyperlink" Target="https://www.webcontinental.com.br/portao-de-aco-galvanizado-contrapeso-com-painel-chapa-frisada-220cmx240cmx8-7cm-cinza-000628298008/p" TargetMode="External"/><Relationship Id="rId59" Type="http://schemas.openxmlformats.org/officeDocument/2006/relationships/hyperlink" Target="https://www.mercadolivre.com.br/lmpada-de-led-ar111-12-gu10-12w-4000k-luz-neutra-avant-cor-da-luz-branco-neutro/p/MLB22756814?pdp_filters=item_id%3AMLB3347438903&amp;from=gshop&amp;matt_tool=69440161&amp;matt_internal_campaign_id=&amp;matt_word=&amp;matt_source=google&amp;matt_c" TargetMode="External"/><Relationship Id="rId58" Type="http://schemas.openxmlformats.org/officeDocument/2006/relationships/hyperlink" Target="https://www.eletrodecora.com.br/lampada-led-a111-12w-2700k?utm_source=google&amp;utm_medium=Shopping&amp;utm_campaign=lampada-led-a111-12w-2700k&amp;inStock&amp;gad_source=1&amp;gclid=Cj0KCQjw7Py4BhCbARIsAMMx-_IN2TB1bF_6JbSTmC5-9ZDuJUkws0-eYqrDBqOvMl3N4nzdfjWNUR4aAobOEALw_wc" TargetMode="External"/><Relationship Id="rId57" Type="http://schemas.openxmlformats.org/officeDocument/2006/relationships/hyperlink" Target="https://www.lojamaeto.com/lampada-ar111-led-12w?gad_source=1&amp;gclid=Cj0KCQjw7Py4BhCbARIsAMMx-_IDegC_PqzhbLz_qwA6WnVWqVnE9dBGhhD-eanqIw64wXuPqew8xNwaAuTxEALw_wcB" TargetMode="External"/><Relationship Id="rId56" Type="http://schemas.openxmlformats.org/officeDocument/2006/relationships/hyperlink" Target="https://www.inspirehome.com.br/lampada-led-ar111-gu10-4000k-12w-bivolt-avant-282130574/p?utm_source=google&amp;utm_medium=cpc&amp;utm_campaign=Pmax_Revenda_Importado&amp;gad_source=1&amp;gclid=Cj0KCQjw7Py4BhCbARIsAMMx-_KR6ve8RAh9EGbraQBO4zEzGQVNTwXyshXr0V1TTTW2NOXRpW0_7w" TargetMode="External"/><Relationship Id="rId55" Type="http://schemas.openxmlformats.org/officeDocument/2006/relationships/hyperlink" Target="https://www.upperseg.com.br/material-eletrico/sensor-de-iluminacao/sensor-de-presenca-para-iluminacao-esp-360-plus-intelbras/" TargetMode="External"/><Relationship Id="rId54" Type="http://schemas.openxmlformats.org/officeDocument/2006/relationships/hyperlink" Target="https://www.leroymerlin.com.br/interruptor-de-sensor-de-presenca-para-iluminacao-bivolt-branco-esp-360--intelbras_92245132" TargetMode="External"/><Relationship Id="rId53" Type="http://schemas.openxmlformats.org/officeDocument/2006/relationships/hyperlink" Target="https://loja.intelbras.com.br/interruptor-sensor-de-presenca-para-ilumunacao-intelbras-esp-360-a-/p" TargetMode="External"/><Relationship Id="rId52" Type="http://schemas.openxmlformats.org/officeDocument/2006/relationships/hyperlink" Target="https://www.dimensional.com.br/cabo-mt-8-7-15kv-105g-epr-120mm2-pt-eprotenaxcompact105-part-number-26564254-fab-prysmian-ref-fab-eprotenaxcompact105/p" TargetMode="External"/><Relationship Id="rId51" Type="http://schemas.openxmlformats.org/officeDocument/2006/relationships/hyperlink" Target="https://loja.intelbras.com.br/placa-de-sinalizacao-psa225/p?idsku=4632002&amp;utm_source=&amp;utm_medium=cpc&amp;utm_campaign=&amp;utm_term=&amp;gad_source=1&amp;gclid=Cj0KCQjwsPCyBhD4ARIsAPaaRf2CCD72-U4AgfTMhtjX7vfOE8mcbmAeoTd3Z_1YbR-C8cdZrbxmZpYaAiT7EALw_wcB" TargetMode="External"/><Relationship Id="rId50" Type="http://schemas.openxmlformats.org/officeDocument/2006/relationships/hyperlink" Target="https://express.nortel.com.br/legrand&#8722;ce1208025/p" TargetMode="External"/><Relationship Id="rId5" Type="http://schemas.openxmlformats.org/officeDocument/2006/relationships/hyperlink" Target="https://www.taqi.com.br/portao-contrapeso-mecal-esquerdo-p402-1/185635" TargetMode="External"/><Relationship Id="rId49" Type="http://schemas.openxmlformats.org/officeDocument/2006/relationships/hyperlink" Target="https://www.eletrotrafo.com.br/painel-comando-1000-x-600-x-250-ce-10060-25-c-flange-901129-cemar-05050115/p?idsku=6786&amp;gad_source=1&amp;gclid=Cj0KCQjw99e4BhDiARIsAISE7P-Y27i7jZO2ISm8RthfKLYfKROPp-OiauSb3tFg6jonspOVVTFXvGwaAhJyEALw_wcB" TargetMode="External"/><Relationship Id="rId48" Type="http://schemas.openxmlformats.org/officeDocument/2006/relationships/hyperlink" Target="https://www.lojamaisindustrial.com.br/bmexbp1200-rack-para-controlador-m580-12-slots/p/52648" TargetMode="External"/><Relationship Id="rId47" Type="http://schemas.openxmlformats.org/officeDocument/2006/relationships/hyperlink" Target="https://www.lojamaisindustrial.com.br/bmxnom0200h-modulo-x80-comunicacao-com-2-portas-rs/p/59410" TargetMode="External"/><Relationship Id="rId46" Type="http://schemas.openxmlformats.org/officeDocument/2006/relationships/hyperlink" Target="https://www.lojamaisindustrial.com.br/tm251mese-controller-m251-ethernet-proc-unit/p/52253" TargetMode="External"/><Relationship Id="rId45" Type="http://schemas.openxmlformats.org/officeDocument/2006/relationships/hyperlink" Target="https://www.lojamaisindustrial.com.br/tm3ai2h-modulo-de-expansao-tm3-2-entradas-analogicas-alta-resistencia/p/52086" TargetMode="External"/><Relationship Id="rId44" Type="http://schemas.openxmlformats.org/officeDocument/2006/relationships/hyperlink" Target="https://www.lojamaisindustrial.com.br/bmxdra1605-modulo-x80-16-saidas-digitais-a-rele-2a-conect-borne/p/44625" TargetMode="External"/><Relationship Id="rId43" Type="http://schemas.openxmlformats.org/officeDocument/2006/relationships/hyperlink" Target="https://www.lojamaisindustrial.com.br/tm3aq4-modulo-de-saidas-analogicas-4-saidas-12bits-24-vdc-tensao-e-corrente-terminal-parafuso/p/52112" TargetMode="External"/><Relationship Id="rId42" Type="http://schemas.openxmlformats.org/officeDocument/2006/relationships/hyperlink" Target="https://www.lojamaisindustrial.com.br/tm241ce24r-controlador-logico-programavel-m241-24io/p/43161?c=2&amp;t=1&amp;gad_source=4&amp;gclid=Cj0KCQjwzva1BhD3ARIsADQuPnX_xP6h5UByKserxd6RetaHpq8WjUz8kPWPfOJKPuJbVUBIKZHTtV4aAv-vEALw_wcB" TargetMode="External"/><Relationship Id="rId41" Type="http://schemas.openxmlformats.org/officeDocument/2006/relationships/hyperlink" Target="https://www.rsa-sensors.com.br/produtos/530-dwyer-chave-de-fluxo-para-ar/?pf=gs&amp;variant=371594612&amp;gad_source=1&amp;gclid=Cj0KCQjwq_G1BhCSARIsACc7NxpGciBCMYbrqxJs257Tf_a_F2HRlsbhsF0TuUhuvtM4Oiy5GrDm4iUaAi9-EALw_wcB" TargetMode="External"/><Relationship Id="rId40" Type="http://schemas.openxmlformats.org/officeDocument/2006/relationships/hyperlink" Target="https://www.addtherm.com.br/loja/produto/termostato-capilar-de-seguranca/" TargetMode="External"/><Relationship Id="rId4" Type="http://schemas.openxmlformats.org/officeDocument/2006/relationships/hyperlink" Target="https://www.madeiramadeira.com.br/portao-de-aco-contrapeso-com-painel-em-chapa-frisada-220x240x8-7-868297.html" TargetMode="External"/><Relationship Id="rId39" Type="http://schemas.openxmlformats.org/officeDocument/2006/relationships/hyperlink" Target="https://loja.lefoo.com.br/transmissores-de-pressao/diferencial-de-ar/transmissor-de-pressao-diferencial" TargetMode="External"/><Relationship Id="rId38" Type="http://schemas.openxmlformats.org/officeDocument/2006/relationships/hyperlink" Target="https://www.fertronshop.com.br/medidores/medidor-de-vazao-vortex-vfm-tamanho-6?parceiro=4194&amp;gad_source=4&amp;gclid=Cj0KCQiA57G5BhDUARIsACgCYnx0iTKLKIngWz6-T250tFyGYXQ9c7kp1O8axiZaWnbNCHHiRlkpYH8aAqwfEALw_wcB" TargetMode="External"/><Relationship Id="rId37" Type="http://schemas.openxmlformats.org/officeDocument/2006/relationships/hyperlink" Target="https://www.rsa-sensors.com.br/produtos/ev400su-317grx24-ev-belimo-energy-valve-de-4-de-180-a-317-gpm-24vac1/" TargetMode="External"/><Relationship Id="rId36" Type="http://schemas.openxmlformats.org/officeDocument/2006/relationships/hyperlink" Target="https://loja.conduscamp.com.br/produto/cabo-instrumentacaosinal-1x2x100-mm-blindagem-total-dreno-preto/5415739" TargetMode="External"/><Relationship Id="rId35" Type="http://schemas.openxmlformats.org/officeDocument/2006/relationships/hyperlink" Target="https://netcomputadores.com.br/gs/igs10020pt--planet--switch-industrial-8/91228?srsltid=AfmBOoo26qAw9t5KBoF2tK1dtO3f2zcLxbGB0sCk71jZijfPoYF2bPZLNRQ" TargetMode="External"/><Relationship Id="rId34" Type="http://schemas.openxmlformats.org/officeDocument/2006/relationships/hyperlink" Target="https://www.fourserv.com.br/produto/switch-industrial-delta-8-portas-10100-base-t-x-1x-gigabit-gerenciavel-mpn-dvs-109w02-1ge/979848?gad_source=1&amp;gclid=CjwKCAjw9eO3BhBNEiwAoc0-jUWfFGf-J-nowdJqVJKbC7Z2DrzNAPPLUnycC46XPJZ-TQbRW4DMcBoCOQMQAvD_BwE" TargetMode="External"/><Relationship Id="rId33" Type="http://schemas.openxmlformats.org/officeDocument/2006/relationships/hyperlink" Target="https://www.subgrave.com.br/MLB-3069920031-fio-cabo-pp-cobre-8-vias-8x150mm-5-metros-_JM" TargetMode="External"/><Relationship Id="rId32" Type="http://schemas.openxmlformats.org/officeDocument/2006/relationships/hyperlink" Target="https://loja.conduscamp.com.br/produto/cabo-comandocontrole-8x150-mm&#178;-sem-blindagem-preto/5415448?idSku=6092257" TargetMode="External"/><Relationship Id="rId31" Type="http://schemas.openxmlformats.org/officeDocument/2006/relationships/hyperlink" Target="https://loja.ccabos.com.br/produtos/cabo-comando-e-controle-8x150mm-sem-blindagem-preto/?variant=870686700&amp;pf=mc&amp;gad_source=4&amp;gclid=CjwKCAjwg-24BhB_EiwA1ZOx8raMWoEahE26gHXDxpNum4CTYv2DlgmYer-ilLGfV_so9VKZrXI6HxoC0UsQAvD_BwE" TargetMode="External"/><Relationship Id="rId30" Type="http://schemas.openxmlformats.org/officeDocument/2006/relationships/hyperlink" Target="https://www.edcabos.com/cabos/cabo-comando/cabo-controle-8x1-00mm-vias-pretas-numeradas--p?srsltid=AfmBOoq-_DnXDL9KJtUzHErCClSgcNUQyTUwn6MqfIfeYYvKW7_UZOrs" TargetMode="External"/><Relationship Id="rId3" Type="http://schemas.openxmlformats.org/officeDocument/2006/relationships/vmlDrawing" Target="../drawings/vmlDrawing2.vml"/><Relationship Id="rId29" Type="http://schemas.openxmlformats.org/officeDocument/2006/relationships/hyperlink" Target="https://loja.conduscamp.com.br/produto/cabo-comandocontrole-8x100-mm&#178;-blindado-fita-aluminizada-preto/5415792?idSku=5422494" TargetMode="External"/><Relationship Id="rId28" Type="http://schemas.openxmlformats.org/officeDocument/2006/relationships/hyperlink" Target="https://www.teky.com.br/650a5bad59524cbc725fda04/cabo-cobre-isolado-pvc-70g-500v-8x-100-mm2-controle-blindado-preto-nbr-7289-classe-5-vias-numeradas-com-fita-aluminio+dreno?srsltid=AfmBOopN5wkcwRtWCNWtQB5qi5lUTokxTFHTUS63ffdL52DKmlmx7Wdi1bc" TargetMode="External"/><Relationship Id="rId27" Type="http://schemas.openxmlformats.org/officeDocument/2006/relationships/hyperlink" Target="https://www.andra.com.br/porta-equipamento-abs-dt-64444-10-para-3-modulos-branco-112777-dutotec/p" TargetMode="External"/><Relationship Id="rId26" Type="http://schemas.openxmlformats.org/officeDocument/2006/relationships/hyperlink" Target="https://www.lojaeletrica.com.br/porta-equipamento-3-blocos-branco-dt-64444-10-dutotec.html" TargetMode="External"/><Relationship Id="rId25" Type="http://schemas.openxmlformats.org/officeDocument/2006/relationships/hyperlink" Target="https://www.dimensional.com.br/acessorio-porta-equipamento-3-blocos-branco-canaleta-dt6444410-dutotec/p" TargetMode="External"/><Relationship Id="rId24" Type="http://schemas.openxmlformats.org/officeDocument/2006/relationships/hyperlink" Target="https://www.mercadolivre.com.br/sealtubo-eletroduto-flexivel-revestido-preto-4-por-metro-/up/MLBU3131343726?pdp_filters=item_id:MLB4034813393" TargetMode="External"/><Relationship Id="rId23" Type="http://schemas.openxmlformats.org/officeDocument/2006/relationships/hyperlink" Target="https://www.mercadolivre.com.br/conduite-flexivel-seal-tubo-de-4--preco-por-metro/up/MLBU3062031773?pdp_filters=item_id:MLB5315509368" TargetMode="External"/><Relationship Id="rId22" Type="http://schemas.openxmlformats.org/officeDocument/2006/relationships/hyperlink" Target="https://www.marmota.com.br/sealtubo-eletroduto-flexivel-revestido-preto-4-ekoflex-p51469?srsltid=AfmBOoqyGtFgy_lVw_8-BbYvHFUOa_AooInM3H2dNCHo7LF3Del7cswz" TargetMode="External"/><Relationship Id="rId21" Type="http://schemas.openxmlformats.org/officeDocument/2006/relationships/hyperlink" Target="https://scharftecnologia.com.br/produto/juncao-simples-p-leito-c-aba-100-mm/" TargetMode="External"/><Relationship Id="rId20" Type="http://schemas.openxmlformats.org/officeDocument/2006/relationships/hyperlink" Target="https://www.plenobras.com.br/6503c7a1df6973c3d9cb3007/juncao-simples-galvanizado-a-fogo-pleito-100mm?srsltid=AfmBOoptYR5RmYkSPWo2fQlyilrLnAKdQh4YEpsZmIqSFGNcm6dEEqGw" TargetMode="External"/><Relationship Id="rId2" Type="http://schemas.openxmlformats.org/officeDocument/2006/relationships/drawing" Target="../drawings/drawing5.xml"/><Relationship Id="rId19" Type="http://schemas.openxmlformats.org/officeDocument/2006/relationships/hyperlink" Target="https://www.plastolandia.com.br/valvula-esfera-polipropileno-flange-viton-4" TargetMode="External"/><Relationship Id="rId18" Type="http://schemas.openxmlformats.org/officeDocument/2006/relationships/hyperlink" Target="https://www.plastolandia.com.br/curva-90-polipropileno-solda-preto-110-mm" TargetMode="External"/><Relationship Id="rId17" Type="http://schemas.openxmlformats.org/officeDocument/2006/relationships/hyperlink" Target="https://www.mercadolivre.com.br/volante-p-registro-gaveta-bruto-deca-1501-1502-212-polega-cor-amarelo/p/MLB32607593?pdp_filters=item_id%3AMLB3856012103&amp;from=gshop&amp;matt_tool=29457868&amp;matt_internal_campaign_id=&amp;matt_word=&amp;matt_source=google&amp;matt_campaign_id" TargetMode="External"/><Relationship Id="rId16" Type="http://schemas.openxmlformats.org/officeDocument/2006/relationships/hyperlink" Target="https://www.casahydro.com.br/deca/banheiro/acabamentos-e-registro-deca/volante-de-registro-gaveta-bruto-deca-1502b-2-12-4464124?parceiro=1&amp;gad_source=1&amp;gad_campaignid=19143189075&amp;gbraid=0AAAAACwtwpd-rZOCyTxPm2fj_j5cRcLOq&amp;gclid=Cj0KCQjw267GBhCSARIsAOjVJ4FU" TargetMode="External"/><Relationship Id="rId15" Type="http://schemas.openxmlformats.org/officeDocument/2006/relationships/hyperlink" Target="https://www.hidroshop.com.br/metais-sanitarios/bases-e-registros/registro-de-gaveta/volante-de-registro-gaveta-bruto-deca-1502b-2-12" TargetMode="External"/><Relationship Id="rId14" Type="http://schemas.openxmlformats.org/officeDocument/2006/relationships/hyperlink" Target="https://www.hidroshop.com.br/metais-sanitarios/bases-e-registros/registro-de-gaveta/volante-de-registro-gaveta-bruto-deca-1502b-2?parceiro=5882&amp;gad_source=1&amp;gad_campaignid=22350096876&amp;gbraid=0AAAAA9XnEVBl3CK2s4MniQ1f6trwv9nZd&amp;gclid=Cj0KCQjw267GBhCSARIsAOj" TargetMode="External"/><Relationship Id="rId13" Type="http://schemas.openxmlformats.org/officeDocument/2006/relationships/hyperlink" Target="https://www.leroymerlin.com.br/volante-de-registro-gaveta-bruto-deca-1502b-2--4464104_1571439110?region=outros&amp;gad_source=1&amp;gclid=Cj0KCQjwyL24BhCtARIsALo0fSA07lAUcH2SnUA827pfc1ykmWJ3HjripH9z6XBXTepzdo5m15Pzg-kaArYjEALw_wcB" TargetMode="External"/><Relationship Id="rId123" Type="http://schemas.openxmlformats.org/officeDocument/2006/relationships/hyperlink" Target="https://www.margaridashopp.com/letras-em-pvc-2023-11-20-14-02-39" TargetMode="External"/><Relationship Id="rId122" Type="http://schemas.openxmlformats.org/officeDocument/2006/relationships/hyperlink" Target="https://www.artemaiz.com/letras-pvc-expandido-letra-caixa-pvc-expandido-comunicacao-visual-letreiros--" TargetMode="External"/><Relationship Id="rId121" Type="http://schemas.openxmlformats.org/officeDocument/2006/relationships/hyperlink" Target="https://www.revendareisgrafica.com.br/produto/letra-de-pvc-expandido-20cm-20cm-de-altura-pvc-expandido-sem-acabamento-branco" TargetMode="External"/><Relationship Id="rId120" Type="http://schemas.openxmlformats.org/officeDocument/2006/relationships/hyperlink" Target="https://vinilecia.commercesuite.com.br/chapas/chapa-de-pvc-expandido-2mm" TargetMode="External"/><Relationship Id="rId12" Type="http://schemas.openxmlformats.org/officeDocument/2006/relationships/hyperlink" Target="https://www.casahydro.com.br/deca/banheiro/acabamentos-e-registro-deca/volante-de-registro-gaveta-bruto-deca-1502b-2-4464104?parceiro=1&amp;gad_source=1&amp;gclid=Cj0KCQjwyL24BhCtARIsALo0fSAJ_2qG-IYuIigBSo2KqXSXloPO-2c6ktpIRjGNoOaqlEFJS_7qvNkaAjPNEALw_wcB" TargetMode="External"/><Relationship Id="rId119" Type="http://schemas.openxmlformats.org/officeDocument/2006/relationships/hyperlink" Target="https://www.lojadopoli.com/pvc-expandido/chapa-de-pvc-expandido-branco-espessura-2mm-1220-x-2440mm-placa-de-pvc-expandido" TargetMode="External"/><Relationship Id="rId118" Type="http://schemas.openxmlformats.org/officeDocument/2006/relationships/hyperlink" Target="https://www.dwga.com.br/comunicacao-visual/pvc/expandido/chapa-pvc-expandido-branco-2mmx1220x2440mm" TargetMode="External"/><Relationship Id="rId117" Type="http://schemas.openxmlformats.org/officeDocument/2006/relationships/hyperlink" Target="https://www.plastolandia.com.br/chapa-pvc-rigida-branca-2000-x-1000-x-4-mm" TargetMode="External"/><Relationship Id="rId116" Type="http://schemas.openxmlformats.org/officeDocument/2006/relationships/hyperlink" Target="https://www.bold.net/chapa-de-pvc-branco-expandido-bold-d0%2C55-1220x2440x4mm/T97000BR015122244040.html?lang=pt_BR&amp;srsltid=AfmBOopOygNHOzZRvrJNkOp4-7mxR8sUtxqeBTNF-vEWusTAKXUtVrmO" TargetMode="External"/><Relationship Id="rId115" Type="http://schemas.openxmlformats.org/officeDocument/2006/relationships/hyperlink" Target="https://www.escorregaopreco.com.br/ofertas/mercadolivre/1036416" TargetMode="External"/><Relationship Id="rId114" Type="http://schemas.openxmlformats.org/officeDocument/2006/relationships/hyperlink" Target="https://www.graficaidealprint.com.br/produto/adesivo-vinil-branco-vinil-branco-brilho-refilado-reto-4x0-grandes-formatos" TargetMode="External"/><Relationship Id="rId113" Type="http://schemas.openxmlformats.org/officeDocument/2006/relationships/hyperlink" Target="https://www.loja.exiprint.com.br/adesivo-vinil-transparente-por-m-uv-4-0-corte-reto" TargetMode="External"/><Relationship Id="rId112" Type="http://schemas.openxmlformats.org/officeDocument/2006/relationships/hyperlink" Target="https://www.segundaviagrafica.com.br/produtos/adesivos-em-vinil-por-metro-quadrado/" TargetMode="External"/><Relationship Id="rId111" Type="http://schemas.openxmlformats.org/officeDocument/2006/relationships/hyperlink" Target="https://www.espacosmart.com.br/optima-piso-60-15-x-1200-x-1200mm/p" TargetMode="External"/><Relationship Id="rId110" Type="http://schemas.openxmlformats.org/officeDocument/2006/relationships/hyperlink" Target="https://www.portaldaacustica.com/produto/placa-la-de-vidro-optima-piso-1200-x-1200-x-15-mm-60kg-m-16-unidades-70244" TargetMode="External"/><Relationship Id="rId11" Type="http://schemas.openxmlformats.org/officeDocument/2006/relationships/hyperlink" Target="https://www.hidroshop.com.br/valvulas-em-geral/pecas-e-reparos/volante-de-registro-gaveta-bruto-deca-1502b-1-12" TargetMode="External"/><Relationship Id="rId109" Type="http://schemas.openxmlformats.org/officeDocument/2006/relationships/hyperlink" Target="https://www.magazineluiza.com.br/placa-la-de-vidro-forrovid-boreal-1250-x-625-x-15-mm-1-unidade-078m2-isover/p/kcdc0c1h7h/cj/lavd/" TargetMode="External"/><Relationship Id="rId108" Type="http://schemas.openxmlformats.org/officeDocument/2006/relationships/hyperlink" Target="https://www.riberfluid.com.br/conexoes/luva-galvanizada-14?srsltid=AfmBOopcqr9_wKt_n6WCyfg5ojI29fXm1xQ3zsGK6cUh9FusiWFhDBwt" TargetMode="External"/><Relationship Id="rId107" Type="http://schemas.openxmlformats.org/officeDocument/2006/relationships/hyperlink" Target="https://www.lojaqualitytubos.com.br/luva-galvanizada-f-f-1-4-p1000727" TargetMode="External"/><Relationship Id="rId106" Type="http://schemas.openxmlformats.org/officeDocument/2006/relationships/hyperlink" Target="https://www.getelequipamentos.com.br/niple-reto-macho-latao-1-4" TargetMode="External"/><Relationship Id="rId105" Type="http://schemas.openxmlformats.org/officeDocument/2006/relationships/hyperlink" Target="https://www.proposto.com.br/51649-niple-duplo-galvanizado-14-bsp-p30895" TargetMode="External"/><Relationship Id="rId104" Type="http://schemas.openxmlformats.org/officeDocument/2006/relationships/hyperlink" Target="https://www.lojaqualitytubos.com.br/niple-duplo-galvanizado-de-1-4-p996266?utm_source=google&amp;utm_medium=upc&amp;utm_campaign=qualitytubos&amp;gad_source=1&amp;gclid=CjwKCAjw9p24BhB_EiwA8ID5BnfluTlqsC1D7PViOy24eocks6HLzpVhOKLuh9149x3rwzsAsOyWDBoCj2kQAvD_BwE" TargetMode="External"/><Relationship Id="rId103" Type="http://schemas.openxmlformats.org/officeDocument/2006/relationships/hyperlink" Target="https://www.conexopecas.com.br/produtos/ver/1103/bucha-de-reducao-2-x-3-4-bsp-galvanizada" TargetMode="External"/><Relationship Id="rId102" Type="http://schemas.openxmlformats.org/officeDocument/2006/relationships/hyperlink" Target="https://www.multiseg.com.br/661/bucha-de-reduo-galvanizada-2-x-3-4?gad_source=1&amp;gclid=CjwKCAjw9p24BhB_EiwA8ID5BqORD_zWhp6n8pnnh3hFtpvhlLNko_47MjRgCZVLHsd4NAa8hiE0NhoC-lkQAvD_BwE" TargetMode="External"/><Relationship Id="rId101" Type="http://schemas.openxmlformats.org/officeDocument/2006/relationships/hyperlink" Target="https://www.riberfluid.com.br/conexoes/bucha-de-reducao-galvanizado-2-x-34?parceiro=3293&amp;gad_source=1&amp;gclid=CjwKCAjw9p24BhB_EiwA8ID5BoS5j1IFdzwDkoshLBJX9oiNOnXzQ0GLWrvH4ubhxQQgJcy3HKgukBoC4aoQAvD_BwE" TargetMode="External"/><Relationship Id="rId100" Type="http://schemas.openxmlformats.org/officeDocument/2006/relationships/hyperlink" Target="https://palaciodasferramentas.com.br/bomba-de-incendio-20-cv-trifasica-220/380v-ssci5-db11-16002868-somar?srsltid=AfmBOoqnHK_2hL-t-wfmRtk4SIIPugra48O6znVQBOcO8F5BX_SmONzCj-k" TargetMode="External"/><Relationship Id="rId10" Type="http://schemas.openxmlformats.org/officeDocument/2006/relationships/hyperlink" Target="https://www.casahydro.com.br/deca/pecas-e-reparos-deca/pecas-e-reparos-registro-deca/volante-de-registro-gaveta-bruto-deca-1502b-1-12-4464084" TargetMode="External"/><Relationship Id="rId1" Type="http://schemas.openxmlformats.org/officeDocument/2006/relationships/comments" Target="../comments2.xml"/></Relationships>
</file>

<file path=xl/worksheets/_rels/sheet6.xml.rels><?xml version="1.0" encoding="UTF-8" standalone="yes"?>
<Relationships xmlns="http://schemas.openxmlformats.org/package/2006/relationships"><Relationship Id="rId3" Type="http://schemas.openxmlformats.org/officeDocument/2006/relationships/vmlDrawing" Target="../drawings/vmlDrawing3.vml"/><Relationship Id="rId2" Type="http://schemas.openxmlformats.org/officeDocument/2006/relationships/drawing" Target="../drawings/drawing6.xml"/><Relationship Id="rId1" Type="http://schemas.openxmlformats.org/officeDocument/2006/relationships/comments" Target="../comments3.xml"/></Relationships>
</file>

<file path=xl/worksheets/_rels/sheet7.xml.rels><?xml version="1.0" encoding="UTF-8" standalone="yes"?>
<Relationships xmlns="http://schemas.openxmlformats.org/package/2006/relationships"><Relationship Id="rId3" Type="http://schemas.openxmlformats.org/officeDocument/2006/relationships/vmlDrawing" Target="../drawings/vmlDrawing4.vml"/><Relationship Id="rId2" Type="http://schemas.openxmlformats.org/officeDocument/2006/relationships/drawing" Target="../drawings/drawing7.xml"/><Relationship Id="rId1" Type="http://schemas.openxmlformats.org/officeDocument/2006/relationships/comments" Target="../comments4.xml"/></Relationships>
</file>

<file path=xl/worksheets/_rels/sheet8.xml.rels><?xml version="1.0" encoding="UTF-8" standalone="yes"?>
<Relationships xmlns="http://schemas.openxmlformats.org/package/2006/relationships"><Relationship Id="rId1" Type="http://schemas.openxmlformats.org/officeDocument/2006/relationships/drawing" Target="../drawings/drawing8.xml"/></Relationships>
</file>

<file path=xl/worksheets/_rels/sheet9.xml.rels><?xml version="1.0" encoding="UTF-8" standalone="yes"?>
<Relationships xmlns="http://schemas.openxmlformats.org/package/2006/relationships"><Relationship Id="rId1" Type="http://schemas.openxmlformats.org/officeDocument/2006/relationships/drawing" Target="../drawings/drawing9.xml"/></Relationships>
</file>

<file path=xl/worksheets/_rels/sheet10.xml.rels><?xml version="1.0" encoding="UTF-8" standalone="yes"?>
<Relationships xmlns="http://schemas.openxmlformats.org/package/2006/relationships"><Relationship Id="rId1" Type="http://schemas.openxmlformats.org/officeDocument/2006/relationships/drawing" Target="../drawings/drawing10.xml"/></Relationships>
</file>

<file path=xl/worksheets/_rels/sheet11.xml.rels><?xml version="1.0" encoding="UTF-8" standalone="yes"?>
<Relationships xmlns="http://schemas.openxmlformats.org/package/2006/relationships"><Relationship Id="rId1" Type="http://schemas.openxmlformats.org/officeDocument/2006/relationships/drawing" Target="../drawings/drawing1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0000"/>
  </sheetPr>
  <dimension ref="A1:L1000"/>
  <sheetViews>
    <sheetView zoomScale="50" zoomScaleNormal="50" topLeftCell="A7" workbookViewId="0">
      <selection activeCell="H16" sqref="H16"/>
    </sheetView>
  </sheetViews>
  <sheetFormatPr defaultColWidth="12.625" defaultRowHeight="14.25"/>
  <cols>
    <col min="1" max="7" width="8.61666666666667" style="1" customWidth="1"/>
    <col min="8" max="8" width="9" style="1" customWidth="1"/>
    <col min="9" max="9" width="17.8833333333333" style="1" customWidth="1"/>
    <col min="11" max="11" width="16.6166666666667" style="1" customWidth="1"/>
    <col min="12" max="12" width="5" style="1" customWidth="1"/>
    <col min="13" max="26" width="8.61666666666667" style="1" customWidth="1"/>
  </cols>
  <sheetData>
    <row r="1" customHeight="1" spans="1:10">
      <c r="A1" s="620"/>
      <c r="B1" s="620"/>
      <c r="C1" s="620"/>
      <c r="D1" s="620"/>
      <c r="E1" s="620"/>
      <c r="F1" s="620"/>
      <c r="G1" s="620"/>
      <c r="H1" s="620"/>
      <c r="I1" s="620"/>
      <c r="J1" s="35"/>
    </row>
    <row r="2" customHeight="1" spans="1:10">
      <c r="A2" s="620"/>
      <c r="B2" s="620"/>
      <c r="C2" s="620"/>
      <c r="D2" s="620"/>
      <c r="E2" s="620"/>
      <c r="F2" s="620"/>
      <c r="G2" s="620"/>
      <c r="H2" s="620"/>
      <c r="I2" s="620"/>
      <c r="J2" s="35"/>
    </row>
    <row r="3" customHeight="1" spans="1:10">
      <c r="A3" s="620"/>
      <c r="B3" s="620"/>
      <c r="C3" s="620"/>
      <c r="D3" s="620"/>
      <c r="E3" s="620"/>
      <c r="F3" s="620"/>
      <c r="G3" s="620"/>
      <c r="H3" s="620"/>
      <c r="I3" s="620"/>
      <c r="J3" s="35"/>
    </row>
    <row r="4" customHeight="1" spans="1:10">
      <c r="A4" s="620"/>
      <c r="B4" s="620"/>
      <c r="C4" s="620"/>
      <c r="D4" s="620"/>
      <c r="E4" s="620"/>
      <c r="F4" s="620"/>
      <c r="G4" s="620"/>
      <c r="H4" s="620"/>
      <c r="I4" s="620"/>
      <c r="J4" s="35"/>
    </row>
    <row r="5" customHeight="1" spans="1:10">
      <c r="A5" s="620"/>
      <c r="B5" s="620"/>
      <c r="C5" s="620"/>
      <c r="D5" s="620"/>
      <c r="E5" s="620"/>
      <c r="F5" s="620"/>
      <c r="G5" s="620"/>
      <c r="H5" s="620"/>
      <c r="I5" s="620"/>
      <c r="J5" s="35"/>
    </row>
    <row r="6" customHeight="1" spans="1:10">
      <c r="A6" s="620"/>
      <c r="B6" s="620"/>
      <c r="C6" s="620"/>
      <c r="D6" s="620"/>
      <c r="E6" s="620"/>
      <c r="F6" s="620"/>
      <c r="G6" s="620"/>
      <c r="H6" s="620"/>
      <c r="I6" s="620"/>
      <c r="J6" s="35"/>
    </row>
    <row r="7" ht="15" spans="1:10">
      <c r="A7" s="620"/>
      <c r="B7" s="620"/>
      <c r="C7" s="620"/>
      <c r="D7" s="620"/>
      <c r="E7" s="620"/>
      <c r="F7" s="620"/>
      <c r="G7" s="620"/>
      <c r="H7" s="620"/>
      <c r="I7" s="620"/>
      <c r="J7" s="35"/>
    </row>
    <row r="8" ht="15" spans="1:10">
      <c r="A8" s="620"/>
      <c r="B8" s="620"/>
      <c r="C8" s="620"/>
      <c r="D8" s="620"/>
      <c r="E8" s="620"/>
      <c r="F8" s="620"/>
      <c r="G8" s="620"/>
      <c r="H8" s="620"/>
      <c r="I8" s="620"/>
      <c r="J8" s="35"/>
    </row>
    <row r="9" ht="15" spans="1:10">
      <c r="A9" s="620"/>
      <c r="B9" s="620"/>
      <c r="C9" s="620"/>
      <c r="D9" s="620"/>
      <c r="E9" s="620"/>
      <c r="F9" s="620"/>
      <c r="G9" s="620"/>
      <c r="H9" s="620"/>
      <c r="I9" s="620"/>
      <c r="J9" s="35"/>
    </row>
    <row r="10" ht="15" spans="1:10">
      <c r="A10" s="620"/>
      <c r="B10" s="620"/>
      <c r="C10" s="620"/>
      <c r="D10" s="620"/>
      <c r="E10" s="620"/>
      <c r="F10" s="620"/>
      <c r="G10" s="620"/>
      <c r="H10" s="620"/>
      <c r="I10" s="620"/>
      <c r="J10" s="35"/>
    </row>
    <row r="11" ht="15" spans="1:10">
      <c r="A11" s="620"/>
      <c r="B11" s="620"/>
      <c r="C11" s="620"/>
      <c r="D11" s="620"/>
      <c r="E11" s="620"/>
      <c r="F11" s="620"/>
      <c r="G11" s="620"/>
      <c r="H11" s="620"/>
      <c r="I11" s="620"/>
      <c r="J11" s="35"/>
    </row>
    <row r="12" ht="15" spans="1:10">
      <c r="A12" s="621" t="s">
        <v>0</v>
      </c>
      <c r="B12" s="621"/>
      <c r="C12" s="621"/>
      <c r="D12" s="621"/>
      <c r="E12" s="621"/>
      <c r="F12" s="621"/>
      <c r="G12" s="621"/>
      <c r="H12" s="621"/>
      <c r="I12" s="621"/>
      <c r="J12" s="35"/>
    </row>
    <row r="13" spans="1:10">
      <c r="A13" s="622" t="s">
        <v>1</v>
      </c>
      <c r="B13" s="622"/>
      <c r="C13" s="622"/>
      <c r="D13" s="622"/>
      <c r="E13" s="64" t="s">
        <v>2</v>
      </c>
      <c r="F13" s="64"/>
      <c r="G13" s="64"/>
      <c r="H13" s="135" t="s">
        <v>3</v>
      </c>
      <c r="I13" s="135"/>
      <c r="J13" s="35"/>
    </row>
    <row r="14" ht="15" spans="1:10">
      <c r="A14" s="623" t="s">
        <v>4</v>
      </c>
      <c r="B14" s="623"/>
      <c r="C14" s="623"/>
      <c r="D14" s="623"/>
      <c r="E14" s="67" t="s">
        <v>5</v>
      </c>
      <c r="F14" s="67"/>
      <c r="G14" s="67"/>
      <c r="H14" s="136" t="s">
        <v>6</v>
      </c>
      <c r="I14" s="136"/>
      <c r="J14" s="35"/>
    </row>
    <row r="15" ht="15" spans="1:10">
      <c r="A15" s="623" t="s">
        <v>7</v>
      </c>
      <c r="B15" s="623"/>
      <c r="C15" s="623"/>
      <c r="D15" s="623"/>
      <c r="E15" s="624" t="s">
        <v>8</v>
      </c>
      <c r="F15" s="625" t="s">
        <v>9</v>
      </c>
      <c r="G15" s="625" t="s">
        <v>10</v>
      </c>
      <c r="H15" s="625" t="s">
        <v>11</v>
      </c>
      <c r="I15" s="636" t="s">
        <v>12</v>
      </c>
      <c r="J15" s="35"/>
    </row>
    <row r="16" ht="51.75" customHeight="1" spans="1:10">
      <c r="A16" s="626" t="s">
        <v>13</v>
      </c>
      <c r="B16" s="626"/>
      <c r="C16" s="626"/>
      <c r="D16" s="626"/>
      <c r="E16" s="138">
        <f>BDI!$D$66</f>
        <v>0.2549</v>
      </c>
      <c r="F16" s="117">
        <f>BDI_DIF.!D67</f>
        <v>0.1612</v>
      </c>
      <c r="G16" s="139"/>
      <c r="H16" s="73">
        <v>45931</v>
      </c>
      <c r="I16" s="252" t="s">
        <v>14</v>
      </c>
      <c r="J16" s="35"/>
    </row>
    <row r="17" ht="15" spans="1:11">
      <c r="A17" s="627" t="s">
        <v>15</v>
      </c>
      <c r="B17" s="628" t="s">
        <v>16</v>
      </c>
      <c r="C17" s="628"/>
      <c r="D17" s="628"/>
      <c r="E17" s="628"/>
      <c r="F17" s="628"/>
      <c r="G17" s="628"/>
      <c r="H17" s="628"/>
      <c r="I17" s="628" t="s">
        <v>17</v>
      </c>
      <c r="J17" s="35"/>
      <c r="K17" s="637"/>
    </row>
    <row r="18" spans="1:12">
      <c r="A18" s="629" t="s">
        <v>18</v>
      </c>
      <c r="B18" s="630" t="s">
        <v>19</v>
      </c>
      <c r="C18" s="630"/>
      <c r="D18" s="630"/>
      <c r="E18" s="630"/>
      <c r="F18" s="630"/>
      <c r="G18" s="630"/>
      <c r="H18" s="630"/>
      <c r="I18" s="638">
        <v>128905.04</v>
      </c>
      <c r="J18" s="35"/>
      <c r="K18" s="639"/>
      <c r="L18" s="640"/>
    </row>
    <row r="19" spans="1:12">
      <c r="A19" s="629" t="s">
        <v>20</v>
      </c>
      <c r="B19" s="631" t="s">
        <v>21</v>
      </c>
      <c r="C19" s="631"/>
      <c r="D19" s="631"/>
      <c r="E19" s="631"/>
      <c r="F19" s="631"/>
      <c r="G19" s="631"/>
      <c r="H19" s="631"/>
      <c r="I19" s="641">
        <v>1806412.06</v>
      </c>
      <c r="J19" s="35"/>
      <c r="K19" s="639"/>
      <c r="L19" s="640"/>
    </row>
    <row r="20" spans="1:12">
      <c r="A20" s="632" t="s">
        <v>22</v>
      </c>
      <c r="B20" s="631" t="s">
        <v>23</v>
      </c>
      <c r="C20" s="631"/>
      <c r="D20" s="631"/>
      <c r="E20" s="631"/>
      <c r="F20" s="631"/>
      <c r="G20" s="631"/>
      <c r="H20" s="631"/>
      <c r="I20" s="641">
        <v>424790.73</v>
      </c>
      <c r="J20" s="35"/>
      <c r="K20" s="639"/>
      <c r="L20" s="640"/>
    </row>
    <row r="21" spans="1:12">
      <c r="A21" s="632" t="s">
        <v>24</v>
      </c>
      <c r="B21" s="631" t="s">
        <v>25</v>
      </c>
      <c r="C21" s="631"/>
      <c r="D21" s="631"/>
      <c r="E21" s="631"/>
      <c r="F21" s="631"/>
      <c r="G21" s="631"/>
      <c r="H21" s="631"/>
      <c r="I21" s="641">
        <v>31617.87</v>
      </c>
      <c r="J21" s="35"/>
      <c r="K21" s="639"/>
      <c r="L21" s="640"/>
    </row>
    <row r="22" spans="1:12">
      <c r="A22" s="632" t="s">
        <v>26</v>
      </c>
      <c r="B22" s="631" t="s">
        <v>27</v>
      </c>
      <c r="C22" s="631"/>
      <c r="D22" s="631"/>
      <c r="E22" s="631"/>
      <c r="F22" s="631"/>
      <c r="G22" s="631"/>
      <c r="H22" s="631"/>
      <c r="I22" s="641">
        <v>395645.02</v>
      </c>
      <c r="J22" s="35"/>
      <c r="K22" s="639"/>
      <c r="L22" s="640"/>
    </row>
    <row r="23" spans="1:12">
      <c r="A23" s="632" t="s">
        <v>28</v>
      </c>
      <c r="B23" s="631" t="s">
        <v>29</v>
      </c>
      <c r="C23" s="631"/>
      <c r="D23" s="631"/>
      <c r="E23" s="631"/>
      <c r="F23" s="631"/>
      <c r="G23" s="631"/>
      <c r="H23" s="631"/>
      <c r="I23" s="641">
        <v>538800.04</v>
      </c>
      <c r="J23" s="35"/>
      <c r="K23" s="639"/>
      <c r="L23" s="640"/>
    </row>
    <row r="24" spans="1:12">
      <c r="A24" s="632" t="s">
        <v>30</v>
      </c>
      <c r="B24" s="631" t="s">
        <v>31</v>
      </c>
      <c r="C24" s="631"/>
      <c r="D24" s="631"/>
      <c r="E24" s="631"/>
      <c r="F24" s="631"/>
      <c r="G24" s="631"/>
      <c r="H24" s="631"/>
      <c r="I24" s="641">
        <v>89452.13</v>
      </c>
      <c r="J24" s="35"/>
      <c r="K24" s="639"/>
      <c r="L24" s="640"/>
    </row>
    <row r="25" spans="1:12">
      <c r="A25" s="632" t="s">
        <v>32</v>
      </c>
      <c r="B25" s="631" t="s">
        <v>33</v>
      </c>
      <c r="C25" s="631"/>
      <c r="D25" s="631"/>
      <c r="E25" s="631"/>
      <c r="F25" s="631"/>
      <c r="G25" s="631"/>
      <c r="H25" s="631"/>
      <c r="I25" s="641">
        <v>79099.69</v>
      </c>
      <c r="J25" s="35"/>
      <c r="K25" s="639"/>
      <c r="L25" s="640"/>
    </row>
    <row r="26" spans="1:12">
      <c r="A26" s="632" t="s">
        <v>34</v>
      </c>
      <c r="B26" s="631" t="s">
        <v>35</v>
      </c>
      <c r="C26" s="631"/>
      <c r="D26" s="631"/>
      <c r="E26" s="631"/>
      <c r="F26" s="631"/>
      <c r="G26" s="631"/>
      <c r="H26" s="631"/>
      <c r="I26" s="641">
        <v>206292.48</v>
      </c>
      <c r="J26" s="35"/>
      <c r="K26" s="639"/>
      <c r="L26" s="640"/>
    </row>
    <row r="27" spans="1:12">
      <c r="A27" s="632" t="s">
        <v>36</v>
      </c>
      <c r="B27" s="631" t="s">
        <v>37</v>
      </c>
      <c r="C27" s="631"/>
      <c r="D27" s="631"/>
      <c r="E27" s="631"/>
      <c r="F27" s="631"/>
      <c r="G27" s="631"/>
      <c r="H27" s="631"/>
      <c r="I27" s="641">
        <v>1919498.97</v>
      </c>
      <c r="J27" s="35"/>
      <c r="K27" s="639"/>
      <c r="L27" s="640"/>
    </row>
    <row r="28" spans="1:12">
      <c r="A28" s="632" t="s">
        <v>38</v>
      </c>
      <c r="B28" s="631" t="s">
        <v>39</v>
      </c>
      <c r="C28" s="631"/>
      <c r="D28" s="631"/>
      <c r="E28" s="631"/>
      <c r="F28" s="631"/>
      <c r="G28" s="631"/>
      <c r="H28" s="631"/>
      <c r="I28" s="641">
        <v>560198.88</v>
      </c>
      <c r="J28" s="35"/>
      <c r="K28" s="639"/>
      <c r="L28" s="640"/>
    </row>
    <row r="29" spans="1:12">
      <c r="A29" s="632" t="s">
        <v>40</v>
      </c>
      <c r="B29" s="631" t="s">
        <v>41</v>
      </c>
      <c r="C29" s="631"/>
      <c r="D29" s="631"/>
      <c r="E29" s="631"/>
      <c r="F29" s="631"/>
      <c r="G29" s="631"/>
      <c r="H29" s="631"/>
      <c r="I29" s="641">
        <v>8154071.06</v>
      </c>
      <c r="J29" s="35"/>
      <c r="K29" s="639"/>
      <c r="L29" s="640"/>
    </row>
    <row r="30" spans="1:12">
      <c r="A30" s="633" t="s">
        <v>42</v>
      </c>
      <c r="B30" s="631" t="s">
        <v>43</v>
      </c>
      <c r="C30" s="631"/>
      <c r="D30" s="631"/>
      <c r="E30" s="631"/>
      <c r="F30" s="631"/>
      <c r="G30" s="631"/>
      <c r="H30" s="631"/>
      <c r="I30" s="641">
        <v>842556.32</v>
      </c>
      <c r="J30" s="35"/>
      <c r="K30" s="639"/>
      <c r="L30" s="640"/>
    </row>
    <row r="31" spans="1:12">
      <c r="A31" s="634" t="s">
        <v>44</v>
      </c>
      <c r="B31" s="631" t="s">
        <v>45</v>
      </c>
      <c r="C31" s="631"/>
      <c r="D31" s="631"/>
      <c r="E31" s="631"/>
      <c r="F31" s="631"/>
      <c r="G31" s="631"/>
      <c r="H31" s="631"/>
      <c r="I31" s="641">
        <v>1915118.98</v>
      </c>
      <c r="J31" s="35"/>
      <c r="K31" s="639"/>
      <c r="L31" s="640"/>
    </row>
    <row r="32" spans="1:12">
      <c r="A32" s="632" t="s">
        <v>46</v>
      </c>
      <c r="B32" s="631" t="s">
        <v>47</v>
      </c>
      <c r="C32" s="631"/>
      <c r="D32" s="631"/>
      <c r="E32" s="631"/>
      <c r="F32" s="631"/>
      <c r="G32" s="631"/>
      <c r="H32" s="631"/>
      <c r="I32" s="641">
        <v>4028419.26</v>
      </c>
      <c r="J32" s="35"/>
      <c r="K32" s="639"/>
      <c r="L32" s="640"/>
    </row>
    <row r="33" spans="1:12">
      <c r="A33" s="632" t="s">
        <v>48</v>
      </c>
      <c r="B33" s="631" t="s">
        <v>49</v>
      </c>
      <c r="C33" s="631"/>
      <c r="D33" s="631"/>
      <c r="E33" s="631"/>
      <c r="F33" s="631"/>
      <c r="G33" s="631"/>
      <c r="H33" s="631"/>
      <c r="I33" s="641">
        <v>88899.37</v>
      </c>
      <c r="J33" s="35"/>
      <c r="K33" s="639"/>
      <c r="L33" s="640"/>
    </row>
    <row r="34" spans="1:12">
      <c r="A34" s="632" t="s">
        <v>50</v>
      </c>
      <c r="B34" s="631" t="s">
        <v>51</v>
      </c>
      <c r="C34" s="631"/>
      <c r="D34" s="631"/>
      <c r="E34" s="631"/>
      <c r="F34" s="631"/>
      <c r="G34" s="631"/>
      <c r="H34" s="631"/>
      <c r="I34" s="641">
        <v>1163132.52</v>
      </c>
      <c r="J34" s="35"/>
      <c r="K34" s="639"/>
      <c r="L34" s="640"/>
    </row>
    <row r="35" spans="1:12">
      <c r="A35" s="633" t="s">
        <v>52</v>
      </c>
      <c r="B35" s="631" t="s">
        <v>53</v>
      </c>
      <c r="C35" s="631"/>
      <c r="D35" s="631"/>
      <c r="E35" s="631"/>
      <c r="F35" s="631"/>
      <c r="G35" s="631"/>
      <c r="H35" s="631"/>
      <c r="I35" s="641">
        <v>626594.56</v>
      </c>
      <c r="J35" s="35"/>
      <c r="K35" s="639"/>
      <c r="L35" s="640"/>
    </row>
    <row r="36" spans="1:12">
      <c r="A36" s="634" t="s">
        <v>54</v>
      </c>
      <c r="B36" s="631" t="s">
        <v>55</v>
      </c>
      <c r="C36" s="631"/>
      <c r="D36" s="631"/>
      <c r="E36" s="631"/>
      <c r="F36" s="631"/>
      <c r="G36" s="631"/>
      <c r="H36" s="631"/>
      <c r="I36" s="641">
        <v>472531.35</v>
      </c>
      <c r="J36" s="35"/>
      <c r="K36" s="639"/>
      <c r="L36" s="640"/>
    </row>
    <row r="37" spans="1:12">
      <c r="A37" s="634" t="s">
        <v>56</v>
      </c>
      <c r="B37" s="631" t="s">
        <v>57</v>
      </c>
      <c r="C37" s="631"/>
      <c r="D37" s="631"/>
      <c r="E37" s="631"/>
      <c r="F37" s="631"/>
      <c r="G37" s="631"/>
      <c r="H37" s="631"/>
      <c r="I37" s="641">
        <v>951031.27</v>
      </c>
      <c r="J37" s="35"/>
      <c r="K37" s="639"/>
      <c r="L37" s="640"/>
    </row>
    <row r="38" ht="15" spans="1:12">
      <c r="A38" s="634" t="s">
        <v>58</v>
      </c>
      <c r="B38" s="631" t="s">
        <v>59</v>
      </c>
      <c r="C38" s="631"/>
      <c r="D38" s="631"/>
      <c r="E38" s="631"/>
      <c r="F38" s="631"/>
      <c r="G38" s="631"/>
      <c r="H38" s="631"/>
      <c r="I38" s="641">
        <v>169272</v>
      </c>
      <c r="J38" s="35"/>
      <c r="K38" s="639"/>
      <c r="L38" s="640"/>
    </row>
    <row r="39" ht="15" spans="1:11">
      <c r="A39" s="635" t="s">
        <v>60</v>
      </c>
      <c r="B39" s="635"/>
      <c r="C39" s="635"/>
      <c r="D39" s="635"/>
      <c r="E39" s="635"/>
      <c r="F39" s="635"/>
      <c r="G39" s="635"/>
      <c r="H39" s="635"/>
      <c r="I39" s="642">
        <f>SUM(I18:I38)</f>
        <v>24592339.6</v>
      </c>
      <c r="J39" s="35"/>
      <c r="K39" s="643"/>
    </row>
    <row r="40" spans="9:11">
      <c r="I40" s="644"/>
      <c r="J40" s="35"/>
      <c r="K40" s="35"/>
    </row>
    <row r="41" spans="9:11">
      <c r="I41" s="640"/>
      <c r="J41" s="35"/>
      <c r="K41" s="35"/>
    </row>
    <row r="42" spans="9:11">
      <c r="I42" s="90"/>
      <c r="J42" s="35"/>
      <c r="K42" s="35"/>
    </row>
    <row r="43" spans="9:11">
      <c r="I43" s="640"/>
      <c r="J43" s="35"/>
      <c r="K43" s="35"/>
    </row>
    <row r="44" spans="10:11">
      <c r="J44" s="35"/>
      <c r="K44" s="35"/>
    </row>
    <row r="45" spans="10:11">
      <c r="J45" s="35"/>
      <c r="K45" s="35"/>
    </row>
    <row r="46" spans="10:11">
      <c r="J46" s="35"/>
      <c r="K46" s="35"/>
    </row>
    <row r="47" spans="10:11">
      <c r="J47" s="35"/>
      <c r="K47" s="35"/>
    </row>
    <row r="48" spans="10:11">
      <c r="J48" s="35"/>
      <c r="K48" s="35"/>
    </row>
    <row r="49" spans="10:11">
      <c r="J49" s="35"/>
      <c r="K49" s="35"/>
    </row>
    <row r="50" spans="10:11">
      <c r="J50" s="35"/>
      <c r="K50" s="35"/>
    </row>
    <row r="51" spans="10:11">
      <c r="J51" s="35"/>
      <c r="K51" s="35"/>
    </row>
    <row r="52" spans="10:11">
      <c r="J52" s="35"/>
      <c r="K52" s="35"/>
    </row>
    <row r="53" spans="10:11">
      <c r="J53" s="35"/>
      <c r="K53" s="35"/>
    </row>
    <row r="54" spans="10:11">
      <c r="J54" s="35"/>
      <c r="K54" s="35"/>
    </row>
    <row r="55" spans="10:11">
      <c r="J55" s="35"/>
      <c r="K55" s="35"/>
    </row>
    <row r="56" spans="10:11">
      <c r="J56" s="35"/>
      <c r="K56" s="35"/>
    </row>
    <row r="57" spans="10:11">
      <c r="J57" s="35"/>
      <c r="K57" s="35"/>
    </row>
    <row r="58" spans="10:11">
      <c r="J58" s="35"/>
      <c r="K58" s="35"/>
    </row>
    <row r="59" spans="10:11">
      <c r="J59" s="35"/>
      <c r="K59" s="35"/>
    </row>
    <row r="60" spans="10:11">
      <c r="J60" s="35"/>
      <c r="K60" s="35"/>
    </row>
    <row r="61" spans="10:11">
      <c r="J61" s="35"/>
      <c r="K61" s="35"/>
    </row>
    <row r="62" spans="10:11">
      <c r="J62" s="35"/>
      <c r="K62" s="35"/>
    </row>
    <row r="63" spans="10:11">
      <c r="J63" s="35"/>
      <c r="K63" s="35"/>
    </row>
    <row r="64" spans="10:11">
      <c r="J64" s="35"/>
      <c r="K64" s="35"/>
    </row>
    <row r="65" spans="10:11">
      <c r="J65" s="35"/>
      <c r="K65" s="35"/>
    </row>
    <row r="66" spans="10:11">
      <c r="J66" s="35"/>
      <c r="K66" s="35"/>
    </row>
    <row r="67" spans="10:11">
      <c r="J67" s="35"/>
      <c r="K67" s="35"/>
    </row>
    <row r="68" spans="10:11">
      <c r="J68" s="35"/>
      <c r="K68" s="35"/>
    </row>
    <row r="69" spans="10:11">
      <c r="J69" s="35"/>
      <c r="K69" s="35"/>
    </row>
    <row r="70" spans="10:11">
      <c r="J70" s="35"/>
      <c r="K70" s="35"/>
    </row>
    <row r="71" spans="10:11">
      <c r="J71" s="35"/>
      <c r="K71" s="35"/>
    </row>
    <row r="72" spans="10:11">
      <c r="J72" s="35"/>
      <c r="K72" s="35"/>
    </row>
    <row r="73" spans="10:11">
      <c r="J73" s="35"/>
      <c r="K73" s="35"/>
    </row>
    <row r="74" spans="10:11">
      <c r="J74" s="35"/>
      <c r="K74" s="35"/>
    </row>
    <row r="75" spans="10:11">
      <c r="J75" s="35"/>
      <c r="K75" s="35"/>
    </row>
    <row r="76" spans="10:11">
      <c r="J76" s="35"/>
      <c r="K76" s="35"/>
    </row>
    <row r="77" spans="10:11">
      <c r="J77" s="35"/>
      <c r="K77" s="35"/>
    </row>
    <row r="78" spans="10:11">
      <c r="J78" s="35"/>
      <c r="K78" s="35"/>
    </row>
    <row r="79" spans="10:11">
      <c r="J79" s="35"/>
      <c r="K79" s="35"/>
    </row>
    <row r="80" spans="10:11">
      <c r="J80" s="35"/>
      <c r="K80" s="35"/>
    </row>
    <row r="81" spans="10:11">
      <c r="J81" s="35"/>
      <c r="K81" s="35"/>
    </row>
    <row r="82" spans="10:11">
      <c r="J82" s="35"/>
      <c r="K82" s="35"/>
    </row>
    <row r="83" spans="10:11">
      <c r="J83" s="35"/>
      <c r="K83" s="35"/>
    </row>
    <row r="84" spans="10:11">
      <c r="J84" s="35"/>
      <c r="K84" s="35"/>
    </row>
    <row r="85" spans="10:11">
      <c r="J85" s="35"/>
      <c r="K85" s="35"/>
    </row>
    <row r="86" spans="10:11">
      <c r="J86" s="35"/>
      <c r="K86" s="35"/>
    </row>
    <row r="87" spans="10:11">
      <c r="J87" s="35"/>
      <c r="K87" s="35"/>
    </row>
    <row r="88" spans="10:11">
      <c r="J88" s="35"/>
      <c r="K88" s="35"/>
    </row>
    <row r="89" spans="10:11">
      <c r="J89" s="35"/>
      <c r="K89" s="35"/>
    </row>
    <row r="90" spans="10:11">
      <c r="J90" s="35"/>
      <c r="K90" s="35"/>
    </row>
    <row r="91" spans="10:11">
      <c r="J91" s="35"/>
      <c r="K91" s="35"/>
    </row>
    <row r="92" spans="10:11">
      <c r="J92" s="35"/>
      <c r="K92" s="35"/>
    </row>
    <row r="93" spans="10:11">
      <c r="J93" s="35"/>
      <c r="K93" s="35"/>
    </row>
    <row r="94" spans="10:11">
      <c r="J94" s="35"/>
      <c r="K94" s="35"/>
    </row>
    <row r="95" spans="10:11">
      <c r="J95" s="35"/>
      <c r="K95" s="35"/>
    </row>
    <row r="96" spans="10:11">
      <c r="J96" s="35"/>
      <c r="K96" s="35"/>
    </row>
    <row r="97" spans="10:11">
      <c r="J97" s="35"/>
      <c r="K97" s="35"/>
    </row>
    <row r="98" spans="10:11">
      <c r="J98" s="35"/>
      <c r="K98" s="35"/>
    </row>
    <row r="99" spans="10:11">
      <c r="J99" s="35"/>
      <c r="K99" s="35"/>
    </row>
    <row r="100" spans="10:11">
      <c r="J100" s="35"/>
      <c r="K100" s="35"/>
    </row>
    <row r="101" spans="10:11">
      <c r="J101" s="35"/>
      <c r="K101" s="35"/>
    </row>
    <row r="102" spans="10:11">
      <c r="J102" s="35"/>
      <c r="K102" s="35"/>
    </row>
    <row r="103" spans="10:11">
      <c r="J103" s="35"/>
      <c r="K103" s="35"/>
    </row>
    <row r="104" spans="10:11">
      <c r="J104" s="35"/>
      <c r="K104" s="35"/>
    </row>
    <row r="105" spans="10:11">
      <c r="J105" s="35"/>
      <c r="K105" s="35"/>
    </row>
    <row r="106" spans="10:11">
      <c r="J106" s="35"/>
      <c r="K106" s="35"/>
    </row>
    <row r="107" spans="10:11">
      <c r="J107" s="35"/>
      <c r="K107" s="35"/>
    </row>
    <row r="108" spans="10:11">
      <c r="J108" s="35"/>
      <c r="K108" s="35"/>
    </row>
    <row r="109" spans="10:11">
      <c r="J109" s="35"/>
      <c r="K109" s="35"/>
    </row>
    <row r="110" spans="10:11">
      <c r="J110" s="35"/>
      <c r="K110" s="35"/>
    </row>
    <row r="111" spans="10:11">
      <c r="J111" s="35"/>
      <c r="K111" s="35"/>
    </row>
    <row r="112" spans="10:11">
      <c r="J112" s="35"/>
      <c r="K112" s="35"/>
    </row>
    <row r="113" spans="10:11">
      <c r="J113" s="35"/>
      <c r="K113" s="35"/>
    </row>
    <row r="114" spans="10:11">
      <c r="J114" s="35"/>
      <c r="K114" s="35"/>
    </row>
    <row r="115" spans="10:11">
      <c r="J115" s="35"/>
      <c r="K115" s="35"/>
    </row>
    <row r="116" spans="10:11">
      <c r="J116" s="35"/>
      <c r="K116" s="35"/>
    </row>
    <row r="117" spans="10:11">
      <c r="J117" s="35"/>
      <c r="K117" s="35"/>
    </row>
    <row r="118" spans="10:11">
      <c r="J118" s="35"/>
      <c r="K118" s="35"/>
    </row>
    <row r="119" spans="10:11">
      <c r="J119" s="35"/>
      <c r="K119" s="35"/>
    </row>
    <row r="120" spans="10:11">
      <c r="J120" s="35"/>
      <c r="K120" s="35"/>
    </row>
    <row r="121" spans="10:11">
      <c r="J121" s="35"/>
      <c r="K121" s="35"/>
    </row>
    <row r="122" spans="10:11">
      <c r="J122" s="35"/>
      <c r="K122" s="35"/>
    </row>
    <row r="123" spans="10:11">
      <c r="J123" s="35"/>
      <c r="K123" s="35"/>
    </row>
    <row r="124" spans="10:11">
      <c r="J124" s="35"/>
      <c r="K124" s="35"/>
    </row>
    <row r="125" spans="10:11">
      <c r="J125" s="35"/>
      <c r="K125" s="35"/>
    </row>
    <row r="126" spans="10:11">
      <c r="J126" s="35"/>
      <c r="K126" s="35"/>
    </row>
    <row r="127" spans="10:11">
      <c r="J127" s="35"/>
      <c r="K127" s="35"/>
    </row>
    <row r="128" spans="10:11">
      <c r="J128" s="35"/>
      <c r="K128" s="35"/>
    </row>
    <row r="129" spans="10:11">
      <c r="J129" s="35"/>
      <c r="K129" s="35"/>
    </row>
    <row r="130" spans="10:11">
      <c r="J130" s="35"/>
      <c r="K130" s="35"/>
    </row>
    <row r="131" spans="10:11">
      <c r="J131" s="35"/>
      <c r="K131" s="35"/>
    </row>
    <row r="132" spans="10:11">
      <c r="J132" s="35"/>
      <c r="K132" s="35"/>
    </row>
    <row r="133" spans="10:11">
      <c r="J133" s="35"/>
      <c r="K133" s="35"/>
    </row>
    <row r="134" spans="10:11">
      <c r="J134" s="35"/>
      <c r="K134" s="35"/>
    </row>
    <row r="135" spans="10:11">
      <c r="J135" s="35"/>
      <c r="K135" s="35"/>
    </row>
    <row r="136" spans="10:11">
      <c r="J136" s="35"/>
      <c r="K136" s="35"/>
    </row>
    <row r="137" spans="10:11">
      <c r="J137" s="35"/>
      <c r="K137" s="35"/>
    </row>
    <row r="138" spans="10:11">
      <c r="J138" s="35"/>
      <c r="K138" s="35"/>
    </row>
    <row r="139" spans="10:11">
      <c r="J139" s="35"/>
      <c r="K139" s="35"/>
    </row>
    <row r="140" spans="10:11">
      <c r="J140" s="35"/>
      <c r="K140" s="35"/>
    </row>
    <row r="141" spans="10:11">
      <c r="J141" s="35"/>
      <c r="K141" s="35"/>
    </row>
    <row r="142" spans="10:11">
      <c r="J142" s="35"/>
      <c r="K142" s="35"/>
    </row>
    <row r="143" spans="10:11">
      <c r="J143" s="35"/>
      <c r="K143" s="35"/>
    </row>
    <row r="144" spans="10:11">
      <c r="J144" s="35"/>
      <c r="K144" s="35"/>
    </row>
    <row r="145" spans="10:11">
      <c r="J145" s="35"/>
      <c r="K145" s="35"/>
    </row>
    <row r="146" spans="10:11">
      <c r="J146" s="35"/>
      <c r="K146" s="35"/>
    </row>
    <row r="147" spans="10:11">
      <c r="J147" s="35"/>
      <c r="K147" s="35"/>
    </row>
    <row r="148" spans="10:11">
      <c r="J148" s="35"/>
      <c r="K148" s="35"/>
    </row>
    <row r="149" spans="10:11">
      <c r="J149" s="35"/>
      <c r="K149" s="35"/>
    </row>
    <row r="150" spans="10:11">
      <c r="J150" s="35"/>
      <c r="K150" s="35"/>
    </row>
    <row r="151" spans="10:11">
      <c r="J151" s="35"/>
      <c r="K151" s="35"/>
    </row>
    <row r="152" spans="10:11">
      <c r="J152" s="35"/>
      <c r="K152" s="35"/>
    </row>
    <row r="153" spans="10:11">
      <c r="J153" s="35"/>
      <c r="K153" s="35"/>
    </row>
    <row r="154" spans="10:11">
      <c r="J154" s="35"/>
      <c r="K154" s="35"/>
    </row>
    <row r="155" spans="10:11">
      <c r="J155" s="35"/>
      <c r="K155" s="35"/>
    </row>
    <row r="156" spans="10:11">
      <c r="J156" s="35"/>
      <c r="K156" s="35"/>
    </row>
    <row r="157" spans="10:11">
      <c r="J157" s="35"/>
      <c r="K157" s="35"/>
    </row>
    <row r="158" spans="10:11">
      <c r="J158" s="35"/>
      <c r="K158" s="35"/>
    </row>
    <row r="159" spans="10:11">
      <c r="J159" s="35"/>
      <c r="K159" s="35"/>
    </row>
    <row r="160" spans="10:11">
      <c r="J160" s="35"/>
      <c r="K160" s="35"/>
    </row>
    <row r="161" spans="10:11">
      <c r="J161" s="35"/>
      <c r="K161" s="35"/>
    </row>
    <row r="162" spans="10:11">
      <c r="J162" s="35"/>
      <c r="K162" s="35"/>
    </row>
    <row r="163" spans="10:11">
      <c r="J163" s="35"/>
      <c r="K163" s="35"/>
    </row>
    <row r="164" spans="10:11">
      <c r="J164" s="35"/>
      <c r="K164" s="35"/>
    </row>
    <row r="165" spans="10:11">
      <c r="J165" s="35"/>
      <c r="K165" s="35"/>
    </row>
    <row r="166" spans="10:11">
      <c r="J166" s="35"/>
      <c r="K166" s="35"/>
    </row>
    <row r="167" spans="10:11">
      <c r="J167" s="35"/>
      <c r="K167" s="35"/>
    </row>
    <row r="168" spans="10:11">
      <c r="J168" s="35"/>
      <c r="K168" s="35"/>
    </row>
    <row r="169" spans="10:11">
      <c r="J169" s="35"/>
      <c r="K169" s="35"/>
    </row>
    <row r="170" spans="10:11">
      <c r="J170" s="35"/>
      <c r="K170" s="35"/>
    </row>
    <row r="171" spans="10:11">
      <c r="J171" s="35"/>
      <c r="K171" s="35"/>
    </row>
    <row r="172" spans="10:11">
      <c r="J172" s="35"/>
      <c r="K172" s="35"/>
    </row>
    <row r="173" spans="10:11">
      <c r="J173" s="35"/>
      <c r="K173" s="35"/>
    </row>
    <row r="174" spans="10:11">
      <c r="J174" s="35"/>
      <c r="K174" s="35"/>
    </row>
    <row r="175" spans="10:11">
      <c r="J175" s="35"/>
      <c r="K175" s="35"/>
    </row>
    <row r="176" spans="10:11">
      <c r="J176" s="35"/>
      <c r="K176" s="35"/>
    </row>
    <row r="177" spans="10:11">
      <c r="J177" s="35"/>
      <c r="K177" s="35"/>
    </row>
    <row r="178" spans="10:11">
      <c r="J178" s="35"/>
      <c r="K178" s="35"/>
    </row>
    <row r="179" spans="10:11">
      <c r="J179" s="35"/>
      <c r="K179" s="35"/>
    </row>
    <row r="180" spans="10:11">
      <c r="J180" s="35"/>
      <c r="K180" s="35"/>
    </row>
    <row r="181" spans="10:11">
      <c r="J181" s="35"/>
      <c r="K181" s="35"/>
    </row>
    <row r="182" spans="10:11">
      <c r="J182" s="35"/>
      <c r="K182" s="35"/>
    </row>
    <row r="183" spans="10:11">
      <c r="J183" s="35"/>
      <c r="K183" s="35"/>
    </row>
    <row r="184" spans="10:11">
      <c r="J184" s="35"/>
      <c r="K184" s="35"/>
    </row>
    <row r="185" spans="10:11">
      <c r="J185" s="35"/>
      <c r="K185" s="35"/>
    </row>
    <row r="186" spans="10:11">
      <c r="J186" s="35"/>
      <c r="K186" s="35"/>
    </row>
    <row r="187" spans="10:11">
      <c r="J187" s="35"/>
      <c r="K187" s="35"/>
    </row>
    <row r="188" spans="10:11">
      <c r="J188" s="35"/>
      <c r="K188" s="35"/>
    </row>
    <row r="189" spans="10:11">
      <c r="J189" s="35"/>
      <c r="K189" s="35"/>
    </row>
    <row r="190" spans="10:11">
      <c r="J190" s="35"/>
      <c r="K190" s="35"/>
    </row>
    <row r="191" spans="10:11">
      <c r="J191" s="35"/>
      <c r="K191" s="35"/>
    </row>
    <row r="192" spans="10:11">
      <c r="J192" s="35"/>
      <c r="K192" s="35"/>
    </row>
    <row r="193" spans="10:11">
      <c r="J193" s="35"/>
      <c r="K193" s="35"/>
    </row>
    <row r="194" spans="10:11">
      <c r="J194" s="35"/>
      <c r="K194" s="35"/>
    </row>
    <row r="195" spans="10:11">
      <c r="J195" s="35"/>
      <c r="K195" s="35"/>
    </row>
    <row r="196" spans="10:11">
      <c r="J196" s="35"/>
      <c r="K196" s="35"/>
    </row>
    <row r="197" spans="10:11">
      <c r="J197" s="35"/>
      <c r="K197" s="35"/>
    </row>
    <row r="198" spans="10:11">
      <c r="J198" s="35"/>
      <c r="K198" s="35"/>
    </row>
    <row r="199" spans="10:11">
      <c r="J199" s="35"/>
      <c r="K199" s="35"/>
    </row>
    <row r="200" spans="10:11">
      <c r="J200" s="35"/>
      <c r="K200" s="35"/>
    </row>
    <row r="201" spans="10:11">
      <c r="J201" s="35"/>
      <c r="K201" s="35"/>
    </row>
    <row r="202" spans="10:11">
      <c r="J202" s="35"/>
      <c r="K202" s="35"/>
    </row>
    <row r="203" spans="10:11">
      <c r="J203" s="35"/>
      <c r="K203" s="35"/>
    </row>
    <row r="204" spans="10:11">
      <c r="J204" s="35"/>
      <c r="K204" s="35"/>
    </row>
    <row r="205" spans="10:11">
      <c r="J205" s="35"/>
      <c r="K205" s="35"/>
    </row>
    <row r="206" spans="10:11">
      <c r="J206" s="35"/>
      <c r="K206" s="35"/>
    </row>
    <row r="207" spans="10:11">
      <c r="J207" s="35"/>
      <c r="K207" s="35"/>
    </row>
    <row r="208" spans="10:11">
      <c r="J208" s="35"/>
      <c r="K208" s="35"/>
    </row>
    <row r="209" spans="10:11">
      <c r="J209" s="35"/>
      <c r="K209" s="35"/>
    </row>
    <row r="210" spans="10:11">
      <c r="J210" s="35"/>
      <c r="K210" s="35"/>
    </row>
    <row r="211" spans="10:11">
      <c r="J211" s="35"/>
      <c r="K211" s="35"/>
    </row>
    <row r="212" spans="10:11">
      <c r="J212" s="35"/>
      <c r="K212" s="35"/>
    </row>
    <row r="213" spans="10:11">
      <c r="J213" s="35"/>
      <c r="K213" s="35"/>
    </row>
    <row r="214" spans="10:11">
      <c r="J214" s="35"/>
      <c r="K214" s="35"/>
    </row>
    <row r="215" spans="10:11">
      <c r="J215" s="35"/>
      <c r="K215" s="35"/>
    </row>
    <row r="216" spans="10:11">
      <c r="J216" s="35"/>
      <c r="K216" s="35"/>
    </row>
    <row r="217" spans="10:11">
      <c r="J217" s="35"/>
      <c r="K217" s="35"/>
    </row>
    <row r="218" spans="10:11">
      <c r="J218" s="35"/>
      <c r="K218" s="35"/>
    </row>
    <row r="219" spans="10:11">
      <c r="J219" s="35"/>
      <c r="K219" s="35"/>
    </row>
    <row r="220" spans="10:11">
      <c r="J220" s="35"/>
      <c r="K220" s="35"/>
    </row>
    <row r="221" spans="10:11">
      <c r="J221" s="35"/>
      <c r="K221" s="35"/>
    </row>
    <row r="222" spans="10:11">
      <c r="J222" s="35"/>
      <c r="K222" s="35"/>
    </row>
    <row r="223" spans="10:11">
      <c r="J223" s="35"/>
      <c r="K223" s="35"/>
    </row>
    <row r="224" spans="10:11">
      <c r="J224" s="35"/>
      <c r="K224" s="35"/>
    </row>
    <row r="225" spans="10:11">
      <c r="J225" s="35"/>
      <c r="K225" s="35"/>
    </row>
    <row r="226" spans="10:11">
      <c r="J226" s="35"/>
      <c r="K226" s="35"/>
    </row>
    <row r="227" spans="10:11">
      <c r="J227" s="35"/>
      <c r="K227" s="35"/>
    </row>
    <row r="228" spans="10:11">
      <c r="J228" s="35"/>
      <c r="K228" s="35"/>
    </row>
    <row r="229" spans="10:11">
      <c r="J229" s="35"/>
      <c r="K229" s="35"/>
    </row>
    <row r="230" spans="10:11">
      <c r="J230" s="35"/>
      <c r="K230" s="35"/>
    </row>
    <row r="231" spans="10:11">
      <c r="J231" s="35"/>
      <c r="K231" s="35"/>
    </row>
    <row r="232" spans="10:11">
      <c r="J232" s="35"/>
      <c r="K232" s="35"/>
    </row>
    <row r="233" spans="10:11">
      <c r="J233" s="35"/>
      <c r="K233" s="35"/>
    </row>
    <row r="234" spans="10:11">
      <c r="J234" s="35"/>
      <c r="K234" s="35"/>
    </row>
    <row r="235" spans="10:11">
      <c r="J235" s="35"/>
      <c r="K235" s="35"/>
    </row>
    <row r="236" spans="10:11">
      <c r="J236" s="35"/>
      <c r="K236" s="35"/>
    </row>
    <row r="237" spans="10:11">
      <c r="J237" s="35"/>
      <c r="K237" s="35"/>
    </row>
    <row r="238" spans="10:11">
      <c r="J238" s="35"/>
      <c r="K238" s="35"/>
    </row>
    <row r="239" spans="10:11">
      <c r="J239" s="35"/>
      <c r="K239" s="35"/>
    </row>
    <row r="240" spans="10:11">
      <c r="J240" s="35"/>
      <c r="K240" s="35"/>
    </row>
    <row r="241" spans="10:11">
      <c r="J241" s="35"/>
      <c r="K241" s="35"/>
    </row>
    <row r="242" spans="10:11">
      <c r="J242" s="35"/>
      <c r="K242" s="35"/>
    </row>
    <row r="243" spans="10:11">
      <c r="J243" s="35"/>
      <c r="K243" s="35"/>
    </row>
    <row r="244" spans="10:11">
      <c r="J244" s="35"/>
      <c r="K244" s="35"/>
    </row>
    <row r="245" spans="10:11">
      <c r="J245" s="35"/>
      <c r="K245" s="35"/>
    </row>
    <row r="246" spans="10:11">
      <c r="J246" s="35"/>
      <c r="K246" s="35"/>
    </row>
    <row r="247" spans="10:11">
      <c r="J247" s="35"/>
      <c r="K247" s="35"/>
    </row>
    <row r="248" spans="10:11">
      <c r="J248" s="35"/>
      <c r="K248" s="35"/>
    </row>
    <row r="249" spans="10:11">
      <c r="J249" s="35"/>
      <c r="K249" s="35"/>
    </row>
    <row r="250" spans="10:11">
      <c r="J250" s="35"/>
      <c r="K250" s="35"/>
    </row>
    <row r="251" spans="10:11">
      <c r="J251" s="35"/>
      <c r="K251" s="35"/>
    </row>
    <row r="252" spans="10:11">
      <c r="J252" s="35"/>
      <c r="K252" s="35"/>
    </row>
    <row r="253" spans="10:11">
      <c r="J253" s="35"/>
      <c r="K253" s="35"/>
    </row>
    <row r="254" spans="10:11">
      <c r="J254" s="35"/>
      <c r="K254" s="35"/>
    </row>
    <row r="255" spans="10:11">
      <c r="J255" s="35"/>
      <c r="K255" s="35"/>
    </row>
    <row r="256" spans="10:11">
      <c r="J256" s="35"/>
      <c r="K256" s="35"/>
    </row>
    <row r="257" spans="10:11">
      <c r="J257" s="35"/>
      <c r="K257" s="35"/>
    </row>
    <row r="258" spans="10:11">
      <c r="J258" s="35"/>
      <c r="K258" s="35"/>
    </row>
    <row r="259" spans="10:11">
      <c r="J259" s="35"/>
      <c r="K259" s="35"/>
    </row>
    <row r="260" spans="10:11">
      <c r="J260" s="35"/>
      <c r="K260" s="35"/>
    </row>
    <row r="261" spans="10:11">
      <c r="J261" s="35"/>
      <c r="K261" s="35"/>
    </row>
    <row r="262" spans="10:11">
      <c r="J262" s="35"/>
      <c r="K262" s="35"/>
    </row>
    <row r="263" spans="10:11">
      <c r="J263" s="35"/>
      <c r="K263" s="35"/>
    </row>
    <row r="264" spans="10:11">
      <c r="J264" s="35"/>
      <c r="K264" s="35"/>
    </row>
    <row r="265" spans="10:11">
      <c r="J265" s="35"/>
      <c r="K265" s="35"/>
    </row>
    <row r="266" spans="10:11">
      <c r="J266" s="35"/>
      <c r="K266" s="35"/>
    </row>
    <row r="267" spans="10:11">
      <c r="J267" s="35"/>
      <c r="K267" s="35"/>
    </row>
    <row r="268" spans="10:11">
      <c r="J268" s="35"/>
      <c r="K268" s="35"/>
    </row>
    <row r="269" spans="10:11">
      <c r="J269" s="35"/>
      <c r="K269" s="35"/>
    </row>
    <row r="270" spans="10:11">
      <c r="J270" s="35"/>
      <c r="K270" s="35"/>
    </row>
    <row r="271" spans="10:11">
      <c r="J271" s="35"/>
      <c r="K271" s="35"/>
    </row>
    <row r="272" spans="10:11">
      <c r="J272" s="35"/>
      <c r="K272" s="35"/>
    </row>
    <row r="273" spans="10:11">
      <c r="J273" s="35"/>
      <c r="K273" s="35"/>
    </row>
    <row r="274" spans="10:11">
      <c r="J274" s="35"/>
      <c r="K274" s="35"/>
    </row>
    <row r="275" spans="10:11">
      <c r="J275" s="35"/>
      <c r="K275" s="35"/>
    </row>
    <row r="276" spans="10:11">
      <c r="J276" s="35"/>
      <c r="K276" s="35"/>
    </row>
    <row r="277" spans="10:11">
      <c r="J277" s="35"/>
      <c r="K277" s="35"/>
    </row>
    <row r="278" spans="10:11">
      <c r="J278" s="35"/>
      <c r="K278" s="35"/>
    </row>
    <row r="279" spans="10:11">
      <c r="J279" s="35"/>
      <c r="K279" s="35"/>
    </row>
    <row r="280" spans="10:11">
      <c r="J280" s="35"/>
      <c r="K280" s="35"/>
    </row>
    <row r="281" spans="10:11">
      <c r="J281" s="35"/>
      <c r="K281" s="35"/>
    </row>
    <row r="282" spans="10:11">
      <c r="J282" s="35"/>
      <c r="K282" s="35"/>
    </row>
    <row r="283" spans="10:11">
      <c r="J283" s="35"/>
      <c r="K283" s="35"/>
    </row>
    <row r="284" spans="10:11">
      <c r="J284" s="35"/>
      <c r="K284" s="35"/>
    </row>
    <row r="285" spans="10:11">
      <c r="J285" s="35"/>
      <c r="K285" s="35"/>
    </row>
    <row r="286" spans="10:11">
      <c r="J286" s="35"/>
      <c r="K286" s="35"/>
    </row>
    <row r="287" spans="10:11">
      <c r="J287" s="35"/>
      <c r="K287" s="35"/>
    </row>
    <row r="288" spans="10:11">
      <c r="J288" s="35"/>
      <c r="K288" s="35"/>
    </row>
    <row r="289" spans="10:11">
      <c r="J289" s="35"/>
      <c r="K289" s="35"/>
    </row>
    <row r="290" spans="10:11">
      <c r="J290" s="35"/>
      <c r="K290" s="35"/>
    </row>
    <row r="291" spans="10:11">
      <c r="J291" s="35"/>
      <c r="K291" s="35"/>
    </row>
    <row r="292" spans="10:11">
      <c r="J292" s="35"/>
      <c r="K292" s="35"/>
    </row>
    <row r="293" spans="10:11">
      <c r="J293" s="35"/>
      <c r="K293" s="35"/>
    </row>
    <row r="294" spans="10:11">
      <c r="J294" s="35"/>
      <c r="K294" s="35"/>
    </row>
    <row r="295" spans="10:11">
      <c r="J295" s="35"/>
      <c r="K295" s="35"/>
    </row>
    <row r="296" spans="10:11">
      <c r="J296" s="35"/>
      <c r="K296" s="35"/>
    </row>
    <row r="297" spans="10:11">
      <c r="J297" s="35"/>
      <c r="K297" s="35"/>
    </row>
    <row r="298" spans="10:11">
      <c r="J298" s="35"/>
      <c r="K298" s="35"/>
    </row>
    <row r="299" spans="10:11">
      <c r="J299" s="35"/>
      <c r="K299" s="35"/>
    </row>
    <row r="300" spans="10:11">
      <c r="J300" s="35"/>
      <c r="K300" s="35"/>
    </row>
    <row r="301" spans="10:11">
      <c r="J301" s="35"/>
      <c r="K301" s="35"/>
    </row>
    <row r="302" spans="10:11">
      <c r="J302" s="35"/>
      <c r="K302" s="35"/>
    </row>
    <row r="303" spans="10:11">
      <c r="J303" s="35"/>
      <c r="K303" s="35"/>
    </row>
    <row r="304" spans="10:11">
      <c r="J304" s="35"/>
      <c r="K304" s="35"/>
    </row>
    <row r="305" spans="10:11">
      <c r="J305" s="35"/>
      <c r="K305" s="35"/>
    </row>
    <row r="306" spans="10:11">
      <c r="J306" s="35"/>
      <c r="K306" s="35"/>
    </row>
    <row r="307" spans="10:11">
      <c r="J307" s="35"/>
      <c r="K307" s="35"/>
    </row>
    <row r="308" spans="10:11">
      <c r="J308" s="35"/>
      <c r="K308" s="35"/>
    </row>
    <row r="309" spans="10:11">
      <c r="J309" s="35"/>
      <c r="K309" s="35"/>
    </row>
    <row r="310" spans="10:11">
      <c r="J310" s="35"/>
      <c r="K310" s="35"/>
    </row>
    <row r="311" spans="10:11">
      <c r="J311" s="35"/>
      <c r="K311" s="35"/>
    </row>
    <row r="312" spans="10:11">
      <c r="J312" s="35"/>
      <c r="K312" s="35"/>
    </row>
    <row r="313" spans="10:11">
      <c r="J313" s="35"/>
      <c r="K313" s="35"/>
    </row>
    <row r="314" spans="10:11">
      <c r="J314" s="35"/>
      <c r="K314" s="35"/>
    </row>
    <row r="315" spans="10:11">
      <c r="J315" s="35"/>
      <c r="K315" s="35"/>
    </row>
    <row r="316" spans="10:11">
      <c r="J316" s="35"/>
      <c r="K316" s="35"/>
    </row>
    <row r="317" spans="10:11">
      <c r="J317" s="35"/>
      <c r="K317" s="35"/>
    </row>
    <row r="318" spans="10:11">
      <c r="J318" s="35"/>
      <c r="K318" s="35"/>
    </row>
    <row r="319" spans="10:11">
      <c r="J319" s="35"/>
      <c r="K319" s="35"/>
    </row>
    <row r="320" spans="10:11">
      <c r="J320" s="35"/>
      <c r="K320" s="35"/>
    </row>
    <row r="321" spans="10:11">
      <c r="J321" s="35"/>
      <c r="K321" s="35"/>
    </row>
    <row r="322" spans="10:11">
      <c r="J322" s="35"/>
      <c r="K322" s="35"/>
    </row>
    <row r="323" spans="10:11">
      <c r="J323" s="35"/>
      <c r="K323" s="35"/>
    </row>
    <row r="324" spans="10:11">
      <c r="J324" s="35"/>
      <c r="K324" s="35"/>
    </row>
    <row r="325" spans="10:11">
      <c r="J325" s="35"/>
      <c r="K325" s="35"/>
    </row>
    <row r="326" spans="10:11">
      <c r="J326" s="35"/>
      <c r="K326" s="35"/>
    </row>
    <row r="327" spans="10:11">
      <c r="J327" s="35"/>
      <c r="K327" s="35"/>
    </row>
    <row r="328" spans="10:11">
      <c r="J328" s="35"/>
      <c r="K328" s="35"/>
    </row>
    <row r="329" spans="10:11">
      <c r="J329" s="35"/>
      <c r="K329" s="35"/>
    </row>
    <row r="330" spans="10:11">
      <c r="J330" s="35"/>
      <c r="K330" s="35"/>
    </row>
    <row r="331" spans="10:11">
      <c r="J331" s="35"/>
      <c r="K331" s="35"/>
    </row>
    <row r="332" spans="10:11">
      <c r="J332" s="35"/>
      <c r="K332" s="35"/>
    </row>
    <row r="333" spans="10:11">
      <c r="J333" s="35"/>
      <c r="K333" s="35"/>
    </row>
    <row r="334" spans="10:11">
      <c r="J334" s="35"/>
      <c r="K334" s="35"/>
    </row>
    <row r="335" spans="10:11">
      <c r="J335" s="35"/>
      <c r="K335" s="35"/>
    </row>
    <row r="336" spans="10:11">
      <c r="J336" s="35"/>
      <c r="K336" s="35"/>
    </row>
    <row r="337" spans="10:11">
      <c r="J337" s="35"/>
      <c r="K337" s="35"/>
    </row>
    <row r="338" spans="10:11">
      <c r="J338" s="35"/>
      <c r="K338" s="35"/>
    </row>
    <row r="339" spans="10:11">
      <c r="J339" s="35"/>
      <c r="K339" s="35"/>
    </row>
    <row r="340" spans="10:11">
      <c r="J340" s="35"/>
      <c r="K340" s="35"/>
    </row>
    <row r="341" spans="10:11">
      <c r="J341" s="35"/>
      <c r="K341" s="35"/>
    </row>
    <row r="342" spans="10:11">
      <c r="J342" s="35"/>
      <c r="K342" s="35"/>
    </row>
    <row r="343" spans="10:11">
      <c r="J343" s="35"/>
      <c r="K343" s="35"/>
    </row>
    <row r="344" spans="10:11">
      <c r="J344" s="35"/>
      <c r="K344" s="35"/>
    </row>
    <row r="345" spans="10:11">
      <c r="J345" s="35"/>
      <c r="K345" s="35"/>
    </row>
    <row r="346" spans="10:11">
      <c r="J346" s="35"/>
      <c r="K346" s="35"/>
    </row>
    <row r="347" spans="10:11">
      <c r="J347" s="35"/>
      <c r="K347" s="35"/>
    </row>
    <row r="348" spans="10:11">
      <c r="J348" s="35"/>
      <c r="K348" s="35"/>
    </row>
    <row r="349" spans="10:11">
      <c r="J349" s="35"/>
      <c r="K349" s="35"/>
    </row>
    <row r="350" spans="10:11">
      <c r="J350" s="35"/>
      <c r="K350" s="35"/>
    </row>
    <row r="351" spans="10:11">
      <c r="J351" s="35"/>
      <c r="K351" s="35"/>
    </row>
    <row r="352" spans="10:11">
      <c r="J352" s="35"/>
      <c r="K352" s="35"/>
    </row>
    <row r="353" spans="10:11">
      <c r="J353" s="35"/>
      <c r="K353" s="35"/>
    </row>
    <row r="354" spans="10:11">
      <c r="J354" s="35"/>
      <c r="K354" s="35"/>
    </row>
    <row r="355" spans="10:11">
      <c r="J355" s="35"/>
      <c r="K355" s="35"/>
    </row>
    <row r="356" spans="10:11">
      <c r="J356" s="35"/>
      <c r="K356" s="35"/>
    </row>
    <row r="357" spans="10:11">
      <c r="J357" s="35"/>
      <c r="K357" s="35"/>
    </row>
    <row r="358" spans="10:11">
      <c r="J358" s="35"/>
      <c r="K358" s="35"/>
    </row>
    <row r="359" spans="10:11">
      <c r="J359" s="35"/>
      <c r="K359" s="35"/>
    </row>
    <row r="360" spans="10:11">
      <c r="J360" s="35"/>
      <c r="K360" s="35"/>
    </row>
    <row r="361" spans="10:11">
      <c r="J361" s="35"/>
      <c r="K361" s="35"/>
    </row>
    <row r="362" spans="10:11">
      <c r="J362" s="35"/>
      <c r="K362" s="35"/>
    </row>
    <row r="363" spans="10:11">
      <c r="J363" s="35"/>
      <c r="K363" s="35"/>
    </row>
    <row r="364" spans="10:11">
      <c r="J364" s="35"/>
      <c r="K364" s="35"/>
    </row>
    <row r="365" spans="10:11">
      <c r="J365" s="35"/>
      <c r="K365" s="35"/>
    </row>
    <row r="366" spans="10:11">
      <c r="J366" s="35"/>
      <c r="K366" s="35"/>
    </row>
    <row r="367" spans="10:11">
      <c r="J367" s="35"/>
      <c r="K367" s="35"/>
    </row>
    <row r="368" spans="10:11">
      <c r="J368" s="35"/>
      <c r="K368" s="35"/>
    </row>
    <row r="369" spans="10:11">
      <c r="J369" s="35"/>
      <c r="K369" s="35"/>
    </row>
    <row r="370" spans="10:11">
      <c r="J370" s="35"/>
      <c r="K370" s="35"/>
    </row>
    <row r="371" spans="10:11">
      <c r="J371" s="35"/>
      <c r="K371" s="35"/>
    </row>
    <row r="372" spans="10:11">
      <c r="J372" s="35"/>
      <c r="K372" s="35"/>
    </row>
    <row r="373" spans="10:11">
      <c r="J373" s="35"/>
      <c r="K373" s="35"/>
    </row>
    <row r="374" spans="10:11">
      <c r="J374" s="35"/>
      <c r="K374" s="35"/>
    </row>
    <row r="375" spans="10:11">
      <c r="J375" s="35"/>
      <c r="K375" s="35"/>
    </row>
    <row r="376" spans="10:11">
      <c r="J376" s="35"/>
      <c r="K376" s="35"/>
    </row>
    <row r="377" spans="10:11">
      <c r="J377" s="35"/>
      <c r="K377" s="35"/>
    </row>
    <row r="378" spans="10:11">
      <c r="J378" s="35"/>
      <c r="K378" s="35"/>
    </row>
    <row r="379" spans="10:11">
      <c r="J379" s="35"/>
      <c r="K379" s="35"/>
    </row>
    <row r="380" spans="10:11">
      <c r="J380" s="35"/>
      <c r="K380" s="35"/>
    </row>
    <row r="381" spans="10:11">
      <c r="J381" s="35"/>
      <c r="K381" s="35"/>
    </row>
    <row r="382" spans="10:11">
      <c r="J382" s="35"/>
      <c r="K382" s="35"/>
    </row>
    <row r="383" spans="10:11">
      <c r="J383" s="35"/>
      <c r="K383" s="35"/>
    </row>
    <row r="384" spans="10:11">
      <c r="J384" s="35"/>
      <c r="K384" s="35"/>
    </row>
    <row r="385" spans="10:11">
      <c r="J385" s="35"/>
      <c r="K385" s="35"/>
    </row>
    <row r="386" spans="10:11">
      <c r="J386" s="35"/>
      <c r="K386" s="35"/>
    </row>
    <row r="387" spans="10:11">
      <c r="J387" s="35"/>
      <c r="K387" s="35"/>
    </row>
    <row r="388" spans="10:11">
      <c r="J388" s="35"/>
      <c r="K388" s="35"/>
    </row>
    <row r="389" spans="10:11">
      <c r="J389" s="35"/>
      <c r="K389" s="35"/>
    </row>
    <row r="390" spans="10:11">
      <c r="J390" s="35"/>
      <c r="K390" s="35"/>
    </row>
    <row r="391" spans="10:11">
      <c r="J391" s="35"/>
      <c r="K391" s="35"/>
    </row>
    <row r="392" spans="10:11">
      <c r="J392" s="35"/>
      <c r="K392" s="35"/>
    </row>
    <row r="393" spans="10:11">
      <c r="J393" s="35"/>
      <c r="K393" s="35"/>
    </row>
    <row r="394" spans="10:11">
      <c r="J394" s="35"/>
      <c r="K394" s="35"/>
    </row>
    <row r="395" spans="10:11">
      <c r="J395" s="35"/>
      <c r="K395" s="35"/>
    </row>
    <row r="396" spans="10:11">
      <c r="J396" s="35"/>
      <c r="K396" s="35"/>
    </row>
    <row r="397" spans="10:11">
      <c r="J397" s="35"/>
      <c r="K397" s="35"/>
    </row>
    <row r="398" spans="10:11">
      <c r="J398" s="35"/>
      <c r="K398" s="35"/>
    </row>
    <row r="399" spans="10:11">
      <c r="J399" s="35"/>
      <c r="K399" s="35"/>
    </row>
    <row r="400" spans="10:11">
      <c r="J400" s="35"/>
      <c r="K400" s="35"/>
    </row>
    <row r="401" spans="10:11">
      <c r="J401" s="35"/>
      <c r="K401" s="35"/>
    </row>
    <row r="402" spans="10:11">
      <c r="J402" s="35"/>
      <c r="K402" s="35"/>
    </row>
    <row r="403" spans="10:11">
      <c r="J403" s="35"/>
      <c r="K403" s="35"/>
    </row>
    <row r="404" spans="10:11">
      <c r="J404" s="35"/>
      <c r="K404" s="35"/>
    </row>
    <row r="405" spans="10:11">
      <c r="J405" s="35"/>
      <c r="K405" s="35"/>
    </row>
    <row r="406" spans="10:11">
      <c r="J406" s="35"/>
      <c r="K406" s="35"/>
    </row>
    <row r="407" spans="10:11">
      <c r="J407" s="35"/>
      <c r="K407" s="35"/>
    </row>
    <row r="408" spans="10:11">
      <c r="J408" s="35"/>
      <c r="K408" s="35"/>
    </row>
    <row r="409" spans="10:11">
      <c r="J409" s="35"/>
      <c r="K409" s="35"/>
    </row>
    <row r="410" spans="10:11">
      <c r="J410" s="35"/>
      <c r="K410" s="35"/>
    </row>
    <row r="411" spans="10:11">
      <c r="J411" s="35"/>
      <c r="K411" s="35"/>
    </row>
    <row r="412" spans="10:11">
      <c r="J412" s="35"/>
      <c r="K412" s="35"/>
    </row>
    <row r="413" spans="10:11">
      <c r="J413" s="35"/>
      <c r="K413" s="35"/>
    </row>
    <row r="414" spans="10:11">
      <c r="J414" s="35"/>
      <c r="K414" s="35"/>
    </row>
    <row r="415" spans="10:11">
      <c r="J415" s="35"/>
      <c r="K415" s="35"/>
    </row>
    <row r="416" spans="10:11">
      <c r="J416" s="35"/>
      <c r="K416" s="35"/>
    </row>
    <row r="417" spans="10:11">
      <c r="J417" s="35"/>
      <c r="K417" s="35"/>
    </row>
    <row r="418" spans="10:11">
      <c r="J418" s="35"/>
      <c r="K418" s="35"/>
    </row>
    <row r="419" spans="10:11">
      <c r="J419" s="35"/>
      <c r="K419" s="35"/>
    </row>
    <row r="420" spans="10:11">
      <c r="J420" s="35"/>
      <c r="K420" s="35"/>
    </row>
    <row r="421" spans="10:11">
      <c r="J421" s="35"/>
      <c r="K421" s="35"/>
    </row>
    <row r="422" spans="10:11">
      <c r="J422" s="35"/>
      <c r="K422" s="35"/>
    </row>
    <row r="423" spans="10:11">
      <c r="J423" s="35"/>
      <c r="K423" s="35"/>
    </row>
    <row r="424" spans="10:11">
      <c r="J424" s="35"/>
      <c r="K424" s="35"/>
    </row>
    <row r="425" spans="10:11">
      <c r="J425" s="35"/>
      <c r="K425" s="35"/>
    </row>
    <row r="426" spans="10:11">
      <c r="J426" s="35"/>
      <c r="K426" s="35"/>
    </row>
    <row r="427" spans="10:11">
      <c r="J427" s="35"/>
      <c r="K427" s="35"/>
    </row>
    <row r="428" spans="10:11">
      <c r="J428" s="35"/>
      <c r="K428" s="35"/>
    </row>
    <row r="429" spans="10:11">
      <c r="J429" s="35"/>
      <c r="K429" s="35"/>
    </row>
    <row r="430" spans="10:11">
      <c r="J430" s="35"/>
      <c r="K430" s="35"/>
    </row>
    <row r="431" spans="10:11">
      <c r="J431" s="35"/>
      <c r="K431" s="35"/>
    </row>
    <row r="432" spans="10:11">
      <c r="J432" s="35"/>
      <c r="K432" s="35"/>
    </row>
    <row r="433" spans="10:11">
      <c r="J433" s="35"/>
      <c r="K433" s="35"/>
    </row>
    <row r="434" spans="10:11">
      <c r="J434" s="35"/>
      <c r="K434" s="35"/>
    </row>
    <row r="435" spans="10:11">
      <c r="J435" s="35"/>
      <c r="K435" s="35"/>
    </row>
    <row r="436" spans="10:11">
      <c r="J436" s="35"/>
      <c r="K436" s="35"/>
    </row>
    <row r="437" spans="10:11">
      <c r="J437" s="35"/>
      <c r="K437" s="35"/>
    </row>
    <row r="438" spans="10:11">
      <c r="J438" s="35"/>
      <c r="K438" s="35"/>
    </row>
    <row r="439" spans="10:11">
      <c r="J439" s="35"/>
      <c r="K439" s="35"/>
    </row>
    <row r="440" spans="10:11">
      <c r="J440" s="35"/>
      <c r="K440" s="35"/>
    </row>
    <row r="441" spans="10:11">
      <c r="J441" s="35"/>
      <c r="K441" s="35"/>
    </row>
    <row r="442" spans="10:11">
      <c r="J442" s="35"/>
      <c r="K442" s="35"/>
    </row>
    <row r="443" spans="10:11">
      <c r="J443" s="35"/>
      <c r="K443" s="35"/>
    </row>
    <row r="444" spans="10:11">
      <c r="J444" s="35"/>
      <c r="K444" s="35"/>
    </row>
    <row r="445" spans="10:11">
      <c r="J445" s="35"/>
      <c r="K445" s="35"/>
    </row>
    <row r="446" spans="10:11">
      <c r="J446" s="35"/>
      <c r="K446" s="35"/>
    </row>
    <row r="447" spans="10:11">
      <c r="J447" s="35"/>
      <c r="K447" s="35"/>
    </row>
    <row r="448" spans="10:11">
      <c r="J448" s="35"/>
      <c r="K448" s="35"/>
    </row>
    <row r="449" spans="10:11">
      <c r="J449" s="35"/>
      <c r="K449" s="35"/>
    </row>
    <row r="450" spans="10:11">
      <c r="J450" s="35"/>
      <c r="K450" s="35"/>
    </row>
    <row r="451" spans="10:11">
      <c r="J451" s="35"/>
      <c r="K451" s="35"/>
    </row>
    <row r="452" spans="10:11">
      <c r="J452" s="35"/>
      <c r="K452" s="35"/>
    </row>
    <row r="453" spans="10:11">
      <c r="J453" s="35"/>
      <c r="K453" s="35"/>
    </row>
    <row r="454" spans="10:11">
      <c r="J454" s="35"/>
      <c r="K454" s="35"/>
    </row>
    <row r="455" spans="10:11">
      <c r="J455" s="35"/>
      <c r="K455" s="35"/>
    </row>
    <row r="456" spans="10:11">
      <c r="J456" s="35"/>
      <c r="K456" s="35"/>
    </row>
    <row r="457" spans="10:11">
      <c r="J457" s="35"/>
      <c r="K457" s="35"/>
    </row>
    <row r="458" spans="10:11">
      <c r="J458" s="35"/>
      <c r="K458" s="35"/>
    </row>
    <row r="459" spans="10:11">
      <c r="J459" s="35"/>
      <c r="K459" s="35"/>
    </row>
    <row r="460" spans="10:11">
      <c r="J460" s="35"/>
      <c r="K460" s="35"/>
    </row>
    <row r="461" spans="10:11">
      <c r="J461" s="35"/>
      <c r="K461" s="35"/>
    </row>
    <row r="462" spans="10:11">
      <c r="J462" s="35"/>
      <c r="K462" s="35"/>
    </row>
    <row r="463" spans="10:11">
      <c r="J463" s="35"/>
      <c r="K463" s="35"/>
    </row>
    <row r="464" spans="10:11">
      <c r="J464" s="35"/>
      <c r="K464" s="35"/>
    </row>
    <row r="465" spans="10:11">
      <c r="J465" s="35"/>
      <c r="K465" s="35"/>
    </row>
    <row r="466" spans="10:11">
      <c r="J466" s="35"/>
      <c r="K466" s="35"/>
    </row>
    <row r="467" spans="10:11">
      <c r="J467" s="35"/>
      <c r="K467" s="35"/>
    </row>
    <row r="468" spans="10:11">
      <c r="J468" s="35"/>
      <c r="K468" s="35"/>
    </row>
    <row r="469" spans="10:11">
      <c r="J469" s="35"/>
      <c r="K469" s="35"/>
    </row>
    <row r="470" spans="10:11">
      <c r="J470" s="35"/>
      <c r="K470" s="35"/>
    </row>
    <row r="471" spans="10:11">
      <c r="J471" s="35"/>
      <c r="K471" s="35"/>
    </row>
    <row r="472" spans="10:11">
      <c r="J472" s="35"/>
      <c r="K472" s="35"/>
    </row>
    <row r="473" spans="10:11">
      <c r="J473" s="35"/>
      <c r="K473" s="35"/>
    </row>
    <row r="474" spans="10:11">
      <c r="J474" s="35"/>
      <c r="K474" s="35"/>
    </row>
    <row r="475" spans="10:11">
      <c r="J475" s="35"/>
      <c r="K475" s="35"/>
    </row>
    <row r="476" spans="10:11">
      <c r="J476" s="35"/>
      <c r="K476" s="35"/>
    </row>
    <row r="477" spans="10:11">
      <c r="J477" s="35"/>
      <c r="K477" s="35"/>
    </row>
    <row r="478" spans="10:11">
      <c r="J478" s="35"/>
      <c r="K478" s="35"/>
    </row>
    <row r="479" spans="10:11">
      <c r="J479" s="35"/>
      <c r="K479" s="35"/>
    </row>
    <row r="480" spans="10:11">
      <c r="J480" s="35"/>
      <c r="K480" s="35"/>
    </row>
    <row r="481" spans="10:11">
      <c r="J481" s="35"/>
      <c r="K481" s="35"/>
    </row>
    <row r="482" spans="10:11">
      <c r="J482" s="35"/>
      <c r="K482" s="35"/>
    </row>
    <row r="483" spans="10:11">
      <c r="J483" s="35"/>
      <c r="K483" s="35"/>
    </row>
    <row r="484" spans="10:11">
      <c r="J484" s="35"/>
      <c r="K484" s="35"/>
    </row>
    <row r="485" spans="10:11">
      <c r="J485" s="35"/>
      <c r="K485" s="35"/>
    </row>
    <row r="486" spans="10:11">
      <c r="J486" s="35"/>
      <c r="K486" s="35"/>
    </row>
    <row r="487" spans="10:11">
      <c r="J487" s="35"/>
      <c r="K487" s="35"/>
    </row>
    <row r="488" spans="10:11">
      <c r="J488" s="35"/>
      <c r="K488" s="35"/>
    </row>
    <row r="489" spans="10:11">
      <c r="J489" s="35"/>
      <c r="K489" s="35"/>
    </row>
    <row r="490" spans="10:11">
      <c r="J490" s="35"/>
      <c r="K490" s="35"/>
    </row>
    <row r="491" spans="10:11">
      <c r="J491" s="35"/>
      <c r="K491" s="35"/>
    </row>
    <row r="492" spans="10:11">
      <c r="J492" s="35"/>
      <c r="K492" s="35"/>
    </row>
    <row r="493" spans="10:11">
      <c r="J493" s="35"/>
      <c r="K493" s="35"/>
    </row>
    <row r="494" spans="10:11">
      <c r="J494" s="35"/>
      <c r="K494" s="35"/>
    </row>
    <row r="495" spans="10:11">
      <c r="J495" s="35"/>
      <c r="K495" s="35"/>
    </row>
    <row r="496" spans="10:11">
      <c r="J496" s="35"/>
      <c r="K496" s="35"/>
    </row>
    <row r="497" spans="10:11">
      <c r="J497" s="35"/>
      <c r="K497" s="35"/>
    </row>
    <row r="498" spans="10:11">
      <c r="J498" s="35"/>
      <c r="K498" s="35"/>
    </row>
    <row r="499" spans="10:11">
      <c r="J499" s="35"/>
      <c r="K499" s="35"/>
    </row>
    <row r="500" spans="10:11">
      <c r="J500" s="35"/>
      <c r="K500" s="35"/>
    </row>
    <row r="501" spans="10:11">
      <c r="J501" s="35"/>
      <c r="K501" s="35"/>
    </row>
    <row r="502" spans="10:11">
      <c r="J502" s="35"/>
      <c r="K502" s="35"/>
    </row>
    <row r="503" spans="10:11">
      <c r="J503" s="35"/>
      <c r="K503" s="35"/>
    </row>
    <row r="504" spans="10:11">
      <c r="J504" s="35"/>
      <c r="K504" s="35"/>
    </row>
    <row r="505" spans="10:11">
      <c r="J505" s="35"/>
      <c r="K505" s="35"/>
    </row>
    <row r="506" spans="10:11">
      <c r="J506" s="35"/>
      <c r="K506" s="35"/>
    </row>
    <row r="507" spans="10:11">
      <c r="J507" s="35"/>
      <c r="K507" s="35"/>
    </row>
    <row r="508" spans="10:11">
      <c r="J508" s="35"/>
      <c r="K508" s="35"/>
    </row>
    <row r="509" spans="10:11">
      <c r="J509" s="35"/>
      <c r="K509" s="35"/>
    </row>
    <row r="510" spans="10:11">
      <c r="J510" s="35"/>
      <c r="K510" s="35"/>
    </row>
    <row r="511" spans="10:11">
      <c r="J511" s="35"/>
      <c r="K511" s="35"/>
    </row>
    <row r="512" spans="10:11">
      <c r="J512" s="35"/>
      <c r="K512" s="35"/>
    </row>
    <row r="513" spans="10:11">
      <c r="J513" s="35"/>
      <c r="K513" s="35"/>
    </row>
    <row r="514" spans="10:11">
      <c r="J514" s="35"/>
      <c r="K514" s="35"/>
    </row>
    <row r="515" spans="10:11">
      <c r="J515" s="35"/>
      <c r="K515" s="35"/>
    </row>
    <row r="516" spans="10:11">
      <c r="J516" s="35"/>
      <c r="K516" s="35"/>
    </row>
    <row r="517" spans="10:11">
      <c r="J517" s="35"/>
      <c r="K517" s="35"/>
    </row>
    <row r="518" spans="10:11">
      <c r="J518" s="35"/>
      <c r="K518" s="35"/>
    </row>
    <row r="519" spans="10:11">
      <c r="J519" s="35"/>
      <c r="K519" s="35"/>
    </row>
    <row r="520" spans="10:11">
      <c r="J520" s="35"/>
      <c r="K520" s="35"/>
    </row>
    <row r="521" spans="10:11">
      <c r="J521" s="35"/>
      <c r="K521" s="35"/>
    </row>
    <row r="522" spans="10:11">
      <c r="J522" s="35"/>
      <c r="K522" s="35"/>
    </row>
    <row r="523" spans="10:11">
      <c r="J523" s="35"/>
      <c r="K523" s="35"/>
    </row>
    <row r="524" spans="10:11">
      <c r="J524" s="35"/>
      <c r="K524" s="35"/>
    </row>
    <row r="525" spans="10:11">
      <c r="J525" s="35"/>
      <c r="K525" s="35"/>
    </row>
    <row r="526" spans="10:11">
      <c r="J526" s="35"/>
      <c r="K526" s="35"/>
    </row>
    <row r="527" spans="10:11">
      <c r="J527" s="35"/>
      <c r="K527" s="35"/>
    </row>
    <row r="528" spans="10:11">
      <c r="J528" s="35"/>
      <c r="K528" s="35"/>
    </row>
    <row r="529" spans="10:11">
      <c r="J529" s="35"/>
      <c r="K529" s="35"/>
    </row>
    <row r="530" spans="10:11">
      <c r="J530" s="35"/>
      <c r="K530" s="35"/>
    </row>
    <row r="531" spans="10:11">
      <c r="J531" s="35"/>
      <c r="K531" s="35"/>
    </row>
    <row r="532" spans="10:11">
      <c r="J532" s="35"/>
      <c r="K532" s="35"/>
    </row>
    <row r="533" spans="10:11">
      <c r="J533" s="35"/>
      <c r="K533" s="35"/>
    </row>
    <row r="534" spans="10:11">
      <c r="J534" s="35"/>
      <c r="K534" s="35"/>
    </row>
    <row r="535" spans="10:11">
      <c r="J535" s="35"/>
      <c r="K535" s="35"/>
    </row>
    <row r="536" spans="10:11">
      <c r="J536" s="35"/>
      <c r="K536" s="35"/>
    </row>
    <row r="537" spans="10:11">
      <c r="J537" s="35"/>
      <c r="K537" s="35"/>
    </row>
    <row r="538" spans="10:11">
      <c r="J538" s="35"/>
      <c r="K538" s="35"/>
    </row>
    <row r="539" spans="10:11">
      <c r="J539" s="35"/>
      <c r="K539" s="35"/>
    </row>
    <row r="540" spans="10:11">
      <c r="J540" s="35"/>
      <c r="K540" s="35"/>
    </row>
    <row r="541" spans="10:11">
      <c r="J541" s="35"/>
      <c r="K541" s="35"/>
    </row>
    <row r="542" spans="10:11">
      <c r="J542" s="35"/>
      <c r="K542" s="35"/>
    </row>
    <row r="543" spans="10:11">
      <c r="J543" s="35"/>
      <c r="K543" s="35"/>
    </row>
    <row r="544" spans="10:11">
      <c r="J544" s="35"/>
      <c r="K544" s="35"/>
    </row>
    <row r="545" spans="10:11">
      <c r="J545" s="35"/>
      <c r="K545" s="35"/>
    </row>
    <row r="546" spans="10:11">
      <c r="J546" s="35"/>
      <c r="K546" s="35"/>
    </row>
    <row r="547" spans="10:11">
      <c r="J547" s="35"/>
      <c r="K547" s="35"/>
    </row>
    <row r="548" spans="10:11">
      <c r="J548" s="35"/>
      <c r="K548" s="35"/>
    </row>
    <row r="549" spans="10:11">
      <c r="J549" s="35"/>
      <c r="K549" s="35"/>
    </row>
    <row r="550" spans="10:11">
      <c r="J550" s="35"/>
      <c r="K550" s="35"/>
    </row>
    <row r="551" spans="10:11">
      <c r="J551" s="35"/>
      <c r="K551" s="35"/>
    </row>
    <row r="552" spans="10:11">
      <c r="J552" s="35"/>
      <c r="K552" s="35"/>
    </row>
    <row r="553" spans="10:11">
      <c r="J553" s="35"/>
      <c r="K553" s="35"/>
    </row>
    <row r="554" spans="10:11">
      <c r="J554" s="35"/>
      <c r="K554" s="35"/>
    </row>
    <row r="555" spans="10:11">
      <c r="J555" s="35"/>
      <c r="K555" s="35"/>
    </row>
    <row r="556" spans="10:11">
      <c r="J556" s="35"/>
      <c r="K556" s="35"/>
    </row>
    <row r="557" spans="10:11">
      <c r="J557" s="35"/>
      <c r="K557" s="35"/>
    </row>
    <row r="558" spans="10:11">
      <c r="J558" s="35"/>
      <c r="K558" s="35"/>
    </row>
    <row r="559" spans="10:11">
      <c r="J559" s="35"/>
      <c r="K559" s="35"/>
    </row>
    <row r="560" spans="10:11">
      <c r="J560" s="35"/>
      <c r="K560" s="35"/>
    </row>
    <row r="561" spans="10:11">
      <c r="J561" s="35"/>
      <c r="K561" s="35"/>
    </row>
    <row r="562" spans="10:11">
      <c r="J562" s="35"/>
      <c r="K562" s="35"/>
    </row>
    <row r="563" spans="10:11">
      <c r="J563" s="35"/>
      <c r="K563" s="35"/>
    </row>
    <row r="564" spans="10:11">
      <c r="J564" s="35"/>
      <c r="K564" s="35"/>
    </row>
    <row r="565" spans="10:11">
      <c r="J565" s="35"/>
      <c r="K565" s="35"/>
    </row>
    <row r="566" spans="10:11">
      <c r="J566" s="35"/>
      <c r="K566" s="35"/>
    </row>
    <row r="567" spans="10:11">
      <c r="J567" s="35"/>
      <c r="K567" s="35"/>
    </row>
    <row r="568" spans="10:11">
      <c r="J568" s="35"/>
      <c r="K568" s="35"/>
    </row>
    <row r="569" spans="10:11">
      <c r="J569" s="35"/>
      <c r="K569" s="35"/>
    </row>
    <row r="570" spans="10:11">
      <c r="J570" s="35"/>
      <c r="K570" s="35"/>
    </row>
    <row r="571" spans="10:11">
      <c r="J571" s="35"/>
      <c r="K571" s="35"/>
    </row>
    <row r="572" spans="10:11">
      <c r="J572" s="35"/>
      <c r="K572" s="35"/>
    </row>
    <row r="573" spans="10:11">
      <c r="J573" s="35"/>
      <c r="K573" s="35"/>
    </row>
    <row r="574" spans="10:11">
      <c r="J574" s="35"/>
      <c r="K574" s="35"/>
    </row>
    <row r="575" spans="10:11">
      <c r="J575" s="35"/>
      <c r="K575" s="35"/>
    </row>
    <row r="576" spans="10:11">
      <c r="J576" s="35"/>
      <c r="K576" s="35"/>
    </row>
    <row r="577" spans="10:11">
      <c r="J577" s="35"/>
      <c r="K577" s="35"/>
    </row>
    <row r="578" spans="10:11">
      <c r="J578" s="35"/>
      <c r="K578" s="35"/>
    </row>
    <row r="579" spans="10:11">
      <c r="J579" s="35"/>
      <c r="K579" s="35"/>
    </row>
    <row r="580" spans="10:11">
      <c r="J580" s="35"/>
      <c r="K580" s="35"/>
    </row>
    <row r="581" spans="10:11">
      <c r="J581" s="35"/>
      <c r="K581" s="35"/>
    </row>
    <row r="582" spans="10:11">
      <c r="J582" s="35"/>
      <c r="K582" s="35"/>
    </row>
    <row r="583" spans="10:11">
      <c r="J583" s="35"/>
      <c r="K583" s="35"/>
    </row>
    <row r="584" spans="10:11">
      <c r="J584" s="35"/>
      <c r="K584" s="35"/>
    </row>
    <row r="585" spans="10:11">
      <c r="J585" s="35"/>
      <c r="K585" s="35"/>
    </row>
    <row r="586" spans="10:11">
      <c r="J586" s="35"/>
      <c r="K586" s="35"/>
    </row>
    <row r="587" spans="10:11">
      <c r="J587" s="35"/>
      <c r="K587" s="35"/>
    </row>
    <row r="588" spans="10:11">
      <c r="J588" s="35"/>
      <c r="K588" s="35"/>
    </row>
    <row r="589" spans="10:11">
      <c r="J589" s="35"/>
      <c r="K589" s="35"/>
    </row>
    <row r="590" spans="10:11">
      <c r="J590" s="35"/>
      <c r="K590" s="35"/>
    </row>
    <row r="591" spans="10:11">
      <c r="J591" s="35"/>
      <c r="K591" s="35"/>
    </row>
    <row r="592" spans="10:11">
      <c r="J592" s="35"/>
      <c r="K592" s="35"/>
    </row>
    <row r="593" spans="10:11">
      <c r="J593" s="35"/>
      <c r="K593" s="35"/>
    </row>
    <row r="594" spans="10:11">
      <c r="J594" s="35"/>
      <c r="K594" s="35"/>
    </row>
    <row r="595" spans="10:11">
      <c r="J595" s="35"/>
      <c r="K595" s="35"/>
    </row>
    <row r="596" spans="10:11">
      <c r="J596" s="35"/>
      <c r="K596" s="35"/>
    </row>
    <row r="597" spans="10:11">
      <c r="J597" s="35"/>
      <c r="K597" s="35"/>
    </row>
    <row r="598" spans="10:11">
      <c r="J598" s="35"/>
      <c r="K598" s="35"/>
    </row>
    <row r="599" spans="10:11">
      <c r="J599" s="35"/>
      <c r="K599" s="35"/>
    </row>
    <row r="600" spans="10:11">
      <c r="J600" s="35"/>
      <c r="K600" s="35"/>
    </row>
    <row r="601" spans="10:11">
      <c r="J601" s="35"/>
      <c r="K601" s="35"/>
    </row>
    <row r="602" spans="10:11">
      <c r="J602" s="35"/>
      <c r="K602" s="35"/>
    </row>
    <row r="603" spans="10:11">
      <c r="J603" s="35"/>
      <c r="K603" s="35"/>
    </row>
    <row r="604" spans="10:11">
      <c r="J604" s="35"/>
      <c r="K604" s="35"/>
    </row>
    <row r="605" spans="10:11">
      <c r="J605" s="35"/>
      <c r="K605" s="35"/>
    </row>
    <row r="606" spans="10:11">
      <c r="J606" s="35"/>
      <c r="K606" s="35"/>
    </row>
    <row r="607" spans="10:11">
      <c r="J607" s="35"/>
      <c r="K607" s="35"/>
    </row>
    <row r="608" spans="10:11">
      <c r="J608" s="35"/>
      <c r="K608" s="35"/>
    </row>
    <row r="609" spans="10:11">
      <c r="J609" s="35"/>
      <c r="K609" s="35"/>
    </row>
    <row r="610" spans="10:11">
      <c r="J610" s="35"/>
      <c r="K610" s="35"/>
    </row>
    <row r="611" spans="10:11">
      <c r="J611" s="35"/>
      <c r="K611" s="35"/>
    </row>
    <row r="612" spans="10:11">
      <c r="J612" s="35"/>
      <c r="K612" s="35"/>
    </row>
    <row r="613" spans="10:11">
      <c r="J613" s="35"/>
      <c r="K613" s="35"/>
    </row>
    <row r="614" spans="10:11">
      <c r="J614" s="35"/>
      <c r="K614" s="35"/>
    </row>
    <row r="615" spans="10:11">
      <c r="J615" s="35"/>
      <c r="K615" s="35"/>
    </row>
    <row r="616" spans="10:11">
      <c r="J616" s="35"/>
      <c r="K616" s="35"/>
    </row>
    <row r="617" spans="10:11">
      <c r="J617" s="35"/>
      <c r="K617" s="35"/>
    </row>
    <row r="618" spans="10:11">
      <c r="J618" s="35"/>
      <c r="K618" s="35"/>
    </row>
    <row r="619" spans="10:11">
      <c r="J619" s="35"/>
      <c r="K619" s="35"/>
    </row>
    <row r="620" spans="10:11">
      <c r="J620" s="35"/>
      <c r="K620" s="35"/>
    </row>
    <row r="621" spans="10:11">
      <c r="J621" s="35"/>
      <c r="K621" s="35"/>
    </row>
    <row r="622" spans="10:11">
      <c r="J622" s="35"/>
      <c r="K622" s="35"/>
    </row>
    <row r="623" spans="10:11">
      <c r="J623" s="35"/>
      <c r="K623" s="35"/>
    </row>
    <row r="624" spans="10:11">
      <c r="J624" s="35"/>
      <c r="K624" s="35"/>
    </row>
    <row r="625" spans="10:11">
      <c r="J625" s="35"/>
      <c r="K625" s="35"/>
    </row>
    <row r="626" spans="10:11">
      <c r="J626" s="35"/>
      <c r="K626" s="35"/>
    </row>
    <row r="627" spans="10:11">
      <c r="J627" s="35"/>
      <c r="K627" s="35"/>
    </row>
    <row r="628" spans="10:11">
      <c r="J628" s="35"/>
      <c r="K628" s="35"/>
    </row>
    <row r="629" spans="10:11">
      <c r="J629" s="35"/>
      <c r="K629" s="35"/>
    </row>
    <row r="630" spans="10:11">
      <c r="J630" s="35"/>
      <c r="K630" s="35"/>
    </row>
    <row r="631" spans="10:11">
      <c r="J631" s="35"/>
      <c r="K631" s="35"/>
    </row>
    <row r="632" spans="10:11">
      <c r="J632" s="35"/>
      <c r="K632" s="35"/>
    </row>
    <row r="633" spans="10:11">
      <c r="J633" s="35"/>
      <c r="K633" s="35"/>
    </row>
    <row r="634" spans="10:11">
      <c r="J634" s="35"/>
      <c r="K634" s="35"/>
    </row>
    <row r="635" spans="10:11">
      <c r="J635" s="35"/>
      <c r="K635" s="35"/>
    </row>
    <row r="636" spans="10:11">
      <c r="J636" s="35"/>
      <c r="K636" s="35"/>
    </row>
    <row r="637" spans="10:11">
      <c r="J637" s="35"/>
      <c r="K637" s="35"/>
    </row>
    <row r="638" spans="10:11">
      <c r="J638" s="35"/>
      <c r="K638" s="35"/>
    </row>
    <row r="639" spans="10:11">
      <c r="J639" s="35"/>
      <c r="K639" s="35"/>
    </row>
    <row r="640" spans="10:11">
      <c r="J640" s="35"/>
      <c r="K640" s="35"/>
    </row>
    <row r="641" spans="10:11">
      <c r="J641" s="35"/>
      <c r="K641" s="35"/>
    </row>
    <row r="642" spans="10:11">
      <c r="J642" s="35"/>
      <c r="K642" s="35"/>
    </row>
    <row r="643" spans="10:11">
      <c r="J643" s="35"/>
      <c r="K643" s="35"/>
    </row>
    <row r="644" spans="10:11">
      <c r="J644" s="35"/>
      <c r="K644" s="35"/>
    </row>
    <row r="645" spans="10:11">
      <c r="J645" s="35"/>
      <c r="K645" s="35"/>
    </row>
    <row r="646" spans="10:11">
      <c r="J646" s="35"/>
      <c r="K646" s="35"/>
    </row>
    <row r="647" spans="10:11">
      <c r="J647" s="35"/>
      <c r="K647" s="35"/>
    </row>
    <row r="648" spans="10:11">
      <c r="J648" s="35"/>
      <c r="K648" s="35"/>
    </row>
    <row r="649" spans="10:11">
      <c r="J649" s="35"/>
      <c r="K649" s="35"/>
    </row>
    <row r="650" spans="10:11">
      <c r="J650" s="35"/>
      <c r="K650" s="35"/>
    </row>
    <row r="651" spans="10:11">
      <c r="J651" s="35"/>
      <c r="K651" s="35"/>
    </row>
    <row r="652" spans="10:11">
      <c r="J652" s="35"/>
      <c r="K652" s="35"/>
    </row>
    <row r="653" spans="10:11">
      <c r="J653" s="35"/>
      <c r="K653" s="35"/>
    </row>
    <row r="654" spans="10:11">
      <c r="J654" s="35"/>
      <c r="K654" s="35"/>
    </row>
    <row r="655" spans="10:11">
      <c r="J655" s="35"/>
      <c r="K655" s="35"/>
    </row>
    <row r="656" spans="10:11">
      <c r="J656" s="35"/>
      <c r="K656" s="35"/>
    </row>
    <row r="657" spans="10:11">
      <c r="J657" s="35"/>
      <c r="K657" s="35"/>
    </row>
    <row r="658" spans="10:11">
      <c r="J658" s="35"/>
      <c r="K658" s="35"/>
    </row>
    <row r="659" spans="10:11">
      <c r="J659" s="35"/>
      <c r="K659" s="35"/>
    </row>
    <row r="660" spans="10:11">
      <c r="J660" s="35"/>
      <c r="K660" s="35"/>
    </row>
    <row r="661" spans="10:11">
      <c r="J661" s="35"/>
      <c r="K661" s="35"/>
    </row>
    <row r="662" spans="10:11">
      <c r="J662" s="35"/>
      <c r="K662" s="35"/>
    </row>
    <row r="663" spans="10:11">
      <c r="J663" s="35"/>
      <c r="K663" s="35"/>
    </row>
    <row r="664" spans="10:11">
      <c r="J664" s="35"/>
      <c r="K664" s="35"/>
    </row>
    <row r="665" spans="10:11">
      <c r="J665" s="35"/>
      <c r="K665" s="35"/>
    </row>
    <row r="666" spans="10:11">
      <c r="J666" s="35"/>
      <c r="K666" s="35"/>
    </row>
    <row r="667" spans="10:11">
      <c r="J667" s="35"/>
      <c r="K667" s="35"/>
    </row>
    <row r="668" spans="10:11">
      <c r="J668" s="35"/>
      <c r="K668" s="35"/>
    </row>
    <row r="669" spans="10:11">
      <c r="J669" s="35"/>
      <c r="K669" s="35"/>
    </row>
    <row r="670" spans="10:11">
      <c r="J670" s="35"/>
      <c r="K670" s="35"/>
    </row>
    <row r="671" spans="10:11">
      <c r="J671" s="35"/>
      <c r="K671" s="35"/>
    </row>
    <row r="672" spans="10:11">
      <c r="J672" s="35"/>
      <c r="K672" s="35"/>
    </row>
    <row r="673" spans="10:11">
      <c r="J673" s="35"/>
      <c r="K673" s="35"/>
    </row>
    <row r="674" spans="10:11">
      <c r="J674" s="35"/>
      <c r="K674" s="35"/>
    </row>
    <row r="675" spans="10:11">
      <c r="J675" s="35"/>
      <c r="K675" s="35"/>
    </row>
    <row r="676" spans="10:11">
      <c r="J676" s="35"/>
      <c r="K676" s="35"/>
    </row>
    <row r="677" spans="10:11">
      <c r="J677" s="35"/>
      <c r="K677" s="35"/>
    </row>
    <row r="678" spans="10:11">
      <c r="J678" s="35"/>
      <c r="K678" s="35"/>
    </row>
    <row r="679" spans="10:11">
      <c r="J679" s="35"/>
      <c r="K679" s="35"/>
    </row>
    <row r="680" spans="10:11">
      <c r="J680" s="35"/>
      <c r="K680" s="35"/>
    </row>
    <row r="681" spans="10:11">
      <c r="J681" s="35"/>
      <c r="K681" s="35"/>
    </row>
    <row r="682" spans="10:11">
      <c r="J682" s="35"/>
      <c r="K682" s="35"/>
    </row>
    <row r="683" spans="10:11">
      <c r="J683" s="35"/>
      <c r="K683" s="35"/>
    </row>
    <row r="684" spans="10:11">
      <c r="J684" s="35"/>
      <c r="K684" s="35"/>
    </row>
    <row r="685" spans="10:11">
      <c r="J685" s="35"/>
      <c r="K685" s="35"/>
    </row>
    <row r="686" spans="10:11">
      <c r="J686" s="35"/>
      <c r="K686" s="35"/>
    </row>
    <row r="687" spans="10:11">
      <c r="J687" s="35"/>
      <c r="K687" s="35"/>
    </row>
    <row r="688" spans="10:11">
      <c r="J688" s="35"/>
      <c r="K688" s="35"/>
    </row>
    <row r="689" spans="10:11">
      <c r="J689" s="35"/>
      <c r="K689" s="35"/>
    </row>
    <row r="690" spans="10:11">
      <c r="J690" s="35"/>
      <c r="K690" s="35"/>
    </row>
    <row r="691" spans="10:11">
      <c r="J691" s="35"/>
      <c r="K691" s="35"/>
    </row>
    <row r="692" spans="10:11">
      <c r="J692" s="35"/>
      <c r="K692" s="35"/>
    </row>
    <row r="693" spans="10:11">
      <c r="J693" s="35"/>
      <c r="K693" s="35"/>
    </row>
    <row r="694" spans="10:11">
      <c r="J694" s="35"/>
      <c r="K694" s="35"/>
    </row>
    <row r="695" spans="10:11">
      <c r="J695" s="35"/>
      <c r="K695" s="35"/>
    </row>
    <row r="696" spans="10:11">
      <c r="J696" s="35"/>
      <c r="K696" s="35"/>
    </row>
    <row r="697" spans="10:11">
      <c r="J697" s="35"/>
      <c r="K697" s="35"/>
    </row>
    <row r="698" spans="10:11">
      <c r="J698" s="35"/>
      <c r="K698" s="35"/>
    </row>
    <row r="699" spans="10:11">
      <c r="J699" s="35"/>
      <c r="K699" s="35"/>
    </row>
    <row r="700" spans="10:11">
      <c r="J700" s="35"/>
      <c r="K700" s="35"/>
    </row>
    <row r="701" spans="10:11">
      <c r="J701" s="35"/>
      <c r="K701" s="35"/>
    </row>
    <row r="702" spans="10:11">
      <c r="J702" s="35"/>
      <c r="K702" s="35"/>
    </row>
    <row r="703" spans="10:11">
      <c r="J703" s="35"/>
      <c r="K703" s="35"/>
    </row>
    <row r="704" spans="10:11">
      <c r="J704" s="35"/>
      <c r="K704" s="35"/>
    </row>
    <row r="705" spans="10:11">
      <c r="J705" s="35"/>
      <c r="K705" s="35"/>
    </row>
    <row r="706" spans="10:11">
      <c r="J706" s="35"/>
      <c r="K706" s="35"/>
    </row>
    <row r="707" spans="10:11">
      <c r="J707" s="35"/>
      <c r="K707" s="35"/>
    </row>
    <row r="708" spans="10:11">
      <c r="J708" s="35"/>
      <c r="K708" s="35"/>
    </row>
    <row r="709" spans="10:11">
      <c r="J709" s="35"/>
      <c r="K709" s="35"/>
    </row>
    <row r="710" spans="10:11">
      <c r="J710" s="35"/>
      <c r="K710" s="35"/>
    </row>
    <row r="711" spans="10:11">
      <c r="J711" s="35"/>
      <c r="K711" s="35"/>
    </row>
    <row r="712" spans="10:11">
      <c r="J712" s="35"/>
      <c r="K712" s="35"/>
    </row>
    <row r="713" spans="10:11">
      <c r="J713" s="35"/>
      <c r="K713" s="35"/>
    </row>
    <row r="714" spans="10:11">
      <c r="J714" s="35"/>
      <c r="K714" s="35"/>
    </row>
    <row r="715" spans="10:11">
      <c r="J715" s="35"/>
      <c r="K715" s="35"/>
    </row>
    <row r="716" spans="10:11">
      <c r="J716" s="35"/>
      <c r="K716" s="35"/>
    </row>
    <row r="717" spans="10:11">
      <c r="J717" s="35"/>
      <c r="K717" s="35"/>
    </row>
    <row r="718" spans="10:11">
      <c r="J718" s="35"/>
      <c r="K718" s="35"/>
    </row>
    <row r="719" spans="10:11">
      <c r="J719" s="35"/>
      <c r="K719" s="35"/>
    </row>
    <row r="720" spans="10:11">
      <c r="J720" s="35"/>
      <c r="K720" s="35"/>
    </row>
    <row r="721" spans="10:11">
      <c r="J721" s="35"/>
      <c r="K721" s="35"/>
    </row>
    <row r="722" spans="10:11">
      <c r="J722" s="35"/>
      <c r="K722" s="35"/>
    </row>
    <row r="723" spans="10:11">
      <c r="J723" s="35"/>
      <c r="K723" s="35"/>
    </row>
    <row r="724" spans="10:11">
      <c r="J724" s="35"/>
      <c r="K724" s="35"/>
    </row>
    <row r="725" spans="10:11">
      <c r="J725" s="35"/>
      <c r="K725" s="35"/>
    </row>
    <row r="726" spans="10:11">
      <c r="J726" s="35"/>
      <c r="K726" s="35"/>
    </row>
    <row r="727" spans="10:11">
      <c r="J727" s="35"/>
      <c r="K727" s="35"/>
    </row>
    <row r="728" spans="10:11">
      <c r="J728" s="35"/>
      <c r="K728" s="35"/>
    </row>
    <row r="729" spans="10:11">
      <c r="J729" s="35"/>
      <c r="K729" s="35"/>
    </row>
    <row r="730" spans="10:11">
      <c r="J730" s="35"/>
      <c r="K730" s="35"/>
    </row>
    <row r="731" spans="10:11">
      <c r="J731" s="35"/>
      <c r="K731" s="35"/>
    </row>
    <row r="732" spans="10:11">
      <c r="J732" s="35"/>
      <c r="K732" s="35"/>
    </row>
    <row r="733" spans="10:11">
      <c r="J733" s="35"/>
      <c r="K733" s="35"/>
    </row>
    <row r="734" spans="10:11">
      <c r="J734" s="35"/>
      <c r="K734" s="35"/>
    </row>
    <row r="735" spans="10:11">
      <c r="J735" s="35"/>
      <c r="K735" s="35"/>
    </row>
    <row r="736" spans="10:11">
      <c r="J736" s="35"/>
      <c r="K736" s="35"/>
    </row>
    <row r="737" spans="10:11">
      <c r="J737" s="35"/>
      <c r="K737" s="35"/>
    </row>
    <row r="738" spans="10:11">
      <c r="J738" s="35"/>
      <c r="K738" s="35"/>
    </row>
    <row r="739" spans="10:11">
      <c r="J739" s="35"/>
      <c r="K739" s="35"/>
    </row>
    <row r="740" spans="10:11">
      <c r="J740" s="35"/>
      <c r="K740" s="35"/>
    </row>
    <row r="741" spans="10:11">
      <c r="J741" s="35"/>
      <c r="K741" s="35"/>
    </row>
    <row r="742" spans="10:11">
      <c r="J742" s="35"/>
      <c r="K742" s="35"/>
    </row>
    <row r="743" spans="10:11">
      <c r="J743" s="35"/>
      <c r="K743" s="35"/>
    </row>
    <row r="744" spans="10:11">
      <c r="J744" s="35"/>
      <c r="K744" s="35"/>
    </row>
    <row r="745" spans="10:11">
      <c r="J745" s="35"/>
      <c r="K745" s="35"/>
    </row>
    <row r="746" spans="10:11">
      <c r="J746" s="35"/>
      <c r="K746" s="35"/>
    </row>
    <row r="747" spans="10:11">
      <c r="J747" s="35"/>
      <c r="K747" s="35"/>
    </row>
    <row r="748" spans="10:11">
      <c r="J748" s="35"/>
      <c r="K748" s="35"/>
    </row>
    <row r="749" spans="10:11">
      <c r="J749" s="35"/>
      <c r="K749" s="35"/>
    </row>
    <row r="750" spans="10:11">
      <c r="J750" s="35"/>
      <c r="K750" s="35"/>
    </row>
    <row r="751" spans="10:11">
      <c r="J751" s="35"/>
      <c r="K751" s="35"/>
    </row>
    <row r="752" spans="10:11">
      <c r="J752" s="35"/>
      <c r="K752" s="35"/>
    </row>
    <row r="753" spans="10:11">
      <c r="J753" s="35"/>
      <c r="K753" s="35"/>
    </row>
    <row r="754" spans="10:11">
      <c r="J754" s="35"/>
      <c r="K754" s="35"/>
    </row>
    <row r="755" spans="10:11">
      <c r="J755" s="35"/>
      <c r="K755" s="35"/>
    </row>
    <row r="756" spans="10:11">
      <c r="J756" s="35"/>
      <c r="K756" s="35"/>
    </row>
    <row r="757" spans="10:11">
      <c r="J757" s="35"/>
      <c r="K757" s="35"/>
    </row>
    <row r="758" spans="10:11">
      <c r="J758" s="35"/>
      <c r="K758" s="35"/>
    </row>
    <row r="759" spans="10:11">
      <c r="J759" s="35"/>
      <c r="K759" s="35"/>
    </row>
    <row r="760" spans="10:11">
      <c r="J760" s="35"/>
      <c r="K760" s="35"/>
    </row>
    <row r="761" spans="10:11">
      <c r="J761" s="35"/>
      <c r="K761" s="35"/>
    </row>
    <row r="762" spans="10:11">
      <c r="J762" s="35"/>
      <c r="K762" s="35"/>
    </row>
    <row r="763" spans="10:11">
      <c r="J763" s="35"/>
      <c r="K763" s="35"/>
    </row>
    <row r="764" spans="10:11">
      <c r="J764" s="35"/>
      <c r="K764" s="35"/>
    </row>
    <row r="765" spans="10:11">
      <c r="J765" s="35"/>
      <c r="K765" s="35"/>
    </row>
    <row r="766" spans="10:11">
      <c r="J766" s="35"/>
      <c r="K766" s="35"/>
    </row>
    <row r="767" spans="10:11">
      <c r="J767" s="35"/>
      <c r="K767" s="35"/>
    </row>
    <row r="768" spans="10:11">
      <c r="J768" s="35"/>
      <c r="K768" s="35"/>
    </row>
    <row r="769" spans="10:11">
      <c r="J769" s="35"/>
      <c r="K769" s="35"/>
    </row>
    <row r="770" spans="10:11">
      <c r="J770" s="35"/>
      <c r="K770" s="35"/>
    </row>
    <row r="771" spans="10:11">
      <c r="J771" s="35"/>
      <c r="K771" s="35"/>
    </row>
    <row r="772" spans="10:11">
      <c r="J772" s="35"/>
      <c r="K772" s="35"/>
    </row>
    <row r="773" spans="10:11">
      <c r="J773" s="35"/>
      <c r="K773" s="35"/>
    </row>
    <row r="774" spans="10:11">
      <c r="J774" s="35"/>
      <c r="K774" s="35"/>
    </row>
    <row r="775" spans="10:11">
      <c r="J775" s="35"/>
      <c r="K775" s="35"/>
    </row>
    <row r="776" spans="10:11">
      <c r="J776" s="35"/>
      <c r="K776" s="35"/>
    </row>
    <row r="777" spans="10:11">
      <c r="J777" s="35"/>
      <c r="K777" s="35"/>
    </row>
    <row r="778" spans="10:11">
      <c r="J778" s="35"/>
      <c r="K778" s="35"/>
    </row>
    <row r="779" spans="10:11">
      <c r="J779" s="35"/>
      <c r="K779" s="35"/>
    </row>
    <row r="780" spans="10:11">
      <c r="J780" s="35"/>
      <c r="K780" s="35"/>
    </row>
    <row r="781" spans="10:11">
      <c r="J781" s="35"/>
      <c r="K781" s="35"/>
    </row>
    <row r="782" spans="10:11">
      <c r="J782" s="35"/>
      <c r="K782" s="35"/>
    </row>
    <row r="783" spans="10:11">
      <c r="J783" s="35"/>
      <c r="K783" s="35"/>
    </row>
    <row r="784" spans="10:11">
      <c r="J784" s="35"/>
      <c r="K784" s="35"/>
    </row>
    <row r="785" spans="10:11">
      <c r="J785" s="35"/>
      <c r="K785" s="35"/>
    </row>
    <row r="786" spans="10:11">
      <c r="J786" s="35"/>
      <c r="K786" s="35"/>
    </row>
    <row r="787" spans="10:11">
      <c r="J787" s="35"/>
      <c r="K787" s="35"/>
    </row>
    <row r="788" spans="10:11">
      <c r="J788" s="35"/>
      <c r="K788" s="35"/>
    </row>
    <row r="789" spans="10:11">
      <c r="J789" s="35"/>
      <c r="K789" s="35"/>
    </row>
    <row r="790" spans="10:11">
      <c r="J790" s="35"/>
      <c r="K790" s="35"/>
    </row>
    <row r="791" spans="10:11">
      <c r="J791" s="35"/>
      <c r="K791" s="35"/>
    </row>
    <row r="792" spans="10:11">
      <c r="J792" s="35"/>
      <c r="K792" s="35"/>
    </row>
    <row r="793" spans="10:11">
      <c r="J793" s="35"/>
      <c r="K793" s="35"/>
    </row>
    <row r="794" spans="10:11">
      <c r="J794" s="35"/>
      <c r="K794" s="35"/>
    </row>
    <row r="795" spans="10:11">
      <c r="J795" s="35"/>
      <c r="K795" s="35"/>
    </row>
    <row r="796" spans="10:11">
      <c r="J796" s="35"/>
      <c r="K796" s="35"/>
    </row>
    <row r="797" spans="10:11">
      <c r="J797" s="35"/>
      <c r="K797" s="35"/>
    </row>
    <row r="798" spans="10:11">
      <c r="J798" s="35"/>
      <c r="K798" s="35"/>
    </row>
    <row r="799" spans="10:11">
      <c r="J799" s="35"/>
      <c r="K799" s="35"/>
    </row>
    <row r="800" spans="10:11">
      <c r="J800" s="35"/>
      <c r="K800" s="35"/>
    </row>
    <row r="801" spans="10:11">
      <c r="J801" s="35"/>
      <c r="K801" s="35"/>
    </row>
    <row r="802" spans="10:11">
      <c r="J802" s="35"/>
      <c r="K802" s="35"/>
    </row>
    <row r="803" spans="10:11">
      <c r="J803" s="35"/>
      <c r="K803" s="35"/>
    </row>
    <row r="804" spans="10:11">
      <c r="J804" s="35"/>
      <c r="K804" s="35"/>
    </row>
    <row r="805" spans="10:11">
      <c r="J805" s="35"/>
      <c r="K805" s="35"/>
    </row>
    <row r="806" spans="10:11">
      <c r="J806" s="35"/>
      <c r="K806" s="35"/>
    </row>
    <row r="807" spans="10:11">
      <c r="J807" s="35"/>
      <c r="K807" s="35"/>
    </row>
    <row r="808" spans="10:11">
      <c r="J808" s="35"/>
      <c r="K808" s="35"/>
    </row>
    <row r="809" spans="10:11">
      <c r="J809" s="35"/>
      <c r="K809" s="35"/>
    </row>
    <row r="810" spans="10:11">
      <c r="J810" s="35"/>
      <c r="K810" s="35"/>
    </row>
    <row r="811" spans="10:11">
      <c r="J811" s="35"/>
      <c r="K811" s="35"/>
    </row>
    <row r="812" spans="10:11">
      <c r="J812" s="35"/>
      <c r="K812" s="35"/>
    </row>
    <row r="813" spans="10:11">
      <c r="J813" s="35"/>
      <c r="K813" s="35"/>
    </row>
    <row r="814" spans="10:11">
      <c r="J814" s="35"/>
      <c r="K814" s="35"/>
    </row>
    <row r="815" spans="10:11">
      <c r="J815" s="35"/>
      <c r="K815" s="35"/>
    </row>
    <row r="816" spans="10:11">
      <c r="J816" s="35"/>
      <c r="K816" s="35"/>
    </row>
    <row r="817" spans="10:11">
      <c r="J817" s="35"/>
      <c r="K817" s="35"/>
    </row>
    <row r="818" spans="10:11">
      <c r="J818" s="35"/>
      <c r="K818" s="35"/>
    </row>
    <row r="819" spans="10:11">
      <c r="J819" s="35"/>
      <c r="K819" s="35"/>
    </row>
    <row r="820" spans="10:11">
      <c r="J820" s="35"/>
      <c r="K820" s="35"/>
    </row>
    <row r="821" spans="10:11">
      <c r="J821" s="35"/>
      <c r="K821" s="35"/>
    </row>
    <row r="822" spans="10:11">
      <c r="J822" s="35"/>
      <c r="K822" s="35"/>
    </row>
    <row r="823" spans="10:11">
      <c r="J823" s="35"/>
      <c r="K823" s="35"/>
    </row>
    <row r="824" spans="10:11">
      <c r="J824" s="35"/>
      <c r="K824" s="35"/>
    </row>
    <row r="825" spans="10:11">
      <c r="J825" s="35"/>
      <c r="K825" s="35"/>
    </row>
    <row r="826" spans="10:11">
      <c r="J826" s="35"/>
      <c r="K826" s="35"/>
    </row>
    <row r="827" spans="10:11">
      <c r="J827" s="35"/>
      <c r="K827" s="35"/>
    </row>
    <row r="828" spans="10:11">
      <c r="J828" s="35"/>
      <c r="K828" s="35"/>
    </row>
    <row r="829" spans="10:11">
      <c r="J829" s="35"/>
      <c r="K829" s="35"/>
    </row>
    <row r="830" spans="10:11">
      <c r="J830" s="35"/>
      <c r="K830" s="35"/>
    </row>
    <row r="831" spans="10:11">
      <c r="J831" s="35"/>
      <c r="K831" s="35"/>
    </row>
    <row r="832" spans="10:11">
      <c r="J832" s="35"/>
      <c r="K832" s="35"/>
    </row>
    <row r="833" spans="10:11">
      <c r="J833" s="35"/>
      <c r="K833" s="35"/>
    </row>
    <row r="834" spans="10:11">
      <c r="J834" s="35"/>
      <c r="K834" s="35"/>
    </row>
    <row r="835" spans="10:11">
      <c r="J835" s="35"/>
      <c r="K835" s="35"/>
    </row>
    <row r="836" spans="10:11">
      <c r="J836" s="35"/>
      <c r="K836" s="35"/>
    </row>
    <row r="837" spans="10:11">
      <c r="J837" s="35"/>
      <c r="K837" s="35"/>
    </row>
    <row r="838" spans="10:11">
      <c r="J838" s="35"/>
      <c r="K838" s="35"/>
    </row>
    <row r="839" spans="10:11">
      <c r="J839" s="35"/>
      <c r="K839" s="35"/>
    </row>
    <row r="840" spans="10:11">
      <c r="J840" s="35"/>
      <c r="K840" s="35"/>
    </row>
    <row r="841" spans="10:11">
      <c r="J841" s="35"/>
      <c r="K841" s="35"/>
    </row>
    <row r="842" spans="10:11">
      <c r="J842" s="35"/>
      <c r="K842" s="35"/>
    </row>
    <row r="843" spans="10:11">
      <c r="J843" s="35"/>
      <c r="K843" s="35"/>
    </row>
    <row r="844" spans="10:11">
      <c r="J844" s="35"/>
      <c r="K844" s="35"/>
    </row>
    <row r="845" spans="10:11">
      <c r="J845" s="35"/>
      <c r="K845" s="35"/>
    </row>
    <row r="846" spans="10:11">
      <c r="J846" s="35"/>
      <c r="K846" s="35"/>
    </row>
    <row r="847" spans="10:11">
      <c r="J847" s="35"/>
      <c r="K847" s="35"/>
    </row>
    <row r="848" spans="10:11">
      <c r="J848" s="35"/>
      <c r="K848" s="35"/>
    </row>
    <row r="849" spans="10:11">
      <c r="J849" s="35"/>
      <c r="K849" s="35"/>
    </row>
    <row r="850" spans="10:11">
      <c r="J850" s="35"/>
      <c r="K850" s="35"/>
    </row>
    <row r="851" spans="10:11">
      <c r="J851" s="35"/>
      <c r="K851" s="35"/>
    </row>
    <row r="852" spans="10:11">
      <c r="J852" s="35"/>
      <c r="K852" s="35"/>
    </row>
    <row r="853" spans="10:11">
      <c r="J853" s="35"/>
      <c r="K853" s="35"/>
    </row>
    <row r="854" spans="10:11">
      <c r="J854" s="35"/>
      <c r="K854" s="35"/>
    </row>
    <row r="855" spans="10:11">
      <c r="J855" s="35"/>
      <c r="K855" s="35"/>
    </row>
    <row r="856" spans="10:11">
      <c r="J856" s="35"/>
      <c r="K856" s="35"/>
    </row>
    <row r="857" spans="10:11">
      <c r="J857" s="35"/>
      <c r="K857" s="35"/>
    </row>
    <row r="858" spans="10:11">
      <c r="J858" s="35"/>
      <c r="K858" s="35"/>
    </row>
    <row r="859" spans="10:11">
      <c r="J859" s="35"/>
      <c r="K859" s="35"/>
    </row>
    <row r="860" spans="10:11">
      <c r="J860" s="35"/>
      <c r="K860" s="35"/>
    </row>
    <row r="861" spans="10:11">
      <c r="J861" s="35"/>
      <c r="K861" s="35"/>
    </row>
    <row r="862" spans="10:11">
      <c r="J862" s="35"/>
      <c r="K862" s="35"/>
    </row>
    <row r="863" spans="10:11">
      <c r="J863" s="35"/>
      <c r="K863" s="35"/>
    </row>
    <row r="864" spans="10:11">
      <c r="J864" s="35"/>
      <c r="K864" s="35"/>
    </row>
    <row r="865" spans="10:11">
      <c r="J865" s="35"/>
      <c r="K865" s="35"/>
    </row>
    <row r="866" spans="10:11">
      <c r="J866" s="35"/>
      <c r="K866" s="35"/>
    </row>
    <row r="867" spans="10:11">
      <c r="J867" s="35"/>
      <c r="K867" s="35"/>
    </row>
    <row r="868" spans="10:11">
      <c r="J868" s="35"/>
      <c r="K868" s="35"/>
    </row>
    <row r="869" spans="10:11">
      <c r="J869" s="35"/>
      <c r="K869" s="35"/>
    </row>
    <row r="870" spans="10:11">
      <c r="J870" s="35"/>
      <c r="K870" s="35"/>
    </row>
    <row r="871" spans="10:11">
      <c r="J871" s="35"/>
      <c r="K871" s="35"/>
    </row>
    <row r="872" spans="10:11">
      <c r="J872" s="35"/>
      <c r="K872" s="35"/>
    </row>
    <row r="873" spans="10:11">
      <c r="J873" s="35"/>
      <c r="K873" s="35"/>
    </row>
    <row r="874" spans="10:11">
      <c r="J874" s="35"/>
      <c r="K874" s="35"/>
    </row>
    <row r="875" spans="10:11">
      <c r="J875" s="35"/>
      <c r="K875" s="35"/>
    </row>
    <row r="876" spans="10:11">
      <c r="J876" s="35"/>
      <c r="K876" s="35"/>
    </row>
    <row r="877" spans="10:11">
      <c r="J877" s="35"/>
      <c r="K877" s="35"/>
    </row>
    <row r="878" spans="10:11">
      <c r="J878" s="35"/>
      <c r="K878" s="35"/>
    </row>
    <row r="879" spans="10:11">
      <c r="J879" s="35"/>
      <c r="K879" s="35"/>
    </row>
    <row r="880" spans="10:11">
      <c r="J880" s="35"/>
      <c r="K880" s="35"/>
    </row>
    <row r="881" spans="10:11">
      <c r="J881" s="35"/>
      <c r="K881" s="35"/>
    </row>
    <row r="882" spans="10:11">
      <c r="J882" s="35"/>
      <c r="K882" s="35"/>
    </row>
    <row r="883" spans="10:11">
      <c r="J883" s="35"/>
      <c r="K883" s="35"/>
    </row>
    <row r="884" spans="10:11">
      <c r="J884" s="35"/>
      <c r="K884" s="35"/>
    </row>
    <row r="885" spans="10:11">
      <c r="J885" s="35"/>
      <c r="K885" s="35"/>
    </row>
    <row r="886" spans="10:11">
      <c r="J886" s="35"/>
      <c r="K886" s="35"/>
    </row>
    <row r="887" spans="10:11">
      <c r="J887" s="35"/>
      <c r="K887" s="35"/>
    </row>
    <row r="888" spans="10:11">
      <c r="J888" s="35"/>
      <c r="K888" s="35"/>
    </row>
    <row r="889" spans="10:11">
      <c r="J889" s="35"/>
      <c r="K889" s="35"/>
    </row>
    <row r="890" spans="10:11">
      <c r="J890" s="35"/>
      <c r="K890" s="35"/>
    </row>
    <row r="891" spans="10:11">
      <c r="J891" s="35"/>
      <c r="K891" s="35"/>
    </row>
    <row r="892" spans="10:11">
      <c r="J892" s="35"/>
      <c r="K892" s="35"/>
    </row>
    <row r="893" spans="10:11">
      <c r="J893" s="35"/>
      <c r="K893" s="35"/>
    </row>
    <row r="894" spans="10:11">
      <c r="J894" s="35"/>
      <c r="K894" s="35"/>
    </row>
    <row r="895" spans="10:11">
      <c r="J895" s="35"/>
      <c r="K895" s="35"/>
    </row>
    <row r="896" spans="10:11">
      <c r="J896" s="35"/>
      <c r="K896" s="35"/>
    </row>
    <row r="897" spans="10:11">
      <c r="J897" s="35"/>
      <c r="K897" s="35"/>
    </row>
    <row r="898" spans="10:11">
      <c r="J898" s="35"/>
      <c r="K898" s="35"/>
    </row>
    <row r="899" spans="10:11">
      <c r="J899" s="35"/>
      <c r="K899" s="35"/>
    </row>
    <row r="900" spans="10:11">
      <c r="J900" s="35"/>
      <c r="K900" s="35"/>
    </row>
    <row r="901" spans="10:11">
      <c r="J901" s="35"/>
      <c r="K901" s="35"/>
    </row>
    <row r="902" spans="10:11">
      <c r="J902" s="35"/>
      <c r="K902" s="35"/>
    </row>
    <row r="903" spans="10:11">
      <c r="J903" s="35"/>
      <c r="K903" s="35"/>
    </row>
    <row r="904" spans="10:11">
      <c r="J904" s="35"/>
      <c r="K904" s="35"/>
    </row>
    <row r="905" spans="10:11">
      <c r="J905" s="35"/>
      <c r="K905" s="35"/>
    </row>
    <row r="906" spans="10:11">
      <c r="J906" s="35"/>
      <c r="K906" s="35"/>
    </row>
    <row r="907" spans="10:11">
      <c r="J907" s="35"/>
      <c r="K907" s="35"/>
    </row>
    <row r="908" spans="10:11">
      <c r="J908" s="35"/>
      <c r="K908" s="35"/>
    </row>
    <row r="909" spans="10:11">
      <c r="J909" s="35"/>
      <c r="K909" s="35"/>
    </row>
    <row r="910" spans="10:11">
      <c r="J910" s="35"/>
      <c r="K910" s="35"/>
    </row>
    <row r="911" spans="10:11">
      <c r="J911" s="35"/>
      <c r="K911" s="35"/>
    </row>
    <row r="912" spans="10:11">
      <c r="J912" s="35"/>
      <c r="K912" s="35"/>
    </row>
    <row r="913" spans="10:11">
      <c r="J913" s="35"/>
      <c r="K913" s="35"/>
    </row>
    <row r="914" spans="10:11">
      <c r="J914" s="35"/>
      <c r="K914" s="35"/>
    </row>
    <row r="915" spans="10:11">
      <c r="J915" s="35"/>
      <c r="K915" s="35"/>
    </row>
    <row r="916" spans="10:11">
      <c r="J916" s="35"/>
      <c r="K916" s="35"/>
    </row>
    <row r="917" spans="10:11">
      <c r="J917" s="35"/>
      <c r="K917" s="35"/>
    </row>
    <row r="918" spans="10:11">
      <c r="J918" s="35"/>
      <c r="K918" s="35"/>
    </row>
    <row r="919" spans="10:11">
      <c r="J919" s="35"/>
      <c r="K919" s="35"/>
    </row>
    <row r="920" spans="10:11">
      <c r="J920" s="35"/>
      <c r="K920" s="35"/>
    </row>
    <row r="921" spans="10:11">
      <c r="J921" s="35"/>
      <c r="K921" s="35"/>
    </row>
    <row r="922" spans="10:11">
      <c r="J922" s="35"/>
      <c r="K922" s="35"/>
    </row>
    <row r="923" spans="10:11">
      <c r="J923" s="35"/>
      <c r="K923" s="35"/>
    </row>
    <row r="924" spans="10:11">
      <c r="J924" s="35"/>
      <c r="K924" s="35"/>
    </row>
    <row r="925" spans="10:11">
      <c r="J925" s="35"/>
      <c r="K925" s="35"/>
    </row>
    <row r="926" spans="10:11">
      <c r="J926" s="35"/>
      <c r="K926" s="35"/>
    </row>
    <row r="927" spans="10:11">
      <c r="J927" s="35"/>
      <c r="K927" s="35"/>
    </row>
    <row r="928" spans="10:11">
      <c r="J928" s="35"/>
      <c r="K928" s="35"/>
    </row>
    <row r="929" spans="10:11">
      <c r="J929" s="35"/>
      <c r="K929" s="35"/>
    </row>
    <row r="930" spans="10:11">
      <c r="J930" s="35"/>
      <c r="K930" s="35"/>
    </row>
    <row r="931" spans="10:11">
      <c r="J931" s="35"/>
      <c r="K931" s="35"/>
    </row>
    <row r="932" spans="10:11">
      <c r="J932" s="35"/>
      <c r="K932" s="35"/>
    </row>
    <row r="933" spans="10:11">
      <c r="J933" s="35"/>
      <c r="K933" s="35"/>
    </row>
    <row r="934" spans="10:11">
      <c r="J934" s="35"/>
      <c r="K934" s="35"/>
    </row>
    <row r="935" spans="10:11">
      <c r="J935" s="35"/>
      <c r="K935" s="35"/>
    </row>
    <row r="936" spans="10:11">
      <c r="J936" s="35"/>
      <c r="K936" s="35"/>
    </row>
    <row r="937" spans="10:11">
      <c r="J937" s="35"/>
      <c r="K937" s="35"/>
    </row>
    <row r="938" spans="10:11">
      <c r="J938" s="35"/>
      <c r="K938" s="35"/>
    </row>
    <row r="939" spans="10:11">
      <c r="J939" s="35"/>
      <c r="K939" s="35"/>
    </row>
    <row r="940" spans="10:11">
      <c r="J940" s="35"/>
      <c r="K940" s="35"/>
    </row>
    <row r="941" spans="10:11">
      <c r="J941" s="35"/>
      <c r="K941" s="35"/>
    </row>
    <row r="942" spans="10:11">
      <c r="J942" s="35"/>
      <c r="K942" s="35"/>
    </row>
    <row r="943" spans="10:11">
      <c r="J943" s="35"/>
      <c r="K943" s="35"/>
    </row>
    <row r="944" spans="10:11">
      <c r="J944" s="35"/>
      <c r="K944" s="35"/>
    </row>
    <row r="945" spans="10:11">
      <c r="J945" s="35"/>
      <c r="K945" s="35"/>
    </row>
    <row r="946" spans="10:11">
      <c r="J946" s="35"/>
      <c r="K946" s="35"/>
    </row>
    <row r="947" spans="10:11">
      <c r="J947" s="35"/>
      <c r="K947" s="35"/>
    </row>
    <row r="948" spans="10:11">
      <c r="J948" s="35"/>
      <c r="K948" s="35"/>
    </row>
    <row r="949" spans="10:11">
      <c r="J949" s="35"/>
      <c r="K949" s="35"/>
    </row>
    <row r="950" spans="10:11">
      <c r="J950" s="35"/>
      <c r="K950" s="35"/>
    </row>
    <row r="951" spans="10:11">
      <c r="J951" s="35"/>
      <c r="K951" s="35"/>
    </row>
    <row r="952" spans="10:11">
      <c r="J952" s="35"/>
      <c r="K952" s="35"/>
    </row>
    <row r="953" spans="10:11">
      <c r="J953" s="35"/>
      <c r="K953" s="35"/>
    </row>
    <row r="954" spans="10:11">
      <c r="J954" s="35"/>
      <c r="K954" s="35"/>
    </row>
    <row r="955" spans="10:11">
      <c r="J955" s="35"/>
      <c r="K955" s="35"/>
    </row>
    <row r="956" spans="10:11">
      <c r="J956" s="35"/>
      <c r="K956" s="35"/>
    </row>
    <row r="957" spans="10:11">
      <c r="J957" s="35"/>
      <c r="K957" s="35"/>
    </row>
    <row r="958" spans="10:11">
      <c r="J958" s="35"/>
      <c r="K958" s="35"/>
    </row>
    <row r="959" spans="10:11">
      <c r="J959" s="35"/>
      <c r="K959" s="35"/>
    </row>
    <row r="960" spans="10:11">
      <c r="J960" s="35"/>
      <c r="K960" s="35"/>
    </row>
    <row r="961" spans="10:11">
      <c r="J961" s="35"/>
      <c r="K961" s="35"/>
    </row>
    <row r="962" spans="10:11">
      <c r="J962" s="35"/>
      <c r="K962" s="35"/>
    </row>
    <row r="963" spans="10:11">
      <c r="J963" s="35"/>
      <c r="K963" s="35"/>
    </row>
    <row r="964" spans="10:11">
      <c r="J964" s="35"/>
      <c r="K964" s="35"/>
    </row>
    <row r="965" spans="10:11">
      <c r="J965" s="35"/>
      <c r="K965" s="35"/>
    </row>
    <row r="966" spans="10:11">
      <c r="J966" s="35"/>
      <c r="K966" s="35"/>
    </row>
    <row r="967" spans="10:11">
      <c r="J967" s="35"/>
      <c r="K967" s="35"/>
    </row>
    <row r="968" spans="10:11">
      <c r="J968" s="35"/>
      <c r="K968" s="35"/>
    </row>
    <row r="969" spans="10:11">
      <c r="J969" s="35"/>
      <c r="K969" s="35"/>
    </row>
    <row r="970" spans="10:11">
      <c r="J970" s="35"/>
      <c r="K970" s="35"/>
    </row>
    <row r="971" spans="10:11">
      <c r="J971" s="35"/>
      <c r="K971" s="35"/>
    </row>
    <row r="972" spans="10:11">
      <c r="J972" s="35"/>
      <c r="K972" s="35"/>
    </row>
    <row r="973" spans="10:11">
      <c r="J973" s="35"/>
      <c r="K973" s="35"/>
    </row>
    <row r="974" spans="10:11">
      <c r="J974" s="35"/>
      <c r="K974" s="35"/>
    </row>
    <row r="975" spans="10:11">
      <c r="J975" s="35"/>
      <c r="K975" s="35"/>
    </row>
    <row r="976" spans="10:11">
      <c r="J976" s="35"/>
      <c r="K976" s="35"/>
    </row>
    <row r="977" spans="10:11">
      <c r="J977" s="35"/>
      <c r="K977" s="35"/>
    </row>
    <row r="978" spans="10:11">
      <c r="J978" s="35"/>
      <c r="K978" s="35"/>
    </row>
    <row r="979" spans="10:11">
      <c r="J979" s="35"/>
      <c r="K979" s="35"/>
    </row>
    <row r="980" spans="10:11">
      <c r="J980" s="35"/>
      <c r="K980" s="35"/>
    </row>
    <row r="981" spans="10:11">
      <c r="J981" s="35"/>
      <c r="K981" s="35"/>
    </row>
    <row r="982" spans="10:11">
      <c r="J982" s="35"/>
      <c r="K982" s="35"/>
    </row>
    <row r="983" spans="10:11">
      <c r="J983" s="35"/>
      <c r="K983" s="35"/>
    </row>
    <row r="984" spans="10:11">
      <c r="J984" s="35"/>
      <c r="K984" s="35"/>
    </row>
    <row r="985" spans="10:11">
      <c r="J985" s="35"/>
      <c r="K985" s="35"/>
    </row>
    <row r="986" spans="10:11">
      <c r="J986" s="35"/>
      <c r="K986" s="35"/>
    </row>
    <row r="987" spans="10:11">
      <c r="J987" s="35"/>
      <c r="K987" s="35"/>
    </row>
    <row r="988" spans="10:11">
      <c r="J988" s="35"/>
      <c r="K988" s="35"/>
    </row>
    <row r="989" spans="10:11">
      <c r="J989" s="35"/>
      <c r="K989" s="35"/>
    </row>
    <row r="990" spans="10:11">
      <c r="J990" s="35"/>
      <c r="K990" s="35"/>
    </row>
    <row r="991" spans="10:11">
      <c r="J991" s="35"/>
      <c r="K991" s="35"/>
    </row>
    <row r="992" spans="10:11">
      <c r="J992" s="35"/>
      <c r="K992" s="35"/>
    </row>
    <row r="993" spans="10:11">
      <c r="J993" s="35"/>
      <c r="K993" s="35"/>
    </row>
    <row r="994" spans="10:11">
      <c r="J994" s="35"/>
      <c r="K994" s="35"/>
    </row>
    <row r="995" spans="10:11">
      <c r="J995" s="35"/>
      <c r="K995" s="35"/>
    </row>
    <row r="996" spans="10:11">
      <c r="J996" s="35"/>
      <c r="K996" s="35"/>
    </row>
    <row r="997" spans="10:11">
      <c r="J997" s="35"/>
      <c r="K997" s="35"/>
    </row>
    <row r="998" spans="10:11">
      <c r="J998" s="35"/>
      <c r="K998" s="35"/>
    </row>
    <row r="999" spans="10:11">
      <c r="J999" s="35"/>
      <c r="K999" s="35"/>
    </row>
    <row r="1000" spans="10:11">
      <c r="J1000" s="35"/>
      <c r="K1000" s="35"/>
    </row>
  </sheetData>
  <mergeCells count="33">
    <mergeCell ref="A12:I12"/>
    <mergeCell ref="A13:D13"/>
    <mergeCell ref="E13:G13"/>
    <mergeCell ref="H13:I13"/>
    <mergeCell ref="A14:D14"/>
    <mergeCell ref="E14:G14"/>
    <mergeCell ref="H14:I14"/>
    <mergeCell ref="A15:D15"/>
    <mergeCell ref="A16:D16"/>
    <mergeCell ref="B17:H17"/>
    <mergeCell ref="B18:H18"/>
    <mergeCell ref="B19:H19"/>
    <mergeCell ref="B20:H20"/>
    <mergeCell ref="B21:H21"/>
    <mergeCell ref="B22:H22"/>
    <mergeCell ref="B23:H23"/>
    <mergeCell ref="B24:H24"/>
    <mergeCell ref="B25:H25"/>
    <mergeCell ref="B26:H26"/>
    <mergeCell ref="B27:H27"/>
    <mergeCell ref="B28:H28"/>
    <mergeCell ref="B29:H29"/>
    <mergeCell ref="B30:H30"/>
    <mergeCell ref="B31:H31"/>
    <mergeCell ref="B32:H32"/>
    <mergeCell ref="B33:H33"/>
    <mergeCell ref="B34:H34"/>
    <mergeCell ref="B35:H35"/>
    <mergeCell ref="B36:H36"/>
    <mergeCell ref="B37:H37"/>
    <mergeCell ref="B38:H38"/>
    <mergeCell ref="A39:H39"/>
    <mergeCell ref="A1:I11"/>
  </mergeCells>
  <printOptions horizontalCentered="1"/>
  <pageMargins left="0.511805555555556" right="0.511805555555556" top="0.7875" bottom="0.7875" header="0.511811023622047" footer="0.511811023622047"/>
  <pageSetup paperSize="9" scale="90" orientation="portrait" horizontalDpi="300" verticalDpi="300"/>
  <headerFooter/>
  <drawing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Y1056"/>
  <sheetViews>
    <sheetView tabSelected="1" zoomScale="85" zoomScaleNormal="85" topLeftCell="A1040" workbookViewId="0">
      <selection activeCell="I1052" sqref="I1052"/>
    </sheetView>
  </sheetViews>
  <sheetFormatPr defaultColWidth="12.625" defaultRowHeight="14.25"/>
  <cols>
    <col min="1" max="1" width="8.38333333333333" style="1" customWidth="1"/>
    <col min="2" max="2" width="21.75" style="1" customWidth="1"/>
    <col min="3" max="3" width="9" style="1" customWidth="1"/>
    <col min="4" max="4" width="60" style="1" customWidth="1"/>
    <col min="5" max="5" width="7.11666666666667" style="1" customWidth="1"/>
    <col min="6" max="6" width="10.8833333333333" style="1" customWidth="1"/>
    <col min="7" max="7" width="13" style="1" customWidth="1"/>
    <col min="8" max="8" width="13" style="60" customWidth="1"/>
    <col min="9" max="9" width="14.6166666666667" style="60" customWidth="1"/>
    <col min="10" max="10" width="12.25" style="1" hidden="1" customWidth="1"/>
    <col min="11" max="11" width="16.1166666666667" style="1" customWidth="1"/>
    <col min="12" max="12" width="17.5" style="1" customWidth="1"/>
    <col min="13" max="25" width="8.61666666666667" style="1" customWidth="1"/>
  </cols>
  <sheetData>
    <row r="1" ht="127.5" customHeight="1" spans="1:25">
      <c r="A1" s="6"/>
      <c r="B1" s="424"/>
      <c r="C1" s="424"/>
      <c r="D1" s="6"/>
      <c r="E1" s="6"/>
      <c r="F1" s="6"/>
      <c r="G1" s="587"/>
      <c r="H1" s="588"/>
      <c r="I1" s="588"/>
      <c r="J1" s="6"/>
      <c r="K1" s="587"/>
      <c r="L1" s="601"/>
      <c r="M1" s="601"/>
      <c r="N1" s="601"/>
      <c r="O1" s="601"/>
      <c r="P1" s="601"/>
      <c r="Q1" s="601"/>
      <c r="R1" s="601"/>
      <c r="S1" s="601"/>
      <c r="T1" s="601"/>
      <c r="U1" s="601"/>
      <c r="V1" s="601"/>
      <c r="W1" s="601"/>
      <c r="X1" s="601"/>
      <c r="Y1" s="601"/>
    </row>
    <row r="2" ht="19.5" customHeight="1" spans="1:25">
      <c r="A2" s="589" t="s">
        <v>61</v>
      </c>
      <c r="B2" s="589"/>
      <c r="C2" s="589"/>
      <c r="D2" s="589"/>
      <c r="E2" s="589"/>
      <c r="F2" s="589"/>
      <c r="G2" s="589"/>
      <c r="H2" s="589"/>
      <c r="I2" s="589"/>
      <c r="J2" s="589"/>
      <c r="K2" s="587"/>
      <c r="L2" s="601"/>
      <c r="M2" s="601"/>
      <c r="N2" s="601"/>
      <c r="O2" s="601"/>
      <c r="P2" s="601"/>
      <c r="Q2" s="601"/>
      <c r="R2" s="601"/>
      <c r="S2" s="601"/>
      <c r="T2" s="601"/>
      <c r="U2" s="601"/>
      <c r="V2" s="601"/>
      <c r="W2" s="601"/>
      <c r="X2" s="601"/>
      <c r="Y2" s="601"/>
    </row>
    <row r="3" ht="19.5" customHeight="1" spans="1:25">
      <c r="A3" s="590" t="s">
        <v>1</v>
      </c>
      <c r="B3" s="590"/>
      <c r="C3" s="590"/>
      <c r="D3" s="590"/>
      <c r="E3" s="591" t="s">
        <v>2</v>
      </c>
      <c r="F3" s="591"/>
      <c r="G3" s="591"/>
      <c r="H3" s="592" t="s">
        <v>3</v>
      </c>
      <c r="I3" s="592"/>
      <c r="J3" s="592"/>
      <c r="K3" s="587"/>
      <c r="L3" s="601"/>
      <c r="M3" s="601"/>
      <c r="N3" s="601"/>
      <c r="O3" s="601"/>
      <c r="P3" s="601"/>
      <c r="Q3" s="601"/>
      <c r="R3" s="601"/>
      <c r="S3" s="601"/>
      <c r="T3" s="601"/>
      <c r="U3" s="601"/>
      <c r="V3" s="601"/>
      <c r="W3" s="601"/>
      <c r="X3" s="601"/>
      <c r="Y3" s="601"/>
    </row>
    <row r="4" ht="19.5" customHeight="1" spans="1:25">
      <c r="A4" s="562" t="s">
        <v>4</v>
      </c>
      <c r="B4" s="562"/>
      <c r="C4" s="562"/>
      <c r="D4" s="562"/>
      <c r="E4" s="593" t="str">
        <f>RESUMO!E14</f>
        <v>PROCESSO: 23069.180351/2025-62</v>
      </c>
      <c r="F4" s="593"/>
      <c r="G4" s="593"/>
      <c r="H4" s="594" t="s">
        <v>6</v>
      </c>
      <c r="I4" s="594"/>
      <c r="J4" s="594"/>
      <c r="K4" s="587"/>
      <c r="L4" s="601"/>
      <c r="M4" s="601"/>
      <c r="N4" s="601"/>
      <c r="O4" s="601"/>
      <c r="P4" s="601"/>
      <c r="Q4" s="601"/>
      <c r="R4" s="601"/>
      <c r="S4" s="601"/>
      <c r="T4" s="601"/>
      <c r="U4" s="601"/>
      <c r="V4" s="601"/>
      <c r="W4" s="601"/>
      <c r="X4" s="601"/>
      <c r="Y4" s="601"/>
    </row>
    <row r="5" ht="19.5" customHeight="1" spans="1:25">
      <c r="A5" s="562" t="s">
        <v>7</v>
      </c>
      <c r="B5" s="562"/>
      <c r="C5" s="562"/>
      <c r="D5" s="562"/>
      <c r="E5" s="430" t="s">
        <v>8</v>
      </c>
      <c r="F5" s="431" t="s">
        <v>9</v>
      </c>
      <c r="G5" s="431" t="s">
        <v>10</v>
      </c>
      <c r="H5" s="595" t="s">
        <v>11</v>
      </c>
      <c r="I5" s="602"/>
      <c r="J5" s="603" t="s">
        <v>12</v>
      </c>
      <c r="K5" s="587"/>
      <c r="L5" s="601"/>
      <c r="M5" s="601"/>
      <c r="N5" s="601"/>
      <c r="O5" s="601"/>
      <c r="P5" s="601"/>
      <c r="Q5" s="601"/>
      <c r="R5" s="601"/>
      <c r="S5" s="601"/>
      <c r="T5" s="601"/>
      <c r="U5" s="601"/>
      <c r="V5" s="601"/>
      <c r="W5" s="601"/>
      <c r="X5" s="601"/>
      <c r="Y5" s="601"/>
    </row>
    <row r="6" ht="45" customHeight="1" spans="1:25">
      <c r="A6" s="432" t="str">
        <f>RESUMO!A16</f>
        <v>BASE DE DADOS: SINAPI - 07/2025 - Rio de Janeiro; SBC - 07/2025 - Rio de Janeiro; EMOP - 07/2025 - Rio de Janeiro; SCO - 07/2025 - Rio de Janeiro - DESONERADO</v>
      </c>
      <c r="B6" s="432"/>
      <c r="C6" s="432"/>
      <c r="D6" s="432"/>
      <c r="E6" s="567">
        <f>BDI!$D$66</f>
        <v>0.2549</v>
      </c>
      <c r="F6" s="575">
        <f>BDI_DIF.!D67</f>
        <v>0.1612</v>
      </c>
      <c r="G6" s="452"/>
      <c r="H6" s="73">
        <f>RESUMO!H16</f>
        <v>45931</v>
      </c>
      <c r="I6" s="604" t="str">
        <f>RESUMO!I16</f>
        <v>R21</v>
      </c>
      <c r="J6" s="604"/>
      <c r="K6" s="605"/>
      <c r="L6" s="601"/>
      <c r="M6" s="601"/>
      <c r="N6" s="601"/>
      <c r="O6" s="601"/>
      <c r="P6" s="601"/>
      <c r="Q6" s="601"/>
      <c r="R6" s="601"/>
      <c r="S6" s="601"/>
      <c r="T6" s="601"/>
      <c r="U6" s="601"/>
      <c r="V6" s="601"/>
      <c r="W6" s="601"/>
      <c r="X6" s="601"/>
      <c r="Y6" s="601"/>
    </row>
    <row r="7" ht="30" spans="1:25">
      <c r="A7" s="76" t="s">
        <v>62</v>
      </c>
      <c r="B7" s="75" t="s">
        <v>63</v>
      </c>
      <c r="C7" s="76" t="s">
        <v>64</v>
      </c>
      <c r="D7" s="76" t="s">
        <v>65</v>
      </c>
      <c r="E7" s="77" t="s">
        <v>66</v>
      </c>
      <c r="F7" s="75" t="s">
        <v>67</v>
      </c>
      <c r="G7" s="75" t="s">
        <v>68</v>
      </c>
      <c r="H7" s="119" t="s">
        <v>69</v>
      </c>
      <c r="I7" s="119" t="s">
        <v>70</v>
      </c>
      <c r="J7" s="75" t="s">
        <v>71</v>
      </c>
      <c r="K7" s="606" t="s">
        <v>72</v>
      </c>
      <c r="L7" s="607" t="s">
        <v>73</v>
      </c>
      <c r="N7" s="601"/>
      <c r="O7" s="601"/>
      <c r="P7" s="601"/>
      <c r="Q7" s="601"/>
      <c r="R7" s="601"/>
      <c r="S7" s="601"/>
      <c r="T7" s="601"/>
      <c r="U7" s="601"/>
      <c r="V7" s="601"/>
      <c r="W7" s="601"/>
      <c r="X7" s="601"/>
      <c r="Y7" s="601"/>
    </row>
    <row r="8" ht="15" spans="1:25">
      <c r="A8" s="596" t="s">
        <v>18</v>
      </c>
      <c r="B8" s="596" t="s">
        <v>74</v>
      </c>
      <c r="C8" s="596"/>
      <c r="D8" s="596" t="s">
        <v>19</v>
      </c>
      <c r="E8" s="597"/>
      <c r="F8" s="598">
        <v>1</v>
      </c>
      <c r="G8" s="598"/>
      <c r="H8" s="599">
        <v>128905.04</v>
      </c>
      <c r="I8" s="599">
        <v>128905.04</v>
      </c>
      <c r="J8" s="608">
        <v>0.00524167452534691</v>
      </c>
      <c r="K8" s="609">
        <f>I1051</f>
        <v>0</v>
      </c>
      <c r="L8" s="610">
        <f>SUM(L9:L26)</f>
        <v>128905.04</v>
      </c>
      <c r="M8" s="601"/>
      <c r="N8" s="601"/>
      <c r="O8" s="611"/>
      <c r="P8" s="601"/>
      <c r="Q8" s="601"/>
      <c r="R8" s="601"/>
      <c r="S8" s="601"/>
      <c r="T8" s="601"/>
      <c r="U8" s="601"/>
      <c r="V8" s="601"/>
      <c r="W8" s="601"/>
      <c r="X8" s="601"/>
      <c r="Y8" s="601"/>
    </row>
    <row r="9" ht="51" spans="1:25">
      <c r="A9" s="569" t="s">
        <v>75</v>
      </c>
      <c r="B9" s="569" t="s">
        <v>76</v>
      </c>
      <c r="C9" s="569" t="s">
        <v>77</v>
      </c>
      <c r="D9" s="569" t="s">
        <v>78</v>
      </c>
      <c r="E9" s="577">
        <v>0</v>
      </c>
      <c r="F9" s="570">
        <v>500</v>
      </c>
      <c r="G9" s="579">
        <v>12.95</v>
      </c>
      <c r="H9" s="600">
        <v>16.25</v>
      </c>
      <c r="I9" s="600">
        <v>8125</v>
      </c>
      <c r="J9" s="612">
        <v>0.000330387434955558</v>
      </c>
      <c r="K9" s="613">
        <f t="shared" ref="K9:K72" si="0">$I$1051</f>
        <v>0</v>
      </c>
      <c r="L9" s="610">
        <f t="shared" ref="L9:L26" si="1">I9-(I9*K9)</f>
        <v>8125</v>
      </c>
      <c r="M9" s="601"/>
      <c r="N9" s="601"/>
      <c r="O9" s="611"/>
      <c r="P9" s="601"/>
      <c r="Q9" s="601"/>
      <c r="R9" s="601"/>
      <c r="S9" s="601"/>
      <c r="T9" s="601"/>
      <c r="U9" s="601"/>
      <c r="V9" s="601"/>
      <c r="W9" s="601"/>
      <c r="X9" s="601"/>
      <c r="Y9" s="601"/>
    </row>
    <row r="10" ht="51" spans="1:25">
      <c r="A10" s="569" t="s">
        <v>79</v>
      </c>
      <c r="B10" s="569" t="s">
        <v>80</v>
      </c>
      <c r="C10" s="569" t="s">
        <v>77</v>
      </c>
      <c r="D10" s="569" t="s">
        <v>81</v>
      </c>
      <c r="E10" s="577">
        <v>0</v>
      </c>
      <c r="F10" s="570">
        <v>2500</v>
      </c>
      <c r="G10" s="579">
        <v>9.4</v>
      </c>
      <c r="H10" s="600">
        <v>11.79</v>
      </c>
      <c r="I10" s="600">
        <v>29475</v>
      </c>
      <c r="J10" s="612">
        <v>0.00119854395634647</v>
      </c>
      <c r="K10" s="613">
        <f t="shared" si="0"/>
        <v>0</v>
      </c>
      <c r="L10" s="610">
        <f t="shared" si="1"/>
        <v>29475</v>
      </c>
      <c r="M10" s="601"/>
      <c r="N10" s="601"/>
      <c r="O10" s="611"/>
      <c r="P10" s="601"/>
      <c r="Q10" s="601"/>
      <c r="R10" s="601"/>
      <c r="S10" s="601"/>
      <c r="T10" s="601"/>
      <c r="U10" s="601"/>
      <c r="V10" s="601"/>
      <c r="W10" s="601"/>
      <c r="X10" s="601"/>
      <c r="Y10" s="601"/>
    </row>
    <row r="11" ht="51" spans="1:25">
      <c r="A11" s="569" t="s">
        <v>82</v>
      </c>
      <c r="B11" s="569" t="s">
        <v>83</v>
      </c>
      <c r="C11" s="569" t="s">
        <v>77</v>
      </c>
      <c r="D11" s="569" t="s">
        <v>84</v>
      </c>
      <c r="E11" s="577">
        <v>0</v>
      </c>
      <c r="F11" s="570">
        <v>5503.41</v>
      </c>
      <c r="G11" s="579">
        <v>7.55</v>
      </c>
      <c r="H11" s="600">
        <v>9.47</v>
      </c>
      <c r="I11" s="600">
        <v>52117.29</v>
      </c>
      <c r="J11" s="612">
        <v>0.00211924895506892</v>
      </c>
      <c r="K11" s="613">
        <f t="shared" si="0"/>
        <v>0</v>
      </c>
      <c r="L11" s="610">
        <f t="shared" si="1"/>
        <v>52117.29</v>
      </c>
      <c r="M11" s="601"/>
      <c r="N11" s="601"/>
      <c r="O11" s="601"/>
      <c r="P11" s="601"/>
      <c r="Q11" s="601"/>
      <c r="R11" s="601"/>
      <c r="S11" s="601"/>
      <c r="T11" s="601"/>
      <c r="U11" s="601"/>
      <c r="V11" s="601"/>
      <c r="W11" s="601"/>
      <c r="X11" s="601"/>
      <c r="Y11" s="601"/>
    </row>
    <row r="12" ht="38.25" spans="1:25">
      <c r="A12" s="569" t="s">
        <v>85</v>
      </c>
      <c r="B12" s="569" t="s">
        <v>86</v>
      </c>
      <c r="C12" s="569" t="s">
        <v>77</v>
      </c>
      <c r="D12" s="569" t="s">
        <v>87</v>
      </c>
      <c r="E12" s="577">
        <v>0</v>
      </c>
      <c r="F12" s="570">
        <v>500</v>
      </c>
      <c r="G12" s="579">
        <v>1.88</v>
      </c>
      <c r="H12" s="600">
        <v>2.35</v>
      </c>
      <c r="I12" s="600">
        <v>1175</v>
      </c>
      <c r="J12" s="612">
        <v>4.77791059781884e-5</v>
      </c>
      <c r="K12" s="613">
        <f t="shared" si="0"/>
        <v>0</v>
      </c>
      <c r="L12" s="610">
        <f t="shared" si="1"/>
        <v>1175</v>
      </c>
      <c r="M12" s="601"/>
      <c r="N12" s="601"/>
      <c r="O12" s="601"/>
      <c r="P12" s="601"/>
      <c r="Q12" s="601"/>
      <c r="R12" s="601"/>
      <c r="S12" s="601"/>
      <c r="T12" s="601"/>
      <c r="U12" s="601"/>
      <c r="V12" s="601"/>
      <c r="W12" s="601"/>
      <c r="X12" s="601"/>
      <c r="Y12" s="601"/>
    </row>
    <row r="13" ht="38.25" spans="1:25">
      <c r="A13" s="569" t="s">
        <v>88</v>
      </c>
      <c r="B13" s="569" t="s">
        <v>89</v>
      </c>
      <c r="C13" s="569" t="s">
        <v>77</v>
      </c>
      <c r="D13" s="569" t="s">
        <v>90</v>
      </c>
      <c r="E13" s="577">
        <v>0</v>
      </c>
      <c r="F13" s="570">
        <v>2500</v>
      </c>
      <c r="G13" s="579">
        <v>1.57</v>
      </c>
      <c r="H13" s="600">
        <v>1.97</v>
      </c>
      <c r="I13" s="600">
        <v>4925</v>
      </c>
      <c r="J13" s="612">
        <v>0.000200265614419215</v>
      </c>
      <c r="K13" s="613">
        <f t="shared" si="0"/>
        <v>0</v>
      </c>
      <c r="L13" s="610">
        <f t="shared" si="1"/>
        <v>4925</v>
      </c>
      <c r="M13" s="601"/>
      <c r="N13" s="601"/>
      <c r="O13" s="601"/>
      <c r="P13" s="601"/>
      <c r="Q13" s="601"/>
      <c r="R13" s="601"/>
      <c r="S13" s="601"/>
      <c r="T13" s="601"/>
      <c r="U13" s="601"/>
      <c r="V13" s="601"/>
      <c r="W13" s="601"/>
      <c r="X13" s="601"/>
      <c r="Y13" s="601"/>
    </row>
    <row r="14" ht="38.25" spans="1:25">
      <c r="A14" s="569" t="s">
        <v>91</v>
      </c>
      <c r="B14" s="569" t="s">
        <v>92</v>
      </c>
      <c r="C14" s="569" t="s">
        <v>77</v>
      </c>
      <c r="D14" s="569" t="s">
        <v>93</v>
      </c>
      <c r="E14" s="577">
        <v>0</v>
      </c>
      <c r="F14" s="570">
        <v>5503.41</v>
      </c>
      <c r="G14" s="579">
        <v>0.93</v>
      </c>
      <c r="H14" s="600">
        <v>1.16</v>
      </c>
      <c r="I14" s="600">
        <v>6383.95</v>
      </c>
      <c r="J14" s="612">
        <v>0.000259590998816558</v>
      </c>
      <c r="K14" s="613">
        <f t="shared" si="0"/>
        <v>0</v>
      </c>
      <c r="L14" s="610">
        <f t="shared" si="1"/>
        <v>6383.95</v>
      </c>
      <c r="M14" s="601"/>
      <c r="N14" s="601"/>
      <c r="O14" s="601"/>
      <c r="P14" s="601"/>
      <c r="Q14" s="601"/>
      <c r="R14" s="601"/>
      <c r="S14" s="601"/>
      <c r="T14" s="601"/>
      <c r="U14" s="601"/>
      <c r="V14" s="601"/>
      <c r="W14" s="601"/>
      <c r="X14" s="601"/>
      <c r="Y14" s="601"/>
    </row>
    <row r="15" ht="25.5" spans="1:25">
      <c r="A15" s="569" t="s">
        <v>94</v>
      </c>
      <c r="B15" s="569" t="s">
        <v>95</v>
      </c>
      <c r="C15" s="569" t="s">
        <v>77</v>
      </c>
      <c r="D15" s="569" t="s">
        <v>96</v>
      </c>
      <c r="E15" s="577">
        <v>0</v>
      </c>
      <c r="F15" s="570">
        <v>500</v>
      </c>
      <c r="G15" s="579">
        <v>0.62</v>
      </c>
      <c r="H15" s="600">
        <v>0.77</v>
      </c>
      <c r="I15" s="600">
        <v>385</v>
      </c>
      <c r="J15" s="612">
        <v>1.56552815332788e-5</v>
      </c>
      <c r="K15" s="613">
        <f t="shared" si="0"/>
        <v>0</v>
      </c>
      <c r="L15" s="610">
        <f t="shared" si="1"/>
        <v>385</v>
      </c>
      <c r="M15" s="601"/>
      <c r="N15" s="601"/>
      <c r="O15" s="601"/>
      <c r="P15" s="601"/>
      <c r="Q15" s="601"/>
      <c r="R15" s="601"/>
      <c r="S15" s="601"/>
      <c r="T15" s="601"/>
      <c r="U15" s="601"/>
      <c r="V15" s="601"/>
      <c r="W15" s="601"/>
      <c r="X15" s="601"/>
      <c r="Y15" s="601"/>
    </row>
    <row r="16" ht="38.25" spans="1:25">
      <c r="A16" s="569" t="s">
        <v>97</v>
      </c>
      <c r="B16" s="569" t="s">
        <v>98</v>
      </c>
      <c r="C16" s="569" t="s">
        <v>77</v>
      </c>
      <c r="D16" s="569" t="s">
        <v>99</v>
      </c>
      <c r="E16" s="577">
        <v>0</v>
      </c>
      <c r="F16" s="570">
        <v>2500</v>
      </c>
      <c r="G16" s="579">
        <v>0.44</v>
      </c>
      <c r="H16" s="600">
        <v>0.55</v>
      </c>
      <c r="I16" s="600">
        <v>1375</v>
      </c>
      <c r="J16" s="612">
        <v>5.59117197617099e-5</v>
      </c>
      <c r="K16" s="613">
        <f t="shared" si="0"/>
        <v>0</v>
      </c>
      <c r="L16" s="610">
        <f t="shared" si="1"/>
        <v>1375</v>
      </c>
      <c r="M16" s="601"/>
      <c r="N16" s="601"/>
      <c r="O16" s="601"/>
      <c r="P16" s="601"/>
      <c r="Q16" s="601"/>
      <c r="R16" s="601"/>
      <c r="S16" s="601"/>
      <c r="T16" s="601"/>
      <c r="U16" s="601"/>
      <c r="V16" s="601"/>
      <c r="W16" s="601"/>
      <c r="X16" s="601"/>
      <c r="Y16" s="601"/>
    </row>
    <row r="17" ht="38.25" spans="1:25">
      <c r="A17" s="569" t="s">
        <v>100</v>
      </c>
      <c r="B17" s="569" t="s">
        <v>101</v>
      </c>
      <c r="C17" s="569" t="s">
        <v>77</v>
      </c>
      <c r="D17" s="569" t="s">
        <v>102</v>
      </c>
      <c r="E17" s="577">
        <v>0</v>
      </c>
      <c r="F17" s="570">
        <v>5503.41</v>
      </c>
      <c r="G17" s="579">
        <v>0.25</v>
      </c>
      <c r="H17" s="600">
        <v>0.31</v>
      </c>
      <c r="I17" s="600">
        <v>1706.05</v>
      </c>
      <c r="J17" s="612">
        <v>6.93732287268837e-5</v>
      </c>
      <c r="K17" s="613">
        <f t="shared" si="0"/>
        <v>0</v>
      </c>
      <c r="L17" s="610">
        <f t="shared" si="1"/>
        <v>1706.05</v>
      </c>
      <c r="M17" s="601"/>
      <c r="N17" s="601"/>
      <c r="O17" s="601"/>
      <c r="P17" s="601"/>
      <c r="Q17" s="601"/>
      <c r="R17" s="601"/>
      <c r="S17" s="601"/>
      <c r="T17" s="601"/>
      <c r="U17" s="601"/>
      <c r="V17" s="601"/>
      <c r="W17" s="601"/>
      <c r="X17" s="601"/>
      <c r="Y17" s="601"/>
    </row>
    <row r="18" ht="38.25" spans="1:25">
      <c r="A18" s="569" t="s">
        <v>103</v>
      </c>
      <c r="B18" s="569" t="s">
        <v>104</v>
      </c>
      <c r="C18" s="569" t="s">
        <v>77</v>
      </c>
      <c r="D18" s="569" t="s">
        <v>105</v>
      </c>
      <c r="E18" s="577">
        <v>0</v>
      </c>
      <c r="F18" s="570">
        <v>500</v>
      </c>
      <c r="G18" s="579">
        <v>0.93</v>
      </c>
      <c r="H18" s="600">
        <v>1.16</v>
      </c>
      <c r="I18" s="600">
        <v>580</v>
      </c>
      <c r="J18" s="612">
        <v>2.35845799722122e-5</v>
      </c>
      <c r="K18" s="613">
        <f t="shared" si="0"/>
        <v>0</v>
      </c>
      <c r="L18" s="610">
        <f t="shared" si="1"/>
        <v>580</v>
      </c>
      <c r="M18" s="601"/>
      <c r="N18" s="601"/>
      <c r="O18" s="601"/>
      <c r="P18" s="601"/>
      <c r="Q18" s="601"/>
      <c r="R18" s="601"/>
      <c r="S18" s="601"/>
      <c r="T18" s="601"/>
      <c r="U18" s="601"/>
      <c r="V18" s="601"/>
      <c r="W18" s="601"/>
      <c r="X18" s="601"/>
      <c r="Y18" s="601"/>
    </row>
    <row r="19" ht="38.25" spans="1:25">
      <c r="A19" s="569" t="s">
        <v>106</v>
      </c>
      <c r="B19" s="569" t="s">
        <v>107</v>
      </c>
      <c r="C19" s="569" t="s">
        <v>77</v>
      </c>
      <c r="D19" s="569" t="s">
        <v>108</v>
      </c>
      <c r="E19" s="577">
        <v>0</v>
      </c>
      <c r="F19" s="570">
        <v>2500</v>
      </c>
      <c r="G19" s="579">
        <v>0.51</v>
      </c>
      <c r="H19" s="600">
        <v>0.63</v>
      </c>
      <c r="I19" s="600">
        <v>1575</v>
      </c>
      <c r="J19" s="612">
        <v>6.40443335452313e-5</v>
      </c>
      <c r="K19" s="613">
        <f t="shared" si="0"/>
        <v>0</v>
      </c>
      <c r="L19" s="610">
        <f t="shared" si="1"/>
        <v>1575</v>
      </c>
      <c r="M19" s="601"/>
      <c r="N19" s="601"/>
      <c r="O19" s="601"/>
      <c r="P19" s="601"/>
      <c r="Q19" s="601"/>
      <c r="R19" s="601"/>
      <c r="S19" s="601"/>
      <c r="T19" s="601"/>
      <c r="U19" s="601"/>
      <c r="V19" s="601"/>
      <c r="W19" s="601"/>
      <c r="X19" s="601"/>
      <c r="Y19" s="601"/>
    </row>
    <row r="20" ht="38.25" spans="1:25">
      <c r="A20" s="569" t="s">
        <v>109</v>
      </c>
      <c r="B20" s="569" t="s">
        <v>110</v>
      </c>
      <c r="C20" s="569" t="s">
        <v>77</v>
      </c>
      <c r="D20" s="569" t="s">
        <v>111</v>
      </c>
      <c r="E20" s="577">
        <v>0</v>
      </c>
      <c r="F20" s="570">
        <v>5503.41</v>
      </c>
      <c r="G20" s="579">
        <v>0.25</v>
      </c>
      <c r="H20" s="600">
        <v>0.31</v>
      </c>
      <c r="I20" s="600">
        <v>1706.05</v>
      </c>
      <c r="J20" s="612">
        <v>6.93732287268837e-5</v>
      </c>
      <c r="K20" s="613">
        <f t="shared" si="0"/>
        <v>0</v>
      </c>
      <c r="L20" s="610">
        <f t="shared" si="1"/>
        <v>1706.05</v>
      </c>
      <c r="M20" s="601"/>
      <c r="N20" s="601"/>
      <c r="O20" s="601"/>
      <c r="P20" s="601"/>
      <c r="Q20" s="601"/>
      <c r="R20" s="601"/>
      <c r="S20" s="601"/>
      <c r="T20" s="601"/>
      <c r="U20" s="601"/>
      <c r="V20" s="601"/>
      <c r="W20" s="601"/>
      <c r="X20" s="601"/>
      <c r="Y20" s="601"/>
    </row>
    <row r="21" ht="38.25" spans="1:25">
      <c r="A21" s="569" t="s">
        <v>112</v>
      </c>
      <c r="B21" s="569" t="s">
        <v>113</v>
      </c>
      <c r="C21" s="569" t="s">
        <v>77</v>
      </c>
      <c r="D21" s="569" t="s">
        <v>114</v>
      </c>
      <c r="E21" s="577">
        <v>0</v>
      </c>
      <c r="F21" s="570">
        <v>500</v>
      </c>
      <c r="G21" s="579">
        <v>1.57</v>
      </c>
      <c r="H21" s="600">
        <v>1.97</v>
      </c>
      <c r="I21" s="600">
        <v>985</v>
      </c>
      <c r="J21" s="612">
        <v>4.00531228838431e-5</v>
      </c>
      <c r="K21" s="613">
        <f t="shared" si="0"/>
        <v>0</v>
      </c>
      <c r="L21" s="610">
        <f t="shared" si="1"/>
        <v>985</v>
      </c>
      <c r="M21" s="601"/>
      <c r="N21" s="601"/>
      <c r="O21" s="601"/>
      <c r="P21" s="601"/>
      <c r="Q21" s="601"/>
      <c r="R21" s="601"/>
      <c r="S21" s="601"/>
      <c r="T21" s="601"/>
      <c r="U21" s="601"/>
      <c r="V21" s="601"/>
      <c r="W21" s="601"/>
      <c r="X21" s="601"/>
      <c r="Y21" s="601"/>
    </row>
    <row r="22" ht="38.25" spans="1:25">
      <c r="A22" s="569" t="s">
        <v>115</v>
      </c>
      <c r="B22" s="569" t="s">
        <v>116</v>
      </c>
      <c r="C22" s="569" t="s">
        <v>77</v>
      </c>
      <c r="D22" s="569" t="s">
        <v>117</v>
      </c>
      <c r="E22" s="577">
        <v>0</v>
      </c>
      <c r="F22" s="570">
        <v>2500</v>
      </c>
      <c r="G22" s="579">
        <v>0.93</v>
      </c>
      <c r="H22" s="600">
        <v>1.16</v>
      </c>
      <c r="I22" s="600">
        <v>2900</v>
      </c>
      <c r="J22" s="612">
        <v>0.000117922899861061</v>
      </c>
      <c r="K22" s="613">
        <f t="shared" si="0"/>
        <v>0</v>
      </c>
      <c r="L22" s="610">
        <f t="shared" si="1"/>
        <v>2900</v>
      </c>
      <c r="M22" s="601"/>
      <c r="N22" s="601"/>
      <c r="O22" s="601"/>
      <c r="P22" s="601"/>
      <c r="Q22" s="601"/>
      <c r="R22" s="601"/>
      <c r="S22" s="601"/>
      <c r="T22" s="601"/>
      <c r="U22" s="601"/>
      <c r="V22" s="601"/>
      <c r="W22" s="601"/>
      <c r="X22" s="601"/>
      <c r="Y22" s="601"/>
    </row>
    <row r="23" ht="38.25" spans="1:25">
      <c r="A23" s="569" t="s">
        <v>118</v>
      </c>
      <c r="B23" s="569" t="s">
        <v>119</v>
      </c>
      <c r="C23" s="569" t="s">
        <v>77</v>
      </c>
      <c r="D23" s="569" t="s">
        <v>120</v>
      </c>
      <c r="E23" s="577">
        <v>0</v>
      </c>
      <c r="F23" s="570">
        <v>5503.41</v>
      </c>
      <c r="G23" s="579">
        <v>0.86</v>
      </c>
      <c r="H23" s="600">
        <v>1.07</v>
      </c>
      <c r="I23" s="600">
        <v>5888.64</v>
      </c>
      <c r="J23" s="612">
        <v>0.000239450174150978</v>
      </c>
      <c r="K23" s="613">
        <f t="shared" si="0"/>
        <v>0</v>
      </c>
      <c r="L23" s="610">
        <f t="shared" si="1"/>
        <v>5888.64</v>
      </c>
      <c r="M23" s="601"/>
      <c r="N23" s="601"/>
      <c r="O23" s="601"/>
      <c r="P23" s="601"/>
      <c r="Q23" s="601"/>
      <c r="R23" s="601"/>
      <c r="S23" s="601"/>
      <c r="T23" s="601"/>
      <c r="U23" s="601"/>
      <c r="V23" s="601"/>
      <c r="W23" s="601"/>
      <c r="X23" s="601"/>
      <c r="Y23" s="601"/>
    </row>
    <row r="24" ht="25.5" spans="1:25">
      <c r="A24" s="569" t="s">
        <v>121</v>
      </c>
      <c r="B24" s="569" t="s">
        <v>122</v>
      </c>
      <c r="C24" s="569" t="s">
        <v>77</v>
      </c>
      <c r="D24" s="569" t="s">
        <v>123</v>
      </c>
      <c r="E24" s="577">
        <v>0</v>
      </c>
      <c r="F24" s="570">
        <v>500</v>
      </c>
      <c r="G24" s="579">
        <v>1.44</v>
      </c>
      <c r="H24" s="600">
        <v>1.8</v>
      </c>
      <c r="I24" s="600">
        <v>900</v>
      </c>
      <c r="J24" s="612">
        <v>3.65967620258465e-5</v>
      </c>
      <c r="K24" s="613">
        <f t="shared" si="0"/>
        <v>0</v>
      </c>
      <c r="L24" s="610">
        <f t="shared" si="1"/>
        <v>900</v>
      </c>
      <c r="M24" s="601"/>
      <c r="N24" s="601"/>
      <c r="O24" s="601"/>
      <c r="P24" s="601"/>
      <c r="Q24" s="601"/>
      <c r="R24" s="601"/>
      <c r="S24" s="601"/>
      <c r="T24" s="601"/>
      <c r="U24" s="601"/>
      <c r="V24" s="601"/>
      <c r="W24" s="601"/>
      <c r="X24" s="601"/>
      <c r="Y24" s="601"/>
    </row>
    <row r="25" ht="38.25" spans="1:25">
      <c r="A25" s="569" t="s">
        <v>124</v>
      </c>
      <c r="B25" s="569" t="s">
        <v>125</v>
      </c>
      <c r="C25" s="569" t="s">
        <v>77</v>
      </c>
      <c r="D25" s="569" t="s">
        <v>126</v>
      </c>
      <c r="E25" s="577">
        <v>0</v>
      </c>
      <c r="F25" s="570">
        <v>2500</v>
      </c>
      <c r="G25" s="579">
        <v>1.2</v>
      </c>
      <c r="H25" s="600">
        <v>1.5</v>
      </c>
      <c r="I25" s="600">
        <v>3750</v>
      </c>
      <c r="J25" s="612">
        <v>0.000152486508441027</v>
      </c>
      <c r="K25" s="613">
        <f t="shared" si="0"/>
        <v>0</v>
      </c>
      <c r="L25" s="610">
        <f t="shared" si="1"/>
        <v>3750</v>
      </c>
      <c r="M25" s="601"/>
      <c r="N25" s="601"/>
      <c r="O25" s="601"/>
      <c r="P25" s="601"/>
      <c r="Q25" s="601"/>
      <c r="R25" s="601"/>
      <c r="S25" s="601"/>
      <c r="T25" s="601"/>
      <c r="U25" s="601"/>
      <c r="V25" s="601"/>
      <c r="W25" s="601"/>
      <c r="X25" s="601"/>
      <c r="Y25" s="601"/>
    </row>
    <row r="26" ht="25.5" spans="1:25">
      <c r="A26" s="569" t="s">
        <v>127</v>
      </c>
      <c r="B26" s="569" t="s">
        <v>128</v>
      </c>
      <c r="C26" s="569" t="s">
        <v>77</v>
      </c>
      <c r="D26" s="569" t="s">
        <v>129</v>
      </c>
      <c r="E26" s="577">
        <v>0</v>
      </c>
      <c r="F26" s="570">
        <v>5503.41</v>
      </c>
      <c r="G26" s="579">
        <v>0.72</v>
      </c>
      <c r="H26" s="600">
        <v>0.9</v>
      </c>
      <c r="I26" s="600">
        <v>4953.06</v>
      </c>
      <c r="J26" s="612">
        <v>0.000201406620133043</v>
      </c>
      <c r="K26" s="613">
        <f t="shared" si="0"/>
        <v>0</v>
      </c>
      <c r="L26" s="610">
        <f t="shared" si="1"/>
        <v>4953.06</v>
      </c>
      <c r="M26" s="601"/>
      <c r="N26" s="601"/>
      <c r="O26" s="601"/>
      <c r="P26" s="601"/>
      <c r="Q26" s="601"/>
      <c r="R26" s="601"/>
      <c r="S26" s="601"/>
      <c r="T26" s="601"/>
      <c r="U26" s="601"/>
      <c r="V26" s="601"/>
      <c r="W26" s="601"/>
      <c r="X26" s="601"/>
      <c r="Y26" s="601"/>
    </row>
    <row r="27" ht="15" spans="1:25">
      <c r="A27" s="596" t="s">
        <v>20</v>
      </c>
      <c r="B27" s="596" t="s">
        <v>74</v>
      </c>
      <c r="C27" s="596"/>
      <c r="D27" s="596" t="s">
        <v>21</v>
      </c>
      <c r="E27" s="597"/>
      <c r="F27" s="598">
        <v>1</v>
      </c>
      <c r="G27" s="598"/>
      <c r="H27" s="599">
        <v>1806412.06</v>
      </c>
      <c r="I27" s="599">
        <v>1806412.06</v>
      </c>
      <c r="J27" s="608">
        <v>0.0734542580893767</v>
      </c>
      <c r="K27" s="613">
        <f t="shared" si="0"/>
        <v>0</v>
      </c>
      <c r="L27" s="610">
        <f>SUM(L28)</f>
        <v>1806412.06</v>
      </c>
      <c r="M27" s="601"/>
      <c r="N27" s="601"/>
      <c r="O27" s="601"/>
      <c r="P27" s="601"/>
      <c r="Q27" s="601"/>
      <c r="R27" s="601"/>
      <c r="S27" s="601"/>
      <c r="T27" s="601"/>
      <c r="U27" s="601"/>
      <c r="V27" s="601"/>
      <c r="W27" s="601"/>
      <c r="X27" s="601"/>
      <c r="Y27" s="601"/>
    </row>
    <row r="28" ht="15" spans="1:25">
      <c r="A28" s="569" t="s">
        <v>130</v>
      </c>
      <c r="B28" s="569" t="s">
        <v>131</v>
      </c>
      <c r="C28" s="569" t="s">
        <v>132</v>
      </c>
      <c r="D28" s="569" t="s">
        <v>133</v>
      </c>
      <c r="E28" s="577" t="s">
        <v>134</v>
      </c>
      <c r="F28" s="570">
        <v>1</v>
      </c>
      <c r="G28" s="579">
        <v>1439486.86</v>
      </c>
      <c r="H28" s="600">
        <v>1806412.06</v>
      </c>
      <c r="I28" s="600">
        <v>1806412.06</v>
      </c>
      <c r="J28" s="612">
        <v>0.0734542580893767</v>
      </c>
      <c r="K28" s="613">
        <f t="shared" si="0"/>
        <v>0</v>
      </c>
      <c r="L28" s="610">
        <f>I28-(I28*K28)</f>
        <v>1806412.06</v>
      </c>
      <c r="M28" s="601"/>
      <c r="N28" s="601"/>
      <c r="O28" s="601"/>
      <c r="P28" s="601"/>
      <c r="Q28" s="601"/>
      <c r="R28" s="601"/>
      <c r="S28" s="601"/>
      <c r="T28" s="601"/>
      <c r="U28" s="601"/>
      <c r="V28" s="601"/>
      <c r="W28" s="601"/>
      <c r="X28" s="601"/>
      <c r="Y28" s="601"/>
    </row>
    <row r="29" ht="15" spans="1:25">
      <c r="A29" s="596" t="s">
        <v>22</v>
      </c>
      <c r="B29" s="596" t="s">
        <v>74</v>
      </c>
      <c r="C29" s="596"/>
      <c r="D29" s="596" t="s">
        <v>23</v>
      </c>
      <c r="E29" s="597"/>
      <c r="F29" s="598">
        <v>1</v>
      </c>
      <c r="G29" s="598"/>
      <c r="H29" s="599">
        <v>424790.73</v>
      </c>
      <c r="I29" s="599">
        <v>424790.73</v>
      </c>
      <c r="J29" s="608">
        <v>0.0172732947295507</v>
      </c>
      <c r="K29" s="613">
        <f t="shared" si="0"/>
        <v>0</v>
      </c>
      <c r="L29" s="610">
        <f>SUM(L30,L33,L36,L74,L96,L103,L105)</f>
        <v>424790.73</v>
      </c>
      <c r="M29" s="601"/>
      <c r="N29" s="601"/>
      <c r="O29" s="601"/>
      <c r="P29" s="601"/>
      <c r="Q29" s="601"/>
      <c r="R29" s="601"/>
      <c r="S29" s="601"/>
      <c r="T29" s="601"/>
      <c r="U29" s="601"/>
      <c r="V29" s="601"/>
      <c r="W29" s="601"/>
      <c r="X29" s="601"/>
      <c r="Y29" s="601"/>
    </row>
    <row r="30" ht="15" spans="1:25">
      <c r="A30" s="596" t="s">
        <v>135</v>
      </c>
      <c r="B30" s="596" t="s">
        <v>74</v>
      </c>
      <c r="C30" s="596"/>
      <c r="D30" s="596" t="s">
        <v>136</v>
      </c>
      <c r="E30" s="597"/>
      <c r="F30" s="598">
        <v>1</v>
      </c>
      <c r="G30" s="598"/>
      <c r="H30" s="599">
        <v>28318.36</v>
      </c>
      <c r="I30" s="599">
        <v>28318.36</v>
      </c>
      <c r="J30" s="608">
        <v>0.00115151142431361</v>
      </c>
      <c r="K30" s="613">
        <f t="shared" si="0"/>
        <v>0</v>
      </c>
      <c r="L30" s="610">
        <f>SUM(L31:L32)</f>
        <v>28318.36</v>
      </c>
      <c r="M30" s="601"/>
      <c r="N30" s="601"/>
      <c r="O30" s="601"/>
      <c r="P30" s="601"/>
      <c r="Q30" s="601"/>
      <c r="R30" s="601"/>
      <c r="S30" s="601"/>
      <c r="T30" s="601"/>
      <c r="U30" s="601"/>
      <c r="V30" s="601"/>
      <c r="W30" s="601"/>
      <c r="X30" s="601"/>
      <c r="Y30" s="601"/>
    </row>
    <row r="31" ht="25.5" spans="1:25">
      <c r="A31" s="569" t="s">
        <v>137</v>
      </c>
      <c r="B31" s="569" t="s">
        <v>138</v>
      </c>
      <c r="C31" s="569" t="s">
        <v>139</v>
      </c>
      <c r="D31" s="569" t="s">
        <v>140</v>
      </c>
      <c r="E31" s="577" t="s">
        <v>141</v>
      </c>
      <c r="F31" s="570">
        <v>3.15</v>
      </c>
      <c r="G31" s="579">
        <v>476.28</v>
      </c>
      <c r="H31" s="600">
        <v>597.68</v>
      </c>
      <c r="I31" s="600">
        <v>1882.69</v>
      </c>
      <c r="J31" s="612">
        <v>7.65559532204898e-5</v>
      </c>
      <c r="K31" s="613">
        <f t="shared" si="0"/>
        <v>0</v>
      </c>
      <c r="L31" s="610">
        <f>I31-(I31*K31)</f>
        <v>1882.69</v>
      </c>
      <c r="M31" s="601"/>
      <c r="N31" s="601"/>
      <c r="O31" s="601"/>
      <c r="P31" s="601"/>
      <c r="Q31" s="601"/>
      <c r="R31" s="601"/>
      <c r="S31" s="601"/>
      <c r="T31" s="601"/>
      <c r="U31" s="601"/>
      <c r="V31" s="601"/>
      <c r="W31" s="601"/>
      <c r="X31" s="601"/>
      <c r="Y31" s="601"/>
    </row>
    <row r="32" ht="51" spans="1:25">
      <c r="A32" s="569" t="s">
        <v>142</v>
      </c>
      <c r="B32" s="569" t="s">
        <v>143</v>
      </c>
      <c r="C32" s="569" t="s">
        <v>132</v>
      </c>
      <c r="D32" s="569" t="s">
        <v>144</v>
      </c>
      <c r="E32" s="577" t="s">
        <v>134</v>
      </c>
      <c r="F32" s="570">
        <v>1</v>
      </c>
      <c r="G32" s="579">
        <v>21065.96</v>
      </c>
      <c r="H32" s="600">
        <v>26435.67</v>
      </c>
      <c r="I32" s="600">
        <v>26435.67</v>
      </c>
      <c r="J32" s="612">
        <v>0.00107495547109312</v>
      </c>
      <c r="K32" s="613">
        <f t="shared" si="0"/>
        <v>0</v>
      </c>
      <c r="L32" s="610">
        <f>I32-(I32*K32)</f>
        <v>26435.67</v>
      </c>
      <c r="M32" s="601"/>
      <c r="N32" s="601"/>
      <c r="O32" s="601"/>
      <c r="P32" s="601"/>
      <c r="Q32" s="601"/>
      <c r="R32" s="601"/>
      <c r="S32" s="601"/>
      <c r="T32" s="601"/>
      <c r="U32" s="601"/>
      <c r="V32" s="601"/>
      <c r="W32" s="601"/>
      <c r="X32" s="601"/>
      <c r="Y32" s="601"/>
    </row>
    <row r="33" ht="15" spans="1:25">
      <c r="A33" s="596" t="s">
        <v>145</v>
      </c>
      <c r="B33" s="596" t="s">
        <v>74</v>
      </c>
      <c r="C33" s="596"/>
      <c r="D33" s="596" t="s">
        <v>146</v>
      </c>
      <c r="E33" s="597"/>
      <c r="F33" s="598">
        <v>1</v>
      </c>
      <c r="G33" s="598"/>
      <c r="H33" s="599">
        <v>29557.93</v>
      </c>
      <c r="I33" s="599">
        <v>29557.93</v>
      </c>
      <c r="J33" s="608">
        <v>0.00120191614465181</v>
      </c>
      <c r="K33" s="613">
        <f t="shared" si="0"/>
        <v>0</v>
      </c>
      <c r="L33" s="610">
        <f>SUM(L34:L35)</f>
        <v>29557.93</v>
      </c>
      <c r="M33" s="601"/>
      <c r="N33" s="601"/>
      <c r="O33" s="601"/>
      <c r="P33" s="601"/>
      <c r="Q33" s="601"/>
      <c r="R33" s="601"/>
      <c r="S33" s="601"/>
      <c r="T33" s="601"/>
      <c r="U33" s="601"/>
      <c r="V33" s="601"/>
      <c r="W33" s="601"/>
      <c r="X33" s="601"/>
      <c r="Y33" s="601"/>
    </row>
    <row r="34" ht="15" spans="1:25">
      <c r="A34" s="569" t="s">
        <v>147</v>
      </c>
      <c r="B34" s="569" t="s">
        <v>148</v>
      </c>
      <c r="C34" s="569" t="s">
        <v>149</v>
      </c>
      <c r="D34" s="569" t="s">
        <v>150</v>
      </c>
      <c r="E34" s="577" t="s">
        <v>134</v>
      </c>
      <c r="F34" s="570">
        <v>1</v>
      </c>
      <c r="G34" s="579">
        <v>6216.46</v>
      </c>
      <c r="H34" s="600">
        <v>7801.03</v>
      </c>
      <c r="I34" s="600">
        <v>7801.03</v>
      </c>
      <c r="J34" s="612">
        <v>0.000317213820518321</v>
      </c>
      <c r="K34" s="613">
        <f t="shared" si="0"/>
        <v>0</v>
      </c>
      <c r="L34" s="610">
        <f>I34-(I34*K34)</f>
        <v>7801.03</v>
      </c>
      <c r="M34" s="601"/>
      <c r="N34" s="601"/>
      <c r="O34" s="601"/>
      <c r="P34" s="601"/>
      <c r="Q34" s="601"/>
      <c r="R34" s="601"/>
      <c r="S34" s="601"/>
      <c r="T34" s="601"/>
      <c r="U34" s="601"/>
      <c r="V34" s="601"/>
      <c r="W34" s="601"/>
      <c r="X34" s="601"/>
      <c r="Y34" s="601"/>
    </row>
    <row r="35" ht="15" spans="1:25">
      <c r="A35" s="569" t="s">
        <v>151</v>
      </c>
      <c r="B35" s="569" t="s">
        <v>152</v>
      </c>
      <c r="C35" s="569" t="s">
        <v>139</v>
      </c>
      <c r="D35" s="569" t="s">
        <v>153</v>
      </c>
      <c r="E35" s="577" t="s">
        <v>141</v>
      </c>
      <c r="F35" s="570">
        <v>165</v>
      </c>
      <c r="G35" s="579">
        <v>105.08</v>
      </c>
      <c r="H35" s="600">
        <v>131.86</v>
      </c>
      <c r="I35" s="600">
        <v>21756.9</v>
      </c>
      <c r="J35" s="612">
        <v>0.000884702324133488</v>
      </c>
      <c r="K35" s="613">
        <f t="shared" si="0"/>
        <v>0</v>
      </c>
      <c r="L35" s="610">
        <f>I35-(I35*K35)</f>
        <v>21756.9</v>
      </c>
      <c r="M35" s="601"/>
      <c r="N35" s="601"/>
      <c r="O35" s="601"/>
      <c r="P35" s="601"/>
      <c r="Q35" s="601"/>
      <c r="R35" s="601"/>
      <c r="S35" s="601"/>
      <c r="T35" s="601"/>
      <c r="U35" s="601"/>
      <c r="V35" s="601"/>
      <c r="W35" s="601"/>
      <c r="X35" s="601"/>
      <c r="Y35" s="601"/>
    </row>
    <row r="36" ht="15" spans="1:25">
      <c r="A36" s="596" t="s">
        <v>154</v>
      </c>
      <c r="B36" s="596" t="s">
        <v>74</v>
      </c>
      <c r="C36" s="596"/>
      <c r="D36" s="596" t="s">
        <v>155</v>
      </c>
      <c r="E36" s="597"/>
      <c r="F36" s="598">
        <v>1</v>
      </c>
      <c r="G36" s="598"/>
      <c r="H36" s="599">
        <v>112611.56</v>
      </c>
      <c r="I36" s="599">
        <v>112611.56</v>
      </c>
      <c r="J36" s="608">
        <v>0.00457913162519926</v>
      </c>
      <c r="K36" s="613">
        <f t="shared" si="0"/>
        <v>0</v>
      </c>
      <c r="L36" s="610">
        <f>SUM(L37:L73)</f>
        <v>112611.56</v>
      </c>
      <c r="M36" s="601"/>
      <c r="N36" s="601"/>
      <c r="O36" s="601"/>
      <c r="P36" s="601"/>
      <c r="Q36" s="601"/>
      <c r="R36" s="601"/>
      <c r="S36" s="601"/>
      <c r="T36" s="601"/>
      <c r="U36" s="601"/>
      <c r="V36" s="601"/>
      <c r="W36" s="601"/>
      <c r="X36" s="601"/>
      <c r="Y36" s="601"/>
    </row>
    <row r="37" ht="25.5" spans="1:25">
      <c r="A37" s="569" t="s">
        <v>156</v>
      </c>
      <c r="B37" s="569" t="s">
        <v>157</v>
      </c>
      <c r="C37" s="569" t="s">
        <v>139</v>
      </c>
      <c r="D37" s="569" t="s">
        <v>158</v>
      </c>
      <c r="E37" s="577" t="s">
        <v>141</v>
      </c>
      <c r="F37" s="570">
        <v>24</v>
      </c>
      <c r="G37" s="579">
        <v>40.28</v>
      </c>
      <c r="H37" s="600">
        <v>50.54</v>
      </c>
      <c r="I37" s="600">
        <v>1212.96</v>
      </c>
      <c r="J37" s="612">
        <v>4.93226760743008e-5</v>
      </c>
      <c r="K37" s="613">
        <f t="shared" si="0"/>
        <v>0</v>
      </c>
      <c r="L37" s="610">
        <f t="shared" ref="L37:L73" si="2">I37-(I37*K37)</f>
        <v>1212.96</v>
      </c>
      <c r="M37" s="601"/>
      <c r="N37" s="601"/>
      <c r="O37" s="601"/>
      <c r="P37" s="601"/>
      <c r="Q37" s="601"/>
      <c r="R37" s="601"/>
      <c r="S37" s="601"/>
      <c r="T37" s="601"/>
      <c r="U37" s="601"/>
      <c r="V37" s="601"/>
      <c r="W37" s="601"/>
      <c r="X37" s="601"/>
      <c r="Y37" s="601"/>
    </row>
    <row r="38" ht="38.25" spans="1:25">
      <c r="A38" s="569" t="s">
        <v>159</v>
      </c>
      <c r="B38" s="569" t="s">
        <v>160</v>
      </c>
      <c r="C38" s="569" t="s">
        <v>139</v>
      </c>
      <c r="D38" s="569" t="s">
        <v>161</v>
      </c>
      <c r="E38" s="577" t="s">
        <v>141</v>
      </c>
      <c r="F38" s="570">
        <v>90</v>
      </c>
      <c r="G38" s="579">
        <v>124.74</v>
      </c>
      <c r="H38" s="600">
        <v>156.53</v>
      </c>
      <c r="I38" s="600">
        <v>14087.7</v>
      </c>
      <c r="J38" s="612">
        <v>0.000572849115990575</v>
      </c>
      <c r="K38" s="613">
        <f t="shared" si="0"/>
        <v>0</v>
      </c>
      <c r="L38" s="610">
        <f t="shared" si="2"/>
        <v>14087.7</v>
      </c>
      <c r="M38" s="601"/>
      <c r="N38" s="601"/>
      <c r="O38" s="601"/>
      <c r="P38" s="601"/>
      <c r="Q38" s="601"/>
      <c r="R38" s="601"/>
      <c r="S38" s="601"/>
      <c r="T38" s="601"/>
      <c r="U38" s="601"/>
      <c r="V38" s="601"/>
      <c r="W38" s="601"/>
      <c r="X38" s="601"/>
      <c r="Y38" s="601"/>
    </row>
    <row r="39" ht="38.25" spans="1:25">
      <c r="A39" s="569" t="s">
        <v>162</v>
      </c>
      <c r="B39" s="569" t="s">
        <v>163</v>
      </c>
      <c r="C39" s="569" t="s">
        <v>139</v>
      </c>
      <c r="D39" s="569" t="s">
        <v>164</v>
      </c>
      <c r="E39" s="577" t="s">
        <v>134</v>
      </c>
      <c r="F39" s="570">
        <v>4</v>
      </c>
      <c r="G39" s="579">
        <v>420.39</v>
      </c>
      <c r="H39" s="600">
        <v>527.54</v>
      </c>
      <c r="I39" s="600">
        <v>2110.16</v>
      </c>
      <c r="J39" s="612">
        <v>8.5805581507178e-5</v>
      </c>
      <c r="K39" s="613">
        <f t="shared" si="0"/>
        <v>0</v>
      </c>
      <c r="L39" s="610">
        <f t="shared" si="2"/>
        <v>2110.16</v>
      </c>
      <c r="M39" s="601"/>
      <c r="N39" s="601"/>
      <c r="O39" s="601"/>
      <c r="P39" s="601"/>
      <c r="Q39" s="601"/>
      <c r="R39" s="601"/>
      <c r="S39" s="601"/>
      <c r="T39" s="601"/>
      <c r="U39" s="601"/>
      <c r="V39" s="601"/>
      <c r="W39" s="601"/>
      <c r="X39" s="601"/>
      <c r="Y39" s="601"/>
    </row>
    <row r="40" ht="38.25" spans="1:25">
      <c r="A40" s="569" t="s">
        <v>165</v>
      </c>
      <c r="B40" s="569" t="s">
        <v>166</v>
      </c>
      <c r="C40" s="569" t="s">
        <v>139</v>
      </c>
      <c r="D40" s="569" t="s">
        <v>167</v>
      </c>
      <c r="E40" s="577" t="s">
        <v>134</v>
      </c>
      <c r="F40" s="570">
        <v>6</v>
      </c>
      <c r="G40" s="579">
        <v>460.96</v>
      </c>
      <c r="H40" s="600">
        <v>578.45</v>
      </c>
      <c r="I40" s="600">
        <v>3470.7</v>
      </c>
      <c r="J40" s="612">
        <v>0.000141129313292339</v>
      </c>
      <c r="K40" s="613">
        <f t="shared" si="0"/>
        <v>0</v>
      </c>
      <c r="L40" s="610">
        <f t="shared" si="2"/>
        <v>3470.7</v>
      </c>
      <c r="M40" s="601"/>
      <c r="N40" s="601"/>
      <c r="O40" s="601"/>
      <c r="P40" s="601"/>
      <c r="Q40" s="601"/>
      <c r="R40" s="601"/>
      <c r="S40" s="601"/>
      <c r="T40" s="601"/>
      <c r="U40" s="601"/>
      <c r="V40" s="601"/>
      <c r="W40" s="601"/>
      <c r="X40" s="601"/>
      <c r="Y40" s="601"/>
    </row>
    <row r="41" ht="38.25" spans="1:25">
      <c r="A41" s="569" t="s">
        <v>168</v>
      </c>
      <c r="B41" s="569" t="s">
        <v>169</v>
      </c>
      <c r="C41" s="569" t="s">
        <v>139</v>
      </c>
      <c r="D41" s="569" t="s">
        <v>170</v>
      </c>
      <c r="E41" s="577" t="s">
        <v>134</v>
      </c>
      <c r="F41" s="570">
        <v>6</v>
      </c>
      <c r="G41" s="579">
        <v>139.33</v>
      </c>
      <c r="H41" s="600">
        <v>174.84</v>
      </c>
      <c r="I41" s="600">
        <v>1049.04</v>
      </c>
      <c r="J41" s="612">
        <v>4.26571858173266e-5</v>
      </c>
      <c r="K41" s="613">
        <f t="shared" si="0"/>
        <v>0</v>
      </c>
      <c r="L41" s="610">
        <f t="shared" si="2"/>
        <v>1049.04</v>
      </c>
      <c r="M41" s="601"/>
      <c r="N41" s="601"/>
      <c r="O41" s="601"/>
      <c r="P41" s="601"/>
      <c r="Q41" s="601"/>
      <c r="R41" s="601"/>
      <c r="S41" s="601"/>
      <c r="T41" s="601"/>
      <c r="U41" s="601"/>
      <c r="V41" s="601"/>
      <c r="W41" s="601"/>
      <c r="X41" s="601"/>
      <c r="Y41" s="601"/>
    </row>
    <row r="42" ht="38.25" spans="1:25">
      <c r="A42" s="569" t="s">
        <v>171</v>
      </c>
      <c r="B42" s="569" t="s">
        <v>172</v>
      </c>
      <c r="C42" s="569" t="s">
        <v>139</v>
      </c>
      <c r="D42" s="569" t="s">
        <v>173</v>
      </c>
      <c r="E42" s="577" t="s">
        <v>134</v>
      </c>
      <c r="F42" s="570">
        <v>4</v>
      </c>
      <c r="G42" s="579">
        <v>136.75</v>
      </c>
      <c r="H42" s="600">
        <v>171.6</v>
      </c>
      <c r="I42" s="600">
        <v>686.4</v>
      </c>
      <c r="J42" s="612">
        <v>2.79111305050456e-5</v>
      </c>
      <c r="K42" s="613">
        <f t="shared" si="0"/>
        <v>0</v>
      </c>
      <c r="L42" s="610">
        <f t="shared" si="2"/>
        <v>686.4</v>
      </c>
      <c r="M42" s="601"/>
      <c r="N42" s="601"/>
      <c r="O42" s="601"/>
      <c r="P42" s="601"/>
      <c r="Q42" s="601"/>
      <c r="R42" s="601"/>
      <c r="S42" s="601"/>
      <c r="T42" s="601"/>
      <c r="U42" s="601"/>
      <c r="V42" s="601"/>
      <c r="W42" s="601"/>
      <c r="X42" s="601"/>
      <c r="Y42" s="601"/>
    </row>
    <row r="43" ht="51" spans="1:25">
      <c r="A43" s="569" t="s">
        <v>174</v>
      </c>
      <c r="B43" s="569" t="s">
        <v>175</v>
      </c>
      <c r="C43" s="569" t="s">
        <v>139</v>
      </c>
      <c r="D43" s="569" t="s">
        <v>176</v>
      </c>
      <c r="E43" s="577" t="s">
        <v>141</v>
      </c>
      <c r="F43" s="570">
        <v>4</v>
      </c>
      <c r="G43" s="579">
        <v>631.07</v>
      </c>
      <c r="H43" s="600">
        <v>791.92</v>
      </c>
      <c r="I43" s="600">
        <v>3167.68</v>
      </c>
      <c r="J43" s="612">
        <v>0.000128807590148926</v>
      </c>
      <c r="K43" s="613">
        <f t="shared" si="0"/>
        <v>0</v>
      </c>
      <c r="L43" s="610">
        <f t="shared" si="2"/>
        <v>3167.68</v>
      </c>
      <c r="M43" s="601"/>
      <c r="N43" s="601"/>
      <c r="O43" s="601"/>
      <c r="P43" s="601"/>
      <c r="Q43" s="601"/>
      <c r="R43" s="601"/>
      <c r="S43" s="601"/>
      <c r="T43" s="601"/>
      <c r="U43" s="601"/>
      <c r="V43" s="601"/>
      <c r="W43" s="601"/>
      <c r="X43" s="601"/>
      <c r="Y43" s="601"/>
    </row>
    <row r="44" ht="51" spans="1:25">
      <c r="A44" s="569" t="s">
        <v>177</v>
      </c>
      <c r="B44" s="569" t="s">
        <v>178</v>
      </c>
      <c r="C44" s="569" t="s">
        <v>139</v>
      </c>
      <c r="D44" s="569" t="s">
        <v>179</v>
      </c>
      <c r="E44" s="577" t="s">
        <v>141</v>
      </c>
      <c r="F44" s="570">
        <v>2.16</v>
      </c>
      <c r="G44" s="579">
        <v>1250.46</v>
      </c>
      <c r="H44" s="600">
        <v>1569.2</v>
      </c>
      <c r="I44" s="600">
        <v>3389.47</v>
      </c>
      <c r="J44" s="612">
        <v>0.000137826252204162</v>
      </c>
      <c r="K44" s="613">
        <f t="shared" si="0"/>
        <v>0</v>
      </c>
      <c r="L44" s="610">
        <f t="shared" si="2"/>
        <v>3389.47</v>
      </c>
      <c r="M44" s="601"/>
      <c r="N44" s="601"/>
      <c r="O44" s="601"/>
      <c r="P44" s="601"/>
      <c r="Q44" s="601"/>
      <c r="R44" s="601"/>
      <c r="S44" s="601"/>
      <c r="T44" s="601"/>
      <c r="U44" s="601"/>
      <c r="V44" s="601"/>
      <c r="W44" s="601"/>
      <c r="X44" s="601"/>
      <c r="Y44" s="601"/>
    </row>
    <row r="45" ht="25.5" spans="1:25">
      <c r="A45" s="569" t="s">
        <v>180</v>
      </c>
      <c r="B45" s="569" t="s">
        <v>181</v>
      </c>
      <c r="C45" s="569" t="s">
        <v>139</v>
      </c>
      <c r="D45" s="569" t="s">
        <v>182</v>
      </c>
      <c r="E45" s="577" t="s">
        <v>141</v>
      </c>
      <c r="F45" s="570">
        <v>6.16</v>
      </c>
      <c r="G45" s="579">
        <v>202.75</v>
      </c>
      <c r="H45" s="600">
        <v>254.43</v>
      </c>
      <c r="I45" s="600">
        <v>1567.28</v>
      </c>
      <c r="J45" s="612">
        <v>6.37304146531874e-5</v>
      </c>
      <c r="K45" s="613">
        <f t="shared" si="0"/>
        <v>0</v>
      </c>
      <c r="L45" s="610">
        <f t="shared" si="2"/>
        <v>1567.28</v>
      </c>
      <c r="M45" s="601"/>
      <c r="N45" s="601"/>
      <c r="O45" s="601"/>
      <c r="P45" s="601"/>
      <c r="Q45" s="601"/>
      <c r="R45" s="601"/>
      <c r="S45" s="601"/>
      <c r="T45" s="601"/>
      <c r="U45" s="601"/>
      <c r="V45" s="601"/>
      <c r="W45" s="601"/>
      <c r="X45" s="601"/>
      <c r="Y45" s="601"/>
    </row>
    <row r="46" ht="38.25" spans="1:25">
      <c r="A46" s="569" t="s">
        <v>183</v>
      </c>
      <c r="B46" s="569" t="s">
        <v>184</v>
      </c>
      <c r="C46" s="569" t="s">
        <v>139</v>
      </c>
      <c r="D46" s="569" t="s">
        <v>185</v>
      </c>
      <c r="E46" s="577" t="s">
        <v>141</v>
      </c>
      <c r="F46" s="570">
        <v>10</v>
      </c>
      <c r="G46" s="579">
        <v>113.21</v>
      </c>
      <c r="H46" s="600">
        <v>142.06</v>
      </c>
      <c r="I46" s="600">
        <v>1420.6</v>
      </c>
      <c r="J46" s="612">
        <v>5.77659557043527e-5</v>
      </c>
      <c r="K46" s="613">
        <f t="shared" si="0"/>
        <v>0</v>
      </c>
      <c r="L46" s="610">
        <f t="shared" si="2"/>
        <v>1420.6</v>
      </c>
      <c r="M46" s="601"/>
      <c r="N46" s="601"/>
      <c r="O46" s="601"/>
      <c r="P46" s="601"/>
      <c r="Q46" s="601"/>
      <c r="R46" s="601"/>
      <c r="S46" s="601"/>
      <c r="T46" s="601"/>
      <c r="U46" s="601"/>
      <c r="V46" s="601"/>
      <c r="W46" s="601"/>
      <c r="X46" s="601"/>
      <c r="Y46" s="601"/>
    </row>
    <row r="47" ht="38.25" spans="1:25">
      <c r="A47" s="569" t="s">
        <v>186</v>
      </c>
      <c r="B47" s="569" t="s">
        <v>187</v>
      </c>
      <c r="C47" s="569" t="s">
        <v>139</v>
      </c>
      <c r="D47" s="569" t="s">
        <v>188</v>
      </c>
      <c r="E47" s="577" t="s">
        <v>141</v>
      </c>
      <c r="F47" s="570">
        <v>20</v>
      </c>
      <c r="G47" s="579">
        <v>35.15</v>
      </c>
      <c r="H47" s="600">
        <v>44.1</v>
      </c>
      <c r="I47" s="600">
        <v>882</v>
      </c>
      <c r="J47" s="612">
        <v>3.58648267853295e-5</v>
      </c>
      <c r="K47" s="613">
        <f t="shared" si="0"/>
        <v>0</v>
      </c>
      <c r="L47" s="610">
        <f t="shared" si="2"/>
        <v>882</v>
      </c>
      <c r="M47" s="601"/>
      <c r="N47" s="601"/>
      <c r="O47" s="601"/>
      <c r="P47" s="601"/>
      <c r="Q47" s="601"/>
      <c r="R47" s="601"/>
      <c r="S47" s="601"/>
      <c r="T47" s="601"/>
      <c r="U47" s="601"/>
      <c r="V47" s="601"/>
      <c r="W47" s="601"/>
      <c r="X47" s="601"/>
      <c r="Y47" s="601"/>
    </row>
    <row r="48" ht="38.25" spans="1:25">
      <c r="A48" s="569" t="s">
        <v>189</v>
      </c>
      <c r="B48" s="569" t="s">
        <v>190</v>
      </c>
      <c r="C48" s="569" t="s">
        <v>139</v>
      </c>
      <c r="D48" s="569" t="s">
        <v>191</v>
      </c>
      <c r="E48" s="577" t="s">
        <v>141</v>
      </c>
      <c r="F48" s="570">
        <v>20</v>
      </c>
      <c r="G48" s="579">
        <v>5.75</v>
      </c>
      <c r="H48" s="600">
        <v>7.21</v>
      </c>
      <c r="I48" s="600">
        <v>144.2</v>
      </c>
      <c r="J48" s="612">
        <v>5.86361453791895e-6</v>
      </c>
      <c r="K48" s="613">
        <f t="shared" si="0"/>
        <v>0</v>
      </c>
      <c r="L48" s="610">
        <f t="shared" si="2"/>
        <v>144.2</v>
      </c>
      <c r="M48" s="601"/>
      <c r="N48" s="601"/>
      <c r="O48" s="601"/>
      <c r="P48" s="601"/>
      <c r="Q48" s="601"/>
      <c r="R48" s="601"/>
      <c r="S48" s="601"/>
      <c r="T48" s="601"/>
      <c r="U48" s="601"/>
      <c r="V48" s="601"/>
      <c r="W48" s="601"/>
      <c r="X48" s="601"/>
      <c r="Y48" s="601"/>
    </row>
    <row r="49" ht="25.5" spans="1:25">
      <c r="A49" s="569" t="s">
        <v>192</v>
      </c>
      <c r="B49" s="569" t="s">
        <v>193</v>
      </c>
      <c r="C49" s="569" t="s">
        <v>139</v>
      </c>
      <c r="D49" s="569" t="s">
        <v>194</v>
      </c>
      <c r="E49" s="577" t="s">
        <v>141</v>
      </c>
      <c r="F49" s="570">
        <v>360</v>
      </c>
      <c r="G49" s="579">
        <v>12.8</v>
      </c>
      <c r="H49" s="600">
        <v>16.06</v>
      </c>
      <c r="I49" s="600">
        <v>5781.6</v>
      </c>
      <c r="J49" s="612">
        <v>0.000235097599254038</v>
      </c>
      <c r="K49" s="613">
        <f t="shared" si="0"/>
        <v>0</v>
      </c>
      <c r="L49" s="610">
        <f t="shared" si="2"/>
        <v>5781.6</v>
      </c>
      <c r="M49" s="601"/>
      <c r="N49" s="601"/>
      <c r="O49" s="601"/>
      <c r="P49" s="601"/>
      <c r="Q49" s="601"/>
      <c r="R49" s="601"/>
      <c r="S49" s="601"/>
      <c r="T49" s="601"/>
      <c r="U49" s="601"/>
      <c r="V49" s="601"/>
      <c r="W49" s="601"/>
      <c r="X49" s="601"/>
      <c r="Y49" s="601"/>
    </row>
    <row r="50" ht="38.25" spans="1:25">
      <c r="A50" s="569" t="s">
        <v>195</v>
      </c>
      <c r="B50" s="569" t="s">
        <v>196</v>
      </c>
      <c r="C50" s="569" t="s">
        <v>139</v>
      </c>
      <c r="D50" s="569" t="s">
        <v>197</v>
      </c>
      <c r="E50" s="577" t="s">
        <v>141</v>
      </c>
      <c r="F50" s="570">
        <v>210</v>
      </c>
      <c r="G50" s="579">
        <v>27.57</v>
      </c>
      <c r="H50" s="600">
        <v>34.59</v>
      </c>
      <c r="I50" s="600">
        <v>7263.9</v>
      </c>
      <c r="J50" s="612">
        <v>0.000295372466310607</v>
      </c>
      <c r="K50" s="613">
        <f t="shared" si="0"/>
        <v>0</v>
      </c>
      <c r="L50" s="610">
        <f t="shared" si="2"/>
        <v>7263.9</v>
      </c>
      <c r="M50" s="601"/>
      <c r="N50" s="601"/>
      <c r="O50" s="601"/>
      <c r="P50" s="601"/>
      <c r="Q50" s="601"/>
      <c r="R50" s="601"/>
      <c r="S50" s="601"/>
      <c r="T50" s="601"/>
      <c r="U50" s="601"/>
      <c r="V50" s="601"/>
      <c r="W50" s="601"/>
      <c r="X50" s="601"/>
      <c r="Y50" s="601"/>
    </row>
    <row r="51" ht="51" spans="1:25">
      <c r="A51" s="569" t="s">
        <v>198</v>
      </c>
      <c r="B51" s="569" t="s">
        <v>199</v>
      </c>
      <c r="C51" s="569" t="s">
        <v>139</v>
      </c>
      <c r="D51" s="569" t="s">
        <v>200</v>
      </c>
      <c r="E51" s="577" t="s">
        <v>141</v>
      </c>
      <c r="F51" s="570">
        <v>210</v>
      </c>
      <c r="G51" s="579">
        <v>55.89</v>
      </c>
      <c r="H51" s="600">
        <v>70.13</v>
      </c>
      <c r="I51" s="600">
        <v>14727.3</v>
      </c>
      <c r="J51" s="612">
        <v>0.000598857214870276</v>
      </c>
      <c r="K51" s="613">
        <f t="shared" si="0"/>
        <v>0</v>
      </c>
      <c r="L51" s="610">
        <f t="shared" si="2"/>
        <v>14727.3</v>
      </c>
      <c r="M51" s="601"/>
      <c r="N51" s="601"/>
      <c r="O51" s="601"/>
      <c r="P51" s="601"/>
      <c r="Q51" s="601"/>
      <c r="R51" s="601"/>
      <c r="S51" s="601"/>
      <c r="T51" s="601"/>
      <c r="U51" s="601"/>
      <c r="V51" s="601"/>
      <c r="W51" s="601"/>
      <c r="X51" s="601"/>
      <c r="Y51" s="601"/>
    </row>
    <row r="52" ht="25.5" spans="1:25">
      <c r="A52" s="569" t="s">
        <v>201</v>
      </c>
      <c r="B52" s="569" t="s">
        <v>202</v>
      </c>
      <c r="C52" s="569" t="s">
        <v>77</v>
      </c>
      <c r="D52" s="569" t="s">
        <v>203</v>
      </c>
      <c r="E52" s="577" t="s">
        <v>204</v>
      </c>
      <c r="F52" s="570">
        <v>10</v>
      </c>
      <c r="G52" s="579">
        <v>25.64</v>
      </c>
      <c r="H52" s="600">
        <v>32.17</v>
      </c>
      <c r="I52" s="600">
        <v>321.7</v>
      </c>
      <c r="J52" s="612">
        <v>1.30813092707942e-5</v>
      </c>
      <c r="K52" s="613">
        <f t="shared" si="0"/>
        <v>0</v>
      </c>
      <c r="L52" s="610">
        <f t="shared" si="2"/>
        <v>321.7</v>
      </c>
      <c r="M52" s="601"/>
      <c r="N52" s="601"/>
      <c r="O52" s="601"/>
      <c r="P52" s="601"/>
      <c r="Q52" s="601"/>
      <c r="R52" s="601"/>
      <c r="S52" s="601"/>
      <c r="T52" s="601"/>
      <c r="U52" s="601"/>
      <c r="V52" s="601"/>
      <c r="W52" s="601"/>
      <c r="X52" s="601"/>
      <c r="Y52" s="601"/>
    </row>
    <row r="53" ht="25.5" spans="1:25">
      <c r="A53" s="569" t="s">
        <v>205</v>
      </c>
      <c r="B53" s="569" t="s">
        <v>206</v>
      </c>
      <c r="C53" s="569" t="s">
        <v>139</v>
      </c>
      <c r="D53" s="569" t="s">
        <v>207</v>
      </c>
      <c r="E53" s="577" t="s">
        <v>141</v>
      </c>
      <c r="F53" s="570">
        <v>190.5</v>
      </c>
      <c r="G53" s="579">
        <v>78.9</v>
      </c>
      <c r="H53" s="600">
        <v>99.01</v>
      </c>
      <c r="I53" s="600">
        <v>18861.4</v>
      </c>
      <c r="J53" s="612">
        <v>0.000766962408082556</v>
      </c>
      <c r="K53" s="613">
        <f t="shared" si="0"/>
        <v>0</v>
      </c>
      <c r="L53" s="610">
        <f t="shared" si="2"/>
        <v>18861.4</v>
      </c>
      <c r="M53" s="601"/>
      <c r="N53" s="601"/>
      <c r="O53" s="601"/>
      <c r="P53" s="601"/>
      <c r="Q53" s="601"/>
      <c r="R53" s="601"/>
      <c r="S53" s="601"/>
      <c r="T53" s="601"/>
      <c r="U53" s="601"/>
      <c r="V53" s="601"/>
      <c r="W53" s="601"/>
      <c r="X53" s="601"/>
      <c r="Y53" s="601"/>
    </row>
    <row r="54" ht="38.25" spans="1:25">
      <c r="A54" s="569" t="s">
        <v>208</v>
      </c>
      <c r="B54" s="569" t="s">
        <v>209</v>
      </c>
      <c r="C54" s="569" t="s">
        <v>132</v>
      </c>
      <c r="D54" s="569" t="s">
        <v>210</v>
      </c>
      <c r="E54" s="577" t="s">
        <v>134</v>
      </c>
      <c r="F54" s="570">
        <v>6</v>
      </c>
      <c r="G54" s="579">
        <v>172.29</v>
      </c>
      <c r="H54" s="600">
        <v>216.2</v>
      </c>
      <c r="I54" s="600">
        <v>1297.2</v>
      </c>
      <c r="J54" s="612">
        <v>5.274813299992e-5</v>
      </c>
      <c r="K54" s="613">
        <f t="shared" si="0"/>
        <v>0</v>
      </c>
      <c r="L54" s="610">
        <f t="shared" si="2"/>
        <v>1297.2</v>
      </c>
      <c r="M54" s="601"/>
      <c r="N54" s="601"/>
      <c r="O54" s="601"/>
      <c r="P54" s="601"/>
      <c r="Q54" s="601"/>
      <c r="R54" s="601"/>
      <c r="S54" s="601"/>
      <c r="T54" s="601"/>
      <c r="U54" s="601"/>
      <c r="V54" s="601"/>
      <c r="W54" s="601"/>
      <c r="X54" s="601"/>
      <c r="Y54" s="601"/>
    </row>
    <row r="55" ht="51" spans="1:25">
      <c r="A55" s="569" t="s">
        <v>211</v>
      </c>
      <c r="B55" s="569" t="s">
        <v>212</v>
      </c>
      <c r="C55" s="569" t="s">
        <v>139</v>
      </c>
      <c r="D55" s="569" t="s">
        <v>213</v>
      </c>
      <c r="E55" s="577" t="s">
        <v>204</v>
      </c>
      <c r="F55" s="570">
        <v>100</v>
      </c>
      <c r="G55" s="579">
        <v>12.77</v>
      </c>
      <c r="H55" s="600">
        <v>16.02</v>
      </c>
      <c r="I55" s="600">
        <v>1602</v>
      </c>
      <c r="J55" s="612">
        <v>6.51422364060067e-5</v>
      </c>
      <c r="K55" s="613">
        <f t="shared" si="0"/>
        <v>0</v>
      </c>
      <c r="L55" s="610">
        <f t="shared" si="2"/>
        <v>1602</v>
      </c>
      <c r="M55" s="601"/>
      <c r="N55" s="601"/>
      <c r="O55" s="601"/>
      <c r="P55" s="601"/>
      <c r="Q55" s="601"/>
      <c r="R55" s="601"/>
      <c r="S55" s="601"/>
      <c r="T55" s="601"/>
      <c r="U55" s="601"/>
      <c r="V55" s="601"/>
      <c r="W55" s="601"/>
      <c r="X55" s="601"/>
      <c r="Y55" s="601"/>
    </row>
    <row r="56" ht="38.25" spans="1:25">
      <c r="A56" s="569" t="s">
        <v>214</v>
      </c>
      <c r="B56" s="569" t="s">
        <v>215</v>
      </c>
      <c r="C56" s="569" t="s">
        <v>139</v>
      </c>
      <c r="D56" s="569" t="s">
        <v>216</v>
      </c>
      <c r="E56" s="577" t="s">
        <v>204</v>
      </c>
      <c r="F56" s="570">
        <v>50</v>
      </c>
      <c r="G56" s="579">
        <v>13.02</v>
      </c>
      <c r="H56" s="600">
        <v>16.33</v>
      </c>
      <c r="I56" s="600">
        <v>816.5</v>
      </c>
      <c r="J56" s="612">
        <v>3.32013957712263e-5</v>
      </c>
      <c r="K56" s="613">
        <f t="shared" si="0"/>
        <v>0</v>
      </c>
      <c r="L56" s="610">
        <f t="shared" si="2"/>
        <v>816.5</v>
      </c>
      <c r="M56" s="601"/>
      <c r="N56" s="601"/>
      <c r="O56" s="601"/>
      <c r="P56" s="601"/>
      <c r="Q56" s="601"/>
      <c r="R56" s="601"/>
      <c r="S56" s="601"/>
      <c r="T56" s="601"/>
      <c r="U56" s="601"/>
      <c r="V56" s="601"/>
      <c r="W56" s="601"/>
      <c r="X56" s="601"/>
      <c r="Y56" s="601"/>
    </row>
    <row r="57" ht="38.25" spans="1:25">
      <c r="A57" s="569" t="s">
        <v>217</v>
      </c>
      <c r="B57" s="569" t="s">
        <v>218</v>
      </c>
      <c r="C57" s="569" t="s">
        <v>139</v>
      </c>
      <c r="D57" s="569" t="s">
        <v>219</v>
      </c>
      <c r="E57" s="577" t="s">
        <v>204</v>
      </c>
      <c r="F57" s="570">
        <v>50</v>
      </c>
      <c r="G57" s="579">
        <v>16.92</v>
      </c>
      <c r="H57" s="600">
        <v>21.23</v>
      </c>
      <c r="I57" s="600">
        <v>1061.5</v>
      </c>
      <c r="J57" s="612">
        <v>4.316384765604e-5</v>
      </c>
      <c r="K57" s="613">
        <f t="shared" si="0"/>
        <v>0</v>
      </c>
      <c r="L57" s="610">
        <f t="shared" si="2"/>
        <v>1061.5</v>
      </c>
      <c r="M57" s="601"/>
      <c r="N57" s="601"/>
      <c r="O57" s="601"/>
      <c r="P57" s="601"/>
      <c r="Q57" s="601"/>
      <c r="R57" s="601"/>
      <c r="S57" s="601"/>
      <c r="T57" s="601"/>
      <c r="U57" s="601"/>
      <c r="V57" s="601"/>
      <c r="W57" s="601"/>
      <c r="X57" s="601"/>
      <c r="Y57" s="601"/>
    </row>
    <row r="58" ht="38.25" spans="1:25">
      <c r="A58" s="569" t="s">
        <v>220</v>
      </c>
      <c r="B58" s="569" t="s">
        <v>221</v>
      </c>
      <c r="C58" s="569" t="s">
        <v>139</v>
      </c>
      <c r="D58" s="569" t="s">
        <v>222</v>
      </c>
      <c r="E58" s="577" t="s">
        <v>134</v>
      </c>
      <c r="F58" s="570">
        <v>33</v>
      </c>
      <c r="G58" s="579">
        <v>10.75</v>
      </c>
      <c r="H58" s="600">
        <v>13.49</v>
      </c>
      <c r="I58" s="600">
        <v>445.17</v>
      </c>
      <c r="J58" s="612">
        <v>1.81019783900512e-5</v>
      </c>
      <c r="K58" s="613">
        <f t="shared" si="0"/>
        <v>0</v>
      </c>
      <c r="L58" s="610">
        <f t="shared" si="2"/>
        <v>445.17</v>
      </c>
      <c r="M58" s="601"/>
      <c r="N58" s="601"/>
      <c r="O58" s="601"/>
      <c r="P58" s="601"/>
      <c r="Q58" s="601"/>
      <c r="R58" s="601"/>
      <c r="S58" s="601"/>
      <c r="T58" s="601"/>
      <c r="U58" s="601"/>
      <c r="V58" s="601"/>
      <c r="W58" s="601"/>
      <c r="X58" s="601"/>
      <c r="Y58" s="601"/>
    </row>
    <row r="59" ht="38.25" spans="1:25">
      <c r="A59" s="569" t="s">
        <v>223</v>
      </c>
      <c r="B59" s="569" t="s">
        <v>224</v>
      </c>
      <c r="C59" s="569" t="s">
        <v>139</v>
      </c>
      <c r="D59" s="569" t="s">
        <v>225</v>
      </c>
      <c r="E59" s="577" t="s">
        <v>134</v>
      </c>
      <c r="F59" s="570">
        <v>33</v>
      </c>
      <c r="G59" s="579">
        <v>17.39</v>
      </c>
      <c r="H59" s="600">
        <v>21.82</v>
      </c>
      <c r="I59" s="600">
        <v>720.06</v>
      </c>
      <c r="J59" s="612">
        <v>2.92798494048122e-5</v>
      </c>
      <c r="K59" s="613">
        <f t="shared" si="0"/>
        <v>0</v>
      </c>
      <c r="L59" s="610">
        <f t="shared" si="2"/>
        <v>720.06</v>
      </c>
      <c r="M59" s="601"/>
      <c r="N59" s="601"/>
      <c r="O59" s="601"/>
      <c r="P59" s="601"/>
      <c r="Q59" s="601"/>
      <c r="R59" s="601"/>
      <c r="S59" s="601"/>
      <c r="T59" s="601"/>
      <c r="U59" s="601"/>
      <c r="V59" s="601"/>
      <c r="W59" s="601"/>
      <c r="X59" s="601"/>
      <c r="Y59" s="601"/>
    </row>
    <row r="60" ht="25.5" spans="1:25">
      <c r="A60" s="569" t="s">
        <v>226</v>
      </c>
      <c r="B60" s="569" t="s">
        <v>227</v>
      </c>
      <c r="C60" s="569" t="s">
        <v>139</v>
      </c>
      <c r="D60" s="569" t="s">
        <v>228</v>
      </c>
      <c r="E60" s="577" t="s">
        <v>204</v>
      </c>
      <c r="F60" s="570">
        <v>300</v>
      </c>
      <c r="G60" s="579">
        <v>4.98</v>
      </c>
      <c r="H60" s="600">
        <v>6.24</v>
      </c>
      <c r="I60" s="600">
        <v>1872</v>
      </c>
      <c r="J60" s="612">
        <v>7.61212650137606e-5</v>
      </c>
      <c r="K60" s="613">
        <f t="shared" si="0"/>
        <v>0</v>
      </c>
      <c r="L60" s="610">
        <f t="shared" si="2"/>
        <v>1872</v>
      </c>
      <c r="M60" s="601"/>
      <c r="N60" s="601"/>
      <c r="O60" s="601"/>
      <c r="P60" s="601"/>
      <c r="Q60" s="601"/>
      <c r="R60" s="601"/>
      <c r="S60" s="601"/>
      <c r="T60" s="601"/>
      <c r="U60" s="601"/>
      <c r="V60" s="601"/>
      <c r="W60" s="601"/>
      <c r="X60" s="601"/>
      <c r="Y60" s="601"/>
    </row>
    <row r="61" ht="25.5" spans="1:25">
      <c r="A61" s="569" t="s">
        <v>229</v>
      </c>
      <c r="B61" s="569" t="s">
        <v>230</v>
      </c>
      <c r="C61" s="569" t="s">
        <v>139</v>
      </c>
      <c r="D61" s="569" t="s">
        <v>231</v>
      </c>
      <c r="E61" s="577" t="s">
        <v>134</v>
      </c>
      <c r="F61" s="570">
        <v>6</v>
      </c>
      <c r="G61" s="579">
        <v>40.68</v>
      </c>
      <c r="H61" s="600">
        <v>51.04</v>
      </c>
      <c r="I61" s="600">
        <v>306.24</v>
      </c>
      <c r="J61" s="612">
        <v>1.2452658225328e-5</v>
      </c>
      <c r="K61" s="613">
        <f t="shared" si="0"/>
        <v>0</v>
      </c>
      <c r="L61" s="610">
        <f t="shared" si="2"/>
        <v>306.24</v>
      </c>
      <c r="M61" s="601"/>
      <c r="N61" s="601"/>
      <c r="O61" s="601"/>
      <c r="P61" s="601"/>
      <c r="Q61" s="601"/>
      <c r="R61" s="601"/>
      <c r="S61" s="601"/>
      <c r="T61" s="601"/>
      <c r="U61" s="601"/>
      <c r="V61" s="601"/>
      <c r="W61" s="601"/>
      <c r="X61" s="601"/>
      <c r="Y61" s="601"/>
    </row>
    <row r="62" ht="25.5" spans="1:25">
      <c r="A62" s="569" t="s">
        <v>232</v>
      </c>
      <c r="B62" s="569" t="s">
        <v>233</v>
      </c>
      <c r="C62" s="569" t="s">
        <v>139</v>
      </c>
      <c r="D62" s="569" t="s">
        <v>234</v>
      </c>
      <c r="E62" s="577" t="s">
        <v>134</v>
      </c>
      <c r="F62" s="570">
        <v>8</v>
      </c>
      <c r="G62" s="579">
        <v>23.21</v>
      </c>
      <c r="H62" s="600">
        <v>29.12</v>
      </c>
      <c r="I62" s="600">
        <v>232.96</v>
      </c>
      <c r="J62" s="612">
        <v>9.47286853504577e-6</v>
      </c>
      <c r="K62" s="613">
        <f t="shared" si="0"/>
        <v>0</v>
      </c>
      <c r="L62" s="610">
        <f t="shared" si="2"/>
        <v>232.96</v>
      </c>
      <c r="M62" s="601"/>
      <c r="N62" s="601"/>
      <c r="O62" s="601"/>
      <c r="P62" s="601"/>
      <c r="Q62" s="601"/>
      <c r="R62" s="601"/>
      <c r="S62" s="601"/>
      <c r="T62" s="601"/>
      <c r="U62" s="601"/>
      <c r="V62" s="601"/>
      <c r="W62" s="601"/>
      <c r="X62" s="601"/>
      <c r="Y62" s="601"/>
    </row>
    <row r="63" ht="25.5" spans="1:25">
      <c r="A63" s="569" t="s">
        <v>235</v>
      </c>
      <c r="B63" s="569" t="s">
        <v>236</v>
      </c>
      <c r="C63" s="569" t="s">
        <v>139</v>
      </c>
      <c r="D63" s="569" t="s">
        <v>237</v>
      </c>
      <c r="E63" s="577" t="s">
        <v>134</v>
      </c>
      <c r="F63" s="570">
        <v>10</v>
      </c>
      <c r="G63" s="579">
        <v>14.64</v>
      </c>
      <c r="H63" s="600">
        <v>18.37</v>
      </c>
      <c r="I63" s="600">
        <v>183.7</v>
      </c>
      <c r="J63" s="612">
        <v>7.46980576016444e-6</v>
      </c>
      <c r="K63" s="613">
        <f t="shared" si="0"/>
        <v>0</v>
      </c>
      <c r="L63" s="610">
        <f t="shared" si="2"/>
        <v>183.7</v>
      </c>
      <c r="M63" s="601"/>
      <c r="N63" s="601"/>
      <c r="O63" s="601"/>
      <c r="P63" s="601"/>
      <c r="Q63" s="601"/>
      <c r="R63" s="601"/>
      <c r="S63" s="601"/>
      <c r="T63" s="601"/>
      <c r="U63" s="601"/>
      <c r="V63" s="601"/>
      <c r="W63" s="601"/>
      <c r="X63" s="601"/>
      <c r="Y63" s="601"/>
    </row>
    <row r="64" ht="25.5" spans="1:25">
      <c r="A64" s="569" t="s">
        <v>238</v>
      </c>
      <c r="B64" s="569" t="s">
        <v>239</v>
      </c>
      <c r="C64" s="569" t="s">
        <v>139</v>
      </c>
      <c r="D64" s="569" t="s">
        <v>240</v>
      </c>
      <c r="E64" s="577" t="s">
        <v>134</v>
      </c>
      <c r="F64" s="570">
        <v>10</v>
      </c>
      <c r="G64" s="579">
        <v>35.53</v>
      </c>
      <c r="H64" s="600">
        <v>44.58</v>
      </c>
      <c r="I64" s="600">
        <v>445.8</v>
      </c>
      <c r="J64" s="612">
        <v>1.81275961234693e-5</v>
      </c>
      <c r="K64" s="613">
        <f t="shared" si="0"/>
        <v>0</v>
      </c>
      <c r="L64" s="610">
        <f t="shared" si="2"/>
        <v>445.8</v>
      </c>
      <c r="M64" s="601"/>
      <c r="N64" s="601"/>
      <c r="O64" s="601"/>
      <c r="P64" s="601"/>
      <c r="Q64" s="601"/>
      <c r="R64" s="601"/>
      <c r="S64" s="601"/>
      <c r="T64" s="601"/>
      <c r="U64" s="601"/>
      <c r="V64" s="601"/>
      <c r="W64" s="601"/>
      <c r="X64" s="601"/>
      <c r="Y64" s="601"/>
    </row>
    <row r="65" ht="25.5" spans="1:25">
      <c r="A65" s="569" t="s">
        <v>241</v>
      </c>
      <c r="B65" s="569" t="s">
        <v>242</v>
      </c>
      <c r="C65" s="569" t="s">
        <v>139</v>
      </c>
      <c r="D65" s="569" t="s">
        <v>243</v>
      </c>
      <c r="E65" s="577" t="s">
        <v>134</v>
      </c>
      <c r="F65" s="570">
        <v>10</v>
      </c>
      <c r="G65" s="579">
        <v>54.37</v>
      </c>
      <c r="H65" s="600">
        <v>68.22</v>
      </c>
      <c r="I65" s="600">
        <v>682.2</v>
      </c>
      <c r="J65" s="612">
        <v>2.77403456155916e-5</v>
      </c>
      <c r="K65" s="613">
        <f t="shared" si="0"/>
        <v>0</v>
      </c>
      <c r="L65" s="610">
        <f t="shared" si="2"/>
        <v>682.2</v>
      </c>
      <c r="M65" s="601"/>
      <c r="N65" s="601"/>
      <c r="O65" s="601"/>
      <c r="P65" s="601"/>
      <c r="Q65" s="601"/>
      <c r="R65" s="601"/>
      <c r="S65" s="601"/>
      <c r="T65" s="601"/>
      <c r="U65" s="601"/>
      <c r="V65" s="601"/>
      <c r="W65" s="601"/>
      <c r="X65" s="601"/>
      <c r="Y65" s="601"/>
    </row>
    <row r="66" ht="38.25" spans="1:25">
      <c r="A66" s="569" t="s">
        <v>244</v>
      </c>
      <c r="B66" s="569" t="s">
        <v>245</v>
      </c>
      <c r="C66" s="569" t="s">
        <v>139</v>
      </c>
      <c r="D66" s="569" t="s">
        <v>246</v>
      </c>
      <c r="E66" s="577" t="s">
        <v>134</v>
      </c>
      <c r="F66" s="570">
        <v>4</v>
      </c>
      <c r="G66" s="579">
        <v>57.93</v>
      </c>
      <c r="H66" s="600">
        <v>72.69</v>
      </c>
      <c r="I66" s="600">
        <v>290.76</v>
      </c>
      <c r="J66" s="612">
        <v>1.18231939184835e-5</v>
      </c>
      <c r="K66" s="613">
        <f t="shared" si="0"/>
        <v>0</v>
      </c>
      <c r="L66" s="610">
        <f t="shared" si="2"/>
        <v>290.76</v>
      </c>
      <c r="M66" s="601"/>
      <c r="N66" s="601"/>
      <c r="O66" s="601"/>
      <c r="P66" s="601"/>
      <c r="Q66" s="601"/>
      <c r="R66" s="601"/>
      <c r="S66" s="601"/>
      <c r="T66" s="601"/>
      <c r="U66" s="601"/>
      <c r="V66" s="601"/>
      <c r="W66" s="601"/>
      <c r="X66" s="601"/>
      <c r="Y66" s="601"/>
    </row>
    <row r="67" ht="38.25" spans="1:25">
      <c r="A67" s="569" t="s">
        <v>247</v>
      </c>
      <c r="B67" s="569" t="s">
        <v>248</v>
      </c>
      <c r="C67" s="569" t="s">
        <v>139</v>
      </c>
      <c r="D67" s="569" t="s">
        <v>249</v>
      </c>
      <c r="E67" s="577" t="s">
        <v>134</v>
      </c>
      <c r="F67" s="570">
        <v>7</v>
      </c>
      <c r="G67" s="579">
        <v>85.91</v>
      </c>
      <c r="H67" s="600">
        <v>107.8</v>
      </c>
      <c r="I67" s="600">
        <v>754.6</v>
      </c>
      <c r="J67" s="612">
        <v>3.06843518052264e-5</v>
      </c>
      <c r="K67" s="613">
        <f t="shared" si="0"/>
        <v>0</v>
      </c>
      <c r="L67" s="610">
        <f t="shared" si="2"/>
        <v>754.6</v>
      </c>
      <c r="M67" s="601"/>
      <c r="N67" s="601"/>
      <c r="O67" s="601"/>
      <c r="P67" s="601"/>
      <c r="Q67" s="601"/>
      <c r="R67" s="601"/>
      <c r="S67" s="601"/>
      <c r="T67" s="601"/>
      <c r="U67" s="601"/>
      <c r="V67" s="601"/>
      <c r="W67" s="601"/>
      <c r="X67" s="601"/>
      <c r="Y67" s="601"/>
    </row>
    <row r="68" ht="38.25" spans="1:25">
      <c r="A68" s="569" t="s">
        <v>250</v>
      </c>
      <c r="B68" s="569" t="s">
        <v>251</v>
      </c>
      <c r="C68" s="569" t="s">
        <v>139</v>
      </c>
      <c r="D68" s="569" t="s">
        <v>252</v>
      </c>
      <c r="E68" s="577" t="s">
        <v>134</v>
      </c>
      <c r="F68" s="570">
        <v>1</v>
      </c>
      <c r="G68" s="579">
        <v>449.14</v>
      </c>
      <c r="H68" s="600">
        <v>563.62</v>
      </c>
      <c r="I68" s="600">
        <v>563.62</v>
      </c>
      <c r="J68" s="612">
        <v>2.29185189033418e-5</v>
      </c>
      <c r="K68" s="613">
        <f t="shared" si="0"/>
        <v>0</v>
      </c>
      <c r="L68" s="610">
        <f t="shared" si="2"/>
        <v>563.62</v>
      </c>
      <c r="M68" s="601"/>
      <c r="N68" s="601"/>
      <c r="O68" s="601"/>
      <c r="P68" s="601"/>
      <c r="Q68" s="601"/>
      <c r="R68" s="601"/>
      <c r="S68" s="601"/>
      <c r="T68" s="601"/>
      <c r="U68" s="601"/>
      <c r="V68" s="601"/>
      <c r="W68" s="601"/>
      <c r="X68" s="601"/>
      <c r="Y68" s="601"/>
    </row>
    <row r="69" ht="25.5" spans="1:25">
      <c r="A69" s="569" t="s">
        <v>253</v>
      </c>
      <c r="B69" s="569" t="s">
        <v>254</v>
      </c>
      <c r="C69" s="569" t="s">
        <v>139</v>
      </c>
      <c r="D69" s="569" t="s">
        <v>255</v>
      </c>
      <c r="E69" s="577" t="s">
        <v>134</v>
      </c>
      <c r="F69" s="570">
        <v>10</v>
      </c>
      <c r="G69" s="579">
        <v>59.7</v>
      </c>
      <c r="H69" s="600">
        <v>74.91</v>
      </c>
      <c r="I69" s="600">
        <v>749.1</v>
      </c>
      <c r="J69" s="612">
        <v>3.04607049261795e-5</v>
      </c>
      <c r="K69" s="613">
        <f t="shared" si="0"/>
        <v>0</v>
      </c>
      <c r="L69" s="610">
        <f t="shared" si="2"/>
        <v>749.1</v>
      </c>
      <c r="M69" s="601"/>
      <c r="N69" s="601"/>
      <c r="O69" s="601"/>
      <c r="P69" s="601"/>
      <c r="Q69" s="601"/>
      <c r="R69" s="601"/>
      <c r="S69" s="601"/>
      <c r="T69" s="601"/>
      <c r="U69" s="601"/>
      <c r="V69" s="601"/>
      <c r="W69" s="601"/>
      <c r="X69" s="601"/>
      <c r="Y69" s="601"/>
    </row>
    <row r="70" ht="25.5" spans="1:25">
      <c r="A70" s="569" t="s">
        <v>256</v>
      </c>
      <c r="B70" s="569" t="s">
        <v>257</v>
      </c>
      <c r="C70" s="569" t="s">
        <v>139</v>
      </c>
      <c r="D70" s="569" t="s">
        <v>258</v>
      </c>
      <c r="E70" s="577" t="s">
        <v>134</v>
      </c>
      <c r="F70" s="570">
        <v>10</v>
      </c>
      <c r="G70" s="579">
        <v>12.33</v>
      </c>
      <c r="H70" s="600">
        <v>15.47</v>
      </c>
      <c r="I70" s="600">
        <v>154.7</v>
      </c>
      <c r="J70" s="612">
        <v>6.29057676155383e-6</v>
      </c>
      <c r="K70" s="613">
        <f t="shared" si="0"/>
        <v>0</v>
      </c>
      <c r="L70" s="610">
        <f t="shared" si="2"/>
        <v>154.7</v>
      </c>
      <c r="M70" s="601"/>
      <c r="N70" s="601"/>
      <c r="O70" s="601"/>
      <c r="P70" s="601"/>
      <c r="Q70" s="601"/>
      <c r="R70" s="601"/>
      <c r="S70" s="601"/>
      <c r="T70" s="601"/>
      <c r="U70" s="601"/>
      <c r="V70" s="601"/>
      <c r="W70" s="601"/>
      <c r="X70" s="601"/>
      <c r="Y70" s="601"/>
    </row>
    <row r="71" ht="25.5" spans="1:25">
      <c r="A71" s="569" t="s">
        <v>259</v>
      </c>
      <c r="B71" s="569" t="s">
        <v>260</v>
      </c>
      <c r="C71" s="569" t="s">
        <v>132</v>
      </c>
      <c r="D71" s="569" t="s">
        <v>261</v>
      </c>
      <c r="E71" s="577" t="s">
        <v>134</v>
      </c>
      <c r="F71" s="570">
        <v>1</v>
      </c>
      <c r="G71" s="579">
        <v>775.49</v>
      </c>
      <c r="H71" s="600">
        <v>973.16</v>
      </c>
      <c r="I71" s="600">
        <v>973.16</v>
      </c>
      <c r="J71" s="612">
        <v>3.95716721478586e-5</v>
      </c>
      <c r="K71" s="613">
        <f t="shared" si="0"/>
        <v>0</v>
      </c>
      <c r="L71" s="610">
        <f t="shared" si="2"/>
        <v>973.16</v>
      </c>
      <c r="M71" s="601"/>
      <c r="N71" s="601"/>
      <c r="O71" s="601"/>
      <c r="P71" s="601"/>
      <c r="Q71" s="601"/>
      <c r="R71" s="601"/>
      <c r="S71" s="601"/>
      <c r="T71" s="601"/>
      <c r="U71" s="601"/>
      <c r="V71" s="601"/>
      <c r="W71" s="601"/>
      <c r="X71" s="601"/>
      <c r="Y71" s="601"/>
    </row>
    <row r="72" ht="25.5" spans="1:25">
      <c r="A72" s="569" t="s">
        <v>262</v>
      </c>
      <c r="B72" s="569" t="s">
        <v>263</v>
      </c>
      <c r="C72" s="569" t="s">
        <v>132</v>
      </c>
      <c r="D72" s="569" t="s">
        <v>264</v>
      </c>
      <c r="E72" s="577" t="s">
        <v>141</v>
      </c>
      <c r="F72" s="570">
        <v>20</v>
      </c>
      <c r="G72" s="579">
        <v>279.47</v>
      </c>
      <c r="H72" s="600">
        <v>350.7</v>
      </c>
      <c r="I72" s="600">
        <v>7014</v>
      </c>
      <c r="J72" s="612">
        <v>0.000285210765388097</v>
      </c>
      <c r="K72" s="613">
        <f t="shared" si="0"/>
        <v>0</v>
      </c>
      <c r="L72" s="610">
        <f t="shared" si="2"/>
        <v>7014</v>
      </c>
      <c r="M72" s="601"/>
      <c r="N72" s="601"/>
      <c r="O72" s="601"/>
      <c r="P72" s="601"/>
      <c r="Q72" s="601"/>
      <c r="R72" s="601"/>
      <c r="S72" s="601"/>
      <c r="T72" s="601"/>
      <c r="U72" s="601"/>
      <c r="V72" s="601"/>
      <c r="W72" s="601"/>
      <c r="X72" s="601"/>
      <c r="Y72" s="601"/>
    </row>
    <row r="73" ht="38.25" spans="1:25">
      <c r="A73" s="569" t="s">
        <v>265</v>
      </c>
      <c r="B73" s="569" t="s">
        <v>266</v>
      </c>
      <c r="C73" s="569" t="s">
        <v>132</v>
      </c>
      <c r="D73" s="569" t="s">
        <v>267</v>
      </c>
      <c r="E73" s="577" t="s">
        <v>141</v>
      </c>
      <c r="F73" s="570">
        <v>20</v>
      </c>
      <c r="G73" s="579">
        <v>490.17</v>
      </c>
      <c r="H73" s="600">
        <v>615.11</v>
      </c>
      <c r="I73" s="600">
        <v>12302.2</v>
      </c>
      <c r="J73" s="612">
        <v>0.000500245206438187</v>
      </c>
      <c r="K73" s="613">
        <f t="shared" ref="K73:K136" si="3">$I$1051</f>
        <v>0</v>
      </c>
      <c r="L73" s="610">
        <f t="shared" si="2"/>
        <v>12302.2</v>
      </c>
      <c r="M73" s="601"/>
      <c r="N73" s="601"/>
      <c r="O73" s="601"/>
      <c r="P73" s="601"/>
      <c r="Q73" s="601"/>
      <c r="R73" s="601"/>
      <c r="S73" s="601"/>
      <c r="T73" s="601"/>
      <c r="U73" s="601"/>
      <c r="V73" s="601"/>
      <c r="W73" s="601"/>
      <c r="X73" s="601"/>
      <c r="Y73" s="601"/>
    </row>
    <row r="74" ht="15" spans="1:25">
      <c r="A74" s="596" t="s">
        <v>268</v>
      </c>
      <c r="B74" s="596" t="s">
        <v>74</v>
      </c>
      <c r="C74" s="596"/>
      <c r="D74" s="596" t="s">
        <v>269</v>
      </c>
      <c r="E74" s="597"/>
      <c r="F74" s="598">
        <v>1</v>
      </c>
      <c r="G74" s="598"/>
      <c r="H74" s="599">
        <v>55248.08</v>
      </c>
      <c r="I74" s="599">
        <v>55248.08</v>
      </c>
      <c r="J74" s="608">
        <v>0.00224655648460547</v>
      </c>
      <c r="K74" s="613">
        <f t="shared" si="3"/>
        <v>0</v>
      </c>
      <c r="L74" s="610">
        <f>SUM(L75:L95)</f>
        <v>55248.08</v>
      </c>
      <c r="M74" s="601"/>
      <c r="N74" s="601"/>
      <c r="O74" s="601"/>
      <c r="P74" s="601"/>
      <c r="Q74" s="601"/>
      <c r="R74" s="601"/>
      <c r="S74" s="601"/>
      <c r="T74" s="601"/>
      <c r="U74" s="601"/>
      <c r="V74" s="601"/>
      <c r="W74" s="601"/>
      <c r="X74" s="601"/>
      <c r="Y74" s="601"/>
    </row>
    <row r="75" ht="25.5" spans="1:25">
      <c r="A75" s="569" t="s">
        <v>270</v>
      </c>
      <c r="B75" s="569" t="s">
        <v>271</v>
      </c>
      <c r="C75" s="569" t="s">
        <v>139</v>
      </c>
      <c r="D75" s="569" t="s">
        <v>272</v>
      </c>
      <c r="E75" s="577" t="s">
        <v>141</v>
      </c>
      <c r="F75" s="570">
        <v>550</v>
      </c>
      <c r="G75" s="579">
        <v>4.09</v>
      </c>
      <c r="H75" s="600">
        <v>5.13</v>
      </c>
      <c r="I75" s="600">
        <v>2821.5</v>
      </c>
      <c r="J75" s="612">
        <v>0.000114730848951029</v>
      </c>
      <c r="K75" s="613">
        <f t="shared" si="3"/>
        <v>0</v>
      </c>
      <c r="L75" s="610">
        <f t="shared" ref="L75:L95" si="4">I75-(I75*K75)</f>
        <v>2821.5</v>
      </c>
      <c r="M75" s="601"/>
      <c r="N75" s="601"/>
      <c r="O75" s="601"/>
      <c r="P75" s="601"/>
      <c r="Q75" s="601"/>
      <c r="R75" s="601"/>
      <c r="S75" s="601"/>
      <c r="T75" s="601"/>
      <c r="U75" s="601"/>
      <c r="V75" s="601"/>
      <c r="W75" s="601"/>
      <c r="X75" s="601"/>
      <c r="Y75" s="601"/>
    </row>
    <row r="76" ht="25.5" spans="1:25">
      <c r="A76" s="569" t="s">
        <v>273</v>
      </c>
      <c r="B76" s="569" t="s">
        <v>274</v>
      </c>
      <c r="C76" s="569" t="s">
        <v>139</v>
      </c>
      <c r="D76" s="569" t="s">
        <v>275</v>
      </c>
      <c r="E76" s="577" t="s">
        <v>204</v>
      </c>
      <c r="F76" s="570">
        <v>30</v>
      </c>
      <c r="G76" s="579">
        <v>23.05</v>
      </c>
      <c r="H76" s="600">
        <v>28.92</v>
      </c>
      <c r="I76" s="600">
        <v>867.6</v>
      </c>
      <c r="J76" s="612">
        <v>3.5279278592916e-5</v>
      </c>
      <c r="K76" s="613">
        <f t="shared" si="3"/>
        <v>0</v>
      </c>
      <c r="L76" s="610">
        <f t="shared" si="4"/>
        <v>867.6</v>
      </c>
      <c r="M76" s="601"/>
      <c r="N76" s="601"/>
      <c r="O76" s="601"/>
      <c r="P76" s="601"/>
      <c r="Q76" s="601"/>
      <c r="R76" s="601"/>
      <c r="S76" s="601"/>
      <c r="T76" s="601"/>
      <c r="U76" s="601"/>
      <c r="V76" s="601"/>
      <c r="W76" s="601"/>
      <c r="X76" s="601"/>
      <c r="Y76" s="601"/>
    </row>
    <row r="77" ht="25.5" spans="1:25">
      <c r="A77" s="569" t="s">
        <v>276</v>
      </c>
      <c r="B77" s="569" t="s">
        <v>277</v>
      </c>
      <c r="C77" s="569" t="s">
        <v>139</v>
      </c>
      <c r="D77" s="569" t="s">
        <v>278</v>
      </c>
      <c r="E77" s="577" t="s">
        <v>279</v>
      </c>
      <c r="F77" s="570">
        <v>45</v>
      </c>
      <c r="G77" s="579">
        <v>77.08</v>
      </c>
      <c r="H77" s="600">
        <v>96.72</v>
      </c>
      <c r="I77" s="600">
        <v>4352.4</v>
      </c>
      <c r="J77" s="612">
        <v>0.000176981941156993</v>
      </c>
      <c r="K77" s="613">
        <f t="shared" si="3"/>
        <v>0</v>
      </c>
      <c r="L77" s="610">
        <f t="shared" si="4"/>
        <v>4352.4</v>
      </c>
      <c r="M77" s="601"/>
      <c r="N77" s="601"/>
      <c r="O77" s="601"/>
      <c r="P77" s="601"/>
      <c r="Q77" s="601"/>
      <c r="R77" s="601"/>
      <c r="S77" s="601"/>
      <c r="T77" s="601"/>
      <c r="U77" s="601"/>
      <c r="V77" s="601"/>
      <c r="W77" s="601"/>
      <c r="X77" s="601"/>
      <c r="Y77" s="601"/>
    </row>
    <row r="78" ht="25.5" spans="1:25">
      <c r="A78" s="569" t="s">
        <v>280</v>
      </c>
      <c r="B78" s="569" t="s">
        <v>281</v>
      </c>
      <c r="C78" s="569" t="s">
        <v>132</v>
      </c>
      <c r="D78" s="569" t="s">
        <v>282</v>
      </c>
      <c r="E78" s="577" t="s">
        <v>141</v>
      </c>
      <c r="F78" s="570">
        <v>348.62</v>
      </c>
      <c r="G78" s="579">
        <v>31.52</v>
      </c>
      <c r="H78" s="600">
        <v>39.55</v>
      </c>
      <c r="I78" s="600">
        <v>13787.92</v>
      </c>
      <c r="J78" s="612">
        <v>0.000560659141190454</v>
      </c>
      <c r="K78" s="613">
        <f t="shared" si="3"/>
        <v>0</v>
      </c>
      <c r="L78" s="610">
        <f t="shared" si="4"/>
        <v>13787.92</v>
      </c>
      <c r="M78" s="601"/>
      <c r="N78" s="601"/>
      <c r="O78" s="601"/>
      <c r="P78" s="601"/>
      <c r="Q78" s="601"/>
      <c r="R78" s="601"/>
      <c r="S78" s="601"/>
      <c r="T78" s="601"/>
      <c r="U78" s="601"/>
      <c r="V78" s="601"/>
      <c r="W78" s="601"/>
      <c r="X78" s="601"/>
      <c r="Y78" s="601"/>
    </row>
    <row r="79" ht="25.5" spans="1:25">
      <c r="A79" s="569" t="s">
        <v>283</v>
      </c>
      <c r="B79" s="569" t="s">
        <v>284</v>
      </c>
      <c r="C79" s="569" t="s">
        <v>132</v>
      </c>
      <c r="D79" s="569" t="s">
        <v>285</v>
      </c>
      <c r="E79" s="577" t="s">
        <v>141</v>
      </c>
      <c r="F79" s="570">
        <v>99.42</v>
      </c>
      <c r="G79" s="579">
        <v>5.83</v>
      </c>
      <c r="H79" s="600">
        <v>7.31</v>
      </c>
      <c r="I79" s="600">
        <v>726.76</v>
      </c>
      <c r="J79" s="612">
        <v>2.95522919665602e-5</v>
      </c>
      <c r="K79" s="613">
        <f t="shared" si="3"/>
        <v>0</v>
      </c>
      <c r="L79" s="610">
        <f t="shared" si="4"/>
        <v>726.76</v>
      </c>
      <c r="M79" s="601"/>
      <c r="N79" s="601"/>
      <c r="O79" s="601"/>
      <c r="P79" s="601"/>
      <c r="Q79" s="601"/>
      <c r="R79" s="601"/>
      <c r="S79" s="601"/>
      <c r="T79" s="601"/>
      <c r="U79" s="601"/>
      <c r="V79" s="601"/>
      <c r="W79" s="601"/>
      <c r="X79" s="601"/>
      <c r="Y79" s="601"/>
    </row>
    <row r="80" ht="25.5" spans="1:25">
      <c r="A80" s="569" t="s">
        <v>286</v>
      </c>
      <c r="B80" s="569" t="s">
        <v>287</v>
      </c>
      <c r="C80" s="569" t="s">
        <v>139</v>
      </c>
      <c r="D80" s="569" t="s">
        <v>288</v>
      </c>
      <c r="E80" s="577" t="s">
        <v>141</v>
      </c>
      <c r="F80" s="570">
        <v>98.56</v>
      </c>
      <c r="G80" s="579">
        <v>2.77</v>
      </c>
      <c r="H80" s="600">
        <v>3.47</v>
      </c>
      <c r="I80" s="600">
        <v>342</v>
      </c>
      <c r="J80" s="612">
        <v>1.39067695698217e-5</v>
      </c>
      <c r="K80" s="613">
        <f t="shared" si="3"/>
        <v>0</v>
      </c>
      <c r="L80" s="610">
        <f t="shared" si="4"/>
        <v>342</v>
      </c>
      <c r="M80" s="601"/>
      <c r="N80" s="601"/>
      <c r="O80" s="601"/>
      <c r="P80" s="601"/>
      <c r="Q80" s="601"/>
      <c r="R80" s="601"/>
      <c r="S80" s="601"/>
      <c r="T80" s="601"/>
      <c r="U80" s="601"/>
      <c r="V80" s="601"/>
      <c r="W80" s="601"/>
      <c r="X80" s="601"/>
      <c r="Y80" s="601"/>
    </row>
    <row r="81" ht="25.5" spans="1:25">
      <c r="A81" s="569" t="s">
        <v>289</v>
      </c>
      <c r="B81" s="569" t="s">
        <v>290</v>
      </c>
      <c r="C81" s="569" t="s">
        <v>139</v>
      </c>
      <c r="D81" s="569" t="s">
        <v>291</v>
      </c>
      <c r="E81" s="577" t="s">
        <v>141</v>
      </c>
      <c r="F81" s="570">
        <v>561.95</v>
      </c>
      <c r="G81" s="579">
        <v>3.98</v>
      </c>
      <c r="H81" s="600">
        <v>4.99</v>
      </c>
      <c r="I81" s="600">
        <v>2804.13</v>
      </c>
      <c r="J81" s="612">
        <v>0.00011402453144393</v>
      </c>
      <c r="K81" s="613">
        <f t="shared" si="3"/>
        <v>0</v>
      </c>
      <c r="L81" s="610">
        <f t="shared" si="4"/>
        <v>2804.13</v>
      </c>
      <c r="M81" s="601"/>
      <c r="N81" s="601"/>
      <c r="O81" s="601"/>
      <c r="P81" s="601"/>
      <c r="Q81" s="601"/>
      <c r="R81" s="601"/>
      <c r="S81" s="601"/>
      <c r="T81" s="601"/>
      <c r="U81" s="601"/>
      <c r="V81" s="601"/>
      <c r="W81" s="601"/>
      <c r="X81" s="601"/>
      <c r="Y81" s="601"/>
    </row>
    <row r="82" ht="25.5" spans="1:25">
      <c r="A82" s="569" t="s">
        <v>292</v>
      </c>
      <c r="B82" s="569" t="s">
        <v>293</v>
      </c>
      <c r="C82" s="569" t="s">
        <v>139</v>
      </c>
      <c r="D82" s="569" t="s">
        <v>294</v>
      </c>
      <c r="E82" s="577" t="s">
        <v>141</v>
      </c>
      <c r="F82" s="570">
        <v>287.82</v>
      </c>
      <c r="G82" s="579">
        <v>12.97</v>
      </c>
      <c r="H82" s="600">
        <v>16.27</v>
      </c>
      <c r="I82" s="600">
        <v>4682.83</v>
      </c>
      <c r="J82" s="612">
        <v>0.000190418239019438</v>
      </c>
      <c r="K82" s="613">
        <f t="shared" si="3"/>
        <v>0</v>
      </c>
      <c r="L82" s="610">
        <f t="shared" si="4"/>
        <v>4682.83</v>
      </c>
      <c r="M82" s="601"/>
      <c r="N82" s="601"/>
      <c r="O82" s="601"/>
      <c r="P82" s="601"/>
      <c r="Q82" s="601"/>
      <c r="R82" s="601"/>
      <c r="S82" s="601"/>
      <c r="T82" s="601"/>
      <c r="U82" s="601"/>
      <c r="V82" s="601"/>
      <c r="W82" s="601"/>
      <c r="X82" s="601"/>
      <c r="Y82" s="601"/>
    </row>
    <row r="83" ht="25.5" spans="1:25">
      <c r="A83" s="569" t="s">
        <v>295</v>
      </c>
      <c r="B83" s="569" t="s">
        <v>296</v>
      </c>
      <c r="C83" s="569" t="s">
        <v>139</v>
      </c>
      <c r="D83" s="569" t="s">
        <v>297</v>
      </c>
      <c r="E83" s="577" t="s">
        <v>141</v>
      </c>
      <c r="F83" s="570">
        <v>48.46</v>
      </c>
      <c r="G83" s="579">
        <v>33.5</v>
      </c>
      <c r="H83" s="600">
        <v>42.03</v>
      </c>
      <c r="I83" s="600">
        <v>2036.77</v>
      </c>
      <c r="J83" s="612">
        <v>8.28213188793148e-5</v>
      </c>
      <c r="K83" s="613">
        <f t="shared" si="3"/>
        <v>0</v>
      </c>
      <c r="L83" s="610">
        <f t="shared" si="4"/>
        <v>2036.77</v>
      </c>
      <c r="M83" s="601"/>
      <c r="N83" s="601"/>
      <c r="O83" s="601"/>
      <c r="P83" s="601"/>
      <c r="Q83" s="601"/>
      <c r="R83" s="601"/>
      <c r="S83" s="601"/>
      <c r="T83" s="601"/>
      <c r="U83" s="601"/>
      <c r="V83" s="601"/>
      <c r="W83" s="601"/>
      <c r="X83" s="601"/>
      <c r="Y83" s="601"/>
    </row>
    <row r="84" ht="25.5" spans="1:25">
      <c r="A84" s="569" t="s">
        <v>298</v>
      </c>
      <c r="B84" s="569" t="s">
        <v>299</v>
      </c>
      <c r="C84" s="569" t="s">
        <v>139</v>
      </c>
      <c r="D84" s="569" t="s">
        <v>300</v>
      </c>
      <c r="E84" s="577" t="s">
        <v>141</v>
      </c>
      <c r="F84" s="570">
        <v>6.16</v>
      </c>
      <c r="G84" s="579">
        <v>29.96</v>
      </c>
      <c r="H84" s="600">
        <v>37.59</v>
      </c>
      <c r="I84" s="600">
        <v>231.55</v>
      </c>
      <c r="J84" s="612">
        <v>9.41553360787194e-6</v>
      </c>
      <c r="K84" s="613">
        <f t="shared" si="3"/>
        <v>0</v>
      </c>
      <c r="L84" s="610">
        <f t="shared" si="4"/>
        <v>231.55</v>
      </c>
      <c r="M84" s="601"/>
      <c r="N84" s="601"/>
      <c r="O84" s="601"/>
      <c r="P84" s="601"/>
      <c r="Q84" s="601"/>
      <c r="R84" s="601"/>
      <c r="S84" s="601"/>
      <c r="T84" s="601"/>
      <c r="U84" s="601"/>
      <c r="V84" s="601"/>
      <c r="W84" s="601"/>
      <c r="X84" s="601"/>
      <c r="Y84" s="601"/>
    </row>
    <row r="85" ht="15" spans="1:25">
      <c r="A85" s="569" t="s">
        <v>301</v>
      </c>
      <c r="B85" s="569" t="s">
        <v>302</v>
      </c>
      <c r="C85" s="569" t="s">
        <v>139</v>
      </c>
      <c r="D85" s="569" t="s">
        <v>303</v>
      </c>
      <c r="E85" s="577" t="s">
        <v>141</v>
      </c>
      <c r="F85" s="570">
        <v>42.3</v>
      </c>
      <c r="G85" s="579">
        <v>21.39</v>
      </c>
      <c r="H85" s="600">
        <v>26.84</v>
      </c>
      <c r="I85" s="600">
        <v>1135.33</v>
      </c>
      <c r="J85" s="612">
        <v>4.6166002034227e-5</v>
      </c>
      <c r="K85" s="613">
        <f t="shared" si="3"/>
        <v>0</v>
      </c>
      <c r="L85" s="610">
        <f t="shared" si="4"/>
        <v>1135.33</v>
      </c>
      <c r="M85" s="601"/>
      <c r="N85" s="601"/>
      <c r="O85" s="601"/>
      <c r="P85" s="601"/>
      <c r="Q85" s="601"/>
      <c r="R85" s="601"/>
      <c r="S85" s="601"/>
      <c r="T85" s="601"/>
      <c r="U85" s="601"/>
      <c r="V85" s="601"/>
      <c r="W85" s="601"/>
      <c r="X85" s="601"/>
      <c r="Y85" s="601"/>
    </row>
    <row r="86" ht="25.5" spans="1:25">
      <c r="A86" s="569" t="s">
        <v>304</v>
      </c>
      <c r="B86" s="569" t="s">
        <v>305</v>
      </c>
      <c r="C86" s="569" t="s">
        <v>139</v>
      </c>
      <c r="D86" s="569" t="s">
        <v>306</v>
      </c>
      <c r="E86" s="577" t="s">
        <v>141</v>
      </c>
      <c r="F86" s="570">
        <v>400</v>
      </c>
      <c r="G86" s="579">
        <v>4.87</v>
      </c>
      <c r="H86" s="600">
        <v>6.11</v>
      </c>
      <c r="I86" s="600">
        <v>2444</v>
      </c>
      <c r="J86" s="612">
        <v>9.93805404346319e-5</v>
      </c>
      <c r="K86" s="613">
        <f t="shared" si="3"/>
        <v>0</v>
      </c>
      <c r="L86" s="610">
        <f t="shared" si="4"/>
        <v>2444</v>
      </c>
      <c r="M86" s="601"/>
      <c r="N86" s="601"/>
      <c r="O86" s="601"/>
      <c r="P86" s="601"/>
      <c r="Q86" s="601"/>
      <c r="R86" s="601"/>
      <c r="S86" s="601"/>
      <c r="T86" s="601"/>
      <c r="U86" s="601"/>
      <c r="V86" s="601"/>
      <c r="W86" s="601"/>
      <c r="X86" s="601"/>
      <c r="Y86" s="601"/>
    </row>
    <row r="87" ht="25.5" spans="1:25">
      <c r="A87" s="569" t="s">
        <v>307</v>
      </c>
      <c r="B87" s="569" t="s">
        <v>308</v>
      </c>
      <c r="C87" s="569" t="s">
        <v>139</v>
      </c>
      <c r="D87" s="569" t="s">
        <v>309</v>
      </c>
      <c r="E87" s="577" t="s">
        <v>141</v>
      </c>
      <c r="F87" s="570">
        <v>400</v>
      </c>
      <c r="G87" s="579">
        <v>10.5</v>
      </c>
      <c r="H87" s="600">
        <v>13.17</v>
      </c>
      <c r="I87" s="600">
        <v>5268</v>
      </c>
      <c r="J87" s="612">
        <v>0.000214213047057955</v>
      </c>
      <c r="K87" s="613">
        <f t="shared" si="3"/>
        <v>0</v>
      </c>
      <c r="L87" s="610">
        <f t="shared" si="4"/>
        <v>5268</v>
      </c>
      <c r="M87" s="601"/>
      <c r="N87" s="601"/>
      <c r="O87" s="601"/>
      <c r="P87" s="601"/>
      <c r="Q87" s="601"/>
      <c r="R87" s="601"/>
      <c r="S87" s="601"/>
      <c r="T87" s="601"/>
      <c r="U87" s="601"/>
      <c r="V87" s="601"/>
      <c r="W87" s="601"/>
      <c r="X87" s="601"/>
      <c r="Y87" s="601"/>
    </row>
    <row r="88" ht="25.5" spans="1:25">
      <c r="A88" s="569" t="s">
        <v>310</v>
      </c>
      <c r="B88" s="569" t="s">
        <v>311</v>
      </c>
      <c r="C88" s="569" t="s">
        <v>139</v>
      </c>
      <c r="D88" s="569" t="s">
        <v>312</v>
      </c>
      <c r="E88" s="577" t="s">
        <v>134</v>
      </c>
      <c r="F88" s="570">
        <v>130</v>
      </c>
      <c r="G88" s="579">
        <v>0.89</v>
      </c>
      <c r="H88" s="600">
        <v>1.11</v>
      </c>
      <c r="I88" s="600">
        <v>144.3</v>
      </c>
      <c r="J88" s="612">
        <v>5.86768084481071e-6</v>
      </c>
      <c r="K88" s="613">
        <f t="shared" si="3"/>
        <v>0</v>
      </c>
      <c r="L88" s="610">
        <f t="shared" si="4"/>
        <v>144.3</v>
      </c>
      <c r="M88" s="601"/>
      <c r="N88" s="601"/>
      <c r="O88" s="601"/>
      <c r="P88" s="601"/>
      <c r="Q88" s="601"/>
      <c r="R88" s="601"/>
      <c r="S88" s="601"/>
      <c r="T88" s="601"/>
      <c r="U88" s="601"/>
      <c r="V88" s="601"/>
      <c r="W88" s="601"/>
      <c r="X88" s="601"/>
      <c r="Y88" s="601"/>
    </row>
    <row r="89" ht="25.5" spans="1:25">
      <c r="A89" s="569" t="s">
        <v>313</v>
      </c>
      <c r="B89" s="569" t="s">
        <v>314</v>
      </c>
      <c r="C89" s="569" t="s">
        <v>139</v>
      </c>
      <c r="D89" s="569" t="s">
        <v>315</v>
      </c>
      <c r="E89" s="577" t="s">
        <v>204</v>
      </c>
      <c r="F89" s="570">
        <v>8000</v>
      </c>
      <c r="G89" s="579">
        <v>0.96</v>
      </c>
      <c r="H89" s="600">
        <v>1.2</v>
      </c>
      <c r="I89" s="600">
        <v>9600</v>
      </c>
      <c r="J89" s="612">
        <v>0.000390365461609029</v>
      </c>
      <c r="K89" s="613">
        <f t="shared" si="3"/>
        <v>0</v>
      </c>
      <c r="L89" s="610">
        <f t="shared" si="4"/>
        <v>9600</v>
      </c>
      <c r="M89" s="601"/>
      <c r="N89" s="601"/>
      <c r="O89" s="601"/>
      <c r="P89" s="601"/>
      <c r="Q89" s="601"/>
      <c r="R89" s="601"/>
      <c r="S89" s="601"/>
      <c r="T89" s="601"/>
      <c r="U89" s="601"/>
      <c r="V89" s="601"/>
      <c r="W89" s="601"/>
      <c r="X89" s="601"/>
      <c r="Y89" s="601"/>
    </row>
    <row r="90" ht="25.5" spans="1:25">
      <c r="A90" s="569" t="s">
        <v>316</v>
      </c>
      <c r="B90" s="569" t="s">
        <v>317</v>
      </c>
      <c r="C90" s="569" t="s">
        <v>139</v>
      </c>
      <c r="D90" s="569" t="s">
        <v>318</v>
      </c>
      <c r="E90" s="577" t="s">
        <v>134</v>
      </c>
      <c r="F90" s="570">
        <v>4</v>
      </c>
      <c r="G90" s="579">
        <v>17.07</v>
      </c>
      <c r="H90" s="600">
        <v>21.42</v>
      </c>
      <c r="I90" s="600">
        <v>85.68</v>
      </c>
      <c r="J90" s="612">
        <v>3.48401174486058e-6</v>
      </c>
      <c r="K90" s="613">
        <f t="shared" si="3"/>
        <v>0</v>
      </c>
      <c r="L90" s="610">
        <f t="shared" si="4"/>
        <v>85.68</v>
      </c>
      <c r="M90" s="601"/>
      <c r="N90" s="601"/>
      <c r="O90" s="601"/>
      <c r="P90" s="601"/>
      <c r="Q90" s="601"/>
      <c r="R90" s="601"/>
      <c r="S90" s="601"/>
      <c r="T90" s="601"/>
      <c r="U90" s="601"/>
      <c r="V90" s="601"/>
      <c r="W90" s="601"/>
      <c r="X90" s="601"/>
      <c r="Y90" s="601"/>
    </row>
    <row r="91" ht="25.5" spans="1:25">
      <c r="A91" s="569" t="s">
        <v>319</v>
      </c>
      <c r="B91" s="569" t="s">
        <v>320</v>
      </c>
      <c r="C91" s="569" t="s">
        <v>139</v>
      </c>
      <c r="D91" s="569" t="s">
        <v>321</v>
      </c>
      <c r="E91" s="577" t="s">
        <v>134</v>
      </c>
      <c r="F91" s="570">
        <v>10</v>
      </c>
      <c r="G91" s="579">
        <v>2.13</v>
      </c>
      <c r="H91" s="600">
        <v>2.67</v>
      </c>
      <c r="I91" s="600">
        <v>26.7</v>
      </c>
      <c r="J91" s="612">
        <v>1.08570394010011e-6</v>
      </c>
      <c r="K91" s="613">
        <f t="shared" si="3"/>
        <v>0</v>
      </c>
      <c r="L91" s="610">
        <f t="shared" si="4"/>
        <v>26.7</v>
      </c>
      <c r="M91" s="601"/>
      <c r="N91" s="601"/>
      <c r="O91" s="601"/>
      <c r="P91" s="601"/>
      <c r="Q91" s="601"/>
      <c r="R91" s="601"/>
      <c r="S91" s="601"/>
      <c r="T91" s="601"/>
      <c r="U91" s="601"/>
      <c r="V91" s="601"/>
      <c r="W91" s="601"/>
      <c r="X91" s="601"/>
      <c r="Y91" s="601"/>
    </row>
    <row r="92" ht="25.5" spans="1:25">
      <c r="A92" s="569" t="s">
        <v>322</v>
      </c>
      <c r="B92" s="569" t="s">
        <v>323</v>
      </c>
      <c r="C92" s="569" t="s">
        <v>139</v>
      </c>
      <c r="D92" s="569" t="s">
        <v>324</v>
      </c>
      <c r="E92" s="577" t="s">
        <v>134</v>
      </c>
      <c r="F92" s="570">
        <v>413</v>
      </c>
      <c r="G92" s="579">
        <v>2.44</v>
      </c>
      <c r="H92" s="600">
        <v>3.06</v>
      </c>
      <c r="I92" s="600">
        <v>1263.78</v>
      </c>
      <c r="J92" s="612">
        <v>5.13891732366936e-5</v>
      </c>
      <c r="K92" s="613">
        <f t="shared" si="3"/>
        <v>0</v>
      </c>
      <c r="L92" s="610">
        <f t="shared" si="4"/>
        <v>1263.78</v>
      </c>
      <c r="M92" s="601"/>
      <c r="N92" s="601"/>
      <c r="O92" s="601"/>
      <c r="P92" s="601"/>
      <c r="Q92" s="601"/>
      <c r="R92" s="601"/>
      <c r="S92" s="601"/>
      <c r="T92" s="601"/>
      <c r="U92" s="601"/>
      <c r="V92" s="601"/>
      <c r="W92" s="601"/>
      <c r="X92" s="601"/>
      <c r="Y92" s="601"/>
    </row>
    <row r="93" ht="25.5" spans="1:25">
      <c r="A93" s="569" t="s">
        <v>325</v>
      </c>
      <c r="B93" s="569" t="s">
        <v>326</v>
      </c>
      <c r="C93" s="569" t="s">
        <v>139</v>
      </c>
      <c r="D93" s="569" t="s">
        <v>327</v>
      </c>
      <c r="E93" s="577" t="s">
        <v>134</v>
      </c>
      <c r="F93" s="570">
        <v>15</v>
      </c>
      <c r="G93" s="579">
        <v>12.45</v>
      </c>
      <c r="H93" s="600">
        <v>15.62</v>
      </c>
      <c r="I93" s="600">
        <v>234.3</v>
      </c>
      <c r="J93" s="612">
        <v>9.52735704739536e-6</v>
      </c>
      <c r="K93" s="613">
        <f t="shared" si="3"/>
        <v>0</v>
      </c>
      <c r="L93" s="610">
        <f t="shared" si="4"/>
        <v>234.3</v>
      </c>
      <c r="M93" s="601"/>
      <c r="N93" s="601"/>
      <c r="O93" s="601"/>
      <c r="P93" s="601"/>
      <c r="Q93" s="601"/>
      <c r="R93" s="601"/>
      <c r="S93" s="601"/>
      <c r="T93" s="601"/>
      <c r="U93" s="601"/>
      <c r="V93" s="601"/>
      <c r="W93" s="601"/>
      <c r="X93" s="601"/>
      <c r="Y93" s="601"/>
    </row>
    <row r="94" ht="25.5" spans="1:25">
      <c r="A94" s="569" t="s">
        <v>328</v>
      </c>
      <c r="B94" s="569" t="s">
        <v>329</v>
      </c>
      <c r="C94" s="569" t="s">
        <v>132</v>
      </c>
      <c r="D94" s="569" t="s">
        <v>330</v>
      </c>
      <c r="E94" s="577" t="s">
        <v>134</v>
      </c>
      <c r="F94" s="570">
        <v>3</v>
      </c>
      <c r="G94" s="579">
        <v>106.65</v>
      </c>
      <c r="H94" s="600">
        <v>133.83</v>
      </c>
      <c r="I94" s="600">
        <v>401.49</v>
      </c>
      <c r="J94" s="612">
        <v>1.63258155397301e-5</v>
      </c>
      <c r="K94" s="613">
        <f t="shared" si="3"/>
        <v>0</v>
      </c>
      <c r="L94" s="610">
        <f t="shared" si="4"/>
        <v>401.49</v>
      </c>
      <c r="M94" s="601"/>
      <c r="N94" s="601"/>
      <c r="O94" s="601"/>
      <c r="P94" s="601"/>
      <c r="Q94" s="601"/>
      <c r="R94" s="601"/>
      <c r="S94" s="601"/>
      <c r="T94" s="601"/>
      <c r="U94" s="601"/>
      <c r="V94" s="601"/>
      <c r="W94" s="601"/>
      <c r="X94" s="601"/>
      <c r="Y94" s="601"/>
    </row>
    <row r="95" ht="25.5" spans="1:25">
      <c r="A95" s="569" t="s">
        <v>331</v>
      </c>
      <c r="B95" s="569" t="s">
        <v>332</v>
      </c>
      <c r="C95" s="569" t="s">
        <v>132</v>
      </c>
      <c r="D95" s="569" t="s">
        <v>333</v>
      </c>
      <c r="E95" s="577" t="s">
        <v>334</v>
      </c>
      <c r="F95" s="570">
        <v>24</v>
      </c>
      <c r="G95" s="579">
        <v>66.11</v>
      </c>
      <c r="H95" s="600">
        <v>82.96</v>
      </c>
      <c r="I95" s="600">
        <v>1991.04</v>
      </c>
      <c r="J95" s="612">
        <v>8.09617967377126e-5</v>
      </c>
      <c r="K95" s="613">
        <f t="shared" si="3"/>
        <v>0</v>
      </c>
      <c r="L95" s="610">
        <f t="shared" si="4"/>
        <v>1991.04</v>
      </c>
      <c r="M95" s="601"/>
      <c r="N95" s="601"/>
      <c r="O95" s="601"/>
      <c r="P95" s="601"/>
      <c r="Q95" s="601"/>
      <c r="R95" s="601"/>
      <c r="S95" s="601"/>
      <c r="T95" s="601"/>
      <c r="U95" s="601"/>
      <c r="V95" s="601"/>
      <c r="W95" s="601"/>
      <c r="X95" s="601"/>
      <c r="Y95" s="601"/>
    </row>
    <row r="96" ht="15" spans="1:25">
      <c r="A96" s="596" t="s">
        <v>335</v>
      </c>
      <c r="B96" s="596" t="s">
        <v>74</v>
      </c>
      <c r="C96" s="596"/>
      <c r="D96" s="596" t="s">
        <v>336</v>
      </c>
      <c r="E96" s="597"/>
      <c r="F96" s="598">
        <v>1</v>
      </c>
      <c r="G96" s="598"/>
      <c r="H96" s="599">
        <v>88052.1</v>
      </c>
      <c r="I96" s="599">
        <v>88052.1</v>
      </c>
      <c r="J96" s="608">
        <v>0.00358046861064004</v>
      </c>
      <c r="K96" s="613">
        <f t="shared" si="3"/>
        <v>0</v>
      </c>
      <c r="L96" s="610">
        <f>SUM(L97:L102)</f>
        <v>88052.1</v>
      </c>
      <c r="M96" s="601"/>
      <c r="N96" s="601"/>
      <c r="O96" s="601"/>
      <c r="P96" s="601"/>
      <c r="Q96" s="601"/>
      <c r="R96" s="601"/>
      <c r="S96" s="601"/>
      <c r="T96" s="601"/>
      <c r="U96" s="601"/>
      <c r="V96" s="601"/>
      <c r="W96" s="601"/>
      <c r="X96" s="601"/>
      <c r="Y96" s="601"/>
    </row>
    <row r="97" ht="76.5" spans="1:25">
      <c r="A97" s="569" t="s">
        <v>337</v>
      </c>
      <c r="B97" s="569" t="s">
        <v>338</v>
      </c>
      <c r="C97" s="569" t="s">
        <v>77</v>
      </c>
      <c r="D97" s="569" t="s">
        <v>339</v>
      </c>
      <c r="E97" s="577" t="s">
        <v>340</v>
      </c>
      <c r="F97" s="570">
        <v>1344</v>
      </c>
      <c r="G97" s="579">
        <v>39.66</v>
      </c>
      <c r="H97" s="600">
        <v>49.76</v>
      </c>
      <c r="I97" s="600">
        <v>66877.44</v>
      </c>
      <c r="J97" s="612">
        <v>0.00271944195175314</v>
      </c>
      <c r="K97" s="613">
        <f t="shared" si="3"/>
        <v>0</v>
      </c>
      <c r="L97" s="610">
        <f t="shared" ref="L97:L102" si="5">I97-(I97*K97)</f>
        <v>66877.44</v>
      </c>
      <c r="M97" s="601"/>
      <c r="N97" s="601"/>
      <c r="O97" s="601"/>
      <c r="P97" s="601"/>
      <c r="Q97" s="601"/>
      <c r="R97" s="601"/>
      <c r="S97" s="601"/>
      <c r="T97" s="601"/>
      <c r="U97" s="601"/>
      <c r="V97" s="601"/>
      <c r="W97" s="601"/>
      <c r="X97" s="601"/>
      <c r="Y97" s="601"/>
    </row>
    <row r="98" ht="38.25" spans="1:25">
      <c r="A98" s="569" t="s">
        <v>341</v>
      </c>
      <c r="B98" s="569" t="s">
        <v>342</v>
      </c>
      <c r="C98" s="569" t="s">
        <v>77</v>
      </c>
      <c r="D98" s="569" t="s">
        <v>343</v>
      </c>
      <c r="E98" s="577" t="s">
        <v>141</v>
      </c>
      <c r="F98" s="570">
        <v>336</v>
      </c>
      <c r="G98" s="579">
        <v>1.01</v>
      </c>
      <c r="H98" s="600">
        <v>1.26</v>
      </c>
      <c r="I98" s="600">
        <v>423.36</v>
      </c>
      <c r="J98" s="612">
        <v>1.72151168569582e-5</v>
      </c>
      <c r="K98" s="613">
        <f t="shared" si="3"/>
        <v>0</v>
      </c>
      <c r="L98" s="610">
        <f t="shared" si="5"/>
        <v>423.36</v>
      </c>
      <c r="M98" s="601"/>
      <c r="N98" s="601"/>
      <c r="O98" s="601"/>
      <c r="P98" s="601"/>
      <c r="Q98" s="601"/>
      <c r="R98" s="601"/>
      <c r="S98" s="601"/>
      <c r="T98" s="601"/>
      <c r="U98" s="601"/>
      <c r="V98" s="601"/>
      <c r="W98" s="601"/>
      <c r="X98" s="601"/>
      <c r="Y98" s="601"/>
    </row>
    <row r="99" ht="38.25" spans="1:25">
      <c r="A99" s="569" t="s">
        <v>344</v>
      </c>
      <c r="B99" s="569" t="s">
        <v>345</v>
      </c>
      <c r="C99" s="569" t="s">
        <v>77</v>
      </c>
      <c r="D99" s="569" t="s">
        <v>346</v>
      </c>
      <c r="E99" s="577" t="s">
        <v>347</v>
      </c>
      <c r="F99" s="570">
        <v>10080</v>
      </c>
      <c r="G99" s="579">
        <v>0.2</v>
      </c>
      <c r="H99" s="600">
        <v>0.25</v>
      </c>
      <c r="I99" s="600">
        <v>2520</v>
      </c>
      <c r="J99" s="612">
        <v>0.00010247093367237</v>
      </c>
      <c r="K99" s="613">
        <f t="shared" si="3"/>
        <v>0</v>
      </c>
      <c r="L99" s="610">
        <f t="shared" si="5"/>
        <v>2520</v>
      </c>
      <c r="M99" s="601"/>
      <c r="N99" s="601"/>
      <c r="O99" s="601"/>
      <c r="P99" s="601"/>
      <c r="Q99" s="601"/>
      <c r="R99" s="601"/>
      <c r="S99" s="601"/>
      <c r="T99" s="601"/>
      <c r="U99" s="601"/>
      <c r="V99" s="601"/>
      <c r="W99" s="601"/>
      <c r="X99" s="601"/>
      <c r="Y99" s="601"/>
    </row>
    <row r="100" ht="25.5" spans="1:25">
      <c r="A100" s="569" t="s">
        <v>348</v>
      </c>
      <c r="B100" s="569" t="s">
        <v>349</v>
      </c>
      <c r="C100" s="569" t="s">
        <v>77</v>
      </c>
      <c r="D100" s="569" t="s">
        <v>350</v>
      </c>
      <c r="E100" s="577" t="s">
        <v>141</v>
      </c>
      <c r="F100" s="570">
        <v>672</v>
      </c>
      <c r="G100" s="579">
        <v>7.89</v>
      </c>
      <c r="H100" s="600">
        <v>9.9</v>
      </c>
      <c r="I100" s="600">
        <v>6652.8</v>
      </c>
      <c r="J100" s="612">
        <v>0.000270523264895057</v>
      </c>
      <c r="K100" s="613">
        <f t="shared" si="3"/>
        <v>0</v>
      </c>
      <c r="L100" s="610">
        <f t="shared" si="5"/>
        <v>6652.8</v>
      </c>
      <c r="M100" s="601"/>
      <c r="N100" s="601"/>
      <c r="O100" s="601"/>
      <c r="P100" s="601"/>
      <c r="Q100" s="601"/>
      <c r="R100" s="601"/>
      <c r="S100" s="601"/>
      <c r="T100" s="601"/>
      <c r="U100" s="601"/>
      <c r="V100" s="601"/>
      <c r="W100" s="601"/>
      <c r="X100" s="601"/>
      <c r="Y100" s="601"/>
    </row>
    <row r="101" ht="51" spans="1:25">
      <c r="A101" s="569" t="s">
        <v>351</v>
      </c>
      <c r="B101" s="569" t="s">
        <v>352</v>
      </c>
      <c r="C101" s="569" t="s">
        <v>77</v>
      </c>
      <c r="D101" s="569" t="s">
        <v>353</v>
      </c>
      <c r="E101" s="577" t="s">
        <v>340</v>
      </c>
      <c r="F101" s="570">
        <v>90</v>
      </c>
      <c r="G101" s="579">
        <v>101.88</v>
      </c>
      <c r="H101" s="600">
        <v>127.84</v>
      </c>
      <c r="I101" s="600">
        <v>11505.6</v>
      </c>
      <c r="J101" s="612">
        <v>0.000467853005738421</v>
      </c>
      <c r="K101" s="613">
        <f t="shared" si="3"/>
        <v>0</v>
      </c>
      <c r="L101" s="610">
        <f t="shared" si="5"/>
        <v>11505.6</v>
      </c>
      <c r="M101" s="601"/>
      <c r="N101" s="601"/>
      <c r="O101" s="601"/>
      <c r="P101" s="601"/>
      <c r="Q101" s="601"/>
      <c r="R101" s="601"/>
      <c r="S101" s="601"/>
      <c r="T101" s="601"/>
      <c r="U101" s="601"/>
      <c r="V101" s="601"/>
      <c r="W101" s="601"/>
      <c r="X101" s="601"/>
      <c r="Y101" s="601"/>
    </row>
    <row r="102" ht="25.5" spans="1:25">
      <c r="A102" s="569" t="s">
        <v>354</v>
      </c>
      <c r="B102" s="569" t="s">
        <v>355</v>
      </c>
      <c r="C102" s="569" t="s">
        <v>77</v>
      </c>
      <c r="D102" s="569" t="s">
        <v>356</v>
      </c>
      <c r="E102" s="577" t="s">
        <v>141</v>
      </c>
      <c r="F102" s="570">
        <v>90</v>
      </c>
      <c r="G102" s="579">
        <v>0.65</v>
      </c>
      <c r="H102" s="600">
        <v>0.81</v>
      </c>
      <c r="I102" s="600">
        <v>72.9</v>
      </c>
      <c r="J102" s="612">
        <v>2.96433772409356e-6</v>
      </c>
      <c r="K102" s="613">
        <f t="shared" si="3"/>
        <v>0</v>
      </c>
      <c r="L102" s="610">
        <f t="shared" si="5"/>
        <v>72.9</v>
      </c>
      <c r="M102" s="601"/>
      <c r="N102" s="601"/>
      <c r="O102" s="601"/>
      <c r="P102" s="601"/>
      <c r="Q102" s="601"/>
      <c r="R102" s="601"/>
      <c r="S102" s="601"/>
      <c r="T102" s="601"/>
      <c r="U102" s="601"/>
      <c r="V102" s="601"/>
      <c r="W102" s="601"/>
      <c r="X102" s="601"/>
      <c r="Y102" s="601"/>
    </row>
    <row r="103" ht="15" spans="1:25">
      <c r="A103" s="596" t="s">
        <v>357</v>
      </c>
      <c r="B103" s="596" t="s">
        <v>74</v>
      </c>
      <c r="C103" s="596"/>
      <c r="D103" s="596" t="s">
        <v>358</v>
      </c>
      <c r="E103" s="597"/>
      <c r="F103" s="598">
        <v>1</v>
      </c>
      <c r="G103" s="598"/>
      <c r="H103" s="599">
        <v>105131.84</v>
      </c>
      <c r="I103" s="599">
        <v>105131.84</v>
      </c>
      <c r="J103" s="608">
        <v>0.00427498325535485</v>
      </c>
      <c r="K103" s="613">
        <f t="shared" si="3"/>
        <v>0</v>
      </c>
      <c r="L103" s="610">
        <f>SUM(L104)</f>
        <v>105131.84</v>
      </c>
      <c r="M103" s="601"/>
      <c r="N103" s="601"/>
      <c r="O103" s="601"/>
      <c r="P103" s="601"/>
      <c r="Q103" s="601"/>
      <c r="R103" s="601"/>
      <c r="S103" s="601"/>
      <c r="T103" s="601"/>
      <c r="U103" s="601"/>
      <c r="V103" s="601"/>
      <c r="W103" s="601"/>
      <c r="X103" s="601"/>
      <c r="Y103" s="601"/>
    </row>
    <row r="104" ht="25.5" spans="1:25">
      <c r="A104" s="569" t="s">
        <v>359</v>
      </c>
      <c r="B104" s="569" t="s">
        <v>360</v>
      </c>
      <c r="C104" s="569" t="s">
        <v>132</v>
      </c>
      <c r="D104" s="569" t="s">
        <v>361</v>
      </c>
      <c r="E104" s="577" t="s">
        <v>134</v>
      </c>
      <c r="F104" s="570">
        <v>16</v>
      </c>
      <c r="G104" s="579">
        <v>5236.07</v>
      </c>
      <c r="H104" s="600">
        <v>6570.74</v>
      </c>
      <c r="I104" s="600">
        <v>105131.84</v>
      </c>
      <c r="J104" s="612">
        <v>0.00427498325535485</v>
      </c>
      <c r="K104" s="613">
        <f t="shared" si="3"/>
        <v>0</v>
      </c>
      <c r="L104" s="610">
        <f>I104-(I104*K104)</f>
        <v>105131.84</v>
      </c>
      <c r="M104" s="601"/>
      <c r="N104" s="601"/>
      <c r="O104" s="601"/>
      <c r="P104" s="601"/>
      <c r="Q104" s="601"/>
      <c r="R104" s="601"/>
      <c r="S104" s="601"/>
      <c r="T104" s="601"/>
      <c r="U104" s="601"/>
      <c r="V104" s="601"/>
      <c r="W104" s="601"/>
      <c r="X104" s="601"/>
      <c r="Y104" s="601"/>
    </row>
    <row r="105" ht="15" spans="1:25">
      <c r="A105" s="596" t="s">
        <v>362</v>
      </c>
      <c r="B105" s="596" t="s">
        <v>74</v>
      </c>
      <c r="C105" s="596"/>
      <c r="D105" s="596" t="s">
        <v>363</v>
      </c>
      <c r="E105" s="597"/>
      <c r="F105" s="598">
        <v>1</v>
      </c>
      <c r="G105" s="598"/>
      <c r="H105" s="599">
        <v>5870.86</v>
      </c>
      <c r="I105" s="599">
        <v>5870.86</v>
      </c>
      <c r="J105" s="608">
        <v>0.000238727184785623</v>
      </c>
      <c r="K105" s="613">
        <f t="shared" si="3"/>
        <v>0</v>
      </c>
      <c r="L105" s="610">
        <f>SUM(L106)</f>
        <v>5870.86</v>
      </c>
      <c r="M105" s="601"/>
      <c r="N105" s="601"/>
      <c r="O105" s="601"/>
      <c r="P105" s="601"/>
      <c r="Q105" s="601"/>
      <c r="R105" s="601"/>
      <c r="S105" s="601"/>
      <c r="T105" s="601"/>
      <c r="U105" s="601"/>
      <c r="V105" s="601"/>
      <c r="W105" s="601"/>
      <c r="X105" s="601"/>
      <c r="Y105" s="601"/>
    </row>
    <row r="106" ht="15" spans="1:25">
      <c r="A106" s="596" t="s">
        <v>364</v>
      </c>
      <c r="B106" s="596" t="s">
        <v>74</v>
      </c>
      <c r="C106" s="596"/>
      <c r="D106" s="596" t="s">
        <v>365</v>
      </c>
      <c r="E106" s="597"/>
      <c r="F106" s="598">
        <v>1</v>
      </c>
      <c r="G106" s="598"/>
      <c r="H106" s="599">
        <v>5870.86</v>
      </c>
      <c r="I106" s="599">
        <v>5870.86</v>
      </c>
      <c r="J106" s="608">
        <v>0.000238727184785623</v>
      </c>
      <c r="K106" s="613">
        <f t="shared" si="3"/>
        <v>0</v>
      </c>
      <c r="L106" s="610">
        <f>SUM(L107:L108)</f>
        <v>5870.86</v>
      </c>
      <c r="M106" s="601"/>
      <c r="N106" s="601"/>
      <c r="O106" s="601"/>
      <c r="P106" s="601"/>
      <c r="Q106" s="601"/>
      <c r="R106" s="601"/>
      <c r="S106" s="601"/>
      <c r="T106" s="601"/>
      <c r="U106" s="601"/>
      <c r="V106" s="601"/>
      <c r="W106" s="601"/>
      <c r="X106" s="601"/>
      <c r="Y106" s="601"/>
    </row>
    <row r="107" ht="25.5" spans="1:25">
      <c r="A107" s="569" t="s">
        <v>366</v>
      </c>
      <c r="B107" s="569" t="s">
        <v>367</v>
      </c>
      <c r="C107" s="569" t="s">
        <v>139</v>
      </c>
      <c r="D107" s="569" t="s">
        <v>368</v>
      </c>
      <c r="E107" s="577" t="s">
        <v>141</v>
      </c>
      <c r="F107" s="570">
        <v>678.46</v>
      </c>
      <c r="G107" s="579">
        <v>6.21</v>
      </c>
      <c r="H107" s="600">
        <v>7.79</v>
      </c>
      <c r="I107" s="600">
        <v>5285.2</v>
      </c>
      <c r="J107" s="612">
        <v>0.000214912451843337</v>
      </c>
      <c r="K107" s="613">
        <f t="shared" si="3"/>
        <v>0</v>
      </c>
      <c r="L107" s="610">
        <f>I107-(I107*K107)</f>
        <v>5285.2</v>
      </c>
      <c r="M107" s="601"/>
      <c r="N107" s="601"/>
      <c r="O107" s="601"/>
      <c r="P107" s="601"/>
      <c r="Q107" s="601"/>
      <c r="R107" s="601"/>
      <c r="S107" s="601"/>
      <c r="T107" s="601"/>
      <c r="U107" s="601"/>
      <c r="V107" s="601"/>
      <c r="W107" s="601"/>
      <c r="X107" s="601"/>
      <c r="Y107" s="601"/>
    </row>
    <row r="108" ht="15" spans="1:25">
      <c r="A108" s="569" t="s">
        <v>369</v>
      </c>
      <c r="B108" s="569" t="s">
        <v>370</v>
      </c>
      <c r="C108" s="569" t="s">
        <v>149</v>
      </c>
      <c r="D108" s="569" t="s">
        <v>371</v>
      </c>
      <c r="E108" s="577" t="s">
        <v>279</v>
      </c>
      <c r="F108" s="570">
        <v>0.5925</v>
      </c>
      <c r="G108" s="579">
        <v>787.69</v>
      </c>
      <c r="H108" s="600">
        <v>988.47</v>
      </c>
      <c r="I108" s="600">
        <v>585.66</v>
      </c>
      <c r="J108" s="612">
        <v>2.38147329422858e-5</v>
      </c>
      <c r="K108" s="613">
        <f t="shared" si="3"/>
        <v>0</v>
      </c>
      <c r="L108" s="610">
        <f>I108-(I108*K108)</f>
        <v>585.66</v>
      </c>
      <c r="M108" s="601"/>
      <c r="N108" s="601"/>
      <c r="O108" s="601"/>
      <c r="P108" s="601"/>
      <c r="Q108" s="601"/>
      <c r="R108" s="601"/>
      <c r="S108" s="601"/>
      <c r="T108" s="601"/>
      <c r="U108" s="601"/>
      <c r="V108" s="601"/>
      <c r="W108" s="601"/>
      <c r="X108" s="601"/>
      <c r="Y108" s="601"/>
    </row>
    <row r="109" ht="15" spans="1:25">
      <c r="A109" s="596" t="s">
        <v>24</v>
      </c>
      <c r="B109" s="596" t="s">
        <v>74</v>
      </c>
      <c r="C109" s="596"/>
      <c r="D109" s="596" t="s">
        <v>25</v>
      </c>
      <c r="E109" s="597"/>
      <c r="F109" s="598">
        <v>1</v>
      </c>
      <c r="G109" s="598"/>
      <c r="H109" s="599">
        <v>31617.87</v>
      </c>
      <c r="I109" s="599">
        <v>31617.87</v>
      </c>
      <c r="J109" s="608">
        <v>0.00128567962683794</v>
      </c>
      <c r="K109" s="613">
        <f t="shared" si="3"/>
        <v>0</v>
      </c>
      <c r="L109" s="610">
        <f>L110+L113+L116</f>
        <v>31617.87</v>
      </c>
      <c r="M109" s="601"/>
      <c r="N109" s="601"/>
      <c r="O109" s="601"/>
      <c r="P109" s="601"/>
      <c r="Q109" s="601"/>
      <c r="R109" s="601"/>
      <c r="S109" s="601"/>
      <c r="T109" s="601"/>
      <c r="U109" s="601"/>
      <c r="V109" s="601"/>
      <c r="W109" s="601"/>
      <c r="X109" s="601"/>
      <c r="Y109" s="601"/>
    </row>
    <row r="110" ht="15" spans="1:25">
      <c r="A110" s="596" t="s">
        <v>372</v>
      </c>
      <c r="B110" s="596" t="s">
        <v>74</v>
      </c>
      <c r="C110" s="596"/>
      <c r="D110" s="596" t="s">
        <v>373</v>
      </c>
      <c r="E110" s="597"/>
      <c r="F110" s="598">
        <v>1</v>
      </c>
      <c r="G110" s="598"/>
      <c r="H110" s="599">
        <v>9632.87</v>
      </c>
      <c r="I110" s="599">
        <v>9632.87</v>
      </c>
      <c r="J110" s="608">
        <v>0.000391702056684351</v>
      </c>
      <c r="K110" s="613">
        <f t="shared" si="3"/>
        <v>0</v>
      </c>
      <c r="L110" s="610">
        <f>SUM(L111:L112)</f>
        <v>9632.87</v>
      </c>
      <c r="M110" s="601"/>
      <c r="N110" s="601"/>
      <c r="O110" s="601"/>
      <c r="P110" s="601"/>
      <c r="Q110" s="601"/>
      <c r="R110" s="601"/>
      <c r="S110" s="601"/>
      <c r="T110" s="601"/>
      <c r="U110" s="601"/>
      <c r="V110" s="601"/>
      <c r="W110" s="601"/>
      <c r="X110" s="601"/>
      <c r="Y110" s="601"/>
    </row>
    <row r="111" ht="25.5" spans="1:25">
      <c r="A111" s="569" t="s">
        <v>374</v>
      </c>
      <c r="B111" s="569" t="s">
        <v>375</v>
      </c>
      <c r="C111" s="569" t="s">
        <v>139</v>
      </c>
      <c r="D111" s="569" t="s">
        <v>376</v>
      </c>
      <c r="E111" s="577" t="s">
        <v>279</v>
      </c>
      <c r="F111" s="570">
        <v>50.1716</v>
      </c>
      <c r="G111" s="579">
        <v>115.31</v>
      </c>
      <c r="H111" s="600">
        <v>144.7</v>
      </c>
      <c r="I111" s="600">
        <v>7259.83</v>
      </c>
      <c r="J111" s="612">
        <v>0.000295206967620112</v>
      </c>
      <c r="K111" s="613">
        <f t="shared" si="3"/>
        <v>0</v>
      </c>
      <c r="L111" s="610">
        <f>I111-(I111*K111)</f>
        <v>7259.83</v>
      </c>
      <c r="M111" s="601"/>
      <c r="N111" s="601"/>
      <c r="O111" s="601"/>
      <c r="P111" s="601"/>
      <c r="Q111" s="601"/>
      <c r="R111" s="601"/>
      <c r="S111" s="601"/>
      <c r="T111" s="601"/>
      <c r="U111" s="601"/>
      <c r="V111" s="601"/>
      <c r="W111" s="601"/>
      <c r="X111" s="601"/>
      <c r="Y111" s="601"/>
    </row>
    <row r="112" ht="25.5" spans="1:25">
      <c r="A112" s="569" t="s">
        <v>377</v>
      </c>
      <c r="B112" s="569" t="s">
        <v>378</v>
      </c>
      <c r="C112" s="569" t="s">
        <v>139</v>
      </c>
      <c r="D112" s="569" t="s">
        <v>379</v>
      </c>
      <c r="E112" s="577" t="s">
        <v>279</v>
      </c>
      <c r="F112" s="570">
        <v>55.187</v>
      </c>
      <c r="G112" s="579">
        <v>34.27</v>
      </c>
      <c r="H112" s="600">
        <v>43</v>
      </c>
      <c r="I112" s="600">
        <v>2373.04</v>
      </c>
      <c r="J112" s="612">
        <v>9.64950890642385e-5</v>
      </c>
      <c r="K112" s="613">
        <f t="shared" si="3"/>
        <v>0</v>
      </c>
      <c r="L112" s="610">
        <f>I112-(I112*K112)</f>
        <v>2373.04</v>
      </c>
      <c r="M112" s="601"/>
      <c r="N112" s="601"/>
      <c r="O112" s="601"/>
      <c r="P112" s="601"/>
      <c r="Q112" s="601"/>
      <c r="R112" s="601"/>
      <c r="S112" s="601"/>
      <c r="T112" s="601"/>
      <c r="U112" s="601"/>
      <c r="V112" s="601"/>
      <c r="W112" s="601"/>
      <c r="X112" s="601"/>
      <c r="Y112" s="601"/>
    </row>
    <row r="113" ht="15" spans="1:25">
      <c r="A113" s="596" t="s">
        <v>380</v>
      </c>
      <c r="B113" s="596" t="s">
        <v>74</v>
      </c>
      <c r="C113" s="596"/>
      <c r="D113" s="596" t="s">
        <v>381</v>
      </c>
      <c r="E113" s="597"/>
      <c r="F113" s="598">
        <v>1</v>
      </c>
      <c r="G113" s="598"/>
      <c r="H113" s="599">
        <v>15987.54</v>
      </c>
      <c r="I113" s="599">
        <v>15987.54</v>
      </c>
      <c r="J113" s="608">
        <v>0.000650102440843001</v>
      </c>
      <c r="K113" s="613">
        <f t="shared" si="3"/>
        <v>0</v>
      </c>
      <c r="L113" s="610">
        <f>SUM(L114:L115)</f>
        <v>15987.54</v>
      </c>
      <c r="M113" s="601"/>
      <c r="N113" s="601"/>
      <c r="O113" s="601"/>
      <c r="P113" s="601"/>
      <c r="Q113" s="601"/>
      <c r="R113" s="601"/>
      <c r="S113" s="601"/>
      <c r="T113" s="601"/>
      <c r="U113" s="601"/>
      <c r="V113" s="601"/>
      <c r="W113" s="601"/>
      <c r="X113" s="601"/>
      <c r="Y113" s="601"/>
    </row>
    <row r="114" ht="25.5" spans="1:25">
      <c r="A114" s="569" t="s">
        <v>382</v>
      </c>
      <c r="B114" s="569" t="s">
        <v>375</v>
      </c>
      <c r="C114" s="569" t="s">
        <v>139</v>
      </c>
      <c r="D114" s="569" t="s">
        <v>376</v>
      </c>
      <c r="E114" s="577" t="s">
        <v>279</v>
      </c>
      <c r="F114" s="570">
        <v>88.2</v>
      </c>
      <c r="G114" s="579">
        <v>115.31</v>
      </c>
      <c r="H114" s="600">
        <v>144.7</v>
      </c>
      <c r="I114" s="600">
        <v>12762.54</v>
      </c>
      <c r="J114" s="612">
        <v>0.000518964043583718</v>
      </c>
      <c r="K114" s="613">
        <f t="shared" si="3"/>
        <v>0</v>
      </c>
      <c r="L114" s="610">
        <f>I114-(I114*K114)</f>
        <v>12762.54</v>
      </c>
      <c r="M114" s="601"/>
      <c r="N114" s="601"/>
      <c r="O114" s="601"/>
      <c r="P114" s="601"/>
      <c r="Q114" s="601"/>
      <c r="R114" s="601"/>
      <c r="S114" s="601"/>
      <c r="T114" s="601"/>
      <c r="U114" s="601"/>
      <c r="V114" s="601"/>
      <c r="W114" s="601"/>
      <c r="X114" s="601"/>
      <c r="Y114" s="601"/>
    </row>
    <row r="115" ht="25.5" spans="1:25">
      <c r="A115" s="569" t="s">
        <v>383</v>
      </c>
      <c r="B115" s="569" t="s">
        <v>378</v>
      </c>
      <c r="C115" s="569" t="s">
        <v>139</v>
      </c>
      <c r="D115" s="569" t="s">
        <v>379</v>
      </c>
      <c r="E115" s="577" t="s">
        <v>279</v>
      </c>
      <c r="F115" s="570">
        <v>75</v>
      </c>
      <c r="G115" s="579">
        <v>34.27</v>
      </c>
      <c r="H115" s="600">
        <v>43</v>
      </c>
      <c r="I115" s="600">
        <v>3225</v>
      </c>
      <c r="J115" s="612">
        <v>0.000131138397259283</v>
      </c>
      <c r="K115" s="613">
        <f t="shared" si="3"/>
        <v>0</v>
      </c>
      <c r="L115" s="610">
        <f>I115-(I115*K115)</f>
        <v>3225</v>
      </c>
      <c r="M115" s="601"/>
      <c r="N115" s="601"/>
      <c r="O115" s="601"/>
      <c r="P115" s="601"/>
      <c r="Q115" s="601"/>
      <c r="R115" s="601"/>
      <c r="S115" s="601"/>
      <c r="T115" s="601"/>
      <c r="U115" s="601"/>
      <c r="V115" s="601"/>
      <c r="W115" s="601"/>
      <c r="X115" s="601"/>
      <c r="Y115" s="601"/>
    </row>
    <row r="116" ht="15" spans="1:25">
      <c r="A116" s="596" t="s">
        <v>384</v>
      </c>
      <c r="B116" s="596" t="s">
        <v>74</v>
      </c>
      <c r="C116" s="596"/>
      <c r="D116" s="596" t="s">
        <v>385</v>
      </c>
      <c r="E116" s="597"/>
      <c r="F116" s="598">
        <v>1</v>
      </c>
      <c r="G116" s="598"/>
      <c r="H116" s="599">
        <v>5997.46</v>
      </c>
      <c r="I116" s="599">
        <v>5997.46</v>
      </c>
      <c r="J116" s="608">
        <v>0.000243875129310592</v>
      </c>
      <c r="K116" s="613">
        <f t="shared" si="3"/>
        <v>0</v>
      </c>
      <c r="L116" s="610">
        <f>SUM(L117:L118)</f>
        <v>5997.46</v>
      </c>
      <c r="M116" s="601"/>
      <c r="N116" s="601"/>
      <c r="O116" s="601"/>
      <c r="P116" s="601"/>
      <c r="Q116" s="601"/>
      <c r="R116" s="601"/>
      <c r="S116" s="601"/>
      <c r="T116" s="601"/>
      <c r="U116" s="601"/>
      <c r="V116" s="601"/>
      <c r="W116" s="601"/>
      <c r="X116" s="601"/>
      <c r="Y116" s="601"/>
    </row>
    <row r="117" ht="25.5" spans="1:25">
      <c r="A117" s="569" t="s">
        <v>386</v>
      </c>
      <c r="B117" s="569" t="s">
        <v>375</v>
      </c>
      <c r="C117" s="569" t="s">
        <v>139</v>
      </c>
      <c r="D117" s="569" t="s">
        <v>376</v>
      </c>
      <c r="E117" s="577" t="s">
        <v>279</v>
      </c>
      <c r="F117" s="570">
        <v>32.8</v>
      </c>
      <c r="G117" s="579">
        <v>115.31</v>
      </c>
      <c r="H117" s="600">
        <v>144.7</v>
      </c>
      <c r="I117" s="600">
        <v>4746.16</v>
      </c>
      <c r="J117" s="612">
        <v>0.00019299343117399</v>
      </c>
      <c r="K117" s="613">
        <f t="shared" si="3"/>
        <v>0</v>
      </c>
      <c r="L117" s="610">
        <f>I117-(I117*K117)</f>
        <v>4746.16</v>
      </c>
      <c r="M117" s="601"/>
      <c r="N117" s="601"/>
      <c r="O117" s="601"/>
      <c r="P117" s="601"/>
      <c r="Q117" s="601"/>
      <c r="R117" s="601"/>
      <c r="S117" s="601"/>
      <c r="T117" s="601"/>
      <c r="U117" s="601"/>
      <c r="V117" s="601"/>
      <c r="W117" s="601"/>
      <c r="X117" s="601"/>
      <c r="Y117" s="601"/>
    </row>
    <row r="118" ht="25.5" spans="1:25">
      <c r="A118" s="569" t="s">
        <v>387</v>
      </c>
      <c r="B118" s="569" t="s">
        <v>378</v>
      </c>
      <c r="C118" s="569" t="s">
        <v>139</v>
      </c>
      <c r="D118" s="569" t="s">
        <v>379</v>
      </c>
      <c r="E118" s="577" t="s">
        <v>279</v>
      </c>
      <c r="F118" s="570">
        <v>29.1</v>
      </c>
      <c r="G118" s="579">
        <v>34.27</v>
      </c>
      <c r="H118" s="600">
        <v>43</v>
      </c>
      <c r="I118" s="600">
        <v>1251.3</v>
      </c>
      <c r="J118" s="612">
        <v>5.08816981366019e-5</v>
      </c>
      <c r="K118" s="613">
        <f t="shared" si="3"/>
        <v>0</v>
      </c>
      <c r="L118" s="610">
        <f>I118-(I118*K118)</f>
        <v>1251.3</v>
      </c>
      <c r="M118" s="601"/>
      <c r="N118" s="601"/>
      <c r="O118" s="601"/>
      <c r="P118" s="601"/>
      <c r="Q118" s="601"/>
      <c r="R118" s="601"/>
      <c r="S118" s="601"/>
      <c r="T118" s="601"/>
      <c r="U118" s="601"/>
      <c r="V118" s="601"/>
      <c r="W118" s="601"/>
      <c r="X118" s="601"/>
      <c r="Y118" s="601"/>
    </row>
    <row r="119" ht="15" spans="1:25">
      <c r="A119" s="596" t="s">
        <v>26</v>
      </c>
      <c r="B119" s="596" t="s">
        <v>74</v>
      </c>
      <c r="C119" s="596"/>
      <c r="D119" s="596" t="s">
        <v>388</v>
      </c>
      <c r="E119" s="597"/>
      <c r="F119" s="598">
        <v>1</v>
      </c>
      <c r="G119" s="598"/>
      <c r="H119" s="599">
        <v>395645.02</v>
      </c>
      <c r="I119" s="599">
        <v>395645.02</v>
      </c>
      <c r="J119" s="608">
        <v>0.0160881407151681</v>
      </c>
      <c r="K119" s="613">
        <f t="shared" si="3"/>
        <v>0</v>
      </c>
      <c r="L119" s="610">
        <f>SUM(L120,L132,L151)</f>
        <v>395645.02</v>
      </c>
      <c r="M119" s="601"/>
      <c r="N119" s="601"/>
      <c r="O119" s="601"/>
      <c r="P119" s="601"/>
      <c r="Q119" s="601"/>
      <c r="R119" s="601"/>
      <c r="S119" s="601"/>
      <c r="T119" s="601"/>
      <c r="U119" s="601"/>
      <c r="V119" s="601"/>
      <c r="W119" s="601"/>
      <c r="X119" s="601"/>
      <c r="Y119" s="601"/>
    </row>
    <row r="120" ht="15" spans="1:25">
      <c r="A120" s="596" t="s">
        <v>389</v>
      </c>
      <c r="B120" s="596" t="s">
        <v>74</v>
      </c>
      <c r="C120" s="596"/>
      <c r="D120" s="596" t="s">
        <v>373</v>
      </c>
      <c r="E120" s="597"/>
      <c r="F120" s="598">
        <v>1</v>
      </c>
      <c r="G120" s="598"/>
      <c r="H120" s="599">
        <v>276846.39</v>
      </c>
      <c r="I120" s="599">
        <v>276846.39</v>
      </c>
      <c r="J120" s="608">
        <v>0.0112574238361608</v>
      </c>
      <c r="K120" s="613">
        <f t="shared" si="3"/>
        <v>0</v>
      </c>
      <c r="L120" s="610">
        <f>SUM(L121:L131)</f>
        <v>276846.39</v>
      </c>
      <c r="M120" s="601"/>
      <c r="N120" s="601"/>
      <c r="O120" s="601"/>
      <c r="P120" s="601"/>
      <c r="Q120" s="601"/>
      <c r="R120" s="601"/>
      <c r="S120" s="601"/>
      <c r="T120" s="601"/>
      <c r="U120" s="601"/>
      <c r="V120" s="601"/>
      <c r="W120" s="601"/>
      <c r="X120" s="601"/>
      <c r="Y120" s="601"/>
    </row>
    <row r="121" ht="25.5" spans="1:25">
      <c r="A121" s="569" t="s">
        <v>390</v>
      </c>
      <c r="B121" s="569" t="s">
        <v>391</v>
      </c>
      <c r="C121" s="569" t="s">
        <v>139</v>
      </c>
      <c r="D121" s="569" t="s">
        <v>392</v>
      </c>
      <c r="E121" s="577" t="s">
        <v>393</v>
      </c>
      <c r="F121" s="570">
        <v>77</v>
      </c>
      <c r="G121" s="579">
        <v>20.86</v>
      </c>
      <c r="H121" s="600">
        <v>26.17</v>
      </c>
      <c r="I121" s="600">
        <v>2015.09</v>
      </c>
      <c r="J121" s="612">
        <v>8.1939743545181e-5</v>
      </c>
      <c r="K121" s="613">
        <f t="shared" si="3"/>
        <v>0</v>
      </c>
      <c r="L121" s="610">
        <f t="shared" ref="L121:L131" si="6">I121-(I121*K121)</f>
        <v>2015.09</v>
      </c>
      <c r="M121" s="601"/>
      <c r="N121" s="601"/>
      <c r="O121" s="601"/>
      <c r="P121" s="601"/>
      <c r="Q121" s="601"/>
      <c r="R121" s="601"/>
      <c r="S121" s="601"/>
      <c r="T121" s="601"/>
      <c r="U121" s="601"/>
      <c r="V121" s="601"/>
      <c r="W121" s="601"/>
      <c r="X121" s="601"/>
      <c r="Y121" s="601"/>
    </row>
    <row r="122" ht="25.5" spans="1:25">
      <c r="A122" s="569" t="s">
        <v>394</v>
      </c>
      <c r="B122" s="569" t="s">
        <v>395</v>
      </c>
      <c r="C122" s="569" t="s">
        <v>139</v>
      </c>
      <c r="D122" s="569" t="s">
        <v>396</v>
      </c>
      <c r="E122" s="577" t="s">
        <v>393</v>
      </c>
      <c r="F122" s="570">
        <v>46.2</v>
      </c>
      <c r="G122" s="579">
        <v>18.43</v>
      </c>
      <c r="H122" s="600">
        <v>23.12</v>
      </c>
      <c r="I122" s="600">
        <v>1068.14</v>
      </c>
      <c r="J122" s="612">
        <v>4.34338504336529e-5</v>
      </c>
      <c r="K122" s="613">
        <f t="shared" si="3"/>
        <v>0</v>
      </c>
      <c r="L122" s="610">
        <f t="shared" si="6"/>
        <v>1068.14</v>
      </c>
      <c r="M122" s="601"/>
      <c r="N122" s="601"/>
      <c r="O122" s="601"/>
      <c r="P122" s="601"/>
      <c r="Q122" s="601"/>
      <c r="R122" s="601"/>
      <c r="S122" s="601"/>
      <c r="T122" s="601"/>
      <c r="U122" s="601"/>
      <c r="V122" s="601"/>
      <c r="W122" s="601"/>
      <c r="X122" s="601"/>
      <c r="Y122" s="601"/>
    </row>
    <row r="123" ht="25.5" spans="1:25">
      <c r="A123" s="569" t="s">
        <v>397</v>
      </c>
      <c r="B123" s="569" t="s">
        <v>398</v>
      </c>
      <c r="C123" s="569" t="s">
        <v>139</v>
      </c>
      <c r="D123" s="569" t="s">
        <v>399</v>
      </c>
      <c r="E123" s="577" t="s">
        <v>393</v>
      </c>
      <c r="F123" s="570">
        <v>19.8</v>
      </c>
      <c r="G123" s="579">
        <v>15.92</v>
      </c>
      <c r="H123" s="600">
        <v>19.97</v>
      </c>
      <c r="I123" s="600">
        <v>395.4</v>
      </c>
      <c r="J123" s="612">
        <v>1.60781774500219e-5</v>
      </c>
      <c r="K123" s="613">
        <f t="shared" si="3"/>
        <v>0</v>
      </c>
      <c r="L123" s="610">
        <f t="shared" si="6"/>
        <v>395.4</v>
      </c>
      <c r="M123" s="601"/>
      <c r="N123" s="601"/>
      <c r="O123" s="601"/>
      <c r="P123" s="601"/>
      <c r="Q123" s="601"/>
      <c r="R123" s="601"/>
      <c r="S123" s="601"/>
      <c r="T123" s="601"/>
      <c r="U123" s="601"/>
      <c r="V123" s="601"/>
      <c r="W123" s="601"/>
      <c r="X123" s="601"/>
      <c r="Y123" s="601"/>
    </row>
    <row r="124" ht="25.5" spans="1:25">
      <c r="A124" s="569" t="s">
        <v>400</v>
      </c>
      <c r="B124" s="569" t="s">
        <v>401</v>
      </c>
      <c r="C124" s="569" t="s">
        <v>139</v>
      </c>
      <c r="D124" s="569" t="s">
        <v>402</v>
      </c>
      <c r="E124" s="577" t="s">
        <v>393</v>
      </c>
      <c r="F124" s="570">
        <v>891</v>
      </c>
      <c r="G124" s="579">
        <v>12.01</v>
      </c>
      <c r="H124" s="600">
        <v>15.07</v>
      </c>
      <c r="I124" s="600">
        <v>13427.37</v>
      </c>
      <c r="J124" s="612">
        <v>0.000545998071692211</v>
      </c>
      <c r="K124" s="613">
        <f t="shared" si="3"/>
        <v>0</v>
      </c>
      <c r="L124" s="610">
        <f t="shared" si="6"/>
        <v>13427.37</v>
      </c>
      <c r="M124" s="601"/>
      <c r="N124" s="601"/>
      <c r="O124" s="601"/>
      <c r="P124" s="601"/>
      <c r="Q124" s="601"/>
      <c r="R124" s="601"/>
      <c r="S124" s="601"/>
      <c r="T124" s="601"/>
      <c r="U124" s="601"/>
      <c r="V124" s="601"/>
      <c r="W124" s="601"/>
      <c r="X124" s="601"/>
      <c r="Y124" s="601"/>
    </row>
    <row r="125" ht="25.5" spans="1:25">
      <c r="A125" s="569" t="s">
        <v>403</v>
      </c>
      <c r="B125" s="569" t="s">
        <v>404</v>
      </c>
      <c r="C125" s="569" t="s">
        <v>139</v>
      </c>
      <c r="D125" s="569" t="s">
        <v>405</v>
      </c>
      <c r="E125" s="577" t="s">
        <v>393</v>
      </c>
      <c r="F125" s="570">
        <v>195.8</v>
      </c>
      <c r="G125" s="579">
        <v>11.17</v>
      </c>
      <c r="H125" s="600">
        <v>14.01</v>
      </c>
      <c r="I125" s="600">
        <v>2743.15</v>
      </c>
      <c r="J125" s="612">
        <v>0.000111544897501334</v>
      </c>
      <c r="K125" s="613">
        <f t="shared" si="3"/>
        <v>0</v>
      </c>
      <c r="L125" s="610">
        <f t="shared" si="6"/>
        <v>2743.15</v>
      </c>
      <c r="M125" s="601"/>
      <c r="N125" s="601"/>
      <c r="O125" s="601"/>
      <c r="P125" s="601"/>
      <c r="Q125" s="601"/>
      <c r="R125" s="601"/>
      <c r="S125" s="601"/>
      <c r="T125" s="601"/>
      <c r="U125" s="601"/>
      <c r="V125" s="601"/>
      <c r="W125" s="601"/>
      <c r="X125" s="601"/>
      <c r="Y125" s="601"/>
    </row>
    <row r="126" ht="38.25" spans="1:25">
      <c r="A126" s="569" t="s">
        <v>406</v>
      </c>
      <c r="B126" s="569" t="s">
        <v>407</v>
      </c>
      <c r="C126" s="569" t="s">
        <v>139</v>
      </c>
      <c r="D126" s="569" t="s">
        <v>408</v>
      </c>
      <c r="E126" s="577" t="s">
        <v>141</v>
      </c>
      <c r="F126" s="570">
        <v>37.84</v>
      </c>
      <c r="G126" s="579">
        <v>156.54</v>
      </c>
      <c r="H126" s="600">
        <v>196.44</v>
      </c>
      <c r="I126" s="600">
        <v>7433.28</v>
      </c>
      <c r="J126" s="612">
        <v>0.000302259976923871</v>
      </c>
      <c r="K126" s="613">
        <f t="shared" si="3"/>
        <v>0</v>
      </c>
      <c r="L126" s="610">
        <f t="shared" si="6"/>
        <v>7433.28</v>
      </c>
      <c r="M126" s="601"/>
      <c r="N126" s="601"/>
      <c r="O126" s="601"/>
      <c r="P126" s="601"/>
      <c r="Q126" s="601"/>
      <c r="R126" s="601"/>
      <c r="S126" s="601"/>
      <c r="T126" s="601"/>
      <c r="U126" s="601"/>
      <c r="V126" s="601"/>
      <c r="W126" s="601"/>
      <c r="X126" s="601"/>
      <c r="Y126" s="601"/>
    </row>
    <row r="127" ht="38.25" spans="1:25">
      <c r="A127" s="569" t="s">
        <v>409</v>
      </c>
      <c r="B127" s="569" t="s">
        <v>410</v>
      </c>
      <c r="C127" s="569" t="s">
        <v>139</v>
      </c>
      <c r="D127" s="569" t="s">
        <v>411</v>
      </c>
      <c r="E127" s="577" t="s">
        <v>279</v>
      </c>
      <c r="F127" s="570">
        <v>26.985</v>
      </c>
      <c r="G127" s="579">
        <v>732.3</v>
      </c>
      <c r="H127" s="600">
        <v>918.96</v>
      </c>
      <c r="I127" s="600">
        <v>24798.13</v>
      </c>
      <c r="J127" s="612">
        <v>0.00100836806921778</v>
      </c>
      <c r="K127" s="613">
        <f t="shared" si="3"/>
        <v>0</v>
      </c>
      <c r="L127" s="610">
        <f t="shared" si="6"/>
        <v>24798.13</v>
      </c>
      <c r="M127" s="601"/>
      <c r="N127" s="601"/>
      <c r="O127" s="601"/>
      <c r="P127" s="601"/>
      <c r="Q127" s="601"/>
      <c r="R127" s="601"/>
      <c r="S127" s="601"/>
      <c r="T127" s="601"/>
      <c r="U127" s="601"/>
      <c r="V127" s="601"/>
      <c r="W127" s="601"/>
      <c r="X127" s="601"/>
      <c r="Y127" s="601"/>
    </row>
    <row r="128" ht="25.5" spans="1:25">
      <c r="A128" s="569" t="s">
        <v>412</v>
      </c>
      <c r="B128" s="569" t="s">
        <v>413</v>
      </c>
      <c r="C128" s="569" t="s">
        <v>139</v>
      </c>
      <c r="D128" s="569" t="s">
        <v>414</v>
      </c>
      <c r="E128" s="577" t="s">
        <v>279</v>
      </c>
      <c r="F128" s="570">
        <v>1.057</v>
      </c>
      <c r="G128" s="579">
        <v>852.23</v>
      </c>
      <c r="H128" s="600">
        <v>1069.46</v>
      </c>
      <c r="I128" s="600">
        <v>1130.41</v>
      </c>
      <c r="J128" s="612">
        <v>4.59659397351523e-5</v>
      </c>
      <c r="K128" s="613">
        <f t="shared" si="3"/>
        <v>0</v>
      </c>
      <c r="L128" s="610">
        <f t="shared" si="6"/>
        <v>1130.41</v>
      </c>
      <c r="M128" s="601"/>
      <c r="N128" s="601"/>
      <c r="O128" s="601"/>
      <c r="P128" s="601"/>
      <c r="Q128" s="601"/>
      <c r="R128" s="601"/>
      <c r="S128" s="601"/>
      <c r="T128" s="601"/>
      <c r="U128" s="601"/>
      <c r="V128" s="601"/>
      <c r="W128" s="601"/>
      <c r="X128" s="601"/>
      <c r="Y128" s="601"/>
    </row>
    <row r="129" ht="25.5" spans="1:25">
      <c r="A129" s="569" t="s">
        <v>415</v>
      </c>
      <c r="B129" s="569" t="s">
        <v>416</v>
      </c>
      <c r="C129" s="569" t="s">
        <v>149</v>
      </c>
      <c r="D129" s="569" t="s">
        <v>417</v>
      </c>
      <c r="E129" s="577" t="s">
        <v>134</v>
      </c>
      <c r="F129" s="570">
        <v>1</v>
      </c>
      <c r="G129" s="579">
        <v>11631.77</v>
      </c>
      <c r="H129" s="600">
        <v>14596.7</v>
      </c>
      <c r="I129" s="600">
        <v>14596.7</v>
      </c>
      <c r="J129" s="612">
        <v>0.000593546618069637</v>
      </c>
      <c r="K129" s="613">
        <f t="shared" si="3"/>
        <v>0</v>
      </c>
      <c r="L129" s="610">
        <f t="shared" si="6"/>
        <v>14596.7</v>
      </c>
      <c r="M129" s="601"/>
      <c r="N129" s="601"/>
      <c r="O129" s="601"/>
      <c r="P129" s="601"/>
      <c r="Q129" s="601"/>
      <c r="R129" s="601"/>
      <c r="S129" s="601"/>
      <c r="T129" s="601"/>
      <c r="U129" s="601"/>
      <c r="V129" s="601"/>
      <c r="W129" s="601"/>
      <c r="X129" s="601"/>
      <c r="Y129" s="601"/>
    </row>
    <row r="130" ht="38.25" spans="1:25">
      <c r="A130" s="569" t="s">
        <v>418</v>
      </c>
      <c r="B130" s="569" t="s">
        <v>419</v>
      </c>
      <c r="C130" s="569" t="s">
        <v>77</v>
      </c>
      <c r="D130" s="569" t="s">
        <v>420</v>
      </c>
      <c r="E130" s="577" t="s">
        <v>204</v>
      </c>
      <c r="F130" s="570">
        <v>272</v>
      </c>
      <c r="G130" s="579">
        <v>334.7</v>
      </c>
      <c r="H130" s="600">
        <v>420.01</v>
      </c>
      <c r="I130" s="600">
        <v>114242.72</v>
      </c>
      <c r="J130" s="612">
        <v>0.0046454595966949</v>
      </c>
      <c r="K130" s="613">
        <f t="shared" si="3"/>
        <v>0</v>
      </c>
      <c r="L130" s="610">
        <f t="shared" si="6"/>
        <v>114242.72</v>
      </c>
      <c r="M130" s="601"/>
      <c r="N130" s="601"/>
      <c r="O130" s="601"/>
      <c r="P130" s="601"/>
      <c r="Q130" s="601"/>
      <c r="R130" s="601"/>
      <c r="S130" s="601"/>
      <c r="T130" s="601"/>
      <c r="U130" s="601"/>
      <c r="V130" s="601"/>
      <c r="W130" s="601"/>
      <c r="X130" s="601"/>
      <c r="Y130" s="601"/>
    </row>
    <row r="131" ht="51" spans="1:25">
      <c r="A131" s="569" t="s">
        <v>421</v>
      </c>
      <c r="B131" s="569" t="s">
        <v>422</v>
      </c>
      <c r="C131" s="569" t="s">
        <v>77</v>
      </c>
      <c r="D131" s="569" t="s">
        <v>423</v>
      </c>
      <c r="E131" s="577" t="s">
        <v>204</v>
      </c>
      <c r="F131" s="570">
        <v>272</v>
      </c>
      <c r="G131" s="579">
        <v>278.31</v>
      </c>
      <c r="H131" s="600">
        <v>349.25</v>
      </c>
      <c r="I131" s="600">
        <v>94996</v>
      </c>
      <c r="J131" s="612">
        <v>0.00386282889489701</v>
      </c>
      <c r="K131" s="613">
        <f t="shared" si="3"/>
        <v>0</v>
      </c>
      <c r="L131" s="610">
        <f t="shared" si="6"/>
        <v>94996</v>
      </c>
      <c r="M131" s="601"/>
      <c r="N131" s="601"/>
      <c r="O131" s="601"/>
      <c r="P131" s="601"/>
      <c r="Q131" s="601"/>
      <c r="R131" s="601"/>
      <c r="S131" s="601"/>
      <c r="T131" s="601"/>
      <c r="U131" s="601"/>
      <c r="V131" s="601"/>
      <c r="W131" s="601"/>
      <c r="X131" s="601"/>
      <c r="Y131" s="601"/>
    </row>
    <row r="132" ht="15" spans="1:25">
      <c r="A132" s="596" t="s">
        <v>424</v>
      </c>
      <c r="B132" s="596" t="s">
        <v>74</v>
      </c>
      <c r="C132" s="596"/>
      <c r="D132" s="596" t="s">
        <v>381</v>
      </c>
      <c r="E132" s="597"/>
      <c r="F132" s="598">
        <v>1</v>
      </c>
      <c r="G132" s="598"/>
      <c r="H132" s="599">
        <v>91104.31</v>
      </c>
      <c r="I132" s="599">
        <v>91104.31</v>
      </c>
      <c r="J132" s="608">
        <v>0.00370458083622105</v>
      </c>
      <c r="K132" s="613">
        <f t="shared" si="3"/>
        <v>0</v>
      </c>
      <c r="L132" s="610">
        <f>SUM(L133:L150)</f>
        <v>91104.31</v>
      </c>
      <c r="M132" s="601"/>
      <c r="N132" s="601"/>
      <c r="O132" s="601"/>
      <c r="P132" s="601"/>
      <c r="Q132" s="601"/>
      <c r="R132" s="601"/>
      <c r="S132" s="601"/>
      <c r="T132" s="601"/>
      <c r="U132" s="601"/>
      <c r="V132" s="601"/>
      <c r="W132" s="601"/>
      <c r="X132" s="601"/>
      <c r="Y132" s="601"/>
    </row>
    <row r="133" ht="25.5" spans="1:25">
      <c r="A133" s="569" t="s">
        <v>425</v>
      </c>
      <c r="B133" s="569" t="s">
        <v>426</v>
      </c>
      <c r="C133" s="569" t="s">
        <v>139</v>
      </c>
      <c r="D133" s="569" t="s">
        <v>427</v>
      </c>
      <c r="E133" s="577" t="s">
        <v>279</v>
      </c>
      <c r="F133" s="570">
        <v>3.93</v>
      </c>
      <c r="G133" s="579">
        <v>756.52</v>
      </c>
      <c r="H133" s="600">
        <v>949.35</v>
      </c>
      <c r="I133" s="600">
        <v>3730.94</v>
      </c>
      <c r="J133" s="612">
        <v>0.000151711470347457</v>
      </c>
      <c r="K133" s="613">
        <f t="shared" si="3"/>
        <v>0</v>
      </c>
      <c r="L133" s="610">
        <f t="shared" ref="L133:L150" si="7">I133-(I133*K133)</f>
        <v>3730.94</v>
      </c>
      <c r="M133" s="601"/>
      <c r="N133" s="601"/>
      <c r="O133" s="601"/>
      <c r="P133" s="601"/>
      <c r="Q133" s="601"/>
      <c r="R133" s="601"/>
      <c r="S133" s="601"/>
      <c r="T133" s="601"/>
      <c r="U133" s="601"/>
      <c r="V133" s="601"/>
      <c r="W133" s="601"/>
      <c r="X133" s="601"/>
      <c r="Y133" s="601"/>
    </row>
    <row r="134" ht="38.25" spans="1:25">
      <c r="A134" s="569" t="s">
        <v>428</v>
      </c>
      <c r="B134" s="569" t="s">
        <v>429</v>
      </c>
      <c r="C134" s="569" t="s">
        <v>139</v>
      </c>
      <c r="D134" s="569" t="s">
        <v>430</v>
      </c>
      <c r="E134" s="577" t="s">
        <v>279</v>
      </c>
      <c r="F134" s="570">
        <v>4.61</v>
      </c>
      <c r="G134" s="579">
        <v>719.07</v>
      </c>
      <c r="H134" s="600">
        <v>902.36</v>
      </c>
      <c r="I134" s="600">
        <v>4159.87</v>
      </c>
      <c r="J134" s="612">
        <v>0.000169153080498287</v>
      </c>
      <c r="K134" s="613">
        <f t="shared" si="3"/>
        <v>0</v>
      </c>
      <c r="L134" s="610">
        <f t="shared" si="7"/>
        <v>4159.87</v>
      </c>
      <c r="M134" s="601"/>
      <c r="N134" s="601"/>
      <c r="O134" s="601"/>
      <c r="P134" s="601"/>
      <c r="Q134" s="601"/>
      <c r="R134" s="601"/>
      <c r="S134" s="601"/>
      <c r="T134" s="601"/>
      <c r="U134" s="601"/>
      <c r="V134" s="601"/>
      <c r="W134" s="601"/>
      <c r="X134" s="601"/>
      <c r="Y134" s="601"/>
    </row>
    <row r="135" ht="25.5" spans="1:25">
      <c r="A135" s="569" t="s">
        <v>431</v>
      </c>
      <c r="B135" s="569" t="s">
        <v>413</v>
      </c>
      <c r="C135" s="569" t="s">
        <v>139</v>
      </c>
      <c r="D135" s="569" t="s">
        <v>414</v>
      </c>
      <c r="E135" s="577" t="s">
        <v>279</v>
      </c>
      <c r="F135" s="570">
        <v>3.27</v>
      </c>
      <c r="G135" s="579">
        <v>852.23</v>
      </c>
      <c r="H135" s="600">
        <v>1069.46</v>
      </c>
      <c r="I135" s="600">
        <v>3497.13</v>
      </c>
      <c r="J135" s="612">
        <v>0.000142204038203832</v>
      </c>
      <c r="K135" s="613">
        <f t="shared" si="3"/>
        <v>0</v>
      </c>
      <c r="L135" s="610">
        <f t="shared" si="7"/>
        <v>3497.13</v>
      </c>
      <c r="M135" s="601"/>
      <c r="N135" s="601"/>
      <c r="O135" s="601"/>
      <c r="P135" s="601"/>
      <c r="Q135" s="601"/>
      <c r="R135" s="601"/>
      <c r="S135" s="601"/>
      <c r="T135" s="601"/>
      <c r="U135" s="601"/>
      <c r="V135" s="601"/>
      <c r="W135" s="601"/>
      <c r="X135" s="601"/>
      <c r="Y135" s="601"/>
    </row>
    <row r="136" ht="25.5" spans="1:25">
      <c r="A136" s="569" t="s">
        <v>432</v>
      </c>
      <c r="B136" s="569" t="s">
        <v>433</v>
      </c>
      <c r="C136" s="569" t="s">
        <v>139</v>
      </c>
      <c r="D136" s="569" t="s">
        <v>434</v>
      </c>
      <c r="E136" s="577" t="s">
        <v>141</v>
      </c>
      <c r="F136" s="570">
        <v>121</v>
      </c>
      <c r="G136" s="579">
        <v>2.71</v>
      </c>
      <c r="H136" s="600">
        <v>3.4</v>
      </c>
      <c r="I136" s="600">
        <v>411.4</v>
      </c>
      <c r="J136" s="612">
        <v>1.67287865527036e-5</v>
      </c>
      <c r="K136" s="613">
        <f t="shared" si="3"/>
        <v>0</v>
      </c>
      <c r="L136" s="610">
        <f t="shared" si="7"/>
        <v>411.4</v>
      </c>
      <c r="M136" s="601"/>
      <c r="N136" s="601"/>
      <c r="O136" s="601"/>
      <c r="P136" s="601"/>
      <c r="Q136" s="601"/>
      <c r="R136" s="601"/>
      <c r="S136" s="601"/>
      <c r="T136" s="601"/>
      <c r="U136" s="601"/>
      <c r="V136" s="601"/>
      <c r="W136" s="601"/>
      <c r="X136" s="601"/>
      <c r="Y136" s="601"/>
    </row>
    <row r="137" ht="25.5" spans="1:25">
      <c r="A137" s="569" t="s">
        <v>435</v>
      </c>
      <c r="B137" s="569" t="s">
        <v>436</v>
      </c>
      <c r="C137" s="569" t="s">
        <v>139</v>
      </c>
      <c r="D137" s="569" t="s">
        <v>437</v>
      </c>
      <c r="E137" s="577" t="s">
        <v>393</v>
      </c>
      <c r="F137" s="570">
        <v>61.1</v>
      </c>
      <c r="G137" s="579">
        <v>19.57</v>
      </c>
      <c r="H137" s="600">
        <v>24.55</v>
      </c>
      <c r="I137" s="600">
        <v>1500</v>
      </c>
      <c r="J137" s="612">
        <v>6.09946033764108e-5</v>
      </c>
      <c r="K137" s="613">
        <f t="shared" ref="K137:K200" si="8">$I$1051</f>
        <v>0</v>
      </c>
      <c r="L137" s="610">
        <f t="shared" si="7"/>
        <v>1500</v>
      </c>
      <c r="M137" s="601"/>
      <c r="N137" s="601"/>
      <c r="O137" s="601"/>
      <c r="P137" s="601"/>
      <c r="Q137" s="601"/>
      <c r="R137" s="601"/>
      <c r="S137" s="601"/>
      <c r="T137" s="601"/>
      <c r="U137" s="601"/>
      <c r="V137" s="601"/>
      <c r="W137" s="601"/>
      <c r="X137" s="601"/>
      <c r="Y137" s="601"/>
    </row>
    <row r="138" ht="25.5" spans="1:25">
      <c r="A138" s="569" t="s">
        <v>438</v>
      </c>
      <c r="B138" s="569" t="s">
        <v>439</v>
      </c>
      <c r="C138" s="569" t="s">
        <v>139</v>
      </c>
      <c r="D138" s="569" t="s">
        <v>440</v>
      </c>
      <c r="E138" s="577" t="s">
        <v>393</v>
      </c>
      <c r="F138" s="570">
        <v>80.08</v>
      </c>
      <c r="G138" s="579">
        <v>16.14</v>
      </c>
      <c r="H138" s="600">
        <v>20.25</v>
      </c>
      <c r="I138" s="600">
        <v>1621.62</v>
      </c>
      <c r="J138" s="612">
        <v>6.59400458181701e-5</v>
      </c>
      <c r="K138" s="613">
        <f t="shared" si="8"/>
        <v>0</v>
      </c>
      <c r="L138" s="610">
        <f t="shared" si="7"/>
        <v>1621.62</v>
      </c>
      <c r="M138" s="601"/>
      <c r="N138" s="601"/>
      <c r="O138" s="601"/>
      <c r="P138" s="601"/>
      <c r="Q138" s="601"/>
      <c r="R138" s="601"/>
      <c r="S138" s="601"/>
      <c r="T138" s="601"/>
      <c r="U138" s="601"/>
      <c r="V138" s="601"/>
      <c r="W138" s="601"/>
      <c r="X138" s="601"/>
      <c r="Y138" s="601"/>
    </row>
    <row r="139" ht="25.5" spans="1:25">
      <c r="A139" s="569" t="s">
        <v>441</v>
      </c>
      <c r="B139" s="569" t="s">
        <v>442</v>
      </c>
      <c r="C139" s="569" t="s">
        <v>139</v>
      </c>
      <c r="D139" s="569" t="s">
        <v>443</v>
      </c>
      <c r="E139" s="577" t="s">
        <v>393</v>
      </c>
      <c r="F139" s="570">
        <v>73.3</v>
      </c>
      <c r="G139" s="579">
        <v>14.25</v>
      </c>
      <c r="H139" s="600">
        <v>17.88</v>
      </c>
      <c r="I139" s="600">
        <v>1310.6</v>
      </c>
      <c r="J139" s="612">
        <v>5.3293018123416e-5</v>
      </c>
      <c r="K139" s="613">
        <f t="shared" si="8"/>
        <v>0</v>
      </c>
      <c r="L139" s="610">
        <f t="shared" si="7"/>
        <v>1310.6</v>
      </c>
      <c r="M139" s="601"/>
      <c r="N139" s="601"/>
      <c r="O139" s="601"/>
      <c r="P139" s="601"/>
      <c r="Q139" s="601"/>
      <c r="R139" s="601"/>
      <c r="S139" s="601"/>
      <c r="T139" s="601"/>
      <c r="U139" s="601"/>
      <c r="V139" s="601"/>
      <c r="W139" s="601"/>
      <c r="X139" s="601"/>
      <c r="Y139" s="601"/>
    </row>
    <row r="140" ht="25.5" spans="1:25">
      <c r="A140" s="569" t="s">
        <v>444</v>
      </c>
      <c r="B140" s="569" t="s">
        <v>401</v>
      </c>
      <c r="C140" s="569" t="s">
        <v>139</v>
      </c>
      <c r="D140" s="569" t="s">
        <v>402</v>
      </c>
      <c r="E140" s="577" t="s">
        <v>393</v>
      </c>
      <c r="F140" s="570">
        <v>143.14</v>
      </c>
      <c r="G140" s="579">
        <v>12.01</v>
      </c>
      <c r="H140" s="600">
        <v>15.07</v>
      </c>
      <c r="I140" s="600">
        <v>2157.11</v>
      </c>
      <c r="J140" s="612">
        <v>8.77147125928596e-5</v>
      </c>
      <c r="K140" s="613">
        <f t="shared" si="8"/>
        <v>0</v>
      </c>
      <c r="L140" s="610">
        <f t="shared" si="7"/>
        <v>2157.11</v>
      </c>
      <c r="M140" s="601"/>
      <c r="N140" s="601"/>
      <c r="O140" s="601"/>
      <c r="P140" s="601"/>
      <c r="Q140" s="601"/>
      <c r="R140" s="601"/>
      <c r="S140" s="601"/>
      <c r="T140" s="601"/>
      <c r="U140" s="601"/>
      <c r="V140" s="601"/>
      <c r="W140" s="601"/>
      <c r="X140" s="601"/>
      <c r="Y140" s="601"/>
    </row>
    <row r="141" ht="25.5" spans="1:25">
      <c r="A141" s="569" t="s">
        <v>445</v>
      </c>
      <c r="B141" s="569" t="s">
        <v>446</v>
      </c>
      <c r="C141" s="569" t="s">
        <v>139</v>
      </c>
      <c r="D141" s="569" t="s">
        <v>447</v>
      </c>
      <c r="E141" s="577" t="s">
        <v>279</v>
      </c>
      <c r="F141" s="570">
        <v>12.9</v>
      </c>
      <c r="G141" s="579">
        <v>623.59</v>
      </c>
      <c r="H141" s="600">
        <v>782.54</v>
      </c>
      <c r="I141" s="600">
        <v>10094.76</v>
      </c>
      <c r="J141" s="612">
        <v>0.000410483921586704</v>
      </c>
      <c r="K141" s="613">
        <f t="shared" si="8"/>
        <v>0</v>
      </c>
      <c r="L141" s="610">
        <f t="shared" si="7"/>
        <v>10094.76</v>
      </c>
      <c r="M141" s="601"/>
      <c r="N141" s="601"/>
      <c r="O141" s="601"/>
      <c r="P141" s="601"/>
      <c r="Q141" s="601"/>
      <c r="R141" s="601"/>
      <c r="S141" s="601"/>
      <c r="T141" s="601"/>
      <c r="U141" s="601"/>
      <c r="V141" s="601"/>
      <c r="W141" s="601"/>
      <c r="X141" s="601"/>
      <c r="Y141" s="601"/>
    </row>
    <row r="142" ht="38.25" spans="1:25">
      <c r="A142" s="569" t="s">
        <v>448</v>
      </c>
      <c r="B142" s="569" t="s">
        <v>449</v>
      </c>
      <c r="C142" s="569" t="s">
        <v>139</v>
      </c>
      <c r="D142" s="569" t="s">
        <v>450</v>
      </c>
      <c r="E142" s="577" t="s">
        <v>141</v>
      </c>
      <c r="F142" s="570">
        <v>98</v>
      </c>
      <c r="G142" s="579">
        <v>4.44</v>
      </c>
      <c r="H142" s="600">
        <v>5.57</v>
      </c>
      <c r="I142" s="600">
        <v>545.86</v>
      </c>
      <c r="J142" s="612">
        <v>2.21963427993651e-5</v>
      </c>
      <c r="K142" s="613">
        <f t="shared" si="8"/>
        <v>0</v>
      </c>
      <c r="L142" s="610">
        <f t="shared" si="7"/>
        <v>545.86</v>
      </c>
      <c r="M142" s="601"/>
      <c r="N142" s="601"/>
      <c r="O142" s="601"/>
      <c r="P142" s="601"/>
      <c r="Q142" s="601"/>
      <c r="R142" s="601"/>
      <c r="S142" s="601"/>
      <c r="T142" s="601"/>
      <c r="U142" s="601"/>
      <c r="V142" s="601"/>
      <c r="W142" s="601"/>
      <c r="X142" s="601"/>
      <c r="Y142" s="601"/>
    </row>
    <row r="143" ht="25.5" spans="1:25">
      <c r="A143" s="569" t="s">
        <v>451</v>
      </c>
      <c r="B143" s="569" t="s">
        <v>452</v>
      </c>
      <c r="C143" s="569" t="s">
        <v>139</v>
      </c>
      <c r="D143" s="569" t="s">
        <v>453</v>
      </c>
      <c r="E143" s="577" t="s">
        <v>279</v>
      </c>
      <c r="F143" s="570">
        <v>8.9</v>
      </c>
      <c r="G143" s="579">
        <v>771.54</v>
      </c>
      <c r="H143" s="600">
        <v>968.2</v>
      </c>
      <c r="I143" s="600">
        <v>8616.98</v>
      </c>
      <c r="J143" s="612">
        <v>0.000350392851601643</v>
      </c>
      <c r="K143" s="613">
        <f t="shared" si="8"/>
        <v>0</v>
      </c>
      <c r="L143" s="610">
        <f t="shared" si="7"/>
        <v>8616.98</v>
      </c>
      <c r="M143" s="601"/>
      <c r="N143" s="601"/>
      <c r="O143" s="601"/>
      <c r="P143" s="601"/>
      <c r="Q143" s="601"/>
      <c r="R143" s="601"/>
      <c r="S143" s="601"/>
      <c r="T143" s="601"/>
      <c r="U143" s="601"/>
      <c r="V143" s="601"/>
      <c r="W143" s="601"/>
      <c r="X143" s="601"/>
      <c r="Y143" s="601"/>
    </row>
    <row r="144" ht="25.5" spans="1:25">
      <c r="A144" s="569" t="s">
        <v>454</v>
      </c>
      <c r="B144" s="569" t="s">
        <v>455</v>
      </c>
      <c r="C144" s="569" t="s">
        <v>139</v>
      </c>
      <c r="D144" s="569" t="s">
        <v>456</v>
      </c>
      <c r="E144" s="577" t="s">
        <v>393</v>
      </c>
      <c r="F144" s="570">
        <v>292.92</v>
      </c>
      <c r="G144" s="579">
        <v>14.11</v>
      </c>
      <c r="H144" s="600">
        <v>17.7</v>
      </c>
      <c r="I144" s="600">
        <v>5184.68</v>
      </c>
      <c r="J144" s="612">
        <v>0.00021082500015574</v>
      </c>
      <c r="K144" s="613">
        <f t="shared" si="8"/>
        <v>0</v>
      </c>
      <c r="L144" s="610">
        <f t="shared" si="7"/>
        <v>5184.68</v>
      </c>
      <c r="M144" s="601"/>
      <c r="N144" s="601"/>
      <c r="O144" s="601"/>
      <c r="P144" s="601"/>
      <c r="Q144" s="601"/>
      <c r="R144" s="601"/>
      <c r="S144" s="601"/>
      <c r="T144" s="601"/>
      <c r="U144" s="601"/>
      <c r="V144" s="601"/>
      <c r="W144" s="601"/>
      <c r="X144" s="601"/>
      <c r="Y144" s="601"/>
    </row>
    <row r="145" ht="25.5" spans="1:25">
      <c r="A145" s="569" t="s">
        <v>457</v>
      </c>
      <c r="B145" s="569" t="s">
        <v>458</v>
      </c>
      <c r="C145" s="569" t="s">
        <v>139</v>
      </c>
      <c r="D145" s="569" t="s">
        <v>459</v>
      </c>
      <c r="E145" s="577" t="s">
        <v>393</v>
      </c>
      <c r="F145" s="570">
        <v>1104.45</v>
      </c>
      <c r="G145" s="579">
        <v>12.99</v>
      </c>
      <c r="H145" s="600">
        <v>16.3</v>
      </c>
      <c r="I145" s="600">
        <v>18002.53</v>
      </c>
      <c r="J145" s="612">
        <v>0.000732038118081291</v>
      </c>
      <c r="K145" s="613">
        <f t="shared" si="8"/>
        <v>0</v>
      </c>
      <c r="L145" s="610">
        <f t="shared" si="7"/>
        <v>18002.53</v>
      </c>
      <c r="M145" s="601"/>
      <c r="N145" s="601"/>
      <c r="O145" s="601"/>
      <c r="P145" s="601"/>
      <c r="Q145" s="601"/>
      <c r="R145" s="601"/>
      <c r="S145" s="601"/>
      <c r="T145" s="601"/>
      <c r="U145" s="601"/>
      <c r="V145" s="601"/>
      <c r="W145" s="601"/>
      <c r="X145" s="601"/>
      <c r="Y145" s="601"/>
    </row>
    <row r="146" ht="25.5" spans="1:25">
      <c r="A146" s="569" t="s">
        <v>460</v>
      </c>
      <c r="B146" s="569" t="s">
        <v>461</v>
      </c>
      <c r="C146" s="569" t="s">
        <v>139</v>
      </c>
      <c r="D146" s="569" t="s">
        <v>462</v>
      </c>
      <c r="E146" s="577" t="s">
        <v>393</v>
      </c>
      <c r="F146" s="570">
        <v>38.87</v>
      </c>
      <c r="G146" s="579">
        <v>11.45</v>
      </c>
      <c r="H146" s="600">
        <v>14.36</v>
      </c>
      <c r="I146" s="600">
        <v>558.17</v>
      </c>
      <c r="J146" s="612">
        <v>2.26969051777408e-5</v>
      </c>
      <c r="K146" s="613">
        <f t="shared" si="8"/>
        <v>0</v>
      </c>
      <c r="L146" s="610">
        <f t="shared" si="7"/>
        <v>558.17</v>
      </c>
      <c r="M146" s="601"/>
      <c r="N146" s="601"/>
      <c r="O146" s="601"/>
      <c r="P146" s="601"/>
      <c r="Q146" s="601"/>
      <c r="R146" s="601"/>
      <c r="S146" s="601"/>
      <c r="T146" s="601"/>
      <c r="U146" s="601"/>
      <c r="V146" s="601"/>
      <c r="W146" s="601"/>
      <c r="X146" s="601"/>
      <c r="Y146" s="601"/>
    </row>
    <row r="147" ht="25.5" spans="1:25">
      <c r="A147" s="569" t="s">
        <v>463</v>
      </c>
      <c r="B147" s="569" t="s">
        <v>464</v>
      </c>
      <c r="C147" s="569" t="s">
        <v>139</v>
      </c>
      <c r="D147" s="569" t="s">
        <v>465</v>
      </c>
      <c r="E147" s="577" t="s">
        <v>393</v>
      </c>
      <c r="F147" s="570">
        <v>38.04</v>
      </c>
      <c r="G147" s="579">
        <v>9.5</v>
      </c>
      <c r="H147" s="600">
        <v>11.92</v>
      </c>
      <c r="I147" s="600">
        <v>453.43</v>
      </c>
      <c r="J147" s="612">
        <v>1.84378553393106e-5</v>
      </c>
      <c r="K147" s="613">
        <f t="shared" si="8"/>
        <v>0</v>
      </c>
      <c r="L147" s="610">
        <f t="shared" si="7"/>
        <v>453.43</v>
      </c>
      <c r="M147" s="601"/>
      <c r="N147" s="601"/>
      <c r="O147" s="601"/>
      <c r="P147" s="601"/>
      <c r="Q147" s="601"/>
      <c r="R147" s="601"/>
      <c r="S147" s="601"/>
      <c r="T147" s="601"/>
      <c r="U147" s="601"/>
      <c r="V147" s="601"/>
      <c r="W147" s="601"/>
      <c r="X147" s="601"/>
      <c r="Y147" s="601"/>
    </row>
    <row r="148" ht="25.5" spans="1:25">
      <c r="A148" s="569" t="s">
        <v>466</v>
      </c>
      <c r="B148" s="569" t="s">
        <v>467</v>
      </c>
      <c r="C148" s="569" t="s">
        <v>139</v>
      </c>
      <c r="D148" s="569" t="s">
        <v>468</v>
      </c>
      <c r="E148" s="577" t="s">
        <v>141</v>
      </c>
      <c r="F148" s="570">
        <v>20.18</v>
      </c>
      <c r="G148" s="579">
        <v>167.18</v>
      </c>
      <c r="H148" s="600">
        <v>209.79</v>
      </c>
      <c r="I148" s="600">
        <v>4233.56</v>
      </c>
      <c r="J148" s="612">
        <v>0.000172149542046825</v>
      </c>
      <c r="K148" s="613">
        <f t="shared" si="8"/>
        <v>0</v>
      </c>
      <c r="L148" s="610">
        <f t="shared" si="7"/>
        <v>4233.56</v>
      </c>
      <c r="M148" s="601"/>
      <c r="N148" s="601"/>
      <c r="O148" s="601"/>
      <c r="P148" s="601"/>
      <c r="Q148" s="601"/>
      <c r="R148" s="601"/>
      <c r="S148" s="601"/>
      <c r="T148" s="601"/>
      <c r="U148" s="601"/>
      <c r="V148" s="601"/>
      <c r="W148" s="601"/>
      <c r="X148" s="601"/>
      <c r="Y148" s="601"/>
    </row>
    <row r="149" ht="25.5" spans="1:25">
      <c r="A149" s="569" t="s">
        <v>469</v>
      </c>
      <c r="B149" s="569" t="s">
        <v>470</v>
      </c>
      <c r="C149" s="569" t="s">
        <v>139</v>
      </c>
      <c r="D149" s="569" t="s">
        <v>471</v>
      </c>
      <c r="E149" s="577" t="s">
        <v>141</v>
      </c>
      <c r="F149" s="570">
        <v>48.41</v>
      </c>
      <c r="G149" s="579">
        <v>83.04</v>
      </c>
      <c r="H149" s="600">
        <v>104.2</v>
      </c>
      <c r="I149" s="600">
        <v>5044.32</v>
      </c>
      <c r="J149" s="612">
        <v>0.000205117531802464</v>
      </c>
      <c r="K149" s="613">
        <f t="shared" si="8"/>
        <v>0</v>
      </c>
      <c r="L149" s="610">
        <f t="shared" si="7"/>
        <v>5044.32</v>
      </c>
      <c r="M149" s="601"/>
      <c r="N149" s="601"/>
      <c r="O149" s="601"/>
      <c r="P149" s="601"/>
      <c r="Q149" s="601"/>
      <c r="R149" s="601"/>
      <c r="S149" s="601"/>
      <c r="T149" s="601"/>
      <c r="U149" s="601"/>
      <c r="V149" s="601"/>
      <c r="W149" s="601"/>
      <c r="X149" s="601"/>
      <c r="Y149" s="601"/>
    </row>
    <row r="150" ht="38.25" spans="1:25">
      <c r="A150" s="569" t="s">
        <v>472</v>
      </c>
      <c r="B150" s="569" t="s">
        <v>473</v>
      </c>
      <c r="C150" s="569" t="s">
        <v>139</v>
      </c>
      <c r="D150" s="569" t="s">
        <v>474</v>
      </c>
      <c r="E150" s="577" t="s">
        <v>141</v>
      </c>
      <c r="F150" s="570">
        <v>95</v>
      </c>
      <c r="G150" s="579">
        <v>167.61</v>
      </c>
      <c r="H150" s="600">
        <v>210.33</v>
      </c>
      <c r="I150" s="600">
        <v>19981.35</v>
      </c>
      <c r="J150" s="612">
        <v>0.00081250301211683</v>
      </c>
      <c r="K150" s="613">
        <f t="shared" si="8"/>
        <v>0</v>
      </c>
      <c r="L150" s="610">
        <f t="shared" si="7"/>
        <v>19981.35</v>
      </c>
      <c r="M150" s="601"/>
      <c r="N150" s="601"/>
      <c r="O150" s="601"/>
      <c r="P150" s="601"/>
      <c r="Q150" s="601"/>
      <c r="R150" s="601"/>
      <c r="S150" s="601"/>
      <c r="T150" s="601"/>
      <c r="U150" s="601"/>
      <c r="V150" s="601"/>
      <c r="W150" s="601"/>
      <c r="X150" s="601"/>
      <c r="Y150" s="601"/>
    </row>
    <row r="151" ht="15" spans="1:25">
      <c r="A151" s="596" t="s">
        <v>475</v>
      </c>
      <c r="B151" s="596" t="s">
        <v>74</v>
      </c>
      <c r="C151" s="596"/>
      <c r="D151" s="596" t="s">
        <v>385</v>
      </c>
      <c r="E151" s="597"/>
      <c r="F151" s="598">
        <v>1</v>
      </c>
      <c r="G151" s="598"/>
      <c r="H151" s="599">
        <v>27694.32</v>
      </c>
      <c r="I151" s="599">
        <v>27694.32</v>
      </c>
      <c r="J151" s="608">
        <v>0.00112613604278627</v>
      </c>
      <c r="K151" s="613">
        <f t="shared" si="8"/>
        <v>0</v>
      </c>
      <c r="L151" s="610">
        <f>SUM(L152:L165)</f>
        <v>27694.32</v>
      </c>
      <c r="M151" s="601"/>
      <c r="N151" s="601"/>
      <c r="O151" s="601"/>
      <c r="P151" s="601"/>
      <c r="Q151" s="601"/>
      <c r="R151" s="601"/>
      <c r="S151" s="601"/>
      <c r="T151" s="601"/>
      <c r="U151" s="601"/>
      <c r="V151" s="601"/>
      <c r="W151" s="601"/>
      <c r="X151" s="601"/>
      <c r="Y151" s="601"/>
    </row>
    <row r="152" ht="25.5" spans="1:25">
      <c r="A152" s="569" t="s">
        <v>476</v>
      </c>
      <c r="B152" s="569" t="s">
        <v>426</v>
      </c>
      <c r="C152" s="569" t="s">
        <v>139</v>
      </c>
      <c r="D152" s="569" t="s">
        <v>427</v>
      </c>
      <c r="E152" s="577" t="s">
        <v>279</v>
      </c>
      <c r="F152" s="570">
        <v>2.2</v>
      </c>
      <c r="G152" s="579">
        <v>756.52</v>
      </c>
      <c r="H152" s="600">
        <v>949.35</v>
      </c>
      <c r="I152" s="600">
        <v>2088.57</v>
      </c>
      <c r="J152" s="612">
        <v>8.49276658492468e-5</v>
      </c>
      <c r="K152" s="613">
        <f t="shared" si="8"/>
        <v>0</v>
      </c>
      <c r="L152" s="610">
        <f t="shared" ref="L152:L165" si="9">I152-(I152*K152)</f>
        <v>2088.57</v>
      </c>
      <c r="M152" s="601"/>
      <c r="N152" s="601"/>
      <c r="O152" s="601"/>
      <c r="P152" s="601"/>
      <c r="Q152" s="601"/>
      <c r="R152" s="601"/>
      <c r="S152" s="601"/>
      <c r="T152" s="601"/>
      <c r="U152" s="601"/>
      <c r="V152" s="601"/>
      <c r="W152" s="601"/>
      <c r="X152" s="601"/>
      <c r="Y152" s="601"/>
    </row>
    <row r="153" ht="38.25" spans="1:25">
      <c r="A153" s="569" t="s">
        <v>477</v>
      </c>
      <c r="B153" s="569" t="s">
        <v>429</v>
      </c>
      <c r="C153" s="569" t="s">
        <v>139</v>
      </c>
      <c r="D153" s="569" t="s">
        <v>430</v>
      </c>
      <c r="E153" s="577" t="s">
        <v>279</v>
      </c>
      <c r="F153" s="570">
        <v>1.46</v>
      </c>
      <c r="G153" s="579">
        <v>719.07</v>
      </c>
      <c r="H153" s="600">
        <v>902.36</v>
      </c>
      <c r="I153" s="600">
        <v>1317.44</v>
      </c>
      <c r="J153" s="612">
        <v>5.35711535148124e-5</v>
      </c>
      <c r="K153" s="613">
        <f t="shared" si="8"/>
        <v>0</v>
      </c>
      <c r="L153" s="610">
        <f t="shared" si="9"/>
        <v>1317.44</v>
      </c>
      <c r="M153" s="601"/>
      <c r="N153" s="601"/>
      <c r="O153" s="601"/>
      <c r="P153" s="601"/>
      <c r="Q153" s="601"/>
      <c r="R153" s="601"/>
      <c r="S153" s="601"/>
      <c r="T153" s="601"/>
      <c r="U153" s="601"/>
      <c r="V153" s="601"/>
      <c r="W153" s="601"/>
      <c r="X153" s="601"/>
      <c r="Y153" s="601"/>
    </row>
    <row r="154" ht="25.5" spans="1:25">
      <c r="A154" s="569" t="s">
        <v>478</v>
      </c>
      <c r="B154" s="569" t="s">
        <v>413</v>
      </c>
      <c r="C154" s="569" t="s">
        <v>139</v>
      </c>
      <c r="D154" s="569" t="s">
        <v>414</v>
      </c>
      <c r="E154" s="577" t="s">
        <v>279</v>
      </c>
      <c r="F154" s="570">
        <v>4.77</v>
      </c>
      <c r="G154" s="579">
        <v>852.23</v>
      </c>
      <c r="H154" s="600">
        <v>1069.46</v>
      </c>
      <c r="I154" s="600">
        <v>5101.32</v>
      </c>
      <c r="J154" s="612">
        <v>0.000207435326730768</v>
      </c>
      <c r="K154" s="613">
        <f t="shared" si="8"/>
        <v>0</v>
      </c>
      <c r="L154" s="610">
        <f t="shared" si="9"/>
        <v>5101.32</v>
      </c>
      <c r="M154" s="601"/>
      <c r="N154" s="601"/>
      <c r="O154" s="601"/>
      <c r="P154" s="601"/>
      <c r="Q154" s="601"/>
      <c r="R154" s="601"/>
      <c r="S154" s="601"/>
      <c r="T154" s="601"/>
      <c r="U154" s="601"/>
      <c r="V154" s="601"/>
      <c r="W154" s="601"/>
      <c r="X154" s="601"/>
      <c r="Y154" s="601"/>
    </row>
    <row r="155" ht="25.5" spans="1:25">
      <c r="A155" s="569" t="s">
        <v>479</v>
      </c>
      <c r="B155" s="569" t="s">
        <v>433</v>
      </c>
      <c r="C155" s="569" t="s">
        <v>139</v>
      </c>
      <c r="D155" s="569" t="s">
        <v>434</v>
      </c>
      <c r="E155" s="577" t="s">
        <v>141</v>
      </c>
      <c r="F155" s="570">
        <v>47.7</v>
      </c>
      <c r="G155" s="579">
        <v>2.71</v>
      </c>
      <c r="H155" s="600">
        <v>3.4</v>
      </c>
      <c r="I155" s="600">
        <v>162.18</v>
      </c>
      <c r="J155" s="612">
        <v>6.59473651705753e-6</v>
      </c>
      <c r="K155" s="613">
        <f t="shared" si="8"/>
        <v>0</v>
      </c>
      <c r="L155" s="610">
        <f t="shared" si="9"/>
        <v>162.18</v>
      </c>
      <c r="M155" s="601"/>
      <c r="N155" s="601"/>
      <c r="O155" s="601"/>
      <c r="P155" s="601"/>
      <c r="Q155" s="601"/>
      <c r="R155" s="601"/>
      <c r="S155" s="601"/>
      <c r="T155" s="601"/>
      <c r="U155" s="601"/>
      <c r="V155" s="601"/>
      <c r="W155" s="601"/>
      <c r="X155" s="601"/>
      <c r="Y155" s="601"/>
    </row>
    <row r="156" ht="25.5" spans="1:25">
      <c r="A156" s="569" t="s">
        <v>480</v>
      </c>
      <c r="B156" s="569" t="s">
        <v>436</v>
      </c>
      <c r="C156" s="569" t="s">
        <v>139</v>
      </c>
      <c r="D156" s="569" t="s">
        <v>437</v>
      </c>
      <c r="E156" s="577" t="s">
        <v>393</v>
      </c>
      <c r="F156" s="570">
        <v>21.64</v>
      </c>
      <c r="G156" s="579">
        <v>19.57</v>
      </c>
      <c r="H156" s="600">
        <v>24.55</v>
      </c>
      <c r="I156" s="600">
        <v>531.26</v>
      </c>
      <c r="J156" s="612">
        <v>2.1602661993168e-5</v>
      </c>
      <c r="K156" s="613">
        <f t="shared" si="8"/>
        <v>0</v>
      </c>
      <c r="L156" s="610">
        <f t="shared" si="9"/>
        <v>531.26</v>
      </c>
      <c r="M156" s="601"/>
      <c r="N156" s="601"/>
      <c r="O156" s="601"/>
      <c r="P156" s="601"/>
      <c r="Q156" s="601"/>
      <c r="R156" s="601"/>
      <c r="S156" s="601"/>
      <c r="T156" s="601"/>
      <c r="U156" s="601"/>
      <c r="V156" s="601"/>
      <c r="W156" s="601"/>
      <c r="X156" s="601"/>
      <c r="Y156" s="601"/>
    </row>
    <row r="157" ht="25.5" spans="1:25">
      <c r="A157" s="569" t="s">
        <v>481</v>
      </c>
      <c r="B157" s="569" t="s">
        <v>439</v>
      </c>
      <c r="C157" s="569" t="s">
        <v>139</v>
      </c>
      <c r="D157" s="569" t="s">
        <v>440</v>
      </c>
      <c r="E157" s="577" t="s">
        <v>393</v>
      </c>
      <c r="F157" s="570">
        <v>50.81</v>
      </c>
      <c r="G157" s="579">
        <v>16.14</v>
      </c>
      <c r="H157" s="600">
        <v>20.25</v>
      </c>
      <c r="I157" s="600">
        <v>1028.9</v>
      </c>
      <c r="J157" s="612">
        <v>4.1838231609326e-5</v>
      </c>
      <c r="K157" s="613">
        <f t="shared" si="8"/>
        <v>0</v>
      </c>
      <c r="L157" s="610">
        <f t="shared" si="9"/>
        <v>1028.9</v>
      </c>
      <c r="M157" s="601"/>
      <c r="N157" s="601"/>
      <c r="O157" s="601"/>
      <c r="P157" s="601"/>
      <c r="Q157" s="601"/>
      <c r="R157" s="601"/>
      <c r="S157" s="601"/>
      <c r="T157" s="601"/>
      <c r="U157" s="601"/>
      <c r="V157" s="601"/>
      <c r="W157" s="601"/>
      <c r="X157" s="601"/>
      <c r="Y157" s="601"/>
    </row>
    <row r="158" ht="25.5" spans="1:25">
      <c r="A158" s="569" t="s">
        <v>482</v>
      </c>
      <c r="B158" s="569" t="s">
        <v>442</v>
      </c>
      <c r="C158" s="569" t="s">
        <v>139</v>
      </c>
      <c r="D158" s="569" t="s">
        <v>443</v>
      </c>
      <c r="E158" s="577" t="s">
        <v>393</v>
      </c>
      <c r="F158" s="570">
        <v>109.16</v>
      </c>
      <c r="G158" s="579">
        <v>14.25</v>
      </c>
      <c r="H158" s="600">
        <v>17.88</v>
      </c>
      <c r="I158" s="600">
        <v>1951.78</v>
      </c>
      <c r="J158" s="612">
        <v>7.93653646520073e-5</v>
      </c>
      <c r="K158" s="613">
        <f t="shared" si="8"/>
        <v>0</v>
      </c>
      <c r="L158" s="610">
        <f t="shared" si="9"/>
        <v>1951.78</v>
      </c>
      <c r="M158" s="601"/>
      <c r="N158" s="601"/>
      <c r="O158" s="601"/>
      <c r="P158" s="601"/>
      <c r="Q158" s="601"/>
      <c r="R158" s="601"/>
      <c r="S158" s="601"/>
      <c r="T158" s="601"/>
      <c r="U158" s="601"/>
      <c r="V158" s="601"/>
      <c r="W158" s="601"/>
      <c r="X158" s="601"/>
      <c r="Y158" s="601"/>
    </row>
    <row r="159" ht="25.5" spans="1:25">
      <c r="A159" s="569" t="s">
        <v>483</v>
      </c>
      <c r="B159" s="569" t="s">
        <v>401</v>
      </c>
      <c r="C159" s="569" t="s">
        <v>139</v>
      </c>
      <c r="D159" s="569" t="s">
        <v>402</v>
      </c>
      <c r="E159" s="577" t="s">
        <v>393</v>
      </c>
      <c r="F159" s="570">
        <v>26.19</v>
      </c>
      <c r="G159" s="579">
        <v>12.01</v>
      </c>
      <c r="H159" s="600">
        <v>15.07</v>
      </c>
      <c r="I159" s="600">
        <v>394.68</v>
      </c>
      <c r="J159" s="612">
        <v>1.60489000404012e-5</v>
      </c>
      <c r="K159" s="613">
        <f t="shared" si="8"/>
        <v>0</v>
      </c>
      <c r="L159" s="610">
        <f t="shared" si="9"/>
        <v>394.68</v>
      </c>
      <c r="M159" s="601"/>
      <c r="N159" s="601"/>
      <c r="O159" s="601"/>
      <c r="P159" s="601"/>
      <c r="Q159" s="601"/>
      <c r="R159" s="601"/>
      <c r="S159" s="601"/>
      <c r="T159" s="601"/>
      <c r="U159" s="601"/>
      <c r="V159" s="601"/>
      <c r="W159" s="601"/>
      <c r="X159" s="601"/>
      <c r="Y159" s="601"/>
    </row>
    <row r="160" ht="25.5" spans="1:25">
      <c r="A160" s="569" t="s">
        <v>484</v>
      </c>
      <c r="B160" s="569" t="s">
        <v>446</v>
      </c>
      <c r="C160" s="569" t="s">
        <v>139</v>
      </c>
      <c r="D160" s="569" t="s">
        <v>447</v>
      </c>
      <c r="E160" s="577" t="s">
        <v>279</v>
      </c>
      <c r="F160" s="570">
        <v>3.43</v>
      </c>
      <c r="G160" s="579">
        <v>623.59</v>
      </c>
      <c r="H160" s="600">
        <v>782.54</v>
      </c>
      <c r="I160" s="600">
        <v>2684.11</v>
      </c>
      <c r="J160" s="612">
        <v>0.000109144149912439</v>
      </c>
      <c r="K160" s="613">
        <f t="shared" si="8"/>
        <v>0</v>
      </c>
      <c r="L160" s="610">
        <f t="shared" si="9"/>
        <v>2684.11</v>
      </c>
      <c r="M160" s="601"/>
      <c r="N160" s="601"/>
      <c r="O160" s="601"/>
      <c r="P160" s="601"/>
      <c r="Q160" s="601"/>
      <c r="R160" s="601"/>
      <c r="S160" s="601"/>
      <c r="T160" s="601"/>
      <c r="U160" s="601"/>
      <c r="V160" s="601"/>
      <c r="W160" s="601"/>
      <c r="X160" s="601"/>
      <c r="Y160" s="601"/>
    </row>
    <row r="161" ht="38.25" spans="1:25">
      <c r="A161" s="569" t="s">
        <v>485</v>
      </c>
      <c r="B161" s="569" t="s">
        <v>449</v>
      </c>
      <c r="C161" s="569" t="s">
        <v>139</v>
      </c>
      <c r="D161" s="569" t="s">
        <v>450</v>
      </c>
      <c r="E161" s="577" t="s">
        <v>141</v>
      </c>
      <c r="F161" s="570">
        <v>29.35</v>
      </c>
      <c r="G161" s="579">
        <v>4.44</v>
      </c>
      <c r="H161" s="600">
        <v>5.57</v>
      </c>
      <c r="I161" s="600">
        <v>163.47</v>
      </c>
      <c r="J161" s="612">
        <v>6.64719187596124e-6</v>
      </c>
      <c r="K161" s="613">
        <f t="shared" si="8"/>
        <v>0</v>
      </c>
      <c r="L161" s="610">
        <f t="shared" si="9"/>
        <v>163.47</v>
      </c>
      <c r="M161" s="601"/>
      <c r="N161" s="601"/>
      <c r="O161" s="601"/>
      <c r="P161" s="601"/>
      <c r="Q161" s="601"/>
      <c r="R161" s="601"/>
      <c r="S161" s="601"/>
      <c r="T161" s="601"/>
      <c r="U161" s="601"/>
      <c r="V161" s="601"/>
      <c r="W161" s="601"/>
      <c r="X161" s="601"/>
      <c r="Y161" s="601"/>
    </row>
    <row r="162" ht="25.5" spans="1:25">
      <c r="A162" s="569" t="s">
        <v>486</v>
      </c>
      <c r="B162" s="569" t="s">
        <v>452</v>
      </c>
      <c r="C162" s="569" t="s">
        <v>139</v>
      </c>
      <c r="D162" s="569" t="s">
        <v>453</v>
      </c>
      <c r="E162" s="577" t="s">
        <v>279</v>
      </c>
      <c r="F162" s="570">
        <v>2.85</v>
      </c>
      <c r="G162" s="579">
        <v>771.54</v>
      </c>
      <c r="H162" s="600">
        <v>968.2</v>
      </c>
      <c r="I162" s="600">
        <v>2759.37</v>
      </c>
      <c r="J162" s="612">
        <v>0.000112204452479178</v>
      </c>
      <c r="K162" s="613">
        <f t="shared" si="8"/>
        <v>0</v>
      </c>
      <c r="L162" s="610">
        <f t="shared" si="9"/>
        <v>2759.37</v>
      </c>
      <c r="M162" s="601"/>
      <c r="N162" s="601"/>
      <c r="O162" s="601"/>
      <c r="P162" s="601"/>
      <c r="Q162" s="601"/>
      <c r="R162" s="601"/>
      <c r="S162" s="601"/>
      <c r="T162" s="601"/>
      <c r="U162" s="601"/>
      <c r="V162" s="601"/>
      <c r="W162" s="601"/>
      <c r="X162" s="601"/>
      <c r="Y162" s="601"/>
    </row>
    <row r="163" ht="25.5" spans="1:25">
      <c r="A163" s="569" t="s">
        <v>487</v>
      </c>
      <c r="B163" s="569" t="s">
        <v>461</v>
      </c>
      <c r="C163" s="569" t="s">
        <v>139</v>
      </c>
      <c r="D163" s="569" t="s">
        <v>462</v>
      </c>
      <c r="E163" s="577" t="s">
        <v>393</v>
      </c>
      <c r="F163" s="570">
        <v>248.6</v>
      </c>
      <c r="G163" s="579">
        <v>11.45</v>
      </c>
      <c r="H163" s="600">
        <v>14.36</v>
      </c>
      <c r="I163" s="600">
        <v>3569.89</v>
      </c>
      <c r="J163" s="612">
        <v>0.000145162683098277</v>
      </c>
      <c r="K163" s="613">
        <f t="shared" si="8"/>
        <v>0</v>
      </c>
      <c r="L163" s="610">
        <f t="shared" si="9"/>
        <v>3569.89</v>
      </c>
      <c r="M163" s="601"/>
      <c r="N163" s="601"/>
      <c r="O163" s="601"/>
      <c r="P163" s="601"/>
      <c r="Q163" s="601"/>
      <c r="R163" s="601"/>
      <c r="S163" s="601"/>
      <c r="T163" s="601"/>
      <c r="U163" s="601"/>
      <c r="V163" s="601"/>
      <c r="W163" s="601"/>
      <c r="X163" s="601"/>
      <c r="Y163" s="601"/>
    </row>
    <row r="164" ht="25.5" spans="1:25">
      <c r="A164" s="569" t="s">
        <v>488</v>
      </c>
      <c r="B164" s="569" t="s">
        <v>467</v>
      </c>
      <c r="C164" s="569" t="s">
        <v>139</v>
      </c>
      <c r="D164" s="569" t="s">
        <v>468</v>
      </c>
      <c r="E164" s="577" t="s">
        <v>141</v>
      </c>
      <c r="F164" s="570">
        <v>16.4</v>
      </c>
      <c r="G164" s="579">
        <v>167.18</v>
      </c>
      <c r="H164" s="600">
        <v>209.79</v>
      </c>
      <c r="I164" s="600">
        <v>3440.55</v>
      </c>
      <c r="J164" s="612">
        <v>0.000139903321764473</v>
      </c>
      <c r="K164" s="613">
        <f t="shared" si="8"/>
        <v>0</v>
      </c>
      <c r="L164" s="610">
        <f t="shared" si="9"/>
        <v>3440.55</v>
      </c>
      <c r="M164" s="601"/>
      <c r="N164" s="601"/>
      <c r="O164" s="601"/>
      <c r="P164" s="601"/>
      <c r="Q164" s="601"/>
      <c r="R164" s="601"/>
      <c r="S164" s="601"/>
      <c r="T164" s="601"/>
      <c r="U164" s="601"/>
      <c r="V164" s="601"/>
      <c r="W164" s="601"/>
      <c r="X164" s="601"/>
      <c r="Y164" s="601"/>
    </row>
    <row r="165" ht="25.5" spans="1:25">
      <c r="A165" s="569" t="s">
        <v>489</v>
      </c>
      <c r="B165" s="569" t="s">
        <v>470</v>
      </c>
      <c r="C165" s="569" t="s">
        <v>139</v>
      </c>
      <c r="D165" s="569" t="s">
        <v>471</v>
      </c>
      <c r="E165" s="577" t="s">
        <v>141</v>
      </c>
      <c r="F165" s="570">
        <v>24</v>
      </c>
      <c r="G165" s="579">
        <v>83.04</v>
      </c>
      <c r="H165" s="600">
        <v>104.2</v>
      </c>
      <c r="I165" s="600">
        <v>2500.8</v>
      </c>
      <c r="J165" s="612">
        <v>0.000101690202749152</v>
      </c>
      <c r="K165" s="613">
        <f t="shared" si="8"/>
        <v>0</v>
      </c>
      <c r="L165" s="610">
        <f t="shared" si="9"/>
        <v>2500.8</v>
      </c>
      <c r="M165" s="601"/>
      <c r="N165" s="601"/>
      <c r="O165" s="601"/>
      <c r="P165" s="601"/>
      <c r="Q165" s="601"/>
      <c r="R165" s="601"/>
      <c r="S165" s="601"/>
      <c r="T165" s="601"/>
      <c r="U165" s="601"/>
      <c r="V165" s="601"/>
      <c r="W165" s="601"/>
      <c r="X165" s="601"/>
      <c r="Y165" s="601"/>
    </row>
    <row r="166" ht="15" spans="1:25">
      <c r="A166" s="596" t="s">
        <v>28</v>
      </c>
      <c r="B166" s="596" t="s">
        <v>74</v>
      </c>
      <c r="C166" s="596"/>
      <c r="D166" s="596" t="s">
        <v>29</v>
      </c>
      <c r="E166" s="597"/>
      <c r="F166" s="598">
        <v>1</v>
      </c>
      <c r="G166" s="598"/>
      <c r="H166" s="599">
        <v>538800.04</v>
      </c>
      <c r="I166" s="599">
        <v>538800.04</v>
      </c>
      <c r="J166" s="608">
        <v>0.0219092631593295</v>
      </c>
      <c r="K166" s="613">
        <f t="shared" si="8"/>
        <v>0</v>
      </c>
      <c r="L166" s="610">
        <f>SUM(L167,L184,L196)</f>
        <v>538800.04</v>
      </c>
      <c r="M166" s="601"/>
      <c r="N166" s="601"/>
      <c r="O166" s="601"/>
      <c r="P166" s="601"/>
      <c r="Q166" s="601"/>
      <c r="R166" s="601"/>
      <c r="S166" s="601"/>
      <c r="T166" s="601"/>
      <c r="U166" s="601"/>
      <c r="V166" s="601"/>
      <c r="W166" s="601"/>
      <c r="X166" s="601"/>
      <c r="Y166" s="601"/>
    </row>
    <row r="167" ht="15" spans="1:25">
      <c r="A167" s="596" t="s">
        <v>490</v>
      </c>
      <c r="B167" s="596" t="s">
        <v>74</v>
      </c>
      <c r="C167" s="596"/>
      <c r="D167" s="596" t="s">
        <v>373</v>
      </c>
      <c r="E167" s="597"/>
      <c r="F167" s="598">
        <v>1</v>
      </c>
      <c r="G167" s="598"/>
      <c r="H167" s="599">
        <v>466092.73</v>
      </c>
      <c r="I167" s="599">
        <v>466092.73</v>
      </c>
      <c r="J167" s="608">
        <v>0.0189527608019857</v>
      </c>
      <c r="K167" s="613">
        <f t="shared" si="8"/>
        <v>0</v>
      </c>
      <c r="L167" s="610">
        <f>SUM(L168:L183)</f>
        <v>466092.73</v>
      </c>
      <c r="M167" s="601"/>
      <c r="N167" s="601"/>
      <c r="O167" s="601"/>
      <c r="P167" s="601"/>
      <c r="Q167" s="601"/>
      <c r="R167" s="601"/>
      <c r="S167" s="601"/>
      <c r="T167" s="601"/>
      <c r="U167" s="601"/>
      <c r="V167" s="601"/>
      <c r="W167" s="601"/>
      <c r="X167" s="601"/>
      <c r="Y167" s="601"/>
    </row>
    <row r="168" ht="38.25" spans="1:25">
      <c r="A168" s="569" t="s">
        <v>491</v>
      </c>
      <c r="B168" s="569" t="s">
        <v>492</v>
      </c>
      <c r="C168" s="569" t="s">
        <v>139</v>
      </c>
      <c r="D168" s="569" t="s">
        <v>493</v>
      </c>
      <c r="E168" s="577" t="s">
        <v>393</v>
      </c>
      <c r="F168" s="570">
        <v>572</v>
      </c>
      <c r="G168" s="579">
        <v>16.13</v>
      </c>
      <c r="H168" s="600">
        <v>20.24</v>
      </c>
      <c r="I168" s="600">
        <v>11577.28</v>
      </c>
      <c r="J168" s="612">
        <v>0.000470767734518435</v>
      </c>
      <c r="K168" s="613">
        <f t="shared" si="8"/>
        <v>0</v>
      </c>
      <c r="L168" s="610">
        <f t="shared" ref="L168:L183" si="10">I168-(I168*K168)</f>
        <v>11577.28</v>
      </c>
      <c r="M168" s="601"/>
      <c r="N168" s="601"/>
      <c r="O168" s="601"/>
      <c r="P168" s="601"/>
      <c r="Q168" s="601"/>
      <c r="R168" s="601"/>
      <c r="S168" s="601"/>
      <c r="T168" s="601"/>
      <c r="U168" s="601"/>
      <c r="V168" s="601"/>
      <c r="W168" s="601"/>
      <c r="X168" s="601"/>
      <c r="Y168" s="601"/>
    </row>
    <row r="169" ht="38.25" spans="1:25">
      <c r="A169" s="569" t="s">
        <v>494</v>
      </c>
      <c r="B169" s="569" t="s">
        <v>495</v>
      </c>
      <c r="C169" s="569" t="s">
        <v>139</v>
      </c>
      <c r="D169" s="569" t="s">
        <v>496</v>
      </c>
      <c r="E169" s="577" t="s">
        <v>393</v>
      </c>
      <c r="F169" s="570">
        <v>1881</v>
      </c>
      <c r="G169" s="579">
        <v>14.82</v>
      </c>
      <c r="H169" s="600">
        <v>18.59</v>
      </c>
      <c r="I169" s="600">
        <v>34967.79</v>
      </c>
      <c r="J169" s="612">
        <v>0.00142189765466641</v>
      </c>
      <c r="K169" s="613">
        <f t="shared" si="8"/>
        <v>0</v>
      </c>
      <c r="L169" s="610">
        <f t="shared" si="10"/>
        <v>34967.79</v>
      </c>
      <c r="M169" s="601"/>
      <c r="N169" s="601"/>
      <c r="O169" s="601"/>
      <c r="P169" s="601"/>
      <c r="Q169" s="601"/>
      <c r="R169" s="601"/>
      <c r="S169" s="601"/>
      <c r="T169" s="601"/>
      <c r="U169" s="601"/>
      <c r="V169" s="601"/>
      <c r="W169" s="601"/>
      <c r="X169" s="601"/>
      <c r="Y169" s="601"/>
    </row>
    <row r="170" ht="38.25" spans="1:25">
      <c r="A170" s="569" t="s">
        <v>497</v>
      </c>
      <c r="B170" s="569" t="s">
        <v>498</v>
      </c>
      <c r="C170" s="569" t="s">
        <v>139</v>
      </c>
      <c r="D170" s="569" t="s">
        <v>499</v>
      </c>
      <c r="E170" s="577" t="s">
        <v>393</v>
      </c>
      <c r="F170" s="570">
        <v>2387</v>
      </c>
      <c r="G170" s="579">
        <v>12.03</v>
      </c>
      <c r="H170" s="600">
        <v>15.09</v>
      </c>
      <c r="I170" s="600">
        <v>36019.83</v>
      </c>
      <c r="J170" s="612">
        <v>0.00146467682969049</v>
      </c>
      <c r="K170" s="613">
        <f t="shared" si="8"/>
        <v>0</v>
      </c>
      <c r="L170" s="610">
        <f t="shared" si="10"/>
        <v>36019.83</v>
      </c>
      <c r="M170" s="601"/>
      <c r="N170" s="601"/>
      <c r="O170" s="601"/>
      <c r="P170" s="601"/>
      <c r="Q170" s="601"/>
      <c r="R170" s="601"/>
      <c r="S170" s="601"/>
      <c r="T170" s="601"/>
      <c r="U170" s="601"/>
      <c r="V170" s="601"/>
      <c r="W170" s="601"/>
      <c r="X170" s="601"/>
      <c r="Y170" s="601"/>
    </row>
    <row r="171" ht="38.25" spans="1:25">
      <c r="A171" s="569" t="s">
        <v>500</v>
      </c>
      <c r="B171" s="569" t="s">
        <v>501</v>
      </c>
      <c r="C171" s="569" t="s">
        <v>139</v>
      </c>
      <c r="D171" s="569" t="s">
        <v>502</v>
      </c>
      <c r="E171" s="577" t="s">
        <v>393</v>
      </c>
      <c r="F171" s="570">
        <v>794.2</v>
      </c>
      <c r="G171" s="579">
        <v>10.02</v>
      </c>
      <c r="H171" s="600">
        <v>12.57</v>
      </c>
      <c r="I171" s="600">
        <v>9983.09</v>
      </c>
      <c r="J171" s="612">
        <v>0.000405943076680675</v>
      </c>
      <c r="K171" s="613">
        <f t="shared" si="8"/>
        <v>0</v>
      </c>
      <c r="L171" s="610">
        <f t="shared" si="10"/>
        <v>9983.09</v>
      </c>
      <c r="M171" s="601"/>
      <c r="N171" s="601"/>
      <c r="O171" s="601"/>
      <c r="P171" s="601"/>
      <c r="Q171" s="601"/>
      <c r="R171" s="601"/>
      <c r="S171" s="601"/>
      <c r="T171" s="601"/>
      <c r="U171" s="601"/>
      <c r="V171" s="601"/>
      <c r="W171" s="601"/>
      <c r="X171" s="601"/>
      <c r="Y171" s="601"/>
    </row>
    <row r="172" ht="38.25" spans="1:25">
      <c r="A172" s="569" t="s">
        <v>503</v>
      </c>
      <c r="B172" s="569" t="s">
        <v>504</v>
      </c>
      <c r="C172" s="569" t="s">
        <v>139</v>
      </c>
      <c r="D172" s="569" t="s">
        <v>505</v>
      </c>
      <c r="E172" s="577" t="s">
        <v>393</v>
      </c>
      <c r="F172" s="570">
        <v>976.8</v>
      </c>
      <c r="G172" s="579">
        <v>11.12</v>
      </c>
      <c r="H172" s="600">
        <v>13.95</v>
      </c>
      <c r="I172" s="600">
        <v>13626.36</v>
      </c>
      <c r="J172" s="612">
        <v>0.000554089615776126</v>
      </c>
      <c r="K172" s="613">
        <f t="shared" si="8"/>
        <v>0</v>
      </c>
      <c r="L172" s="610">
        <f t="shared" si="10"/>
        <v>13626.36</v>
      </c>
      <c r="M172" s="601"/>
      <c r="N172" s="601"/>
      <c r="O172" s="601"/>
      <c r="P172" s="601"/>
      <c r="Q172" s="601"/>
      <c r="R172" s="601"/>
      <c r="S172" s="601"/>
      <c r="T172" s="601"/>
      <c r="U172" s="601"/>
      <c r="V172" s="601"/>
      <c r="W172" s="601"/>
      <c r="X172" s="601"/>
      <c r="Y172" s="601"/>
    </row>
    <row r="173" ht="25.5" spans="1:25">
      <c r="A173" s="569" t="s">
        <v>506</v>
      </c>
      <c r="B173" s="569" t="s">
        <v>455</v>
      </c>
      <c r="C173" s="569" t="s">
        <v>139</v>
      </c>
      <c r="D173" s="569" t="s">
        <v>456</v>
      </c>
      <c r="E173" s="577" t="s">
        <v>393</v>
      </c>
      <c r="F173" s="570">
        <v>2175.8</v>
      </c>
      <c r="G173" s="579">
        <v>14.11</v>
      </c>
      <c r="H173" s="600">
        <v>17.7</v>
      </c>
      <c r="I173" s="600">
        <v>38511.66</v>
      </c>
      <c r="J173" s="612">
        <v>0.00156600228471146</v>
      </c>
      <c r="K173" s="613">
        <f t="shared" si="8"/>
        <v>0</v>
      </c>
      <c r="L173" s="610">
        <f t="shared" si="10"/>
        <v>38511.66</v>
      </c>
      <c r="M173" s="601"/>
      <c r="N173" s="601"/>
      <c r="O173" s="601"/>
      <c r="P173" s="601"/>
      <c r="Q173" s="601"/>
      <c r="R173" s="601"/>
      <c r="S173" s="601"/>
      <c r="T173" s="601"/>
      <c r="U173" s="601"/>
      <c r="V173" s="601"/>
      <c r="W173" s="601"/>
      <c r="X173" s="601"/>
      <c r="Y173" s="601"/>
    </row>
    <row r="174" ht="25.5" spans="1:25">
      <c r="A174" s="569" t="s">
        <v>507</v>
      </c>
      <c r="B174" s="569" t="s">
        <v>458</v>
      </c>
      <c r="C174" s="569" t="s">
        <v>139</v>
      </c>
      <c r="D174" s="569" t="s">
        <v>459</v>
      </c>
      <c r="E174" s="577" t="s">
        <v>393</v>
      </c>
      <c r="F174" s="570">
        <v>160.6</v>
      </c>
      <c r="G174" s="579">
        <v>12.99</v>
      </c>
      <c r="H174" s="600">
        <v>16.3</v>
      </c>
      <c r="I174" s="600">
        <v>2617.78</v>
      </c>
      <c r="J174" s="612">
        <v>0.000106446968551134</v>
      </c>
      <c r="K174" s="613">
        <f t="shared" si="8"/>
        <v>0</v>
      </c>
      <c r="L174" s="610">
        <f t="shared" si="10"/>
        <v>2617.78</v>
      </c>
      <c r="M174" s="601"/>
      <c r="N174" s="601"/>
      <c r="O174" s="601"/>
      <c r="P174" s="601"/>
      <c r="Q174" s="601"/>
      <c r="R174" s="601"/>
      <c r="S174" s="601"/>
      <c r="T174" s="601"/>
      <c r="U174" s="601"/>
      <c r="V174" s="601"/>
      <c r="W174" s="601"/>
      <c r="X174" s="601"/>
      <c r="Y174" s="601"/>
    </row>
    <row r="175" ht="38.25" spans="1:25">
      <c r="A175" s="569" t="s">
        <v>508</v>
      </c>
      <c r="B175" s="569" t="s">
        <v>509</v>
      </c>
      <c r="C175" s="569" t="s">
        <v>139</v>
      </c>
      <c r="D175" s="569" t="s">
        <v>510</v>
      </c>
      <c r="E175" s="577" t="s">
        <v>141</v>
      </c>
      <c r="F175" s="570">
        <v>61.56</v>
      </c>
      <c r="G175" s="579">
        <v>91.26</v>
      </c>
      <c r="H175" s="600">
        <v>114.52</v>
      </c>
      <c r="I175" s="600">
        <v>7049.85</v>
      </c>
      <c r="J175" s="612">
        <v>0.000286668536408793</v>
      </c>
      <c r="K175" s="613">
        <f t="shared" si="8"/>
        <v>0</v>
      </c>
      <c r="L175" s="610">
        <f t="shared" si="10"/>
        <v>7049.85</v>
      </c>
      <c r="M175" s="601"/>
      <c r="N175" s="601"/>
      <c r="O175" s="601"/>
      <c r="P175" s="601"/>
      <c r="Q175" s="601"/>
      <c r="R175" s="601"/>
      <c r="S175" s="601"/>
      <c r="T175" s="601"/>
      <c r="U175" s="601"/>
      <c r="V175" s="601"/>
      <c r="W175" s="601"/>
      <c r="X175" s="601"/>
      <c r="Y175" s="601"/>
    </row>
    <row r="176" ht="38.25" spans="1:25">
      <c r="A176" s="569" t="s">
        <v>511</v>
      </c>
      <c r="B176" s="569" t="s">
        <v>512</v>
      </c>
      <c r="C176" s="569" t="s">
        <v>139</v>
      </c>
      <c r="D176" s="569" t="s">
        <v>513</v>
      </c>
      <c r="E176" s="577" t="s">
        <v>141</v>
      </c>
      <c r="F176" s="570">
        <v>137.46</v>
      </c>
      <c r="G176" s="579">
        <v>139.4</v>
      </c>
      <c r="H176" s="600">
        <v>174.93</v>
      </c>
      <c r="I176" s="600">
        <v>24045.87</v>
      </c>
      <c r="J176" s="612">
        <v>0.000977778868993823</v>
      </c>
      <c r="K176" s="613">
        <f t="shared" si="8"/>
        <v>0</v>
      </c>
      <c r="L176" s="610">
        <f t="shared" si="10"/>
        <v>24045.87</v>
      </c>
      <c r="M176" s="601"/>
      <c r="N176" s="601"/>
      <c r="O176" s="601"/>
      <c r="P176" s="601"/>
      <c r="Q176" s="601"/>
      <c r="R176" s="601"/>
      <c r="S176" s="601"/>
      <c r="T176" s="601"/>
      <c r="U176" s="601"/>
      <c r="V176" s="601"/>
      <c r="W176" s="601"/>
      <c r="X176" s="601"/>
      <c r="Y176" s="601"/>
    </row>
    <row r="177" ht="38.25" spans="1:25">
      <c r="A177" s="569" t="s">
        <v>514</v>
      </c>
      <c r="B177" s="569" t="s">
        <v>515</v>
      </c>
      <c r="C177" s="569" t="s">
        <v>139</v>
      </c>
      <c r="D177" s="569" t="s">
        <v>516</v>
      </c>
      <c r="E177" s="577" t="s">
        <v>141</v>
      </c>
      <c r="F177" s="570">
        <v>143.78</v>
      </c>
      <c r="G177" s="579">
        <v>91.12</v>
      </c>
      <c r="H177" s="600">
        <v>114.34</v>
      </c>
      <c r="I177" s="600">
        <v>16439.8</v>
      </c>
      <c r="J177" s="612">
        <v>0.000668492720391678</v>
      </c>
      <c r="K177" s="613">
        <f t="shared" si="8"/>
        <v>0</v>
      </c>
      <c r="L177" s="610">
        <f t="shared" si="10"/>
        <v>16439.8</v>
      </c>
      <c r="M177" s="601"/>
      <c r="N177" s="601"/>
      <c r="O177" s="601"/>
      <c r="P177" s="601"/>
      <c r="Q177" s="601"/>
      <c r="R177" s="601"/>
      <c r="S177" s="601"/>
      <c r="T177" s="601"/>
      <c r="U177" s="601"/>
      <c r="V177" s="601"/>
      <c r="W177" s="601"/>
      <c r="X177" s="601"/>
      <c r="Y177" s="601"/>
    </row>
    <row r="178" ht="15" spans="1:25">
      <c r="A178" s="569" t="s">
        <v>517</v>
      </c>
      <c r="B178" s="569" t="s">
        <v>518</v>
      </c>
      <c r="C178" s="569" t="s">
        <v>149</v>
      </c>
      <c r="D178" s="569" t="s">
        <v>519</v>
      </c>
      <c r="E178" s="577" t="s">
        <v>279</v>
      </c>
      <c r="F178" s="570">
        <v>160.986</v>
      </c>
      <c r="G178" s="579">
        <v>849.64</v>
      </c>
      <c r="H178" s="600">
        <v>1066.21</v>
      </c>
      <c r="I178" s="600">
        <v>171644.88</v>
      </c>
      <c r="J178" s="612">
        <v>0.00697960758479441</v>
      </c>
      <c r="K178" s="613">
        <f t="shared" si="8"/>
        <v>0</v>
      </c>
      <c r="L178" s="610">
        <f t="shared" si="10"/>
        <v>171644.88</v>
      </c>
      <c r="M178" s="601"/>
      <c r="N178" s="601"/>
      <c r="O178" s="601"/>
      <c r="P178" s="601"/>
      <c r="Q178" s="601"/>
      <c r="R178" s="601"/>
      <c r="S178" s="601"/>
      <c r="T178" s="601"/>
      <c r="U178" s="601"/>
      <c r="V178" s="601"/>
      <c r="W178" s="601"/>
      <c r="X178" s="601"/>
      <c r="Y178" s="601"/>
    </row>
    <row r="179" ht="25.5" spans="1:25">
      <c r="A179" s="569" t="s">
        <v>520</v>
      </c>
      <c r="B179" s="569" t="s">
        <v>521</v>
      </c>
      <c r="C179" s="569" t="s">
        <v>139</v>
      </c>
      <c r="D179" s="569" t="s">
        <v>522</v>
      </c>
      <c r="E179" s="577" t="s">
        <v>279</v>
      </c>
      <c r="F179" s="570">
        <v>160.986</v>
      </c>
      <c r="G179" s="579">
        <v>56.06</v>
      </c>
      <c r="H179" s="600">
        <v>70.34</v>
      </c>
      <c r="I179" s="600">
        <v>11323.75</v>
      </c>
      <c r="J179" s="612">
        <v>0.000460458426655754</v>
      </c>
      <c r="K179" s="613">
        <f t="shared" si="8"/>
        <v>0</v>
      </c>
      <c r="L179" s="610">
        <f t="shared" si="10"/>
        <v>11323.75</v>
      </c>
      <c r="M179" s="601"/>
      <c r="N179" s="601"/>
      <c r="O179" s="601"/>
      <c r="P179" s="601"/>
      <c r="Q179" s="601"/>
      <c r="R179" s="601"/>
      <c r="S179" s="601"/>
      <c r="T179" s="601"/>
      <c r="U179" s="601"/>
      <c r="V179" s="601"/>
      <c r="W179" s="601"/>
      <c r="X179" s="601"/>
      <c r="Y179" s="601"/>
    </row>
    <row r="180" ht="76.5" spans="1:25">
      <c r="A180" s="569" t="s">
        <v>523</v>
      </c>
      <c r="B180" s="569" t="s">
        <v>524</v>
      </c>
      <c r="C180" s="569" t="s">
        <v>77</v>
      </c>
      <c r="D180" s="569" t="s">
        <v>525</v>
      </c>
      <c r="E180" s="577" t="s">
        <v>279</v>
      </c>
      <c r="F180" s="570">
        <v>179.02</v>
      </c>
      <c r="G180" s="579">
        <v>49.75</v>
      </c>
      <c r="H180" s="600">
        <v>62.43</v>
      </c>
      <c r="I180" s="600">
        <v>11176.21</v>
      </c>
      <c r="J180" s="612">
        <v>0.00045445899746765</v>
      </c>
      <c r="K180" s="613">
        <f t="shared" si="8"/>
        <v>0</v>
      </c>
      <c r="L180" s="610">
        <f t="shared" si="10"/>
        <v>11176.21</v>
      </c>
      <c r="M180" s="601"/>
      <c r="N180" s="601"/>
      <c r="O180" s="601"/>
      <c r="P180" s="601"/>
      <c r="Q180" s="601"/>
      <c r="R180" s="601"/>
      <c r="S180" s="601"/>
      <c r="T180" s="601"/>
      <c r="U180" s="601"/>
      <c r="V180" s="601"/>
      <c r="W180" s="601"/>
      <c r="X180" s="601"/>
      <c r="Y180" s="601"/>
    </row>
    <row r="181" ht="38.25" spans="1:25">
      <c r="A181" s="569" t="s">
        <v>526</v>
      </c>
      <c r="B181" s="569" t="s">
        <v>527</v>
      </c>
      <c r="C181" s="569" t="s">
        <v>139</v>
      </c>
      <c r="D181" s="569" t="s">
        <v>528</v>
      </c>
      <c r="E181" s="577" t="s">
        <v>393</v>
      </c>
      <c r="F181" s="570">
        <v>343.2</v>
      </c>
      <c r="G181" s="579">
        <v>23.65</v>
      </c>
      <c r="H181" s="600">
        <v>29.67</v>
      </c>
      <c r="I181" s="600">
        <v>10182.74</v>
      </c>
      <c r="J181" s="612">
        <v>0.000414061458390075</v>
      </c>
      <c r="K181" s="613">
        <f t="shared" si="8"/>
        <v>0</v>
      </c>
      <c r="L181" s="610">
        <f t="shared" si="10"/>
        <v>10182.74</v>
      </c>
      <c r="M181" s="601"/>
      <c r="N181" s="601"/>
      <c r="O181" s="601"/>
      <c r="P181" s="601"/>
      <c r="Q181" s="601"/>
      <c r="R181" s="601"/>
      <c r="S181" s="601"/>
      <c r="T181" s="601"/>
      <c r="U181" s="601"/>
      <c r="V181" s="601"/>
      <c r="W181" s="601"/>
      <c r="X181" s="601"/>
      <c r="Y181" s="601"/>
    </row>
    <row r="182" ht="38.25" spans="1:25">
      <c r="A182" s="569" t="s">
        <v>529</v>
      </c>
      <c r="B182" s="569" t="s">
        <v>530</v>
      </c>
      <c r="C182" s="569" t="s">
        <v>139</v>
      </c>
      <c r="D182" s="569" t="s">
        <v>531</v>
      </c>
      <c r="E182" s="577" t="s">
        <v>393</v>
      </c>
      <c r="F182" s="570">
        <v>884.4</v>
      </c>
      <c r="G182" s="579">
        <v>18.46</v>
      </c>
      <c r="H182" s="600">
        <v>23.16</v>
      </c>
      <c r="I182" s="600">
        <v>20482.7</v>
      </c>
      <c r="J182" s="612">
        <v>0.000832889441718672</v>
      </c>
      <c r="K182" s="613">
        <f t="shared" si="8"/>
        <v>0</v>
      </c>
      <c r="L182" s="610">
        <f t="shared" si="10"/>
        <v>20482.7</v>
      </c>
      <c r="M182" s="601"/>
      <c r="N182" s="601"/>
      <c r="O182" s="601"/>
      <c r="P182" s="601"/>
      <c r="Q182" s="601"/>
      <c r="R182" s="601"/>
      <c r="S182" s="601"/>
      <c r="T182" s="601"/>
      <c r="U182" s="601"/>
      <c r="V182" s="601"/>
      <c r="W182" s="601"/>
      <c r="X182" s="601"/>
      <c r="Y182" s="601"/>
    </row>
    <row r="183" ht="38.25" spans="1:25">
      <c r="A183" s="569" t="s">
        <v>532</v>
      </c>
      <c r="B183" s="569" t="s">
        <v>533</v>
      </c>
      <c r="C183" s="569" t="s">
        <v>139</v>
      </c>
      <c r="D183" s="569" t="s">
        <v>534</v>
      </c>
      <c r="E183" s="577" t="s">
        <v>393</v>
      </c>
      <c r="F183" s="570">
        <v>2600.4</v>
      </c>
      <c r="G183" s="579">
        <v>14.24</v>
      </c>
      <c r="H183" s="600">
        <v>17.86</v>
      </c>
      <c r="I183" s="600">
        <v>46443.14</v>
      </c>
      <c r="J183" s="612">
        <v>0.00188852060257008</v>
      </c>
      <c r="K183" s="613">
        <f t="shared" si="8"/>
        <v>0</v>
      </c>
      <c r="L183" s="610">
        <f t="shared" si="10"/>
        <v>46443.14</v>
      </c>
      <c r="M183" s="601"/>
      <c r="N183" s="601"/>
      <c r="O183" s="601"/>
      <c r="P183" s="601"/>
      <c r="Q183" s="601"/>
      <c r="R183" s="601"/>
      <c r="S183" s="601"/>
      <c r="T183" s="601"/>
      <c r="U183" s="601"/>
      <c r="V183" s="601"/>
      <c r="W183" s="601"/>
      <c r="X183" s="601"/>
      <c r="Y183" s="601"/>
    </row>
    <row r="184" ht="15" spans="1:25">
      <c r="A184" s="596" t="s">
        <v>535</v>
      </c>
      <c r="B184" s="596" t="s">
        <v>74</v>
      </c>
      <c r="C184" s="596"/>
      <c r="D184" s="596" t="s">
        <v>381</v>
      </c>
      <c r="E184" s="597"/>
      <c r="F184" s="598">
        <v>1</v>
      </c>
      <c r="G184" s="598"/>
      <c r="H184" s="599">
        <v>53637.07</v>
      </c>
      <c r="I184" s="599">
        <v>53637.07</v>
      </c>
      <c r="J184" s="608">
        <v>0.00218104787394852</v>
      </c>
      <c r="K184" s="613">
        <f t="shared" si="8"/>
        <v>0</v>
      </c>
      <c r="L184" s="610">
        <f>SUM(L185:L195)</f>
        <v>53637.07</v>
      </c>
      <c r="M184" s="601"/>
      <c r="N184" s="601"/>
      <c r="O184" s="601"/>
      <c r="P184" s="601"/>
      <c r="Q184" s="601"/>
      <c r="R184" s="601"/>
      <c r="S184" s="601"/>
      <c r="T184" s="601"/>
      <c r="U184" s="601"/>
      <c r="V184" s="601"/>
      <c r="W184" s="601"/>
      <c r="X184" s="601"/>
      <c r="Y184" s="601"/>
    </row>
    <row r="185" ht="25.5" spans="1:25">
      <c r="A185" s="569" t="s">
        <v>536</v>
      </c>
      <c r="B185" s="569" t="s">
        <v>537</v>
      </c>
      <c r="C185" s="569" t="s">
        <v>132</v>
      </c>
      <c r="D185" s="569" t="s">
        <v>538</v>
      </c>
      <c r="E185" s="577" t="s">
        <v>279</v>
      </c>
      <c r="F185" s="570">
        <v>3.2</v>
      </c>
      <c r="G185" s="579">
        <v>676.58</v>
      </c>
      <c r="H185" s="600">
        <v>849.04</v>
      </c>
      <c r="I185" s="600">
        <v>2716.92</v>
      </c>
      <c r="J185" s="612">
        <v>0.000110478305203625</v>
      </c>
      <c r="K185" s="613">
        <f t="shared" si="8"/>
        <v>0</v>
      </c>
      <c r="L185" s="610">
        <f t="shared" ref="L185:L195" si="11">I185-(I185*K185)</f>
        <v>2716.92</v>
      </c>
      <c r="M185" s="601"/>
      <c r="N185" s="601"/>
      <c r="O185" s="601"/>
      <c r="P185" s="601"/>
      <c r="Q185" s="601"/>
      <c r="R185" s="601"/>
      <c r="S185" s="601"/>
      <c r="T185" s="601"/>
      <c r="U185" s="601"/>
      <c r="V185" s="601"/>
      <c r="W185" s="601"/>
      <c r="X185" s="601"/>
      <c r="Y185" s="601"/>
    </row>
    <row r="186" ht="38.25" spans="1:25">
      <c r="A186" s="569" t="s">
        <v>539</v>
      </c>
      <c r="B186" s="569" t="s">
        <v>540</v>
      </c>
      <c r="C186" s="569" t="s">
        <v>132</v>
      </c>
      <c r="D186" s="569" t="s">
        <v>541</v>
      </c>
      <c r="E186" s="577" t="s">
        <v>279</v>
      </c>
      <c r="F186" s="570">
        <v>14.33</v>
      </c>
      <c r="G186" s="579">
        <v>677.33</v>
      </c>
      <c r="H186" s="600">
        <v>849.98</v>
      </c>
      <c r="I186" s="600">
        <v>12180.21</v>
      </c>
      <c r="J186" s="612">
        <v>0.000495284718660928</v>
      </c>
      <c r="K186" s="613">
        <f t="shared" si="8"/>
        <v>0</v>
      </c>
      <c r="L186" s="610">
        <f t="shared" si="11"/>
        <v>12180.21</v>
      </c>
      <c r="M186" s="601"/>
      <c r="N186" s="601"/>
      <c r="O186" s="601"/>
      <c r="P186" s="601"/>
      <c r="Q186" s="601"/>
      <c r="R186" s="601"/>
      <c r="S186" s="601"/>
      <c r="T186" s="601"/>
      <c r="U186" s="601"/>
      <c r="V186" s="601"/>
      <c r="W186" s="601"/>
      <c r="X186" s="601"/>
      <c r="Y186" s="601"/>
    </row>
    <row r="187" ht="38.25" spans="1:25">
      <c r="A187" s="569" t="s">
        <v>542</v>
      </c>
      <c r="B187" s="569" t="s">
        <v>492</v>
      </c>
      <c r="C187" s="569" t="s">
        <v>139</v>
      </c>
      <c r="D187" s="569" t="s">
        <v>493</v>
      </c>
      <c r="E187" s="577" t="s">
        <v>393</v>
      </c>
      <c r="F187" s="570">
        <v>123.13</v>
      </c>
      <c r="G187" s="579">
        <v>16.13</v>
      </c>
      <c r="H187" s="600">
        <v>20.24</v>
      </c>
      <c r="I187" s="600">
        <v>2492.15</v>
      </c>
      <c r="J187" s="612">
        <v>0.000101338467203015</v>
      </c>
      <c r="K187" s="613">
        <f t="shared" si="8"/>
        <v>0</v>
      </c>
      <c r="L187" s="610">
        <f t="shared" si="11"/>
        <v>2492.15</v>
      </c>
      <c r="M187" s="601"/>
      <c r="N187" s="601"/>
      <c r="O187" s="601"/>
      <c r="P187" s="601"/>
      <c r="Q187" s="601"/>
      <c r="R187" s="601"/>
      <c r="S187" s="601"/>
      <c r="T187" s="601"/>
      <c r="U187" s="601"/>
      <c r="V187" s="601"/>
      <c r="W187" s="601"/>
      <c r="X187" s="601"/>
      <c r="Y187" s="601"/>
    </row>
    <row r="188" ht="38.25" spans="1:25">
      <c r="A188" s="569" t="s">
        <v>543</v>
      </c>
      <c r="B188" s="569" t="s">
        <v>544</v>
      </c>
      <c r="C188" s="569" t="s">
        <v>139</v>
      </c>
      <c r="D188" s="569" t="s">
        <v>545</v>
      </c>
      <c r="E188" s="577" t="s">
        <v>393</v>
      </c>
      <c r="F188" s="570">
        <v>71.1</v>
      </c>
      <c r="G188" s="579">
        <v>13.64</v>
      </c>
      <c r="H188" s="600">
        <v>17.11</v>
      </c>
      <c r="I188" s="600">
        <v>1216.52</v>
      </c>
      <c r="J188" s="612">
        <v>4.94674365996475e-5</v>
      </c>
      <c r="K188" s="613">
        <f t="shared" si="8"/>
        <v>0</v>
      </c>
      <c r="L188" s="610">
        <f t="shared" si="11"/>
        <v>1216.52</v>
      </c>
      <c r="M188" s="601"/>
      <c r="N188" s="601"/>
      <c r="O188" s="601"/>
      <c r="P188" s="601"/>
      <c r="Q188" s="601"/>
      <c r="R188" s="601"/>
      <c r="S188" s="601"/>
      <c r="T188" s="601"/>
      <c r="U188" s="601"/>
      <c r="V188" s="601"/>
      <c r="W188" s="601"/>
      <c r="X188" s="601"/>
      <c r="Y188" s="601"/>
    </row>
    <row r="189" ht="38.25" spans="1:25">
      <c r="A189" s="569" t="s">
        <v>546</v>
      </c>
      <c r="B189" s="569" t="s">
        <v>501</v>
      </c>
      <c r="C189" s="569" t="s">
        <v>139</v>
      </c>
      <c r="D189" s="569" t="s">
        <v>502</v>
      </c>
      <c r="E189" s="577" t="s">
        <v>393</v>
      </c>
      <c r="F189" s="570">
        <v>240.06</v>
      </c>
      <c r="G189" s="579">
        <v>10.02</v>
      </c>
      <c r="H189" s="600">
        <v>12.57</v>
      </c>
      <c r="I189" s="600">
        <v>3017.55</v>
      </c>
      <c r="J189" s="612">
        <v>0.000122702843612326</v>
      </c>
      <c r="K189" s="613">
        <f t="shared" si="8"/>
        <v>0</v>
      </c>
      <c r="L189" s="610">
        <f t="shared" si="11"/>
        <v>3017.55</v>
      </c>
      <c r="M189" s="601"/>
      <c r="N189" s="601"/>
      <c r="O189" s="601"/>
      <c r="P189" s="601"/>
      <c r="Q189" s="601"/>
      <c r="R189" s="601"/>
      <c r="S189" s="601"/>
      <c r="T189" s="601"/>
      <c r="U189" s="601"/>
      <c r="V189" s="601"/>
      <c r="W189" s="601"/>
      <c r="X189" s="601"/>
      <c r="Y189" s="601"/>
    </row>
    <row r="190" ht="25.5" spans="1:25">
      <c r="A190" s="569" t="s">
        <v>547</v>
      </c>
      <c r="B190" s="569" t="s">
        <v>548</v>
      </c>
      <c r="C190" s="569" t="s">
        <v>139</v>
      </c>
      <c r="D190" s="569" t="s">
        <v>549</v>
      </c>
      <c r="E190" s="577" t="s">
        <v>393</v>
      </c>
      <c r="F190" s="570">
        <v>21.36</v>
      </c>
      <c r="G190" s="579">
        <v>15.37</v>
      </c>
      <c r="H190" s="600">
        <v>19.28</v>
      </c>
      <c r="I190" s="600">
        <v>411.82</v>
      </c>
      <c r="J190" s="612">
        <v>1.6745865041649e-5</v>
      </c>
      <c r="K190" s="613">
        <f t="shared" si="8"/>
        <v>0</v>
      </c>
      <c r="L190" s="610">
        <f t="shared" si="11"/>
        <v>411.82</v>
      </c>
      <c r="M190" s="601"/>
      <c r="N190" s="601"/>
      <c r="O190" s="601"/>
      <c r="P190" s="601"/>
      <c r="Q190" s="601"/>
      <c r="R190" s="601"/>
      <c r="S190" s="601"/>
      <c r="T190" s="601"/>
      <c r="U190" s="601"/>
      <c r="V190" s="601"/>
      <c r="W190" s="601"/>
      <c r="X190" s="601"/>
      <c r="Y190" s="601"/>
    </row>
    <row r="191" ht="25.5" spans="1:25">
      <c r="A191" s="569" t="s">
        <v>550</v>
      </c>
      <c r="B191" s="569" t="s">
        <v>458</v>
      </c>
      <c r="C191" s="569" t="s">
        <v>139</v>
      </c>
      <c r="D191" s="569" t="s">
        <v>459</v>
      </c>
      <c r="E191" s="577" t="s">
        <v>393</v>
      </c>
      <c r="F191" s="570">
        <v>248.44</v>
      </c>
      <c r="G191" s="579">
        <v>12.99</v>
      </c>
      <c r="H191" s="600">
        <v>16.3</v>
      </c>
      <c r="I191" s="600">
        <v>4049.57</v>
      </c>
      <c r="J191" s="612">
        <v>0.000164667943996674</v>
      </c>
      <c r="K191" s="613">
        <f t="shared" si="8"/>
        <v>0</v>
      </c>
      <c r="L191" s="610">
        <f t="shared" si="11"/>
        <v>4049.57</v>
      </c>
      <c r="M191" s="601"/>
      <c r="N191" s="601"/>
      <c r="O191" s="601"/>
      <c r="P191" s="601"/>
      <c r="Q191" s="601"/>
      <c r="R191" s="601"/>
      <c r="S191" s="601"/>
      <c r="T191" s="601"/>
      <c r="U191" s="601"/>
      <c r="V191" s="601"/>
      <c r="W191" s="601"/>
      <c r="X191" s="601"/>
      <c r="Y191" s="601"/>
    </row>
    <row r="192" ht="38.25" spans="1:25">
      <c r="A192" s="569" t="s">
        <v>551</v>
      </c>
      <c r="B192" s="569" t="s">
        <v>552</v>
      </c>
      <c r="C192" s="569" t="s">
        <v>139</v>
      </c>
      <c r="D192" s="569" t="s">
        <v>553</v>
      </c>
      <c r="E192" s="577" t="s">
        <v>141</v>
      </c>
      <c r="F192" s="570">
        <v>41.6</v>
      </c>
      <c r="G192" s="579">
        <v>72.9</v>
      </c>
      <c r="H192" s="600">
        <v>91.48</v>
      </c>
      <c r="I192" s="600">
        <v>3805.56</v>
      </c>
      <c r="J192" s="612">
        <v>0.000154745748550089</v>
      </c>
      <c r="K192" s="613">
        <f t="shared" si="8"/>
        <v>0</v>
      </c>
      <c r="L192" s="610">
        <f t="shared" si="11"/>
        <v>3805.56</v>
      </c>
      <c r="M192" s="601"/>
      <c r="N192" s="601"/>
      <c r="O192" s="601"/>
      <c r="P192" s="601"/>
      <c r="Q192" s="601"/>
      <c r="R192" s="601"/>
      <c r="S192" s="601"/>
      <c r="T192" s="601"/>
      <c r="U192" s="601"/>
      <c r="V192" s="601"/>
      <c r="W192" s="601"/>
      <c r="X192" s="601"/>
      <c r="Y192" s="601"/>
    </row>
    <row r="193" ht="25.5" spans="1:25">
      <c r="A193" s="569" t="s">
        <v>554</v>
      </c>
      <c r="B193" s="569" t="s">
        <v>555</v>
      </c>
      <c r="C193" s="569" t="s">
        <v>139</v>
      </c>
      <c r="D193" s="569" t="s">
        <v>556</v>
      </c>
      <c r="E193" s="577" t="s">
        <v>141</v>
      </c>
      <c r="F193" s="570">
        <v>57.63</v>
      </c>
      <c r="G193" s="579">
        <v>130.07</v>
      </c>
      <c r="H193" s="600">
        <v>163.22</v>
      </c>
      <c r="I193" s="600">
        <v>9406.36</v>
      </c>
      <c r="J193" s="612">
        <v>0.000382491464943823</v>
      </c>
      <c r="K193" s="613">
        <f t="shared" si="8"/>
        <v>0</v>
      </c>
      <c r="L193" s="610">
        <f t="shared" si="11"/>
        <v>9406.36</v>
      </c>
      <c r="M193" s="601"/>
      <c r="N193" s="601"/>
      <c r="O193" s="601"/>
      <c r="P193" s="601"/>
      <c r="Q193" s="601"/>
      <c r="R193" s="601"/>
      <c r="S193" s="601"/>
      <c r="T193" s="601"/>
      <c r="U193" s="601"/>
      <c r="V193" s="601"/>
      <c r="W193" s="601"/>
      <c r="X193" s="601"/>
      <c r="Y193" s="601"/>
    </row>
    <row r="194" ht="25.5" spans="1:25">
      <c r="A194" s="569" t="s">
        <v>557</v>
      </c>
      <c r="B194" s="569" t="s">
        <v>558</v>
      </c>
      <c r="C194" s="569" t="s">
        <v>139</v>
      </c>
      <c r="D194" s="569" t="s">
        <v>559</v>
      </c>
      <c r="E194" s="577" t="s">
        <v>141</v>
      </c>
      <c r="F194" s="570">
        <v>71.28</v>
      </c>
      <c r="G194" s="579">
        <v>83</v>
      </c>
      <c r="H194" s="600">
        <v>104.15</v>
      </c>
      <c r="I194" s="600">
        <v>7423.81</v>
      </c>
      <c r="J194" s="612">
        <v>0.000301874897661221</v>
      </c>
      <c r="K194" s="613">
        <f t="shared" si="8"/>
        <v>0</v>
      </c>
      <c r="L194" s="610">
        <f t="shared" si="11"/>
        <v>7423.81</v>
      </c>
      <c r="M194" s="601"/>
      <c r="N194" s="601"/>
      <c r="O194" s="601"/>
      <c r="P194" s="601"/>
      <c r="Q194" s="601"/>
      <c r="R194" s="601"/>
      <c r="S194" s="601"/>
      <c r="T194" s="601"/>
      <c r="U194" s="601"/>
      <c r="V194" s="601"/>
      <c r="W194" s="601"/>
      <c r="X194" s="601"/>
      <c r="Y194" s="601"/>
    </row>
    <row r="195" ht="25.5" spans="1:25">
      <c r="A195" s="569" t="s">
        <v>560</v>
      </c>
      <c r="B195" s="569" t="s">
        <v>561</v>
      </c>
      <c r="C195" s="569" t="s">
        <v>139</v>
      </c>
      <c r="D195" s="569" t="s">
        <v>562</v>
      </c>
      <c r="E195" s="577" t="s">
        <v>279</v>
      </c>
      <c r="F195" s="570">
        <v>272.2</v>
      </c>
      <c r="G195" s="579">
        <v>20.25</v>
      </c>
      <c r="H195" s="600">
        <v>25.41</v>
      </c>
      <c r="I195" s="600">
        <v>6916.6</v>
      </c>
      <c r="J195" s="612">
        <v>0.000281250182475522</v>
      </c>
      <c r="K195" s="613">
        <f t="shared" si="8"/>
        <v>0</v>
      </c>
      <c r="L195" s="610">
        <f t="shared" si="11"/>
        <v>6916.6</v>
      </c>
      <c r="M195" s="601"/>
      <c r="N195" s="601"/>
      <c r="O195" s="601"/>
      <c r="P195" s="601"/>
      <c r="Q195" s="601"/>
      <c r="R195" s="601"/>
      <c r="S195" s="601"/>
      <c r="T195" s="601"/>
      <c r="U195" s="601"/>
      <c r="V195" s="601"/>
      <c r="W195" s="601"/>
      <c r="X195" s="601"/>
      <c r="Y195" s="601"/>
    </row>
    <row r="196" ht="15" spans="1:25">
      <c r="A196" s="596" t="s">
        <v>563</v>
      </c>
      <c r="B196" s="596" t="s">
        <v>74</v>
      </c>
      <c r="C196" s="596"/>
      <c r="D196" s="596" t="s">
        <v>385</v>
      </c>
      <c r="E196" s="597"/>
      <c r="F196" s="598">
        <v>1</v>
      </c>
      <c r="G196" s="598"/>
      <c r="H196" s="599">
        <v>19070.24</v>
      </c>
      <c r="I196" s="599">
        <v>19070.24</v>
      </c>
      <c r="J196" s="608">
        <v>0.000775454483395309</v>
      </c>
      <c r="K196" s="613">
        <f t="shared" si="8"/>
        <v>0</v>
      </c>
      <c r="L196" s="610">
        <f>SUM(L197:L206)</f>
        <v>19070.24</v>
      </c>
      <c r="M196" s="601"/>
      <c r="N196" s="601"/>
      <c r="O196" s="601"/>
      <c r="P196" s="601"/>
      <c r="Q196" s="601"/>
      <c r="R196" s="601"/>
      <c r="S196" s="601"/>
      <c r="T196" s="601"/>
      <c r="U196" s="601"/>
      <c r="V196" s="601"/>
      <c r="W196" s="601"/>
      <c r="X196" s="601"/>
      <c r="Y196" s="601"/>
    </row>
    <row r="197" ht="25.5" spans="1:25">
      <c r="A197" s="569" t="s">
        <v>564</v>
      </c>
      <c r="B197" s="569" t="s">
        <v>537</v>
      </c>
      <c r="C197" s="569" t="s">
        <v>132</v>
      </c>
      <c r="D197" s="569" t="s">
        <v>538</v>
      </c>
      <c r="E197" s="577" t="s">
        <v>279</v>
      </c>
      <c r="F197" s="570">
        <v>1.16</v>
      </c>
      <c r="G197" s="579">
        <v>676.58</v>
      </c>
      <c r="H197" s="600">
        <v>849.04</v>
      </c>
      <c r="I197" s="600">
        <v>984.88</v>
      </c>
      <c r="J197" s="612">
        <v>4.0048243315573e-5</v>
      </c>
      <c r="K197" s="613">
        <f t="shared" si="8"/>
        <v>0</v>
      </c>
      <c r="L197" s="610">
        <f t="shared" ref="L197:L206" si="12">I197-(I197*K197)</f>
        <v>984.88</v>
      </c>
      <c r="M197" s="601"/>
      <c r="N197" s="601"/>
      <c r="O197" s="601"/>
      <c r="P197" s="601"/>
      <c r="Q197" s="601"/>
      <c r="R197" s="601"/>
      <c r="S197" s="601"/>
      <c r="T197" s="601"/>
      <c r="U197" s="601"/>
      <c r="V197" s="601"/>
      <c r="W197" s="601"/>
      <c r="X197" s="601"/>
      <c r="Y197" s="601"/>
    </row>
    <row r="198" ht="38.25" spans="1:25">
      <c r="A198" s="569" t="s">
        <v>565</v>
      </c>
      <c r="B198" s="569" t="s">
        <v>540</v>
      </c>
      <c r="C198" s="569" t="s">
        <v>132</v>
      </c>
      <c r="D198" s="569" t="s">
        <v>541</v>
      </c>
      <c r="E198" s="577" t="s">
        <v>279</v>
      </c>
      <c r="F198" s="570">
        <v>4.64</v>
      </c>
      <c r="G198" s="579">
        <v>677.33</v>
      </c>
      <c r="H198" s="600">
        <v>849.98</v>
      </c>
      <c r="I198" s="600">
        <v>3943.9</v>
      </c>
      <c r="J198" s="612">
        <v>0.000160371077504151</v>
      </c>
      <c r="K198" s="613">
        <f t="shared" si="8"/>
        <v>0</v>
      </c>
      <c r="L198" s="610">
        <f t="shared" si="12"/>
        <v>3943.9</v>
      </c>
      <c r="M198" s="601"/>
      <c r="N198" s="601"/>
      <c r="O198" s="601"/>
      <c r="P198" s="601"/>
      <c r="Q198" s="601"/>
      <c r="R198" s="601"/>
      <c r="S198" s="601"/>
      <c r="T198" s="601"/>
      <c r="U198" s="601"/>
      <c r="V198" s="601"/>
      <c r="W198" s="601"/>
      <c r="X198" s="601"/>
      <c r="Y198" s="601"/>
    </row>
    <row r="199" ht="38.25" spans="1:25">
      <c r="A199" s="569" t="s">
        <v>566</v>
      </c>
      <c r="B199" s="569" t="s">
        <v>492</v>
      </c>
      <c r="C199" s="569" t="s">
        <v>139</v>
      </c>
      <c r="D199" s="569" t="s">
        <v>493</v>
      </c>
      <c r="E199" s="577" t="s">
        <v>393</v>
      </c>
      <c r="F199" s="570">
        <v>58.8</v>
      </c>
      <c r="G199" s="579">
        <v>16.13</v>
      </c>
      <c r="H199" s="600">
        <v>20.24</v>
      </c>
      <c r="I199" s="600">
        <v>1190.11</v>
      </c>
      <c r="J199" s="612">
        <v>4.83935249495335e-5</v>
      </c>
      <c r="K199" s="613">
        <f t="shared" si="8"/>
        <v>0</v>
      </c>
      <c r="L199" s="610">
        <f t="shared" si="12"/>
        <v>1190.11</v>
      </c>
      <c r="M199" s="601"/>
      <c r="N199" s="601"/>
      <c r="O199" s="601"/>
      <c r="P199" s="601"/>
      <c r="Q199" s="601"/>
      <c r="R199" s="601"/>
      <c r="S199" s="601"/>
      <c r="T199" s="601"/>
      <c r="U199" s="601"/>
      <c r="V199" s="601"/>
      <c r="W199" s="601"/>
      <c r="X199" s="601"/>
      <c r="Y199" s="601"/>
    </row>
    <row r="200" ht="38.25" spans="1:25">
      <c r="A200" s="569" t="s">
        <v>567</v>
      </c>
      <c r="B200" s="569" t="s">
        <v>544</v>
      </c>
      <c r="C200" s="569" t="s">
        <v>139</v>
      </c>
      <c r="D200" s="569" t="s">
        <v>545</v>
      </c>
      <c r="E200" s="577" t="s">
        <v>393</v>
      </c>
      <c r="F200" s="570">
        <v>37.7</v>
      </c>
      <c r="G200" s="579">
        <v>13.64</v>
      </c>
      <c r="H200" s="600">
        <v>17.11</v>
      </c>
      <c r="I200" s="600">
        <v>645.04</v>
      </c>
      <c r="J200" s="612">
        <v>2.62293059746133e-5</v>
      </c>
      <c r="K200" s="613">
        <f t="shared" si="8"/>
        <v>0</v>
      </c>
      <c r="L200" s="610">
        <f t="shared" si="12"/>
        <v>645.04</v>
      </c>
      <c r="M200" s="601"/>
      <c r="N200" s="601"/>
      <c r="O200" s="601"/>
      <c r="P200" s="601"/>
      <c r="Q200" s="601"/>
      <c r="R200" s="601"/>
      <c r="S200" s="601"/>
      <c r="T200" s="601"/>
      <c r="U200" s="601"/>
      <c r="V200" s="601"/>
      <c r="W200" s="601"/>
      <c r="X200" s="601"/>
      <c r="Y200" s="601"/>
    </row>
    <row r="201" ht="38.25" spans="1:25">
      <c r="A201" s="569" t="s">
        <v>568</v>
      </c>
      <c r="B201" s="569" t="s">
        <v>498</v>
      </c>
      <c r="C201" s="569" t="s">
        <v>139</v>
      </c>
      <c r="D201" s="569" t="s">
        <v>499</v>
      </c>
      <c r="E201" s="577" t="s">
        <v>393</v>
      </c>
      <c r="F201" s="570">
        <v>28.06</v>
      </c>
      <c r="G201" s="579">
        <v>12.03</v>
      </c>
      <c r="H201" s="600">
        <v>15.09</v>
      </c>
      <c r="I201" s="600">
        <v>423.42</v>
      </c>
      <c r="J201" s="612">
        <v>1.72175566410932e-5</v>
      </c>
      <c r="K201" s="613">
        <f t="shared" ref="K201:K264" si="13">$I$1051</f>
        <v>0</v>
      </c>
      <c r="L201" s="610">
        <f t="shared" si="12"/>
        <v>423.42</v>
      </c>
      <c r="M201" s="601"/>
      <c r="N201" s="601"/>
      <c r="O201" s="601"/>
      <c r="P201" s="601"/>
      <c r="Q201" s="601"/>
      <c r="R201" s="601"/>
      <c r="S201" s="601"/>
      <c r="T201" s="601"/>
      <c r="U201" s="601"/>
      <c r="V201" s="601"/>
      <c r="W201" s="601"/>
      <c r="X201" s="601"/>
      <c r="Y201" s="601"/>
    </row>
    <row r="202" ht="25.5" spans="1:25">
      <c r="A202" s="569" t="s">
        <v>569</v>
      </c>
      <c r="B202" s="569" t="s">
        <v>455</v>
      </c>
      <c r="C202" s="569" t="s">
        <v>139</v>
      </c>
      <c r="D202" s="569" t="s">
        <v>456</v>
      </c>
      <c r="E202" s="577" t="s">
        <v>393</v>
      </c>
      <c r="F202" s="570">
        <v>87.6</v>
      </c>
      <c r="G202" s="579">
        <v>14.11</v>
      </c>
      <c r="H202" s="600">
        <v>17.7</v>
      </c>
      <c r="I202" s="600">
        <v>1550.52</v>
      </c>
      <c r="J202" s="612">
        <v>6.30489016181283e-5</v>
      </c>
      <c r="K202" s="613">
        <f t="shared" si="13"/>
        <v>0</v>
      </c>
      <c r="L202" s="610">
        <f t="shared" si="12"/>
        <v>1550.52</v>
      </c>
      <c r="M202" s="601"/>
      <c r="N202" s="601"/>
      <c r="O202" s="601"/>
      <c r="P202" s="601"/>
      <c r="Q202" s="601"/>
      <c r="R202" s="601"/>
      <c r="S202" s="601"/>
      <c r="T202" s="601"/>
      <c r="U202" s="601"/>
      <c r="V202" s="601"/>
      <c r="W202" s="601"/>
      <c r="X202" s="601"/>
      <c r="Y202" s="601"/>
    </row>
    <row r="203" ht="38.25" spans="1:25">
      <c r="A203" s="569" t="s">
        <v>570</v>
      </c>
      <c r="B203" s="569" t="s">
        <v>552</v>
      </c>
      <c r="C203" s="569" t="s">
        <v>139</v>
      </c>
      <c r="D203" s="569" t="s">
        <v>553</v>
      </c>
      <c r="E203" s="577" t="s">
        <v>141</v>
      </c>
      <c r="F203" s="570">
        <v>23</v>
      </c>
      <c r="G203" s="579">
        <v>72.9</v>
      </c>
      <c r="H203" s="600">
        <v>91.48</v>
      </c>
      <c r="I203" s="600">
        <v>2104.04</v>
      </c>
      <c r="J203" s="612">
        <v>8.55567235254022e-5</v>
      </c>
      <c r="K203" s="613">
        <f t="shared" si="13"/>
        <v>0</v>
      </c>
      <c r="L203" s="610">
        <f t="shared" si="12"/>
        <v>2104.04</v>
      </c>
      <c r="M203" s="601"/>
      <c r="N203" s="601"/>
      <c r="O203" s="601"/>
      <c r="P203" s="601"/>
      <c r="Q203" s="601"/>
      <c r="R203" s="601"/>
      <c r="S203" s="601"/>
      <c r="T203" s="601"/>
      <c r="U203" s="601"/>
      <c r="V203" s="601"/>
      <c r="W203" s="601"/>
      <c r="X203" s="601"/>
      <c r="Y203" s="601"/>
    </row>
    <row r="204" ht="25.5" spans="1:25">
      <c r="A204" s="569" t="s">
        <v>571</v>
      </c>
      <c r="B204" s="569" t="s">
        <v>555</v>
      </c>
      <c r="C204" s="569" t="s">
        <v>139</v>
      </c>
      <c r="D204" s="569" t="s">
        <v>556</v>
      </c>
      <c r="E204" s="577" t="s">
        <v>141</v>
      </c>
      <c r="F204" s="570">
        <v>20.8</v>
      </c>
      <c r="G204" s="579">
        <v>130.07</v>
      </c>
      <c r="H204" s="600">
        <v>163.22</v>
      </c>
      <c r="I204" s="600">
        <v>3394.97</v>
      </c>
      <c r="J204" s="612">
        <v>0.000138049899083209</v>
      </c>
      <c r="K204" s="613">
        <f t="shared" si="13"/>
        <v>0</v>
      </c>
      <c r="L204" s="610">
        <f t="shared" si="12"/>
        <v>3394.97</v>
      </c>
      <c r="M204" s="601"/>
      <c r="N204" s="601"/>
      <c r="O204" s="601"/>
      <c r="P204" s="601"/>
      <c r="Q204" s="601"/>
      <c r="R204" s="601"/>
      <c r="S204" s="601"/>
      <c r="T204" s="601"/>
      <c r="U204" s="601"/>
      <c r="V204" s="601"/>
      <c r="W204" s="601"/>
      <c r="X204" s="601"/>
      <c r="Y204" s="601"/>
    </row>
    <row r="205" ht="25.5" spans="1:25">
      <c r="A205" s="569" t="s">
        <v>572</v>
      </c>
      <c r="B205" s="569" t="s">
        <v>558</v>
      </c>
      <c r="C205" s="569" t="s">
        <v>139</v>
      </c>
      <c r="D205" s="569" t="s">
        <v>559</v>
      </c>
      <c r="E205" s="577" t="s">
        <v>141</v>
      </c>
      <c r="F205" s="570">
        <v>28.5</v>
      </c>
      <c r="G205" s="579">
        <v>83</v>
      </c>
      <c r="H205" s="600">
        <v>104.15</v>
      </c>
      <c r="I205" s="600">
        <v>2968.27</v>
      </c>
      <c r="J205" s="612">
        <v>0.000120698967576066</v>
      </c>
      <c r="K205" s="613">
        <f t="shared" si="13"/>
        <v>0</v>
      </c>
      <c r="L205" s="610">
        <f t="shared" si="12"/>
        <v>2968.27</v>
      </c>
      <c r="M205" s="601"/>
      <c r="N205" s="601"/>
      <c r="O205" s="601"/>
      <c r="P205" s="601"/>
      <c r="Q205" s="601"/>
      <c r="R205" s="601"/>
      <c r="S205" s="601"/>
      <c r="T205" s="601"/>
      <c r="U205" s="601"/>
      <c r="V205" s="601"/>
      <c r="W205" s="601"/>
      <c r="X205" s="601"/>
      <c r="Y205" s="601"/>
    </row>
    <row r="206" ht="25.5" spans="1:25">
      <c r="A206" s="569" t="s">
        <v>573</v>
      </c>
      <c r="B206" s="569" t="s">
        <v>561</v>
      </c>
      <c r="C206" s="569" t="s">
        <v>139</v>
      </c>
      <c r="D206" s="569" t="s">
        <v>562</v>
      </c>
      <c r="E206" s="577" t="s">
        <v>279</v>
      </c>
      <c r="F206" s="570">
        <v>73.4</v>
      </c>
      <c r="G206" s="579">
        <v>20.25</v>
      </c>
      <c r="H206" s="600">
        <v>25.41</v>
      </c>
      <c r="I206" s="600">
        <v>1865.09</v>
      </c>
      <c r="J206" s="612">
        <v>7.584028320754e-5</v>
      </c>
      <c r="K206" s="613">
        <f t="shared" si="13"/>
        <v>0</v>
      </c>
      <c r="L206" s="610">
        <f t="shared" si="12"/>
        <v>1865.09</v>
      </c>
      <c r="M206" s="601"/>
      <c r="N206" s="601"/>
      <c r="O206" s="601"/>
      <c r="P206" s="601"/>
      <c r="Q206" s="601"/>
      <c r="R206" s="601"/>
      <c r="S206" s="601"/>
      <c r="T206" s="601"/>
      <c r="U206" s="601"/>
      <c r="V206" s="601"/>
      <c r="W206" s="601"/>
      <c r="X206" s="601"/>
      <c r="Y206" s="601"/>
    </row>
    <row r="207" ht="15" spans="1:25">
      <c r="A207" s="596" t="s">
        <v>30</v>
      </c>
      <c r="B207" s="596" t="s">
        <v>74</v>
      </c>
      <c r="C207" s="596"/>
      <c r="D207" s="596" t="s">
        <v>31</v>
      </c>
      <c r="E207" s="597"/>
      <c r="F207" s="598">
        <v>1</v>
      </c>
      <c r="G207" s="598"/>
      <c r="H207" s="599">
        <v>89452.13</v>
      </c>
      <c r="I207" s="599">
        <v>89452.13</v>
      </c>
      <c r="J207" s="608">
        <v>0.00363739812701676</v>
      </c>
      <c r="K207" s="613">
        <f t="shared" si="13"/>
        <v>0</v>
      </c>
      <c r="L207" s="610">
        <f>SUM(L208,L210)</f>
        <v>89452.13</v>
      </c>
      <c r="M207" s="601"/>
      <c r="N207" s="601"/>
      <c r="O207" s="601"/>
      <c r="P207" s="601"/>
      <c r="Q207" s="601"/>
      <c r="R207" s="601"/>
      <c r="S207" s="601"/>
      <c r="T207" s="601"/>
      <c r="U207" s="601"/>
      <c r="V207" s="601"/>
      <c r="W207" s="601"/>
      <c r="X207" s="601"/>
      <c r="Y207" s="601"/>
    </row>
    <row r="208" ht="15" spans="1:25">
      <c r="A208" s="596" t="s">
        <v>574</v>
      </c>
      <c r="B208" s="596" t="s">
        <v>74</v>
      </c>
      <c r="C208" s="596"/>
      <c r="D208" s="596" t="s">
        <v>575</v>
      </c>
      <c r="E208" s="597"/>
      <c r="F208" s="598">
        <v>1</v>
      </c>
      <c r="G208" s="598"/>
      <c r="H208" s="599">
        <v>46069.94</v>
      </c>
      <c r="I208" s="599">
        <v>46069.94</v>
      </c>
      <c r="J208" s="608">
        <v>0.00187334514525003</v>
      </c>
      <c r="K208" s="613">
        <f t="shared" si="13"/>
        <v>0</v>
      </c>
      <c r="L208" s="610">
        <f>SUM(L209)</f>
        <v>46069.94</v>
      </c>
      <c r="M208" s="601"/>
      <c r="N208" s="601"/>
      <c r="O208" s="601"/>
      <c r="P208" s="601"/>
      <c r="Q208" s="601"/>
      <c r="R208" s="601"/>
      <c r="S208" s="601"/>
      <c r="T208" s="601"/>
      <c r="U208" s="601"/>
      <c r="V208" s="601"/>
      <c r="W208" s="601"/>
      <c r="X208" s="601"/>
      <c r="Y208" s="601"/>
    </row>
    <row r="209" ht="38.25" spans="1:25">
      <c r="A209" s="569" t="s">
        <v>576</v>
      </c>
      <c r="B209" s="569" t="s">
        <v>577</v>
      </c>
      <c r="C209" s="569" t="s">
        <v>139</v>
      </c>
      <c r="D209" s="569" t="s">
        <v>578</v>
      </c>
      <c r="E209" s="577" t="s">
        <v>141</v>
      </c>
      <c r="F209" s="570">
        <v>413.74</v>
      </c>
      <c r="G209" s="579">
        <v>88.74</v>
      </c>
      <c r="H209" s="600">
        <v>111.35</v>
      </c>
      <c r="I209" s="600">
        <v>46069.94</v>
      </c>
      <c r="J209" s="612">
        <v>0.00187334514525003</v>
      </c>
      <c r="K209" s="613">
        <f t="shared" si="13"/>
        <v>0</v>
      </c>
      <c r="L209" s="610">
        <f>I209-(I209*K209)</f>
        <v>46069.94</v>
      </c>
      <c r="M209" s="601"/>
      <c r="N209" s="601"/>
      <c r="O209" s="601"/>
      <c r="P209" s="601"/>
      <c r="Q209" s="601"/>
      <c r="R209" s="601"/>
      <c r="S209" s="601"/>
      <c r="T209" s="601"/>
      <c r="U209" s="601"/>
      <c r="V209" s="601"/>
      <c r="W209" s="601"/>
      <c r="X209" s="601"/>
      <c r="Y209" s="601"/>
    </row>
    <row r="210" ht="15" spans="1:25">
      <c r="A210" s="596" t="s">
        <v>579</v>
      </c>
      <c r="B210" s="596" t="s">
        <v>74</v>
      </c>
      <c r="C210" s="596"/>
      <c r="D210" s="596" t="s">
        <v>580</v>
      </c>
      <c r="E210" s="597"/>
      <c r="F210" s="598">
        <v>1</v>
      </c>
      <c r="G210" s="598"/>
      <c r="H210" s="599">
        <v>43382.19</v>
      </c>
      <c r="I210" s="599">
        <v>43382.19</v>
      </c>
      <c r="J210" s="608">
        <v>0.00176405298176673</v>
      </c>
      <c r="K210" s="613">
        <f t="shared" si="13"/>
        <v>0</v>
      </c>
      <c r="L210" s="610">
        <f>SUM(L211:L212)</f>
        <v>43382.19</v>
      </c>
      <c r="M210" s="601"/>
      <c r="N210" s="601"/>
      <c r="O210" s="601"/>
      <c r="P210" s="601"/>
      <c r="Q210" s="601"/>
      <c r="R210" s="601"/>
      <c r="S210" s="601"/>
      <c r="T210" s="601"/>
      <c r="U210" s="601"/>
      <c r="V210" s="601"/>
      <c r="W210" s="601"/>
      <c r="X210" s="601"/>
      <c r="Y210" s="601"/>
    </row>
    <row r="211" ht="38.25" spans="1:25">
      <c r="A211" s="569" t="s">
        <v>581</v>
      </c>
      <c r="B211" s="569" t="s">
        <v>582</v>
      </c>
      <c r="C211" s="569" t="s">
        <v>139</v>
      </c>
      <c r="D211" s="569" t="s">
        <v>583</v>
      </c>
      <c r="E211" s="577" t="s">
        <v>141</v>
      </c>
      <c r="F211" s="570">
        <v>263.42</v>
      </c>
      <c r="G211" s="579">
        <v>98.86</v>
      </c>
      <c r="H211" s="600">
        <v>124.05</v>
      </c>
      <c r="I211" s="600">
        <v>32677.25</v>
      </c>
      <c r="J211" s="612">
        <v>0.00132875726878788</v>
      </c>
      <c r="K211" s="613">
        <f t="shared" si="13"/>
        <v>0</v>
      </c>
      <c r="L211" s="610">
        <f>I211-(I211*K211)</f>
        <v>32677.25</v>
      </c>
      <c r="M211" s="601"/>
      <c r="N211" s="601"/>
      <c r="O211" s="601"/>
      <c r="P211" s="601"/>
      <c r="Q211" s="601"/>
      <c r="R211" s="601"/>
      <c r="S211" s="601"/>
      <c r="T211" s="601"/>
      <c r="U211" s="601"/>
      <c r="V211" s="601"/>
      <c r="W211" s="601"/>
      <c r="X211" s="601"/>
      <c r="Y211" s="601"/>
    </row>
    <row r="212" ht="25.5" spans="1:25">
      <c r="A212" s="569" t="s">
        <v>584</v>
      </c>
      <c r="B212" s="569" t="s">
        <v>585</v>
      </c>
      <c r="C212" s="569" t="s">
        <v>77</v>
      </c>
      <c r="D212" s="569" t="s">
        <v>586</v>
      </c>
      <c r="E212" s="577" t="s">
        <v>141</v>
      </c>
      <c r="F212" s="570">
        <v>194.6</v>
      </c>
      <c r="G212" s="579">
        <v>43.84</v>
      </c>
      <c r="H212" s="600">
        <v>55.01</v>
      </c>
      <c r="I212" s="600">
        <v>10704.94</v>
      </c>
      <c r="J212" s="612">
        <v>0.00043529571297885</v>
      </c>
      <c r="K212" s="613">
        <f t="shared" si="13"/>
        <v>0</v>
      </c>
      <c r="L212" s="610">
        <f>I212-(I212*K212)</f>
        <v>10704.94</v>
      </c>
      <c r="M212" s="601"/>
      <c r="N212" s="601"/>
      <c r="O212" s="601"/>
      <c r="P212" s="601"/>
      <c r="Q212" s="601"/>
      <c r="R212" s="601"/>
      <c r="S212" s="601"/>
      <c r="T212" s="601"/>
      <c r="U212" s="601"/>
      <c r="V212" s="601"/>
      <c r="W212" s="601"/>
      <c r="X212" s="601"/>
      <c r="Y212" s="601"/>
    </row>
    <row r="213" ht="15" spans="1:25">
      <c r="A213" s="596" t="s">
        <v>32</v>
      </c>
      <c r="B213" s="596" t="s">
        <v>74</v>
      </c>
      <c r="C213" s="596"/>
      <c r="D213" s="596" t="s">
        <v>33</v>
      </c>
      <c r="E213" s="597"/>
      <c r="F213" s="598">
        <v>1</v>
      </c>
      <c r="G213" s="598"/>
      <c r="H213" s="599">
        <v>79099.69</v>
      </c>
      <c r="I213" s="599">
        <v>79099.69</v>
      </c>
      <c r="J213" s="608">
        <v>0.00321643614583136</v>
      </c>
      <c r="K213" s="613">
        <f t="shared" si="13"/>
        <v>0</v>
      </c>
      <c r="L213" s="610">
        <f>SUM(L214:L218)</f>
        <v>79099.69</v>
      </c>
      <c r="M213" s="601"/>
      <c r="N213" s="601"/>
      <c r="O213" s="601"/>
      <c r="P213" s="601"/>
      <c r="Q213" s="601"/>
      <c r="R213" s="601"/>
      <c r="S213" s="601"/>
      <c r="T213" s="601"/>
      <c r="U213" s="601"/>
      <c r="V213" s="601"/>
      <c r="W213" s="601"/>
      <c r="X213" s="601"/>
      <c r="Y213" s="601"/>
    </row>
    <row r="214" ht="25.5" spans="1:25">
      <c r="A214" s="569" t="s">
        <v>587</v>
      </c>
      <c r="B214" s="569" t="s">
        <v>588</v>
      </c>
      <c r="C214" s="569" t="s">
        <v>139</v>
      </c>
      <c r="D214" s="569" t="s">
        <v>589</v>
      </c>
      <c r="E214" s="577" t="s">
        <v>141</v>
      </c>
      <c r="F214" s="570">
        <v>194.9</v>
      </c>
      <c r="G214" s="579">
        <v>237.37</v>
      </c>
      <c r="H214" s="600">
        <v>297.87</v>
      </c>
      <c r="I214" s="600">
        <v>58054.86</v>
      </c>
      <c r="J214" s="612">
        <v>0.00236068877318204</v>
      </c>
      <c r="K214" s="613">
        <f t="shared" si="13"/>
        <v>0</v>
      </c>
      <c r="L214" s="610">
        <f>I214-(I214*K214)</f>
        <v>58054.86</v>
      </c>
      <c r="M214" s="601"/>
      <c r="N214" s="601"/>
      <c r="O214" s="601"/>
      <c r="P214" s="601"/>
      <c r="Q214" s="601"/>
      <c r="R214" s="601"/>
      <c r="S214" s="601"/>
      <c r="T214" s="601"/>
      <c r="U214" s="601"/>
      <c r="V214" s="601"/>
      <c r="W214" s="601"/>
      <c r="X214" s="601"/>
      <c r="Y214" s="601"/>
    </row>
    <row r="215" ht="38.25" spans="1:25">
      <c r="A215" s="569" t="s">
        <v>590</v>
      </c>
      <c r="B215" s="569" t="s">
        <v>591</v>
      </c>
      <c r="C215" s="569" t="s">
        <v>139</v>
      </c>
      <c r="D215" s="569" t="s">
        <v>592</v>
      </c>
      <c r="E215" s="577" t="s">
        <v>141</v>
      </c>
      <c r="F215" s="570">
        <v>194.9</v>
      </c>
      <c r="G215" s="579">
        <v>51.21</v>
      </c>
      <c r="H215" s="600">
        <v>64.26</v>
      </c>
      <c r="I215" s="600">
        <v>12524.27</v>
      </c>
      <c r="J215" s="612">
        <v>0.00050927525415272</v>
      </c>
      <c r="K215" s="613">
        <f t="shared" si="13"/>
        <v>0</v>
      </c>
      <c r="L215" s="610">
        <f>I215-(I215*K215)</f>
        <v>12524.27</v>
      </c>
      <c r="M215" s="601"/>
      <c r="N215" s="601"/>
      <c r="O215" s="601"/>
      <c r="P215" s="601"/>
      <c r="Q215" s="601"/>
      <c r="R215" s="601"/>
      <c r="S215" s="601"/>
      <c r="T215" s="601"/>
      <c r="U215" s="601"/>
      <c r="V215" s="601"/>
      <c r="W215" s="601"/>
      <c r="X215" s="601"/>
      <c r="Y215" s="601"/>
    </row>
    <row r="216" ht="38.25" spans="1:25">
      <c r="A216" s="569" t="s">
        <v>593</v>
      </c>
      <c r="B216" s="569" t="s">
        <v>594</v>
      </c>
      <c r="C216" s="569" t="s">
        <v>139</v>
      </c>
      <c r="D216" s="569" t="s">
        <v>595</v>
      </c>
      <c r="E216" s="577" t="s">
        <v>141</v>
      </c>
      <c r="F216" s="570">
        <v>194.9</v>
      </c>
      <c r="G216" s="579">
        <v>14.31</v>
      </c>
      <c r="H216" s="600">
        <v>17.95</v>
      </c>
      <c r="I216" s="600">
        <v>3498.45</v>
      </c>
      <c r="J216" s="612">
        <v>0.000142257713454803</v>
      </c>
      <c r="K216" s="613">
        <f t="shared" si="13"/>
        <v>0</v>
      </c>
      <c r="L216" s="610">
        <f>I216-(I216*K216)</f>
        <v>3498.45</v>
      </c>
      <c r="M216" s="601"/>
      <c r="N216" s="601"/>
      <c r="O216" s="601"/>
      <c r="P216" s="601"/>
      <c r="Q216" s="601"/>
      <c r="R216" s="601"/>
      <c r="S216" s="601"/>
      <c r="T216" s="601"/>
      <c r="U216" s="601"/>
      <c r="V216" s="601"/>
      <c r="W216" s="601"/>
      <c r="X216" s="601"/>
      <c r="Y216" s="601"/>
    </row>
    <row r="217" ht="38.25" spans="1:25">
      <c r="A217" s="569" t="s">
        <v>596</v>
      </c>
      <c r="B217" s="569" t="s">
        <v>597</v>
      </c>
      <c r="C217" s="569" t="s">
        <v>139</v>
      </c>
      <c r="D217" s="569" t="s">
        <v>598</v>
      </c>
      <c r="E217" s="577" t="s">
        <v>141</v>
      </c>
      <c r="F217" s="570">
        <v>194.9</v>
      </c>
      <c r="G217" s="579">
        <v>14.08</v>
      </c>
      <c r="H217" s="600">
        <v>17.66</v>
      </c>
      <c r="I217" s="600">
        <v>3441.93</v>
      </c>
      <c r="J217" s="612">
        <v>0.00013995943679958</v>
      </c>
      <c r="K217" s="613">
        <f t="shared" si="13"/>
        <v>0</v>
      </c>
      <c r="L217" s="610">
        <f>I217-(I217*K217)</f>
        <v>3441.93</v>
      </c>
      <c r="M217" s="601"/>
      <c r="N217" s="601"/>
      <c r="O217" s="601"/>
      <c r="P217" s="601"/>
      <c r="Q217" s="601"/>
      <c r="R217" s="601"/>
      <c r="S217" s="601"/>
      <c r="T217" s="601"/>
      <c r="U217" s="601"/>
      <c r="V217" s="601"/>
      <c r="W217" s="601"/>
      <c r="X217" s="601"/>
      <c r="Y217" s="601"/>
    </row>
    <row r="218" ht="25.5" spans="1:25">
      <c r="A218" s="569" t="s">
        <v>599</v>
      </c>
      <c r="B218" s="569" t="s">
        <v>600</v>
      </c>
      <c r="C218" s="569" t="s">
        <v>139</v>
      </c>
      <c r="D218" s="569" t="s">
        <v>601</v>
      </c>
      <c r="E218" s="577" t="s">
        <v>204</v>
      </c>
      <c r="F218" s="570">
        <v>6.25</v>
      </c>
      <c r="G218" s="579">
        <v>201.48</v>
      </c>
      <c r="H218" s="600">
        <v>252.83</v>
      </c>
      <c r="I218" s="600">
        <v>1580.18</v>
      </c>
      <c r="J218" s="612">
        <v>6.42549682422245e-5</v>
      </c>
      <c r="K218" s="613">
        <f t="shared" si="13"/>
        <v>0</v>
      </c>
      <c r="L218" s="610">
        <f>I218-(I218*K218)</f>
        <v>1580.18</v>
      </c>
      <c r="M218" s="601"/>
      <c r="N218" s="601"/>
      <c r="O218" s="601"/>
      <c r="P218" s="601"/>
      <c r="Q218" s="601"/>
      <c r="R218" s="601"/>
      <c r="S218" s="601"/>
      <c r="T218" s="601"/>
      <c r="U218" s="601"/>
      <c r="V218" s="601"/>
      <c r="W218" s="601"/>
      <c r="X218" s="601"/>
      <c r="Y218" s="601"/>
    </row>
    <row r="219" ht="15" spans="1:25">
      <c r="A219" s="596" t="s">
        <v>34</v>
      </c>
      <c r="B219" s="596" t="s">
        <v>74</v>
      </c>
      <c r="C219" s="596"/>
      <c r="D219" s="596" t="s">
        <v>35</v>
      </c>
      <c r="E219" s="597"/>
      <c r="F219" s="598">
        <v>1</v>
      </c>
      <c r="G219" s="598"/>
      <c r="H219" s="599">
        <v>206292.48</v>
      </c>
      <c r="I219" s="599">
        <v>206292.48</v>
      </c>
      <c r="J219" s="608">
        <v>0.0083884853314241</v>
      </c>
      <c r="K219" s="613">
        <f t="shared" si="13"/>
        <v>0</v>
      </c>
      <c r="L219" s="610">
        <f>SUM(L220,L223)</f>
        <v>206292.48</v>
      </c>
      <c r="M219" s="601"/>
      <c r="N219" s="601"/>
      <c r="O219" s="601"/>
      <c r="P219" s="601"/>
      <c r="Q219" s="601"/>
      <c r="R219" s="601"/>
      <c r="S219" s="601"/>
      <c r="T219" s="601"/>
      <c r="U219" s="601"/>
      <c r="V219" s="601"/>
      <c r="W219" s="601"/>
      <c r="X219" s="601"/>
      <c r="Y219" s="601"/>
    </row>
    <row r="220" ht="15" spans="1:25">
      <c r="A220" s="596" t="s">
        <v>602</v>
      </c>
      <c r="B220" s="596" t="s">
        <v>74</v>
      </c>
      <c r="C220" s="596"/>
      <c r="D220" s="596" t="s">
        <v>603</v>
      </c>
      <c r="E220" s="597"/>
      <c r="F220" s="598">
        <v>1</v>
      </c>
      <c r="G220" s="598"/>
      <c r="H220" s="599">
        <v>187564.09</v>
      </c>
      <c r="I220" s="599">
        <v>187564.09</v>
      </c>
      <c r="J220" s="608">
        <v>0.00762693151813827</v>
      </c>
      <c r="K220" s="613">
        <f t="shared" si="13"/>
        <v>0</v>
      </c>
      <c r="L220" s="610">
        <f>SUM(L221:L222)</f>
        <v>187564.09</v>
      </c>
      <c r="M220" s="601"/>
      <c r="N220" s="601"/>
      <c r="O220" s="601"/>
      <c r="P220" s="601"/>
      <c r="Q220" s="601"/>
      <c r="R220" s="601"/>
      <c r="S220" s="601"/>
      <c r="T220" s="601"/>
      <c r="U220" s="601"/>
      <c r="V220" s="601"/>
      <c r="W220" s="601"/>
      <c r="X220" s="601"/>
      <c r="Y220" s="601"/>
    </row>
    <row r="221" ht="38.25" spans="1:25">
      <c r="A221" s="569" t="s">
        <v>604</v>
      </c>
      <c r="B221" s="569" t="s">
        <v>605</v>
      </c>
      <c r="C221" s="569" t="s">
        <v>139</v>
      </c>
      <c r="D221" s="569" t="s">
        <v>606</v>
      </c>
      <c r="E221" s="577" t="s">
        <v>141</v>
      </c>
      <c r="F221" s="570">
        <v>323.72</v>
      </c>
      <c r="G221" s="579">
        <v>246.08</v>
      </c>
      <c r="H221" s="600">
        <v>308.8</v>
      </c>
      <c r="I221" s="600">
        <v>99964.73</v>
      </c>
      <c r="J221" s="612">
        <v>0.00406487270531999</v>
      </c>
      <c r="K221" s="613">
        <f t="shared" si="13"/>
        <v>0</v>
      </c>
      <c r="L221" s="610">
        <f>I221-(I221*K221)</f>
        <v>99964.73</v>
      </c>
      <c r="M221" s="601"/>
      <c r="N221" s="601"/>
      <c r="O221" s="601"/>
      <c r="P221" s="601"/>
      <c r="Q221" s="601"/>
      <c r="R221" s="601"/>
      <c r="S221" s="601"/>
      <c r="T221" s="601"/>
      <c r="U221" s="601"/>
      <c r="V221" s="601"/>
      <c r="W221" s="601"/>
      <c r="X221" s="601"/>
      <c r="Y221" s="601"/>
    </row>
    <row r="222" ht="25.5" spans="1:25">
      <c r="A222" s="569" t="s">
        <v>607</v>
      </c>
      <c r="B222" s="569" t="s">
        <v>608</v>
      </c>
      <c r="C222" s="569" t="s">
        <v>139</v>
      </c>
      <c r="D222" s="569" t="s">
        <v>609</v>
      </c>
      <c r="E222" s="577" t="s">
        <v>141</v>
      </c>
      <c r="F222" s="570">
        <v>335.9</v>
      </c>
      <c r="G222" s="579">
        <v>207.82</v>
      </c>
      <c r="H222" s="600">
        <v>260.79</v>
      </c>
      <c r="I222" s="600">
        <v>87599.36</v>
      </c>
      <c r="J222" s="612">
        <v>0.00356205881281828</v>
      </c>
      <c r="K222" s="613">
        <f t="shared" si="13"/>
        <v>0</v>
      </c>
      <c r="L222" s="610">
        <f>I222-(I222*K222)</f>
        <v>87599.36</v>
      </c>
      <c r="M222" s="601"/>
      <c r="N222" s="601"/>
      <c r="O222" s="601"/>
      <c r="P222" s="601"/>
      <c r="Q222" s="601"/>
      <c r="R222" s="601"/>
      <c r="S222" s="601"/>
      <c r="T222" s="601"/>
      <c r="U222" s="601"/>
      <c r="V222" s="601"/>
      <c r="W222" s="601"/>
      <c r="X222" s="601"/>
      <c r="Y222" s="601"/>
    </row>
    <row r="223" ht="15" spans="1:25">
      <c r="A223" s="596" t="s">
        <v>610</v>
      </c>
      <c r="B223" s="596" t="s">
        <v>74</v>
      </c>
      <c r="C223" s="596"/>
      <c r="D223" s="596" t="s">
        <v>611</v>
      </c>
      <c r="E223" s="597"/>
      <c r="F223" s="598">
        <v>1</v>
      </c>
      <c r="G223" s="598"/>
      <c r="H223" s="599">
        <v>18728.39</v>
      </c>
      <c r="I223" s="599">
        <v>18728.39</v>
      </c>
      <c r="J223" s="608">
        <v>0.000761553813285825</v>
      </c>
      <c r="K223" s="613">
        <f t="shared" si="13"/>
        <v>0</v>
      </c>
      <c r="L223" s="610">
        <f>SUM(L224,L227)</f>
        <v>18728.39</v>
      </c>
      <c r="M223" s="601"/>
      <c r="N223" s="601"/>
      <c r="O223" s="601"/>
      <c r="P223" s="601"/>
      <c r="Q223" s="601"/>
      <c r="R223" s="601"/>
      <c r="S223" s="601"/>
      <c r="T223" s="601"/>
      <c r="U223" s="601"/>
      <c r="V223" s="601"/>
      <c r="W223" s="601"/>
      <c r="X223" s="601"/>
      <c r="Y223" s="601"/>
    </row>
    <row r="224" ht="15" spans="1:25">
      <c r="A224" s="596" t="s">
        <v>612</v>
      </c>
      <c r="B224" s="596" t="s">
        <v>74</v>
      </c>
      <c r="C224" s="596"/>
      <c r="D224" s="596" t="s">
        <v>381</v>
      </c>
      <c r="E224" s="597"/>
      <c r="F224" s="598">
        <v>1</v>
      </c>
      <c r="G224" s="598"/>
      <c r="H224" s="599">
        <v>10760.31</v>
      </c>
      <c r="I224" s="599">
        <v>10760.31</v>
      </c>
      <c r="J224" s="608">
        <v>0.000437547227104818</v>
      </c>
      <c r="K224" s="613">
        <f t="shared" si="13"/>
        <v>0</v>
      </c>
      <c r="L224" s="610">
        <f>SUM(L225:L226)</f>
        <v>10760.31</v>
      </c>
      <c r="M224" s="601"/>
      <c r="N224" s="601"/>
      <c r="O224" s="601"/>
      <c r="P224" s="601"/>
      <c r="Q224" s="601"/>
      <c r="R224" s="601"/>
      <c r="S224" s="601"/>
      <c r="T224" s="601"/>
      <c r="U224" s="601"/>
      <c r="V224" s="601"/>
      <c r="W224" s="601"/>
      <c r="X224" s="601"/>
      <c r="Y224" s="601"/>
    </row>
    <row r="225" ht="25.5" spans="1:25">
      <c r="A225" s="569" t="s">
        <v>613</v>
      </c>
      <c r="B225" s="569" t="s">
        <v>614</v>
      </c>
      <c r="C225" s="569" t="s">
        <v>139</v>
      </c>
      <c r="D225" s="569" t="s">
        <v>615</v>
      </c>
      <c r="E225" s="577" t="s">
        <v>141</v>
      </c>
      <c r="F225" s="570">
        <v>123.5</v>
      </c>
      <c r="G225" s="579">
        <v>56.43</v>
      </c>
      <c r="H225" s="600">
        <v>70.81</v>
      </c>
      <c r="I225" s="600">
        <v>8745.03</v>
      </c>
      <c r="J225" s="612">
        <v>0.000355599757576542</v>
      </c>
      <c r="K225" s="613">
        <f t="shared" si="13"/>
        <v>0</v>
      </c>
      <c r="L225" s="610">
        <f>I225-(I225*K225)</f>
        <v>8745.03</v>
      </c>
      <c r="M225" s="601"/>
      <c r="N225" s="601"/>
      <c r="O225" s="601"/>
      <c r="P225" s="601"/>
      <c r="Q225" s="601"/>
      <c r="R225" s="601"/>
      <c r="S225" s="601"/>
      <c r="T225" s="601"/>
      <c r="U225" s="601"/>
      <c r="V225" s="601"/>
      <c r="W225" s="601"/>
      <c r="X225" s="601"/>
      <c r="Y225" s="601"/>
    </row>
    <row r="226" ht="25.5" spans="1:25">
      <c r="A226" s="569" t="s">
        <v>616</v>
      </c>
      <c r="B226" s="569" t="s">
        <v>617</v>
      </c>
      <c r="C226" s="569" t="s">
        <v>139</v>
      </c>
      <c r="D226" s="569" t="s">
        <v>618</v>
      </c>
      <c r="E226" s="577" t="s">
        <v>141</v>
      </c>
      <c r="F226" s="570">
        <v>40.5</v>
      </c>
      <c r="G226" s="579">
        <v>39.66</v>
      </c>
      <c r="H226" s="600">
        <v>49.76</v>
      </c>
      <c r="I226" s="600">
        <v>2015.28</v>
      </c>
      <c r="J226" s="612">
        <v>8.19474695282754e-5</v>
      </c>
      <c r="K226" s="613">
        <f t="shared" si="13"/>
        <v>0</v>
      </c>
      <c r="L226" s="610">
        <f>I226-(I226*K226)</f>
        <v>2015.28</v>
      </c>
      <c r="M226" s="601"/>
      <c r="N226" s="601"/>
      <c r="O226" s="601"/>
      <c r="P226" s="601"/>
      <c r="Q226" s="601"/>
      <c r="R226" s="601"/>
      <c r="S226" s="601"/>
      <c r="T226" s="601"/>
      <c r="U226" s="601"/>
      <c r="V226" s="601"/>
      <c r="W226" s="601"/>
      <c r="X226" s="601"/>
      <c r="Y226" s="601"/>
    </row>
    <row r="227" ht="15" spans="1:25">
      <c r="A227" s="596" t="s">
        <v>619</v>
      </c>
      <c r="B227" s="596" t="s">
        <v>74</v>
      </c>
      <c r="C227" s="596"/>
      <c r="D227" s="596" t="s">
        <v>385</v>
      </c>
      <c r="E227" s="597"/>
      <c r="F227" s="598">
        <v>1</v>
      </c>
      <c r="G227" s="598"/>
      <c r="H227" s="599">
        <v>7968.08</v>
      </c>
      <c r="I227" s="599">
        <v>7968.08</v>
      </c>
      <c r="J227" s="608">
        <v>0.000324006586181007</v>
      </c>
      <c r="K227" s="613">
        <f t="shared" si="13"/>
        <v>0</v>
      </c>
      <c r="L227" s="610">
        <f>SUM(L228:L229)</f>
        <v>7968.08</v>
      </c>
      <c r="M227" s="601"/>
      <c r="N227" s="601"/>
      <c r="O227" s="601"/>
      <c r="P227" s="601"/>
      <c r="Q227" s="601"/>
      <c r="R227" s="601"/>
      <c r="S227" s="601"/>
      <c r="T227" s="601"/>
      <c r="U227" s="601"/>
      <c r="V227" s="601"/>
      <c r="W227" s="601"/>
      <c r="X227" s="601"/>
      <c r="Y227" s="601"/>
    </row>
    <row r="228" ht="25.5" spans="1:25">
      <c r="A228" s="569" t="s">
        <v>620</v>
      </c>
      <c r="B228" s="569" t="s">
        <v>614</v>
      </c>
      <c r="C228" s="569" t="s">
        <v>139</v>
      </c>
      <c r="D228" s="569" t="s">
        <v>615</v>
      </c>
      <c r="E228" s="577" t="s">
        <v>141</v>
      </c>
      <c r="F228" s="570">
        <v>92.5</v>
      </c>
      <c r="G228" s="579">
        <v>56.43</v>
      </c>
      <c r="H228" s="600">
        <v>70.81</v>
      </c>
      <c r="I228" s="600">
        <v>6549.92</v>
      </c>
      <c r="J228" s="612">
        <v>0.000266339848364814</v>
      </c>
      <c r="K228" s="613">
        <f t="shared" si="13"/>
        <v>0</v>
      </c>
      <c r="L228" s="610">
        <f>I228-(I228*K228)</f>
        <v>6549.92</v>
      </c>
      <c r="M228" s="601"/>
      <c r="N228" s="601"/>
      <c r="O228" s="601"/>
      <c r="P228" s="601"/>
      <c r="Q228" s="601"/>
      <c r="R228" s="601"/>
      <c r="S228" s="601"/>
      <c r="T228" s="601"/>
      <c r="U228" s="601"/>
      <c r="V228" s="601"/>
      <c r="W228" s="601"/>
      <c r="X228" s="601"/>
      <c r="Y228" s="601"/>
    </row>
    <row r="229" ht="25.5" spans="1:25">
      <c r="A229" s="569" t="s">
        <v>621</v>
      </c>
      <c r="B229" s="569" t="s">
        <v>617</v>
      </c>
      <c r="C229" s="569" t="s">
        <v>139</v>
      </c>
      <c r="D229" s="569" t="s">
        <v>618</v>
      </c>
      <c r="E229" s="577" t="s">
        <v>141</v>
      </c>
      <c r="F229" s="570">
        <v>28.5</v>
      </c>
      <c r="G229" s="579">
        <v>39.66</v>
      </c>
      <c r="H229" s="600">
        <v>49.76</v>
      </c>
      <c r="I229" s="600">
        <v>1418.16</v>
      </c>
      <c r="J229" s="612">
        <v>5.76667378161938e-5</v>
      </c>
      <c r="K229" s="613">
        <f t="shared" si="13"/>
        <v>0</v>
      </c>
      <c r="L229" s="610">
        <f>I229-(I229*K229)</f>
        <v>1418.16</v>
      </c>
      <c r="M229" s="601"/>
      <c r="N229" s="601"/>
      <c r="O229" s="601"/>
      <c r="P229" s="601"/>
      <c r="Q229" s="601"/>
      <c r="R229" s="601"/>
      <c r="S229" s="601"/>
      <c r="T229" s="601"/>
      <c r="U229" s="601"/>
      <c r="V229" s="601"/>
      <c r="W229" s="601"/>
      <c r="X229" s="601"/>
      <c r="Y229" s="601"/>
    </row>
    <row r="230" ht="15" spans="1:25">
      <c r="A230" s="596" t="s">
        <v>36</v>
      </c>
      <c r="B230" s="596" t="s">
        <v>74</v>
      </c>
      <c r="C230" s="596"/>
      <c r="D230" s="596" t="s">
        <v>37</v>
      </c>
      <c r="E230" s="597"/>
      <c r="F230" s="598">
        <v>1</v>
      </c>
      <c r="G230" s="598"/>
      <c r="H230" s="599">
        <v>1919498.97</v>
      </c>
      <c r="I230" s="599">
        <v>1919498.97</v>
      </c>
      <c r="J230" s="608">
        <v>0.078052718904386</v>
      </c>
      <c r="K230" s="613">
        <f t="shared" si="13"/>
        <v>0</v>
      </c>
      <c r="L230" s="610">
        <f>SUM(L231,L259,L262,L268)</f>
        <v>1919498.97</v>
      </c>
      <c r="M230" s="601"/>
      <c r="N230" s="601"/>
      <c r="O230" s="601"/>
      <c r="P230" s="601"/>
      <c r="Q230" s="601"/>
      <c r="R230" s="601"/>
      <c r="S230" s="601"/>
      <c r="T230" s="601"/>
      <c r="U230" s="601"/>
      <c r="V230" s="601"/>
      <c r="W230" s="601"/>
      <c r="X230" s="601"/>
      <c r="Y230" s="601"/>
    </row>
    <row r="231" ht="15" spans="1:25">
      <c r="A231" s="596" t="s">
        <v>622</v>
      </c>
      <c r="B231" s="596" t="s">
        <v>74</v>
      </c>
      <c r="C231" s="596"/>
      <c r="D231" s="596" t="s">
        <v>623</v>
      </c>
      <c r="E231" s="597"/>
      <c r="F231" s="598">
        <v>1</v>
      </c>
      <c r="G231" s="598"/>
      <c r="H231" s="599">
        <v>1145032.33</v>
      </c>
      <c r="I231" s="599">
        <v>1145032.33</v>
      </c>
      <c r="J231" s="608">
        <v>0.0465605285476783</v>
      </c>
      <c r="K231" s="613">
        <f t="shared" si="13"/>
        <v>0</v>
      </c>
      <c r="L231" s="610">
        <f>SUM(L232:L258)</f>
        <v>1145032.33</v>
      </c>
      <c r="M231" s="601"/>
      <c r="N231" s="601"/>
      <c r="O231" s="601"/>
      <c r="P231" s="601"/>
      <c r="Q231" s="601"/>
      <c r="R231" s="601"/>
      <c r="S231" s="601"/>
      <c r="T231" s="601"/>
      <c r="U231" s="601"/>
      <c r="V231" s="601"/>
      <c r="W231" s="601"/>
      <c r="X231" s="601"/>
      <c r="Y231" s="601"/>
    </row>
    <row r="232" ht="76.5" spans="1:25">
      <c r="A232" s="569" t="s">
        <v>624</v>
      </c>
      <c r="B232" s="569" t="s">
        <v>625</v>
      </c>
      <c r="C232" s="569" t="s">
        <v>132</v>
      </c>
      <c r="D232" s="569" t="s">
        <v>626</v>
      </c>
      <c r="E232" s="577" t="s">
        <v>134</v>
      </c>
      <c r="F232" s="570">
        <v>11</v>
      </c>
      <c r="G232" s="579">
        <v>994.76</v>
      </c>
      <c r="H232" s="600">
        <v>1248.32</v>
      </c>
      <c r="I232" s="600">
        <v>13731.52</v>
      </c>
      <c r="J232" s="612">
        <v>0.000558365744103501</v>
      </c>
      <c r="K232" s="613">
        <f t="shared" si="13"/>
        <v>0</v>
      </c>
      <c r="L232" s="610">
        <f t="shared" ref="L232:L258" si="14">I232-(I232*K232)</f>
        <v>13731.52</v>
      </c>
      <c r="M232" s="601"/>
      <c r="N232" s="601"/>
      <c r="O232" s="601"/>
      <c r="P232" s="601"/>
      <c r="Q232" s="601"/>
      <c r="R232" s="601"/>
      <c r="S232" s="601"/>
      <c r="T232" s="601"/>
      <c r="U232" s="601"/>
      <c r="V232" s="601"/>
      <c r="W232" s="601"/>
      <c r="X232" s="601"/>
      <c r="Y232" s="601"/>
    </row>
    <row r="233" ht="76.5" spans="1:25">
      <c r="A233" s="569" t="s">
        <v>627</v>
      </c>
      <c r="B233" s="569" t="s">
        <v>628</v>
      </c>
      <c r="C233" s="569" t="s">
        <v>132</v>
      </c>
      <c r="D233" s="569" t="s">
        <v>629</v>
      </c>
      <c r="E233" s="577" t="s">
        <v>134</v>
      </c>
      <c r="F233" s="570">
        <v>14</v>
      </c>
      <c r="G233" s="579">
        <v>1441.92</v>
      </c>
      <c r="H233" s="600">
        <v>1809.46</v>
      </c>
      <c r="I233" s="600">
        <v>25332.44</v>
      </c>
      <c r="J233" s="612">
        <v>0.00103009475357115</v>
      </c>
      <c r="K233" s="613">
        <f t="shared" si="13"/>
        <v>0</v>
      </c>
      <c r="L233" s="610">
        <f t="shared" si="14"/>
        <v>25332.44</v>
      </c>
      <c r="M233" s="601"/>
      <c r="N233" s="601"/>
      <c r="O233" s="601"/>
      <c r="P233" s="601"/>
      <c r="Q233" s="601"/>
      <c r="R233" s="601"/>
      <c r="S233" s="601"/>
      <c r="T233" s="601"/>
      <c r="U233" s="601"/>
      <c r="V233" s="601"/>
      <c r="W233" s="601"/>
      <c r="X233" s="601"/>
      <c r="Y233" s="601"/>
    </row>
    <row r="234" ht="63.75" spans="1:25">
      <c r="A234" s="569" t="s">
        <v>630</v>
      </c>
      <c r="B234" s="569" t="s">
        <v>631</v>
      </c>
      <c r="C234" s="569" t="s">
        <v>132</v>
      </c>
      <c r="D234" s="569" t="s">
        <v>632</v>
      </c>
      <c r="E234" s="577" t="s">
        <v>134</v>
      </c>
      <c r="F234" s="570">
        <v>2</v>
      </c>
      <c r="G234" s="579">
        <v>1274.08</v>
      </c>
      <c r="H234" s="600">
        <v>1598.84</v>
      </c>
      <c r="I234" s="600">
        <v>3197.68</v>
      </c>
      <c r="J234" s="612">
        <v>0.000130027482216454</v>
      </c>
      <c r="K234" s="613">
        <f t="shared" si="13"/>
        <v>0</v>
      </c>
      <c r="L234" s="610">
        <f t="shared" si="14"/>
        <v>3197.68</v>
      </c>
      <c r="M234" s="601"/>
      <c r="N234" s="601"/>
      <c r="O234" s="601"/>
      <c r="P234" s="601"/>
      <c r="Q234" s="601"/>
      <c r="R234" s="601"/>
      <c r="S234" s="601"/>
      <c r="T234" s="601"/>
      <c r="U234" s="601"/>
      <c r="V234" s="601"/>
      <c r="W234" s="601"/>
      <c r="X234" s="601"/>
      <c r="Y234" s="601"/>
    </row>
    <row r="235" ht="76.5" spans="1:25">
      <c r="A235" s="569" t="s">
        <v>633</v>
      </c>
      <c r="B235" s="569" t="s">
        <v>634</v>
      </c>
      <c r="C235" s="569" t="s">
        <v>132</v>
      </c>
      <c r="D235" s="569" t="s">
        <v>635</v>
      </c>
      <c r="E235" s="577" t="s">
        <v>134</v>
      </c>
      <c r="F235" s="570">
        <v>6</v>
      </c>
      <c r="G235" s="579">
        <v>1786.23</v>
      </c>
      <c r="H235" s="600">
        <v>2241.54</v>
      </c>
      <c r="I235" s="600">
        <v>13449.24</v>
      </c>
      <c r="J235" s="612">
        <v>0.000546887373009439</v>
      </c>
      <c r="K235" s="613">
        <f t="shared" si="13"/>
        <v>0</v>
      </c>
      <c r="L235" s="610">
        <f t="shared" si="14"/>
        <v>13449.24</v>
      </c>
      <c r="M235" s="601"/>
      <c r="N235" s="601"/>
      <c r="O235" s="601"/>
      <c r="P235" s="601"/>
      <c r="Q235" s="601"/>
      <c r="R235" s="601"/>
      <c r="S235" s="601"/>
      <c r="T235" s="601"/>
      <c r="U235" s="601"/>
      <c r="V235" s="601"/>
      <c r="W235" s="601"/>
      <c r="X235" s="601"/>
      <c r="Y235" s="601"/>
    </row>
    <row r="236" ht="38.25" spans="1:25">
      <c r="A236" s="569" t="s">
        <v>636</v>
      </c>
      <c r="B236" s="569" t="s">
        <v>637</v>
      </c>
      <c r="C236" s="569" t="s">
        <v>132</v>
      </c>
      <c r="D236" s="569" t="s">
        <v>638</v>
      </c>
      <c r="E236" s="577" t="s">
        <v>134</v>
      </c>
      <c r="F236" s="570">
        <v>8</v>
      </c>
      <c r="G236" s="579">
        <v>3181.52</v>
      </c>
      <c r="H236" s="600">
        <v>3992.48</v>
      </c>
      <c r="I236" s="600">
        <v>31939.84</v>
      </c>
      <c r="J236" s="612">
        <v>0.00129877191513735</v>
      </c>
      <c r="K236" s="613">
        <f t="shared" si="13"/>
        <v>0</v>
      </c>
      <c r="L236" s="610">
        <f t="shared" si="14"/>
        <v>31939.84</v>
      </c>
      <c r="M236" s="601"/>
      <c r="N236" s="601"/>
      <c r="O236" s="601"/>
      <c r="P236" s="601"/>
      <c r="Q236" s="601"/>
      <c r="R236" s="601"/>
      <c r="S236" s="601"/>
      <c r="T236" s="601"/>
      <c r="U236" s="601"/>
      <c r="V236" s="601"/>
      <c r="W236" s="601"/>
      <c r="X236" s="601"/>
      <c r="Y236" s="601"/>
    </row>
    <row r="237" ht="38.25" spans="1:25">
      <c r="A237" s="569" t="s">
        <v>639</v>
      </c>
      <c r="B237" s="569" t="s">
        <v>640</v>
      </c>
      <c r="C237" s="569" t="s">
        <v>132</v>
      </c>
      <c r="D237" s="569" t="s">
        <v>641</v>
      </c>
      <c r="E237" s="577" t="s">
        <v>134</v>
      </c>
      <c r="F237" s="570">
        <v>11</v>
      </c>
      <c r="G237" s="579">
        <v>2680.71</v>
      </c>
      <c r="H237" s="600">
        <v>3364.02</v>
      </c>
      <c r="I237" s="600">
        <v>37004.22</v>
      </c>
      <c r="J237" s="612">
        <v>0.0015047051481023</v>
      </c>
      <c r="K237" s="613">
        <f t="shared" si="13"/>
        <v>0</v>
      </c>
      <c r="L237" s="610">
        <f t="shared" si="14"/>
        <v>37004.22</v>
      </c>
      <c r="M237" s="601"/>
      <c r="N237" s="601"/>
      <c r="O237" s="601"/>
      <c r="P237" s="601"/>
      <c r="Q237" s="601"/>
      <c r="R237" s="601"/>
      <c r="S237" s="601"/>
      <c r="T237" s="601"/>
      <c r="U237" s="601"/>
      <c r="V237" s="601"/>
      <c r="W237" s="601"/>
      <c r="X237" s="601"/>
      <c r="Y237" s="601"/>
    </row>
    <row r="238" ht="63.75" spans="1:25">
      <c r="A238" s="569" t="s">
        <v>642</v>
      </c>
      <c r="B238" s="569" t="s">
        <v>643</v>
      </c>
      <c r="C238" s="569" t="s">
        <v>132</v>
      </c>
      <c r="D238" s="569" t="s">
        <v>644</v>
      </c>
      <c r="E238" s="577" t="s">
        <v>134</v>
      </c>
      <c r="F238" s="570">
        <v>2</v>
      </c>
      <c r="G238" s="579">
        <v>1274.08</v>
      </c>
      <c r="H238" s="600">
        <v>1598.84</v>
      </c>
      <c r="I238" s="600">
        <v>3197.68</v>
      </c>
      <c r="J238" s="612">
        <v>0.000130027482216454</v>
      </c>
      <c r="K238" s="613">
        <f t="shared" si="13"/>
        <v>0</v>
      </c>
      <c r="L238" s="610">
        <f t="shared" si="14"/>
        <v>3197.68</v>
      </c>
      <c r="M238" s="601"/>
      <c r="N238" s="601"/>
      <c r="O238" s="601"/>
      <c r="P238" s="601"/>
      <c r="Q238" s="601"/>
      <c r="R238" s="601"/>
      <c r="S238" s="601"/>
      <c r="T238" s="601"/>
      <c r="U238" s="601"/>
      <c r="V238" s="601"/>
      <c r="W238" s="601"/>
      <c r="X238" s="601"/>
      <c r="Y238" s="601"/>
    </row>
    <row r="239" ht="76.5" spans="1:25">
      <c r="A239" s="569" t="s">
        <v>645</v>
      </c>
      <c r="B239" s="569" t="s">
        <v>646</v>
      </c>
      <c r="C239" s="569" t="s">
        <v>132</v>
      </c>
      <c r="D239" s="569" t="s">
        <v>647</v>
      </c>
      <c r="E239" s="577" t="s">
        <v>134</v>
      </c>
      <c r="F239" s="570">
        <v>46</v>
      </c>
      <c r="G239" s="579">
        <v>1515.72</v>
      </c>
      <c r="H239" s="600">
        <v>1902.07</v>
      </c>
      <c r="I239" s="600">
        <v>87495.22</v>
      </c>
      <c r="J239" s="612">
        <v>0.0035578241608212</v>
      </c>
      <c r="K239" s="613">
        <f t="shared" si="13"/>
        <v>0</v>
      </c>
      <c r="L239" s="610">
        <f t="shared" si="14"/>
        <v>87495.22</v>
      </c>
      <c r="M239" s="601"/>
      <c r="N239" s="601"/>
      <c r="O239" s="601"/>
      <c r="P239" s="601"/>
      <c r="Q239" s="601"/>
      <c r="R239" s="601"/>
      <c r="S239" s="601"/>
      <c r="T239" s="601"/>
      <c r="U239" s="601"/>
      <c r="V239" s="601"/>
      <c r="W239" s="601"/>
      <c r="X239" s="601"/>
      <c r="Y239" s="601"/>
    </row>
    <row r="240" ht="76.5" spans="1:25">
      <c r="A240" s="569" t="s">
        <v>648</v>
      </c>
      <c r="B240" s="569" t="s">
        <v>649</v>
      </c>
      <c r="C240" s="569" t="s">
        <v>132</v>
      </c>
      <c r="D240" s="569" t="s">
        <v>650</v>
      </c>
      <c r="E240" s="577" t="s">
        <v>134</v>
      </c>
      <c r="F240" s="570">
        <v>34</v>
      </c>
      <c r="G240" s="579">
        <v>2210.8</v>
      </c>
      <c r="H240" s="600">
        <v>2774.33</v>
      </c>
      <c r="I240" s="600">
        <v>94327.22</v>
      </c>
      <c r="J240" s="612">
        <v>0.00383563424766629</v>
      </c>
      <c r="K240" s="613">
        <f t="shared" si="13"/>
        <v>0</v>
      </c>
      <c r="L240" s="610">
        <f t="shared" si="14"/>
        <v>94327.22</v>
      </c>
      <c r="M240" s="601"/>
      <c r="N240" s="601"/>
      <c r="O240" s="601"/>
      <c r="P240" s="601"/>
      <c r="Q240" s="601"/>
      <c r="R240" s="601"/>
      <c r="S240" s="601"/>
      <c r="T240" s="601"/>
      <c r="U240" s="601"/>
      <c r="V240" s="601"/>
      <c r="W240" s="601"/>
      <c r="X240" s="601"/>
      <c r="Y240" s="601"/>
    </row>
    <row r="241" ht="89.25" spans="1:25">
      <c r="A241" s="569" t="s">
        <v>651</v>
      </c>
      <c r="B241" s="569" t="s">
        <v>652</v>
      </c>
      <c r="C241" s="569" t="s">
        <v>132</v>
      </c>
      <c r="D241" s="569" t="s">
        <v>653</v>
      </c>
      <c r="E241" s="577" t="s">
        <v>134</v>
      </c>
      <c r="F241" s="570">
        <v>2</v>
      </c>
      <c r="G241" s="579">
        <v>2344.19</v>
      </c>
      <c r="H241" s="600">
        <v>2941.72</v>
      </c>
      <c r="I241" s="600">
        <v>5883.44</v>
      </c>
      <c r="J241" s="612">
        <v>0.000239238726192607</v>
      </c>
      <c r="K241" s="613">
        <f t="shared" si="13"/>
        <v>0</v>
      </c>
      <c r="L241" s="610">
        <f t="shared" si="14"/>
        <v>5883.44</v>
      </c>
      <c r="M241" s="601"/>
      <c r="N241" s="601"/>
      <c r="O241" s="601"/>
      <c r="P241" s="601"/>
      <c r="Q241" s="601"/>
      <c r="R241" s="601"/>
      <c r="S241" s="601"/>
      <c r="T241" s="601"/>
      <c r="U241" s="601"/>
      <c r="V241" s="601"/>
      <c r="W241" s="601"/>
      <c r="X241" s="601"/>
      <c r="Y241" s="601"/>
    </row>
    <row r="242" ht="76.5" spans="1:25">
      <c r="A242" s="569" t="s">
        <v>654</v>
      </c>
      <c r="B242" s="569" t="s">
        <v>655</v>
      </c>
      <c r="C242" s="569" t="s">
        <v>132</v>
      </c>
      <c r="D242" s="569" t="s">
        <v>656</v>
      </c>
      <c r="E242" s="577" t="s">
        <v>134</v>
      </c>
      <c r="F242" s="570">
        <v>10</v>
      </c>
      <c r="G242" s="579">
        <v>12765.89</v>
      </c>
      <c r="H242" s="600">
        <v>16019.91</v>
      </c>
      <c r="I242" s="600">
        <v>160199.1</v>
      </c>
      <c r="J242" s="612">
        <v>0.00651418704383864</v>
      </c>
      <c r="K242" s="613">
        <f t="shared" si="13"/>
        <v>0</v>
      </c>
      <c r="L242" s="610">
        <f t="shared" si="14"/>
        <v>160199.1</v>
      </c>
      <c r="M242" s="601"/>
      <c r="N242" s="601"/>
      <c r="O242" s="601"/>
      <c r="P242" s="601"/>
      <c r="Q242" s="601"/>
      <c r="R242" s="601"/>
      <c r="S242" s="601"/>
      <c r="T242" s="601"/>
      <c r="U242" s="601"/>
      <c r="V242" s="601"/>
      <c r="W242" s="601"/>
      <c r="X242" s="601"/>
      <c r="Y242" s="601"/>
    </row>
    <row r="243" ht="51" spans="1:25">
      <c r="A243" s="569" t="s">
        <v>657</v>
      </c>
      <c r="B243" s="569" t="s">
        <v>658</v>
      </c>
      <c r="C243" s="569" t="s">
        <v>132</v>
      </c>
      <c r="D243" s="569" t="s">
        <v>659</v>
      </c>
      <c r="E243" s="577" t="s">
        <v>134</v>
      </c>
      <c r="F243" s="570">
        <v>4</v>
      </c>
      <c r="G243" s="579">
        <v>10121.34</v>
      </c>
      <c r="H243" s="600">
        <v>12701.26</v>
      </c>
      <c r="I243" s="600">
        <v>50805.04</v>
      </c>
      <c r="J243" s="612">
        <v>0.00206588884288179</v>
      </c>
      <c r="K243" s="613">
        <f t="shared" si="13"/>
        <v>0</v>
      </c>
      <c r="L243" s="610">
        <f t="shared" si="14"/>
        <v>50805.04</v>
      </c>
      <c r="M243" s="601"/>
      <c r="N243" s="601"/>
      <c r="O243" s="601"/>
      <c r="P243" s="601"/>
      <c r="Q243" s="601"/>
      <c r="R243" s="601"/>
      <c r="S243" s="601"/>
      <c r="T243" s="601"/>
      <c r="U243" s="601"/>
      <c r="V243" s="601"/>
      <c r="W243" s="601"/>
      <c r="X243" s="601"/>
      <c r="Y243" s="601"/>
    </row>
    <row r="244" ht="38.25" spans="1:25">
      <c r="A244" s="569" t="s">
        <v>660</v>
      </c>
      <c r="B244" s="569" t="s">
        <v>661</v>
      </c>
      <c r="C244" s="569" t="s">
        <v>132</v>
      </c>
      <c r="D244" s="569" t="s">
        <v>662</v>
      </c>
      <c r="E244" s="577" t="s">
        <v>134</v>
      </c>
      <c r="F244" s="570">
        <v>4</v>
      </c>
      <c r="G244" s="579">
        <v>6755.4</v>
      </c>
      <c r="H244" s="600">
        <v>8477.35</v>
      </c>
      <c r="I244" s="600">
        <v>33909.4</v>
      </c>
      <c r="J244" s="612">
        <v>0.00137886026915471</v>
      </c>
      <c r="K244" s="613">
        <f t="shared" si="13"/>
        <v>0</v>
      </c>
      <c r="L244" s="610">
        <f t="shared" si="14"/>
        <v>33909.4</v>
      </c>
      <c r="M244" s="601"/>
      <c r="N244" s="601"/>
      <c r="O244" s="601"/>
      <c r="P244" s="601"/>
      <c r="Q244" s="601"/>
      <c r="R244" s="601"/>
      <c r="S244" s="601"/>
      <c r="T244" s="601"/>
      <c r="U244" s="601"/>
      <c r="V244" s="601"/>
      <c r="W244" s="601"/>
      <c r="X244" s="601"/>
      <c r="Y244" s="601"/>
    </row>
    <row r="245" ht="51" spans="1:25">
      <c r="A245" s="569" t="s">
        <v>663</v>
      </c>
      <c r="B245" s="569" t="s">
        <v>664</v>
      </c>
      <c r="C245" s="569" t="s">
        <v>132</v>
      </c>
      <c r="D245" s="569" t="s">
        <v>665</v>
      </c>
      <c r="E245" s="577" t="s">
        <v>134</v>
      </c>
      <c r="F245" s="570">
        <v>3</v>
      </c>
      <c r="G245" s="579">
        <v>5122.16</v>
      </c>
      <c r="H245" s="600">
        <v>6427.79</v>
      </c>
      <c r="I245" s="600">
        <v>19283.37</v>
      </c>
      <c r="J245" s="612">
        <v>0.000784121003273719</v>
      </c>
      <c r="K245" s="613">
        <f t="shared" si="13"/>
        <v>0</v>
      </c>
      <c r="L245" s="610">
        <f t="shared" si="14"/>
        <v>19283.37</v>
      </c>
      <c r="M245" s="601"/>
      <c r="N245" s="601"/>
      <c r="O245" s="601"/>
      <c r="P245" s="601"/>
      <c r="Q245" s="601"/>
      <c r="R245" s="601"/>
      <c r="S245" s="601"/>
      <c r="T245" s="601"/>
      <c r="U245" s="601"/>
      <c r="V245" s="601"/>
      <c r="W245" s="601"/>
      <c r="X245" s="601"/>
      <c r="Y245" s="601"/>
    </row>
    <row r="246" ht="51" spans="1:25">
      <c r="A246" s="569" t="s">
        <v>666</v>
      </c>
      <c r="B246" s="569" t="s">
        <v>667</v>
      </c>
      <c r="C246" s="569" t="s">
        <v>132</v>
      </c>
      <c r="D246" s="569" t="s">
        <v>668</v>
      </c>
      <c r="E246" s="577" t="s">
        <v>134</v>
      </c>
      <c r="F246" s="570">
        <v>4</v>
      </c>
      <c r="G246" s="579">
        <v>11655.14</v>
      </c>
      <c r="H246" s="600">
        <v>14626.03</v>
      </c>
      <c r="I246" s="600">
        <v>58504.12</v>
      </c>
      <c r="J246" s="612">
        <v>0.00237895706352396</v>
      </c>
      <c r="K246" s="613">
        <f t="shared" si="13"/>
        <v>0</v>
      </c>
      <c r="L246" s="610">
        <f t="shared" si="14"/>
        <v>58504.12</v>
      </c>
      <c r="M246" s="601"/>
      <c r="N246" s="601"/>
      <c r="O246" s="601"/>
      <c r="P246" s="601"/>
      <c r="Q246" s="601"/>
      <c r="R246" s="601"/>
      <c r="S246" s="601"/>
      <c r="T246" s="601"/>
      <c r="U246" s="601"/>
      <c r="V246" s="601"/>
      <c r="W246" s="601"/>
      <c r="X246" s="601"/>
      <c r="Y246" s="601"/>
    </row>
    <row r="247" ht="38.25" spans="1:25">
      <c r="A247" s="569" t="s">
        <v>669</v>
      </c>
      <c r="B247" s="569" t="s">
        <v>670</v>
      </c>
      <c r="C247" s="569" t="s">
        <v>132</v>
      </c>
      <c r="D247" s="569" t="s">
        <v>671</v>
      </c>
      <c r="E247" s="577" t="s">
        <v>134</v>
      </c>
      <c r="F247" s="570">
        <v>10</v>
      </c>
      <c r="G247" s="579">
        <v>6232.12</v>
      </c>
      <c r="H247" s="600">
        <v>7820.68</v>
      </c>
      <c r="I247" s="600">
        <v>78206.8</v>
      </c>
      <c r="J247" s="612">
        <v>0.00318012849822552</v>
      </c>
      <c r="K247" s="613">
        <f t="shared" si="13"/>
        <v>0</v>
      </c>
      <c r="L247" s="610">
        <f t="shared" si="14"/>
        <v>78206.8</v>
      </c>
      <c r="M247" s="601"/>
      <c r="N247" s="601"/>
      <c r="O247" s="601"/>
      <c r="P247" s="601"/>
      <c r="Q247" s="601"/>
      <c r="R247" s="601"/>
      <c r="S247" s="601"/>
      <c r="T247" s="601"/>
      <c r="U247" s="601"/>
      <c r="V247" s="601"/>
      <c r="W247" s="601"/>
      <c r="X247" s="601"/>
      <c r="Y247" s="601"/>
    </row>
    <row r="248" ht="38.25" spans="1:25">
      <c r="A248" s="569" t="s">
        <v>672</v>
      </c>
      <c r="B248" s="569" t="s">
        <v>673</v>
      </c>
      <c r="C248" s="569" t="s">
        <v>132</v>
      </c>
      <c r="D248" s="569" t="s">
        <v>674</v>
      </c>
      <c r="E248" s="577" t="s">
        <v>141</v>
      </c>
      <c r="F248" s="570">
        <v>23.28</v>
      </c>
      <c r="G248" s="579">
        <v>1923.02</v>
      </c>
      <c r="H248" s="600">
        <v>2413.19</v>
      </c>
      <c r="I248" s="600">
        <v>56179.06</v>
      </c>
      <c r="J248" s="612">
        <v>0.00228441298850639</v>
      </c>
      <c r="K248" s="613">
        <f t="shared" si="13"/>
        <v>0</v>
      </c>
      <c r="L248" s="610">
        <f t="shared" si="14"/>
        <v>56179.06</v>
      </c>
      <c r="M248" s="601"/>
      <c r="N248" s="601"/>
      <c r="O248" s="601"/>
      <c r="P248" s="601"/>
      <c r="Q248" s="601"/>
      <c r="R248" s="601"/>
      <c r="S248" s="601"/>
      <c r="T248" s="601"/>
      <c r="U248" s="601"/>
      <c r="V248" s="601"/>
      <c r="W248" s="601"/>
      <c r="X248" s="601"/>
      <c r="Y248" s="601"/>
    </row>
    <row r="249" ht="38.25" spans="1:25">
      <c r="A249" s="569" t="s">
        <v>675</v>
      </c>
      <c r="B249" s="569" t="s">
        <v>676</v>
      </c>
      <c r="C249" s="569" t="s">
        <v>132</v>
      </c>
      <c r="D249" s="569" t="s">
        <v>677</v>
      </c>
      <c r="E249" s="577" t="s">
        <v>141</v>
      </c>
      <c r="F249" s="570">
        <v>11.76</v>
      </c>
      <c r="G249" s="579">
        <v>1778.9</v>
      </c>
      <c r="H249" s="600">
        <v>2232.34</v>
      </c>
      <c r="I249" s="600">
        <v>26252.31</v>
      </c>
      <c r="J249" s="612">
        <v>0.00106749949077639</v>
      </c>
      <c r="K249" s="613">
        <f t="shared" si="13"/>
        <v>0</v>
      </c>
      <c r="L249" s="610">
        <f t="shared" si="14"/>
        <v>26252.31</v>
      </c>
      <c r="M249" s="601"/>
      <c r="N249" s="601"/>
      <c r="O249" s="601"/>
      <c r="P249" s="601"/>
      <c r="Q249" s="601"/>
      <c r="R249" s="601"/>
      <c r="S249" s="601"/>
      <c r="T249" s="601"/>
      <c r="U249" s="601"/>
      <c r="V249" s="601"/>
      <c r="W249" s="601"/>
      <c r="X249" s="601"/>
      <c r="Y249" s="601"/>
    </row>
    <row r="250" ht="38.25" spans="1:25">
      <c r="A250" s="569" t="s">
        <v>678</v>
      </c>
      <c r="B250" s="569" t="s">
        <v>679</v>
      </c>
      <c r="C250" s="569" t="s">
        <v>132</v>
      </c>
      <c r="D250" s="569" t="s">
        <v>680</v>
      </c>
      <c r="E250" s="577" t="s">
        <v>141</v>
      </c>
      <c r="F250" s="570">
        <v>12.72</v>
      </c>
      <c r="G250" s="579">
        <v>931.17</v>
      </c>
      <c r="H250" s="600">
        <v>1168.52</v>
      </c>
      <c r="I250" s="600">
        <v>14863.57</v>
      </c>
      <c r="J250" s="612">
        <v>0.000604398371271678</v>
      </c>
      <c r="K250" s="613">
        <f t="shared" si="13"/>
        <v>0</v>
      </c>
      <c r="L250" s="610">
        <f t="shared" si="14"/>
        <v>14863.57</v>
      </c>
      <c r="M250" s="601"/>
      <c r="N250" s="601"/>
      <c r="O250" s="601"/>
      <c r="P250" s="601"/>
      <c r="Q250" s="601"/>
      <c r="R250" s="601"/>
      <c r="S250" s="601"/>
      <c r="T250" s="601"/>
      <c r="U250" s="601"/>
      <c r="V250" s="601"/>
      <c r="W250" s="601"/>
      <c r="X250" s="601"/>
      <c r="Y250" s="601"/>
    </row>
    <row r="251" ht="38.25" spans="1:25">
      <c r="A251" s="569" t="s">
        <v>681</v>
      </c>
      <c r="B251" s="569" t="s">
        <v>682</v>
      </c>
      <c r="C251" s="569" t="s">
        <v>132</v>
      </c>
      <c r="D251" s="569" t="s">
        <v>683</v>
      </c>
      <c r="E251" s="577" t="s">
        <v>134</v>
      </c>
      <c r="F251" s="570">
        <v>62</v>
      </c>
      <c r="G251" s="579">
        <v>2823.17</v>
      </c>
      <c r="H251" s="600">
        <v>3542.79</v>
      </c>
      <c r="I251" s="600">
        <v>219652.98</v>
      </c>
      <c r="J251" s="612">
        <v>0.00893176426369779</v>
      </c>
      <c r="K251" s="613">
        <f t="shared" si="13"/>
        <v>0</v>
      </c>
      <c r="L251" s="610">
        <f t="shared" si="14"/>
        <v>219652.98</v>
      </c>
      <c r="M251" s="601"/>
      <c r="N251" s="601"/>
      <c r="O251" s="601"/>
      <c r="P251" s="601"/>
      <c r="Q251" s="601"/>
      <c r="R251" s="601"/>
      <c r="S251" s="601"/>
      <c r="T251" s="601"/>
      <c r="U251" s="601"/>
      <c r="V251" s="601"/>
      <c r="W251" s="601"/>
      <c r="X251" s="601"/>
      <c r="Y251" s="601"/>
    </row>
    <row r="252" ht="25.5" spans="1:25">
      <c r="A252" s="569" t="s">
        <v>684</v>
      </c>
      <c r="B252" s="569" t="s">
        <v>685</v>
      </c>
      <c r="C252" s="569" t="s">
        <v>139</v>
      </c>
      <c r="D252" s="569" t="s">
        <v>686</v>
      </c>
      <c r="E252" s="577" t="s">
        <v>134</v>
      </c>
      <c r="F252" s="570">
        <v>4</v>
      </c>
      <c r="G252" s="579">
        <v>1792.42</v>
      </c>
      <c r="H252" s="600">
        <v>2249.3</v>
      </c>
      <c r="I252" s="600">
        <v>8997.2</v>
      </c>
      <c r="J252" s="612">
        <v>0.000365853763665495</v>
      </c>
      <c r="K252" s="613">
        <f t="shared" si="13"/>
        <v>0</v>
      </c>
      <c r="L252" s="610">
        <f t="shared" si="14"/>
        <v>8997.2</v>
      </c>
      <c r="M252" s="601"/>
      <c r="N252" s="601"/>
      <c r="O252" s="601"/>
      <c r="P252" s="601"/>
      <c r="Q252" s="601"/>
      <c r="R252" s="601"/>
      <c r="S252" s="601"/>
      <c r="T252" s="601"/>
      <c r="U252" s="601"/>
      <c r="V252" s="601"/>
      <c r="W252" s="601"/>
      <c r="X252" s="601"/>
      <c r="Y252" s="601"/>
    </row>
    <row r="253" ht="25.5" spans="1:25">
      <c r="A253" s="569" t="s">
        <v>687</v>
      </c>
      <c r="B253" s="569" t="s">
        <v>688</v>
      </c>
      <c r="C253" s="569" t="s">
        <v>132</v>
      </c>
      <c r="D253" s="569" t="s">
        <v>689</v>
      </c>
      <c r="E253" s="577" t="s">
        <v>134</v>
      </c>
      <c r="F253" s="570">
        <v>33</v>
      </c>
      <c r="G253" s="579">
        <v>178.5</v>
      </c>
      <c r="H253" s="600">
        <v>223.99</v>
      </c>
      <c r="I253" s="600">
        <v>7391.67</v>
      </c>
      <c r="J253" s="612">
        <v>0.000300567986626209</v>
      </c>
      <c r="K253" s="613">
        <f t="shared" si="13"/>
        <v>0</v>
      </c>
      <c r="L253" s="610">
        <f t="shared" si="14"/>
        <v>7391.67</v>
      </c>
      <c r="M253" s="601"/>
      <c r="N253" s="601"/>
      <c r="O253" s="601"/>
      <c r="P253" s="601"/>
      <c r="Q253" s="601"/>
      <c r="R253" s="601"/>
      <c r="S253" s="601"/>
      <c r="T253" s="601"/>
      <c r="U253" s="601"/>
      <c r="V253" s="601"/>
      <c r="W253" s="601"/>
      <c r="X253" s="601"/>
      <c r="Y253" s="601"/>
    </row>
    <row r="254" ht="25.5" spans="1:25">
      <c r="A254" s="569" t="s">
        <v>690</v>
      </c>
      <c r="B254" s="569" t="s">
        <v>691</v>
      </c>
      <c r="C254" s="569" t="s">
        <v>132</v>
      </c>
      <c r="D254" s="569" t="s">
        <v>692</v>
      </c>
      <c r="E254" s="577" t="s">
        <v>134</v>
      </c>
      <c r="F254" s="570">
        <v>37</v>
      </c>
      <c r="G254" s="579">
        <v>791.35</v>
      </c>
      <c r="H254" s="600">
        <v>993.06</v>
      </c>
      <c r="I254" s="600">
        <v>36743.22</v>
      </c>
      <c r="J254" s="612">
        <v>0.0014940920871148</v>
      </c>
      <c r="K254" s="613">
        <f t="shared" si="13"/>
        <v>0</v>
      </c>
      <c r="L254" s="610">
        <f t="shared" si="14"/>
        <v>36743.22</v>
      </c>
      <c r="M254" s="601"/>
      <c r="N254" s="601"/>
      <c r="O254" s="601"/>
      <c r="P254" s="601"/>
      <c r="Q254" s="601"/>
      <c r="R254" s="601"/>
      <c r="S254" s="601"/>
      <c r="T254" s="601"/>
      <c r="U254" s="601"/>
      <c r="V254" s="601"/>
      <c r="W254" s="601"/>
      <c r="X254" s="601"/>
      <c r="Y254" s="601"/>
    </row>
    <row r="255" ht="25.5" spans="1:25">
      <c r="A255" s="569" t="s">
        <v>693</v>
      </c>
      <c r="B255" s="569" t="s">
        <v>694</v>
      </c>
      <c r="C255" s="569" t="s">
        <v>132</v>
      </c>
      <c r="D255" s="569" t="s">
        <v>695</v>
      </c>
      <c r="E255" s="577" t="s">
        <v>134</v>
      </c>
      <c r="F255" s="570">
        <v>8</v>
      </c>
      <c r="G255" s="579">
        <v>2779.64</v>
      </c>
      <c r="H255" s="600">
        <v>3488.17</v>
      </c>
      <c r="I255" s="600">
        <v>27905.36</v>
      </c>
      <c r="J255" s="612">
        <v>0.00113471757685064</v>
      </c>
      <c r="K255" s="613">
        <f t="shared" si="13"/>
        <v>0</v>
      </c>
      <c r="L255" s="610">
        <f t="shared" si="14"/>
        <v>27905.36</v>
      </c>
      <c r="M255" s="601"/>
      <c r="N255" s="601"/>
      <c r="O255" s="601"/>
      <c r="P255" s="601"/>
      <c r="Q255" s="601"/>
      <c r="R255" s="601"/>
      <c r="S255" s="601"/>
      <c r="T255" s="601"/>
      <c r="U255" s="601"/>
      <c r="V255" s="601"/>
      <c r="W255" s="601"/>
      <c r="X255" s="601"/>
      <c r="Y255" s="601"/>
    </row>
    <row r="256" ht="25.5" spans="1:25">
      <c r="A256" s="569" t="s">
        <v>696</v>
      </c>
      <c r="B256" s="569" t="s">
        <v>697</v>
      </c>
      <c r="C256" s="569" t="s">
        <v>132</v>
      </c>
      <c r="D256" s="569" t="s">
        <v>698</v>
      </c>
      <c r="E256" s="577" t="s">
        <v>134</v>
      </c>
      <c r="F256" s="570">
        <v>8</v>
      </c>
      <c r="G256" s="579">
        <v>1742.79</v>
      </c>
      <c r="H256" s="600">
        <v>2187.02</v>
      </c>
      <c r="I256" s="600">
        <v>17496.16</v>
      </c>
      <c r="J256" s="612">
        <v>0.000711447559873482</v>
      </c>
      <c r="K256" s="613">
        <f t="shared" si="13"/>
        <v>0</v>
      </c>
      <c r="L256" s="610">
        <f t="shared" si="14"/>
        <v>17496.16</v>
      </c>
      <c r="M256" s="601"/>
      <c r="N256" s="601"/>
      <c r="O256" s="601"/>
      <c r="P256" s="601"/>
      <c r="Q256" s="601"/>
      <c r="R256" s="601"/>
      <c r="S256" s="601"/>
      <c r="T256" s="601"/>
      <c r="U256" s="601"/>
      <c r="V256" s="601"/>
      <c r="W256" s="601"/>
      <c r="X256" s="601"/>
      <c r="Y256" s="601"/>
    </row>
    <row r="257" ht="25.5" spans="1:25">
      <c r="A257" s="569" t="s">
        <v>699</v>
      </c>
      <c r="B257" s="569" t="s">
        <v>700</v>
      </c>
      <c r="C257" s="569" t="s">
        <v>132</v>
      </c>
      <c r="D257" s="569" t="s">
        <v>701</v>
      </c>
      <c r="E257" s="577" t="s">
        <v>134</v>
      </c>
      <c r="F257" s="570">
        <v>2</v>
      </c>
      <c r="G257" s="579">
        <v>4534.58</v>
      </c>
      <c r="H257" s="600">
        <v>5690.44</v>
      </c>
      <c r="I257" s="600">
        <v>11380.88</v>
      </c>
      <c r="J257" s="612">
        <v>0.000462781507783017</v>
      </c>
      <c r="K257" s="613">
        <f t="shared" si="13"/>
        <v>0</v>
      </c>
      <c r="L257" s="610">
        <f t="shared" si="14"/>
        <v>11380.88</v>
      </c>
      <c r="M257" s="601"/>
      <c r="N257" s="601"/>
      <c r="O257" s="601"/>
      <c r="P257" s="601"/>
      <c r="Q257" s="601"/>
      <c r="R257" s="601"/>
      <c r="S257" s="601"/>
      <c r="T257" s="601"/>
      <c r="U257" s="601"/>
      <c r="V257" s="601"/>
      <c r="W257" s="601"/>
      <c r="X257" s="601"/>
      <c r="Y257" s="601"/>
    </row>
    <row r="258" ht="38.25" spans="1:25">
      <c r="A258" s="569" t="s">
        <v>702</v>
      </c>
      <c r="B258" s="569" t="s">
        <v>703</v>
      </c>
      <c r="C258" s="569" t="s">
        <v>139</v>
      </c>
      <c r="D258" s="569" t="s">
        <v>704</v>
      </c>
      <c r="E258" s="577" t="s">
        <v>134</v>
      </c>
      <c r="F258" s="570">
        <v>7</v>
      </c>
      <c r="G258" s="579">
        <v>193.94</v>
      </c>
      <c r="H258" s="600">
        <v>243.37</v>
      </c>
      <c r="I258" s="600">
        <v>1703.59</v>
      </c>
      <c r="J258" s="612">
        <v>6.92731975773464e-5</v>
      </c>
      <c r="K258" s="613">
        <f t="shared" si="13"/>
        <v>0</v>
      </c>
      <c r="L258" s="610">
        <f t="shared" si="14"/>
        <v>1703.59</v>
      </c>
      <c r="M258" s="601"/>
      <c r="N258" s="601"/>
      <c r="O258" s="601"/>
      <c r="P258" s="601"/>
      <c r="Q258" s="601"/>
      <c r="R258" s="601"/>
      <c r="S258" s="601"/>
      <c r="T258" s="601"/>
      <c r="U258" s="601"/>
      <c r="V258" s="601"/>
      <c r="W258" s="601"/>
      <c r="X258" s="601"/>
      <c r="Y258" s="601"/>
    </row>
    <row r="259" ht="15" spans="1:25">
      <c r="A259" s="596" t="s">
        <v>705</v>
      </c>
      <c r="B259" s="596" t="s">
        <v>74</v>
      </c>
      <c r="C259" s="596"/>
      <c r="D259" s="596" t="s">
        <v>706</v>
      </c>
      <c r="E259" s="597"/>
      <c r="F259" s="598">
        <v>1</v>
      </c>
      <c r="G259" s="598"/>
      <c r="H259" s="599">
        <v>127623.43</v>
      </c>
      <c r="I259" s="599">
        <v>127623.43</v>
      </c>
      <c r="J259" s="608">
        <v>0.00518956032959142</v>
      </c>
      <c r="K259" s="613">
        <f t="shared" si="13"/>
        <v>0</v>
      </c>
      <c r="L259" s="610">
        <f>SUM(L260:L261)</f>
        <v>127623.43</v>
      </c>
      <c r="M259" s="601"/>
      <c r="N259" s="601"/>
      <c r="O259" s="601"/>
      <c r="P259" s="601"/>
      <c r="Q259" s="601"/>
      <c r="R259" s="601"/>
      <c r="S259" s="601"/>
      <c r="T259" s="601"/>
      <c r="U259" s="601"/>
      <c r="V259" s="601"/>
      <c r="W259" s="601"/>
      <c r="X259" s="601"/>
      <c r="Y259" s="601"/>
    </row>
    <row r="260" ht="15" spans="1:25">
      <c r="A260" s="569" t="s">
        <v>707</v>
      </c>
      <c r="B260" s="569" t="s">
        <v>708</v>
      </c>
      <c r="C260" s="569" t="s">
        <v>149</v>
      </c>
      <c r="D260" s="569" t="s">
        <v>709</v>
      </c>
      <c r="E260" s="577" t="s">
        <v>141</v>
      </c>
      <c r="F260" s="570">
        <v>42.3</v>
      </c>
      <c r="G260" s="579">
        <v>1010.76</v>
      </c>
      <c r="H260" s="600">
        <v>1268.4</v>
      </c>
      <c r="I260" s="600">
        <v>53653.32</v>
      </c>
      <c r="J260" s="612">
        <v>0.00218170864881843</v>
      </c>
      <c r="K260" s="613">
        <f t="shared" si="13"/>
        <v>0</v>
      </c>
      <c r="L260" s="610">
        <f>I260-(I260*K260)</f>
        <v>53653.32</v>
      </c>
      <c r="M260" s="601"/>
      <c r="N260" s="601"/>
      <c r="O260" s="601"/>
      <c r="P260" s="601"/>
      <c r="Q260" s="601"/>
      <c r="R260" s="601"/>
      <c r="S260" s="601"/>
      <c r="T260" s="601"/>
      <c r="U260" s="601"/>
      <c r="V260" s="601"/>
      <c r="W260" s="601"/>
      <c r="X260" s="601"/>
      <c r="Y260" s="601"/>
    </row>
    <row r="261" ht="15" spans="1:25">
      <c r="A261" s="569" t="s">
        <v>710</v>
      </c>
      <c r="B261" s="569" t="s">
        <v>711</v>
      </c>
      <c r="C261" s="569" t="s">
        <v>149</v>
      </c>
      <c r="D261" s="569" t="s">
        <v>712</v>
      </c>
      <c r="E261" s="577" t="s">
        <v>141</v>
      </c>
      <c r="F261" s="570">
        <v>65.52</v>
      </c>
      <c r="G261" s="579">
        <v>899.65</v>
      </c>
      <c r="H261" s="600">
        <v>1128.97</v>
      </c>
      <c r="I261" s="600">
        <v>73970.11</v>
      </c>
      <c r="J261" s="612">
        <v>0.00300785168077298</v>
      </c>
      <c r="K261" s="613">
        <f t="shared" si="13"/>
        <v>0</v>
      </c>
      <c r="L261" s="610">
        <f>I261-(I261*K261)</f>
        <v>73970.11</v>
      </c>
      <c r="M261" s="601"/>
      <c r="N261" s="601"/>
      <c r="O261" s="601"/>
      <c r="P261" s="601"/>
      <c r="Q261" s="601"/>
      <c r="R261" s="601"/>
      <c r="S261" s="601"/>
      <c r="T261" s="601"/>
      <c r="U261" s="601"/>
      <c r="V261" s="601"/>
      <c r="W261" s="601"/>
      <c r="X261" s="601"/>
      <c r="Y261" s="601"/>
    </row>
    <row r="262" ht="15" spans="1:25">
      <c r="A262" s="596" t="s">
        <v>713</v>
      </c>
      <c r="B262" s="596" t="s">
        <v>74</v>
      </c>
      <c r="C262" s="596"/>
      <c r="D262" s="596" t="s">
        <v>714</v>
      </c>
      <c r="E262" s="597"/>
      <c r="F262" s="598">
        <v>1</v>
      </c>
      <c r="G262" s="598"/>
      <c r="H262" s="599">
        <v>624957.01</v>
      </c>
      <c r="I262" s="599">
        <v>624957.01</v>
      </c>
      <c r="J262" s="608">
        <v>0.0254126699681717</v>
      </c>
      <c r="K262" s="613">
        <f t="shared" si="13"/>
        <v>0</v>
      </c>
      <c r="L262" s="610">
        <f>SUM(L263:L267)</f>
        <v>624957.01</v>
      </c>
      <c r="M262" s="601"/>
      <c r="N262" s="601"/>
      <c r="O262" s="601"/>
      <c r="P262" s="601"/>
      <c r="Q262" s="601"/>
      <c r="R262" s="601"/>
      <c r="S262" s="601"/>
      <c r="T262" s="601"/>
      <c r="U262" s="601"/>
      <c r="V262" s="601"/>
      <c r="W262" s="601"/>
      <c r="X262" s="601"/>
      <c r="Y262" s="601"/>
    </row>
    <row r="263" ht="15" spans="1:25">
      <c r="A263" s="569" t="s">
        <v>715</v>
      </c>
      <c r="B263" s="569" t="s">
        <v>716</v>
      </c>
      <c r="C263" s="569" t="s">
        <v>149</v>
      </c>
      <c r="D263" s="569" t="s">
        <v>717</v>
      </c>
      <c r="E263" s="577" t="s">
        <v>204</v>
      </c>
      <c r="F263" s="570">
        <v>401.4</v>
      </c>
      <c r="G263" s="579">
        <v>854.54</v>
      </c>
      <c r="H263" s="600">
        <v>1072.36</v>
      </c>
      <c r="I263" s="600">
        <v>430445.3</v>
      </c>
      <c r="J263" s="612">
        <v>0.0175032268991601</v>
      </c>
      <c r="K263" s="613">
        <f t="shared" si="13"/>
        <v>0</v>
      </c>
      <c r="L263" s="610">
        <f>I263-(I263*K263)</f>
        <v>430445.3</v>
      </c>
      <c r="M263" s="601"/>
      <c r="N263" s="601"/>
      <c r="O263" s="601"/>
      <c r="P263" s="601"/>
      <c r="Q263" s="601"/>
      <c r="R263" s="601"/>
      <c r="S263" s="601"/>
      <c r="T263" s="601"/>
      <c r="U263" s="601"/>
      <c r="V263" s="601"/>
      <c r="W263" s="601"/>
      <c r="X263" s="601"/>
      <c r="Y263" s="601"/>
    </row>
    <row r="264" ht="63.75" spans="1:25">
      <c r="A264" s="569" t="s">
        <v>718</v>
      </c>
      <c r="B264" s="569" t="s">
        <v>719</v>
      </c>
      <c r="C264" s="569" t="s">
        <v>77</v>
      </c>
      <c r="D264" s="569" t="s">
        <v>720</v>
      </c>
      <c r="E264" s="577" t="s">
        <v>204</v>
      </c>
      <c r="F264" s="570">
        <v>208.2</v>
      </c>
      <c r="G264" s="579">
        <v>307.55</v>
      </c>
      <c r="H264" s="600">
        <v>385.94</v>
      </c>
      <c r="I264" s="600">
        <v>80352.7</v>
      </c>
      <c r="J264" s="612">
        <v>0.00326738737781581</v>
      </c>
      <c r="K264" s="613">
        <f t="shared" si="13"/>
        <v>0</v>
      </c>
      <c r="L264" s="610">
        <f>I264-(I264*K264)</f>
        <v>80352.7</v>
      </c>
      <c r="M264" s="601"/>
      <c r="N264" s="601"/>
      <c r="O264" s="601"/>
      <c r="P264" s="601"/>
      <c r="Q264" s="601"/>
      <c r="R264" s="601"/>
      <c r="S264" s="601"/>
      <c r="T264" s="601"/>
      <c r="U264" s="601"/>
      <c r="V264" s="601"/>
      <c r="W264" s="601"/>
      <c r="X264" s="601"/>
      <c r="Y264" s="601"/>
    </row>
    <row r="265" ht="51" spans="1:25">
      <c r="A265" s="569" t="s">
        <v>721</v>
      </c>
      <c r="B265" s="569" t="s">
        <v>722</v>
      </c>
      <c r="C265" s="569" t="s">
        <v>77</v>
      </c>
      <c r="D265" s="569" t="s">
        <v>723</v>
      </c>
      <c r="E265" s="577" t="s">
        <v>204</v>
      </c>
      <c r="F265" s="570">
        <v>324.1</v>
      </c>
      <c r="G265" s="579">
        <v>252.74</v>
      </c>
      <c r="H265" s="600">
        <v>317.16</v>
      </c>
      <c r="I265" s="600">
        <v>102791.55</v>
      </c>
      <c r="J265" s="612">
        <v>0.00417981988179766</v>
      </c>
      <c r="K265" s="613">
        <f t="shared" ref="K265:K328" si="15">$I$1051</f>
        <v>0</v>
      </c>
      <c r="L265" s="610">
        <f>I265-(I265*K265)</f>
        <v>102791.55</v>
      </c>
      <c r="M265" s="601"/>
      <c r="N265" s="601"/>
      <c r="O265" s="601"/>
      <c r="P265" s="601"/>
      <c r="Q265" s="601"/>
      <c r="R265" s="601"/>
      <c r="S265" s="601"/>
      <c r="T265" s="601"/>
      <c r="U265" s="601"/>
      <c r="V265" s="601"/>
      <c r="W265" s="601"/>
      <c r="X265" s="601"/>
      <c r="Y265" s="601"/>
    </row>
    <row r="266" ht="15" spans="1:25">
      <c r="A266" s="569" t="s">
        <v>724</v>
      </c>
      <c r="B266" s="569" t="s">
        <v>725</v>
      </c>
      <c r="C266" s="569" t="s">
        <v>149</v>
      </c>
      <c r="D266" s="569" t="s">
        <v>726</v>
      </c>
      <c r="E266" s="577" t="s">
        <v>204</v>
      </c>
      <c r="F266" s="570">
        <v>310.3</v>
      </c>
      <c r="G266" s="579">
        <v>6.01</v>
      </c>
      <c r="H266" s="600">
        <v>7.54</v>
      </c>
      <c r="I266" s="600">
        <v>2339.66</v>
      </c>
      <c r="J266" s="612">
        <v>9.51377558237688e-5</v>
      </c>
      <c r="K266" s="613">
        <f t="shared" si="15"/>
        <v>0</v>
      </c>
      <c r="L266" s="610">
        <f>I266-(I266*K266)</f>
        <v>2339.66</v>
      </c>
      <c r="M266" s="601"/>
      <c r="N266" s="601"/>
      <c r="O266" s="601"/>
      <c r="P266" s="601"/>
      <c r="Q266" s="601"/>
      <c r="R266" s="601"/>
      <c r="S266" s="601"/>
      <c r="T266" s="601"/>
      <c r="U266" s="601"/>
      <c r="V266" s="601"/>
      <c r="W266" s="601"/>
      <c r="X266" s="601"/>
      <c r="Y266" s="601"/>
    </row>
    <row r="267" ht="15" spans="1:25">
      <c r="A267" s="569" t="s">
        <v>727</v>
      </c>
      <c r="B267" s="569" t="s">
        <v>728</v>
      </c>
      <c r="C267" s="569" t="s">
        <v>149</v>
      </c>
      <c r="D267" s="569" t="s">
        <v>729</v>
      </c>
      <c r="E267" s="577" t="s">
        <v>204</v>
      </c>
      <c r="F267" s="570">
        <v>532.3</v>
      </c>
      <c r="G267" s="579">
        <v>13.52</v>
      </c>
      <c r="H267" s="600">
        <v>16.96</v>
      </c>
      <c r="I267" s="600">
        <v>9027.8</v>
      </c>
      <c r="J267" s="612">
        <v>0.000367098053574374</v>
      </c>
      <c r="K267" s="613">
        <f t="shared" si="15"/>
        <v>0</v>
      </c>
      <c r="L267" s="610">
        <f>I267-(I267*K267)</f>
        <v>9027.8</v>
      </c>
      <c r="M267" s="601"/>
      <c r="N267" s="601"/>
      <c r="O267" s="601"/>
      <c r="P267" s="601"/>
      <c r="Q267" s="601"/>
      <c r="R267" s="601"/>
      <c r="S267" s="601"/>
      <c r="T267" s="601"/>
      <c r="U267" s="601"/>
      <c r="V267" s="601"/>
      <c r="W267" s="601"/>
      <c r="X267" s="601"/>
      <c r="Y267" s="601"/>
    </row>
    <row r="268" ht="15" spans="1:25">
      <c r="A268" s="596" t="s">
        <v>730</v>
      </c>
      <c r="B268" s="596" t="s">
        <v>74</v>
      </c>
      <c r="C268" s="596"/>
      <c r="D268" s="596" t="s">
        <v>731</v>
      </c>
      <c r="E268" s="597"/>
      <c r="F268" s="598">
        <v>1</v>
      </c>
      <c r="G268" s="598"/>
      <c r="H268" s="599">
        <v>21886.2</v>
      </c>
      <c r="I268" s="599">
        <v>21886.2</v>
      </c>
      <c r="J268" s="608">
        <v>0.000889960058944534</v>
      </c>
      <c r="K268" s="613">
        <f t="shared" si="15"/>
        <v>0</v>
      </c>
      <c r="L268" s="610">
        <f>SUM(L269:L270)</f>
        <v>21886.2</v>
      </c>
      <c r="M268" s="601"/>
      <c r="N268" s="601"/>
      <c r="O268" s="601"/>
      <c r="P268" s="601"/>
      <c r="Q268" s="601"/>
      <c r="R268" s="601"/>
      <c r="S268" s="601"/>
      <c r="T268" s="601"/>
      <c r="U268" s="601"/>
      <c r="V268" s="601"/>
      <c r="W268" s="601"/>
      <c r="X268" s="601"/>
      <c r="Y268" s="601"/>
    </row>
    <row r="269" ht="25.5" spans="1:25">
      <c r="A269" s="569" t="s">
        <v>732</v>
      </c>
      <c r="B269" s="569" t="s">
        <v>733</v>
      </c>
      <c r="C269" s="569" t="s">
        <v>77</v>
      </c>
      <c r="D269" s="569" t="s">
        <v>734</v>
      </c>
      <c r="E269" s="577" t="s">
        <v>141</v>
      </c>
      <c r="F269" s="570">
        <v>28</v>
      </c>
      <c r="G269" s="579">
        <v>140.13</v>
      </c>
      <c r="H269" s="600">
        <v>175.84</v>
      </c>
      <c r="I269" s="600">
        <v>4923.52</v>
      </c>
      <c r="J269" s="612">
        <v>0.000200205433077217</v>
      </c>
      <c r="K269" s="613">
        <f t="shared" si="15"/>
        <v>0</v>
      </c>
      <c r="L269" s="610">
        <f>I269-(I269*K269)</f>
        <v>4923.52</v>
      </c>
      <c r="M269" s="601"/>
      <c r="N269" s="601"/>
      <c r="O269" s="601"/>
      <c r="P269" s="601"/>
      <c r="Q269" s="601"/>
      <c r="R269" s="601"/>
      <c r="S269" s="601"/>
      <c r="T269" s="601"/>
      <c r="U269" s="601"/>
      <c r="V269" s="601"/>
      <c r="W269" s="601"/>
      <c r="X269" s="601"/>
      <c r="Y269" s="601"/>
    </row>
    <row r="270" ht="25.5" spans="1:25">
      <c r="A270" s="569" t="s">
        <v>735</v>
      </c>
      <c r="B270" s="569" t="s">
        <v>736</v>
      </c>
      <c r="C270" s="569" t="s">
        <v>77</v>
      </c>
      <c r="D270" s="569" t="s">
        <v>737</v>
      </c>
      <c r="E270" s="577" t="s">
        <v>141</v>
      </c>
      <c r="F270" s="570">
        <v>28</v>
      </c>
      <c r="G270" s="579">
        <v>482.76</v>
      </c>
      <c r="H270" s="600">
        <v>605.81</v>
      </c>
      <c r="I270" s="600">
        <v>16962.68</v>
      </c>
      <c r="J270" s="612">
        <v>0.000689754625867317</v>
      </c>
      <c r="K270" s="613">
        <f t="shared" si="15"/>
        <v>0</v>
      </c>
      <c r="L270" s="610">
        <f>I270-(I270*K270)</f>
        <v>16962.68</v>
      </c>
      <c r="M270" s="601"/>
      <c r="N270" s="601"/>
      <c r="O270" s="601"/>
      <c r="P270" s="601"/>
      <c r="Q270" s="601"/>
      <c r="R270" s="601"/>
      <c r="S270" s="601"/>
      <c r="T270" s="601"/>
      <c r="U270" s="601"/>
      <c r="V270" s="601"/>
      <c r="W270" s="601"/>
      <c r="X270" s="601"/>
      <c r="Y270" s="601"/>
    </row>
    <row r="271" ht="15" spans="1:25">
      <c r="A271" s="596" t="s">
        <v>38</v>
      </c>
      <c r="B271" s="596" t="s">
        <v>74</v>
      </c>
      <c r="C271" s="596"/>
      <c r="D271" s="596" t="s">
        <v>39</v>
      </c>
      <c r="E271" s="597"/>
      <c r="F271" s="598">
        <v>1</v>
      </c>
      <c r="G271" s="598"/>
      <c r="H271" s="599">
        <v>560198.88</v>
      </c>
      <c r="I271" s="599">
        <v>560198.88</v>
      </c>
      <c r="J271" s="608">
        <v>0.0227794056650064</v>
      </c>
      <c r="K271" s="613">
        <f t="shared" si="15"/>
        <v>0</v>
      </c>
      <c r="L271" s="610">
        <f>SUM(L272,L315,L321,L346)</f>
        <v>560198.88</v>
      </c>
      <c r="M271" s="601"/>
      <c r="N271" s="601"/>
      <c r="O271" s="601"/>
      <c r="P271" s="601"/>
      <c r="Q271" s="601"/>
      <c r="R271" s="601"/>
      <c r="S271" s="601"/>
      <c r="T271" s="601"/>
      <c r="U271" s="601"/>
      <c r="V271" s="601"/>
      <c r="W271" s="601"/>
      <c r="X271" s="601"/>
      <c r="Y271" s="601"/>
    </row>
    <row r="272" ht="15" spans="1:25">
      <c r="A272" s="596" t="s">
        <v>738</v>
      </c>
      <c r="B272" s="596" t="s">
        <v>74</v>
      </c>
      <c r="C272" s="596"/>
      <c r="D272" s="596" t="s">
        <v>739</v>
      </c>
      <c r="E272" s="597"/>
      <c r="F272" s="598">
        <v>1</v>
      </c>
      <c r="G272" s="598"/>
      <c r="H272" s="599">
        <v>220738.8</v>
      </c>
      <c r="I272" s="599">
        <v>220738.8</v>
      </c>
      <c r="J272" s="608">
        <v>0.00897591703718991</v>
      </c>
      <c r="K272" s="613">
        <f t="shared" si="15"/>
        <v>0</v>
      </c>
      <c r="L272" s="610">
        <f>SUM(L273:L314)</f>
        <v>220738.8</v>
      </c>
      <c r="M272" s="601"/>
      <c r="N272" s="601"/>
      <c r="O272" s="601"/>
      <c r="P272" s="601"/>
      <c r="Q272" s="601"/>
      <c r="R272" s="601"/>
      <c r="S272" s="601"/>
      <c r="T272" s="601"/>
      <c r="U272" s="601"/>
      <c r="V272" s="601"/>
      <c r="W272" s="601"/>
      <c r="X272" s="601"/>
      <c r="Y272" s="601"/>
    </row>
    <row r="273" ht="25.5" spans="1:25">
      <c r="A273" s="569" t="s">
        <v>740</v>
      </c>
      <c r="B273" s="569" t="s">
        <v>741</v>
      </c>
      <c r="C273" s="569" t="s">
        <v>139</v>
      </c>
      <c r="D273" s="569" t="s">
        <v>742</v>
      </c>
      <c r="E273" s="577" t="s">
        <v>204</v>
      </c>
      <c r="F273" s="570">
        <v>6</v>
      </c>
      <c r="G273" s="579">
        <v>14.92</v>
      </c>
      <c r="H273" s="600">
        <v>18.72</v>
      </c>
      <c r="I273" s="600">
        <v>112.32</v>
      </c>
      <c r="J273" s="612">
        <v>4.56727590082564e-6</v>
      </c>
      <c r="K273" s="613">
        <f t="shared" si="15"/>
        <v>0</v>
      </c>
      <c r="L273" s="610">
        <f t="shared" ref="L273:L314" si="16">I273-(I273*K273)</f>
        <v>112.32</v>
      </c>
      <c r="M273" s="601"/>
      <c r="N273" s="601"/>
      <c r="O273" s="601"/>
      <c r="P273" s="601"/>
      <c r="Q273" s="601"/>
      <c r="R273" s="601"/>
      <c r="S273" s="601"/>
      <c r="T273" s="601"/>
      <c r="U273" s="601"/>
      <c r="V273" s="601"/>
      <c r="W273" s="601"/>
      <c r="X273" s="601"/>
      <c r="Y273" s="601"/>
    </row>
    <row r="274" ht="25.5" spans="1:25">
      <c r="A274" s="569" t="s">
        <v>743</v>
      </c>
      <c r="B274" s="569" t="s">
        <v>744</v>
      </c>
      <c r="C274" s="569" t="s">
        <v>139</v>
      </c>
      <c r="D274" s="569" t="s">
        <v>745</v>
      </c>
      <c r="E274" s="577" t="s">
        <v>204</v>
      </c>
      <c r="F274" s="570">
        <v>169.3</v>
      </c>
      <c r="G274" s="579">
        <v>34.35</v>
      </c>
      <c r="H274" s="600">
        <v>43.1</v>
      </c>
      <c r="I274" s="600">
        <v>7296.83</v>
      </c>
      <c r="J274" s="612">
        <v>0.000296711501170064</v>
      </c>
      <c r="K274" s="613">
        <f t="shared" si="15"/>
        <v>0</v>
      </c>
      <c r="L274" s="610">
        <f t="shared" si="16"/>
        <v>7296.83</v>
      </c>
      <c r="M274" s="601"/>
      <c r="N274" s="601"/>
      <c r="O274" s="601"/>
      <c r="P274" s="601"/>
      <c r="Q274" s="601"/>
      <c r="R274" s="601"/>
      <c r="S274" s="601"/>
      <c r="T274" s="601"/>
      <c r="U274" s="601"/>
      <c r="V274" s="601"/>
      <c r="W274" s="601"/>
      <c r="X274" s="601"/>
      <c r="Y274" s="601"/>
    </row>
    <row r="275" ht="25.5" spans="1:25">
      <c r="A275" s="569" t="s">
        <v>746</v>
      </c>
      <c r="B275" s="569" t="s">
        <v>747</v>
      </c>
      <c r="C275" s="569" t="s">
        <v>139</v>
      </c>
      <c r="D275" s="569" t="s">
        <v>748</v>
      </c>
      <c r="E275" s="577" t="s">
        <v>134</v>
      </c>
      <c r="F275" s="570">
        <v>4</v>
      </c>
      <c r="G275" s="579">
        <v>10.82</v>
      </c>
      <c r="H275" s="600">
        <v>13.57</v>
      </c>
      <c r="I275" s="600">
        <v>54.28</v>
      </c>
      <c r="J275" s="612">
        <v>2.20719138084772e-6</v>
      </c>
      <c r="K275" s="613">
        <f t="shared" si="15"/>
        <v>0</v>
      </c>
      <c r="L275" s="610">
        <f t="shared" si="16"/>
        <v>54.28</v>
      </c>
      <c r="M275" s="601"/>
      <c r="N275" s="601"/>
      <c r="O275" s="601"/>
      <c r="P275" s="601"/>
      <c r="Q275" s="601"/>
      <c r="R275" s="601"/>
      <c r="S275" s="601"/>
      <c r="T275" s="601"/>
      <c r="U275" s="601"/>
      <c r="V275" s="601"/>
      <c r="W275" s="601"/>
      <c r="X275" s="601"/>
      <c r="Y275" s="601"/>
    </row>
    <row r="276" ht="25.5" spans="1:25">
      <c r="A276" s="569" t="s">
        <v>749</v>
      </c>
      <c r="B276" s="569" t="s">
        <v>750</v>
      </c>
      <c r="C276" s="569" t="s">
        <v>139</v>
      </c>
      <c r="D276" s="569" t="s">
        <v>751</v>
      </c>
      <c r="E276" s="577" t="s">
        <v>134</v>
      </c>
      <c r="F276" s="570">
        <v>25</v>
      </c>
      <c r="G276" s="579">
        <v>23.23</v>
      </c>
      <c r="H276" s="600">
        <v>29.15</v>
      </c>
      <c r="I276" s="600">
        <v>728.75</v>
      </c>
      <c r="J276" s="612">
        <v>2.96332114737062e-5</v>
      </c>
      <c r="K276" s="613">
        <f t="shared" si="15"/>
        <v>0</v>
      </c>
      <c r="L276" s="610">
        <f t="shared" si="16"/>
        <v>728.75</v>
      </c>
      <c r="M276" s="601"/>
      <c r="N276" s="601"/>
      <c r="O276" s="601"/>
      <c r="P276" s="601"/>
      <c r="Q276" s="601"/>
      <c r="R276" s="601"/>
      <c r="S276" s="601"/>
      <c r="T276" s="601"/>
      <c r="U276" s="601"/>
      <c r="V276" s="601"/>
      <c r="W276" s="601"/>
      <c r="X276" s="601"/>
      <c r="Y276" s="601"/>
    </row>
    <row r="277" ht="25.5" spans="1:25">
      <c r="A277" s="569" t="s">
        <v>752</v>
      </c>
      <c r="B277" s="569" t="s">
        <v>753</v>
      </c>
      <c r="C277" s="569" t="s">
        <v>139</v>
      </c>
      <c r="D277" s="569" t="s">
        <v>754</v>
      </c>
      <c r="E277" s="577" t="s">
        <v>134</v>
      </c>
      <c r="F277" s="570">
        <v>3</v>
      </c>
      <c r="G277" s="579">
        <v>34.6</v>
      </c>
      <c r="H277" s="600">
        <v>43.41</v>
      </c>
      <c r="I277" s="600">
        <v>130.23</v>
      </c>
      <c r="J277" s="612">
        <v>5.29555146513998e-6</v>
      </c>
      <c r="K277" s="613">
        <f t="shared" si="15"/>
        <v>0</v>
      </c>
      <c r="L277" s="610">
        <f t="shared" si="16"/>
        <v>130.23</v>
      </c>
      <c r="M277" s="601"/>
      <c r="N277" s="601"/>
      <c r="O277" s="601"/>
      <c r="P277" s="601"/>
      <c r="Q277" s="601"/>
      <c r="R277" s="601"/>
      <c r="S277" s="601"/>
      <c r="T277" s="601"/>
      <c r="U277" s="601"/>
      <c r="V277" s="601"/>
      <c r="W277" s="601"/>
      <c r="X277" s="601"/>
      <c r="Y277" s="601"/>
    </row>
    <row r="278" ht="38.25" spans="1:25">
      <c r="A278" s="569" t="s">
        <v>755</v>
      </c>
      <c r="B278" s="569" t="s">
        <v>756</v>
      </c>
      <c r="C278" s="569" t="s">
        <v>77</v>
      </c>
      <c r="D278" s="569" t="s">
        <v>757</v>
      </c>
      <c r="E278" s="577" t="s">
        <v>204</v>
      </c>
      <c r="F278" s="570">
        <v>15</v>
      </c>
      <c r="G278" s="579">
        <v>41.35</v>
      </c>
      <c r="H278" s="600">
        <v>51.89</v>
      </c>
      <c r="I278" s="600">
        <v>778.35</v>
      </c>
      <c r="J278" s="612">
        <v>3.16500996920195e-5</v>
      </c>
      <c r="K278" s="613">
        <f t="shared" si="15"/>
        <v>0</v>
      </c>
      <c r="L278" s="610">
        <f t="shared" si="16"/>
        <v>778.35</v>
      </c>
      <c r="M278" s="601"/>
      <c r="N278" s="601"/>
      <c r="O278" s="601"/>
      <c r="P278" s="601"/>
      <c r="Q278" s="601"/>
      <c r="R278" s="601"/>
      <c r="S278" s="601"/>
      <c r="T278" s="601"/>
      <c r="U278" s="601"/>
      <c r="V278" s="601"/>
      <c r="W278" s="601"/>
      <c r="X278" s="601"/>
      <c r="Y278" s="601"/>
    </row>
    <row r="279" ht="38.25" spans="1:25">
      <c r="A279" s="569" t="s">
        <v>758</v>
      </c>
      <c r="B279" s="569" t="s">
        <v>759</v>
      </c>
      <c r="C279" s="569" t="s">
        <v>77</v>
      </c>
      <c r="D279" s="569" t="s">
        <v>760</v>
      </c>
      <c r="E279" s="577" t="s">
        <v>204</v>
      </c>
      <c r="F279" s="570">
        <v>6</v>
      </c>
      <c r="G279" s="579">
        <v>67.77</v>
      </c>
      <c r="H279" s="600">
        <v>85.04</v>
      </c>
      <c r="I279" s="600">
        <v>510.24</v>
      </c>
      <c r="J279" s="612">
        <v>2.07479242845199e-5</v>
      </c>
      <c r="K279" s="613">
        <f t="shared" si="15"/>
        <v>0</v>
      </c>
      <c r="L279" s="610">
        <f t="shared" si="16"/>
        <v>510.24</v>
      </c>
      <c r="M279" s="601"/>
      <c r="N279" s="601"/>
      <c r="O279" s="601"/>
      <c r="P279" s="601"/>
      <c r="Q279" s="601"/>
      <c r="R279" s="601"/>
      <c r="S279" s="601"/>
      <c r="T279" s="601"/>
      <c r="U279" s="601"/>
      <c r="V279" s="601"/>
      <c r="W279" s="601"/>
      <c r="X279" s="601"/>
      <c r="Y279" s="601"/>
    </row>
    <row r="280" ht="25.5" spans="1:25">
      <c r="A280" s="569" t="s">
        <v>761</v>
      </c>
      <c r="B280" s="569" t="s">
        <v>762</v>
      </c>
      <c r="C280" s="569" t="s">
        <v>132</v>
      </c>
      <c r="D280" s="569" t="s">
        <v>763</v>
      </c>
      <c r="E280" s="577" t="s">
        <v>204</v>
      </c>
      <c r="F280" s="570">
        <v>79</v>
      </c>
      <c r="G280" s="579">
        <v>373.26</v>
      </c>
      <c r="H280" s="600">
        <v>468.4</v>
      </c>
      <c r="I280" s="600">
        <v>37003.6</v>
      </c>
      <c r="J280" s="612">
        <v>0.00150467993699957</v>
      </c>
      <c r="K280" s="613">
        <f t="shared" si="15"/>
        <v>0</v>
      </c>
      <c r="L280" s="610">
        <f t="shared" si="16"/>
        <v>37003.6</v>
      </c>
      <c r="M280" s="601"/>
      <c r="N280" s="601"/>
      <c r="O280" s="601"/>
      <c r="P280" s="601"/>
      <c r="Q280" s="601"/>
      <c r="R280" s="601"/>
      <c r="S280" s="601"/>
      <c r="T280" s="601"/>
      <c r="U280" s="601"/>
      <c r="V280" s="601"/>
      <c r="W280" s="601"/>
      <c r="X280" s="601"/>
      <c r="Y280" s="601"/>
    </row>
    <row r="281" ht="25.5" spans="1:25">
      <c r="A281" s="569" t="s">
        <v>764</v>
      </c>
      <c r="B281" s="569" t="s">
        <v>765</v>
      </c>
      <c r="C281" s="569" t="s">
        <v>132</v>
      </c>
      <c r="D281" s="569" t="s">
        <v>766</v>
      </c>
      <c r="E281" s="577" t="s">
        <v>134</v>
      </c>
      <c r="F281" s="570">
        <v>15</v>
      </c>
      <c r="G281" s="579">
        <v>170.56</v>
      </c>
      <c r="H281" s="600">
        <v>214.03</v>
      </c>
      <c r="I281" s="600">
        <v>3210.45</v>
      </c>
      <c r="J281" s="612">
        <v>0.000130546749606532</v>
      </c>
      <c r="K281" s="613">
        <f t="shared" si="15"/>
        <v>0</v>
      </c>
      <c r="L281" s="610">
        <f t="shared" si="16"/>
        <v>3210.45</v>
      </c>
      <c r="M281" s="601"/>
      <c r="N281" s="601"/>
      <c r="O281" s="601"/>
      <c r="P281" s="601"/>
      <c r="Q281" s="601"/>
      <c r="R281" s="601"/>
      <c r="S281" s="601"/>
      <c r="T281" s="601"/>
      <c r="U281" s="601"/>
      <c r="V281" s="601"/>
      <c r="W281" s="601"/>
      <c r="X281" s="601"/>
      <c r="Y281" s="601"/>
    </row>
    <row r="282" ht="38.25" spans="1:25">
      <c r="A282" s="569" t="s">
        <v>767</v>
      </c>
      <c r="B282" s="569" t="s">
        <v>768</v>
      </c>
      <c r="C282" s="569" t="s">
        <v>139</v>
      </c>
      <c r="D282" s="569" t="s">
        <v>769</v>
      </c>
      <c r="E282" s="577" t="s">
        <v>134</v>
      </c>
      <c r="F282" s="570">
        <v>4</v>
      </c>
      <c r="G282" s="579">
        <v>24.29</v>
      </c>
      <c r="H282" s="600">
        <v>30.48</v>
      </c>
      <c r="I282" s="600">
        <v>121.92</v>
      </c>
      <c r="J282" s="612">
        <v>4.95764136243467e-6</v>
      </c>
      <c r="K282" s="613">
        <f t="shared" si="15"/>
        <v>0</v>
      </c>
      <c r="L282" s="610">
        <f t="shared" si="16"/>
        <v>121.92</v>
      </c>
      <c r="M282" s="601"/>
      <c r="N282" s="601"/>
      <c r="O282" s="601"/>
      <c r="P282" s="601"/>
      <c r="Q282" s="601"/>
      <c r="R282" s="601"/>
      <c r="S282" s="601"/>
      <c r="T282" s="601"/>
      <c r="U282" s="601"/>
      <c r="V282" s="601"/>
      <c r="W282" s="601"/>
      <c r="X282" s="601"/>
      <c r="Y282" s="601"/>
    </row>
    <row r="283" ht="38.25" spans="1:25">
      <c r="A283" s="569" t="s">
        <v>770</v>
      </c>
      <c r="B283" s="569" t="s">
        <v>771</v>
      </c>
      <c r="C283" s="569" t="s">
        <v>139</v>
      </c>
      <c r="D283" s="569" t="s">
        <v>772</v>
      </c>
      <c r="E283" s="577" t="s">
        <v>134</v>
      </c>
      <c r="F283" s="570">
        <v>22</v>
      </c>
      <c r="G283" s="579">
        <v>91.15</v>
      </c>
      <c r="H283" s="600">
        <v>114.38</v>
      </c>
      <c r="I283" s="600">
        <v>2516.36</v>
      </c>
      <c r="J283" s="612">
        <v>0.00010232292010151</v>
      </c>
      <c r="K283" s="613">
        <f t="shared" si="15"/>
        <v>0</v>
      </c>
      <c r="L283" s="610">
        <f t="shared" si="16"/>
        <v>2516.36</v>
      </c>
      <c r="M283" s="601"/>
      <c r="N283" s="601"/>
      <c r="O283" s="601"/>
      <c r="P283" s="601"/>
      <c r="Q283" s="601"/>
      <c r="R283" s="601"/>
      <c r="S283" s="601"/>
      <c r="T283" s="601"/>
      <c r="U283" s="601"/>
      <c r="V283" s="601"/>
      <c r="W283" s="601"/>
      <c r="X283" s="601"/>
      <c r="Y283" s="601"/>
    </row>
    <row r="284" ht="38.25" spans="1:25">
      <c r="A284" s="569" t="s">
        <v>773</v>
      </c>
      <c r="B284" s="569" t="s">
        <v>774</v>
      </c>
      <c r="C284" s="569" t="s">
        <v>139</v>
      </c>
      <c r="D284" s="569" t="s">
        <v>775</v>
      </c>
      <c r="E284" s="577" t="s">
        <v>134</v>
      </c>
      <c r="F284" s="570">
        <v>8</v>
      </c>
      <c r="G284" s="579">
        <v>115.46</v>
      </c>
      <c r="H284" s="600">
        <v>144.89</v>
      </c>
      <c r="I284" s="600">
        <v>1159.12</v>
      </c>
      <c r="J284" s="612">
        <v>4.71333764437768e-5</v>
      </c>
      <c r="K284" s="613">
        <f t="shared" si="15"/>
        <v>0</v>
      </c>
      <c r="L284" s="610">
        <f t="shared" si="16"/>
        <v>1159.12</v>
      </c>
      <c r="M284" s="601"/>
      <c r="N284" s="601"/>
      <c r="O284" s="601"/>
      <c r="P284" s="601"/>
      <c r="Q284" s="601"/>
      <c r="R284" s="601"/>
      <c r="S284" s="601"/>
      <c r="T284" s="601"/>
      <c r="U284" s="601"/>
      <c r="V284" s="601"/>
      <c r="W284" s="601"/>
      <c r="X284" s="601"/>
      <c r="Y284" s="601"/>
    </row>
    <row r="285" ht="38.25" spans="1:25">
      <c r="A285" s="569" t="s">
        <v>776</v>
      </c>
      <c r="B285" s="569" t="s">
        <v>777</v>
      </c>
      <c r="C285" s="569" t="s">
        <v>139</v>
      </c>
      <c r="D285" s="569" t="s">
        <v>778</v>
      </c>
      <c r="E285" s="577" t="s">
        <v>134</v>
      </c>
      <c r="F285" s="570">
        <v>6</v>
      </c>
      <c r="G285" s="579">
        <v>120.19</v>
      </c>
      <c r="H285" s="600">
        <v>150.82</v>
      </c>
      <c r="I285" s="600">
        <v>904.92</v>
      </c>
      <c r="J285" s="612">
        <v>3.67968243249211e-5</v>
      </c>
      <c r="K285" s="613">
        <f t="shared" si="15"/>
        <v>0</v>
      </c>
      <c r="L285" s="610">
        <f t="shared" si="16"/>
        <v>904.92</v>
      </c>
      <c r="M285" s="601"/>
      <c r="N285" s="601"/>
      <c r="O285" s="601"/>
      <c r="P285" s="601"/>
      <c r="Q285" s="601"/>
      <c r="R285" s="601"/>
      <c r="S285" s="601"/>
      <c r="T285" s="601"/>
      <c r="U285" s="601"/>
      <c r="V285" s="601"/>
      <c r="W285" s="601"/>
      <c r="X285" s="601"/>
      <c r="Y285" s="601"/>
    </row>
    <row r="286" ht="38.25" spans="1:25">
      <c r="A286" s="569" t="s">
        <v>779</v>
      </c>
      <c r="B286" s="569" t="s">
        <v>780</v>
      </c>
      <c r="C286" s="569" t="s">
        <v>139</v>
      </c>
      <c r="D286" s="569" t="s">
        <v>781</v>
      </c>
      <c r="E286" s="577" t="s">
        <v>134</v>
      </c>
      <c r="F286" s="570">
        <v>2</v>
      </c>
      <c r="G286" s="579">
        <v>153.88</v>
      </c>
      <c r="H286" s="600">
        <v>193.1</v>
      </c>
      <c r="I286" s="600">
        <v>386.2</v>
      </c>
      <c r="J286" s="612">
        <v>1.57040772159799e-5</v>
      </c>
      <c r="K286" s="613">
        <f t="shared" si="15"/>
        <v>0</v>
      </c>
      <c r="L286" s="610">
        <f t="shared" si="16"/>
        <v>386.2</v>
      </c>
      <c r="M286" s="601"/>
      <c r="N286" s="601"/>
      <c r="O286" s="601"/>
      <c r="P286" s="601"/>
      <c r="Q286" s="601"/>
      <c r="R286" s="601"/>
      <c r="S286" s="601"/>
      <c r="T286" s="601"/>
      <c r="U286" s="601"/>
      <c r="V286" s="601"/>
      <c r="W286" s="601"/>
      <c r="X286" s="601"/>
      <c r="Y286" s="601"/>
    </row>
    <row r="287" ht="25.5" spans="1:25">
      <c r="A287" s="569" t="s">
        <v>782</v>
      </c>
      <c r="B287" s="569" t="s">
        <v>783</v>
      </c>
      <c r="C287" s="569" t="s">
        <v>132</v>
      </c>
      <c r="D287" s="569" t="s">
        <v>784</v>
      </c>
      <c r="E287" s="577" t="s">
        <v>134</v>
      </c>
      <c r="F287" s="570">
        <v>4</v>
      </c>
      <c r="G287" s="579">
        <v>68.3</v>
      </c>
      <c r="H287" s="600">
        <v>85.7</v>
      </c>
      <c r="I287" s="600">
        <v>342.8</v>
      </c>
      <c r="J287" s="612">
        <v>1.39393000249557e-5</v>
      </c>
      <c r="K287" s="613">
        <f t="shared" si="15"/>
        <v>0</v>
      </c>
      <c r="L287" s="610">
        <f t="shared" si="16"/>
        <v>342.8</v>
      </c>
      <c r="M287" s="601"/>
      <c r="N287" s="601"/>
      <c r="O287" s="601"/>
      <c r="P287" s="601"/>
      <c r="Q287" s="601"/>
      <c r="R287" s="601"/>
      <c r="S287" s="601"/>
      <c r="T287" s="601"/>
      <c r="U287" s="601"/>
      <c r="V287" s="601"/>
      <c r="W287" s="601"/>
      <c r="X287" s="601"/>
      <c r="Y287" s="601"/>
    </row>
    <row r="288" ht="15" spans="1:25">
      <c r="A288" s="569" t="s">
        <v>785</v>
      </c>
      <c r="B288" s="569" t="s">
        <v>786</v>
      </c>
      <c r="C288" s="569" t="s">
        <v>149</v>
      </c>
      <c r="D288" s="569" t="s">
        <v>787</v>
      </c>
      <c r="E288" s="577" t="s">
        <v>134</v>
      </c>
      <c r="F288" s="570">
        <v>4</v>
      </c>
      <c r="G288" s="579">
        <v>42.15</v>
      </c>
      <c r="H288" s="600">
        <v>52.89</v>
      </c>
      <c r="I288" s="600">
        <v>211.56</v>
      </c>
      <c r="J288" s="612">
        <v>8.60267886020897e-6</v>
      </c>
      <c r="K288" s="613">
        <f t="shared" si="15"/>
        <v>0</v>
      </c>
      <c r="L288" s="610">
        <f t="shared" si="16"/>
        <v>211.56</v>
      </c>
      <c r="M288" s="601"/>
      <c r="N288" s="601"/>
      <c r="O288" s="601"/>
      <c r="P288" s="601"/>
      <c r="Q288" s="601"/>
      <c r="R288" s="601"/>
      <c r="S288" s="601"/>
      <c r="T288" s="601"/>
      <c r="U288" s="601"/>
      <c r="V288" s="601"/>
      <c r="W288" s="601"/>
      <c r="X288" s="601"/>
      <c r="Y288" s="601"/>
    </row>
    <row r="289" ht="25.5" spans="1:25">
      <c r="A289" s="569" t="s">
        <v>788</v>
      </c>
      <c r="B289" s="569" t="s">
        <v>789</v>
      </c>
      <c r="C289" s="569" t="s">
        <v>132</v>
      </c>
      <c r="D289" s="569" t="s">
        <v>790</v>
      </c>
      <c r="E289" s="577" t="s">
        <v>134</v>
      </c>
      <c r="F289" s="570">
        <v>6</v>
      </c>
      <c r="G289" s="579">
        <v>89.76</v>
      </c>
      <c r="H289" s="600">
        <v>112.63</v>
      </c>
      <c r="I289" s="600">
        <v>675.78</v>
      </c>
      <c r="J289" s="612">
        <v>2.74792887131406e-5</v>
      </c>
      <c r="K289" s="613">
        <f t="shared" si="15"/>
        <v>0</v>
      </c>
      <c r="L289" s="610">
        <f t="shared" si="16"/>
        <v>675.78</v>
      </c>
      <c r="M289" s="601"/>
      <c r="N289" s="601"/>
      <c r="O289" s="601"/>
      <c r="P289" s="601"/>
      <c r="Q289" s="601"/>
      <c r="R289" s="601"/>
      <c r="S289" s="601"/>
      <c r="T289" s="601"/>
      <c r="U289" s="601"/>
      <c r="V289" s="601"/>
      <c r="W289" s="601"/>
      <c r="X289" s="601"/>
      <c r="Y289" s="601"/>
    </row>
    <row r="290" ht="25.5" spans="1:25">
      <c r="A290" s="569" t="s">
        <v>791</v>
      </c>
      <c r="B290" s="569" t="s">
        <v>792</v>
      </c>
      <c r="C290" s="569" t="s">
        <v>132</v>
      </c>
      <c r="D290" s="569" t="s">
        <v>793</v>
      </c>
      <c r="E290" s="577" t="s">
        <v>134</v>
      </c>
      <c r="F290" s="570">
        <v>6</v>
      </c>
      <c r="G290" s="579">
        <v>110.56</v>
      </c>
      <c r="H290" s="600">
        <v>138.74</v>
      </c>
      <c r="I290" s="600">
        <v>832.44</v>
      </c>
      <c r="J290" s="612">
        <v>3.38495650897729e-5</v>
      </c>
      <c r="K290" s="613">
        <f t="shared" si="15"/>
        <v>0</v>
      </c>
      <c r="L290" s="610">
        <f t="shared" si="16"/>
        <v>832.44</v>
      </c>
      <c r="M290" s="601"/>
      <c r="N290" s="601"/>
      <c r="O290" s="601"/>
      <c r="P290" s="601"/>
      <c r="Q290" s="601"/>
      <c r="R290" s="601"/>
      <c r="S290" s="601"/>
      <c r="T290" s="601"/>
      <c r="U290" s="601"/>
      <c r="V290" s="601"/>
      <c r="W290" s="601"/>
      <c r="X290" s="601"/>
      <c r="Y290" s="601"/>
    </row>
    <row r="291" ht="38.25" spans="1:25">
      <c r="A291" s="569" t="s">
        <v>794</v>
      </c>
      <c r="B291" s="569" t="s">
        <v>795</v>
      </c>
      <c r="C291" s="569" t="s">
        <v>796</v>
      </c>
      <c r="D291" s="569" t="s">
        <v>797</v>
      </c>
      <c r="E291" s="577" t="s">
        <v>334</v>
      </c>
      <c r="F291" s="570">
        <v>2</v>
      </c>
      <c r="G291" s="579">
        <v>2165.01</v>
      </c>
      <c r="H291" s="600">
        <v>2716.87</v>
      </c>
      <c r="I291" s="600">
        <v>5433.74</v>
      </c>
      <c r="J291" s="612">
        <v>0.000220952544100359</v>
      </c>
      <c r="K291" s="613">
        <f t="shared" si="15"/>
        <v>0</v>
      </c>
      <c r="L291" s="610">
        <f t="shared" si="16"/>
        <v>5433.74</v>
      </c>
      <c r="M291" s="601"/>
      <c r="N291" s="601"/>
      <c r="O291" s="601"/>
      <c r="P291" s="601"/>
      <c r="Q291" s="601"/>
      <c r="R291" s="601"/>
      <c r="S291" s="601"/>
      <c r="T291" s="601"/>
      <c r="U291" s="601"/>
      <c r="V291" s="601"/>
      <c r="W291" s="601"/>
      <c r="X291" s="601"/>
      <c r="Y291" s="601"/>
    </row>
    <row r="292" ht="25.5" spans="1:25">
      <c r="A292" s="569" t="s">
        <v>798</v>
      </c>
      <c r="B292" s="569" t="s">
        <v>799</v>
      </c>
      <c r="C292" s="569" t="s">
        <v>139</v>
      </c>
      <c r="D292" s="569" t="s">
        <v>800</v>
      </c>
      <c r="E292" s="577" t="s">
        <v>134</v>
      </c>
      <c r="F292" s="570">
        <v>2</v>
      </c>
      <c r="G292" s="579">
        <v>2088.14</v>
      </c>
      <c r="H292" s="600">
        <v>2620.4</v>
      </c>
      <c r="I292" s="600">
        <v>5240.8</v>
      </c>
      <c r="J292" s="612">
        <v>0.000213107011583396</v>
      </c>
      <c r="K292" s="613">
        <f t="shared" si="15"/>
        <v>0</v>
      </c>
      <c r="L292" s="610">
        <f t="shared" si="16"/>
        <v>5240.8</v>
      </c>
      <c r="M292" s="601"/>
      <c r="N292" s="601"/>
      <c r="O292" s="601"/>
      <c r="P292" s="601"/>
      <c r="Q292" s="601"/>
      <c r="R292" s="601"/>
      <c r="S292" s="601"/>
      <c r="T292" s="601"/>
      <c r="U292" s="601"/>
      <c r="V292" s="601"/>
      <c r="W292" s="601"/>
      <c r="X292" s="601"/>
      <c r="Y292" s="601"/>
    </row>
    <row r="293" ht="51" spans="1:25">
      <c r="A293" s="569" t="s">
        <v>801</v>
      </c>
      <c r="B293" s="569" t="s">
        <v>802</v>
      </c>
      <c r="C293" s="569" t="s">
        <v>132</v>
      </c>
      <c r="D293" s="569" t="s">
        <v>803</v>
      </c>
      <c r="E293" s="577" t="s">
        <v>134</v>
      </c>
      <c r="F293" s="570">
        <v>2</v>
      </c>
      <c r="G293" s="579">
        <v>51663</v>
      </c>
      <c r="H293" s="600">
        <v>64831.89</v>
      </c>
      <c r="I293" s="600">
        <v>129663.78</v>
      </c>
      <c r="J293" s="612">
        <v>0.00527252722225745</v>
      </c>
      <c r="K293" s="613">
        <f t="shared" si="15"/>
        <v>0</v>
      </c>
      <c r="L293" s="610">
        <f t="shared" si="16"/>
        <v>129663.78</v>
      </c>
      <c r="M293" s="601"/>
      <c r="N293" s="601"/>
      <c r="O293" s="601"/>
      <c r="P293" s="601"/>
      <c r="Q293" s="601"/>
      <c r="R293" s="601"/>
      <c r="S293" s="601"/>
      <c r="T293" s="601"/>
      <c r="U293" s="601"/>
      <c r="V293" s="601"/>
      <c r="W293" s="601"/>
      <c r="X293" s="601"/>
      <c r="Y293" s="601"/>
    </row>
    <row r="294" ht="38.25" spans="1:25">
      <c r="A294" s="569" t="s">
        <v>804</v>
      </c>
      <c r="B294" s="569" t="s">
        <v>805</v>
      </c>
      <c r="C294" s="569" t="s">
        <v>77</v>
      </c>
      <c r="D294" s="569" t="s">
        <v>806</v>
      </c>
      <c r="E294" s="577" t="s">
        <v>134</v>
      </c>
      <c r="F294" s="570">
        <v>2</v>
      </c>
      <c r="G294" s="579">
        <v>207.31</v>
      </c>
      <c r="H294" s="600">
        <v>260.15</v>
      </c>
      <c r="I294" s="600">
        <v>520.3</v>
      </c>
      <c r="J294" s="612">
        <v>2.1156994757831e-5</v>
      </c>
      <c r="K294" s="613">
        <f t="shared" si="15"/>
        <v>0</v>
      </c>
      <c r="L294" s="610">
        <f t="shared" si="16"/>
        <v>520.3</v>
      </c>
      <c r="M294" s="601"/>
      <c r="N294" s="601"/>
      <c r="O294" s="601"/>
      <c r="P294" s="601"/>
      <c r="Q294" s="601"/>
      <c r="R294" s="601"/>
      <c r="S294" s="601"/>
      <c r="T294" s="601"/>
      <c r="U294" s="601"/>
      <c r="V294" s="601"/>
      <c r="W294" s="601"/>
      <c r="X294" s="601"/>
      <c r="Y294" s="601"/>
    </row>
    <row r="295" ht="25.5" spans="1:25">
      <c r="A295" s="569" t="s">
        <v>807</v>
      </c>
      <c r="B295" s="569" t="s">
        <v>808</v>
      </c>
      <c r="C295" s="569" t="s">
        <v>796</v>
      </c>
      <c r="D295" s="569" t="s">
        <v>809</v>
      </c>
      <c r="E295" s="577" t="s">
        <v>334</v>
      </c>
      <c r="F295" s="570">
        <v>1</v>
      </c>
      <c r="G295" s="579">
        <v>84.16</v>
      </c>
      <c r="H295" s="600">
        <v>105.61</v>
      </c>
      <c r="I295" s="600">
        <v>105.61</v>
      </c>
      <c r="J295" s="612">
        <v>4.29442670838849e-6</v>
      </c>
      <c r="K295" s="613">
        <f t="shared" si="15"/>
        <v>0</v>
      </c>
      <c r="L295" s="610">
        <f t="shared" si="16"/>
        <v>105.61</v>
      </c>
      <c r="M295" s="601"/>
      <c r="N295" s="601"/>
      <c r="O295" s="601"/>
      <c r="P295" s="601"/>
      <c r="Q295" s="601"/>
      <c r="R295" s="601"/>
      <c r="S295" s="601"/>
      <c r="T295" s="601"/>
      <c r="U295" s="601"/>
      <c r="V295" s="601"/>
      <c r="W295" s="601"/>
      <c r="X295" s="601"/>
      <c r="Y295" s="601"/>
    </row>
    <row r="296" ht="25.5" spans="1:25">
      <c r="A296" s="569" t="s">
        <v>810</v>
      </c>
      <c r="B296" s="569" t="s">
        <v>811</v>
      </c>
      <c r="C296" s="569" t="s">
        <v>796</v>
      </c>
      <c r="D296" s="569" t="s">
        <v>812</v>
      </c>
      <c r="E296" s="577" t="s">
        <v>334</v>
      </c>
      <c r="F296" s="570">
        <v>4</v>
      </c>
      <c r="G296" s="579">
        <v>187.19</v>
      </c>
      <c r="H296" s="600">
        <v>234.9</v>
      </c>
      <c r="I296" s="600">
        <v>939.6</v>
      </c>
      <c r="J296" s="612">
        <v>3.82070195549837e-5</v>
      </c>
      <c r="K296" s="613">
        <f t="shared" si="15"/>
        <v>0</v>
      </c>
      <c r="L296" s="610">
        <f t="shared" si="16"/>
        <v>939.6</v>
      </c>
      <c r="M296" s="601"/>
      <c r="N296" s="601"/>
      <c r="O296" s="601"/>
      <c r="P296" s="601"/>
      <c r="Q296" s="601"/>
      <c r="R296" s="601"/>
      <c r="S296" s="601"/>
      <c r="T296" s="601"/>
      <c r="U296" s="601"/>
      <c r="V296" s="601"/>
      <c r="W296" s="601"/>
      <c r="X296" s="601"/>
      <c r="Y296" s="601"/>
    </row>
    <row r="297" ht="25.5" spans="1:25">
      <c r="A297" s="569" t="s">
        <v>813</v>
      </c>
      <c r="B297" s="569" t="s">
        <v>814</v>
      </c>
      <c r="C297" s="569" t="s">
        <v>796</v>
      </c>
      <c r="D297" s="569" t="s">
        <v>815</v>
      </c>
      <c r="E297" s="577" t="s">
        <v>334</v>
      </c>
      <c r="F297" s="570">
        <v>9</v>
      </c>
      <c r="G297" s="579">
        <v>200.37</v>
      </c>
      <c r="H297" s="600">
        <v>251.44</v>
      </c>
      <c r="I297" s="600">
        <v>2262.96</v>
      </c>
      <c r="J297" s="612">
        <v>9.20188984377883e-5</v>
      </c>
      <c r="K297" s="613">
        <f t="shared" si="15"/>
        <v>0</v>
      </c>
      <c r="L297" s="610">
        <f t="shared" si="16"/>
        <v>2262.96</v>
      </c>
      <c r="M297" s="601"/>
      <c r="N297" s="601"/>
      <c r="O297" s="601"/>
      <c r="P297" s="601"/>
      <c r="Q297" s="601"/>
      <c r="R297" s="601"/>
      <c r="S297" s="601"/>
      <c r="T297" s="601"/>
      <c r="U297" s="601"/>
      <c r="V297" s="601"/>
      <c r="W297" s="601"/>
      <c r="X297" s="601"/>
      <c r="Y297" s="601"/>
    </row>
    <row r="298" ht="25.5" spans="1:25">
      <c r="A298" s="569" t="s">
        <v>816</v>
      </c>
      <c r="B298" s="569" t="s">
        <v>817</v>
      </c>
      <c r="C298" s="569" t="s">
        <v>139</v>
      </c>
      <c r="D298" s="569" t="s">
        <v>818</v>
      </c>
      <c r="E298" s="577" t="s">
        <v>134</v>
      </c>
      <c r="F298" s="570">
        <v>4</v>
      </c>
      <c r="G298" s="579">
        <v>182.29</v>
      </c>
      <c r="H298" s="600">
        <v>228.75</v>
      </c>
      <c r="I298" s="600">
        <v>915</v>
      </c>
      <c r="J298" s="612">
        <v>3.72067080596106e-5</v>
      </c>
      <c r="K298" s="613">
        <f t="shared" si="15"/>
        <v>0</v>
      </c>
      <c r="L298" s="610">
        <f t="shared" si="16"/>
        <v>915</v>
      </c>
      <c r="M298" s="601"/>
      <c r="N298" s="601"/>
      <c r="O298" s="601"/>
      <c r="P298" s="601"/>
      <c r="Q298" s="601"/>
      <c r="R298" s="601"/>
      <c r="S298" s="601"/>
      <c r="T298" s="601"/>
      <c r="U298" s="601"/>
      <c r="V298" s="601"/>
      <c r="W298" s="601"/>
      <c r="X298" s="601"/>
      <c r="Y298" s="601"/>
    </row>
    <row r="299" ht="25.5" spans="1:25">
      <c r="A299" s="569" t="s">
        <v>819</v>
      </c>
      <c r="B299" s="569" t="s">
        <v>820</v>
      </c>
      <c r="C299" s="569" t="s">
        <v>139</v>
      </c>
      <c r="D299" s="569" t="s">
        <v>821</v>
      </c>
      <c r="E299" s="577" t="s">
        <v>134</v>
      </c>
      <c r="F299" s="570">
        <v>6</v>
      </c>
      <c r="G299" s="579">
        <v>42.03</v>
      </c>
      <c r="H299" s="600">
        <v>52.74</v>
      </c>
      <c r="I299" s="600">
        <v>316.44</v>
      </c>
      <c r="J299" s="612">
        <v>1.28674215282876e-5</v>
      </c>
      <c r="K299" s="613">
        <f t="shared" si="15"/>
        <v>0</v>
      </c>
      <c r="L299" s="610">
        <f t="shared" si="16"/>
        <v>316.44</v>
      </c>
      <c r="M299" s="601"/>
      <c r="N299" s="601"/>
      <c r="O299" s="601"/>
      <c r="P299" s="601"/>
      <c r="Q299" s="601"/>
      <c r="R299" s="601"/>
      <c r="S299" s="601"/>
      <c r="T299" s="601"/>
      <c r="U299" s="601"/>
      <c r="V299" s="601"/>
      <c r="W299" s="601"/>
      <c r="X299" s="601"/>
      <c r="Y299" s="601"/>
    </row>
    <row r="300" ht="25.5" spans="1:25">
      <c r="A300" s="569" t="s">
        <v>822</v>
      </c>
      <c r="B300" s="569" t="s">
        <v>823</v>
      </c>
      <c r="C300" s="569" t="s">
        <v>132</v>
      </c>
      <c r="D300" s="569" t="s">
        <v>824</v>
      </c>
      <c r="E300" s="577" t="s">
        <v>134</v>
      </c>
      <c r="F300" s="570">
        <v>10</v>
      </c>
      <c r="G300" s="579">
        <v>66.3</v>
      </c>
      <c r="H300" s="600">
        <v>83.19</v>
      </c>
      <c r="I300" s="600">
        <v>831.9</v>
      </c>
      <c r="J300" s="612">
        <v>3.38276070325574e-5</v>
      </c>
      <c r="K300" s="613">
        <f t="shared" si="15"/>
        <v>0</v>
      </c>
      <c r="L300" s="610">
        <f t="shared" si="16"/>
        <v>831.9</v>
      </c>
      <c r="M300" s="601"/>
      <c r="N300" s="601"/>
      <c r="O300" s="601"/>
      <c r="P300" s="601"/>
      <c r="Q300" s="601"/>
      <c r="R300" s="601"/>
      <c r="S300" s="601"/>
      <c r="T300" s="601"/>
      <c r="U300" s="601"/>
      <c r="V300" s="601"/>
      <c r="W300" s="601"/>
      <c r="X300" s="601"/>
      <c r="Y300" s="601"/>
    </row>
    <row r="301" ht="25.5" spans="1:25">
      <c r="A301" s="569" t="s">
        <v>825</v>
      </c>
      <c r="B301" s="569" t="s">
        <v>826</v>
      </c>
      <c r="C301" s="569" t="s">
        <v>132</v>
      </c>
      <c r="D301" s="569" t="s">
        <v>827</v>
      </c>
      <c r="E301" s="577" t="s">
        <v>134</v>
      </c>
      <c r="F301" s="570">
        <v>5</v>
      </c>
      <c r="G301" s="579">
        <v>84.1</v>
      </c>
      <c r="H301" s="600">
        <v>105.53</v>
      </c>
      <c r="I301" s="600">
        <v>527.65</v>
      </c>
      <c r="J301" s="612">
        <v>2.14558683143754e-5</v>
      </c>
      <c r="K301" s="613">
        <f t="shared" si="15"/>
        <v>0</v>
      </c>
      <c r="L301" s="610">
        <f t="shared" si="16"/>
        <v>527.65</v>
      </c>
      <c r="M301" s="601"/>
      <c r="N301" s="601"/>
      <c r="O301" s="601"/>
      <c r="P301" s="601"/>
      <c r="Q301" s="601"/>
      <c r="R301" s="601"/>
      <c r="S301" s="601"/>
      <c r="T301" s="601"/>
      <c r="U301" s="601"/>
      <c r="V301" s="601"/>
      <c r="W301" s="601"/>
      <c r="X301" s="601"/>
      <c r="Y301" s="601"/>
    </row>
    <row r="302" ht="25.5" spans="1:25">
      <c r="A302" s="569" t="s">
        <v>828</v>
      </c>
      <c r="B302" s="569" t="s">
        <v>829</v>
      </c>
      <c r="C302" s="569" t="s">
        <v>132</v>
      </c>
      <c r="D302" s="569" t="s">
        <v>830</v>
      </c>
      <c r="E302" s="577" t="s">
        <v>134</v>
      </c>
      <c r="F302" s="570">
        <v>16</v>
      </c>
      <c r="G302" s="579">
        <v>65.62</v>
      </c>
      <c r="H302" s="600">
        <v>82.34</v>
      </c>
      <c r="I302" s="600">
        <v>1317.44</v>
      </c>
      <c r="J302" s="612">
        <v>5.35711535148124e-5</v>
      </c>
      <c r="K302" s="613">
        <f t="shared" si="15"/>
        <v>0</v>
      </c>
      <c r="L302" s="610">
        <f t="shared" si="16"/>
        <v>1317.44</v>
      </c>
      <c r="M302" s="601"/>
      <c r="N302" s="601"/>
      <c r="O302" s="601"/>
      <c r="P302" s="601"/>
      <c r="Q302" s="601"/>
      <c r="R302" s="601"/>
      <c r="S302" s="601"/>
      <c r="T302" s="601"/>
      <c r="U302" s="601"/>
      <c r="V302" s="601"/>
      <c r="W302" s="601"/>
      <c r="X302" s="601"/>
      <c r="Y302" s="601"/>
    </row>
    <row r="303" ht="25.5" spans="1:25">
      <c r="A303" s="569" t="s">
        <v>831</v>
      </c>
      <c r="B303" s="569" t="s">
        <v>832</v>
      </c>
      <c r="C303" s="569" t="s">
        <v>139</v>
      </c>
      <c r="D303" s="569" t="s">
        <v>833</v>
      </c>
      <c r="E303" s="577" t="s">
        <v>134</v>
      </c>
      <c r="F303" s="570">
        <v>4</v>
      </c>
      <c r="G303" s="579">
        <v>187.29</v>
      </c>
      <c r="H303" s="600">
        <v>235.03</v>
      </c>
      <c r="I303" s="600">
        <v>940.12</v>
      </c>
      <c r="J303" s="612">
        <v>3.82281643508209e-5</v>
      </c>
      <c r="K303" s="613">
        <f t="shared" si="15"/>
        <v>0</v>
      </c>
      <c r="L303" s="610">
        <f t="shared" si="16"/>
        <v>940.12</v>
      </c>
      <c r="M303" s="601"/>
      <c r="N303" s="601"/>
      <c r="O303" s="601"/>
      <c r="P303" s="601"/>
      <c r="Q303" s="601"/>
      <c r="R303" s="601"/>
      <c r="S303" s="601"/>
      <c r="T303" s="601"/>
      <c r="U303" s="601"/>
      <c r="V303" s="601"/>
      <c r="W303" s="601"/>
      <c r="X303" s="601"/>
      <c r="Y303" s="601"/>
    </row>
    <row r="304" ht="25.5" spans="1:25">
      <c r="A304" s="569" t="s">
        <v>834</v>
      </c>
      <c r="B304" s="569" t="s">
        <v>835</v>
      </c>
      <c r="C304" s="569" t="s">
        <v>77</v>
      </c>
      <c r="D304" s="569" t="s">
        <v>836</v>
      </c>
      <c r="E304" s="577" t="s">
        <v>134</v>
      </c>
      <c r="F304" s="570">
        <v>1</v>
      </c>
      <c r="G304" s="579">
        <v>28.08</v>
      </c>
      <c r="H304" s="600">
        <v>35.23</v>
      </c>
      <c r="I304" s="600">
        <v>35.23</v>
      </c>
      <c r="J304" s="612">
        <v>1.4325599179673e-6</v>
      </c>
      <c r="K304" s="613">
        <f t="shared" si="15"/>
        <v>0</v>
      </c>
      <c r="L304" s="610">
        <f t="shared" si="16"/>
        <v>35.23</v>
      </c>
      <c r="M304" s="601"/>
      <c r="N304" s="601"/>
      <c r="O304" s="601"/>
      <c r="P304" s="601"/>
      <c r="Q304" s="601"/>
      <c r="R304" s="601"/>
      <c r="S304" s="601"/>
      <c r="T304" s="601"/>
      <c r="U304" s="601"/>
      <c r="V304" s="601"/>
      <c r="W304" s="601"/>
      <c r="X304" s="601"/>
      <c r="Y304" s="601"/>
    </row>
    <row r="305" ht="38.25" spans="1:25">
      <c r="A305" s="569" t="s">
        <v>837</v>
      </c>
      <c r="B305" s="569" t="s">
        <v>838</v>
      </c>
      <c r="C305" s="569" t="s">
        <v>77</v>
      </c>
      <c r="D305" s="569" t="s">
        <v>839</v>
      </c>
      <c r="E305" s="577" t="s">
        <v>134</v>
      </c>
      <c r="F305" s="570">
        <v>1</v>
      </c>
      <c r="G305" s="579">
        <v>186.62</v>
      </c>
      <c r="H305" s="600">
        <v>234.18</v>
      </c>
      <c r="I305" s="600">
        <v>234.18</v>
      </c>
      <c r="J305" s="612">
        <v>9.52247747912525e-6</v>
      </c>
      <c r="K305" s="613">
        <f t="shared" si="15"/>
        <v>0</v>
      </c>
      <c r="L305" s="610">
        <f t="shared" si="16"/>
        <v>234.18</v>
      </c>
      <c r="M305" s="601"/>
      <c r="N305" s="601"/>
      <c r="O305" s="601"/>
      <c r="P305" s="601"/>
      <c r="Q305" s="601"/>
      <c r="R305" s="601"/>
      <c r="S305" s="601"/>
      <c r="T305" s="601"/>
      <c r="U305" s="601"/>
      <c r="V305" s="601"/>
      <c r="W305" s="601"/>
      <c r="X305" s="601"/>
      <c r="Y305" s="601"/>
    </row>
    <row r="306" ht="25.5" spans="1:25">
      <c r="A306" s="569" t="s">
        <v>840</v>
      </c>
      <c r="B306" s="569" t="s">
        <v>841</v>
      </c>
      <c r="C306" s="569" t="s">
        <v>139</v>
      </c>
      <c r="D306" s="569" t="s">
        <v>842</v>
      </c>
      <c r="E306" s="577" t="s">
        <v>134</v>
      </c>
      <c r="F306" s="570">
        <v>5</v>
      </c>
      <c r="G306" s="579">
        <v>399.74</v>
      </c>
      <c r="H306" s="600">
        <v>501.63</v>
      </c>
      <c r="I306" s="600">
        <v>2508.15</v>
      </c>
      <c r="J306" s="612">
        <v>0.000101989076305696</v>
      </c>
      <c r="K306" s="613">
        <f t="shared" si="15"/>
        <v>0</v>
      </c>
      <c r="L306" s="610">
        <f t="shared" si="16"/>
        <v>2508.15</v>
      </c>
      <c r="M306" s="601"/>
      <c r="N306" s="601"/>
      <c r="O306" s="601"/>
      <c r="P306" s="601"/>
      <c r="Q306" s="601"/>
      <c r="R306" s="601"/>
      <c r="S306" s="601"/>
      <c r="T306" s="601"/>
      <c r="U306" s="601"/>
      <c r="V306" s="601"/>
      <c r="W306" s="601"/>
      <c r="X306" s="601"/>
      <c r="Y306" s="601"/>
    </row>
    <row r="307" ht="15" spans="1:25">
      <c r="A307" s="569" t="s">
        <v>843</v>
      </c>
      <c r="B307" s="569" t="s">
        <v>844</v>
      </c>
      <c r="C307" s="569" t="s">
        <v>149</v>
      </c>
      <c r="D307" s="569" t="s">
        <v>845</v>
      </c>
      <c r="E307" s="577" t="s">
        <v>134</v>
      </c>
      <c r="F307" s="570">
        <v>5</v>
      </c>
      <c r="G307" s="579">
        <v>132.96</v>
      </c>
      <c r="H307" s="600">
        <v>166.85</v>
      </c>
      <c r="I307" s="600">
        <v>834.25</v>
      </c>
      <c r="J307" s="612">
        <v>3.39231652445138e-5</v>
      </c>
      <c r="K307" s="613">
        <f t="shared" si="15"/>
        <v>0</v>
      </c>
      <c r="L307" s="610">
        <f t="shared" si="16"/>
        <v>834.25</v>
      </c>
      <c r="M307" s="601"/>
      <c r="N307" s="601"/>
      <c r="O307" s="601"/>
      <c r="P307" s="601"/>
      <c r="Q307" s="601"/>
      <c r="R307" s="601"/>
      <c r="S307" s="601"/>
      <c r="T307" s="601"/>
      <c r="U307" s="601"/>
      <c r="V307" s="601"/>
      <c r="W307" s="601"/>
      <c r="X307" s="601"/>
      <c r="Y307" s="601"/>
    </row>
    <row r="308" ht="63.75" spans="1:25">
      <c r="A308" s="569" t="s">
        <v>846</v>
      </c>
      <c r="B308" s="569" t="s">
        <v>847</v>
      </c>
      <c r="C308" s="569" t="s">
        <v>139</v>
      </c>
      <c r="D308" s="569" t="s">
        <v>848</v>
      </c>
      <c r="E308" s="577" t="s">
        <v>204</v>
      </c>
      <c r="F308" s="570">
        <v>6</v>
      </c>
      <c r="G308" s="579">
        <v>20.97</v>
      </c>
      <c r="H308" s="600">
        <v>26.31</v>
      </c>
      <c r="I308" s="600">
        <v>157.86</v>
      </c>
      <c r="J308" s="612">
        <v>6.41907205933347e-6</v>
      </c>
      <c r="K308" s="613">
        <f t="shared" si="15"/>
        <v>0</v>
      </c>
      <c r="L308" s="610">
        <f t="shared" si="16"/>
        <v>157.86</v>
      </c>
      <c r="M308" s="601"/>
      <c r="N308" s="601"/>
      <c r="O308" s="601"/>
      <c r="P308" s="601"/>
      <c r="Q308" s="601"/>
      <c r="R308" s="601"/>
      <c r="S308" s="601"/>
      <c r="T308" s="601"/>
      <c r="U308" s="601"/>
      <c r="V308" s="601"/>
      <c r="W308" s="601"/>
      <c r="X308" s="601"/>
      <c r="Y308" s="601"/>
    </row>
    <row r="309" ht="63.75" spans="1:25">
      <c r="A309" s="569" t="s">
        <v>849</v>
      </c>
      <c r="B309" s="569" t="s">
        <v>850</v>
      </c>
      <c r="C309" s="569" t="s">
        <v>139</v>
      </c>
      <c r="D309" s="569" t="s">
        <v>851</v>
      </c>
      <c r="E309" s="577" t="s">
        <v>204</v>
      </c>
      <c r="F309" s="570">
        <v>169.3</v>
      </c>
      <c r="G309" s="579">
        <v>27.97</v>
      </c>
      <c r="H309" s="600">
        <v>35.09</v>
      </c>
      <c r="I309" s="600">
        <v>5940.73</v>
      </c>
      <c r="J309" s="612">
        <v>0.000241568313410896</v>
      </c>
      <c r="K309" s="613">
        <f t="shared" si="15"/>
        <v>0</v>
      </c>
      <c r="L309" s="610">
        <f t="shared" si="16"/>
        <v>5940.73</v>
      </c>
      <c r="M309" s="601"/>
      <c r="N309" s="601"/>
      <c r="O309" s="601"/>
      <c r="P309" s="601"/>
      <c r="Q309" s="601"/>
      <c r="R309" s="601"/>
      <c r="S309" s="601"/>
      <c r="T309" s="601"/>
      <c r="U309" s="601"/>
      <c r="V309" s="601"/>
      <c r="W309" s="601"/>
      <c r="X309" s="601"/>
      <c r="Y309" s="601"/>
    </row>
    <row r="310" ht="63.75" spans="1:25">
      <c r="A310" s="569" t="s">
        <v>852</v>
      </c>
      <c r="B310" s="569" t="s">
        <v>853</v>
      </c>
      <c r="C310" s="569" t="s">
        <v>139</v>
      </c>
      <c r="D310" s="569" t="s">
        <v>854</v>
      </c>
      <c r="E310" s="577" t="s">
        <v>204</v>
      </c>
      <c r="F310" s="570">
        <v>21</v>
      </c>
      <c r="G310" s="579">
        <v>20.66</v>
      </c>
      <c r="H310" s="600">
        <v>25.92</v>
      </c>
      <c r="I310" s="600">
        <v>544.32</v>
      </c>
      <c r="J310" s="612">
        <v>2.21337216732319e-5</v>
      </c>
      <c r="K310" s="613">
        <f t="shared" si="15"/>
        <v>0</v>
      </c>
      <c r="L310" s="610">
        <f t="shared" si="16"/>
        <v>544.32</v>
      </c>
      <c r="M310" s="601"/>
      <c r="N310" s="601"/>
      <c r="O310" s="601"/>
      <c r="P310" s="601"/>
      <c r="Q310" s="601"/>
      <c r="R310" s="601"/>
      <c r="S310" s="601"/>
      <c r="T310" s="601"/>
      <c r="U310" s="601"/>
      <c r="V310" s="601"/>
      <c r="W310" s="601"/>
      <c r="X310" s="601"/>
      <c r="Y310" s="601"/>
    </row>
    <row r="311" ht="51" spans="1:25">
      <c r="A311" s="569" t="s">
        <v>855</v>
      </c>
      <c r="B311" s="569" t="s">
        <v>856</v>
      </c>
      <c r="C311" s="569" t="s">
        <v>139</v>
      </c>
      <c r="D311" s="569" t="s">
        <v>857</v>
      </c>
      <c r="E311" s="577" t="s">
        <v>204</v>
      </c>
      <c r="F311" s="570">
        <v>79</v>
      </c>
      <c r="G311" s="579">
        <v>23.79</v>
      </c>
      <c r="H311" s="600">
        <v>29.85</v>
      </c>
      <c r="I311" s="600">
        <v>2358.15</v>
      </c>
      <c r="J311" s="612">
        <v>9.58896159680554e-5</v>
      </c>
      <c r="K311" s="613">
        <f t="shared" si="15"/>
        <v>0</v>
      </c>
      <c r="L311" s="610">
        <f t="shared" si="16"/>
        <v>2358.15</v>
      </c>
      <c r="M311" s="601"/>
      <c r="N311" s="601"/>
      <c r="O311" s="601"/>
      <c r="P311" s="601"/>
      <c r="Q311" s="601"/>
      <c r="R311" s="601"/>
      <c r="S311" s="601"/>
      <c r="T311" s="601"/>
      <c r="U311" s="601"/>
      <c r="V311" s="601"/>
      <c r="W311" s="601"/>
      <c r="X311" s="601"/>
      <c r="Y311" s="601"/>
    </row>
    <row r="312" ht="25.5" spans="1:25">
      <c r="A312" s="569" t="s">
        <v>858</v>
      </c>
      <c r="B312" s="569" t="s">
        <v>859</v>
      </c>
      <c r="C312" s="569" t="s">
        <v>132</v>
      </c>
      <c r="D312" s="569" t="s">
        <v>860</v>
      </c>
      <c r="E312" s="577" t="s">
        <v>134</v>
      </c>
      <c r="F312" s="570">
        <v>66</v>
      </c>
      <c r="G312" s="579">
        <v>25.31</v>
      </c>
      <c r="H312" s="600">
        <v>31.76</v>
      </c>
      <c r="I312" s="600">
        <v>2096.16</v>
      </c>
      <c r="J312" s="612">
        <v>8.52362985423314e-5</v>
      </c>
      <c r="K312" s="613">
        <f t="shared" si="15"/>
        <v>0</v>
      </c>
      <c r="L312" s="610">
        <f t="shared" si="16"/>
        <v>2096.16</v>
      </c>
      <c r="M312" s="601"/>
      <c r="N312" s="601"/>
      <c r="O312" s="601"/>
      <c r="P312" s="601"/>
      <c r="Q312" s="601"/>
      <c r="R312" s="601"/>
      <c r="S312" s="601"/>
      <c r="T312" s="601"/>
      <c r="U312" s="601"/>
      <c r="V312" s="601"/>
      <c r="W312" s="601"/>
      <c r="X312" s="601"/>
      <c r="Y312" s="601"/>
    </row>
    <row r="313" ht="15" spans="1:25">
      <c r="A313" s="104" t="s">
        <v>861</v>
      </c>
      <c r="B313" s="104" t="s">
        <v>862</v>
      </c>
      <c r="C313" s="104" t="s">
        <v>796</v>
      </c>
      <c r="D313" s="104" t="s">
        <v>863</v>
      </c>
      <c r="E313" s="105" t="s">
        <v>334</v>
      </c>
      <c r="F313" s="103">
        <v>264</v>
      </c>
      <c r="G313" s="106">
        <v>0.06</v>
      </c>
      <c r="H313" s="126">
        <v>0.07</v>
      </c>
      <c r="I313" s="126">
        <v>18.48</v>
      </c>
      <c r="J313" s="614">
        <v>7.51453513597381e-7</v>
      </c>
      <c r="K313" s="613">
        <f t="shared" si="15"/>
        <v>0</v>
      </c>
      <c r="L313" s="610">
        <f t="shared" si="16"/>
        <v>18.48</v>
      </c>
      <c r="M313" s="601"/>
      <c r="N313" s="601"/>
      <c r="O313" s="601"/>
      <c r="P313" s="601"/>
      <c r="Q313" s="601"/>
      <c r="R313" s="601"/>
      <c r="S313" s="601"/>
      <c r="T313" s="601"/>
      <c r="U313" s="601"/>
      <c r="V313" s="601"/>
      <c r="W313" s="601"/>
      <c r="X313" s="601"/>
      <c r="Y313" s="601"/>
    </row>
    <row r="314" ht="25.5" spans="1:25">
      <c r="A314" s="569" t="s">
        <v>864</v>
      </c>
      <c r="B314" s="569" t="s">
        <v>865</v>
      </c>
      <c r="C314" s="569" t="s">
        <v>132</v>
      </c>
      <c r="D314" s="569" t="s">
        <v>866</v>
      </c>
      <c r="E314" s="577" t="s">
        <v>134</v>
      </c>
      <c r="F314" s="570">
        <v>132</v>
      </c>
      <c r="G314" s="579">
        <v>0.12</v>
      </c>
      <c r="H314" s="600">
        <v>0.15</v>
      </c>
      <c r="I314" s="600">
        <v>19.8</v>
      </c>
      <c r="J314" s="612">
        <v>8.05128764568622e-7</v>
      </c>
      <c r="K314" s="613">
        <f t="shared" si="15"/>
        <v>0</v>
      </c>
      <c r="L314" s="610">
        <f t="shared" si="16"/>
        <v>19.8</v>
      </c>
      <c r="M314" s="601"/>
      <c r="N314" s="601"/>
      <c r="O314" s="601"/>
      <c r="P314" s="601"/>
      <c r="Q314" s="601"/>
      <c r="R314" s="601"/>
      <c r="S314" s="601"/>
      <c r="T314" s="601"/>
      <c r="U314" s="601"/>
      <c r="V314" s="601"/>
      <c r="W314" s="601"/>
      <c r="X314" s="601"/>
      <c r="Y314" s="601"/>
    </row>
    <row r="315" ht="15" spans="1:25">
      <c r="A315" s="596" t="s">
        <v>867</v>
      </c>
      <c r="B315" s="596" t="s">
        <v>74</v>
      </c>
      <c r="C315" s="596"/>
      <c r="D315" s="596" t="s">
        <v>868</v>
      </c>
      <c r="E315" s="597"/>
      <c r="F315" s="598">
        <v>1</v>
      </c>
      <c r="G315" s="598"/>
      <c r="H315" s="599">
        <v>16356.22</v>
      </c>
      <c r="I315" s="599">
        <v>16356.22</v>
      </c>
      <c r="J315" s="608">
        <v>0.000665094101091545</v>
      </c>
      <c r="K315" s="613">
        <f t="shared" si="15"/>
        <v>0</v>
      </c>
      <c r="L315" s="610">
        <f>SUM(L316:L320)</f>
        <v>16356.22</v>
      </c>
      <c r="M315" s="601"/>
      <c r="N315" s="601"/>
      <c r="O315" s="601"/>
      <c r="P315" s="601"/>
      <c r="Q315" s="601"/>
      <c r="R315" s="601"/>
      <c r="S315" s="601"/>
      <c r="T315" s="601"/>
      <c r="U315" s="601"/>
      <c r="V315" s="601"/>
      <c r="W315" s="601"/>
      <c r="X315" s="601"/>
      <c r="Y315" s="601"/>
    </row>
    <row r="316" ht="38.25" spans="1:25">
      <c r="A316" s="569" t="s">
        <v>869</v>
      </c>
      <c r="B316" s="569" t="s">
        <v>870</v>
      </c>
      <c r="C316" s="569" t="s">
        <v>77</v>
      </c>
      <c r="D316" s="569" t="s">
        <v>871</v>
      </c>
      <c r="E316" s="577" t="s">
        <v>204</v>
      </c>
      <c r="F316" s="570">
        <v>26</v>
      </c>
      <c r="G316" s="579">
        <v>110.79</v>
      </c>
      <c r="H316" s="600">
        <v>139.03</v>
      </c>
      <c r="I316" s="600">
        <v>3614.78</v>
      </c>
      <c r="J316" s="612">
        <v>0.000146988048261988</v>
      </c>
      <c r="K316" s="613">
        <f t="shared" si="15"/>
        <v>0</v>
      </c>
      <c r="L316" s="610">
        <f>I316-(I316*K316)</f>
        <v>3614.78</v>
      </c>
      <c r="M316" s="601"/>
      <c r="N316" s="601"/>
      <c r="O316" s="601"/>
      <c r="P316" s="601"/>
      <c r="Q316" s="601"/>
      <c r="R316" s="601"/>
      <c r="S316" s="601"/>
      <c r="T316" s="601"/>
      <c r="U316" s="601"/>
      <c r="V316" s="601"/>
      <c r="W316" s="601"/>
      <c r="X316" s="601"/>
      <c r="Y316" s="601"/>
    </row>
    <row r="317" ht="38.25" spans="1:25">
      <c r="A317" s="569" t="s">
        <v>872</v>
      </c>
      <c r="B317" s="569" t="s">
        <v>873</v>
      </c>
      <c r="C317" s="569" t="s">
        <v>139</v>
      </c>
      <c r="D317" s="569" t="s">
        <v>874</v>
      </c>
      <c r="E317" s="577" t="s">
        <v>204</v>
      </c>
      <c r="F317" s="570">
        <v>8</v>
      </c>
      <c r="G317" s="579">
        <v>447.18</v>
      </c>
      <c r="H317" s="600">
        <v>561.16</v>
      </c>
      <c r="I317" s="600">
        <v>4489.28</v>
      </c>
      <c r="J317" s="612">
        <v>0.000182547902030436</v>
      </c>
      <c r="K317" s="613">
        <f t="shared" si="15"/>
        <v>0</v>
      </c>
      <c r="L317" s="610">
        <f>I317-(I317*K317)</f>
        <v>4489.28</v>
      </c>
      <c r="M317" s="601"/>
      <c r="N317" s="601"/>
      <c r="O317" s="601"/>
      <c r="P317" s="601"/>
      <c r="Q317" s="601"/>
      <c r="R317" s="601"/>
      <c r="S317" s="601"/>
      <c r="T317" s="601"/>
      <c r="U317" s="601"/>
      <c r="V317" s="601"/>
      <c r="W317" s="601"/>
      <c r="X317" s="601"/>
      <c r="Y317" s="601"/>
    </row>
    <row r="318" ht="38.25" spans="1:25">
      <c r="A318" s="569" t="s">
        <v>875</v>
      </c>
      <c r="B318" s="569" t="s">
        <v>876</v>
      </c>
      <c r="C318" s="569" t="s">
        <v>139</v>
      </c>
      <c r="D318" s="569" t="s">
        <v>877</v>
      </c>
      <c r="E318" s="577" t="s">
        <v>204</v>
      </c>
      <c r="F318" s="570">
        <v>6</v>
      </c>
      <c r="G318" s="579">
        <v>134.42</v>
      </c>
      <c r="H318" s="600">
        <v>168.68</v>
      </c>
      <c r="I318" s="600">
        <v>1012.08</v>
      </c>
      <c r="J318" s="612">
        <v>4.11542787901319e-5</v>
      </c>
      <c r="K318" s="613">
        <f t="shared" si="15"/>
        <v>0</v>
      </c>
      <c r="L318" s="610">
        <f>I318-(I318*K318)</f>
        <v>1012.08</v>
      </c>
      <c r="M318" s="601"/>
      <c r="N318" s="601"/>
      <c r="O318" s="601"/>
      <c r="P318" s="601"/>
      <c r="Q318" s="601"/>
      <c r="R318" s="601"/>
      <c r="S318" s="601"/>
      <c r="T318" s="601"/>
      <c r="U318" s="601"/>
      <c r="V318" s="601"/>
      <c r="W318" s="601"/>
      <c r="X318" s="601"/>
      <c r="Y318" s="601"/>
    </row>
    <row r="319" ht="25.5" spans="1:25">
      <c r="A319" s="569" t="s">
        <v>878</v>
      </c>
      <c r="B319" s="569" t="s">
        <v>879</v>
      </c>
      <c r="C319" s="569" t="s">
        <v>132</v>
      </c>
      <c r="D319" s="569" t="s">
        <v>880</v>
      </c>
      <c r="E319" s="577" t="s">
        <v>134</v>
      </c>
      <c r="F319" s="570">
        <v>2</v>
      </c>
      <c r="G319" s="579">
        <v>191.22</v>
      </c>
      <c r="H319" s="600">
        <v>239.96</v>
      </c>
      <c r="I319" s="600">
        <v>479.92</v>
      </c>
      <c r="J319" s="612">
        <v>1.9515020034938e-5</v>
      </c>
      <c r="K319" s="613">
        <f t="shared" si="15"/>
        <v>0</v>
      </c>
      <c r="L319" s="610">
        <f>I319-(I319*K319)</f>
        <v>479.92</v>
      </c>
      <c r="M319" s="601"/>
      <c r="N319" s="601"/>
      <c r="O319" s="601"/>
      <c r="P319" s="601"/>
      <c r="Q319" s="601"/>
      <c r="R319" s="601"/>
      <c r="S319" s="601"/>
      <c r="T319" s="601"/>
      <c r="U319" s="601"/>
      <c r="V319" s="601"/>
      <c r="W319" s="601"/>
      <c r="X319" s="601"/>
      <c r="Y319" s="601"/>
    </row>
    <row r="320" ht="25.5" spans="1:25">
      <c r="A320" s="569" t="s">
        <v>881</v>
      </c>
      <c r="B320" s="569" t="s">
        <v>882</v>
      </c>
      <c r="C320" s="569" t="s">
        <v>132</v>
      </c>
      <c r="D320" s="569" t="s">
        <v>883</v>
      </c>
      <c r="E320" s="577" t="s">
        <v>134</v>
      </c>
      <c r="F320" s="570">
        <v>2</v>
      </c>
      <c r="G320" s="579">
        <v>2693.51</v>
      </c>
      <c r="H320" s="600">
        <v>3380.08</v>
      </c>
      <c r="I320" s="600">
        <v>6760.16</v>
      </c>
      <c r="J320" s="612">
        <v>0.000274888851974051</v>
      </c>
      <c r="K320" s="613">
        <f t="shared" si="15"/>
        <v>0</v>
      </c>
      <c r="L320" s="610">
        <f>I320-(I320*K320)</f>
        <v>6760.16</v>
      </c>
      <c r="M320" s="601"/>
      <c r="N320" s="601"/>
      <c r="O320" s="601"/>
      <c r="P320" s="601"/>
      <c r="Q320" s="601"/>
      <c r="R320" s="601"/>
      <c r="S320" s="601"/>
      <c r="T320" s="601"/>
      <c r="U320" s="601"/>
      <c r="V320" s="601"/>
      <c r="W320" s="601"/>
      <c r="X320" s="601"/>
      <c r="Y320" s="601"/>
    </row>
    <row r="321" ht="15" spans="1:25">
      <c r="A321" s="596" t="s">
        <v>884</v>
      </c>
      <c r="B321" s="596" t="s">
        <v>74</v>
      </c>
      <c r="C321" s="596"/>
      <c r="D321" s="596" t="s">
        <v>885</v>
      </c>
      <c r="E321" s="597"/>
      <c r="F321" s="598">
        <v>1</v>
      </c>
      <c r="G321" s="598"/>
      <c r="H321" s="599">
        <v>213087.25</v>
      </c>
      <c r="I321" s="599">
        <v>213087.25</v>
      </c>
      <c r="J321" s="608">
        <v>0.00866478153221339</v>
      </c>
      <c r="K321" s="613">
        <f t="shared" si="15"/>
        <v>0</v>
      </c>
      <c r="L321" s="610">
        <f>SUM(L322:L345)</f>
        <v>213087.25</v>
      </c>
      <c r="M321" s="601"/>
      <c r="N321" s="601"/>
      <c r="O321" s="601"/>
      <c r="P321" s="601"/>
      <c r="Q321" s="601"/>
      <c r="R321" s="601"/>
      <c r="S321" s="601"/>
      <c r="T321" s="601"/>
      <c r="U321" s="601"/>
      <c r="V321" s="601"/>
      <c r="W321" s="601"/>
      <c r="X321" s="601"/>
      <c r="Y321" s="601"/>
    </row>
    <row r="322" ht="25.5" spans="1:25">
      <c r="A322" s="569" t="s">
        <v>886</v>
      </c>
      <c r="B322" s="569" t="s">
        <v>887</v>
      </c>
      <c r="C322" s="569" t="s">
        <v>149</v>
      </c>
      <c r="D322" s="569" t="s">
        <v>888</v>
      </c>
      <c r="E322" s="577" t="s">
        <v>134</v>
      </c>
      <c r="F322" s="570">
        <v>29</v>
      </c>
      <c r="G322" s="579">
        <v>1776.86</v>
      </c>
      <c r="H322" s="600">
        <v>2229.78</v>
      </c>
      <c r="I322" s="600">
        <v>64663.62</v>
      </c>
      <c r="J322" s="612">
        <v>0.00262942123652196</v>
      </c>
      <c r="K322" s="613">
        <f t="shared" si="15"/>
        <v>0</v>
      </c>
      <c r="L322" s="610">
        <f t="shared" ref="L322:L345" si="17">I322-(I322*K322)</f>
        <v>64663.62</v>
      </c>
      <c r="M322" s="601"/>
      <c r="N322" s="601"/>
      <c r="O322" s="601"/>
      <c r="P322" s="601"/>
      <c r="Q322" s="601"/>
      <c r="R322" s="601"/>
      <c r="S322" s="601"/>
      <c r="T322" s="601"/>
      <c r="U322" s="601"/>
      <c r="V322" s="601"/>
      <c r="W322" s="601"/>
      <c r="X322" s="601"/>
      <c r="Y322" s="601"/>
    </row>
    <row r="323" ht="25.5" spans="1:25">
      <c r="A323" s="569" t="s">
        <v>889</v>
      </c>
      <c r="B323" s="569" t="s">
        <v>890</v>
      </c>
      <c r="C323" s="569" t="s">
        <v>132</v>
      </c>
      <c r="D323" s="569" t="s">
        <v>891</v>
      </c>
      <c r="E323" s="577" t="s">
        <v>134</v>
      </c>
      <c r="F323" s="570">
        <v>1</v>
      </c>
      <c r="G323" s="579">
        <v>286.07</v>
      </c>
      <c r="H323" s="600">
        <v>358.98</v>
      </c>
      <c r="I323" s="600">
        <v>358.98</v>
      </c>
      <c r="J323" s="612">
        <v>1.45972284800426e-5</v>
      </c>
      <c r="K323" s="613">
        <f t="shared" si="15"/>
        <v>0</v>
      </c>
      <c r="L323" s="610">
        <f t="shared" si="17"/>
        <v>358.98</v>
      </c>
      <c r="M323" s="601"/>
      <c r="N323" s="601"/>
      <c r="O323" s="601"/>
      <c r="P323" s="601"/>
      <c r="Q323" s="601"/>
      <c r="R323" s="601"/>
      <c r="S323" s="601"/>
      <c r="T323" s="601"/>
      <c r="U323" s="601"/>
      <c r="V323" s="601"/>
      <c r="W323" s="601"/>
      <c r="X323" s="601"/>
      <c r="Y323" s="601"/>
    </row>
    <row r="324" ht="51" spans="1:25">
      <c r="A324" s="569" t="s">
        <v>892</v>
      </c>
      <c r="B324" s="569" t="s">
        <v>893</v>
      </c>
      <c r="C324" s="569" t="s">
        <v>139</v>
      </c>
      <c r="D324" s="569" t="s">
        <v>894</v>
      </c>
      <c r="E324" s="577" t="s">
        <v>134</v>
      </c>
      <c r="F324" s="570">
        <v>2</v>
      </c>
      <c r="G324" s="579">
        <v>843.58</v>
      </c>
      <c r="H324" s="600">
        <v>1058.6</v>
      </c>
      <c r="I324" s="600">
        <v>2117.2</v>
      </c>
      <c r="J324" s="612">
        <v>8.60918495123579e-5</v>
      </c>
      <c r="K324" s="613">
        <f t="shared" si="15"/>
        <v>0</v>
      </c>
      <c r="L324" s="610">
        <f t="shared" si="17"/>
        <v>2117.2</v>
      </c>
      <c r="M324" s="601"/>
      <c r="N324" s="601"/>
      <c r="O324" s="601"/>
      <c r="P324" s="601"/>
      <c r="Q324" s="601"/>
      <c r="R324" s="601"/>
      <c r="S324" s="601"/>
      <c r="T324" s="601"/>
      <c r="U324" s="601"/>
      <c r="V324" s="601"/>
      <c r="W324" s="601"/>
      <c r="X324" s="601"/>
      <c r="Y324" s="601"/>
    </row>
    <row r="325" ht="25.5" spans="1:25">
      <c r="A325" s="569" t="s">
        <v>895</v>
      </c>
      <c r="B325" s="569" t="s">
        <v>896</v>
      </c>
      <c r="C325" s="569" t="s">
        <v>139</v>
      </c>
      <c r="D325" s="569" t="s">
        <v>897</v>
      </c>
      <c r="E325" s="577" t="s">
        <v>134</v>
      </c>
      <c r="F325" s="570">
        <v>2</v>
      </c>
      <c r="G325" s="579">
        <v>45.37</v>
      </c>
      <c r="H325" s="600">
        <v>56.93</v>
      </c>
      <c r="I325" s="600">
        <v>113.86</v>
      </c>
      <c r="J325" s="612">
        <v>4.62989702695875e-6</v>
      </c>
      <c r="K325" s="613">
        <f t="shared" si="15"/>
        <v>0</v>
      </c>
      <c r="L325" s="610">
        <f t="shared" si="17"/>
        <v>113.86</v>
      </c>
      <c r="M325" s="601"/>
      <c r="N325" s="601"/>
      <c r="O325" s="601"/>
      <c r="P325" s="601"/>
      <c r="Q325" s="601"/>
      <c r="R325" s="601"/>
      <c r="S325" s="601"/>
      <c r="T325" s="601"/>
      <c r="U325" s="601"/>
      <c r="V325" s="601"/>
      <c r="W325" s="601"/>
      <c r="X325" s="601"/>
      <c r="Y325" s="601"/>
    </row>
    <row r="326" ht="15" spans="1:25">
      <c r="A326" s="569" t="s">
        <v>898</v>
      </c>
      <c r="B326" s="569" t="s">
        <v>899</v>
      </c>
      <c r="C326" s="569" t="s">
        <v>149</v>
      </c>
      <c r="D326" s="569" t="s">
        <v>900</v>
      </c>
      <c r="E326" s="577" t="s">
        <v>134</v>
      </c>
      <c r="F326" s="570">
        <v>4</v>
      </c>
      <c r="G326" s="579">
        <v>657.16</v>
      </c>
      <c r="H326" s="600">
        <v>824.67</v>
      </c>
      <c r="I326" s="600">
        <v>3298.68</v>
      </c>
      <c r="J326" s="612">
        <v>0.000134134452177132</v>
      </c>
      <c r="K326" s="613">
        <f t="shared" si="15"/>
        <v>0</v>
      </c>
      <c r="L326" s="610">
        <f t="shared" si="17"/>
        <v>3298.68</v>
      </c>
      <c r="M326" s="601"/>
      <c r="N326" s="601"/>
      <c r="O326" s="601"/>
      <c r="P326" s="601"/>
      <c r="Q326" s="601"/>
      <c r="R326" s="601"/>
      <c r="S326" s="601"/>
      <c r="T326" s="601"/>
      <c r="U326" s="601"/>
      <c r="V326" s="601"/>
      <c r="W326" s="601"/>
      <c r="X326" s="601"/>
      <c r="Y326" s="601"/>
    </row>
    <row r="327" ht="25.5" spans="1:25">
      <c r="A327" s="569" t="s">
        <v>901</v>
      </c>
      <c r="B327" s="569" t="s">
        <v>902</v>
      </c>
      <c r="C327" s="569" t="s">
        <v>132</v>
      </c>
      <c r="D327" s="569" t="s">
        <v>903</v>
      </c>
      <c r="E327" s="577" t="s">
        <v>134</v>
      </c>
      <c r="F327" s="570">
        <v>44</v>
      </c>
      <c r="G327" s="579">
        <v>373.74</v>
      </c>
      <c r="H327" s="600">
        <v>469</v>
      </c>
      <c r="I327" s="600">
        <v>20636</v>
      </c>
      <c r="J327" s="612">
        <v>0.000839123090183742</v>
      </c>
      <c r="K327" s="613">
        <f t="shared" si="15"/>
        <v>0</v>
      </c>
      <c r="L327" s="610">
        <f t="shared" si="17"/>
        <v>20636</v>
      </c>
      <c r="M327" s="601"/>
      <c r="N327" s="601"/>
      <c r="O327" s="601"/>
      <c r="P327" s="601"/>
      <c r="Q327" s="601"/>
      <c r="R327" s="601"/>
      <c r="S327" s="601"/>
      <c r="T327" s="601"/>
      <c r="U327" s="601"/>
      <c r="V327" s="601"/>
      <c r="W327" s="601"/>
      <c r="X327" s="601"/>
      <c r="Y327" s="601"/>
    </row>
    <row r="328" ht="25.5" spans="1:25">
      <c r="A328" s="569" t="s">
        <v>904</v>
      </c>
      <c r="B328" s="569" t="s">
        <v>905</v>
      </c>
      <c r="C328" s="569" t="s">
        <v>139</v>
      </c>
      <c r="D328" s="569" t="s">
        <v>906</v>
      </c>
      <c r="E328" s="577" t="s">
        <v>134</v>
      </c>
      <c r="F328" s="570">
        <v>47</v>
      </c>
      <c r="G328" s="579">
        <v>157.49</v>
      </c>
      <c r="H328" s="600">
        <v>197.63</v>
      </c>
      <c r="I328" s="600">
        <v>9288.61</v>
      </c>
      <c r="J328" s="612">
        <v>0.000377703388578775</v>
      </c>
      <c r="K328" s="613">
        <f t="shared" si="15"/>
        <v>0</v>
      </c>
      <c r="L328" s="610">
        <f t="shared" si="17"/>
        <v>9288.61</v>
      </c>
      <c r="M328" s="601"/>
      <c r="N328" s="601"/>
      <c r="O328" s="601"/>
      <c r="P328" s="601"/>
      <c r="Q328" s="601"/>
      <c r="R328" s="601"/>
      <c r="S328" s="601"/>
      <c r="T328" s="601"/>
      <c r="U328" s="601"/>
      <c r="V328" s="601"/>
      <c r="W328" s="601"/>
      <c r="X328" s="601"/>
      <c r="Y328" s="601"/>
    </row>
    <row r="329" ht="15" spans="1:25">
      <c r="A329" s="569" t="s">
        <v>907</v>
      </c>
      <c r="B329" s="569" t="s">
        <v>908</v>
      </c>
      <c r="C329" s="569" t="s">
        <v>149</v>
      </c>
      <c r="D329" s="569" t="s">
        <v>909</v>
      </c>
      <c r="E329" s="577" t="s">
        <v>134</v>
      </c>
      <c r="F329" s="570">
        <v>4</v>
      </c>
      <c r="G329" s="579">
        <v>1522.06</v>
      </c>
      <c r="H329" s="600">
        <v>1910.03</v>
      </c>
      <c r="I329" s="600">
        <v>7640.12</v>
      </c>
      <c r="J329" s="612">
        <v>0.000310670726098789</v>
      </c>
      <c r="K329" s="613">
        <f t="shared" ref="K329:K392" si="18">$I$1051</f>
        <v>0</v>
      </c>
      <c r="L329" s="610">
        <f t="shared" si="17"/>
        <v>7640.12</v>
      </c>
      <c r="M329" s="601"/>
      <c r="N329" s="601"/>
      <c r="O329" s="601"/>
      <c r="P329" s="601"/>
      <c r="Q329" s="601"/>
      <c r="R329" s="601"/>
      <c r="S329" s="601"/>
      <c r="T329" s="601"/>
      <c r="U329" s="601"/>
      <c r="V329" s="601"/>
      <c r="W329" s="601"/>
      <c r="X329" s="601"/>
      <c r="Y329" s="601"/>
    </row>
    <row r="330" ht="38.25" spans="1:25">
      <c r="A330" s="569" t="s">
        <v>910</v>
      </c>
      <c r="B330" s="569" t="s">
        <v>911</v>
      </c>
      <c r="C330" s="569" t="s">
        <v>139</v>
      </c>
      <c r="D330" s="569" t="s">
        <v>912</v>
      </c>
      <c r="E330" s="577" t="s">
        <v>134</v>
      </c>
      <c r="F330" s="570">
        <v>51</v>
      </c>
      <c r="G330" s="579">
        <v>70.82</v>
      </c>
      <c r="H330" s="600">
        <v>88.87</v>
      </c>
      <c r="I330" s="600">
        <v>4532.37</v>
      </c>
      <c r="J330" s="612">
        <v>0.000184300073670095</v>
      </c>
      <c r="K330" s="613">
        <f t="shared" si="18"/>
        <v>0</v>
      </c>
      <c r="L330" s="610">
        <f t="shared" si="17"/>
        <v>4532.37</v>
      </c>
      <c r="M330" s="601"/>
      <c r="N330" s="601"/>
      <c r="O330" s="601"/>
      <c r="P330" s="601"/>
      <c r="Q330" s="601"/>
      <c r="R330" s="601"/>
      <c r="S330" s="601"/>
      <c r="T330" s="601"/>
      <c r="U330" s="601"/>
      <c r="V330" s="601"/>
      <c r="W330" s="601"/>
      <c r="X330" s="601"/>
      <c r="Y330" s="601"/>
    </row>
    <row r="331" ht="25.5" spans="1:25">
      <c r="A331" s="569" t="s">
        <v>913</v>
      </c>
      <c r="B331" s="569" t="s">
        <v>914</v>
      </c>
      <c r="C331" s="569" t="s">
        <v>132</v>
      </c>
      <c r="D331" s="569" t="s">
        <v>915</v>
      </c>
      <c r="E331" s="577" t="s">
        <v>134</v>
      </c>
      <c r="F331" s="570">
        <v>51</v>
      </c>
      <c r="G331" s="579">
        <v>126.4</v>
      </c>
      <c r="H331" s="600">
        <v>158.61</v>
      </c>
      <c r="I331" s="600">
        <v>8089.11</v>
      </c>
      <c r="J331" s="612">
        <v>0.000328928037412105</v>
      </c>
      <c r="K331" s="613">
        <f t="shared" si="18"/>
        <v>0</v>
      </c>
      <c r="L331" s="610">
        <f t="shared" si="17"/>
        <v>8089.11</v>
      </c>
      <c r="M331" s="601"/>
      <c r="N331" s="601"/>
      <c r="O331" s="601"/>
      <c r="P331" s="601"/>
      <c r="Q331" s="601"/>
      <c r="R331" s="601"/>
      <c r="S331" s="601"/>
      <c r="T331" s="601"/>
      <c r="U331" s="601"/>
      <c r="V331" s="601"/>
      <c r="W331" s="601"/>
      <c r="X331" s="601"/>
      <c r="Y331" s="601"/>
    </row>
    <row r="332" ht="38.25" spans="1:25">
      <c r="A332" s="569" t="s">
        <v>916</v>
      </c>
      <c r="B332" s="569" t="s">
        <v>917</v>
      </c>
      <c r="C332" s="569" t="s">
        <v>132</v>
      </c>
      <c r="D332" s="569" t="s">
        <v>918</v>
      </c>
      <c r="E332" s="577" t="s">
        <v>134</v>
      </c>
      <c r="F332" s="570">
        <v>47</v>
      </c>
      <c r="G332" s="579">
        <v>390.5</v>
      </c>
      <c r="H332" s="600">
        <v>490.03</v>
      </c>
      <c r="I332" s="600">
        <v>23031.41</v>
      </c>
      <c r="J332" s="612">
        <v>0.000936527812099667</v>
      </c>
      <c r="K332" s="613">
        <f t="shared" si="18"/>
        <v>0</v>
      </c>
      <c r="L332" s="610">
        <f t="shared" si="17"/>
        <v>23031.41</v>
      </c>
      <c r="M332" s="601"/>
      <c r="N332" s="601"/>
      <c r="O332" s="601"/>
      <c r="P332" s="601"/>
      <c r="Q332" s="601"/>
      <c r="R332" s="601"/>
      <c r="S332" s="601"/>
      <c r="T332" s="601"/>
      <c r="U332" s="601"/>
      <c r="V332" s="601"/>
      <c r="W332" s="601"/>
      <c r="X332" s="601"/>
      <c r="Y332" s="601"/>
    </row>
    <row r="333" ht="15" spans="1:25">
      <c r="A333" s="569" t="s">
        <v>919</v>
      </c>
      <c r="B333" s="569" t="s">
        <v>920</v>
      </c>
      <c r="C333" s="569" t="s">
        <v>149</v>
      </c>
      <c r="D333" s="569" t="s">
        <v>921</v>
      </c>
      <c r="E333" s="577" t="s">
        <v>134</v>
      </c>
      <c r="F333" s="570">
        <v>31</v>
      </c>
      <c r="G333" s="579">
        <v>89.23</v>
      </c>
      <c r="H333" s="600">
        <v>111.97</v>
      </c>
      <c r="I333" s="600">
        <v>3471.07</v>
      </c>
      <c r="J333" s="612">
        <v>0.000141144358627839</v>
      </c>
      <c r="K333" s="613">
        <f t="shared" si="18"/>
        <v>0</v>
      </c>
      <c r="L333" s="610">
        <f t="shared" si="17"/>
        <v>3471.07</v>
      </c>
      <c r="M333" s="601"/>
      <c r="N333" s="601"/>
      <c r="O333" s="601"/>
      <c r="P333" s="601"/>
      <c r="Q333" s="601"/>
      <c r="R333" s="601"/>
      <c r="S333" s="601"/>
      <c r="T333" s="601"/>
      <c r="U333" s="601"/>
      <c r="V333" s="601"/>
      <c r="W333" s="601"/>
      <c r="X333" s="601"/>
      <c r="Y333" s="601"/>
    </row>
    <row r="334" ht="25.5" spans="1:25">
      <c r="A334" s="569" t="s">
        <v>922</v>
      </c>
      <c r="B334" s="569" t="s">
        <v>923</v>
      </c>
      <c r="C334" s="569" t="s">
        <v>77</v>
      </c>
      <c r="D334" s="569" t="s">
        <v>924</v>
      </c>
      <c r="E334" s="577" t="s">
        <v>134</v>
      </c>
      <c r="F334" s="570">
        <v>58</v>
      </c>
      <c r="G334" s="579">
        <v>45.68</v>
      </c>
      <c r="H334" s="600">
        <v>57.32</v>
      </c>
      <c r="I334" s="600">
        <v>3324.56</v>
      </c>
      <c r="J334" s="612">
        <v>0.00013518681240072</v>
      </c>
      <c r="K334" s="613">
        <f t="shared" si="18"/>
        <v>0</v>
      </c>
      <c r="L334" s="610">
        <f t="shared" si="17"/>
        <v>3324.56</v>
      </c>
      <c r="M334" s="601"/>
      <c r="N334" s="601"/>
      <c r="O334" s="601"/>
      <c r="P334" s="601"/>
      <c r="Q334" s="601"/>
      <c r="R334" s="601"/>
      <c r="S334" s="601"/>
      <c r="T334" s="601"/>
      <c r="U334" s="601"/>
      <c r="V334" s="601"/>
      <c r="W334" s="601"/>
      <c r="X334" s="601"/>
      <c r="Y334" s="601"/>
    </row>
    <row r="335" ht="25.5" spans="1:25">
      <c r="A335" s="569" t="s">
        <v>925</v>
      </c>
      <c r="B335" s="569" t="s">
        <v>926</v>
      </c>
      <c r="C335" s="569" t="s">
        <v>139</v>
      </c>
      <c r="D335" s="569" t="s">
        <v>927</v>
      </c>
      <c r="E335" s="577" t="s">
        <v>134</v>
      </c>
      <c r="F335" s="570">
        <v>58</v>
      </c>
      <c r="G335" s="579">
        <v>61.05</v>
      </c>
      <c r="H335" s="600">
        <v>76.61</v>
      </c>
      <c r="I335" s="600">
        <v>4443.38</v>
      </c>
      <c r="J335" s="612">
        <v>0.000180681467167117</v>
      </c>
      <c r="K335" s="613">
        <f t="shared" si="18"/>
        <v>0</v>
      </c>
      <c r="L335" s="610">
        <f t="shared" si="17"/>
        <v>4443.38</v>
      </c>
      <c r="M335" s="601"/>
      <c r="N335" s="601"/>
      <c r="O335" s="601"/>
      <c r="P335" s="601"/>
      <c r="Q335" s="601"/>
      <c r="R335" s="601"/>
      <c r="S335" s="601"/>
      <c r="T335" s="601"/>
      <c r="U335" s="601"/>
      <c r="V335" s="601"/>
      <c r="W335" s="601"/>
      <c r="X335" s="601"/>
      <c r="Y335" s="601"/>
    </row>
    <row r="336" ht="15" spans="1:25">
      <c r="A336" s="569" t="s">
        <v>928</v>
      </c>
      <c r="B336" s="569" t="s">
        <v>929</v>
      </c>
      <c r="C336" s="569" t="s">
        <v>149</v>
      </c>
      <c r="D336" s="569" t="s">
        <v>930</v>
      </c>
      <c r="E336" s="577" t="s">
        <v>134</v>
      </c>
      <c r="F336" s="570">
        <v>1</v>
      </c>
      <c r="G336" s="579">
        <v>76.6</v>
      </c>
      <c r="H336" s="600">
        <v>96.12</v>
      </c>
      <c r="I336" s="600">
        <v>96.12</v>
      </c>
      <c r="J336" s="612">
        <v>3.9085341843604e-6</v>
      </c>
      <c r="K336" s="613">
        <f t="shared" si="18"/>
        <v>0</v>
      </c>
      <c r="L336" s="610">
        <f t="shared" si="17"/>
        <v>96.12</v>
      </c>
      <c r="M336" s="601"/>
      <c r="N336" s="601"/>
      <c r="O336" s="601"/>
      <c r="P336" s="601"/>
      <c r="Q336" s="601"/>
      <c r="R336" s="601"/>
      <c r="S336" s="601"/>
      <c r="T336" s="601"/>
      <c r="U336" s="601"/>
      <c r="V336" s="601"/>
      <c r="W336" s="601"/>
      <c r="X336" s="601"/>
      <c r="Y336" s="601"/>
    </row>
    <row r="337" ht="15" spans="1:25">
      <c r="A337" s="569" t="s">
        <v>931</v>
      </c>
      <c r="B337" s="569" t="s">
        <v>932</v>
      </c>
      <c r="C337" s="569" t="s">
        <v>149</v>
      </c>
      <c r="D337" s="569" t="s">
        <v>933</v>
      </c>
      <c r="E337" s="577" t="s">
        <v>141</v>
      </c>
      <c r="F337" s="570">
        <v>37.08</v>
      </c>
      <c r="G337" s="579">
        <v>568.06</v>
      </c>
      <c r="H337" s="600">
        <v>712.85</v>
      </c>
      <c r="I337" s="600">
        <v>26432.47</v>
      </c>
      <c r="J337" s="612">
        <v>0.00107482534927258</v>
      </c>
      <c r="K337" s="613">
        <f t="shared" si="18"/>
        <v>0</v>
      </c>
      <c r="L337" s="610">
        <f t="shared" si="17"/>
        <v>26432.47</v>
      </c>
      <c r="M337" s="601"/>
      <c r="N337" s="601"/>
      <c r="O337" s="601"/>
      <c r="P337" s="601"/>
      <c r="Q337" s="601"/>
      <c r="R337" s="601"/>
      <c r="S337" s="601"/>
      <c r="T337" s="601"/>
      <c r="U337" s="601"/>
      <c r="V337" s="601"/>
      <c r="W337" s="601"/>
      <c r="X337" s="601"/>
      <c r="Y337" s="601"/>
    </row>
    <row r="338" ht="25.5" spans="1:25">
      <c r="A338" s="569" t="s">
        <v>934</v>
      </c>
      <c r="B338" s="569" t="s">
        <v>935</v>
      </c>
      <c r="C338" s="569" t="s">
        <v>139</v>
      </c>
      <c r="D338" s="569" t="s">
        <v>936</v>
      </c>
      <c r="E338" s="577" t="s">
        <v>134</v>
      </c>
      <c r="F338" s="570">
        <v>1</v>
      </c>
      <c r="G338" s="579">
        <v>110.21</v>
      </c>
      <c r="H338" s="600">
        <v>138.3</v>
      </c>
      <c r="I338" s="600">
        <v>138.3</v>
      </c>
      <c r="J338" s="612">
        <v>5.62370243130507e-6</v>
      </c>
      <c r="K338" s="613">
        <f t="shared" si="18"/>
        <v>0</v>
      </c>
      <c r="L338" s="610">
        <f t="shared" si="17"/>
        <v>138.3</v>
      </c>
      <c r="M338" s="601"/>
      <c r="N338" s="601"/>
      <c r="O338" s="601"/>
      <c r="P338" s="601"/>
      <c r="Q338" s="601"/>
      <c r="R338" s="601"/>
      <c r="S338" s="601"/>
      <c r="T338" s="601"/>
      <c r="U338" s="601"/>
      <c r="V338" s="601"/>
      <c r="W338" s="601"/>
      <c r="X338" s="601"/>
      <c r="Y338" s="601"/>
    </row>
    <row r="339" ht="25.5" spans="1:25">
      <c r="A339" s="569" t="s">
        <v>937</v>
      </c>
      <c r="B339" s="569" t="s">
        <v>938</v>
      </c>
      <c r="C339" s="569" t="s">
        <v>139</v>
      </c>
      <c r="D339" s="569" t="s">
        <v>939</v>
      </c>
      <c r="E339" s="577" t="s">
        <v>134</v>
      </c>
      <c r="F339" s="570">
        <v>13</v>
      </c>
      <c r="G339" s="579">
        <v>709.64</v>
      </c>
      <c r="H339" s="600">
        <v>890.52</v>
      </c>
      <c r="I339" s="600">
        <v>11576.76</v>
      </c>
      <c r="J339" s="612">
        <v>0.000470746589722598</v>
      </c>
      <c r="K339" s="613">
        <f t="shared" si="18"/>
        <v>0</v>
      </c>
      <c r="L339" s="610">
        <f t="shared" si="17"/>
        <v>11576.76</v>
      </c>
      <c r="M339" s="601"/>
      <c r="N339" s="601"/>
      <c r="O339" s="601"/>
      <c r="P339" s="601"/>
      <c r="Q339" s="601"/>
      <c r="R339" s="601"/>
      <c r="S339" s="601"/>
      <c r="T339" s="601"/>
      <c r="U339" s="601"/>
      <c r="V339" s="601"/>
      <c r="W339" s="601"/>
      <c r="X339" s="601"/>
      <c r="Y339" s="601"/>
    </row>
    <row r="340" ht="25.5" spans="1:25">
      <c r="A340" s="569" t="s">
        <v>940</v>
      </c>
      <c r="B340" s="569" t="s">
        <v>941</v>
      </c>
      <c r="C340" s="569" t="s">
        <v>139</v>
      </c>
      <c r="D340" s="569" t="s">
        <v>942</v>
      </c>
      <c r="E340" s="577" t="s">
        <v>134</v>
      </c>
      <c r="F340" s="570">
        <v>4</v>
      </c>
      <c r="G340" s="579">
        <v>314.75</v>
      </c>
      <c r="H340" s="600">
        <v>394.97</v>
      </c>
      <c r="I340" s="600">
        <v>1579.88</v>
      </c>
      <c r="J340" s="612">
        <v>6.42427693215492e-5</v>
      </c>
      <c r="K340" s="613">
        <f t="shared" si="18"/>
        <v>0</v>
      </c>
      <c r="L340" s="610">
        <f t="shared" si="17"/>
        <v>1579.88</v>
      </c>
      <c r="M340" s="601"/>
      <c r="N340" s="601"/>
      <c r="O340" s="601"/>
      <c r="P340" s="601"/>
      <c r="Q340" s="601"/>
      <c r="R340" s="601"/>
      <c r="S340" s="601"/>
      <c r="T340" s="601"/>
      <c r="U340" s="601"/>
      <c r="V340" s="601"/>
      <c r="W340" s="601"/>
      <c r="X340" s="601"/>
      <c r="Y340" s="601"/>
    </row>
    <row r="341" ht="25.5" spans="1:25">
      <c r="A341" s="569" t="s">
        <v>943</v>
      </c>
      <c r="B341" s="569" t="s">
        <v>944</v>
      </c>
      <c r="C341" s="569" t="s">
        <v>139</v>
      </c>
      <c r="D341" s="569" t="s">
        <v>945</v>
      </c>
      <c r="E341" s="577" t="s">
        <v>134</v>
      </c>
      <c r="F341" s="570">
        <v>4</v>
      </c>
      <c r="G341" s="579">
        <v>517.89</v>
      </c>
      <c r="H341" s="600">
        <v>649.9</v>
      </c>
      <c r="I341" s="600">
        <v>2599.6</v>
      </c>
      <c r="J341" s="612">
        <v>0.000105707713958212</v>
      </c>
      <c r="K341" s="613">
        <f t="shared" si="18"/>
        <v>0</v>
      </c>
      <c r="L341" s="610">
        <f t="shared" si="17"/>
        <v>2599.6</v>
      </c>
      <c r="M341" s="601"/>
      <c r="N341" s="601"/>
      <c r="O341" s="601"/>
      <c r="P341" s="601"/>
      <c r="Q341" s="601"/>
      <c r="R341" s="601"/>
      <c r="S341" s="601"/>
      <c r="T341" s="601"/>
      <c r="U341" s="601"/>
      <c r="V341" s="601"/>
      <c r="W341" s="601"/>
      <c r="X341" s="601"/>
      <c r="Y341" s="601"/>
    </row>
    <row r="342" ht="25.5" spans="1:25">
      <c r="A342" s="569" t="s">
        <v>946</v>
      </c>
      <c r="B342" s="569" t="s">
        <v>947</v>
      </c>
      <c r="C342" s="569" t="s">
        <v>139</v>
      </c>
      <c r="D342" s="569" t="s">
        <v>948</v>
      </c>
      <c r="E342" s="577" t="s">
        <v>134</v>
      </c>
      <c r="F342" s="570">
        <v>6</v>
      </c>
      <c r="G342" s="579">
        <v>287.93</v>
      </c>
      <c r="H342" s="600">
        <v>361.32</v>
      </c>
      <c r="I342" s="600">
        <v>2167.92</v>
      </c>
      <c r="J342" s="612">
        <v>8.81542803678589e-5</v>
      </c>
      <c r="K342" s="613">
        <f t="shared" si="18"/>
        <v>0</v>
      </c>
      <c r="L342" s="610">
        <f t="shared" si="17"/>
        <v>2167.92</v>
      </c>
      <c r="M342" s="601"/>
      <c r="N342" s="601"/>
      <c r="O342" s="601"/>
      <c r="P342" s="601"/>
      <c r="Q342" s="601"/>
      <c r="R342" s="601"/>
      <c r="S342" s="601"/>
      <c r="T342" s="601"/>
      <c r="U342" s="601"/>
      <c r="V342" s="601"/>
      <c r="W342" s="601"/>
      <c r="X342" s="601"/>
      <c r="Y342" s="601"/>
    </row>
    <row r="343" ht="15" spans="1:25">
      <c r="A343" s="569" t="s">
        <v>949</v>
      </c>
      <c r="B343" s="569" t="s">
        <v>950</v>
      </c>
      <c r="C343" s="569" t="s">
        <v>149</v>
      </c>
      <c r="D343" s="569" t="s">
        <v>951</v>
      </c>
      <c r="E343" s="577" t="s">
        <v>134</v>
      </c>
      <c r="F343" s="570">
        <v>64</v>
      </c>
      <c r="G343" s="579">
        <v>137.95</v>
      </c>
      <c r="H343" s="600">
        <v>173.11</v>
      </c>
      <c r="I343" s="600">
        <v>11079.04</v>
      </c>
      <c r="J343" s="612">
        <v>0.000450507767060927</v>
      </c>
      <c r="K343" s="613">
        <f t="shared" si="18"/>
        <v>0</v>
      </c>
      <c r="L343" s="610">
        <f t="shared" si="17"/>
        <v>11079.04</v>
      </c>
      <c r="M343" s="601"/>
      <c r="N343" s="601"/>
      <c r="O343" s="601"/>
      <c r="P343" s="601"/>
      <c r="Q343" s="601"/>
      <c r="R343" s="601"/>
      <c r="S343" s="601"/>
      <c r="T343" s="601"/>
      <c r="U343" s="601"/>
      <c r="V343" s="601"/>
      <c r="W343" s="601"/>
      <c r="X343" s="601"/>
      <c r="Y343" s="601"/>
    </row>
    <row r="344" ht="25.5" spans="1:25">
      <c r="A344" s="569" t="s">
        <v>952</v>
      </c>
      <c r="B344" s="569" t="s">
        <v>953</v>
      </c>
      <c r="C344" s="569" t="s">
        <v>139</v>
      </c>
      <c r="D344" s="569" t="s">
        <v>954</v>
      </c>
      <c r="E344" s="577" t="s">
        <v>134</v>
      </c>
      <c r="F344" s="570">
        <v>1</v>
      </c>
      <c r="G344" s="579">
        <v>432.54</v>
      </c>
      <c r="H344" s="600">
        <v>542.79</v>
      </c>
      <c r="I344" s="600">
        <v>542.79</v>
      </c>
      <c r="J344" s="612">
        <v>2.2071507177788e-5</v>
      </c>
      <c r="K344" s="613">
        <f t="shared" si="18"/>
        <v>0</v>
      </c>
      <c r="L344" s="610">
        <f t="shared" si="17"/>
        <v>542.79</v>
      </c>
      <c r="M344" s="601"/>
      <c r="N344" s="601"/>
      <c r="O344" s="601"/>
      <c r="P344" s="601"/>
      <c r="Q344" s="601"/>
      <c r="R344" s="601"/>
      <c r="S344" s="601"/>
      <c r="T344" s="601"/>
      <c r="U344" s="601"/>
      <c r="V344" s="601"/>
      <c r="W344" s="601"/>
      <c r="X344" s="601"/>
      <c r="Y344" s="601"/>
    </row>
    <row r="345" ht="25.5" spans="1:25">
      <c r="A345" s="569" t="s">
        <v>955</v>
      </c>
      <c r="B345" s="569" t="s">
        <v>956</v>
      </c>
      <c r="C345" s="569" t="s">
        <v>149</v>
      </c>
      <c r="D345" s="569" t="s">
        <v>957</v>
      </c>
      <c r="E345" s="577" t="s">
        <v>141</v>
      </c>
      <c r="F345" s="570">
        <v>2.7</v>
      </c>
      <c r="G345" s="579">
        <v>550.56</v>
      </c>
      <c r="H345" s="600">
        <v>690.89</v>
      </c>
      <c r="I345" s="600">
        <v>1865.4</v>
      </c>
      <c r="J345" s="612">
        <v>7.58528887589044e-5</v>
      </c>
      <c r="K345" s="613">
        <f t="shared" si="18"/>
        <v>0</v>
      </c>
      <c r="L345" s="610">
        <f t="shared" si="17"/>
        <v>1865.4</v>
      </c>
      <c r="M345" s="601"/>
      <c r="N345" s="601"/>
      <c r="O345" s="601"/>
      <c r="P345" s="601"/>
      <c r="Q345" s="601"/>
      <c r="R345" s="601"/>
      <c r="S345" s="601"/>
      <c r="T345" s="601"/>
      <c r="U345" s="601"/>
      <c r="V345" s="601"/>
      <c r="W345" s="601"/>
      <c r="X345" s="601"/>
      <c r="Y345" s="601"/>
    </row>
    <row r="346" ht="15" spans="1:25">
      <c r="A346" s="596" t="s">
        <v>958</v>
      </c>
      <c r="B346" s="596" t="s">
        <v>74</v>
      </c>
      <c r="C346" s="596"/>
      <c r="D346" s="596" t="s">
        <v>959</v>
      </c>
      <c r="E346" s="597"/>
      <c r="F346" s="598">
        <v>1</v>
      </c>
      <c r="G346" s="598"/>
      <c r="H346" s="599">
        <v>110016.61</v>
      </c>
      <c r="I346" s="599">
        <v>110016.61</v>
      </c>
      <c r="J346" s="608">
        <v>0.00447361299451151</v>
      </c>
      <c r="K346" s="613">
        <f t="shared" si="18"/>
        <v>0</v>
      </c>
      <c r="L346" s="610">
        <f>SUM(L347:L354)</f>
        <v>110016.61</v>
      </c>
      <c r="M346" s="601"/>
      <c r="N346" s="601"/>
      <c r="O346" s="601"/>
      <c r="P346" s="601"/>
      <c r="Q346" s="601"/>
      <c r="R346" s="601"/>
      <c r="S346" s="601"/>
      <c r="T346" s="601"/>
      <c r="U346" s="601"/>
      <c r="V346" s="601"/>
      <c r="W346" s="601"/>
      <c r="X346" s="601"/>
      <c r="Y346" s="601"/>
    </row>
    <row r="347" ht="51" spans="1:25">
      <c r="A347" s="569" t="s">
        <v>960</v>
      </c>
      <c r="B347" s="569" t="s">
        <v>961</v>
      </c>
      <c r="C347" s="569" t="s">
        <v>77</v>
      </c>
      <c r="D347" s="569" t="s">
        <v>962</v>
      </c>
      <c r="E347" s="577" t="s">
        <v>204</v>
      </c>
      <c r="F347" s="570">
        <v>35</v>
      </c>
      <c r="G347" s="579">
        <v>76.08</v>
      </c>
      <c r="H347" s="600">
        <v>95.47</v>
      </c>
      <c r="I347" s="600">
        <v>3341.45</v>
      </c>
      <c r="J347" s="612">
        <v>0.000135873611634738</v>
      </c>
      <c r="K347" s="613">
        <f t="shared" si="18"/>
        <v>0</v>
      </c>
      <c r="L347" s="610">
        <f t="shared" ref="L347:L354" si="19">I347-(I347*K347)</f>
        <v>3341.45</v>
      </c>
      <c r="M347" s="601"/>
      <c r="N347" s="601"/>
      <c r="O347" s="601"/>
      <c r="P347" s="601"/>
      <c r="Q347" s="601"/>
      <c r="R347" s="601"/>
      <c r="S347" s="601"/>
      <c r="T347" s="601"/>
      <c r="U347" s="601"/>
      <c r="V347" s="601"/>
      <c r="W347" s="601"/>
      <c r="X347" s="601"/>
      <c r="Y347" s="601"/>
    </row>
    <row r="348" ht="38.25" spans="1:25">
      <c r="A348" s="569" t="s">
        <v>963</v>
      </c>
      <c r="B348" s="569" t="s">
        <v>870</v>
      </c>
      <c r="C348" s="569" t="s">
        <v>77</v>
      </c>
      <c r="D348" s="569" t="s">
        <v>871</v>
      </c>
      <c r="E348" s="577" t="s">
        <v>204</v>
      </c>
      <c r="F348" s="570">
        <v>82</v>
      </c>
      <c r="G348" s="579">
        <v>110.79</v>
      </c>
      <c r="H348" s="600">
        <v>139.03</v>
      </c>
      <c r="I348" s="600">
        <v>11400.46</v>
      </c>
      <c r="J348" s="612">
        <v>0.000463577690672424</v>
      </c>
      <c r="K348" s="613">
        <f t="shared" si="18"/>
        <v>0</v>
      </c>
      <c r="L348" s="610">
        <f t="shared" si="19"/>
        <v>11400.46</v>
      </c>
      <c r="M348" s="601"/>
      <c r="N348" s="601"/>
      <c r="O348" s="601"/>
      <c r="P348" s="601"/>
      <c r="Q348" s="601"/>
      <c r="R348" s="601"/>
      <c r="S348" s="601"/>
      <c r="T348" s="601"/>
      <c r="U348" s="601"/>
      <c r="V348" s="601"/>
      <c r="W348" s="601"/>
      <c r="X348" s="601"/>
      <c r="Y348" s="601"/>
    </row>
    <row r="349" ht="38.25" spans="1:25">
      <c r="A349" s="569" t="s">
        <v>964</v>
      </c>
      <c r="B349" s="569" t="s">
        <v>965</v>
      </c>
      <c r="C349" s="569" t="s">
        <v>132</v>
      </c>
      <c r="D349" s="569" t="s">
        <v>966</v>
      </c>
      <c r="E349" s="577" t="s">
        <v>204</v>
      </c>
      <c r="F349" s="570">
        <v>68</v>
      </c>
      <c r="G349" s="579">
        <v>158.06</v>
      </c>
      <c r="H349" s="600">
        <v>198.34</v>
      </c>
      <c r="I349" s="600">
        <v>13487.12</v>
      </c>
      <c r="J349" s="612">
        <v>0.000548427690060038</v>
      </c>
      <c r="K349" s="613">
        <f t="shared" si="18"/>
        <v>0</v>
      </c>
      <c r="L349" s="610">
        <f t="shared" si="19"/>
        <v>13487.12</v>
      </c>
      <c r="M349" s="601"/>
      <c r="N349" s="601"/>
      <c r="O349" s="601"/>
      <c r="P349" s="601"/>
      <c r="Q349" s="601"/>
      <c r="R349" s="601"/>
      <c r="S349" s="601"/>
      <c r="T349" s="601"/>
      <c r="U349" s="601"/>
      <c r="V349" s="601"/>
      <c r="W349" s="601"/>
      <c r="X349" s="601"/>
      <c r="Y349" s="601"/>
    </row>
    <row r="350" ht="38.25" spans="1:25">
      <c r="A350" s="569" t="s">
        <v>967</v>
      </c>
      <c r="B350" s="569" t="s">
        <v>968</v>
      </c>
      <c r="C350" s="569" t="s">
        <v>132</v>
      </c>
      <c r="D350" s="569" t="s">
        <v>969</v>
      </c>
      <c r="E350" s="577" t="s">
        <v>204</v>
      </c>
      <c r="F350" s="570">
        <v>16</v>
      </c>
      <c r="G350" s="579">
        <v>258.04</v>
      </c>
      <c r="H350" s="600">
        <v>323.81</v>
      </c>
      <c r="I350" s="600">
        <v>5180.96</v>
      </c>
      <c r="J350" s="612">
        <v>0.000210673733539366</v>
      </c>
      <c r="K350" s="613">
        <f t="shared" si="18"/>
        <v>0</v>
      </c>
      <c r="L350" s="610">
        <f t="shared" si="19"/>
        <v>5180.96</v>
      </c>
      <c r="M350" s="601"/>
      <c r="N350" s="601"/>
      <c r="O350" s="601"/>
      <c r="P350" s="601"/>
      <c r="Q350" s="601"/>
      <c r="R350" s="601"/>
      <c r="S350" s="601"/>
      <c r="T350" s="601"/>
      <c r="U350" s="601"/>
      <c r="V350" s="601"/>
      <c r="W350" s="601"/>
      <c r="X350" s="601"/>
      <c r="Y350" s="601"/>
    </row>
    <row r="351" ht="51" spans="1:25">
      <c r="A351" s="569" t="s">
        <v>970</v>
      </c>
      <c r="B351" s="569" t="s">
        <v>971</v>
      </c>
      <c r="C351" s="569" t="s">
        <v>77</v>
      </c>
      <c r="D351" s="569" t="s">
        <v>972</v>
      </c>
      <c r="E351" s="577" t="s">
        <v>134</v>
      </c>
      <c r="F351" s="570">
        <v>8</v>
      </c>
      <c r="G351" s="579">
        <v>2466.18</v>
      </c>
      <c r="H351" s="600">
        <v>3094.8</v>
      </c>
      <c r="I351" s="600">
        <v>24758.4</v>
      </c>
      <c r="J351" s="612">
        <v>0.00100675252548969</v>
      </c>
      <c r="K351" s="613">
        <f t="shared" si="18"/>
        <v>0</v>
      </c>
      <c r="L351" s="610">
        <f t="shared" si="19"/>
        <v>24758.4</v>
      </c>
      <c r="M351" s="601"/>
      <c r="N351" s="601"/>
      <c r="O351" s="601"/>
      <c r="P351" s="601"/>
      <c r="Q351" s="601"/>
      <c r="R351" s="601"/>
      <c r="S351" s="601"/>
      <c r="T351" s="601"/>
      <c r="U351" s="601"/>
      <c r="V351" s="601"/>
      <c r="W351" s="601"/>
      <c r="X351" s="601"/>
      <c r="Y351" s="601"/>
    </row>
    <row r="352" ht="25.5" spans="1:25">
      <c r="A352" s="569" t="s">
        <v>973</v>
      </c>
      <c r="B352" s="569" t="s">
        <v>974</v>
      </c>
      <c r="C352" s="569" t="s">
        <v>139</v>
      </c>
      <c r="D352" s="569" t="s">
        <v>975</v>
      </c>
      <c r="E352" s="577" t="s">
        <v>134</v>
      </c>
      <c r="F352" s="570">
        <v>8</v>
      </c>
      <c r="G352" s="579">
        <v>642.65</v>
      </c>
      <c r="H352" s="600">
        <v>806.46</v>
      </c>
      <c r="I352" s="600">
        <v>6451.68</v>
      </c>
      <c r="J352" s="612">
        <v>0.000262345108474348</v>
      </c>
      <c r="K352" s="613">
        <f t="shared" si="18"/>
        <v>0</v>
      </c>
      <c r="L352" s="610">
        <f t="shared" si="19"/>
        <v>6451.68</v>
      </c>
      <c r="M352" s="601"/>
      <c r="N352" s="601"/>
      <c r="O352" s="601"/>
      <c r="P352" s="601"/>
      <c r="Q352" s="601"/>
      <c r="R352" s="601"/>
      <c r="S352" s="601"/>
      <c r="T352" s="601"/>
      <c r="U352" s="601"/>
      <c r="V352" s="601"/>
      <c r="W352" s="601"/>
      <c r="X352" s="601"/>
      <c r="Y352" s="601"/>
    </row>
    <row r="353" ht="38.25" spans="1:25">
      <c r="A353" s="569" t="s">
        <v>976</v>
      </c>
      <c r="B353" s="569" t="s">
        <v>977</v>
      </c>
      <c r="C353" s="569" t="s">
        <v>139</v>
      </c>
      <c r="D353" s="569" t="s">
        <v>978</v>
      </c>
      <c r="E353" s="577" t="s">
        <v>134</v>
      </c>
      <c r="F353" s="570">
        <v>44</v>
      </c>
      <c r="G353" s="579">
        <v>209.39</v>
      </c>
      <c r="H353" s="600">
        <v>262.76</v>
      </c>
      <c r="I353" s="600">
        <v>11561.44</v>
      </c>
      <c r="J353" s="612">
        <v>0.00047012363150678</v>
      </c>
      <c r="K353" s="613">
        <f t="shared" si="18"/>
        <v>0</v>
      </c>
      <c r="L353" s="610">
        <f t="shared" si="19"/>
        <v>11561.44</v>
      </c>
      <c r="M353" s="601"/>
      <c r="N353" s="601"/>
      <c r="O353" s="601"/>
      <c r="P353" s="601"/>
      <c r="Q353" s="601"/>
      <c r="R353" s="601"/>
      <c r="S353" s="601"/>
      <c r="T353" s="601"/>
      <c r="U353" s="601"/>
      <c r="V353" s="601"/>
      <c r="W353" s="601"/>
      <c r="X353" s="601"/>
      <c r="Y353" s="601"/>
    </row>
    <row r="354" ht="38.25" spans="1:25">
      <c r="A354" s="569" t="s">
        <v>979</v>
      </c>
      <c r="B354" s="569" t="s">
        <v>980</v>
      </c>
      <c r="C354" s="569" t="s">
        <v>139</v>
      </c>
      <c r="D354" s="569" t="s">
        <v>981</v>
      </c>
      <c r="E354" s="577" t="s">
        <v>134</v>
      </c>
      <c r="F354" s="570">
        <v>10</v>
      </c>
      <c r="G354" s="579">
        <v>2696.24</v>
      </c>
      <c r="H354" s="600">
        <v>3383.51</v>
      </c>
      <c r="I354" s="600">
        <v>33835.1</v>
      </c>
      <c r="J354" s="612">
        <v>0.00137583900313413</v>
      </c>
      <c r="K354" s="613">
        <f t="shared" si="18"/>
        <v>0</v>
      </c>
      <c r="L354" s="610">
        <f t="shared" si="19"/>
        <v>33835.1</v>
      </c>
      <c r="M354" s="601"/>
      <c r="N354" s="601"/>
      <c r="O354" s="601"/>
      <c r="P354" s="601"/>
      <c r="Q354" s="601"/>
      <c r="R354" s="601"/>
      <c r="S354" s="601"/>
      <c r="T354" s="601"/>
      <c r="U354" s="601"/>
      <c r="V354" s="601"/>
      <c r="W354" s="601"/>
      <c r="X354" s="601"/>
      <c r="Y354" s="601"/>
    </row>
    <row r="355" ht="15" spans="1:25">
      <c r="A355" s="596" t="s">
        <v>40</v>
      </c>
      <c r="B355" s="596" t="s">
        <v>74</v>
      </c>
      <c r="C355" s="596"/>
      <c r="D355" s="596" t="s">
        <v>41</v>
      </c>
      <c r="E355" s="597"/>
      <c r="F355" s="598">
        <v>1</v>
      </c>
      <c r="G355" s="598"/>
      <c r="H355" s="599">
        <v>8154071.06</v>
      </c>
      <c r="I355" s="599">
        <v>8154071.06</v>
      </c>
      <c r="J355" s="608">
        <v>0.331569553471846</v>
      </c>
      <c r="K355" s="613">
        <f t="shared" si="18"/>
        <v>0</v>
      </c>
      <c r="L355" s="610">
        <f>SUM(L356,L422,L436,L489,L520,L563,L570,L592,L608)</f>
        <v>8154071.06</v>
      </c>
      <c r="M355" s="601"/>
      <c r="N355" s="601"/>
      <c r="O355" s="601"/>
      <c r="P355" s="601"/>
      <c r="Q355" s="601"/>
      <c r="R355" s="601"/>
      <c r="S355" s="601"/>
      <c r="T355" s="601"/>
      <c r="U355" s="601"/>
      <c r="V355" s="601"/>
      <c r="W355" s="601"/>
      <c r="X355" s="601"/>
      <c r="Y355" s="601"/>
    </row>
    <row r="356" ht="15" spans="1:25">
      <c r="A356" s="596" t="s">
        <v>982</v>
      </c>
      <c r="B356" s="596" t="s">
        <v>74</v>
      </c>
      <c r="C356" s="596"/>
      <c r="D356" s="596" t="s">
        <v>983</v>
      </c>
      <c r="E356" s="597"/>
      <c r="F356" s="598">
        <v>1</v>
      </c>
      <c r="G356" s="598"/>
      <c r="H356" s="599">
        <v>547398.31</v>
      </c>
      <c r="I356" s="599">
        <v>547398.31</v>
      </c>
      <c r="J356" s="608">
        <v>0.0222588952049117</v>
      </c>
      <c r="K356" s="613">
        <f t="shared" si="18"/>
        <v>0</v>
      </c>
      <c r="L356" s="610">
        <f>SUM(L357,L412)</f>
        <v>547398.31</v>
      </c>
      <c r="M356" s="601"/>
      <c r="N356" s="601"/>
      <c r="O356" s="601"/>
      <c r="P356" s="601"/>
      <c r="Q356" s="601"/>
      <c r="R356" s="601"/>
      <c r="S356" s="601"/>
      <c r="T356" s="601"/>
      <c r="U356" s="601"/>
      <c r="V356" s="601"/>
      <c r="W356" s="601"/>
      <c r="X356" s="601"/>
      <c r="Y356" s="601"/>
    </row>
    <row r="357" ht="15" spans="1:25">
      <c r="A357" s="596" t="s">
        <v>984</v>
      </c>
      <c r="B357" s="596" t="s">
        <v>74</v>
      </c>
      <c r="C357" s="596"/>
      <c r="D357" s="596" t="s">
        <v>985</v>
      </c>
      <c r="E357" s="597"/>
      <c r="F357" s="598">
        <v>1</v>
      </c>
      <c r="G357" s="598"/>
      <c r="H357" s="599">
        <v>338513.78</v>
      </c>
      <c r="I357" s="599">
        <v>338513.78</v>
      </c>
      <c r="J357" s="608">
        <v>0.0137650091656997</v>
      </c>
      <c r="K357" s="613">
        <f t="shared" si="18"/>
        <v>0</v>
      </c>
      <c r="L357" s="610">
        <f>SUM(L358:L411)</f>
        <v>338513.78</v>
      </c>
      <c r="M357" s="601"/>
      <c r="N357" s="601"/>
      <c r="O357" s="601"/>
      <c r="P357" s="601"/>
      <c r="Q357" s="601"/>
      <c r="R357" s="601"/>
      <c r="S357" s="601"/>
      <c r="T357" s="601"/>
      <c r="U357" s="601"/>
      <c r="V357" s="601"/>
      <c r="W357" s="601"/>
      <c r="X357" s="601"/>
      <c r="Y357" s="601"/>
    </row>
    <row r="358" ht="38.25" spans="1:25">
      <c r="A358" s="569" t="s">
        <v>986</v>
      </c>
      <c r="B358" s="569" t="s">
        <v>987</v>
      </c>
      <c r="C358" s="569" t="s">
        <v>132</v>
      </c>
      <c r="D358" s="569" t="s">
        <v>988</v>
      </c>
      <c r="E358" s="577" t="s">
        <v>204</v>
      </c>
      <c r="F358" s="570">
        <v>68</v>
      </c>
      <c r="G358" s="579">
        <v>26.96</v>
      </c>
      <c r="H358" s="600">
        <v>33.83</v>
      </c>
      <c r="I358" s="600">
        <v>2300.44</v>
      </c>
      <c r="J358" s="612">
        <v>9.35429502608202e-5</v>
      </c>
      <c r="K358" s="613">
        <f t="shared" si="18"/>
        <v>0</v>
      </c>
      <c r="L358" s="610">
        <f t="shared" ref="L358:L411" si="20">I358-(I358*K358)</f>
        <v>2300.44</v>
      </c>
      <c r="M358" s="601"/>
      <c r="N358" s="601"/>
      <c r="O358" s="601"/>
      <c r="P358" s="601"/>
      <c r="Q358" s="601"/>
      <c r="R358" s="601"/>
      <c r="S358" s="601"/>
      <c r="T358" s="601"/>
      <c r="U358" s="601"/>
      <c r="V358" s="601"/>
      <c r="W358" s="601"/>
      <c r="X358" s="601"/>
      <c r="Y358" s="601"/>
    </row>
    <row r="359" ht="38.25" spans="1:25">
      <c r="A359" s="569" t="s">
        <v>989</v>
      </c>
      <c r="B359" s="569" t="s">
        <v>990</v>
      </c>
      <c r="C359" s="569" t="s">
        <v>132</v>
      </c>
      <c r="D359" s="569" t="s">
        <v>991</v>
      </c>
      <c r="E359" s="577" t="s">
        <v>204</v>
      </c>
      <c r="F359" s="570">
        <v>182</v>
      </c>
      <c r="G359" s="579">
        <v>26.96</v>
      </c>
      <c r="H359" s="600">
        <v>33.83</v>
      </c>
      <c r="I359" s="600">
        <v>6157.06</v>
      </c>
      <c r="J359" s="612">
        <v>0.000250364955109842</v>
      </c>
      <c r="K359" s="613">
        <f t="shared" si="18"/>
        <v>0</v>
      </c>
      <c r="L359" s="610">
        <f t="shared" si="20"/>
        <v>6157.06</v>
      </c>
      <c r="M359" s="601"/>
      <c r="N359" s="601"/>
      <c r="O359" s="601"/>
      <c r="P359" s="601"/>
      <c r="Q359" s="601"/>
      <c r="R359" s="601"/>
      <c r="S359" s="601"/>
      <c r="T359" s="601"/>
      <c r="U359" s="601"/>
      <c r="V359" s="601"/>
      <c r="W359" s="601"/>
      <c r="X359" s="601"/>
      <c r="Y359" s="601"/>
    </row>
    <row r="360" ht="38.25" spans="1:25">
      <c r="A360" s="569" t="s">
        <v>992</v>
      </c>
      <c r="B360" s="569" t="s">
        <v>993</v>
      </c>
      <c r="C360" s="569" t="s">
        <v>132</v>
      </c>
      <c r="D360" s="569" t="s">
        <v>994</v>
      </c>
      <c r="E360" s="577" t="s">
        <v>204</v>
      </c>
      <c r="F360" s="570">
        <v>21</v>
      </c>
      <c r="G360" s="579">
        <v>26.96</v>
      </c>
      <c r="H360" s="600">
        <v>33.83</v>
      </c>
      <c r="I360" s="600">
        <v>710.43</v>
      </c>
      <c r="J360" s="612">
        <v>2.88882640511357e-5</v>
      </c>
      <c r="K360" s="613">
        <f t="shared" si="18"/>
        <v>0</v>
      </c>
      <c r="L360" s="610">
        <f t="shared" si="20"/>
        <v>710.43</v>
      </c>
      <c r="M360" s="601"/>
      <c r="N360" s="601"/>
      <c r="O360" s="601"/>
      <c r="P360" s="601"/>
      <c r="Q360" s="601"/>
      <c r="R360" s="601"/>
      <c r="S360" s="601"/>
      <c r="T360" s="601"/>
      <c r="U360" s="601"/>
      <c r="V360" s="601"/>
      <c r="W360" s="601"/>
      <c r="X360" s="601"/>
      <c r="Y360" s="601"/>
    </row>
    <row r="361" ht="51" spans="1:25">
      <c r="A361" s="569" t="s">
        <v>995</v>
      </c>
      <c r="B361" s="569" t="s">
        <v>996</v>
      </c>
      <c r="C361" s="569" t="s">
        <v>132</v>
      </c>
      <c r="D361" s="569" t="s">
        <v>997</v>
      </c>
      <c r="E361" s="577" t="s">
        <v>204</v>
      </c>
      <c r="F361" s="570">
        <v>344</v>
      </c>
      <c r="G361" s="579">
        <v>78.73</v>
      </c>
      <c r="H361" s="600">
        <v>98.79</v>
      </c>
      <c r="I361" s="600">
        <v>33983.76</v>
      </c>
      <c r="J361" s="612">
        <v>0.00138188397495942</v>
      </c>
      <c r="K361" s="613">
        <f t="shared" si="18"/>
        <v>0</v>
      </c>
      <c r="L361" s="610">
        <f t="shared" si="20"/>
        <v>33983.76</v>
      </c>
      <c r="M361" s="601"/>
      <c r="N361" s="601"/>
      <c r="O361" s="601"/>
      <c r="P361" s="601"/>
      <c r="Q361" s="601"/>
      <c r="R361" s="601"/>
      <c r="S361" s="601"/>
      <c r="T361" s="601"/>
      <c r="U361" s="601"/>
      <c r="V361" s="601"/>
      <c r="W361" s="601"/>
      <c r="X361" s="601"/>
      <c r="Y361" s="601"/>
    </row>
    <row r="362" ht="51" spans="1:25">
      <c r="A362" s="569" t="s">
        <v>998</v>
      </c>
      <c r="B362" s="569" t="s">
        <v>999</v>
      </c>
      <c r="C362" s="569" t="s">
        <v>132</v>
      </c>
      <c r="D362" s="569" t="s">
        <v>1000</v>
      </c>
      <c r="E362" s="577" t="s">
        <v>204</v>
      </c>
      <c r="F362" s="570">
        <v>182</v>
      </c>
      <c r="G362" s="579">
        <v>79.66</v>
      </c>
      <c r="H362" s="600">
        <v>99.96</v>
      </c>
      <c r="I362" s="600">
        <v>18192.72</v>
      </c>
      <c r="J362" s="612">
        <v>0.00073977182715873</v>
      </c>
      <c r="K362" s="613">
        <f t="shared" si="18"/>
        <v>0</v>
      </c>
      <c r="L362" s="610">
        <f t="shared" si="20"/>
        <v>18192.72</v>
      </c>
      <c r="M362" s="601"/>
      <c r="N362" s="601"/>
      <c r="O362" s="601"/>
      <c r="P362" s="601"/>
      <c r="Q362" s="601"/>
      <c r="R362" s="601"/>
      <c r="S362" s="601"/>
      <c r="T362" s="601"/>
      <c r="U362" s="601"/>
      <c r="V362" s="601"/>
      <c r="W362" s="601"/>
      <c r="X362" s="601"/>
      <c r="Y362" s="601"/>
    </row>
    <row r="363" ht="51" spans="1:25">
      <c r="A363" s="569" t="s">
        <v>1001</v>
      </c>
      <c r="B363" s="569" t="s">
        <v>1002</v>
      </c>
      <c r="C363" s="569" t="s">
        <v>132</v>
      </c>
      <c r="D363" s="569" t="s">
        <v>1003</v>
      </c>
      <c r="E363" s="577" t="s">
        <v>204</v>
      </c>
      <c r="F363" s="570">
        <v>21</v>
      </c>
      <c r="G363" s="579">
        <v>82.94</v>
      </c>
      <c r="H363" s="600">
        <v>104.08</v>
      </c>
      <c r="I363" s="600">
        <v>2185.68</v>
      </c>
      <c r="J363" s="612">
        <v>8.88764564718356e-5</v>
      </c>
      <c r="K363" s="613">
        <f t="shared" si="18"/>
        <v>0</v>
      </c>
      <c r="L363" s="610">
        <f t="shared" si="20"/>
        <v>2185.68</v>
      </c>
      <c r="M363" s="601"/>
      <c r="N363" s="601"/>
      <c r="O363" s="601"/>
      <c r="P363" s="601"/>
      <c r="Q363" s="601"/>
      <c r="R363" s="601"/>
      <c r="S363" s="601"/>
      <c r="T363" s="601"/>
      <c r="U363" s="601"/>
      <c r="V363" s="601"/>
      <c r="W363" s="601"/>
      <c r="X363" s="601"/>
      <c r="Y363" s="601"/>
    </row>
    <row r="364" ht="15" spans="1:25">
      <c r="A364" s="569" t="s">
        <v>1004</v>
      </c>
      <c r="B364" s="569" t="s">
        <v>1005</v>
      </c>
      <c r="C364" s="569" t="s">
        <v>149</v>
      </c>
      <c r="D364" s="569" t="s">
        <v>1006</v>
      </c>
      <c r="E364" s="577" t="s">
        <v>204</v>
      </c>
      <c r="F364" s="570">
        <v>16</v>
      </c>
      <c r="G364" s="579">
        <v>135.82</v>
      </c>
      <c r="H364" s="600">
        <v>170.44</v>
      </c>
      <c r="I364" s="600">
        <v>2727.04</v>
      </c>
      <c r="J364" s="612">
        <v>0.000110889815461071</v>
      </c>
      <c r="K364" s="613">
        <f t="shared" si="18"/>
        <v>0</v>
      </c>
      <c r="L364" s="610">
        <f t="shared" si="20"/>
        <v>2727.04</v>
      </c>
      <c r="M364" s="601"/>
      <c r="N364" s="601"/>
      <c r="O364" s="601"/>
      <c r="P364" s="601"/>
      <c r="Q364" s="601"/>
      <c r="R364" s="601"/>
      <c r="S364" s="601"/>
      <c r="T364" s="601"/>
      <c r="U364" s="601"/>
      <c r="V364" s="601"/>
      <c r="W364" s="601"/>
      <c r="X364" s="601"/>
      <c r="Y364" s="601"/>
    </row>
    <row r="365" ht="15" spans="1:25">
      <c r="A365" s="569" t="s">
        <v>1007</v>
      </c>
      <c r="B365" s="569" t="s">
        <v>1008</v>
      </c>
      <c r="C365" s="569" t="s">
        <v>149</v>
      </c>
      <c r="D365" s="569" t="s">
        <v>1009</v>
      </c>
      <c r="E365" s="577" t="s">
        <v>204</v>
      </c>
      <c r="F365" s="570">
        <v>10</v>
      </c>
      <c r="G365" s="579">
        <v>142.61</v>
      </c>
      <c r="H365" s="600">
        <v>178.96</v>
      </c>
      <c r="I365" s="600">
        <v>1789.6</v>
      </c>
      <c r="J365" s="612">
        <v>7.27706281349498e-5</v>
      </c>
      <c r="K365" s="613">
        <f t="shared" si="18"/>
        <v>0</v>
      </c>
      <c r="L365" s="610">
        <f t="shared" si="20"/>
        <v>1789.6</v>
      </c>
      <c r="M365" s="601"/>
      <c r="N365" s="601"/>
      <c r="O365" s="601"/>
      <c r="P365" s="601"/>
      <c r="Q365" s="601"/>
      <c r="R365" s="601"/>
      <c r="S365" s="601"/>
      <c r="T365" s="601"/>
      <c r="U365" s="601"/>
      <c r="V365" s="601"/>
      <c r="W365" s="601"/>
      <c r="X365" s="601"/>
      <c r="Y365" s="601"/>
    </row>
    <row r="366" ht="15" spans="1:25">
      <c r="A366" s="569" t="s">
        <v>1010</v>
      </c>
      <c r="B366" s="569" t="s">
        <v>1011</v>
      </c>
      <c r="C366" s="569" t="s">
        <v>149</v>
      </c>
      <c r="D366" s="569" t="s">
        <v>1012</v>
      </c>
      <c r="E366" s="577" t="s">
        <v>204</v>
      </c>
      <c r="F366" s="570">
        <v>61</v>
      </c>
      <c r="G366" s="579">
        <v>162.43</v>
      </c>
      <c r="H366" s="600">
        <v>203.83</v>
      </c>
      <c r="I366" s="600">
        <v>12433.63</v>
      </c>
      <c r="J366" s="612">
        <v>0.000505589553586028</v>
      </c>
      <c r="K366" s="613">
        <f t="shared" si="18"/>
        <v>0</v>
      </c>
      <c r="L366" s="610">
        <f t="shared" si="20"/>
        <v>12433.63</v>
      </c>
      <c r="M366" s="601"/>
      <c r="N366" s="601"/>
      <c r="O366" s="601"/>
      <c r="P366" s="601"/>
      <c r="Q366" s="601"/>
      <c r="R366" s="601"/>
      <c r="S366" s="601"/>
      <c r="T366" s="601"/>
      <c r="U366" s="601"/>
      <c r="V366" s="601"/>
      <c r="W366" s="601"/>
      <c r="X366" s="601"/>
      <c r="Y366" s="601"/>
    </row>
    <row r="367" ht="25.5" spans="1:25">
      <c r="A367" s="569" t="s">
        <v>1013</v>
      </c>
      <c r="B367" s="569" t="s">
        <v>1014</v>
      </c>
      <c r="C367" s="569" t="s">
        <v>132</v>
      </c>
      <c r="D367" s="569" t="s">
        <v>1015</v>
      </c>
      <c r="E367" s="577" t="s">
        <v>134</v>
      </c>
      <c r="F367" s="570">
        <v>1</v>
      </c>
      <c r="G367" s="579">
        <v>121.99</v>
      </c>
      <c r="H367" s="600">
        <v>153.08</v>
      </c>
      <c r="I367" s="600">
        <v>153.08</v>
      </c>
      <c r="J367" s="612">
        <v>6.22470258990731e-6</v>
      </c>
      <c r="K367" s="613">
        <f t="shared" si="18"/>
        <v>0</v>
      </c>
      <c r="L367" s="610">
        <f t="shared" si="20"/>
        <v>153.08</v>
      </c>
      <c r="M367" s="601"/>
      <c r="N367" s="601"/>
      <c r="O367" s="601"/>
      <c r="P367" s="601"/>
      <c r="Q367" s="601"/>
      <c r="R367" s="601"/>
      <c r="S367" s="601"/>
      <c r="T367" s="601"/>
      <c r="U367" s="601"/>
      <c r="V367" s="601"/>
      <c r="W367" s="601"/>
      <c r="X367" s="601"/>
      <c r="Y367" s="601"/>
    </row>
    <row r="368" ht="15" spans="1:25">
      <c r="A368" s="569" t="s">
        <v>1016</v>
      </c>
      <c r="B368" s="569" t="s">
        <v>1017</v>
      </c>
      <c r="C368" s="569" t="s">
        <v>149</v>
      </c>
      <c r="D368" s="569" t="s">
        <v>1018</v>
      </c>
      <c r="E368" s="577" t="s">
        <v>134</v>
      </c>
      <c r="F368" s="570">
        <v>7</v>
      </c>
      <c r="G368" s="579">
        <v>256.68</v>
      </c>
      <c r="H368" s="600">
        <v>322.1</v>
      </c>
      <c r="I368" s="600">
        <v>2254.7</v>
      </c>
      <c r="J368" s="612">
        <v>9.16830214885289e-5</v>
      </c>
      <c r="K368" s="613">
        <f t="shared" si="18"/>
        <v>0</v>
      </c>
      <c r="L368" s="610">
        <f t="shared" si="20"/>
        <v>2254.7</v>
      </c>
      <c r="M368" s="601"/>
      <c r="N368" s="601"/>
      <c r="O368" s="601"/>
      <c r="P368" s="601"/>
      <c r="Q368" s="601"/>
      <c r="R368" s="601"/>
      <c r="S368" s="601"/>
      <c r="T368" s="601"/>
      <c r="U368" s="601"/>
      <c r="V368" s="601"/>
      <c r="W368" s="601"/>
      <c r="X368" s="601"/>
      <c r="Y368" s="601"/>
    </row>
    <row r="369" ht="25.5" spans="1:25">
      <c r="A369" s="569" t="s">
        <v>1019</v>
      </c>
      <c r="B369" s="569" t="s">
        <v>1020</v>
      </c>
      <c r="C369" s="569" t="s">
        <v>132</v>
      </c>
      <c r="D369" s="569" t="s">
        <v>1021</v>
      </c>
      <c r="E369" s="577" t="s">
        <v>134</v>
      </c>
      <c r="F369" s="570">
        <v>1</v>
      </c>
      <c r="G369" s="579">
        <v>224.03</v>
      </c>
      <c r="H369" s="600">
        <v>281.13</v>
      </c>
      <c r="I369" s="600">
        <v>281.13</v>
      </c>
      <c r="J369" s="612">
        <v>1.14316085648069e-5</v>
      </c>
      <c r="K369" s="613">
        <f t="shared" si="18"/>
        <v>0</v>
      </c>
      <c r="L369" s="610">
        <f t="shared" si="20"/>
        <v>281.13</v>
      </c>
      <c r="M369" s="601"/>
      <c r="N369" s="601"/>
      <c r="O369" s="601"/>
      <c r="P369" s="601"/>
      <c r="Q369" s="601"/>
      <c r="R369" s="601"/>
      <c r="S369" s="601"/>
      <c r="T369" s="601"/>
      <c r="U369" s="601"/>
      <c r="V369" s="601"/>
      <c r="W369" s="601"/>
      <c r="X369" s="601"/>
      <c r="Y369" s="601"/>
    </row>
    <row r="370" ht="38.25" spans="1:25">
      <c r="A370" s="569" t="s">
        <v>1022</v>
      </c>
      <c r="B370" s="569" t="s">
        <v>1023</v>
      </c>
      <c r="C370" s="569" t="s">
        <v>132</v>
      </c>
      <c r="D370" s="569" t="s">
        <v>1024</v>
      </c>
      <c r="E370" s="577" t="s">
        <v>134</v>
      </c>
      <c r="F370" s="570">
        <v>148</v>
      </c>
      <c r="G370" s="579">
        <v>30.58</v>
      </c>
      <c r="H370" s="600">
        <v>38.37</v>
      </c>
      <c r="I370" s="600">
        <v>5678.76</v>
      </c>
      <c r="J370" s="612">
        <v>0.000230915809246551</v>
      </c>
      <c r="K370" s="613">
        <f t="shared" si="18"/>
        <v>0</v>
      </c>
      <c r="L370" s="610">
        <f t="shared" si="20"/>
        <v>5678.76</v>
      </c>
      <c r="M370" s="601"/>
      <c r="N370" s="601"/>
      <c r="O370" s="601"/>
      <c r="P370" s="601"/>
      <c r="Q370" s="601"/>
      <c r="R370" s="601"/>
      <c r="S370" s="601"/>
      <c r="T370" s="601"/>
      <c r="U370" s="601"/>
      <c r="V370" s="601"/>
      <c r="W370" s="601"/>
      <c r="X370" s="601"/>
      <c r="Y370" s="601"/>
    </row>
    <row r="371" ht="25.5" spans="1:25">
      <c r="A371" s="569" t="s">
        <v>1025</v>
      </c>
      <c r="B371" s="569" t="s">
        <v>1026</v>
      </c>
      <c r="C371" s="569" t="s">
        <v>132</v>
      </c>
      <c r="D371" s="569" t="s">
        <v>1027</v>
      </c>
      <c r="E371" s="577" t="s">
        <v>134</v>
      </c>
      <c r="F371" s="570">
        <v>6</v>
      </c>
      <c r="G371" s="579">
        <v>24.56</v>
      </c>
      <c r="H371" s="600">
        <v>30.82</v>
      </c>
      <c r="I371" s="600">
        <v>184.92</v>
      </c>
      <c r="J371" s="612">
        <v>7.51941470424392e-6</v>
      </c>
      <c r="K371" s="613">
        <f t="shared" si="18"/>
        <v>0</v>
      </c>
      <c r="L371" s="610">
        <f t="shared" si="20"/>
        <v>184.92</v>
      </c>
      <c r="M371" s="601"/>
      <c r="N371" s="601"/>
      <c r="O371" s="601"/>
      <c r="P371" s="601"/>
      <c r="Q371" s="601"/>
      <c r="R371" s="601"/>
      <c r="S371" s="601"/>
      <c r="T371" s="601"/>
      <c r="U371" s="601"/>
      <c r="V371" s="601"/>
      <c r="W371" s="601"/>
      <c r="X371" s="601"/>
      <c r="Y371" s="601"/>
    </row>
    <row r="372" ht="25.5" spans="1:25">
      <c r="A372" s="569" t="s">
        <v>1028</v>
      </c>
      <c r="B372" s="569" t="s">
        <v>1029</v>
      </c>
      <c r="C372" s="569" t="s">
        <v>132</v>
      </c>
      <c r="D372" s="569" t="s">
        <v>1030</v>
      </c>
      <c r="E372" s="577" t="s">
        <v>134</v>
      </c>
      <c r="F372" s="570">
        <v>1</v>
      </c>
      <c r="G372" s="579">
        <v>22.6</v>
      </c>
      <c r="H372" s="600">
        <v>28.36</v>
      </c>
      <c r="I372" s="600">
        <v>28.36</v>
      </c>
      <c r="J372" s="612">
        <v>1.15320463450334e-6</v>
      </c>
      <c r="K372" s="613">
        <f t="shared" si="18"/>
        <v>0</v>
      </c>
      <c r="L372" s="610">
        <f t="shared" si="20"/>
        <v>28.36</v>
      </c>
      <c r="M372" s="601"/>
      <c r="N372" s="601"/>
      <c r="O372" s="601"/>
      <c r="P372" s="601"/>
      <c r="Q372" s="601"/>
      <c r="R372" s="601"/>
      <c r="S372" s="601"/>
      <c r="T372" s="601"/>
      <c r="U372" s="601"/>
      <c r="V372" s="601"/>
      <c r="W372" s="601"/>
      <c r="X372" s="601"/>
      <c r="Y372" s="601"/>
    </row>
    <row r="373" ht="25.5" spans="1:25">
      <c r="A373" s="569" t="s">
        <v>1031</v>
      </c>
      <c r="B373" s="569" t="s">
        <v>1032</v>
      </c>
      <c r="C373" s="569" t="s">
        <v>132</v>
      </c>
      <c r="D373" s="569" t="s">
        <v>1033</v>
      </c>
      <c r="E373" s="577" t="s">
        <v>134</v>
      </c>
      <c r="F373" s="570">
        <v>1</v>
      </c>
      <c r="G373" s="579">
        <v>19.72</v>
      </c>
      <c r="H373" s="600">
        <v>24.74</v>
      </c>
      <c r="I373" s="600">
        <v>24.74</v>
      </c>
      <c r="J373" s="612">
        <v>1.0060043250216e-6</v>
      </c>
      <c r="K373" s="613">
        <f t="shared" si="18"/>
        <v>0</v>
      </c>
      <c r="L373" s="610">
        <f t="shared" si="20"/>
        <v>24.74</v>
      </c>
      <c r="M373" s="601"/>
      <c r="N373" s="601"/>
      <c r="O373" s="601"/>
      <c r="P373" s="601"/>
      <c r="Q373" s="601"/>
      <c r="R373" s="601"/>
      <c r="S373" s="601"/>
      <c r="T373" s="601"/>
      <c r="U373" s="601"/>
      <c r="V373" s="601"/>
      <c r="W373" s="601"/>
      <c r="X373" s="601"/>
      <c r="Y373" s="601"/>
    </row>
    <row r="374" ht="25.5" spans="1:25">
      <c r="A374" s="569" t="s">
        <v>1034</v>
      </c>
      <c r="B374" s="569" t="s">
        <v>1035</v>
      </c>
      <c r="C374" s="569" t="s">
        <v>132</v>
      </c>
      <c r="D374" s="569" t="s">
        <v>1036</v>
      </c>
      <c r="E374" s="577" t="s">
        <v>134</v>
      </c>
      <c r="F374" s="570">
        <v>6</v>
      </c>
      <c r="G374" s="579">
        <v>120.65</v>
      </c>
      <c r="H374" s="600">
        <v>151.4</v>
      </c>
      <c r="I374" s="600">
        <v>908.4</v>
      </c>
      <c r="J374" s="612">
        <v>3.69383318047544e-5</v>
      </c>
      <c r="K374" s="613">
        <f t="shared" si="18"/>
        <v>0</v>
      </c>
      <c r="L374" s="610">
        <f t="shared" si="20"/>
        <v>908.4</v>
      </c>
      <c r="M374" s="601"/>
      <c r="N374" s="601"/>
      <c r="O374" s="601"/>
      <c r="P374" s="601"/>
      <c r="Q374" s="601"/>
      <c r="R374" s="601"/>
      <c r="S374" s="601"/>
      <c r="T374" s="601"/>
      <c r="U374" s="601"/>
      <c r="V374" s="601"/>
      <c r="W374" s="601"/>
      <c r="X374" s="601"/>
      <c r="Y374" s="601"/>
    </row>
    <row r="375" ht="25.5" spans="1:25">
      <c r="A375" s="569" t="s">
        <v>1037</v>
      </c>
      <c r="B375" s="569" t="s">
        <v>1038</v>
      </c>
      <c r="C375" s="569" t="s">
        <v>132</v>
      </c>
      <c r="D375" s="569" t="s">
        <v>1039</v>
      </c>
      <c r="E375" s="577" t="s">
        <v>134</v>
      </c>
      <c r="F375" s="570">
        <v>2</v>
      </c>
      <c r="G375" s="579">
        <v>114.65</v>
      </c>
      <c r="H375" s="600">
        <v>143.87</v>
      </c>
      <c r="I375" s="600">
        <v>287.74</v>
      </c>
      <c r="J375" s="612">
        <v>1.17003914503523e-5</v>
      </c>
      <c r="K375" s="613">
        <f t="shared" si="18"/>
        <v>0</v>
      </c>
      <c r="L375" s="610">
        <f t="shared" si="20"/>
        <v>287.74</v>
      </c>
      <c r="M375" s="601"/>
      <c r="N375" s="601"/>
      <c r="O375" s="601"/>
      <c r="P375" s="601"/>
      <c r="Q375" s="601"/>
      <c r="R375" s="601"/>
      <c r="S375" s="601"/>
      <c r="T375" s="601"/>
      <c r="U375" s="601"/>
      <c r="V375" s="601"/>
      <c r="W375" s="601"/>
      <c r="X375" s="601"/>
      <c r="Y375" s="601"/>
    </row>
    <row r="376" ht="25.5" spans="1:25">
      <c r="A376" s="569" t="s">
        <v>1040</v>
      </c>
      <c r="B376" s="569" t="s">
        <v>1041</v>
      </c>
      <c r="C376" s="569" t="s">
        <v>132</v>
      </c>
      <c r="D376" s="569" t="s">
        <v>1042</v>
      </c>
      <c r="E376" s="577" t="s">
        <v>134</v>
      </c>
      <c r="F376" s="570">
        <v>1</v>
      </c>
      <c r="G376" s="579">
        <v>108.66</v>
      </c>
      <c r="H376" s="600">
        <v>136.35</v>
      </c>
      <c r="I376" s="600">
        <v>136.35</v>
      </c>
      <c r="J376" s="612">
        <v>5.54440944691574e-6</v>
      </c>
      <c r="K376" s="613">
        <f t="shared" si="18"/>
        <v>0</v>
      </c>
      <c r="L376" s="610">
        <f t="shared" si="20"/>
        <v>136.35</v>
      </c>
      <c r="M376" s="601"/>
      <c r="N376" s="601"/>
      <c r="O376" s="601"/>
      <c r="P376" s="601"/>
      <c r="Q376" s="601"/>
      <c r="R376" s="601"/>
      <c r="S376" s="601"/>
      <c r="T376" s="601"/>
      <c r="U376" s="601"/>
      <c r="V376" s="601"/>
      <c r="W376" s="601"/>
      <c r="X376" s="601"/>
      <c r="Y376" s="601"/>
    </row>
    <row r="377" ht="15" spans="1:25">
      <c r="A377" s="569" t="s">
        <v>1043</v>
      </c>
      <c r="B377" s="569" t="s">
        <v>1044</v>
      </c>
      <c r="C377" s="569" t="s">
        <v>149</v>
      </c>
      <c r="D377" s="569" t="s">
        <v>1045</v>
      </c>
      <c r="E377" s="577" t="s">
        <v>134</v>
      </c>
      <c r="F377" s="570">
        <v>3</v>
      </c>
      <c r="G377" s="579">
        <v>211.65</v>
      </c>
      <c r="H377" s="600">
        <v>265.59</v>
      </c>
      <c r="I377" s="600">
        <v>796.77</v>
      </c>
      <c r="J377" s="612">
        <v>3.23991134214819e-5</v>
      </c>
      <c r="K377" s="613">
        <f t="shared" si="18"/>
        <v>0</v>
      </c>
      <c r="L377" s="610">
        <f t="shared" si="20"/>
        <v>796.77</v>
      </c>
      <c r="M377" s="601"/>
      <c r="N377" s="601"/>
      <c r="O377" s="601"/>
      <c r="P377" s="601"/>
      <c r="Q377" s="601"/>
      <c r="R377" s="601"/>
      <c r="S377" s="601"/>
      <c r="T377" s="601"/>
      <c r="U377" s="601"/>
      <c r="V377" s="601"/>
      <c r="W377" s="601"/>
      <c r="X377" s="601"/>
      <c r="Y377" s="601"/>
    </row>
    <row r="378" ht="15" spans="1:25">
      <c r="A378" s="569" t="s">
        <v>1046</v>
      </c>
      <c r="B378" s="569" t="s">
        <v>1047</v>
      </c>
      <c r="C378" s="569" t="s">
        <v>149</v>
      </c>
      <c r="D378" s="569" t="s">
        <v>1048</v>
      </c>
      <c r="E378" s="577" t="s">
        <v>134</v>
      </c>
      <c r="F378" s="570">
        <v>3</v>
      </c>
      <c r="G378" s="579">
        <v>23.71</v>
      </c>
      <c r="H378" s="600">
        <v>29.75</v>
      </c>
      <c r="I378" s="600">
        <v>89.25</v>
      </c>
      <c r="J378" s="612">
        <v>3.62917890089644e-6</v>
      </c>
      <c r="K378" s="613">
        <f t="shared" si="18"/>
        <v>0</v>
      </c>
      <c r="L378" s="610">
        <f t="shared" si="20"/>
        <v>89.25</v>
      </c>
      <c r="M378" s="601"/>
      <c r="N378" s="601"/>
      <c r="O378" s="601"/>
      <c r="P378" s="601"/>
      <c r="Q378" s="601"/>
      <c r="R378" s="601"/>
      <c r="S378" s="601"/>
      <c r="T378" s="601"/>
      <c r="U378" s="601"/>
      <c r="V378" s="601"/>
      <c r="W378" s="601"/>
      <c r="X378" s="601"/>
      <c r="Y378" s="601"/>
    </row>
    <row r="379" ht="15" spans="1:25">
      <c r="A379" s="569" t="s">
        <v>1049</v>
      </c>
      <c r="B379" s="569" t="s">
        <v>1050</v>
      </c>
      <c r="C379" s="569" t="s">
        <v>149</v>
      </c>
      <c r="D379" s="569" t="s">
        <v>1051</v>
      </c>
      <c r="E379" s="577" t="s">
        <v>134</v>
      </c>
      <c r="F379" s="570">
        <v>3</v>
      </c>
      <c r="G379" s="579">
        <v>165.47</v>
      </c>
      <c r="H379" s="600">
        <v>207.64</v>
      </c>
      <c r="I379" s="600">
        <v>622.92</v>
      </c>
      <c r="J379" s="612">
        <v>2.53298388901559e-5</v>
      </c>
      <c r="K379" s="613">
        <f t="shared" si="18"/>
        <v>0</v>
      </c>
      <c r="L379" s="610">
        <f t="shared" si="20"/>
        <v>622.92</v>
      </c>
      <c r="M379" s="601"/>
      <c r="N379" s="601"/>
      <c r="O379" s="601"/>
      <c r="P379" s="601"/>
      <c r="Q379" s="601"/>
      <c r="R379" s="601"/>
      <c r="S379" s="601"/>
      <c r="T379" s="601"/>
      <c r="U379" s="601"/>
      <c r="V379" s="601"/>
      <c r="W379" s="601"/>
      <c r="X379" s="601"/>
      <c r="Y379" s="601"/>
    </row>
    <row r="380" ht="15" spans="1:25">
      <c r="A380" s="569" t="s">
        <v>1052</v>
      </c>
      <c r="B380" s="569" t="s">
        <v>1053</v>
      </c>
      <c r="C380" s="569" t="s">
        <v>149</v>
      </c>
      <c r="D380" s="569" t="s">
        <v>1054</v>
      </c>
      <c r="E380" s="577" t="s">
        <v>134</v>
      </c>
      <c r="F380" s="570">
        <v>2</v>
      </c>
      <c r="G380" s="579">
        <v>103.31</v>
      </c>
      <c r="H380" s="600">
        <v>129.64</v>
      </c>
      <c r="I380" s="600">
        <v>259.28</v>
      </c>
      <c r="J380" s="612">
        <v>1.05431205089572e-5</v>
      </c>
      <c r="K380" s="613">
        <f t="shared" si="18"/>
        <v>0</v>
      </c>
      <c r="L380" s="610">
        <f t="shared" si="20"/>
        <v>259.28</v>
      </c>
      <c r="M380" s="601"/>
      <c r="N380" s="601"/>
      <c r="O380" s="601"/>
      <c r="P380" s="601"/>
      <c r="Q380" s="601"/>
      <c r="R380" s="601"/>
      <c r="S380" s="601"/>
      <c r="T380" s="601"/>
      <c r="U380" s="601"/>
      <c r="V380" s="601"/>
      <c r="W380" s="601"/>
      <c r="X380" s="601"/>
      <c r="Y380" s="601"/>
    </row>
    <row r="381" ht="25.5" spans="1:25">
      <c r="A381" s="569" t="s">
        <v>1055</v>
      </c>
      <c r="B381" s="569" t="s">
        <v>1056</v>
      </c>
      <c r="C381" s="569" t="s">
        <v>132</v>
      </c>
      <c r="D381" s="569" t="s">
        <v>1057</v>
      </c>
      <c r="E381" s="577" t="s">
        <v>134</v>
      </c>
      <c r="F381" s="570">
        <v>1</v>
      </c>
      <c r="G381" s="579">
        <v>112.71</v>
      </c>
      <c r="H381" s="600">
        <v>141.43</v>
      </c>
      <c r="I381" s="600">
        <v>141.43</v>
      </c>
      <c r="J381" s="612">
        <v>5.75097783701718e-6</v>
      </c>
      <c r="K381" s="613">
        <f t="shared" si="18"/>
        <v>0</v>
      </c>
      <c r="L381" s="610">
        <f t="shared" si="20"/>
        <v>141.43</v>
      </c>
      <c r="M381" s="601"/>
      <c r="N381" s="601"/>
      <c r="O381" s="601"/>
      <c r="P381" s="601"/>
      <c r="Q381" s="601"/>
      <c r="R381" s="601"/>
      <c r="S381" s="601"/>
      <c r="T381" s="601"/>
      <c r="U381" s="601"/>
      <c r="V381" s="601"/>
      <c r="W381" s="601"/>
      <c r="X381" s="601"/>
      <c r="Y381" s="601"/>
    </row>
    <row r="382" ht="38.25" spans="1:25">
      <c r="A382" s="569" t="s">
        <v>1058</v>
      </c>
      <c r="B382" s="569" t="s">
        <v>1059</v>
      </c>
      <c r="C382" s="569" t="s">
        <v>132</v>
      </c>
      <c r="D382" s="569" t="s">
        <v>1060</v>
      </c>
      <c r="E382" s="577" t="s">
        <v>204</v>
      </c>
      <c r="F382" s="570">
        <v>57</v>
      </c>
      <c r="G382" s="579">
        <v>15.34</v>
      </c>
      <c r="H382" s="600">
        <v>19.25</v>
      </c>
      <c r="I382" s="600">
        <v>1097.25</v>
      </c>
      <c r="J382" s="612">
        <v>4.46175523698445e-5</v>
      </c>
      <c r="K382" s="613">
        <f t="shared" si="18"/>
        <v>0</v>
      </c>
      <c r="L382" s="610">
        <f t="shared" si="20"/>
        <v>1097.25</v>
      </c>
      <c r="M382" s="601"/>
      <c r="N382" s="601"/>
      <c r="O382" s="601"/>
      <c r="P382" s="601"/>
      <c r="Q382" s="601"/>
      <c r="R382" s="601"/>
      <c r="S382" s="601"/>
      <c r="T382" s="601"/>
      <c r="U382" s="601"/>
      <c r="V382" s="601"/>
      <c r="W382" s="601"/>
      <c r="X382" s="601"/>
      <c r="Y382" s="601"/>
    </row>
    <row r="383" ht="15" spans="1:25">
      <c r="A383" s="569" t="s">
        <v>1061</v>
      </c>
      <c r="B383" s="569" t="s">
        <v>1062</v>
      </c>
      <c r="C383" s="569" t="s">
        <v>149</v>
      </c>
      <c r="D383" s="569" t="s">
        <v>1063</v>
      </c>
      <c r="E383" s="577" t="s">
        <v>134</v>
      </c>
      <c r="F383" s="570">
        <v>57</v>
      </c>
      <c r="G383" s="579">
        <v>36.03</v>
      </c>
      <c r="H383" s="600">
        <v>45.21</v>
      </c>
      <c r="I383" s="600">
        <v>2576.97</v>
      </c>
      <c r="J383" s="612">
        <v>0.000104787508708606</v>
      </c>
      <c r="K383" s="613">
        <f t="shared" si="18"/>
        <v>0</v>
      </c>
      <c r="L383" s="610">
        <f t="shared" si="20"/>
        <v>2576.97</v>
      </c>
      <c r="M383" s="601"/>
      <c r="N383" s="601"/>
      <c r="O383" s="601"/>
      <c r="P383" s="601"/>
      <c r="Q383" s="601"/>
      <c r="R383" s="601"/>
      <c r="S383" s="601"/>
      <c r="T383" s="601"/>
      <c r="U383" s="601"/>
      <c r="V383" s="601"/>
      <c r="W383" s="601"/>
      <c r="X383" s="601"/>
      <c r="Y383" s="601"/>
    </row>
    <row r="384" ht="38.25" spans="1:25">
      <c r="A384" s="569" t="s">
        <v>1064</v>
      </c>
      <c r="B384" s="569" t="s">
        <v>1065</v>
      </c>
      <c r="C384" s="569" t="s">
        <v>132</v>
      </c>
      <c r="D384" s="569" t="s">
        <v>1066</v>
      </c>
      <c r="E384" s="577" t="s">
        <v>204</v>
      </c>
      <c r="F384" s="570">
        <v>644</v>
      </c>
      <c r="G384" s="579">
        <v>67.42</v>
      </c>
      <c r="H384" s="600">
        <v>84.6</v>
      </c>
      <c r="I384" s="600">
        <v>54482.4</v>
      </c>
      <c r="J384" s="612">
        <v>0.00221542158599664</v>
      </c>
      <c r="K384" s="613">
        <f t="shared" si="18"/>
        <v>0</v>
      </c>
      <c r="L384" s="610">
        <f t="shared" si="20"/>
        <v>54482.4</v>
      </c>
      <c r="M384" s="601"/>
      <c r="N384" s="601"/>
      <c r="O384" s="601"/>
      <c r="P384" s="601"/>
      <c r="Q384" s="601"/>
      <c r="R384" s="601"/>
      <c r="S384" s="601"/>
      <c r="T384" s="601"/>
      <c r="U384" s="601"/>
      <c r="V384" s="601"/>
      <c r="W384" s="601"/>
      <c r="X384" s="601"/>
      <c r="Y384" s="601"/>
    </row>
    <row r="385" ht="25.5" spans="1:25">
      <c r="A385" s="569" t="s">
        <v>1067</v>
      </c>
      <c r="B385" s="569" t="s">
        <v>1068</v>
      </c>
      <c r="C385" s="569" t="s">
        <v>132</v>
      </c>
      <c r="D385" s="569" t="s">
        <v>1069</v>
      </c>
      <c r="E385" s="577" t="s">
        <v>204</v>
      </c>
      <c r="F385" s="570">
        <v>644</v>
      </c>
      <c r="G385" s="579">
        <v>26.96</v>
      </c>
      <c r="H385" s="600">
        <v>33.83</v>
      </c>
      <c r="I385" s="600">
        <v>21786.52</v>
      </c>
      <c r="J385" s="612">
        <v>0.000885906764234827</v>
      </c>
      <c r="K385" s="613">
        <f t="shared" si="18"/>
        <v>0</v>
      </c>
      <c r="L385" s="610">
        <f t="shared" si="20"/>
        <v>21786.52</v>
      </c>
      <c r="M385" s="601"/>
      <c r="N385" s="601"/>
      <c r="O385" s="601"/>
      <c r="P385" s="601"/>
      <c r="Q385" s="601"/>
      <c r="R385" s="601"/>
      <c r="S385" s="601"/>
      <c r="T385" s="601"/>
      <c r="U385" s="601"/>
      <c r="V385" s="601"/>
      <c r="W385" s="601"/>
      <c r="X385" s="601"/>
      <c r="Y385" s="601"/>
    </row>
    <row r="386" ht="38.25" spans="1:25">
      <c r="A386" s="569" t="s">
        <v>1070</v>
      </c>
      <c r="B386" s="569" t="s">
        <v>1071</v>
      </c>
      <c r="C386" s="569" t="s">
        <v>77</v>
      </c>
      <c r="D386" s="569" t="s">
        <v>1072</v>
      </c>
      <c r="E386" s="577" t="s">
        <v>204</v>
      </c>
      <c r="F386" s="570">
        <v>1141</v>
      </c>
      <c r="G386" s="579">
        <v>17.72</v>
      </c>
      <c r="H386" s="600">
        <v>22.23</v>
      </c>
      <c r="I386" s="600">
        <v>25364.43</v>
      </c>
      <c r="J386" s="612">
        <v>0.00103139556514582</v>
      </c>
      <c r="K386" s="613">
        <f t="shared" si="18"/>
        <v>0</v>
      </c>
      <c r="L386" s="610">
        <f t="shared" si="20"/>
        <v>25364.43</v>
      </c>
      <c r="M386" s="601"/>
      <c r="N386" s="601"/>
      <c r="O386" s="601"/>
      <c r="P386" s="601"/>
      <c r="Q386" s="601"/>
      <c r="R386" s="601"/>
      <c r="S386" s="601"/>
      <c r="T386" s="601"/>
      <c r="U386" s="601"/>
      <c r="V386" s="601"/>
      <c r="W386" s="601"/>
      <c r="X386" s="601"/>
      <c r="Y386" s="601"/>
    </row>
    <row r="387" ht="38.25" spans="1:25">
      <c r="A387" s="569" t="s">
        <v>1073</v>
      </c>
      <c r="B387" s="569" t="s">
        <v>1074</v>
      </c>
      <c r="C387" s="569" t="s">
        <v>77</v>
      </c>
      <c r="D387" s="569" t="s">
        <v>1075</v>
      </c>
      <c r="E387" s="577" t="s">
        <v>204</v>
      </c>
      <c r="F387" s="570">
        <v>104</v>
      </c>
      <c r="G387" s="579">
        <v>21.39</v>
      </c>
      <c r="H387" s="600">
        <v>26.84</v>
      </c>
      <c r="I387" s="600">
        <v>2791.36</v>
      </c>
      <c r="J387" s="612">
        <v>0.000113505264053852</v>
      </c>
      <c r="K387" s="613">
        <f t="shared" si="18"/>
        <v>0</v>
      </c>
      <c r="L387" s="610">
        <f t="shared" si="20"/>
        <v>2791.36</v>
      </c>
      <c r="M387" s="601"/>
      <c r="N387" s="601"/>
      <c r="O387" s="601"/>
      <c r="P387" s="601"/>
      <c r="Q387" s="601"/>
      <c r="R387" s="601"/>
      <c r="S387" s="601"/>
      <c r="T387" s="601"/>
      <c r="U387" s="601"/>
      <c r="V387" s="601"/>
      <c r="W387" s="601"/>
      <c r="X387" s="601"/>
      <c r="Y387" s="601"/>
    </row>
    <row r="388" ht="38.25" spans="1:25">
      <c r="A388" s="569" t="s">
        <v>1076</v>
      </c>
      <c r="B388" s="569" t="s">
        <v>1077</v>
      </c>
      <c r="C388" s="569" t="s">
        <v>77</v>
      </c>
      <c r="D388" s="569" t="s">
        <v>1078</v>
      </c>
      <c r="E388" s="577" t="s">
        <v>204</v>
      </c>
      <c r="F388" s="570">
        <v>45</v>
      </c>
      <c r="G388" s="579">
        <v>32.26</v>
      </c>
      <c r="H388" s="600">
        <v>40.48</v>
      </c>
      <c r="I388" s="600">
        <v>1821.6</v>
      </c>
      <c r="J388" s="612">
        <v>7.40718463403132e-5</v>
      </c>
      <c r="K388" s="613">
        <f t="shared" si="18"/>
        <v>0</v>
      </c>
      <c r="L388" s="610">
        <f t="shared" si="20"/>
        <v>1821.6</v>
      </c>
      <c r="M388" s="601"/>
      <c r="N388" s="601"/>
      <c r="O388" s="601"/>
      <c r="P388" s="601"/>
      <c r="Q388" s="601"/>
      <c r="R388" s="601"/>
      <c r="S388" s="601"/>
      <c r="T388" s="601"/>
      <c r="U388" s="601"/>
      <c r="V388" s="601"/>
      <c r="W388" s="601"/>
      <c r="X388" s="601"/>
      <c r="Y388" s="601"/>
    </row>
    <row r="389" ht="38.25" spans="1:25">
      <c r="A389" s="569" t="s">
        <v>1079</v>
      </c>
      <c r="B389" s="569" t="s">
        <v>1080</v>
      </c>
      <c r="C389" s="569" t="s">
        <v>77</v>
      </c>
      <c r="D389" s="569" t="s">
        <v>1081</v>
      </c>
      <c r="E389" s="577" t="s">
        <v>204</v>
      </c>
      <c r="F389" s="570">
        <v>19</v>
      </c>
      <c r="G389" s="579">
        <v>40.19</v>
      </c>
      <c r="H389" s="600">
        <v>50.43</v>
      </c>
      <c r="I389" s="600">
        <v>958.17</v>
      </c>
      <c r="J389" s="612">
        <v>3.89621327447837e-5</v>
      </c>
      <c r="K389" s="613">
        <f t="shared" si="18"/>
        <v>0</v>
      </c>
      <c r="L389" s="610">
        <f t="shared" si="20"/>
        <v>958.17</v>
      </c>
      <c r="M389" s="601"/>
      <c r="N389" s="601"/>
      <c r="O389" s="601"/>
      <c r="P389" s="601"/>
      <c r="Q389" s="601"/>
      <c r="R389" s="601"/>
      <c r="S389" s="601"/>
      <c r="T389" s="601"/>
      <c r="U389" s="601"/>
      <c r="V389" s="601"/>
      <c r="W389" s="601"/>
      <c r="X389" s="601"/>
      <c r="Y389" s="601"/>
    </row>
    <row r="390" ht="38.25" spans="1:25">
      <c r="A390" s="569" t="s">
        <v>1082</v>
      </c>
      <c r="B390" s="569" t="s">
        <v>1083</v>
      </c>
      <c r="C390" s="569" t="s">
        <v>77</v>
      </c>
      <c r="D390" s="569" t="s">
        <v>1084</v>
      </c>
      <c r="E390" s="577" t="s">
        <v>204</v>
      </c>
      <c r="F390" s="570">
        <v>3</v>
      </c>
      <c r="G390" s="579">
        <v>111.65</v>
      </c>
      <c r="H390" s="600">
        <v>140.1</v>
      </c>
      <c r="I390" s="600">
        <v>420.3</v>
      </c>
      <c r="J390" s="612">
        <v>1.70906878660703e-5</v>
      </c>
      <c r="K390" s="613">
        <f t="shared" si="18"/>
        <v>0</v>
      </c>
      <c r="L390" s="610">
        <f t="shared" si="20"/>
        <v>420.3</v>
      </c>
      <c r="M390" s="601"/>
      <c r="N390" s="601"/>
      <c r="O390" s="601"/>
      <c r="P390" s="601"/>
      <c r="Q390" s="601"/>
      <c r="R390" s="601"/>
      <c r="S390" s="601"/>
      <c r="T390" s="601"/>
      <c r="U390" s="601"/>
      <c r="V390" s="601"/>
      <c r="W390" s="601"/>
      <c r="X390" s="601"/>
      <c r="Y390" s="601"/>
    </row>
    <row r="391" ht="15" spans="1:25">
      <c r="A391" s="569" t="s">
        <v>1085</v>
      </c>
      <c r="B391" s="569" t="s">
        <v>1086</v>
      </c>
      <c r="C391" s="569" t="s">
        <v>149</v>
      </c>
      <c r="D391" s="569" t="s">
        <v>1087</v>
      </c>
      <c r="E391" s="577" t="s">
        <v>204</v>
      </c>
      <c r="F391" s="570">
        <v>47</v>
      </c>
      <c r="G391" s="579">
        <v>116.78</v>
      </c>
      <c r="H391" s="600">
        <v>146.54</v>
      </c>
      <c r="I391" s="600">
        <v>6887.38</v>
      </c>
      <c r="J391" s="612">
        <v>0.000280062007601749</v>
      </c>
      <c r="K391" s="613">
        <f t="shared" si="18"/>
        <v>0</v>
      </c>
      <c r="L391" s="610">
        <f t="shared" si="20"/>
        <v>6887.38</v>
      </c>
      <c r="M391" s="601"/>
      <c r="N391" s="601"/>
      <c r="O391" s="601"/>
      <c r="P391" s="601"/>
      <c r="Q391" s="601"/>
      <c r="R391" s="601"/>
      <c r="S391" s="601"/>
      <c r="T391" s="601"/>
      <c r="U391" s="601"/>
      <c r="V391" s="601"/>
      <c r="W391" s="601"/>
      <c r="X391" s="601"/>
      <c r="Y391" s="601"/>
    </row>
    <row r="392" ht="25.5" spans="1:25">
      <c r="A392" s="569" t="s">
        <v>1088</v>
      </c>
      <c r="B392" s="569" t="s">
        <v>1089</v>
      </c>
      <c r="C392" s="569" t="s">
        <v>132</v>
      </c>
      <c r="D392" s="569" t="s">
        <v>1090</v>
      </c>
      <c r="E392" s="577" t="s">
        <v>204</v>
      </c>
      <c r="F392" s="570">
        <v>2</v>
      </c>
      <c r="G392" s="579">
        <v>245.64</v>
      </c>
      <c r="H392" s="600">
        <v>308.25</v>
      </c>
      <c r="I392" s="600">
        <v>616.5</v>
      </c>
      <c r="J392" s="612">
        <v>2.50687819877048e-5</v>
      </c>
      <c r="K392" s="613">
        <f t="shared" si="18"/>
        <v>0</v>
      </c>
      <c r="L392" s="610">
        <f t="shared" si="20"/>
        <v>616.5</v>
      </c>
      <c r="M392" s="601"/>
      <c r="N392" s="601"/>
      <c r="O392" s="601"/>
      <c r="P392" s="601"/>
      <c r="Q392" s="601"/>
      <c r="R392" s="601"/>
      <c r="S392" s="601"/>
      <c r="T392" s="601"/>
      <c r="U392" s="601"/>
      <c r="V392" s="601"/>
      <c r="W392" s="601"/>
      <c r="X392" s="601"/>
      <c r="Y392" s="601"/>
    </row>
    <row r="393" ht="25.5" spans="1:25">
      <c r="A393" s="569" t="s">
        <v>1091</v>
      </c>
      <c r="B393" s="569" t="s">
        <v>1092</v>
      </c>
      <c r="C393" s="569" t="s">
        <v>132</v>
      </c>
      <c r="D393" s="569" t="s">
        <v>1093</v>
      </c>
      <c r="E393" s="577" t="s">
        <v>334</v>
      </c>
      <c r="F393" s="570">
        <v>94</v>
      </c>
      <c r="G393" s="579">
        <v>11.71</v>
      </c>
      <c r="H393" s="600">
        <v>14.69</v>
      </c>
      <c r="I393" s="600">
        <v>1380.86</v>
      </c>
      <c r="J393" s="612">
        <v>5.6150005345567e-5</v>
      </c>
      <c r="K393" s="613">
        <f t="shared" ref="K393:K456" si="21">$I$1051</f>
        <v>0</v>
      </c>
      <c r="L393" s="610">
        <f t="shared" si="20"/>
        <v>1380.86</v>
      </c>
      <c r="M393" s="601"/>
      <c r="N393" s="601"/>
      <c r="O393" s="601"/>
      <c r="P393" s="601"/>
      <c r="Q393" s="601"/>
      <c r="R393" s="601"/>
      <c r="S393" s="601"/>
      <c r="T393" s="601"/>
      <c r="U393" s="601"/>
      <c r="V393" s="601"/>
      <c r="W393" s="601"/>
      <c r="X393" s="601"/>
      <c r="Y393" s="601"/>
    </row>
    <row r="394" ht="25.5" spans="1:25">
      <c r="A394" s="569" t="s">
        <v>1094</v>
      </c>
      <c r="B394" s="569" t="s">
        <v>1095</v>
      </c>
      <c r="C394" s="569" t="s">
        <v>132</v>
      </c>
      <c r="D394" s="569" t="s">
        <v>1096</v>
      </c>
      <c r="E394" s="577" t="s">
        <v>334</v>
      </c>
      <c r="F394" s="570">
        <v>4</v>
      </c>
      <c r="G394" s="579">
        <v>51.96</v>
      </c>
      <c r="H394" s="600">
        <v>65.2</v>
      </c>
      <c r="I394" s="600">
        <v>260.8</v>
      </c>
      <c r="J394" s="612">
        <v>1.0604928373712e-5</v>
      </c>
      <c r="K394" s="613">
        <f t="shared" si="21"/>
        <v>0</v>
      </c>
      <c r="L394" s="610">
        <f t="shared" si="20"/>
        <v>260.8</v>
      </c>
      <c r="M394" s="601"/>
      <c r="N394" s="601"/>
      <c r="O394" s="601"/>
      <c r="P394" s="601"/>
      <c r="Q394" s="601"/>
      <c r="R394" s="601"/>
      <c r="S394" s="601"/>
      <c r="T394" s="601"/>
      <c r="U394" s="601"/>
      <c r="V394" s="601"/>
      <c r="W394" s="601"/>
      <c r="X394" s="601"/>
      <c r="Y394" s="601"/>
    </row>
    <row r="395" ht="38.25" spans="1:25">
      <c r="A395" s="569" t="s">
        <v>1097</v>
      </c>
      <c r="B395" s="569" t="s">
        <v>1098</v>
      </c>
      <c r="C395" s="569" t="s">
        <v>139</v>
      </c>
      <c r="D395" s="569" t="s">
        <v>1099</v>
      </c>
      <c r="E395" s="577" t="s">
        <v>134</v>
      </c>
      <c r="F395" s="570">
        <v>6</v>
      </c>
      <c r="G395" s="579">
        <v>32.61</v>
      </c>
      <c r="H395" s="600">
        <v>40.92</v>
      </c>
      <c r="I395" s="600">
        <v>245.52</v>
      </c>
      <c r="J395" s="612">
        <v>9.98359668065091e-6</v>
      </c>
      <c r="K395" s="613">
        <f t="shared" si="21"/>
        <v>0</v>
      </c>
      <c r="L395" s="610">
        <f t="shared" si="20"/>
        <v>245.52</v>
      </c>
      <c r="M395" s="601"/>
      <c r="N395" s="601"/>
      <c r="O395" s="601"/>
      <c r="P395" s="601"/>
      <c r="Q395" s="601"/>
      <c r="R395" s="601"/>
      <c r="S395" s="601"/>
      <c r="T395" s="601"/>
      <c r="U395" s="601"/>
      <c r="V395" s="601"/>
      <c r="W395" s="601"/>
      <c r="X395" s="601"/>
      <c r="Y395" s="601"/>
    </row>
    <row r="396" ht="38.25" spans="1:25">
      <c r="A396" s="569" t="s">
        <v>1100</v>
      </c>
      <c r="B396" s="569" t="s">
        <v>1101</v>
      </c>
      <c r="C396" s="569" t="s">
        <v>139</v>
      </c>
      <c r="D396" s="569" t="s">
        <v>1102</v>
      </c>
      <c r="E396" s="577" t="s">
        <v>134</v>
      </c>
      <c r="F396" s="570">
        <v>42</v>
      </c>
      <c r="G396" s="579">
        <v>37.88</v>
      </c>
      <c r="H396" s="600">
        <v>47.53</v>
      </c>
      <c r="I396" s="600">
        <v>1996.26</v>
      </c>
      <c r="J396" s="612">
        <v>8.11740579574625e-5</v>
      </c>
      <c r="K396" s="613">
        <f t="shared" si="21"/>
        <v>0</v>
      </c>
      <c r="L396" s="610">
        <f t="shared" si="20"/>
        <v>1996.26</v>
      </c>
      <c r="M396" s="601"/>
      <c r="N396" s="601"/>
      <c r="O396" s="601"/>
      <c r="P396" s="601"/>
      <c r="Q396" s="601"/>
      <c r="R396" s="601"/>
      <c r="S396" s="601"/>
      <c r="T396" s="601"/>
      <c r="U396" s="601"/>
      <c r="V396" s="601"/>
      <c r="W396" s="601"/>
      <c r="X396" s="601"/>
      <c r="Y396" s="601"/>
    </row>
    <row r="397" ht="38.25" spans="1:25">
      <c r="A397" s="569" t="s">
        <v>1103</v>
      </c>
      <c r="B397" s="569" t="s">
        <v>1104</v>
      </c>
      <c r="C397" s="569" t="s">
        <v>139</v>
      </c>
      <c r="D397" s="569" t="s">
        <v>1105</v>
      </c>
      <c r="E397" s="577" t="s">
        <v>134</v>
      </c>
      <c r="F397" s="570">
        <v>74</v>
      </c>
      <c r="G397" s="579">
        <v>33.25</v>
      </c>
      <c r="H397" s="600">
        <v>41.72</v>
      </c>
      <c r="I397" s="600">
        <v>3087.28</v>
      </c>
      <c r="J397" s="612">
        <v>0.00012553827940795</v>
      </c>
      <c r="K397" s="613">
        <f t="shared" si="21"/>
        <v>0</v>
      </c>
      <c r="L397" s="610">
        <f t="shared" si="20"/>
        <v>3087.28</v>
      </c>
      <c r="M397" s="601"/>
      <c r="N397" s="601"/>
      <c r="O397" s="601"/>
      <c r="P397" s="601"/>
      <c r="Q397" s="601"/>
      <c r="R397" s="601"/>
      <c r="S397" s="601"/>
      <c r="T397" s="601"/>
      <c r="U397" s="601"/>
      <c r="V397" s="601"/>
      <c r="W397" s="601"/>
      <c r="X397" s="601"/>
      <c r="Y397" s="601"/>
    </row>
    <row r="398" ht="38.25" spans="1:25">
      <c r="A398" s="569" t="s">
        <v>1106</v>
      </c>
      <c r="B398" s="569" t="s">
        <v>1107</v>
      </c>
      <c r="C398" s="569" t="s">
        <v>139</v>
      </c>
      <c r="D398" s="569" t="s">
        <v>1108</v>
      </c>
      <c r="E398" s="577" t="s">
        <v>134</v>
      </c>
      <c r="F398" s="570">
        <v>4</v>
      </c>
      <c r="G398" s="579">
        <v>44.86</v>
      </c>
      <c r="H398" s="600">
        <v>56.29</v>
      </c>
      <c r="I398" s="600">
        <v>225.16</v>
      </c>
      <c r="J398" s="612">
        <v>9.15569659748843e-6</v>
      </c>
      <c r="K398" s="613">
        <f t="shared" si="21"/>
        <v>0</v>
      </c>
      <c r="L398" s="610">
        <f t="shared" si="20"/>
        <v>225.16</v>
      </c>
      <c r="M398" s="601"/>
      <c r="N398" s="601"/>
      <c r="O398" s="601"/>
      <c r="P398" s="601"/>
      <c r="Q398" s="601"/>
      <c r="R398" s="601"/>
      <c r="S398" s="601"/>
      <c r="T398" s="601"/>
      <c r="U398" s="601"/>
      <c r="V398" s="601"/>
      <c r="W398" s="601"/>
      <c r="X398" s="601"/>
      <c r="Y398" s="601"/>
    </row>
    <row r="399" ht="15" spans="1:25">
      <c r="A399" s="569" t="s">
        <v>1109</v>
      </c>
      <c r="B399" s="569" t="s">
        <v>1110</v>
      </c>
      <c r="C399" s="569" t="s">
        <v>149</v>
      </c>
      <c r="D399" s="569" t="s">
        <v>1111</v>
      </c>
      <c r="E399" s="577" t="s">
        <v>134</v>
      </c>
      <c r="F399" s="570">
        <v>6</v>
      </c>
      <c r="G399" s="579">
        <v>88.36</v>
      </c>
      <c r="H399" s="600">
        <v>110.88</v>
      </c>
      <c r="I399" s="600">
        <v>665.28</v>
      </c>
      <c r="J399" s="612">
        <v>2.70523264895057e-5</v>
      </c>
      <c r="K399" s="613">
        <f t="shared" si="21"/>
        <v>0</v>
      </c>
      <c r="L399" s="610">
        <f t="shared" si="20"/>
        <v>665.28</v>
      </c>
      <c r="M399" s="601"/>
      <c r="N399" s="601"/>
      <c r="O399" s="601"/>
      <c r="P399" s="601"/>
      <c r="Q399" s="601"/>
      <c r="R399" s="601"/>
      <c r="S399" s="601"/>
      <c r="T399" s="601"/>
      <c r="U399" s="601"/>
      <c r="V399" s="601"/>
      <c r="W399" s="601"/>
      <c r="X399" s="601"/>
      <c r="Y399" s="601"/>
    </row>
    <row r="400" ht="15" spans="1:25">
      <c r="A400" s="569" t="s">
        <v>1112</v>
      </c>
      <c r="B400" s="569" t="s">
        <v>1113</v>
      </c>
      <c r="C400" s="569" t="s">
        <v>149</v>
      </c>
      <c r="D400" s="569" t="s">
        <v>1114</v>
      </c>
      <c r="E400" s="577" t="s">
        <v>134</v>
      </c>
      <c r="F400" s="570">
        <v>2</v>
      </c>
      <c r="G400" s="579">
        <v>328.13</v>
      </c>
      <c r="H400" s="600">
        <v>411.77</v>
      </c>
      <c r="I400" s="600">
        <v>823.54</v>
      </c>
      <c r="J400" s="612">
        <v>3.34876637764062e-5</v>
      </c>
      <c r="K400" s="613">
        <f t="shared" si="21"/>
        <v>0</v>
      </c>
      <c r="L400" s="610">
        <f t="shared" si="20"/>
        <v>823.54</v>
      </c>
      <c r="M400" s="601"/>
      <c r="N400" s="601"/>
      <c r="O400" s="601"/>
      <c r="P400" s="601"/>
      <c r="Q400" s="601"/>
      <c r="R400" s="601"/>
      <c r="S400" s="601"/>
      <c r="T400" s="601"/>
      <c r="U400" s="601"/>
      <c r="V400" s="601"/>
      <c r="W400" s="601"/>
      <c r="X400" s="601"/>
      <c r="Y400" s="601"/>
    </row>
    <row r="401" ht="25.5" spans="1:25">
      <c r="A401" s="569" t="s">
        <v>1115</v>
      </c>
      <c r="B401" s="569" t="s">
        <v>1116</v>
      </c>
      <c r="C401" s="569" t="s">
        <v>139</v>
      </c>
      <c r="D401" s="569" t="s">
        <v>1117</v>
      </c>
      <c r="E401" s="577" t="s">
        <v>134</v>
      </c>
      <c r="F401" s="570">
        <v>171</v>
      </c>
      <c r="G401" s="579">
        <v>36.35</v>
      </c>
      <c r="H401" s="600">
        <v>45.61</v>
      </c>
      <c r="I401" s="600">
        <v>7799.31</v>
      </c>
      <c r="J401" s="612">
        <v>0.000317143880039783</v>
      </c>
      <c r="K401" s="613">
        <f t="shared" si="21"/>
        <v>0</v>
      </c>
      <c r="L401" s="610">
        <f t="shared" si="20"/>
        <v>7799.31</v>
      </c>
      <c r="M401" s="601"/>
      <c r="N401" s="601"/>
      <c r="O401" s="601"/>
      <c r="P401" s="601"/>
      <c r="Q401" s="601"/>
      <c r="R401" s="601"/>
      <c r="S401" s="601"/>
      <c r="T401" s="601"/>
      <c r="U401" s="601"/>
      <c r="V401" s="601"/>
      <c r="W401" s="601"/>
      <c r="X401" s="601"/>
      <c r="Y401" s="601"/>
    </row>
    <row r="402" ht="25.5" spans="1:25">
      <c r="A402" s="569" t="s">
        <v>1118</v>
      </c>
      <c r="B402" s="569" t="s">
        <v>1119</v>
      </c>
      <c r="C402" s="569" t="s">
        <v>132</v>
      </c>
      <c r="D402" s="569" t="s">
        <v>1120</v>
      </c>
      <c r="E402" s="577" t="s">
        <v>134</v>
      </c>
      <c r="F402" s="570">
        <v>759</v>
      </c>
      <c r="G402" s="579">
        <v>11.38</v>
      </c>
      <c r="H402" s="600">
        <v>14.28</v>
      </c>
      <c r="I402" s="600">
        <v>10838.52</v>
      </c>
      <c r="J402" s="612">
        <v>0.000440727485724864</v>
      </c>
      <c r="K402" s="613">
        <f t="shared" si="21"/>
        <v>0</v>
      </c>
      <c r="L402" s="610">
        <f t="shared" si="20"/>
        <v>10838.52</v>
      </c>
      <c r="M402" s="601"/>
      <c r="N402" s="601"/>
      <c r="O402" s="601"/>
      <c r="P402" s="601"/>
      <c r="Q402" s="601"/>
      <c r="R402" s="601"/>
      <c r="S402" s="601"/>
      <c r="T402" s="601"/>
      <c r="U402" s="601"/>
      <c r="V402" s="601"/>
      <c r="W402" s="601"/>
      <c r="X402" s="601"/>
      <c r="Y402" s="601"/>
    </row>
    <row r="403" ht="25.5" spans="1:25">
      <c r="A403" s="569" t="s">
        <v>1121</v>
      </c>
      <c r="B403" s="569" t="s">
        <v>1122</v>
      </c>
      <c r="C403" s="569" t="s">
        <v>132</v>
      </c>
      <c r="D403" s="569" t="s">
        <v>1123</v>
      </c>
      <c r="E403" s="577" t="s">
        <v>134</v>
      </c>
      <c r="F403" s="570">
        <v>68</v>
      </c>
      <c r="G403" s="579">
        <v>11.59</v>
      </c>
      <c r="H403" s="600">
        <v>14.54</v>
      </c>
      <c r="I403" s="600">
        <v>988.72</v>
      </c>
      <c r="J403" s="612">
        <v>4.02043895002166e-5</v>
      </c>
      <c r="K403" s="613">
        <f t="shared" si="21"/>
        <v>0</v>
      </c>
      <c r="L403" s="610">
        <f t="shared" si="20"/>
        <v>988.72</v>
      </c>
      <c r="M403" s="601"/>
      <c r="N403" s="601"/>
      <c r="O403" s="601"/>
      <c r="P403" s="601"/>
      <c r="Q403" s="601"/>
      <c r="R403" s="601"/>
      <c r="S403" s="601"/>
      <c r="T403" s="601"/>
      <c r="U403" s="601"/>
      <c r="V403" s="601"/>
      <c r="W403" s="601"/>
      <c r="X403" s="601"/>
      <c r="Y403" s="601"/>
    </row>
    <row r="404" ht="25.5" spans="1:25">
      <c r="A404" s="569" t="s">
        <v>1124</v>
      </c>
      <c r="B404" s="569" t="s">
        <v>1125</v>
      </c>
      <c r="C404" s="569" t="s">
        <v>132</v>
      </c>
      <c r="D404" s="569" t="s">
        <v>1126</v>
      </c>
      <c r="E404" s="577" t="s">
        <v>134</v>
      </c>
      <c r="F404" s="570">
        <v>29</v>
      </c>
      <c r="G404" s="579">
        <v>13.99</v>
      </c>
      <c r="H404" s="600">
        <v>17.55</v>
      </c>
      <c r="I404" s="600">
        <v>508.95</v>
      </c>
      <c r="J404" s="612">
        <v>2.06954689256162e-5</v>
      </c>
      <c r="K404" s="613">
        <f t="shared" si="21"/>
        <v>0</v>
      </c>
      <c r="L404" s="610">
        <f t="shared" si="20"/>
        <v>508.95</v>
      </c>
      <c r="M404" s="601"/>
      <c r="N404" s="601"/>
      <c r="O404" s="601"/>
      <c r="P404" s="601"/>
      <c r="Q404" s="601"/>
      <c r="R404" s="601"/>
      <c r="S404" s="601"/>
      <c r="T404" s="601"/>
      <c r="U404" s="601"/>
      <c r="V404" s="601"/>
      <c r="W404" s="601"/>
      <c r="X404" s="601"/>
      <c r="Y404" s="601"/>
    </row>
    <row r="405" ht="25.5" spans="1:25">
      <c r="A405" s="569" t="s">
        <v>1127</v>
      </c>
      <c r="B405" s="569" t="s">
        <v>1128</v>
      </c>
      <c r="C405" s="569" t="s">
        <v>132</v>
      </c>
      <c r="D405" s="569" t="s">
        <v>1129</v>
      </c>
      <c r="E405" s="577" t="s">
        <v>134</v>
      </c>
      <c r="F405" s="570">
        <v>12</v>
      </c>
      <c r="G405" s="579">
        <v>14.27</v>
      </c>
      <c r="H405" s="600">
        <v>17.9</v>
      </c>
      <c r="I405" s="600">
        <v>214.8</v>
      </c>
      <c r="J405" s="612">
        <v>8.73442720350202e-6</v>
      </c>
      <c r="K405" s="613">
        <f t="shared" si="21"/>
        <v>0</v>
      </c>
      <c r="L405" s="610">
        <f t="shared" si="20"/>
        <v>214.8</v>
      </c>
      <c r="M405" s="601"/>
      <c r="N405" s="601"/>
      <c r="O405" s="601"/>
      <c r="P405" s="601"/>
      <c r="Q405" s="601"/>
      <c r="R405" s="601"/>
      <c r="S405" s="601"/>
      <c r="T405" s="601"/>
      <c r="U405" s="601"/>
      <c r="V405" s="601"/>
      <c r="W405" s="601"/>
      <c r="X405" s="601"/>
      <c r="Y405" s="601"/>
    </row>
    <row r="406" ht="25.5" spans="1:25">
      <c r="A406" s="569" t="s">
        <v>1130</v>
      </c>
      <c r="B406" s="569" t="s">
        <v>1131</v>
      </c>
      <c r="C406" s="569" t="s">
        <v>132</v>
      </c>
      <c r="D406" s="569" t="s">
        <v>1132</v>
      </c>
      <c r="E406" s="577" t="s">
        <v>134</v>
      </c>
      <c r="F406" s="570">
        <v>2</v>
      </c>
      <c r="G406" s="579">
        <v>21.47</v>
      </c>
      <c r="H406" s="600">
        <v>26.94</v>
      </c>
      <c r="I406" s="600">
        <v>53.88</v>
      </c>
      <c r="J406" s="612">
        <v>2.19092615328067e-6</v>
      </c>
      <c r="K406" s="613">
        <f t="shared" si="21"/>
        <v>0</v>
      </c>
      <c r="L406" s="610">
        <f t="shared" si="20"/>
        <v>53.88</v>
      </c>
      <c r="M406" s="601"/>
      <c r="N406" s="601"/>
      <c r="O406" s="601"/>
      <c r="P406" s="601"/>
      <c r="Q406" s="601"/>
      <c r="R406" s="601"/>
      <c r="S406" s="601"/>
      <c r="T406" s="601"/>
      <c r="U406" s="601"/>
      <c r="V406" s="601"/>
      <c r="W406" s="601"/>
      <c r="X406" s="601"/>
      <c r="Y406" s="601"/>
    </row>
    <row r="407" ht="25.5" spans="1:25">
      <c r="A407" s="569" t="s">
        <v>1133</v>
      </c>
      <c r="B407" s="569" t="s">
        <v>859</v>
      </c>
      <c r="C407" s="569" t="s">
        <v>132</v>
      </c>
      <c r="D407" s="569" t="s">
        <v>860</v>
      </c>
      <c r="E407" s="577" t="s">
        <v>134</v>
      </c>
      <c r="F407" s="570">
        <v>1041</v>
      </c>
      <c r="G407" s="579">
        <v>25.31</v>
      </c>
      <c r="H407" s="600">
        <v>31.76</v>
      </c>
      <c r="I407" s="600">
        <v>33062.16</v>
      </c>
      <c r="J407" s="612">
        <v>0.00134440889064496</v>
      </c>
      <c r="K407" s="613">
        <f t="shared" si="21"/>
        <v>0</v>
      </c>
      <c r="L407" s="610">
        <f t="shared" si="20"/>
        <v>33062.16</v>
      </c>
      <c r="M407" s="601"/>
      <c r="N407" s="601"/>
      <c r="O407" s="601"/>
      <c r="P407" s="601"/>
      <c r="Q407" s="601"/>
      <c r="R407" s="601"/>
      <c r="S407" s="601"/>
      <c r="T407" s="601"/>
      <c r="U407" s="601"/>
      <c r="V407" s="601"/>
      <c r="W407" s="601"/>
      <c r="X407" s="601"/>
      <c r="Y407" s="601"/>
    </row>
    <row r="408" ht="15" spans="1:25">
      <c r="A408" s="104" t="s">
        <v>1134</v>
      </c>
      <c r="B408" s="104" t="s">
        <v>862</v>
      </c>
      <c r="C408" s="104" t="s">
        <v>796</v>
      </c>
      <c r="D408" s="104" t="s">
        <v>863</v>
      </c>
      <c r="E408" s="105" t="s">
        <v>334</v>
      </c>
      <c r="F408" s="103">
        <v>4164</v>
      </c>
      <c r="G408" s="106">
        <v>0.06</v>
      </c>
      <c r="H408" s="126">
        <v>0.07</v>
      </c>
      <c r="I408" s="126">
        <v>291.48</v>
      </c>
      <c r="J408" s="614">
        <v>1.18524713281041e-5</v>
      </c>
      <c r="K408" s="613">
        <f t="shared" si="21"/>
        <v>0</v>
      </c>
      <c r="L408" s="610">
        <f t="shared" si="20"/>
        <v>291.48</v>
      </c>
      <c r="M408" s="601"/>
      <c r="N408" s="601"/>
      <c r="O408" s="601"/>
      <c r="P408" s="601"/>
      <c r="Q408" s="601"/>
      <c r="R408" s="601"/>
      <c r="S408" s="601"/>
      <c r="T408" s="601"/>
      <c r="U408" s="601"/>
      <c r="V408" s="601"/>
      <c r="W408" s="601"/>
      <c r="X408" s="601"/>
      <c r="Y408" s="601"/>
    </row>
    <row r="409" ht="25.5" spans="1:25">
      <c r="A409" s="569" t="s">
        <v>1135</v>
      </c>
      <c r="B409" s="569" t="s">
        <v>865</v>
      </c>
      <c r="C409" s="569" t="s">
        <v>132</v>
      </c>
      <c r="D409" s="569" t="s">
        <v>866</v>
      </c>
      <c r="E409" s="577" t="s">
        <v>134</v>
      </c>
      <c r="F409" s="570">
        <v>2082</v>
      </c>
      <c r="G409" s="579">
        <v>0.12</v>
      </c>
      <c r="H409" s="600">
        <v>0.15</v>
      </c>
      <c r="I409" s="600">
        <v>312.3</v>
      </c>
      <c r="J409" s="612">
        <v>1.26990764229687e-5</v>
      </c>
      <c r="K409" s="613">
        <f t="shared" si="21"/>
        <v>0</v>
      </c>
      <c r="L409" s="610">
        <f t="shared" si="20"/>
        <v>312.3</v>
      </c>
      <c r="M409" s="601"/>
      <c r="N409" s="601"/>
      <c r="O409" s="601"/>
      <c r="P409" s="601"/>
      <c r="Q409" s="601"/>
      <c r="R409" s="601"/>
      <c r="S409" s="601"/>
      <c r="T409" s="601"/>
      <c r="U409" s="601"/>
      <c r="V409" s="601"/>
      <c r="W409" s="601"/>
      <c r="X409" s="601"/>
      <c r="Y409" s="601"/>
    </row>
    <row r="410" ht="25.5" spans="1:25">
      <c r="A410" s="569" t="s">
        <v>1136</v>
      </c>
      <c r="B410" s="569" t="s">
        <v>1137</v>
      </c>
      <c r="C410" s="569" t="s">
        <v>132</v>
      </c>
      <c r="D410" s="569" t="s">
        <v>1138</v>
      </c>
      <c r="E410" s="577" t="s">
        <v>134</v>
      </c>
      <c r="F410" s="570">
        <v>421</v>
      </c>
      <c r="G410" s="579">
        <v>55.5</v>
      </c>
      <c r="H410" s="600">
        <v>69.64</v>
      </c>
      <c r="I410" s="600">
        <v>29318.44</v>
      </c>
      <c r="J410" s="612">
        <v>0.00119217774627673</v>
      </c>
      <c r="K410" s="613">
        <f t="shared" si="21"/>
        <v>0</v>
      </c>
      <c r="L410" s="610">
        <f t="shared" si="20"/>
        <v>29318.44</v>
      </c>
      <c r="M410" s="601"/>
      <c r="N410" s="601"/>
      <c r="O410" s="601"/>
      <c r="P410" s="601"/>
      <c r="Q410" s="601"/>
      <c r="R410" s="601"/>
      <c r="S410" s="601"/>
      <c r="T410" s="601"/>
      <c r="U410" s="601"/>
      <c r="V410" s="601"/>
      <c r="W410" s="601"/>
      <c r="X410" s="601"/>
      <c r="Y410" s="601"/>
    </row>
    <row r="411" ht="15" spans="1:25">
      <c r="A411" s="569" t="s">
        <v>1139</v>
      </c>
      <c r="B411" s="569" t="s">
        <v>1140</v>
      </c>
      <c r="C411" s="569" t="s">
        <v>149</v>
      </c>
      <c r="D411" s="569" t="s">
        <v>1141</v>
      </c>
      <c r="E411" s="577" t="s">
        <v>134</v>
      </c>
      <c r="F411" s="570">
        <v>1493</v>
      </c>
      <c r="G411" s="579">
        <v>18.85</v>
      </c>
      <c r="H411" s="600">
        <v>23.65</v>
      </c>
      <c r="I411" s="600">
        <v>35309.45</v>
      </c>
      <c r="J411" s="612">
        <v>0.0014357905987928</v>
      </c>
      <c r="K411" s="613">
        <f t="shared" si="21"/>
        <v>0</v>
      </c>
      <c r="L411" s="610">
        <f t="shared" si="20"/>
        <v>35309.45</v>
      </c>
      <c r="M411" s="601"/>
      <c r="N411" s="601"/>
      <c r="O411" s="601"/>
      <c r="P411" s="601"/>
      <c r="Q411" s="601"/>
      <c r="R411" s="601"/>
      <c r="S411" s="601"/>
      <c r="T411" s="601"/>
      <c r="U411" s="601"/>
      <c r="V411" s="601"/>
      <c r="W411" s="601"/>
      <c r="X411" s="601"/>
      <c r="Y411" s="601"/>
    </row>
    <row r="412" ht="15" spans="1:25">
      <c r="A412" s="596" t="s">
        <v>1142</v>
      </c>
      <c r="B412" s="596" t="s">
        <v>74</v>
      </c>
      <c r="C412" s="596"/>
      <c r="D412" s="596" t="s">
        <v>1143</v>
      </c>
      <c r="E412" s="597"/>
      <c r="F412" s="598">
        <v>1</v>
      </c>
      <c r="G412" s="598"/>
      <c r="H412" s="599">
        <v>208884.53</v>
      </c>
      <c r="I412" s="599">
        <v>208884.53</v>
      </c>
      <c r="J412" s="608">
        <v>0.00849388603921198</v>
      </c>
      <c r="K412" s="613">
        <f t="shared" si="21"/>
        <v>0</v>
      </c>
      <c r="L412" s="610">
        <f>SUM(L413:L421)</f>
        <v>208884.53</v>
      </c>
      <c r="M412" s="601"/>
      <c r="N412" s="601"/>
      <c r="O412" s="601"/>
      <c r="P412" s="601"/>
      <c r="Q412" s="601"/>
      <c r="R412" s="601"/>
      <c r="S412" s="601"/>
      <c r="T412" s="601"/>
      <c r="U412" s="601"/>
      <c r="V412" s="601"/>
      <c r="W412" s="601"/>
      <c r="X412" s="601"/>
      <c r="Y412" s="601"/>
    </row>
    <row r="413" ht="51" spans="1:25">
      <c r="A413" s="569" t="s">
        <v>1144</v>
      </c>
      <c r="B413" s="569" t="s">
        <v>1145</v>
      </c>
      <c r="C413" s="569" t="s">
        <v>139</v>
      </c>
      <c r="D413" s="569" t="s">
        <v>1146</v>
      </c>
      <c r="E413" s="577" t="s">
        <v>279</v>
      </c>
      <c r="F413" s="570">
        <v>349.05</v>
      </c>
      <c r="G413" s="579">
        <v>14.89</v>
      </c>
      <c r="H413" s="600">
        <v>18.68</v>
      </c>
      <c r="I413" s="600">
        <v>6520.25</v>
      </c>
      <c r="J413" s="612">
        <v>0.000265133375110028</v>
      </c>
      <c r="K413" s="613">
        <f t="shared" si="21"/>
        <v>0</v>
      </c>
      <c r="L413" s="610">
        <f t="shared" ref="L413:L421" si="22">I413-(I413*K413)</f>
        <v>6520.25</v>
      </c>
      <c r="M413" s="601"/>
      <c r="N413" s="601"/>
      <c r="O413" s="601"/>
      <c r="P413" s="601"/>
      <c r="Q413" s="601"/>
      <c r="R413" s="601"/>
      <c r="S413" s="601"/>
      <c r="T413" s="601"/>
      <c r="U413" s="601"/>
      <c r="V413" s="601"/>
      <c r="W413" s="601"/>
      <c r="X413" s="601"/>
      <c r="Y413" s="601"/>
    </row>
    <row r="414" ht="51" spans="1:25">
      <c r="A414" s="569" t="s">
        <v>1147</v>
      </c>
      <c r="B414" s="569" t="s">
        <v>1148</v>
      </c>
      <c r="C414" s="569" t="s">
        <v>139</v>
      </c>
      <c r="D414" s="569" t="s">
        <v>1149</v>
      </c>
      <c r="E414" s="577" t="s">
        <v>279</v>
      </c>
      <c r="F414" s="570">
        <v>698.1</v>
      </c>
      <c r="G414" s="579">
        <v>16</v>
      </c>
      <c r="H414" s="600">
        <v>20.07</v>
      </c>
      <c r="I414" s="600">
        <v>14010.86</v>
      </c>
      <c r="J414" s="612">
        <v>0.000569724565774946</v>
      </c>
      <c r="K414" s="613">
        <f t="shared" si="21"/>
        <v>0</v>
      </c>
      <c r="L414" s="610">
        <f t="shared" si="22"/>
        <v>14010.86</v>
      </c>
      <c r="M414" s="601"/>
      <c r="N414" s="601"/>
      <c r="O414" s="601"/>
      <c r="P414" s="601"/>
      <c r="Q414" s="601"/>
      <c r="R414" s="601"/>
      <c r="S414" s="601"/>
      <c r="T414" s="601"/>
      <c r="U414" s="601"/>
      <c r="V414" s="601"/>
      <c r="W414" s="601"/>
      <c r="X414" s="601"/>
      <c r="Y414" s="601"/>
    </row>
    <row r="415" ht="38.25" spans="1:25">
      <c r="A415" s="569" t="s">
        <v>1150</v>
      </c>
      <c r="B415" s="569" t="s">
        <v>1151</v>
      </c>
      <c r="C415" s="569" t="s">
        <v>139</v>
      </c>
      <c r="D415" s="569" t="s">
        <v>1152</v>
      </c>
      <c r="E415" s="577" t="s">
        <v>204</v>
      </c>
      <c r="F415" s="570">
        <v>338</v>
      </c>
      <c r="G415" s="579">
        <v>28.07</v>
      </c>
      <c r="H415" s="600">
        <v>35.22</v>
      </c>
      <c r="I415" s="600">
        <v>11904.36</v>
      </c>
      <c r="J415" s="612">
        <v>0.000484067811100006</v>
      </c>
      <c r="K415" s="613">
        <f t="shared" si="21"/>
        <v>0</v>
      </c>
      <c r="L415" s="610">
        <f t="shared" si="22"/>
        <v>11904.36</v>
      </c>
      <c r="M415" s="601"/>
      <c r="N415" s="601"/>
      <c r="O415" s="601"/>
      <c r="P415" s="601"/>
      <c r="Q415" s="601"/>
      <c r="R415" s="601"/>
      <c r="S415" s="601"/>
      <c r="T415" s="601"/>
      <c r="U415" s="601"/>
      <c r="V415" s="601"/>
      <c r="W415" s="601"/>
      <c r="X415" s="601"/>
      <c r="Y415" s="601"/>
    </row>
    <row r="416" ht="76.5" spans="1:25">
      <c r="A416" s="569" t="s">
        <v>1153</v>
      </c>
      <c r="B416" s="569" t="s">
        <v>1154</v>
      </c>
      <c r="C416" s="569" t="s">
        <v>77</v>
      </c>
      <c r="D416" s="569" t="s">
        <v>1155</v>
      </c>
      <c r="E416" s="577" t="s">
        <v>204</v>
      </c>
      <c r="F416" s="570">
        <v>780</v>
      </c>
      <c r="G416" s="579">
        <v>36.49</v>
      </c>
      <c r="H416" s="600">
        <v>45.79</v>
      </c>
      <c r="I416" s="600">
        <v>35716.2</v>
      </c>
      <c r="J416" s="612">
        <v>0.00145233030207504</v>
      </c>
      <c r="K416" s="613">
        <f t="shared" si="21"/>
        <v>0</v>
      </c>
      <c r="L416" s="610">
        <f t="shared" si="22"/>
        <v>35716.2</v>
      </c>
      <c r="M416" s="601"/>
      <c r="N416" s="601"/>
      <c r="O416" s="601"/>
      <c r="P416" s="601"/>
      <c r="Q416" s="601"/>
      <c r="R416" s="601"/>
      <c r="S416" s="601"/>
      <c r="T416" s="601"/>
      <c r="U416" s="601"/>
      <c r="V416" s="601"/>
      <c r="W416" s="601"/>
      <c r="X416" s="601"/>
      <c r="Y416" s="601"/>
    </row>
    <row r="417" ht="25.5" spans="1:25">
      <c r="A417" s="569" t="s">
        <v>1156</v>
      </c>
      <c r="B417" s="569" t="s">
        <v>1157</v>
      </c>
      <c r="C417" s="569" t="s">
        <v>132</v>
      </c>
      <c r="D417" s="569" t="s">
        <v>1158</v>
      </c>
      <c r="E417" s="577" t="s">
        <v>204</v>
      </c>
      <c r="F417" s="570">
        <v>169</v>
      </c>
      <c r="G417" s="579">
        <v>158.93</v>
      </c>
      <c r="H417" s="600">
        <v>199.44</v>
      </c>
      <c r="I417" s="600">
        <v>33705.36</v>
      </c>
      <c r="J417" s="612">
        <v>0.00137056337657276</v>
      </c>
      <c r="K417" s="613">
        <f t="shared" si="21"/>
        <v>0</v>
      </c>
      <c r="L417" s="610">
        <f t="shared" si="22"/>
        <v>33705.36</v>
      </c>
      <c r="M417" s="601"/>
      <c r="N417" s="601"/>
      <c r="O417" s="601"/>
      <c r="P417" s="601"/>
      <c r="Q417" s="601"/>
      <c r="R417" s="601"/>
      <c r="S417" s="601"/>
      <c r="T417" s="601"/>
      <c r="U417" s="601"/>
      <c r="V417" s="601"/>
      <c r="W417" s="601"/>
      <c r="X417" s="601"/>
      <c r="Y417" s="601"/>
    </row>
    <row r="418" ht="25.5" spans="1:25">
      <c r="A418" s="569" t="s">
        <v>1159</v>
      </c>
      <c r="B418" s="569" t="s">
        <v>1160</v>
      </c>
      <c r="C418" s="569" t="s">
        <v>132</v>
      </c>
      <c r="D418" s="569" t="s">
        <v>1161</v>
      </c>
      <c r="E418" s="577" t="s">
        <v>204</v>
      </c>
      <c r="F418" s="570">
        <v>65</v>
      </c>
      <c r="G418" s="579">
        <v>915.2</v>
      </c>
      <c r="H418" s="600">
        <v>1148.48</v>
      </c>
      <c r="I418" s="600">
        <v>74651.2</v>
      </c>
      <c r="J418" s="612">
        <v>0.00303554689038208</v>
      </c>
      <c r="K418" s="613">
        <f t="shared" si="21"/>
        <v>0</v>
      </c>
      <c r="L418" s="610">
        <f t="shared" si="22"/>
        <v>74651.2</v>
      </c>
      <c r="M418" s="601"/>
      <c r="N418" s="601"/>
      <c r="O418" s="601"/>
      <c r="P418" s="601"/>
      <c r="Q418" s="601"/>
      <c r="R418" s="601"/>
      <c r="S418" s="601"/>
      <c r="T418" s="601"/>
      <c r="U418" s="601"/>
      <c r="V418" s="601"/>
      <c r="W418" s="601"/>
      <c r="X418" s="601"/>
      <c r="Y418" s="601"/>
    </row>
    <row r="419" ht="51" spans="1:25">
      <c r="A419" s="569" t="s">
        <v>1162</v>
      </c>
      <c r="B419" s="569" t="s">
        <v>1163</v>
      </c>
      <c r="C419" s="569" t="s">
        <v>132</v>
      </c>
      <c r="D419" s="569" t="s">
        <v>1164</v>
      </c>
      <c r="E419" s="577" t="s">
        <v>134</v>
      </c>
      <c r="F419" s="570">
        <v>3</v>
      </c>
      <c r="G419" s="579">
        <v>970.61</v>
      </c>
      <c r="H419" s="600">
        <v>1218.01</v>
      </c>
      <c r="I419" s="600">
        <v>3654.03</v>
      </c>
      <c r="J419" s="612">
        <v>0.000148584073717004</v>
      </c>
      <c r="K419" s="613">
        <f t="shared" si="21"/>
        <v>0</v>
      </c>
      <c r="L419" s="610">
        <f t="shared" si="22"/>
        <v>3654.03</v>
      </c>
      <c r="M419" s="601"/>
      <c r="N419" s="601"/>
      <c r="O419" s="601"/>
      <c r="P419" s="601"/>
      <c r="Q419" s="601"/>
      <c r="R419" s="601"/>
      <c r="S419" s="601"/>
      <c r="T419" s="601"/>
      <c r="U419" s="601"/>
      <c r="V419" s="601"/>
      <c r="W419" s="601"/>
      <c r="X419" s="601"/>
      <c r="Y419" s="601"/>
    </row>
    <row r="420" ht="25.5" spans="1:25">
      <c r="A420" s="569" t="s">
        <v>1165</v>
      </c>
      <c r="B420" s="569" t="s">
        <v>1166</v>
      </c>
      <c r="C420" s="569" t="s">
        <v>132</v>
      </c>
      <c r="D420" s="569" t="s">
        <v>1167</v>
      </c>
      <c r="E420" s="577" t="s">
        <v>334</v>
      </c>
      <c r="F420" s="570">
        <v>5</v>
      </c>
      <c r="G420" s="579">
        <v>2240.33</v>
      </c>
      <c r="H420" s="600">
        <v>2811.39</v>
      </c>
      <c r="I420" s="600">
        <v>14056.95</v>
      </c>
      <c r="J420" s="612">
        <v>0.000571598726621358</v>
      </c>
      <c r="K420" s="613">
        <f t="shared" si="21"/>
        <v>0</v>
      </c>
      <c r="L420" s="610">
        <f t="shared" si="22"/>
        <v>14056.95</v>
      </c>
      <c r="M420" s="601"/>
      <c r="N420" s="601"/>
      <c r="O420" s="601"/>
      <c r="P420" s="601"/>
      <c r="Q420" s="601"/>
      <c r="R420" s="601"/>
      <c r="S420" s="601"/>
      <c r="T420" s="601"/>
      <c r="U420" s="601"/>
      <c r="V420" s="601"/>
      <c r="W420" s="601"/>
      <c r="X420" s="601"/>
      <c r="Y420" s="601"/>
    </row>
    <row r="421" ht="25.5" spans="1:25">
      <c r="A421" s="569" t="s">
        <v>1168</v>
      </c>
      <c r="B421" s="569" t="s">
        <v>1169</v>
      </c>
      <c r="C421" s="569" t="s">
        <v>132</v>
      </c>
      <c r="D421" s="569" t="s">
        <v>1170</v>
      </c>
      <c r="E421" s="577" t="s">
        <v>134</v>
      </c>
      <c r="F421" s="570">
        <v>18</v>
      </c>
      <c r="G421" s="579">
        <v>649.25</v>
      </c>
      <c r="H421" s="600">
        <v>814.74</v>
      </c>
      <c r="I421" s="600">
        <v>14665.32</v>
      </c>
      <c r="J421" s="612">
        <v>0.000596336917858763</v>
      </c>
      <c r="K421" s="613">
        <f t="shared" si="21"/>
        <v>0</v>
      </c>
      <c r="L421" s="610">
        <f t="shared" si="22"/>
        <v>14665.32</v>
      </c>
      <c r="M421" s="601"/>
      <c r="N421" s="601"/>
      <c r="O421" s="601"/>
      <c r="P421" s="601"/>
      <c r="Q421" s="601"/>
      <c r="R421" s="601"/>
      <c r="S421" s="601"/>
      <c r="T421" s="601"/>
      <c r="U421" s="601"/>
      <c r="V421" s="601"/>
      <c r="W421" s="601"/>
      <c r="X421" s="601"/>
      <c r="Y421" s="601"/>
    </row>
    <row r="422" ht="15" spans="1:25">
      <c r="A422" s="596" t="s">
        <v>1171</v>
      </c>
      <c r="B422" s="596" t="s">
        <v>74</v>
      </c>
      <c r="C422" s="596"/>
      <c r="D422" s="596" t="s">
        <v>1172</v>
      </c>
      <c r="E422" s="597"/>
      <c r="F422" s="598">
        <v>1</v>
      </c>
      <c r="G422" s="598"/>
      <c r="H422" s="599">
        <v>2392157.46</v>
      </c>
      <c r="I422" s="599">
        <v>2392157.46</v>
      </c>
      <c r="J422" s="608">
        <v>0.0972724636577481</v>
      </c>
      <c r="K422" s="613">
        <f t="shared" si="21"/>
        <v>0</v>
      </c>
      <c r="L422" s="610">
        <f>SUM(L423:L435)</f>
        <v>2392157.46</v>
      </c>
      <c r="M422" s="601"/>
      <c r="N422" s="601"/>
      <c r="O422" s="601"/>
      <c r="P422" s="601"/>
      <c r="Q422" s="601"/>
      <c r="R422" s="601"/>
      <c r="S422" s="601"/>
      <c r="T422" s="601"/>
      <c r="U422" s="601"/>
      <c r="V422" s="601"/>
      <c r="W422" s="601"/>
      <c r="X422" s="601"/>
      <c r="Y422" s="601"/>
    </row>
    <row r="423" ht="25.5" spans="1:25">
      <c r="A423" s="569" t="s">
        <v>1173</v>
      </c>
      <c r="B423" s="569" t="s">
        <v>227</v>
      </c>
      <c r="C423" s="569" t="s">
        <v>139</v>
      </c>
      <c r="D423" s="569" t="s">
        <v>228</v>
      </c>
      <c r="E423" s="577" t="s">
        <v>204</v>
      </c>
      <c r="F423" s="570">
        <v>69140</v>
      </c>
      <c r="G423" s="579">
        <v>4.98</v>
      </c>
      <c r="H423" s="600">
        <v>6.24</v>
      </c>
      <c r="I423" s="600">
        <v>431433.6</v>
      </c>
      <c r="J423" s="612">
        <v>0.0175434142101714</v>
      </c>
      <c r="K423" s="613">
        <f t="shared" si="21"/>
        <v>0</v>
      </c>
      <c r="L423" s="610">
        <f t="shared" ref="L423:L435" si="23">I423-(I423*K423)</f>
        <v>431433.6</v>
      </c>
      <c r="M423" s="601"/>
      <c r="N423" s="601"/>
      <c r="O423" s="601"/>
      <c r="P423" s="601"/>
      <c r="Q423" s="601"/>
      <c r="R423" s="601"/>
      <c r="S423" s="601"/>
      <c r="T423" s="601"/>
      <c r="U423" s="601"/>
      <c r="V423" s="601"/>
      <c r="W423" s="601"/>
      <c r="X423" s="601"/>
      <c r="Y423" s="601"/>
    </row>
    <row r="424" ht="25.5" spans="1:25">
      <c r="A424" s="569" t="s">
        <v>1174</v>
      </c>
      <c r="B424" s="569" t="s">
        <v>1175</v>
      </c>
      <c r="C424" s="569" t="s">
        <v>139</v>
      </c>
      <c r="D424" s="569" t="s">
        <v>1176</v>
      </c>
      <c r="E424" s="577" t="s">
        <v>204</v>
      </c>
      <c r="F424" s="570">
        <v>400</v>
      </c>
      <c r="G424" s="579">
        <v>7.62</v>
      </c>
      <c r="H424" s="600">
        <v>9.56</v>
      </c>
      <c r="I424" s="600">
        <v>3824</v>
      </c>
      <c r="J424" s="612">
        <v>0.00015549557554093</v>
      </c>
      <c r="K424" s="613">
        <f t="shared" si="21"/>
        <v>0</v>
      </c>
      <c r="L424" s="610">
        <f t="shared" si="23"/>
        <v>3824</v>
      </c>
      <c r="M424" s="601"/>
      <c r="N424" s="601"/>
      <c r="O424" s="601"/>
      <c r="P424" s="601"/>
      <c r="Q424" s="601"/>
      <c r="R424" s="601"/>
      <c r="S424" s="601"/>
      <c r="T424" s="601"/>
      <c r="U424" s="601"/>
      <c r="V424" s="601"/>
      <c r="W424" s="601"/>
      <c r="X424" s="601"/>
      <c r="Y424" s="601"/>
    </row>
    <row r="425" ht="25.5" spans="1:25">
      <c r="A425" s="569" t="s">
        <v>1177</v>
      </c>
      <c r="B425" s="569" t="s">
        <v>1178</v>
      </c>
      <c r="C425" s="569" t="s">
        <v>139</v>
      </c>
      <c r="D425" s="569" t="s">
        <v>1179</v>
      </c>
      <c r="E425" s="577" t="s">
        <v>204</v>
      </c>
      <c r="F425" s="570">
        <v>400</v>
      </c>
      <c r="G425" s="579">
        <v>10.58</v>
      </c>
      <c r="H425" s="600">
        <v>13.27</v>
      </c>
      <c r="I425" s="600">
        <v>5308</v>
      </c>
      <c r="J425" s="612">
        <v>0.000215839569814659</v>
      </c>
      <c r="K425" s="613">
        <f t="shared" si="21"/>
        <v>0</v>
      </c>
      <c r="L425" s="610">
        <f t="shared" si="23"/>
        <v>5308</v>
      </c>
      <c r="M425" s="601"/>
      <c r="N425" s="601"/>
      <c r="O425" s="601"/>
      <c r="P425" s="601"/>
      <c r="Q425" s="601"/>
      <c r="R425" s="601"/>
      <c r="S425" s="601"/>
      <c r="T425" s="601"/>
      <c r="U425" s="601"/>
      <c r="V425" s="601"/>
      <c r="W425" s="601"/>
      <c r="X425" s="601"/>
      <c r="Y425" s="601"/>
    </row>
    <row r="426" ht="25.5" spans="1:25">
      <c r="A426" s="569" t="s">
        <v>1180</v>
      </c>
      <c r="B426" s="569" t="s">
        <v>1181</v>
      </c>
      <c r="C426" s="569" t="s">
        <v>139</v>
      </c>
      <c r="D426" s="569" t="s">
        <v>1182</v>
      </c>
      <c r="E426" s="577" t="s">
        <v>204</v>
      </c>
      <c r="F426" s="570">
        <v>1318.75</v>
      </c>
      <c r="G426" s="579">
        <v>18.06</v>
      </c>
      <c r="H426" s="600">
        <v>22.66</v>
      </c>
      <c r="I426" s="600">
        <v>29882.87</v>
      </c>
      <c r="J426" s="612">
        <v>0.0012151292022659</v>
      </c>
      <c r="K426" s="613">
        <f t="shared" si="21"/>
        <v>0</v>
      </c>
      <c r="L426" s="610">
        <f t="shared" si="23"/>
        <v>29882.87</v>
      </c>
      <c r="M426" s="601"/>
      <c r="N426" s="601"/>
      <c r="O426" s="601"/>
      <c r="P426" s="601"/>
      <c r="Q426" s="601"/>
      <c r="R426" s="601"/>
      <c r="S426" s="601"/>
      <c r="T426" s="601"/>
      <c r="U426" s="601"/>
      <c r="V426" s="601"/>
      <c r="W426" s="601"/>
      <c r="X426" s="601"/>
      <c r="Y426" s="601"/>
    </row>
    <row r="427" ht="25.5" spans="1:25">
      <c r="A427" s="569" t="s">
        <v>1183</v>
      </c>
      <c r="B427" s="569" t="s">
        <v>1184</v>
      </c>
      <c r="C427" s="569" t="s">
        <v>139</v>
      </c>
      <c r="D427" s="569" t="s">
        <v>1185</v>
      </c>
      <c r="E427" s="577" t="s">
        <v>204</v>
      </c>
      <c r="F427" s="570">
        <v>750.5</v>
      </c>
      <c r="G427" s="579">
        <v>28.25</v>
      </c>
      <c r="H427" s="600">
        <v>35.45</v>
      </c>
      <c r="I427" s="600">
        <v>26605.22</v>
      </c>
      <c r="J427" s="612">
        <v>0.0010818498944281</v>
      </c>
      <c r="K427" s="613">
        <f t="shared" si="21"/>
        <v>0</v>
      </c>
      <c r="L427" s="610">
        <f t="shared" si="23"/>
        <v>26605.22</v>
      </c>
      <c r="M427" s="601"/>
      <c r="N427" s="601"/>
      <c r="O427" s="601"/>
      <c r="P427" s="601"/>
      <c r="Q427" s="601"/>
      <c r="R427" s="601"/>
      <c r="S427" s="601"/>
      <c r="T427" s="601"/>
      <c r="U427" s="601"/>
      <c r="V427" s="601"/>
      <c r="W427" s="601"/>
      <c r="X427" s="601"/>
      <c r="Y427" s="601"/>
    </row>
    <row r="428" ht="38.25" spans="1:25">
      <c r="A428" s="569" t="s">
        <v>1186</v>
      </c>
      <c r="B428" s="569" t="s">
        <v>1187</v>
      </c>
      <c r="C428" s="569" t="s">
        <v>139</v>
      </c>
      <c r="D428" s="569" t="s">
        <v>1188</v>
      </c>
      <c r="E428" s="577" t="s">
        <v>204</v>
      </c>
      <c r="F428" s="570">
        <v>1142.15</v>
      </c>
      <c r="G428" s="579">
        <v>30.11</v>
      </c>
      <c r="H428" s="600">
        <v>37.78</v>
      </c>
      <c r="I428" s="600">
        <v>43150.42</v>
      </c>
      <c r="J428" s="612">
        <v>0.00175462850228369</v>
      </c>
      <c r="K428" s="613">
        <f t="shared" si="21"/>
        <v>0</v>
      </c>
      <c r="L428" s="610">
        <f t="shared" si="23"/>
        <v>43150.42</v>
      </c>
      <c r="M428" s="601"/>
      <c r="N428" s="601"/>
      <c r="O428" s="601"/>
      <c r="P428" s="601"/>
      <c r="Q428" s="601"/>
      <c r="R428" s="601"/>
      <c r="S428" s="601"/>
      <c r="T428" s="601"/>
      <c r="U428" s="601"/>
      <c r="V428" s="601"/>
      <c r="W428" s="601"/>
      <c r="X428" s="601"/>
      <c r="Y428" s="601"/>
    </row>
    <row r="429" ht="38.25" spans="1:25">
      <c r="A429" s="569" t="s">
        <v>1189</v>
      </c>
      <c r="B429" s="569" t="s">
        <v>1190</v>
      </c>
      <c r="C429" s="569" t="s">
        <v>139</v>
      </c>
      <c r="D429" s="569" t="s">
        <v>1191</v>
      </c>
      <c r="E429" s="577" t="s">
        <v>204</v>
      </c>
      <c r="F429" s="570">
        <v>1622.5</v>
      </c>
      <c r="G429" s="579">
        <v>41.42</v>
      </c>
      <c r="H429" s="600">
        <v>51.97</v>
      </c>
      <c r="I429" s="600">
        <v>84321.32</v>
      </c>
      <c r="J429" s="612">
        <v>0.00342876364638361</v>
      </c>
      <c r="K429" s="613">
        <f t="shared" si="21"/>
        <v>0</v>
      </c>
      <c r="L429" s="610">
        <f t="shared" si="23"/>
        <v>84321.32</v>
      </c>
      <c r="M429" s="601"/>
      <c r="N429" s="601"/>
      <c r="O429" s="601"/>
      <c r="P429" s="601"/>
      <c r="Q429" s="601"/>
      <c r="R429" s="601"/>
      <c r="S429" s="601"/>
      <c r="T429" s="601"/>
      <c r="U429" s="601"/>
      <c r="V429" s="601"/>
      <c r="W429" s="601"/>
      <c r="X429" s="601"/>
      <c r="Y429" s="601"/>
    </row>
    <row r="430" ht="38.25" spans="1:25">
      <c r="A430" s="569" t="s">
        <v>1192</v>
      </c>
      <c r="B430" s="569" t="s">
        <v>1193</v>
      </c>
      <c r="C430" s="569" t="s">
        <v>139</v>
      </c>
      <c r="D430" s="569" t="s">
        <v>1194</v>
      </c>
      <c r="E430" s="577" t="s">
        <v>204</v>
      </c>
      <c r="F430" s="570">
        <v>2768.7</v>
      </c>
      <c r="G430" s="579">
        <v>59.86</v>
      </c>
      <c r="H430" s="600">
        <v>75.11</v>
      </c>
      <c r="I430" s="600">
        <v>207957.05</v>
      </c>
      <c r="J430" s="612">
        <v>0.00845617185605228</v>
      </c>
      <c r="K430" s="613">
        <f t="shared" si="21"/>
        <v>0</v>
      </c>
      <c r="L430" s="610">
        <f t="shared" si="23"/>
        <v>207957.05</v>
      </c>
      <c r="M430" s="601"/>
      <c r="N430" s="601"/>
      <c r="O430" s="601"/>
      <c r="P430" s="601"/>
      <c r="Q430" s="601"/>
      <c r="R430" s="601"/>
      <c r="S430" s="601"/>
      <c r="T430" s="601"/>
      <c r="U430" s="601"/>
      <c r="V430" s="601"/>
      <c r="W430" s="601"/>
      <c r="X430" s="601"/>
      <c r="Y430" s="601"/>
    </row>
    <row r="431" ht="38.25" spans="1:25">
      <c r="A431" s="569" t="s">
        <v>1195</v>
      </c>
      <c r="B431" s="569" t="s">
        <v>1196</v>
      </c>
      <c r="C431" s="569" t="s">
        <v>139</v>
      </c>
      <c r="D431" s="569" t="s">
        <v>1197</v>
      </c>
      <c r="E431" s="577" t="s">
        <v>204</v>
      </c>
      <c r="F431" s="570">
        <v>949.3</v>
      </c>
      <c r="G431" s="579">
        <v>82.68</v>
      </c>
      <c r="H431" s="600">
        <v>103.75</v>
      </c>
      <c r="I431" s="600">
        <v>98489.87</v>
      </c>
      <c r="J431" s="612">
        <v>0.00400490037149617</v>
      </c>
      <c r="K431" s="613">
        <f t="shared" si="21"/>
        <v>0</v>
      </c>
      <c r="L431" s="610">
        <f t="shared" si="23"/>
        <v>98489.87</v>
      </c>
      <c r="M431" s="601"/>
      <c r="N431" s="601"/>
      <c r="O431" s="601"/>
      <c r="P431" s="601"/>
      <c r="Q431" s="601"/>
      <c r="R431" s="601"/>
      <c r="S431" s="601"/>
      <c r="T431" s="601"/>
      <c r="U431" s="601"/>
      <c r="V431" s="601"/>
      <c r="W431" s="601"/>
      <c r="X431" s="601"/>
      <c r="Y431" s="601"/>
    </row>
    <row r="432" ht="38.25" spans="1:25">
      <c r="A432" s="569" t="s">
        <v>1198</v>
      </c>
      <c r="B432" s="569" t="s">
        <v>1199</v>
      </c>
      <c r="C432" s="569" t="s">
        <v>139</v>
      </c>
      <c r="D432" s="569" t="s">
        <v>1200</v>
      </c>
      <c r="E432" s="577" t="s">
        <v>204</v>
      </c>
      <c r="F432" s="570">
        <v>363</v>
      </c>
      <c r="G432" s="579">
        <v>106.78</v>
      </c>
      <c r="H432" s="600">
        <v>133.99</v>
      </c>
      <c r="I432" s="600">
        <v>48638.37</v>
      </c>
      <c r="J432" s="612">
        <v>0.00197778539135008</v>
      </c>
      <c r="K432" s="613">
        <f t="shared" si="21"/>
        <v>0</v>
      </c>
      <c r="L432" s="610">
        <f t="shared" si="23"/>
        <v>48638.37</v>
      </c>
      <c r="M432" s="601"/>
      <c r="N432" s="601"/>
      <c r="O432" s="601"/>
      <c r="P432" s="601"/>
      <c r="Q432" s="601"/>
      <c r="R432" s="601"/>
      <c r="S432" s="601"/>
      <c r="T432" s="601"/>
      <c r="U432" s="601"/>
      <c r="V432" s="601"/>
      <c r="W432" s="601"/>
      <c r="X432" s="601"/>
      <c r="Y432" s="601"/>
    </row>
    <row r="433" ht="38.25" spans="1:25">
      <c r="A433" s="569" t="s">
        <v>1201</v>
      </c>
      <c r="B433" s="569" t="s">
        <v>1202</v>
      </c>
      <c r="C433" s="569" t="s">
        <v>139</v>
      </c>
      <c r="D433" s="569" t="s">
        <v>1203</v>
      </c>
      <c r="E433" s="577" t="s">
        <v>204</v>
      </c>
      <c r="F433" s="570">
        <v>672.1</v>
      </c>
      <c r="G433" s="579">
        <v>138.56</v>
      </c>
      <c r="H433" s="600">
        <v>173.87</v>
      </c>
      <c r="I433" s="600">
        <v>116858.02</v>
      </c>
      <c r="J433" s="612">
        <v>0.00475180572083512</v>
      </c>
      <c r="K433" s="613">
        <f t="shared" si="21"/>
        <v>0</v>
      </c>
      <c r="L433" s="610">
        <f t="shared" si="23"/>
        <v>116858.02</v>
      </c>
      <c r="M433" s="601"/>
      <c r="N433" s="601"/>
      <c r="O433" s="601"/>
      <c r="P433" s="601"/>
      <c r="Q433" s="601"/>
      <c r="R433" s="601"/>
      <c r="S433" s="601"/>
      <c r="T433" s="601"/>
      <c r="U433" s="601"/>
      <c r="V433" s="601"/>
      <c r="W433" s="601"/>
      <c r="X433" s="601"/>
      <c r="Y433" s="601"/>
    </row>
    <row r="434" ht="38.25" spans="1:25">
      <c r="A434" s="569" t="s">
        <v>1204</v>
      </c>
      <c r="B434" s="569" t="s">
        <v>1205</v>
      </c>
      <c r="C434" s="569" t="s">
        <v>139</v>
      </c>
      <c r="D434" s="569" t="s">
        <v>1206</v>
      </c>
      <c r="E434" s="577" t="s">
        <v>204</v>
      </c>
      <c r="F434" s="570">
        <v>2180.7</v>
      </c>
      <c r="G434" s="579">
        <v>350.84</v>
      </c>
      <c r="H434" s="600">
        <v>440.26</v>
      </c>
      <c r="I434" s="600">
        <v>960074.98</v>
      </c>
      <c r="J434" s="612">
        <v>0.0390395950778103</v>
      </c>
      <c r="K434" s="613">
        <f t="shared" si="21"/>
        <v>0</v>
      </c>
      <c r="L434" s="610">
        <f t="shared" si="23"/>
        <v>960074.98</v>
      </c>
      <c r="M434" s="601"/>
      <c r="N434" s="601"/>
      <c r="O434" s="601"/>
      <c r="P434" s="601"/>
      <c r="Q434" s="601"/>
      <c r="R434" s="601"/>
      <c r="S434" s="601"/>
      <c r="T434" s="601"/>
      <c r="U434" s="601"/>
      <c r="V434" s="601"/>
      <c r="W434" s="601"/>
      <c r="X434" s="601"/>
      <c r="Y434" s="601"/>
    </row>
    <row r="435" ht="38.25" spans="1:25">
      <c r="A435" s="569" t="s">
        <v>1207</v>
      </c>
      <c r="B435" s="569" t="s">
        <v>1208</v>
      </c>
      <c r="C435" s="569" t="s">
        <v>132</v>
      </c>
      <c r="D435" s="569" t="s">
        <v>1209</v>
      </c>
      <c r="E435" s="577" t="s">
        <v>134</v>
      </c>
      <c r="F435" s="570">
        <v>1</v>
      </c>
      <c r="G435" s="579">
        <v>267442.62</v>
      </c>
      <c r="H435" s="600">
        <v>335613.74</v>
      </c>
      <c r="I435" s="600">
        <v>335613.74</v>
      </c>
      <c r="J435" s="612">
        <v>0.0136470846393159</v>
      </c>
      <c r="K435" s="613">
        <f t="shared" si="21"/>
        <v>0</v>
      </c>
      <c r="L435" s="610">
        <f t="shared" si="23"/>
        <v>335613.74</v>
      </c>
      <c r="M435" s="601"/>
      <c r="N435" s="601"/>
      <c r="O435" s="601"/>
      <c r="P435" s="601"/>
      <c r="Q435" s="601"/>
      <c r="R435" s="601"/>
      <c r="S435" s="601"/>
      <c r="T435" s="601"/>
      <c r="U435" s="601"/>
      <c r="V435" s="601"/>
      <c r="W435" s="601"/>
      <c r="X435" s="601"/>
      <c r="Y435" s="601"/>
    </row>
    <row r="436" ht="15" spans="1:25">
      <c r="A436" s="596" t="s">
        <v>1210</v>
      </c>
      <c r="B436" s="596" t="s">
        <v>74</v>
      </c>
      <c r="C436" s="596"/>
      <c r="D436" s="596" t="s">
        <v>1211</v>
      </c>
      <c r="E436" s="597"/>
      <c r="F436" s="598">
        <v>1</v>
      </c>
      <c r="G436" s="598"/>
      <c r="H436" s="599">
        <v>1061212.73</v>
      </c>
      <c r="I436" s="599">
        <v>1061212.73</v>
      </c>
      <c r="J436" s="608">
        <v>0.0431521663762321</v>
      </c>
      <c r="K436" s="613">
        <f t="shared" si="21"/>
        <v>0</v>
      </c>
      <c r="L436" s="610">
        <f>SUM(L437:L488)</f>
        <v>1061212.73</v>
      </c>
      <c r="M436" s="601"/>
      <c r="N436" s="601"/>
      <c r="O436" s="601"/>
      <c r="P436" s="601"/>
      <c r="Q436" s="601"/>
      <c r="R436" s="601"/>
      <c r="S436" s="601"/>
      <c r="T436" s="601"/>
      <c r="U436" s="601"/>
      <c r="V436" s="601"/>
      <c r="W436" s="601"/>
      <c r="X436" s="601"/>
      <c r="Y436" s="601"/>
    </row>
    <row r="437" ht="38.25" spans="1:25">
      <c r="A437" s="569" t="s">
        <v>1212</v>
      </c>
      <c r="B437" s="569" t="s">
        <v>1213</v>
      </c>
      <c r="C437" s="569" t="s">
        <v>77</v>
      </c>
      <c r="D437" s="569" t="s">
        <v>1214</v>
      </c>
      <c r="E437" s="577" t="s">
        <v>204</v>
      </c>
      <c r="F437" s="570">
        <v>589</v>
      </c>
      <c r="G437" s="579">
        <v>77.62</v>
      </c>
      <c r="H437" s="600">
        <v>97.4</v>
      </c>
      <c r="I437" s="600">
        <v>57368.6</v>
      </c>
      <c r="J437" s="612">
        <v>0.00233278333550664</v>
      </c>
      <c r="K437" s="613">
        <f t="shared" si="21"/>
        <v>0</v>
      </c>
      <c r="L437" s="610">
        <f t="shared" ref="L437:L488" si="24">I437-(I437*K437)</f>
        <v>57368.6</v>
      </c>
      <c r="M437" s="601"/>
      <c r="N437" s="601"/>
      <c r="O437" s="601"/>
      <c r="P437" s="601"/>
      <c r="Q437" s="601"/>
      <c r="R437" s="601"/>
      <c r="S437" s="601"/>
      <c r="T437" s="601"/>
      <c r="U437" s="601"/>
      <c r="V437" s="601"/>
      <c r="W437" s="601"/>
      <c r="X437" s="601"/>
      <c r="Y437" s="601"/>
    </row>
    <row r="438" ht="25.5" spans="1:25">
      <c r="A438" s="569" t="s">
        <v>1215</v>
      </c>
      <c r="B438" s="569" t="s">
        <v>1216</v>
      </c>
      <c r="C438" s="569" t="s">
        <v>77</v>
      </c>
      <c r="D438" s="569" t="s">
        <v>1217</v>
      </c>
      <c r="E438" s="577" t="s">
        <v>134</v>
      </c>
      <c r="F438" s="570">
        <v>6</v>
      </c>
      <c r="G438" s="579">
        <v>40.23</v>
      </c>
      <c r="H438" s="600">
        <v>50.48</v>
      </c>
      <c r="I438" s="600">
        <v>302.88</v>
      </c>
      <c r="J438" s="612">
        <v>1.23160303137649e-5</v>
      </c>
      <c r="K438" s="613">
        <f t="shared" si="21"/>
        <v>0</v>
      </c>
      <c r="L438" s="610">
        <f t="shared" si="24"/>
        <v>302.88</v>
      </c>
      <c r="M438" s="601"/>
      <c r="N438" s="601"/>
      <c r="O438" s="601"/>
      <c r="P438" s="601"/>
      <c r="Q438" s="601"/>
      <c r="R438" s="601"/>
      <c r="S438" s="601"/>
      <c r="T438" s="601"/>
      <c r="U438" s="601"/>
      <c r="V438" s="601"/>
      <c r="W438" s="601"/>
      <c r="X438" s="601"/>
      <c r="Y438" s="601"/>
    </row>
    <row r="439" ht="25.5" spans="1:25">
      <c r="A439" s="569" t="s">
        <v>1218</v>
      </c>
      <c r="B439" s="569" t="s">
        <v>1219</v>
      </c>
      <c r="C439" s="569" t="s">
        <v>77</v>
      </c>
      <c r="D439" s="569" t="s">
        <v>1220</v>
      </c>
      <c r="E439" s="577" t="s">
        <v>134</v>
      </c>
      <c r="F439" s="570">
        <v>6</v>
      </c>
      <c r="G439" s="579">
        <v>34.93</v>
      </c>
      <c r="H439" s="600">
        <v>43.83</v>
      </c>
      <c r="I439" s="600">
        <v>262.98</v>
      </c>
      <c r="J439" s="612">
        <v>1.06935738639523e-5</v>
      </c>
      <c r="K439" s="613">
        <f t="shared" si="21"/>
        <v>0</v>
      </c>
      <c r="L439" s="610">
        <f t="shared" si="24"/>
        <v>262.98</v>
      </c>
      <c r="M439" s="601"/>
      <c r="N439" s="601"/>
      <c r="O439" s="601"/>
      <c r="P439" s="601"/>
      <c r="Q439" s="601"/>
      <c r="R439" s="601"/>
      <c r="S439" s="601"/>
      <c r="T439" s="601"/>
      <c r="U439" s="601"/>
      <c r="V439" s="601"/>
      <c r="W439" s="601"/>
      <c r="X439" s="601"/>
      <c r="Y439" s="601"/>
    </row>
    <row r="440" ht="25.5" spans="1:25">
      <c r="A440" s="569" t="s">
        <v>1221</v>
      </c>
      <c r="B440" s="569" t="s">
        <v>1222</v>
      </c>
      <c r="C440" s="569" t="s">
        <v>77</v>
      </c>
      <c r="D440" s="569" t="s">
        <v>1223</v>
      </c>
      <c r="E440" s="577" t="s">
        <v>134</v>
      </c>
      <c r="F440" s="570">
        <v>2</v>
      </c>
      <c r="G440" s="579">
        <v>48.95</v>
      </c>
      <c r="H440" s="600">
        <v>61.42</v>
      </c>
      <c r="I440" s="600">
        <v>122.84</v>
      </c>
      <c r="J440" s="612">
        <v>4.99505138583886e-6</v>
      </c>
      <c r="K440" s="613">
        <f t="shared" si="21"/>
        <v>0</v>
      </c>
      <c r="L440" s="610">
        <f t="shared" si="24"/>
        <v>122.84</v>
      </c>
      <c r="M440" s="601"/>
      <c r="N440" s="601"/>
      <c r="O440" s="601"/>
      <c r="P440" s="601"/>
      <c r="Q440" s="601"/>
      <c r="R440" s="601"/>
      <c r="S440" s="601"/>
      <c r="T440" s="601"/>
      <c r="U440" s="601"/>
      <c r="V440" s="601"/>
      <c r="W440" s="601"/>
      <c r="X440" s="601"/>
      <c r="Y440" s="601"/>
    </row>
    <row r="441" ht="25.5" spans="1:25">
      <c r="A441" s="569" t="s">
        <v>1224</v>
      </c>
      <c r="B441" s="569" t="s">
        <v>1225</v>
      </c>
      <c r="C441" s="569" t="s">
        <v>77</v>
      </c>
      <c r="D441" s="569" t="s">
        <v>1226</v>
      </c>
      <c r="E441" s="577" t="s">
        <v>134</v>
      </c>
      <c r="F441" s="570">
        <v>6</v>
      </c>
      <c r="G441" s="579">
        <v>42.3</v>
      </c>
      <c r="H441" s="600">
        <v>53.08</v>
      </c>
      <c r="I441" s="600">
        <v>318.48</v>
      </c>
      <c r="J441" s="612">
        <v>1.29503741888795e-5</v>
      </c>
      <c r="K441" s="613">
        <f t="shared" si="21"/>
        <v>0</v>
      </c>
      <c r="L441" s="610">
        <f t="shared" si="24"/>
        <v>318.48</v>
      </c>
      <c r="M441" s="601"/>
      <c r="N441" s="601"/>
      <c r="O441" s="601"/>
      <c r="P441" s="601"/>
      <c r="Q441" s="601"/>
      <c r="R441" s="601"/>
      <c r="S441" s="601"/>
      <c r="T441" s="601"/>
      <c r="U441" s="601"/>
      <c r="V441" s="601"/>
      <c r="W441" s="601"/>
      <c r="X441" s="601"/>
      <c r="Y441" s="601"/>
    </row>
    <row r="442" ht="15" spans="1:25">
      <c r="A442" s="569" t="s">
        <v>1227</v>
      </c>
      <c r="B442" s="569" t="s">
        <v>1228</v>
      </c>
      <c r="C442" s="569" t="s">
        <v>149</v>
      </c>
      <c r="D442" s="569" t="s">
        <v>1229</v>
      </c>
      <c r="E442" s="577" t="s">
        <v>134</v>
      </c>
      <c r="F442" s="570">
        <v>335</v>
      </c>
      <c r="G442" s="579">
        <v>11.93</v>
      </c>
      <c r="H442" s="600">
        <v>14.97</v>
      </c>
      <c r="I442" s="600">
        <v>5014.95</v>
      </c>
      <c r="J442" s="612">
        <v>0.000203923257468354</v>
      </c>
      <c r="K442" s="613">
        <f t="shared" si="21"/>
        <v>0</v>
      </c>
      <c r="L442" s="610">
        <f t="shared" si="24"/>
        <v>5014.95</v>
      </c>
      <c r="M442" s="601"/>
      <c r="N442" s="601"/>
      <c r="O442" s="601"/>
      <c r="P442" s="601"/>
      <c r="Q442" s="601"/>
      <c r="R442" s="601"/>
      <c r="S442" s="601"/>
      <c r="T442" s="601"/>
      <c r="U442" s="601"/>
      <c r="V442" s="601"/>
      <c r="W442" s="601"/>
      <c r="X442" s="601"/>
      <c r="Y442" s="601"/>
    </row>
    <row r="443" ht="38.25" spans="1:25">
      <c r="A443" s="569" t="s">
        <v>1230</v>
      </c>
      <c r="B443" s="569" t="s">
        <v>1071</v>
      </c>
      <c r="C443" s="569" t="s">
        <v>77</v>
      </c>
      <c r="D443" s="569" t="s">
        <v>1072</v>
      </c>
      <c r="E443" s="577" t="s">
        <v>204</v>
      </c>
      <c r="F443" s="570">
        <v>687</v>
      </c>
      <c r="G443" s="579">
        <v>17.72</v>
      </c>
      <c r="H443" s="600">
        <v>22.23</v>
      </c>
      <c r="I443" s="600">
        <v>15272.01</v>
      </c>
      <c r="J443" s="612">
        <v>0.000621006795140386</v>
      </c>
      <c r="K443" s="613">
        <f t="shared" si="21"/>
        <v>0</v>
      </c>
      <c r="L443" s="610">
        <f t="shared" si="24"/>
        <v>15272.01</v>
      </c>
      <c r="M443" s="601"/>
      <c r="N443" s="601"/>
      <c r="O443" s="601"/>
      <c r="P443" s="601"/>
      <c r="Q443" s="601"/>
      <c r="R443" s="601"/>
      <c r="S443" s="601"/>
      <c r="T443" s="601"/>
      <c r="U443" s="601"/>
      <c r="V443" s="601"/>
      <c r="W443" s="601"/>
      <c r="X443" s="601"/>
      <c r="Y443" s="601"/>
    </row>
    <row r="444" ht="38.25" spans="1:25">
      <c r="A444" s="569" t="s">
        <v>1231</v>
      </c>
      <c r="B444" s="569" t="s">
        <v>1077</v>
      </c>
      <c r="C444" s="569" t="s">
        <v>77</v>
      </c>
      <c r="D444" s="569" t="s">
        <v>1078</v>
      </c>
      <c r="E444" s="577" t="s">
        <v>204</v>
      </c>
      <c r="F444" s="570">
        <v>189</v>
      </c>
      <c r="G444" s="579">
        <v>32.26</v>
      </c>
      <c r="H444" s="600">
        <v>40.48</v>
      </c>
      <c r="I444" s="600">
        <v>7650.72</v>
      </c>
      <c r="J444" s="612">
        <v>0.000311101754629316</v>
      </c>
      <c r="K444" s="613">
        <f t="shared" si="21"/>
        <v>0</v>
      </c>
      <c r="L444" s="610">
        <f t="shared" si="24"/>
        <v>7650.72</v>
      </c>
      <c r="M444" s="601"/>
      <c r="N444" s="601"/>
      <c r="O444" s="601"/>
      <c r="P444" s="601"/>
      <c r="Q444" s="601"/>
      <c r="R444" s="601"/>
      <c r="S444" s="601"/>
      <c r="T444" s="601"/>
      <c r="U444" s="601"/>
      <c r="V444" s="601"/>
      <c r="W444" s="601"/>
      <c r="X444" s="601"/>
      <c r="Y444" s="601"/>
    </row>
    <row r="445" ht="38.25" spans="1:25">
      <c r="A445" s="569" t="s">
        <v>1232</v>
      </c>
      <c r="B445" s="569" t="s">
        <v>1098</v>
      </c>
      <c r="C445" s="569" t="s">
        <v>139</v>
      </c>
      <c r="D445" s="569" t="s">
        <v>1099</v>
      </c>
      <c r="E445" s="577" t="s">
        <v>134</v>
      </c>
      <c r="F445" s="570">
        <v>3</v>
      </c>
      <c r="G445" s="579">
        <v>32.61</v>
      </c>
      <c r="H445" s="600">
        <v>40.92</v>
      </c>
      <c r="I445" s="600">
        <v>122.76</v>
      </c>
      <c r="J445" s="612">
        <v>4.99179834032546e-6</v>
      </c>
      <c r="K445" s="613">
        <f t="shared" si="21"/>
        <v>0</v>
      </c>
      <c r="L445" s="610">
        <f t="shared" si="24"/>
        <v>122.76</v>
      </c>
      <c r="M445" s="601"/>
      <c r="N445" s="601"/>
      <c r="O445" s="601"/>
      <c r="P445" s="601"/>
      <c r="Q445" s="601"/>
      <c r="R445" s="601"/>
      <c r="S445" s="601"/>
      <c r="T445" s="601"/>
      <c r="U445" s="601"/>
      <c r="V445" s="601"/>
      <c r="W445" s="601"/>
      <c r="X445" s="601"/>
      <c r="Y445" s="601"/>
    </row>
    <row r="446" ht="38.25" spans="1:25">
      <c r="A446" s="569" t="s">
        <v>1233</v>
      </c>
      <c r="B446" s="569" t="s">
        <v>1101</v>
      </c>
      <c r="C446" s="569" t="s">
        <v>139</v>
      </c>
      <c r="D446" s="569" t="s">
        <v>1102</v>
      </c>
      <c r="E446" s="577" t="s">
        <v>134</v>
      </c>
      <c r="F446" s="570">
        <v>17</v>
      </c>
      <c r="G446" s="579">
        <v>37.88</v>
      </c>
      <c r="H446" s="600">
        <v>47.53</v>
      </c>
      <c r="I446" s="600">
        <v>808.01</v>
      </c>
      <c r="J446" s="612">
        <v>3.28561663161158e-5</v>
      </c>
      <c r="K446" s="613">
        <f t="shared" si="21"/>
        <v>0</v>
      </c>
      <c r="L446" s="610">
        <f t="shared" si="24"/>
        <v>808.01</v>
      </c>
      <c r="M446" s="601"/>
      <c r="N446" s="601"/>
      <c r="O446" s="601"/>
      <c r="P446" s="601"/>
      <c r="Q446" s="601"/>
      <c r="R446" s="601"/>
      <c r="S446" s="601"/>
      <c r="T446" s="601"/>
      <c r="U446" s="601"/>
      <c r="V446" s="601"/>
      <c r="W446" s="601"/>
      <c r="X446" s="601"/>
      <c r="Y446" s="601"/>
    </row>
    <row r="447" ht="38.25" spans="1:25">
      <c r="A447" s="569" t="s">
        <v>1234</v>
      </c>
      <c r="B447" s="569" t="s">
        <v>1235</v>
      </c>
      <c r="C447" s="569" t="s">
        <v>132</v>
      </c>
      <c r="D447" s="569" t="s">
        <v>1236</v>
      </c>
      <c r="E447" s="577" t="s">
        <v>134</v>
      </c>
      <c r="F447" s="570">
        <v>13</v>
      </c>
      <c r="G447" s="579">
        <v>82.9</v>
      </c>
      <c r="H447" s="600">
        <v>104.03</v>
      </c>
      <c r="I447" s="600">
        <v>1352.39</v>
      </c>
      <c r="J447" s="612">
        <v>5.49923277734828e-5</v>
      </c>
      <c r="K447" s="613">
        <f t="shared" si="21"/>
        <v>0</v>
      </c>
      <c r="L447" s="610">
        <f t="shared" si="24"/>
        <v>1352.39</v>
      </c>
      <c r="M447" s="601"/>
      <c r="N447" s="601"/>
      <c r="O447" s="601"/>
      <c r="P447" s="601"/>
      <c r="Q447" s="601"/>
      <c r="R447" s="601"/>
      <c r="S447" s="601"/>
      <c r="T447" s="601"/>
      <c r="U447" s="601"/>
      <c r="V447" s="601"/>
      <c r="W447" s="601"/>
      <c r="X447" s="601"/>
      <c r="Y447" s="601"/>
    </row>
    <row r="448" ht="38.25" spans="1:25">
      <c r="A448" s="569" t="s">
        <v>1237</v>
      </c>
      <c r="B448" s="569" t="s">
        <v>1104</v>
      </c>
      <c r="C448" s="569" t="s">
        <v>139</v>
      </c>
      <c r="D448" s="569" t="s">
        <v>1105</v>
      </c>
      <c r="E448" s="577" t="s">
        <v>134</v>
      </c>
      <c r="F448" s="570">
        <v>15</v>
      </c>
      <c r="G448" s="579">
        <v>33.25</v>
      </c>
      <c r="H448" s="600">
        <v>41.72</v>
      </c>
      <c r="I448" s="600">
        <v>625.8</v>
      </c>
      <c r="J448" s="612">
        <v>2.54469485286386e-5</v>
      </c>
      <c r="K448" s="613">
        <f t="shared" si="21"/>
        <v>0</v>
      </c>
      <c r="L448" s="610">
        <f t="shared" si="24"/>
        <v>625.8</v>
      </c>
      <c r="M448" s="601"/>
      <c r="N448" s="601"/>
      <c r="O448" s="601"/>
      <c r="P448" s="601"/>
      <c r="Q448" s="601"/>
      <c r="R448" s="601"/>
      <c r="S448" s="601"/>
      <c r="T448" s="601"/>
      <c r="U448" s="601"/>
      <c r="V448" s="601"/>
      <c r="W448" s="601"/>
      <c r="X448" s="601"/>
      <c r="Y448" s="601"/>
    </row>
    <row r="449" ht="38.25" spans="1:25">
      <c r="A449" s="569" t="s">
        <v>1238</v>
      </c>
      <c r="B449" s="569" t="s">
        <v>1239</v>
      </c>
      <c r="C449" s="569" t="s">
        <v>132</v>
      </c>
      <c r="D449" s="569" t="s">
        <v>1240</v>
      </c>
      <c r="E449" s="577" t="s">
        <v>134</v>
      </c>
      <c r="F449" s="570">
        <v>11</v>
      </c>
      <c r="G449" s="579">
        <v>69.03</v>
      </c>
      <c r="H449" s="600">
        <v>86.62</v>
      </c>
      <c r="I449" s="600">
        <v>952.82</v>
      </c>
      <c r="J449" s="612">
        <v>3.87445853260745e-5</v>
      </c>
      <c r="K449" s="613">
        <f t="shared" si="21"/>
        <v>0</v>
      </c>
      <c r="L449" s="610">
        <f t="shared" si="24"/>
        <v>952.82</v>
      </c>
      <c r="M449" s="601"/>
      <c r="N449" s="601"/>
      <c r="O449" s="601"/>
      <c r="P449" s="601"/>
      <c r="Q449" s="601"/>
      <c r="R449" s="601"/>
      <c r="S449" s="601"/>
      <c r="T449" s="601"/>
      <c r="U449" s="601"/>
      <c r="V449" s="601"/>
      <c r="W449" s="601"/>
      <c r="X449" s="601"/>
      <c r="Y449" s="601"/>
    </row>
    <row r="450" ht="38.25" spans="1:25">
      <c r="A450" s="569" t="s">
        <v>1241</v>
      </c>
      <c r="B450" s="569" t="s">
        <v>1242</v>
      </c>
      <c r="C450" s="569" t="s">
        <v>139</v>
      </c>
      <c r="D450" s="569" t="s">
        <v>1243</v>
      </c>
      <c r="E450" s="577" t="s">
        <v>134</v>
      </c>
      <c r="F450" s="570">
        <v>131</v>
      </c>
      <c r="G450" s="579">
        <v>27.14</v>
      </c>
      <c r="H450" s="600">
        <v>34.05</v>
      </c>
      <c r="I450" s="600">
        <v>4460.55</v>
      </c>
      <c r="J450" s="612">
        <v>0.000181379652060433</v>
      </c>
      <c r="K450" s="613">
        <f t="shared" si="21"/>
        <v>0</v>
      </c>
      <c r="L450" s="610">
        <f t="shared" si="24"/>
        <v>4460.55</v>
      </c>
      <c r="M450" s="601"/>
      <c r="N450" s="601"/>
      <c r="O450" s="601"/>
      <c r="P450" s="601"/>
      <c r="Q450" s="601"/>
      <c r="R450" s="601"/>
      <c r="S450" s="601"/>
      <c r="T450" s="601"/>
      <c r="U450" s="601"/>
      <c r="V450" s="601"/>
      <c r="W450" s="601"/>
      <c r="X450" s="601"/>
      <c r="Y450" s="601"/>
    </row>
    <row r="451" ht="25.5" spans="1:25">
      <c r="A451" s="569" t="s">
        <v>1244</v>
      </c>
      <c r="B451" s="569" t="s">
        <v>1119</v>
      </c>
      <c r="C451" s="569" t="s">
        <v>132</v>
      </c>
      <c r="D451" s="569" t="s">
        <v>1120</v>
      </c>
      <c r="E451" s="577" t="s">
        <v>134</v>
      </c>
      <c r="F451" s="570">
        <v>456</v>
      </c>
      <c r="G451" s="579">
        <v>11.38</v>
      </c>
      <c r="H451" s="600">
        <v>14.28</v>
      </c>
      <c r="I451" s="600">
        <v>6511.68</v>
      </c>
      <c r="J451" s="612">
        <v>0.000264784892609404</v>
      </c>
      <c r="K451" s="613">
        <f t="shared" si="21"/>
        <v>0</v>
      </c>
      <c r="L451" s="610">
        <f t="shared" si="24"/>
        <v>6511.68</v>
      </c>
      <c r="M451" s="601"/>
      <c r="N451" s="601"/>
      <c r="O451" s="601"/>
      <c r="P451" s="601"/>
      <c r="Q451" s="601"/>
      <c r="R451" s="601"/>
      <c r="S451" s="601"/>
      <c r="T451" s="601"/>
      <c r="U451" s="601"/>
      <c r="V451" s="601"/>
      <c r="W451" s="601"/>
      <c r="X451" s="601"/>
      <c r="Y451" s="601"/>
    </row>
    <row r="452" ht="25.5" spans="1:25">
      <c r="A452" s="569" t="s">
        <v>1245</v>
      </c>
      <c r="B452" s="569" t="s">
        <v>1125</v>
      </c>
      <c r="C452" s="569" t="s">
        <v>132</v>
      </c>
      <c r="D452" s="569" t="s">
        <v>1126</v>
      </c>
      <c r="E452" s="577" t="s">
        <v>134</v>
      </c>
      <c r="F452" s="570">
        <v>125</v>
      </c>
      <c r="G452" s="579">
        <v>13.99</v>
      </c>
      <c r="H452" s="600">
        <v>17.55</v>
      </c>
      <c r="I452" s="600">
        <v>2193.75</v>
      </c>
      <c r="J452" s="612">
        <v>8.92046074380007e-5</v>
      </c>
      <c r="K452" s="613">
        <f t="shared" si="21"/>
        <v>0</v>
      </c>
      <c r="L452" s="610">
        <f t="shared" si="24"/>
        <v>2193.75</v>
      </c>
      <c r="M452" s="601"/>
      <c r="N452" s="601"/>
      <c r="O452" s="601"/>
      <c r="P452" s="601"/>
      <c r="Q452" s="601"/>
      <c r="R452" s="601"/>
      <c r="S452" s="601"/>
      <c r="T452" s="601"/>
      <c r="U452" s="601"/>
      <c r="V452" s="601"/>
      <c r="W452" s="601"/>
      <c r="X452" s="601"/>
      <c r="Y452" s="601"/>
    </row>
    <row r="453" ht="25.5" spans="1:25">
      <c r="A453" s="569" t="s">
        <v>1246</v>
      </c>
      <c r="B453" s="569" t="s">
        <v>859</v>
      </c>
      <c r="C453" s="569" t="s">
        <v>132</v>
      </c>
      <c r="D453" s="569" t="s">
        <v>860</v>
      </c>
      <c r="E453" s="577" t="s">
        <v>134</v>
      </c>
      <c r="F453" s="570">
        <v>581</v>
      </c>
      <c r="G453" s="579">
        <v>25.31</v>
      </c>
      <c r="H453" s="600">
        <v>31.76</v>
      </c>
      <c r="I453" s="600">
        <v>18452.56</v>
      </c>
      <c r="J453" s="612">
        <v>0.000750337718986281</v>
      </c>
      <c r="K453" s="613">
        <f t="shared" si="21"/>
        <v>0</v>
      </c>
      <c r="L453" s="610">
        <f t="shared" si="24"/>
        <v>18452.56</v>
      </c>
      <c r="M453" s="601"/>
      <c r="N453" s="601"/>
      <c r="O453" s="601"/>
      <c r="P453" s="601"/>
      <c r="Q453" s="601"/>
      <c r="R453" s="601"/>
      <c r="S453" s="601"/>
      <c r="T453" s="601"/>
      <c r="U453" s="601"/>
      <c r="V453" s="601"/>
      <c r="W453" s="601"/>
      <c r="X453" s="601"/>
      <c r="Y453" s="601"/>
    </row>
    <row r="454" ht="15" spans="1:25">
      <c r="A454" s="104" t="s">
        <v>1247</v>
      </c>
      <c r="B454" s="104" t="s">
        <v>862</v>
      </c>
      <c r="C454" s="104" t="s">
        <v>796</v>
      </c>
      <c r="D454" s="104" t="s">
        <v>863</v>
      </c>
      <c r="E454" s="105" t="s">
        <v>334</v>
      </c>
      <c r="F454" s="103">
        <v>2324</v>
      </c>
      <c r="G454" s="106">
        <v>0.06</v>
      </c>
      <c r="H454" s="126">
        <v>0.07</v>
      </c>
      <c r="I454" s="126">
        <v>162.68</v>
      </c>
      <c r="J454" s="614">
        <v>6.61506805151634e-6</v>
      </c>
      <c r="K454" s="613">
        <f t="shared" si="21"/>
        <v>0</v>
      </c>
      <c r="L454" s="610">
        <f t="shared" si="24"/>
        <v>162.68</v>
      </c>
      <c r="M454" s="601"/>
      <c r="N454" s="601"/>
      <c r="O454" s="601"/>
      <c r="P454" s="601"/>
      <c r="Q454" s="601"/>
      <c r="R454" s="601"/>
      <c r="S454" s="601"/>
      <c r="T454" s="601"/>
      <c r="U454" s="601"/>
      <c r="V454" s="601"/>
      <c r="W454" s="601"/>
      <c r="X454" s="601"/>
      <c r="Y454" s="601"/>
    </row>
    <row r="455" ht="25.5" spans="1:25">
      <c r="A455" s="569" t="s">
        <v>1248</v>
      </c>
      <c r="B455" s="569" t="s">
        <v>865</v>
      </c>
      <c r="C455" s="569" t="s">
        <v>132</v>
      </c>
      <c r="D455" s="569" t="s">
        <v>866</v>
      </c>
      <c r="E455" s="577" t="s">
        <v>134</v>
      </c>
      <c r="F455" s="570">
        <v>1162</v>
      </c>
      <c r="G455" s="579">
        <v>0.12</v>
      </c>
      <c r="H455" s="600">
        <v>0.15</v>
      </c>
      <c r="I455" s="600">
        <v>174.3</v>
      </c>
      <c r="J455" s="612">
        <v>7.08757291233893e-6</v>
      </c>
      <c r="K455" s="613">
        <f t="shared" si="21"/>
        <v>0</v>
      </c>
      <c r="L455" s="610">
        <f t="shared" si="24"/>
        <v>174.3</v>
      </c>
      <c r="M455" s="601"/>
      <c r="N455" s="601"/>
      <c r="O455" s="601"/>
      <c r="P455" s="601"/>
      <c r="Q455" s="601"/>
      <c r="R455" s="601"/>
      <c r="S455" s="601"/>
      <c r="T455" s="601"/>
      <c r="U455" s="601"/>
      <c r="V455" s="601"/>
      <c r="W455" s="601"/>
      <c r="X455" s="601"/>
      <c r="Y455" s="601"/>
    </row>
    <row r="456" ht="38.25" spans="1:25">
      <c r="A456" s="569" t="s">
        <v>1249</v>
      </c>
      <c r="B456" s="569" t="s">
        <v>1250</v>
      </c>
      <c r="C456" s="569" t="s">
        <v>132</v>
      </c>
      <c r="D456" s="569" t="s">
        <v>1251</v>
      </c>
      <c r="E456" s="577" t="s">
        <v>134</v>
      </c>
      <c r="F456" s="570">
        <v>456</v>
      </c>
      <c r="G456" s="579">
        <v>3.33</v>
      </c>
      <c r="H456" s="600">
        <v>4.17</v>
      </c>
      <c r="I456" s="600">
        <v>1901.52</v>
      </c>
      <c r="J456" s="612">
        <v>7.73216388082084e-5</v>
      </c>
      <c r="K456" s="613">
        <f t="shared" si="21"/>
        <v>0</v>
      </c>
      <c r="L456" s="610">
        <f t="shared" si="24"/>
        <v>1901.52</v>
      </c>
      <c r="M456" s="601"/>
      <c r="N456" s="601"/>
      <c r="O456" s="601"/>
      <c r="P456" s="601"/>
      <c r="Q456" s="601"/>
      <c r="R456" s="601"/>
      <c r="S456" s="601"/>
      <c r="T456" s="601"/>
      <c r="U456" s="601"/>
      <c r="V456" s="601"/>
      <c r="W456" s="601"/>
      <c r="X456" s="601"/>
      <c r="Y456" s="601"/>
    </row>
    <row r="457" ht="38.25" spans="1:25">
      <c r="A457" s="569" t="s">
        <v>1252</v>
      </c>
      <c r="B457" s="569" t="s">
        <v>1253</v>
      </c>
      <c r="C457" s="569" t="s">
        <v>132</v>
      </c>
      <c r="D457" s="569" t="s">
        <v>1254</v>
      </c>
      <c r="E457" s="577" t="s">
        <v>134</v>
      </c>
      <c r="F457" s="570">
        <v>125</v>
      </c>
      <c r="G457" s="579">
        <v>6.47</v>
      </c>
      <c r="H457" s="600">
        <v>8.11</v>
      </c>
      <c r="I457" s="600">
        <v>1013.75</v>
      </c>
      <c r="J457" s="612">
        <v>4.12221861152243e-5</v>
      </c>
      <c r="K457" s="613">
        <f t="shared" ref="K457:K520" si="25">$I$1051</f>
        <v>0</v>
      </c>
      <c r="L457" s="610">
        <f t="shared" si="24"/>
        <v>1013.75</v>
      </c>
      <c r="M457" s="601"/>
      <c r="N457" s="601"/>
      <c r="O457" s="601"/>
      <c r="P457" s="601"/>
      <c r="Q457" s="601"/>
      <c r="R457" s="601"/>
      <c r="S457" s="601"/>
      <c r="T457" s="601"/>
      <c r="U457" s="601"/>
      <c r="V457" s="601"/>
      <c r="W457" s="601"/>
      <c r="X457" s="601"/>
      <c r="Y457" s="601"/>
    </row>
    <row r="458" ht="38.25" spans="1:25">
      <c r="A458" s="569" t="s">
        <v>1255</v>
      </c>
      <c r="B458" s="569" t="s">
        <v>1256</v>
      </c>
      <c r="C458" s="569" t="s">
        <v>139</v>
      </c>
      <c r="D458" s="569" t="s">
        <v>1257</v>
      </c>
      <c r="E458" s="577" t="s">
        <v>204</v>
      </c>
      <c r="F458" s="570">
        <v>140</v>
      </c>
      <c r="G458" s="579">
        <v>14.8</v>
      </c>
      <c r="H458" s="600">
        <v>18.57</v>
      </c>
      <c r="I458" s="600">
        <v>2599.8</v>
      </c>
      <c r="J458" s="612">
        <v>0.000105715846571995</v>
      </c>
      <c r="K458" s="613">
        <f t="shared" si="25"/>
        <v>0</v>
      </c>
      <c r="L458" s="610">
        <f t="shared" si="24"/>
        <v>2599.8</v>
      </c>
      <c r="M458" s="601"/>
      <c r="N458" s="601"/>
      <c r="O458" s="601"/>
      <c r="P458" s="601"/>
      <c r="Q458" s="601"/>
      <c r="R458" s="601"/>
      <c r="S458" s="601"/>
      <c r="T458" s="601"/>
      <c r="U458" s="601"/>
      <c r="V458" s="601"/>
      <c r="W458" s="601"/>
      <c r="X458" s="601"/>
      <c r="Y458" s="601"/>
    </row>
    <row r="459" ht="15" spans="1:25">
      <c r="A459" s="569" t="s">
        <v>1258</v>
      </c>
      <c r="B459" s="569" t="s">
        <v>1259</v>
      </c>
      <c r="C459" s="569" t="s">
        <v>149</v>
      </c>
      <c r="D459" s="569" t="s">
        <v>1260</v>
      </c>
      <c r="E459" s="577" t="s">
        <v>204</v>
      </c>
      <c r="F459" s="570">
        <v>140</v>
      </c>
      <c r="G459" s="579">
        <v>76.33</v>
      </c>
      <c r="H459" s="600">
        <v>95.78</v>
      </c>
      <c r="I459" s="600">
        <v>13409.2</v>
      </c>
      <c r="J459" s="612">
        <v>0.000545259223729978</v>
      </c>
      <c r="K459" s="613">
        <f t="shared" si="25"/>
        <v>0</v>
      </c>
      <c r="L459" s="610">
        <f t="shared" si="24"/>
        <v>13409.2</v>
      </c>
      <c r="M459" s="601"/>
      <c r="N459" s="601"/>
      <c r="O459" s="601"/>
      <c r="P459" s="601"/>
      <c r="Q459" s="601"/>
      <c r="R459" s="601"/>
      <c r="S459" s="601"/>
      <c r="T459" s="601"/>
      <c r="U459" s="601"/>
      <c r="V459" s="601"/>
      <c r="W459" s="601"/>
      <c r="X459" s="601"/>
      <c r="Y459" s="601"/>
    </row>
    <row r="460" ht="51" spans="1:25">
      <c r="A460" s="569" t="s">
        <v>1261</v>
      </c>
      <c r="B460" s="569" t="s">
        <v>1262</v>
      </c>
      <c r="C460" s="569" t="s">
        <v>132</v>
      </c>
      <c r="D460" s="569" t="s">
        <v>1263</v>
      </c>
      <c r="E460" s="577" t="s">
        <v>134</v>
      </c>
      <c r="F460" s="570">
        <v>6</v>
      </c>
      <c r="G460" s="579">
        <v>1081.08</v>
      </c>
      <c r="H460" s="600">
        <v>1356.64</v>
      </c>
      <c r="I460" s="600">
        <v>8139.84</v>
      </c>
      <c r="J460" s="612">
        <v>0.000330990874898296</v>
      </c>
      <c r="K460" s="613">
        <f t="shared" si="25"/>
        <v>0</v>
      </c>
      <c r="L460" s="610">
        <f t="shared" si="24"/>
        <v>8139.84</v>
      </c>
      <c r="M460" s="601"/>
      <c r="N460" s="601"/>
      <c r="O460" s="601"/>
      <c r="P460" s="601"/>
      <c r="Q460" s="601"/>
      <c r="R460" s="601"/>
      <c r="S460" s="601"/>
      <c r="T460" s="601"/>
      <c r="U460" s="601"/>
      <c r="V460" s="601"/>
      <c r="W460" s="601"/>
      <c r="X460" s="601"/>
      <c r="Y460" s="601"/>
    </row>
    <row r="461" ht="15" spans="1:25">
      <c r="A461" s="569" t="s">
        <v>1264</v>
      </c>
      <c r="B461" s="569" t="s">
        <v>1265</v>
      </c>
      <c r="C461" s="569" t="s">
        <v>149</v>
      </c>
      <c r="D461" s="569" t="s">
        <v>1266</v>
      </c>
      <c r="E461" s="577" t="s">
        <v>204</v>
      </c>
      <c r="F461" s="570">
        <v>5612</v>
      </c>
      <c r="G461" s="579">
        <v>3.84</v>
      </c>
      <c r="H461" s="600">
        <v>4.81</v>
      </c>
      <c r="I461" s="600">
        <v>26993.72</v>
      </c>
      <c r="J461" s="612">
        <v>0.00109764749670259</v>
      </c>
      <c r="K461" s="613">
        <f t="shared" si="25"/>
        <v>0</v>
      </c>
      <c r="L461" s="610">
        <f t="shared" si="24"/>
        <v>26993.72</v>
      </c>
      <c r="M461" s="601"/>
      <c r="N461" s="601"/>
      <c r="O461" s="601"/>
      <c r="P461" s="601"/>
      <c r="Q461" s="601"/>
      <c r="R461" s="601"/>
      <c r="S461" s="601"/>
      <c r="T461" s="601"/>
      <c r="U461" s="601"/>
      <c r="V461" s="601"/>
      <c r="W461" s="601"/>
      <c r="X461" s="601"/>
      <c r="Y461" s="601"/>
    </row>
    <row r="462" ht="25.5" spans="1:25">
      <c r="A462" s="569" t="s">
        <v>1267</v>
      </c>
      <c r="B462" s="569" t="s">
        <v>1268</v>
      </c>
      <c r="C462" s="569" t="s">
        <v>132</v>
      </c>
      <c r="D462" s="569" t="s">
        <v>1269</v>
      </c>
      <c r="E462" s="577" t="s">
        <v>204</v>
      </c>
      <c r="F462" s="570">
        <v>50</v>
      </c>
      <c r="G462" s="579">
        <v>14.83</v>
      </c>
      <c r="H462" s="600">
        <v>18.61</v>
      </c>
      <c r="I462" s="600">
        <v>930.5</v>
      </c>
      <c r="J462" s="612">
        <v>3.78369856278335e-5</v>
      </c>
      <c r="K462" s="613">
        <f t="shared" si="25"/>
        <v>0</v>
      </c>
      <c r="L462" s="610">
        <f t="shared" si="24"/>
        <v>930.5</v>
      </c>
      <c r="M462" s="601"/>
      <c r="N462" s="601"/>
      <c r="O462" s="601"/>
      <c r="P462" s="601"/>
      <c r="Q462" s="601"/>
      <c r="R462" s="601"/>
      <c r="S462" s="601"/>
      <c r="T462" s="601"/>
      <c r="U462" s="601"/>
      <c r="V462" s="601"/>
      <c r="W462" s="601"/>
      <c r="X462" s="601"/>
      <c r="Y462" s="601"/>
    </row>
    <row r="463" ht="25.5" spans="1:25">
      <c r="A463" s="569" t="s">
        <v>1270</v>
      </c>
      <c r="B463" s="569" t="s">
        <v>1271</v>
      </c>
      <c r="C463" s="569" t="s">
        <v>132</v>
      </c>
      <c r="D463" s="569" t="s">
        <v>1272</v>
      </c>
      <c r="E463" s="577" t="s">
        <v>204</v>
      </c>
      <c r="F463" s="570">
        <v>90</v>
      </c>
      <c r="G463" s="579">
        <v>20.31</v>
      </c>
      <c r="H463" s="600">
        <v>25.48</v>
      </c>
      <c r="I463" s="600">
        <v>2293.2</v>
      </c>
      <c r="J463" s="612">
        <v>9.32485496418568e-5</v>
      </c>
      <c r="K463" s="613">
        <f t="shared" si="25"/>
        <v>0</v>
      </c>
      <c r="L463" s="610">
        <f t="shared" si="24"/>
        <v>2293.2</v>
      </c>
      <c r="M463" s="601"/>
      <c r="N463" s="601"/>
      <c r="O463" s="601"/>
      <c r="P463" s="601"/>
      <c r="Q463" s="601"/>
      <c r="R463" s="601"/>
      <c r="S463" s="601"/>
      <c r="T463" s="601"/>
      <c r="U463" s="601"/>
      <c r="V463" s="601"/>
      <c r="W463" s="601"/>
      <c r="X463" s="601"/>
      <c r="Y463" s="601"/>
    </row>
    <row r="464" ht="25.5" spans="1:25">
      <c r="A464" s="569" t="s">
        <v>1273</v>
      </c>
      <c r="B464" s="569" t="s">
        <v>1274</v>
      </c>
      <c r="C464" s="569" t="s">
        <v>132</v>
      </c>
      <c r="D464" s="569" t="s">
        <v>1275</v>
      </c>
      <c r="E464" s="577" t="s">
        <v>204</v>
      </c>
      <c r="F464" s="570">
        <v>160</v>
      </c>
      <c r="G464" s="579">
        <v>24.04</v>
      </c>
      <c r="H464" s="600">
        <v>30.16</v>
      </c>
      <c r="I464" s="600">
        <v>4825.6</v>
      </c>
      <c r="J464" s="612">
        <v>0.000196223705368805</v>
      </c>
      <c r="K464" s="613">
        <f t="shared" si="25"/>
        <v>0</v>
      </c>
      <c r="L464" s="610">
        <f t="shared" si="24"/>
        <v>4825.6</v>
      </c>
      <c r="M464" s="601"/>
      <c r="N464" s="601"/>
      <c r="O464" s="601"/>
      <c r="P464" s="601"/>
      <c r="Q464" s="601"/>
      <c r="R464" s="601"/>
      <c r="S464" s="601"/>
      <c r="T464" s="601"/>
      <c r="U464" s="601"/>
      <c r="V464" s="601"/>
      <c r="W464" s="601"/>
      <c r="X464" s="601"/>
      <c r="Y464" s="601"/>
    </row>
    <row r="465" ht="38.25" spans="1:25">
      <c r="A465" s="569" t="s">
        <v>1276</v>
      </c>
      <c r="B465" s="569" t="s">
        <v>1277</v>
      </c>
      <c r="C465" s="569" t="s">
        <v>132</v>
      </c>
      <c r="D465" s="569" t="s">
        <v>1278</v>
      </c>
      <c r="E465" s="577" t="s">
        <v>204</v>
      </c>
      <c r="F465" s="570">
        <v>161</v>
      </c>
      <c r="G465" s="579">
        <v>12.15</v>
      </c>
      <c r="H465" s="600">
        <v>15.24</v>
      </c>
      <c r="I465" s="600">
        <v>2453.64</v>
      </c>
      <c r="J465" s="612">
        <v>9.97725324189977e-5</v>
      </c>
      <c r="K465" s="613">
        <f t="shared" si="25"/>
        <v>0</v>
      </c>
      <c r="L465" s="610">
        <f t="shared" si="24"/>
        <v>2453.64</v>
      </c>
      <c r="M465" s="601"/>
      <c r="N465" s="601"/>
      <c r="O465" s="601"/>
      <c r="P465" s="601"/>
      <c r="Q465" s="601"/>
      <c r="R465" s="601"/>
      <c r="S465" s="601"/>
      <c r="T465" s="601"/>
      <c r="U465" s="601"/>
      <c r="V465" s="601"/>
      <c r="W465" s="601"/>
      <c r="X465" s="601"/>
      <c r="Y465" s="601"/>
    </row>
    <row r="466" ht="25.5" spans="1:25">
      <c r="A466" s="569" t="s">
        <v>1279</v>
      </c>
      <c r="B466" s="569" t="s">
        <v>1280</v>
      </c>
      <c r="C466" s="569" t="s">
        <v>132</v>
      </c>
      <c r="D466" s="569" t="s">
        <v>1281</v>
      </c>
      <c r="E466" s="577" t="s">
        <v>134</v>
      </c>
      <c r="F466" s="570">
        <v>1</v>
      </c>
      <c r="G466" s="579">
        <v>4254.61</v>
      </c>
      <c r="H466" s="600">
        <v>5339.11</v>
      </c>
      <c r="I466" s="600">
        <v>5339.11</v>
      </c>
      <c r="J466" s="612">
        <v>0.000217104597888686</v>
      </c>
      <c r="K466" s="613">
        <f t="shared" si="25"/>
        <v>0</v>
      </c>
      <c r="L466" s="610">
        <f t="shared" si="24"/>
        <v>5339.11</v>
      </c>
      <c r="M466" s="601"/>
      <c r="N466" s="601"/>
      <c r="O466" s="601"/>
      <c r="P466" s="601"/>
      <c r="Q466" s="601"/>
      <c r="R466" s="601"/>
      <c r="S466" s="601"/>
      <c r="T466" s="601"/>
      <c r="U466" s="601"/>
      <c r="V466" s="601"/>
      <c r="W466" s="601"/>
      <c r="X466" s="601"/>
      <c r="Y466" s="601"/>
    </row>
    <row r="467" ht="25.5" spans="1:25">
      <c r="A467" s="569" t="s">
        <v>1282</v>
      </c>
      <c r="B467" s="569" t="s">
        <v>1283</v>
      </c>
      <c r="C467" s="569" t="s">
        <v>132</v>
      </c>
      <c r="D467" s="569" t="s">
        <v>1284</v>
      </c>
      <c r="E467" s="577" t="s">
        <v>204</v>
      </c>
      <c r="F467" s="570">
        <v>5244</v>
      </c>
      <c r="G467" s="579">
        <v>7.61</v>
      </c>
      <c r="H467" s="600">
        <v>9.54</v>
      </c>
      <c r="I467" s="600">
        <v>50027.76</v>
      </c>
      <c r="J467" s="612">
        <v>0.00203428225267351</v>
      </c>
      <c r="K467" s="613">
        <f t="shared" si="25"/>
        <v>0</v>
      </c>
      <c r="L467" s="610">
        <f t="shared" si="24"/>
        <v>50027.76</v>
      </c>
      <c r="M467" s="601"/>
      <c r="N467" s="601"/>
      <c r="O467" s="601"/>
      <c r="P467" s="601"/>
      <c r="Q467" s="601"/>
      <c r="R467" s="601"/>
      <c r="S467" s="601"/>
      <c r="T467" s="601"/>
      <c r="U467" s="601"/>
      <c r="V467" s="601"/>
      <c r="W467" s="601"/>
      <c r="X467" s="601"/>
      <c r="Y467" s="601"/>
    </row>
    <row r="468" ht="25.5" spans="1:25">
      <c r="A468" s="569" t="s">
        <v>1285</v>
      </c>
      <c r="B468" s="569" t="s">
        <v>1286</v>
      </c>
      <c r="C468" s="569" t="s">
        <v>132</v>
      </c>
      <c r="D468" s="569" t="s">
        <v>1287</v>
      </c>
      <c r="E468" s="577" t="s">
        <v>204</v>
      </c>
      <c r="F468" s="570">
        <v>640</v>
      </c>
      <c r="G468" s="579">
        <v>24.19</v>
      </c>
      <c r="H468" s="600">
        <v>30.35</v>
      </c>
      <c r="I468" s="600">
        <v>19424</v>
      </c>
      <c r="J468" s="612">
        <v>0.000789839450655602</v>
      </c>
      <c r="K468" s="613">
        <f t="shared" si="25"/>
        <v>0</v>
      </c>
      <c r="L468" s="610">
        <f t="shared" si="24"/>
        <v>19424</v>
      </c>
      <c r="M468" s="601"/>
      <c r="N468" s="601"/>
      <c r="O468" s="601"/>
      <c r="P468" s="601"/>
      <c r="Q468" s="601"/>
      <c r="R468" s="601"/>
      <c r="S468" s="601"/>
      <c r="T468" s="601"/>
      <c r="U468" s="601"/>
      <c r="V468" s="601"/>
      <c r="W468" s="601"/>
      <c r="X468" s="601"/>
      <c r="Y468" s="601"/>
    </row>
    <row r="469" ht="38.25" spans="1:25">
      <c r="A469" s="569" t="s">
        <v>1288</v>
      </c>
      <c r="B469" s="569" t="s">
        <v>1289</v>
      </c>
      <c r="C469" s="569" t="s">
        <v>132</v>
      </c>
      <c r="D469" s="569" t="s">
        <v>1290</v>
      </c>
      <c r="E469" s="577" t="s">
        <v>134</v>
      </c>
      <c r="F469" s="570">
        <v>4</v>
      </c>
      <c r="G469" s="579">
        <v>61302.17</v>
      </c>
      <c r="H469" s="600">
        <v>76928.09</v>
      </c>
      <c r="I469" s="600">
        <v>307712.36</v>
      </c>
      <c r="J469" s="612">
        <v>0.0125125289014795</v>
      </c>
      <c r="K469" s="613">
        <f t="shared" si="25"/>
        <v>0</v>
      </c>
      <c r="L469" s="610">
        <f t="shared" si="24"/>
        <v>307712.36</v>
      </c>
      <c r="M469" s="601"/>
      <c r="N469" s="601"/>
      <c r="O469" s="601"/>
      <c r="P469" s="601"/>
      <c r="Q469" s="601"/>
      <c r="R469" s="601"/>
      <c r="S469" s="601"/>
      <c r="T469" s="601"/>
      <c r="U469" s="601"/>
      <c r="V469" s="601"/>
      <c r="W469" s="601"/>
      <c r="X469" s="601"/>
      <c r="Y469" s="601"/>
    </row>
    <row r="470" ht="38.25" spans="1:25">
      <c r="A470" s="569" t="s">
        <v>1291</v>
      </c>
      <c r="B470" s="569" t="s">
        <v>1292</v>
      </c>
      <c r="C470" s="569" t="s">
        <v>132</v>
      </c>
      <c r="D470" s="569" t="s">
        <v>1293</v>
      </c>
      <c r="E470" s="577" t="s">
        <v>134</v>
      </c>
      <c r="F470" s="570">
        <v>1</v>
      </c>
      <c r="G470" s="579">
        <v>3673.31</v>
      </c>
      <c r="H470" s="600">
        <v>4609.63</v>
      </c>
      <c r="I470" s="600">
        <v>4609.63</v>
      </c>
      <c r="J470" s="612">
        <v>0.00018744170237467</v>
      </c>
      <c r="K470" s="613">
        <f t="shared" si="25"/>
        <v>0</v>
      </c>
      <c r="L470" s="610">
        <f t="shared" si="24"/>
        <v>4609.63</v>
      </c>
      <c r="M470" s="601"/>
      <c r="N470" s="601"/>
      <c r="O470" s="601"/>
      <c r="P470" s="601"/>
      <c r="Q470" s="601"/>
      <c r="R470" s="601"/>
      <c r="S470" s="601"/>
      <c r="T470" s="601"/>
      <c r="U470" s="601"/>
      <c r="V470" s="601"/>
      <c r="W470" s="601"/>
      <c r="X470" s="601"/>
      <c r="Y470" s="601"/>
    </row>
    <row r="471" ht="25.5" spans="1:25">
      <c r="A471" s="569" t="s">
        <v>1294</v>
      </c>
      <c r="B471" s="569" t="s">
        <v>1295</v>
      </c>
      <c r="C471" s="569" t="s">
        <v>77</v>
      </c>
      <c r="D471" s="569" t="s">
        <v>1296</v>
      </c>
      <c r="E471" s="577">
        <v>0</v>
      </c>
      <c r="F471" s="570">
        <v>66</v>
      </c>
      <c r="G471" s="579">
        <v>887.22</v>
      </c>
      <c r="H471" s="600">
        <v>1113.37</v>
      </c>
      <c r="I471" s="600">
        <v>73482.42</v>
      </c>
      <c r="J471" s="612">
        <v>0.00298802070869256</v>
      </c>
      <c r="K471" s="613">
        <f t="shared" si="25"/>
        <v>0</v>
      </c>
      <c r="L471" s="610">
        <f t="shared" si="24"/>
        <v>73482.42</v>
      </c>
      <c r="M471" s="601"/>
      <c r="N471" s="601"/>
      <c r="O471" s="601"/>
      <c r="P471" s="601"/>
      <c r="Q471" s="601"/>
      <c r="R471" s="601"/>
      <c r="S471" s="601"/>
      <c r="T471" s="601"/>
      <c r="U471" s="601"/>
      <c r="V471" s="601"/>
      <c r="W471" s="601"/>
      <c r="X471" s="601"/>
      <c r="Y471" s="601"/>
    </row>
    <row r="472" ht="25.5" spans="1:25">
      <c r="A472" s="569" t="s">
        <v>1297</v>
      </c>
      <c r="B472" s="569" t="s">
        <v>1298</v>
      </c>
      <c r="C472" s="569" t="s">
        <v>132</v>
      </c>
      <c r="D472" s="569" t="s">
        <v>1299</v>
      </c>
      <c r="E472" s="577" t="s">
        <v>134</v>
      </c>
      <c r="F472" s="570">
        <v>1</v>
      </c>
      <c r="G472" s="579">
        <v>5361.98</v>
      </c>
      <c r="H472" s="600">
        <v>6728.74</v>
      </c>
      <c r="I472" s="600">
        <v>6728.74</v>
      </c>
      <c r="J472" s="612">
        <v>0.00027361121834866</v>
      </c>
      <c r="K472" s="613">
        <f t="shared" si="25"/>
        <v>0</v>
      </c>
      <c r="L472" s="610">
        <f t="shared" si="24"/>
        <v>6728.74</v>
      </c>
      <c r="M472" s="601"/>
      <c r="N472" s="601"/>
      <c r="O472" s="601"/>
      <c r="P472" s="601"/>
      <c r="Q472" s="601"/>
      <c r="R472" s="601"/>
      <c r="S472" s="601"/>
      <c r="T472" s="601"/>
      <c r="U472" s="601"/>
      <c r="V472" s="601"/>
      <c r="W472" s="601"/>
      <c r="X472" s="601"/>
      <c r="Y472" s="601"/>
    </row>
    <row r="473" ht="25.5" spans="1:25">
      <c r="A473" s="569" t="s">
        <v>1300</v>
      </c>
      <c r="B473" s="569" t="s">
        <v>1301</v>
      </c>
      <c r="C473" s="569" t="s">
        <v>132</v>
      </c>
      <c r="D473" s="569" t="s">
        <v>1302</v>
      </c>
      <c r="E473" s="577" t="s">
        <v>134</v>
      </c>
      <c r="F473" s="570">
        <v>2</v>
      </c>
      <c r="G473" s="579">
        <v>4602.15</v>
      </c>
      <c r="H473" s="600">
        <v>5775.23</v>
      </c>
      <c r="I473" s="600">
        <v>11550.46</v>
      </c>
      <c r="J473" s="612">
        <v>0.000469677151010065</v>
      </c>
      <c r="K473" s="613">
        <f t="shared" si="25"/>
        <v>0</v>
      </c>
      <c r="L473" s="610">
        <f t="shared" si="24"/>
        <v>11550.46</v>
      </c>
      <c r="M473" s="601"/>
      <c r="N473" s="601"/>
      <c r="O473" s="601"/>
      <c r="P473" s="601"/>
      <c r="Q473" s="601"/>
      <c r="R473" s="601"/>
      <c r="S473" s="601"/>
      <c r="T473" s="601"/>
      <c r="U473" s="601"/>
      <c r="V473" s="601"/>
      <c r="W473" s="601"/>
      <c r="X473" s="601"/>
      <c r="Y473" s="601"/>
    </row>
    <row r="474" ht="25.5" spans="1:25">
      <c r="A474" s="569" t="s">
        <v>1303</v>
      </c>
      <c r="B474" s="569" t="s">
        <v>1304</v>
      </c>
      <c r="C474" s="569" t="s">
        <v>132</v>
      </c>
      <c r="D474" s="569" t="s">
        <v>1305</v>
      </c>
      <c r="E474" s="577" t="s">
        <v>134</v>
      </c>
      <c r="F474" s="570">
        <v>1</v>
      </c>
      <c r="G474" s="579">
        <v>17561.97</v>
      </c>
      <c r="H474" s="600">
        <v>22038.51</v>
      </c>
      <c r="I474" s="600">
        <v>22038.51</v>
      </c>
      <c r="J474" s="612">
        <v>0.000896153450971375</v>
      </c>
      <c r="K474" s="613">
        <f t="shared" si="25"/>
        <v>0</v>
      </c>
      <c r="L474" s="610">
        <f t="shared" si="24"/>
        <v>22038.51</v>
      </c>
      <c r="M474" s="601"/>
      <c r="N474" s="601"/>
      <c r="O474" s="601"/>
      <c r="P474" s="601"/>
      <c r="Q474" s="601"/>
      <c r="R474" s="601"/>
      <c r="S474" s="601"/>
      <c r="T474" s="601"/>
      <c r="U474" s="601"/>
      <c r="V474" s="601"/>
      <c r="W474" s="601"/>
      <c r="X474" s="601"/>
      <c r="Y474" s="601"/>
    </row>
    <row r="475" ht="25.5" spans="1:25">
      <c r="A475" s="569" t="s">
        <v>1306</v>
      </c>
      <c r="B475" s="569" t="s">
        <v>1307</v>
      </c>
      <c r="C475" s="569" t="s">
        <v>132</v>
      </c>
      <c r="D475" s="569" t="s">
        <v>1308</v>
      </c>
      <c r="E475" s="577" t="s">
        <v>134</v>
      </c>
      <c r="F475" s="570">
        <v>2</v>
      </c>
      <c r="G475" s="579">
        <v>1132.98</v>
      </c>
      <c r="H475" s="600">
        <v>1421.77</v>
      </c>
      <c r="I475" s="600">
        <v>2843.54</v>
      </c>
      <c r="J475" s="612">
        <v>0.000115627062989973</v>
      </c>
      <c r="K475" s="613">
        <f t="shared" si="25"/>
        <v>0</v>
      </c>
      <c r="L475" s="610">
        <f t="shared" si="24"/>
        <v>2843.54</v>
      </c>
      <c r="M475" s="601"/>
      <c r="N475" s="601"/>
      <c r="O475" s="601"/>
      <c r="P475" s="601"/>
      <c r="Q475" s="601"/>
      <c r="R475" s="601"/>
      <c r="S475" s="601"/>
      <c r="T475" s="601"/>
      <c r="U475" s="601"/>
      <c r="V475" s="601"/>
      <c r="W475" s="601"/>
      <c r="X475" s="601"/>
      <c r="Y475" s="601"/>
    </row>
    <row r="476" ht="25.5" spans="1:25">
      <c r="A476" s="569" t="s">
        <v>1309</v>
      </c>
      <c r="B476" s="569" t="s">
        <v>1310</v>
      </c>
      <c r="C476" s="569" t="s">
        <v>132</v>
      </c>
      <c r="D476" s="569" t="s">
        <v>1311</v>
      </c>
      <c r="E476" s="577" t="s">
        <v>134</v>
      </c>
      <c r="F476" s="570">
        <v>6</v>
      </c>
      <c r="G476" s="579">
        <v>970.15</v>
      </c>
      <c r="H476" s="600">
        <v>1217.44</v>
      </c>
      <c r="I476" s="600">
        <v>7304.64</v>
      </c>
      <c r="J476" s="612">
        <v>0.00029702907973831</v>
      </c>
      <c r="K476" s="613">
        <f t="shared" si="25"/>
        <v>0</v>
      </c>
      <c r="L476" s="610">
        <f t="shared" si="24"/>
        <v>7304.64</v>
      </c>
      <c r="M476" s="601"/>
      <c r="N476" s="601"/>
      <c r="O476" s="601"/>
      <c r="P476" s="601"/>
      <c r="Q476" s="601"/>
      <c r="R476" s="601"/>
      <c r="S476" s="601"/>
      <c r="T476" s="601"/>
      <c r="U476" s="601"/>
      <c r="V476" s="601"/>
      <c r="W476" s="601"/>
      <c r="X476" s="601"/>
      <c r="Y476" s="601"/>
    </row>
    <row r="477" ht="25.5" spans="1:25">
      <c r="A477" s="569" t="s">
        <v>1312</v>
      </c>
      <c r="B477" s="569" t="s">
        <v>1313</v>
      </c>
      <c r="C477" s="569" t="s">
        <v>132</v>
      </c>
      <c r="D477" s="569" t="s">
        <v>1314</v>
      </c>
      <c r="E477" s="577" t="s">
        <v>134</v>
      </c>
      <c r="F477" s="570">
        <v>2</v>
      </c>
      <c r="G477" s="579">
        <v>1016.79</v>
      </c>
      <c r="H477" s="600">
        <v>1275.96</v>
      </c>
      <c r="I477" s="600">
        <v>2551.92</v>
      </c>
      <c r="J477" s="612">
        <v>0.00010376889883222</v>
      </c>
      <c r="K477" s="613">
        <f t="shared" si="25"/>
        <v>0</v>
      </c>
      <c r="L477" s="610">
        <f t="shared" si="24"/>
        <v>2551.92</v>
      </c>
      <c r="M477" s="601"/>
      <c r="N477" s="601"/>
      <c r="O477" s="601"/>
      <c r="P477" s="601"/>
      <c r="Q477" s="601"/>
      <c r="R477" s="601"/>
      <c r="S477" s="601"/>
      <c r="T477" s="601"/>
      <c r="U477" s="601"/>
      <c r="V477" s="601"/>
      <c r="W477" s="601"/>
      <c r="X477" s="601"/>
      <c r="Y477" s="601"/>
    </row>
    <row r="478" ht="25.5" spans="1:25">
      <c r="A478" s="569" t="s">
        <v>1315</v>
      </c>
      <c r="B478" s="569" t="s">
        <v>1316</v>
      </c>
      <c r="C478" s="569" t="s">
        <v>132</v>
      </c>
      <c r="D478" s="569" t="s">
        <v>1317</v>
      </c>
      <c r="E478" s="577" t="s">
        <v>134</v>
      </c>
      <c r="F478" s="570">
        <v>2</v>
      </c>
      <c r="G478" s="579">
        <v>1936.88</v>
      </c>
      <c r="H478" s="600">
        <v>2430.59</v>
      </c>
      <c r="I478" s="600">
        <v>4861.18</v>
      </c>
      <c r="J478" s="612">
        <v>0.000197670497360894</v>
      </c>
      <c r="K478" s="613">
        <f t="shared" si="25"/>
        <v>0</v>
      </c>
      <c r="L478" s="610">
        <f t="shared" si="24"/>
        <v>4861.18</v>
      </c>
      <c r="M478" s="601"/>
      <c r="N478" s="601"/>
      <c r="O478" s="601"/>
      <c r="P478" s="601"/>
      <c r="Q478" s="601"/>
      <c r="R478" s="601"/>
      <c r="S478" s="601"/>
      <c r="T478" s="601"/>
      <c r="U478" s="601"/>
      <c r="V478" s="601"/>
      <c r="W478" s="601"/>
      <c r="X478" s="601"/>
      <c r="Y478" s="601"/>
    </row>
    <row r="479" ht="25.5" spans="1:25">
      <c r="A479" s="569" t="s">
        <v>1318</v>
      </c>
      <c r="B479" s="569" t="s">
        <v>1319</v>
      </c>
      <c r="C479" s="569" t="s">
        <v>132</v>
      </c>
      <c r="D479" s="569" t="s">
        <v>1320</v>
      </c>
      <c r="E479" s="577" t="s">
        <v>134</v>
      </c>
      <c r="F479" s="570">
        <v>65</v>
      </c>
      <c r="G479" s="579">
        <v>588.85</v>
      </c>
      <c r="H479" s="600">
        <v>738.94</v>
      </c>
      <c r="I479" s="600">
        <v>48031.1</v>
      </c>
      <c r="J479" s="612">
        <v>0.00195309192948848</v>
      </c>
      <c r="K479" s="613">
        <f t="shared" si="25"/>
        <v>0</v>
      </c>
      <c r="L479" s="610">
        <f t="shared" si="24"/>
        <v>48031.1</v>
      </c>
      <c r="M479" s="601"/>
      <c r="N479" s="601"/>
      <c r="O479" s="601"/>
      <c r="P479" s="601"/>
      <c r="Q479" s="601"/>
      <c r="R479" s="601"/>
      <c r="S479" s="601"/>
      <c r="T479" s="601"/>
      <c r="U479" s="601"/>
      <c r="V479" s="601"/>
      <c r="W479" s="601"/>
      <c r="X479" s="601"/>
      <c r="Y479" s="601"/>
    </row>
    <row r="480" ht="25.5" spans="1:25">
      <c r="A480" s="569" t="s">
        <v>1321</v>
      </c>
      <c r="B480" s="569" t="s">
        <v>1322</v>
      </c>
      <c r="C480" s="569" t="s">
        <v>132</v>
      </c>
      <c r="D480" s="569" t="s">
        <v>1323</v>
      </c>
      <c r="E480" s="577" t="s">
        <v>134</v>
      </c>
      <c r="F480" s="570">
        <v>1</v>
      </c>
      <c r="G480" s="579">
        <v>1694.54</v>
      </c>
      <c r="H480" s="600">
        <v>2126.47</v>
      </c>
      <c r="I480" s="600">
        <v>2126.47</v>
      </c>
      <c r="J480" s="612">
        <v>8.64687961612241e-5</v>
      </c>
      <c r="K480" s="613">
        <f t="shared" si="25"/>
        <v>0</v>
      </c>
      <c r="L480" s="610">
        <f t="shared" si="24"/>
        <v>2126.47</v>
      </c>
      <c r="M480" s="601"/>
      <c r="N480" s="601"/>
      <c r="O480" s="601"/>
      <c r="P480" s="601"/>
      <c r="Q480" s="601"/>
      <c r="R480" s="601"/>
      <c r="S480" s="601"/>
      <c r="T480" s="601"/>
      <c r="U480" s="601"/>
      <c r="V480" s="601"/>
      <c r="W480" s="601"/>
      <c r="X480" s="601"/>
      <c r="Y480" s="601"/>
    </row>
    <row r="481" ht="25.5" spans="1:25">
      <c r="A481" s="569" t="s">
        <v>1324</v>
      </c>
      <c r="B481" s="569" t="s">
        <v>1325</v>
      </c>
      <c r="C481" s="569" t="s">
        <v>132</v>
      </c>
      <c r="D481" s="569" t="s">
        <v>1326</v>
      </c>
      <c r="E481" s="577" t="s">
        <v>134</v>
      </c>
      <c r="F481" s="570">
        <v>3</v>
      </c>
      <c r="G481" s="579">
        <v>10765.68</v>
      </c>
      <c r="H481" s="600">
        <v>13509.85</v>
      </c>
      <c r="I481" s="600">
        <v>40529.55</v>
      </c>
      <c r="J481" s="612">
        <v>0.00164805588484961</v>
      </c>
      <c r="K481" s="613">
        <f t="shared" si="25"/>
        <v>0</v>
      </c>
      <c r="L481" s="610">
        <f t="shared" si="24"/>
        <v>40529.55</v>
      </c>
      <c r="M481" s="601"/>
      <c r="N481" s="601"/>
      <c r="O481" s="601"/>
      <c r="P481" s="601"/>
      <c r="Q481" s="601"/>
      <c r="R481" s="601"/>
      <c r="S481" s="601"/>
      <c r="T481" s="601"/>
      <c r="U481" s="601"/>
      <c r="V481" s="601"/>
      <c r="W481" s="601"/>
      <c r="X481" s="601"/>
      <c r="Y481" s="601"/>
    </row>
    <row r="482" ht="25.5" spans="1:25">
      <c r="A482" s="569" t="s">
        <v>1327</v>
      </c>
      <c r="B482" s="569" t="s">
        <v>1328</v>
      </c>
      <c r="C482" s="569" t="s">
        <v>132</v>
      </c>
      <c r="D482" s="569" t="s">
        <v>1329</v>
      </c>
      <c r="E482" s="577" t="s">
        <v>134</v>
      </c>
      <c r="F482" s="570">
        <v>1</v>
      </c>
      <c r="G482" s="579">
        <v>2401.73</v>
      </c>
      <c r="H482" s="600">
        <v>3013.93</v>
      </c>
      <c r="I482" s="600">
        <v>3013.93</v>
      </c>
      <c r="J482" s="612">
        <v>0.000122555643302844</v>
      </c>
      <c r="K482" s="613">
        <f t="shared" si="25"/>
        <v>0</v>
      </c>
      <c r="L482" s="610">
        <f t="shared" si="24"/>
        <v>3013.93</v>
      </c>
      <c r="M482" s="601"/>
      <c r="N482" s="601"/>
      <c r="O482" s="601"/>
      <c r="P482" s="601"/>
      <c r="Q482" s="601"/>
      <c r="R482" s="601"/>
      <c r="S482" s="601"/>
      <c r="T482" s="601"/>
      <c r="U482" s="601"/>
      <c r="V482" s="601"/>
      <c r="W482" s="601"/>
      <c r="X482" s="601"/>
      <c r="Y482" s="601"/>
    </row>
    <row r="483" ht="25.5" spans="1:25">
      <c r="A483" s="569" t="s">
        <v>1330</v>
      </c>
      <c r="B483" s="569" t="s">
        <v>1331</v>
      </c>
      <c r="C483" s="569" t="s">
        <v>132</v>
      </c>
      <c r="D483" s="569" t="s">
        <v>1332</v>
      </c>
      <c r="E483" s="577" t="s">
        <v>134</v>
      </c>
      <c r="F483" s="570">
        <v>9</v>
      </c>
      <c r="G483" s="579">
        <v>4281.52</v>
      </c>
      <c r="H483" s="600">
        <v>5372.87</v>
      </c>
      <c r="I483" s="600">
        <v>48355.83</v>
      </c>
      <c r="J483" s="612">
        <v>0.0019662964478581</v>
      </c>
      <c r="K483" s="613">
        <f t="shared" si="25"/>
        <v>0</v>
      </c>
      <c r="L483" s="610">
        <f t="shared" si="24"/>
        <v>48355.83</v>
      </c>
      <c r="M483" s="601"/>
      <c r="N483" s="601"/>
      <c r="O483" s="601"/>
      <c r="P483" s="601"/>
      <c r="Q483" s="601"/>
      <c r="R483" s="601"/>
      <c r="S483" s="601"/>
      <c r="T483" s="601"/>
      <c r="U483" s="601"/>
      <c r="V483" s="601"/>
      <c r="W483" s="601"/>
      <c r="X483" s="601"/>
      <c r="Y483" s="601"/>
    </row>
    <row r="484" ht="25.5" spans="1:25">
      <c r="A484" s="569" t="s">
        <v>1333</v>
      </c>
      <c r="B484" s="569" t="s">
        <v>1334</v>
      </c>
      <c r="C484" s="569" t="s">
        <v>132</v>
      </c>
      <c r="D484" s="569" t="s">
        <v>1335</v>
      </c>
      <c r="E484" s="577" t="s">
        <v>134</v>
      </c>
      <c r="F484" s="570">
        <v>39</v>
      </c>
      <c r="G484" s="579">
        <v>2033.13</v>
      </c>
      <c r="H484" s="600">
        <v>2551.37</v>
      </c>
      <c r="I484" s="600">
        <v>99503.43</v>
      </c>
      <c r="J484" s="612">
        <v>0.0040461148316283</v>
      </c>
      <c r="K484" s="613">
        <f t="shared" si="25"/>
        <v>0</v>
      </c>
      <c r="L484" s="610">
        <f t="shared" si="24"/>
        <v>99503.43</v>
      </c>
      <c r="M484" s="601"/>
      <c r="N484" s="601"/>
      <c r="O484" s="601"/>
      <c r="P484" s="601"/>
      <c r="Q484" s="601"/>
      <c r="R484" s="601"/>
      <c r="S484" s="601"/>
      <c r="T484" s="601"/>
      <c r="U484" s="601"/>
      <c r="V484" s="601"/>
      <c r="W484" s="601"/>
      <c r="X484" s="601"/>
      <c r="Y484" s="601"/>
    </row>
    <row r="485" ht="25.5" spans="1:25">
      <c r="A485" s="569" t="s">
        <v>1336</v>
      </c>
      <c r="B485" s="569" t="s">
        <v>1337</v>
      </c>
      <c r="C485" s="569" t="s">
        <v>132</v>
      </c>
      <c r="D485" s="569" t="s">
        <v>1338</v>
      </c>
      <c r="E485" s="577" t="s">
        <v>134</v>
      </c>
      <c r="F485" s="570">
        <v>4</v>
      </c>
      <c r="G485" s="579">
        <v>6673.05</v>
      </c>
      <c r="H485" s="600">
        <v>8374.01</v>
      </c>
      <c r="I485" s="600">
        <v>33496.04</v>
      </c>
      <c r="J485" s="612">
        <v>0.00136205178298693</v>
      </c>
      <c r="K485" s="613">
        <f t="shared" si="25"/>
        <v>0</v>
      </c>
      <c r="L485" s="610">
        <f t="shared" si="24"/>
        <v>33496.04</v>
      </c>
      <c r="M485" s="601"/>
      <c r="N485" s="601"/>
      <c r="O485" s="601"/>
      <c r="P485" s="601"/>
      <c r="Q485" s="601"/>
      <c r="R485" s="601"/>
      <c r="S485" s="601"/>
      <c r="T485" s="601"/>
      <c r="U485" s="601"/>
      <c r="V485" s="601"/>
      <c r="W485" s="601"/>
      <c r="X485" s="601"/>
      <c r="Y485" s="601"/>
    </row>
    <row r="486" ht="25.5" spans="1:25">
      <c r="A486" s="569" t="s">
        <v>1339</v>
      </c>
      <c r="B486" s="569" t="s">
        <v>1340</v>
      </c>
      <c r="C486" s="569" t="s">
        <v>132</v>
      </c>
      <c r="D486" s="569" t="s">
        <v>1341</v>
      </c>
      <c r="E486" s="577" t="s">
        <v>134</v>
      </c>
      <c r="F486" s="570">
        <v>2</v>
      </c>
      <c r="G486" s="579">
        <v>11296.13</v>
      </c>
      <c r="H486" s="600">
        <v>14175.51</v>
      </c>
      <c r="I486" s="600">
        <v>28351.02</v>
      </c>
      <c r="J486" s="612">
        <v>0.00115283948014446</v>
      </c>
      <c r="K486" s="613">
        <f t="shared" si="25"/>
        <v>0</v>
      </c>
      <c r="L486" s="610">
        <f t="shared" si="24"/>
        <v>28351.02</v>
      </c>
      <c r="M486" s="601"/>
      <c r="N486" s="601"/>
      <c r="O486" s="601"/>
      <c r="P486" s="601"/>
      <c r="Q486" s="601"/>
      <c r="R486" s="601"/>
      <c r="S486" s="601"/>
      <c r="T486" s="601"/>
      <c r="U486" s="601"/>
      <c r="V486" s="601"/>
      <c r="W486" s="601"/>
      <c r="X486" s="601"/>
      <c r="Y486" s="601"/>
    </row>
    <row r="487" ht="25.5" spans="1:25">
      <c r="A487" s="569" t="s">
        <v>1342</v>
      </c>
      <c r="B487" s="569" t="s">
        <v>1343</v>
      </c>
      <c r="C487" s="569" t="s">
        <v>132</v>
      </c>
      <c r="D487" s="569" t="s">
        <v>1344</v>
      </c>
      <c r="E487" s="577" t="s">
        <v>134</v>
      </c>
      <c r="F487" s="570">
        <v>8</v>
      </c>
      <c r="G487" s="579">
        <v>4469.49</v>
      </c>
      <c r="H487" s="600">
        <v>5608.76</v>
      </c>
      <c r="I487" s="600">
        <v>44870.08</v>
      </c>
      <c r="J487" s="612">
        <v>0.00182455515537855</v>
      </c>
      <c r="K487" s="613">
        <f t="shared" si="25"/>
        <v>0</v>
      </c>
      <c r="L487" s="610">
        <f t="shared" si="24"/>
        <v>44870.08</v>
      </c>
      <c r="M487" s="601"/>
      <c r="N487" s="601"/>
      <c r="O487" s="601"/>
      <c r="P487" s="601"/>
      <c r="Q487" s="601"/>
      <c r="R487" s="601"/>
      <c r="S487" s="601"/>
      <c r="T487" s="601"/>
      <c r="U487" s="601"/>
      <c r="V487" s="601"/>
      <c r="W487" s="601"/>
      <c r="X487" s="601"/>
      <c r="Y487" s="601"/>
    </row>
    <row r="488" ht="25.5" spans="1:25">
      <c r="A488" s="569" t="s">
        <v>1345</v>
      </c>
      <c r="B488" s="569" t="s">
        <v>1346</v>
      </c>
      <c r="C488" s="569" t="s">
        <v>132</v>
      </c>
      <c r="D488" s="569" t="s">
        <v>1347</v>
      </c>
      <c r="E488" s="577" t="s">
        <v>334</v>
      </c>
      <c r="F488" s="570">
        <v>4</v>
      </c>
      <c r="G488" s="579">
        <v>1547.83</v>
      </c>
      <c r="H488" s="600">
        <v>1942.37</v>
      </c>
      <c r="I488" s="600">
        <v>7769.48</v>
      </c>
      <c r="J488" s="612">
        <v>0.000315930900693971</v>
      </c>
      <c r="K488" s="613">
        <f t="shared" si="25"/>
        <v>0</v>
      </c>
      <c r="L488" s="610">
        <f t="shared" si="24"/>
        <v>7769.48</v>
      </c>
      <c r="M488" s="601"/>
      <c r="N488" s="601"/>
      <c r="O488" s="601"/>
      <c r="P488" s="601"/>
      <c r="Q488" s="601"/>
      <c r="R488" s="601"/>
      <c r="S488" s="601"/>
      <c r="T488" s="601"/>
      <c r="U488" s="601"/>
      <c r="V488" s="601"/>
      <c r="W488" s="601"/>
      <c r="X488" s="601"/>
      <c r="Y488" s="601"/>
    </row>
    <row r="489" ht="15" spans="1:25">
      <c r="A489" s="596" t="s">
        <v>1348</v>
      </c>
      <c r="B489" s="596" t="s">
        <v>74</v>
      </c>
      <c r="C489" s="596"/>
      <c r="D489" s="596" t="s">
        <v>1349</v>
      </c>
      <c r="E489" s="597"/>
      <c r="F489" s="598">
        <v>1</v>
      </c>
      <c r="G489" s="598"/>
      <c r="H489" s="599">
        <v>2475982.78</v>
      </c>
      <c r="I489" s="599">
        <v>2475982.78</v>
      </c>
      <c r="J489" s="608">
        <v>0.100681058421949</v>
      </c>
      <c r="K489" s="613">
        <f t="shared" si="25"/>
        <v>0</v>
      </c>
      <c r="L489" s="610">
        <f>SUM(L490:L519)</f>
        <v>2475982.78</v>
      </c>
      <c r="M489" s="601"/>
      <c r="N489" s="601"/>
      <c r="O489" s="601"/>
      <c r="P489" s="601"/>
      <c r="Q489" s="601"/>
      <c r="R489" s="601"/>
      <c r="S489" s="601"/>
      <c r="T489" s="601"/>
      <c r="U489" s="601"/>
      <c r="V489" s="601"/>
      <c r="W489" s="601"/>
      <c r="X489" s="601"/>
      <c r="Y489" s="601"/>
    </row>
    <row r="490" ht="102" spans="1:25">
      <c r="A490" s="569" t="s">
        <v>1350</v>
      </c>
      <c r="B490" s="569" t="s">
        <v>1351</v>
      </c>
      <c r="C490" s="569" t="s">
        <v>132</v>
      </c>
      <c r="D490" s="569" t="s">
        <v>1352</v>
      </c>
      <c r="E490" s="577" t="s">
        <v>134</v>
      </c>
      <c r="F490" s="570">
        <v>1</v>
      </c>
      <c r="G490" s="579">
        <v>13850.21</v>
      </c>
      <c r="H490" s="600" t="s">
        <v>1353</v>
      </c>
      <c r="I490" s="600">
        <v>16082.86</v>
      </c>
      <c r="J490" s="612">
        <v>0.000653978444572228</v>
      </c>
      <c r="K490" s="613">
        <f t="shared" si="25"/>
        <v>0</v>
      </c>
      <c r="L490" s="610">
        <f t="shared" ref="L490:L519" si="26">I490-(I490*K490)</f>
        <v>16082.86</v>
      </c>
      <c r="M490" s="601"/>
      <c r="N490" s="601"/>
      <c r="O490" s="601"/>
      <c r="P490" s="601"/>
      <c r="Q490" s="601"/>
      <c r="R490" s="601"/>
      <c r="S490" s="601"/>
      <c r="T490" s="601"/>
      <c r="U490" s="601"/>
      <c r="V490" s="601"/>
      <c r="W490" s="601"/>
      <c r="X490" s="601"/>
      <c r="Y490" s="601"/>
    </row>
    <row r="491" ht="102" spans="1:25">
      <c r="A491" s="569" t="s">
        <v>1354</v>
      </c>
      <c r="B491" s="569" t="s">
        <v>1355</v>
      </c>
      <c r="C491" s="569" t="s">
        <v>132</v>
      </c>
      <c r="D491" s="569" t="s">
        <v>1356</v>
      </c>
      <c r="E491" s="577" t="s">
        <v>134</v>
      </c>
      <c r="F491" s="570">
        <v>1</v>
      </c>
      <c r="G491" s="579">
        <v>11247.82</v>
      </c>
      <c r="H491" s="600" t="s">
        <v>1357</v>
      </c>
      <c r="I491" s="600">
        <v>13060.96</v>
      </c>
      <c r="J491" s="612">
        <v>0.000531098716610111</v>
      </c>
      <c r="K491" s="613">
        <f t="shared" si="25"/>
        <v>0</v>
      </c>
      <c r="L491" s="610">
        <f t="shared" si="26"/>
        <v>13060.96</v>
      </c>
      <c r="M491" s="601"/>
      <c r="N491" s="601"/>
      <c r="O491" s="601"/>
      <c r="P491" s="601"/>
      <c r="Q491" s="601"/>
      <c r="R491" s="601"/>
      <c r="S491" s="601"/>
      <c r="T491" s="601"/>
      <c r="U491" s="601"/>
      <c r="V491" s="601"/>
      <c r="W491" s="601"/>
      <c r="X491" s="601"/>
      <c r="Y491" s="601"/>
    </row>
    <row r="492" ht="102" spans="1:25">
      <c r="A492" s="569" t="s">
        <v>1358</v>
      </c>
      <c r="B492" s="569" t="s">
        <v>1359</v>
      </c>
      <c r="C492" s="569" t="s">
        <v>132</v>
      </c>
      <c r="D492" s="569" t="s">
        <v>1360</v>
      </c>
      <c r="E492" s="577" t="s">
        <v>134</v>
      </c>
      <c r="F492" s="570">
        <v>1</v>
      </c>
      <c r="G492" s="579">
        <v>8109.65</v>
      </c>
      <c r="H492" s="600" t="s">
        <v>1361</v>
      </c>
      <c r="I492" s="600">
        <v>9416.92</v>
      </c>
      <c r="J492" s="612">
        <v>0.000382920866951593</v>
      </c>
      <c r="K492" s="613">
        <f t="shared" si="25"/>
        <v>0</v>
      </c>
      <c r="L492" s="610">
        <f t="shared" si="26"/>
        <v>9416.92</v>
      </c>
      <c r="M492" s="601"/>
      <c r="N492" s="601"/>
      <c r="O492" s="601"/>
      <c r="P492" s="601"/>
      <c r="Q492" s="601"/>
      <c r="R492" s="601"/>
      <c r="S492" s="601"/>
      <c r="T492" s="601"/>
      <c r="U492" s="601"/>
      <c r="V492" s="601"/>
      <c r="W492" s="601"/>
      <c r="X492" s="601"/>
      <c r="Y492" s="601"/>
    </row>
    <row r="493" ht="102" spans="1:25">
      <c r="A493" s="569" t="s">
        <v>1362</v>
      </c>
      <c r="B493" s="569" t="s">
        <v>1363</v>
      </c>
      <c r="C493" s="569" t="s">
        <v>132</v>
      </c>
      <c r="D493" s="569" t="s">
        <v>1364</v>
      </c>
      <c r="E493" s="577" t="s">
        <v>134</v>
      </c>
      <c r="F493" s="570">
        <v>1</v>
      </c>
      <c r="G493" s="579">
        <v>15513.85</v>
      </c>
      <c r="H493" s="600" t="s">
        <v>1365</v>
      </c>
      <c r="I493" s="600">
        <v>18014.68</v>
      </c>
      <c r="J493" s="612">
        <v>0.00073253217436864</v>
      </c>
      <c r="K493" s="613">
        <f t="shared" si="25"/>
        <v>0</v>
      </c>
      <c r="L493" s="610">
        <f t="shared" si="26"/>
        <v>18014.68</v>
      </c>
      <c r="M493" s="601"/>
      <c r="N493" s="601"/>
      <c r="O493" s="601"/>
      <c r="P493" s="601"/>
      <c r="Q493" s="601"/>
      <c r="R493" s="601"/>
      <c r="S493" s="601"/>
      <c r="T493" s="601"/>
      <c r="U493" s="601"/>
      <c r="V493" s="601"/>
      <c r="W493" s="601"/>
      <c r="X493" s="601"/>
      <c r="Y493" s="601"/>
    </row>
    <row r="494" ht="102" spans="1:25">
      <c r="A494" s="569" t="s">
        <v>1366</v>
      </c>
      <c r="B494" s="569" t="s">
        <v>1367</v>
      </c>
      <c r="C494" s="569" t="s">
        <v>132</v>
      </c>
      <c r="D494" s="569" t="s">
        <v>1368</v>
      </c>
      <c r="E494" s="577" t="s">
        <v>134</v>
      </c>
      <c r="F494" s="570">
        <v>1</v>
      </c>
      <c r="G494" s="579">
        <v>11080.11</v>
      </c>
      <c r="H494" s="600" t="s">
        <v>1369</v>
      </c>
      <c r="I494" s="600">
        <v>12866.22</v>
      </c>
      <c r="J494" s="612">
        <v>0.000523179990569096</v>
      </c>
      <c r="K494" s="613">
        <f t="shared" si="25"/>
        <v>0</v>
      </c>
      <c r="L494" s="610">
        <f t="shared" si="26"/>
        <v>12866.22</v>
      </c>
      <c r="M494" s="601"/>
      <c r="N494" s="601"/>
      <c r="O494" s="601"/>
      <c r="P494" s="601"/>
      <c r="Q494" s="601"/>
      <c r="R494" s="601"/>
      <c r="S494" s="601"/>
      <c r="T494" s="601"/>
      <c r="U494" s="601"/>
      <c r="V494" s="601"/>
      <c r="W494" s="601"/>
      <c r="X494" s="601"/>
      <c r="Y494" s="601"/>
    </row>
    <row r="495" ht="102" spans="1:25">
      <c r="A495" s="569" t="s">
        <v>1370</v>
      </c>
      <c r="B495" s="569" t="s">
        <v>1371</v>
      </c>
      <c r="C495" s="569" t="s">
        <v>132</v>
      </c>
      <c r="D495" s="569" t="s">
        <v>1372</v>
      </c>
      <c r="E495" s="577" t="s">
        <v>134</v>
      </c>
      <c r="F495" s="570">
        <v>1</v>
      </c>
      <c r="G495" s="579">
        <v>8090.51</v>
      </c>
      <c r="H495" s="600" t="s">
        <v>1373</v>
      </c>
      <c r="I495" s="600">
        <v>9394.7</v>
      </c>
      <c r="J495" s="612">
        <v>0.000382017333560244</v>
      </c>
      <c r="K495" s="613">
        <f t="shared" si="25"/>
        <v>0</v>
      </c>
      <c r="L495" s="610">
        <f t="shared" si="26"/>
        <v>9394.7</v>
      </c>
      <c r="M495" s="601"/>
      <c r="N495" s="601"/>
      <c r="O495" s="601"/>
      <c r="P495" s="601"/>
      <c r="Q495" s="601"/>
      <c r="R495" s="601"/>
      <c r="S495" s="601"/>
      <c r="T495" s="601"/>
      <c r="U495" s="601"/>
      <c r="V495" s="601"/>
      <c r="W495" s="601"/>
      <c r="X495" s="601"/>
      <c r="Y495" s="601"/>
    </row>
    <row r="496" ht="102" spans="1:25">
      <c r="A496" s="569" t="s">
        <v>1374</v>
      </c>
      <c r="B496" s="569" t="s">
        <v>1375</v>
      </c>
      <c r="C496" s="569" t="s">
        <v>132</v>
      </c>
      <c r="D496" s="569" t="s">
        <v>1376</v>
      </c>
      <c r="E496" s="577" t="s">
        <v>134</v>
      </c>
      <c r="F496" s="570">
        <v>1</v>
      </c>
      <c r="G496" s="579">
        <v>20323.54</v>
      </c>
      <c r="H496" s="600" t="s">
        <v>1377</v>
      </c>
      <c r="I496" s="600">
        <v>23599.69</v>
      </c>
      <c r="J496" s="612">
        <v>0.000959635820904165</v>
      </c>
      <c r="K496" s="613">
        <f t="shared" si="25"/>
        <v>0</v>
      </c>
      <c r="L496" s="610">
        <f t="shared" si="26"/>
        <v>23599.69</v>
      </c>
      <c r="M496" s="601"/>
      <c r="N496" s="601"/>
      <c r="O496" s="601"/>
      <c r="P496" s="601"/>
      <c r="Q496" s="601"/>
      <c r="R496" s="601"/>
      <c r="S496" s="601"/>
      <c r="T496" s="601"/>
      <c r="U496" s="601"/>
      <c r="V496" s="601"/>
      <c r="W496" s="601"/>
      <c r="X496" s="601"/>
      <c r="Y496" s="601"/>
    </row>
    <row r="497" ht="102" spans="1:25">
      <c r="A497" s="569" t="s">
        <v>1378</v>
      </c>
      <c r="B497" s="569" t="s">
        <v>1379</v>
      </c>
      <c r="C497" s="569" t="s">
        <v>132</v>
      </c>
      <c r="D497" s="569" t="s">
        <v>1380</v>
      </c>
      <c r="E497" s="577" t="s">
        <v>134</v>
      </c>
      <c r="F497" s="570">
        <v>1</v>
      </c>
      <c r="G497" s="579">
        <v>14266.68</v>
      </c>
      <c r="H497" s="600" t="s">
        <v>1381</v>
      </c>
      <c r="I497" s="600">
        <v>16566.46</v>
      </c>
      <c r="J497" s="612">
        <v>0.000673643104700782</v>
      </c>
      <c r="K497" s="613">
        <f t="shared" si="25"/>
        <v>0</v>
      </c>
      <c r="L497" s="610">
        <f t="shared" si="26"/>
        <v>16566.46</v>
      </c>
      <c r="M497" s="601"/>
      <c r="N497" s="601"/>
      <c r="O497" s="601"/>
      <c r="P497" s="601"/>
      <c r="Q497" s="601"/>
      <c r="R497" s="601"/>
      <c r="S497" s="601"/>
      <c r="T497" s="601"/>
      <c r="U497" s="601"/>
      <c r="V497" s="601"/>
      <c r="W497" s="601"/>
      <c r="X497" s="601"/>
      <c r="Y497" s="601"/>
    </row>
    <row r="498" ht="102" spans="1:25">
      <c r="A498" s="569" t="s">
        <v>1382</v>
      </c>
      <c r="B498" s="569" t="s">
        <v>1383</v>
      </c>
      <c r="C498" s="569" t="s">
        <v>132</v>
      </c>
      <c r="D498" s="569" t="s">
        <v>1384</v>
      </c>
      <c r="E498" s="577" t="s">
        <v>134</v>
      </c>
      <c r="F498" s="570">
        <v>1</v>
      </c>
      <c r="G498" s="579">
        <v>10412.63</v>
      </c>
      <c r="H498" s="600" t="s">
        <v>1385</v>
      </c>
      <c r="I498" s="600">
        <v>12091.14</v>
      </c>
      <c r="J498" s="612">
        <v>0.000491662859112437</v>
      </c>
      <c r="K498" s="613">
        <f t="shared" si="25"/>
        <v>0</v>
      </c>
      <c r="L498" s="610">
        <f t="shared" si="26"/>
        <v>12091.14</v>
      </c>
      <c r="M498" s="601"/>
      <c r="N498" s="601"/>
      <c r="O498" s="601"/>
      <c r="P498" s="601"/>
      <c r="Q498" s="601"/>
      <c r="R498" s="601"/>
      <c r="S498" s="601"/>
      <c r="T498" s="601"/>
      <c r="U498" s="601"/>
      <c r="V498" s="601"/>
      <c r="W498" s="601"/>
      <c r="X498" s="601"/>
      <c r="Y498" s="601"/>
    </row>
    <row r="499" ht="102" spans="1:25">
      <c r="A499" s="569" t="s">
        <v>1386</v>
      </c>
      <c r="B499" s="569" t="s">
        <v>1387</v>
      </c>
      <c r="C499" s="569" t="s">
        <v>132</v>
      </c>
      <c r="D499" s="569" t="s">
        <v>1388</v>
      </c>
      <c r="E499" s="577" t="s">
        <v>134</v>
      </c>
      <c r="F499" s="570">
        <v>1</v>
      </c>
      <c r="G499" s="579">
        <v>8109.65</v>
      </c>
      <c r="H499" s="600" t="s">
        <v>1361</v>
      </c>
      <c r="I499" s="600">
        <v>9416.92</v>
      </c>
      <c r="J499" s="612">
        <v>0.000382920866951593</v>
      </c>
      <c r="K499" s="613">
        <f t="shared" si="25"/>
        <v>0</v>
      </c>
      <c r="L499" s="610">
        <f t="shared" si="26"/>
        <v>9416.92</v>
      </c>
      <c r="M499" s="601"/>
      <c r="N499" s="601"/>
      <c r="O499" s="601"/>
      <c r="P499" s="601"/>
      <c r="Q499" s="601"/>
      <c r="R499" s="601"/>
      <c r="S499" s="601"/>
      <c r="T499" s="601"/>
      <c r="U499" s="601"/>
      <c r="V499" s="601"/>
      <c r="W499" s="601"/>
      <c r="X499" s="601"/>
      <c r="Y499" s="601"/>
    </row>
    <row r="500" ht="102" spans="1:25">
      <c r="A500" s="569" t="s">
        <v>1389</v>
      </c>
      <c r="B500" s="569" t="s">
        <v>1390</v>
      </c>
      <c r="C500" s="569" t="s">
        <v>132</v>
      </c>
      <c r="D500" s="569" t="s">
        <v>1391</v>
      </c>
      <c r="E500" s="577" t="s">
        <v>134</v>
      </c>
      <c r="F500" s="570">
        <v>1</v>
      </c>
      <c r="G500" s="579">
        <v>13808.56</v>
      </c>
      <c r="H500" s="600" t="s">
        <v>1392</v>
      </c>
      <c r="I500" s="600">
        <v>16034.49</v>
      </c>
      <c r="J500" s="612">
        <v>0.000652011571928683</v>
      </c>
      <c r="K500" s="613">
        <f t="shared" si="25"/>
        <v>0</v>
      </c>
      <c r="L500" s="610">
        <f t="shared" si="26"/>
        <v>16034.49</v>
      </c>
      <c r="M500" s="601"/>
      <c r="N500" s="601"/>
      <c r="O500" s="601"/>
      <c r="P500" s="601"/>
      <c r="Q500" s="601"/>
      <c r="R500" s="601"/>
      <c r="S500" s="601"/>
      <c r="T500" s="601"/>
      <c r="U500" s="601"/>
      <c r="V500" s="601"/>
      <c r="W500" s="601"/>
      <c r="X500" s="601"/>
      <c r="Y500" s="601"/>
    </row>
    <row r="501" ht="102" spans="1:25">
      <c r="A501" s="569" t="s">
        <v>1393</v>
      </c>
      <c r="B501" s="569" t="s">
        <v>1394</v>
      </c>
      <c r="C501" s="569" t="s">
        <v>132</v>
      </c>
      <c r="D501" s="569" t="s">
        <v>1395</v>
      </c>
      <c r="E501" s="577" t="s">
        <v>134</v>
      </c>
      <c r="F501" s="570">
        <v>1</v>
      </c>
      <c r="G501" s="579">
        <v>7959.94</v>
      </c>
      <c r="H501" s="600" t="s">
        <v>1396</v>
      </c>
      <c r="I501" s="600">
        <v>9243.08</v>
      </c>
      <c r="J501" s="612">
        <v>0.000375851999050957</v>
      </c>
      <c r="K501" s="613">
        <f t="shared" si="25"/>
        <v>0</v>
      </c>
      <c r="L501" s="610">
        <f t="shared" si="26"/>
        <v>9243.08</v>
      </c>
      <c r="M501" s="601"/>
      <c r="N501" s="601"/>
      <c r="O501" s="601"/>
      <c r="P501" s="601"/>
      <c r="Q501" s="601"/>
      <c r="R501" s="601"/>
      <c r="S501" s="601"/>
      <c r="T501" s="601"/>
      <c r="U501" s="601"/>
      <c r="V501" s="601"/>
      <c r="W501" s="601"/>
      <c r="X501" s="601"/>
      <c r="Y501" s="601"/>
    </row>
    <row r="502" ht="102" spans="1:25">
      <c r="A502" s="569" t="s">
        <v>1397</v>
      </c>
      <c r="B502" s="569" t="s">
        <v>1398</v>
      </c>
      <c r="C502" s="569" t="s">
        <v>132</v>
      </c>
      <c r="D502" s="569" t="s">
        <v>1399</v>
      </c>
      <c r="E502" s="577" t="s">
        <v>134</v>
      </c>
      <c r="F502" s="570">
        <v>1</v>
      </c>
      <c r="G502" s="579">
        <v>8072.5</v>
      </c>
      <c r="H502" s="600" t="s">
        <v>1400</v>
      </c>
      <c r="I502" s="600">
        <v>9373.78</v>
      </c>
      <c r="J502" s="612">
        <v>0.000381166662158488</v>
      </c>
      <c r="K502" s="613">
        <f t="shared" si="25"/>
        <v>0</v>
      </c>
      <c r="L502" s="610">
        <f t="shared" si="26"/>
        <v>9373.78</v>
      </c>
      <c r="M502" s="601"/>
      <c r="N502" s="601"/>
      <c r="O502" s="601"/>
      <c r="P502" s="601"/>
      <c r="Q502" s="601"/>
      <c r="R502" s="601"/>
      <c r="S502" s="601"/>
      <c r="T502" s="601"/>
      <c r="U502" s="601"/>
      <c r="V502" s="601"/>
      <c r="W502" s="601"/>
      <c r="X502" s="601"/>
      <c r="Y502" s="601"/>
    </row>
    <row r="503" ht="102" spans="1:25">
      <c r="A503" s="569" t="s">
        <v>1401</v>
      </c>
      <c r="B503" s="569" t="s">
        <v>1402</v>
      </c>
      <c r="C503" s="569" t="s">
        <v>132</v>
      </c>
      <c r="D503" s="569" t="s">
        <v>1403</v>
      </c>
      <c r="E503" s="577" t="s">
        <v>134</v>
      </c>
      <c r="F503" s="570">
        <v>1</v>
      </c>
      <c r="G503" s="579">
        <v>18487.68</v>
      </c>
      <c r="H503" s="600" t="s">
        <v>1404</v>
      </c>
      <c r="I503" s="600">
        <v>21467.89</v>
      </c>
      <c r="J503" s="612">
        <v>0.00087295029058561</v>
      </c>
      <c r="K503" s="613">
        <f t="shared" si="25"/>
        <v>0</v>
      </c>
      <c r="L503" s="610">
        <f t="shared" si="26"/>
        <v>21467.89</v>
      </c>
      <c r="M503" s="601"/>
      <c r="N503" s="601"/>
      <c r="O503" s="601"/>
      <c r="P503" s="601"/>
      <c r="Q503" s="601"/>
      <c r="R503" s="601"/>
      <c r="S503" s="601"/>
      <c r="T503" s="601"/>
      <c r="U503" s="601"/>
      <c r="V503" s="601"/>
      <c r="W503" s="601"/>
      <c r="X503" s="601"/>
      <c r="Y503" s="601"/>
    </row>
    <row r="504" ht="102" spans="1:25">
      <c r="A504" s="569" t="s">
        <v>1405</v>
      </c>
      <c r="B504" s="569" t="s">
        <v>1406</v>
      </c>
      <c r="C504" s="569" t="s">
        <v>132</v>
      </c>
      <c r="D504" s="569" t="s">
        <v>1407</v>
      </c>
      <c r="E504" s="577" t="s">
        <v>134</v>
      </c>
      <c r="F504" s="570">
        <v>1</v>
      </c>
      <c r="G504" s="579">
        <v>8880.69</v>
      </c>
      <c r="H504" s="600" t="s">
        <v>1408</v>
      </c>
      <c r="I504" s="600">
        <v>10312.25</v>
      </c>
      <c r="J504" s="612">
        <v>0.000419327732445595</v>
      </c>
      <c r="K504" s="613">
        <f t="shared" si="25"/>
        <v>0</v>
      </c>
      <c r="L504" s="610">
        <f t="shared" si="26"/>
        <v>10312.25</v>
      </c>
      <c r="M504" s="601"/>
      <c r="N504" s="601"/>
      <c r="O504" s="601"/>
      <c r="P504" s="601"/>
      <c r="Q504" s="601"/>
      <c r="R504" s="601"/>
      <c r="S504" s="601"/>
      <c r="T504" s="601"/>
      <c r="U504" s="601"/>
      <c r="V504" s="601"/>
      <c r="W504" s="601"/>
      <c r="X504" s="601"/>
      <c r="Y504" s="601"/>
    </row>
    <row r="505" ht="25.5" spans="1:25">
      <c r="A505" s="569" t="s">
        <v>1409</v>
      </c>
      <c r="B505" s="569" t="s">
        <v>1410</v>
      </c>
      <c r="C505" s="569" t="s">
        <v>132</v>
      </c>
      <c r="D505" s="569" t="s">
        <v>1411</v>
      </c>
      <c r="E505" s="577" t="s">
        <v>134</v>
      </c>
      <c r="F505" s="570">
        <v>1</v>
      </c>
      <c r="G505" s="579">
        <v>16735.23</v>
      </c>
      <c r="H505" s="600" t="s">
        <v>1412</v>
      </c>
      <c r="I505" s="600">
        <v>19432.94</v>
      </c>
      <c r="J505" s="612">
        <v>0.000790202978491725</v>
      </c>
      <c r="K505" s="613">
        <f t="shared" si="25"/>
        <v>0</v>
      </c>
      <c r="L505" s="610">
        <f t="shared" si="26"/>
        <v>19432.94</v>
      </c>
      <c r="M505" s="601"/>
      <c r="N505" s="601"/>
      <c r="O505" s="601"/>
      <c r="P505" s="601"/>
      <c r="Q505" s="601"/>
      <c r="R505" s="601"/>
      <c r="S505" s="601"/>
      <c r="T505" s="601"/>
      <c r="U505" s="601"/>
      <c r="V505" s="601"/>
      <c r="W505" s="601"/>
      <c r="X505" s="601"/>
      <c r="Y505" s="601"/>
    </row>
    <row r="506" ht="25.5" spans="1:25">
      <c r="A506" s="569" t="s">
        <v>1413</v>
      </c>
      <c r="B506" s="569" t="s">
        <v>1414</v>
      </c>
      <c r="C506" s="569" t="s">
        <v>132</v>
      </c>
      <c r="D506" s="569" t="s">
        <v>1415</v>
      </c>
      <c r="E506" s="577" t="s">
        <v>134</v>
      </c>
      <c r="F506" s="570">
        <v>1</v>
      </c>
      <c r="G506" s="579">
        <v>16735.23</v>
      </c>
      <c r="H506" s="600" t="s">
        <v>1412</v>
      </c>
      <c r="I506" s="600">
        <v>19432.94</v>
      </c>
      <c r="J506" s="612">
        <v>0.000790202978491725</v>
      </c>
      <c r="K506" s="613">
        <f t="shared" si="25"/>
        <v>0</v>
      </c>
      <c r="L506" s="610">
        <f t="shared" si="26"/>
        <v>19432.94</v>
      </c>
      <c r="M506" s="601"/>
      <c r="N506" s="601"/>
      <c r="O506" s="601"/>
      <c r="P506" s="601"/>
      <c r="Q506" s="601"/>
      <c r="R506" s="601"/>
      <c r="S506" s="601"/>
      <c r="T506" s="601"/>
      <c r="U506" s="601"/>
      <c r="V506" s="601"/>
      <c r="W506" s="601"/>
      <c r="X506" s="601"/>
      <c r="Y506" s="601"/>
    </row>
    <row r="507" ht="25.5" spans="1:25">
      <c r="A507" s="569" t="s">
        <v>1416</v>
      </c>
      <c r="B507" s="569" t="s">
        <v>1417</v>
      </c>
      <c r="C507" s="569" t="s">
        <v>132</v>
      </c>
      <c r="D507" s="569" t="s">
        <v>1418</v>
      </c>
      <c r="E507" s="577" t="s">
        <v>134</v>
      </c>
      <c r="F507" s="570">
        <v>2</v>
      </c>
      <c r="G507" s="579">
        <v>25101.13</v>
      </c>
      <c r="H507" s="600" t="s">
        <v>1419</v>
      </c>
      <c r="I507" s="600">
        <v>58294.86</v>
      </c>
      <c r="J507" s="612">
        <v>0.00237044790972226</v>
      </c>
      <c r="K507" s="613">
        <f t="shared" si="25"/>
        <v>0</v>
      </c>
      <c r="L507" s="610">
        <f t="shared" si="26"/>
        <v>58294.86</v>
      </c>
      <c r="M507" s="601"/>
      <c r="N507" s="601"/>
      <c r="O507" s="601"/>
      <c r="P507" s="601"/>
      <c r="Q507" s="601"/>
      <c r="R507" s="601"/>
      <c r="S507" s="601"/>
      <c r="T507" s="601"/>
      <c r="U507" s="601"/>
      <c r="V507" s="601"/>
      <c r="W507" s="601"/>
      <c r="X507" s="601"/>
      <c r="Y507" s="601"/>
    </row>
    <row r="508" ht="76.5" spans="1:25">
      <c r="A508" s="569" t="s">
        <v>1420</v>
      </c>
      <c r="B508" s="569" t="s">
        <v>1421</v>
      </c>
      <c r="C508" s="569" t="s">
        <v>132</v>
      </c>
      <c r="D508" s="569" t="s">
        <v>1422</v>
      </c>
      <c r="E508" s="577" t="s">
        <v>334</v>
      </c>
      <c r="F508" s="570">
        <v>1</v>
      </c>
      <c r="G508" s="579">
        <v>563976.25</v>
      </c>
      <c r="H508" s="600" t="s">
        <v>1423</v>
      </c>
      <c r="I508" s="600">
        <v>654889.22</v>
      </c>
      <c r="J508" s="612">
        <v>0.026629805486258</v>
      </c>
      <c r="K508" s="613">
        <f t="shared" si="25"/>
        <v>0</v>
      </c>
      <c r="L508" s="610">
        <f t="shared" si="26"/>
        <v>654889.22</v>
      </c>
      <c r="M508" s="601"/>
      <c r="N508" s="601"/>
      <c r="O508" s="601"/>
      <c r="P508" s="601"/>
      <c r="Q508" s="601"/>
      <c r="R508" s="601"/>
      <c r="S508" s="601"/>
      <c r="T508" s="601"/>
      <c r="U508" s="601"/>
      <c r="V508" s="601"/>
      <c r="W508" s="601"/>
      <c r="X508" s="601"/>
      <c r="Y508" s="601"/>
    </row>
    <row r="509" ht="76.5" spans="1:25">
      <c r="A509" s="569" t="s">
        <v>1424</v>
      </c>
      <c r="B509" s="569" t="s">
        <v>1425</v>
      </c>
      <c r="C509" s="569" t="s">
        <v>132</v>
      </c>
      <c r="D509" s="569" t="s">
        <v>1426</v>
      </c>
      <c r="E509" s="577" t="s">
        <v>134</v>
      </c>
      <c r="F509" s="570">
        <v>1</v>
      </c>
      <c r="G509" s="579">
        <v>4456.95</v>
      </c>
      <c r="H509" s="600">
        <v>5593.02</v>
      </c>
      <c r="I509" s="600">
        <v>5593.02</v>
      </c>
      <c r="J509" s="612">
        <v>0.000227429357717555</v>
      </c>
      <c r="K509" s="613">
        <f t="shared" si="25"/>
        <v>0</v>
      </c>
      <c r="L509" s="610">
        <f t="shared" si="26"/>
        <v>5593.02</v>
      </c>
      <c r="M509" s="601"/>
      <c r="N509" s="601"/>
      <c r="O509" s="601"/>
      <c r="P509" s="601"/>
      <c r="Q509" s="601"/>
      <c r="R509" s="601"/>
      <c r="S509" s="601"/>
      <c r="T509" s="601"/>
      <c r="U509" s="601"/>
      <c r="V509" s="601"/>
      <c r="W509" s="601"/>
      <c r="X509" s="601"/>
      <c r="Y509" s="601"/>
    </row>
    <row r="510" ht="76.5" spans="1:25">
      <c r="A510" s="569" t="s">
        <v>1427</v>
      </c>
      <c r="B510" s="569" t="s">
        <v>1428</v>
      </c>
      <c r="C510" s="569" t="s">
        <v>132</v>
      </c>
      <c r="D510" s="569" t="s">
        <v>1429</v>
      </c>
      <c r="E510" s="577" t="s">
        <v>334</v>
      </c>
      <c r="F510" s="570">
        <v>1</v>
      </c>
      <c r="G510" s="579">
        <v>83948.65</v>
      </c>
      <c r="H510" s="600" t="s">
        <v>1430</v>
      </c>
      <c r="I510" s="600">
        <v>97481.17</v>
      </c>
      <c r="J510" s="612">
        <v>0.00396388353387898</v>
      </c>
      <c r="K510" s="613">
        <f t="shared" si="25"/>
        <v>0</v>
      </c>
      <c r="L510" s="610">
        <f t="shared" si="26"/>
        <v>97481.17</v>
      </c>
      <c r="M510" s="601"/>
      <c r="N510" s="601"/>
      <c r="O510" s="601"/>
      <c r="P510" s="601"/>
      <c r="Q510" s="601"/>
      <c r="R510" s="601"/>
      <c r="S510" s="601"/>
      <c r="T510" s="601"/>
      <c r="U510" s="601"/>
      <c r="V510" s="601"/>
      <c r="W510" s="601"/>
      <c r="X510" s="601"/>
      <c r="Y510" s="601"/>
    </row>
    <row r="511" ht="76.5" spans="1:25">
      <c r="A511" s="569" t="s">
        <v>1431</v>
      </c>
      <c r="B511" s="569" t="s">
        <v>1432</v>
      </c>
      <c r="C511" s="569" t="s">
        <v>132</v>
      </c>
      <c r="D511" s="569" t="s">
        <v>1433</v>
      </c>
      <c r="E511" s="577" t="s">
        <v>334</v>
      </c>
      <c r="F511" s="570">
        <v>1</v>
      </c>
      <c r="G511" s="579">
        <v>968388.69</v>
      </c>
      <c r="H511" s="600" t="s">
        <v>1434</v>
      </c>
      <c r="I511" s="600">
        <v>1124492.94</v>
      </c>
      <c r="J511" s="612">
        <v>0.0457253339165827</v>
      </c>
      <c r="K511" s="613">
        <f t="shared" si="25"/>
        <v>0</v>
      </c>
      <c r="L511" s="610">
        <f t="shared" si="26"/>
        <v>1124492.94</v>
      </c>
      <c r="M511" s="601"/>
      <c r="N511" s="601"/>
      <c r="O511" s="601"/>
      <c r="P511" s="601"/>
      <c r="Q511" s="601"/>
      <c r="R511" s="601"/>
      <c r="S511" s="601"/>
      <c r="T511" s="601"/>
      <c r="U511" s="601"/>
      <c r="V511" s="601"/>
      <c r="W511" s="601"/>
      <c r="X511" s="601"/>
      <c r="Y511" s="601"/>
    </row>
    <row r="512" ht="76.5" spans="1:25">
      <c r="A512" s="569" t="s">
        <v>1435</v>
      </c>
      <c r="B512" s="569" t="s">
        <v>1436</v>
      </c>
      <c r="C512" s="569" t="s">
        <v>132</v>
      </c>
      <c r="D512" s="569" t="s">
        <v>1437</v>
      </c>
      <c r="E512" s="577" t="s">
        <v>134</v>
      </c>
      <c r="F512" s="570">
        <v>1</v>
      </c>
      <c r="G512" s="579">
        <v>4456.95</v>
      </c>
      <c r="H512" s="600">
        <v>5593.02</v>
      </c>
      <c r="I512" s="600">
        <v>5593.02</v>
      </c>
      <c r="J512" s="612">
        <v>0.000227429357717555</v>
      </c>
      <c r="K512" s="613">
        <f t="shared" si="25"/>
        <v>0</v>
      </c>
      <c r="L512" s="610">
        <f t="shared" si="26"/>
        <v>5593.02</v>
      </c>
      <c r="M512" s="601"/>
      <c r="N512" s="601"/>
      <c r="O512" s="601"/>
      <c r="P512" s="601"/>
      <c r="Q512" s="601"/>
      <c r="R512" s="601"/>
      <c r="S512" s="601"/>
      <c r="T512" s="601"/>
      <c r="U512" s="601"/>
      <c r="V512" s="601"/>
      <c r="W512" s="601"/>
      <c r="X512" s="601"/>
      <c r="Y512" s="601"/>
    </row>
    <row r="513" ht="89.25" spans="1:25">
      <c r="A513" s="569" t="s">
        <v>1438</v>
      </c>
      <c r="B513" s="569" t="s">
        <v>1439</v>
      </c>
      <c r="C513" s="569" t="s">
        <v>132</v>
      </c>
      <c r="D513" s="569" t="s">
        <v>1440</v>
      </c>
      <c r="E513" s="577" t="s">
        <v>134</v>
      </c>
      <c r="F513" s="570">
        <v>2</v>
      </c>
      <c r="G513" s="579">
        <v>95281.52</v>
      </c>
      <c r="H513" s="600" t="s">
        <v>1441</v>
      </c>
      <c r="I513" s="600">
        <v>221281.8</v>
      </c>
      <c r="J513" s="612">
        <v>0.00899799708361217</v>
      </c>
      <c r="K513" s="613">
        <f t="shared" si="25"/>
        <v>0</v>
      </c>
      <c r="L513" s="610">
        <f t="shared" si="26"/>
        <v>221281.8</v>
      </c>
      <c r="M513" s="601"/>
      <c r="N513" s="601"/>
      <c r="O513" s="601"/>
      <c r="P513" s="601"/>
      <c r="Q513" s="601"/>
      <c r="R513" s="601"/>
      <c r="S513" s="601"/>
      <c r="T513" s="601"/>
      <c r="U513" s="601"/>
      <c r="V513" s="601"/>
      <c r="W513" s="601"/>
      <c r="X513" s="601"/>
      <c r="Y513" s="601"/>
    </row>
    <row r="514" ht="51" spans="1:25">
      <c r="A514" s="569" t="s">
        <v>1442</v>
      </c>
      <c r="B514" s="569" t="s">
        <v>1443</v>
      </c>
      <c r="C514" s="569" t="s">
        <v>132</v>
      </c>
      <c r="D514" s="569" t="s">
        <v>1444</v>
      </c>
      <c r="E514" s="577" t="s">
        <v>134</v>
      </c>
      <c r="F514" s="570">
        <v>1</v>
      </c>
      <c r="G514" s="579">
        <v>11399.95</v>
      </c>
      <c r="H514" s="600" t="s">
        <v>1445</v>
      </c>
      <c r="I514" s="600">
        <v>13237.62</v>
      </c>
      <c r="J514" s="612">
        <v>0.000538282254365095</v>
      </c>
      <c r="K514" s="613">
        <f t="shared" si="25"/>
        <v>0</v>
      </c>
      <c r="L514" s="610">
        <f t="shared" si="26"/>
        <v>13237.62</v>
      </c>
      <c r="M514" s="601"/>
      <c r="N514" s="601"/>
      <c r="O514" s="601"/>
      <c r="P514" s="601"/>
      <c r="Q514" s="601"/>
      <c r="R514" s="601"/>
      <c r="S514" s="601"/>
      <c r="T514" s="601"/>
      <c r="U514" s="601"/>
      <c r="V514" s="601"/>
      <c r="W514" s="601"/>
      <c r="X514" s="601"/>
      <c r="Y514" s="601"/>
    </row>
    <row r="515" ht="51" spans="1:25">
      <c r="A515" s="569" t="s">
        <v>1446</v>
      </c>
      <c r="B515" s="569" t="s">
        <v>1447</v>
      </c>
      <c r="C515" s="569" t="s">
        <v>132</v>
      </c>
      <c r="D515" s="569" t="s">
        <v>1448</v>
      </c>
      <c r="E515" s="577" t="s">
        <v>134</v>
      </c>
      <c r="F515" s="570">
        <v>1</v>
      </c>
      <c r="G515" s="579">
        <v>7635.21</v>
      </c>
      <c r="H515" s="600" t="s">
        <v>1449</v>
      </c>
      <c r="I515" s="600">
        <v>8866</v>
      </c>
      <c r="J515" s="612">
        <v>0.000360518769023505</v>
      </c>
      <c r="K515" s="613">
        <f t="shared" si="25"/>
        <v>0</v>
      </c>
      <c r="L515" s="610">
        <f t="shared" si="26"/>
        <v>8866</v>
      </c>
      <c r="M515" s="601"/>
      <c r="N515" s="601"/>
      <c r="O515" s="601"/>
      <c r="P515" s="601"/>
      <c r="Q515" s="601"/>
      <c r="R515" s="601"/>
      <c r="S515" s="601"/>
      <c r="T515" s="601"/>
      <c r="U515" s="601"/>
      <c r="V515" s="601"/>
      <c r="W515" s="601"/>
      <c r="X515" s="601"/>
      <c r="Y515" s="601"/>
    </row>
    <row r="516" ht="51" spans="1:25">
      <c r="A516" s="569" t="s">
        <v>1450</v>
      </c>
      <c r="B516" s="569" t="s">
        <v>1451</v>
      </c>
      <c r="C516" s="569" t="s">
        <v>132</v>
      </c>
      <c r="D516" s="569" t="s">
        <v>1452</v>
      </c>
      <c r="E516" s="577" t="s">
        <v>134</v>
      </c>
      <c r="F516" s="570">
        <v>1</v>
      </c>
      <c r="G516" s="579">
        <v>7616.07</v>
      </c>
      <c r="H516" s="600" t="s">
        <v>1453</v>
      </c>
      <c r="I516" s="600">
        <v>8843.78</v>
      </c>
      <c r="J516" s="612">
        <v>0.000359615235632156</v>
      </c>
      <c r="K516" s="613">
        <f t="shared" si="25"/>
        <v>0</v>
      </c>
      <c r="L516" s="610">
        <f t="shared" si="26"/>
        <v>8843.78</v>
      </c>
      <c r="M516" s="601"/>
      <c r="N516" s="601"/>
      <c r="O516" s="601"/>
      <c r="P516" s="601"/>
      <c r="Q516" s="601"/>
      <c r="R516" s="601"/>
      <c r="S516" s="601"/>
      <c r="T516" s="601"/>
      <c r="U516" s="601"/>
      <c r="V516" s="601"/>
      <c r="W516" s="601"/>
      <c r="X516" s="601"/>
      <c r="Y516" s="601"/>
    </row>
    <row r="517" ht="51" spans="1:25">
      <c r="A517" s="569" t="s">
        <v>1454</v>
      </c>
      <c r="B517" s="569" t="s">
        <v>1455</v>
      </c>
      <c r="C517" s="569" t="s">
        <v>132</v>
      </c>
      <c r="D517" s="569" t="s">
        <v>1456</v>
      </c>
      <c r="E517" s="577" t="s">
        <v>134</v>
      </c>
      <c r="F517" s="570">
        <v>1</v>
      </c>
      <c r="G517" s="579">
        <v>10830.84</v>
      </c>
      <c r="H517" s="600" t="s">
        <v>1457</v>
      </c>
      <c r="I517" s="600">
        <v>12576.77</v>
      </c>
      <c r="J517" s="612">
        <v>0.000511410065270894</v>
      </c>
      <c r="K517" s="613">
        <f t="shared" si="25"/>
        <v>0</v>
      </c>
      <c r="L517" s="610">
        <f t="shared" si="26"/>
        <v>12576.77</v>
      </c>
      <c r="M517" s="601"/>
      <c r="N517" s="601"/>
      <c r="O517" s="601"/>
      <c r="P517" s="601"/>
      <c r="Q517" s="601"/>
      <c r="R517" s="601"/>
      <c r="S517" s="601"/>
      <c r="T517" s="601"/>
      <c r="U517" s="601"/>
      <c r="V517" s="601"/>
      <c r="W517" s="601"/>
      <c r="X517" s="601"/>
      <c r="Y517" s="601"/>
    </row>
    <row r="518" ht="51" spans="1:25">
      <c r="A518" s="569" t="s">
        <v>1458</v>
      </c>
      <c r="B518" s="569" t="s">
        <v>1459</v>
      </c>
      <c r="C518" s="569" t="s">
        <v>132</v>
      </c>
      <c r="D518" s="569" t="s">
        <v>1460</v>
      </c>
      <c r="E518" s="577" t="s">
        <v>134</v>
      </c>
      <c r="F518" s="570">
        <v>1</v>
      </c>
      <c r="G518" s="579">
        <v>8943.15</v>
      </c>
      <c r="H518" s="600" t="s">
        <v>1461</v>
      </c>
      <c r="I518" s="600">
        <v>10384.78</v>
      </c>
      <c r="J518" s="612">
        <v>0.000422277024834189</v>
      </c>
      <c r="K518" s="613">
        <f t="shared" si="25"/>
        <v>0</v>
      </c>
      <c r="L518" s="610">
        <f t="shared" si="26"/>
        <v>10384.78</v>
      </c>
      <c r="M518" s="601"/>
      <c r="N518" s="601"/>
      <c r="O518" s="601"/>
      <c r="P518" s="601"/>
      <c r="Q518" s="601"/>
      <c r="R518" s="601"/>
      <c r="S518" s="601"/>
      <c r="T518" s="601"/>
      <c r="U518" s="601"/>
      <c r="V518" s="601"/>
      <c r="W518" s="601"/>
      <c r="X518" s="601"/>
      <c r="Y518" s="601"/>
    </row>
    <row r="519" ht="51" spans="1:25">
      <c r="A519" s="569" t="s">
        <v>1462</v>
      </c>
      <c r="B519" s="569" t="s">
        <v>1463</v>
      </c>
      <c r="C519" s="569" t="s">
        <v>132</v>
      </c>
      <c r="D519" s="569" t="s">
        <v>1464</v>
      </c>
      <c r="E519" s="577" t="s">
        <v>134</v>
      </c>
      <c r="F519" s="570">
        <v>1</v>
      </c>
      <c r="G519" s="579">
        <v>7440.48</v>
      </c>
      <c r="H519" s="600" t="s">
        <v>1465</v>
      </c>
      <c r="I519" s="600">
        <v>8639.88</v>
      </c>
      <c r="J519" s="612">
        <v>0.000351324035879856</v>
      </c>
      <c r="K519" s="613">
        <f t="shared" si="25"/>
        <v>0</v>
      </c>
      <c r="L519" s="610">
        <f t="shared" si="26"/>
        <v>8639.88</v>
      </c>
      <c r="M519" s="601"/>
      <c r="N519" s="601"/>
      <c r="O519" s="601"/>
      <c r="P519" s="601"/>
      <c r="Q519" s="601"/>
      <c r="R519" s="601"/>
      <c r="S519" s="601"/>
      <c r="T519" s="601"/>
      <c r="U519" s="601"/>
      <c r="V519" s="601"/>
      <c r="W519" s="601"/>
      <c r="X519" s="601"/>
      <c r="Y519" s="601"/>
    </row>
    <row r="520" ht="15" spans="1:25">
      <c r="A520" s="596" t="s">
        <v>1466</v>
      </c>
      <c r="B520" s="596" t="s">
        <v>74</v>
      </c>
      <c r="C520" s="596"/>
      <c r="D520" s="596" t="s">
        <v>1467</v>
      </c>
      <c r="E520" s="597"/>
      <c r="F520" s="598">
        <v>1</v>
      </c>
      <c r="G520" s="598"/>
      <c r="H520" s="599">
        <v>865368.1</v>
      </c>
      <c r="I520" s="599">
        <v>865368.1</v>
      </c>
      <c r="J520" s="608">
        <v>0.0351885226893988</v>
      </c>
      <c r="K520" s="613">
        <f t="shared" si="25"/>
        <v>0</v>
      </c>
      <c r="L520" s="610">
        <f>SUM(L521,L553)</f>
        <v>865368.1</v>
      </c>
      <c r="M520" s="601"/>
      <c r="N520" s="601"/>
      <c r="O520" s="601"/>
      <c r="P520" s="601"/>
      <c r="Q520" s="601"/>
      <c r="R520" s="601"/>
      <c r="S520" s="601"/>
      <c r="T520" s="601"/>
      <c r="U520" s="601"/>
      <c r="V520" s="601"/>
      <c r="W520" s="601"/>
      <c r="X520" s="601"/>
      <c r="Y520" s="601"/>
    </row>
    <row r="521" ht="15" spans="1:25">
      <c r="A521" s="596" t="s">
        <v>1468</v>
      </c>
      <c r="B521" s="596" t="s">
        <v>74</v>
      </c>
      <c r="C521" s="596"/>
      <c r="D521" s="596" t="s">
        <v>381</v>
      </c>
      <c r="E521" s="597"/>
      <c r="F521" s="598">
        <v>1</v>
      </c>
      <c r="G521" s="598"/>
      <c r="H521" s="599">
        <v>581255.69</v>
      </c>
      <c r="I521" s="599">
        <v>581255.69</v>
      </c>
      <c r="J521" s="608">
        <v>0.0236356401812213</v>
      </c>
      <c r="K521" s="613">
        <f t="shared" ref="K521:K584" si="27">$I$1051</f>
        <v>0</v>
      </c>
      <c r="L521" s="610">
        <f>SUM(L522:L552)</f>
        <v>581255.69</v>
      </c>
      <c r="M521" s="601"/>
      <c r="N521" s="601"/>
      <c r="O521" s="601"/>
      <c r="P521" s="601"/>
      <c r="Q521" s="601"/>
      <c r="R521" s="601"/>
      <c r="S521" s="601"/>
      <c r="T521" s="601"/>
      <c r="U521" s="601"/>
      <c r="V521" s="601"/>
      <c r="W521" s="601"/>
      <c r="X521" s="601"/>
      <c r="Y521" s="601"/>
    </row>
    <row r="522" ht="38.25" spans="1:25">
      <c r="A522" s="569" t="s">
        <v>1469</v>
      </c>
      <c r="B522" s="569" t="s">
        <v>1470</v>
      </c>
      <c r="C522" s="569" t="s">
        <v>77</v>
      </c>
      <c r="D522" s="569" t="s">
        <v>1471</v>
      </c>
      <c r="E522" s="577" t="s">
        <v>204</v>
      </c>
      <c r="F522" s="570">
        <v>42</v>
      </c>
      <c r="G522" s="579">
        <v>66.53</v>
      </c>
      <c r="H522" s="600">
        <v>83.48</v>
      </c>
      <c r="I522" s="600">
        <v>3506.16</v>
      </c>
      <c r="J522" s="612">
        <v>0.000142571225716158</v>
      </c>
      <c r="K522" s="613">
        <f t="shared" si="27"/>
        <v>0</v>
      </c>
      <c r="L522" s="610">
        <f t="shared" ref="L522:L552" si="28">I522-(I522*K522)</f>
        <v>3506.16</v>
      </c>
      <c r="M522" s="601"/>
      <c r="N522" s="601"/>
      <c r="O522" s="601"/>
      <c r="P522" s="601"/>
      <c r="Q522" s="601"/>
      <c r="R522" s="601"/>
      <c r="S522" s="601"/>
      <c r="T522" s="601"/>
      <c r="U522" s="601"/>
      <c r="V522" s="601"/>
      <c r="W522" s="601"/>
      <c r="X522" s="601"/>
      <c r="Y522" s="601"/>
    </row>
    <row r="523" ht="38.25" spans="1:25">
      <c r="A523" s="569" t="s">
        <v>1472</v>
      </c>
      <c r="B523" s="569" t="s">
        <v>1473</v>
      </c>
      <c r="C523" s="569" t="s">
        <v>77</v>
      </c>
      <c r="D523" s="569" t="s">
        <v>1474</v>
      </c>
      <c r="E523" s="577" t="s">
        <v>204</v>
      </c>
      <c r="F523" s="570">
        <v>33</v>
      </c>
      <c r="G523" s="579">
        <v>82.58</v>
      </c>
      <c r="H523" s="600">
        <v>103.62</v>
      </c>
      <c r="I523" s="600">
        <v>3419.46</v>
      </c>
      <c r="J523" s="612">
        <v>0.000139045737641001</v>
      </c>
      <c r="K523" s="613">
        <f t="shared" si="27"/>
        <v>0</v>
      </c>
      <c r="L523" s="610">
        <f t="shared" si="28"/>
        <v>3419.46</v>
      </c>
      <c r="M523" s="601"/>
      <c r="N523" s="601"/>
      <c r="O523" s="601"/>
      <c r="P523" s="601"/>
      <c r="Q523" s="601"/>
      <c r="R523" s="601"/>
      <c r="S523" s="601"/>
      <c r="T523" s="601"/>
      <c r="U523" s="601"/>
      <c r="V523" s="601"/>
      <c r="W523" s="601"/>
      <c r="X523" s="601"/>
      <c r="Y523" s="601"/>
    </row>
    <row r="524" ht="25.5" spans="1:25">
      <c r="A524" s="569" t="s">
        <v>1475</v>
      </c>
      <c r="B524" s="569" t="s">
        <v>1476</v>
      </c>
      <c r="C524" s="569" t="s">
        <v>132</v>
      </c>
      <c r="D524" s="569" t="s">
        <v>1477</v>
      </c>
      <c r="E524" s="577" t="s">
        <v>134</v>
      </c>
      <c r="F524" s="570">
        <v>6</v>
      </c>
      <c r="G524" s="579">
        <v>392.64</v>
      </c>
      <c r="H524" s="600">
        <v>492.72</v>
      </c>
      <c r="I524" s="600">
        <v>2956.32</v>
      </c>
      <c r="J524" s="612">
        <v>0.0001202130439025</v>
      </c>
      <c r="K524" s="613">
        <f t="shared" si="27"/>
        <v>0</v>
      </c>
      <c r="L524" s="610">
        <f t="shared" si="28"/>
        <v>2956.32</v>
      </c>
      <c r="M524" s="601"/>
      <c r="N524" s="601"/>
      <c r="O524" s="601"/>
      <c r="P524" s="601"/>
      <c r="Q524" s="601"/>
      <c r="R524" s="601"/>
      <c r="S524" s="601"/>
      <c r="T524" s="601"/>
      <c r="U524" s="601"/>
      <c r="V524" s="601"/>
      <c r="W524" s="601"/>
      <c r="X524" s="601"/>
      <c r="Y524" s="601"/>
    </row>
    <row r="525" ht="25.5" spans="1:25">
      <c r="A525" s="569" t="s">
        <v>1478</v>
      </c>
      <c r="B525" s="569" t="s">
        <v>1479</v>
      </c>
      <c r="C525" s="569" t="s">
        <v>796</v>
      </c>
      <c r="D525" s="569" t="s">
        <v>1480</v>
      </c>
      <c r="E525" s="577" t="s">
        <v>334</v>
      </c>
      <c r="F525" s="570">
        <v>6</v>
      </c>
      <c r="G525" s="579">
        <v>295.5</v>
      </c>
      <c r="H525" s="600">
        <v>370.82</v>
      </c>
      <c r="I525" s="600">
        <v>2224.92</v>
      </c>
      <c r="J525" s="612">
        <v>9.04720752961625e-5</v>
      </c>
      <c r="K525" s="613">
        <f t="shared" si="27"/>
        <v>0</v>
      </c>
      <c r="L525" s="610">
        <f t="shared" si="28"/>
        <v>2224.92</v>
      </c>
      <c r="M525" s="601"/>
      <c r="N525" s="601"/>
      <c r="O525" s="601"/>
      <c r="P525" s="601"/>
      <c r="Q525" s="601"/>
      <c r="R525" s="601"/>
      <c r="S525" s="601"/>
      <c r="T525" s="601"/>
      <c r="U525" s="601"/>
      <c r="V525" s="601"/>
      <c r="W525" s="601"/>
      <c r="X525" s="601"/>
      <c r="Y525" s="601"/>
    </row>
    <row r="526" ht="38.25" spans="1:25">
      <c r="A526" s="569" t="s">
        <v>1481</v>
      </c>
      <c r="B526" s="569" t="s">
        <v>1482</v>
      </c>
      <c r="C526" s="569" t="s">
        <v>132</v>
      </c>
      <c r="D526" s="569" t="s">
        <v>1483</v>
      </c>
      <c r="E526" s="577" t="s">
        <v>134</v>
      </c>
      <c r="F526" s="570">
        <v>1</v>
      </c>
      <c r="G526" s="579">
        <v>132000</v>
      </c>
      <c r="H526" s="600" t="s">
        <v>1484</v>
      </c>
      <c r="I526" s="600">
        <v>153278.4</v>
      </c>
      <c r="J526" s="612">
        <v>0.00623277014278056</v>
      </c>
      <c r="K526" s="613">
        <f t="shared" si="27"/>
        <v>0</v>
      </c>
      <c r="L526" s="610">
        <f t="shared" si="28"/>
        <v>153278.4</v>
      </c>
      <c r="M526" s="601"/>
      <c r="N526" s="601"/>
      <c r="O526" s="601"/>
      <c r="P526" s="601"/>
      <c r="Q526" s="601"/>
      <c r="R526" s="601"/>
      <c r="S526" s="601"/>
      <c r="T526" s="601"/>
      <c r="U526" s="601"/>
      <c r="V526" s="601"/>
      <c r="W526" s="601"/>
      <c r="X526" s="601"/>
      <c r="Y526" s="601"/>
    </row>
    <row r="527" ht="38.25" spans="1:25">
      <c r="A527" s="569" t="s">
        <v>1485</v>
      </c>
      <c r="B527" s="569" t="s">
        <v>1486</v>
      </c>
      <c r="C527" s="569" t="s">
        <v>132</v>
      </c>
      <c r="D527" s="569" t="s">
        <v>1487</v>
      </c>
      <c r="E527" s="577" t="s">
        <v>134</v>
      </c>
      <c r="F527" s="570">
        <v>1</v>
      </c>
      <c r="G527" s="579">
        <v>2188.14</v>
      </c>
      <c r="H527" s="600">
        <v>2745.89</v>
      </c>
      <c r="I527" s="600">
        <v>2745.89</v>
      </c>
      <c r="J527" s="612">
        <v>0.000111656314310168</v>
      </c>
      <c r="K527" s="613">
        <f t="shared" si="27"/>
        <v>0</v>
      </c>
      <c r="L527" s="610">
        <f t="shared" si="28"/>
        <v>2745.89</v>
      </c>
      <c r="M527" s="601"/>
      <c r="N527" s="601"/>
      <c r="O527" s="601"/>
      <c r="P527" s="601"/>
      <c r="Q527" s="601"/>
      <c r="R527" s="601"/>
      <c r="S527" s="601"/>
      <c r="T527" s="601"/>
      <c r="U527" s="601"/>
      <c r="V527" s="601"/>
      <c r="W527" s="601"/>
      <c r="X527" s="601"/>
      <c r="Y527" s="601"/>
    </row>
    <row r="528" ht="25.5" spans="1:25">
      <c r="A528" s="569" t="s">
        <v>1488</v>
      </c>
      <c r="B528" s="569" t="s">
        <v>1489</v>
      </c>
      <c r="C528" s="569" t="s">
        <v>132</v>
      </c>
      <c r="D528" s="569" t="s">
        <v>1490</v>
      </c>
      <c r="E528" s="577" t="s">
        <v>1491</v>
      </c>
      <c r="F528" s="570">
        <v>1</v>
      </c>
      <c r="G528" s="579">
        <v>267355.8</v>
      </c>
      <c r="H528" s="600" t="s">
        <v>1492</v>
      </c>
      <c r="I528" s="600">
        <v>310453.55</v>
      </c>
      <c r="J528" s="612">
        <v>0.0126239940993658</v>
      </c>
      <c r="K528" s="613">
        <f t="shared" si="27"/>
        <v>0</v>
      </c>
      <c r="L528" s="610">
        <f t="shared" si="28"/>
        <v>310453.55</v>
      </c>
      <c r="M528" s="601"/>
      <c r="N528" s="601"/>
      <c r="O528" s="601"/>
      <c r="P528" s="601"/>
      <c r="Q528" s="601"/>
      <c r="R528" s="601"/>
      <c r="S528" s="601"/>
      <c r="T528" s="601"/>
      <c r="U528" s="601"/>
      <c r="V528" s="601"/>
      <c r="W528" s="601"/>
      <c r="X528" s="601"/>
      <c r="Y528" s="601"/>
    </row>
    <row r="529" ht="25.5" spans="1:25">
      <c r="A529" s="569" t="s">
        <v>1493</v>
      </c>
      <c r="B529" s="569" t="s">
        <v>1494</v>
      </c>
      <c r="C529" s="569" t="s">
        <v>132</v>
      </c>
      <c r="D529" s="569" t="s">
        <v>1495</v>
      </c>
      <c r="E529" s="577" t="s">
        <v>134</v>
      </c>
      <c r="F529" s="570">
        <v>1</v>
      </c>
      <c r="G529" s="579">
        <v>2709.7</v>
      </c>
      <c r="H529" s="600">
        <v>3400.4</v>
      </c>
      <c r="I529" s="600">
        <v>3400.4</v>
      </c>
      <c r="J529" s="612">
        <v>0.000138270699547431</v>
      </c>
      <c r="K529" s="613">
        <f t="shared" si="27"/>
        <v>0</v>
      </c>
      <c r="L529" s="610">
        <f t="shared" si="28"/>
        <v>3400.4</v>
      </c>
      <c r="M529" s="601"/>
      <c r="N529" s="601"/>
      <c r="O529" s="601"/>
      <c r="P529" s="601"/>
      <c r="Q529" s="601"/>
      <c r="R529" s="601"/>
      <c r="S529" s="601"/>
      <c r="T529" s="601"/>
      <c r="U529" s="601"/>
      <c r="V529" s="601"/>
      <c r="W529" s="601"/>
      <c r="X529" s="601"/>
      <c r="Y529" s="601"/>
    </row>
    <row r="530" ht="15" spans="1:25">
      <c r="A530" s="569" t="s">
        <v>1496</v>
      </c>
      <c r="B530" s="569" t="s">
        <v>1497</v>
      </c>
      <c r="C530" s="569" t="s">
        <v>149</v>
      </c>
      <c r="D530" s="569" t="s">
        <v>1498</v>
      </c>
      <c r="E530" s="577" t="s">
        <v>134</v>
      </c>
      <c r="F530" s="570">
        <v>3</v>
      </c>
      <c r="G530" s="579">
        <v>387</v>
      </c>
      <c r="H530" s="600">
        <v>485.64</v>
      </c>
      <c r="I530" s="600">
        <v>1456.92</v>
      </c>
      <c r="J530" s="612">
        <v>5.92428383674402e-5</v>
      </c>
      <c r="K530" s="613">
        <f t="shared" si="27"/>
        <v>0</v>
      </c>
      <c r="L530" s="610">
        <f t="shared" si="28"/>
        <v>1456.92</v>
      </c>
      <c r="M530" s="601"/>
      <c r="N530" s="601"/>
      <c r="O530" s="601"/>
      <c r="P530" s="601"/>
      <c r="Q530" s="601"/>
      <c r="R530" s="601"/>
      <c r="S530" s="601"/>
      <c r="T530" s="601"/>
      <c r="U530" s="601"/>
      <c r="V530" s="601"/>
      <c r="W530" s="601"/>
      <c r="X530" s="601"/>
      <c r="Y530" s="601"/>
    </row>
    <row r="531" ht="76.5" spans="1:25">
      <c r="A531" s="569" t="s">
        <v>1499</v>
      </c>
      <c r="B531" s="569" t="s">
        <v>1500</v>
      </c>
      <c r="C531" s="569" t="s">
        <v>77</v>
      </c>
      <c r="D531" s="569" t="s">
        <v>1501</v>
      </c>
      <c r="E531" s="577" t="s">
        <v>141</v>
      </c>
      <c r="F531" s="570">
        <v>28.35</v>
      </c>
      <c r="G531" s="579">
        <v>628.92</v>
      </c>
      <c r="H531" s="600">
        <v>789.23</v>
      </c>
      <c r="I531" s="600">
        <v>22374.67</v>
      </c>
      <c r="J531" s="612">
        <v>0.000909822748218718</v>
      </c>
      <c r="K531" s="613">
        <f t="shared" si="27"/>
        <v>0</v>
      </c>
      <c r="L531" s="610">
        <f t="shared" si="28"/>
        <v>22374.67</v>
      </c>
      <c r="M531" s="601"/>
      <c r="N531" s="601"/>
      <c r="O531" s="601"/>
      <c r="P531" s="601"/>
      <c r="Q531" s="601"/>
      <c r="R531" s="601"/>
      <c r="S531" s="601"/>
      <c r="T531" s="601"/>
      <c r="U531" s="601"/>
      <c r="V531" s="601"/>
      <c r="W531" s="601"/>
      <c r="X531" s="601"/>
      <c r="Y531" s="601"/>
    </row>
    <row r="532" ht="25.5" spans="1:25">
      <c r="A532" s="569" t="s">
        <v>1502</v>
      </c>
      <c r="B532" s="569" t="s">
        <v>1503</v>
      </c>
      <c r="C532" s="569" t="s">
        <v>132</v>
      </c>
      <c r="D532" s="569" t="s">
        <v>1504</v>
      </c>
      <c r="E532" s="577" t="s">
        <v>141</v>
      </c>
      <c r="F532" s="570">
        <v>19.85</v>
      </c>
      <c r="G532" s="579">
        <v>654.73</v>
      </c>
      <c r="H532" s="600">
        <v>821.62</v>
      </c>
      <c r="I532" s="600">
        <v>16309.15</v>
      </c>
      <c r="J532" s="612">
        <v>0.000663180090437593</v>
      </c>
      <c r="K532" s="613">
        <f t="shared" si="27"/>
        <v>0</v>
      </c>
      <c r="L532" s="610">
        <f t="shared" si="28"/>
        <v>16309.15</v>
      </c>
      <c r="M532" s="601"/>
      <c r="N532" s="601"/>
      <c r="O532" s="601"/>
      <c r="P532" s="601"/>
      <c r="Q532" s="601"/>
      <c r="R532" s="601"/>
      <c r="S532" s="601"/>
      <c r="T532" s="601"/>
      <c r="U532" s="601"/>
      <c r="V532" s="601"/>
      <c r="W532" s="601"/>
      <c r="X532" s="601"/>
      <c r="Y532" s="601"/>
    </row>
    <row r="533" ht="76.5" spans="1:25">
      <c r="A533" s="569" t="s">
        <v>1505</v>
      </c>
      <c r="B533" s="569" t="s">
        <v>1506</v>
      </c>
      <c r="C533" s="569" t="s">
        <v>132</v>
      </c>
      <c r="D533" s="569" t="s">
        <v>1507</v>
      </c>
      <c r="E533" s="577" t="s">
        <v>1508</v>
      </c>
      <c r="F533" s="570">
        <v>34.8</v>
      </c>
      <c r="G533" s="579">
        <v>742.26</v>
      </c>
      <c r="H533" s="600">
        <v>931.46</v>
      </c>
      <c r="I533" s="600">
        <v>32414.8</v>
      </c>
      <c r="J533" s="612">
        <v>0.00131808524635045</v>
      </c>
      <c r="K533" s="613">
        <f t="shared" si="27"/>
        <v>0</v>
      </c>
      <c r="L533" s="610">
        <f t="shared" si="28"/>
        <v>32414.8</v>
      </c>
      <c r="M533" s="601"/>
      <c r="N533" s="601"/>
      <c r="O533" s="601"/>
      <c r="P533" s="601"/>
      <c r="Q533" s="601"/>
      <c r="R533" s="601"/>
      <c r="S533" s="601"/>
      <c r="T533" s="601"/>
      <c r="U533" s="601"/>
      <c r="V533" s="601"/>
      <c r="W533" s="601"/>
      <c r="X533" s="601"/>
      <c r="Y533" s="601"/>
    </row>
    <row r="534" ht="25.5" spans="1:25">
      <c r="A534" s="569" t="s">
        <v>1509</v>
      </c>
      <c r="B534" s="569" t="s">
        <v>1510</v>
      </c>
      <c r="C534" s="569" t="s">
        <v>132</v>
      </c>
      <c r="D534" s="569" t="s">
        <v>1511</v>
      </c>
      <c r="E534" s="577" t="s">
        <v>134</v>
      </c>
      <c r="F534" s="570">
        <v>1</v>
      </c>
      <c r="G534" s="579">
        <v>2188.14</v>
      </c>
      <c r="H534" s="600">
        <v>2745.89</v>
      </c>
      <c r="I534" s="600">
        <v>2745.89</v>
      </c>
      <c r="J534" s="612">
        <v>0.000111656314310168</v>
      </c>
      <c r="K534" s="613">
        <f t="shared" si="27"/>
        <v>0</v>
      </c>
      <c r="L534" s="610">
        <f t="shared" si="28"/>
        <v>2745.89</v>
      </c>
      <c r="M534" s="601"/>
      <c r="N534" s="601"/>
      <c r="O534" s="601"/>
      <c r="P534" s="601"/>
      <c r="Q534" s="601"/>
      <c r="R534" s="601"/>
      <c r="S534" s="601"/>
      <c r="T534" s="601"/>
      <c r="U534" s="601"/>
      <c r="V534" s="601"/>
      <c r="W534" s="601"/>
      <c r="X534" s="601"/>
      <c r="Y534" s="601"/>
    </row>
    <row r="535" ht="25.5" spans="1:25">
      <c r="A535" s="569" t="s">
        <v>1512</v>
      </c>
      <c r="B535" s="569" t="s">
        <v>1513</v>
      </c>
      <c r="C535" s="569" t="s">
        <v>132</v>
      </c>
      <c r="D535" s="569" t="s">
        <v>1514</v>
      </c>
      <c r="E535" s="577" t="s">
        <v>204</v>
      </c>
      <c r="F535" s="570">
        <v>30</v>
      </c>
      <c r="G535" s="579">
        <v>58.11</v>
      </c>
      <c r="H535" s="600">
        <v>72.92</v>
      </c>
      <c r="I535" s="600">
        <v>2187.6</v>
      </c>
      <c r="J535" s="612">
        <v>8.89545295641574e-5</v>
      </c>
      <c r="K535" s="613">
        <f t="shared" si="27"/>
        <v>0</v>
      </c>
      <c r="L535" s="610">
        <f t="shared" si="28"/>
        <v>2187.6</v>
      </c>
      <c r="M535" s="601"/>
      <c r="N535" s="601"/>
      <c r="O535" s="601"/>
      <c r="P535" s="601"/>
      <c r="Q535" s="601"/>
      <c r="R535" s="601"/>
      <c r="S535" s="601"/>
      <c r="T535" s="601"/>
      <c r="U535" s="601"/>
      <c r="V535" s="601"/>
      <c r="W535" s="601"/>
      <c r="X535" s="601"/>
      <c r="Y535" s="601"/>
    </row>
    <row r="536" ht="25.5" spans="1:25">
      <c r="A536" s="569" t="s">
        <v>1515</v>
      </c>
      <c r="B536" s="569" t="s">
        <v>1516</v>
      </c>
      <c r="C536" s="569" t="s">
        <v>139</v>
      </c>
      <c r="D536" s="569" t="s">
        <v>1517</v>
      </c>
      <c r="E536" s="577" t="s">
        <v>204</v>
      </c>
      <c r="F536" s="570">
        <v>68</v>
      </c>
      <c r="G536" s="579">
        <v>61.15</v>
      </c>
      <c r="H536" s="600">
        <v>76.73</v>
      </c>
      <c r="I536" s="600">
        <v>5217.64</v>
      </c>
      <c r="J536" s="612">
        <v>0.000212165254907264</v>
      </c>
      <c r="K536" s="613">
        <f t="shared" si="27"/>
        <v>0</v>
      </c>
      <c r="L536" s="610">
        <f t="shared" si="28"/>
        <v>5217.64</v>
      </c>
      <c r="M536" s="601"/>
      <c r="N536" s="601"/>
      <c r="O536" s="601"/>
      <c r="P536" s="601"/>
      <c r="Q536" s="601"/>
      <c r="R536" s="601"/>
      <c r="S536" s="601"/>
      <c r="T536" s="601"/>
      <c r="U536" s="601"/>
      <c r="V536" s="601"/>
      <c r="W536" s="601"/>
      <c r="X536" s="601"/>
      <c r="Y536" s="601"/>
    </row>
    <row r="537" ht="25.5" spans="1:25">
      <c r="A537" s="569" t="s">
        <v>1518</v>
      </c>
      <c r="B537" s="569" t="s">
        <v>1519</v>
      </c>
      <c r="C537" s="569" t="s">
        <v>139</v>
      </c>
      <c r="D537" s="569" t="s">
        <v>1520</v>
      </c>
      <c r="E537" s="577" t="s">
        <v>204</v>
      </c>
      <c r="F537" s="570">
        <v>20</v>
      </c>
      <c r="G537" s="579">
        <v>115.09</v>
      </c>
      <c r="H537" s="600">
        <v>144.42</v>
      </c>
      <c r="I537" s="600">
        <v>2888.4</v>
      </c>
      <c r="J537" s="612">
        <v>0.000117451208261617</v>
      </c>
      <c r="K537" s="613">
        <f t="shared" si="27"/>
        <v>0</v>
      </c>
      <c r="L537" s="610">
        <f t="shared" si="28"/>
        <v>2888.4</v>
      </c>
      <c r="M537" s="601"/>
      <c r="N537" s="601"/>
      <c r="O537" s="601"/>
      <c r="P537" s="601"/>
      <c r="Q537" s="601"/>
      <c r="R537" s="601"/>
      <c r="S537" s="601"/>
      <c r="T537" s="601"/>
      <c r="U537" s="601"/>
      <c r="V537" s="601"/>
      <c r="W537" s="601"/>
      <c r="X537" s="601"/>
      <c r="Y537" s="601"/>
    </row>
    <row r="538" ht="15" spans="1:25">
      <c r="A538" s="569" t="s">
        <v>1521</v>
      </c>
      <c r="B538" s="569" t="s">
        <v>1522</v>
      </c>
      <c r="C538" s="569" t="s">
        <v>149</v>
      </c>
      <c r="D538" s="569" t="s">
        <v>1523</v>
      </c>
      <c r="E538" s="577" t="s">
        <v>134</v>
      </c>
      <c r="F538" s="570">
        <v>29</v>
      </c>
      <c r="G538" s="579">
        <v>63.88</v>
      </c>
      <c r="H538" s="600">
        <v>80.16</v>
      </c>
      <c r="I538" s="600">
        <v>2324.64</v>
      </c>
      <c r="J538" s="612">
        <v>9.45269965286263e-5</v>
      </c>
      <c r="K538" s="613">
        <f t="shared" si="27"/>
        <v>0</v>
      </c>
      <c r="L538" s="610">
        <f t="shared" si="28"/>
        <v>2324.64</v>
      </c>
      <c r="M538" s="601"/>
      <c r="N538" s="601"/>
      <c r="O538" s="601"/>
      <c r="P538" s="601"/>
      <c r="Q538" s="601"/>
      <c r="R538" s="601"/>
      <c r="S538" s="601"/>
      <c r="T538" s="601"/>
      <c r="U538" s="601"/>
      <c r="V538" s="601"/>
      <c r="W538" s="601"/>
      <c r="X538" s="601"/>
      <c r="Y538" s="601"/>
    </row>
    <row r="539" ht="25.5" spans="1:25">
      <c r="A539" s="569" t="s">
        <v>1524</v>
      </c>
      <c r="B539" s="569" t="s">
        <v>1525</v>
      </c>
      <c r="C539" s="569" t="s">
        <v>77</v>
      </c>
      <c r="D539" s="569" t="s">
        <v>1526</v>
      </c>
      <c r="E539" s="577" t="s">
        <v>134</v>
      </c>
      <c r="F539" s="570">
        <v>13</v>
      </c>
      <c r="G539" s="579">
        <v>17.33</v>
      </c>
      <c r="H539" s="600">
        <v>21.74</v>
      </c>
      <c r="I539" s="600">
        <v>282.62</v>
      </c>
      <c r="J539" s="612">
        <v>1.14921965374941e-5</v>
      </c>
      <c r="K539" s="613">
        <f t="shared" si="27"/>
        <v>0</v>
      </c>
      <c r="L539" s="610">
        <f t="shared" si="28"/>
        <v>282.62</v>
      </c>
      <c r="M539" s="601"/>
      <c r="N539" s="601"/>
      <c r="O539" s="601"/>
      <c r="P539" s="601"/>
      <c r="Q539" s="601"/>
      <c r="R539" s="601"/>
      <c r="S539" s="601"/>
      <c r="T539" s="601"/>
      <c r="U539" s="601"/>
      <c r="V539" s="601"/>
      <c r="W539" s="601"/>
      <c r="X539" s="601"/>
      <c r="Y539" s="601"/>
    </row>
    <row r="540" ht="15" spans="1:25">
      <c r="A540" s="569" t="s">
        <v>1527</v>
      </c>
      <c r="B540" s="569" t="s">
        <v>1528</v>
      </c>
      <c r="C540" s="569" t="s">
        <v>149</v>
      </c>
      <c r="D540" s="569" t="s">
        <v>1529</v>
      </c>
      <c r="E540" s="577" t="s">
        <v>134</v>
      </c>
      <c r="F540" s="570">
        <v>1</v>
      </c>
      <c r="G540" s="579">
        <v>544.78</v>
      </c>
      <c r="H540" s="600">
        <v>683.64</v>
      </c>
      <c r="I540" s="600">
        <v>683.64</v>
      </c>
      <c r="J540" s="612">
        <v>2.7798900434833e-5</v>
      </c>
      <c r="K540" s="613">
        <f t="shared" si="27"/>
        <v>0</v>
      </c>
      <c r="L540" s="610">
        <f t="shared" si="28"/>
        <v>683.64</v>
      </c>
      <c r="M540" s="601"/>
      <c r="N540" s="601"/>
      <c r="O540" s="601"/>
      <c r="P540" s="601"/>
      <c r="Q540" s="601"/>
      <c r="R540" s="601"/>
      <c r="S540" s="601"/>
      <c r="T540" s="601"/>
      <c r="U540" s="601"/>
      <c r="V540" s="601"/>
      <c r="W540" s="601"/>
      <c r="X540" s="601"/>
      <c r="Y540" s="601"/>
    </row>
    <row r="541" ht="38.25" spans="1:25">
      <c r="A541" s="569" t="s">
        <v>1530</v>
      </c>
      <c r="B541" s="569" t="s">
        <v>1071</v>
      </c>
      <c r="C541" s="569" t="s">
        <v>77</v>
      </c>
      <c r="D541" s="569" t="s">
        <v>1072</v>
      </c>
      <c r="E541" s="577" t="s">
        <v>204</v>
      </c>
      <c r="F541" s="570">
        <v>27</v>
      </c>
      <c r="G541" s="579">
        <v>17.72</v>
      </c>
      <c r="H541" s="600">
        <v>22.23</v>
      </c>
      <c r="I541" s="600">
        <v>600.21</v>
      </c>
      <c r="J541" s="612">
        <v>2.4406380595037e-5</v>
      </c>
      <c r="K541" s="613">
        <f t="shared" si="27"/>
        <v>0</v>
      </c>
      <c r="L541" s="610">
        <f t="shared" si="28"/>
        <v>600.21</v>
      </c>
      <c r="M541" s="601"/>
      <c r="N541" s="601"/>
      <c r="O541" s="601"/>
      <c r="P541" s="601"/>
      <c r="Q541" s="601"/>
      <c r="R541" s="601"/>
      <c r="S541" s="601"/>
      <c r="T541" s="601"/>
      <c r="U541" s="601"/>
      <c r="V541" s="601"/>
      <c r="W541" s="601"/>
      <c r="X541" s="601"/>
      <c r="Y541" s="601"/>
    </row>
    <row r="542" ht="25.5" spans="1:25">
      <c r="A542" s="569" t="s">
        <v>1531</v>
      </c>
      <c r="B542" s="569" t="s">
        <v>1119</v>
      </c>
      <c r="C542" s="569" t="s">
        <v>132</v>
      </c>
      <c r="D542" s="569" t="s">
        <v>1120</v>
      </c>
      <c r="E542" s="577" t="s">
        <v>134</v>
      </c>
      <c r="F542" s="570">
        <v>18</v>
      </c>
      <c r="G542" s="579">
        <v>11.38</v>
      </c>
      <c r="H542" s="600">
        <v>14.28</v>
      </c>
      <c r="I542" s="600">
        <v>257.04</v>
      </c>
      <c r="J542" s="612">
        <v>1.04520352345817e-5</v>
      </c>
      <c r="K542" s="613">
        <f t="shared" si="27"/>
        <v>0</v>
      </c>
      <c r="L542" s="610">
        <f t="shared" si="28"/>
        <v>257.04</v>
      </c>
      <c r="M542" s="601"/>
      <c r="N542" s="601"/>
      <c r="O542" s="601"/>
      <c r="P542" s="601"/>
      <c r="Q542" s="601"/>
      <c r="R542" s="601"/>
      <c r="S542" s="601"/>
      <c r="T542" s="601"/>
      <c r="U542" s="601"/>
      <c r="V542" s="601"/>
      <c r="W542" s="601"/>
      <c r="X542" s="601"/>
      <c r="Y542" s="601"/>
    </row>
    <row r="543" ht="25.5" spans="1:25">
      <c r="A543" s="569" t="s">
        <v>1532</v>
      </c>
      <c r="B543" s="569" t="s">
        <v>859</v>
      </c>
      <c r="C543" s="569" t="s">
        <v>132</v>
      </c>
      <c r="D543" s="569" t="s">
        <v>860</v>
      </c>
      <c r="E543" s="577" t="s">
        <v>134</v>
      </c>
      <c r="F543" s="570">
        <v>18</v>
      </c>
      <c r="G543" s="579">
        <v>25.31</v>
      </c>
      <c r="H543" s="600">
        <v>31.76</v>
      </c>
      <c r="I543" s="600">
        <v>571.68</v>
      </c>
      <c r="J543" s="612">
        <v>2.32462632388177e-5</v>
      </c>
      <c r="K543" s="613">
        <f t="shared" si="27"/>
        <v>0</v>
      </c>
      <c r="L543" s="610">
        <f t="shared" si="28"/>
        <v>571.68</v>
      </c>
      <c r="M543" s="601"/>
      <c r="N543" s="601"/>
      <c r="O543" s="601"/>
      <c r="P543" s="601"/>
      <c r="Q543" s="601"/>
      <c r="R543" s="601"/>
      <c r="S543" s="601"/>
      <c r="T543" s="601"/>
      <c r="U543" s="601"/>
      <c r="V543" s="601"/>
      <c r="W543" s="601"/>
      <c r="X543" s="601"/>
      <c r="Y543" s="601"/>
    </row>
    <row r="544" ht="15" spans="1:25">
      <c r="A544" s="104" t="s">
        <v>1533</v>
      </c>
      <c r="B544" s="104" t="s">
        <v>862</v>
      </c>
      <c r="C544" s="104" t="s">
        <v>796</v>
      </c>
      <c r="D544" s="104" t="s">
        <v>863</v>
      </c>
      <c r="E544" s="105" t="s">
        <v>334</v>
      </c>
      <c r="F544" s="103">
        <v>72</v>
      </c>
      <c r="G544" s="106">
        <v>0.06</v>
      </c>
      <c r="H544" s="126">
        <v>0.07</v>
      </c>
      <c r="I544" s="126">
        <v>5.04</v>
      </c>
      <c r="J544" s="614">
        <v>2.0494186734474e-7</v>
      </c>
      <c r="K544" s="613">
        <f t="shared" si="27"/>
        <v>0</v>
      </c>
      <c r="L544" s="610">
        <f t="shared" si="28"/>
        <v>5.04</v>
      </c>
      <c r="M544" s="601"/>
      <c r="N544" s="601"/>
      <c r="O544" s="601"/>
      <c r="P544" s="601"/>
      <c r="Q544" s="601"/>
      <c r="R544" s="601"/>
      <c r="S544" s="601"/>
      <c r="T544" s="601"/>
      <c r="U544" s="601"/>
      <c r="V544" s="601"/>
      <c r="W544" s="601"/>
      <c r="X544" s="601"/>
      <c r="Y544" s="601"/>
    </row>
    <row r="545" ht="25.5" spans="1:25">
      <c r="A545" s="569" t="s">
        <v>1534</v>
      </c>
      <c r="B545" s="569" t="s">
        <v>865</v>
      </c>
      <c r="C545" s="569" t="s">
        <v>132</v>
      </c>
      <c r="D545" s="569" t="s">
        <v>866</v>
      </c>
      <c r="E545" s="577" t="s">
        <v>134</v>
      </c>
      <c r="F545" s="570">
        <v>36</v>
      </c>
      <c r="G545" s="579">
        <v>0.12</v>
      </c>
      <c r="H545" s="600">
        <v>0.15</v>
      </c>
      <c r="I545" s="600">
        <v>5.4</v>
      </c>
      <c r="J545" s="612">
        <v>2.19580572155079e-7</v>
      </c>
      <c r="K545" s="613">
        <f t="shared" si="27"/>
        <v>0</v>
      </c>
      <c r="L545" s="610">
        <f t="shared" si="28"/>
        <v>5.4</v>
      </c>
      <c r="M545" s="601"/>
      <c r="N545" s="601"/>
      <c r="O545" s="601"/>
      <c r="P545" s="601"/>
      <c r="Q545" s="601"/>
      <c r="R545" s="601"/>
      <c r="S545" s="601"/>
      <c r="T545" s="601"/>
      <c r="U545" s="601"/>
      <c r="V545" s="601"/>
      <c r="W545" s="601"/>
      <c r="X545" s="601"/>
      <c r="Y545" s="601"/>
    </row>
    <row r="546" ht="38.25" spans="1:25">
      <c r="A546" s="569" t="s">
        <v>1535</v>
      </c>
      <c r="B546" s="569" t="s">
        <v>1250</v>
      </c>
      <c r="C546" s="569" t="s">
        <v>132</v>
      </c>
      <c r="D546" s="569" t="s">
        <v>1251</v>
      </c>
      <c r="E546" s="577" t="s">
        <v>134</v>
      </c>
      <c r="F546" s="570">
        <v>18</v>
      </c>
      <c r="G546" s="579">
        <v>3.33</v>
      </c>
      <c r="H546" s="600">
        <v>4.17</v>
      </c>
      <c r="I546" s="600">
        <v>75.06</v>
      </c>
      <c r="J546" s="612">
        <v>3.05216995295559e-6</v>
      </c>
      <c r="K546" s="613">
        <f t="shared" si="27"/>
        <v>0</v>
      </c>
      <c r="L546" s="610">
        <f t="shared" si="28"/>
        <v>75.06</v>
      </c>
      <c r="M546" s="601"/>
      <c r="N546" s="601"/>
      <c r="O546" s="601"/>
      <c r="P546" s="601"/>
      <c r="Q546" s="601"/>
      <c r="R546" s="601"/>
      <c r="S546" s="601"/>
      <c r="T546" s="601"/>
      <c r="U546" s="601"/>
      <c r="V546" s="601"/>
      <c r="W546" s="601"/>
      <c r="X546" s="601"/>
      <c r="Y546" s="601"/>
    </row>
    <row r="547" ht="38.25" spans="1:25">
      <c r="A547" s="569" t="s">
        <v>1536</v>
      </c>
      <c r="B547" s="569" t="s">
        <v>1242</v>
      </c>
      <c r="C547" s="569" t="s">
        <v>139</v>
      </c>
      <c r="D547" s="569" t="s">
        <v>1243</v>
      </c>
      <c r="E547" s="577" t="s">
        <v>134</v>
      </c>
      <c r="F547" s="570">
        <v>4</v>
      </c>
      <c r="G547" s="579">
        <v>27.14</v>
      </c>
      <c r="H547" s="600">
        <v>34.05</v>
      </c>
      <c r="I547" s="600">
        <v>136.2</v>
      </c>
      <c r="J547" s="612">
        <v>5.5383099865781e-6</v>
      </c>
      <c r="K547" s="613">
        <f t="shared" si="27"/>
        <v>0</v>
      </c>
      <c r="L547" s="610">
        <f t="shared" si="28"/>
        <v>136.2</v>
      </c>
      <c r="M547" s="601"/>
      <c r="N547" s="601"/>
      <c r="O547" s="601"/>
      <c r="P547" s="601"/>
      <c r="Q547" s="601"/>
      <c r="R547" s="601"/>
      <c r="S547" s="601"/>
      <c r="T547" s="601"/>
      <c r="U547" s="601"/>
      <c r="V547" s="601"/>
      <c r="W547" s="601"/>
      <c r="X547" s="601"/>
      <c r="Y547" s="601"/>
    </row>
    <row r="548" ht="38.25" spans="1:25">
      <c r="A548" s="569" t="s">
        <v>1537</v>
      </c>
      <c r="B548" s="569" t="s">
        <v>1098</v>
      </c>
      <c r="C548" s="569" t="s">
        <v>139</v>
      </c>
      <c r="D548" s="569" t="s">
        <v>1099</v>
      </c>
      <c r="E548" s="577" t="s">
        <v>134</v>
      </c>
      <c r="F548" s="570">
        <v>3</v>
      </c>
      <c r="G548" s="579">
        <v>32.61</v>
      </c>
      <c r="H548" s="600">
        <v>40.92</v>
      </c>
      <c r="I548" s="600">
        <v>122.76</v>
      </c>
      <c r="J548" s="612">
        <v>4.99179834032546e-6</v>
      </c>
      <c r="K548" s="613">
        <f t="shared" si="27"/>
        <v>0</v>
      </c>
      <c r="L548" s="610">
        <f t="shared" si="28"/>
        <v>122.76</v>
      </c>
      <c r="M548" s="601"/>
      <c r="N548" s="601"/>
      <c r="O548" s="601"/>
      <c r="P548" s="601"/>
      <c r="Q548" s="601"/>
      <c r="R548" s="601"/>
      <c r="S548" s="601"/>
      <c r="T548" s="601"/>
      <c r="U548" s="601"/>
      <c r="V548" s="601"/>
      <c r="W548" s="601"/>
      <c r="X548" s="601"/>
      <c r="Y548" s="601"/>
    </row>
    <row r="549" ht="38.25" spans="1:25">
      <c r="A549" s="569" t="s">
        <v>1538</v>
      </c>
      <c r="B549" s="569" t="s">
        <v>1101</v>
      </c>
      <c r="C549" s="569" t="s">
        <v>139</v>
      </c>
      <c r="D549" s="569" t="s">
        <v>1102</v>
      </c>
      <c r="E549" s="577" t="s">
        <v>134</v>
      </c>
      <c r="F549" s="570">
        <v>3</v>
      </c>
      <c r="G549" s="579">
        <v>37.88</v>
      </c>
      <c r="H549" s="600">
        <v>47.53</v>
      </c>
      <c r="I549" s="600">
        <v>142.59</v>
      </c>
      <c r="J549" s="612">
        <v>5.79814699696161e-6</v>
      </c>
      <c r="K549" s="613">
        <f t="shared" si="27"/>
        <v>0</v>
      </c>
      <c r="L549" s="610">
        <f t="shared" si="28"/>
        <v>142.59</v>
      </c>
      <c r="M549" s="601"/>
      <c r="N549" s="601"/>
      <c r="O549" s="601"/>
      <c r="P549" s="601"/>
      <c r="Q549" s="601"/>
      <c r="R549" s="601"/>
      <c r="S549" s="601"/>
      <c r="T549" s="601"/>
      <c r="U549" s="601"/>
      <c r="V549" s="601"/>
      <c r="W549" s="601"/>
      <c r="X549" s="601"/>
      <c r="Y549" s="601"/>
    </row>
    <row r="550" ht="38.25" spans="1:25">
      <c r="A550" s="569" t="s">
        <v>1539</v>
      </c>
      <c r="B550" s="569" t="s">
        <v>1104</v>
      </c>
      <c r="C550" s="569" t="s">
        <v>139</v>
      </c>
      <c r="D550" s="569" t="s">
        <v>1105</v>
      </c>
      <c r="E550" s="577" t="s">
        <v>134</v>
      </c>
      <c r="F550" s="570">
        <v>1</v>
      </c>
      <c r="G550" s="579">
        <v>33.25</v>
      </c>
      <c r="H550" s="600">
        <v>41.72</v>
      </c>
      <c r="I550" s="600">
        <v>41.72</v>
      </c>
      <c r="J550" s="612">
        <v>1.69646323524257e-6</v>
      </c>
      <c r="K550" s="613">
        <f t="shared" si="27"/>
        <v>0</v>
      </c>
      <c r="L550" s="610">
        <f t="shared" si="28"/>
        <v>41.72</v>
      </c>
      <c r="M550" s="601"/>
      <c r="N550" s="601"/>
      <c r="O550" s="601"/>
      <c r="P550" s="601"/>
      <c r="Q550" s="601"/>
      <c r="R550" s="601"/>
      <c r="S550" s="601"/>
      <c r="T550" s="601"/>
      <c r="U550" s="601"/>
      <c r="V550" s="601"/>
      <c r="W550" s="601"/>
      <c r="X550" s="601"/>
      <c r="Y550" s="601"/>
    </row>
    <row r="551" ht="25.5" spans="1:25">
      <c r="A551" s="569" t="s">
        <v>1540</v>
      </c>
      <c r="B551" s="569" t="s">
        <v>227</v>
      </c>
      <c r="C551" s="569" t="s">
        <v>139</v>
      </c>
      <c r="D551" s="569" t="s">
        <v>228</v>
      </c>
      <c r="E551" s="577" t="s">
        <v>204</v>
      </c>
      <c r="F551" s="570">
        <v>174</v>
      </c>
      <c r="G551" s="579">
        <v>4.98</v>
      </c>
      <c r="H551" s="600">
        <v>6.24</v>
      </c>
      <c r="I551" s="600">
        <v>1085.76</v>
      </c>
      <c r="J551" s="612">
        <v>4.41503337079812e-5</v>
      </c>
      <c r="K551" s="613">
        <f t="shared" si="27"/>
        <v>0</v>
      </c>
      <c r="L551" s="610">
        <f t="shared" si="28"/>
        <v>1085.76</v>
      </c>
      <c r="M551" s="601"/>
      <c r="N551" s="601"/>
      <c r="O551" s="601"/>
      <c r="P551" s="601"/>
      <c r="Q551" s="601"/>
      <c r="R551" s="601"/>
      <c r="S551" s="601"/>
      <c r="T551" s="601"/>
      <c r="U551" s="601"/>
      <c r="V551" s="601"/>
      <c r="W551" s="601"/>
      <c r="X551" s="601"/>
      <c r="Y551" s="601"/>
    </row>
    <row r="552" ht="15" spans="1:25">
      <c r="A552" s="569" t="s">
        <v>1541</v>
      </c>
      <c r="B552" s="569" t="s">
        <v>1542</v>
      </c>
      <c r="C552" s="569" t="s">
        <v>132</v>
      </c>
      <c r="D552" s="569" t="s">
        <v>1543</v>
      </c>
      <c r="E552" s="577" t="s">
        <v>134</v>
      </c>
      <c r="F552" s="570">
        <v>1</v>
      </c>
      <c r="G552" s="579">
        <v>5850</v>
      </c>
      <c r="H552" s="600">
        <v>7341.16</v>
      </c>
      <c r="I552" s="600">
        <v>7341.16</v>
      </c>
      <c r="J552" s="612">
        <v>0.000298514095015181</v>
      </c>
      <c r="K552" s="613">
        <f t="shared" si="27"/>
        <v>0</v>
      </c>
      <c r="L552" s="610">
        <f t="shared" si="28"/>
        <v>7341.16</v>
      </c>
      <c r="M552" s="601"/>
      <c r="N552" s="601"/>
      <c r="O552" s="601"/>
      <c r="P552" s="601"/>
      <c r="Q552" s="601"/>
      <c r="R552" s="601"/>
      <c r="S552" s="601"/>
      <c r="T552" s="601"/>
      <c r="U552" s="601"/>
      <c r="V552" s="601"/>
      <c r="W552" s="601"/>
      <c r="X552" s="601"/>
      <c r="Y552" s="601"/>
    </row>
    <row r="553" ht="15" spans="1:25">
      <c r="A553" s="596" t="s">
        <v>1544</v>
      </c>
      <c r="B553" s="596" t="s">
        <v>74</v>
      </c>
      <c r="C553" s="596"/>
      <c r="D553" s="596" t="s">
        <v>1545</v>
      </c>
      <c r="E553" s="597"/>
      <c r="F553" s="598">
        <v>1</v>
      </c>
      <c r="G553" s="598"/>
      <c r="H553" s="599">
        <v>284112.41</v>
      </c>
      <c r="I553" s="599">
        <v>284112.41</v>
      </c>
      <c r="J553" s="608">
        <v>0.0115528825081775</v>
      </c>
      <c r="K553" s="613">
        <f t="shared" si="27"/>
        <v>0</v>
      </c>
      <c r="L553" s="610">
        <f>SUM(L554:L562)</f>
        <v>284112.41</v>
      </c>
      <c r="M553" s="601"/>
      <c r="N553" s="601"/>
      <c r="O553" s="601"/>
      <c r="P553" s="601"/>
      <c r="Q553" s="601"/>
      <c r="R553" s="601"/>
      <c r="S553" s="601"/>
      <c r="T553" s="601"/>
      <c r="U553" s="601"/>
      <c r="V553" s="601"/>
      <c r="W553" s="601"/>
      <c r="X553" s="601"/>
      <c r="Y553" s="601"/>
    </row>
    <row r="554" ht="51" spans="1:25">
      <c r="A554" s="569" t="s">
        <v>1546</v>
      </c>
      <c r="B554" s="569" t="s">
        <v>1547</v>
      </c>
      <c r="C554" s="569" t="s">
        <v>139</v>
      </c>
      <c r="D554" s="569" t="s">
        <v>1548</v>
      </c>
      <c r="E554" s="577" t="s">
        <v>141</v>
      </c>
      <c r="F554" s="570">
        <v>120</v>
      </c>
      <c r="G554" s="579">
        <v>62.37</v>
      </c>
      <c r="H554" s="600">
        <v>78.26</v>
      </c>
      <c r="I554" s="600">
        <v>9391.2</v>
      </c>
      <c r="J554" s="612">
        <v>0.000381875012819032</v>
      </c>
      <c r="K554" s="613">
        <f t="shared" si="27"/>
        <v>0</v>
      </c>
      <c r="L554" s="610">
        <f t="shared" ref="L554:L562" si="29">I554-(I554*K554)</f>
        <v>9391.2</v>
      </c>
      <c r="M554" s="601"/>
      <c r="N554" s="601"/>
      <c r="O554" s="601"/>
      <c r="P554" s="601"/>
      <c r="Q554" s="601"/>
      <c r="R554" s="601"/>
      <c r="S554" s="601"/>
      <c r="T554" s="601"/>
      <c r="U554" s="601"/>
      <c r="V554" s="601"/>
      <c r="W554" s="601"/>
      <c r="X554" s="601"/>
      <c r="Y554" s="601"/>
    </row>
    <row r="555" ht="51" spans="1:25">
      <c r="A555" s="569" t="s">
        <v>1549</v>
      </c>
      <c r="B555" s="569" t="s">
        <v>1145</v>
      </c>
      <c r="C555" s="569" t="s">
        <v>139</v>
      </c>
      <c r="D555" s="569" t="s">
        <v>1146</v>
      </c>
      <c r="E555" s="577" t="s">
        <v>279</v>
      </c>
      <c r="F555" s="570">
        <v>525</v>
      </c>
      <c r="G555" s="579">
        <v>14.89</v>
      </c>
      <c r="H555" s="600">
        <v>18.68</v>
      </c>
      <c r="I555" s="600">
        <v>9807</v>
      </c>
      <c r="J555" s="612">
        <v>0.000398782716874974</v>
      </c>
      <c r="K555" s="613">
        <f t="shared" si="27"/>
        <v>0</v>
      </c>
      <c r="L555" s="610">
        <f t="shared" si="29"/>
        <v>9807</v>
      </c>
      <c r="M555" s="601"/>
      <c r="N555" s="601"/>
      <c r="O555" s="601"/>
      <c r="P555" s="601"/>
      <c r="Q555" s="601"/>
      <c r="R555" s="601"/>
      <c r="S555" s="601"/>
      <c r="T555" s="601"/>
      <c r="U555" s="601"/>
      <c r="V555" s="601"/>
      <c r="W555" s="601"/>
      <c r="X555" s="601"/>
      <c r="Y555" s="601"/>
    </row>
    <row r="556" ht="51" spans="1:25">
      <c r="A556" s="569" t="s">
        <v>1550</v>
      </c>
      <c r="B556" s="569" t="s">
        <v>1148</v>
      </c>
      <c r="C556" s="569" t="s">
        <v>139</v>
      </c>
      <c r="D556" s="569" t="s">
        <v>1149</v>
      </c>
      <c r="E556" s="577" t="s">
        <v>279</v>
      </c>
      <c r="F556" s="570">
        <v>427.11</v>
      </c>
      <c r="G556" s="579">
        <v>16</v>
      </c>
      <c r="H556" s="600">
        <v>20.07</v>
      </c>
      <c r="I556" s="600">
        <v>8572.09</v>
      </c>
      <c r="J556" s="612">
        <v>0.000348567486437931</v>
      </c>
      <c r="K556" s="613">
        <f t="shared" si="27"/>
        <v>0</v>
      </c>
      <c r="L556" s="610">
        <f t="shared" si="29"/>
        <v>8572.09</v>
      </c>
      <c r="M556" s="601"/>
      <c r="N556" s="601"/>
      <c r="O556" s="601"/>
      <c r="P556" s="601"/>
      <c r="Q556" s="601"/>
      <c r="R556" s="601"/>
      <c r="S556" s="601"/>
      <c r="T556" s="601"/>
      <c r="U556" s="601"/>
      <c r="V556" s="601"/>
      <c r="W556" s="601"/>
      <c r="X556" s="601"/>
      <c r="Y556" s="601"/>
    </row>
    <row r="557" ht="51" spans="1:25">
      <c r="A557" s="569" t="s">
        <v>1551</v>
      </c>
      <c r="B557" s="569" t="s">
        <v>1163</v>
      </c>
      <c r="C557" s="569" t="s">
        <v>132</v>
      </c>
      <c r="D557" s="569" t="s">
        <v>1164</v>
      </c>
      <c r="E557" s="577" t="s">
        <v>134</v>
      </c>
      <c r="F557" s="570">
        <v>10</v>
      </c>
      <c r="G557" s="579">
        <v>970.61</v>
      </c>
      <c r="H557" s="600">
        <v>1218.01</v>
      </c>
      <c r="I557" s="600">
        <v>12180.1</v>
      </c>
      <c r="J557" s="612">
        <v>0.000495280245723347</v>
      </c>
      <c r="K557" s="613">
        <f t="shared" si="27"/>
        <v>0</v>
      </c>
      <c r="L557" s="610">
        <f t="shared" si="29"/>
        <v>12180.1</v>
      </c>
      <c r="M557" s="601"/>
      <c r="N557" s="601"/>
      <c r="O557" s="601"/>
      <c r="P557" s="601"/>
      <c r="Q557" s="601"/>
      <c r="R557" s="601"/>
      <c r="S557" s="601"/>
      <c r="T557" s="601"/>
      <c r="U557" s="601"/>
      <c r="V557" s="601"/>
      <c r="W557" s="601"/>
      <c r="X557" s="601"/>
      <c r="Y557" s="601"/>
    </row>
    <row r="558" ht="25.5" spans="1:25">
      <c r="A558" s="569" t="s">
        <v>1552</v>
      </c>
      <c r="B558" s="569" t="s">
        <v>1553</v>
      </c>
      <c r="C558" s="569" t="s">
        <v>132</v>
      </c>
      <c r="D558" s="569" t="s">
        <v>1554</v>
      </c>
      <c r="E558" s="577" t="s">
        <v>134</v>
      </c>
      <c r="F558" s="570">
        <v>10</v>
      </c>
      <c r="G558" s="579">
        <v>649.25</v>
      </c>
      <c r="H558" s="600">
        <v>814.74</v>
      </c>
      <c r="I558" s="600">
        <v>8147.4</v>
      </c>
      <c r="J558" s="612">
        <v>0.000331298287699313</v>
      </c>
      <c r="K558" s="613">
        <f t="shared" si="27"/>
        <v>0</v>
      </c>
      <c r="L558" s="610">
        <f t="shared" si="29"/>
        <v>8147.4</v>
      </c>
      <c r="M558" s="601"/>
      <c r="N558" s="601"/>
      <c r="O558" s="601"/>
      <c r="P558" s="601"/>
      <c r="Q558" s="601"/>
      <c r="R558" s="601"/>
      <c r="S558" s="601"/>
      <c r="T558" s="601"/>
      <c r="U558" s="601"/>
      <c r="V558" s="601"/>
      <c r="W558" s="601"/>
      <c r="X558" s="601"/>
      <c r="Y558" s="601"/>
    </row>
    <row r="559" ht="76.5" spans="1:25">
      <c r="A559" s="569" t="s">
        <v>1555</v>
      </c>
      <c r="B559" s="569" t="s">
        <v>1154</v>
      </c>
      <c r="C559" s="569" t="s">
        <v>77</v>
      </c>
      <c r="D559" s="569" t="s">
        <v>1155</v>
      </c>
      <c r="E559" s="577" t="s">
        <v>204</v>
      </c>
      <c r="F559" s="570">
        <v>525</v>
      </c>
      <c r="G559" s="579">
        <v>36.49</v>
      </c>
      <c r="H559" s="600">
        <v>45.79</v>
      </c>
      <c r="I559" s="600">
        <v>24039.75</v>
      </c>
      <c r="J559" s="612">
        <v>0.000977530011012047</v>
      </c>
      <c r="K559" s="613">
        <f t="shared" si="27"/>
        <v>0</v>
      </c>
      <c r="L559" s="610">
        <f t="shared" si="29"/>
        <v>24039.75</v>
      </c>
      <c r="M559" s="601"/>
      <c r="N559" s="601"/>
      <c r="O559" s="601"/>
      <c r="P559" s="601"/>
      <c r="Q559" s="601"/>
      <c r="R559" s="601"/>
      <c r="S559" s="601"/>
      <c r="T559" s="601"/>
      <c r="U559" s="601"/>
      <c r="V559" s="601"/>
      <c r="W559" s="601"/>
      <c r="X559" s="601"/>
      <c r="Y559" s="601"/>
    </row>
    <row r="560" ht="25.5" spans="1:25">
      <c r="A560" s="569" t="s">
        <v>1556</v>
      </c>
      <c r="B560" s="569" t="s">
        <v>1557</v>
      </c>
      <c r="C560" s="569" t="s">
        <v>132</v>
      </c>
      <c r="D560" s="569" t="s">
        <v>1558</v>
      </c>
      <c r="E560" s="577" t="s">
        <v>204</v>
      </c>
      <c r="F560" s="570">
        <v>175</v>
      </c>
      <c r="G560" s="579">
        <v>228.81</v>
      </c>
      <c r="H560" s="600">
        <v>287.13</v>
      </c>
      <c r="I560" s="600">
        <v>50247.75</v>
      </c>
      <c r="J560" s="612">
        <v>0.0020432277212047</v>
      </c>
      <c r="K560" s="613">
        <f t="shared" si="27"/>
        <v>0</v>
      </c>
      <c r="L560" s="610">
        <f t="shared" si="29"/>
        <v>50247.75</v>
      </c>
      <c r="M560" s="601"/>
      <c r="N560" s="601"/>
      <c r="O560" s="601"/>
      <c r="P560" s="601"/>
      <c r="Q560" s="601"/>
      <c r="R560" s="601"/>
      <c r="S560" s="601"/>
      <c r="T560" s="601"/>
      <c r="U560" s="601"/>
      <c r="V560" s="601"/>
      <c r="W560" s="601"/>
      <c r="X560" s="601"/>
      <c r="Y560" s="601"/>
    </row>
    <row r="561" ht="25.5" spans="1:25">
      <c r="A561" s="569" t="s">
        <v>1559</v>
      </c>
      <c r="B561" s="569" t="s">
        <v>1560</v>
      </c>
      <c r="C561" s="569" t="s">
        <v>132</v>
      </c>
      <c r="D561" s="569" t="s">
        <v>1561</v>
      </c>
      <c r="E561" s="577" t="s">
        <v>204</v>
      </c>
      <c r="F561" s="570">
        <v>549</v>
      </c>
      <c r="G561" s="579">
        <v>230.46</v>
      </c>
      <c r="H561" s="600">
        <v>289.2</v>
      </c>
      <c r="I561" s="600">
        <v>158770.8</v>
      </c>
      <c r="J561" s="612">
        <v>0.00645610798250362</v>
      </c>
      <c r="K561" s="613">
        <f t="shared" si="27"/>
        <v>0</v>
      </c>
      <c r="L561" s="610">
        <f t="shared" si="29"/>
        <v>158770.8</v>
      </c>
      <c r="M561" s="601"/>
      <c r="N561" s="601"/>
      <c r="O561" s="601"/>
      <c r="P561" s="601"/>
      <c r="Q561" s="601"/>
      <c r="R561" s="601"/>
      <c r="S561" s="601"/>
      <c r="T561" s="601"/>
      <c r="U561" s="601"/>
      <c r="V561" s="601"/>
      <c r="W561" s="601"/>
      <c r="X561" s="601"/>
      <c r="Y561" s="601"/>
    </row>
    <row r="562" ht="25.5" spans="1:25">
      <c r="A562" s="569" t="s">
        <v>1562</v>
      </c>
      <c r="B562" s="569" t="s">
        <v>1563</v>
      </c>
      <c r="C562" s="569" t="s">
        <v>132</v>
      </c>
      <c r="D562" s="569" t="s">
        <v>1564</v>
      </c>
      <c r="E562" s="577" t="s">
        <v>134</v>
      </c>
      <c r="F562" s="570">
        <v>6</v>
      </c>
      <c r="G562" s="579">
        <v>392.64</v>
      </c>
      <c r="H562" s="600">
        <v>492.72</v>
      </c>
      <c r="I562" s="600">
        <v>2956.32</v>
      </c>
      <c r="J562" s="612">
        <v>0.0001202130439025</v>
      </c>
      <c r="K562" s="613">
        <f t="shared" si="27"/>
        <v>0</v>
      </c>
      <c r="L562" s="610">
        <f t="shared" si="29"/>
        <v>2956.32</v>
      </c>
      <c r="M562" s="601"/>
      <c r="N562" s="601"/>
      <c r="O562" s="601"/>
      <c r="P562" s="601"/>
      <c r="Q562" s="601"/>
      <c r="R562" s="601"/>
      <c r="S562" s="601"/>
      <c r="T562" s="601"/>
      <c r="U562" s="601"/>
      <c r="V562" s="601"/>
      <c r="W562" s="601"/>
      <c r="X562" s="601"/>
      <c r="Y562" s="601"/>
    </row>
    <row r="563" ht="15" spans="1:25">
      <c r="A563" s="596" t="s">
        <v>1565</v>
      </c>
      <c r="B563" s="596" t="s">
        <v>74</v>
      </c>
      <c r="C563" s="596"/>
      <c r="D563" s="596" t="s">
        <v>1566</v>
      </c>
      <c r="E563" s="597"/>
      <c r="F563" s="598">
        <v>1</v>
      </c>
      <c r="G563" s="598"/>
      <c r="H563" s="599">
        <v>56119.9</v>
      </c>
      <c r="I563" s="599">
        <v>56119.9</v>
      </c>
      <c r="J563" s="608">
        <v>0.00228200736134922</v>
      </c>
      <c r="K563" s="613">
        <f t="shared" si="27"/>
        <v>0</v>
      </c>
      <c r="L563" s="610">
        <f>SUM(L564:L569)</f>
        <v>56119.9</v>
      </c>
      <c r="M563" s="601"/>
      <c r="N563" s="601"/>
      <c r="O563" s="601"/>
      <c r="P563" s="601"/>
      <c r="Q563" s="601"/>
      <c r="R563" s="601"/>
      <c r="S563" s="601"/>
      <c r="T563" s="601"/>
      <c r="U563" s="601"/>
      <c r="V563" s="601"/>
      <c r="W563" s="601"/>
      <c r="X563" s="601"/>
      <c r="Y563" s="601"/>
    </row>
    <row r="564" ht="25.5" spans="1:25">
      <c r="A564" s="569" t="s">
        <v>1567</v>
      </c>
      <c r="B564" s="569" t="s">
        <v>1568</v>
      </c>
      <c r="C564" s="569" t="s">
        <v>139</v>
      </c>
      <c r="D564" s="569" t="s">
        <v>1569</v>
      </c>
      <c r="E564" s="577" t="s">
        <v>134</v>
      </c>
      <c r="F564" s="570">
        <v>120</v>
      </c>
      <c r="G564" s="579">
        <v>34.03</v>
      </c>
      <c r="H564" s="600">
        <v>42.7</v>
      </c>
      <c r="I564" s="600">
        <v>5124</v>
      </c>
      <c r="J564" s="612">
        <v>0.000208357565133819</v>
      </c>
      <c r="K564" s="613">
        <f t="shared" si="27"/>
        <v>0</v>
      </c>
      <c r="L564" s="610">
        <f t="shared" ref="L564:L569" si="30">I564-(I564*K564)</f>
        <v>5124</v>
      </c>
      <c r="M564" s="601"/>
      <c r="N564" s="601"/>
      <c r="O564" s="601"/>
      <c r="P564" s="601"/>
      <c r="Q564" s="601"/>
      <c r="R564" s="601"/>
      <c r="S564" s="601"/>
      <c r="T564" s="601"/>
      <c r="U564" s="601"/>
      <c r="V564" s="601"/>
      <c r="W564" s="601"/>
      <c r="X564" s="601"/>
      <c r="Y564" s="601"/>
    </row>
    <row r="565" ht="25.5" spans="1:25">
      <c r="A565" s="569" t="s">
        <v>1570</v>
      </c>
      <c r="B565" s="569" t="s">
        <v>1571</v>
      </c>
      <c r="C565" s="569" t="s">
        <v>139</v>
      </c>
      <c r="D565" s="569" t="s">
        <v>1572</v>
      </c>
      <c r="E565" s="577" t="s">
        <v>134</v>
      </c>
      <c r="F565" s="570">
        <v>24</v>
      </c>
      <c r="G565" s="579">
        <v>51.45</v>
      </c>
      <c r="H565" s="600">
        <v>64.56</v>
      </c>
      <c r="I565" s="600">
        <v>1549.44</v>
      </c>
      <c r="J565" s="612">
        <v>6.30049855036973e-5</v>
      </c>
      <c r="K565" s="613">
        <f t="shared" si="27"/>
        <v>0</v>
      </c>
      <c r="L565" s="610">
        <f t="shared" si="30"/>
        <v>1549.44</v>
      </c>
      <c r="M565" s="601"/>
      <c r="N565" s="601"/>
      <c r="O565" s="601"/>
      <c r="P565" s="601"/>
      <c r="Q565" s="601"/>
      <c r="R565" s="601"/>
      <c r="S565" s="601"/>
      <c r="T565" s="601"/>
      <c r="U565" s="601"/>
      <c r="V565" s="601"/>
      <c r="W565" s="601"/>
      <c r="X565" s="601"/>
      <c r="Y565" s="601"/>
    </row>
    <row r="566" ht="25.5" spans="1:25">
      <c r="A566" s="569" t="s">
        <v>1573</v>
      </c>
      <c r="B566" s="569" t="s">
        <v>1574</v>
      </c>
      <c r="C566" s="569" t="s">
        <v>139</v>
      </c>
      <c r="D566" s="569" t="s">
        <v>1575</v>
      </c>
      <c r="E566" s="577" t="s">
        <v>134</v>
      </c>
      <c r="F566" s="570">
        <v>52</v>
      </c>
      <c r="G566" s="579">
        <v>40.59</v>
      </c>
      <c r="H566" s="600">
        <v>50.93</v>
      </c>
      <c r="I566" s="600">
        <v>2648.36</v>
      </c>
      <c r="J566" s="612">
        <v>0.000107690445198634</v>
      </c>
      <c r="K566" s="613">
        <f t="shared" si="27"/>
        <v>0</v>
      </c>
      <c r="L566" s="610">
        <f t="shared" si="30"/>
        <v>2648.36</v>
      </c>
      <c r="M566" s="601"/>
      <c r="N566" s="601"/>
      <c r="O566" s="601"/>
      <c r="P566" s="601"/>
      <c r="Q566" s="601"/>
      <c r="R566" s="601"/>
      <c r="S566" s="601"/>
      <c r="T566" s="601"/>
      <c r="U566" s="601"/>
      <c r="V566" s="601"/>
      <c r="W566" s="601"/>
      <c r="X566" s="601"/>
      <c r="Y566" s="601"/>
    </row>
    <row r="567" ht="25.5" spans="1:25">
      <c r="A567" s="569" t="s">
        <v>1576</v>
      </c>
      <c r="B567" s="569" t="s">
        <v>1577</v>
      </c>
      <c r="C567" s="569" t="s">
        <v>139</v>
      </c>
      <c r="D567" s="569" t="s">
        <v>1578</v>
      </c>
      <c r="E567" s="577" t="s">
        <v>134</v>
      </c>
      <c r="F567" s="570">
        <v>1040</v>
      </c>
      <c r="G567" s="579">
        <v>28.14</v>
      </c>
      <c r="H567" s="600">
        <v>35.31</v>
      </c>
      <c r="I567" s="600">
        <v>36722.4</v>
      </c>
      <c r="J567" s="612">
        <v>0.00149324548201994</v>
      </c>
      <c r="K567" s="613">
        <f t="shared" si="27"/>
        <v>0</v>
      </c>
      <c r="L567" s="610">
        <f t="shared" si="30"/>
        <v>36722.4</v>
      </c>
      <c r="M567" s="601"/>
      <c r="N567" s="601"/>
      <c r="O567" s="601"/>
      <c r="P567" s="601"/>
      <c r="Q567" s="601"/>
      <c r="R567" s="601"/>
      <c r="S567" s="601"/>
      <c r="T567" s="601"/>
      <c r="U567" s="601"/>
      <c r="V567" s="601"/>
      <c r="W567" s="601"/>
      <c r="X567" s="601"/>
      <c r="Y567" s="601"/>
    </row>
    <row r="568" ht="25.5" spans="1:25">
      <c r="A568" s="569" t="s">
        <v>1579</v>
      </c>
      <c r="B568" s="569" t="s">
        <v>1580</v>
      </c>
      <c r="C568" s="569" t="s">
        <v>139</v>
      </c>
      <c r="D568" s="569" t="s">
        <v>1581</v>
      </c>
      <c r="E568" s="577" t="s">
        <v>134</v>
      </c>
      <c r="F568" s="570">
        <v>96</v>
      </c>
      <c r="G568" s="579">
        <v>42.48</v>
      </c>
      <c r="H568" s="600">
        <v>53.3</v>
      </c>
      <c r="I568" s="600">
        <v>5116.8</v>
      </c>
      <c r="J568" s="612">
        <v>0.000208064791037612</v>
      </c>
      <c r="K568" s="613">
        <f t="shared" si="27"/>
        <v>0</v>
      </c>
      <c r="L568" s="610">
        <f t="shared" si="30"/>
        <v>5116.8</v>
      </c>
      <c r="M568" s="601"/>
      <c r="N568" s="601"/>
      <c r="O568" s="601"/>
      <c r="P568" s="601"/>
      <c r="Q568" s="601"/>
      <c r="R568" s="601"/>
      <c r="S568" s="601"/>
      <c r="T568" s="601"/>
      <c r="U568" s="601"/>
      <c r="V568" s="601"/>
      <c r="W568" s="601"/>
      <c r="X568" s="601"/>
      <c r="Y568" s="601"/>
    </row>
    <row r="569" ht="25.5" spans="1:25">
      <c r="A569" s="569" t="s">
        <v>1582</v>
      </c>
      <c r="B569" s="569" t="s">
        <v>1583</v>
      </c>
      <c r="C569" s="569" t="s">
        <v>132</v>
      </c>
      <c r="D569" s="569" t="s">
        <v>1584</v>
      </c>
      <c r="E569" s="577" t="s">
        <v>134</v>
      </c>
      <c r="F569" s="570">
        <v>34</v>
      </c>
      <c r="G569" s="579">
        <v>116.23</v>
      </c>
      <c r="H569" s="600">
        <v>145.85</v>
      </c>
      <c r="I569" s="600">
        <v>4958.9</v>
      </c>
      <c r="J569" s="612">
        <v>0.000201644092455522</v>
      </c>
      <c r="K569" s="613">
        <f t="shared" si="27"/>
        <v>0</v>
      </c>
      <c r="L569" s="610">
        <f t="shared" si="30"/>
        <v>4958.9</v>
      </c>
      <c r="M569" s="601"/>
      <c r="N569" s="601"/>
      <c r="O569" s="601"/>
      <c r="P569" s="601"/>
      <c r="Q569" s="601"/>
      <c r="R569" s="601"/>
      <c r="S569" s="601"/>
      <c r="T569" s="601"/>
      <c r="U569" s="601"/>
      <c r="V569" s="601"/>
      <c r="W569" s="601"/>
      <c r="X569" s="601"/>
      <c r="Y569" s="601"/>
    </row>
    <row r="570" ht="15" spans="1:25">
      <c r="A570" s="596" t="s">
        <v>1585</v>
      </c>
      <c r="B570" s="596" t="s">
        <v>74</v>
      </c>
      <c r="C570" s="596"/>
      <c r="D570" s="596" t="s">
        <v>1586</v>
      </c>
      <c r="E570" s="597"/>
      <c r="F570" s="598">
        <v>1</v>
      </c>
      <c r="G570" s="598"/>
      <c r="H570" s="599">
        <v>482146.5</v>
      </c>
      <c r="I570" s="599">
        <v>482146.5</v>
      </c>
      <c r="J570" s="608">
        <v>0.0196055563578831</v>
      </c>
      <c r="K570" s="613">
        <f t="shared" si="27"/>
        <v>0</v>
      </c>
      <c r="L570" s="610">
        <f>SUM(L571,L584)</f>
        <v>482146.5</v>
      </c>
      <c r="M570" s="601"/>
      <c r="N570" s="601"/>
      <c r="O570" s="601"/>
      <c r="P570" s="601"/>
      <c r="Q570" s="601"/>
      <c r="R570" s="601"/>
      <c r="S570" s="601"/>
      <c r="T570" s="601"/>
      <c r="U570" s="601"/>
      <c r="V570" s="601"/>
      <c r="W570" s="601"/>
      <c r="X570" s="601"/>
      <c r="Y570" s="601"/>
    </row>
    <row r="571" ht="15" spans="1:25">
      <c r="A571" s="596" t="s">
        <v>1587</v>
      </c>
      <c r="B571" s="596" t="s">
        <v>74</v>
      </c>
      <c r="C571" s="596"/>
      <c r="D571" s="596" t="s">
        <v>1588</v>
      </c>
      <c r="E571" s="597"/>
      <c r="F571" s="598">
        <v>1</v>
      </c>
      <c r="G571" s="598"/>
      <c r="H571" s="599">
        <v>440724.8</v>
      </c>
      <c r="I571" s="599">
        <v>440724.8</v>
      </c>
      <c r="J571" s="608">
        <v>0.0179212229160986</v>
      </c>
      <c r="K571" s="613">
        <f t="shared" si="27"/>
        <v>0</v>
      </c>
      <c r="L571" s="610">
        <f>SUM(L572:L583)</f>
        <v>440724.8</v>
      </c>
      <c r="M571" s="601"/>
      <c r="N571" s="601"/>
      <c r="O571" s="601"/>
      <c r="P571" s="601"/>
      <c r="Q571" s="601"/>
      <c r="R571" s="601"/>
      <c r="S571" s="601"/>
      <c r="T571" s="601"/>
      <c r="U571" s="601"/>
      <c r="V571" s="601"/>
      <c r="W571" s="601"/>
      <c r="X571" s="601"/>
      <c r="Y571" s="601"/>
    </row>
    <row r="572" ht="15" spans="1:25">
      <c r="A572" s="569" t="s">
        <v>1589</v>
      </c>
      <c r="B572" s="569" t="s">
        <v>1590</v>
      </c>
      <c r="C572" s="569" t="s">
        <v>149</v>
      </c>
      <c r="D572" s="569" t="s">
        <v>1591</v>
      </c>
      <c r="E572" s="577" t="s">
        <v>134</v>
      </c>
      <c r="F572" s="570">
        <v>287</v>
      </c>
      <c r="G572" s="579">
        <v>93.5</v>
      </c>
      <c r="H572" s="600">
        <v>117.33</v>
      </c>
      <c r="I572" s="600">
        <v>33673.71</v>
      </c>
      <c r="J572" s="612">
        <v>0.00136927639044152</v>
      </c>
      <c r="K572" s="613">
        <f t="shared" si="27"/>
        <v>0</v>
      </c>
      <c r="L572" s="610">
        <f t="shared" ref="L572:L583" si="31">I572-(I572*K572)</f>
        <v>33673.71</v>
      </c>
      <c r="M572" s="601"/>
      <c r="N572" s="601"/>
      <c r="O572" s="601"/>
      <c r="P572" s="601"/>
      <c r="Q572" s="601"/>
      <c r="R572" s="601"/>
      <c r="S572" s="601"/>
      <c r="T572" s="601"/>
      <c r="U572" s="601"/>
      <c r="V572" s="601"/>
      <c r="W572" s="601"/>
      <c r="X572" s="601"/>
      <c r="Y572" s="601"/>
    </row>
    <row r="573" ht="25.5" spans="1:25">
      <c r="A573" s="569" t="s">
        <v>1592</v>
      </c>
      <c r="B573" s="569" t="s">
        <v>1593</v>
      </c>
      <c r="C573" s="569" t="s">
        <v>132</v>
      </c>
      <c r="D573" s="569" t="s">
        <v>1594</v>
      </c>
      <c r="E573" s="577" t="s">
        <v>134</v>
      </c>
      <c r="F573" s="570">
        <v>287</v>
      </c>
      <c r="G573" s="579">
        <v>34.58</v>
      </c>
      <c r="H573" s="600">
        <v>43.39</v>
      </c>
      <c r="I573" s="600">
        <v>12452.93</v>
      </c>
      <c r="J573" s="612">
        <v>0.000506374350816138</v>
      </c>
      <c r="K573" s="613">
        <f t="shared" si="27"/>
        <v>0</v>
      </c>
      <c r="L573" s="610">
        <f t="shared" si="31"/>
        <v>12452.93</v>
      </c>
      <c r="M573" s="601"/>
      <c r="N573" s="601"/>
      <c r="O573" s="601"/>
      <c r="P573" s="601"/>
      <c r="Q573" s="601"/>
      <c r="R573" s="601"/>
      <c r="S573" s="601"/>
      <c r="T573" s="601"/>
      <c r="U573" s="601"/>
      <c r="V573" s="601"/>
      <c r="W573" s="601"/>
      <c r="X573" s="601"/>
      <c r="Y573" s="601"/>
    </row>
    <row r="574" ht="51" spans="1:25">
      <c r="A574" s="569" t="s">
        <v>1595</v>
      </c>
      <c r="B574" s="569" t="s">
        <v>1596</v>
      </c>
      <c r="C574" s="569" t="s">
        <v>77</v>
      </c>
      <c r="D574" s="569" t="s">
        <v>1597</v>
      </c>
      <c r="E574" s="577" t="s">
        <v>134</v>
      </c>
      <c r="F574" s="570">
        <v>132</v>
      </c>
      <c r="G574" s="579">
        <v>257.12</v>
      </c>
      <c r="H574" s="600">
        <v>322.65</v>
      </c>
      <c r="I574" s="600">
        <v>42589.8</v>
      </c>
      <c r="J574" s="612">
        <v>0.00173183197258711</v>
      </c>
      <c r="K574" s="613">
        <f t="shared" si="27"/>
        <v>0</v>
      </c>
      <c r="L574" s="610">
        <f t="shared" si="31"/>
        <v>42589.8</v>
      </c>
      <c r="M574" s="601"/>
      <c r="N574" s="601"/>
      <c r="O574" s="601"/>
      <c r="P574" s="601"/>
      <c r="Q574" s="601"/>
      <c r="R574" s="601"/>
      <c r="S574" s="601"/>
      <c r="T574" s="601"/>
      <c r="U574" s="601"/>
      <c r="V574" s="601"/>
      <c r="W574" s="601"/>
      <c r="X574" s="601"/>
      <c r="Y574" s="601"/>
    </row>
    <row r="575" ht="15" spans="1:25">
      <c r="A575" s="569" t="s">
        <v>1598</v>
      </c>
      <c r="B575" s="569" t="s">
        <v>1599</v>
      </c>
      <c r="C575" s="569" t="s">
        <v>149</v>
      </c>
      <c r="D575" s="569" t="s">
        <v>1600</v>
      </c>
      <c r="E575" s="577" t="s">
        <v>134</v>
      </c>
      <c r="F575" s="570">
        <v>90</v>
      </c>
      <c r="G575" s="579">
        <v>80.4</v>
      </c>
      <c r="H575" s="600">
        <v>100.89</v>
      </c>
      <c r="I575" s="600">
        <v>9080.1</v>
      </c>
      <c r="J575" s="612">
        <v>0.000369224732078765</v>
      </c>
      <c r="K575" s="613">
        <f t="shared" si="27"/>
        <v>0</v>
      </c>
      <c r="L575" s="610">
        <f t="shared" si="31"/>
        <v>9080.1</v>
      </c>
      <c r="M575" s="601"/>
      <c r="N575" s="601"/>
      <c r="O575" s="601"/>
      <c r="P575" s="601"/>
      <c r="Q575" s="601"/>
      <c r="R575" s="601"/>
      <c r="S575" s="601"/>
      <c r="T575" s="601"/>
      <c r="U575" s="601"/>
      <c r="V575" s="601"/>
      <c r="W575" s="601"/>
      <c r="X575" s="601"/>
      <c r="Y575" s="601"/>
    </row>
    <row r="576" ht="38.25" spans="1:25">
      <c r="A576" s="569" t="s">
        <v>1601</v>
      </c>
      <c r="B576" s="569" t="s">
        <v>1602</v>
      </c>
      <c r="C576" s="569" t="s">
        <v>132</v>
      </c>
      <c r="D576" s="569" t="s">
        <v>1603</v>
      </c>
      <c r="E576" s="577" t="s">
        <v>134</v>
      </c>
      <c r="F576" s="570">
        <v>379</v>
      </c>
      <c r="G576" s="579">
        <v>105.47</v>
      </c>
      <c r="H576" s="600">
        <v>132.35</v>
      </c>
      <c r="I576" s="600">
        <v>50160.65</v>
      </c>
      <c r="J576" s="612">
        <v>0.00203968596790197</v>
      </c>
      <c r="K576" s="613">
        <f t="shared" si="27"/>
        <v>0</v>
      </c>
      <c r="L576" s="610">
        <f t="shared" si="31"/>
        <v>50160.65</v>
      </c>
      <c r="M576" s="601"/>
      <c r="N576" s="601"/>
      <c r="O576" s="601"/>
      <c r="P576" s="601"/>
      <c r="Q576" s="601"/>
      <c r="R576" s="601"/>
      <c r="S576" s="601"/>
      <c r="T576" s="601"/>
      <c r="U576" s="601"/>
      <c r="V576" s="601"/>
      <c r="W576" s="601"/>
      <c r="X576" s="601"/>
      <c r="Y576" s="601"/>
    </row>
    <row r="577" ht="25.5" spans="1:25">
      <c r="A577" s="569" t="s">
        <v>1604</v>
      </c>
      <c r="B577" s="569" t="s">
        <v>1605</v>
      </c>
      <c r="C577" s="569" t="s">
        <v>132</v>
      </c>
      <c r="D577" s="569" t="s">
        <v>1606</v>
      </c>
      <c r="E577" s="577" t="s">
        <v>134</v>
      </c>
      <c r="F577" s="570">
        <v>605</v>
      </c>
      <c r="G577" s="579">
        <v>284.69</v>
      </c>
      <c r="H577" s="600">
        <v>357.25</v>
      </c>
      <c r="I577" s="600">
        <v>216136.25</v>
      </c>
      <c r="J577" s="612">
        <v>0.00878876322934317</v>
      </c>
      <c r="K577" s="613">
        <f t="shared" si="27"/>
        <v>0</v>
      </c>
      <c r="L577" s="610">
        <f t="shared" si="31"/>
        <v>216136.25</v>
      </c>
      <c r="M577" s="601"/>
      <c r="N577" s="601"/>
      <c r="O577" s="601"/>
      <c r="P577" s="601"/>
      <c r="Q577" s="601"/>
      <c r="R577" s="601"/>
      <c r="S577" s="601"/>
      <c r="T577" s="601"/>
      <c r="U577" s="601"/>
      <c r="V577" s="601"/>
      <c r="W577" s="601"/>
      <c r="X577" s="601"/>
      <c r="Y577" s="601"/>
    </row>
    <row r="578" ht="15" spans="1:25">
      <c r="A578" s="569" t="s">
        <v>1607</v>
      </c>
      <c r="B578" s="569" t="s">
        <v>1608</v>
      </c>
      <c r="C578" s="569" t="s">
        <v>149</v>
      </c>
      <c r="D578" s="569" t="s">
        <v>1609</v>
      </c>
      <c r="E578" s="577" t="s">
        <v>134</v>
      </c>
      <c r="F578" s="570">
        <v>20</v>
      </c>
      <c r="G578" s="579">
        <v>281.49</v>
      </c>
      <c r="H578" s="600">
        <v>353.24</v>
      </c>
      <c r="I578" s="600">
        <v>7064.8</v>
      </c>
      <c r="J578" s="612">
        <v>0.000287276449289111</v>
      </c>
      <c r="K578" s="613">
        <f t="shared" si="27"/>
        <v>0</v>
      </c>
      <c r="L578" s="610">
        <f t="shared" si="31"/>
        <v>7064.8</v>
      </c>
      <c r="M578" s="601"/>
      <c r="N578" s="601"/>
      <c r="O578" s="601"/>
      <c r="P578" s="601"/>
      <c r="Q578" s="601"/>
      <c r="R578" s="601"/>
      <c r="S578" s="601"/>
      <c r="T578" s="601"/>
      <c r="U578" s="601"/>
      <c r="V578" s="601"/>
      <c r="W578" s="601"/>
      <c r="X578" s="601"/>
      <c r="Y578" s="601"/>
    </row>
    <row r="579" ht="25.5" spans="1:25">
      <c r="A579" s="569" t="s">
        <v>1610</v>
      </c>
      <c r="B579" s="569" t="s">
        <v>1611</v>
      </c>
      <c r="C579" s="569" t="s">
        <v>132</v>
      </c>
      <c r="D579" s="569" t="s">
        <v>1612</v>
      </c>
      <c r="E579" s="577" t="s">
        <v>134</v>
      </c>
      <c r="F579" s="570">
        <v>57</v>
      </c>
      <c r="G579" s="579">
        <v>96.81</v>
      </c>
      <c r="H579" s="600">
        <v>121.48</v>
      </c>
      <c r="I579" s="600">
        <v>6924.36</v>
      </c>
      <c r="J579" s="612">
        <v>0.000281565727890322</v>
      </c>
      <c r="K579" s="613">
        <f t="shared" si="27"/>
        <v>0</v>
      </c>
      <c r="L579" s="610">
        <f t="shared" si="31"/>
        <v>6924.36</v>
      </c>
      <c r="M579" s="601"/>
      <c r="N579" s="601"/>
      <c r="O579" s="601"/>
      <c r="P579" s="601"/>
      <c r="Q579" s="601"/>
      <c r="R579" s="601"/>
      <c r="S579" s="601"/>
      <c r="T579" s="601"/>
      <c r="U579" s="601"/>
      <c r="V579" s="601"/>
      <c r="W579" s="601"/>
      <c r="X579" s="601"/>
      <c r="Y579" s="601"/>
    </row>
    <row r="580" ht="15" spans="1:25">
      <c r="A580" s="569" t="s">
        <v>1613</v>
      </c>
      <c r="B580" s="569" t="s">
        <v>1614</v>
      </c>
      <c r="C580" s="569" t="s">
        <v>149</v>
      </c>
      <c r="D580" s="569" t="s">
        <v>1615</v>
      </c>
      <c r="E580" s="577" t="s">
        <v>204</v>
      </c>
      <c r="F580" s="570">
        <v>1476</v>
      </c>
      <c r="G580" s="579">
        <v>7.84</v>
      </c>
      <c r="H580" s="600">
        <v>9.83</v>
      </c>
      <c r="I580" s="600">
        <v>14509.08</v>
      </c>
      <c r="J580" s="612">
        <v>0.000589983719971076</v>
      </c>
      <c r="K580" s="613">
        <f t="shared" si="27"/>
        <v>0</v>
      </c>
      <c r="L580" s="610">
        <f t="shared" si="31"/>
        <v>14509.08</v>
      </c>
      <c r="M580" s="601"/>
      <c r="N580" s="601"/>
      <c r="O580" s="601"/>
      <c r="P580" s="601"/>
      <c r="Q580" s="601"/>
      <c r="R580" s="601"/>
      <c r="S580" s="601"/>
      <c r="T580" s="601"/>
      <c r="U580" s="601"/>
      <c r="V580" s="601"/>
      <c r="W580" s="601"/>
      <c r="X580" s="601"/>
      <c r="Y580" s="601"/>
    </row>
    <row r="581" ht="15" spans="1:25">
      <c r="A581" s="569" t="s">
        <v>1616</v>
      </c>
      <c r="B581" s="569" t="s">
        <v>1617</v>
      </c>
      <c r="C581" s="569" t="s">
        <v>149</v>
      </c>
      <c r="D581" s="569" t="s">
        <v>1618</v>
      </c>
      <c r="E581" s="577" t="s">
        <v>204</v>
      </c>
      <c r="F581" s="570">
        <v>71</v>
      </c>
      <c r="G581" s="579">
        <v>25.12</v>
      </c>
      <c r="H581" s="600">
        <v>31.52</v>
      </c>
      <c r="I581" s="600">
        <v>2237.92</v>
      </c>
      <c r="J581" s="612">
        <v>9.10006951920914e-5</v>
      </c>
      <c r="K581" s="613">
        <f t="shared" si="27"/>
        <v>0</v>
      </c>
      <c r="L581" s="610">
        <f t="shared" si="31"/>
        <v>2237.92</v>
      </c>
      <c r="M581" s="601"/>
      <c r="N581" s="601"/>
      <c r="O581" s="601"/>
      <c r="P581" s="601"/>
      <c r="Q581" s="601"/>
      <c r="R581" s="601"/>
      <c r="S581" s="601"/>
      <c r="T581" s="601"/>
      <c r="U581" s="601"/>
      <c r="V581" s="601"/>
      <c r="W581" s="601"/>
      <c r="X581" s="601"/>
      <c r="Y581" s="601"/>
    </row>
    <row r="582" ht="25.5" spans="1:25">
      <c r="A582" s="569" t="s">
        <v>1619</v>
      </c>
      <c r="B582" s="569" t="s">
        <v>1620</v>
      </c>
      <c r="C582" s="569" t="s">
        <v>132</v>
      </c>
      <c r="D582" s="569" t="s">
        <v>1621</v>
      </c>
      <c r="E582" s="577" t="s">
        <v>134</v>
      </c>
      <c r="F582" s="570">
        <v>984</v>
      </c>
      <c r="G582" s="579">
        <v>36.85</v>
      </c>
      <c r="H582" s="600">
        <v>46.24</v>
      </c>
      <c r="I582" s="600">
        <v>45500.16</v>
      </c>
      <c r="J582" s="612">
        <v>0.00185017614184215</v>
      </c>
      <c r="K582" s="613">
        <f t="shared" si="27"/>
        <v>0</v>
      </c>
      <c r="L582" s="610">
        <f t="shared" si="31"/>
        <v>45500.16</v>
      </c>
      <c r="M582" s="601"/>
      <c r="N582" s="601"/>
      <c r="O582" s="601"/>
      <c r="P582" s="601"/>
      <c r="Q582" s="601"/>
      <c r="R582" s="601"/>
      <c r="S582" s="601"/>
      <c r="T582" s="601"/>
      <c r="U582" s="601"/>
      <c r="V582" s="601"/>
      <c r="W582" s="601"/>
      <c r="X582" s="601"/>
      <c r="Y582" s="601"/>
    </row>
    <row r="583" ht="25.5" spans="1:25">
      <c r="A583" s="569" t="s">
        <v>1622</v>
      </c>
      <c r="B583" s="569" t="s">
        <v>1623</v>
      </c>
      <c r="C583" s="569" t="s">
        <v>132</v>
      </c>
      <c r="D583" s="569" t="s">
        <v>1624</v>
      </c>
      <c r="E583" s="577" t="s">
        <v>334</v>
      </c>
      <c r="F583" s="570">
        <v>48</v>
      </c>
      <c r="G583" s="579">
        <v>6.56</v>
      </c>
      <c r="H583" s="600">
        <v>8.23</v>
      </c>
      <c r="I583" s="600">
        <v>395.04</v>
      </c>
      <c r="J583" s="612">
        <v>1.60635387452115e-5</v>
      </c>
      <c r="K583" s="613">
        <f t="shared" si="27"/>
        <v>0</v>
      </c>
      <c r="L583" s="610">
        <f t="shared" si="31"/>
        <v>395.04</v>
      </c>
      <c r="M583" s="601"/>
      <c r="N583" s="601"/>
      <c r="O583" s="601"/>
      <c r="P583" s="601"/>
      <c r="Q583" s="601"/>
      <c r="R583" s="601"/>
      <c r="S583" s="601"/>
      <c r="T583" s="601"/>
      <c r="U583" s="601"/>
      <c r="V583" s="601"/>
      <c r="W583" s="601"/>
      <c r="X583" s="601"/>
      <c r="Y583" s="601"/>
    </row>
    <row r="584" ht="15" spans="1:25">
      <c r="A584" s="596" t="s">
        <v>1625</v>
      </c>
      <c r="B584" s="596" t="s">
        <v>74</v>
      </c>
      <c r="C584" s="596"/>
      <c r="D584" s="596" t="s">
        <v>1626</v>
      </c>
      <c r="E584" s="597"/>
      <c r="F584" s="598">
        <v>1</v>
      </c>
      <c r="G584" s="598"/>
      <c r="H584" s="599">
        <v>41421.7</v>
      </c>
      <c r="I584" s="599">
        <v>41421.7</v>
      </c>
      <c r="J584" s="608">
        <v>0.00168433344178445</v>
      </c>
      <c r="K584" s="613">
        <f t="shared" si="27"/>
        <v>0</v>
      </c>
      <c r="L584" s="610">
        <f>SUM(L585:L591)</f>
        <v>41421.7</v>
      </c>
      <c r="M584" s="601"/>
      <c r="N584" s="601"/>
      <c r="O584" s="601"/>
      <c r="P584" s="601"/>
      <c r="Q584" s="601"/>
      <c r="R584" s="601"/>
      <c r="S584" s="601"/>
      <c r="T584" s="601"/>
      <c r="U584" s="601"/>
      <c r="V584" s="601"/>
      <c r="W584" s="601"/>
      <c r="X584" s="601"/>
      <c r="Y584" s="601"/>
    </row>
    <row r="585" ht="38.25" spans="1:25">
      <c r="A585" s="569" t="s">
        <v>1627</v>
      </c>
      <c r="B585" s="569" t="s">
        <v>1628</v>
      </c>
      <c r="C585" s="569" t="s">
        <v>796</v>
      </c>
      <c r="D585" s="569" t="s">
        <v>1629</v>
      </c>
      <c r="E585" s="577" t="s">
        <v>334</v>
      </c>
      <c r="F585" s="570">
        <v>22</v>
      </c>
      <c r="G585" s="579">
        <v>218.25</v>
      </c>
      <c r="H585" s="600">
        <v>273.88</v>
      </c>
      <c r="I585" s="600">
        <v>6025.36</v>
      </c>
      <c r="J585" s="612">
        <v>0.000245009628933394</v>
      </c>
      <c r="K585" s="613">
        <f t="shared" ref="K585:K648" si="32">$I$1051</f>
        <v>0</v>
      </c>
      <c r="L585" s="610">
        <f t="shared" ref="L585:L591" si="33">I585-(I585*K585)</f>
        <v>6025.36</v>
      </c>
      <c r="M585" s="601"/>
      <c r="N585" s="601"/>
      <c r="O585" s="601"/>
      <c r="P585" s="601"/>
      <c r="Q585" s="601"/>
      <c r="R585" s="601"/>
      <c r="S585" s="601"/>
      <c r="T585" s="601"/>
      <c r="U585" s="601"/>
      <c r="V585" s="601"/>
      <c r="W585" s="601"/>
      <c r="X585" s="601"/>
      <c r="Y585" s="601"/>
    </row>
    <row r="586" ht="38.25" spans="1:25">
      <c r="A586" s="569" t="s">
        <v>1630</v>
      </c>
      <c r="B586" s="569" t="s">
        <v>1631</v>
      </c>
      <c r="C586" s="569" t="s">
        <v>139</v>
      </c>
      <c r="D586" s="569" t="s">
        <v>1632</v>
      </c>
      <c r="E586" s="577" t="s">
        <v>204</v>
      </c>
      <c r="F586" s="570">
        <v>154</v>
      </c>
      <c r="G586" s="579">
        <v>10.4</v>
      </c>
      <c r="H586" s="600">
        <v>13.05</v>
      </c>
      <c r="I586" s="600">
        <v>2009.7</v>
      </c>
      <c r="J586" s="612">
        <v>8.17205696037151e-5</v>
      </c>
      <c r="K586" s="613">
        <f t="shared" si="32"/>
        <v>0</v>
      </c>
      <c r="L586" s="610">
        <f t="shared" si="33"/>
        <v>2009.7</v>
      </c>
      <c r="M586" s="601"/>
      <c r="N586" s="601"/>
      <c r="O586" s="601"/>
      <c r="P586" s="601"/>
      <c r="Q586" s="601"/>
      <c r="R586" s="601"/>
      <c r="S586" s="601"/>
      <c r="T586" s="601"/>
      <c r="U586" s="601"/>
      <c r="V586" s="601"/>
      <c r="W586" s="601"/>
      <c r="X586" s="601"/>
      <c r="Y586" s="601"/>
    </row>
    <row r="587" ht="15" spans="1:25">
      <c r="A587" s="569" t="s">
        <v>1633</v>
      </c>
      <c r="B587" s="569" t="s">
        <v>1634</v>
      </c>
      <c r="C587" s="569" t="s">
        <v>149</v>
      </c>
      <c r="D587" s="569" t="s">
        <v>1635</v>
      </c>
      <c r="E587" s="577" t="s">
        <v>134</v>
      </c>
      <c r="F587" s="570">
        <v>26</v>
      </c>
      <c r="G587" s="579">
        <v>202.56</v>
      </c>
      <c r="H587" s="600">
        <v>254.19</v>
      </c>
      <c r="I587" s="600">
        <v>6608.94</v>
      </c>
      <c r="J587" s="612">
        <v>0.000268739782692331</v>
      </c>
      <c r="K587" s="613">
        <f t="shared" si="32"/>
        <v>0</v>
      </c>
      <c r="L587" s="610">
        <f t="shared" si="33"/>
        <v>6608.94</v>
      </c>
      <c r="M587" s="601"/>
      <c r="N587" s="601"/>
      <c r="O587" s="601"/>
      <c r="P587" s="601"/>
      <c r="Q587" s="601"/>
      <c r="R587" s="601"/>
      <c r="S587" s="601"/>
      <c r="T587" s="601"/>
      <c r="U587" s="601"/>
      <c r="V587" s="601"/>
      <c r="W587" s="601"/>
      <c r="X587" s="601"/>
      <c r="Y587" s="601"/>
    </row>
    <row r="588" ht="51" spans="1:25">
      <c r="A588" s="569" t="s">
        <v>1636</v>
      </c>
      <c r="B588" s="569" t="s">
        <v>1637</v>
      </c>
      <c r="C588" s="569" t="s">
        <v>132</v>
      </c>
      <c r="D588" s="569" t="s">
        <v>1638</v>
      </c>
      <c r="E588" s="577" t="s">
        <v>134</v>
      </c>
      <c r="F588" s="570">
        <v>19</v>
      </c>
      <c r="G588" s="579">
        <v>392.45</v>
      </c>
      <c r="H588" s="600">
        <v>492.48</v>
      </c>
      <c r="I588" s="600">
        <v>9357.12</v>
      </c>
      <c r="J588" s="612">
        <v>0.00038048921543032</v>
      </c>
      <c r="K588" s="613">
        <f t="shared" si="32"/>
        <v>0</v>
      </c>
      <c r="L588" s="610">
        <f t="shared" si="33"/>
        <v>9357.12</v>
      </c>
      <c r="M588" s="601"/>
      <c r="N588" s="601"/>
      <c r="O588" s="601"/>
      <c r="P588" s="601"/>
      <c r="Q588" s="601"/>
      <c r="R588" s="601"/>
      <c r="S588" s="601"/>
      <c r="T588" s="601"/>
      <c r="U588" s="601"/>
      <c r="V588" s="601"/>
      <c r="W588" s="601"/>
      <c r="X588" s="601"/>
      <c r="Y588" s="601"/>
    </row>
    <row r="589" ht="51" spans="1:25">
      <c r="A589" s="569" t="s">
        <v>1639</v>
      </c>
      <c r="B589" s="569" t="s">
        <v>1640</v>
      </c>
      <c r="C589" s="569" t="s">
        <v>132</v>
      </c>
      <c r="D589" s="569" t="s">
        <v>1641</v>
      </c>
      <c r="E589" s="577" t="s">
        <v>134</v>
      </c>
      <c r="F589" s="570">
        <v>3</v>
      </c>
      <c r="G589" s="579">
        <v>554.32</v>
      </c>
      <c r="H589" s="600">
        <v>695.61</v>
      </c>
      <c r="I589" s="600">
        <v>2086.83</v>
      </c>
      <c r="J589" s="612">
        <v>8.48569121093302e-5</v>
      </c>
      <c r="K589" s="613">
        <f t="shared" si="32"/>
        <v>0</v>
      </c>
      <c r="L589" s="610">
        <f t="shared" si="33"/>
        <v>2086.83</v>
      </c>
      <c r="M589" s="601"/>
      <c r="N589" s="601"/>
      <c r="O589" s="601"/>
      <c r="P589" s="601"/>
      <c r="Q589" s="601"/>
      <c r="R589" s="601"/>
      <c r="S589" s="601"/>
      <c r="T589" s="601"/>
      <c r="U589" s="601"/>
      <c r="V589" s="601"/>
      <c r="W589" s="601"/>
      <c r="X589" s="601"/>
      <c r="Y589" s="601"/>
    </row>
    <row r="590" ht="25.5" spans="1:25">
      <c r="A590" s="569" t="s">
        <v>1642</v>
      </c>
      <c r="B590" s="569" t="s">
        <v>1643</v>
      </c>
      <c r="C590" s="569" t="s">
        <v>132</v>
      </c>
      <c r="D590" s="569" t="s">
        <v>1644</v>
      </c>
      <c r="E590" s="577" t="s">
        <v>134</v>
      </c>
      <c r="F590" s="570">
        <v>25</v>
      </c>
      <c r="G590" s="579">
        <v>269.98</v>
      </c>
      <c r="H590" s="600">
        <v>338.79</v>
      </c>
      <c r="I590" s="600">
        <v>8469.75</v>
      </c>
      <c r="J590" s="612">
        <v>0.000344406027964903</v>
      </c>
      <c r="K590" s="613">
        <f t="shared" si="32"/>
        <v>0</v>
      </c>
      <c r="L590" s="610">
        <f t="shared" si="33"/>
        <v>8469.75</v>
      </c>
      <c r="M590" s="601"/>
      <c r="N590" s="601"/>
      <c r="O590" s="601"/>
      <c r="P590" s="601"/>
      <c r="Q590" s="601"/>
      <c r="R590" s="601"/>
      <c r="S590" s="601"/>
      <c r="T590" s="601"/>
      <c r="U590" s="601"/>
      <c r="V590" s="601"/>
      <c r="W590" s="601"/>
      <c r="X590" s="601"/>
      <c r="Y590" s="601"/>
    </row>
    <row r="591" ht="25.5" spans="1:25">
      <c r="A591" s="569" t="s">
        <v>1645</v>
      </c>
      <c r="B591" s="569" t="s">
        <v>227</v>
      </c>
      <c r="C591" s="569" t="s">
        <v>139</v>
      </c>
      <c r="D591" s="569" t="s">
        <v>228</v>
      </c>
      <c r="E591" s="577" t="s">
        <v>204</v>
      </c>
      <c r="F591" s="570">
        <v>1100</v>
      </c>
      <c r="G591" s="579">
        <v>4.98</v>
      </c>
      <c r="H591" s="600">
        <v>6.24</v>
      </c>
      <c r="I591" s="600">
        <v>6864</v>
      </c>
      <c r="J591" s="612">
        <v>0.000279111305050456</v>
      </c>
      <c r="K591" s="613">
        <f t="shared" si="32"/>
        <v>0</v>
      </c>
      <c r="L591" s="610">
        <f t="shared" si="33"/>
        <v>6864</v>
      </c>
      <c r="M591" s="601"/>
      <c r="N591" s="601"/>
      <c r="O591" s="601"/>
      <c r="P591" s="601"/>
      <c r="Q591" s="601"/>
      <c r="R591" s="601"/>
      <c r="S591" s="601"/>
      <c r="T591" s="601"/>
      <c r="U591" s="601"/>
      <c r="V591" s="601"/>
      <c r="W591" s="601"/>
      <c r="X591" s="601"/>
      <c r="Y591" s="601"/>
    </row>
    <row r="592" ht="15" spans="1:25">
      <c r="A592" s="596" t="s">
        <v>1646</v>
      </c>
      <c r="B592" s="596" t="s">
        <v>74</v>
      </c>
      <c r="C592" s="596"/>
      <c r="D592" s="596" t="s">
        <v>1647</v>
      </c>
      <c r="E592" s="597"/>
      <c r="F592" s="598">
        <v>1</v>
      </c>
      <c r="G592" s="598"/>
      <c r="H592" s="599">
        <v>186698.05</v>
      </c>
      <c r="I592" s="599">
        <v>186698.05</v>
      </c>
      <c r="J592" s="608">
        <v>0.00759171567393287</v>
      </c>
      <c r="K592" s="613">
        <f t="shared" si="32"/>
        <v>0</v>
      </c>
      <c r="L592" s="610">
        <f>SUM(L593:L607)</f>
        <v>186698.05</v>
      </c>
      <c r="M592" s="601"/>
      <c r="N592" s="601"/>
      <c r="O592" s="601"/>
      <c r="P592" s="601"/>
      <c r="Q592" s="601"/>
      <c r="R592" s="601"/>
      <c r="S592" s="601"/>
      <c r="T592" s="601"/>
      <c r="U592" s="601"/>
      <c r="V592" s="601"/>
      <c r="W592" s="601"/>
      <c r="X592" s="601"/>
      <c r="Y592" s="601"/>
    </row>
    <row r="593" ht="51" spans="1:25">
      <c r="A593" s="569" t="s">
        <v>1648</v>
      </c>
      <c r="B593" s="569" t="s">
        <v>1649</v>
      </c>
      <c r="C593" s="569" t="s">
        <v>139</v>
      </c>
      <c r="D593" s="569" t="s">
        <v>1650</v>
      </c>
      <c r="E593" s="577" t="s">
        <v>279</v>
      </c>
      <c r="F593" s="570">
        <v>91</v>
      </c>
      <c r="G593" s="579">
        <v>17.37</v>
      </c>
      <c r="H593" s="600">
        <v>21.79</v>
      </c>
      <c r="I593" s="600">
        <v>1982.89</v>
      </c>
      <c r="J593" s="612">
        <v>8.06303927260341e-5</v>
      </c>
      <c r="K593" s="613">
        <f t="shared" si="32"/>
        <v>0</v>
      </c>
      <c r="L593" s="610">
        <f t="shared" ref="L593:L607" si="34">I593-(I593*K593)</f>
        <v>1982.89</v>
      </c>
      <c r="M593" s="601"/>
      <c r="N593" s="601"/>
      <c r="O593" s="601"/>
      <c r="P593" s="601"/>
      <c r="Q593" s="601"/>
      <c r="R593" s="601"/>
      <c r="S593" s="601"/>
      <c r="T593" s="601"/>
      <c r="U593" s="601"/>
      <c r="V593" s="601"/>
      <c r="W593" s="601"/>
      <c r="X593" s="601"/>
      <c r="Y593" s="601"/>
    </row>
    <row r="594" ht="51" spans="1:25">
      <c r="A594" s="569" t="s">
        <v>1651</v>
      </c>
      <c r="B594" s="569" t="s">
        <v>1652</v>
      </c>
      <c r="C594" s="569" t="s">
        <v>139</v>
      </c>
      <c r="D594" s="569" t="s">
        <v>1653</v>
      </c>
      <c r="E594" s="577" t="s">
        <v>279</v>
      </c>
      <c r="F594" s="570">
        <v>91</v>
      </c>
      <c r="G594" s="579">
        <v>22.09</v>
      </c>
      <c r="H594" s="600">
        <v>27.72</v>
      </c>
      <c r="I594" s="600">
        <v>2522.52</v>
      </c>
      <c r="J594" s="612">
        <v>0.000102573404606042</v>
      </c>
      <c r="K594" s="613">
        <f t="shared" si="32"/>
        <v>0</v>
      </c>
      <c r="L594" s="610">
        <f t="shared" si="34"/>
        <v>2522.52</v>
      </c>
      <c r="M594" s="601"/>
      <c r="N594" s="601"/>
      <c r="O594" s="601"/>
      <c r="P594" s="601"/>
      <c r="Q594" s="601"/>
      <c r="R594" s="601"/>
      <c r="S594" s="601"/>
      <c r="T594" s="601"/>
      <c r="U594" s="601"/>
      <c r="V594" s="601"/>
      <c r="W594" s="601"/>
      <c r="X594" s="601"/>
      <c r="Y594" s="601"/>
    </row>
    <row r="595" ht="25.5" spans="1:25">
      <c r="A595" s="569" t="s">
        <v>1654</v>
      </c>
      <c r="B595" s="569" t="s">
        <v>1655</v>
      </c>
      <c r="C595" s="569" t="s">
        <v>139</v>
      </c>
      <c r="D595" s="569" t="s">
        <v>1656</v>
      </c>
      <c r="E595" s="577" t="s">
        <v>204</v>
      </c>
      <c r="F595" s="570">
        <v>630</v>
      </c>
      <c r="G595" s="579">
        <v>78.29</v>
      </c>
      <c r="H595" s="600">
        <v>98.24</v>
      </c>
      <c r="I595" s="600">
        <v>61891.2</v>
      </c>
      <c r="J595" s="612">
        <v>0.00251668613099341</v>
      </c>
      <c r="K595" s="613">
        <f t="shared" si="32"/>
        <v>0</v>
      </c>
      <c r="L595" s="610">
        <f t="shared" si="34"/>
        <v>61891.2</v>
      </c>
      <c r="M595" s="601"/>
      <c r="N595" s="601"/>
      <c r="O595" s="601"/>
      <c r="P595" s="601"/>
      <c r="Q595" s="601"/>
      <c r="R595" s="601"/>
      <c r="S595" s="601"/>
      <c r="T595" s="601"/>
      <c r="U595" s="601"/>
      <c r="V595" s="601"/>
      <c r="W595" s="601"/>
      <c r="X595" s="601"/>
      <c r="Y595" s="601"/>
    </row>
    <row r="596" ht="25.5" spans="1:25">
      <c r="A596" s="569" t="s">
        <v>1657</v>
      </c>
      <c r="B596" s="569" t="s">
        <v>1516</v>
      </c>
      <c r="C596" s="569" t="s">
        <v>139</v>
      </c>
      <c r="D596" s="569" t="s">
        <v>1517</v>
      </c>
      <c r="E596" s="577" t="s">
        <v>204</v>
      </c>
      <c r="F596" s="570">
        <v>390</v>
      </c>
      <c r="G596" s="579">
        <v>61.15</v>
      </c>
      <c r="H596" s="600">
        <v>76.73</v>
      </c>
      <c r="I596" s="600">
        <v>29924.7</v>
      </c>
      <c r="J596" s="612">
        <v>0.00121683013843872</v>
      </c>
      <c r="K596" s="613">
        <f t="shared" si="32"/>
        <v>0</v>
      </c>
      <c r="L596" s="610">
        <f t="shared" si="34"/>
        <v>29924.7</v>
      </c>
      <c r="M596" s="601"/>
      <c r="N596" s="601"/>
      <c r="O596" s="601"/>
      <c r="P596" s="601"/>
      <c r="Q596" s="601"/>
      <c r="R596" s="601"/>
      <c r="S596" s="601"/>
      <c r="T596" s="601"/>
      <c r="U596" s="601"/>
      <c r="V596" s="601"/>
      <c r="W596" s="601"/>
      <c r="X596" s="601"/>
      <c r="Y596" s="601"/>
    </row>
    <row r="597" ht="38.25" spans="1:25">
      <c r="A597" s="569" t="s">
        <v>1658</v>
      </c>
      <c r="B597" s="569" t="s">
        <v>1659</v>
      </c>
      <c r="C597" s="569" t="s">
        <v>77</v>
      </c>
      <c r="D597" s="569" t="s">
        <v>1660</v>
      </c>
      <c r="E597" s="577" t="s">
        <v>134</v>
      </c>
      <c r="F597" s="570">
        <v>82</v>
      </c>
      <c r="G597" s="579">
        <v>40.17</v>
      </c>
      <c r="H597" s="600">
        <v>50.4</v>
      </c>
      <c r="I597" s="600">
        <v>4132.8</v>
      </c>
      <c r="J597" s="612">
        <v>0.000168052331222687</v>
      </c>
      <c r="K597" s="613">
        <f t="shared" si="32"/>
        <v>0</v>
      </c>
      <c r="L597" s="610">
        <f t="shared" si="34"/>
        <v>4132.8</v>
      </c>
      <c r="M597" s="601"/>
      <c r="N597" s="601"/>
      <c r="O597" s="601"/>
      <c r="P597" s="601"/>
      <c r="Q597" s="601"/>
      <c r="R597" s="601"/>
      <c r="S597" s="601"/>
      <c r="T597" s="601"/>
      <c r="U597" s="601"/>
      <c r="V597" s="601"/>
      <c r="W597" s="601"/>
      <c r="X597" s="601"/>
      <c r="Y597" s="601"/>
    </row>
    <row r="598" ht="25.5" spans="1:25">
      <c r="A598" s="569" t="s">
        <v>1661</v>
      </c>
      <c r="B598" s="569" t="s">
        <v>1662</v>
      </c>
      <c r="C598" s="569" t="s">
        <v>796</v>
      </c>
      <c r="D598" s="569" t="s">
        <v>1663</v>
      </c>
      <c r="E598" s="577" t="s">
        <v>334</v>
      </c>
      <c r="F598" s="570">
        <v>46</v>
      </c>
      <c r="G598" s="579">
        <v>234.14</v>
      </c>
      <c r="H598" s="600">
        <v>293.82</v>
      </c>
      <c r="I598" s="600">
        <v>13515.72</v>
      </c>
      <c r="J598" s="612">
        <v>0.000549590653831082</v>
      </c>
      <c r="K598" s="613">
        <f t="shared" si="32"/>
        <v>0</v>
      </c>
      <c r="L598" s="610">
        <f t="shared" si="34"/>
        <v>13515.72</v>
      </c>
      <c r="M598" s="601"/>
      <c r="N598" s="601"/>
      <c r="O598" s="601"/>
      <c r="P598" s="601"/>
      <c r="Q598" s="601"/>
      <c r="R598" s="601"/>
      <c r="S598" s="601"/>
      <c r="T598" s="601"/>
      <c r="U598" s="601"/>
      <c r="V598" s="601"/>
      <c r="W598" s="601"/>
      <c r="X598" s="601"/>
      <c r="Y598" s="601"/>
    </row>
    <row r="599" ht="25.5" spans="1:25">
      <c r="A599" s="569" t="s">
        <v>1664</v>
      </c>
      <c r="B599" s="569" t="s">
        <v>1665</v>
      </c>
      <c r="C599" s="569" t="s">
        <v>132</v>
      </c>
      <c r="D599" s="569" t="s">
        <v>1666</v>
      </c>
      <c r="E599" s="577" t="s">
        <v>134</v>
      </c>
      <c r="F599" s="570">
        <v>1</v>
      </c>
      <c r="G599" s="579">
        <v>2129.21</v>
      </c>
      <c r="H599" s="600">
        <v>2671.94</v>
      </c>
      <c r="I599" s="600">
        <v>2671.94</v>
      </c>
      <c r="J599" s="612">
        <v>0.000108649280363711</v>
      </c>
      <c r="K599" s="613">
        <f t="shared" si="32"/>
        <v>0</v>
      </c>
      <c r="L599" s="610">
        <f t="shared" si="34"/>
        <v>2671.94</v>
      </c>
      <c r="M599" s="601"/>
      <c r="N599" s="601"/>
      <c r="O599" s="601"/>
      <c r="P599" s="601"/>
      <c r="Q599" s="601"/>
      <c r="R599" s="601"/>
      <c r="S599" s="601"/>
      <c r="T599" s="601"/>
      <c r="U599" s="601"/>
      <c r="V599" s="601"/>
      <c r="W599" s="601"/>
      <c r="X599" s="601"/>
      <c r="Y599" s="601"/>
    </row>
    <row r="600" ht="25.5" spans="1:25">
      <c r="A600" s="569" t="s">
        <v>1667</v>
      </c>
      <c r="B600" s="569" t="s">
        <v>1668</v>
      </c>
      <c r="C600" s="569" t="s">
        <v>132</v>
      </c>
      <c r="D600" s="569" t="s">
        <v>1669</v>
      </c>
      <c r="E600" s="577" t="s">
        <v>134</v>
      </c>
      <c r="F600" s="570">
        <v>92</v>
      </c>
      <c r="G600" s="579">
        <v>37.44</v>
      </c>
      <c r="H600" s="600">
        <v>46.98</v>
      </c>
      <c r="I600" s="600">
        <v>4322.16</v>
      </c>
      <c r="J600" s="612">
        <v>0.000175752289952925</v>
      </c>
      <c r="K600" s="613">
        <f t="shared" si="32"/>
        <v>0</v>
      </c>
      <c r="L600" s="610">
        <f t="shared" si="34"/>
        <v>4322.16</v>
      </c>
      <c r="M600" s="601"/>
      <c r="N600" s="601"/>
      <c r="O600" s="601"/>
      <c r="P600" s="601"/>
      <c r="Q600" s="601"/>
      <c r="R600" s="601"/>
      <c r="S600" s="601"/>
      <c r="T600" s="601"/>
      <c r="U600" s="601"/>
      <c r="V600" s="601"/>
      <c r="W600" s="601"/>
      <c r="X600" s="601"/>
      <c r="Y600" s="601"/>
    </row>
    <row r="601" ht="15" spans="1:25">
      <c r="A601" s="569" t="s">
        <v>1670</v>
      </c>
      <c r="B601" s="569" t="s">
        <v>1671</v>
      </c>
      <c r="C601" s="569" t="s">
        <v>149</v>
      </c>
      <c r="D601" s="569" t="s">
        <v>1672</v>
      </c>
      <c r="E601" s="577" t="s">
        <v>134</v>
      </c>
      <c r="F601" s="570">
        <v>34</v>
      </c>
      <c r="G601" s="579">
        <v>52.55</v>
      </c>
      <c r="H601" s="600">
        <v>65.94</v>
      </c>
      <c r="I601" s="600">
        <v>2241.96</v>
      </c>
      <c r="J601" s="612">
        <v>9.11649739905186e-5</v>
      </c>
      <c r="K601" s="613">
        <f t="shared" si="32"/>
        <v>0</v>
      </c>
      <c r="L601" s="610">
        <f t="shared" si="34"/>
        <v>2241.96</v>
      </c>
      <c r="M601" s="601"/>
      <c r="N601" s="601"/>
      <c r="O601" s="601"/>
      <c r="P601" s="601"/>
      <c r="Q601" s="601"/>
      <c r="R601" s="601"/>
      <c r="S601" s="601"/>
      <c r="T601" s="601"/>
      <c r="U601" s="601"/>
      <c r="V601" s="601"/>
      <c r="W601" s="601"/>
      <c r="X601" s="601"/>
      <c r="Y601" s="601"/>
    </row>
    <row r="602" ht="25.5" spans="1:25">
      <c r="A602" s="569" t="s">
        <v>1673</v>
      </c>
      <c r="B602" s="569" t="s">
        <v>1674</v>
      </c>
      <c r="C602" s="569" t="s">
        <v>139</v>
      </c>
      <c r="D602" s="569" t="s">
        <v>1675</v>
      </c>
      <c r="E602" s="577" t="s">
        <v>134</v>
      </c>
      <c r="F602" s="570">
        <v>34</v>
      </c>
      <c r="G602" s="579">
        <v>70.3</v>
      </c>
      <c r="H602" s="600">
        <v>88.21</v>
      </c>
      <c r="I602" s="600">
        <v>2999.14</v>
      </c>
      <c r="J602" s="612">
        <v>0.000121954236513552</v>
      </c>
      <c r="K602" s="613">
        <f t="shared" si="32"/>
        <v>0</v>
      </c>
      <c r="L602" s="610">
        <f t="shared" si="34"/>
        <v>2999.14</v>
      </c>
      <c r="M602" s="601"/>
      <c r="N602" s="601"/>
      <c r="O602" s="601"/>
      <c r="P602" s="601"/>
      <c r="Q602" s="601"/>
      <c r="R602" s="601"/>
      <c r="S602" s="601"/>
      <c r="T602" s="601"/>
      <c r="U602" s="601"/>
      <c r="V602" s="601"/>
      <c r="W602" s="601"/>
      <c r="X602" s="601"/>
      <c r="Y602" s="601"/>
    </row>
    <row r="603" ht="15" spans="1:25">
      <c r="A603" s="569" t="s">
        <v>1676</v>
      </c>
      <c r="B603" s="569" t="s">
        <v>1677</v>
      </c>
      <c r="C603" s="569" t="s">
        <v>149</v>
      </c>
      <c r="D603" s="569" t="s">
        <v>1678</v>
      </c>
      <c r="E603" s="577" t="s">
        <v>134</v>
      </c>
      <c r="F603" s="570">
        <v>34</v>
      </c>
      <c r="G603" s="579">
        <v>78.52</v>
      </c>
      <c r="H603" s="600">
        <v>98.53</v>
      </c>
      <c r="I603" s="600">
        <v>3350.02</v>
      </c>
      <c r="J603" s="612">
        <v>0.000136222094135362</v>
      </c>
      <c r="K603" s="613">
        <f t="shared" si="32"/>
        <v>0</v>
      </c>
      <c r="L603" s="610">
        <f t="shared" si="34"/>
        <v>3350.02</v>
      </c>
      <c r="M603" s="601"/>
      <c r="N603" s="601"/>
      <c r="O603" s="601"/>
      <c r="P603" s="601"/>
      <c r="Q603" s="601"/>
      <c r="R603" s="601"/>
      <c r="S603" s="601"/>
      <c r="T603" s="601"/>
      <c r="U603" s="601"/>
      <c r="V603" s="601"/>
      <c r="W603" s="601"/>
      <c r="X603" s="601"/>
      <c r="Y603" s="601"/>
    </row>
    <row r="604" ht="25.5" spans="1:25">
      <c r="A604" s="569" t="s">
        <v>1679</v>
      </c>
      <c r="B604" s="569" t="s">
        <v>1525</v>
      </c>
      <c r="C604" s="569" t="s">
        <v>77</v>
      </c>
      <c r="D604" s="569" t="s">
        <v>1526</v>
      </c>
      <c r="E604" s="577" t="s">
        <v>134</v>
      </c>
      <c r="F604" s="570">
        <v>94</v>
      </c>
      <c r="G604" s="579">
        <v>17.33</v>
      </c>
      <c r="H604" s="600">
        <v>21.74</v>
      </c>
      <c r="I604" s="600">
        <v>2043.56</v>
      </c>
      <c r="J604" s="612">
        <v>8.30974211172653e-5</v>
      </c>
      <c r="K604" s="613">
        <f t="shared" si="32"/>
        <v>0</v>
      </c>
      <c r="L604" s="610">
        <f t="shared" si="34"/>
        <v>2043.56</v>
      </c>
      <c r="M604" s="601"/>
      <c r="N604" s="601"/>
      <c r="O604" s="601"/>
      <c r="P604" s="601"/>
      <c r="Q604" s="601"/>
      <c r="R604" s="601"/>
      <c r="S604" s="601"/>
      <c r="T604" s="601"/>
      <c r="U604" s="601"/>
      <c r="V604" s="601"/>
      <c r="W604" s="601"/>
      <c r="X604" s="601"/>
      <c r="Y604" s="601"/>
    </row>
    <row r="605" ht="15" spans="1:25">
      <c r="A605" s="569" t="s">
        <v>1680</v>
      </c>
      <c r="B605" s="569" t="s">
        <v>1681</v>
      </c>
      <c r="C605" s="569" t="s">
        <v>149</v>
      </c>
      <c r="D605" s="569" t="s">
        <v>1682</v>
      </c>
      <c r="E605" s="577" t="s">
        <v>134</v>
      </c>
      <c r="F605" s="570">
        <v>34</v>
      </c>
      <c r="G605" s="579">
        <v>10.49</v>
      </c>
      <c r="H605" s="600">
        <v>13.16</v>
      </c>
      <c r="I605" s="600">
        <v>447.44</v>
      </c>
      <c r="J605" s="612">
        <v>1.81942835564942e-5</v>
      </c>
      <c r="K605" s="613">
        <f t="shared" si="32"/>
        <v>0</v>
      </c>
      <c r="L605" s="610">
        <f t="shared" si="34"/>
        <v>447.44</v>
      </c>
      <c r="M605" s="601"/>
      <c r="N605" s="601"/>
      <c r="O605" s="601"/>
      <c r="P605" s="601"/>
      <c r="Q605" s="601"/>
      <c r="R605" s="601"/>
      <c r="S605" s="601"/>
      <c r="T605" s="601"/>
      <c r="U605" s="601"/>
      <c r="V605" s="601"/>
      <c r="W605" s="601"/>
      <c r="X605" s="601"/>
      <c r="Y605" s="601"/>
    </row>
    <row r="606" ht="25.5" spans="1:25">
      <c r="A606" s="569" t="s">
        <v>1683</v>
      </c>
      <c r="B606" s="569" t="s">
        <v>1684</v>
      </c>
      <c r="C606" s="569" t="s">
        <v>132</v>
      </c>
      <c r="D606" s="569" t="s">
        <v>1685</v>
      </c>
      <c r="E606" s="577" t="s">
        <v>204</v>
      </c>
      <c r="F606" s="570">
        <v>830</v>
      </c>
      <c r="G606" s="579">
        <v>47.35</v>
      </c>
      <c r="H606" s="600">
        <v>59.41</v>
      </c>
      <c r="I606" s="600">
        <v>49310.3</v>
      </c>
      <c r="J606" s="612">
        <v>0.00200510812724788</v>
      </c>
      <c r="K606" s="613">
        <f t="shared" si="32"/>
        <v>0</v>
      </c>
      <c r="L606" s="610">
        <f t="shared" si="34"/>
        <v>49310.3</v>
      </c>
      <c r="M606" s="601"/>
      <c r="N606" s="601"/>
      <c r="O606" s="601"/>
      <c r="P606" s="601"/>
      <c r="Q606" s="601"/>
      <c r="R606" s="601"/>
      <c r="S606" s="601"/>
      <c r="T606" s="601"/>
      <c r="U606" s="601"/>
      <c r="V606" s="601"/>
      <c r="W606" s="601"/>
      <c r="X606" s="601"/>
      <c r="Y606" s="601"/>
    </row>
    <row r="607" ht="25.5" spans="1:25">
      <c r="A607" s="569" t="s">
        <v>1686</v>
      </c>
      <c r="B607" s="569" t="s">
        <v>1687</v>
      </c>
      <c r="C607" s="569" t="s">
        <v>139</v>
      </c>
      <c r="D607" s="569" t="s">
        <v>1688</v>
      </c>
      <c r="E607" s="577" t="s">
        <v>134</v>
      </c>
      <c r="F607" s="570">
        <v>182</v>
      </c>
      <c r="G607" s="579">
        <v>23.39</v>
      </c>
      <c r="H607" s="600">
        <v>29.35</v>
      </c>
      <c r="I607" s="600">
        <v>5341.7</v>
      </c>
      <c r="J607" s="612">
        <v>0.000217209915237182</v>
      </c>
      <c r="K607" s="613">
        <f t="shared" si="32"/>
        <v>0</v>
      </c>
      <c r="L607" s="610">
        <f t="shared" si="34"/>
        <v>5341.7</v>
      </c>
      <c r="M607" s="601"/>
      <c r="N607" s="601"/>
      <c r="O607" s="601"/>
      <c r="P607" s="601"/>
      <c r="Q607" s="601"/>
      <c r="R607" s="601"/>
      <c r="S607" s="601"/>
      <c r="T607" s="601"/>
      <c r="U607" s="601"/>
      <c r="V607" s="601"/>
      <c r="W607" s="601"/>
      <c r="X607" s="601"/>
      <c r="Y607" s="601"/>
    </row>
    <row r="608" ht="15" spans="1:25">
      <c r="A608" s="596" t="s">
        <v>1689</v>
      </c>
      <c r="B608" s="596" t="s">
        <v>74</v>
      </c>
      <c r="C608" s="596"/>
      <c r="D608" s="596" t="s">
        <v>55</v>
      </c>
      <c r="E608" s="597"/>
      <c r="F608" s="598">
        <v>1</v>
      </c>
      <c r="G608" s="598"/>
      <c r="H608" s="599">
        <v>86987.23</v>
      </c>
      <c r="I608" s="599">
        <v>86987.23</v>
      </c>
      <c r="J608" s="608">
        <v>0.00353716772844175</v>
      </c>
      <c r="K608" s="613">
        <f t="shared" si="32"/>
        <v>0</v>
      </c>
      <c r="L608" s="610">
        <f>SUM(L609:L610)</f>
        <v>86987.23</v>
      </c>
      <c r="M608" s="601"/>
      <c r="N608" s="601"/>
      <c r="O608" s="601"/>
      <c r="P608" s="601"/>
      <c r="Q608" s="601"/>
      <c r="R608" s="601"/>
      <c r="S608" s="601"/>
      <c r="T608" s="601"/>
      <c r="U608" s="601"/>
      <c r="V608" s="601"/>
      <c r="W608" s="601"/>
      <c r="X608" s="601"/>
      <c r="Y608" s="601"/>
    </row>
    <row r="609" ht="25.5" spans="1:25">
      <c r="A609" s="569" t="s">
        <v>1690</v>
      </c>
      <c r="B609" s="569" t="s">
        <v>1691</v>
      </c>
      <c r="C609" s="569" t="s">
        <v>132</v>
      </c>
      <c r="D609" s="569" t="s">
        <v>1692</v>
      </c>
      <c r="E609" s="577" t="s">
        <v>134</v>
      </c>
      <c r="F609" s="570">
        <v>1</v>
      </c>
      <c r="G609" s="579">
        <v>72410</v>
      </c>
      <c r="H609" s="600" t="s">
        <v>1693</v>
      </c>
      <c r="I609" s="600">
        <v>84082.49</v>
      </c>
      <c r="J609" s="612">
        <v>0.00341905208563402</v>
      </c>
      <c r="K609" s="613">
        <f t="shared" si="32"/>
        <v>0</v>
      </c>
      <c r="L609" s="610">
        <f>I609-(I609*K609)</f>
        <v>84082.49</v>
      </c>
      <c r="M609" s="601"/>
      <c r="N609" s="601"/>
      <c r="O609" s="601"/>
      <c r="P609" s="601"/>
      <c r="Q609" s="601"/>
      <c r="R609" s="601"/>
      <c r="S609" s="601"/>
      <c r="T609" s="601"/>
      <c r="U609" s="601"/>
      <c r="V609" s="601"/>
      <c r="W609" s="601"/>
      <c r="X609" s="601"/>
      <c r="Y609" s="601"/>
    </row>
    <row r="610" ht="25.5" spans="1:25">
      <c r="A610" s="569" t="s">
        <v>1694</v>
      </c>
      <c r="B610" s="569" t="s">
        <v>1695</v>
      </c>
      <c r="C610" s="569" t="s">
        <v>132</v>
      </c>
      <c r="D610" s="569" t="s">
        <v>1696</v>
      </c>
      <c r="E610" s="577" t="s">
        <v>134</v>
      </c>
      <c r="F610" s="570">
        <v>1</v>
      </c>
      <c r="G610" s="579">
        <v>2314.72</v>
      </c>
      <c r="H610" s="600">
        <v>2904.74</v>
      </c>
      <c r="I610" s="600">
        <v>2904.74</v>
      </c>
      <c r="J610" s="612">
        <v>0.00011811564280773</v>
      </c>
      <c r="K610" s="613">
        <f t="shared" si="32"/>
        <v>0</v>
      </c>
      <c r="L610" s="610">
        <f>I610-(I610*K610)</f>
        <v>2904.74</v>
      </c>
      <c r="M610" s="601"/>
      <c r="N610" s="601"/>
      <c r="O610" s="601"/>
      <c r="P610" s="601"/>
      <c r="Q610" s="601"/>
      <c r="R610" s="601"/>
      <c r="S610" s="601"/>
      <c r="T610" s="601"/>
      <c r="U610" s="601"/>
      <c r="V610" s="601"/>
      <c r="W610" s="601"/>
      <c r="X610" s="601"/>
      <c r="Y610" s="601"/>
    </row>
    <row r="611" ht="15" spans="1:25">
      <c r="A611" s="596" t="s">
        <v>42</v>
      </c>
      <c r="B611" s="596" t="s">
        <v>74</v>
      </c>
      <c r="C611" s="596"/>
      <c r="D611" s="596" t="s">
        <v>43</v>
      </c>
      <c r="E611" s="597"/>
      <c r="F611" s="598">
        <v>1</v>
      </c>
      <c r="G611" s="598"/>
      <c r="H611" s="599">
        <v>842556.32</v>
      </c>
      <c r="I611" s="599">
        <v>842556.32</v>
      </c>
      <c r="J611" s="608">
        <v>0.0342609257071255</v>
      </c>
      <c r="K611" s="613">
        <f t="shared" si="32"/>
        <v>0</v>
      </c>
      <c r="L611" s="610">
        <f>SUM(L612:L651)</f>
        <v>842556.32</v>
      </c>
      <c r="M611" s="601"/>
      <c r="N611" s="601"/>
      <c r="O611" s="601"/>
      <c r="P611" s="601"/>
      <c r="Q611" s="601"/>
      <c r="R611" s="601"/>
      <c r="S611" s="601"/>
      <c r="T611" s="601"/>
      <c r="U611" s="601"/>
      <c r="V611" s="601"/>
      <c r="W611" s="601"/>
      <c r="X611" s="601"/>
      <c r="Y611" s="601"/>
    </row>
    <row r="612" ht="38.25" spans="1:25">
      <c r="A612" s="569" t="s">
        <v>1697</v>
      </c>
      <c r="B612" s="569" t="s">
        <v>1213</v>
      </c>
      <c r="C612" s="569" t="s">
        <v>77</v>
      </c>
      <c r="D612" s="569" t="s">
        <v>1214</v>
      </c>
      <c r="E612" s="577" t="s">
        <v>204</v>
      </c>
      <c r="F612" s="570">
        <v>22</v>
      </c>
      <c r="G612" s="579">
        <v>77.62</v>
      </c>
      <c r="H612" s="600">
        <v>97.4</v>
      </c>
      <c r="I612" s="600">
        <v>2142.8</v>
      </c>
      <c r="J612" s="612">
        <v>8.71328240766487e-5</v>
      </c>
      <c r="K612" s="613">
        <f t="shared" si="32"/>
        <v>0</v>
      </c>
      <c r="L612" s="610">
        <f t="shared" ref="L612:L651" si="35">I612-(I612*K612)</f>
        <v>2142.8</v>
      </c>
      <c r="M612" s="601"/>
      <c r="N612" s="601"/>
      <c r="O612" s="601"/>
      <c r="P612" s="601"/>
      <c r="Q612" s="601"/>
      <c r="R612" s="601"/>
      <c r="S612" s="601"/>
      <c r="T612" s="601"/>
      <c r="U612" s="601"/>
      <c r="V612" s="601"/>
      <c r="W612" s="601"/>
      <c r="X612" s="601"/>
      <c r="Y612" s="601"/>
    </row>
    <row r="613" ht="38.25" spans="1:25">
      <c r="A613" s="569" t="s">
        <v>1698</v>
      </c>
      <c r="B613" s="569" t="s">
        <v>1699</v>
      </c>
      <c r="C613" s="569" t="s">
        <v>77</v>
      </c>
      <c r="D613" s="569" t="s">
        <v>1700</v>
      </c>
      <c r="E613" s="577" t="s">
        <v>204</v>
      </c>
      <c r="F613" s="570">
        <v>104</v>
      </c>
      <c r="G613" s="579">
        <v>91.33</v>
      </c>
      <c r="H613" s="600">
        <v>114.61</v>
      </c>
      <c r="I613" s="600">
        <v>11919.44</v>
      </c>
      <c r="J613" s="612">
        <v>0.000484681010179284</v>
      </c>
      <c r="K613" s="613">
        <f t="shared" si="32"/>
        <v>0</v>
      </c>
      <c r="L613" s="610">
        <f t="shared" si="35"/>
        <v>11919.44</v>
      </c>
      <c r="M613" s="601"/>
      <c r="N613" s="601"/>
      <c r="O613" s="601"/>
      <c r="P613" s="601"/>
      <c r="Q613" s="601"/>
      <c r="R613" s="601"/>
      <c r="S613" s="601"/>
      <c r="T613" s="601"/>
      <c r="U613" s="601"/>
      <c r="V613" s="601"/>
      <c r="W613" s="601"/>
      <c r="X613" s="601"/>
      <c r="Y613" s="601"/>
    </row>
    <row r="614" ht="38.25" spans="1:25">
      <c r="A614" s="569" t="s">
        <v>1701</v>
      </c>
      <c r="B614" s="569" t="s">
        <v>1702</v>
      </c>
      <c r="C614" s="569" t="s">
        <v>77</v>
      </c>
      <c r="D614" s="569" t="s">
        <v>1703</v>
      </c>
      <c r="E614" s="577" t="s">
        <v>204</v>
      </c>
      <c r="F614" s="570">
        <v>120</v>
      </c>
      <c r="G614" s="579">
        <v>107.85</v>
      </c>
      <c r="H614" s="600">
        <v>135.34</v>
      </c>
      <c r="I614" s="600">
        <v>16240.8</v>
      </c>
      <c r="J614" s="612">
        <v>0.000660400769677075</v>
      </c>
      <c r="K614" s="613">
        <f t="shared" si="32"/>
        <v>0</v>
      </c>
      <c r="L614" s="610">
        <f t="shared" si="35"/>
        <v>16240.8</v>
      </c>
      <c r="M614" s="601"/>
      <c r="N614" s="601"/>
      <c r="O614" s="601"/>
      <c r="P614" s="601"/>
      <c r="Q614" s="601"/>
      <c r="R614" s="601"/>
      <c r="S614" s="601"/>
      <c r="T614" s="601"/>
      <c r="U614" s="601"/>
      <c r="V614" s="601"/>
      <c r="W614" s="601"/>
      <c r="X614" s="601"/>
      <c r="Y614" s="601"/>
    </row>
    <row r="615" ht="38.25" spans="1:25">
      <c r="A615" s="569" t="s">
        <v>1704</v>
      </c>
      <c r="B615" s="569" t="s">
        <v>993</v>
      </c>
      <c r="C615" s="569" t="s">
        <v>132</v>
      </c>
      <c r="D615" s="569" t="s">
        <v>994</v>
      </c>
      <c r="E615" s="577" t="s">
        <v>204</v>
      </c>
      <c r="F615" s="570">
        <v>200</v>
      </c>
      <c r="G615" s="579">
        <v>26.96</v>
      </c>
      <c r="H615" s="600">
        <v>33.83</v>
      </c>
      <c r="I615" s="600">
        <v>6766</v>
      </c>
      <c r="J615" s="612">
        <v>0.00027512632429653</v>
      </c>
      <c r="K615" s="613">
        <f t="shared" si="32"/>
        <v>0</v>
      </c>
      <c r="L615" s="610">
        <f t="shared" si="35"/>
        <v>6766</v>
      </c>
      <c r="M615" s="601"/>
      <c r="N615" s="601"/>
      <c r="O615" s="601"/>
      <c r="P615" s="601"/>
      <c r="Q615" s="601"/>
      <c r="R615" s="601"/>
      <c r="S615" s="601"/>
      <c r="T615" s="601"/>
      <c r="U615" s="601"/>
      <c r="V615" s="601"/>
      <c r="W615" s="601"/>
      <c r="X615" s="601"/>
      <c r="Y615" s="601"/>
    </row>
    <row r="616" ht="51" spans="1:25">
      <c r="A616" s="569" t="s">
        <v>1705</v>
      </c>
      <c r="B616" s="569" t="s">
        <v>1002</v>
      </c>
      <c r="C616" s="569" t="s">
        <v>132</v>
      </c>
      <c r="D616" s="569" t="s">
        <v>1003</v>
      </c>
      <c r="E616" s="577" t="s">
        <v>204</v>
      </c>
      <c r="F616" s="570">
        <v>200</v>
      </c>
      <c r="G616" s="579">
        <v>82.94</v>
      </c>
      <c r="H616" s="600">
        <v>104.08</v>
      </c>
      <c r="I616" s="600">
        <v>20816</v>
      </c>
      <c r="J616" s="612">
        <v>0.000846442442588911</v>
      </c>
      <c r="K616" s="613">
        <f t="shared" si="32"/>
        <v>0</v>
      </c>
      <c r="L616" s="610">
        <f t="shared" si="35"/>
        <v>20816</v>
      </c>
      <c r="M616" s="601"/>
      <c r="N616" s="601"/>
      <c r="O616" s="601"/>
      <c r="P616" s="601"/>
      <c r="Q616" s="601"/>
      <c r="R616" s="601"/>
      <c r="S616" s="601"/>
      <c r="T616" s="601"/>
      <c r="U616" s="601"/>
      <c r="V616" s="601"/>
      <c r="W616" s="601"/>
      <c r="X616" s="601"/>
      <c r="Y616" s="601"/>
    </row>
    <row r="617" ht="25.5" spans="1:25">
      <c r="A617" s="569" t="s">
        <v>1706</v>
      </c>
      <c r="B617" s="569" t="s">
        <v>1707</v>
      </c>
      <c r="C617" s="569" t="s">
        <v>77</v>
      </c>
      <c r="D617" s="569" t="s">
        <v>1708</v>
      </c>
      <c r="E617" s="577" t="s">
        <v>134</v>
      </c>
      <c r="F617" s="570">
        <v>2</v>
      </c>
      <c r="G617" s="579">
        <v>63.29</v>
      </c>
      <c r="H617" s="600">
        <v>79.42</v>
      </c>
      <c r="I617" s="600">
        <v>158.84</v>
      </c>
      <c r="J617" s="612">
        <v>6.45892186687272e-6</v>
      </c>
      <c r="K617" s="613">
        <f t="shared" si="32"/>
        <v>0</v>
      </c>
      <c r="L617" s="610">
        <f t="shared" si="35"/>
        <v>158.84</v>
      </c>
      <c r="M617" s="601"/>
      <c r="N617" s="601"/>
      <c r="O617" s="601"/>
      <c r="P617" s="601"/>
      <c r="Q617" s="601"/>
      <c r="R617" s="601"/>
      <c r="S617" s="601"/>
      <c r="T617" s="601"/>
      <c r="U617" s="601"/>
      <c r="V617" s="601"/>
      <c r="W617" s="601"/>
      <c r="X617" s="601"/>
      <c r="Y617" s="601"/>
    </row>
    <row r="618" ht="25.5" spans="1:25">
      <c r="A618" s="569" t="s">
        <v>1709</v>
      </c>
      <c r="B618" s="569" t="s">
        <v>1710</v>
      </c>
      <c r="C618" s="569" t="s">
        <v>77</v>
      </c>
      <c r="D618" s="569" t="s">
        <v>1711</v>
      </c>
      <c r="E618" s="577" t="s">
        <v>134</v>
      </c>
      <c r="F618" s="570">
        <v>6</v>
      </c>
      <c r="G618" s="579">
        <v>83.02</v>
      </c>
      <c r="H618" s="600">
        <v>104.18</v>
      </c>
      <c r="I618" s="600">
        <v>625.08</v>
      </c>
      <c r="J618" s="612">
        <v>2.54176711190179e-5</v>
      </c>
      <c r="K618" s="613">
        <f t="shared" si="32"/>
        <v>0</v>
      </c>
      <c r="L618" s="610">
        <f t="shared" si="35"/>
        <v>625.08</v>
      </c>
      <c r="M618" s="601"/>
      <c r="N618" s="601"/>
      <c r="O618" s="601"/>
      <c r="P618" s="601"/>
      <c r="Q618" s="601"/>
      <c r="R618" s="601"/>
      <c r="S618" s="601"/>
      <c r="T618" s="601"/>
      <c r="U618" s="601"/>
      <c r="V618" s="601"/>
      <c r="W618" s="601"/>
      <c r="X618" s="601"/>
      <c r="Y618" s="601"/>
    </row>
    <row r="619" ht="25.5" spans="1:25">
      <c r="A619" s="569" t="s">
        <v>1712</v>
      </c>
      <c r="B619" s="569" t="s">
        <v>1713</v>
      </c>
      <c r="C619" s="569" t="s">
        <v>77</v>
      </c>
      <c r="D619" s="569" t="s">
        <v>1714</v>
      </c>
      <c r="E619" s="577" t="s">
        <v>134</v>
      </c>
      <c r="F619" s="570">
        <v>1</v>
      </c>
      <c r="G619" s="579">
        <v>82.27</v>
      </c>
      <c r="H619" s="600">
        <v>103.24</v>
      </c>
      <c r="I619" s="600">
        <v>103.24</v>
      </c>
      <c r="J619" s="612">
        <v>4.19805523505376e-6</v>
      </c>
      <c r="K619" s="613">
        <f t="shared" si="32"/>
        <v>0</v>
      </c>
      <c r="L619" s="610">
        <f t="shared" si="35"/>
        <v>103.24</v>
      </c>
      <c r="M619" s="601"/>
      <c r="N619" s="601"/>
      <c r="O619" s="601"/>
      <c r="P619" s="601"/>
      <c r="Q619" s="601"/>
      <c r="R619" s="601"/>
      <c r="S619" s="601"/>
      <c r="T619" s="601"/>
      <c r="U619" s="601"/>
      <c r="V619" s="601"/>
      <c r="W619" s="601"/>
      <c r="X619" s="601"/>
      <c r="Y619" s="601"/>
    </row>
    <row r="620" ht="25.5" spans="1:25">
      <c r="A620" s="569" t="s">
        <v>1715</v>
      </c>
      <c r="B620" s="569" t="s">
        <v>1716</v>
      </c>
      <c r="C620" s="569" t="s">
        <v>77</v>
      </c>
      <c r="D620" s="569" t="s">
        <v>1717</v>
      </c>
      <c r="E620" s="577" t="s">
        <v>134</v>
      </c>
      <c r="F620" s="570">
        <v>4</v>
      </c>
      <c r="G620" s="579">
        <v>72.45</v>
      </c>
      <c r="H620" s="600">
        <v>90.91</v>
      </c>
      <c r="I620" s="600">
        <v>363.64</v>
      </c>
      <c r="J620" s="612">
        <v>1.47867183811987e-5</v>
      </c>
      <c r="K620" s="613">
        <f t="shared" si="32"/>
        <v>0</v>
      </c>
      <c r="L620" s="610">
        <f t="shared" si="35"/>
        <v>363.64</v>
      </c>
      <c r="M620" s="601"/>
      <c r="N620" s="601"/>
      <c r="O620" s="601"/>
      <c r="P620" s="601"/>
      <c r="Q620" s="601"/>
      <c r="R620" s="601"/>
      <c r="S620" s="601"/>
      <c r="T620" s="601"/>
      <c r="U620" s="601"/>
      <c r="V620" s="601"/>
      <c r="W620" s="601"/>
      <c r="X620" s="601"/>
      <c r="Y620" s="601"/>
    </row>
    <row r="621" ht="25.5" spans="1:25">
      <c r="A621" s="569" t="s">
        <v>1718</v>
      </c>
      <c r="B621" s="569" t="s">
        <v>1719</v>
      </c>
      <c r="C621" s="569" t="s">
        <v>77</v>
      </c>
      <c r="D621" s="569" t="s">
        <v>1720</v>
      </c>
      <c r="E621" s="577" t="s">
        <v>134</v>
      </c>
      <c r="F621" s="570">
        <v>1</v>
      </c>
      <c r="G621" s="579">
        <v>54.23</v>
      </c>
      <c r="H621" s="600">
        <v>68.05</v>
      </c>
      <c r="I621" s="600">
        <v>68.05</v>
      </c>
      <c r="J621" s="612">
        <v>2.76712183984317e-6</v>
      </c>
      <c r="K621" s="613">
        <f t="shared" si="32"/>
        <v>0</v>
      </c>
      <c r="L621" s="610">
        <f t="shared" si="35"/>
        <v>68.05</v>
      </c>
      <c r="M621" s="601"/>
      <c r="N621" s="601"/>
      <c r="O621" s="601"/>
      <c r="P621" s="601"/>
      <c r="Q621" s="601"/>
      <c r="R621" s="601"/>
      <c r="S621" s="601"/>
      <c r="T621" s="601"/>
      <c r="U621" s="601"/>
      <c r="V621" s="601"/>
      <c r="W621" s="601"/>
      <c r="X621" s="601"/>
      <c r="Y621" s="601"/>
    </row>
    <row r="622" ht="25.5" spans="1:25">
      <c r="A622" s="569" t="s">
        <v>1721</v>
      </c>
      <c r="B622" s="569" t="s">
        <v>1722</v>
      </c>
      <c r="C622" s="569" t="s">
        <v>77</v>
      </c>
      <c r="D622" s="569" t="s">
        <v>1723</v>
      </c>
      <c r="E622" s="577" t="s">
        <v>134</v>
      </c>
      <c r="F622" s="570">
        <v>5</v>
      </c>
      <c r="G622" s="579">
        <v>79.65</v>
      </c>
      <c r="H622" s="600">
        <v>99.95</v>
      </c>
      <c r="I622" s="600">
        <v>499.75</v>
      </c>
      <c r="J622" s="612">
        <v>2.03213686915742e-5</v>
      </c>
      <c r="K622" s="613">
        <f t="shared" si="32"/>
        <v>0</v>
      </c>
      <c r="L622" s="610">
        <f t="shared" si="35"/>
        <v>499.75</v>
      </c>
      <c r="M622" s="601"/>
      <c r="N622" s="601"/>
      <c r="O622" s="601"/>
      <c r="P622" s="601"/>
      <c r="Q622" s="601"/>
      <c r="R622" s="601"/>
      <c r="S622" s="601"/>
      <c r="T622" s="601"/>
      <c r="U622" s="601"/>
      <c r="V622" s="601"/>
      <c r="W622" s="601"/>
      <c r="X622" s="601"/>
      <c r="Y622" s="601"/>
    </row>
    <row r="623" ht="25.5" spans="1:25">
      <c r="A623" s="569" t="s">
        <v>1724</v>
      </c>
      <c r="B623" s="569" t="s">
        <v>1725</v>
      </c>
      <c r="C623" s="569" t="s">
        <v>77</v>
      </c>
      <c r="D623" s="569" t="s">
        <v>1726</v>
      </c>
      <c r="E623" s="577" t="s">
        <v>134</v>
      </c>
      <c r="F623" s="570">
        <v>1</v>
      </c>
      <c r="G623" s="579">
        <v>55.47</v>
      </c>
      <c r="H623" s="600">
        <v>69.6</v>
      </c>
      <c r="I623" s="600">
        <v>69.6</v>
      </c>
      <c r="J623" s="612">
        <v>2.83014959666546e-6</v>
      </c>
      <c r="K623" s="613">
        <f t="shared" si="32"/>
        <v>0</v>
      </c>
      <c r="L623" s="610">
        <f t="shared" si="35"/>
        <v>69.6</v>
      </c>
      <c r="M623" s="601"/>
      <c r="N623" s="601"/>
      <c r="O623" s="601"/>
      <c r="P623" s="601"/>
      <c r="Q623" s="601"/>
      <c r="R623" s="601"/>
      <c r="S623" s="601"/>
      <c r="T623" s="601"/>
      <c r="U623" s="601"/>
      <c r="V623" s="601"/>
      <c r="W623" s="601"/>
      <c r="X623" s="601"/>
      <c r="Y623" s="601"/>
    </row>
    <row r="624" ht="15" spans="1:25">
      <c r="A624" s="569" t="s">
        <v>1727</v>
      </c>
      <c r="B624" s="569" t="s">
        <v>1228</v>
      </c>
      <c r="C624" s="569" t="s">
        <v>149</v>
      </c>
      <c r="D624" s="569" t="s">
        <v>1229</v>
      </c>
      <c r="E624" s="577" t="s">
        <v>134</v>
      </c>
      <c r="F624" s="570">
        <v>197</v>
      </c>
      <c r="G624" s="579">
        <v>11.93</v>
      </c>
      <c r="H624" s="600">
        <v>14.97</v>
      </c>
      <c r="I624" s="600">
        <v>2949.09</v>
      </c>
      <c r="J624" s="612">
        <v>0.000119919049914226</v>
      </c>
      <c r="K624" s="613">
        <f t="shared" si="32"/>
        <v>0</v>
      </c>
      <c r="L624" s="610">
        <f t="shared" si="35"/>
        <v>2949.09</v>
      </c>
      <c r="M624" s="601"/>
      <c r="N624" s="601"/>
      <c r="O624" s="601"/>
      <c r="P624" s="601"/>
      <c r="Q624" s="601"/>
      <c r="R624" s="601"/>
      <c r="S624" s="601"/>
      <c r="T624" s="601"/>
      <c r="U624" s="601"/>
      <c r="V624" s="601"/>
      <c r="W624" s="601"/>
      <c r="X624" s="601"/>
      <c r="Y624" s="601"/>
    </row>
    <row r="625" ht="25.5" spans="1:25">
      <c r="A625" s="569" t="s">
        <v>1728</v>
      </c>
      <c r="B625" s="569" t="s">
        <v>1729</v>
      </c>
      <c r="C625" s="569" t="s">
        <v>77</v>
      </c>
      <c r="D625" s="569" t="s">
        <v>1730</v>
      </c>
      <c r="E625" s="577" t="s">
        <v>134</v>
      </c>
      <c r="F625" s="570">
        <v>2</v>
      </c>
      <c r="G625" s="579">
        <v>70.86</v>
      </c>
      <c r="H625" s="600">
        <v>88.92</v>
      </c>
      <c r="I625" s="600">
        <v>177.84</v>
      </c>
      <c r="J625" s="612">
        <v>7.23152017630726e-6</v>
      </c>
      <c r="K625" s="613">
        <f t="shared" si="32"/>
        <v>0</v>
      </c>
      <c r="L625" s="610">
        <f t="shared" si="35"/>
        <v>177.84</v>
      </c>
      <c r="M625" s="601"/>
      <c r="N625" s="601"/>
      <c r="O625" s="601"/>
      <c r="P625" s="601"/>
      <c r="Q625" s="601"/>
      <c r="R625" s="601"/>
      <c r="S625" s="601"/>
      <c r="T625" s="601"/>
      <c r="U625" s="601"/>
      <c r="V625" s="601"/>
      <c r="W625" s="601"/>
      <c r="X625" s="601"/>
      <c r="Y625" s="601"/>
    </row>
    <row r="626" ht="25.5" spans="1:25">
      <c r="A626" s="569" t="s">
        <v>1731</v>
      </c>
      <c r="B626" s="569" t="s">
        <v>1732</v>
      </c>
      <c r="C626" s="569" t="s">
        <v>77</v>
      </c>
      <c r="D626" s="569" t="s">
        <v>1733</v>
      </c>
      <c r="E626" s="577" t="s">
        <v>134</v>
      </c>
      <c r="F626" s="570">
        <v>2</v>
      </c>
      <c r="G626" s="579">
        <v>64.67</v>
      </c>
      <c r="H626" s="600">
        <v>81.15</v>
      </c>
      <c r="I626" s="600">
        <v>162.3</v>
      </c>
      <c r="J626" s="612">
        <v>6.59961608532764e-6</v>
      </c>
      <c r="K626" s="613">
        <f t="shared" si="32"/>
        <v>0</v>
      </c>
      <c r="L626" s="610">
        <f t="shared" si="35"/>
        <v>162.3</v>
      </c>
      <c r="M626" s="601"/>
      <c r="N626" s="601"/>
      <c r="O626" s="601"/>
      <c r="P626" s="601"/>
      <c r="Q626" s="601"/>
      <c r="R626" s="601"/>
      <c r="S626" s="601"/>
      <c r="T626" s="601"/>
      <c r="U626" s="601"/>
      <c r="V626" s="601"/>
      <c r="W626" s="601"/>
      <c r="X626" s="601"/>
      <c r="Y626" s="601"/>
    </row>
    <row r="627" ht="38.25" spans="1:25">
      <c r="A627" s="569" t="s">
        <v>1734</v>
      </c>
      <c r="B627" s="569" t="s">
        <v>1074</v>
      </c>
      <c r="C627" s="569" t="s">
        <v>77</v>
      </c>
      <c r="D627" s="569" t="s">
        <v>1075</v>
      </c>
      <c r="E627" s="577" t="s">
        <v>204</v>
      </c>
      <c r="F627" s="570">
        <v>647.75</v>
      </c>
      <c r="G627" s="579">
        <v>21.39</v>
      </c>
      <c r="H627" s="600">
        <v>26.84</v>
      </c>
      <c r="I627" s="600">
        <v>17385.61</v>
      </c>
      <c r="J627" s="612">
        <v>0.00070695225760464</v>
      </c>
      <c r="K627" s="613">
        <f t="shared" si="32"/>
        <v>0</v>
      </c>
      <c r="L627" s="610">
        <f t="shared" si="35"/>
        <v>17385.61</v>
      </c>
      <c r="M627" s="601"/>
      <c r="N627" s="601"/>
      <c r="O627" s="601"/>
      <c r="P627" s="601"/>
      <c r="Q627" s="601"/>
      <c r="R627" s="601"/>
      <c r="S627" s="601"/>
      <c r="T627" s="601"/>
      <c r="U627" s="601"/>
      <c r="V627" s="601"/>
      <c r="W627" s="601"/>
      <c r="X627" s="601"/>
      <c r="Y627" s="601"/>
    </row>
    <row r="628" ht="38.25" spans="1:25">
      <c r="A628" s="569" t="s">
        <v>1735</v>
      </c>
      <c r="B628" s="569" t="s">
        <v>1736</v>
      </c>
      <c r="C628" s="569" t="s">
        <v>139</v>
      </c>
      <c r="D628" s="569" t="s">
        <v>1737</v>
      </c>
      <c r="E628" s="577" t="s">
        <v>134</v>
      </c>
      <c r="F628" s="570">
        <v>16</v>
      </c>
      <c r="G628" s="579">
        <v>52.68</v>
      </c>
      <c r="H628" s="600">
        <v>66.1</v>
      </c>
      <c r="I628" s="600">
        <v>1057.6</v>
      </c>
      <c r="J628" s="612">
        <v>4.30052616872613e-5</v>
      </c>
      <c r="K628" s="613">
        <f t="shared" si="32"/>
        <v>0</v>
      </c>
      <c r="L628" s="610">
        <f t="shared" si="35"/>
        <v>1057.6</v>
      </c>
      <c r="M628" s="601"/>
      <c r="N628" s="601"/>
      <c r="O628" s="601"/>
      <c r="P628" s="601"/>
      <c r="Q628" s="601"/>
      <c r="R628" s="601"/>
      <c r="S628" s="601"/>
      <c r="T628" s="601"/>
      <c r="U628" s="601"/>
      <c r="V628" s="601"/>
      <c r="W628" s="601"/>
      <c r="X628" s="601"/>
      <c r="Y628" s="601"/>
    </row>
    <row r="629" ht="38.25" spans="1:25">
      <c r="A629" s="569" t="s">
        <v>1738</v>
      </c>
      <c r="B629" s="569" t="s">
        <v>1107</v>
      </c>
      <c r="C629" s="569" t="s">
        <v>139</v>
      </c>
      <c r="D629" s="569" t="s">
        <v>1108</v>
      </c>
      <c r="E629" s="577" t="s">
        <v>134</v>
      </c>
      <c r="F629" s="570">
        <v>131</v>
      </c>
      <c r="G629" s="579">
        <v>44.86</v>
      </c>
      <c r="H629" s="600">
        <v>56.29</v>
      </c>
      <c r="I629" s="600">
        <v>7373.99</v>
      </c>
      <c r="J629" s="612">
        <v>0.000299849063567746</v>
      </c>
      <c r="K629" s="613">
        <f t="shared" si="32"/>
        <v>0</v>
      </c>
      <c r="L629" s="610">
        <f t="shared" si="35"/>
        <v>7373.99</v>
      </c>
      <c r="M629" s="601"/>
      <c r="N629" s="601"/>
      <c r="O629" s="601"/>
      <c r="P629" s="601"/>
      <c r="Q629" s="601"/>
      <c r="R629" s="601"/>
      <c r="S629" s="601"/>
      <c r="T629" s="601"/>
      <c r="U629" s="601"/>
      <c r="V629" s="601"/>
      <c r="W629" s="601"/>
      <c r="X629" s="601"/>
      <c r="Y629" s="601"/>
    </row>
    <row r="630" ht="25.5" spans="1:25">
      <c r="A630" s="569" t="s">
        <v>1739</v>
      </c>
      <c r="B630" s="569" t="s">
        <v>1122</v>
      </c>
      <c r="C630" s="569" t="s">
        <v>132</v>
      </c>
      <c r="D630" s="569" t="s">
        <v>1123</v>
      </c>
      <c r="E630" s="577" t="s">
        <v>134</v>
      </c>
      <c r="F630" s="570">
        <v>431</v>
      </c>
      <c r="G630" s="579">
        <v>11.59</v>
      </c>
      <c r="H630" s="600">
        <v>14.54</v>
      </c>
      <c r="I630" s="600">
        <v>6266.74</v>
      </c>
      <c r="J630" s="612">
        <v>0.000254824880508726</v>
      </c>
      <c r="K630" s="613">
        <f t="shared" si="32"/>
        <v>0</v>
      </c>
      <c r="L630" s="610">
        <f t="shared" si="35"/>
        <v>6266.74</v>
      </c>
      <c r="M630" s="601"/>
      <c r="N630" s="601"/>
      <c r="O630" s="601"/>
      <c r="P630" s="601"/>
      <c r="Q630" s="601"/>
      <c r="R630" s="601"/>
      <c r="S630" s="601"/>
      <c r="T630" s="601"/>
      <c r="U630" s="601"/>
      <c r="V630" s="601"/>
      <c r="W630" s="601"/>
      <c r="X630" s="601"/>
      <c r="Y630" s="601"/>
    </row>
    <row r="631" ht="25.5" spans="1:25">
      <c r="A631" s="569" t="s">
        <v>1740</v>
      </c>
      <c r="B631" s="569" t="s">
        <v>859</v>
      </c>
      <c r="C631" s="569" t="s">
        <v>132</v>
      </c>
      <c r="D631" s="569" t="s">
        <v>860</v>
      </c>
      <c r="E631" s="577" t="s">
        <v>134</v>
      </c>
      <c r="F631" s="570">
        <v>431</v>
      </c>
      <c r="G631" s="579">
        <v>25.31</v>
      </c>
      <c r="H631" s="600">
        <v>31.76</v>
      </c>
      <c r="I631" s="600">
        <v>13688.56</v>
      </c>
      <c r="J631" s="612">
        <v>0.000556618858662801</v>
      </c>
      <c r="K631" s="613">
        <f t="shared" si="32"/>
        <v>0</v>
      </c>
      <c r="L631" s="610">
        <f t="shared" si="35"/>
        <v>13688.56</v>
      </c>
      <c r="M631" s="601"/>
      <c r="N631" s="601"/>
      <c r="O631" s="601"/>
      <c r="P631" s="601"/>
      <c r="Q631" s="601"/>
      <c r="R631" s="601"/>
      <c r="S631" s="601"/>
      <c r="T631" s="601"/>
      <c r="U631" s="601"/>
      <c r="V631" s="601"/>
      <c r="W631" s="601"/>
      <c r="X631" s="601"/>
      <c r="Y631" s="601"/>
    </row>
    <row r="632" ht="15" spans="1:25">
      <c r="A632" s="104" t="s">
        <v>1741</v>
      </c>
      <c r="B632" s="104" t="s">
        <v>862</v>
      </c>
      <c r="C632" s="104" t="s">
        <v>796</v>
      </c>
      <c r="D632" s="104" t="s">
        <v>863</v>
      </c>
      <c r="E632" s="105" t="s">
        <v>334</v>
      </c>
      <c r="F632" s="103">
        <v>1724</v>
      </c>
      <c r="G632" s="106">
        <v>0.06</v>
      </c>
      <c r="H632" s="126">
        <v>0.07</v>
      </c>
      <c r="I632" s="126">
        <v>120.68</v>
      </c>
      <c r="J632" s="614">
        <v>4.90721915697683e-6</v>
      </c>
      <c r="K632" s="613">
        <f t="shared" si="32"/>
        <v>0</v>
      </c>
      <c r="L632" s="610">
        <f t="shared" si="35"/>
        <v>120.68</v>
      </c>
      <c r="M632" s="601"/>
      <c r="N632" s="601"/>
      <c r="O632" s="601"/>
      <c r="P632" s="601"/>
      <c r="Q632" s="601"/>
      <c r="R632" s="601"/>
      <c r="S632" s="601"/>
      <c r="T632" s="601"/>
      <c r="U632" s="601"/>
      <c r="V632" s="601"/>
      <c r="W632" s="601"/>
      <c r="X632" s="601"/>
      <c r="Y632" s="601"/>
    </row>
    <row r="633" ht="25.5" spans="1:25">
      <c r="A633" s="569" t="s">
        <v>1742</v>
      </c>
      <c r="B633" s="569" t="s">
        <v>865</v>
      </c>
      <c r="C633" s="569" t="s">
        <v>132</v>
      </c>
      <c r="D633" s="569" t="s">
        <v>866</v>
      </c>
      <c r="E633" s="577" t="s">
        <v>134</v>
      </c>
      <c r="F633" s="570">
        <v>862</v>
      </c>
      <c r="G633" s="579">
        <v>0.12</v>
      </c>
      <c r="H633" s="600">
        <v>0.15</v>
      </c>
      <c r="I633" s="600">
        <v>129.3</v>
      </c>
      <c r="J633" s="612">
        <v>5.25773481104661e-6</v>
      </c>
      <c r="K633" s="613">
        <f t="shared" si="32"/>
        <v>0</v>
      </c>
      <c r="L633" s="610">
        <f t="shared" si="35"/>
        <v>129.3</v>
      </c>
      <c r="M633" s="601"/>
      <c r="N633" s="601"/>
      <c r="O633" s="601"/>
      <c r="P633" s="601"/>
      <c r="Q633" s="601"/>
      <c r="R633" s="601"/>
      <c r="S633" s="601"/>
      <c r="T633" s="601"/>
      <c r="U633" s="601"/>
      <c r="V633" s="601"/>
      <c r="W633" s="601"/>
      <c r="X633" s="601"/>
      <c r="Y633" s="601"/>
    </row>
    <row r="634" ht="38.25" spans="1:25">
      <c r="A634" s="569" t="s">
        <v>1743</v>
      </c>
      <c r="B634" s="569" t="s">
        <v>1744</v>
      </c>
      <c r="C634" s="569" t="s">
        <v>132</v>
      </c>
      <c r="D634" s="569" t="s">
        <v>1745</v>
      </c>
      <c r="E634" s="577" t="s">
        <v>134</v>
      </c>
      <c r="F634" s="570">
        <v>431</v>
      </c>
      <c r="G634" s="579">
        <v>3.68</v>
      </c>
      <c r="H634" s="600">
        <v>4.61</v>
      </c>
      <c r="I634" s="600">
        <v>1986.91</v>
      </c>
      <c r="J634" s="612">
        <v>8.07938582630829e-5</v>
      </c>
      <c r="K634" s="613">
        <f t="shared" si="32"/>
        <v>0</v>
      </c>
      <c r="L634" s="610">
        <f t="shared" si="35"/>
        <v>1986.91</v>
      </c>
      <c r="M634" s="601"/>
      <c r="N634" s="601"/>
      <c r="O634" s="601"/>
      <c r="P634" s="601"/>
      <c r="Q634" s="601"/>
      <c r="R634" s="601"/>
      <c r="S634" s="601"/>
      <c r="T634" s="601"/>
      <c r="U634" s="601"/>
      <c r="V634" s="601"/>
      <c r="W634" s="601"/>
      <c r="X634" s="601"/>
      <c r="Y634" s="601"/>
    </row>
    <row r="635" ht="25.5" spans="1:25">
      <c r="A635" s="569" t="s">
        <v>1746</v>
      </c>
      <c r="B635" s="569" t="s">
        <v>1747</v>
      </c>
      <c r="C635" s="569" t="s">
        <v>139</v>
      </c>
      <c r="D635" s="569" t="s">
        <v>1748</v>
      </c>
      <c r="E635" s="577" t="s">
        <v>204</v>
      </c>
      <c r="F635" s="570">
        <v>25590</v>
      </c>
      <c r="G635" s="579">
        <v>8.3</v>
      </c>
      <c r="H635" s="600">
        <v>10.41</v>
      </c>
      <c r="I635" s="600">
        <v>266391.9</v>
      </c>
      <c r="J635" s="612">
        <v>0.0108323121887923</v>
      </c>
      <c r="K635" s="613">
        <f t="shared" si="32"/>
        <v>0</v>
      </c>
      <c r="L635" s="610">
        <f t="shared" si="35"/>
        <v>266391.9</v>
      </c>
      <c r="M635" s="601"/>
      <c r="N635" s="601"/>
      <c r="O635" s="601"/>
      <c r="P635" s="601"/>
      <c r="Q635" s="601"/>
      <c r="R635" s="601"/>
      <c r="S635" s="601"/>
      <c r="T635" s="601"/>
      <c r="U635" s="601"/>
      <c r="V635" s="601"/>
      <c r="W635" s="601"/>
      <c r="X635" s="601"/>
      <c r="Y635" s="601"/>
    </row>
    <row r="636" ht="25.5" spans="1:25">
      <c r="A636" s="569" t="s">
        <v>1749</v>
      </c>
      <c r="B636" s="569" t="s">
        <v>1750</v>
      </c>
      <c r="C636" s="569" t="s">
        <v>132</v>
      </c>
      <c r="D636" s="569" t="s">
        <v>1751</v>
      </c>
      <c r="E636" s="577" t="s">
        <v>204</v>
      </c>
      <c r="F636" s="570">
        <v>217</v>
      </c>
      <c r="G636" s="579">
        <v>8.48</v>
      </c>
      <c r="H636" s="600">
        <v>10.64</v>
      </c>
      <c r="I636" s="600">
        <v>2308.88</v>
      </c>
      <c r="J636" s="612">
        <v>9.38861465624848e-5</v>
      </c>
      <c r="K636" s="613">
        <f t="shared" si="32"/>
        <v>0</v>
      </c>
      <c r="L636" s="610">
        <f t="shared" si="35"/>
        <v>2308.88</v>
      </c>
      <c r="M636" s="601"/>
      <c r="N636" s="601"/>
      <c r="O636" s="601"/>
      <c r="P636" s="601"/>
      <c r="Q636" s="601"/>
      <c r="R636" s="601"/>
      <c r="S636" s="601"/>
      <c r="T636" s="601"/>
      <c r="U636" s="601"/>
      <c r="V636" s="601"/>
      <c r="W636" s="601"/>
      <c r="X636" s="601"/>
      <c r="Y636" s="601"/>
    </row>
    <row r="637" ht="25.5" spans="1:25">
      <c r="A637" s="569" t="s">
        <v>1752</v>
      </c>
      <c r="B637" s="569" t="s">
        <v>1753</v>
      </c>
      <c r="C637" s="569" t="s">
        <v>132</v>
      </c>
      <c r="D637" s="569" t="s">
        <v>1754</v>
      </c>
      <c r="E637" s="577" t="s">
        <v>204</v>
      </c>
      <c r="F637" s="570">
        <v>43</v>
      </c>
      <c r="G637" s="579">
        <v>8.6</v>
      </c>
      <c r="H637" s="600">
        <v>10.79</v>
      </c>
      <c r="I637" s="600">
        <v>463.97</v>
      </c>
      <c r="J637" s="612">
        <v>1.88664440857022e-5</v>
      </c>
      <c r="K637" s="613">
        <f t="shared" si="32"/>
        <v>0</v>
      </c>
      <c r="L637" s="610">
        <f t="shared" si="35"/>
        <v>463.97</v>
      </c>
      <c r="M637" s="601"/>
      <c r="N637" s="601"/>
      <c r="O637" s="601"/>
      <c r="P637" s="601"/>
      <c r="Q637" s="601"/>
      <c r="R637" s="601"/>
      <c r="S637" s="601"/>
      <c r="T637" s="601"/>
      <c r="U637" s="601"/>
      <c r="V637" s="601"/>
      <c r="W637" s="601"/>
      <c r="X637" s="601"/>
      <c r="Y637" s="601"/>
    </row>
    <row r="638" ht="25.5" spans="1:25">
      <c r="A638" s="569" t="s">
        <v>1755</v>
      </c>
      <c r="B638" s="569" t="s">
        <v>1137</v>
      </c>
      <c r="C638" s="569" t="s">
        <v>132</v>
      </c>
      <c r="D638" s="569" t="s">
        <v>1138</v>
      </c>
      <c r="E638" s="577" t="s">
        <v>134</v>
      </c>
      <c r="F638" s="570">
        <v>364</v>
      </c>
      <c r="G638" s="579">
        <v>55.5</v>
      </c>
      <c r="H638" s="600">
        <v>69.64</v>
      </c>
      <c r="I638" s="600">
        <v>25348.96</v>
      </c>
      <c r="J638" s="612">
        <v>0.00103076650746967</v>
      </c>
      <c r="K638" s="613">
        <f t="shared" si="32"/>
        <v>0</v>
      </c>
      <c r="L638" s="610">
        <f t="shared" si="35"/>
        <v>25348.96</v>
      </c>
      <c r="M638" s="601"/>
      <c r="N638" s="601"/>
      <c r="O638" s="601"/>
      <c r="P638" s="601"/>
      <c r="Q638" s="601"/>
      <c r="R638" s="601"/>
      <c r="S638" s="601"/>
      <c r="T638" s="601"/>
      <c r="U638" s="601"/>
      <c r="V638" s="601"/>
      <c r="W638" s="601"/>
      <c r="X638" s="601"/>
      <c r="Y638" s="601"/>
    </row>
    <row r="639" ht="25.5" spans="1:25">
      <c r="A639" s="569" t="s">
        <v>1756</v>
      </c>
      <c r="B639" s="569" t="s">
        <v>1757</v>
      </c>
      <c r="C639" s="569" t="s">
        <v>77</v>
      </c>
      <c r="D639" s="569" t="s">
        <v>1758</v>
      </c>
      <c r="E639" s="577" t="s">
        <v>134</v>
      </c>
      <c r="F639" s="570">
        <v>730</v>
      </c>
      <c r="G639" s="579">
        <v>23.86</v>
      </c>
      <c r="H639" s="600">
        <v>29.94</v>
      </c>
      <c r="I639" s="600">
        <v>21856.2</v>
      </c>
      <c r="J639" s="612">
        <v>0.000888740166877006</v>
      </c>
      <c r="K639" s="613">
        <f t="shared" si="32"/>
        <v>0</v>
      </c>
      <c r="L639" s="610">
        <f t="shared" si="35"/>
        <v>21856.2</v>
      </c>
      <c r="M639" s="601"/>
      <c r="N639" s="601"/>
      <c r="O639" s="601"/>
      <c r="P639" s="601"/>
      <c r="Q639" s="601"/>
      <c r="R639" s="601"/>
      <c r="S639" s="601"/>
      <c r="T639" s="601"/>
      <c r="U639" s="601"/>
      <c r="V639" s="601"/>
      <c r="W639" s="601"/>
      <c r="X639" s="601"/>
      <c r="Y639" s="601"/>
    </row>
    <row r="640" ht="25.5" spans="1:25">
      <c r="A640" s="569" t="s">
        <v>1759</v>
      </c>
      <c r="B640" s="569" t="s">
        <v>1760</v>
      </c>
      <c r="C640" s="569" t="s">
        <v>139</v>
      </c>
      <c r="D640" s="569" t="s">
        <v>1761</v>
      </c>
      <c r="E640" s="577" t="s">
        <v>134</v>
      </c>
      <c r="F640" s="570">
        <v>58</v>
      </c>
      <c r="G640" s="579">
        <v>1330.92</v>
      </c>
      <c r="H640" s="600">
        <v>1670.17</v>
      </c>
      <c r="I640" s="600">
        <v>96869.86</v>
      </c>
      <c r="J640" s="612">
        <v>0.00393902579321896</v>
      </c>
      <c r="K640" s="613">
        <f t="shared" si="32"/>
        <v>0</v>
      </c>
      <c r="L640" s="610">
        <f t="shared" si="35"/>
        <v>96869.86</v>
      </c>
      <c r="M640" s="601"/>
      <c r="N640" s="601"/>
      <c r="O640" s="601"/>
      <c r="P640" s="601"/>
      <c r="Q640" s="601"/>
      <c r="R640" s="601"/>
      <c r="S640" s="601"/>
      <c r="T640" s="601"/>
      <c r="U640" s="601"/>
      <c r="V640" s="601"/>
      <c r="W640" s="601"/>
      <c r="X640" s="601"/>
      <c r="Y640" s="601"/>
    </row>
    <row r="641" ht="15" spans="1:25">
      <c r="A641" s="569" t="s">
        <v>1762</v>
      </c>
      <c r="B641" s="569" t="s">
        <v>1763</v>
      </c>
      <c r="C641" s="569" t="s">
        <v>149</v>
      </c>
      <c r="D641" s="569" t="s">
        <v>1764</v>
      </c>
      <c r="E641" s="577" t="s">
        <v>134</v>
      </c>
      <c r="F641" s="570">
        <v>58</v>
      </c>
      <c r="G641" s="579">
        <v>42.25</v>
      </c>
      <c r="H641" s="600">
        <v>53.01</v>
      </c>
      <c r="I641" s="600">
        <v>3074.58</v>
      </c>
      <c r="J641" s="612">
        <v>0.000125021858432697</v>
      </c>
      <c r="K641" s="613">
        <f t="shared" si="32"/>
        <v>0</v>
      </c>
      <c r="L641" s="610">
        <f t="shared" si="35"/>
        <v>3074.58</v>
      </c>
      <c r="M641" s="601"/>
      <c r="N641" s="601"/>
      <c r="O641" s="601"/>
      <c r="P641" s="601"/>
      <c r="Q641" s="601"/>
      <c r="R641" s="601"/>
      <c r="S641" s="601"/>
      <c r="T641" s="601"/>
      <c r="U641" s="601"/>
      <c r="V641" s="601"/>
      <c r="W641" s="601"/>
      <c r="X641" s="601"/>
      <c r="Y641" s="601"/>
    </row>
    <row r="642" ht="15" spans="1:25">
      <c r="A642" s="569" t="s">
        <v>1765</v>
      </c>
      <c r="B642" s="569" t="s">
        <v>1766</v>
      </c>
      <c r="C642" s="569" t="s">
        <v>149</v>
      </c>
      <c r="D642" s="569" t="s">
        <v>1767</v>
      </c>
      <c r="E642" s="577" t="s">
        <v>134</v>
      </c>
      <c r="F642" s="570">
        <v>6</v>
      </c>
      <c r="G642" s="579">
        <v>445.83</v>
      </c>
      <c r="H642" s="600">
        <v>559.47</v>
      </c>
      <c r="I642" s="600">
        <v>3356.82</v>
      </c>
      <c r="J642" s="612">
        <v>0.000136498603004002</v>
      </c>
      <c r="K642" s="613">
        <f t="shared" si="32"/>
        <v>0</v>
      </c>
      <c r="L642" s="610">
        <f t="shared" si="35"/>
        <v>3356.82</v>
      </c>
      <c r="M642" s="601"/>
      <c r="N642" s="601"/>
      <c r="O642" s="601"/>
      <c r="P642" s="601"/>
      <c r="Q642" s="601"/>
      <c r="R642" s="601"/>
      <c r="S642" s="601"/>
      <c r="T642" s="601"/>
      <c r="U642" s="601"/>
      <c r="V642" s="601"/>
      <c r="W642" s="601"/>
      <c r="X642" s="601"/>
      <c r="Y642" s="601"/>
    </row>
    <row r="643" ht="25.5" spans="1:25">
      <c r="A643" s="569" t="s">
        <v>1768</v>
      </c>
      <c r="B643" s="569" t="s">
        <v>1769</v>
      </c>
      <c r="C643" s="569" t="s">
        <v>139</v>
      </c>
      <c r="D643" s="569" t="s">
        <v>1770</v>
      </c>
      <c r="E643" s="577" t="s">
        <v>134</v>
      </c>
      <c r="F643" s="570">
        <v>9</v>
      </c>
      <c r="G643" s="579">
        <v>2843.1</v>
      </c>
      <c r="H643" s="600">
        <v>3567.8</v>
      </c>
      <c r="I643" s="600">
        <v>32110.2</v>
      </c>
      <c r="J643" s="612">
        <v>0.00130569927555815</v>
      </c>
      <c r="K643" s="613">
        <f t="shared" si="32"/>
        <v>0</v>
      </c>
      <c r="L643" s="610">
        <f t="shared" si="35"/>
        <v>32110.2</v>
      </c>
      <c r="M643" s="601"/>
      <c r="N643" s="601"/>
      <c r="O643" s="601"/>
      <c r="P643" s="601"/>
      <c r="Q643" s="601"/>
      <c r="R643" s="601"/>
      <c r="S643" s="601"/>
      <c r="T643" s="601"/>
      <c r="U643" s="601"/>
      <c r="V643" s="601"/>
      <c r="W643" s="601"/>
      <c r="X643" s="601"/>
      <c r="Y643" s="601"/>
    </row>
    <row r="644" ht="51" spans="1:25">
      <c r="A644" s="569" t="s">
        <v>1771</v>
      </c>
      <c r="B644" s="569" t="s">
        <v>1772</v>
      </c>
      <c r="C644" s="569" t="s">
        <v>132</v>
      </c>
      <c r="D644" s="569" t="s">
        <v>1773</v>
      </c>
      <c r="E644" s="577" t="s">
        <v>134</v>
      </c>
      <c r="F644" s="570">
        <v>113</v>
      </c>
      <c r="G644" s="579">
        <v>1711.95</v>
      </c>
      <c r="H644" s="600">
        <v>2148.32</v>
      </c>
      <c r="I644" s="600">
        <v>242760.16</v>
      </c>
      <c r="J644" s="612">
        <v>0.00987137311652934</v>
      </c>
      <c r="K644" s="613">
        <f t="shared" si="32"/>
        <v>0</v>
      </c>
      <c r="L644" s="610">
        <f t="shared" si="35"/>
        <v>242760.16</v>
      </c>
      <c r="M644" s="601"/>
      <c r="N644" s="601"/>
      <c r="O644" s="601"/>
      <c r="P644" s="601"/>
      <c r="Q644" s="601"/>
      <c r="R644" s="601"/>
      <c r="S644" s="601"/>
      <c r="T644" s="601"/>
      <c r="U644" s="601"/>
      <c r="V644" s="601"/>
      <c r="W644" s="601"/>
      <c r="X644" s="601"/>
      <c r="Y644" s="601"/>
    </row>
    <row r="645" ht="51" spans="1:25">
      <c r="A645" s="569" t="s">
        <v>1774</v>
      </c>
      <c r="B645" s="569" t="s">
        <v>1649</v>
      </c>
      <c r="C645" s="569" t="s">
        <v>139</v>
      </c>
      <c r="D645" s="569" t="s">
        <v>1650</v>
      </c>
      <c r="E645" s="577" t="s">
        <v>279</v>
      </c>
      <c r="F645" s="570">
        <v>164.4</v>
      </c>
      <c r="G645" s="579">
        <v>17.37</v>
      </c>
      <c r="H645" s="600">
        <v>21.79</v>
      </c>
      <c r="I645" s="600">
        <v>3582.27</v>
      </c>
      <c r="J645" s="612">
        <v>0.000145666091891477</v>
      </c>
      <c r="K645" s="613">
        <f t="shared" si="32"/>
        <v>0</v>
      </c>
      <c r="L645" s="610">
        <f t="shared" si="35"/>
        <v>3582.27</v>
      </c>
      <c r="M645" s="601"/>
      <c r="N645" s="601"/>
      <c r="O645" s="601"/>
      <c r="P645" s="601"/>
      <c r="Q645" s="601"/>
      <c r="R645" s="601"/>
      <c r="S645" s="601"/>
      <c r="T645" s="601"/>
      <c r="U645" s="601"/>
      <c r="V645" s="601"/>
      <c r="W645" s="601"/>
      <c r="X645" s="601"/>
      <c r="Y645" s="601"/>
    </row>
    <row r="646" ht="51" spans="1:25">
      <c r="A646" s="569" t="s">
        <v>1775</v>
      </c>
      <c r="B646" s="569" t="s">
        <v>1652</v>
      </c>
      <c r="C646" s="569" t="s">
        <v>139</v>
      </c>
      <c r="D646" s="569" t="s">
        <v>1653</v>
      </c>
      <c r="E646" s="577" t="s">
        <v>279</v>
      </c>
      <c r="F646" s="570">
        <v>38.6</v>
      </c>
      <c r="G646" s="579">
        <v>22.09</v>
      </c>
      <c r="H646" s="600">
        <v>27.72</v>
      </c>
      <c r="I646" s="600">
        <v>1069.99</v>
      </c>
      <c r="J646" s="612">
        <v>4.35090771111505e-5</v>
      </c>
      <c r="K646" s="613">
        <f t="shared" si="32"/>
        <v>0</v>
      </c>
      <c r="L646" s="610">
        <f t="shared" si="35"/>
        <v>1069.99</v>
      </c>
      <c r="M646" s="601"/>
      <c r="N646" s="601"/>
      <c r="O646" s="601"/>
      <c r="P646" s="601"/>
      <c r="Q646" s="601"/>
      <c r="R646" s="601"/>
      <c r="S646" s="601"/>
      <c r="T646" s="601"/>
      <c r="U646" s="601"/>
      <c r="V646" s="601"/>
      <c r="W646" s="601"/>
      <c r="X646" s="601"/>
      <c r="Y646" s="601"/>
    </row>
    <row r="647" ht="38.25" spans="1:25">
      <c r="A647" s="569" t="s">
        <v>1776</v>
      </c>
      <c r="B647" s="569" t="s">
        <v>1151</v>
      </c>
      <c r="C647" s="569" t="s">
        <v>139</v>
      </c>
      <c r="D647" s="569" t="s">
        <v>1152</v>
      </c>
      <c r="E647" s="577" t="s">
        <v>204</v>
      </c>
      <c r="F647" s="570">
        <v>144</v>
      </c>
      <c r="G647" s="579">
        <v>28.07</v>
      </c>
      <c r="H647" s="600">
        <v>35.22</v>
      </c>
      <c r="I647" s="600">
        <v>5071.68</v>
      </c>
      <c r="J647" s="612">
        <v>0.00020623007336805</v>
      </c>
      <c r="K647" s="613">
        <f t="shared" si="32"/>
        <v>0</v>
      </c>
      <c r="L647" s="610">
        <f t="shared" si="35"/>
        <v>5071.68</v>
      </c>
      <c r="M647" s="601"/>
      <c r="N647" s="601"/>
      <c r="O647" s="601"/>
      <c r="P647" s="601"/>
      <c r="Q647" s="601"/>
      <c r="R647" s="601"/>
      <c r="S647" s="601"/>
      <c r="T647" s="601"/>
      <c r="U647" s="601"/>
      <c r="V647" s="601"/>
      <c r="W647" s="601"/>
      <c r="X647" s="601"/>
      <c r="Y647" s="601"/>
    </row>
    <row r="648" ht="38.25" spans="1:25">
      <c r="A648" s="569" t="s">
        <v>1777</v>
      </c>
      <c r="B648" s="569" t="s">
        <v>1256</v>
      </c>
      <c r="C648" s="569" t="s">
        <v>139</v>
      </c>
      <c r="D648" s="569" t="s">
        <v>1257</v>
      </c>
      <c r="E648" s="577" t="s">
        <v>204</v>
      </c>
      <c r="F648" s="570">
        <v>65</v>
      </c>
      <c r="G648" s="579">
        <v>14.8</v>
      </c>
      <c r="H648" s="600">
        <v>18.57</v>
      </c>
      <c r="I648" s="600">
        <v>1207.05</v>
      </c>
      <c r="J648" s="612">
        <v>4.90823573369977e-5</v>
      </c>
      <c r="K648" s="613">
        <f t="shared" si="32"/>
        <v>0</v>
      </c>
      <c r="L648" s="610">
        <f t="shared" si="35"/>
        <v>1207.05</v>
      </c>
      <c r="M648" s="601"/>
      <c r="N648" s="601"/>
      <c r="O648" s="601"/>
      <c r="P648" s="601"/>
      <c r="Q648" s="601"/>
      <c r="R648" s="601"/>
      <c r="S648" s="601"/>
      <c r="T648" s="601"/>
      <c r="U648" s="601"/>
      <c r="V648" s="601"/>
      <c r="W648" s="601"/>
      <c r="X648" s="601"/>
      <c r="Y648" s="601"/>
    </row>
    <row r="649" ht="25.5" spans="1:25">
      <c r="A649" s="569" t="s">
        <v>1778</v>
      </c>
      <c r="B649" s="569" t="s">
        <v>1157</v>
      </c>
      <c r="C649" s="569" t="s">
        <v>132</v>
      </c>
      <c r="D649" s="569" t="s">
        <v>1158</v>
      </c>
      <c r="E649" s="577" t="s">
        <v>204</v>
      </c>
      <c r="F649" s="570">
        <v>72</v>
      </c>
      <c r="G649" s="579">
        <v>158.93</v>
      </c>
      <c r="H649" s="600">
        <v>199.44</v>
      </c>
      <c r="I649" s="600">
        <v>14359.68</v>
      </c>
      <c r="J649" s="612">
        <v>0.000583908657474785</v>
      </c>
      <c r="K649" s="613">
        <f t="shared" ref="K649:K712" si="36">$I$1051</f>
        <v>0</v>
      </c>
      <c r="L649" s="610">
        <f t="shared" si="35"/>
        <v>14359.68</v>
      </c>
      <c r="M649" s="601"/>
      <c r="N649" s="601"/>
      <c r="O649" s="601"/>
      <c r="P649" s="601"/>
      <c r="Q649" s="601"/>
      <c r="R649" s="601"/>
      <c r="S649" s="601"/>
      <c r="T649" s="601"/>
      <c r="U649" s="601"/>
      <c r="V649" s="601"/>
      <c r="W649" s="601"/>
      <c r="X649" s="601"/>
      <c r="Y649" s="601"/>
    </row>
    <row r="650" ht="15" spans="1:25">
      <c r="A650" s="569" t="s">
        <v>1779</v>
      </c>
      <c r="B650" s="569" t="s">
        <v>1259</v>
      </c>
      <c r="C650" s="569" t="s">
        <v>149</v>
      </c>
      <c r="D650" s="569" t="s">
        <v>1260</v>
      </c>
      <c r="E650" s="577" t="s">
        <v>204</v>
      </c>
      <c r="F650" s="570">
        <v>65</v>
      </c>
      <c r="G650" s="579">
        <v>76.33</v>
      </c>
      <c r="H650" s="600">
        <v>95.78</v>
      </c>
      <c r="I650" s="600">
        <v>6225.7</v>
      </c>
      <c r="J650" s="612">
        <v>0.000253156068160347</v>
      </c>
      <c r="K650" s="613">
        <f t="shared" si="36"/>
        <v>0</v>
      </c>
      <c r="L650" s="610">
        <f t="shared" si="35"/>
        <v>6225.7</v>
      </c>
      <c r="M650" s="601"/>
      <c r="N650" s="601"/>
      <c r="O650" s="601"/>
      <c r="P650" s="601"/>
      <c r="Q650" s="601"/>
      <c r="R650" s="601"/>
      <c r="S650" s="601"/>
      <c r="T650" s="601"/>
      <c r="U650" s="601"/>
      <c r="V650" s="601"/>
      <c r="W650" s="601"/>
      <c r="X650" s="601"/>
      <c r="Y650" s="601"/>
    </row>
    <row r="651" ht="51" spans="1:25">
      <c r="A651" s="569" t="s">
        <v>1780</v>
      </c>
      <c r="B651" s="569" t="s">
        <v>1262</v>
      </c>
      <c r="C651" s="569" t="s">
        <v>132</v>
      </c>
      <c r="D651" s="569" t="s">
        <v>1263</v>
      </c>
      <c r="E651" s="577" t="s">
        <v>134</v>
      </c>
      <c r="F651" s="570">
        <v>4</v>
      </c>
      <c r="G651" s="579">
        <v>1081.08</v>
      </c>
      <c r="H651" s="600">
        <v>1356.64</v>
      </c>
      <c r="I651" s="600">
        <v>5426.56</v>
      </c>
      <c r="J651" s="612">
        <v>0.00022066058326553</v>
      </c>
      <c r="K651" s="613">
        <f t="shared" si="36"/>
        <v>0</v>
      </c>
      <c r="L651" s="610">
        <f t="shared" si="35"/>
        <v>5426.56</v>
      </c>
      <c r="M651" s="601"/>
      <c r="N651" s="601"/>
      <c r="O651" s="601"/>
      <c r="P651" s="601"/>
      <c r="Q651" s="601"/>
      <c r="R651" s="601"/>
      <c r="S651" s="601"/>
      <c r="T651" s="601"/>
      <c r="U651" s="601"/>
      <c r="V651" s="601"/>
      <c r="W651" s="601"/>
      <c r="X651" s="601"/>
      <c r="Y651" s="601"/>
    </row>
    <row r="652" ht="15" spans="1:25">
      <c r="A652" s="596" t="s">
        <v>44</v>
      </c>
      <c r="B652" s="596" t="s">
        <v>74</v>
      </c>
      <c r="C652" s="596"/>
      <c r="D652" s="596" t="s">
        <v>45</v>
      </c>
      <c r="E652" s="597"/>
      <c r="F652" s="598">
        <v>1</v>
      </c>
      <c r="G652" s="598"/>
      <c r="H652" s="599">
        <v>1915118.98</v>
      </c>
      <c r="I652" s="599">
        <v>1915118.98</v>
      </c>
      <c r="J652" s="608">
        <v>0.0778746150691575</v>
      </c>
      <c r="K652" s="613">
        <f t="shared" si="36"/>
        <v>0</v>
      </c>
      <c r="L652" s="610">
        <f>SUM(L653,L691)</f>
        <v>1915118.98</v>
      </c>
      <c r="M652" s="601"/>
      <c r="N652" s="601"/>
      <c r="O652" s="601"/>
      <c r="P652" s="601"/>
      <c r="Q652" s="601"/>
      <c r="R652" s="601"/>
      <c r="S652" s="601"/>
      <c r="T652" s="601"/>
      <c r="U652" s="601"/>
      <c r="V652" s="601"/>
      <c r="W652" s="601"/>
      <c r="X652" s="601"/>
      <c r="Y652" s="601"/>
    </row>
    <row r="653" ht="15" spans="1:25">
      <c r="A653" s="596" t="s">
        <v>1781</v>
      </c>
      <c r="B653" s="596" t="s">
        <v>74</v>
      </c>
      <c r="C653" s="596"/>
      <c r="D653" s="596" t="s">
        <v>1782</v>
      </c>
      <c r="E653" s="597"/>
      <c r="F653" s="598">
        <v>1</v>
      </c>
      <c r="G653" s="598"/>
      <c r="H653" s="599">
        <v>1097385.5</v>
      </c>
      <c r="I653" s="599">
        <v>1097385.5</v>
      </c>
      <c r="J653" s="608">
        <v>0.0446230622156828</v>
      </c>
      <c r="K653" s="613">
        <f t="shared" si="36"/>
        <v>0</v>
      </c>
      <c r="L653" s="610">
        <f>SUM(L654,L683)</f>
        <v>1097385.5</v>
      </c>
      <c r="M653" s="601"/>
      <c r="N653" s="601"/>
      <c r="O653" s="601"/>
      <c r="P653" s="601"/>
      <c r="Q653" s="601"/>
      <c r="R653" s="601"/>
      <c r="S653" s="601"/>
      <c r="T653" s="601"/>
      <c r="U653" s="601"/>
      <c r="V653" s="601"/>
      <c r="W653" s="601"/>
      <c r="X653" s="601"/>
      <c r="Y653" s="601"/>
    </row>
    <row r="654" ht="15" spans="1:25">
      <c r="A654" s="596" t="s">
        <v>1783</v>
      </c>
      <c r="B654" s="596" t="s">
        <v>74</v>
      </c>
      <c r="C654" s="596"/>
      <c r="D654" s="596" t="s">
        <v>1784</v>
      </c>
      <c r="E654" s="597"/>
      <c r="F654" s="598">
        <v>1</v>
      </c>
      <c r="G654" s="598"/>
      <c r="H654" s="599">
        <v>1058596.67</v>
      </c>
      <c r="I654" s="599">
        <v>1058596.67</v>
      </c>
      <c r="J654" s="608">
        <v>0.0430457893481595</v>
      </c>
      <c r="K654" s="613">
        <f t="shared" si="36"/>
        <v>0</v>
      </c>
      <c r="L654" s="610">
        <f>SUM(L655:L682)</f>
        <v>1058596.67</v>
      </c>
      <c r="M654" s="601"/>
      <c r="N654" s="601"/>
      <c r="O654" s="601"/>
      <c r="P654" s="601"/>
      <c r="Q654" s="601"/>
      <c r="R654" s="601"/>
      <c r="S654" s="601"/>
      <c r="T654" s="601"/>
      <c r="U654" s="601"/>
      <c r="V654" s="601"/>
      <c r="W654" s="601"/>
      <c r="X654" s="601"/>
      <c r="Y654" s="601"/>
    </row>
    <row r="655" ht="25.5" spans="1:25">
      <c r="A655" s="569" t="s">
        <v>1785</v>
      </c>
      <c r="B655" s="569" t="s">
        <v>1786</v>
      </c>
      <c r="C655" s="569" t="s">
        <v>132</v>
      </c>
      <c r="D655" s="569" t="s">
        <v>1787</v>
      </c>
      <c r="E655" s="577" t="s">
        <v>204</v>
      </c>
      <c r="F655" s="570">
        <v>1952</v>
      </c>
      <c r="G655" s="579">
        <v>10.55</v>
      </c>
      <c r="H655" s="600">
        <v>13.23</v>
      </c>
      <c r="I655" s="600">
        <v>25824.96</v>
      </c>
      <c r="J655" s="612">
        <v>0.00105012212827445</v>
      </c>
      <c r="K655" s="613">
        <f t="shared" si="36"/>
        <v>0</v>
      </c>
      <c r="L655" s="610">
        <f t="shared" ref="L655:L682" si="37">I655-(I655*K655)</f>
        <v>25824.96</v>
      </c>
      <c r="M655" s="601"/>
      <c r="N655" s="601"/>
      <c r="O655" s="601"/>
      <c r="P655" s="601"/>
      <c r="Q655" s="601"/>
      <c r="R655" s="601"/>
      <c r="S655" s="601"/>
      <c r="T655" s="601"/>
      <c r="U655" s="601"/>
      <c r="V655" s="601"/>
      <c r="W655" s="601"/>
      <c r="X655" s="601"/>
      <c r="Y655" s="601"/>
    </row>
    <row r="656" ht="38.25" spans="1:25">
      <c r="A656" s="569" t="s">
        <v>1788</v>
      </c>
      <c r="B656" s="569" t="s">
        <v>1074</v>
      </c>
      <c r="C656" s="569" t="s">
        <v>77</v>
      </c>
      <c r="D656" s="569" t="s">
        <v>1075</v>
      </c>
      <c r="E656" s="577" t="s">
        <v>204</v>
      </c>
      <c r="F656" s="570">
        <v>3154</v>
      </c>
      <c r="G656" s="579">
        <v>21.39</v>
      </c>
      <c r="H656" s="600">
        <v>26.84</v>
      </c>
      <c r="I656" s="600">
        <v>84653.36</v>
      </c>
      <c r="J656" s="612">
        <v>0.00344226541178701</v>
      </c>
      <c r="K656" s="613">
        <f t="shared" si="36"/>
        <v>0</v>
      </c>
      <c r="L656" s="610">
        <f t="shared" si="37"/>
        <v>84653.36</v>
      </c>
      <c r="M656" s="601"/>
      <c r="N656" s="601"/>
      <c r="O656" s="601"/>
      <c r="P656" s="601"/>
      <c r="Q656" s="601"/>
      <c r="R656" s="601"/>
      <c r="S656" s="601"/>
      <c r="T656" s="601"/>
      <c r="U656" s="601"/>
      <c r="V656" s="601"/>
      <c r="W656" s="601"/>
      <c r="X656" s="601"/>
      <c r="Y656" s="601"/>
    </row>
    <row r="657" ht="25.5" spans="1:25">
      <c r="A657" s="569" t="s">
        <v>1789</v>
      </c>
      <c r="B657" s="569" t="s">
        <v>1790</v>
      </c>
      <c r="C657" s="569" t="s">
        <v>132</v>
      </c>
      <c r="D657" s="569" t="s">
        <v>1791</v>
      </c>
      <c r="E657" s="577" t="s">
        <v>204</v>
      </c>
      <c r="F657" s="570">
        <v>10</v>
      </c>
      <c r="G657" s="579">
        <v>38.01</v>
      </c>
      <c r="H657" s="600">
        <v>47.69</v>
      </c>
      <c r="I657" s="600">
        <v>476.9</v>
      </c>
      <c r="J657" s="612">
        <v>1.93922175668069e-5</v>
      </c>
      <c r="K657" s="613">
        <f t="shared" si="36"/>
        <v>0</v>
      </c>
      <c r="L657" s="610">
        <f t="shared" si="37"/>
        <v>476.9</v>
      </c>
      <c r="M657" s="601"/>
      <c r="N657" s="601"/>
      <c r="O657" s="601"/>
      <c r="P657" s="601"/>
      <c r="Q657" s="601"/>
      <c r="R657" s="601"/>
      <c r="S657" s="601"/>
      <c r="T657" s="601"/>
      <c r="U657" s="601"/>
      <c r="V657" s="601"/>
      <c r="W657" s="601"/>
      <c r="X657" s="601"/>
      <c r="Y657" s="601"/>
    </row>
    <row r="658" ht="15" spans="1:25">
      <c r="A658" s="569" t="s">
        <v>1792</v>
      </c>
      <c r="B658" s="569" t="s">
        <v>1793</v>
      </c>
      <c r="C658" s="569" t="s">
        <v>149</v>
      </c>
      <c r="D658" s="569" t="s">
        <v>1794</v>
      </c>
      <c r="E658" s="577" t="s">
        <v>204</v>
      </c>
      <c r="F658" s="570">
        <v>742</v>
      </c>
      <c r="G658" s="579">
        <v>27.96</v>
      </c>
      <c r="H658" s="600">
        <v>35.08</v>
      </c>
      <c r="I658" s="600">
        <v>26029.36</v>
      </c>
      <c r="J658" s="612">
        <v>0.00105843365956121</v>
      </c>
      <c r="K658" s="613">
        <f t="shared" si="36"/>
        <v>0</v>
      </c>
      <c r="L658" s="610">
        <f t="shared" si="37"/>
        <v>26029.36</v>
      </c>
      <c r="M658" s="601"/>
      <c r="N658" s="601"/>
      <c r="O658" s="601"/>
      <c r="P658" s="601"/>
      <c r="Q658" s="601"/>
      <c r="R658" s="601"/>
      <c r="S658" s="601"/>
      <c r="T658" s="601"/>
      <c r="U658" s="601"/>
      <c r="V658" s="601"/>
      <c r="W658" s="601"/>
      <c r="X658" s="601"/>
      <c r="Y658" s="601"/>
    </row>
    <row r="659" ht="25.5" spans="1:25">
      <c r="A659" s="569" t="s">
        <v>1795</v>
      </c>
      <c r="B659" s="569" t="s">
        <v>1796</v>
      </c>
      <c r="C659" s="569" t="s">
        <v>132</v>
      </c>
      <c r="D659" s="569" t="s">
        <v>1797</v>
      </c>
      <c r="E659" s="577" t="s">
        <v>134</v>
      </c>
      <c r="F659" s="570">
        <v>1302</v>
      </c>
      <c r="G659" s="579">
        <v>14.24</v>
      </c>
      <c r="H659" s="600">
        <v>17.86</v>
      </c>
      <c r="I659" s="600">
        <v>23253.72</v>
      </c>
      <c r="J659" s="612">
        <v>0.00094556761895074</v>
      </c>
      <c r="K659" s="613">
        <f t="shared" si="36"/>
        <v>0</v>
      </c>
      <c r="L659" s="610">
        <f t="shared" si="37"/>
        <v>23253.72</v>
      </c>
      <c r="M659" s="601"/>
      <c r="N659" s="601"/>
      <c r="O659" s="601"/>
      <c r="P659" s="601"/>
      <c r="Q659" s="601"/>
      <c r="R659" s="601"/>
      <c r="S659" s="601"/>
      <c r="T659" s="601"/>
      <c r="U659" s="601"/>
      <c r="V659" s="601"/>
      <c r="W659" s="601"/>
      <c r="X659" s="601"/>
      <c r="Y659" s="601"/>
    </row>
    <row r="660" ht="38.25" spans="1:25">
      <c r="A660" s="569" t="s">
        <v>1798</v>
      </c>
      <c r="B660" s="569" t="s">
        <v>1736</v>
      </c>
      <c r="C660" s="569" t="s">
        <v>139</v>
      </c>
      <c r="D660" s="569" t="s">
        <v>1737</v>
      </c>
      <c r="E660" s="577" t="s">
        <v>134</v>
      </c>
      <c r="F660" s="570">
        <v>250</v>
      </c>
      <c r="G660" s="579">
        <v>52.68</v>
      </c>
      <c r="H660" s="600">
        <v>66.1</v>
      </c>
      <c r="I660" s="600">
        <v>16525</v>
      </c>
      <c r="J660" s="612">
        <v>0.000671957213863459</v>
      </c>
      <c r="K660" s="613">
        <f t="shared" si="36"/>
        <v>0</v>
      </c>
      <c r="L660" s="610">
        <f t="shared" si="37"/>
        <v>16525</v>
      </c>
      <c r="M660" s="601"/>
      <c r="N660" s="601"/>
      <c r="O660" s="601"/>
      <c r="P660" s="601"/>
      <c r="Q660" s="601"/>
      <c r="R660" s="601"/>
      <c r="S660" s="601"/>
      <c r="T660" s="601"/>
      <c r="U660" s="601"/>
      <c r="V660" s="601"/>
      <c r="W660" s="601"/>
      <c r="X660" s="601"/>
      <c r="Y660" s="601"/>
    </row>
    <row r="661" ht="38.25" spans="1:25">
      <c r="A661" s="569" t="s">
        <v>1799</v>
      </c>
      <c r="B661" s="569" t="s">
        <v>1107</v>
      </c>
      <c r="C661" s="569" t="s">
        <v>139</v>
      </c>
      <c r="D661" s="569" t="s">
        <v>1108</v>
      </c>
      <c r="E661" s="577" t="s">
        <v>134</v>
      </c>
      <c r="F661" s="570">
        <v>236</v>
      </c>
      <c r="G661" s="579">
        <v>44.86</v>
      </c>
      <c r="H661" s="600">
        <v>56.29</v>
      </c>
      <c r="I661" s="600">
        <v>13284.44</v>
      </c>
      <c r="J661" s="612">
        <v>0.000540186099251817</v>
      </c>
      <c r="K661" s="613">
        <f t="shared" si="36"/>
        <v>0</v>
      </c>
      <c r="L661" s="610">
        <f t="shared" si="37"/>
        <v>13284.44</v>
      </c>
      <c r="M661" s="601"/>
      <c r="N661" s="601"/>
      <c r="O661" s="601"/>
      <c r="P661" s="601"/>
      <c r="Q661" s="601"/>
      <c r="R661" s="601"/>
      <c r="S661" s="601"/>
      <c r="T661" s="601"/>
      <c r="U661" s="601"/>
      <c r="V661" s="601"/>
      <c r="W661" s="601"/>
      <c r="X661" s="601"/>
      <c r="Y661" s="601"/>
    </row>
    <row r="662" ht="38.25" spans="1:25">
      <c r="A662" s="569" t="s">
        <v>1800</v>
      </c>
      <c r="B662" s="569" t="s">
        <v>1801</v>
      </c>
      <c r="C662" s="569" t="s">
        <v>139</v>
      </c>
      <c r="D662" s="569" t="s">
        <v>1802</v>
      </c>
      <c r="E662" s="577" t="s">
        <v>134</v>
      </c>
      <c r="F662" s="570">
        <v>48</v>
      </c>
      <c r="G662" s="579">
        <v>39.4</v>
      </c>
      <c r="H662" s="600">
        <v>49.44</v>
      </c>
      <c r="I662" s="600">
        <v>2373.12</v>
      </c>
      <c r="J662" s="612">
        <v>9.64983421097519e-5</v>
      </c>
      <c r="K662" s="613">
        <f t="shared" si="36"/>
        <v>0</v>
      </c>
      <c r="L662" s="610">
        <f t="shared" si="37"/>
        <v>2373.12</v>
      </c>
      <c r="M662" s="601"/>
      <c r="N662" s="601"/>
      <c r="O662" s="601"/>
      <c r="P662" s="601"/>
      <c r="Q662" s="601"/>
      <c r="R662" s="601"/>
      <c r="S662" s="601"/>
      <c r="T662" s="601"/>
      <c r="U662" s="601"/>
      <c r="V662" s="601"/>
      <c r="W662" s="601"/>
      <c r="X662" s="601"/>
      <c r="Y662" s="601"/>
    </row>
    <row r="663" ht="25.5" spans="1:25">
      <c r="A663" s="569" t="s">
        <v>1803</v>
      </c>
      <c r="B663" s="569" t="s">
        <v>1116</v>
      </c>
      <c r="C663" s="569" t="s">
        <v>139</v>
      </c>
      <c r="D663" s="569" t="s">
        <v>1117</v>
      </c>
      <c r="E663" s="577" t="s">
        <v>134</v>
      </c>
      <c r="F663" s="570">
        <v>22</v>
      </c>
      <c r="G663" s="579">
        <v>36.35</v>
      </c>
      <c r="H663" s="600">
        <v>45.61</v>
      </c>
      <c r="I663" s="600">
        <v>1003.42</v>
      </c>
      <c r="J663" s="612">
        <v>4.08021366133054e-5</v>
      </c>
      <c r="K663" s="613">
        <f t="shared" si="36"/>
        <v>0</v>
      </c>
      <c r="L663" s="610">
        <f t="shared" si="37"/>
        <v>1003.42</v>
      </c>
      <c r="M663" s="601"/>
      <c r="N663" s="601"/>
      <c r="O663" s="601"/>
      <c r="P663" s="601"/>
      <c r="Q663" s="601"/>
      <c r="R663" s="601"/>
      <c r="S663" s="601"/>
      <c r="T663" s="601"/>
      <c r="U663" s="601"/>
      <c r="V663" s="601"/>
      <c r="W663" s="601"/>
      <c r="X663" s="601"/>
      <c r="Y663" s="601"/>
    </row>
    <row r="664" ht="38.25" spans="1:25">
      <c r="A664" s="569" t="s">
        <v>1804</v>
      </c>
      <c r="B664" s="569" t="s">
        <v>1805</v>
      </c>
      <c r="C664" s="569" t="s">
        <v>139</v>
      </c>
      <c r="D664" s="569" t="s">
        <v>1806</v>
      </c>
      <c r="E664" s="577" t="s">
        <v>134</v>
      </c>
      <c r="F664" s="570">
        <v>3</v>
      </c>
      <c r="G664" s="579">
        <v>56.33</v>
      </c>
      <c r="H664" s="600">
        <v>70.68</v>
      </c>
      <c r="I664" s="600">
        <v>212.04</v>
      </c>
      <c r="J664" s="612">
        <v>8.62219713328943e-6</v>
      </c>
      <c r="K664" s="613">
        <f t="shared" si="36"/>
        <v>0</v>
      </c>
      <c r="L664" s="610">
        <f t="shared" si="37"/>
        <v>212.04</v>
      </c>
      <c r="M664" s="601"/>
      <c r="N664" s="601"/>
      <c r="O664" s="601"/>
      <c r="P664" s="601"/>
      <c r="Q664" s="601"/>
      <c r="R664" s="601"/>
      <c r="S664" s="601"/>
      <c r="T664" s="601"/>
      <c r="U664" s="601"/>
      <c r="V664" s="601"/>
      <c r="W664" s="601"/>
      <c r="X664" s="601"/>
      <c r="Y664" s="601"/>
    </row>
    <row r="665" ht="25.5" spans="1:25">
      <c r="A665" s="569" t="s">
        <v>1807</v>
      </c>
      <c r="B665" s="569" t="s">
        <v>1122</v>
      </c>
      <c r="C665" s="569" t="s">
        <v>132</v>
      </c>
      <c r="D665" s="569" t="s">
        <v>1123</v>
      </c>
      <c r="E665" s="577" t="s">
        <v>134</v>
      </c>
      <c r="F665" s="570">
        <v>2101</v>
      </c>
      <c r="G665" s="579">
        <v>11.59</v>
      </c>
      <c r="H665" s="600">
        <v>14.54</v>
      </c>
      <c r="I665" s="600">
        <v>30548.54</v>
      </c>
      <c r="J665" s="612">
        <v>0.00124219738735228</v>
      </c>
      <c r="K665" s="613">
        <f t="shared" si="36"/>
        <v>0</v>
      </c>
      <c r="L665" s="610">
        <f t="shared" si="37"/>
        <v>30548.54</v>
      </c>
      <c r="M665" s="601"/>
      <c r="N665" s="601"/>
      <c r="O665" s="601"/>
      <c r="P665" s="601"/>
      <c r="Q665" s="601"/>
      <c r="R665" s="601"/>
      <c r="S665" s="601"/>
      <c r="T665" s="601"/>
      <c r="U665" s="601"/>
      <c r="V665" s="601"/>
      <c r="W665" s="601"/>
      <c r="X665" s="601"/>
      <c r="Y665" s="601"/>
    </row>
    <row r="666" ht="25.5" spans="1:25">
      <c r="A666" s="569" t="s">
        <v>1808</v>
      </c>
      <c r="B666" s="569" t="s">
        <v>1119</v>
      </c>
      <c r="C666" s="569" t="s">
        <v>132</v>
      </c>
      <c r="D666" s="569" t="s">
        <v>1120</v>
      </c>
      <c r="E666" s="577" t="s">
        <v>134</v>
      </c>
      <c r="F666" s="570">
        <v>6</v>
      </c>
      <c r="G666" s="579">
        <v>11.38</v>
      </c>
      <c r="H666" s="600">
        <v>14.28</v>
      </c>
      <c r="I666" s="600">
        <v>85.68</v>
      </c>
      <c r="J666" s="612">
        <v>3.48401174486058e-6</v>
      </c>
      <c r="K666" s="613">
        <f t="shared" si="36"/>
        <v>0</v>
      </c>
      <c r="L666" s="610">
        <f t="shared" si="37"/>
        <v>85.68</v>
      </c>
      <c r="M666" s="601"/>
      <c r="N666" s="601"/>
      <c r="O666" s="601"/>
      <c r="P666" s="601"/>
      <c r="Q666" s="601"/>
      <c r="R666" s="601"/>
      <c r="S666" s="601"/>
      <c r="T666" s="601"/>
      <c r="U666" s="601"/>
      <c r="V666" s="601"/>
      <c r="W666" s="601"/>
      <c r="X666" s="601"/>
      <c r="Y666" s="601"/>
    </row>
    <row r="667" ht="25.5" spans="1:25">
      <c r="A667" s="569" t="s">
        <v>1809</v>
      </c>
      <c r="B667" s="569" t="s">
        <v>859</v>
      </c>
      <c r="C667" s="569" t="s">
        <v>132</v>
      </c>
      <c r="D667" s="569" t="s">
        <v>860</v>
      </c>
      <c r="E667" s="577" t="s">
        <v>134</v>
      </c>
      <c r="F667" s="570">
        <v>2107</v>
      </c>
      <c r="G667" s="579">
        <v>25.31</v>
      </c>
      <c r="H667" s="600">
        <v>31.76</v>
      </c>
      <c r="I667" s="600">
        <v>66918.32</v>
      </c>
      <c r="J667" s="612">
        <v>0.00272110425801049</v>
      </c>
      <c r="K667" s="613">
        <f t="shared" si="36"/>
        <v>0</v>
      </c>
      <c r="L667" s="610">
        <f t="shared" si="37"/>
        <v>66918.32</v>
      </c>
      <c r="M667" s="601"/>
      <c r="N667" s="601"/>
      <c r="O667" s="601"/>
      <c r="P667" s="601"/>
      <c r="Q667" s="601"/>
      <c r="R667" s="601"/>
      <c r="S667" s="601"/>
      <c r="T667" s="601"/>
      <c r="U667" s="601"/>
      <c r="V667" s="601"/>
      <c r="W667" s="601"/>
      <c r="X667" s="601"/>
      <c r="Y667" s="601"/>
    </row>
    <row r="668" ht="15" spans="1:25">
      <c r="A668" s="104" t="s">
        <v>1810</v>
      </c>
      <c r="B668" s="104" t="s">
        <v>862</v>
      </c>
      <c r="C668" s="104" t="s">
        <v>796</v>
      </c>
      <c r="D668" s="104" t="s">
        <v>863</v>
      </c>
      <c r="E668" s="105" t="s">
        <v>334</v>
      </c>
      <c r="F668" s="103">
        <v>8428</v>
      </c>
      <c r="G668" s="106">
        <v>0.06</v>
      </c>
      <c r="H668" s="126">
        <v>0.07</v>
      </c>
      <c r="I668" s="126">
        <v>589.96</v>
      </c>
      <c r="J668" s="614">
        <v>2.39895841386315e-5</v>
      </c>
      <c r="K668" s="613">
        <f t="shared" si="36"/>
        <v>0</v>
      </c>
      <c r="L668" s="610">
        <f t="shared" si="37"/>
        <v>589.96</v>
      </c>
      <c r="M668" s="601"/>
      <c r="N668" s="601"/>
      <c r="O668" s="601"/>
      <c r="P668" s="601"/>
      <c r="Q668" s="601"/>
      <c r="R668" s="601"/>
      <c r="S668" s="601"/>
      <c r="T668" s="601"/>
      <c r="U668" s="601"/>
      <c r="V668" s="601"/>
      <c r="W668" s="601"/>
      <c r="X668" s="601"/>
      <c r="Y668" s="601"/>
    </row>
    <row r="669" ht="25.5" spans="1:25">
      <c r="A669" s="569" t="s">
        <v>1811</v>
      </c>
      <c r="B669" s="569" t="s">
        <v>865</v>
      </c>
      <c r="C669" s="569" t="s">
        <v>132</v>
      </c>
      <c r="D669" s="569" t="s">
        <v>866</v>
      </c>
      <c r="E669" s="577" t="s">
        <v>134</v>
      </c>
      <c r="F669" s="570">
        <v>4214</v>
      </c>
      <c r="G669" s="579">
        <v>0.12</v>
      </c>
      <c r="H669" s="600">
        <v>0.15</v>
      </c>
      <c r="I669" s="600">
        <v>632.1</v>
      </c>
      <c r="J669" s="612">
        <v>2.57031258628195e-5</v>
      </c>
      <c r="K669" s="613">
        <f t="shared" si="36"/>
        <v>0</v>
      </c>
      <c r="L669" s="610">
        <f t="shared" si="37"/>
        <v>632.1</v>
      </c>
      <c r="M669" s="601"/>
      <c r="N669" s="601"/>
      <c r="O669" s="601"/>
      <c r="P669" s="601"/>
      <c r="Q669" s="601"/>
      <c r="R669" s="601"/>
      <c r="S669" s="601"/>
      <c r="T669" s="601"/>
      <c r="U669" s="601"/>
      <c r="V669" s="601"/>
      <c r="W669" s="601"/>
      <c r="X669" s="601"/>
      <c r="Y669" s="601"/>
    </row>
    <row r="670" ht="38.25" spans="1:25">
      <c r="A670" s="569" t="s">
        <v>1812</v>
      </c>
      <c r="B670" s="569" t="s">
        <v>1744</v>
      </c>
      <c r="C670" s="569" t="s">
        <v>132</v>
      </c>
      <c r="D670" s="569" t="s">
        <v>1745</v>
      </c>
      <c r="E670" s="577" t="s">
        <v>134</v>
      </c>
      <c r="F670" s="570">
        <v>2101</v>
      </c>
      <c r="G670" s="579">
        <v>3.68</v>
      </c>
      <c r="H670" s="600">
        <v>4.61</v>
      </c>
      <c r="I670" s="600">
        <v>9685.61</v>
      </c>
      <c r="J670" s="612">
        <v>0.000393846626939065</v>
      </c>
      <c r="K670" s="613">
        <f t="shared" si="36"/>
        <v>0</v>
      </c>
      <c r="L670" s="610">
        <f t="shared" si="37"/>
        <v>9685.61</v>
      </c>
      <c r="M670" s="601"/>
      <c r="N670" s="601"/>
      <c r="O670" s="601"/>
      <c r="P670" s="601"/>
      <c r="Q670" s="601"/>
      <c r="R670" s="601"/>
      <c r="S670" s="601"/>
      <c r="T670" s="601"/>
      <c r="U670" s="601"/>
      <c r="V670" s="601"/>
      <c r="W670" s="601"/>
      <c r="X670" s="601"/>
      <c r="Y670" s="601"/>
    </row>
    <row r="671" ht="38.25" spans="1:25">
      <c r="A671" s="569" t="s">
        <v>1813</v>
      </c>
      <c r="B671" s="569" t="s">
        <v>1250</v>
      </c>
      <c r="C671" s="569" t="s">
        <v>132</v>
      </c>
      <c r="D671" s="569" t="s">
        <v>1251</v>
      </c>
      <c r="E671" s="577" t="s">
        <v>134</v>
      </c>
      <c r="F671" s="570">
        <v>6</v>
      </c>
      <c r="G671" s="579">
        <v>3.33</v>
      </c>
      <c r="H671" s="600">
        <v>4.17</v>
      </c>
      <c r="I671" s="600">
        <v>25.02</v>
      </c>
      <c r="J671" s="612">
        <v>1.01738998431853e-6</v>
      </c>
      <c r="K671" s="613">
        <f t="shared" si="36"/>
        <v>0</v>
      </c>
      <c r="L671" s="610">
        <f t="shared" si="37"/>
        <v>25.02</v>
      </c>
      <c r="M671" s="601"/>
      <c r="N671" s="601"/>
      <c r="O671" s="601"/>
      <c r="P671" s="601"/>
      <c r="Q671" s="601"/>
      <c r="R671" s="601"/>
      <c r="S671" s="601"/>
      <c r="T671" s="601"/>
      <c r="U671" s="601"/>
      <c r="V671" s="601"/>
      <c r="W671" s="601"/>
      <c r="X671" s="601"/>
      <c r="Y671" s="601"/>
    </row>
    <row r="672" ht="51" spans="1:25">
      <c r="A672" s="569" t="s">
        <v>1814</v>
      </c>
      <c r="B672" s="569" t="s">
        <v>1815</v>
      </c>
      <c r="C672" s="569" t="s">
        <v>77</v>
      </c>
      <c r="D672" s="569" t="s">
        <v>1816</v>
      </c>
      <c r="E672" s="577" t="s">
        <v>204</v>
      </c>
      <c r="F672" s="570">
        <v>3936</v>
      </c>
      <c r="G672" s="579">
        <v>7.94</v>
      </c>
      <c r="H672" s="600">
        <v>9.96</v>
      </c>
      <c r="I672" s="600">
        <v>39202.56</v>
      </c>
      <c r="J672" s="612">
        <v>0.00159409639902663</v>
      </c>
      <c r="K672" s="613">
        <f t="shared" si="36"/>
        <v>0</v>
      </c>
      <c r="L672" s="610">
        <f t="shared" si="37"/>
        <v>39202.56</v>
      </c>
      <c r="M672" s="601"/>
      <c r="N672" s="601"/>
      <c r="O672" s="601"/>
      <c r="P672" s="601"/>
      <c r="Q672" s="601"/>
      <c r="R672" s="601"/>
      <c r="S672" s="601"/>
      <c r="T672" s="601"/>
      <c r="U672" s="601"/>
      <c r="V672" s="601"/>
      <c r="W672" s="601"/>
      <c r="X672" s="601"/>
      <c r="Y672" s="601"/>
    </row>
    <row r="673" ht="51" spans="1:25">
      <c r="A673" s="569" t="s">
        <v>1817</v>
      </c>
      <c r="B673" s="569" t="s">
        <v>1818</v>
      </c>
      <c r="C673" s="569" t="s">
        <v>132</v>
      </c>
      <c r="D673" s="569" t="s">
        <v>1819</v>
      </c>
      <c r="E673" s="577" t="s">
        <v>204</v>
      </c>
      <c r="F673" s="570">
        <v>6604</v>
      </c>
      <c r="G673" s="579">
        <v>13.02</v>
      </c>
      <c r="H673" s="600">
        <v>16.33</v>
      </c>
      <c r="I673" s="600">
        <v>107843.32</v>
      </c>
      <c r="J673" s="612">
        <v>0.00438524035346356</v>
      </c>
      <c r="K673" s="613">
        <f t="shared" si="36"/>
        <v>0</v>
      </c>
      <c r="L673" s="610">
        <f t="shared" si="37"/>
        <v>107843.32</v>
      </c>
      <c r="M673" s="601"/>
      <c r="N673" s="601"/>
      <c r="O673" s="601"/>
      <c r="P673" s="601"/>
      <c r="Q673" s="601"/>
      <c r="R673" s="601"/>
      <c r="S673" s="601"/>
      <c r="T673" s="601"/>
      <c r="U673" s="601"/>
      <c r="V673" s="601"/>
      <c r="W673" s="601"/>
      <c r="X673" s="601"/>
      <c r="Y673" s="601"/>
    </row>
    <row r="674" ht="51" spans="1:25">
      <c r="A674" s="569" t="s">
        <v>1820</v>
      </c>
      <c r="B674" s="569" t="s">
        <v>1821</v>
      </c>
      <c r="C674" s="569" t="s">
        <v>132</v>
      </c>
      <c r="D674" s="569" t="s">
        <v>1822</v>
      </c>
      <c r="E674" s="577" t="s">
        <v>134</v>
      </c>
      <c r="F674" s="570">
        <v>1</v>
      </c>
      <c r="G674" s="579">
        <v>47319.59</v>
      </c>
      <c r="H674" s="600" t="s">
        <v>1823</v>
      </c>
      <c r="I674" s="600">
        <v>54947.5</v>
      </c>
      <c r="J674" s="612">
        <v>0.00223433397935022</v>
      </c>
      <c r="K674" s="613">
        <f t="shared" si="36"/>
        <v>0</v>
      </c>
      <c r="L674" s="610">
        <f t="shared" si="37"/>
        <v>54947.5</v>
      </c>
      <c r="M674" s="601"/>
      <c r="N674" s="601"/>
      <c r="O674" s="601"/>
      <c r="P674" s="601"/>
      <c r="Q674" s="601"/>
      <c r="R674" s="601"/>
      <c r="S674" s="601"/>
      <c r="T674" s="601"/>
      <c r="U674" s="601"/>
      <c r="V674" s="601"/>
      <c r="W674" s="601"/>
      <c r="X674" s="601"/>
      <c r="Y674" s="601"/>
    </row>
    <row r="675" ht="25.5" spans="1:25">
      <c r="A675" s="569" t="s">
        <v>1824</v>
      </c>
      <c r="B675" s="569" t="s">
        <v>1825</v>
      </c>
      <c r="C675" s="569" t="s">
        <v>132</v>
      </c>
      <c r="D675" s="569" t="s">
        <v>1826</v>
      </c>
      <c r="E675" s="577" t="s">
        <v>134</v>
      </c>
      <c r="F675" s="570">
        <v>30</v>
      </c>
      <c r="G675" s="579">
        <v>505.58</v>
      </c>
      <c r="H675" s="600">
        <v>634.45</v>
      </c>
      <c r="I675" s="600">
        <v>19033.5</v>
      </c>
      <c r="J675" s="612">
        <v>0.000773960522243276</v>
      </c>
      <c r="K675" s="613">
        <f t="shared" si="36"/>
        <v>0</v>
      </c>
      <c r="L675" s="610">
        <f t="shared" si="37"/>
        <v>19033.5</v>
      </c>
      <c r="M675" s="601"/>
      <c r="N675" s="601"/>
      <c r="O675" s="601"/>
      <c r="P675" s="601"/>
      <c r="Q675" s="601"/>
      <c r="R675" s="601"/>
      <c r="S675" s="601"/>
      <c r="T675" s="601"/>
      <c r="U675" s="601"/>
      <c r="V675" s="601"/>
      <c r="W675" s="601"/>
      <c r="X675" s="601"/>
      <c r="Y675" s="601"/>
    </row>
    <row r="676" ht="25.5" spans="1:25">
      <c r="A676" s="569" t="s">
        <v>1827</v>
      </c>
      <c r="B676" s="569" t="s">
        <v>1828</v>
      </c>
      <c r="C676" s="569" t="s">
        <v>132</v>
      </c>
      <c r="D676" s="569" t="s">
        <v>1829</v>
      </c>
      <c r="E676" s="577" t="s">
        <v>134</v>
      </c>
      <c r="F676" s="570">
        <v>30</v>
      </c>
      <c r="G676" s="579">
        <v>391.73</v>
      </c>
      <c r="H676" s="600">
        <v>491.58</v>
      </c>
      <c r="I676" s="600">
        <v>14747.4</v>
      </c>
      <c r="J676" s="612">
        <v>0.00059967454255552</v>
      </c>
      <c r="K676" s="613">
        <f t="shared" si="36"/>
        <v>0</v>
      </c>
      <c r="L676" s="610">
        <f t="shared" si="37"/>
        <v>14747.4</v>
      </c>
      <c r="M676" s="601"/>
      <c r="N676" s="601"/>
      <c r="O676" s="601"/>
      <c r="P676" s="601"/>
      <c r="Q676" s="601"/>
      <c r="R676" s="601"/>
      <c r="S676" s="601"/>
      <c r="T676" s="601"/>
      <c r="U676" s="601"/>
      <c r="V676" s="601"/>
      <c r="W676" s="601"/>
      <c r="X676" s="601"/>
      <c r="Y676" s="601"/>
    </row>
    <row r="677" ht="25.5" spans="1:25">
      <c r="A677" s="569" t="s">
        <v>1830</v>
      </c>
      <c r="B677" s="569" t="s">
        <v>1831</v>
      </c>
      <c r="C677" s="569" t="s">
        <v>132</v>
      </c>
      <c r="D677" s="569" t="s">
        <v>1832</v>
      </c>
      <c r="E677" s="577" t="s">
        <v>134</v>
      </c>
      <c r="F677" s="570">
        <v>884</v>
      </c>
      <c r="G677" s="579">
        <v>105.95</v>
      </c>
      <c r="H677" s="600">
        <v>132.95</v>
      </c>
      <c r="I677" s="600">
        <v>117527.8</v>
      </c>
      <c r="J677" s="612">
        <v>0.00477904103113475</v>
      </c>
      <c r="K677" s="613">
        <f t="shared" si="36"/>
        <v>0</v>
      </c>
      <c r="L677" s="610">
        <f t="shared" si="37"/>
        <v>117527.8</v>
      </c>
      <c r="M677" s="601"/>
      <c r="N677" s="601"/>
      <c r="O677" s="601"/>
      <c r="P677" s="601"/>
      <c r="Q677" s="601"/>
      <c r="R677" s="601"/>
      <c r="S677" s="601"/>
      <c r="T677" s="601"/>
      <c r="U677" s="601"/>
      <c r="V677" s="601"/>
      <c r="W677" s="601"/>
      <c r="X677" s="601"/>
      <c r="Y677" s="601"/>
    </row>
    <row r="678" ht="38.25" spans="1:25">
      <c r="A678" s="569" t="s">
        <v>1833</v>
      </c>
      <c r="B678" s="569" t="s">
        <v>1834</v>
      </c>
      <c r="C678" s="569" t="s">
        <v>132</v>
      </c>
      <c r="D678" s="569" t="s">
        <v>1835</v>
      </c>
      <c r="E678" s="577" t="s">
        <v>134</v>
      </c>
      <c r="F678" s="570">
        <v>882</v>
      </c>
      <c r="G678" s="579">
        <v>327.73</v>
      </c>
      <c r="H678" s="600">
        <v>411.26</v>
      </c>
      <c r="I678" s="600">
        <v>362731.32</v>
      </c>
      <c r="J678" s="612">
        <v>0.0147497686637346</v>
      </c>
      <c r="K678" s="613">
        <f t="shared" si="36"/>
        <v>0</v>
      </c>
      <c r="L678" s="610">
        <f t="shared" si="37"/>
        <v>362731.32</v>
      </c>
      <c r="M678" s="601"/>
      <c r="N678" s="601"/>
      <c r="O678" s="601"/>
      <c r="P678" s="601"/>
      <c r="Q678" s="601"/>
      <c r="R678" s="601"/>
      <c r="S678" s="601"/>
      <c r="T678" s="601"/>
      <c r="U678" s="601"/>
      <c r="V678" s="601"/>
      <c r="W678" s="601"/>
      <c r="X678" s="601"/>
      <c r="Y678" s="601"/>
    </row>
    <row r="679" ht="38.25" spans="1:25">
      <c r="A679" s="569" t="s">
        <v>1836</v>
      </c>
      <c r="B679" s="569" t="s">
        <v>1837</v>
      </c>
      <c r="C679" s="569" t="s">
        <v>132</v>
      </c>
      <c r="D679" s="569" t="s">
        <v>1838</v>
      </c>
      <c r="E679" s="577" t="s">
        <v>134</v>
      </c>
      <c r="F679" s="570">
        <v>2</v>
      </c>
      <c r="G679" s="579">
        <v>361.69</v>
      </c>
      <c r="H679" s="600">
        <v>453.88</v>
      </c>
      <c r="I679" s="600">
        <v>907.76</v>
      </c>
      <c r="J679" s="612">
        <v>3.69123074406471e-5</v>
      </c>
      <c r="K679" s="613">
        <f t="shared" si="36"/>
        <v>0</v>
      </c>
      <c r="L679" s="610">
        <f t="shared" si="37"/>
        <v>907.76</v>
      </c>
      <c r="M679" s="601"/>
      <c r="N679" s="601"/>
      <c r="O679" s="601"/>
      <c r="P679" s="601"/>
      <c r="Q679" s="601"/>
      <c r="R679" s="601"/>
      <c r="S679" s="601"/>
      <c r="T679" s="601"/>
      <c r="U679" s="601"/>
      <c r="V679" s="601"/>
      <c r="W679" s="601"/>
      <c r="X679" s="601"/>
      <c r="Y679" s="601"/>
    </row>
    <row r="680" ht="25.5" spans="1:25">
      <c r="A680" s="569" t="s">
        <v>1839</v>
      </c>
      <c r="B680" s="569" t="s">
        <v>1840</v>
      </c>
      <c r="C680" s="569" t="s">
        <v>132</v>
      </c>
      <c r="D680" s="569" t="s">
        <v>1841</v>
      </c>
      <c r="E680" s="577" t="s">
        <v>134</v>
      </c>
      <c r="F680" s="570">
        <v>10</v>
      </c>
      <c r="G680" s="579">
        <v>1617.79</v>
      </c>
      <c r="H680" s="600">
        <v>2030.16</v>
      </c>
      <c r="I680" s="600">
        <v>20301.6</v>
      </c>
      <c r="J680" s="612">
        <v>0.000825525359937694</v>
      </c>
      <c r="K680" s="613">
        <f t="shared" si="36"/>
        <v>0</v>
      </c>
      <c r="L680" s="610">
        <f t="shared" si="37"/>
        <v>20301.6</v>
      </c>
      <c r="M680" s="601"/>
      <c r="N680" s="601"/>
      <c r="O680" s="601"/>
      <c r="P680" s="601"/>
      <c r="Q680" s="601"/>
      <c r="R680" s="601"/>
      <c r="S680" s="601"/>
      <c r="T680" s="601"/>
      <c r="U680" s="601"/>
      <c r="V680" s="601"/>
      <c r="W680" s="601"/>
      <c r="X680" s="601"/>
      <c r="Y680" s="601"/>
    </row>
    <row r="681" ht="25.5" spans="1:25">
      <c r="A681" s="569" t="s">
        <v>1842</v>
      </c>
      <c r="B681" s="569" t="s">
        <v>1843</v>
      </c>
      <c r="C681" s="569" t="s">
        <v>132</v>
      </c>
      <c r="D681" s="569" t="s">
        <v>1844</v>
      </c>
      <c r="E681" s="577" t="s">
        <v>134</v>
      </c>
      <c r="F681" s="570">
        <v>2</v>
      </c>
      <c r="G681" s="579">
        <v>3422.52</v>
      </c>
      <c r="H681" s="600">
        <v>4294.92</v>
      </c>
      <c r="I681" s="600">
        <v>8589.84</v>
      </c>
      <c r="J681" s="612">
        <v>0.000349289255911219</v>
      </c>
      <c r="K681" s="613">
        <f t="shared" si="36"/>
        <v>0</v>
      </c>
      <c r="L681" s="610">
        <f t="shared" si="37"/>
        <v>8589.84</v>
      </c>
      <c r="M681" s="601"/>
      <c r="N681" s="601"/>
      <c r="O681" s="601"/>
      <c r="P681" s="601"/>
      <c r="Q681" s="601"/>
      <c r="R681" s="601"/>
      <c r="S681" s="601"/>
      <c r="T681" s="601"/>
      <c r="U681" s="601"/>
      <c r="V681" s="601"/>
      <c r="W681" s="601"/>
      <c r="X681" s="601"/>
      <c r="Y681" s="601"/>
    </row>
    <row r="682" ht="25.5" spans="1:25">
      <c r="A682" s="569" t="s">
        <v>1845</v>
      </c>
      <c r="B682" s="569" t="s">
        <v>1846</v>
      </c>
      <c r="C682" s="569" t="s">
        <v>132</v>
      </c>
      <c r="D682" s="569" t="s">
        <v>1847</v>
      </c>
      <c r="E682" s="577" t="s">
        <v>134</v>
      </c>
      <c r="F682" s="570">
        <v>28</v>
      </c>
      <c r="G682" s="579">
        <v>302.89</v>
      </c>
      <c r="H682" s="600">
        <v>380.09</v>
      </c>
      <c r="I682" s="600">
        <v>10642.52</v>
      </c>
      <c r="J682" s="612">
        <v>0.000432757524217013</v>
      </c>
      <c r="K682" s="613">
        <f t="shared" si="36"/>
        <v>0</v>
      </c>
      <c r="L682" s="610">
        <f t="shared" si="37"/>
        <v>10642.52</v>
      </c>
      <c r="M682" s="601"/>
      <c r="N682" s="601"/>
      <c r="O682" s="601"/>
      <c r="P682" s="601"/>
      <c r="Q682" s="601"/>
      <c r="R682" s="601"/>
      <c r="S682" s="601"/>
      <c r="T682" s="601"/>
      <c r="U682" s="601"/>
      <c r="V682" s="601"/>
      <c r="W682" s="601"/>
      <c r="X682" s="601"/>
      <c r="Y682" s="601"/>
    </row>
    <row r="683" ht="15" spans="1:25">
      <c r="A683" s="596" t="s">
        <v>1848</v>
      </c>
      <c r="B683" s="596" t="s">
        <v>74</v>
      </c>
      <c r="C683" s="596"/>
      <c r="D683" s="596" t="s">
        <v>1849</v>
      </c>
      <c r="E683" s="597"/>
      <c r="F683" s="598">
        <v>1</v>
      </c>
      <c r="G683" s="598"/>
      <c r="H683" s="599">
        <v>38788.83</v>
      </c>
      <c r="I683" s="599">
        <v>38788.83</v>
      </c>
      <c r="J683" s="608">
        <v>0.00157727286752335</v>
      </c>
      <c r="K683" s="613">
        <f t="shared" si="36"/>
        <v>0</v>
      </c>
      <c r="L683" s="610">
        <f>SUM(L684:L690)</f>
        <v>38788.83</v>
      </c>
      <c r="M683" s="601"/>
      <c r="N683" s="601"/>
      <c r="O683" s="601"/>
      <c r="P683" s="601"/>
      <c r="Q683" s="601"/>
      <c r="R683" s="601"/>
      <c r="S683" s="601"/>
      <c r="T683" s="601"/>
      <c r="U683" s="601"/>
      <c r="V683" s="601"/>
      <c r="W683" s="601"/>
      <c r="X683" s="601"/>
      <c r="Y683" s="601"/>
    </row>
    <row r="684" ht="15" spans="1:25">
      <c r="A684" s="104" t="s">
        <v>1850</v>
      </c>
      <c r="B684" s="104" t="s">
        <v>1851</v>
      </c>
      <c r="C684" s="104" t="s">
        <v>796</v>
      </c>
      <c r="D684" s="104" t="s">
        <v>1852</v>
      </c>
      <c r="E684" s="105" t="s">
        <v>334</v>
      </c>
      <c r="F684" s="103">
        <v>1</v>
      </c>
      <c r="G684" s="106">
        <v>6852.11</v>
      </c>
      <c r="H684" s="126">
        <v>8598.71</v>
      </c>
      <c r="I684" s="126">
        <v>8598.71</v>
      </c>
      <c r="J684" s="614">
        <v>0.000349649937332518</v>
      </c>
      <c r="K684" s="613">
        <f t="shared" si="36"/>
        <v>0</v>
      </c>
      <c r="L684" s="610">
        <f t="shared" ref="L684:L690" si="38">I684-(I684*K684)</f>
        <v>8598.71</v>
      </c>
      <c r="M684" s="601"/>
      <c r="N684" s="601"/>
      <c r="O684" s="601"/>
      <c r="P684" s="601"/>
      <c r="Q684" s="601"/>
      <c r="R684" s="601"/>
      <c r="S684" s="601"/>
      <c r="T684" s="601"/>
      <c r="U684" s="601"/>
      <c r="V684" s="601"/>
      <c r="W684" s="601"/>
      <c r="X684" s="601"/>
      <c r="Y684" s="601"/>
    </row>
    <row r="685" ht="51" spans="1:25">
      <c r="A685" s="569" t="s">
        <v>1853</v>
      </c>
      <c r="B685" s="569" t="s">
        <v>1649</v>
      </c>
      <c r="C685" s="569" t="s">
        <v>139</v>
      </c>
      <c r="D685" s="569" t="s">
        <v>1650</v>
      </c>
      <c r="E685" s="577" t="s">
        <v>279</v>
      </c>
      <c r="F685" s="570">
        <v>119.36</v>
      </c>
      <c r="G685" s="579">
        <v>17.37</v>
      </c>
      <c r="H685" s="600">
        <v>21.79</v>
      </c>
      <c r="I685" s="600">
        <v>2600.85</v>
      </c>
      <c r="J685" s="612">
        <v>0.000105758542794359</v>
      </c>
      <c r="K685" s="613">
        <f t="shared" si="36"/>
        <v>0</v>
      </c>
      <c r="L685" s="610">
        <f t="shared" si="38"/>
        <v>2600.85</v>
      </c>
      <c r="M685" s="601"/>
      <c r="N685" s="601"/>
      <c r="O685" s="601"/>
      <c r="P685" s="601"/>
      <c r="Q685" s="601"/>
      <c r="R685" s="601"/>
      <c r="S685" s="601"/>
      <c r="T685" s="601"/>
      <c r="U685" s="601"/>
      <c r="V685" s="601"/>
      <c r="W685" s="601"/>
      <c r="X685" s="601"/>
      <c r="Y685" s="601"/>
    </row>
    <row r="686" ht="51" spans="1:25">
      <c r="A686" s="569" t="s">
        <v>1854</v>
      </c>
      <c r="B686" s="569" t="s">
        <v>1652</v>
      </c>
      <c r="C686" s="569" t="s">
        <v>139</v>
      </c>
      <c r="D686" s="569" t="s">
        <v>1653</v>
      </c>
      <c r="E686" s="577" t="s">
        <v>279</v>
      </c>
      <c r="F686" s="570">
        <v>82.76</v>
      </c>
      <c r="G686" s="579">
        <v>22.09</v>
      </c>
      <c r="H686" s="600">
        <v>27.72</v>
      </c>
      <c r="I686" s="600">
        <v>2294.1</v>
      </c>
      <c r="J686" s="612">
        <v>9.32851464038826e-5</v>
      </c>
      <c r="K686" s="613">
        <f t="shared" si="36"/>
        <v>0</v>
      </c>
      <c r="L686" s="610">
        <f t="shared" si="38"/>
        <v>2294.1</v>
      </c>
      <c r="M686" s="601"/>
      <c r="N686" s="601"/>
      <c r="O686" s="601"/>
      <c r="P686" s="601"/>
      <c r="Q686" s="601"/>
      <c r="R686" s="601"/>
      <c r="S686" s="601"/>
      <c r="T686" s="601"/>
      <c r="U686" s="601"/>
      <c r="V686" s="601"/>
      <c r="W686" s="601"/>
      <c r="X686" s="601"/>
      <c r="Y686" s="601"/>
    </row>
    <row r="687" ht="51" spans="1:25">
      <c r="A687" s="569" t="s">
        <v>1855</v>
      </c>
      <c r="B687" s="569" t="s">
        <v>1262</v>
      </c>
      <c r="C687" s="569" t="s">
        <v>132</v>
      </c>
      <c r="D687" s="569" t="s">
        <v>1263</v>
      </c>
      <c r="E687" s="577" t="s">
        <v>134</v>
      </c>
      <c r="F687" s="570">
        <v>11</v>
      </c>
      <c r="G687" s="579">
        <v>1081.08</v>
      </c>
      <c r="H687" s="600">
        <v>1356.64</v>
      </c>
      <c r="I687" s="600">
        <v>14923.04</v>
      </c>
      <c r="J687" s="612">
        <v>0.000606816603980209</v>
      </c>
      <c r="K687" s="613">
        <f t="shared" si="36"/>
        <v>0</v>
      </c>
      <c r="L687" s="610">
        <f t="shared" si="38"/>
        <v>14923.04</v>
      </c>
      <c r="M687" s="601"/>
      <c r="N687" s="601"/>
      <c r="O687" s="601"/>
      <c r="P687" s="601"/>
      <c r="Q687" s="601"/>
      <c r="R687" s="601"/>
      <c r="S687" s="601"/>
      <c r="T687" s="601"/>
      <c r="U687" s="601"/>
      <c r="V687" s="601"/>
      <c r="W687" s="601"/>
      <c r="X687" s="601"/>
      <c r="Y687" s="601"/>
    </row>
    <row r="688" ht="25.5" spans="1:25">
      <c r="A688" s="569" t="s">
        <v>1856</v>
      </c>
      <c r="B688" s="569" t="s">
        <v>1857</v>
      </c>
      <c r="C688" s="569" t="s">
        <v>139</v>
      </c>
      <c r="D688" s="569" t="s">
        <v>1858</v>
      </c>
      <c r="E688" s="577" t="s">
        <v>279</v>
      </c>
      <c r="F688" s="570">
        <v>0.53</v>
      </c>
      <c r="G688" s="579">
        <v>344.76</v>
      </c>
      <c r="H688" s="600">
        <v>432.63</v>
      </c>
      <c r="I688" s="600">
        <v>229.29</v>
      </c>
      <c r="J688" s="612">
        <v>9.32363507211815e-6</v>
      </c>
      <c r="K688" s="613">
        <f t="shared" si="36"/>
        <v>0</v>
      </c>
      <c r="L688" s="610">
        <f t="shared" si="38"/>
        <v>229.29</v>
      </c>
      <c r="M688" s="601"/>
      <c r="N688" s="601"/>
      <c r="O688" s="601"/>
      <c r="P688" s="601"/>
      <c r="Q688" s="601"/>
      <c r="R688" s="601"/>
      <c r="S688" s="601"/>
      <c r="T688" s="601"/>
      <c r="U688" s="601"/>
      <c r="V688" s="601"/>
      <c r="W688" s="601"/>
      <c r="X688" s="601"/>
      <c r="Y688" s="601"/>
    </row>
    <row r="689" ht="51" spans="1:25">
      <c r="A689" s="569" t="s">
        <v>1859</v>
      </c>
      <c r="B689" s="569" t="s">
        <v>1860</v>
      </c>
      <c r="C689" s="569" t="s">
        <v>796</v>
      </c>
      <c r="D689" s="569" t="s">
        <v>1861</v>
      </c>
      <c r="E689" s="577" t="s">
        <v>1508</v>
      </c>
      <c r="F689" s="570">
        <v>186.5</v>
      </c>
      <c r="G689" s="579">
        <v>18.88</v>
      </c>
      <c r="H689" s="600">
        <v>23.69</v>
      </c>
      <c r="I689" s="600">
        <v>4418.18</v>
      </c>
      <c r="J689" s="612">
        <v>0.000179656757830394</v>
      </c>
      <c r="K689" s="613">
        <f t="shared" si="36"/>
        <v>0</v>
      </c>
      <c r="L689" s="610">
        <f t="shared" si="38"/>
        <v>4418.18</v>
      </c>
      <c r="M689" s="601"/>
      <c r="N689" s="601"/>
      <c r="O689" s="601"/>
      <c r="P689" s="601"/>
      <c r="Q689" s="601"/>
      <c r="R689" s="601"/>
      <c r="S689" s="601"/>
      <c r="T689" s="601"/>
      <c r="U689" s="601"/>
      <c r="V689" s="601"/>
      <c r="W689" s="601"/>
      <c r="X689" s="601"/>
      <c r="Y689" s="601"/>
    </row>
    <row r="690" ht="51" spans="1:25">
      <c r="A690" s="569" t="s">
        <v>1862</v>
      </c>
      <c r="B690" s="569" t="s">
        <v>1863</v>
      </c>
      <c r="C690" s="569" t="s">
        <v>132</v>
      </c>
      <c r="D690" s="569" t="s">
        <v>1864</v>
      </c>
      <c r="E690" s="577" t="s">
        <v>134</v>
      </c>
      <c r="F690" s="570">
        <v>1</v>
      </c>
      <c r="G690" s="579">
        <v>4561.85</v>
      </c>
      <c r="H690" s="600">
        <v>5724.66</v>
      </c>
      <c r="I690" s="600">
        <v>5724.66</v>
      </c>
      <c r="J690" s="612">
        <v>0.000232782244109869</v>
      </c>
      <c r="K690" s="613">
        <f t="shared" si="36"/>
        <v>0</v>
      </c>
      <c r="L690" s="610">
        <f t="shared" si="38"/>
        <v>5724.66</v>
      </c>
      <c r="M690" s="601"/>
      <c r="N690" s="601"/>
      <c r="O690" s="601"/>
      <c r="P690" s="601"/>
      <c r="Q690" s="601"/>
      <c r="R690" s="601"/>
      <c r="S690" s="601"/>
      <c r="T690" s="601"/>
      <c r="U690" s="601"/>
      <c r="V690" s="601"/>
      <c r="W690" s="601"/>
      <c r="X690" s="601"/>
      <c r="Y690" s="601"/>
    </row>
    <row r="691" ht="15" spans="1:25">
      <c r="A691" s="596" t="s">
        <v>1865</v>
      </c>
      <c r="B691" s="596" t="s">
        <v>74</v>
      </c>
      <c r="C691" s="596"/>
      <c r="D691" s="596" t="s">
        <v>1866</v>
      </c>
      <c r="E691" s="597"/>
      <c r="F691" s="598">
        <v>1</v>
      </c>
      <c r="G691" s="598"/>
      <c r="H691" s="599">
        <v>817733.48</v>
      </c>
      <c r="I691" s="599">
        <v>817733.48</v>
      </c>
      <c r="J691" s="608">
        <v>0.0332515528534747</v>
      </c>
      <c r="K691" s="613">
        <f t="shared" si="36"/>
        <v>0</v>
      </c>
      <c r="L691" s="610">
        <f>SUM(L692,L734,L752)</f>
        <v>817733.48</v>
      </c>
      <c r="M691" s="601"/>
      <c r="N691" s="601"/>
      <c r="O691" s="601"/>
      <c r="P691" s="601"/>
      <c r="Q691" s="601"/>
      <c r="R691" s="601"/>
      <c r="S691" s="601"/>
      <c r="T691" s="601"/>
      <c r="U691" s="601"/>
      <c r="V691" s="601"/>
      <c r="W691" s="601"/>
      <c r="X691" s="601"/>
      <c r="Y691" s="601"/>
    </row>
    <row r="692" ht="15" spans="1:25">
      <c r="A692" s="596" t="s">
        <v>1867</v>
      </c>
      <c r="B692" s="596" t="s">
        <v>74</v>
      </c>
      <c r="C692" s="596"/>
      <c r="D692" s="596" t="s">
        <v>1868</v>
      </c>
      <c r="E692" s="597"/>
      <c r="F692" s="598">
        <v>1</v>
      </c>
      <c r="G692" s="598"/>
      <c r="H692" s="599">
        <v>796529.76</v>
      </c>
      <c r="I692" s="599">
        <v>796529.76</v>
      </c>
      <c r="J692" s="608">
        <v>0.0323893445258051</v>
      </c>
      <c r="K692" s="613">
        <f t="shared" si="36"/>
        <v>0</v>
      </c>
      <c r="L692" s="610">
        <f>SUM(L693:L733)</f>
        <v>796529.76</v>
      </c>
      <c r="M692" s="601"/>
      <c r="N692" s="601"/>
      <c r="O692" s="601"/>
      <c r="P692" s="601"/>
      <c r="Q692" s="601"/>
      <c r="R692" s="601"/>
      <c r="S692" s="601"/>
      <c r="T692" s="601"/>
      <c r="U692" s="601"/>
      <c r="V692" s="601"/>
      <c r="W692" s="601"/>
      <c r="X692" s="601"/>
      <c r="Y692" s="601"/>
    </row>
    <row r="693" ht="38.25" spans="1:25">
      <c r="A693" s="569" t="s">
        <v>1869</v>
      </c>
      <c r="B693" s="569" t="s">
        <v>1870</v>
      </c>
      <c r="C693" s="569" t="s">
        <v>139</v>
      </c>
      <c r="D693" s="569" t="s">
        <v>1871</v>
      </c>
      <c r="E693" s="577" t="s">
        <v>204</v>
      </c>
      <c r="F693" s="570">
        <v>980</v>
      </c>
      <c r="G693" s="579">
        <v>53.47</v>
      </c>
      <c r="H693" s="600">
        <v>67.09</v>
      </c>
      <c r="I693" s="600">
        <v>65748.2</v>
      </c>
      <c r="J693" s="612">
        <v>0.00267352358780862</v>
      </c>
      <c r="K693" s="613">
        <f t="shared" si="36"/>
        <v>0</v>
      </c>
      <c r="L693" s="610">
        <f t="shared" ref="L693:L733" si="39">I693-(I693*K693)</f>
        <v>65748.2</v>
      </c>
      <c r="M693" s="601"/>
      <c r="N693" s="601"/>
      <c r="O693" s="601"/>
      <c r="P693" s="601"/>
      <c r="Q693" s="601"/>
      <c r="R693" s="601"/>
      <c r="S693" s="601"/>
      <c r="T693" s="601"/>
      <c r="U693" s="601"/>
      <c r="V693" s="601"/>
      <c r="W693" s="601"/>
      <c r="X693" s="601"/>
      <c r="Y693" s="601"/>
    </row>
    <row r="694" ht="38.25" spans="1:25">
      <c r="A694" s="569" t="s">
        <v>1872</v>
      </c>
      <c r="B694" s="569" t="s">
        <v>1873</v>
      </c>
      <c r="C694" s="569" t="s">
        <v>139</v>
      </c>
      <c r="D694" s="569" t="s">
        <v>1874</v>
      </c>
      <c r="E694" s="577" t="s">
        <v>134</v>
      </c>
      <c r="F694" s="570">
        <v>64</v>
      </c>
      <c r="G694" s="579">
        <v>45.92</v>
      </c>
      <c r="H694" s="600">
        <v>57.62</v>
      </c>
      <c r="I694" s="600">
        <v>3687.68</v>
      </c>
      <c r="J694" s="612">
        <v>0.000149952385986082</v>
      </c>
      <c r="K694" s="613">
        <f t="shared" si="36"/>
        <v>0</v>
      </c>
      <c r="L694" s="610">
        <f t="shared" si="39"/>
        <v>3687.68</v>
      </c>
      <c r="M694" s="601"/>
      <c r="N694" s="601"/>
      <c r="O694" s="601"/>
      <c r="P694" s="601"/>
      <c r="Q694" s="601"/>
      <c r="R694" s="601"/>
      <c r="S694" s="601"/>
      <c r="T694" s="601"/>
      <c r="U694" s="601"/>
      <c r="V694" s="601"/>
      <c r="W694" s="601"/>
      <c r="X694" s="601"/>
      <c r="Y694" s="601"/>
    </row>
    <row r="695" ht="38.25" spans="1:25">
      <c r="A695" s="569" t="s">
        <v>1875</v>
      </c>
      <c r="B695" s="569" t="s">
        <v>1876</v>
      </c>
      <c r="C695" s="569" t="s">
        <v>139</v>
      </c>
      <c r="D695" s="569" t="s">
        <v>1877</v>
      </c>
      <c r="E695" s="577" t="s">
        <v>134</v>
      </c>
      <c r="F695" s="570">
        <v>309</v>
      </c>
      <c r="G695" s="579">
        <v>33.73</v>
      </c>
      <c r="H695" s="600">
        <v>42.32</v>
      </c>
      <c r="I695" s="600">
        <v>13076.88</v>
      </c>
      <c r="J695" s="612">
        <v>0.000531746072667279</v>
      </c>
      <c r="K695" s="613">
        <f t="shared" si="36"/>
        <v>0</v>
      </c>
      <c r="L695" s="610">
        <f t="shared" si="39"/>
        <v>13076.88</v>
      </c>
      <c r="M695" s="601"/>
      <c r="N695" s="601"/>
      <c r="O695" s="601"/>
      <c r="P695" s="601"/>
      <c r="Q695" s="601"/>
      <c r="R695" s="601"/>
      <c r="S695" s="601"/>
      <c r="T695" s="601"/>
      <c r="U695" s="601"/>
      <c r="V695" s="601"/>
      <c r="W695" s="601"/>
      <c r="X695" s="601"/>
      <c r="Y695" s="601"/>
    </row>
    <row r="696" ht="38.25" spans="1:25">
      <c r="A696" s="569" t="s">
        <v>1878</v>
      </c>
      <c r="B696" s="569" t="s">
        <v>1879</v>
      </c>
      <c r="C696" s="569" t="s">
        <v>139</v>
      </c>
      <c r="D696" s="569" t="s">
        <v>1880</v>
      </c>
      <c r="E696" s="577" t="s">
        <v>134</v>
      </c>
      <c r="F696" s="570">
        <v>21</v>
      </c>
      <c r="G696" s="579">
        <v>42.09</v>
      </c>
      <c r="H696" s="600">
        <v>52.81</v>
      </c>
      <c r="I696" s="600">
        <v>1109.01</v>
      </c>
      <c r="J696" s="612">
        <v>4.50957500603155e-5</v>
      </c>
      <c r="K696" s="613">
        <f t="shared" si="36"/>
        <v>0</v>
      </c>
      <c r="L696" s="610">
        <f t="shared" si="39"/>
        <v>1109.01</v>
      </c>
      <c r="M696" s="601"/>
      <c r="N696" s="601"/>
      <c r="O696" s="601"/>
      <c r="P696" s="601"/>
      <c r="Q696" s="601"/>
      <c r="R696" s="601"/>
      <c r="S696" s="601"/>
      <c r="T696" s="601"/>
      <c r="U696" s="601"/>
      <c r="V696" s="601"/>
      <c r="W696" s="601"/>
      <c r="X696" s="601"/>
      <c r="Y696" s="601"/>
    </row>
    <row r="697" ht="38.25" spans="1:25">
      <c r="A697" s="569" t="s">
        <v>1881</v>
      </c>
      <c r="B697" s="569" t="s">
        <v>1882</v>
      </c>
      <c r="C697" s="569" t="s">
        <v>139</v>
      </c>
      <c r="D697" s="569" t="s">
        <v>1883</v>
      </c>
      <c r="E697" s="577" t="s">
        <v>134</v>
      </c>
      <c r="F697" s="570">
        <v>48</v>
      </c>
      <c r="G697" s="579">
        <v>47.84</v>
      </c>
      <c r="H697" s="600">
        <v>60.03</v>
      </c>
      <c r="I697" s="600">
        <v>2881.44</v>
      </c>
      <c r="J697" s="612">
        <v>0.00011716819330195</v>
      </c>
      <c r="K697" s="613">
        <f t="shared" si="36"/>
        <v>0</v>
      </c>
      <c r="L697" s="610">
        <f t="shared" si="39"/>
        <v>2881.44</v>
      </c>
      <c r="M697" s="601"/>
      <c r="N697" s="601"/>
      <c r="O697" s="601"/>
      <c r="P697" s="601"/>
      <c r="Q697" s="601"/>
      <c r="R697" s="601"/>
      <c r="S697" s="601"/>
      <c r="T697" s="601"/>
      <c r="U697" s="601"/>
      <c r="V697" s="601"/>
      <c r="W697" s="601"/>
      <c r="X697" s="601"/>
      <c r="Y697" s="601"/>
    </row>
    <row r="698" ht="38.25" spans="1:25">
      <c r="A698" s="569" t="s">
        <v>1884</v>
      </c>
      <c r="B698" s="569" t="s">
        <v>1885</v>
      </c>
      <c r="C698" s="569" t="s">
        <v>139</v>
      </c>
      <c r="D698" s="569" t="s">
        <v>1886</v>
      </c>
      <c r="E698" s="577" t="s">
        <v>134</v>
      </c>
      <c r="F698" s="570">
        <v>15</v>
      </c>
      <c r="G698" s="579">
        <v>64.86</v>
      </c>
      <c r="H698" s="600">
        <v>81.39</v>
      </c>
      <c r="I698" s="600">
        <v>1220.85</v>
      </c>
      <c r="J698" s="612">
        <v>4.96435076880607e-5</v>
      </c>
      <c r="K698" s="613">
        <f t="shared" si="36"/>
        <v>0</v>
      </c>
      <c r="L698" s="610">
        <f t="shared" si="39"/>
        <v>1220.85</v>
      </c>
      <c r="M698" s="601"/>
      <c r="N698" s="601"/>
      <c r="O698" s="601"/>
      <c r="P698" s="601"/>
      <c r="Q698" s="601"/>
      <c r="R698" s="601"/>
      <c r="S698" s="601"/>
      <c r="T698" s="601"/>
      <c r="U698" s="601"/>
      <c r="V698" s="601"/>
      <c r="W698" s="601"/>
      <c r="X698" s="601"/>
      <c r="Y698" s="601"/>
    </row>
    <row r="699" ht="25.5" spans="1:25">
      <c r="A699" s="569" t="s">
        <v>1887</v>
      </c>
      <c r="B699" s="569" t="s">
        <v>1888</v>
      </c>
      <c r="C699" s="569" t="s">
        <v>139</v>
      </c>
      <c r="D699" s="569" t="s">
        <v>1889</v>
      </c>
      <c r="E699" s="577" t="s">
        <v>134</v>
      </c>
      <c r="F699" s="570">
        <v>1522</v>
      </c>
      <c r="G699" s="579">
        <v>53.45</v>
      </c>
      <c r="H699" s="600">
        <v>67.07</v>
      </c>
      <c r="I699" s="600">
        <v>102080.54</v>
      </c>
      <c r="J699" s="612">
        <v>0.00415090803316656</v>
      </c>
      <c r="K699" s="613">
        <f t="shared" si="36"/>
        <v>0</v>
      </c>
      <c r="L699" s="610">
        <f t="shared" si="39"/>
        <v>102080.54</v>
      </c>
      <c r="M699" s="601"/>
      <c r="N699" s="601"/>
      <c r="O699" s="601"/>
      <c r="P699" s="601"/>
      <c r="Q699" s="601"/>
      <c r="R699" s="601"/>
      <c r="S699" s="601"/>
      <c r="T699" s="601"/>
      <c r="U699" s="601"/>
      <c r="V699" s="601"/>
      <c r="W699" s="601"/>
      <c r="X699" s="601"/>
      <c r="Y699" s="601"/>
    </row>
    <row r="700" ht="25.5" spans="1:25">
      <c r="A700" s="569" t="s">
        <v>1890</v>
      </c>
      <c r="B700" s="569" t="s">
        <v>1891</v>
      </c>
      <c r="C700" s="569" t="s">
        <v>132</v>
      </c>
      <c r="D700" s="569" t="s">
        <v>1892</v>
      </c>
      <c r="E700" s="577" t="s">
        <v>134</v>
      </c>
      <c r="F700" s="570">
        <v>373</v>
      </c>
      <c r="G700" s="579">
        <v>34.18</v>
      </c>
      <c r="H700" s="600">
        <v>42.89</v>
      </c>
      <c r="I700" s="600">
        <v>15997.97</v>
      </c>
      <c r="J700" s="612">
        <v>0.000650526556651812</v>
      </c>
      <c r="K700" s="613">
        <f t="shared" si="36"/>
        <v>0</v>
      </c>
      <c r="L700" s="610">
        <f t="shared" si="39"/>
        <v>15997.97</v>
      </c>
      <c r="M700" s="601"/>
      <c r="N700" s="601"/>
      <c r="O700" s="601"/>
      <c r="P700" s="601"/>
      <c r="Q700" s="601"/>
      <c r="R700" s="601"/>
      <c r="S700" s="601"/>
      <c r="T700" s="601"/>
      <c r="U700" s="601"/>
      <c r="V700" s="601"/>
      <c r="W700" s="601"/>
      <c r="X700" s="601"/>
      <c r="Y700" s="601"/>
    </row>
    <row r="701" ht="15" spans="1:25">
      <c r="A701" s="569" t="s">
        <v>1893</v>
      </c>
      <c r="B701" s="569" t="s">
        <v>1894</v>
      </c>
      <c r="C701" s="569" t="s">
        <v>149</v>
      </c>
      <c r="D701" s="569" t="s">
        <v>1895</v>
      </c>
      <c r="E701" s="577" t="s">
        <v>134</v>
      </c>
      <c r="F701" s="570">
        <v>1</v>
      </c>
      <c r="G701" s="579">
        <v>487.9</v>
      </c>
      <c r="H701" s="600">
        <v>612.26</v>
      </c>
      <c r="I701" s="600">
        <v>612.26</v>
      </c>
      <c r="J701" s="612">
        <v>2.48963705754942e-5</v>
      </c>
      <c r="K701" s="613">
        <f t="shared" si="36"/>
        <v>0</v>
      </c>
      <c r="L701" s="610">
        <f t="shared" si="39"/>
        <v>612.26</v>
      </c>
      <c r="M701" s="601"/>
      <c r="N701" s="601"/>
      <c r="O701" s="601"/>
      <c r="P701" s="601"/>
      <c r="Q701" s="601"/>
      <c r="R701" s="601"/>
      <c r="S701" s="601"/>
      <c r="T701" s="601"/>
      <c r="U701" s="601"/>
      <c r="V701" s="601"/>
      <c r="W701" s="601"/>
      <c r="X701" s="601"/>
      <c r="Y701" s="601"/>
    </row>
    <row r="702" ht="25.5" spans="1:25">
      <c r="A702" s="569" t="s">
        <v>1896</v>
      </c>
      <c r="B702" s="569" t="s">
        <v>1897</v>
      </c>
      <c r="C702" s="569" t="s">
        <v>139</v>
      </c>
      <c r="D702" s="569" t="s">
        <v>1898</v>
      </c>
      <c r="E702" s="577" t="s">
        <v>134</v>
      </c>
      <c r="F702" s="570">
        <v>1</v>
      </c>
      <c r="G702" s="579">
        <v>566.4</v>
      </c>
      <c r="H702" s="600">
        <v>710.77</v>
      </c>
      <c r="I702" s="600">
        <v>710.77</v>
      </c>
      <c r="J702" s="612">
        <v>2.89020894945676e-5</v>
      </c>
      <c r="K702" s="613">
        <f t="shared" si="36"/>
        <v>0</v>
      </c>
      <c r="L702" s="610">
        <f t="shared" si="39"/>
        <v>710.77</v>
      </c>
      <c r="M702" s="601"/>
      <c r="N702" s="601"/>
      <c r="O702" s="601"/>
      <c r="P702" s="601"/>
      <c r="Q702" s="601"/>
      <c r="R702" s="601"/>
      <c r="S702" s="601"/>
      <c r="T702" s="601"/>
      <c r="U702" s="601"/>
      <c r="V702" s="601"/>
      <c r="W702" s="601"/>
      <c r="X702" s="601"/>
      <c r="Y702" s="601"/>
    </row>
    <row r="703" ht="15" spans="1:25">
      <c r="A703" s="569" t="s">
        <v>1899</v>
      </c>
      <c r="B703" s="569" t="s">
        <v>1900</v>
      </c>
      <c r="C703" s="569" t="s">
        <v>149</v>
      </c>
      <c r="D703" s="569" t="s">
        <v>1901</v>
      </c>
      <c r="E703" s="577" t="s">
        <v>134</v>
      </c>
      <c r="F703" s="570">
        <v>9</v>
      </c>
      <c r="G703" s="579">
        <v>259.44</v>
      </c>
      <c r="H703" s="600">
        <v>325.57</v>
      </c>
      <c r="I703" s="600">
        <v>2930.13</v>
      </c>
      <c r="J703" s="612">
        <v>0.000119148078127548</v>
      </c>
      <c r="K703" s="613">
        <f t="shared" si="36"/>
        <v>0</v>
      </c>
      <c r="L703" s="610">
        <f t="shared" si="39"/>
        <v>2930.13</v>
      </c>
      <c r="M703" s="601"/>
      <c r="N703" s="601"/>
      <c r="O703" s="601"/>
      <c r="P703" s="601"/>
      <c r="Q703" s="601"/>
      <c r="R703" s="601"/>
      <c r="S703" s="601"/>
      <c r="T703" s="601"/>
      <c r="U703" s="601"/>
      <c r="V703" s="601"/>
      <c r="W703" s="601"/>
      <c r="X703" s="601"/>
      <c r="Y703" s="601"/>
    </row>
    <row r="704" ht="51" spans="1:25">
      <c r="A704" s="569" t="s">
        <v>1902</v>
      </c>
      <c r="B704" s="569" t="s">
        <v>1903</v>
      </c>
      <c r="C704" s="569" t="s">
        <v>132</v>
      </c>
      <c r="D704" s="569" t="s">
        <v>1904</v>
      </c>
      <c r="E704" s="577" t="s">
        <v>134</v>
      </c>
      <c r="F704" s="570">
        <v>24</v>
      </c>
      <c r="G704" s="579">
        <v>2383.07</v>
      </c>
      <c r="H704" s="600">
        <v>2990.51</v>
      </c>
      <c r="I704" s="600">
        <v>71772.24</v>
      </c>
      <c r="J704" s="612">
        <v>0.00291847954149104</v>
      </c>
      <c r="K704" s="613">
        <f t="shared" si="36"/>
        <v>0</v>
      </c>
      <c r="L704" s="610">
        <f t="shared" si="39"/>
        <v>71772.24</v>
      </c>
      <c r="M704" s="601"/>
      <c r="N704" s="601"/>
      <c r="O704" s="601"/>
      <c r="P704" s="601"/>
      <c r="Q704" s="601"/>
      <c r="R704" s="601"/>
      <c r="S704" s="601"/>
      <c r="T704" s="601"/>
      <c r="U704" s="601"/>
      <c r="V704" s="601"/>
      <c r="W704" s="601"/>
      <c r="X704" s="601"/>
      <c r="Y704" s="601"/>
    </row>
    <row r="705" ht="51" spans="1:25">
      <c r="A705" s="569" t="s">
        <v>1905</v>
      </c>
      <c r="B705" s="569" t="s">
        <v>1906</v>
      </c>
      <c r="C705" s="569" t="s">
        <v>77</v>
      </c>
      <c r="D705" s="569" t="s">
        <v>1907</v>
      </c>
      <c r="E705" s="577" t="s">
        <v>134</v>
      </c>
      <c r="F705" s="570">
        <v>187</v>
      </c>
      <c r="G705" s="579">
        <v>41.99</v>
      </c>
      <c r="H705" s="600">
        <v>52.69</v>
      </c>
      <c r="I705" s="600">
        <v>9853.03</v>
      </c>
      <c r="J705" s="612">
        <v>0.000400654437937251</v>
      </c>
      <c r="K705" s="613">
        <f t="shared" si="36"/>
        <v>0</v>
      </c>
      <c r="L705" s="610">
        <f t="shared" si="39"/>
        <v>9853.03</v>
      </c>
      <c r="M705" s="601"/>
      <c r="N705" s="601"/>
      <c r="O705" s="601"/>
      <c r="P705" s="601"/>
      <c r="Q705" s="601"/>
      <c r="R705" s="601"/>
      <c r="S705" s="601"/>
      <c r="T705" s="601"/>
      <c r="U705" s="601"/>
      <c r="V705" s="601"/>
      <c r="W705" s="601"/>
      <c r="X705" s="601"/>
      <c r="Y705" s="601"/>
    </row>
    <row r="706" ht="38.25" spans="1:25">
      <c r="A706" s="569" t="s">
        <v>1908</v>
      </c>
      <c r="B706" s="569" t="s">
        <v>1909</v>
      </c>
      <c r="C706" s="569" t="s">
        <v>132</v>
      </c>
      <c r="D706" s="569" t="s">
        <v>1910</v>
      </c>
      <c r="E706" s="577" t="s">
        <v>1491</v>
      </c>
      <c r="F706" s="570">
        <v>3</v>
      </c>
      <c r="G706" s="579">
        <v>502.91</v>
      </c>
      <c r="H706" s="600">
        <v>631.1</v>
      </c>
      <c r="I706" s="600">
        <v>1893.3</v>
      </c>
      <c r="J706" s="612">
        <v>7.69873883817057e-5</v>
      </c>
      <c r="K706" s="613">
        <f t="shared" si="36"/>
        <v>0</v>
      </c>
      <c r="L706" s="610">
        <f t="shared" si="39"/>
        <v>1893.3</v>
      </c>
      <c r="M706" s="601"/>
      <c r="N706" s="601"/>
      <c r="O706" s="601"/>
      <c r="P706" s="601"/>
      <c r="Q706" s="601"/>
      <c r="R706" s="601"/>
      <c r="S706" s="601"/>
      <c r="T706" s="601"/>
      <c r="U706" s="601"/>
      <c r="V706" s="601"/>
      <c r="W706" s="601"/>
      <c r="X706" s="601"/>
      <c r="Y706" s="601"/>
    </row>
    <row r="707" ht="25.5" spans="1:25">
      <c r="A707" s="569" t="s">
        <v>1911</v>
      </c>
      <c r="B707" s="569" t="s">
        <v>1912</v>
      </c>
      <c r="C707" s="569" t="s">
        <v>132</v>
      </c>
      <c r="D707" s="569" t="s">
        <v>1913</v>
      </c>
      <c r="E707" s="577" t="s">
        <v>204</v>
      </c>
      <c r="F707" s="570">
        <v>3070</v>
      </c>
      <c r="G707" s="579">
        <v>10.25</v>
      </c>
      <c r="H707" s="600">
        <v>12.86</v>
      </c>
      <c r="I707" s="600">
        <v>39480.2</v>
      </c>
      <c r="J707" s="612">
        <v>0.00160538609348091</v>
      </c>
      <c r="K707" s="613">
        <f t="shared" si="36"/>
        <v>0</v>
      </c>
      <c r="L707" s="610">
        <f t="shared" si="39"/>
        <v>39480.2</v>
      </c>
      <c r="M707" s="601"/>
      <c r="N707" s="601"/>
      <c r="O707" s="601"/>
      <c r="P707" s="601"/>
      <c r="Q707" s="601"/>
      <c r="R707" s="601"/>
      <c r="S707" s="601"/>
      <c r="T707" s="601"/>
      <c r="U707" s="601"/>
      <c r="V707" s="601"/>
      <c r="W707" s="601"/>
      <c r="X707" s="601"/>
      <c r="Y707" s="601"/>
    </row>
    <row r="708" ht="25.5" spans="1:25">
      <c r="A708" s="569" t="s">
        <v>1914</v>
      </c>
      <c r="B708" s="569" t="s">
        <v>1915</v>
      </c>
      <c r="C708" s="569" t="s">
        <v>132</v>
      </c>
      <c r="D708" s="569" t="s">
        <v>1916</v>
      </c>
      <c r="E708" s="577" t="s">
        <v>204</v>
      </c>
      <c r="F708" s="570">
        <v>1195</v>
      </c>
      <c r="G708" s="579">
        <v>12.71</v>
      </c>
      <c r="H708" s="600">
        <v>15.94</v>
      </c>
      <c r="I708" s="600">
        <v>19048.3</v>
      </c>
      <c r="J708" s="612">
        <v>0.000774562335663257</v>
      </c>
      <c r="K708" s="613">
        <f t="shared" si="36"/>
        <v>0</v>
      </c>
      <c r="L708" s="610">
        <f t="shared" si="39"/>
        <v>19048.3</v>
      </c>
      <c r="M708" s="601"/>
      <c r="N708" s="601"/>
      <c r="O708" s="601"/>
      <c r="P708" s="601"/>
      <c r="Q708" s="601"/>
      <c r="R708" s="601"/>
      <c r="S708" s="601"/>
      <c r="T708" s="601"/>
      <c r="U708" s="601"/>
      <c r="V708" s="601"/>
      <c r="W708" s="601"/>
      <c r="X708" s="601"/>
      <c r="Y708" s="601"/>
    </row>
    <row r="709" ht="25.5" spans="1:25">
      <c r="A709" s="569" t="s">
        <v>1917</v>
      </c>
      <c r="B709" s="569" t="s">
        <v>1918</v>
      </c>
      <c r="C709" s="569" t="s">
        <v>132</v>
      </c>
      <c r="D709" s="569" t="s">
        <v>1919</v>
      </c>
      <c r="E709" s="577" t="s">
        <v>204</v>
      </c>
      <c r="F709" s="570">
        <v>222</v>
      </c>
      <c r="G709" s="579">
        <v>15.22</v>
      </c>
      <c r="H709" s="600">
        <v>19.09</v>
      </c>
      <c r="I709" s="600">
        <v>4237.98</v>
      </c>
      <c r="J709" s="612">
        <v>0.000172329272811441</v>
      </c>
      <c r="K709" s="613">
        <f t="shared" si="36"/>
        <v>0</v>
      </c>
      <c r="L709" s="610">
        <f t="shared" si="39"/>
        <v>4237.98</v>
      </c>
      <c r="M709" s="601"/>
      <c r="N709" s="601"/>
      <c r="O709" s="601"/>
      <c r="P709" s="601"/>
      <c r="Q709" s="601"/>
      <c r="R709" s="601"/>
      <c r="S709" s="601"/>
      <c r="T709" s="601"/>
      <c r="U709" s="601"/>
      <c r="V709" s="601"/>
      <c r="W709" s="601"/>
      <c r="X709" s="601"/>
      <c r="Y709" s="601"/>
    </row>
    <row r="710" ht="25.5" spans="1:25">
      <c r="A710" s="569" t="s">
        <v>1920</v>
      </c>
      <c r="B710" s="569" t="s">
        <v>1921</v>
      </c>
      <c r="C710" s="569" t="s">
        <v>132</v>
      </c>
      <c r="D710" s="569" t="s">
        <v>1922</v>
      </c>
      <c r="E710" s="577" t="s">
        <v>204</v>
      </c>
      <c r="F710" s="570">
        <v>687</v>
      </c>
      <c r="G710" s="579">
        <v>20.3</v>
      </c>
      <c r="H710" s="600">
        <v>25.47</v>
      </c>
      <c r="I710" s="600">
        <v>17497.89</v>
      </c>
      <c r="J710" s="612">
        <v>0.000711517906982709</v>
      </c>
      <c r="K710" s="613">
        <f t="shared" si="36"/>
        <v>0</v>
      </c>
      <c r="L710" s="610">
        <f t="shared" si="39"/>
        <v>17497.89</v>
      </c>
      <c r="M710" s="601"/>
      <c r="N710" s="601"/>
      <c r="O710" s="601"/>
      <c r="P710" s="601"/>
      <c r="Q710" s="601"/>
      <c r="R710" s="601"/>
      <c r="S710" s="601"/>
      <c r="T710" s="601"/>
      <c r="U710" s="601"/>
      <c r="V710" s="601"/>
      <c r="W710" s="601"/>
      <c r="X710" s="601"/>
      <c r="Y710" s="601"/>
    </row>
    <row r="711" ht="25.5" spans="1:25">
      <c r="A711" s="569" t="s">
        <v>1923</v>
      </c>
      <c r="B711" s="569" t="s">
        <v>1924</v>
      </c>
      <c r="C711" s="569" t="s">
        <v>132</v>
      </c>
      <c r="D711" s="569" t="s">
        <v>1925</v>
      </c>
      <c r="E711" s="577" t="s">
        <v>204</v>
      </c>
      <c r="F711" s="570">
        <v>317</v>
      </c>
      <c r="G711" s="579">
        <v>30.59</v>
      </c>
      <c r="H711" s="600">
        <v>38.38</v>
      </c>
      <c r="I711" s="600">
        <v>12166.46</v>
      </c>
      <c r="J711" s="612">
        <v>0.000494725601463311</v>
      </c>
      <c r="K711" s="613">
        <f t="shared" si="36"/>
        <v>0</v>
      </c>
      <c r="L711" s="610">
        <f t="shared" si="39"/>
        <v>12166.46</v>
      </c>
      <c r="M711" s="601"/>
      <c r="N711" s="601"/>
      <c r="O711" s="601"/>
      <c r="P711" s="601"/>
      <c r="Q711" s="601"/>
      <c r="R711" s="601"/>
      <c r="S711" s="601"/>
      <c r="T711" s="601"/>
      <c r="U711" s="601"/>
      <c r="V711" s="601"/>
      <c r="W711" s="601"/>
      <c r="X711" s="601"/>
      <c r="Y711" s="601"/>
    </row>
    <row r="712" ht="25.5" spans="1:25">
      <c r="A712" s="569" t="s">
        <v>1926</v>
      </c>
      <c r="B712" s="569" t="s">
        <v>1927</v>
      </c>
      <c r="C712" s="569" t="s">
        <v>132</v>
      </c>
      <c r="D712" s="569" t="s">
        <v>1928</v>
      </c>
      <c r="E712" s="577" t="s">
        <v>204</v>
      </c>
      <c r="F712" s="570">
        <v>796</v>
      </c>
      <c r="G712" s="579">
        <v>40.64</v>
      </c>
      <c r="H712" s="600">
        <v>50.99</v>
      </c>
      <c r="I712" s="600">
        <v>40588.04</v>
      </c>
      <c r="J712" s="612">
        <v>0.0016504342677506</v>
      </c>
      <c r="K712" s="613">
        <f t="shared" si="36"/>
        <v>0</v>
      </c>
      <c r="L712" s="610">
        <f t="shared" si="39"/>
        <v>40588.04</v>
      </c>
      <c r="M712" s="601"/>
      <c r="N712" s="601"/>
      <c r="O712" s="601"/>
      <c r="P712" s="601"/>
      <c r="Q712" s="601"/>
      <c r="R712" s="601"/>
      <c r="S712" s="601"/>
      <c r="T712" s="601"/>
      <c r="U712" s="601"/>
      <c r="V712" s="601"/>
      <c r="W712" s="601"/>
      <c r="X712" s="601"/>
      <c r="Y712" s="601"/>
    </row>
    <row r="713" ht="25.5" spans="1:25">
      <c r="A713" s="569" t="s">
        <v>1929</v>
      </c>
      <c r="B713" s="569" t="s">
        <v>1930</v>
      </c>
      <c r="C713" s="569" t="s">
        <v>132</v>
      </c>
      <c r="D713" s="569" t="s">
        <v>1931</v>
      </c>
      <c r="E713" s="577" t="s">
        <v>204</v>
      </c>
      <c r="F713" s="570">
        <v>18</v>
      </c>
      <c r="G713" s="579">
        <v>60.97</v>
      </c>
      <c r="H713" s="600">
        <v>76.51</v>
      </c>
      <c r="I713" s="600">
        <v>1377.18</v>
      </c>
      <c r="J713" s="612">
        <v>5.60003652519502e-5</v>
      </c>
      <c r="K713" s="613">
        <f t="shared" ref="K713:K776" si="40">$I$1051</f>
        <v>0</v>
      </c>
      <c r="L713" s="610">
        <f t="shared" si="39"/>
        <v>1377.18</v>
      </c>
      <c r="M713" s="601"/>
      <c r="N713" s="601"/>
      <c r="O713" s="601"/>
      <c r="P713" s="601"/>
      <c r="Q713" s="601"/>
      <c r="R713" s="601"/>
      <c r="S713" s="601"/>
      <c r="T713" s="601"/>
      <c r="U713" s="601"/>
      <c r="V713" s="601"/>
      <c r="W713" s="601"/>
      <c r="X713" s="601"/>
      <c r="Y713" s="601"/>
    </row>
    <row r="714" ht="25.5" spans="1:25">
      <c r="A714" s="569" t="s">
        <v>1932</v>
      </c>
      <c r="B714" s="569" t="s">
        <v>1933</v>
      </c>
      <c r="C714" s="569" t="s">
        <v>139</v>
      </c>
      <c r="D714" s="569" t="s">
        <v>1934</v>
      </c>
      <c r="E714" s="577" t="s">
        <v>134</v>
      </c>
      <c r="F714" s="570">
        <v>4</v>
      </c>
      <c r="G714" s="579">
        <v>321.47</v>
      </c>
      <c r="H714" s="600">
        <v>403.41</v>
      </c>
      <c r="I714" s="600">
        <v>1613.64</v>
      </c>
      <c r="J714" s="612">
        <v>6.56155545282076e-5</v>
      </c>
      <c r="K714" s="613">
        <f t="shared" si="40"/>
        <v>0</v>
      </c>
      <c r="L714" s="610">
        <f t="shared" si="39"/>
        <v>1613.64</v>
      </c>
      <c r="M714" s="601"/>
      <c r="N714" s="601"/>
      <c r="O714" s="601"/>
      <c r="P714" s="601"/>
      <c r="Q714" s="601"/>
      <c r="R714" s="601"/>
      <c r="S714" s="601"/>
      <c r="T714" s="601"/>
      <c r="U714" s="601"/>
      <c r="V714" s="601"/>
      <c r="W714" s="601"/>
      <c r="X714" s="601"/>
      <c r="Y714" s="601"/>
    </row>
    <row r="715" ht="15" spans="1:25">
      <c r="A715" s="569" t="s">
        <v>1935</v>
      </c>
      <c r="B715" s="569" t="s">
        <v>1936</v>
      </c>
      <c r="C715" s="569" t="s">
        <v>149</v>
      </c>
      <c r="D715" s="569" t="s">
        <v>1937</v>
      </c>
      <c r="E715" s="577" t="s">
        <v>134</v>
      </c>
      <c r="F715" s="570">
        <v>110</v>
      </c>
      <c r="G715" s="579">
        <v>200.72</v>
      </c>
      <c r="H715" s="600">
        <v>251.88</v>
      </c>
      <c r="I715" s="600">
        <v>27706.8</v>
      </c>
      <c r="J715" s="612">
        <v>0.00112664351788636</v>
      </c>
      <c r="K715" s="613">
        <f t="shared" si="40"/>
        <v>0</v>
      </c>
      <c r="L715" s="610">
        <f t="shared" si="39"/>
        <v>27706.8</v>
      </c>
      <c r="M715" s="601"/>
      <c r="N715" s="601"/>
      <c r="O715" s="601"/>
      <c r="P715" s="601"/>
      <c r="Q715" s="601"/>
      <c r="R715" s="601"/>
      <c r="S715" s="601"/>
      <c r="T715" s="601"/>
      <c r="U715" s="601"/>
      <c r="V715" s="601"/>
      <c r="W715" s="601"/>
      <c r="X715" s="601"/>
      <c r="Y715" s="601"/>
    </row>
    <row r="716" ht="15" spans="1:25">
      <c r="A716" s="569" t="s">
        <v>1938</v>
      </c>
      <c r="B716" s="569" t="s">
        <v>1939</v>
      </c>
      <c r="C716" s="569" t="s">
        <v>149</v>
      </c>
      <c r="D716" s="569" t="s">
        <v>1940</v>
      </c>
      <c r="E716" s="577" t="s">
        <v>134</v>
      </c>
      <c r="F716" s="570">
        <v>1</v>
      </c>
      <c r="G716" s="579">
        <v>3015.21</v>
      </c>
      <c r="H716" s="600">
        <v>3783.78</v>
      </c>
      <c r="I716" s="600">
        <v>3783.78</v>
      </c>
      <c r="J716" s="612">
        <v>0.000153860106909064</v>
      </c>
      <c r="K716" s="613">
        <f t="shared" si="40"/>
        <v>0</v>
      </c>
      <c r="L716" s="610">
        <f t="shared" si="39"/>
        <v>3783.78</v>
      </c>
      <c r="M716" s="601"/>
      <c r="N716" s="601"/>
      <c r="O716" s="601"/>
      <c r="P716" s="601"/>
      <c r="Q716" s="601"/>
      <c r="R716" s="601"/>
      <c r="S716" s="601"/>
      <c r="T716" s="601"/>
      <c r="U716" s="601"/>
      <c r="V716" s="601"/>
      <c r="W716" s="601"/>
      <c r="X716" s="601"/>
      <c r="Y716" s="601"/>
    </row>
    <row r="717" ht="25.5" spans="1:25">
      <c r="A717" s="569" t="s">
        <v>1941</v>
      </c>
      <c r="B717" s="569" t="s">
        <v>1942</v>
      </c>
      <c r="C717" s="569" t="s">
        <v>139</v>
      </c>
      <c r="D717" s="569" t="s">
        <v>1943</v>
      </c>
      <c r="E717" s="577" t="s">
        <v>134</v>
      </c>
      <c r="F717" s="570">
        <v>14</v>
      </c>
      <c r="G717" s="579">
        <v>901.47</v>
      </c>
      <c r="H717" s="600">
        <v>1131.25</v>
      </c>
      <c r="I717" s="600">
        <v>15837.5</v>
      </c>
      <c r="J717" s="612">
        <v>0.000644001353982604</v>
      </c>
      <c r="K717" s="613">
        <f t="shared" si="40"/>
        <v>0</v>
      </c>
      <c r="L717" s="610">
        <f t="shared" si="39"/>
        <v>15837.5</v>
      </c>
      <c r="M717" s="601"/>
      <c r="N717" s="601"/>
      <c r="O717" s="601"/>
      <c r="P717" s="601"/>
      <c r="Q717" s="601"/>
      <c r="R717" s="601"/>
      <c r="S717" s="601"/>
      <c r="T717" s="601"/>
      <c r="U717" s="601"/>
      <c r="V717" s="601"/>
      <c r="W717" s="601"/>
      <c r="X717" s="601"/>
      <c r="Y717" s="601"/>
    </row>
    <row r="718" ht="25.5" spans="1:25">
      <c r="A718" s="569" t="s">
        <v>1944</v>
      </c>
      <c r="B718" s="569" t="s">
        <v>1945</v>
      </c>
      <c r="C718" s="569" t="s">
        <v>132</v>
      </c>
      <c r="D718" s="569" t="s">
        <v>1946</v>
      </c>
      <c r="E718" s="577" t="s">
        <v>134</v>
      </c>
      <c r="F718" s="570">
        <v>2</v>
      </c>
      <c r="G718" s="579">
        <v>5990</v>
      </c>
      <c r="H718" s="600">
        <v>7516.85</v>
      </c>
      <c r="I718" s="600">
        <v>15033.7</v>
      </c>
      <c r="J718" s="612">
        <v>0.000611316379186631</v>
      </c>
      <c r="K718" s="613">
        <f t="shared" si="40"/>
        <v>0</v>
      </c>
      <c r="L718" s="610">
        <f t="shared" si="39"/>
        <v>15033.7</v>
      </c>
      <c r="M718" s="601"/>
      <c r="N718" s="601"/>
      <c r="O718" s="601"/>
      <c r="P718" s="601"/>
      <c r="Q718" s="601"/>
      <c r="R718" s="601"/>
      <c r="S718" s="601"/>
      <c r="T718" s="601"/>
      <c r="U718" s="601"/>
      <c r="V718" s="601"/>
      <c r="W718" s="601"/>
      <c r="X718" s="601"/>
      <c r="Y718" s="601"/>
    </row>
    <row r="719" ht="25.5" spans="1:25">
      <c r="A719" s="569" t="s">
        <v>1947</v>
      </c>
      <c r="B719" s="569" t="s">
        <v>1948</v>
      </c>
      <c r="C719" s="569" t="s">
        <v>132</v>
      </c>
      <c r="D719" s="569" t="s">
        <v>1949</v>
      </c>
      <c r="E719" s="577" t="s">
        <v>134</v>
      </c>
      <c r="F719" s="570">
        <v>32</v>
      </c>
      <c r="G719" s="579">
        <v>512.77</v>
      </c>
      <c r="H719" s="600">
        <v>643.47</v>
      </c>
      <c r="I719" s="600">
        <v>20591.04</v>
      </c>
      <c r="J719" s="612">
        <v>0.000837294878605206</v>
      </c>
      <c r="K719" s="613">
        <f t="shared" si="40"/>
        <v>0</v>
      </c>
      <c r="L719" s="610">
        <f t="shared" si="39"/>
        <v>20591.04</v>
      </c>
      <c r="M719" s="601"/>
      <c r="N719" s="601"/>
      <c r="O719" s="601"/>
      <c r="P719" s="601"/>
      <c r="Q719" s="601"/>
      <c r="R719" s="601"/>
      <c r="S719" s="601"/>
      <c r="T719" s="601"/>
      <c r="U719" s="601"/>
      <c r="V719" s="601"/>
      <c r="W719" s="601"/>
      <c r="X719" s="601"/>
      <c r="Y719" s="601"/>
    </row>
    <row r="720" ht="15" spans="1:25">
      <c r="A720" s="569" t="s">
        <v>1950</v>
      </c>
      <c r="B720" s="569" t="s">
        <v>1951</v>
      </c>
      <c r="C720" s="569" t="s">
        <v>132</v>
      </c>
      <c r="D720" s="569" t="s">
        <v>1952</v>
      </c>
      <c r="E720" s="577" t="s">
        <v>134</v>
      </c>
      <c r="F720" s="570">
        <v>3</v>
      </c>
      <c r="G720" s="579">
        <v>163</v>
      </c>
      <c r="H720" s="600">
        <v>204.54</v>
      </c>
      <c r="I720" s="600">
        <v>613.62</v>
      </c>
      <c r="J720" s="612">
        <v>2.49516723492221e-5</v>
      </c>
      <c r="K720" s="613">
        <f t="shared" si="40"/>
        <v>0</v>
      </c>
      <c r="L720" s="610">
        <f t="shared" si="39"/>
        <v>613.62</v>
      </c>
      <c r="M720" s="601"/>
      <c r="N720" s="601"/>
      <c r="O720" s="601"/>
      <c r="P720" s="601"/>
      <c r="Q720" s="601"/>
      <c r="R720" s="601"/>
      <c r="S720" s="601"/>
      <c r="T720" s="601"/>
      <c r="U720" s="601"/>
      <c r="V720" s="601"/>
      <c r="W720" s="601"/>
      <c r="X720" s="601"/>
      <c r="Y720" s="601"/>
    </row>
    <row r="721" ht="25.5" spans="1:25">
      <c r="A721" s="569" t="s">
        <v>1953</v>
      </c>
      <c r="B721" s="569" t="s">
        <v>1954</v>
      </c>
      <c r="C721" s="569" t="s">
        <v>132</v>
      </c>
      <c r="D721" s="569" t="s">
        <v>1955</v>
      </c>
      <c r="E721" s="577" t="s">
        <v>134</v>
      </c>
      <c r="F721" s="570">
        <v>253</v>
      </c>
      <c r="G721" s="579">
        <v>312.41</v>
      </c>
      <c r="H721" s="600">
        <v>392.04</v>
      </c>
      <c r="I721" s="600">
        <v>99186.12</v>
      </c>
      <c r="J721" s="612">
        <v>0.00403321203323006</v>
      </c>
      <c r="K721" s="613">
        <f t="shared" si="40"/>
        <v>0</v>
      </c>
      <c r="L721" s="610">
        <f t="shared" si="39"/>
        <v>99186.12</v>
      </c>
      <c r="M721" s="601"/>
      <c r="N721" s="601"/>
      <c r="O721" s="601"/>
      <c r="P721" s="601"/>
      <c r="Q721" s="601"/>
      <c r="R721" s="601"/>
      <c r="S721" s="601"/>
      <c r="T721" s="601"/>
      <c r="U721" s="601"/>
      <c r="V721" s="601"/>
      <c r="W721" s="601"/>
      <c r="X721" s="601"/>
      <c r="Y721" s="601"/>
    </row>
    <row r="722" ht="38.25" spans="1:25">
      <c r="A722" s="569" t="s">
        <v>1956</v>
      </c>
      <c r="B722" s="569" t="s">
        <v>1957</v>
      </c>
      <c r="C722" s="569" t="s">
        <v>132</v>
      </c>
      <c r="D722" s="569" t="s">
        <v>1958</v>
      </c>
      <c r="E722" s="577" t="s">
        <v>134</v>
      </c>
      <c r="F722" s="570">
        <v>24</v>
      </c>
      <c r="G722" s="579">
        <v>437.2</v>
      </c>
      <c r="H722" s="600">
        <v>548.64</v>
      </c>
      <c r="I722" s="600">
        <v>13167.36</v>
      </c>
      <c r="J722" s="612">
        <v>0.000535425267142944</v>
      </c>
      <c r="K722" s="613">
        <f t="shared" si="40"/>
        <v>0</v>
      </c>
      <c r="L722" s="610">
        <f t="shared" si="39"/>
        <v>13167.36</v>
      </c>
      <c r="M722" s="601"/>
      <c r="N722" s="601"/>
      <c r="O722" s="601"/>
      <c r="P722" s="601"/>
      <c r="Q722" s="601"/>
      <c r="R722" s="601"/>
      <c r="S722" s="601"/>
      <c r="T722" s="601"/>
      <c r="U722" s="601"/>
      <c r="V722" s="601"/>
      <c r="W722" s="601"/>
      <c r="X722" s="601"/>
      <c r="Y722" s="601"/>
    </row>
    <row r="723" ht="51" spans="1:25">
      <c r="A723" s="569" t="s">
        <v>1959</v>
      </c>
      <c r="B723" s="569" t="s">
        <v>1960</v>
      </c>
      <c r="C723" s="569" t="s">
        <v>132</v>
      </c>
      <c r="D723" s="569" t="s">
        <v>1961</v>
      </c>
      <c r="E723" s="577" t="s">
        <v>134</v>
      </c>
      <c r="F723" s="570">
        <v>48</v>
      </c>
      <c r="G723" s="579">
        <v>833.88</v>
      </c>
      <c r="H723" s="600">
        <v>1046.43</v>
      </c>
      <c r="I723" s="600">
        <v>50228.64</v>
      </c>
      <c r="J723" s="612">
        <v>0.00204245064995768</v>
      </c>
      <c r="K723" s="613">
        <f t="shared" si="40"/>
        <v>0</v>
      </c>
      <c r="L723" s="610">
        <f t="shared" si="39"/>
        <v>50228.64</v>
      </c>
      <c r="M723" s="601"/>
      <c r="N723" s="601"/>
      <c r="O723" s="601"/>
      <c r="P723" s="601"/>
      <c r="Q723" s="601"/>
      <c r="R723" s="601"/>
      <c r="S723" s="601"/>
      <c r="T723" s="601"/>
      <c r="U723" s="601"/>
      <c r="V723" s="601"/>
      <c r="W723" s="601"/>
      <c r="X723" s="601"/>
      <c r="Y723" s="601"/>
    </row>
    <row r="724" ht="25.5" spans="1:25">
      <c r="A724" s="569" t="s">
        <v>1962</v>
      </c>
      <c r="B724" s="569" t="s">
        <v>1963</v>
      </c>
      <c r="C724" s="569" t="s">
        <v>132</v>
      </c>
      <c r="D724" s="569" t="s">
        <v>1964</v>
      </c>
      <c r="E724" s="577" t="s">
        <v>134</v>
      </c>
      <c r="F724" s="570">
        <v>4</v>
      </c>
      <c r="G724" s="579">
        <v>315.89</v>
      </c>
      <c r="H724" s="600">
        <v>396.41</v>
      </c>
      <c r="I724" s="600">
        <v>1585.64</v>
      </c>
      <c r="J724" s="612">
        <v>6.44769885985146e-5</v>
      </c>
      <c r="K724" s="613">
        <f t="shared" si="40"/>
        <v>0</v>
      </c>
      <c r="L724" s="610">
        <f t="shared" si="39"/>
        <v>1585.64</v>
      </c>
      <c r="M724" s="601"/>
      <c r="N724" s="601"/>
      <c r="O724" s="601"/>
      <c r="P724" s="601"/>
      <c r="Q724" s="601"/>
      <c r="R724" s="601"/>
      <c r="S724" s="601"/>
      <c r="T724" s="601"/>
      <c r="U724" s="601"/>
      <c r="V724" s="601"/>
      <c r="W724" s="601"/>
      <c r="X724" s="601"/>
      <c r="Y724" s="601"/>
    </row>
    <row r="725" ht="25.5" spans="1:25">
      <c r="A725" s="569" t="s">
        <v>1965</v>
      </c>
      <c r="B725" s="569" t="s">
        <v>1966</v>
      </c>
      <c r="C725" s="569" t="s">
        <v>132</v>
      </c>
      <c r="D725" s="569" t="s">
        <v>1967</v>
      </c>
      <c r="E725" s="577" t="s">
        <v>134</v>
      </c>
      <c r="F725" s="570">
        <v>1</v>
      </c>
      <c r="G725" s="579">
        <v>3927.28</v>
      </c>
      <c r="H725" s="600">
        <v>4928.34</v>
      </c>
      <c r="I725" s="600">
        <v>4928.34</v>
      </c>
      <c r="J725" s="612">
        <v>0.0002004014290694</v>
      </c>
      <c r="K725" s="613">
        <f t="shared" si="40"/>
        <v>0</v>
      </c>
      <c r="L725" s="610">
        <f t="shared" si="39"/>
        <v>4928.34</v>
      </c>
      <c r="M725" s="601"/>
      <c r="N725" s="601"/>
      <c r="O725" s="601"/>
      <c r="P725" s="601"/>
      <c r="Q725" s="601"/>
      <c r="R725" s="601"/>
      <c r="S725" s="601"/>
      <c r="T725" s="601"/>
      <c r="U725" s="601"/>
      <c r="V725" s="601"/>
      <c r="W725" s="601"/>
      <c r="X725" s="601"/>
      <c r="Y725" s="601"/>
    </row>
    <row r="726" ht="25.5" spans="1:25">
      <c r="A726" s="569" t="s">
        <v>1968</v>
      </c>
      <c r="B726" s="569" t="s">
        <v>1969</v>
      </c>
      <c r="C726" s="569" t="s">
        <v>132</v>
      </c>
      <c r="D726" s="569" t="s">
        <v>1970</v>
      </c>
      <c r="E726" s="577" t="s">
        <v>134</v>
      </c>
      <c r="F726" s="570">
        <v>1</v>
      </c>
      <c r="G726" s="579">
        <v>5704.65</v>
      </c>
      <c r="H726" s="600">
        <v>7158.76</v>
      </c>
      <c r="I726" s="600">
        <v>7158.76</v>
      </c>
      <c r="J726" s="612">
        <v>0.00029109715124461</v>
      </c>
      <c r="K726" s="613">
        <f t="shared" si="40"/>
        <v>0</v>
      </c>
      <c r="L726" s="610">
        <f t="shared" si="39"/>
        <v>7158.76</v>
      </c>
      <c r="M726" s="601"/>
      <c r="N726" s="601"/>
      <c r="O726" s="601"/>
      <c r="P726" s="601"/>
      <c r="Q726" s="601"/>
      <c r="R726" s="601"/>
      <c r="S726" s="601"/>
      <c r="T726" s="601"/>
      <c r="U726" s="601"/>
      <c r="V726" s="601"/>
      <c r="W726" s="601"/>
      <c r="X726" s="601"/>
      <c r="Y726" s="601"/>
    </row>
    <row r="727" ht="25.5" spans="1:25">
      <c r="A727" s="569" t="s">
        <v>1971</v>
      </c>
      <c r="B727" s="569" t="s">
        <v>1972</v>
      </c>
      <c r="C727" s="569" t="s">
        <v>132</v>
      </c>
      <c r="D727" s="569" t="s">
        <v>1973</v>
      </c>
      <c r="E727" s="577" t="s">
        <v>134</v>
      </c>
      <c r="F727" s="570">
        <v>2</v>
      </c>
      <c r="G727" s="579">
        <v>8753.93</v>
      </c>
      <c r="H727" s="600">
        <v>10985.3</v>
      </c>
      <c r="I727" s="600">
        <v>21970.6</v>
      </c>
      <c r="J727" s="612">
        <v>0.00089339202196118</v>
      </c>
      <c r="K727" s="613">
        <f t="shared" si="40"/>
        <v>0</v>
      </c>
      <c r="L727" s="610">
        <f t="shared" si="39"/>
        <v>21970.6</v>
      </c>
      <c r="M727" s="601"/>
      <c r="N727" s="601"/>
      <c r="O727" s="601"/>
      <c r="P727" s="601"/>
      <c r="Q727" s="601"/>
      <c r="R727" s="601"/>
      <c r="S727" s="601"/>
      <c r="T727" s="601"/>
      <c r="U727" s="601"/>
      <c r="V727" s="601"/>
      <c r="W727" s="601"/>
      <c r="X727" s="601"/>
      <c r="Y727" s="601"/>
    </row>
    <row r="728" ht="25.5" spans="1:25">
      <c r="A728" s="569" t="s">
        <v>1974</v>
      </c>
      <c r="B728" s="569" t="s">
        <v>1975</v>
      </c>
      <c r="C728" s="569" t="s">
        <v>132</v>
      </c>
      <c r="D728" s="569" t="s">
        <v>1976</v>
      </c>
      <c r="E728" s="577" t="s">
        <v>134</v>
      </c>
      <c r="F728" s="570">
        <v>2</v>
      </c>
      <c r="G728" s="579">
        <v>9579.9</v>
      </c>
      <c r="H728" s="600">
        <v>12021.81</v>
      </c>
      <c r="I728" s="600">
        <v>24043.62</v>
      </c>
      <c r="J728" s="612">
        <v>0.000977687377088758</v>
      </c>
      <c r="K728" s="613">
        <f t="shared" si="40"/>
        <v>0</v>
      </c>
      <c r="L728" s="610">
        <f t="shared" si="39"/>
        <v>24043.62</v>
      </c>
      <c r="M728" s="601"/>
      <c r="N728" s="601"/>
      <c r="O728" s="601"/>
      <c r="P728" s="601"/>
      <c r="Q728" s="601"/>
      <c r="R728" s="601"/>
      <c r="S728" s="601"/>
      <c r="T728" s="601"/>
      <c r="U728" s="601"/>
      <c r="V728" s="601"/>
      <c r="W728" s="601"/>
      <c r="X728" s="601"/>
      <c r="Y728" s="601"/>
    </row>
    <row r="729" ht="25.5" spans="1:25">
      <c r="A729" s="569" t="s">
        <v>1977</v>
      </c>
      <c r="B729" s="569" t="s">
        <v>1978</v>
      </c>
      <c r="C729" s="569" t="s">
        <v>132</v>
      </c>
      <c r="D729" s="569" t="s">
        <v>1979</v>
      </c>
      <c r="E729" s="577" t="s">
        <v>134</v>
      </c>
      <c r="F729" s="570">
        <v>1</v>
      </c>
      <c r="G729" s="579">
        <v>16674.44</v>
      </c>
      <c r="H729" s="600" t="s">
        <v>1980</v>
      </c>
      <c r="I729" s="600">
        <v>19362.35</v>
      </c>
      <c r="J729" s="612">
        <v>0.000787332572456831</v>
      </c>
      <c r="K729" s="613">
        <f t="shared" si="40"/>
        <v>0</v>
      </c>
      <c r="L729" s="610">
        <f t="shared" si="39"/>
        <v>19362.35</v>
      </c>
      <c r="M729" s="601"/>
      <c r="N729" s="601"/>
      <c r="O729" s="601"/>
      <c r="P729" s="601"/>
      <c r="Q729" s="601"/>
      <c r="R729" s="601"/>
      <c r="S729" s="601"/>
      <c r="T729" s="601"/>
      <c r="U729" s="601"/>
      <c r="V729" s="601"/>
      <c r="W729" s="601"/>
      <c r="X729" s="601"/>
      <c r="Y729" s="601"/>
    </row>
    <row r="730" ht="25.5" spans="1:25">
      <c r="A730" s="569" t="s">
        <v>1981</v>
      </c>
      <c r="B730" s="569" t="s">
        <v>1982</v>
      </c>
      <c r="C730" s="569" t="s">
        <v>132</v>
      </c>
      <c r="D730" s="569" t="s">
        <v>1983</v>
      </c>
      <c r="E730" s="577" t="s">
        <v>134</v>
      </c>
      <c r="F730" s="570">
        <v>1</v>
      </c>
      <c r="G730" s="579">
        <v>15723.31</v>
      </c>
      <c r="H730" s="600" t="s">
        <v>1984</v>
      </c>
      <c r="I730" s="600">
        <v>18257.9</v>
      </c>
      <c r="J730" s="612">
        <v>0.00074242224599078</v>
      </c>
      <c r="K730" s="613">
        <f t="shared" si="40"/>
        <v>0</v>
      </c>
      <c r="L730" s="610">
        <f t="shared" si="39"/>
        <v>18257.9</v>
      </c>
      <c r="M730" s="601"/>
      <c r="N730" s="601"/>
      <c r="O730" s="601"/>
      <c r="P730" s="601"/>
      <c r="Q730" s="601"/>
      <c r="R730" s="601"/>
      <c r="S730" s="601"/>
      <c r="T730" s="601"/>
      <c r="U730" s="601"/>
      <c r="V730" s="601"/>
      <c r="W730" s="601"/>
      <c r="X730" s="601"/>
      <c r="Y730" s="601"/>
    </row>
    <row r="731" ht="25.5" spans="1:25">
      <c r="A731" s="569" t="s">
        <v>1985</v>
      </c>
      <c r="B731" s="569" t="s">
        <v>1986</v>
      </c>
      <c r="C731" s="569" t="s">
        <v>132</v>
      </c>
      <c r="D731" s="569" t="s">
        <v>1987</v>
      </c>
      <c r="E731" s="577" t="s">
        <v>134</v>
      </c>
      <c r="F731" s="570">
        <v>1</v>
      </c>
      <c r="G731" s="579">
        <v>9617.37</v>
      </c>
      <c r="H731" s="600" t="s">
        <v>1988</v>
      </c>
      <c r="I731" s="600">
        <v>11167.69</v>
      </c>
      <c r="J731" s="612">
        <v>0.000454112548120472</v>
      </c>
      <c r="K731" s="613">
        <f t="shared" si="40"/>
        <v>0</v>
      </c>
      <c r="L731" s="610">
        <f t="shared" si="39"/>
        <v>11167.69</v>
      </c>
      <c r="M731" s="601"/>
      <c r="N731" s="601"/>
      <c r="O731" s="601"/>
      <c r="P731" s="601"/>
      <c r="Q731" s="601"/>
      <c r="R731" s="601"/>
      <c r="S731" s="601"/>
      <c r="T731" s="601"/>
      <c r="U731" s="601"/>
      <c r="V731" s="601"/>
      <c r="W731" s="601"/>
      <c r="X731" s="601"/>
      <c r="Y731" s="601"/>
    </row>
    <row r="732" ht="25.5" spans="1:25">
      <c r="A732" s="569" t="s">
        <v>1989</v>
      </c>
      <c r="B732" s="569" t="s">
        <v>1990</v>
      </c>
      <c r="C732" s="569" t="s">
        <v>132</v>
      </c>
      <c r="D732" s="569" t="s">
        <v>1991</v>
      </c>
      <c r="E732" s="577" t="s">
        <v>134</v>
      </c>
      <c r="F732" s="570">
        <v>1</v>
      </c>
      <c r="G732" s="579">
        <v>10217.32</v>
      </c>
      <c r="H732" s="600" t="s">
        <v>1992</v>
      </c>
      <c r="I732" s="600">
        <v>11864.35</v>
      </c>
      <c r="J732" s="612">
        <v>0.000482440881712613</v>
      </c>
      <c r="K732" s="613">
        <f t="shared" si="40"/>
        <v>0</v>
      </c>
      <c r="L732" s="610">
        <f t="shared" si="39"/>
        <v>11864.35</v>
      </c>
      <c r="M732" s="601"/>
      <c r="N732" s="601"/>
      <c r="O732" s="601"/>
      <c r="P732" s="601"/>
      <c r="Q732" s="601"/>
      <c r="R732" s="601"/>
      <c r="S732" s="601"/>
      <c r="T732" s="601"/>
      <c r="U732" s="601"/>
      <c r="V732" s="601"/>
      <c r="W732" s="601"/>
      <c r="X732" s="601"/>
      <c r="Y732" s="601"/>
    </row>
    <row r="733" ht="15" spans="1:25">
      <c r="A733" s="569" t="s">
        <v>1993</v>
      </c>
      <c r="B733" s="569" t="s">
        <v>1994</v>
      </c>
      <c r="C733" s="569" t="s">
        <v>149</v>
      </c>
      <c r="D733" s="569" t="s">
        <v>1995</v>
      </c>
      <c r="E733" s="577" t="s">
        <v>134</v>
      </c>
      <c r="F733" s="570">
        <v>2</v>
      </c>
      <c r="G733" s="579">
        <v>182.47</v>
      </c>
      <c r="H733" s="600">
        <v>228.98</v>
      </c>
      <c r="I733" s="600">
        <v>457.96</v>
      </c>
      <c r="J733" s="612">
        <v>1.86220590415074e-5</v>
      </c>
      <c r="K733" s="613">
        <f t="shared" si="40"/>
        <v>0</v>
      </c>
      <c r="L733" s="610">
        <f t="shared" si="39"/>
        <v>457.96</v>
      </c>
      <c r="M733" s="601"/>
      <c r="N733" s="601"/>
      <c r="O733" s="601"/>
      <c r="P733" s="601"/>
      <c r="Q733" s="601"/>
      <c r="R733" s="601"/>
      <c r="S733" s="601"/>
      <c r="T733" s="601"/>
      <c r="U733" s="601"/>
      <c r="V733" s="601"/>
      <c r="W733" s="601"/>
      <c r="X733" s="601"/>
      <c r="Y733" s="601"/>
    </row>
    <row r="734" ht="15" spans="1:25">
      <c r="A734" s="596" t="s">
        <v>1996</v>
      </c>
      <c r="B734" s="596" t="s">
        <v>74</v>
      </c>
      <c r="C734" s="596"/>
      <c r="D734" s="596" t="s">
        <v>1997</v>
      </c>
      <c r="E734" s="597"/>
      <c r="F734" s="598">
        <v>1</v>
      </c>
      <c r="G734" s="598"/>
      <c r="H734" s="599">
        <v>12681.78</v>
      </c>
      <c r="I734" s="599">
        <v>12681.78</v>
      </c>
      <c r="J734" s="608">
        <v>0.000515680094137932</v>
      </c>
      <c r="K734" s="613">
        <f t="shared" si="40"/>
        <v>0</v>
      </c>
      <c r="L734" s="610">
        <f>SUM(L735:L751)</f>
        <v>12681.78</v>
      </c>
      <c r="M734" s="601"/>
      <c r="N734" s="601"/>
      <c r="O734" s="601"/>
      <c r="P734" s="601"/>
      <c r="Q734" s="601"/>
      <c r="R734" s="601"/>
      <c r="S734" s="601"/>
      <c r="T734" s="601"/>
      <c r="U734" s="601"/>
      <c r="V734" s="601"/>
      <c r="W734" s="601"/>
      <c r="X734" s="601"/>
      <c r="Y734" s="601"/>
    </row>
    <row r="735" ht="38.25" spans="1:25">
      <c r="A735" s="569" t="s">
        <v>1998</v>
      </c>
      <c r="B735" s="569" t="s">
        <v>1999</v>
      </c>
      <c r="C735" s="569" t="s">
        <v>139</v>
      </c>
      <c r="D735" s="569" t="s">
        <v>2000</v>
      </c>
      <c r="E735" s="577" t="s">
        <v>204</v>
      </c>
      <c r="F735" s="570">
        <v>3</v>
      </c>
      <c r="G735" s="579">
        <v>43.95</v>
      </c>
      <c r="H735" s="600">
        <v>55.15</v>
      </c>
      <c r="I735" s="600">
        <v>165.45</v>
      </c>
      <c r="J735" s="612">
        <v>6.72770475241811e-6</v>
      </c>
      <c r="K735" s="613">
        <f t="shared" si="40"/>
        <v>0</v>
      </c>
      <c r="L735" s="610">
        <f t="shared" ref="L735:L751" si="41">I735-(I735*K735)</f>
        <v>165.45</v>
      </c>
      <c r="M735" s="601"/>
      <c r="N735" s="601"/>
      <c r="O735" s="601"/>
      <c r="P735" s="601"/>
      <c r="Q735" s="601"/>
      <c r="R735" s="601"/>
      <c r="S735" s="601"/>
      <c r="T735" s="601"/>
      <c r="U735" s="601"/>
      <c r="V735" s="601"/>
      <c r="W735" s="601"/>
      <c r="X735" s="601"/>
      <c r="Y735" s="601"/>
    </row>
    <row r="736" ht="15" spans="1:25">
      <c r="A736" s="569" t="s">
        <v>2001</v>
      </c>
      <c r="B736" s="569" t="s">
        <v>2002</v>
      </c>
      <c r="C736" s="569" t="s">
        <v>149</v>
      </c>
      <c r="D736" s="569" t="s">
        <v>2003</v>
      </c>
      <c r="E736" s="577" t="s">
        <v>134</v>
      </c>
      <c r="F736" s="570">
        <v>16</v>
      </c>
      <c r="G736" s="579">
        <v>97.18</v>
      </c>
      <c r="H736" s="600">
        <v>121.95</v>
      </c>
      <c r="I736" s="600">
        <v>1951.2</v>
      </c>
      <c r="J736" s="612">
        <v>7.93417800720351e-5</v>
      </c>
      <c r="K736" s="613">
        <f t="shared" si="40"/>
        <v>0</v>
      </c>
      <c r="L736" s="610">
        <f t="shared" si="41"/>
        <v>1951.2</v>
      </c>
      <c r="M736" s="601"/>
      <c r="N736" s="601"/>
      <c r="O736" s="601"/>
      <c r="P736" s="601"/>
      <c r="Q736" s="601"/>
      <c r="R736" s="601"/>
      <c r="S736" s="601"/>
      <c r="T736" s="601"/>
      <c r="U736" s="601"/>
      <c r="V736" s="601"/>
      <c r="W736" s="601"/>
      <c r="X736" s="601"/>
      <c r="Y736" s="601"/>
    </row>
    <row r="737" ht="25.5" spans="1:25">
      <c r="A737" s="569" t="s">
        <v>2004</v>
      </c>
      <c r="B737" s="569" t="s">
        <v>820</v>
      </c>
      <c r="C737" s="569" t="s">
        <v>139</v>
      </c>
      <c r="D737" s="569" t="s">
        <v>821</v>
      </c>
      <c r="E737" s="577" t="s">
        <v>134</v>
      </c>
      <c r="F737" s="570">
        <v>6</v>
      </c>
      <c r="G737" s="579">
        <v>42.03</v>
      </c>
      <c r="H737" s="600">
        <v>52.74</v>
      </c>
      <c r="I737" s="600">
        <v>316.44</v>
      </c>
      <c r="J737" s="612">
        <v>1.28674215282876e-5</v>
      </c>
      <c r="K737" s="613">
        <f t="shared" si="40"/>
        <v>0</v>
      </c>
      <c r="L737" s="610">
        <f t="shared" si="41"/>
        <v>316.44</v>
      </c>
      <c r="M737" s="601"/>
      <c r="N737" s="601"/>
      <c r="O737" s="601"/>
      <c r="P737" s="601"/>
      <c r="Q737" s="601"/>
      <c r="R737" s="601"/>
      <c r="S737" s="601"/>
      <c r="T737" s="601"/>
      <c r="U737" s="601"/>
      <c r="V737" s="601"/>
      <c r="W737" s="601"/>
      <c r="X737" s="601"/>
      <c r="Y737" s="601"/>
    </row>
    <row r="738" ht="15" spans="1:25">
      <c r="A738" s="569" t="s">
        <v>2005</v>
      </c>
      <c r="B738" s="569" t="s">
        <v>2006</v>
      </c>
      <c r="C738" s="569" t="s">
        <v>149</v>
      </c>
      <c r="D738" s="569" t="s">
        <v>2007</v>
      </c>
      <c r="E738" s="577" t="s">
        <v>134</v>
      </c>
      <c r="F738" s="570">
        <v>10</v>
      </c>
      <c r="G738" s="579">
        <v>35.42</v>
      </c>
      <c r="H738" s="600">
        <v>44.44</v>
      </c>
      <c r="I738" s="600">
        <v>444.4</v>
      </c>
      <c r="J738" s="612">
        <v>1.80706678269846e-5</v>
      </c>
      <c r="K738" s="613">
        <f t="shared" si="40"/>
        <v>0</v>
      </c>
      <c r="L738" s="610">
        <f t="shared" si="41"/>
        <v>444.4</v>
      </c>
      <c r="M738" s="601"/>
      <c r="N738" s="601"/>
      <c r="O738" s="601"/>
      <c r="P738" s="601"/>
      <c r="Q738" s="601"/>
      <c r="R738" s="601"/>
      <c r="S738" s="601"/>
      <c r="T738" s="601"/>
      <c r="U738" s="601"/>
      <c r="V738" s="601"/>
      <c r="W738" s="601"/>
      <c r="X738" s="601"/>
      <c r="Y738" s="601"/>
    </row>
    <row r="739" ht="15" spans="1:25">
      <c r="A739" s="569" t="s">
        <v>2008</v>
      </c>
      <c r="B739" s="569" t="s">
        <v>2009</v>
      </c>
      <c r="C739" s="569" t="s">
        <v>149</v>
      </c>
      <c r="D739" s="569" t="s">
        <v>2010</v>
      </c>
      <c r="E739" s="577" t="s">
        <v>134</v>
      </c>
      <c r="F739" s="570">
        <v>12</v>
      </c>
      <c r="G739" s="579">
        <v>33.26</v>
      </c>
      <c r="H739" s="600">
        <v>41.73</v>
      </c>
      <c r="I739" s="600">
        <v>500.76</v>
      </c>
      <c r="J739" s="612">
        <v>2.0362438391181e-5</v>
      </c>
      <c r="K739" s="613">
        <f t="shared" si="40"/>
        <v>0</v>
      </c>
      <c r="L739" s="610">
        <f t="shared" si="41"/>
        <v>500.76</v>
      </c>
      <c r="M739" s="601"/>
      <c r="N739" s="601"/>
      <c r="O739" s="601"/>
      <c r="P739" s="601"/>
      <c r="Q739" s="601"/>
      <c r="R739" s="601"/>
      <c r="S739" s="601"/>
      <c r="T739" s="601"/>
      <c r="U739" s="601"/>
      <c r="V739" s="601"/>
      <c r="W739" s="601"/>
      <c r="X739" s="601"/>
      <c r="Y739" s="601"/>
    </row>
    <row r="740" ht="25.5" spans="1:25">
      <c r="A740" s="569" t="s">
        <v>2011</v>
      </c>
      <c r="B740" s="569" t="s">
        <v>2012</v>
      </c>
      <c r="C740" s="569" t="s">
        <v>132</v>
      </c>
      <c r="D740" s="569" t="s">
        <v>2013</v>
      </c>
      <c r="E740" s="577" t="s">
        <v>134</v>
      </c>
      <c r="F740" s="570">
        <v>4</v>
      </c>
      <c r="G740" s="579">
        <v>36.24</v>
      </c>
      <c r="H740" s="600">
        <v>45.47</v>
      </c>
      <c r="I740" s="600">
        <v>181.88</v>
      </c>
      <c r="J740" s="612">
        <v>7.39579897473439e-6</v>
      </c>
      <c r="K740" s="613">
        <f t="shared" si="40"/>
        <v>0</v>
      </c>
      <c r="L740" s="610">
        <f t="shared" si="41"/>
        <v>181.88</v>
      </c>
      <c r="M740" s="601"/>
      <c r="N740" s="601"/>
      <c r="O740" s="601"/>
      <c r="P740" s="601"/>
      <c r="Q740" s="601"/>
      <c r="R740" s="601"/>
      <c r="S740" s="601"/>
      <c r="T740" s="601"/>
      <c r="U740" s="601"/>
      <c r="V740" s="601"/>
      <c r="W740" s="601"/>
      <c r="X740" s="601"/>
      <c r="Y740" s="601"/>
    </row>
    <row r="741" ht="38.25" spans="1:25">
      <c r="A741" s="569" t="s">
        <v>2014</v>
      </c>
      <c r="B741" s="569" t="s">
        <v>2015</v>
      </c>
      <c r="C741" s="569" t="s">
        <v>139</v>
      </c>
      <c r="D741" s="569" t="s">
        <v>2016</v>
      </c>
      <c r="E741" s="577" t="s">
        <v>134</v>
      </c>
      <c r="F741" s="570">
        <v>1</v>
      </c>
      <c r="G741" s="579">
        <v>93.69</v>
      </c>
      <c r="H741" s="600">
        <v>117.57</v>
      </c>
      <c r="I741" s="600">
        <v>117.57</v>
      </c>
      <c r="J741" s="612">
        <v>4.78075701264308e-6</v>
      </c>
      <c r="K741" s="613">
        <f t="shared" si="40"/>
        <v>0</v>
      </c>
      <c r="L741" s="610">
        <f t="shared" si="41"/>
        <v>117.57</v>
      </c>
      <c r="M741" s="601"/>
      <c r="N741" s="601"/>
      <c r="O741" s="601"/>
      <c r="P741" s="601"/>
      <c r="Q741" s="601"/>
      <c r="R741" s="601"/>
      <c r="S741" s="601"/>
      <c r="T741" s="601"/>
      <c r="U741" s="601"/>
      <c r="V741" s="601"/>
      <c r="W741" s="601"/>
      <c r="X741" s="601"/>
      <c r="Y741" s="601"/>
    </row>
    <row r="742" ht="25.5" spans="1:25">
      <c r="A742" s="569" t="s">
        <v>2017</v>
      </c>
      <c r="B742" s="569" t="s">
        <v>2018</v>
      </c>
      <c r="C742" s="569" t="s">
        <v>132</v>
      </c>
      <c r="D742" s="569" t="s">
        <v>2019</v>
      </c>
      <c r="E742" s="577" t="s">
        <v>134</v>
      </c>
      <c r="F742" s="570">
        <v>2</v>
      </c>
      <c r="G742" s="579">
        <v>41.21</v>
      </c>
      <c r="H742" s="600">
        <v>51.71</v>
      </c>
      <c r="I742" s="600">
        <v>103.42</v>
      </c>
      <c r="J742" s="612">
        <v>4.20537458745893e-6</v>
      </c>
      <c r="K742" s="613">
        <f t="shared" si="40"/>
        <v>0</v>
      </c>
      <c r="L742" s="610">
        <f t="shared" si="41"/>
        <v>103.42</v>
      </c>
      <c r="M742" s="601"/>
      <c r="N742" s="601"/>
      <c r="O742" s="601"/>
      <c r="P742" s="601"/>
      <c r="Q742" s="601"/>
      <c r="R742" s="601"/>
      <c r="S742" s="601"/>
      <c r="T742" s="601"/>
      <c r="U742" s="601"/>
      <c r="V742" s="601"/>
      <c r="W742" s="601"/>
      <c r="X742" s="601"/>
      <c r="Y742" s="601"/>
    </row>
    <row r="743" ht="25.5" spans="1:25">
      <c r="A743" s="569" t="s">
        <v>2020</v>
      </c>
      <c r="B743" s="569" t="s">
        <v>2021</v>
      </c>
      <c r="C743" s="569" t="s">
        <v>132</v>
      </c>
      <c r="D743" s="569" t="s">
        <v>2022</v>
      </c>
      <c r="E743" s="577" t="s">
        <v>134</v>
      </c>
      <c r="F743" s="570">
        <v>12</v>
      </c>
      <c r="G743" s="579">
        <v>30.99</v>
      </c>
      <c r="H743" s="600">
        <v>38.88</v>
      </c>
      <c r="I743" s="600">
        <v>466.56</v>
      </c>
      <c r="J743" s="612">
        <v>1.89717614341988e-5</v>
      </c>
      <c r="K743" s="613">
        <f t="shared" si="40"/>
        <v>0</v>
      </c>
      <c r="L743" s="610">
        <f t="shared" si="41"/>
        <v>466.56</v>
      </c>
      <c r="M743" s="601"/>
      <c r="N743" s="601"/>
      <c r="O743" s="601"/>
      <c r="P743" s="601"/>
      <c r="Q743" s="601"/>
      <c r="R743" s="601"/>
      <c r="S743" s="601"/>
      <c r="T743" s="601"/>
      <c r="U743" s="601"/>
      <c r="V743" s="601"/>
      <c r="W743" s="601"/>
      <c r="X743" s="601"/>
      <c r="Y743" s="601"/>
    </row>
    <row r="744" ht="25.5" spans="1:25">
      <c r="A744" s="569" t="s">
        <v>2023</v>
      </c>
      <c r="B744" s="569" t="s">
        <v>2024</v>
      </c>
      <c r="C744" s="569" t="s">
        <v>132</v>
      </c>
      <c r="D744" s="569" t="s">
        <v>2025</v>
      </c>
      <c r="E744" s="577" t="s">
        <v>134</v>
      </c>
      <c r="F744" s="570">
        <v>1</v>
      </c>
      <c r="G744" s="579">
        <v>372.31</v>
      </c>
      <c r="H744" s="600">
        <v>467.21</v>
      </c>
      <c r="I744" s="600">
        <v>467.21</v>
      </c>
      <c r="J744" s="612">
        <v>1.89981924289952e-5</v>
      </c>
      <c r="K744" s="613">
        <f t="shared" si="40"/>
        <v>0</v>
      </c>
      <c r="L744" s="610">
        <f t="shared" si="41"/>
        <v>467.21</v>
      </c>
      <c r="M744" s="601"/>
      <c r="N744" s="601"/>
      <c r="O744" s="601"/>
      <c r="P744" s="601"/>
      <c r="Q744" s="601"/>
      <c r="R744" s="601"/>
      <c r="S744" s="601"/>
      <c r="T744" s="601"/>
      <c r="U744" s="601"/>
      <c r="V744" s="601"/>
      <c r="W744" s="601"/>
      <c r="X744" s="601"/>
      <c r="Y744" s="601"/>
    </row>
    <row r="745" ht="25.5" spans="1:25">
      <c r="A745" s="569" t="s">
        <v>2026</v>
      </c>
      <c r="B745" s="569" t="s">
        <v>2027</v>
      </c>
      <c r="C745" s="569" t="s">
        <v>132</v>
      </c>
      <c r="D745" s="569" t="s">
        <v>2028</v>
      </c>
      <c r="E745" s="577" t="s">
        <v>134</v>
      </c>
      <c r="F745" s="570">
        <v>1</v>
      </c>
      <c r="G745" s="579">
        <v>151.91</v>
      </c>
      <c r="H745" s="600">
        <v>190.63</v>
      </c>
      <c r="I745" s="600">
        <v>190.63</v>
      </c>
      <c r="J745" s="612">
        <v>7.75160082776345e-6</v>
      </c>
      <c r="K745" s="613">
        <f t="shared" si="40"/>
        <v>0</v>
      </c>
      <c r="L745" s="610">
        <f t="shared" si="41"/>
        <v>190.63</v>
      </c>
      <c r="M745" s="601"/>
      <c r="N745" s="601"/>
      <c r="O745" s="601"/>
      <c r="P745" s="601"/>
      <c r="Q745" s="601"/>
      <c r="R745" s="601"/>
      <c r="S745" s="601"/>
      <c r="T745" s="601"/>
      <c r="U745" s="601"/>
      <c r="V745" s="601"/>
      <c r="W745" s="601"/>
      <c r="X745" s="601"/>
      <c r="Y745" s="601"/>
    </row>
    <row r="746" ht="38.25" spans="1:25">
      <c r="A746" s="569" t="s">
        <v>2029</v>
      </c>
      <c r="B746" s="569" t="s">
        <v>2030</v>
      </c>
      <c r="C746" s="569" t="s">
        <v>139</v>
      </c>
      <c r="D746" s="569" t="s">
        <v>2031</v>
      </c>
      <c r="E746" s="577" t="s">
        <v>134</v>
      </c>
      <c r="F746" s="570">
        <v>2</v>
      </c>
      <c r="G746" s="579">
        <v>27.78</v>
      </c>
      <c r="H746" s="600">
        <v>34.86</v>
      </c>
      <c r="I746" s="600">
        <v>69.72</v>
      </c>
      <c r="J746" s="612">
        <v>2.83502916493557e-6</v>
      </c>
      <c r="K746" s="613">
        <f t="shared" si="40"/>
        <v>0</v>
      </c>
      <c r="L746" s="610">
        <f t="shared" si="41"/>
        <v>69.72</v>
      </c>
      <c r="M746" s="601"/>
      <c r="N746" s="601"/>
      <c r="O746" s="601"/>
      <c r="P746" s="601"/>
      <c r="Q746" s="601"/>
      <c r="R746" s="601"/>
      <c r="S746" s="601"/>
      <c r="T746" s="601"/>
      <c r="U746" s="601"/>
      <c r="V746" s="601"/>
      <c r="W746" s="601"/>
      <c r="X746" s="601"/>
      <c r="Y746" s="601"/>
    </row>
    <row r="747" ht="25.5" spans="1:25">
      <c r="A747" s="569" t="s">
        <v>2032</v>
      </c>
      <c r="B747" s="569" t="s">
        <v>2033</v>
      </c>
      <c r="C747" s="569" t="s">
        <v>132</v>
      </c>
      <c r="D747" s="569" t="s">
        <v>2034</v>
      </c>
      <c r="E747" s="577" t="s">
        <v>134</v>
      </c>
      <c r="F747" s="570">
        <v>6</v>
      </c>
      <c r="G747" s="579">
        <v>14.9</v>
      </c>
      <c r="H747" s="600">
        <v>18.69</v>
      </c>
      <c r="I747" s="600">
        <v>112.14</v>
      </c>
      <c r="J747" s="612">
        <v>4.55995654842047e-6</v>
      </c>
      <c r="K747" s="613">
        <f t="shared" si="40"/>
        <v>0</v>
      </c>
      <c r="L747" s="610">
        <f t="shared" si="41"/>
        <v>112.14</v>
      </c>
      <c r="M747" s="601"/>
      <c r="N747" s="601"/>
      <c r="O747" s="601"/>
      <c r="P747" s="601"/>
      <c r="Q747" s="601"/>
      <c r="R747" s="601"/>
      <c r="S747" s="601"/>
      <c r="T747" s="601"/>
      <c r="U747" s="601"/>
      <c r="V747" s="601"/>
      <c r="W747" s="601"/>
      <c r="X747" s="601"/>
      <c r="Y747" s="601"/>
    </row>
    <row r="748" ht="25.5" spans="1:25">
      <c r="A748" s="569" t="s">
        <v>2035</v>
      </c>
      <c r="B748" s="569" t="s">
        <v>2036</v>
      </c>
      <c r="C748" s="569" t="s">
        <v>132</v>
      </c>
      <c r="D748" s="569" t="s">
        <v>2037</v>
      </c>
      <c r="E748" s="577" t="s">
        <v>134</v>
      </c>
      <c r="F748" s="570">
        <v>6</v>
      </c>
      <c r="G748" s="579">
        <v>14.88</v>
      </c>
      <c r="H748" s="600">
        <v>18.67</v>
      </c>
      <c r="I748" s="600">
        <v>112.02</v>
      </c>
      <c r="J748" s="612">
        <v>4.55507698015036e-6</v>
      </c>
      <c r="K748" s="613">
        <f t="shared" si="40"/>
        <v>0</v>
      </c>
      <c r="L748" s="610">
        <f t="shared" si="41"/>
        <v>112.02</v>
      </c>
      <c r="M748" s="601"/>
      <c r="N748" s="601"/>
      <c r="O748" s="601"/>
      <c r="P748" s="601"/>
      <c r="Q748" s="601"/>
      <c r="R748" s="601"/>
      <c r="S748" s="601"/>
      <c r="T748" s="601"/>
      <c r="U748" s="601"/>
      <c r="V748" s="601"/>
      <c r="W748" s="601"/>
      <c r="X748" s="601"/>
      <c r="Y748" s="601"/>
    </row>
    <row r="749" ht="25.5" spans="1:25">
      <c r="A749" s="569" t="s">
        <v>2038</v>
      </c>
      <c r="B749" s="569" t="s">
        <v>832</v>
      </c>
      <c r="C749" s="569" t="s">
        <v>139</v>
      </c>
      <c r="D749" s="569" t="s">
        <v>833</v>
      </c>
      <c r="E749" s="577" t="s">
        <v>134</v>
      </c>
      <c r="F749" s="570">
        <v>6</v>
      </c>
      <c r="G749" s="579">
        <v>187.29</v>
      </c>
      <c r="H749" s="600">
        <v>235.03</v>
      </c>
      <c r="I749" s="600">
        <v>1410.18</v>
      </c>
      <c r="J749" s="612">
        <v>5.73422465262313e-5</v>
      </c>
      <c r="K749" s="613">
        <f t="shared" si="40"/>
        <v>0</v>
      </c>
      <c r="L749" s="610">
        <f t="shared" si="41"/>
        <v>1410.18</v>
      </c>
      <c r="M749" s="601"/>
      <c r="N749" s="601"/>
      <c r="O749" s="601"/>
      <c r="P749" s="601"/>
      <c r="Q749" s="601"/>
      <c r="R749" s="601"/>
      <c r="S749" s="601"/>
      <c r="T749" s="601"/>
      <c r="U749" s="601"/>
      <c r="V749" s="601"/>
      <c r="W749" s="601"/>
      <c r="X749" s="601"/>
      <c r="Y749" s="601"/>
    </row>
    <row r="750" ht="15" spans="1:25">
      <c r="A750" s="569" t="s">
        <v>2039</v>
      </c>
      <c r="B750" s="569" t="s">
        <v>2040</v>
      </c>
      <c r="C750" s="569" t="s">
        <v>149</v>
      </c>
      <c r="D750" s="569" t="s">
        <v>2041</v>
      </c>
      <c r="E750" s="577" t="s">
        <v>134</v>
      </c>
      <c r="F750" s="570">
        <v>6</v>
      </c>
      <c r="G750" s="579">
        <v>460.67</v>
      </c>
      <c r="H750" s="600">
        <v>578.09</v>
      </c>
      <c r="I750" s="600">
        <v>3468.54</v>
      </c>
      <c r="J750" s="612">
        <v>0.000141041481063477</v>
      </c>
      <c r="K750" s="613">
        <f t="shared" si="40"/>
        <v>0</v>
      </c>
      <c r="L750" s="610">
        <f t="shared" si="41"/>
        <v>3468.54</v>
      </c>
      <c r="M750" s="601"/>
      <c r="N750" s="601"/>
      <c r="O750" s="601"/>
      <c r="P750" s="601"/>
      <c r="Q750" s="601"/>
      <c r="R750" s="601"/>
      <c r="S750" s="601"/>
      <c r="T750" s="601"/>
      <c r="U750" s="601"/>
      <c r="V750" s="601"/>
      <c r="W750" s="601"/>
      <c r="X750" s="601"/>
      <c r="Y750" s="601"/>
    </row>
    <row r="751" ht="15" spans="1:25">
      <c r="A751" s="569" t="s">
        <v>2042</v>
      </c>
      <c r="B751" s="569" t="s">
        <v>2043</v>
      </c>
      <c r="C751" s="569" t="s">
        <v>149</v>
      </c>
      <c r="D751" s="569" t="s">
        <v>2044</v>
      </c>
      <c r="E751" s="577" t="s">
        <v>134</v>
      </c>
      <c r="F751" s="570">
        <v>2</v>
      </c>
      <c r="G751" s="579">
        <v>1037.4</v>
      </c>
      <c r="H751" s="600">
        <v>1301.83</v>
      </c>
      <c r="I751" s="600">
        <v>2603.66</v>
      </c>
      <c r="J751" s="612">
        <v>0.000105872806018017</v>
      </c>
      <c r="K751" s="613">
        <f t="shared" si="40"/>
        <v>0</v>
      </c>
      <c r="L751" s="610">
        <f t="shared" si="41"/>
        <v>2603.66</v>
      </c>
      <c r="M751" s="601"/>
      <c r="N751" s="601"/>
      <c r="O751" s="601"/>
      <c r="P751" s="601"/>
      <c r="Q751" s="601"/>
      <c r="R751" s="601"/>
      <c r="S751" s="601"/>
      <c r="T751" s="601"/>
      <c r="U751" s="601"/>
      <c r="V751" s="601"/>
      <c r="W751" s="601"/>
      <c r="X751" s="601"/>
      <c r="Y751" s="601"/>
    </row>
    <row r="752" ht="15" spans="1:25">
      <c r="A752" s="596" t="s">
        <v>2045</v>
      </c>
      <c r="B752" s="596" t="s">
        <v>74</v>
      </c>
      <c r="C752" s="596"/>
      <c r="D752" s="596" t="s">
        <v>2046</v>
      </c>
      <c r="E752" s="597"/>
      <c r="F752" s="598">
        <v>1</v>
      </c>
      <c r="G752" s="598"/>
      <c r="H752" s="599">
        <v>8521.94</v>
      </c>
      <c r="I752" s="599">
        <v>8521.94</v>
      </c>
      <c r="J752" s="608">
        <v>0.000346528233531713</v>
      </c>
      <c r="K752" s="613">
        <f t="shared" si="40"/>
        <v>0</v>
      </c>
      <c r="L752" s="610">
        <f>SUM(L753:L759)</f>
        <v>8521.94</v>
      </c>
      <c r="M752" s="601"/>
      <c r="N752" s="601"/>
      <c r="O752" s="601"/>
      <c r="P752" s="601"/>
      <c r="Q752" s="601"/>
      <c r="R752" s="601"/>
      <c r="S752" s="601"/>
      <c r="T752" s="601"/>
      <c r="U752" s="601"/>
      <c r="V752" s="601"/>
      <c r="W752" s="601"/>
      <c r="X752" s="601"/>
      <c r="Y752" s="601"/>
    </row>
    <row r="753" ht="51" spans="1:25">
      <c r="A753" s="569" t="s">
        <v>2047</v>
      </c>
      <c r="B753" s="569" t="s">
        <v>2048</v>
      </c>
      <c r="C753" s="569" t="s">
        <v>77</v>
      </c>
      <c r="D753" s="569" t="s">
        <v>2049</v>
      </c>
      <c r="E753" s="577" t="s">
        <v>134</v>
      </c>
      <c r="F753" s="570">
        <v>238</v>
      </c>
      <c r="G753" s="579">
        <v>11.38</v>
      </c>
      <c r="H753" s="600">
        <v>14.28</v>
      </c>
      <c r="I753" s="600">
        <v>3398.64</v>
      </c>
      <c r="J753" s="612">
        <v>0.000138199132546136</v>
      </c>
      <c r="K753" s="613">
        <f t="shared" si="40"/>
        <v>0</v>
      </c>
      <c r="L753" s="610">
        <f t="shared" ref="L753:L759" si="42">I753-(I753*K753)</f>
        <v>3398.64</v>
      </c>
      <c r="M753" s="601"/>
      <c r="N753" s="601"/>
      <c r="O753" s="601"/>
      <c r="P753" s="601"/>
      <c r="Q753" s="601"/>
      <c r="R753" s="601"/>
      <c r="S753" s="601"/>
      <c r="T753" s="601"/>
      <c r="U753" s="601"/>
      <c r="V753" s="601"/>
      <c r="W753" s="601"/>
      <c r="X753" s="601"/>
      <c r="Y753" s="601"/>
    </row>
    <row r="754" ht="51" spans="1:25">
      <c r="A754" s="569" t="s">
        <v>2050</v>
      </c>
      <c r="B754" s="569" t="s">
        <v>2051</v>
      </c>
      <c r="C754" s="569" t="s">
        <v>132</v>
      </c>
      <c r="D754" s="569" t="s">
        <v>2052</v>
      </c>
      <c r="E754" s="577" t="s">
        <v>134</v>
      </c>
      <c r="F754" s="570">
        <v>224</v>
      </c>
      <c r="G754" s="579">
        <v>12.87</v>
      </c>
      <c r="H754" s="600">
        <v>16.15</v>
      </c>
      <c r="I754" s="600">
        <v>3617.6</v>
      </c>
      <c r="J754" s="612">
        <v>0.000147102718116336</v>
      </c>
      <c r="K754" s="613">
        <f t="shared" si="40"/>
        <v>0</v>
      </c>
      <c r="L754" s="610">
        <f t="shared" si="42"/>
        <v>3617.6</v>
      </c>
      <c r="M754" s="601"/>
      <c r="N754" s="601"/>
      <c r="O754" s="601"/>
      <c r="P754" s="601"/>
      <c r="Q754" s="601"/>
      <c r="R754" s="601"/>
      <c r="S754" s="601"/>
      <c r="T754" s="601"/>
      <c r="U754" s="601"/>
      <c r="V754" s="601"/>
      <c r="W754" s="601"/>
      <c r="X754" s="601"/>
      <c r="Y754" s="601"/>
    </row>
    <row r="755" ht="38.25" spans="1:25">
      <c r="A755" s="569" t="s">
        <v>2053</v>
      </c>
      <c r="B755" s="569" t="s">
        <v>2054</v>
      </c>
      <c r="C755" s="569" t="s">
        <v>132</v>
      </c>
      <c r="D755" s="569" t="s">
        <v>2055</v>
      </c>
      <c r="E755" s="577" t="s">
        <v>134</v>
      </c>
      <c r="F755" s="570">
        <v>20</v>
      </c>
      <c r="G755" s="579">
        <v>28.27</v>
      </c>
      <c r="H755" s="600">
        <v>35.47</v>
      </c>
      <c r="I755" s="600">
        <v>709.4</v>
      </c>
      <c r="J755" s="612">
        <v>2.88463810901505e-5</v>
      </c>
      <c r="K755" s="613">
        <f t="shared" si="40"/>
        <v>0</v>
      </c>
      <c r="L755" s="610">
        <f t="shared" si="42"/>
        <v>709.4</v>
      </c>
      <c r="M755" s="601"/>
      <c r="N755" s="601"/>
      <c r="O755" s="601"/>
      <c r="P755" s="601"/>
      <c r="Q755" s="601"/>
      <c r="R755" s="601"/>
      <c r="S755" s="601"/>
      <c r="T755" s="601"/>
      <c r="U755" s="601"/>
      <c r="V755" s="601"/>
      <c r="W755" s="601"/>
      <c r="X755" s="601"/>
      <c r="Y755" s="601"/>
    </row>
    <row r="756" ht="38.25" spans="1:25">
      <c r="A756" s="569" t="s">
        <v>2056</v>
      </c>
      <c r="B756" s="569" t="s">
        <v>2057</v>
      </c>
      <c r="C756" s="569" t="s">
        <v>132</v>
      </c>
      <c r="D756" s="569" t="s">
        <v>2058</v>
      </c>
      <c r="E756" s="577" t="s">
        <v>134</v>
      </c>
      <c r="F756" s="570">
        <v>2</v>
      </c>
      <c r="G756" s="579">
        <v>18.41</v>
      </c>
      <c r="H756" s="600">
        <v>23.1</v>
      </c>
      <c r="I756" s="600">
        <v>46.2</v>
      </c>
      <c r="J756" s="612">
        <v>1.87863378399345e-6</v>
      </c>
      <c r="K756" s="613">
        <f t="shared" si="40"/>
        <v>0</v>
      </c>
      <c r="L756" s="610">
        <f t="shared" si="42"/>
        <v>46.2</v>
      </c>
      <c r="M756" s="601"/>
      <c r="N756" s="601"/>
      <c r="O756" s="601"/>
      <c r="P756" s="601"/>
      <c r="Q756" s="601"/>
      <c r="R756" s="601"/>
      <c r="S756" s="601"/>
      <c r="T756" s="601"/>
      <c r="U756" s="601"/>
      <c r="V756" s="601"/>
      <c r="W756" s="601"/>
      <c r="X756" s="601"/>
      <c r="Y756" s="601"/>
    </row>
    <row r="757" ht="38.25" spans="1:25">
      <c r="A757" s="569" t="s">
        <v>2059</v>
      </c>
      <c r="B757" s="569" t="s">
        <v>2060</v>
      </c>
      <c r="C757" s="569" t="s">
        <v>132</v>
      </c>
      <c r="D757" s="569" t="s">
        <v>2061</v>
      </c>
      <c r="E757" s="577" t="s">
        <v>134</v>
      </c>
      <c r="F757" s="570">
        <v>2</v>
      </c>
      <c r="G757" s="579">
        <v>32.44</v>
      </c>
      <c r="H757" s="600">
        <v>40.7</v>
      </c>
      <c r="I757" s="600">
        <v>81.4</v>
      </c>
      <c r="J757" s="612">
        <v>3.30997380989322e-6</v>
      </c>
      <c r="K757" s="613">
        <f t="shared" si="40"/>
        <v>0</v>
      </c>
      <c r="L757" s="610">
        <f t="shared" si="42"/>
        <v>81.4</v>
      </c>
      <c r="M757" s="601"/>
      <c r="N757" s="601"/>
      <c r="O757" s="601"/>
      <c r="P757" s="601"/>
      <c r="Q757" s="601"/>
      <c r="R757" s="601"/>
      <c r="S757" s="601"/>
      <c r="T757" s="601"/>
      <c r="U757" s="601"/>
      <c r="V757" s="601"/>
      <c r="W757" s="601"/>
      <c r="X757" s="601"/>
      <c r="Y757" s="601"/>
    </row>
    <row r="758" ht="51" spans="1:25">
      <c r="A758" s="569" t="s">
        <v>2062</v>
      </c>
      <c r="B758" s="569" t="s">
        <v>2063</v>
      </c>
      <c r="C758" s="569" t="s">
        <v>132</v>
      </c>
      <c r="D758" s="569" t="s">
        <v>2064</v>
      </c>
      <c r="E758" s="577" t="s">
        <v>134</v>
      </c>
      <c r="F758" s="570">
        <v>24</v>
      </c>
      <c r="G758" s="579">
        <v>17.77</v>
      </c>
      <c r="H758" s="600">
        <v>22.29</v>
      </c>
      <c r="I758" s="600">
        <v>534.96</v>
      </c>
      <c r="J758" s="612">
        <v>2.17531153481631e-5</v>
      </c>
      <c r="K758" s="613">
        <f t="shared" si="40"/>
        <v>0</v>
      </c>
      <c r="L758" s="610">
        <f t="shared" si="42"/>
        <v>534.96</v>
      </c>
      <c r="M758" s="601"/>
      <c r="N758" s="601"/>
      <c r="O758" s="601"/>
      <c r="P758" s="601"/>
      <c r="Q758" s="601"/>
      <c r="R758" s="601"/>
      <c r="S758" s="601"/>
      <c r="T758" s="601"/>
      <c r="U758" s="601"/>
      <c r="V758" s="601"/>
      <c r="W758" s="601"/>
      <c r="X758" s="601"/>
      <c r="Y758" s="601"/>
    </row>
    <row r="759" ht="51" spans="1:25">
      <c r="A759" s="569" t="s">
        <v>2065</v>
      </c>
      <c r="B759" s="569" t="s">
        <v>2066</v>
      </c>
      <c r="C759" s="569" t="s">
        <v>132</v>
      </c>
      <c r="D759" s="569" t="s">
        <v>2067</v>
      </c>
      <c r="E759" s="577" t="s">
        <v>134</v>
      </c>
      <c r="F759" s="570">
        <v>6</v>
      </c>
      <c r="G759" s="579">
        <v>17.77</v>
      </c>
      <c r="H759" s="600">
        <v>22.29</v>
      </c>
      <c r="I759" s="600">
        <v>133.74</v>
      </c>
      <c r="J759" s="612">
        <v>5.43827883704078e-6</v>
      </c>
      <c r="K759" s="613">
        <f t="shared" si="40"/>
        <v>0</v>
      </c>
      <c r="L759" s="610">
        <f t="shared" si="42"/>
        <v>133.74</v>
      </c>
      <c r="M759" s="601"/>
      <c r="N759" s="601"/>
      <c r="O759" s="601"/>
      <c r="P759" s="601"/>
      <c r="Q759" s="601"/>
      <c r="R759" s="601"/>
      <c r="S759" s="601"/>
      <c r="T759" s="601"/>
      <c r="U759" s="601"/>
      <c r="V759" s="601"/>
      <c r="W759" s="601"/>
      <c r="X759" s="601"/>
      <c r="Y759" s="601"/>
    </row>
    <row r="760" ht="15" spans="1:25">
      <c r="A760" s="596" t="s">
        <v>46</v>
      </c>
      <c r="B760" s="596" t="s">
        <v>74</v>
      </c>
      <c r="C760" s="596"/>
      <c r="D760" s="596" t="s">
        <v>47</v>
      </c>
      <c r="E760" s="597"/>
      <c r="F760" s="598">
        <v>1</v>
      </c>
      <c r="G760" s="598"/>
      <c r="H760" s="599">
        <v>4028419.26</v>
      </c>
      <c r="I760" s="599">
        <v>4028419.26</v>
      </c>
      <c r="J760" s="608">
        <v>0.163807889998396</v>
      </c>
      <c r="K760" s="613">
        <f t="shared" si="40"/>
        <v>0</v>
      </c>
      <c r="L760" s="610">
        <f>SUM(L761,L796,L867,L886,L895,L941,L954)</f>
        <v>4028419.26</v>
      </c>
      <c r="M760" s="601"/>
      <c r="N760" s="601"/>
      <c r="O760" s="601"/>
      <c r="P760" s="601"/>
      <c r="Q760" s="601"/>
      <c r="R760" s="601"/>
      <c r="S760" s="601"/>
      <c r="T760" s="601"/>
      <c r="U760" s="601"/>
      <c r="V760" s="601"/>
      <c r="W760" s="601"/>
      <c r="X760" s="601"/>
      <c r="Y760" s="601"/>
    </row>
    <row r="761" ht="15" spans="1:25">
      <c r="A761" s="596" t="s">
        <v>2068</v>
      </c>
      <c r="B761" s="596" t="s">
        <v>74</v>
      </c>
      <c r="C761" s="596"/>
      <c r="D761" s="596" t="s">
        <v>55</v>
      </c>
      <c r="E761" s="597"/>
      <c r="F761" s="598">
        <v>1</v>
      </c>
      <c r="G761" s="598"/>
      <c r="H761" s="599">
        <v>2452223.67</v>
      </c>
      <c r="I761" s="599">
        <v>2452223.67</v>
      </c>
      <c r="J761" s="608">
        <v>0.0997149400945976</v>
      </c>
      <c r="K761" s="613">
        <f t="shared" si="40"/>
        <v>0</v>
      </c>
      <c r="L761" s="610">
        <f>SUM(L762:L795)</f>
        <v>2452223.67</v>
      </c>
      <c r="M761" s="601"/>
      <c r="N761" s="601"/>
      <c r="O761" s="601"/>
      <c r="P761" s="601"/>
      <c r="Q761" s="601"/>
      <c r="R761" s="601"/>
      <c r="S761" s="601"/>
      <c r="T761" s="601"/>
      <c r="U761" s="601"/>
      <c r="V761" s="601"/>
      <c r="W761" s="601"/>
      <c r="X761" s="601"/>
      <c r="Y761" s="601"/>
    </row>
    <row r="762" ht="51" spans="1:25">
      <c r="A762" s="569" t="s">
        <v>2069</v>
      </c>
      <c r="B762" s="569" t="s">
        <v>2070</v>
      </c>
      <c r="C762" s="569" t="s">
        <v>132</v>
      </c>
      <c r="D762" s="569" t="s">
        <v>2071</v>
      </c>
      <c r="E762" s="577" t="s">
        <v>2072</v>
      </c>
      <c r="F762" s="570">
        <v>2</v>
      </c>
      <c r="G762" s="579">
        <v>3505.65</v>
      </c>
      <c r="H762" s="600">
        <v>4399.24</v>
      </c>
      <c r="I762" s="600">
        <v>8798.48</v>
      </c>
      <c r="J762" s="612">
        <v>0.000357773198610188</v>
      </c>
      <c r="K762" s="613">
        <f t="shared" si="40"/>
        <v>0</v>
      </c>
      <c r="L762" s="610">
        <f t="shared" ref="L762:L795" si="43">I762-(I762*K762)</f>
        <v>8798.48</v>
      </c>
      <c r="M762" s="601"/>
      <c r="N762" s="601"/>
      <c r="O762" s="601"/>
      <c r="P762" s="601"/>
      <c r="Q762" s="601"/>
      <c r="R762" s="601"/>
      <c r="S762" s="601"/>
      <c r="T762" s="601"/>
      <c r="U762" s="601"/>
      <c r="V762" s="601"/>
      <c r="W762" s="601"/>
      <c r="X762" s="601"/>
      <c r="Y762" s="601"/>
    </row>
    <row r="763" ht="51" spans="1:25">
      <c r="A763" s="569" t="s">
        <v>2073</v>
      </c>
      <c r="B763" s="569" t="s">
        <v>2074</v>
      </c>
      <c r="C763" s="569" t="s">
        <v>132</v>
      </c>
      <c r="D763" s="569" t="s">
        <v>2075</v>
      </c>
      <c r="E763" s="577" t="s">
        <v>2072</v>
      </c>
      <c r="F763" s="570">
        <v>2</v>
      </c>
      <c r="G763" s="579">
        <v>3895.03</v>
      </c>
      <c r="H763" s="600">
        <v>4887.87</v>
      </c>
      <c r="I763" s="600">
        <v>9775.74</v>
      </c>
      <c r="J763" s="612">
        <v>0.000397511589340609</v>
      </c>
      <c r="K763" s="613">
        <f t="shared" si="40"/>
        <v>0</v>
      </c>
      <c r="L763" s="610">
        <f t="shared" si="43"/>
        <v>9775.74</v>
      </c>
      <c r="M763" s="601"/>
      <c r="N763" s="601"/>
      <c r="O763" s="601"/>
      <c r="P763" s="601"/>
      <c r="Q763" s="601"/>
      <c r="R763" s="601"/>
      <c r="S763" s="601"/>
      <c r="T763" s="601"/>
      <c r="U763" s="601"/>
      <c r="V763" s="601"/>
      <c r="W763" s="601"/>
      <c r="X763" s="601"/>
      <c r="Y763" s="601"/>
    </row>
    <row r="764" ht="51" spans="1:25">
      <c r="A764" s="569" t="s">
        <v>2076</v>
      </c>
      <c r="B764" s="569" t="s">
        <v>2077</v>
      </c>
      <c r="C764" s="569" t="s">
        <v>132</v>
      </c>
      <c r="D764" s="569" t="s">
        <v>2078</v>
      </c>
      <c r="E764" s="577" t="s">
        <v>2072</v>
      </c>
      <c r="F764" s="570">
        <v>1</v>
      </c>
      <c r="G764" s="579">
        <v>3956.62</v>
      </c>
      <c r="H764" s="600">
        <v>4965.16</v>
      </c>
      <c r="I764" s="600">
        <v>4965.16</v>
      </c>
      <c r="J764" s="612">
        <v>0.000201898643266946</v>
      </c>
      <c r="K764" s="613">
        <f t="shared" si="40"/>
        <v>0</v>
      </c>
      <c r="L764" s="610">
        <f t="shared" si="43"/>
        <v>4965.16</v>
      </c>
      <c r="M764" s="601"/>
      <c r="N764" s="601"/>
      <c r="O764" s="601"/>
      <c r="P764" s="601"/>
      <c r="Q764" s="601"/>
      <c r="R764" s="601"/>
      <c r="S764" s="601"/>
      <c r="T764" s="601"/>
      <c r="U764" s="601"/>
      <c r="V764" s="601"/>
      <c r="W764" s="601"/>
      <c r="X764" s="601"/>
      <c r="Y764" s="601"/>
    </row>
    <row r="765" ht="51" spans="1:25">
      <c r="A765" s="569" t="s">
        <v>2079</v>
      </c>
      <c r="B765" s="569" t="s">
        <v>2080</v>
      </c>
      <c r="C765" s="569" t="s">
        <v>132</v>
      </c>
      <c r="D765" s="569" t="s">
        <v>2081</v>
      </c>
      <c r="E765" s="577" t="s">
        <v>134</v>
      </c>
      <c r="F765" s="570">
        <v>1</v>
      </c>
      <c r="G765" s="579">
        <v>4587.29</v>
      </c>
      <c r="H765" s="600">
        <v>5756.59</v>
      </c>
      <c r="I765" s="600">
        <v>5756.59</v>
      </c>
      <c r="J765" s="612">
        <v>0.000234080615900408</v>
      </c>
      <c r="K765" s="613">
        <f t="shared" si="40"/>
        <v>0</v>
      </c>
      <c r="L765" s="610">
        <f t="shared" si="43"/>
        <v>5756.59</v>
      </c>
      <c r="M765" s="601"/>
      <c r="N765" s="601"/>
      <c r="O765" s="601"/>
      <c r="P765" s="601"/>
      <c r="Q765" s="601"/>
      <c r="R765" s="601"/>
      <c r="S765" s="601"/>
      <c r="T765" s="601"/>
      <c r="U765" s="601"/>
      <c r="V765" s="601"/>
      <c r="W765" s="601"/>
      <c r="X765" s="601"/>
      <c r="Y765" s="601"/>
    </row>
    <row r="766" ht="51" spans="1:25">
      <c r="A766" s="569" t="s">
        <v>2082</v>
      </c>
      <c r="B766" s="569" t="s">
        <v>2083</v>
      </c>
      <c r="C766" s="569" t="s">
        <v>132</v>
      </c>
      <c r="D766" s="569" t="s">
        <v>2084</v>
      </c>
      <c r="E766" s="577" t="s">
        <v>134</v>
      </c>
      <c r="F766" s="570">
        <v>2</v>
      </c>
      <c r="G766" s="579">
        <v>4807.55</v>
      </c>
      <c r="H766" s="600">
        <v>6032.99</v>
      </c>
      <c r="I766" s="600">
        <v>12065.98</v>
      </c>
      <c r="J766" s="612">
        <v>0.00049063977629847</v>
      </c>
      <c r="K766" s="613">
        <f t="shared" si="40"/>
        <v>0</v>
      </c>
      <c r="L766" s="610">
        <f t="shared" si="43"/>
        <v>12065.98</v>
      </c>
      <c r="M766" s="601"/>
      <c r="N766" s="601"/>
      <c r="O766" s="601"/>
      <c r="P766" s="601"/>
      <c r="Q766" s="601"/>
      <c r="R766" s="601"/>
      <c r="S766" s="601"/>
      <c r="T766" s="601"/>
      <c r="U766" s="601"/>
      <c r="V766" s="601"/>
      <c r="W766" s="601"/>
      <c r="X766" s="601"/>
      <c r="Y766" s="601"/>
    </row>
    <row r="767" ht="51" spans="1:25">
      <c r="A767" s="569" t="s">
        <v>2085</v>
      </c>
      <c r="B767" s="569" t="s">
        <v>2086</v>
      </c>
      <c r="C767" s="569" t="s">
        <v>132</v>
      </c>
      <c r="D767" s="569" t="s">
        <v>2087</v>
      </c>
      <c r="E767" s="577" t="s">
        <v>134</v>
      </c>
      <c r="F767" s="570">
        <v>35</v>
      </c>
      <c r="G767" s="579">
        <v>676.39</v>
      </c>
      <c r="H767" s="600">
        <v>848.8</v>
      </c>
      <c r="I767" s="600">
        <v>29708</v>
      </c>
      <c r="J767" s="612">
        <v>0.00120801845140427</v>
      </c>
      <c r="K767" s="613">
        <f t="shared" si="40"/>
        <v>0</v>
      </c>
      <c r="L767" s="610">
        <f t="shared" si="43"/>
        <v>29708</v>
      </c>
      <c r="M767" s="601"/>
      <c r="N767" s="601"/>
      <c r="O767" s="601"/>
      <c r="P767" s="601"/>
      <c r="Q767" s="601"/>
      <c r="R767" s="601"/>
      <c r="S767" s="601"/>
      <c r="T767" s="601"/>
      <c r="U767" s="601"/>
      <c r="V767" s="601"/>
      <c r="W767" s="601"/>
      <c r="X767" s="601"/>
      <c r="Y767" s="601"/>
    </row>
    <row r="768" ht="51" spans="1:25">
      <c r="A768" s="569" t="s">
        <v>2088</v>
      </c>
      <c r="B768" s="569" t="s">
        <v>2089</v>
      </c>
      <c r="C768" s="569" t="s">
        <v>132</v>
      </c>
      <c r="D768" s="569" t="s">
        <v>2090</v>
      </c>
      <c r="E768" s="577" t="s">
        <v>134</v>
      </c>
      <c r="F768" s="570">
        <v>6</v>
      </c>
      <c r="G768" s="579">
        <v>676.39</v>
      </c>
      <c r="H768" s="600">
        <v>848.8</v>
      </c>
      <c r="I768" s="600">
        <v>5092.8</v>
      </c>
      <c r="J768" s="612">
        <v>0.00020708887738359</v>
      </c>
      <c r="K768" s="613">
        <f t="shared" si="40"/>
        <v>0</v>
      </c>
      <c r="L768" s="610">
        <f t="shared" si="43"/>
        <v>5092.8</v>
      </c>
      <c r="M768" s="601"/>
      <c r="N768" s="601"/>
      <c r="O768" s="601"/>
      <c r="P768" s="601"/>
      <c r="Q768" s="601"/>
      <c r="R768" s="601"/>
      <c r="S768" s="601"/>
      <c r="T768" s="601"/>
      <c r="U768" s="601"/>
      <c r="V768" s="601"/>
      <c r="W768" s="601"/>
      <c r="X768" s="601"/>
      <c r="Y768" s="601"/>
    </row>
    <row r="769" ht="51" spans="1:25">
      <c r="A769" s="569" t="s">
        <v>2091</v>
      </c>
      <c r="B769" s="569" t="s">
        <v>2092</v>
      </c>
      <c r="C769" s="569" t="s">
        <v>132</v>
      </c>
      <c r="D769" s="569" t="s">
        <v>2093</v>
      </c>
      <c r="E769" s="577" t="s">
        <v>134</v>
      </c>
      <c r="F769" s="570">
        <v>7</v>
      </c>
      <c r="G769" s="579">
        <v>676.39</v>
      </c>
      <c r="H769" s="600">
        <v>848.8</v>
      </c>
      <c r="I769" s="600">
        <v>5941.6</v>
      </c>
      <c r="J769" s="612">
        <v>0.000241603690280855</v>
      </c>
      <c r="K769" s="613">
        <f t="shared" si="40"/>
        <v>0</v>
      </c>
      <c r="L769" s="610">
        <f t="shared" si="43"/>
        <v>5941.6</v>
      </c>
      <c r="M769" s="601"/>
      <c r="N769" s="601"/>
      <c r="O769" s="601"/>
      <c r="P769" s="601"/>
      <c r="Q769" s="601"/>
      <c r="R769" s="601"/>
      <c r="S769" s="601"/>
      <c r="T769" s="601"/>
      <c r="U769" s="601"/>
      <c r="V769" s="601"/>
      <c r="W769" s="601"/>
      <c r="X769" s="601"/>
      <c r="Y769" s="601"/>
    </row>
    <row r="770" ht="51" spans="1:25">
      <c r="A770" s="569" t="s">
        <v>2094</v>
      </c>
      <c r="B770" s="569" t="s">
        <v>2095</v>
      </c>
      <c r="C770" s="569" t="s">
        <v>132</v>
      </c>
      <c r="D770" s="569" t="s">
        <v>2096</v>
      </c>
      <c r="E770" s="577" t="s">
        <v>134</v>
      </c>
      <c r="F770" s="570">
        <v>2</v>
      </c>
      <c r="G770" s="579">
        <v>1399.84</v>
      </c>
      <c r="H770" s="600">
        <v>1756.65</v>
      </c>
      <c r="I770" s="600">
        <v>3513.3</v>
      </c>
      <c r="J770" s="612">
        <v>0.000142861560028229</v>
      </c>
      <c r="K770" s="613">
        <f t="shared" si="40"/>
        <v>0</v>
      </c>
      <c r="L770" s="610">
        <f t="shared" si="43"/>
        <v>3513.3</v>
      </c>
      <c r="M770" s="601"/>
      <c r="N770" s="601"/>
      <c r="O770" s="601"/>
      <c r="P770" s="601"/>
      <c r="Q770" s="601"/>
      <c r="R770" s="601"/>
      <c r="S770" s="601"/>
      <c r="T770" s="601"/>
      <c r="U770" s="601"/>
      <c r="V770" s="601"/>
      <c r="W770" s="601"/>
      <c r="X770" s="601"/>
      <c r="Y770" s="601"/>
    </row>
    <row r="771" ht="51" spans="1:25">
      <c r="A771" s="569" t="s">
        <v>2097</v>
      </c>
      <c r="B771" s="569" t="s">
        <v>2098</v>
      </c>
      <c r="C771" s="569" t="s">
        <v>132</v>
      </c>
      <c r="D771" s="569" t="s">
        <v>2099</v>
      </c>
      <c r="E771" s="577" t="s">
        <v>134</v>
      </c>
      <c r="F771" s="570">
        <v>1</v>
      </c>
      <c r="G771" s="579">
        <v>5291.59</v>
      </c>
      <c r="H771" s="600">
        <v>6640.41</v>
      </c>
      <c r="I771" s="600">
        <v>6640.41</v>
      </c>
      <c r="J771" s="612">
        <v>0.000270019449471168</v>
      </c>
      <c r="K771" s="613">
        <f t="shared" si="40"/>
        <v>0</v>
      </c>
      <c r="L771" s="610">
        <f t="shared" si="43"/>
        <v>6640.41</v>
      </c>
      <c r="M771" s="601"/>
      <c r="N771" s="601"/>
      <c r="O771" s="601"/>
      <c r="P771" s="601"/>
      <c r="Q771" s="601"/>
      <c r="R771" s="601"/>
      <c r="S771" s="601"/>
      <c r="T771" s="601"/>
      <c r="U771" s="601"/>
      <c r="V771" s="601"/>
      <c r="W771" s="601"/>
      <c r="X771" s="601"/>
      <c r="Y771" s="601"/>
    </row>
    <row r="772" ht="51" spans="1:25">
      <c r="A772" s="569" t="s">
        <v>2100</v>
      </c>
      <c r="B772" s="569" t="s">
        <v>2101</v>
      </c>
      <c r="C772" s="569" t="s">
        <v>132</v>
      </c>
      <c r="D772" s="569" t="s">
        <v>2102</v>
      </c>
      <c r="E772" s="577" t="s">
        <v>134</v>
      </c>
      <c r="F772" s="570">
        <v>4</v>
      </c>
      <c r="G772" s="579">
        <v>5395.98</v>
      </c>
      <c r="H772" s="600">
        <v>6771.41</v>
      </c>
      <c r="I772" s="600">
        <v>27085.64</v>
      </c>
      <c r="J772" s="612">
        <v>0.0011013852459975</v>
      </c>
      <c r="K772" s="613">
        <f t="shared" si="40"/>
        <v>0</v>
      </c>
      <c r="L772" s="610">
        <f t="shared" si="43"/>
        <v>27085.64</v>
      </c>
      <c r="M772" s="601"/>
      <c r="N772" s="601"/>
      <c r="O772" s="601"/>
      <c r="P772" s="601"/>
      <c r="Q772" s="601"/>
      <c r="R772" s="601"/>
      <c r="S772" s="601"/>
      <c r="T772" s="601"/>
      <c r="U772" s="601"/>
      <c r="V772" s="601"/>
      <c r="W772" s="601"/>
      <c r="X772" s="601"/>
      <c r="Y772" s="601"/>
    </row>
    <row r="773" ht="51" spans="1:25">
      <c r="A773" s="569" t="s">
        <v>2103</v>
      </c>
      <c r="B773" s="569" t="s">
        <v>2104</v>
      </c>
      <c r="C773" s="569" t="s">
        <v>132</v>
      </c>
      <c r="D773" s="569" t="s">
        <v>2105</v>
      </c>
      <c r="E773" s="577" t="s">
        <v>134</v>
      </c>
      <c r="F773" s="570">
        <v>10</v>
      </c>
      <c r="G773" s="579">
        <v>7032.21</v>
      </c>
      <c r="H773" s="600">
        <v>8824.72</v>
      </c>
      <c r="I773" s="600">
        <v>88247.2</v>
      </c>
      <c r="J773" s="612">
        <v>0.00358840197538586</v>
      </c>
      <c r="K773" s="613">
        <f t="shared" si="40"/>
        <v>0</v>
      </c>
      <c r="L773" s="610">
        <f t="shared" si="43"/>
        <v>88247.2</v>
      </c>
      <c r="M773" s="601"/>
      <c r="N773" s="601"/>
      <c r="O773" s="601"/>
      <c r="P773" s="601"/>
      <c r="Q773" s="601"/>
      <c r="R773" s="601"/>
      <c r="S773" s="601"/>
      <c r="T773" s="601"/>
      <c r="U773" s="601"/>
      <c r="V773" s="601"/>
      <c r="W773" s="601"/>
      <c r="X773" s="601"/>
      <c r="Y773" s="601"/>
    </row>
    <row r="774" ht="51" spans="1:25">
      <c r="A774" s="569" t="s">
        <v>2106</v>
      </c>
      <c r="B774" s="569" t="s">
        <v>2107</v>
      </c>
      <c r="C774" s="569" t="s">
        <v>132</v>
      </c>
      <c r="D774" s="569" t="s">
        <v>2108</v>
      </c>
      <c r="E774" s="577" t="s">
        <v>134</v>
      </c>
      <c r="F774" s="570">
        <v>9</v>
      </c>
      <c r="G774" s="579">
        <v>7199.24</v>
      </c>
      <c r="H774" s="600">
        <v>9034.32</v>
      </c>
      <c r="I774" s="600">
        <v>81308.88</v>
      </c>
      <c r="J774" s="612">
        <v>0.00330626859105345</v>
      </c>
      <c r="K774" s="613">
        <f t="shared" si="40"/>
        <v>0</v>
      </c>
      <c r="L774" s="610">
        <f t="shared" si="43"/>
        <v>81308.88</v>
      </c>
      <c r="M774" s="601"/>
      <c r="N774" s="601"/>
      <c r="O774" s="601"/>
      <c r="P774" s="601"/>
      <c r="Q774" s="601"/>
      <c r="R774" s="601"/>
      <c r="S774" s="601"/>
      <c r="T774" s="601"/>
      <c r="U774" s="601"/>
      <c r="V774" s="601"/>
      <c r="W774" s="601"/>
      <c r="X774" s="601"/>
      <c r="Y774" s="601"/>
    </row>
    <row r="775" ht="51" spans="1:25">
      <c r="A775" s="569" t="s">
        <v>2109</v>
      </c>
      <c r="B775" s="569" t="s">
        <v>2110</v>
      </c>
      <c r="C775" s="569" t="s">
        <v>132</v>
      </c>
      <c r="D775" s="569" t="s">
        <v>2111</v>
      </c>
      <c r="E775" s="577" t="s">
        <v>134</v>
      </c>
      <c r="F775" s="570">
        <v>1</v>
      </c>
      <c r="G775" s="579">
        <v>3336.93</v>
      </c>
      <c r="H775" s="600">
        <v>4187.51</v>
      </c>
      <c r="I775" s="600">
        <v>4187.51</v>
      </c>
      <c r="J775" s="612">
        <v>0.000170277007723169</v>
      </c>
      <c r="K775" s="613">
        <f t="shared" si="40"/>
        <v>0</v>
      </c>
      <c r="L775" s="610">
        <f t="shared" si="43"/>
        <v>4187.51</v>
      </c>
      <c r="M775" s="601"/>
      <c r="N775" s="601"/>
      <c r="O775" s="601"/>
      <c r="P775" s="601"/>
      <c r="Q775" s="601"/>
      <c r="R775" s="601"/>
      <c r="S775" s="601"/>
      <c r="T775" s="601"/>
      <c r="U775" s="601"/>
      <c r="V775" s="601"/>
      <c r="W775" s="601"/>
      <c r="X775" s="601"/>
      <c r="Y775" s="601"/>
    </row>
    <row r="776" ht="51" spans="1:25">
      <c r="A776" s="569" t="s">
        <v>2112</v>
      </c>
      <c r="B776" s="569" t="s">
        <v>2113</v>
      </c>
      <c r="C776" s="569" t="s">
        <v>132</v>
      </c>
      <c r="D776" s="569" t="s">
        <v>2114</v>
      </c>
      <c r="E776" s="577" t="s">
        <v>134</v>
      </c>
      <c r="F776" s="570">
        <v>1</v>
      </c>
      <c r="G776" s="579">
        <v>3702.29</v>
      </c>
      <c r="H776" s="600">
        <v>4646</v>
      </c>
      <c r="I776" s="600">
        <v>4646</v>
      </c>
      <c r="J776" s="612">
        <v>0.000188920618191203</v>
      </c>
      <c r="K776" s="613">
        <f t="shared" si="40"/>
        <v>0</v>
      </c>
      <c r="L776" s="610">
        <f t="shared" si="43"/>
        <v>4646</v>
      </c>
      <c r="M776" s="601"/>
      <c r="N776" s="601"/>
      <c r="O776" s="601"/>
      <c r="P776" s="601"/>
      <c r="Q776" s="601"/>
      <c r="R776" s="601"/>
      <c r="S776" s="601"/>
      <c r="T776" s="601"/>
      <c r="U776" s="601"/>
      <c r="V776" s="601"/>
      <c r="W776" s="601"/>
      <c r="X776" s="601"/>
      <c r="Y776" s="601"/>
    </row>
    <row r="777" ht="51" spans="1:25">
      <c r="A777" s="569" t="s">
        <v>2115</v>
      </c>
      <c r="B777" s="569" t="s">
        <v>2116</v>
      </c>
      <c r="C777" s="569" t="s">
        <v>132</v>
      </c>
      <c r="D777" s="569" t="s">
        <v>2117</v>
      </c>
      <c r="E777" s="577" t="s">
        <v>134</v>
      </c>
      <c r="F777" s="570">
        <v>1</v>
      </c>
      <c r="G777" s="579">
        <v>250.62</v>
      </c>
      <c r="H777" s="600">
        <v>314.5</v>
      </c>
      <c r="I777" s="600">
        <v>314.5</v>
      </c>
      <c r="J777" s="612">
        <v>1.27885351745875e-5</v>
      </c>
      <c r="K777" s="613">
        <f t="shared" ref="K777:K840" si="44">$I$1051</f>
        <v>0</v>
      </c>
      <c r="L777" s="610">
        <f t="shared" si="43"/>
        <v>314.5</v>
      </c>
      <c r="M777" s="601"/>
      <c r="N777" s="601"/>
      <c r="O777" s="601"/>
      <c r="P777" s="601"/>
      <c r="Q777" s="601"/>
      <c r="R777" s="601"/>
      <c r="S777" s="601"/>
      <c r="T777" s="601"/>
      <c r="U777" s="601"/>
      <c r="V777" s="601"/>
      <c r="W777" s="601"/>
      <c r="X777" s="601"/>
      <c r="Y777" s="601"/>
    </row>
    <row r="778" ht="76.5" spans="1:25">
      <c r="A778" s="569" t="s">
        <v>2118</v>
      </c>
      <c r="B778" s="569" t="s">
        <v>2119</v>
      </c>
      <c r="C778" s="569" t="s">
        <v>132</v>
      </c>
      <c r="D778" s="569" t="s">
        <v>2120</v>
      </c>
      <c r="E778" s="577" t="s">
        <v>134</v>
      </c>
      <c r="F778" s="570">
        <v>1</v>
      </c>
      <c r="G778" s="579">
        <v>75550.8</v>
      </c>
      <c r="H778" s="600" t="s">
        <v>2121</v>
      </c>
      <c r="I778" s="600">
        <v>87729.58</v>
      </c>
      <c r="J778" s="612">
        <v>0.00356735395765273</v>
      </c>
      <c r="K778" s="613">
        <f t="shared" si="44"/>
        <v>0</v>
      </c>
      <c r="L778" s="610">
        <f t="shared" si="43"/>
        <v>87729.58</v>
      </c>
      <c r="M778" s="601"/>
      <c r="N778" s="601"/>
      <c r="O778" s="601"/>
      <c r="P778" s="601"/>
      <c r="Q778" s="601"/>
      <c r="R778" s="601"/>
      <c r="S778" s="601"/>
      <c r="T778" s="601"/>
      <c r="U778" s="601"/>
      <c r="V778" s="601"/>
      <c r="W778" s="601"/>
      <c r="X778" s="601"/>
      <c r="Y778" s="601"/>
    </row>
    <row r="779" ht="76.5" spans="1:25">
      <c r="A779" s="569" t="s">
        <v>2122</v>
      </c>
      <c r="B779" s="569" t="s">
        <v>2123</v>
      </c>
      <c r="C779" s="569" t="s">
        <v>132</v>
      </c>
      <c r="D779" s="569" t="s">
        <v>2124</v>
      </c>
      <c r="E779" s="577" t="s">
        <v>134</v>
      </c>
      <c r="F779" s="570">
        <v>1</v>
      </c>
      <c r="G779" s="579">
        <v>177.03</v>
      </c>
      <c r="H779" s="600">
        <v>222.15</v>
      </c>
      <c r="I779" s="600">
        <v>222.15</v>
      </c>
      <c r="J779" s="612">
        <v>9.03330076004643e-6</v>
      </c>
      <c r="K779" s="613">
        <f t="shared" si="44"/>
        <v>0</v>
      </c>
      <c r="L779" s="610">
        <f t="shared" si="43"/>
        <v>222.15</v>
      </c>
      <c r="M779" s="601"/>
      <c r="N779" s="601"/>
      <c r="O779" s="601"/>
      <c r="P779" s="601"/>
      <c r="Q779" s="601"/>
      <c r="R779" s="601"/>
      <c r="S779" s="601"/>
      <c r="T779" s="601"/>
      <c r="U779" s="601"/>
      <c r="V779" s="601"/>
      <c r="W779" s="601"/>
      <c r="X779" s="601"/>
      <c r="Y779" s="601"/>
    </row>
    <row r="780" ht="76.5" spans="1:25">
      <c r="A780" s="569" t="s">
        <v>2125</v>
      </c>
      <c r="B780" s="569" t="s">
        <v>2126</v>
      </c>
      <c r="C780" s="569" t="s">
        <v>132</v>
      </c>
      <c r="D780" s="569" t="s">
        <v>2127</v>
      </c>
      <c r="E780" s="577" t="s">
        <v>134</v>
      </c>
      <c r="F780" s="570">
        <v>1</v>
      </c>
      <c r="G780" s="579">
        <v>75550.8</v>
      </c>
      <c r="H780" s="600" t="s">
        <v>2121</v>
      </c>
      <c r="I780" s="600">
        <v>87729.58</v>
      </c>
      <c r="J780" s="612">
        <v>0.00356735395765273</v>
      </c>
      <c r="K780" s="613">
        <f t="shared" si="44"/>
        <v>0</v>
      </c>
      <c r="L780" s="610">
        <f t="shared" si="43"/>
        <v>87729.58</v>
      </c>
      <c r="M780" s="601"/>
      <c r="N780" s="601"/>
      <c r="O780" s="601"/>
      <c r="P780" s="601"/>
      <c r="Q780" s="601"/>
      <c r="R780" s="601"/>
      <c r="S780" s="601"/>
      <c r="T780" s="601"/>
      <c r="U780" s="601"/>
      <c r="V780" s="601"/>
      <c r="W780" s="601"/>
      <c r="X780" s="601"/>
      <c r="Y780" s="601"/>
    </row>
    <row r="781" ht="76.5" spans="1:25">
      <c r="A781" s="569" t="s">
        <v>2128</v>
      </c>
      <c r="B781" s="569" t="s">
        <v>2129</v>
      </c>
      <c r="C781" s="569" t="s">
        <v>132</v>
      </c>
      <c r="D781" s="569" t="s">
        <v>2130</v>
      </c>
      <c r="E781" s="577" t="s">
        <v>134</v>
      </c>
      <c r="F781" s="570">
        <v>1</v>
      </c>
      <c r="G781" s="579">
        <v>177.03</v>
      </c>
      <c r="H781" s="600">
        <v>222.15</v>
      </c>
      <c r="I781" s="600">
        <v>222.15</v>
      </c>
      <c r="J781" s="612">
        <v>9.03330076004643e-6</v>
      </c>
      <c r="K781" s="613">
        <f t="shared" si="44"/>
        <v>0</v>
      </c>
      <c r="L781" s="610">
        <f t="shared" si="43"/>
        <v>222.15</v>
      </c>
      <c r="M781" s="601"/>
      <c r="N781" s="601"/>
      <c r="O781" s="601"/>
      <c r="P781" s="601"/>
      <c r="Q781" s="601"/>
      <c r="R781" s="601"/>
      <c r="S781" s="601"/>
      <c r="T781" s="601"/>
      <c r="U781" s="601"/>
      <c r="V781" s="601"/>
      <c r="W781" s="601"/>
      <c r="X781" s="601"/>
      <c r="Y781" s="601"/>
    </row>
    <row r="782" ht="76.5" spans="1:25">
      <c r="A782" s="569" t="s">
        <v>2131</v>
      </c>
      <c r="B782" s="569" t="s">
        <v>2132</v>
      </c>
      <c r="C782" s="569" t="s">
        <v>132</v>
      </c>
      <c r="D782" s="569" t="s">
        <v>2133</v>
      </c>
      <c r="E782" s="577" t="s">
        <v>134</v>
      </c>
      <c r="F782" s="570">
        <v>1</v>
      </c>
      <c r="G782" s="579">
        <v>79111.54</v>
      </c>
      <c r="H782" s="600" t="s">
        <v>2134</v>
      </c>
      <c r="I782" s="600">
        <v>91864.32</v>
      </c>
      <c r="J782" s="612">
        <v>0.00373548517522912</v>
      </c>
      <c r="K782" s="613">
        <f t="shared" si="44"/>
        <v>0</v>
      </c>
      <c r="L782" s="610">
        <f t="shared" si="43"/>
        <v>91864.32</v>
      </c>
      <c r="M782" s="601"/>
      <c r="N782" s="601"/>
      <c r="O782" s="601"/>
      <c r="P782" s="601"/>
      <c r="Q782" s="601"/>
      <c r="R782" s="601"/>
      <c r="S782" s="601"/>
      <c r="T782" s="601"/>
      <c r="U782" s="601"/>
      <c r="V782" s="601"/>
      <c r="W782" s="601"/>
      <c r="X782" s="601"/>
      <c r="Y782" s="601"/>
    </row>
    <row r="783" ht="76.5" spans="1:25">
      <c r="A783" s="569" t="s">
        <v>2135</v>
      </c>
      <c r="B783" s="569" t="s">
        <v>2136</v>
      </c>
      <c r="C783" s="569" t="s">
        <v>132</v>
      </c>
      <c r="D783" s="569" t="s">
        <v>2137</v>
      </c>
      <c r="E783" s="577" t="s">
        <v>134</v>
      </c>
      <c r="F783" s="570">
        <v>1</v>
      </c>
      <c r="G783" s="579">
        <v>177.03</v>
      </c>
      <c r="H783" s="600">
        <v>222.15</v>
      </c>
      <c r="I783" s="600">
        <v>222.15</v>
      </c>
      <c r="J783" s="612">
        <v>9.03330076004643e-6</v>
      </c>
      <c r="K783" s="613">
        <f t="shared" si="44"/>
        <v>0</v>
      </c>
      <c r="L783" s="610">
        <f t="shared" si="43"/>
        <v>222.15</v>
      </c>
      <c r="M783" s="601"/>
      <c r="N783" s="601"/>
      <c r="O783" s="601"/>
      <c r="P783" s="601"/>
      <c r="Q783" s="601"/>
      <c r="R783" s="601"/>
      <c r="S783" s="601"/>
      <c r="T783" s="601"/>
      <c r="U783" s="601"/>
      <c r="V783" s="601"/>
      <c r="W783" s="601"/>
      <c r="X783" s="601"/>
      <c r="Y783" s="601"/>
    </row>
    <row r="784" ht="76.5" spans="1:25">
      <c r="A784" s="569" t="s">
        <v>2138</v>
      </c>
      <c r="B784" s="569" t="s">
        <v>2139</v>
      </c>
      <c r="C784" s="569" t="s">
        <v>132</v>
      </c>
      <c r="D784" s="569" t="s">
        <v>2140</v>
      </c>
      <c r="E784" s="577" t="s">
        <v>134</v>
      </c>
      <c r="F784" s="570">
        <v>1</v>
      </c>
      <c r="G784" s="579">
        <v>79111.54</v>
      </c>
      <c r="H784" s="600" t="s">
        <v>2134</v>
      </c>
      <c r="I784" s="600">
        <v>91864.32</v>
      </c>
      <c r="J784" s="612">
        <v>0.00373548517522912</v>
      </c>
      <c r="K784" s="613">
        <f t="shared" si="44"/>
        <v>0</v>
      </c>
      <c r="L784" s="610">
        <f t="shared" si="43"/>
        <v>91864.32</v>
      </c>
      <c r="M784" s="601"/>
      <c r="N784" s="601"/>
      <c r="O784" s="601"/>
      <c r="P784" s="601"/>
      <c r="Q784" s="601"/>
      <c r="R784" s="601"/>
      <c r="S784" s="601"/>
      <c r="T784" s="601"/>
      <c r="U784" s="601"/>
      <c r="V784" s="601"/>
      <c r="W784" s="601"/>
      <c r="X784" s="601"/>
      <c r="Y784" s="601"/>
    </row>
    <row r="785" ht="76.5" spans="1:25">
      <c r="A785" s="569" t="s">
        <v>2141</v>
      </c>
      <c r="B785" s="569" t="s">
        <v>2142</v>
      </c>
      <c r="C785" s="569" t="s">
        <v>132</v>
      </c>
      <c r="D785" s="569" t="s">
        <v>2143</v>
      </c>
      <c r="E785" s="577" t="s">
        <v>134</v>
      </c>
      <c r="F785" s="570">
        <v>1</v>
      </c>
      <c r="G785" s="579">
        <v>177.03</v>
      </c>
      <c r="H785" s="600">
        <v>222.15</v>
      </c>
      <c r="I785" s="600">
        <v>222.15</v>
      </c>
      <c r="J785" s="612">
        <v>9.03330076004643e-6</v>
      </c>
      <c r="K785" s="613">
        <f t="shared" si="44"/>
        <v>0</v>
      </c>
      <c r="L785" s="610">
        <f t="shared" si="43"/>
        <v>222.15</v>
      </c>
      <c r="M785" s="601"/>
      <c r="N785" s="601"/>
      <c r="O785" s="601"/>
      <c r="P785" s="601"/>
      <c r="Q785" s="601"/>
      <c r="R785" s="601"/>
      <c r="S785" s="601"/>
      <c r="T785" s="601"/>
      <c r="U785" s="601"/>
      <c r="V785" s="601"/>
      <c r="W785" s="601"/>
      <c r="X785" s="601"/>
      <c r="Y785" s="601"/>
    </row>
    <row r="786" ht="89.25" spans="1:25">
      <c r="A786" s="569" t="s">
        <v>2144</v>
      </c>
      <c r="B786" s="569" t="s">
        <v>2145</v>
      </c>
      <c r="C786" s="569" t="s">
        <v>132</v>
      </c>
      <c r="D786" s="569" t="s">
        <v>2146</v>
      </c>
      <c r="E786" s="577" t="s">
        <v>134</v>
      </c>
      <c r="F786" s="570">
        <v>1</v>
      </c>
      <c r="G786" s="579">
        <v>853878.73</v>
      </c>
      <c r="H786" s="600" t="s">
        <v>2147</v>
      </c>
      <c r="I786" s="600">
        <v>991523.98</v>
      </c>
      <c r="J786" s="612">
        <v>0.0403184079322002</v>
      </c>
      <c r="K786" s="613">
        <f t="shared" si="44"/>
        <v>0</v>
      </c>
      <c r="L786" s="610">
        <f t="shared" si="43"/>
        <v>991523.98</v>
      </c>
      <c r="M786" s="601"/>
      <c r="N786" s="601"/>
      <c r="O786" s="601"/>
      <c r="P786" s="601"/>
      <c r="Q786" s="601"/>
      <c r="R786" s="601"/>
      <c r="S786" s="601"/>
      <c r="T786" s="601"/>
      <c r="U786" s="601"/>
      <c r="V786" s="601"/>
      <c r="W786" s="601"/>
      <c r="X786" s="601"/>
      <c r="Y786" s="601"/>
    </row>
    <row r="787" ht="89.25" spans="1:25">
      <c r="A787" s="569" t="s">
        <v>2148</v>
      </c>
      <c r="B787" s="569" t="s">
        <v>2149</v>
      </c>
      <c r="C787" s="569" t="s">
        <v>132</v>
      </c>
      <c r="D787" s="569" t="s">
        <v>2150</v>
      </c>
      <c r="E787" s="577" t="s">
        <v>134</v>
      </c>
      <c r="F787" s="570">
        <v>1</v>
      </c>
      <c r="G787" s="579">
        <v>45700.66</v>
      </c>
      <c r="H787" s="600">
        <v>57349.75</v>
      </c>
      <c r="I787" s="600">
        <v>57349.75</v>
      </c>
      <c r="J787" s="612">
        <v>0.00233201683665754</v>
      </c>
      <c r="K787" s="613">
        <f t="shared" si="44"/>
        <v>0</v>
      </c>
      <c r="L787" s="610">
        <f t="shared" si="43"/>
        <v>57349.75</v>
      </c>
      <c r="M787" s="601"/>
      <c r="N787" s="601"/>
      <c r="O787" s="601"/>
      <c r="P787" s="601"/>
      <c r="Q787" s="601"/>
      <c r="R787" s="601"/>
      <c r="S787" s="601"/>
      <c r="T787" s="601"/>
      <c r="U787" s="601"/>
      <c r="V787" s="601"/>
      <c r="W787" s="601"/>
      <c r="X787" s="601"/>
      <c r="Y787" s="601"/>
    </row>
    <row r="788" ht="51" spans="1:25">
      <c r="A788" s="569" t="s">
        <v>2151</v>
      </c>
      <c r="B788" s="569" t="s">
        <v>2152</v>
      </c>
      <c r="C788" s="569" t="s">
        <v>132</v>
      </c>
      <c r="D788" s="569" t="s">
        <v>2153</v>
      </c>
      <c r="E788" s="577" t="s">
        <v>134</v>
      </c>
      <c r="F788" s="570">
        <v>1</v>
      </c>
      <c r="G788" s="579">
        <v>155966.19</v>
      </c>
      <c r="H788" s="600" t="s">
        <v>2154</v>
      </c>
      <c r="I788" s="600">
        <v>181107.93</v>
      </c>
      <c r="J788" s="612">
        <v>0.00736440423911518</v>
      </c>
      <c r="K788" s="613">
        <f t="shared" si="44"/>
        <v>0</v>
      </c>
      <c r="L788" s="610">
        <f t="shared" si="43"/>
        <v>181107.93</v>
      </c>
      <c r="M788" s="601"/>
      <c r="N788" s="601"/>
      <c r="O788" s="601"/>
      <c r="P788" s="601"/>
      <c r="Q788" s="601"/>
      <c r="R788" s="601"/>
      <c r="S788" s="601"/>
      <c r="T788" s="601"/>
      <c r="U788" s="601"/>
      <c r="V788" s="601"/>
      <c r="W788" s="601"/>
      <c r="X788" s="601"/>
      <c r="Y788" s="601"/>
    </row>
    <row r="789" ht="51" spans="1:25">
      <c r="A789" s="569" t="s">
        <v>2155</v>
      </c>
      <c r="B789" s="569" t="s">
        <v>2156</v>
      </c>
      <c r="C789" s="569" t="s">
        <v>132</v>
      </c>
      <c r="D789" s="569" t="s">
        <v>2157</v>
      </c>
      <c r="E789" s="577" t="s">
        <v>134</v>
      </c>
      <c r="F789" s="570">
        <v>1</v>
      </c>
      <c r="G789" s="579">
        <v>864.56</v>
      </c>
      <c r="H789" s="600">
        <v>1084.93</v>
      </c>
      <c r="I789" s="600">
        <v>1084.93</v>
      </c>
      <c r="J789" s="612">
        <v>4.41165833607796e-5</v>
      </c>
      <c r="K789" s="613">
        <f t="shared" si="44"/>
        <v>0</v>
      </c>
      <c r="L789" s="610">
        <f t="shared" si="43"/>
        <v>1084.93</v>
      </c>
      <c r="M789" s="601"/>
      <c r="N789" s="601"/>
      <c r="O789" s="601"/>
      <c r="P789" s="601"/>
      <c r="Q789" s="601"/>
      <c r="R789" s="601"/>
      <c r="S789" s="601"/>
      <c r="T789" s="601"/>
      <c r="U789" s="601"/>
      <c r="V789" s="601"/>
      <c r="W789" s="601"/>
      <c r="X789" s="601"/>
      <c r="Y789" s="601"/>
    </row>
    <row r="790" ht="89.25" spans="1:25">
      <c r="A790" s="569" t="s">
        <v>2158</v>
      </c>
      <c r="B790" s="569" t="s">
        <v>2159</v>
      </c>
      <c r="C790" s="569" t="s">
        <v>132</v>
      </c>
      <c r="D790" s="569" t="s">
        <v>2160</v>
      </c>
      <c r="E790" s="577" t="s">
        <v>134</v>
      </c>
      <c r="F790" s="570">
        <v>1</v>
      </c>
      <c r="G790" s="579">
        <v>184998.76</v>
      </c>
      <c r="H790" s="600" t="s">
        <v>2161</v>
      </c>
      <c r="I790" s="600">
        <v>214820.56</v>
      </c>
      <c r="J790" s="612">
        <v>0.00873526323619897</v>
      </c>
      <c r="K790" s="613">
        <f t="shared" si="44"/>
        <v>0</v>
      </c>
      <c r="L790" s="610">
        <f t="shared" si="43"/>
        <v>214820.56</v>
      </c>
      <c r="M790" s="601"/>
      <c r="N790" s="601"/>
      <c r="O790" s="601"/>
      <c r="P790" s="601"/>
      <c r="Q790" s="601"/>
      <c r="R790" s="601"/>
      <c r="S790" s="601"/>
      <c r="T790" s="601"/>
      <c r="U790" s="601"/>
      <c r="V790" s="601"/>
      <c r="W790" s="601"/>
      <c r="X790" s="601"/>
      <c r="Y790" s="601"/>
    </row>
    <row r="791" ht="102" spans="1:25">
      <c r="A791" s="569" t="s">
        <v>2162</v>
      </c>
      <c r="B791" s="569" t="s">
        <v>2163</v>
      </c>
      <c r="C791" s="569" t="s">
        <v>132</v>
      </c>
      <c r="D791" s="569" t="s">
        <v>2164</v>
      </c>
      <c r="E791" s="577" t="s">
        <v>134</v>
      </c>
      <c r="F791" s="570">
        <v>1</v>
      </c>
      <c r="G791" s="579">
        <v>13688.84</v>
      </c>
      <c r="H791" s="600">
        <v>17178.12</v>
      </c>
      <c r="I791" s="600">
        <v>17178.12</v>
      </c>
      <c r="J791" s="612">
        <v>0.000698515077434926</v>
      </c>
      <c r="K791" s="613">
        <f t="shared" si="44"/>
        <v>0</v>
      </c>
      <c r="L791" s="610">
        <f t="shared" si="43"/>
        <v>17178.12</v>
      </c>
      <c r="M791" s="601"/>
      <c r="N791" s="601"/>
      <c r="O791" s="601"/>
      <c r="P791" s="601"/>
      <c r="Q791" s="601"/>
      <c r="R791" s="601"/>
      <c r="S791" s="601"/>
      <c r="T791" s="601"/>
      <c r="U791" s="601"/>
      <c r="V791" s="601"/>
      <c r="W791" s="601"/>
      <c r="X791" s="601"/>
      <c r="Y791" s="601"/>
    </row>
    <row r="792" ht="89.25" spans="1:25">
      <c r="A792" s="569" t="s">
        <v>2165</v>
      </c>
      <c r="B792" s="569" t="s">
        <v>2166</v>
      </c>
      <c r="C792" s="569" t="s">
        <v>132</v>
      </c>
      <c r="D792" s="569" t="s">
        <v>2167</v>
      </c>
      <c r="E792" s="577" t="s">
        <v>134</v>
      </c>
      <c r="F792" s="570">
        <v>1</v>
      </c>
      <c r="G792" s="579">
        <v>204859.51</v>
      </c>
      <c r="H792" s="600" t="s">
        <v>2168</v>
      </c>
      <c r="I792" s="600">
        <v>237882.86</v>
      </c>
      <c r="J792" s="612">
        <v>0.0096730471304975</v>
      </c>
      <c r="K792" s="613">
        <f t="shared" si="44"/>
        <v>0</v>
      </c>
      <c r="L792" s="610">
        <f t="shared" si="43"/>
        <v>237882.86</v>
      </c>
      <c r="M792" s="601"/>
      <c r="N792" s="601"/>
      <c r="O792" s="601"/>
      <c r="P792" s="601"/>
      <c r="Q792" s="601"/>
      <c r="R792" s="601"/>
      <c r="S792" s="601"/>
      <c r="T792" s="601"/>
      <c r="U792" s="601"/>
      <c r="V792" s="601"/>
      <c r="W792" s="601"/>
      <c r="X792" s="601"/>
      <c r="Y792" s="601"/>
    </row>
    <row r="793" ht="89.25" spans="1:25">
      <c r="A793" s="569" t="s">
        <v>2169</v>
      </c>
      <c r="B793" s="569" t="s">
        <v>2170</v>
      </c>
      <c r="C793" s="569" t="s">
        <v>132</v>
      </c>
      <c r="D793" s="569" t="s">
        <v>2171</v>
      </c>
      <c r="E793" s="577" t="s">
        <v>134</v>
      </c>
      <c r="F793" s="570">
        <v>1</v>
      </c>
      <c r="G793" s="579">
        <v>13688.84</v>
      </c>
      <c r="H793" s="600">
        <v>17178.12</v>
      </c>
      <c r="I793" s="600">
        <v>17178.12</v>
      </c>
      <c r="J793" s="612">
        <v>0.000698515077434926</v>
      </c>
      <c r="K793" s="613">
        <f t="shared" si="44"/>
        <v>0</v>
      </c>
      <c r="L793" s="610">
        <f t="shared" si="43"/>
        <v>17178.12</v>
      </c>
      <c r="M793" s="601"/>
      <c r="N793" s="601"/>
      <c r="O793" s="601"/>
      <c r="P793" s="601"/>
      <c r="Q793" s="601"/>
      <c r="R793" s="601"/>
      <c r="S793" s="601"/>
      <c r="T793" s="601"/>
      <c r="U793" s="601"/>
      <c r="V793" s="601"/>
      <c r="W793" s="601"/>
      <c r="X793" s="601"/>
      <c r="Y793" s="601"/>
    </row>
    <row r="794" ht="63.75" spans="1:25">
      <c r="A794" s="569" t="s">
        <v>2172</v>
      </c>
      <c r="B794" s="569" t="s">
        <v>2173</v>
      </c>
      <c r="C794" s="569" t="s">
        <v>132</v>
      </c>
      <c r="D794" s="569" t="s">
        <v>2174</v>
      </c>
      <c r="E794" s="577" t="s">
        <v>134</v>
      </c>
      <c r="F794" s="570">
        <v>1</v>
      </c>
      <c r="G794" s="579">
        <v>35153.74</v>
      </c>
      <c r="H794" s="600">
        <v>44114.42</v>
      </c>
      <c r="I794" s="600">
        <v>44114.42</v>
      </c>
      <c r="J794" s="612">
        <v>0.00179382770072027</v>
      </c>
      <c r="K794" s="613">
        <f t="shared" si="44"/>
        <v>0</v>
      </c>
      <c r="L794" s="610">
        <f t="shared" si="43"/>
        <v>44114.42</v>
      </c>
      <c r="M794" s="601"/>
      <c r="N794" s="601"/>
      <c r="O794" s="601"/>
      <c r="P794" s="601"/>
      <c r="Q794" s="601"/>
      <c r="R794" s="601"/>
      <c r="S794" s="601"/>
      <c r="T794" s="601"/>
      <c r="U794" s="601"/>
      <c r="V794" s="601"/>
      <c r="W794" s="601"/>
      <c r="X794" s="601"/>
      <c r="Y794" s="601"/>
    </row>
    <row r="795" ht="63.75" spans="1:25">
      <c r="A795" s="569" t="s">
        <v>2175</v>
      </c>
      <c r="B795" s="569" t="s">
        <v>2176</v>
      </c>
      <c r="C795" s="569" t="s">
        <v>132</v>
      </c>
      <c r="D795" s="569" t="s">
        <v>2177</v>
      </c>
      <c r="E795" s="577" t="s">
        <v>134</v>
      </c>
      <c r="F795" s="570">
        <v>1</v>
      </c>
      <c r="G795" s="579">
        <v>25387.53</v>
      </c>
      <c r="H795" s="600">
        <v>31858.81</v>
      </c>
      <c r="I795" s="600">
        <v>31858.81</v>
      </c>
      <c r="J795" s="612">
        <v>0.00129547698666295</v>
      </c>
      <c r="K795" s="613">
        <f t="shared" si="44"/>
        <v>0</v>
      </c>
      <c r="L795" s="610">
        <f t="shared" si="43"/>
        <v>31858.81</v>
      </c>
      <c r="M795" s="601"/>
      <c r="N795" s="601"/>
      <c r="O795" s="601"/>
      <c r="P795" s="601"/>
      <c r="Q795" s="601"/>
      <c r="R795" s="601"/>
      <c r="S795" s="601"/>
      <c r="T795" s="601"/>
      <c r="U795" s="601"/>
      <c r="V795" s="601"/>
      <c r="W795" s="601"/>
      <c r="X795" s="601"/>
      <c r="Y795" s="601"/>
    </row>
    <row r="796" ht="15" spans="1:25">
      <c r="A796" s="596" t="s">
        <v>2178</v>
      </c>
      <c r="B796" s="596" t="s">
        <v>74</v>
      </c>
      <c r="C796" s="596"/>
      <c r="D796" s="596" t="s">
        <v>2179</v>
      </c>
      <c r="E796" s="597"/>
      <c r="F796" s="598">
        <v>1</v>
      </c>
      <c r="G796" s="598"/>
      <c r="H796" s="599">
        <v>298572.13</v>
      </c>
      <c r="I796" s="599">
        <v>298572.13</v>
      </c>
      <c r="J796" s="608">
        <v>0.0121408590990668</v>
      </c>
      <c r="K796" s="613">
        <f t="shared" si="44"/>
        <v>0</v>
      </c>
      <c r="L796" s="610">
        <f>SUM(L797:L866)</f>
        <v>298572.13</v>
      </c>
      <c r="M796" s="601"/>
      <c r="N796" s="601"/>
      <c r="O796" s="601"/>
      <c r="P796" s="601"/>
      <c r="Q796" s="601"/>
      <c r="R796" s="601"/>
      <c r="S796" s="601"/>
      <c r="T796" s="601"/>
      <c r="U796" s="601"/>
      <c r="V796" s="601"/>
      <c r="W796" s="601"/>
      <c r="X796" s="601"/>
      <c r="Y796" s="601"/>
    </row>
    <row r="797" ht="89.25" spans="1:25">
      <c r="A797" s="569" t="s">
        <v>2180</v>
      </c>
      <c r="B797" s="569" t="s">
        <v>2181</v>
      </c>
      <c r="C797" s="569" t="s">
        <v>132</v>
      </c>
      <c r="D797" s="569" t="s">
        <v>2182</v>
      </c>
      <c r="E797" s="577" t="s">
        <v>134</v>
      </c>
      <c r="F797" s="570">
        <v>68</v>
      </c>
      <c r="G797" s="579">
        <v>16.4</v>
      </c>
      <c r="H797" s="600">
        <v>20.58</v>
      </c>
      <c r="I797" s="600">
        <v>1399.44</v>
      </c>
      <c r="J797" s="612">
        <v>5.69055251660562e-5</v>
      </c>
      <c r="K797" s="613">
        <f t="shared" si="44"/>
        <v>0</v>
      </c>
      <c r="L797" s="610">
        <f t="shared" ref="L797:L860" si="45">I797-(I797*K797)</f>
        <v>1399.44</v>
      </c>
      <c r="M797" s="601"/>
      <c r="N797" s="601"/>
      <c r="O797" s="601"/>
      <c r="P797" s="601"/>
      <c r="Q797" s="601"/>
      <c r="R797" s="601"/>
      <c r="S797" s="601"/>
      <c r="T797" s="601"/>
      <c r="U797" s="601"/>
      <c r="V797" s="601"/>
      <c r="W797" s="601"/>
      <c r="X797" s="601"/>
      <c r="Y797" s="601"/>
    </row>
    <row r="798" ht="38.25" spans="1:25">
      <c r="A798" s="569" t="s">
        <v>2183</v>
      </c>
      <c r="B798" s="569" t="s">
        <v>2184</v>
      </c>
      <c r="C798" s="569" t="s">
        <v>132</v>
      </c>
      <c r="D798" s="569" t="s">
        <v>2185</v>
      </c>
      <c r="E798" s="577" t="s">
        <v>134</v>
      </c>
      <c r="F798" s="570">
        <v>7</v>
      </c>
      <c r="G798" s="579">
        <v>34.56</v>
      </c>
      <c r="H798" s="600">
        <v>43.36</v>
      </c>
      <c r="I798" s="600">
        <v>303.52</v>
      </c>
      <c r="J798" s="612">
        <v>1.23420546778721e-5</v>
      </c>
      <c r="K798" s="613">
        <f t="shared" si="44"/>
        <v>0</v>
      </c>
      <c r="L798" s="610">
        <f t="shared" si="45"/>
        <v>303.52</v>
      </c>
      <c r="M798" s="601"/>
      <c r="N798" s="601"/>
      <c r="O798" s="601"/>
      <c r="P798" s="601"/>
      <c r="Q798" s="601"/>
      <c r="R798" s="601"/>
      <c r="S798" s="601"/>
      <c r="T798" s="601"/>
      <c r="U798" s="601"/>
      <c r="V798" s="601"/>
      <c r="W798" s="601"/>
      <c r="X798" s="601"/>
      <c r="Y798" s="601"/>
    </row>
    <row r="799" ht="38.25" spans="1:25">
      <c r="A799" s="569" t="s">
        <v>2186</v>
      </c>
      <c r="B799" s="569" t="s">
        <v>2187</v>
      </c>
      <c r="C799" s="569" t="s">
        <v>132</v>
      </c>
      <c r="D799" s="569" t="s">
        <v>2188</v>
      </c>
      <c r="E799" s="577" t="s">
        <v>134</v>
      </c>
      <c r="F799" s="570">
        <v>9</v>
      </c>
      <c r="G799" s="579">
        <v>46.15</v>
      </c>
      <c r="H799" s="600">
        <v>57.91</v>
      </c>
      <c r="I799" s="600">
        <v>521.19</v>
      </c>
      <c r="J799" s="612">
        <v>2.11931848891677e-5</v>
      </c>
      <c r="K799" s="613">
        <f t="shared" si="44"/>
        <v>0</v>
      </c>
      <c r="L799" s="610">
        <f t="shared" si="45"/>
        <v>521.19</v>
      </c>
      <c r="M799" s="601"/>
      <c r="N799" s="601"/>
      <c r="O799" s="601"/>
      <c r="P799" s="601"/>
      <c r="Q799" s="601"/>
      <c r="R799" s="601"/>
      <c r="S799" s="601"/>
      <c r="T799" s="601"/>
      <c r="U799" s="601"/>
      <c r="V799" s="601"/>
      <c r="W799" s="601"/>
      <c r="X799" s="601"/>
      <c r="Y799" s="601"/>
    </row>
    <row r="800" ht="38.25" spans="1:25">
      <c r="A800" s="569" t="s">
        <v>2189</v>
      </c>
      <c r="B800" s="569" t="s">
        <v>2190</v>
      </c>
      <c r="C800" s="569" t="s">
        <v>132</v>
      </c>
      <c r="D800" s="569" t="s">
        <v>2191</v>
      </c>
      <c r="E800" s="577" t="s">
        <v>134</v>
      </c>
      <c r="F800" s="570">
        <v>1</v>
      </c>
      <c r="G800" s="579">
        <v>326.27</v>
      </c>
      <c r="H800" s="600">
        <v>409.43</v>
      </c>
      <c r="I800" s="600">
        <v>409.43</v>
      </c>
      <c r="J800" s="612">
        <v>1.66486803069359e-5</v>
      </c>
      <c r="K800" s="613">
        <f t="shared" si="44"/>
        <v>0</v>
      </c>
      <c r="L800" s="610">
        <f t="shared" si="45"/>
        <v>409.43</v>
      </c>
      <c r="M800" s="601"/>
      <c r="N800" s="601"/>
      <c r="O800" s="601"/>
      <c r="P800" s="601"/>
      <c r="Q800" s="601"/>
      <c r="R800" s="601"/>
      <c r="S800" s="601"/>
      <c r="T800" s="601"/>
      <c r="U800" s="601"/>
      <c r="V800" s="601"/>
      <c r="W800" s="601"/>
      <c r="X800" s="601"/>
      <c r="Y800" s="601"/>
    </row>
    <row r="801" ht="38.25" spans="1:25">
      <c r="A801" s="569" t="s">
        <v>2192</v>
      </c>
      <c r="B801" s="569" t="s">
        <v>2193</v>
      </c>
      <c r="C801" s="569" t="s">
        <v>132</v>
      </c>
      <c r="D801" s="569" t="s">
        <v>2194</v>
      </c>
      <c r="E801" s="577" t="s">
        <v>134</v>
      </c>
      <c r="F801" s="570">
        <v>2</v>
      </c>
      <c r="G801" s="579">
        <v>253.46</v>
      </c>
      <c r="H801" s="600">
        <v>318.06</v>
      </c>
      <c r="I801" s="600">
        <v>636.12</v>
      </c>
      <c r="J801" s="612">
        <v>2.58665913998683e-5</v>
      </c>
      <c r="K801" s="613">
        <f t="shared" si="44"/>
        <v>0</v>
      </c>
      <c r="L801" s="610">
        <f t="shared" si="45"/>
        <v>636.12</v>
      </c>
      <c r="M801" s="601"/>
      <c r="N801" s="601"/>
      <c r="O801" s="601"/>
      <c r="P801" s="601"/>
      <c r="Q801" s="601"/>
      <c r="R801" s="601"/>
      <c r="S801" s="601"/>
      <c r="T801" s="601"/>
      <c r="U801" s="601"/>
      <c r="V801" s="601"/>
      <c r="W801" s="601"/>
      <c r="X801" s="601"/>
      <c r="Y801" s="601"/>
    </row>
    <row r="802" ht="38.25" spans="1:25">
      <c r="A802" s="569" t="s">
        <v>2195</v>
      </c>
      <c r="B802" s="569" t="s">
        <v>2196</v>
      </c>
      <c r="C802" s="569" t="s">
        <v>77</v>
      </c>
      <c r="D802" s="569" t="s">
        <v>2197</v>
      </c>
      <c r="E802" s="577">
        <v>0</v>
      </c>
      <c r="F802" s="570">
        <v>15</v>
      </c>
      <c r="G802" s="579">
        <v>247.63</v>
      </c>
      <c r="H802" s="600">
        <v>310.75</v>
      </c>
      <c r="I802" s="600">
        <v>4661.25</v>
      </c>
      <c r="J802" s="612">
        <v>0.000189540729992196</v>
      </c>
      <c r="K802" s="613">
        <f t="shared" si="44"/>
        <v>0</v>
      </c>
      <c r="L802" s="610">
        <f t="shared" si="45"/>
        <v>4661.25</v>
      </c>
      <c r="M802" s="601"/>
      <c r="N802" s="601"/>
      <c r="O802" s="601"/>
      <c r="P802" s="601"/>
      <c r="Q802" s="601"/>
      <c r="R802" s="601"/>
      <c r="S802" s="601"/>
      <c r="T802" s="601"/>
      <c r="U802" s="601"/>
      <c r="V802" s="601"/>
      <c r="W802" s="601"/>
      <c r="X802" s="601"/>
      <c r="Y802" s="601"/>
    </row>
    <row r="803" ht="38.25" spans="1:25">
      <c r="A803" s="569" t="s">
        <v>2198</v>
      </c>
      <c r="B803" s="569" t="s">
        <v>2199</v>
      </c>
      <c r="C803" s="569" t="s">
        <v>77</v>
      </c>
      <c r="D803" s="569" t="s">
        <v>2200</v>
      </c>
      <c r="E803" s="577">
        <v>0</v>
      </c>
      <c r="F803" s="570">
        <v>18</v>
      </c>
      <c r="G803" s="579">
        <v>394.91</v>
      </c>
      <c r="H803" s="600">
        <v>495.57</v>
      </c>
      <c r="I803" s="600">
        <v>8920.26</v>
      </c>
      <c r="J803" s="612">
        <v>0.000362725147142975</v>
      </c>
      <c r="K803" s="613">
        <f t="shared" si="44"/>
        <v>0</v>
      </c>
      <c r="L803" s="610">
        <f t="shared" si="45"/>
        <v>8920.26</v>
      </c>
      <c r="M803" s="601"/>
      <c r="N803" s="601"/>
      <c r="O803" s="601"/>
      <c r="P803" s="601"/>
      <c r="Q803" s="601"/>
      <c r="R803" s="601"/>
      <c r="S803" s="601"/>
      <c r="T803" s="601"/>
      <c r="U803" s="601"/>
      <c r="V803" s="601"/>
      <c r="W803" s="601"/>
      <c r="X803" s="601"/>
      <c r="Y803" s="601"/>
    </row>
    <row r="804" ht="38.25" spans="1:25">
      <c r="A804" s="569" t="s">
        <v>2201</v>
      </c>
      <c r="B804" s="569" t="s">
        <v>2202</v>
      </c>
      <c r="C804" s="569" t="s">
        <v>77</v>
      </c>
      <c r="D804" s="569" t="s">
        <v>2203</v>
      </c>
      <c r="E804" s="577">
        <v>0</v>
      </c>
      <c r="F804" s="570">
        <v>21</v>
      </c>
      <c r="G804" s="579">
        <v>441.05</v>
      </c>
      <c r="H804" s="600">
        <v>553.47</v>
      </c>
      <c r="I804" s="600">
        <v>11622.87</v>
      </c>
      <c r="J804" s="612">
        <v>0.000472621563830389</v>
      </c>
      <c r="K804" s="613">
        <f t="shared" si="44"/>
        <v>0</v>
      </c>
      <c r="L804" s="610">
        <f t="shared" si="45"/>
        <v>11622.87</v>
      </c>
      <c r="M804" s="601"/>
      <c r="N804" s="601"/>
      <c r="O804" s="601"/>
      <c r="P804" s="601"/>
      <c r="Q804" s="601"/>
      <c r="R804" s="601"/>
      <c r="S804" s="601"/>
      <c r="T804" s="601"/>
      <c r="U804" s="601"/>
      <c r="V804" s="601"/>
      <c r="W804" s="601"/>
      <c r="X804" s="601"/>
      <c r="Y804" s="601"/>
    </row>
    <row r="805" ht="38.25" spans="1:25">
      <c r="A805" s="569" t="s">
        <v>2204</v>
      </c>
      <c r="B805" s="569" t="s">
        <v>2205</v>
      </c>
      <c r="C805" s="569" t="s">
        <v>132</v>
      </c>
      <c r="D805" s="569" t="s">
        <v>2206</v>
      </c>
      <c r="E805" s="577" t="s">
        <v>134</v>
      </c>
      <c r="F805" s="570">
        <v>35</v>
      </c>
      <c r="G805" s="579">
        <v>498.56</v>
      </c>
      <c r="H805" s="600">
        <v>625.64</v>
      </c>
      <c r="I805" s="600">
        <v>21897.4</v>
      </c>
      <c r="J805" s="612">
        <v>0.000890415485316411</v>
      </c>
      <c r="K805" s="613">
        <f t="shared" si="44"/>
        <v>0</v>
      </c>
      <c r="L805" s="610">
        <f t="shared" si="45"/>
        <v>21897.4</v>
      </c>
      <c r="M805" s="601"/>
      <c r="N805" s="601"/>
      <c r="O805" s="601"/>
      <c r="P805" s="601"/>
      <c r="Q805" s="601"/>
      <c r="R805" s="601"/>
      <c r="S805" s="601"/>
      <c r="T805" s="601"/>
      <c r="U805" s="601"/>
      <c r="V805" s="601"/>
      <c r="W805" s="601"/>
      <c r="X805" s="601"/>
      <c r="Y805" s="601"/>
    </row>
    <row r="806" ht="38.25" spans="1:25">
      <c r="A806" s="569" t="s">
        <v>2207</v>
      </c>
      <c r="B806" s="569" t="s">
        <v>2208</v>
      </c>
      <c r="C806" s="569" t="s">
        <v>132</v>
      </c>
      <c r="D806" s="569" t="s">
        <v>2209</v>
      </c>
      <c r="E806" s="577" t="s">
        <v>134</v>
      </c>
      <c r="F806" s="570">
        <v>1</v>
      </c>
      <c r="G806" s="579">
        <v>580.82</v>
      </c>
      <c r="H806" s="600">
        <v>728.87</v>
      </c>
      <c r="I806" s="600">
        <v>728.87</v>
      </c>
      <c r="J806" s="612">
        <v>2.96380910419763e-5</v>
      </c>
      <c r="K806" s="613">
        <f t="shared" si="44"/>
        <v>0</v>
      </c>
      <c r="L806" s="610">
        <f t="shared" si="45"/>
        <v>728.87</v>
      </c>
      <c r="M806" s="601"/>
      <c r="N806" s="601"/>
      <c r="O806" s="601"/>
      <c r="P806" s="601"/>
      <c r="Q806" s="601"/>
      <c r="R806" s="601"/>
      <c r="S806" s="601"/>
      <c r="T806" s="601"/>
      <c r="U806" s="601"/>
      <c r="V806" s="601"/>
      <c r="W806" s="601"/>
      <c r="X806" s="601"/>
      <c r="Y806" s="601"/>
    </row>
    <row r="807" ht="38.25" spans="1:25">
      <c r="A807" s="569" t="s">
        <v>2210</v>
      </c>
      <c r="B807" s="569" t="s">
        <v>2211</v>
      </c>
      <c r="C807" s="569" t="s">
        <v>132</v>
      </c>
      <c r="D807" s="569" t="s">
        <v>2212</v>
      </c>
      <c r="E807" s="577" t="s">
        <v>134</v>
      </c>
      <c r="F807" s="570">
        <v>2</v>
      </c>
      <c r="G807" s="579">
        <v>1079.69</v>
      </c>
      <c r="H807" s="600">
        <v>1354.9</v>
      </c>
      <c r="I807" s="600">
        <v>2709.8</v>
      </c>
      <c r="J807" s="612">
        <v>0.000110188784152932</v>
      </c>
      <c r="K807" s="613">
        <f t="shared" si="44"/>
        <v>0</v>
      </c>
      <c r="L807" s="610">
        <f t="shared" si="45"/>
        <v>2709.8</v>
      </c>
      <c r="M807" s="601"/>
      <c r="N807" s="601"/>
      <c r="O807" s="601"/>
      <c r="P807" s="601"/>
      <c r="Q807" s="601"/>
      <c r="R807" s="601"/>
      <c r="S807" s="601"/>
      <c r="T807" s="601"/>
      <c r="U807" s="601"/>
      <c r="V807" s="601"/>
      <c r="W807" s="601"/>
      <c r="X807" s="601"/>
      <c r="Y807" s="601"/>
    </row>
    <row r="808" ht="38.25" spans="1:25">
      <c r="A808" s="569" t="s">
        <v>2213</v>
      </c>
      <c r="B808" s="569" t="s">
        <v>2214</v>
      </c>
      <c r="C808" s="569" t="s">
        <v>132</v>
      </c>
      <c r="D808" s="569" t="s">
        <v>2215</v>
      </c>
      <c r="E808" s="577" t="s">
        <v>134</v>
      </c>
      <c r="F808" s="570">
        <v>1</v>
      </c>
      <c r="G808" s="579">
        <v>42.28</v>
      </c>
      <c r="H808" s="600">
        <v>53.05</v>
      </c>
      <c r="I808" s="600">
        <v>53.05</v>
      </c>
      <c r="J808" s="612">
        <v>2.15717580607906e-6</v>
      </c>
      <c r="K808" s="613">
        <f t="shared" si="44"/>
        <v>0</v>
      </c>
      <c r="L808" s="610">
        <f t="shared" si="45"/>
        <v>53.05</v>
      </c>
      <c r="M808" s="601"/>
      <c r="N808" s="601"/>
      <c r="O808" s="601"/>
      <c r="P808" s="601"/>
      <c r="Q808" s="601"/>
      <c r="R808" s="601"/>
      <c r="S808" s="601"/>
      <c r="T808" s="601"/>
      <c r="U808" s="601"/>
      <c r="V808" s="601"/>
      <c r="W808" s="601"/>
      <c r="X808" s="601"/>
      <c r="Y808" s="601"/>
    </row>
    <row r="809" ht="51" spans="1:25">
      <c r="A809" s="569" t="s">
        <v>2216</v>
      </c>
      <c r="B809" s="569" t="s">
        <v>2217</v>
      </c>
      <c r="C809" s="569" t="s">
        <v>132</v>
      </c>
      <c r="D809" s="569" t="s">
        <v>2218</v>
      </c>
      <c r="E809" s="577" t="s">
        <v>134</v>
      </c>
      <c r="F809" s="570">
        <v>1</v>
      </c>
      <c r="G809" s="579">
        <v>13966.52</v>
      </c>
      <c r="H809" s="600" t="s">
        <v>2219</v>
      </c>
      <c r="I809" s="600">
        <v>16217.92</v>
      </c>
      <c r="J809" s="612">
        <v>0.00065947039866024</v>
      </c>
      <c r="K809" s="613">
        <f t="shared" si="44"/>
        <v>0</v>
      </c>
      <c r="L809" s="610">
        <f t="shared" si="45"/>
        <v>16217.92</v>
      </c>
      <c r="M809" s="601"/>
      <c r="N809" s="601"/>
      <c r="O809" s="601"/>
      <c r="P809" s="601"/>
      <c r="Q809" s="601"/>
      <c r="R809" s="601"/>
      <c r="S809" s="601"/>
      <c r="T809" s="601"/>
      <c r="U809" s="601"/>
      <c r="V809" s="601"/>
      <c r="W809" s="601"/>
      <c r="X809" s="601"/>
      <c r="Y809" s="601"/>
    </row>
    <row r="810" ht="51" spans="1:25">
      <c r="A810" s="569" t="s">
        <v>2220</v>
      </c>
      <c r="B810" s="569" t="s">
        <v>2221</v>
      </c>
      <c r="C810" s="569" t="s">
        <v>132</v>
      </c>
      <c r="D810" s="569" t="s">
        <v>2222</v>
      </c>
      <c r="E810" s="577" t="s">
        <v>134</v>
      </c>
      <c r="F810" s="570">
        <v>1</v>
      </c>
      <c r="G810" s="579">
        <v>15517.25</v>
      </c>
      <c r="H810" s="600" t="s">
        <v>2223</v>
      </c>
      <c r="I810" s="600">
        <v>18018.63</v>
      </c>
      <c r="J810" s="612">
        <v>0.000732692793490864</v>
      </c>
      <c r="K810" s="613">
        <f t="shared" si="44"/>
        <v>0</v>
      </c>
      <c r="L810" s="610">
        <f t="shared" si="45"/>
        <v>18018.63</v>
      </c>
      <c r="M810" s="601"/>
      <c r="N810" s="601"/>
      <c r="O810" s="601"/>
      <c r="P810" s="601"/>
      <c r="Q810" s="601"/>
      <c r="R810" s="601"/>
      <c r="S810" s="601"/>
      <c r="T810" s="601"/>
      <c r="U810" s="601"/>
      <c r="V810" s="601"/>
      <c r="W810" s="601"/>
      <c r="X810" s="601"/>
      <c r="Y810" s="601"/>
    </row>
    <row r="811" ht="51" spans="1:25">
      <c r="A811" s="569" t="s">
        <v>2224</v>
      </c>
      <c r="B811" s="569" t="s">
        <v>2225</v>
      </c>
      <c r="C811" s="569" t="s">
        <v>132</v>
      </c>
      <c r="D811" s="569" t="s">
        <v>2226</v>
      </c>
      <c r="E811" s="577" t="s">
        <v>134</v>
      </c>
      <c r="F811" s="570">
        <v>1</v>
      </c>
      <c r="G811" s="579">
        <v>25514.35</v>
      </c>
      <c r="H811" s="600" t="s">
        <v>2227</v>
      </c>
      <c r="I811" s="600">
        <v>29627.26</v>
      </c>
      <c r="J811" s="612">
        <v>0.00120473531521987</v>
      </c>
      <c r="K811" s="613">
        <f t="shared" si="44"/>
        <v>0</v>
      </c>
      <c r="L811" s="610">
        <f t="shared" si="45"/>
        <v>29627.26</v>
      </c>
      <c r="M811" s="601"/>
      <c r="N811" s="601"/>
      <c r="O811" s="601"/>
      <c r="P811" s="601"/>
      <c r="Q811" s="601"/>
      <c r="R811" s="601"/>
      <c r="S811" s="601"/>
      <c r="T811" s="601"/>
      <c r="U811" s="601"/>
      <c r="V811" s="601"/>
      <c r="W811" s="601"/>
      <c r="X811" s="601"/>
      <c r="Y811" s="601"/>
    </row>
    <row r="812" ht="51" spans="1:25">
      <c r="A812" s="569" t="s">
        <v>2228</v>
      </c>
      <c r="B812" s="569" t="s">
        <v>2229</v>
      </c>
      <c r="C812" s="569" t="s">
        <v>132</v>
      </c>
      <c r="D812" s="569" t="s">
        <v>2230</v>
      </c>
      <c r="E812" s="577" t="s">
        <v>134</v>
      </c>
      <c r="F812" s="570">
        <v>1</v>
      </c>
      <c r="G812" s="579">
        <v>29340.02</v>
      </c>
      <c r="H812" s="600" t="s">
        <v>2231</v>
      </c>
      <c r="I812" s="600">
        <v>34069.63</v>
      </c>
      <c r="J812" s="612">
        <v>0.00138537571268738</v>
      </c>
      <c r="K812" s="613">
        <f t="shared" si="44"/>
        <v>0</v>
      </c>
      <c r="L812" s="610">
        <f t="shared" si="45"/>
        <v>34069.63</v>
      </c>
      <c r="M812" s="601"/>
      <c r="N812" s="601"/>
      <c r="O812" s="601"/>
      <c r="P812" s="601"/>
      <c r="Q812" s="601"/>
      <c r="R812" s="601"/>
      <c r="S812" s="601"/>
      <c r="T812" s="601"/>
      <c r="U812" s="601"/>
      <c r="V812" s="601"/>
      <c r="W812" s="601"/>
      <c r="X812" s="601"/>
      <c r="Y812" s="601"/>
    </row>
    <row r="813" ht="38.25" spans="1:25">
      <c r="A813" s="569" t="s">
        <v>2232</v>
      </c>
      <c r="B813" s="569" t="s">
        <v>2233</v>
      </c>
      <c r="C813" s="569" t="s">
        <v>132</v>
      </c>
      <c r="D813" s="569" t="s">
        <v>2234</v>
      </c>
      <c r="E813" s="577" t="s">
        <v>134</v>
      </c>
      <c r="F813" s="570">
        <v>23</v>
      </c>
      <c r="G813" s="579">
        <v>76.37</v>
      </c>
      <c r="H813" s="600">
        <v>95.83</v>
      </c>
      <c r="I813" s="600">
        <v>2204.09</v>
      </c>
      <c r="J813" s="612">
        <v>8.96250635706088e-5</v>
      </c>
      <c r="K813" s="613">
        <f t="shared" si="44"/>
        <v>0</v>
      </c>
      <c r="L813" s="610">
        <f t="shared" si="45"/>
        <v>2204.09</v>
      </c>
      <c r="M813" s="601"/>
      <c r="N813" s="601"/>
      <c r="O813" s="601"/>
      <c r="P813" s="601"/>
      <c r="Q813" s="601"/>
      <c r="R813" s="601"/>
      <c r="S813" s="601"/>
      <c r="T813" s="601"/>
      <c r="U813" s="601"/>
      <c r="V813" s="601"/>
      <c r="W813" s="601"/>
      <c r="X813" s="601"/>
      <c r="Y813" s="601"/>
    </row>
    <row r="814" ht="89.25" spans="1:25">
      <c r="A814" s="569" t="s">
        <v>2235</v>
      </c>
      <c r="B814" s="569" t="s">
        <v>2236</v>
      </c>
      <c r="C814" s="569" t="s">
        <v>132</v>
      </c>
      <c r="D814" s="569" t="s">
        <v>2237</v>
      </c>
      <c r="E814" s="577" t="s">
        <v>134</v>
      </c>
      <c r="F814" s="570">
        <v>32</v>
      </c>
      <c r="G814" s="579">
        <v>76.37</v>
      </c>
      <c r="H814" s="600">
        <v>95.83</v>
      </c>
      <c r="I814" s="600">
        <v>3066.56</v>
      </c>
      <c r="J814" s="612">
        <v>0.000124695740619977</v>
      </c>
      <c r="K814" s="613">
        <f t="shared" si="44"/>
        <v>0</v>
      </c>
      <c r="L814" s="610">
        <f t="shared" si="45"/>
        <v>3066.56</v>
      </c>
      <c r="M814" s="601"/>
      <c r="N814" s="601"/>
      <c r="O814" s="601"/>
      <c r="P814" s="601"/>
      <c r="Q814" s="601"/>
      <c r="R814" s="601"/>
      <c r="S814" s="601"/>
      <c r="T814" s="601"/>
      <c r="U814" s="601"/>
      <c r="V814" s="601"/>
      <c r="W814" s="601"/>
      <c r="X814" s="601"/>
      <c r="Y814" s="601"/>
    </row>
    <row r="815" ht="51" spans="1:25">
      <c r="A815" s="569" t="s">
        <v>2238</v>
      </c>
      <c r="B815" s="569" t="s">
        <v>2239</v>
      </c>
      <c r="C815" s="569" t="s">
        <v>132</v>
      </c>
      <c r="D815" s="569" t="s">
        <v>2240</v>
      </c>
      <c r="E815" s="577" t="s">
        <v>134</v>
      </c>
      <c r="F815" s="570">
        <v>10</v>
      </c>
      <c r="G815" s="579">
        <v>76.37</v>
      </c>
      <c r="H815" s="600">
        <v>95.83</v>
      </c>
      <c r="I815" s="600">
        <v>958.3</v>
      </c>
      <c r="J815" s="612">
        <v>3.8967418943743e-5</v>
      </c>
      <c r="K815" s="613">
        <f t="shared" si="44"/>
        <v>0</v>
      </c>
      <c r="L815" s="610">
        <f t="shared" si="45"/>
        <v>958.3</v>
      </c>
      <c r="M815" s="601"/>
      <c r="N815" s="601"/>
      <c r="O815" s="601"/>
      <c r="P815" s="601"/>
      <c r="Q815" s="601"/>
      <c r="R815" s="601"/>
      <c r="S815" s="601"/>
      <c r="T815" s="601"/>
      <c r="U815" s="601"/>
      <c r="V815" s="601"/>
      <c r="W815" s="601"/>
      <c r="X815" s="601"/>
      <c r="Y815" s="601"/>
    </row>
    <row r="816" ht="38.25" spans="1:25">
      <c r="A816" s="569" t="s">
        <v>2241</v>
      </c>
      <c r="B816" s="569" t="s">
        <v>2242</v>
      </c>
      <c r="C816" s="569" t="s">
        <v>132</v>
      </c>
      <c r="D816" s="569" t="s">
        <v>2243</v>
      </c>
      <c r="E816" s="577" t="s">
        <v>134</v>
      </c>
      <c r="F816" s="570">
        <v>17</v>
      </c>
      <c r="G816" s="579">
        <v>160.6</v>
      </c>
      <c r="H816" s="600">
        <v>201.53</v>
      </c>
      <c r="I816" s="600">
        <v>3426.01</v>
      </c>
      <c r="J816" s="612">
        <v>0.000139312080742411</v>
      </c>
      <c r="K816" s="613">
        <f t="shared" si="44"/>
        <v>0</v>
      </c>
      <c r="L816" s="610">
        <f t="shared" si="45"/>
        <v>3426.01</v>
      </c>
      <c r="M816" s="601"/>
      <c r="N816" s="601"/>
      <c r="O816" s="601"/>
      <c r="P816" s="601"/>
      <c r="Q816" s="601"/>
      <c r="R816" s="601"/>
      <c r="S816" s="601"/>
      <c r="T816" s="601"/>
      <c r="U816" s="601"/>
      <c r="V816" s="601"/>
      <c r="W816" s="601"/>
      <c r="X816" s="601"/>
      <c r="Y816" s="601"/>
    </row>
    <row r="817" ht="38.25" spans="1:25">
      <c r="A817" s="569" t="s">
        <v>2244</v>
      </c>
      <c r="B817" s="569" t="s">
        <v>2245</v>
      </c>
      <c r="C817" s="569" t="s">
        <v>132</v>
      </c>
      <c r="D817" s="569" t="s">
        <v>2246</v>
      </c>
      <c r="E817" s="577" t="s">
        <v>134</v>
      </c>
      <c r="F817" s="570">
        <v>5</v>
      </c>
      <c r="G817" s="579">
        <v>194.62</v>
      </c>
      <c r="H817" s="600">
        <v>244.22</v>
      </c>
      <c r="I817" s="600">
        <v>1221.1</v>
      </c>
      <c r="J817" s="612">
        <v>4.96536734552901e-5</v>
      </c>
      <c r="K817" s="613">
        <f t="shared" si="44"/>
        <v>0</v>
      </c>
      <c r="L817" s="610">
        <f t="shared" si="45"/>
        <v>1221.1</v>
      </c>
      <c r="M817" s="601"/>
      <c r="N817" s="601"/>
      <c r="O817" s="601"/>
      <c r="P817" s="601"/>
      <c r="Q817" s="601"/>
      <c r="R817" s="601"/>
      <c r="S817" s="601"/>
      <c r="T817" s="601"/>
      <c r="U817" s="601"/>
      <c r="V817" s="601"/>
      <c r="W817" s="601"/>
      <c r="X817" s="601"/>
      <c r="Y817" s="601"/>
    </row>
    <row r="818" ht="38.25" spans="1:25">
      <c r="A818" s="569" t="s">
        <v>2247</v>
      </c>
      <c r="B818" s="569" t="s">
        <v>2248</v>
      </c>
      <c r="C818" s="569" t="s">
        <v>132</v>
      </c>
      <c r="D818" s="569" t="s">
        <v>2249</v>
      </c>
      <c r="E818" s="577" t="s">
        <v>134</v>
      </c>
      <c r="F818" s="570">
        <v>3</v>
      </c>
      <c r="G818" s="579">
        <v>323.87</v>
      </c>
      <c r="H818" s="600">
        <v>406.42</v>
      </c>
      <c r="I818" s="600">
        <v>1219.26</v>
      </c>
      <c r="J818" s="612">
        <v>4.95788534084817e-5</v>
      </c>
      <c r="K818" s="613">
        <f t="shared" si="44"/>
        <v>0</v>
      </c>
      <c r="L818" s="610">
        <f t="shared" si="45"/>
        <v>1219.26</v>
      </c>
      <c r="M818" s="601"/>
      <c r="N818" s="601"/>
      <c r="O818" s="601"/>
      <c r="P818" s="601"/>
      <c r="Q818" s="601"/>
      <c r="R818" s="601"/>
      <c r="S818" s="601"/>
      <c r="T818" s="601"/>
      <c r="U818" s="601"/>
      <c r="V818" s="601"/>
      <c r="W818" s="601"/>
      <c r="X818" s="601"/>
      <c r="Y818" s="601"/>
    </row>
    <row r="819" ht="38.25" spans="1:25">
      <c r="A819" s="569" t="s">
        <v>2250</v>
      </c>
      <c r="B819" s="569" t="s">
        <v>2251</v>
      </c>
      <c r="C819" s="569" t="s">
        <v>132</v>
      </c>
      <c r="D819" s="569" t="s">
        <v>2252</v>
      </c>
      <c r="E819" s="577" t="s">
        <v>134</v>
      </c>
      <c r="F819" s="570">
        <v>4</v>
      </c>
      <c r="G819" s="579">
        <v>323.87</v>
      </c>
      <c r="H819" s="600">
        <v>406.42</v>
      </c>
      <c r="I819" s="600">
        <v>1625.68</v>
      </c>
      <c r="J819" s="612">
        <v>6.61051378779756e-5</v>
      </c>
      <c r="K819" s="613">
        <f t="shared" si="44"/>
        <v>0</v>
      </c>
      <c r="L819" s="610">
        <f t="shared" si="45"/>
        <v>1625.68</v>
      </c>
      <c r="M819" s="601"/>
      <c r="N819" s="601"/>
      <c r="O819" s="601"/>
      <c r="P819" s="601"/>
      <c r="Q819" s="601"/>
      <c r="R819" s="601"/>
      <c r="S819" s="601"/>
      <c r="T819" s="601"/>
      <c r="U819" s="601"/>
      <c r="V819" s="601"/>
      <c r="W819" s="601"/>
      <c r="X819" s="601"/>
      <c r="Y819" s="601"/>
    </row>
    <row r="820" ht="38.25" spans="1:25">
      <c r="A820" s="569" t="s">
        <v>2253</v>
      </c>
      <c r="B820" s="569" t="s">
        <v>2254</v>
      </c>
      <c r="C820" s="569" t="s">
        <v>132</v>
      </c>
      <c r="D820" s="569" t="s">
        <v>2255</v>
      </c>
      <c r="E820" s="577" t="s">
        <v>134</v>
      </c>
      <c r="F820" s="570">
        <v>4</v>
      </c>
      <c r="G820" s="579">
        <v>323.87</v>
      </c>
      <c r="H820" s="600">
        <v>406.42</v>
      </c>
      <c r="I820" s="600">
        <v>1625.68</v>
      </c>
      <c r="J820" s="612">
        <v>6.61051378779756e-5</v>
      </c>
      <c r="K820" s="613">
        <f t="shared" si="44"/>
        <v>0</v>
      </c>
      <c r="L820" s="610">
        <f t="shared" si="45"/>
        <v>1625.68</v>
      </c>
      <c r="M820" s="601"/>
      <c r="N820" s="601"/>
      <c r="O820" s="601"/>
      <c r="P820" s="601"/>
      <c r="Q820" s="601"/>
      <c r="R820" s="601"/>
      <c r="S820" s="601"/>
      <c r="T820" s="601"/>
      <c r="U820" s="601"/>
      <c r="V820" s="601"/>
      <c r="W820" s="601"/>
      <c r="X820" s="601"/>
      <c r="Y820" s="601"/>
    </row>
    <row r="821" ht="38.25" spans="1:25">
      <c r="A821" s="569" t="s">
        <v>2256</v>
      </c>
      <c r="B821" s="569" t="s">
        <v>2257</v>
      </c>
      <c r="C821" s="569" t="s">
        <v>132</v>
      </c>
      <c r="D821" s="569" t="s">
        <v>2258</v>
      </c>
      <c r="E821" s="577" t="s">
        <v>134</v>
      </c>
      <c r="F821" s="570">
        <v>12</v>
      </c>
      <c r="G821" s="579">
        <v>388.5</v>
      </c>
      <c r="H821" s="600">
        <v>487.52</v>
      </c>
      <c r="I821" s="600">
        <v>5850.24</v>
      </c>
      <c r="J821" s="612">
        <v>0.000237888712304542</v>
      </c>
      <c r="K821" s="613">
        <f t="shared" si="44"/>
        <v>0</v>
      </c>
      <c r="L821" s="610">
        <f t="shared" si="45"/>
        <v>5850.24</v>
      </c>
      <c r="M821" s="601"/>
      <c r="N821" s="601"/>
      <c r="O821" s="601"/>
      <c r="P821" s="601"/>
      <c r="Q821" s="601"/>
      <c r="R821" s="601"/>
      <c r="S821" s="601"/>
      <c r="T821" s="601"/>
      <c r="U821" s="601"/>
      <c r="V821" s="601"/>
      <c r="W821" s="601"/>
      <c r="X821" s="601"/>
      <c r="Y821" s="601"/>
    </row>
    <row r="822" ht="38.25" spans="1:25">
      <c r="A822" s="569" t="s">
        <v>2259</v>
      </c>
      <c r="B822" s="569" t="s">
        <v>2260</v>
      </c>
      <c r="C822" s="569" t="s">
        <v>132</v>
      </c>
      <c r="D822" s="569" t="s">
        <v>2261</v>
      </c>
      <c r="E822" s="577" t="s">
        <v>134</v>
      </c>
      <c r="F822" s="570">
        <v>3</v>
      </c>
      <c r="G822" s="579">
        <v>519.12</v>
      </c>
      <c r="H822" s="600">
        <v>651.44</v>
      </c>
      <c r="I822" s="600">
        <v>1954.32</v>
      </c>
      <c r="J822" s="612">
        <v>7.94686488470581e-5</v>
      </c>
      <c r="K822" s="613">
        <f t="shared" si="44"/>
        <v>0</v>
      </c>
      <c r="L822" s="610">
        <f t="shared" si="45"/>
        <v>1954.32</v>
      </c>
      <c r="M822" s="601"/>
      <c r="N822" s="601"/>
      <c r="O822" s="601"/>
      <c r="P822" s="601"/>
      <c r="Q822" s="601"/>
      <c r="R822" s="601"/>
      <c r="S822" s="601"/>
      <c r="T822" s="601"/>
      <c r="U822" s="601"/>
      <c r="V822" s="601"/>
      <c r="W822" s="601"/>
      <c r="X822" s="601"/>
      <c r="Y822" s="601"/>
    </row>
    <row r="823" ht="38.25" spans="1:25">
      <c r="A823" s="569" t="s">
        <v>2262</v>
      </c>
      <c r="B823" s="569" t="s">
        <v>2263</v>
      </c>
      <c r="C823" s="569" t="s">
        <v>132</v>
      </c>
      <c r="D823" s="569" t="s">
        <v>2264</v>
      </c>
      <c r="E823" s="577" t="s">
        <v>134</v>
      </c>
      <c r="F823" s="570">
        <v>6</v>
      </c>
      <c r="G823" s="579">
        <v>465.5</v>
      </c>
      <c r="H823" s="600">
        <v>584.15</v>
      </c>
      <c r="I823" s="600">
        <v>3504.9</v>
      </c>
      <c r="J823" s="612">
        <v>0.000142519990249321</v>
      </c>
      <c r="K823" s="613">
        <f t="shared" si="44"/>
        <v>0</v>
      </c>
      <c r="L823" s="610">
        <f t="shared" si="45"/>
        <v>3504.9</v>
      </c>
      <c r="M823" s="601"/>
      <c r="N823" s="601"/>
      <c r="O823" s="601"/>
      <c r="P823" s="601"/>
      <c r="Q823" s="601"/>
      <c r="R823" s="601"/>
      <c r="S823" s="601"/>
      <c r="T823" s="601"/>
      <c r="U823" s="601"/>
      <c r="V823" s="601"/>
      <c r="W823" s="601"/>
      <c r="X823" s="601"/>
      <c r="Y823" s="601"/>
    </row>
    <row r="824" ht="38.25" spans="1:25">
      <c r="A824" s="569" t="s">
        <v>2265</v>
      </c>
      <c r="B824" s="569" t="s">
        <v>2266</v>
      </c>
      <c r="C824" s="569" t="s">
        <v>132</v>
      </c>
      <c r="D824" s="569" t="s">
        <v>2267</v>
      </c>
      <c r="E824" s="577" t="s">
        <v>134</v>
      </c>
      <c r="F824" s="570">
        <v>2</v>
      </c>
      <c r="G824" s="579">
        <v>948.04</v>
      </c>
      <c r="H824" s="600">
        <v>1189.69</v>
      </c>
      <c r="I824" s="600">
        <v>2379.38</v>
      </c>
      <c r="J824" s="612">
        <v>9.67528929211762e-5</v>
      </c>
      <c r="K824" s="613">
        <f t="shared" si="44"/>
        <v>0</v>
      </c>
      <c r="L824" s="610">
        <f t="shared" si="45"/>
        <v>2379.38</v>
      </c>
      <c r="M824" s="601"/>
      <c r="N824" s="601"/>
      <c r="O824" s="601"/>
      <c r="P824" s="601"/>
      <c r="Q824" s="601"/>
      <c r="R824" s="601"/>
      <c r="S824" s="601"/>
      <c r="T824" s="601"/>
      <c r="U824" s="601"/>
      <c r="V824" s="601"/>
      <c r="W824" s="601"/>
      <c r="X824" s="601"/>
      <c r="Y824" s="601"/>
    </row>
    <row r="825" ht="38.25" spans="1:25">
      <c r="A825" s="569" t="s">
        <v>2268</v>
      </c>
      <c r="B825" s="569" t="s">
        <v>2269</v>
      </c>
      <c r="C825" s="569" t="s">
        <v>132</v>
      </c>
      <c r="D825" s="569" t="s">
        <v>2270</v>
      </c>
      <c r="E825" s="577" t="s">
        <v>134</v>
      </c>
      <c r="F825" s="570">
        <v>1</v>
      </c>
      <c r="G825" s="579">
        <v>990.85</v>
      </c>
      <c r="H825" s="600">
        <v>1243.41</v>
      </c>
      <c r="I825" s="600">
        <v>1243.41</v>
      </c>
      <c r="J825" s="612">
        <v>5.05608665228419e-5</v>
      </c>
      <c r="K825" s="613">
        <f t="shared" si="44"/>
        <v>0</v>
      </c>
      <c r="L825" s="610">
        <f t="shared" si="45"/>
        <v>1243.41</v>
      </c>
      <c r="M825" s="601"/>
      <c r="N825" s="601"/>
      <c r="O825" s="601"/>
      <c r="P825" s="601"/>
      <c r="Q825" s="601"/>
      <c r="R825" s="601"/>
      <c r="S825" s="601"/>
      <c r="T825" s="601"/>
      <c r="U825" s="601"/>
      <c r="V825" s="601"/>
      <c r="W825" s="601"/>
      <c r="X825" s="601"/>
      <c r="Y825" s="601"/>
    </row>
    <row r="826" ht="38.25" spans="1:25">
      <c r="A826" s="569" t="s">
        <v>2271</v>
      </c>
      <c r="B826" s="569" t="s">
        <v>2272</v>
      </c>
      <c r="C826" s="569" t="s">
        <v>132</v>
      </c>
      <c r="D826" s="569" t="s">
        <v>2273</v>
      </c>
      <c r="E826" s="577" t="s">
        <v>134</v>
      </c>
      <c r="F826" s="570">
        <v>3</v>
      </c>
      <c r="G826" s="579">
        <v>1005.56</v>
      </c>
      <c r="H826" s="600">
        <v>1261.87</v>
      </c>
      <c r="I826" s="600">
        <v>3785.61</v>
      </c>
      <c r="J826" s="612">
        <v>0.000153934520325183</v>
      </c>
      <c r="K826" s="613">
        <f t="shared" si="44"/>
        <v>0</v>
      </c>
      <c r="L826" s="610">
        <f t="shared" si="45"/>
        <v>3785.61</v>
      </c>
      <c r="M826" s="601"/>
      <c r="N826" s="601"/>
      <c r="O826" s="601"/>
      <c r="P826" s="601"/>
      <c r="Q826" s="601"/>
      <c r="R826" s="601"/>
      <c r="S826" s="601"/>
      <c r="T826" s="601"/>
      <c r="U826" s="601"/>
      <c r="V826" s="601"/>
      <c r="W826" s="601"/>
      <c r="X826" s="601"/>
      <c r="Y826" s="601"/>
    </row>
    <row r="827" ht="38.25" spans="1:25">
      <c r="A827" s="569" t="s">
        <v>2274</v>
      </c>
      <c r="B827" s="569" t="s">
        <v>2275</v>
      </c>
      <c r="C827" s="569" t="s">
        <v>132</v>
      </c>
      <c r="D827" s="569" t="s">
        <v>2276</v>
      </c>
      <c r="E827" s="577" t="s">
        <v>134</v>
      </c>
      <c r="F827" s="570">
        <v>4</v>
      </c>
      <c r="G827" s="579">
        <v>1030.58</v>
      </c>
      <c r="H827" s="600">
        <v>1293.27</v>
      </c>
      <c r="I827" s="600">
        <v>5173.08</v>
      </c>
      <c r="J827" s="612">
        <v>0.000210353308556295</v>
      </c>
      <c r="K827" s="613">
        <f t="shared" si="44"/>
        <v>0</v>
      </c>
      <c r="L827" s="610">
        <f t="shared" si="45"/>
        <v>5173.08</v>
      </c>
      <c r="M827" s="601"/>
      <c r="N827" s="601"/>
      <c r="O827" s="601"/>
      <c r="P827" s="601"/>
      <c r="Q827" s="601"/>
      <c r="R827" s="601"/>
      <c r="S827" s="601"/>
      <c r="T827" s="601"/>
      <c r="U827" s="601"/>
      <c r="V827" s="601"/>
      <c r="W827" s="601"/>
      <c r="X827" s="601"/>
      <c r="Y827" s="601"/>
    </row>
    <row r="828" ht="38.25" spans="1:25">
      <c r="A828" s="569" t="s">
        <v>2277</v>
      </c>
      <c r="B828" s="569" t="s">
        <v>2278</v>
      </c>
      <c r="C828" s="569" t="s">
        <v>132</v>
      </c>
      <c r="D828" s="569" t="s">
        <v>2279</v>
      </c>
      <c r="E828" s="577" t="s">
        <v>134</v>
      </c>
      <c r="F828" s="570">
        <v>1</v>
      </c>
      <c r="G828" s="579">
        <v>1051</v>
      </c>
      <c r="H828" s="600">
        <v>1318.89</v>
      </c>
      <c r="I828" s="600">
        <v>1318.89</v>
      </c>
      <c r="J828" s="612">
        <v>5.36301149647429e-5</v>
      </c>
      <c r="K828" s="613">
        <f t="shared" si="44"/>
        <v>0</v>
      </c>
      <c r="L828" s="610">
        <f t="shared" si="45"/>
        <v>1318.89</v>
      </c>
      <c r="M828" s="601"/>
      <c r="N828" s="601"/>
      <c r="O828" s="601"/>
      <c r="P828" s="601"/>
      <c r="Q828" s="601"/>
      <c r="R828" s="601"/>
      <c r="S828" s="601"/>
      <c r="T828" s="601"/>
      <c r="U828" s="601"/>
      <c r="V828" s="601"/>
      <c r="W828" s="601"/>
      <c r="X828" s="601"/>
      <c r="Y828" s="601"/>
    </row>
    <row r="829" ht="38.25" spans="1:25">
      <c r="A829" s="569" t="s">
        <v>2280</v>
      </c>
      <c r="B829" s="569" t="s">
        <v>2281</v>
      </c>
      <c r="C829" s="569" t="s">
        <v>132</v>
      </c>
      <c r="D829" s="569" t="s">
        <v>2282</v>
      </c>
      <c r="E829" s="577" t="s">
        <v>134</v>
      </c>
      <c r="F829" s="570">
        <v>1</v>
      </c>
      <c r="G829" s="579">
        <v>1077.16</v>
      </c>
      <c r="H829" s="600">
        <v>1351.72</v>
      </c>
      <c r="I829" s="600">
        <v>1351.72</v>
      </c>
      <c r="J829" s="612">
        <v>5.4965083517308e-5</v>
      </c>
      <c r="K829" s="613">
        <f t="shared" si="44"/>
        <v>0</v>
      </c>
      <c r="L829" s="610">
        <f t="shared" si="45"/>
        <v>1351.72</v>
      </c>
      <c r="M829" s="601"/>
      <c r="N829" s="601"/>
      <c r="O829" s="601"/>
      <c r="P829" s="601"/>
      <c r="Q829" s="601"/>
      <c r="R829" s="601"/>
      <c r="S829" s="601"/>
      <c r="T829" s="601"/>
      <c r="U829" s="601"/>
      <c r="V829" s="601"/>
      <c r="W829" s="601"/>
      <c r="X829" s="601"/>
      <c r="Y829" s="601"/>
    </row>
    <row r="830" ht="38.25" spans="1:25">
      <c r="A830" s="569" t="s">
        <v>2283</v>
      </c>
      <c r="B830" s="569" t="s">
        <v>2284</v>
      </c>
      <c r="C830" s="569" t="s">
        <v>132</v>
      </c>
      <c r="D830" s="569" t="s">
        <v>2285</v>
      </c>
      <c r="E830" s="577" t="s">
        <v>134</v>
      </c>
      <c r="F830" s="570">
        <v>1</v>
      </c>
      <c r="G830" s="579">
        <v>1082.44</v>
      </c>
      <c r="H830" s="600">
        <v>1358.35</v>
      </c>
      <c r="I830" s="600">
        <v>1358.35</v>
      </c>
      <c r="J830" s="612">
        <v>5.52346796642317e-5</v>
      </c>
      <c r="K830" s="613">
        <f t="shared" si="44"/>
        <v>0</v>
      </c>
      <c r="L830" s="610">
        <f t="shared" si="45"/>
        <v>1358.35</v>
      </c>
      <c r="M830" s="601"/>
      <c r="N830" s="601"/>
      <c r="O830" s="601"/>
      <c r="P830" s="601"/>
      <c r="Q830" s="601"/>
      <c r="R830" s="601"/>
      <c r="S830" s="601"/>
      <c r="T830" s="601"/>
      <c r="U830" s="601"/>
      <c r="V830" s="601"/>
      <c r="W830" s="601"/>
      <c r="X830" s="601"/>
      <c r="Y830" s="601"/>
    </row>
    <row r="831" ht="38.25" spans="1:25">
      <c r="A831" s="569" t="s">
        <v>2286</v>
      </c>
      <c r="B831" s="569" t="s">
        <v>2287</v>
      </c>
      <c r="C831" s="569" t="s">
        <v>132</v>
      </c>
      <c r="D831" s="569" t="s">
        <v>2288</v>
      </c>
      <c r="E831" s="577" t="s">
        <v>134</v>
      </c>
      <c r="F831" s="570">
        <v>1</v>
      </c>
      <c r="G831" s="579">
        <v>1105.22</v>
      </c>
      <c r="H831" s="600">
        <v>1386.94</v>
      </c>
      <c r="I831" s="600">
        <v>1386.94</v>
      </c>
      <c r="J831" s="612">
        <v>5.63972368045861e-5</v>
      </c>
      <c r="K831" s="613">
        <f t="shared" si="44"/>
        <v>0</v>
      </c>
      <c r="L831" s="610">
        <f t="shared" si="45"/>
        <v>1386.94</v>
      </c>
      <c r="M831" s="601"/>
      <c r="N831" s="601"/>
      <c r="O831" s="601"/>
      <c r="P831" s="601"/>
      <c r="Q831" s="601"/>
      <c r="R831" s="601"/>
      <c r="S831" s="601"/>
      <c r="T831" s="601"/>
      <c r="U831" s="601"/>
      <c r="V831" s="601"/>
      <c r="W831" s="601"/>
      <c r="X831" s="601"/>
      <c r="Y831" s="601"/>
    </row>
    <row r="832" ht="38.25" spans="1:25">
      <c r="A832" s="569" t="s">
        <v>2289</v>
      </c>
      <c r="B832" s="569" t="s">
        <v>2290</v>
      </c>
      <c r="C832" s="569" t="s">
        <v>132</v>
      </c>
      <c r="D832" s="569" t="s">
        <v>2291</v>
      </c>
      <c r="E832" s="577" t="s">
        <v>134</v>
      </c>
      <c r="F832" s="570">
        <v>1</v>
      </c>
      <c r="G832" s="579">
        <v>1131.39</v>
      </c>
      <c r="H832" s="600">
        <v>1419.78</v>
      </c>
      <c r="I832" s="600">
        <v>1419.78</v>
      </c>
      <c r="J832" s="612">
        <v>5.77326119878403e-5</v>
      </c>
      <c r="K832" s="613">
        <f t="shared" si="44"/>
        <v>0</v>
      </c>
      <c r="L832" s="610">
        <f t="shared" si="45"/>
        <v>1419.78</v>
      </c>
      <c r="M832" s="601"/>
      <c r="N832" s="601"/>
      <c r="O832" s="601"/>
      <c r="P832" s="601"/>
      <c r="Q832" s="601"/>
      <c r="R832" s="601"/>
      <c r="S832" s="601"/>
      <c r="T832" s="601"/>
      <c r="U832" s="601"/>
      <c r="V832" s="601"/>
      <c r="W832" s="601"/>
      <c r="X832" s="601"/>
      <c r="Y832" s="601"/>
    </row>
    <row r="833" ht="38.25" spans="1:25">
      <c r="A833" s="569" t="s">
        <v>2292</v>
      </c>
      <c r="B833" s="569" t="s">
        <v>2293</v>
      </c>
      <c r="C833" s="569" t="s">
        <v>132</v>
      </c>
      <c r="D833" s="569" t="s">
        <v>2294</v>
      </c>
      <c r="E833" s="577" t="s">
        <v>134</v>
      </c>
      <c r="F833" s="570">
        <v>1</v>
      </c>
      <c r="G833" s="579">
        <v>1165.26</v>
      </c>
      <c r="H833" s="600">
        <v>1462.28</v>
      </c>
      <c r="I833" s="600">
        <v>1462.28</v>
      </c>
      <c r="J833" s="612">
        <v>5.94607924168386e-5</v>
      </c>
      <c r="K833" s="613">
        <f t="shared" si="44"/>
        <v>0</v>
      </c>
      <c r="L833" s="610">
        <f t="shared" si="45"/>
        <v>1462.28</v>
      </c>
      <c r="M833" s="601"/>
      <c r="N833" s="601"/>
      <c r="O833" s="601"/>
      <c r="P833" s="601"/>
      <c r="Q833" s="601"/>
      <c r="R833" s="601"/>
      <c r="S833" s="601"/>
      <c r="T833" s="601"/>
      <c r="U833" s="601"/>
      <c r="V833" s="601"/>
      <c r="W833" s="601"/>
      <c r="X833" s="601"/>
      <c r="Y833" s="601"/>
    </row>
    <row r="834" ht="38.25" spans="1:25">
      <c r="A834" s="569" t="s">
        <v>2295</v>
      </c>
      <c r="B834" s="569" t="s">
        <v>2296</v>
      </c>
      <c r="C834" s="569" t="s">
        <v>132</v>
      </c>
      <c r="D834" s="569" t="s">
        <v>2297</v>
      </c>
      <c r="E834" s="577" t="s">
        <v>134</v>
      </c>
      <c r="F834" s="570">
        <v>1</v>
      </c>
      <c r="G834" s="579">
        <v>1140.01</v>
      </c>
      <c r="H834" s="600">
        <v>1430.59</v>
      </c>
      <c r="I834" s="600">
        <v>1430.59</v>
      </c>
      <c r="J834" s="612">
        <v>5.81721797628396e-5</v>
      </c>
      <c r="K834" s="613">
        <f t="shared" si="44"/>
        <v>0</v>
      </c>
      <c r="L834" s="610">
        <f t="shared" si="45"/>
        <v>1430.59</v>
      </c>
      <c r="M834" s="601"/>
      <c r="N834" s="601"/>
      <c r="O834" s="601"/>
      <c r="P834" s="601"/>
      <c r="Q834" s="601"/>
      <c r="R834" s="601"/>
      <c r="S834" s="601"/>
      <c r="T834" s="601"/>
      <c r="U834" s="601"/>
      <c r="V834" s="601"/>
      <c r="W834" s="601"/>
      <c r="X834" s="601"/>
      <c r="Y834" s="601"/>
    </row>
    <row r="835" ht="38.25" spans="1:25">
      <c r="A835" s="569" t="s">
        <v>2298</v>
      </c>
      <c r="B835" s="569" t="s">
        <v>2299</v>
      </c>
      <c r="C835" s="569" t="s">
        <v>132</v>
      </c>
      <c r="D835" s="569" t="s">
        <v>2300</v>
      </c>
      <c r="E835" s="577" t="s">
        <v>134</v>
      </c>
      <c r="F835" s="570">
        <v>1</v>
      </c>
      <c r="G835" s="579">
        <v>1254.48</v>
      </c>
      <c r="H835" s="600">
        <v>1574.24</v>
      </c>
      <c r="I835" s="600">
        <v>1574.24</v>
      </c>
      <c r="J835" s="612">
        <v>6.40134296128539e-5</v>
      </c>
      <c r="K835" s="613">
        <f t="shared" si="44"/>
        <v>0</v>
      </c>
      <c r="L835" s="610">
        <f t="shared" si="45"/>
        <v>1574.24</v>
      </c>
      <c r="M835" s="601"/>
      <c r="N835" s="601"/>
      <c r="O835" s="601"/>
      <c r="P835" s="601"/>
      <c r="Q835" s="601"/>
      <c r="R835" s="601"/>
      <c r="S835" s="601"/>
      <c r="T835" s="601"/>
      <c r="U835" s="601"/>
      <c r="V835" s="601"/>
      <c r="W835" s="601"/>
      <c r="X835" s="601"/>
      <c r="Y835" s="601"/>
    </row>
    <row r="836" ht="38.25" spans="1:25">
      <c r="A836" s="569" t="s">
        <v>2301</v>
      </c>
      <c r="B836" s="569" t="s">
        <v>2302</v>
      </c>
      <c r="C836" s="569" t="s">
        <v>132</v>
      </c>
      <c r="D836" s="569" t="s">
        <v>2303</v>
      </c>
      <c r="E836" s="577" t="s">
        <v>134</v>
      </c>
      <c r="F836" s="570">
        <v>2</v>
      </c>
      <c r="G836" s="579">
        <v>1292.08</v>
      </c>
      <c r="H836" s="600">
        <v>1621.43</v>
      </c>
      <c r="I836" s="600">
        <v>3242.86</v>
      </c>
      <c r="J836" s="612">
        <v>0.000131864639670152</v>
      </c>
      <c r="K836" s="613">
        <f t="shared" si="44"/>
        <v>0</v>
      </c>
      <c r="L836" s="610">
        <f t="shared" si="45"/>
        <v>3242.86</v>
      </c>
      <c r="M836" s="601"/>
      <c r="N836" s="601"/>
      <c r="O836" s="601"/>
      <c r="P836" s="601"/>
      <c r="Q836" s="601"/>
      <c r="R836" s="601"/>
      <c r="S836" s="601"/>
      <c r="T836" s="601"/>
      <c r="U836" s="601"/>
      <c r="V836" s="601"/>
      <c r="W836" s="601"/>
      <c r="X836" s="601"/>
      <c r="Y836" s="601"/>
    </row>
    <row r="837" ht="38.25" spans="1:25">
      <c r="A837" s="569" t="s">
        <v>2304</v>
      </c>
      <c r="B837" s="569" t="s">
        <v>2305</v>
      </c>
      <c r="C837" s="569" t="s">
        <v>132</v>
      </c>
      <c r="D837" s="569" t="s">
        <v>2306</v>
      </c>
      <c r="E837" s="577" t="s">
        <v>134</v>
      </c>
      <c r="F837" s="570">
        <v>1</v>
      </c>
      <c r="G837" s="579">
        <v>1330.8</v>
      </c>
      <c r="H837" s="600">
        <v>1670.02</v>
      </c>
      <c r="I837" s="600">
        <v>1670.02</v>
      </c>
      <c r="J837" s="612">
        <v>6.79081383537823e-5</v>
      </c>
      <c r="K837" s="613">
        <f t="shared" si="44"/>
        <v>0</v>
      </c>
      <c r="L837" s="610">
        <f t="shared" si="45"/>
        <v>1670.02</v>
      </c>
      <c r="M837" s="601"/>
      <c r="N837" s="601"/>
      <c r="O837" s="601"/>
      <c r="P837" s="601"/>
      <c r="Q837" s="601"/>
      <c r="R837" s="601"/>
      <c r="S837" s="601"/>
      <c r="T837" s="601"/>
      <c r="U837" s="601"/>
      <c r="V837" s="601"/>
      <c r="W837" s="601"/>
      <c r="X837" s="601"/>
      <c r="Y837" s="601"/>
    </row>
    <row r="838" ht="38.25" spans="1:25">
      <c r="A838" s="569" t="s">
        <v>2307</v>
      </c>
      <c r="B838" s="569" t="s">
        <v>2308</v>
      </c>
      <c r="C838" s="569" t="s">
        <v>132</v>
      </c>
      <c r="D838" s="569" t="s">
        <v>2309</v>
      </c>
      <c r="E838" s="577" t="s">
        <v>134</v>
      </c>
      <c r="F838" s="570">
        <v>1</v>
      </c>
      <c r="G838" s="579">
        <v>1365.86</v>
      </c>
      <c r="H838" s="600">
        <v>1714.01</v>
      </c>
      <c r="I838" s="600">
        <v>1714.01</v>
      </c>
      <c r="J838" s="612">
        <v>6.96969067554679e-5</v>
      </c>
      <c r="K838" s="613">
        <f t="shared" si="44"/>
        <v>0</v>
      </c>
      <c r="L838" s="610">
        <f t="shared" si="45"/>
        <v>1714.01</v>
      </c>
      <c r="M838" s="601"/>
      <c r="N838" s="601"/>
      <c r="O838" s="601"/>
      <c r="P838" s="601"/>
      <c r="Q838" s="601"/>
      <c r="R838" s="601"/>
      <c r="S838" s="601"/>
      <c r="T838" s="601"/>
      <c r="U838" s="601"/>
      <c r="V838" s="601"/>
      <c r="W838" s="601"/>
      <c r="X838" s="601"/>
      <c r="Y838" s="601"/>
    </row>
    <row r="839" ht="38.25" spans="1:25">
      <c r="A839" s="569" t="s">
        <v>2310</v>
      </c>
      <c r="B839" s="569" t="s">
        <v>2311</v>
      </c>
      <c r="C839" s="569" t="s">
        <v>132</v>
      </c>
      <c r="D839" s="569" t="s">
        <v>2312</v>
      </c>
      <c r="E839" s="577" t="s">
        <v>134</v>
      </c>
      <c r="F839" s="570">
        <v>1</v>
      </c>
      <c r="G839" s="579">
        <v>766.07</v>
      </c>
      <c r="H839" s="600">
        <v>961.34</v>
      </c>
      <c r="I839" s="600">
        <v>961.34</v>
      </c>
      <c r="J839" s="612">
        <v>3.90910346732525e-5</v>
      </c>
      <c r="K839" s="613">
        <f t="shared" si="44"/>
        <v>0</v>
      </c>
      <c r="L839" s="610">
        <f t="shared" si="45"/>
        <v>961.34</v>
      </c>
      <c r="M839" s="601"/>
      <c r="N839" s="601"/>
      <c r="O839" s="601"/>
      <c r="P839" s="601"/>
      <c r="Q839" s="601"/>
      <c r="R839" s="601"/>
      <c r="S839" s="601"/>
      <c r="T839" s="601"/>
      <c r="U839" s="601"/>
      <c r="V839" s="601"/>
      <c r="W839" s="601"/>
      <c r="X839" s="601"/>
      <c r="Y839" s="601"/>
    </row>
    <row r="840" ht="51" spans="1:25">
      <c r="A840" s="569" t="s">
        <v>2313</v>
      </c>
      <c r="B840" s="569" t="s">
        <v>2314</v>
      </c>
      <c r="C840" s="569" t="s">
        <v>77</v>
      </c>
      <c r="D840" s="569" t="s">
        <v>2315</v>
      </c>
      <c r="E840" s="577">
        <v>0</v>
      </c>
      <c r="F840" s="570">
        <v>1</v>
      </c>
      <c r="G840" s="579">
        <v>1032.01</v>
      </c>
      <c r="H840" s="600">
        <v>1295.06</v>
      </c>
      <c r="I840" s="600">
        <v>1295.06</v>
      </c>
      <c r="J840" s="612">
        <v>5.26611140324363e-5</v>
      </c>
      <c r="K840" s="613">
        <f t="shared" si="44"/>
        <v>0</v>
      </c>
      <c r="L840" s="610">
        <f t="shared" si="45"/>
        <v>1295.06</v>
      </c>
      <c r="M840" s="601"/>
      <c r="N840" s="601"/>
      <c r="O840" s="601"/>
      <c r="P840" s="601"/>
      <c r="Q840" s="601"/>
      <c r="R840" s="601"/>
      <c r="S840" s="601"/>
      <c r="T840" s="601"/>
      <c r="U840" s="601"/>
      <c r="V840" s="601"/>
      <c r="W840" s="601"/>
      <c r="X840" s="601"/>
      <c r="Y840" s="601"/>
    </row>
    <row r="841" ht="15" spans="1:25">
      <c r="A841" s="569" t="s">
        <v>2316</v>
      </c>
      <c r="B841" s="569" t="s">
        <v>2317</v>
      </c>
      <c r="C841" s="569" t="s">
        <v>149</v>
      </c>
      <c r="D841" s="569" t="s">
        <v>2318</v>
      </c>
      <c r="E841" s="577" t="s">
        <v>134</v>
      </c>
      <c r="F841" s="570">
        <v>4</v>
      </c>
      <c r="G841" s="579">
        <v>1478.74</v>
      </c>
      <c r="H841" s="600">
        <v>1855.67</v>
      </c>
      <c r="I841" s="600">
        <v>7422.68</v>
      </c>
      <c r="J841" s="612">
        <v>0.000301828948393344</v>
      </c>
      <c r="K841" s="613">
        <f t="shared" ref="K841:K904" si="46">$I$1051</f>
        <v>0</v>
      </c>
      <c r="L841" s="610">
        <f t="shared" si="45"/>
        <v>7422.68</v>
      </c>
      <c r="M841" s="601"/>
      <c r="N841" s="601"/>
      <c r="O841" s="601"/>
      <c r="P841" s="601"/>
      <c r="Q841" s="601"/>
      <c r="R841" s="601"/>
      <c r="S841" s="601"/>
      <c r="T841" s="601"/>
      <c r="U841" s="601"/>
      <c r="V841" s="601"/>
      <c r="W841" s="601"/>
      <c r="X841" s="601"/>
      <c r="Y841" s="601"/>
    </row>
    <row r="842" ht="38.25" spans="1:25">
      <c r="A842" s="569" t="s">
        <v>2319</v>
      </c>
      <c r="B842" s="569" t="s">
        <v>2320</v>
      </c>
      <c r="C842" s="569" t="s">
        <v>132</v>
      </c>
      <c r="D842" s="569" t="s">
        <v>2321</v>
      </c>
      <c r="E842" s="577" t="s">
        <v>134</v>
      </c>
      <c r="F842" s="570">
        <v>1</v>
      </c>
      <c r="G842" s="579">
        <v>1970.86</v>
      </c>
      <c r="H842" s="600">
        <v>2473.23</v>
      </c>
      <c r="I842" s="600">
        <v>2473.23</v>
      </c>
      <c r="J842" s="612">
        <v>0.000100569121939094</v>
      </c>
      <c r="K842" s="613">
        <f t="shared" si="46"/>
        <v>0</v>
      </c>
      <c r="L842" s="610">
        <f t="shared" si="45"/>
        <v>2473.23</v>
      </c>
      <c r="M842" s="601"/>
      <c r="N842" s="601"/>
      <c r="O842" s="601"/>
      <c r="P842" s="601"/>
      <c r="Q842" s="601"/>
      <c r="R842" s="601"/>
      <c r="S842" s="601"/>
      <c r="T842" s="601"/>
      <c r="U842" s="601"/>
      <c r="V842" s="601"/>
      <c r="W842" s="601"/>
      <c r="X842" s="601"/>
      <c r="Y842" s="601"/>
    </row>
    <row r="843" ht="38.25" spans="1:25">
      <c r="A843" s="569" t="s">
        <v>2322</v>
      </c>
      <c r="B843" s="569" t="s">
        <v>2323</v>
      </c>
      <c r="C843" s="569" t="s">
        <v>132</v>
      </c>
      <c r="D843" s="569" t="s">
        <v>2324</v>
      </c>
      <c r="E843" s="577" t="s">
        <v>134</v>
      </c>
      <c r="F843" s="570">
        <v>1</v>
      </c>
      <c r="G843" s="579">
        <v>1970.86</v>
      </c>
      <c r="H843" s="600">
        <v>2473.23</v>
      </c>
      <c r="I843" s="600">
        <v>2473.23</v>
      </c>
      <c r="J843" s="612">
        <v>0.000100569121939094</v>
      </c>
      <c r="K843" s="613">
        <f t="shared" si="46"/>
        <v>0</v>
      </c>
      <c r="L843" s="610">
        <f t="shared" si="45"/>
        <v>2473.23</v>
      </c>
      <c r="M843" s="601"/>
      <c r="N843" s="601"/>
      <c r="O843" s="601"/>
      <c r="P843" s="601"/>
      <c r="Q843" s="601"/>
      <c r="R843" s="601"/>
      <c r="S843" s="601"/>
      <c r="T843" s="601"/>
      <c r="U843" s="601"/>
      <c r="V843" s="601"/>
      <c r="W843" s="601"/>
      <c r="X843" s="601"/>
      <c r="Y843" s="601"/>
    </row>
    <row r="844" ht="51" spans="1:25">
      <c r="A844" s="569" t="s">
        <v>2325</v>
      </c>
      <c r="B844" s="569" t="s">
        <v>2326</v>
      </c>
      <c r="C844" s="569" t="s">
        <v>77</v>
      </c>
      <c r="D844" s="569" t="s">
        <v>2327</v>
      </c>
      <c r="E844" s="577">
        <v>0</v>
      </c>
      <c r="F844" s="570">
        <v>2</v>
      </c>
      <c r="G844" s="579">
        <v>1912.73</v>
      </c>
      <c r="H844" s="600">
        <v>2400.28</v>
      </c>
      <c r="I844" s="600">
        <v>4800.56</v>
      </c>
      <c r="J844" s="612">
        <v>0.000195205502123108</v>
      </c>
      <c r="K844" s="613">
        <f t="shared" si="46"/>
        <v>0</v>
      </c>
      <c r="L844" s="610">
        <f t="shared" si="45"/>
        <v>4800.56</v>
      </c>
      <c r="M844" s="601"/>
      <c r="N844" s="601"/>
      <c r="O844" s="601"/>
      <c r="P844" s="601"/>
      <c r="Q844" s="601"/>
      <c r="R844" s="601"/>
      <c r="S844" s="601"/>
      <c r="T844" s="601"/>
      <c r="U844" s="601"/>
      <c r="V844" s="601"/>
      <c r="W844" s="601"/>
      <c r="X844" s="601"/>
      <c r="Y844" s="601"/>
    </row>
    <row r="845" ht="38.25" spans="1:25">
      <c r="A845" s="569" t="s">
        <v>2328</v>
      </c>
      <c r="B845" s="569" t="s">
        <v>2329</v>
      </c>
      <c r="C845" s="569" t="s">
        <v>132</v>
      </c>
      <c r="D845" s="569" t="s">
        <v>2330</v>
      </c>
      <c r="E845" s="577" t="s">
        <v>134</v>
      </c>
      <c r="F845" s="570">
        <v>1</v>
      </c>
      <c r="G845" s="579">
        <v>6394.99</v>
      </c>
      <c r="H845" s="600">
        <v>8025.07</v>
      </c>
      <c r="I845" s="600">
        <v>8025.07</v>
      </c>
      <c r="J845" s="612">
        <v>0.000326323974478622</v>
      </c>
      <c r="K845" s="613">
        <f t="shared" si="46"/>
        <v>0</v>
      </c>
      <c r="L845" s="610">
        <f t="shared" si="45"/>
        <v>8025.07</v>
      </c>
      <c r="M845" s="601"/>
      <c r="N845" s="601"/>
      <c r="O845" s="601"/>
      <c r="P845" s="601"/>
      <c r="Q845" s="601"/>
      <c r="R845" s="601"/>
      <c r="S845" s="601"/>
      <c r="T845" s="601"/>
      <c r="U845" s="601"/>
      <c r="V845" s="601"/>
      <c r="W845" s="601"/>
      <c r="X845" s="601"/>
      <c r="Y845" s="601"/>
    </row>
    <row r="846" ht="38.25" spans="1:25">
      <c r="A846" s="569" t="s">
        <v>2331</v>
      </c>
      <c r="B846" s="569" t="s">
        <v>2332</v>
      </c>
      <c r="C846" s="569" t="s">
        <v>132</v>
      </c>
      <c r="D846" s="569" t="s">
        <v>2333</v>
      </c>
      <c r="E846" s="577" t="s">
        <v>134</v>
      </c>
      <c r="F846" s="570">
        <v>1</v>
      </c>
      <c r="G846" s="579">
        <v>7033.42</v>
      </c>
      <c r="H846" s="600">
        <v>8826.23</v>
      </c>
      <c r="I846" s="600">
        <v>8826.23</v>
      </c>
      <c r="J846" s="612">
        <v>0.000358901598772652</v>
      </c>
      <c r="K846" s="613">
        <f t="shared" si="46"/>
        <v>0</v>
      </c>
      <c r="L846" s="610">
        <f t="shared" si="45"/>
        <v>8826.23</v>
      </c>
      <c r="M846" s="601"/>
      <c r="N846" s="601"/>
      <c r="O846" s="601"/>
      <c r="P846" s="601"/>
      <c r="Q846" s="601"/>
      <c r="R846" s="601"/>
      <c r="S846" s="601"/>
      <c r="T846" s="601"/>
      <c r="U846" s="601"/>
      <c r="V846" s="601"/>
      <c r="W846" s="601"/>
      <c r="X846" s="601"/>
      <c r="Y846" s="601"/>
    </row>
    <row r="847" ht="38.25" spans="1:25">
      <c r="A847" s="569" t="s">
        <v>2334</v>
      </c>
      <c r="B847" s="569" t="s">
        <v>2335</v>
      </c>
      <c r="C847" s="569" t="s">
        <v>132</v>
      </c>
      <c r="D847" s="569" t="s">
        <v>2336</v>
      </c>
      <c r="E847" s="577" t="s">
        <v>134</v>
      </c>
      <c r="F847" s="570">
        <v>24</v>
      </c>
      <c r="G847" s="579">
        <v>63.65</v>
      </c>
      <c r="H847" s="600">
        <v>79.87</v>
      </c>
      <c r="I847" s="600">
        <v>1916.88</v>
      </c>
      <c r="J847" s="612">
        <v>7.79462235467828e-5</v>
      </c>
      <c r="K847" s="613">
        <f t="shared" si="46"/>
        <v>0</v>
      </c>
      <c r="L847" s="610">
        <f t="shared" si="45"/>
        <v>1916.88</v>
      </c>
      <c r="M847" s="601"/>
      <c r="N847" s="601"/>
      <c r="O847" s="601"/>
      <c r="P847" s="601"/>
      <c r="Q847" s="601"/>
      <c r="R847" s="601"/>
      <c r="S847" s="601"/>
      <c r="T847" s="601"/>
      <c r="U847" s="601"/>
      <c r="V847" s="601"/>
      <c r="W847" s="601"/>
      <c r="X847" s="601"/>
      <c r="Y847" s="601"/>
    </row>
    <row r="848" ht="38.25" spans="1:25">
      <c r="A848" s="569" t="s">
        <v>2337</v>
      </c>
      <c r="B848" s="569" t="s">
        <v>2338</v>
      </c>
      <c r="C848" s="569" t="s">
        <v>132</v>
      </c>
      <c r="D848" s="569" t="s">
        <v>2339</v>
      </c>
      <c r="E848" s="577" t="s">
        <v>134</v>
      </c>
      <c r="F848" s="570">
        <v>37</v>
      </c>
      <c r="G848" s="579">
        <v>63.65</v>
      </c>
      <c r="H848" s="600">
        <v>79.87</v>
      </c>
      <c r="I848" s="600">
        <v>2955.19</v>
      </c>
      <c r="J848" s="612">
        <v>0.000120167094634624</v>
      </c>
      <c r="K848" s="613">
        <f t="shared" si="46"/>
        <v>0</v>
      </c>
      <c r="L848" s="610">
        <f t="shared" si="45"/>
        <v>2955.19</v>
      </c>
      <c r="M848" s="601"/>
      <c r="N848" s="601"/>
      <c r="O848" s="601"/>
      <c r="P848" s="601"/>
      <c r="Q848" s="601"/>
      <c r="R848" s="601"/>
      <c r="S848" s="601"/>
      <c r="T848" s="601"/>
      <c r="U848" s="601"/>
      <c r="V848" s="601"/>
      <c r="W848" s="601"/>
      <c r="X848" s="601"/>
      <c r="Y848" s="601"/>
    </row>
    <row r="849" ht="89.25" spans="1:25">
      <c r="A849" s="569" t="s">
        <v>2340</v>
      </c>
      <c r="B849" s="569" t="s">
        <v>2341</v>
      </c>
      <c r="C849" s="569" t="s">
        <v>132</v>
      </c>
      <c r="D849" s="569" t="s">
        <v>2342</v>
      </c>
      <c r="E849" s="577" t="s">
        <v>134</v>
      </c>
      <c r="F849" s="570">
        <v>76</v>
      </c>
      <c r="G849" s="579">
        <v>63.65</v>
      </c>
      <c r="H849" s="600">
        <v>79.87</v>
      </c>
      <c r="I849" s="600">
        <v>6070.12</v>
      </c>
      <c r="J849" s="612">
        <v>0.000246829707898146</v>
      </c>
      <c r="K849" s="613">
        <f t="shared" si="46"/>
        <v>0</v>
      </c>
      <c r="L849" s="610">
        <f t="shared" si="45"/>
        <v>6070.12</v>
      </c>
      <c r="M849" s="601"/>
      <c r="N849" s="601"/>
      <c r="O849" s="601"/>
      <c r="P849" s="601"/>
      <c r="Q849" s="601"/>
      <c r="R849" s="601"/>
      <c r="S849" s="601"/>
      <c r="T849" s="601"/>
      <c r="U849" s="601"/>
      <c r="V849" s="601"/>
      <c r="W849" s="601"/>
      <c r="X849" s="601"/>
      <c r="Y849" s="601"/>
    </row>
    <row r="850" ht="38.25" spans="1:25">
      <c r="A850" s="569" t="s">
        <v>2343</v>
      </c>
      <c r="B850" s="569" t="s">
        <v>2344</v>
      </c>
      <c r="C850" s="569" t="s">
        <v>132</v>
      </c>
      <c r="D850" s="569" t="s">
        <v>2345</v>
      </c>
      <c r="E850" s="577" t="s">
        <v>134</v>
      </c>
      <c r="F850" s="570">
        <v>9</v>
      </c>
      <c r="G850" s="579">
        <v>63.65</v>
      </c>
      <c r="H850" s="600">
        <v>79.87</v>
      </c>
      <c r="I850" s="600">
        <v>718.83</v>
      </c>
      <c r="J850" s="612">
        <v>2.92298338300436e-5</v>
      </c>
      <c r="K850" s="613">
        <f t="shared" si="46"/>
        <v>0</v>
      </c>
      <c r="L850" s="610">
        <f t="shared" si="45"/>
        <v>718.83</v>
      </c>
      <c r="M850" s="601"/>
      <c r="N850" s="601"/>
      <c r="O850" s="601"/>
      <c r="P850" s="601"/>
      <c r="Q850" s="601"/>
      <c r="R850" s="601"/>
      <c r="S850" s="601"/>
      <c r="T850" s="601"/>
      <c r="U850" s="601"/>
      <c r="V850" s="601"/>
      <c r="W850" s="601"/>
      <c r="X850" s="601"/>
      <c r="Y850" s="601"/>
    </row>
    <row r="851" ht="15" spans="1:25">
      <c r="A851" s="569" t="s">
        <v>2346</v>
      </c>
      <c r="B851" s="569" t="s">
        <v>2347</v>
      </c>
      <c r="C851" s="569" t="s">
        <v>149</v>
      </c>
      <c r="D851" s="569" t="s">
        <v>2348</v>
      </c>
      <c r="E851" s="577" t="s">
        <v>134</v>
      </c>
      <c r="F851" s="570">
        <v>22</v>
      </c>
      <c r="G851" s="579">
        <v>71.76</v>
      </c>
      <c r="H851" s="600">
        <v>90.05</v>
      </c>
      <c r="I851" s="600">
        <v>1981.1</v>
      </c>
      <c r="J851" s="612">
        <v>8.05576058326716e-5</v>
      </c>
      <c r="K851" s="613">
        <f t="shared" si="46"/>
        <v>0</v>
      </c>
      <c r="L851" s="610">
        <f t="shared" si="45"/>
        <v>1981.1</v>
      </c>
      <c r="M851" s="601"/>
      <c r="N851" s="601"/>
      <c r="O851" s="601"/>
      <c r="P851" s="601"/>
      <c r="Q851" s="601"/>
      <c r="R851" s="601"/>
      <c r="S851" s="601"/>
      <c r="T851" s="601"/>
      <c r="U851" s="601"/>
      <c r="V851" s="601"/>
      <c r="W851" s="601"/>
      <c r="X851" s="601"/>
      <c r="Y851" s="601"/>
    </row>
    <row r="852" ht="38.25" spans="1:25">
      <c r="A852" s="569" t="s">
        <v>2349</v>
      </c>
      <c r="B852" s="569" t="s">
        <v>2350</v>
      </c>
      <c r="C852" s="569" t="s">
        <v>132</v>
      </c>
      <c r="D852" s="569" t="s">
        <v>2351</v>
      </c>
      <c r="E852" s="577" t="s">
        <v>134</v>
      </c>
      <c r="F852" s="570">
        <v>10</v>
      </c>
      <c r="G852" s="579">
        <v>85.65</v>
      </c>
      <c r="H852" s="600">
        <v>107.48</v>
      </c>
      <c r="I852" s="600">
        <v>1074.8</v>
      </c>
      <c r="J852" s="612">
        <v>4.37046664726442e-5</v>
      </c>
      <c r="K852" s="613">
        <f t="shared" si="46"/>
        <v>0</v>
      </c>
      <c r="L852" s="610">
        <f t="shared" si="45"/>
        <v>1074.8</v>
      </c>
      <c r="M852" s="601"/>
      <c r="N852" s="601"/>
      <c r="O852" s="601"/>
      <c r="P852" s="601"/>
      <c r="Q852" s="601"/>
      <c r="R852" s="601"/>
      <c r="S852" s="601"/>
      <c r="T852" s="601"/>
      <c r="U852" s="601"/>
      <c r="V852" s="601"/>
      <c r="W852" s="601"/>
      <c r="X852" s="601"/>
      <c r="Y852" s="601"/>
    </row>
    <row r="853" ht="38.25" spans="1:25">
      <c r="A853" s="569" t="s">
        <v>2352</v>
      </c>
      <c r="B853" s="569" t="s">
        <v>2353</v>
      </c>
      <c r="C853" s="569" t="s">
        <v>132</v>
      </c>
      <c r="D853" s="569" t="s">
        <v>2354</v>
      </c>
      <c r="E853" s="577" t="s">
        <v>134</v>
      </c>
      <c r="F853" s="570">
        <v>30</v>
      </c>
      <c r="G853" s="579">
        <v>86.65</v>
      </c>
      <c r="H853" s="600">
        <v>108.73</v>
      </c>
      <c r="I853" s="600">
        <v>3261.9</v>
      </c>
      <c r="J853" s="612">
        <v>0.000132638864502343</v>
      </c>
      <c r="K853" s="613">
        <f t="shared" si="46"/>
        <v>0</v>
      </c>
      <c r="L853" s="610">
        <f t="shared" si="45"/>
        <v>3261.9</v>
      </c>
      <c r="M853" s="601"/>
      <c r="N853" s="601"/>
      <c r="O853" s="601"/>
      <c r="P853" s="601"/>
      <c r="Q853" s="601"/>
      <c r="R853" s="601"/>
      <c r="S853" s="601"/>
      <c r="T853" s="601"/>
      <c r="U853" s="601"/>
      <c r="V853" s="601"/>
      <c r="W853" s="601"/>
      <c r="X853" s="601"/>
      <c r="Y853" s="601"/>
    </row>
    <row r="854" ht="38.25" spans="1:25">
      <c r="A854" s="569" t="s">
        <v>2355</v>
      </c>
      <c r="B854" s="569" t="s">
        <v>2356</v>
      </c>
      <c r="C854" s="569" t="s">
        <v>132</v>
      </c>
      <c r="D854" s="569" t="s">
        <v>2357</v>
      </c>
      <c r="E854" s="577" t="s">
        <v>134</v>
      </c>
      <c r="F854" s="570">
        <v>27</v>
      </c>
      <c r="G854" s="579">
        <v>87.65</v>
      </c>
      <c r="H854" s="600">
        <v>109.99</v>
      </c>
      <c r="I854" s="600">
        <v>2969.73</v>
      </c>
      <c r="J854" s="612">
        <v>0.000120758335656686</v>
      </c>
      <c r="K854" s="613">
        <f t="shared" si="46"/>
        <v>0</v>
      </c>
      <c r="L854" s="610">
        <f t="shared" si="45"/>
        <v>2969.73</v>
      </c>
      <c r="M854" s="601"/>
      <c r="N854" s="601"/>
      <c r="O854" s="601"/>
      <c r="P854" s="601"/>
      <c r="Q854" s="601"/>
      <c r="R854" s="601"/>
      <c r="S854" s="601"/>
      <c r="T854" s="601"/>
      <c r="U854" s="601"/>
      <c r="V854" s="601"/>
      <c r="W854" s="601"/>
      <c r="X854" s="601"/>
      <c r="Y854" s="601"/>
    </row>
    <row r="855" ht="15" spans="1:25">
      <c r="A855" s="569" t="s">
        <v>2358</v>
      </c>
      <c r="B855" s="569" t="s">
        <v>2359</v>
      </c>
      <c r="C855" s="569" t="s">
        <v>149</v>
      </c>
      <c r="D855" s="569" t="s">
        <v>2360</v>
      </c>
      <c r="E855" s="577" t="s">
        <v>134</v>
      </c>
      <c r="F855" s="570">
        <v>17</v>
      </c>
      <c r="G855" s="579">
        <v>87.36</v>
      </c>
      <c r="H855" s="600">
        <v>109.62</v>
      </c>
      <c r="I855" s="600">
        <v>1863.54</v>
      </c>
      <c r="J855" s="612">
        <v>7.57772554507177e-5</v>
      </c>
      <c r="K855" s="613">
        <f t="shared" si="46"/>
        <v>0</v>
      </c>
      <c r="L855" s="610">
        <f t="shared" si="45"/>
        <v>1863.54</v>
      </c>
      <c r="M855" s="601"/>
      <c r="N855" s="601"/>
      <c r="O855" s="601"/>
      <c r="P855" s="601"/>
      <c r="Q855" s="601"/>
      <c r="R855" s="601"/>
      <c r="S855" s="601"/>
      <c r="T855" s="601"/>
      <c r="U855" s="601"/>
      <c r="V855" s="601"/>
      <c r="W855" s="601"/>
      <c r="X855" s="601"/>
      <c r="Y855" s="601"/>
    </row>
    <row r="856" ht="38.25" spans="1:25">
      <c r="A856" s="569" t="s">
        <v>2361</v>
      </c>
      <c r="B856" s="569" t="s">
        <v>2362</v>
      </c>
      <c r="C856" s="569" t="s">
        <v>132</v>
      </c>
      <c r="D856" s="569" t="s">
        <v>2363</v>
      </c>
      <c r="E856" s="577" t="s">
        <v>134</v>
      </c>
      <c r="F856" s="570">
        <v>41</v>
      </c>
      <c r="G856" s="579">
        <v>99.65</v>
      </c>
      <c r="H856" s="600">
        <v>125.05</v>
      </c>
      <c r="I856" s="600">
        <v>5127.05</v>
      </c>
      <c r="J856" s="612">
        <v>0.000208481587494018</v>
      </c>
      <c r="K856" s="613">
        <f t="shared" si="46"/>
        <v>0</v>
      </c>
      <c r="L856" s="610">
        <f t="shared" si="45"/>
        <v>5127.05</v>
      </c>
      <c r="M856" s="601"/>
      <c r="N856" s="601"/>
      <c r="O856" s="601"/>
      <c r="P856" s="601"/>
      <c r="Q856" s="601"/>
      <c r="R856" s="601"/>
      <c r="S856" s="601"/>
      <c r="T856" s="601"/>
      <c r="U856" s="601"/>
      <c r="V856" s="601"/>
      <c r="W856" s="601"/>
      <c r="X856" s="601"/>
      <c r="Y856" s="601"/>
    </row>
    <row r="857" ht="38.25" spans="1:25">
      <c r="A857" s="569" t="s">
        <v>2364</v>
      </c>
      <c r="B857" s="569" t="s">
        <v>2365</v>
      </c>
      <c r="C857" s="569" t="s">
        <v>132</v>
      </c>
      <c r="D857" s="569" t="s">
        <v>2366</v>
      </c>
      <c r="E857" s="577" t="s">
        <v>134</v>
      </c>
      <c r="F857" s="570">
        <v>24</v>
      </c>
      <c r="G857" s="579">
        <v>65.61</v>
      </c>
      <c r="H857" s="600">
        <v>82.33</v>
      </c>
      <c r="I857" s="600">
        <v>1975.92</v>
      </c>
      <c r="J857" s="612">
        <v>8.03469711356784e-5</v>
      </c>
      <c r="K857" s="613">
        <f t="shared" si="46"/>
        <v>0</v>
      </c>
      <c r="L857" s="610">
        <f t="shared" si="45"/>
        <v>1975.92</v>
      </c>
      <c r="M857" s="601"/>
      <c r="N857" s="601"/>
      <c r="O857" s="601"/>
      <c r="P857" s="601"/>
      <c r="Q857" s="601"/>
      <c r="R857" s="601"/>
      <c r="S857" s="601"/>
      <c r="T857" s="601"/>
      <c r="U857" s="601"/>
      <c r="V857" s="601"/>
      <c r="W857" s="601"/>
      <c r="X857" s="601"/>
      <c r="Y857" s="601"/>
    </row>
    <row r="858" ht="38.25" spans="1:25">
      <c r="A858" s="569" t="s">
        <v>2367</v>
      </c>
      <c r="B858" s="569" t="s">
        <v>2368</v>
      </c>
      <c r="C858" s="569" t="s">
        <v>132</v>
      </c>
      <c r="D858" s="569" t="s">
        <v>2369</v>
      </c>
      <c r="E858" s="577" t="s">
        <v>134</v>
      </c>
      <c r="F858" s="570">
        <v>37</v>
      </c>
      <c r="G858" s="579">
        <v>63.65</v>
      </c>
      <c r="H858" s="600">
        <v>79.87</v>
      </c>
      <c r="I858" s="600">
        <v>2955.19</v>
      </c>
      <c r="J858" s="612">
        <v>0.000120167094634624</v>
      </c>
      <c r="K858" s="613">
        <f t="shared" si="46"/>
        <v>0</v>
      </c>
      <c r="L858" s="610">
        <f t="shared" si="45"/>
        <v>2955.19</v>
      </c>
      <c r="M858" s="601"/>
      <c r="N858" s="601"/>
      <c r="O858" s="601"/>
      <c r="P858" s="601"/>
      <c r="Q858" s="601"/>
      <c r="R858" s="601"/>
      <c r="S858" s="601"/>
      <c r="T858" s="601"/>
      <c r="U858" s="601"/>
      <c r="V858" s="601"/>
      <c r="W858" s="601"/>
      <c r="X858" s="601"/>
      <c r="Y858" s="601"/>
    </row>
    <row r="859" ht="89.25" spans="1:25">
      <c r="A859" s="569" t="s">
        <v>2370</v>
      </c>
      <c r="B859" s="569" t="s">
        <v>2371</v>
      </c>
      <c r="C859" s="569" t="s">
        <v>132</v>
      </c>
      <c r="D859" s="569" t="s">
        <v>2372</v>
      </c>
      <c r="E859" s="577" t="s">
        <v>134</v>
      </c>
      <c r="F859" s="570">
        <v>76</v>
      </c>
      <c r="G859" s="579">
        <v>63.65</v>
      </c>
      <c r="H859" s="600">
        <v>79.87</v>
      </c>
      <c r="I859" s="600">
        <v>6070.12</v>
      </c>
      <c r="J859" s="612">
        <v>0.000246829707898146</v>
      </c>
      <c r="K859" s="613">
        <f t="shared" si="46"/>
        <v>0</v>
      </c>
      <c r="L859" s="610">
        <f t="shared" si="45"/>
        <v>6070.12</v>
      </c>
      <c r="M859" s="601"/>
      <c r="N859" s="601"/>
      <c r="O859" s="601"/>
      <c r="P859" s="601"/>
      <c r="Q859" s="601"/>
      <c r="R859" s="601"/>
      <c r="S859" s="601"/>
      <c r="T859" s="601"/>
      <c r="U859" s="601"/>
      <c r="V859" s="601"/>
      <c r="W859" s="601"/>
      <c r="X859" s="601"/>
      <c r="Y859" s="601"/>
    </row>
    <row r="860" ht="38.25" spans="1:25">
      <c r="A860" s="569" t="s">
        <v>2373</v>
      </c>
      <c r="B860" s="569" t="s">
        <v>2374</v>
      </c>
      <c r="C860" s="569" t="s">
        <v>132</v>
      </c>
      <c r="D860" s="569" t="s">
        <v>2375</v>
      </c>
      <c r="E860" s="577" t="s">
        <v>134</v>
      </c>
      <c r="F860" s="570">
        <v>9</v>
      </c>
      <c r="G860" s="579">
        <v>63.65</v>
      </c>
      <c r="H860" s="600">
        <v>79.87</v>
      </c>
      <c r="I860" s="600">
        <v>718.83</v>
      </c>
      <c r="J860" s="612">
        <v>2.92298338300436e-5</v>
      </c>
      <c r="K860" s="613">
        <f t="shared" si="46"/>
        <v>0</v>
      </c>
      <c r="L860" s="610">
        <f t="shared" si="45"/>
        <v>718.83</v>
      </c>
      <c r="M860" s="601"/>
      <c r="N860" s="601"/>
      <c r="O860" s="601"/>
      <c r="P860" s="601"/>
      <c r="Q860" s="601"/>
      <c r="R860" s="601"/>
      <c r="S860" s="601"/>
      <c r="T860" s="601"/>
      <c r="U860" s="601"/>
      <c r="V860" s="601"/>
      <c r="W860" s="601"/>
      <c r="X860" s="601"/>
      <c r="Y860" s="601"/>
    </row>
    <row r="861" ht="15" spans="1:25">
      <c r="A861" s="569" t="s">
        <v>2376</v>
      </c>
      <c r="B861" s="569" t="s">
        <v>2377</v>
      </c>
      <c r="C861" s="569" t="s">
        <v>149</v>
      </c>
      <c r="D861" s="569" t="s">
        <v>2378</v>
      </c>
      <c r="E861" s="577" t="s">
        <v>134</v>
      </c>
      <c r="F861" s="570">
        <v>22</v>
      </c>
      <c r="G861" s="579">
        <v>64.76</v>
      </c>
      <c r="H861" s="600">
        <v>81.26</v>
      </c>
      <c r="I861" s="600">
        <v>1787.72</v>
      </c>
      <c r="J861" s="612">
        <v>7.26941815653847e-5</v>
      </c>
      <c r="K861" s="613">
        <f t="shared" si="46"/>
        <v>0</v>
      </c>
      <c r="L861" s="610">
        <f t="shared" ref="L861:L866" si="47">I861-(I861*K861)</f>
        <v>1787.72</v>
      </c>
      <c r="M861" s="601"/>
      <c r="N861" s="601"/>
      <c r="O861" s="601"/>
      <c r="P861" s="601"/>
      <c r="Q861" s="601"/>
      <c r="R861" s="601"/>
      <c r="S861" s="601"/>
      <c r="T861" s="601"/>
      <c r="U861" s="601"/>
      <c r="V861" s="601"/>
      <c r="W861" s="601"/>
      <c r="X861" s="601"/>
      <c r="Y861" s="601"/>
    </row>
    <row r="862" ht="38.25" spans="1:25">
      <c r="A862" s="569" t="s">
        <v>2379</v>
      </c>
      <c r="B862" s="569" t="s">
        <v>2380</v>
      </c>
      <c r="C862" s="569" t="s">
        <v>132</v>
      </c>
      <c r="D862" s="569" t="s">
        <v>2381</v>
      </c>
      <c r="E862" s="577" t="s">
        <v>134</v>
      </c>
      <c r="F862" s="570">
        <v>10</v>
      </c>
      <c r="G862" s="579">
        <v>74.78</v>
      </c>
      <c r="H862" s="600">
        <v>93.84</v>
      </c>
      <c r="I862" s="600">
        <v>938.4</v>
      </c>
      <c r="J862" s="612">
        <v>3.81582238722826e-5</v>
      </c>
      <c r="K862" s="613">
        <f t="shared" si="46"/>
        <v>0</v>
      </c>
      <c r="L862" s="610">
        <f t="shared" si="47"/>
        <v>938.4</v>
      </c>
      <c r="M862" s="601"/>
      <c r="N862" s="601"/>
      <c r="O862" s="601"/>
      <c r="P862" s="601"/>
      <c r="Q862" s="601"/>
      <c r="R862" s="601"/>
      <c r="S862" s="601"/>
      <c r="T862" s="601"/>
      <c r="U862" s="601"/>
      <c r="V862" s="601"/>
      <c r="W862" s="601"/>
      <c r="X862" s="601"/>
      <c r="Y862" s="601"/>
    </row>
    <row r="863" ht="38.25" spans="1:25">
      <c r="A863" s="569" t="s">
        <v>2382</v>
      </c>
      <c r="B863" s="569" t="s">
        <v>2383</v>
      </c>
      <c r="C863" s="569" t="s">
        <v>132</v>
      </c>
      <c r="D863" s="569" t="s">
        <v>2384</v>
      </c>
      <c r="E863" s="577" t="s">
        <v>134</v>
      </c>
      <c r="F863" s="570">
        <v>30</v>
      </c>
      <c r="G863" s="579">
        <v>75.6</v>
      </c>
      <c r="H863" s="600">
        <v>94.87</v>
      </c>
      <c r="I863" s="600">
        <v>2846.1</v>
      </c>
      <c r="J863" s="612">
        <v>0.000115731160446402</v>
      </c>
      <c r="K863" s="613">
        <f t="shared" si="46"/>
        <v>0</v>
      </c>
      <c r="L863" s="610">
        <f t="shared" si="47"/>
        <v>2846.1</v>
      </c>
      <c r="M863" s="601"/>
      <c r="N863" s="601"/>
      <c r="O863" s="601"/>
      <c r="P863" s="601"/>
      <c r="Q863" s="601"/>
      <c r="R863" s="601"/>
      <c r="S863" s="601"/>
      <c r="T863" s="601"/>
      <c r="U863" s="601"/>
      <c r="V863" s="601"/>
      <c r="W863" s="601"/>
      <c r="X863" s="601"/>
      <c r="Y863" s="601"/>
    </row>
    <row r="864" ht="38.25" spans="1:25">
      <c r="A864" s="569" t="s">
        <v>2385</v>
      </c>
      <c r="B864" s="569" t="s">
        <v>2386</v>
      </c>
      <c r="C864" s="569" t="s">
        <v>132</v>
      </c>
      <c r="D864" s="569" t="s">
        <v>2387</v>
      </c>
      <c r="E864" s="577" t="s">
        <v>134</v>
      </c>
      <c r="F864" s="570">
        <v>27</v>
      </c>
      <c r="G864" s="579">
        <v>77.55</v>
      </c>
      <c r="H864" s="600">
        <v>97.31</v>
      </c>
      <c r="I864" s="600">
        <v>2627.37</v>
      </c>
      <c r="J864" s="612">
        <v>0.000106836927382054</v>
      </c>
      <c r="K864" s="613">
        <f t="shared" si="46"/>
        <v>0</v>
      </c>
      <c r="L864" s="610">
        <f t="shared" si="47"/>
        <v>2627.37</v>
      </c>
      <c r="M864" s="601"/>
      <c r="N864" s="601"/>
      <c r="O864" s="601"/>
      <c r="P864" s="601"/>
      <c r="Q864" s="601"/>
      <c r="R864" s="601"/>
      <c r="S864" s="601"/>
      <c r="T864" s="601"/>
      <c r="U864" s="601"/>
      <c r="V864" s="601"/>
      <c r="W864" s="601"/>
      <c r="X864" s="601"/>
      <c r="Y864" s="601"/>
    </row>
    <row r="865" ht="15" spans="1:25">
      <c r="A865" s="569" t="s">
        <v>2388</v>
      </c>
      <c r="B865" s="569" t="s">
        <v>2389</v>
      </c>
      <c r="C865" s="569" t="s">
        <v>149</v>
      </c>
      <c r="D865" s="569" t="s">
        <v>2390</v>
      </c>
      <c r="E865" s="577" t="s">
        <v>134</v>
      </c>
      <c r="F865" s="570">
        <v>17</v>
      </c>
      <c r="G865" s="579">
        <v>64.66</v>
      </c>
      <c r="H865" s="600">
        <v>81.14</v>
      </c>
      <c r="I865" s="600">
        <v>1379.38</v>
      </c>
      <c r="J865" s="612">
        <v>5.6089824003569e-5</v>
      </c>
      <c r="K865" s="613">
        <f t="shared" si="46"/>
        <v>0</v>
      </c>
      <c r="L865" s="610">
        <f t="shared" si="47"/>
        <v>1379.38</v>
      </c>
      <c r="M865" s="601"/>
      <c r="N865" s="601"/>
      <c r="O865" s="601"/>
      <c r="P865" s="601"/>
      <c r="Q865" s="601"/>
      <c r="R865" s="601"/>
      <c r="S865" s="601"/>
      <c r="T865" s="601"/>
      <c r="U865" s="601"/>
      <c r="V865" s="601"/>
      <c r="W865" s="601"/>
      <c r="X865" s="601"/>
      <c r="Y865" s="601"/>
    </row>
    <row r="866" ht="38.25" spans="1:25">
      <c r="A866" s="569" t="s">
        <v>2391</v>
      </c>
      <c r="B866" s="569" t="s">
        <v>2392</v>
      </c>
      <c r="C866" s="569" t="s">
        <v>132</v>
      </c>
      <c r="D866" s="569" t="s">
        <v>2393</v>
      </c>
      <c r="E866" s="577" t="s">
        <v>134</v>
      </c>
      <c r="F866" s="570">
        <v>41</v>
      </c>
      <c r="G866" s="579">
        <v>79.55</v>
      </c>
      <c r="H866" s="600">
        <v>99.82</v>
      </c>
      <c r="I866" s="600">
        <v>4092.62</v>
      </c>
      <c r="J866" s="612">
        <v>0.000166418489113577</v>
      </c>
      <c r="K866" s="613">
        <f t="shared" si="46"/>
        <v>0</v>
      </c>
      <c r="L866" s="610">
        <f t="shared" si="47"/>
        <v>4092.62</v>
      </c>
      <c r="M866" s="601"/>
      <c r="N866" s="601"/>
      <c r="O866" s="601"/>
      <c r="P866" s="601"/>
      <c r="Q866" s="601"/>
      <c r="R866" s="601"/>
      <c r="S866" s="601"/>
      <c r="T866" s="601"/>
      <c r="U866" s="601"/>
      <c r="V866" s="601"/>
      <c r="W866" s="601"/>
      <c r="X866" s="601"/>
      <c r="Y866" s="601"/>
    </row>
    <row r="867" ht="15" spans="1:25">
      <c r="A867" s="596" t="s">
        <v>2394</v>
      </c>
      <c r="B867" s="596" t="s">
        <v>74</v>
      </c>
      <c r="C867" s="596"/>
      <c r="D867" s="596" t="s">
        <v>2395</v>
      </c>
      <c r="E867" s="597"/>
      <c r="F867" s="598">
        <v>1</v>
      </c>
      <c r="G867" s="598"/>
      <c r="H867" s="599">
        <v>371619.23</v>
      </c>
      <c r="I867" s="599">
        <v>371619.23</v>
      </c>
      <c r="J867" s="608">
        <v>0.0151111783605981</v>
      </c>
      <c r="K867" s="613">
        <f t="shared" si="46"/>
        <v>0</v>
      </c>
      <c r="L867" s="610">
        <f>SUM(L868:L885)</f>
        <v>371619.23</v>
      </c>
      <c r="M867" s="601"/>
      <c r="N867" s="601"/>
      <c r="O867" s="601"/>
      <c r="P867" s="601"/>
      <c r="Q867" s="601"/>
      <c r="R867" s="601"/>
      <c r="S867" s="601"/>
      <c r="T867" s="601"/>
      <c r="U867" s="601"/>
      <c r="V867" s="601"/>
      <c r="W867" s="601"/>
      <c r="X867" s="601"/>
      <c r="Y867" s="601"/>
    </row>
    <row r="868" ht="25.5" spans="1:25">
      <c r="A868" s="569" t="s">
        <v>2396</v>
      </c>
      <c r="B868" s="569" t="s">
        <v>2397</v>
      </c>
      <c r="C868" s="569" t="s">
        <v>132</v>
      </c>
      <c r="D868" s="569" t="s">
        <v>2398</v>
      </c>
      <c r="E868" s="577" t="s">
        <v>393</v>
      </c>
      <c r="F868" s="570">
        <v>1115.23</v>
      </c>
      <c r="G868" s="579">
        <v>19.34</v>
      </c>
      <c r="H868" s="600">
        <v>24.26</v>
      </c>
      <c r="I868" s="600">
        <v>27055.47</v>
      </c>
      <c r="J868" s="612">
        <v>0.00110015844120825</v>
      </c>
      <c r="K868" s="613">
        <f t="shared" si="46"/>
        <v>0</v>
      </c>
      <c r="L868" s="610">
        <f t="shared" ref="L868:L885" si="48">I868-(I868*K868)</f>
        <v>27055.47</v>
      </c>
      <c r="M868" s="601"/>
      <c r="N868" s="601"/>
      <c r="O868" s="601"/>
      <c r="P868" s="601"/>
      <c r="Q868" s="601"/>
      <c r="R868" s="601"/>
      <c r="S868" s="601"/>
      <c r="T868" s="601"/>
      <c r="U868" s="601"/>
      <c r="V868" s="601"/>
      <c r="W868" s="601"/>
      <c r="X868" s="601"/>
      <c r="Y868" s="601"/>
    </row>
    <row r="869" ht="15" spans="1:25">
      <c r="A869" s="569" t="s">
        <v>2399</v>
      </c>
      <c r="B869" s="569" t="s">
        <v>2400</v>
      </c>
      <c r="C869" s="569" t="s">
        <v>149</v>
      </c>
      <c r="D869" s="569" t="s">
        <v>2401</v>
      </c>
      <c r="E869" s="577" t="s">
        <v>393</v>
      </c>
      <c r="F869" s="570">
        <v>1350.97</v>
      </c>
      <c r="G869" s="579">
        <v>17.97</v>
      </c>
      <c r="H869" s="600">
        <v>22.55</v>
      </c>
      <c r="I869" s="600">
        <v>30464.37</v>
      </c>
      <c r="J869" s="612">
        <v>0.00123877477684148</v>
      </c>
      <c r="K869" s="613">
        <f t="shared" si="46"/>
        <v>0</v>
      </c>
      <c r="L869" s="610">
        <f t="shared" si="48"/>
        <v>30464.37</v>
      </c>
      <c r="M869" s="601"/>
      <c r="N869" s="601"/>
      <c r="O869" s="601"/>
      <c r="P869" s="601"/>
      <c r="Q869" s="601"/>
      <c r="R869" s="601"/>
      <c r="S869" s="601"/>
      <c r="T869" s="601"/>
      <c r="U869" s="601"/>
      <c r="V869" s="601"/>
      <c r="W869" s="601"/>
      <c r="X869" s="601"/>
      <c r="Y869" s="601"/>
    </row>
    <row r="870" ht="15" spans="1:25">
      <c r="A870" s="569" t="s">
        <v>2402</v>
      </c>
      <c r="B870" s="569" t="s">
        <v>2403</v>
      </c>
      <c r="C870" s="569" t="s">
        <v>149</v>
      </c>
      <c r="D870" s="569" t="s">
        <v>2404</v>
      </c>
      <c r="E870" s="577" t="s">
        <v>393</v>
      </c>
      <c r="F870" s="570">
        <v>3301.27</v>
      </c>
      <c r="G870" s="579">
        <v>18.03</v>
      </c>
      <c r="H870" s="600">
        <v>22.62</v>
      </c>
      <c r="I870" s="600">
        <v>74674.72</v>
      </c>
      <c r="J870" s="612">
        <v>0.00303650328576302</v>
      </c>
      <c r="K870" s="613">
        <f t="shared" si="46"/>
        <v>0</v>
      </c>
      <c r="L870" s="610">
        <f t="shared" si="48"/>
        <v>74674.72</v>
      </c>
      <c r="M870" s="601"/>
      <c r="N870" s="601"/>
      <c r="O870" s="601"/>
      <c r="P870" s="601"/>
      <c r="Q870" s="601"/>
      <c r="R870" s="601"/>
      <c r="S870" s="601"/>
      <c r="T870" s="601"/>
      <c r="U870" s="601"/>
      <c r="V870" s="601"/>
      <c r="W870" s="601"/>
      <c r="X870" s="601"/>
      <c r="Y870" s="601"/>
    </row>
    <row r="871" ht="15" spans="1:25">
      <c r="A871" s="569" t="s">
        <v>2405</v>
      </c>
      <c r="B871" s="569" t="s">
        <v>2406</v>
      </c>
      <c r="C871" s="569" t="s">
        <v>149</v>
      </c>
      <c r="D871" s="569" t="s">
        <v>2407</v>
      </c>
      <c r="E871" s="577" t="s">
        <v>393</v>
      </c>
      <c r="F871" s="570">
        <v>2512.57</v>
      </c>
      <c r="G871" s="579">
        <v>17.97</v>
      </c>
      <c r="H871" s="600">
        <v>22.55</v>
      </c>
      <c r="I871" s="600">
        <v>56658.45</v>
      </c>
      <c r="J871" s="612">
        <v>0.0023039064571148</v>
      </c>
      <c r="K871" s="613">
        <f t="shared" si="46"/>
        <v>0</v>
      </c>
      <c r="L871" s="610">
        <f t="shared" si="48"/>
        <v>56658.45</v>
      </c>
      <c r="M871" s="601"/>
      <c r="N871" s="601"/>
      <c r="O871" s="601"/>
      <c r="P871" s="601"/>
      <c r="Q871" s="601"/>
      <c r="R871" s="601"/>
      <c r="S871" s="601"/>
      <c r="T871" s="601"/>
      <c r="U871" s="601"/>
      <c r="V871" s="601"/>
      <c r="W871" s="601"/>
      <c r="X871" s="601"/>
      <c r="Y871" s="601"/>
    </row>
    <row r="872" ht="15" spans="1:25">
      <c r="A872" s="569" t="s">
        <v>2408</v>
      </c>
      <c r="B872" s="569" t="s">
        <v>2409</v>
      </c>
      <c r="C872" s="569" t="s">
        <v>149</v>
      </c>
      <c r="D872" s="569" t="s">
        <v>2410</v>
      </c>
      <c r="E872" s="577" t="s">
        <v>204</v>
      </c>
      <c r="F872" s="570">
        <v>7.5</v>
      </c>
      <c r="G872" s="579">
        <v>40.48</v>
      </c>
      <c r="H872" s="600">
        <v>50.79</v>
      </c>
      <c r="I872" s="600">
        <v>380.92</v>
      </c>
      <c r="J872" s="612">
        <v>1.54893762120949e-5</v>
      </c>
      <c r="K872" s="613">
        <f t="shared" si="46"/>
        <v>0</v>
      </c>
      <c r="L872" s="610">
        <f t="shared" si="48"/>
        <v>380.92</v>
      </c>
      <c r="M872" s="601"/>
      <c r="N872" s="601"/>
      <c r="O872" s="601"/>
      <c r="P872" s="601"/>
      <c r="Q872" s="601"/>
      <c r="R872" s="601"/>
      <c r="S872" s="601"/>
      <c r="T872" s="601"/>
      <c r="U872" s="601"/>
      <c r="V872" s="601"/>
      <c r="W872" s="601"/>
      <c r="X872" s="601"/>
      <c r="Y872" s="601"/>
    </row>
    <row r="873" ht="15" spans="1:25">
      <c r="A873" s="569" t="s">
        <v>2411</v>
      </c>
      <c r="B873" s="569" t="s">
        <v>2412</v>
      </c>
      <c r="C873" s="569" t="s">
        <v>149</v>
      </c>
      <c r="D873" s="569" t="s">
        <v>2413</v>
      </c>
      <c r="E873" s="577" t="s">
        <v>204</v>
      </c>
      <c r="F873" s="570">
        <v>13.5</v>
      </c>
      <c r="G873" s="579">
        <v>138.96</v>
      </c>
      <c r="H873" s="600">
        <v>174.38</v>
      </c>
      <c r="I873" s="600">
        <v>2354.13</v>
      </c>
      <c r="J873" s="612">
        <v>9.57261504310066e-5</v>
      </c>
      <c r="K873" s="613">
        <f t="shared" si="46"/>
        <v>0</v>
      </c>
      <c r="L873" s="610">
        <f t="shared" si="48"/>
        <v>2354.13</v>
      </c>
      <c r="M873" s="601"/>
      <c r="N873" s="601"/>
      <c r="O873" s="601"/>
      <c r="P873" s="601"/>
      <c r="Q873" s="601"/>
      <c r="R873" s="601"/>
      <c r="S873" s="601"/>
      <c r="T873" s="601"/>
      <c r="U873" s="601"/>
      <c r="V873" s="601"/>
      <c r="W873" s="601"/>
      <c r="X873" s="601"/>
      <c r="Y873" s="601"/>
    </row>
    <row r="874" ht="15" spans="1:25">
      <c r="A874" s="569" t="s">
        <v>2414</v>
      </c>
      <c r="B874" s="569" t="s">
        <v>2415</v>
      </c>
      <c r="C874" s="569" t="s">
        <v>149</v>
      </c>
      <c r="D874" s="569" t="s">
        <v>2416</v>
      </c>
      <c r="E874" s="577" t="s">
        <v>204</v>
      </c>
      <c r="F874" s="570">
        <v>37.5</v>
      </c>
      <c r="G874" s="579">
        <v>41.99</v>
      </c>
      <c r="H874" s="600">
        <v>52.69</v>
      </c>
      <c r="I874" s="600">
        <v>1975.87</v>
      </c>
      <c r="J874" s="612">
        <v>8.03449379822325e-5</v>
      </c>
      <c r="K874" s="613">
        <f t="shared" si="46"/>
        <v>0</v>
      </c>
      <c r="L874" s="610">
        <f t="shared" si="48"/>
        <v>1975.87</v>
      </c>
      <c r="M874" s="601"/>
      <c r="N874" s="601"/>
      <c r="O874" s="601"/>
      <c r="P874" s="601"/>
      <c r="Q874" s="601"/>
      <c r="R874" s="601"/>
      <c r="S874" s="601"/>
      <c r="T874" s="601"/>
      <c r="U874" s="601"/>
      <c r="V874" s="601"/>
      <c r="W874" s="601"/>
      <c r="X874" s="601"/>
      <c r="Y874" s="601"/>
    </row>
    <row r="875" ht="15" spans="1:25">
      <c r="A875" s="569" t="s">
        <v>2417</v>
      </c>
      <c r="B875" s="569" t="s">
        <v>2418</v>
      </c>
      <c r="C875" s="569" t="s">
        <v>149</v>
      </c>
      <c r="D875" s="569" t="s">
        <v>2419</v>
      </c>
      <c r="E875" s="577" t="s">
        <v>204</v>
      </c>
      <c r="F875" s="570">
        <v>40.5</v>
      </c>
      <c r="G875" s="579">
        <v>55.94</v>
      </c>
      <c r="H875" s="600">
        <v>70.19</v>
      </c>
      <c r="I875" s="600">
        <v>2842.69</v>
      </c>
      <c r="J875" s="612">
        <v>0.000115592499381393</v>
      </c>
      <c r="K875" s="613">
        <f t="shared" si="46"/>
        <v>0</v>
      </c>
      <c r="L875" s="610">
        <f t="shared" si="48"/>
        <v>2842.69</v>
      </c>
      <c r="M875" s="601"/>
      <c r="N875" s="601"/>
      <c r="O875" s="601"/>
      <c r="P875" s="601"/>
      <c r="Q875" s="601"/>
      <c r="R875" s="601"/>
      <c r="S875" s="601"/>
      <c r="T875" s="601"/>
      <c r="U875" s="601"/>
      <c r="V875" s="601"/>
      <c r="W875" s="601"/>
      <c r="X875" s="601"/>
      <c r="Y875" s="601"/>
    </row>
    <row r="876" ht="15" spans="1:25">
      <c r="A876" s="569" t="s">
        <v>2420</v>
      </c>
      <c r="B876" s="569" t="s">
        <v>2421</v>
      </c>
      <c r="C876" s="569" t="s">
        <v>149</v>
      </c>
      <c r="D876" s="569" t="s">
        <v>2422</v>
      </c>
      <c r="E876" s="577" t="s">
        <v>204</v>
      </c>
      <c r="F876" s="570">
        <v>25.5</v>
      </c>
      <c r="G876" s="579">
        <v>47.68</v>
      </c>
      <c r="H876" s="600">
        <v>59.83</v>
      </c>
      <c r="I876" s="600">
        <v>1525.66</v>
      </c>
      <c r="J876" s="612">
        <v>6.20380177248366e-5</v>
      </c>
      <c r="K876" s="613">
        <f t="shared" si="46"/>
        <v>0</v>
      </c>
      <c r="L876" s="610">
        <f t="shared" si="48"/>
        <v>1525.66</v>
      </c>
      <c r="M876" s="601"/>
      <c r="N876" s="601"/>
      <c r="O876" s="601"/>
      <c r="P876" s="601"/>
      <c r="Q876" s="601"/>
      <c r="R876" s="601"/>
      <c r="S876" s="601"/>
      <c r="T876" s="601"/>
      <c r="U876" s="601"/>
      <c r="V876" s="601"/>
      <c r="W876" s="601"/>
      <c r="X876" s="601"/>
      <c r="Y876" s="601"/>
    </row>
    <row r="877" ht="51" spans="1:25">
      <c r="A877" s="569" t="s">
        <v>2423</v>
      </c>
      <c r="B877" s="569" t="s">
        <v>2424</v>
      </c>
      <c r="C877" s="569" t="s">
        <v>132</v>
      </c>
      <c r="D877" s="569" t="s">
        <v>2425</v>
      </c>
      <c r="E877" s="577" t="s">
        <v>204</v>
      </c>
      <c r="F877" s="570">
        <v>61.5</v>
      </c>
      <c r="G877" s="579">
        <v>80.03</v>
      </c>
      <c r="H877" s="600">
        <v>100.42</v>
      </c>
      <c r="I877" s="600">
        <v>6175.83</v>
      </c>
      <c r="J877" s="612">
        <v>0.000251128200913426</v>
      </c>
      <c r="K877" s="613">
        <f t="shared" si="46"/>
        <v>0</v>
      </c>
      <c r="L877" s="610">
        <f t="shared" si="48"/>
        <v>6175.83</v>
      </c>
      <c r="M877" s="601"/>
      <c r="N877" s="601"/>
      <c r="O877" s="601"/>
      <c r="P877" s="601"/>
      <c r="Q877" s="601"/>
      <c r="R877" s="601"/>
      <c r="S877" s="601"/>
      <c r="T877" s="601"/>
      <c r="U877" s="601"/>
      <c r="V877" s="601"/>
      <c r="W877" s="601"/>
      <c r="X877" s="601"/>
      <c r="Y877" s="601"/>
    </row>
    <row r="878" ht="51" spans="1:25">
      <c r="A878" s="569" t="s">
        <v>2426</v>
      </c>
      <c r="B878" s="569" t="s">
        <v>2427</v>
      </c>
      <c r="C878" s="569" t="s">
        <v>132</v>
      </c>
      <c r="D878" s="569" t="s">
        <v>2428</v>
      </c>
      <c r="E878" s="577" t="s">
        <v>204</v>
      </c>
      <c r="F878" s="570">
        <v>20</v>
      </c>
      <c r="G878" s="579">
        <v>30.94</v>
      </c>
      <c r="H878" s="600">
        <v>38.82</v>
      </c>
      <c r="I878" s="600">
        <v>776.4</v>
      </c>
      <c r="J878" s="612">
        <v>3.15708067076302e-5</v>
      </c>
      <c r="K878" s="613">
        <f t="shared" si="46"/>
        <v>0</v>
      </c>
      <c r="L878" s="610">
        <f t="shared" si="48"/>
        <v>776.4</v>
      </c>
      <c r="M878" s="601"/>
      <c r="N878" s="601"/>
      <c r="O878" s="601"/>
      <c r="P878" s="601"/>
      <c r="Q878" s="601"/>
      <c r="R878" s="601"/>
      <c r="S878" s="601"/>
      <c r="T878" s="601"/>
      <c r="U878" s="601"/>
      <c r="V878" s="601"/>
      <c r="W878" s="601"/>
      <c r="X878" s="601"/>
      <c r="Y878" s="601"/>
    </row>
    <row r="879" ht="51" spans="1:25">
      <c r="A879" s="569" t="s">
        <v>2429</v>
      </c>
      <c r="B879" s="569" t="s">
        <v>2430</v>
      </c>
      <c r="C879" s="569" t="s">
        <v>132</v>
      </c>
      <c r="D879" s="569" t="s">
        <v>2431</v>
      </c>
      <c r="E879" s="577" t="s">
        <v>204</v>
      </c>
      <c r="F879" s="570">
        <v>32</v>
      </c>
      <c r="G879" s="579">
        <v>30.94</v>
      </c>
      <c r="H879" s="600">
        <v>38.82</v>
      </c>
      <c r="I879" s="600">
        <v>1242.24</v>
      </c>
      <c r="J879" s="612">
        <v>5.05132907322083e-5</v>
      </c>
      <c r="K879" s="613">
        <f t="shared" si="46"/>
        <v>0</v>
      </c>
      <c r="L879" s="610">
        <f t="shared" si="48"/>
        <v>1242.24</v>
      </c>
      <c r="M879" s="601"/>
      <c r="N879" s="601"/>
      <c r="O879" s="601"/>
      <c r="P879" s="601"/>
      <c r="Q879" s="601"/>
      <c r="R879" s="601"/>
      <c r="S879" s="601"/>
      <c r="T879" s="601"/>
      <c r="U879" s="601"/>
      <c r="V879" s="601"/>
      <c r="W879" s="601"/>
      <c r="X879" s="601"/>
      <c r="Y879" s="601"/>
    </row>
    <row r="880" ht="38.25" spans="1:25">
      <c r="A880" s="569" t="s">
        <v>2432</v>
      </c>
      <c r="B880" s="569" t="s">
        <v>2433</v>
      </c>
      <c r="C880" s="569" t="s">
        <v>132</v>
      </c>
      <c r="D880" s="569" t="s">
        <v>2434</v>
      </c>
      <c r="E880" s="577" t="s">
        <v>204</v>
      </c>
      <c r="F880" s="570">
        <v>3</v>
      </c>
      <c r="G880" s="579">
        <v>30.94</v>
      </c>
      <c r="H880" s="600">
        <v>38.82</v>
      </c>
      <c r="I880" s="600">
        <v>116.46</v>
      </c>
      <c r="J880" s="612">
        <v>4.73562100614453e-6</v>
      </c>
      <c r="K880" s="613">
        <f t="shared" si="46"/>
        <v>0</v>
      </c>
      <c r="L880" s="610">
        <f t="shared" si="48"/>
        <v>116.46</v>
      </c>
      <c r="M880" s="601"/>
      <c r="N880" s="601"/>
      <c r="O880" s="601"/>
      <c r="P880" s="601"/>
      <c r="Q880" s="601"/>
      <c r="R880" s="601"/>
      <c r="S880" s="601"/>
      <c r="T880" s="601"/>
      <c r="U880" s="601"/>
      <c r="V880" s="601"/>
      <c r="W880" s="601"/>
      <c r="X880" s="601"/>
      <c r="Y880" s="601"/>
    </row>
    <row r="881" ht="38.25" spans="1:25">
      <c r="A881" s="569" t="s">
        <v>2435</v>
      </c>
      <c r="B881" s="569" t="s">
        <v>2436</v>
      </c>
      <c r="C881" s="569" t="s">
        <v>132</v>
      </c>
      <c r="D881" s="569" t="s">
        <v>2437</v>
      </c>
      <c r="E881" s="577" t="s">
        <v>204</v>
      </c>
      <c r="F881" s="570">
        <v>20</v>
      </c>
      <c r="G881" s="579">
        <v>30.94</v>
      </c>
      <c r="H881" s="600">
        <v>38.82</v>
      </c>
      <c r="I881" s="600">
        <v>776.4</v>
      </c>
      <c r="J881" s="612">
        <v>3.15708067076302e-5</v>
      </c>
      <c r="K881" s="613">
        <f t="shared" si="46"/>
        <v>0</v>
      </c>
      <c r="L881" s="610">
        <f t="shared" si="48"/>
        <v>776.4</v>
      </c>
      <c r="M881" s="601"/>
      <c r="N881" s="601"/>
      <c r="O881" s="601"/>
      <c r="P881" s="601"/>
      <c r="Q881" s="601"/>
      <c r="R881" s="601"/>
      <c r="S881" s="601"/>
      <c r="T881" s="601"/>
      <c r="U881" s="601"/>
      <c r="V881" s="601"/>
      <c r="W881" s="601"/>
      <c r="X881" s="601"/>
      <c r="Y881" s="601"/>
    </row>
    <row r="882" ht="15" spans="1:25">
      <c r="A882" s="569" t="s">
        <v>2438</v>
      </c>
      <c r="B882" s="569" t="s">
        <v>2439</v>
      </c>
      <c r="C882" s="569" t="s">
        <v>149</v>
      </c>
      <c r="D882" s="569" t="s">
        <v>2440</v>
      </c>
      <c r="E882" s="577" t="s">
        <v>204</v>
      </c>
      <c r="F882" s="570">
        <v>25.5</v>
      </c>
      <c r="G882" s="579">
        <v>59.64</v>
      </c>
      <c r="H882" s="600">
        <v>74.84</v>
      </c>
      <c r="I882" s="600">
        <v>1908.42</v>
      </c>
      <c r="J882" s="612">
        <v>7.76022139837399e-5</v>
      </c>
      <c r="K882" s="613">
        <f t="shared" si="46"/>
        <v>0</v>
      </c>
      <c r="L882" s="610">
        <f t="shared" si="48"/>
        <v>1908.42</v>
      </c>
      <c r="M882" s="601"/>
      <c r="N882" s="601"/>
      <c r="O882" s="601"/>
      <c r="P882" s="601"/>
      <c r="Q882" s="601"/>
      <c r="R882" s="601"/>
      <c r="S882" s="601"/>
      <c r="T882" s="601"/>
      <c r="U882" s="601"/>
      <c r="V882" s="601"/>
      <c r="W882" s="601"/>
      <c r="X882" s="601"/>
      <c r="Y882" s="601"/>
    </row>
    <row r="883" ht="15" spans="1:25">
      <c r="A883" s="569" t="s">
        <v>2441</v>
      </c>
      <c r="B883" s="569" t="s">
        <v>2442</v>
      </c>
      <c r="C883" s="569" t="s">
        <v>149</v>
      </c>
      <c r="D883" s="569" t="s">
        <v>2443</v>
      </c>
      <c r="E883" s="577" t="s">
        <v>204</v>
      </c>
      <c r="F883" s="570">
        <v>1.5</v>
      </c>
      <c r="G883" s="579">
        <v>55.95</v>
      </c>
      <c r="H883" s="600">
        <v>70.21</v>
      </c>
      <c r="I883" s="600">
        <v>105.31</v>
      </c>
      <c r="J883" s="612">
        <v>4.28222778771321e-6</v>
      </c>
      <c r="K883" s="613">
        <f t="shared" si="46"/>
        <v>0</v>
      </c>
      <c r="L883" s="610">
        <f t="shared" si="48"/>
        <v>105.31</v>
      </c>
      <c r="M883" s="601"/>
      <c r="N883" s="601"/>
      <c r="O883" s="601"/>
      <c r="P883" s="601"/>
      <c r="Q883" s="601"/>
      <c r="R883" s="601"/>
      <c r="S883" s="601"/>
      <c r="T883" s="601"/>
      <c r="U883" s="601"/>
      <c r="V883" s="601"/>
      <c r="W883" s="601"/>
      <c r="X883" s="601"/>
      <c r="Y883" s="601"/>
    </row>
    <row r="884" ht="38.25" spans="1:25">
      <c r="A884" s="569" t="s">
        <v>2444</v>
      </c>
      <c r="B884" s="569" t="s">
        <v>2445</v>
      </c>
      <c r="C884" s="569" t="s">
        <v>132</v>
      </c>
      <c r="D884" s="569" t="s">
        <v>2446</v>
      </c>
      <c r="E884" s="577" t="s">
        <v>204</v>
      </c>
      <c r="F884" s="570">
        <v>7.5</v>
      </c>
      <c r="G884" s="579">
        <v>42.98</v>
      </c>
      <c r="H884" s="600">
        <v>53.93</v>
      </c>
      <c r="I884" s="600">
        <v>404.47</v>
      </c>
      <c r="J884" s="612">
        <v>1.64469914851046e-5</v>
      </c>
      <c r="K884" s="613">
        <f t="shared" si="46"/>
        <v>0</v>
      </c>
      <c r="L884" s="610">
        <f t="shared" si="48"/>
        <v>404.47</v>
      </c>
      <c r="M884" s="601"/>
      <c r="N884" s="601"/>
      <c r="O884" s="601"/>
      <c r="P884" s="601"/>
      <c r="Q884" s="601"/>
      <c r="R884" s="601"/>
      <c r="S884" s="601"/>
      <c r="T884" s="601"/>
      <c r="U884" s="601"/>
      <c r="V884" s="601"/>
      <c r="W884" s="601"/>
      <c r="X884" s="601"/>
      <c r="Y884" s="601"/>
    </row>
    <row r="885" ht="15" spans="1:25">
      <c r="A885" s="569" t="s">
        <v>2447</v>
      </c>
      <c r="B885" s="569" t="s">
        <v>2448</v>
      </c>
      <c r="C885" s="569" t="s">
        <v>149</v>
      </c>
      <c r="D885" s="569" t="s">
        <v>2449</v>
      </c>
      <c r="E885" s="577" t="s">
        <v>141</v>
      </c>
      <c r="F885" s="570">
        <v>1278.63</v>
      </c>
      <c r="G885" s="579">
        <v>101.08</v>
      </c>
      <c r="H885" s="600">
        <v>126.84</v>
      </c>
      <c r="I885" s="600">
        <v>162181.42</v>
      </c>
      <c r="J885" s="612">
        <v>0.00659479425861539</v>
      </c>
      <c r="K885" s="613">
        <f t="shared" si="46"/>
        <v>0</v>
      </c>
      <c r="L885" s="610">
        <f t="shared" si="48"/>
        <v>162181.42</v>
      </c>
      <c r="M885" s="601"/>
      <c r="N885" s="601"/>
      <c r="O885" s="601"/>
      <c r="P885" s="601"/>
      <c r="Q885" s="601"/>
      <c r="R885" s="601"/>
      <c r="S885" s="601"/>
      <c r="T885" s="601"/>
      <c r="U885" s="601"/>
      <c r="V885" s="601"/>
      <c r="W885" s="601"/>
      <c r="X885" s="601"/>
      <c r="Y885" s="601"/>
    </row>
    <row r="886" ht="15" spans="1:25">
      <c r="A886" s="596" t="s">
        <v>2450</v>
      </c>
      <c r="B886" s="596" t="s">
        <v>74</v>
      </c>
      <c r="C886" s="596"/>
      <c r="D886" s="596" t="s">
        <v>2451</v>
      </c>
      <c r="E886" s="597"/>
      <c r="F886" s="598">
        <v>1</v>
      </c>
      <c r="G886" s="598"/>
      <c r="H886" s="599">
        <v>47257.79</v>
      </c>
      <c r="I886" s="599">
        <v>47257.79</v>
      </c>
      <c r="J886" s="608">
        <v>0.00192164677166381</v>
      </c>
      <c r="K886" s="613">
        <f t="shared" si="46"/>
        <v>0</v>
      </c>
      <c r="L886" s="610">
        <f>SUM(L887:L894)</f>
        <v>47257.79</v>
      </c>
      <c r="M886" s="601"/>
      <c r="N886" s="601"/>
      <c r="O886" s="601"/>
      <c r="P886" s="601"/>
      <c r="Q886" s="601"/>
      <c r="R886" s="601"/>
      <c r="S886" s="601"/>
      <c r="T886" s="601"/>
      <c r="U886" s="601"/>
      <c r="V886" s="601"/>
      <c r="W886" s="601"/>
      <c r="X886" s="601"/>
      <c r="Y886" s="601"/>
    </row>
    <row r="887" ht="38.25" spans="1:25">
      <c r="A887" s="569" t="s">
        <v>2452</v>
      </c>
      <c r="B887" s="569" t="s">
        <v>2453</v>
      </c>
      <c r="C887" s="569" t="s">
        <v>139</v>
      </c>
      <c r="D887" s="569" t="s">
        <v>2454</v>
      </c>
      <c r="E887" s="577" t="s">
        <v>204</v>
      </c>
      <c r="F887" s="570">
        <v>57.6</v>
      </c>
      <c r="G887" s="579">
        <v>33.25</v>
      </c>
      <c r="H887" s="600">
        <v>41.72</v>
      </c>
      <c r="I887" s="600">
        <v>2403.07</v>
      </c>
      <c r="J887" s="612">
        <v>9.77162010238343e-5</v>
      </c>
      <c r="K887" s="613">
        <f t="shared" si="46"/>
        <v>0</v>
      </c>
      <c r="L887" s="610">
        <f t="shared" ref="L887:L894" si="49">I887-(I887*K887)</f>
        <v>2403.07</v>
      </c>
      <c r="M887" s="601"/>
      <c r="N887" s="601"/>
      <c r="O887" s="601"/>
      <c r="P887" s="601"/>
      <c r="Q887" s="601"/>
      <c r="R887" s="601"/>
      <c r="S887" s="601"/>
      <c r="T887" s="601"/>
      <c r="U887" s="601"/>
      <c r="V887" s="601"/>
      <c r="W887" s="601"/>
      <c r="X887" s="601"/>
      <c r="Y887" s="601"/>
    </row>
    <row r="888" ht="38.25" spans="1:25">
      <c r="A888" s="569" t="s">
        <v>2455</v>
      </c>
      <c r="B888" s="569" t="s">
        <v>2456</v>
      </c>
      <c r="C888" s="569" t="s">
        <v>139</v>
      </c>
      <c r="D888" s="569" t="s">
        <v>2457</v>
      </c>
      <c r="E888" s="577" t="s">
        <v>204</v>
      </c>
      <c r="F888" s="570">
        <v>283.8</v>
      </c>
      <c r="G888" s="579">
        <v>52.04</v>
      </c>
      <c r="H888" s="600">
        <v>65.3</v>
      </c>
      <c r="I888" s="600">
        <v>18532.14</v>
      </c>
      <c r="J888" s="612">
        <v>0.000753573686010745</v>
      </c>
      <c r="K888" s="613">
        <f t="shared" si="46"/>
        <v>0</v>
      </c>
      <c r="L888" s="610">
        <f t="shared" si="49"/>
        <v>18532.14</v>
      </c>
      <c r="M888" s="601"/>
      <c r="N888" s="601"/>
      <c r="O888" s="601"/>
      <c r="P888" s="601"/>
      <c r="Q888" s="601"/>
      <c r="R888" s="601"/>
      <c r="S888" s="601"/>
      <c r="T888" s="601"/>
      <c r="U888" s="601"/>
      <c r="V888" s="601"/>
      <c r="W888" s="601"/>
      <c r="X888" s="601"/>
      <c r="Y888" s="601"/>
    </row>
    <row r="889" ht="38.25" spans="1:25">
      <c r="A889" s="569" t="s">
        <v>2458</v>
      </c>
      <c r="B889" s="569" t="s">
        <v>2459</v>
      </c>
      <c r="C889" s="569" t="s">
        <v>139</v>
      </c>
      <c r="D889" s="569" t="s">
        <v>2460</v>
      </c>
      <c r="E889" s="577" t="s">
        <v>204</v>
      </c>
      <c r="F889" s="570">
        <v>69.6</v>
      </c>
      <c r="G889" s="579">
        <v>65.3</v>
      </c>
      <c r="H889" s="600">
        <v>81.94</v>
      </c>
      <c r="I889" s="600">
        <v>5703.02</v>
      </c>
      <c r="J889" s="612">
        <v>0.000231902295298492</v>
      </c>
      <c r="K889" s="613">
        <f t="shared" si="46"/>
        <v>0</v>
      </c>
      <c r="L889" s="610">
        <f t="shared" si="49"/>
        <v>5703.02</v>
      </c>
      <c r="M889" s="601"/>
      <c r="N889" s="601"/>
      <c r="O889" s="601"/>
      <c r="P889" s="601"/>
      <c r="Q889" s="601"/>
      <c r="R889" s="601"/>
      <c r="S889" s="601"/>
      <c r="T889" s="601"/>
      <c r="U889" s="601"/>
      <c r="V889" s="601"/>
      <c r="W889" s="601"/>
      <c r="X889" s="601"/>
      <c r="Y889" s="601"/>
    </row>
    <row r="890" ht="38.25" spans="1:25">
      <c r="A890" s="569" t="s">
        <v>2461</v>
      </c>
      <c r="B890" s="569" t="s">
        <v>2462</v>
      </c>
      <c r="C890" s="569" t="s">
        <v>139</v>
      </c>
      <c r="D890" s="569" t="s">
        <v>2463</v>
      </c>
      <c r="E890" s="577" t="s">
        <v>204</v>
      </c>
      <c r="F890" s="570">
        <v>75</v>
      </c>
      <c r="G890" s="579">
        <v>79.05</v>
      </c>
      <c r="H890" s="600">
        <v>99.19</v>
      </c>
      <c r="I890" s="600">
        <v>7439.25</v>
      </c>
      <c r="J890" s="612">
        <v>0.000302502735445309</v>
      </c>
      <c r="K890" s="613">
        <f t="shared" si="46"/>
        <v>0</v>
      </c>
      <c r="L890" s="610">
        <f t="shared" si="49"/>
        <v>7439.25</v>
      </c>
      <c r="M890" s="601"/>
      <c r="N890" s="601"/>
      <c r="O890" s="601"/>
      <c r="P890" s="601"/>
      <c r="Q890" s="601"/>
      <c r="R890" s="601"/>
      <c r="S890" s="601"/>
      <c r="T890" s="601"/>
      <c r="U890" s="601"/>
      <c r="V890" s="601"/>
      <c r="W890" s="601"/>
      <c r="X890" s="601"/>
      <c r="Y890" s="601"/>
    </row>
    <row r="891" ht="25.5" spans="1:25">
      <c r="A891" s="569" t="s">
        <v>2464</v>
      </c>
      <c r="B891" s="569" t="s">
        <v>2465</v>
      </c>
      <c r="C891" s="569" t="s">
        <v>132</v>
      </c>
      <c r="D891" s="569" t="s">
        <v>2466</v>
      </c>
      <c r="E891" s="577" t="s">
        <v>204</v>
      </c>
      <c r="F891" s="570">
        <v>10.8</v>
      </c>
      <c r="G891" s="579">
        <v>113.9</v>
      </c>
      <c r="H891" s="600">
        <v>142.93</v>
      </c>
      <c r="I891" s="600">
        <v>1543.64</v>
      </c>
      <c r="J891" s="612">
        <v>6.27691397039751e-5</v>
      </c>
      <c r="K891" s="613">
        <f t="shared" si="46"/>
        <v>0</v>
      </c>
      <c r="L891" s="610">
        <f t="shared" si="49"/>
        <v>1543.64</v>
      </c>
      <c r="M891" s="601"/>
      <c r="N891" s="601"/>
      <c r="O891" s="601"/>
      <c r="P891" s="601"/>
      <c r="Q891" s="601"/>
      <c r="R891" s="601"/>
      <c r="S891" s="601"/>
      <c r="T891" s="601"/>
      <c r="U891" s="601"/>
      <c r="V891" s="601"/>
      <c r="W891" s="601"/>
      <c r="X891" s="601"/>
      <c r="Y891" s="601"/>
    </row>
    <row r="892" ht="25.5" spans="1:25">
      <c r="A892" s="569" t="s">
        <v>2467</v>
      </c>
      <c r="B892" s="569" t="s">
        <v>2468</v>
      </c>
      <c r="C892" s="569" t="s">
        <v>132</v>
      </c>
      <c r="D892" s="569" t="s">
        <v>2469</v>
      </c>
      <c r="E892" s="577" t="s">
        <v>204</v>
      </c>
      <c r="F892" s="570">
        <v>12</v>
      </c>
      <c r="G892" s="579">
        <v>132.93</v>
      </c>
      <c r="H892" s="600">
        <v>166.81</v>
      </c>
      <c r="I892" s="600">
        <v>2001.72</v>
      </c>
      <c r="J892" s="612">
        <v>8.13960783137526e-5</v>
      </c>
      <c r="K892" s="613">
        <f t="shared" si="46"/>
        <v>0</v>
      </c>
      <c r="L892" s="610">
        <f t="shared" si="49"/>
        <v>2001.72</v>
      </c>
      <c r="M892" s="601"/>
      <c r="N892" s="601"/>
      <c r="O892" s="601"/>
      <c r="P892" s="601"/>
      <c r="Q892" s="601"/>
      <c r="R892" s="601"/>
      <c r="S892" s="601"/>
      <c r="T892" s="601"/>
      <c r="U892" s="601"/>
      <c r="V892" s="601"/>
      <c r="W892" s="601"/>
      <c r="X892" s="601"/>
      <c r="Y892" s="601"/>
    </row>
    <row r="893" ht="25.5" spans="1:25">
      <c r="A893" s="569" t="s">
        <v>2470</v>
      </c>
      <c r="B893" s="569" t="s">
        <v>2471</v>
      </c>
      <c r="C893" s="569" t="s">
        <v>132</v>
      </c>
      <c r="D893" s="569" t="s">
        <v>2472</v>
      </c>
      <c r="E893" s="577" t="s">
        <v>204</v>
      </c>
      <c r="F893" s="570">
        <v>30</v>
      </c>
      <c r="G893" s="579">
        <v>132.93</v>
      </c>
      <c r="H893" s="600">
        <v>166.81</v>
      </c>
      <c r="I893" s="600">
        <v>5004.3</v>
      </c>
      <c r="J893" s="612">
        <v>0.000203490195784382</v>
      </c>
      <c r="K893" s="613">
        <f t="shared" si="46"/>
        <v>0</v>
      </c>
      <c r="L893" s="610">
        <f t="shared" si="49"/>
        <v>5004.3</v>
      </c>
      <c r="M893" s="601"/>
      <c r="N893" s="601"/>
      <c r="O893" s="601"/>
      <c r="P893" s="601"/>
      <c r="Q893" s="601"/>
      <c r="R893" s="601"/>
      <c r="S893" s="601"/>
      <c r="T893" s="601"/>
      <c r="U893" s="601"/>
      <c r="V893" s="601"/>
      <c r="W893" s="601"/>
      <c r="X893" s="601"/>
      <c r="Y893" s="601"/>
    </row>
    <row r="894" ht="15" spans="1:25">
      <c r="A894" s="569" t="s">
        <v>2473</v>
      </c>
      <c r="B894" s="569" t="s">
        <v>2474</v>
      </c>
      <c r="C894" s="569" t="s">
        <v>149</v>
      </c>
      <c r="D894" s="569" t="s">
        <v>2475</v>
      </c>
      <c r="E894" s="577" t="s">
        <v>141</v>
      </c>
      <c r="F894" s="570">
        <v>15</v>
      </c>
      <c r="G894" s="579">
        <v>246.01</v>
      </c>
      <c r="H894" s="600">
        <v>308.71</v>
      </c>
      <c r="I894" s="600">
        <v>4630.65</v>
      </c>
      <c r="J894" s="612">
        <v>0.000188296440083318</v>
      </c>
      <c r="K894" s="613">
        <f t="shared" si="46"/>
        <v>0</v>
      </c>
      <c r="L894" s="610">
        <f t="shared" si="49"/>
        <v>4630.65</v>
      </c>
      <c r="M894" s="601"/>
      <c r="N894" s="601"/>
      <c r="O894" s="601"/>
      <c r="P894" s="601"/>
      <c r="Q894" s="601"/>
      <c r="R894" s="601"/>
      <c r="S894" s="601"/>
      <c r="T894" s="601"/>
      <c r="U894" s="601"/>
      <c r="V894" s="601"/>
      <c r="W894" s="601"/>
      <c r="X894" s="601"/>
      <c r="Y894" s="601"/>
    </row>
    <row r="895" ht="15" spans="1:25">
      <c r="A895" s="596" t="s">
        <v>2476</v>
      </c>
      <c r="B895" s="596" t="s">
        <v>74</v>
      </c>
      <c r="C895" s="596"/>
      <c r="D895" s="596" t="s">
        <v>2477</v>
      </c>
      <c r="E895" s="597"/>
      <c r="F895" s="598">
        <v>1</v>
      </c>
      <c r="G895" s="598"/>
      <c r="H895" s="599">
        <v>459102.73</v>
      </c>
      <c r="I895" s="599">
        <v>459102.73</v>
      </c>
      <c r="J895" s="608">
        <v>0.0186685259502516</v>
      </c>
      <c r="K895" s="613">
        <f t="shared" si="46"/>
        <v>0</v>
      </c>
      <c r="L895" s="610">
        <f>SUM(L896:L940)</f>
        <v>459102.73</v>
      </c>
      <c r="M895" s="601"/>
      <c r="N895" s="601"/>
      <c r="O895" s="601"/>
      <c r="P895" s="601"/>
      <c r="Q895" s="601"/>
      <c r="R895" s="601"/>
      <c r="S895" s="601"/>
      <c r="T895" s="601"/>
      <c r="U895" s="601"/>
      <c r="V895" s="601"/>
      <c r="W895" s="601"/>
      <c r="X895" s="601"/>
      <c r="Y895" s="601"/>
    </row>
    <row r="896" ht="25.5" spans="1:25">
      <c r="A896" s="569" t="s">
        <v>2478</v>
      </c>
      <c r="B896" s="569" t="s">
        <v>2479</v>
      </c>
      <c r="C896" s="569" t="s">
        <v>139</v>
      </c>
      <c r="D896" s="569" t="s">
        <v>2480</v>
      </c>
      <c r="E896" s="577" t="s">
        <v>134</v>
      </c>
      <c r="F896" s="570">
        <v>33</v>
      </c>
      <c r="G896" s="579">
        <v>50.3</v>
      </c>
      <c r="H896" s="600">
        <v>63.12</v>
      </c>
      <c r="I896" s="600">
        <v>2082.96</v>
      </c>
      <c r="J896" s="612">
        <v>8.4699546032619e-5</v>
      </c>
      <c r="K896" s="613">
        <f t="shared" si="46"/>
        <v>0</v>
      </c>
      <c r="L896" s="610">
        <f t="shared" ref="L896:L940" si="50">I896-(I896*K896)</f>
        <v>2082.96</v>
      </c>
      <c r="M896" s="601"/>
      <c r="N896" s="601"/>
      <c r="O896" s="601"/>
      <c r="P896" s="601"/>
      <c r="Q896" s="601"/>
      <c r="R896" s="601"/>
      <c r="S896" s="601"/>
      <c r="T896" s="601"/>
      <c r="U896" s="601"/>
      <c r="V896" s="601"/>
      <c r="W896" s="601"/>
      <c r="X896" s="601"/>
      <c r="Y896" s="601"/>
    </row>
    <row r="897" ht="25.5" spans="1:25">
      <c r="A897" s="569" t="s">
        <v>2481</v>
      </c>
      <c r="B897" s="569" t="s">
        <v>2482</v>
      </c>
      <c r="C897" s="569" t="s">
        <v>139</v>
      </c>
      <c r="D897" s="569" t="s">
        <v>2483</v>
      </c>
      <c r="E897" s="577" t="s">
        <v>134</v>
      </c>
      <c r="F897" s="570">
        <v>15</v>
      </c>
      <c r="G897" s="579">
        <v>67.87</v>
      </c>
      <c r="H897" s="600">
        <v>85.17</v>
      </c>
      <c r="I897" s="600">
        <v>1277.55</v>
      </c>
      <c r="J897" s="612">
        <v>5.1949103695689e-5</v>
      </c>
      <c r="K897" s="613">
        <f t="shared" si="46"/>
        <v>0</v>
      </c>
      <c r="L897" s="610">
        <f t="shared" si="50"/>
        <v>1277.55</v>
      </c>
      <c r="M897" s="601"/>
      <c r="N897" s="601"/>
      <c r="O897" s="601"/>
      <c r="P897" s="601"/>
      <c r="Q897" s="601"/>
      <c r="R897" s="601"/>
      <c r="S897" s="601"/>
      <c r="T897" s="601"/>
      <c r="U897" s="601"/>
      <c r="V897" s="601"/>
      <c r="W897" s="601"/>
      <c r="X897" s="601"/>
      <c r="Y897" s="601"/>
    </row>
    <row r="898" ht="25.5" spans="1:25">
      <c r="A898" s="569" t="s">
        <v>2484</v>
      </c>
      <c r="B898" s="569" t="s">
        <v>2485</v>
      </c>
      <c r="C898" s="569" t="s">
        <v>139</v>
      </c>
      <c r="D898" s="569" t="s">
        <v>2486</v>
      </c>
      <c r="E898" s="577" t="s">
        <v>134</v>
      </c>
      <c r="F898" s="570">
        <v>26</v>
      </c>
      <c r="G898" s="579">
        <v>99.89</v>
      </c>
      <c r="H898" s="600">
        <v>125.35</v>
      </c>
      <c r="I898" s="600">
        <v>3259.1</v>
      </c>
      <c r="J898" s="612">
        <v>0.000132525007909374</v>
      </c>
      <c r="K898" s="613">
        <f t="shared" si="46"/>
        <v>0</v>
      </c>
      <c r="L898" s="610">
        <f t="shared" si="50"/>
        <v>3259.1</v>
      </c>
      <c r="M898" s="601"/>
      <c r="N898" s="601"/>
      <c r="O898" s="601"/>
      <c r="P898" s="601"/>
      <c r="Q898" s="601"/>
      <c r="R898" s="601"/>
      <c r="S898" s="601"/>
      <c r="T898" s="601"/>
      <c r="U898" s="601"/>
      <c r="V898" s="601"/>
      <c r="W898" s="601"/>
      <c r="X898" s="601"/>
      <c r="Y898" s="601"/>
    </row>
    <row r="899" ht="25.5" spans="1:25">
      <c r="A899" s="569" t="s">
        <v>2487</v>
      </c>
      <c r="B899" s="569" t="s">
        <v>2488</v>
      </c>
      <c r="C899" s="569" t="s">
        <v>77</v>
      </c>
      <c r="D899" s="569" t="s">
        <v>2489</v>
      </c>
      <c r="E899" s="577">
        <v>0</v>
      </c>
      <c r="F899" s="570">
        <v>33</v>
      </c>
      <c r="G899" s="579">
        <v>681.39</v>
      </c>
      <c r="H899" s="600">
        <v>855.07</v>
      </c>
      <c r="I899" s="600">
        <v>28217.31</v>
      </c>
      <c r="J899" s="612">
        <v>0.00114740242119949</v>
      </c>
      <c r="K899" s="613">
        <f t="shared" si="46"/>
        <v>0</v>
      </c>
      <c r="L899" s="610">
        <f t="shared" si="50"/>
        <v>28217.31</v>
      </c>
      <c r="M899" s="601"/>
      <c r="N899" s="601"/>
      <c r="O899" s="601"/>
      <c r="P899" s="601"/>
      <c r="Q899" s="601"/>
      <c r="R899" s="601"/>
      <c r="S899" s="601"/>
      <c r="T899" s="601"/>
      <c r="U899" s="601"/>
      <c r="V899" s="601"/>
      <c r="W899" s="601"/>
      <c r="X899" s="601"/>
      <c r="Y899" s="601"/>
    </row>
    <row r="900" ht="25.5" spans="1:25">
      <c r="A900" s="569" t="s">
        <v>2490</v>
      </c>
      <c r="B900" s="569" t="s">
        <v>2491</v>
      </c>
      <c r="C900" s="569" t="s">
        <v>77</v>
      </c>
      <c r="D900" s="569" t="s">
        <v>2492</v>
      </c>
      <c r="E900" s="577">
        <v>0</v>
      </c>
      <c r="F900" s="570">
        <v>15</v>
      </c>
      <c r="G900" s="579">
        <v>645.54</v>
      </c>
      <c r="H900" s="600">
        <v>810.08</v>
      </c>
      <c r="I900" s="600">
        <v>12151.2</v>
      </c>
      <c r="J900" s="612">
        <v>0.000494105083031628</v>
      </c>
      <c r="K900" s="613">
        <f t="shared" si="46"/>
        <v>0</v>
      </c>
      <c r="L900" s="610">
        <f t="shared" si="50"/>
        <v>12151.2</v>
      </c>
      <c r="M900" s="601"/>
      <c r="N900" s="601"/>
      <c r="O900" s="601"/>
      <c r="P900" s="601"/>
      <c r="Q900" s="601"/>
      <c r="R900" s="601"/>
      <c r="S900" s="601"/>
      <c r="T900" s="601"/>
      <c r="U900" s="601"/>
      <c r="V900" s="601"/>
      <c r="W900" s="601"/>
      <c r="X900" s="601"/>
      <c r="Y900" s="601"/>
    </row>
    <row r="901" ht="15" spans="1:25">
      <c r="A901" s="569" t="s">
        <v>2493</v>
      </c>
      <c r="B901" s="569" t="s">
        <v>2494</v>
      </c>
      <c r="C901" s="569" t="s">
        <v>149</v>
      </c>
      <c r="D901" s="569" t="s">
        <v>2495</v>
      </c>
      <c r="E901" s="577" t="s">
        <v>134</v>
      </c>
      <c r="F901" s="570">
        <v>4</v>
      </c>
      <c r="G901" s="579">
        <v>292.1</v>
      </c>
      <c r="H901" s="600">
        <v>366.55</v>
      </c>
      <c r="I901" s="600">
        <v>1466.2</v>
      </c>
      <c r="J901" s="612">
        <v>5.96201916469956e-5</v>
      </c>
      <c r="K901" s="613">
        <f t="shared" si="46"/>
        <v>0</v>
      </c>
      <c r="L901" s="610">
        <f t="shared" si="50"/>
        <v>1466.2</v>
      </c>
      <c r="M901" s="601"/>
      <c r="N901" s="601"/>
      <c r="O901" s="601"/>
      <c r="P901" s="601"/>
      <c r="Q901" s="601"/>
      <c r="R901" s="601"/>
      <c r="S901" s="601"/>
      <c r="T901" s="601"/>
      <c r="U901" s="601"/>
      <c r="V901" s="601"/>
      <c r="W901" s="601"/>
      <c r="X901" s="601"/>
      <c r="Y901" s="601"/>
    </row>
    <row r="902" ht="15" spans="1:25">
      <c r="A902" s="569" t="s">
        <v>2496</v>
      </c>
      <c r="B902" s="569" t="s">
        <v>2497</v>
      </c>
      <c r="C902" s="569" t="s">
        <v>149</v>
      </c>
      <c r="D902" s="569" t="s">
        <v>2498</v>
      </c>
      <c r="E902" s="577" t="s">
        <v>134</v>
      </c>
      <c r="F902" s="570">
        <v>16</v>
      </c>
      <c r="G902" s="579">
        <v>116.48</v>
      </c>
      <c r="H902" s="600">
        <v>146.17</v>
      </c>
      <c r="I902" s="600">
        <v>2338.72</v>
      </c>
      <c r="J902" s="612">
        <v>9.50995325389862e-5</v>
      </c>
      <c r="K902" s="613">
        <f t="shared" si="46"/>
        <v>0</v>
      </c>
      <c r="L902" s="610">
        <f t="shared" si="50"/>
        <v>2338.72</v>
      </c>
      <c r="M902" s="601"/>
      <c r="N902" s="601"/>
      <c r="O902" s="601"/>
      <c r="P902" s="601"/>
      <c r="Q902" s="601"/>
      <c r="R902" s="601"/>
      <c r="S902" s="601"/>
      <c r="T902" s="601"/>
      <c r="U902" s="601"/>
      <c r="V902" s="601"/>
      <c r="W902" s="601"/>
      <c r="X902" s="601"/>
      <c r="Y902" s="601"/>
    </row>
    <row r="903" ht="25.5" spans="1:25">
      <c r="A903" s="569" t="s">
        <v>2499</v>
      </c>
      <c r="B903" s="569" t="s">
        <v>2500</v>
      </c>
      <c r="C903" s="569" t="s">
        <v>77</v>
      </c>
      <c r="D903" s="569" t="s">
        <v>2501</v>
      </c>
      <c r="E903" s="577">
        <v>0</v>
      </c>
      <c r="F903" s="570">
        <v>33</v>
      </c>
      <c r="G903" s="579">
        <v>64.53</v>
      </c>
      <c r="H903" s="600">
        <v>80.97</v>
      </c>
      <c r="I903" s="600">
        <v>2672.01</v>
      </c>
      <c r="J903" s="612">
        <v>0.000108652126778536</v>
      </c>
      <c r="K903" s="613">
        <f t="shared" si="46"/>
        <v>0</v>
      </c>
      <c r="L903" s="610">
        <f t="shared" si="50"/>
        <v>2672.01</v>
      </c>
      <c r="M903" s="601"/>
      <c r="N903" s="601"/>
      <c r="O903" s="601"/>
      <c r="P903" s="601"/>
      <c r="Q903" s="601"/>
      <c r="R903" s="601"/>
      <c r="S903" s="601"/>
      <c r="T903" s="601"/>
      <c r="U903" s="601"/>
      <c r="V903" s="601"/>
      <c r="W903" s="601"/>
      <c r="X903" s="601"/>
      <c r="Y903" s="601"/>
    </row>
    <row r="904" ht="25.5" spans="1:25">
      <c r="A904" s="569" t="s">
        <v>2502</v>
      </c>
      <c r="B904" s="569" t="s">
        <v>2503</v>
      </c>
      <c r="C904" s="569" t="s">
        <v>77</v>
      </c>
      <c r="D904" s="569" t="s">
        <v>2504</v>
      </c>
      <c r="E904" s="577">
        <v>0</v>
      </c>
      <c r="F904" s="570">
        <v>15</v>
      </c>
      <c r="G904" s="579">
        <v>77.94</v>
      </c>
      <c r="H904" s="600">
        <v>97.8</v>
      </c>
      <c r="I904" s="600">
        <v>1467</v>
      </c>
      <c r="J904" s="612">
        <v>5.96527221021297e-5</v>
      </c>
      <c r="K904" s="613">
        <f t="shared" si="46"/>
        <v>0</v>
      </c>
      <c r="L904" s="610">
        <f t="shared" si="50"/>
        <v>1467</v>
      </c>
      <c r="M904" s="601"/>
      <c r="N904" s="601"/>
      <c r="O904" s="601"/>
      <c r="P904" s="601"/>
      <c r="Q904" s="601"/>
      <c r="R904" s="601"/>
      <c r="S904" s="601"/>
      <c r="T904" s="601"/>
      <c r="U904" s="601"/>
      <c r="V904" s="601"/>
      <c r="W904" s="601"/>
      <c r="X904" s="601"/>
      <c r="Y904" s="601"/>
    </row>
    <row r="905" ht="38.25" spans="1:25">
      <c r="A905" s="569" t="s">
        <v>2505</v>
      </c>
      <c r="B905" s="569" t="s">
        <v>2506</v>
      </c>
      <c r="C905" s="569" t="s">
        <v>139</v>
      </c>
      <c r="D905" s="569" t="s">
        <v>2507</v>
      </c>
      <c r="E905" s="577" t="s">
        <v>134</v>
      </c>
      <c r="F905" s="570">
        <v>66</v>
      </c>
      <c r="G905" s="579">
        <v>480.41</v>
      </c>
      <c r="H905" s="600">
        <v>602.86</v>
      </c>
      <c r="I905" s="600">
        <v>39788.76</v>
      </c>
      <c r="J905" s="612">
        <v>0.00161793309002613</v>
      </c>
      <c r="K905" s="613">
        <f t="shared" ref="K905:K968" si="51">$I$1051</f>
        <v>0</v>
      </c>
      <c r="L905" s="610">
        <f t="shared" si="50"/>
        <v>39788.76</v>
      </c>
      <c r="M905" s="601"/>
      <c r="N905" s="601"/>
      <c r="O905" s="601"/>
      <c r="P905" s="601"/>
      <c r="Q905" s="601"/>
      <c r="R905" s="601"/>
      <c r="S905" s="601"/>
      <c r="T905" s="601"/>
      <c r="U905" s="601"/>
      <c r="V905" s="601"/>
      <c r="W905" s="601"/>
      <c r="X905" s="601"/>
      <c r="Y905" s="601"/>
    </row>
    <row r="906" ht="38.25" spans="1:25">
      <c r="A906" s="569" t="s">
        <v>2508</v>
      </c>
      <c r="B906" s="569" t="s">
        <v>2509</v>
      </c>
      <c r="C906" s="569" t="s">
        <v>139</v>
      </c>
      <c r="D906" s="569" t="s">
        <v>2510</v>
      </c>
      <c r="E906" s="577" t="s">
        <v>134</v>
      </c>
      <c r="F906" s="570">
        <v>82</v>
      </c>
      <c r="G906" s="579">
        <v>560.17</v>
      </c>
      <c r="H906" s="600">
        <v>702.95</v>
      </c>
      <c r="I906" s="600">
        <v>57641.9</v>
      </c>
      <c r="J906" s="612">
        <v>0.00234389655224182</v>
      </c>
      <c r="K906" s="613">
        <f t="shared" si="51"/>
        <v>0</v>
      </c>
      <c r="L906" s="610">
        <f t="shared" si="50"/>
        <v>57641.9</v>
      </c>
      <c r="M906" s="601"/>
      <c r="N906" s="601"/>
      <c r="O906" s="601"/>
      <c r="P906" s="601"/>
      <c r="Q906" s="601"/>
      <c r="R906" s="601"/>
      <c r="S906" s="601"/>
      <c r="T906" s="601"/>
      <c r="U906" s="601"/>
      <c r="V906" s="601"/>
      <c r="W906" s="601"/>
      <c r="X906" s="601"/>
      <c r="Y906" s="601"/>
    </row>
    <row r="907" ht="15" spans="1:25">
      <c r="A907" s="569" t="s">
        <v>2511</v>
      </c>
      <c r="B907" s="569" t="s">
        <v>2512</v>
      </c>
      <c r="C907" s="569" t="s">
        <v>149</v>
      </c>
      <c r="D907" s="569" t="s">
        <v>2513</v>
      </c>
      <c r="E907" s="577" t="s">
        <v>134</v>
      </c>
      <c r="F907" s="570">
        <v>3</v>
      </c>
      <c r="G907" s="579">
        <v>28.28</v>
      </c>
      <c r="H907" s="600">
        <v>35.48</v>
      </c>
      <c r="I907" s="600">
        <v>106.44</v>
      </c>
      <c r="J907" s="612">
        <v>4.32817705559011e-6</v>
      </c>
      <c r="K907" s="613">
        <f t="shared" si="51"/>
        <v>0</v>
      </c>
      <c r="L907" s="610">
        <f t="shared" si="50"/>
        <v>106.44</v>
      </c>
      <c r="M907" s="601"/>
      <c r="N907" s="601"/>
      <c r="O907" s="601"/>
      <c r="P907" s="601"/>
      <c r="Q907" s="601"/>
      <c r="R907" s="601"/>
      <c r="S907" s="601"/>
      <c r="T907" s="601"/>
      <c r="U907" s="601"/>
      <c r="V907" s="601"/>
      <c r="W907" s="601"/>
      <c r="X907" s="601"/>
      <c r="Y907" s="601"/>
    </row>
    <row r="908" ht="15" spans="1:25">
      <c r="A908" s="569" t="s">
        <v>2514</v>
      </c>
      <c r="B908" s="569" t="s">
        <v>2515</v>
      </c>
      <c r="C908" s="569" t="s">
        <v>149</v>
      </c>
      <c r="D908" s="569" t="s">
        <v>2516</v>
      </c>
      <c r="E908" s="577" t="s">
        <v>134</v>
      </c>
      <c r="F908" s="570">
        <v>17</v>
      </c>
      <c r="G908" s="579">
        <v>68.04</v>
      </c>
      <c r="H908" s="600">
        <v>85.38</v>
      </c>
      <c r="I908" s="600">
        <v>1451.46</v>
      </c>
      <c r="J908" s="612">
        <v>5.90208180111501e-5</v>
      </c>
      <c r="K908" s="613">
        <f t="shared" si="51"/>
        <v>0</v>
      </c>
      <c r="L908" s="610">
        <f t="shared" si="50"/>
        <v>1451.46</v>
      </c>
      <c r="M908" s="601"/>
      <c r="N908" s="601"/>
      <c r="O908" s="601"/>
      <c r="P908" s="601"/>
      <c r="Q908" s="601"/>
      <c r="R908" s="601"/>
      <c r="S908" s="601"/>
      <c r="T908" s="601"/>
      <c r="U908" s="601"/>
      <c r="V908" s="601"/>
      <c r="W908" s="601"/>
      <c r="X908" s="601"/>
      <c r="Y908" s="601"/>
    </row>
    <row r="909" ht="15" spans="1:25">
      <c r="A909" s="569" t="s">
        <v>2517</v>
      </c>
      <c r="B909" s="569" t="s">
        <v>2518</v>
      </c>
      <c r="C909" s="569" t="s">
        <v>149</v>
      </c>
      <c r="D909" s="569" t="s">
        <v>2519</v>
      </c>
      <c r="E909" s="577" t="s">
        <v>134</v>
      </c>
      <c r="F909" s="570">
        <v>72</v>
      </c>
      <c r="G909" s="579">
        <v>44.11</v>
      </c>
      <c r="H909" s="600">
        <v>55.35</v>
      </c>
      <c r="I909" s="600">
        <v>3985.2</v>
      </c>
      <c r="J909" s="612">
        <v>0.000162050462250448</v>
      </c>
      <c r="K909" s="613">
        <f t="shared" si="51"/>
        <v>0</v>
      </c>
      <c r="L909" s="610">
        <f t="shared" si="50"/>
        <v>3985.2</v>
      </c>
      <c r="M909" s="601"/>
      <c r="N909" s="601"/>
      <c r="O909" s="601"/>
      <c r="P909" s="601"/>
      <c r="Q909" s="601"/>
      <c r="R909" s="601"/>
      <c r="S909" s="601"/>
      <c r="T909" s="601"/>
      <c r="U909" s="601"/>
      <c r="V909" s="601"/>
      <c r="W909" s="601"/>
      <c r="X909" s="601"/>
      <c r="Y909" s="601"/>
    </row>
    <row r="910" ht="15" spans="1:25">
      <c r="A910" s="569" t="s">
        <v>2520</v>
      </c>
      <c r="B910" s="569" t="s">
        <v>2521</v>
      </c>
      <c r="C910" s="569" t="s">
        <v>149</v>
      </c>
      <c r="D910" s="569" t="s">
        <v>2522</v>
      </c>
      <c r="E910" s="577" t="s">
        <v>134</v>
      </c>
      <c r="F910" s="570">
        <v>2</v>
      </c>
      <c r="G910" s="579">
        <v>785.56</v>
      </c>
      <c r="H910" s="600">
        <v>985.79</v>
      </c>
      <c r="I910" s="600">
        <v>1971.58</v>
      </c>
      <c r="J910" s="612">
        <v>8.01704934165759e-5</v>
      </c>
      <c r="K910" s="613">
        <f t="shared" si="51"/>
        <v>0</v>
      </c>
      <c r="L910" s="610">
        <f t="shared" si="50"/>
        <v>1971.58</v>
      </c>
      <c r="M910" s="601"/>
      <c r="N910" s="601"/>
      <c r="O910" s="601"/>
      <c r="P910" s="601"/>
      <c r="Q910" s="601"/>
      <c r="R910" s="601"/>
      <c r="S910" s="601"/>
      <c r="T910" s="601"/>
      <c r="U910" s="601"/>
      <c r="V910" s="601"/>
      <c r="W910" s="601"/>
      <c r="X910" s="601"/>
      <c r="Y910" s="601"/>
    </row>
    <row r="911" ht="15" spans="1:25">
      <c r="A911" s="569" t="s">
        <v>2523</v>
      </c>
      <c r="B911" s="569" t="s">
        <v>2524</v>
      </c>
      <c r="C911" s="569" t="s">
        <v>149</v>
      </c>
      <c r="D911" s="569" t="s">
        <v>2525</v>
      </c>
      <c r="E911" s="577" t="s">
        <v>134</v>
      </c>
      <c r="F911" s="570">
        <v>46</v>
      </c>
      <c r="G911" s="579">
        <v>2095.62</v>
      </c>
      <c r="H911" s="600">
        <v>2629.79</v>
      </c>
      <c r="I911" s="600">
        <v>120970.34</v>
      </c>
      <c r="J911" s="612">
        <v>0.00491902527240637</v>
      </c>
      <c r="K911" s="613">
        <f t="shared" si="51"/>
        <v>0</v>
      </c>
      <c r="L911" s="610">
        <f t="shared" si="50"/>
        <v>120970.34</v>
      </c>
      <c r="M911" s="601"/>
      <c r="N911" s="601"/>
      <c r="O911" s="601"/>
      <c r="P911" s="601"/>
      <c r="Q911" s="601"/>
      <c r="R911" s="601"/>
      <c r="S911" s="601"/>
      <c r="T911" s="601"/>
      <c r="U911" s="601"/>
      <c r="V911" s="601"/>
      <c r="W911" s="601"/>
      <c r="X911" s="601"/>
      <c r="Y911" s="601"/>
    </row>
    <row r="912" ht="25.5" spans="1:25">
      <c r="A912" s="569" t="s">
        <v>2526</v>
      </c>
      <c r="B912" s="569" t="s">
        <v>2527</v>
      </c>
      <c r="C912" s="569" t="s">
        <v>132</v>
      </c>
      <c r="D912" s="569" t="s">
        <v>2528</v>
      </c>
      <c r="E912" s="577" t="s">
        <v>204</v>
      </c>
      <c r="F912" s="570">
        <v>2486</v>
      </c>
      <c r="G912" s="579">
        <v>23.54</v>
      </c>
      <c r="H912" s="600">
        <v>29.54</v>
      </c>
      <c r="I912" s="600">
        <v>73436.44</v>
      </c>
      <c r="J912" s="612">
        <v>0.00298615102078372</v>
      </c>
      <c r="K912" s="613">
        <f t="shared" si="51"/>
        <v>0</v>
      </c>
      <c r="L912" s="610">
        <f t="shared" si="50"/>
        <v>73436.44</v>
      </c>
      <c r="M912" s="601"/>
      <c r="N912" s="601"/>
      <c r="O912" s="601"/>
      <c r="P912" s="601"/>
      <c r="Q912" s="601"/>
      <c r="R912" s="601"/>
      <c r="S912" s="601"/>
      <c r="T912" s="601"/>
      <c r="U912" s="601"/>
      <c r="V912" s="601"/>
      <c r="W912" s="601"/>
      <c r="X912" s="601"/>
      <c r="Y912" s="601"/>
    </row>
    <row r="913" ht="38.25" spans="1:25">
      <c r="A913" s="569" t="s">
        <v>2529</v>
      </c>
      <c r="B913" s="569" t="s">
        <v>1065</v>
      </c>
      <c r="C913" s="569" t="s">
        <v>132</v>
      </c>
      <c r="D913" s="569" t="s">
        <v>1066</v>
      </c>
      <c r="E913" s="577" t="s">
        <v>204</v>
      </c>
      <c r="F913" s="570">
        <v>857.4</v>
      </c>
      <c r="G913" s="579">
        <v>67.42</v>
      </c>
      <c r="H913" s="600">
        <v>84.6</v>
      </c>
      <c r="I913" s="600">
        <v>72536.04</v>
      </c>
      <c r="J913" s="612">
        <v>0.00294953799353031</v>
      </c>
      <c r="K913" s="613">
        <f t="shared" si="51"/>
        <v>0</v>
      </c>
      <c r="L913" s="610">
        <f t="shared" si="50"/>
        <v>72536.04</v>
      </c>
      <c r="M913" s="601"/>
      <c r="N913" s="601"/>
      <c r="O913" s="601"/>
      <c r="P913" s="601"/>
      <c r="Q913" s="601"/>
      <c r="R913" s="601"/>
      <c r="S913" s="601"/>
      <c r="T913" s="601"/>
      <c r="U913" s="601"/>
      <c r="V913" s="601"/>
      <c r="W913" s="601"/>
      <c r="X913" s="601"/>
      <c r="Y913" s="601"/>
    </row>
    <row r="914" ht="25.5" spans="1:25">
      <c r="A914" s="569" t="s">
        <v>2530</v>
      </c>
      <c r="B914" s="569" t="s">
        <v>865</v>
      </c>
      <c r="C914" s="569" t="s">
        <v>132</v>
      </c>
      <c r="D914" s="569" t="s">
        <v>866</v>
      </c>
      <c r="E914" s="577" t="s">
        <v>134</v>
      </c>
      <c r="F914" s="570">
        <v>4972</v>
      </c>
      <c r="G914" s="579">
        <v>0.12</v>
      </c>
      <c r="H914" s="600">
        <v>0.15</v>
      </c>
      <c r="I914" s="600">
        <v>745.8</v>
      </c>
      <c r="J914" s="612">
        <v>3.03265167987514e-5</v>
      </c>
      <c r="K914" s="613">
        <f t="shared" si="51"/>
        <v>0</v>
      </c>
      <c r="L914" s="610">
        <f t="shared" si="50"/>
        <v>745.8</v>
      </c>
      <c r="M914" s="601"/>
      <c r="N914" s="601"/>
      <c r="O914" s="601"/>
      <c r="P914" s="601"/>
      <c r="Q914" s="601"/>
      <c r="R914" s="601"/>
      <c r="S914" s="601"/>
      <c r="T914" s="601"/>
      <c r="U914" s="601"/>
      <c r="V914" s="601"/>
      <c r="W914" s="601"/>
      <c r="X914" s="601"/>
      <c r="Y914" s="601"/>
    </row>
    <row r="915" ht="15" spans="1:25">
      <c r="A915" s="104" t="s">
        <v>2531</v>
      </c>
      <c r="B915" s="104" t="s">
        <v>2532</v>
      </c>
      <c r="C915" s="104" t="s">
        <v>796</v>
      </c>
      <c r="D915" s="104" t="s">
        <v>2533</v>
      </c>
      <c r="E915" s="105" t="s">
        <v>334</v>
      </c>
      <c r="F915" s="103">
        <v>4972</v>
      </c>
      <c r="G915" s="106">
        <v>0.09</v>
      </c>
      <c r="H915" s="126">
        <v>0.11</v>
      </c>
      <c r="I915" s="126">
        <v>546.92</v>
      </c>
      <c r="J915" s="614">
        <v>2.22394456524177e-5</v>
      </c>
      <c r="K915" s="613">
        <f t="shared" si="51"/>
        <v>0</v>
      </c>
      <c r="L915" s="610">
        <f t="shared" si="50"/>
        <v>546.92</v>
      </c>
      <c r="M915" s="601"/>
      <c r="N915" s="601"/>
      <c r="O915" s="601"/>
      <c r="P915" s="601"/>
      <c r="Q915" s="601"/>
      <c r="R915" s="601"/>
      <c r="S915" s="601"/>
      <c r="T915" s="601"/>
      <c r="U915" s="601"/>
      <c r="V915" s="601"/>
      <c r="W915" s="601"/>
      <c r="X915" s="601"/>
      <c r="Y915" s="601"/>
    </row>
    <row r="916" ht="15" spans="1:25">
      <c r="A916" s="569" t="s">
        <v>2534</v>
      </c>
      <c r="B916" s="569" t="s">
        <v>2535</v>
      </c>
      <c r="C916" s="569" t="s">
        <v>139</v>
      </c>
      <c r="D916" s="569" t="s">
        <v>2536</v>
      </c>
      <c r="E916" s="577" t="s">
        <v>134</v>
      </c>
      <c r="F916" s="570">
        <v>2</v>
      </c>
      <c r="G916" s="579">
        <v>70.04</v>
      </c>
      <c r="H916" s="600">
        <v>87.89</v>
      </c>
      <c r="I916" s="600">
        <v>175.78</v>
      </c>
      <c r="J916" s="612">
        <v>7.14775425433699e-6</v>
      </c>
      <c r="K916" s="613">
        <f t="shared" si="51"/>
        <v>0</v>
      </c>
      <c r="L916" s="610">
        <f t="shared" si="50"/>
        <v>175.78</v>
      </c>
      <c r="M916" s="601"/>
      <c r="N916" s="601"/>
      <c r="O916" s="601"/>
      <c r="P916" s="601"/>
      <c r="Q916" s="601"/>
      <c r="R916" s="601"/>
      <c r="S916" s="601"/>
      <c r="T916" s="601"/>
      <c r="U916" s="601"/>
      <c r="V916" s="601"/>
      <c r="W916" s="601"/>
      <c r="X916" s="601"/>
      <c r="Y916" s="601"/>
    </row>
    <row r="917" ht="15" spans="1:25">
      <c r="A917" s="569" t="s">
        <v>2537</v>
      </c>
      <c r="B917" s="569" t="s">
        <v>2538</v>
      </c>
      <c r="C917" s="569" t="s">
        <v>139</v>
      </c>
      <c r="D917" s="569" t="s">
        <v>2539</v>
      </c>
      <c r="E917" s="577" t="s">
        <v>134</v>
      </c>
      <c r="F917" s="570">
        <v>2</v>
      </c>
      <c r="G917" s="579">
        <v>88.94</v>
      </c>
      <c r="H917" s="600">
        <v>111.61</v>
      </c>
      <c r="I917" s="600">
        <v>223.22</v>
      </c>
      <c r="J917" s="612">
        <v>9.07681024378827e-6</v>
      </c>
      <c r="K917" s="613">
        <f t="shared" si="51"/>
        <v>0</v>
      </c>
      <c r="L917" s="610">
        <f t="shared" si="50"/>
        <v>223.22</v>
      </c>
      <c r="M917" s="601"/>
      <c r="N917" s="601"/>
      <c r="O917" s="601"/>
      <c r="P917" s="601"/>
      <c r="Q917" s="601"/>
      <c r="R917" s="601"/>
      <c r="S917" s="601"/>
      <c r="T917" s="601"/>
      <c r="U917" s="601"/>
      <c r="V917" s="601"/>
      <c r="W917" s="601"/>
      <c r="X917" s="601"/>
      <c r="Y917" s="601"/>
    </row>
    <row r="918" ht="15" spans="1:25">
      <c r="A918" s="569" t="s">
        <v>2540</v>
      </c>
      <c r="B918" s="569" t="s">
        <v>2541</v>
      </c>
      <c r="C918" s="569" t="s">
        <v>139</v>
      </c>
      <c r="D918" s="569" t="s">
        <v>2542</v>
      </c>
      <c r="E918" s="577" t="s">
        <v>134</v>
      </c>
      <c r="F918" s="570">
        <v>4</v>
      </c>
      <c r="G918" s="579">
        <v>120.91</v>
      </c>
      <c r="H918" s="600">
        <v>151.72</v>
      </c>
      <c r="I918" s="600">
        <v>606.88</v>
      </c>
      <c r="J918" s="612">
        <v>2.46776032647174e-5</v>
      </c>
      <c r="K918" s="613">
        <f t="shared" si="51"/>
        <v>0</v>
      </c>
      <c r="L918" s="610">
        <f t="shared" si="50"/>
        <v>606.88</v>
      </c>
      <c r="M918" s="601"/>
      <c r="N918" s="601"/>
      <c r="O918" s="601"/>
      <c r="P918" s="601"/>
      <c r="Q918" s="601"/>
      <c r="R918" s="601"/>
      <c r="S918" s="601"/>
      <c r="T918" s="601"/>
      <c r="U918" s="601"/>
      <c r="V918" s="601"/>
      <c r="W918" s="601"/>
      <c r="X918" s="601"/>
      <c r="Y918" s="601"/>
    </row>
    <row r="919" ht="15" spans="1:25">
      <c r="A919" s="569" t="s">
        <v>2543</v>
      </c>
      <c r="B919" s="569" t="s">
        <v>2544</v>
      </c>
      <c r="C919" s="569" t="s">
        <v>139</v>
      </c>
      <c r="D919" s="569" t="s">
        <v>2545</v>
      </c>
      <c r="E919" s="577" t="s">
        <v>134</v>
      </c>
      <c r="F919" s="570">
        <v>2</v>
      </c>
      <c r="G919" s="579">
        <v>395.38</v>
      </c>
      <c r="H919" s="600">
        <v>496.16</v>
      </c>
      <c r="I919" s="600">
        <v>992.32</v>
      </c>
      <c r="J919" s="612">
        <v>4.03507765483199e-5</v>
      </c>
      <c r="K919" s="613">
        <f t="shared" si="51"/>
        <v>0</v>
      </c>
      <c r="L919" s="610">
        <f t="shared" si="50"/>
        <v>992.32</v>
      </c>
      <c r="M919" s="601"/>
      <c r="N919" s="601"/>
      <c r="O919" s="601"/>
      <c r="P919" s="601"/>
      <c r="Q919" s="601"/>
      <c r="R919" s="601"/>
      <c r="S919" s="601"/>
      <c r="T919" s="601"/>
      <c r="U919" s="601"/>
      <c r="V919" s="601"/>
      <c r="W919" s="601"/>
      <c r="X919" s="601"/>
      <c r="Y919" s="601"/>
    </row>
    <row r="920" ht="15" spans="1:25">
      <c r="A920" s="569" t="s">
        <v>2546</v>
      </c>
      <c r="B920" s="569" t="s">
        <v>2547</v>
      </c>
      <c r="C920" s="569" t="s">
        <v>139</v>
      </c>
      <c r="D920" s="569" t="s">
        <v>2548</v>
      </c>
      <c r="E920" s="577" t="s">
        <v>134</v>
      </c>
      <c r="F920" s="570">
        <v>16</v>
      </c>
      <c r="G920" s="579">
        <v>543.99</v>
      </c>
      <c r="H920" s="600">
        <v>682.65</v>
      </c>
      <c r="I920" s="600">
        <v>10922.4</v>
      </c>
      <c r="J920" s="612">
        <v>0.000444138303945673</v>
      </c>
      <c r="K920" s="613">
        <f t="shared" si="51"/>
        <v>0</v>
      </c>
      <c r="L920" s="610">
        <f t="shared" si="50"/>
        <v>10922.4</v>
      </c>
      <c r="M920" s="601"/>
      <c r="N920" s="601"/>
      <c r="O920" s="601"/>
      <c r="P920" s="601"/>
      <c r="Q920" s="601"/>
      <c r="R920" s="601"/>
      <c r="S920" s="601"/>
      <c r="T920" s="601"/>
      <c r="U920" s="601"/>
      <c r="V920" s="601"/>
      <c r="W920" s="601"/>
      <c r="X920" s="601"/>
      <c r="Y920" s="601"/>
    </row>
    <row r="921" ht="15" spans="1:25">
      <c r="A921" s="569" t="s">
        <v>2549</v>
      </c>
      <c r="B921" s="569" t="s">
        <v>2550</v>
      </c>
      <c r="C921" s="569" t="s">
        <v>149</v>
      </c>
      <c r="D921" s="569" t="s">
        <v>2551</v>
      </c>
      <c r="E921" s="577" t="s">
        <v>134</v>
      </c>
      <c r="F921" s="570">
        <v>1</v>
      </c>
      <c r="G921" s="579">
        <v>30.61</v>
      </c>
      <c r="H921" s="600">
        <v>38.41</v>
      </c>
      <c r="I921" s="600">
        <v>38.41</v>
      </c>
      <c r="J921" s="612">
        <v>1.56186847712529e-6</v>
      </c>
      <c r="K921" s="613">
        <f t="shared" si="51"/>
        <v>0</v>
      </c>
      <c r="L921" s="610">
        <f t="shared" si="50"/>
        <v>38.41</v>
      </c>
      <c r="M921" s="601"/>
      <c r="N921" s="601"/>
      <c r="O921" s="601"/>
      <c r="P921" s="601"/>
      <c r="Q921" s="601"/>
      <c r="R921" s="601"/>
      <c r="S921" s="601"/>
      <c r="T921" s="601"/>
      <c r="U921" s="601"/>
      <c r="V921" s="601"/>
      <c r="W921" s="601"/>
      <c r="X921" s="601"/>
      <c r="Y921" s="601"/>
    </row>
    <row r="922" ht="15" spans="1:25">
      <c r="A922" s="569" t="s">
        <v>2552</v>
      </c>
      <c r="B922" s="569" t="s">
        <v>2553</v>
      </c>
      <c r="C922" s="569" t="s">
        <v>149</v>
      </c>
      <c r="D922" s="569" t="s">
        <v>2554</v>
      </c>
      <c r="E922" s="577" t="s">
        <v>134</v>
      </c>
      <c r="F922" s="570">
        <v>7</v>
      </c>
      <c r="G922" s="579">
        <v>46.93</v>
      </c>
      <c r="H922" s="600">
        <v>58.89</v>
      </c>
      <c r="I922" s="600">
        <v>412.23</v>
      </c>
      <c r="J922" s="612">
        <v>1.67625368999052e-5</v>
      </c>
      <c r="K922" s="613">
        <f t="shared" si="51"/>
        <v>0</v>
      </c>
      <c r="L922" s="610">
        <f t="shared" si="50"/>
        <v>412.23</v>
      </c>
      <c r="M922" s="601"/>
      <c r="N922" s="601"/>
      <c r="O922" s="601"/>
      <c r="P922" s="601"/>
      <c r="Q922" s="601"/>
      <c r="R922" s="601"/>
      <c r="S922" s="601"/>
      <c r="T922" s="601"/>
      <c r="U922" s="601"/>
      <c r="V922" s="601"/>
      <c r="W922" s="601"/>
      <c r="X922" s="601"/>
      <c r="Y922" s="601"/>
    </row>
    <row r="923" ht="15" spans="1:25">
      <c r="A923" s="569" t="s">
        <v>2555</v>
      </c>
      <c r="B923" s="569" t="s">
        <v>2556</v>
      </c>
      <c r="C923" s="569" t="s">
        <v>149</v>
      </c>
      <c r="D923" s="569" t="s">
        <v>2557</v>
      </c>
      <c r="E923" s="577" t="s">
        <v>134</v>
      </c>
      <c r="F923" s="570">
        <v>7</v>
      </c>
      <c r="G923" s="579">
        <v>44.53</v>
      </c>
      <c r="H923" s="600">
        <v>55.88</v>
      </c>
      <c r="I923" s="600">
        <v>391.16</v>
      </c>
      <c r="J923" s="612">
        <v>1.59057660378112e-5</v>
      </c>
      <c r="K923" s="613">
        <f t="shared" si="51"/>
        <v>0</v>
      </c>
      <c r="L923" s="610">
        <f t="shared" si="50"/>
        <v>391.16</v>
      </c>
      <c r="M923" s="601"/>
      <c r="N923" s="601"/>
      <c r="O923" s="601"/>
      <c r="P923" s="601"/>
      <c r="Q923" s="601"/>
      <c r="R923" s="601"/>
      <c r="S923" s="601"/>
      <c r="T923" s="601"/>
      <c r="U923" s="601"/>
      <c r="V923" s="601"/>
      <c r="W923" s="601"/>
      <c r="X923" s="601"/>
      <c r="Y923" s="601"/>
    </row>
    <row r="924" ht="15" spans="1:25">
      <c r="A924" s="569" t="s">
        <v>2558</v>
      </c>
      <c r="B924" s="569" t="s">
        <v>2559</v>
      </c>
      <c r="C924" s="569" t="s">
        <v>149</v>
      </c>
      <c r="D924" s="569" t="s">
        <v>2560</v>
      </c>
      <c r="E924" s="577" t="s">
        <v>134</v>
      </c>
      <c r="F924" s="570">
        <v>26</v>
      </c>
      <c r="G924" s="579">
        <v>155.92</v>
      </c>
      <c r="H924" s="600">
        <v>195.66</v>
      </c>
      <c r="I924" s="600">
        <v>5087.16</v>
      </c>
      <c r="J924" s="612">
        <v>0.000206859537674895</v>
      </c>
      <c r="K924" s="613">
        <f t="shared" si="51"/>
        <v>0</v>
      </c>
      <c r="L924" s="610">
        <f t="shared" si="50"/>
        <v>5087.16</v>
      </c>
      <c r="M924" s="601"/>
      <c r="N924" s="601"/>
      <c r="O924" s="601"/>
      <c r="P924" s="601"/>
      <c r="Q924" s="601"/>
      <c r="R924" s="601"/>
      <c r="S924" s="601"/>
      <c r="T924" s="601"/>
      <c r="U924" s="601"/>
      <c r="V924" s="601"/>
      <c r="W924" s="601"/>
      <c r="X924" s="601"/>
      <c r="Y924" s="601"/>
    </row>
    <row r="925" ht="15" spans="1:25">
      <c r="A925" s="569" t="s">
        <v>2561</v>
      </c>
      <c r="B925" s="569" t="s">
        <v>2562</v>
      </c>
      <c r="C925" s="569" t="s">
        <v>149</v>
      </c>
      <c r="D925" s="569" t="s">
        <v>2563</v>
      </c>
      <c r="E925" s="577" t="s">
        <v>134</v>
      </c>
      <c r="F925" s="570">
        <v>26</v>
      </c>
      <c r="G925" s="579">
        <v>15.98</v>
      </c>
      <c r="H925" s="600">
        <v>20.05</v>
      </c>
      <c r="I925" s="600">
        <v>521.3</v>
      </c>
      <c r="J925" s="612">
        <v>2.11976578267486e-5</v>
      </c>
      <c r="K925" s="613">
        <f t="shared" si="51"/>
        <v>0</v>
      </c>
      <c r="L925" s="610">
        <f t="shared" si="50"/>
        <v>521.3</v>
      </c>
      <c r="M925" s="601"/>
      <c r="N925" s="601"/>
      <c r="O925" s="601"/>
      <c r="P925" s="601"/>
      <c r="Q925" s="601"/>
      <c r="R925" s="601"/>
      <c r="S925" s="601"/>
      <c r="T925" s="601"/>
      <c r="U925" s="601"/>
      <c r="V925" s="601"/>
      <c r="W925" s="601"/>
      <c r="X925" s="601"/>
      <c r="Y925" s="601"/>
    </row>
    <row r="926" ht="15" spans="1:25">
      <c r="A926" s="569" t="s">
        <v>2564</v>
      </c>
      <c r="B926" s="569" t="s">
        <v>2565</v>
      </c>
      <c r="C926" s="569" t="s">
        <v>149</v>
      </c>
      <c r="D926" s="569" t="s">
        <v>2566</v>
      </c>
      <c r="E926" s="577" t="s">
        <v>134</v>
      </c>
      <c r="F926" s="570">
        <v>6</v>
      </c>
      <c r="G926" s="579">
        <v>57.63</v>
      </c>
      <c r="H926" s="600">
        <v>72.31</v>
      </c>
      <c r="I926" s="600">
        <v>433.86</v>
      </c>
      <c r="J926" s="612">
        <v>1.7642079080593e-5</v>
      </c>
      <c r="K926" s="613">
        <f t="shared" si="51"/>
        <v>0</v>
      </c>
      <c r="L926" s="610">
        <f t="shared" si="50"/>
        <v>433.86</v>
      </c>
      <c r="M926" s="601"/>
      <c r="N926" s="601"/>
      <c r="O926" s="601"/>
      <c r="P926" s="601"/>
      <c r="Q926" s="601"/>
      <c r="R926" s="601"/>
      <c r="S926" s="601"/>
      <c r="T926" s="601"/>
      <c r="U926" s="601"/>
      <c r="V926" s="601"/>
      <c r="W926" s="601"/>
      <c r="X926" s="601"/>
      <c r="Y926" s="601"/>
    </row>
    <row r="927" ht="15" spans="1:25">
      <c r="A927" s="569" t="s">
        <v>2567</v>
      </c>
      <c r="B927" s="569" t="s">
        <v>2568</v>
      </c>
      <c r="C927" s="569" t="s">
        <v>149</v>
      </c>
      <c r="D927" s="569" t="s">
        <v>2569</v>
      </c>
      <c r="E927" s="577" t="s">
        <v>134</v>
      </c>
      <c r="F927" s="570">
        <v>2</v>
      </c>
      <c r="G927" s="579">
        <v>77.73</v>
      </c>
      <c r="H927" s="600">
        <v>97.54</v>
      </c>
      <c r="I927" s="600">
        <v>195.08</v>
      </c>
      <c r="J927" s="612">
        <v>7.93255148444681e-6</v>
      </c>
      <c r="K927" s="613">
        <f t="shared" si="51"/>
        <v>0</v>
      </c>
      <c r="L927" s="610">
        <f t="shared" si="50"/>
        <v>195.08</v>
      </c>
      <c r="M927" s="601"/>
      <c r="N927" s="601"/>
      <c r="O927" s="601"/>
      <c r="P927" s="601"/>
      <c r="Q927" s="601"/>
      <c r="R927" s="601"/>
      <c r="S927" s="601"/>
      <c r="T927" s="601"/>
      <c r="U927" s="601"/>
      <c r="V927" s="601"/>
      <c r="W927" s="601"/>
      <c r="X927" s="601"/>
      <c r="Y927" s="601"/>
    </row>
    <row r="928" ht="15" spans="1:25">
      <c r="A928" s="569" t="s">
        <v>2570</v>
      </c>
      <c r="B928" s="569" t="s">
        <v>2571</v>
      </c>
      <c r="C928" s="569" t="s">
        <v>149</v>
      </c>
      <c r="D928" s="569" t="s">
        <v>2572</v>
      </c>
      <c r="E928" s="577" t="s">
        <v>134</v>
      </c>
      <c r="F928" s="570">
        <v>4</v>
      </c>
      <c r="G928" s="579">
        <v>167.79</v>
      </c>
      <c r="H928" s="600">
        <v>210.55</v>
      </c>
      <c r="I928" s="600">
        <v>842.2</v>
      </c>
      <c r="J928" s="612">
        <v>3.42464366424088e-5</v>
      </c>
      <c r="K928" s="613">
        <f t="shared" si="51"/>
        <v>0</v>
      </c>
      <c r="L928" s="610">
        <f t="shared" si="50"/>
        <v>842.2</v>
      </c>
      <c r="M928" s="601"/>
      <c r="N928" s="601"/>
      <c r="O928" s="601"/>
      <c r="P928" s="601"/>
      <c r="Q928" s="601"/>
      <c r="R928" s="601"/>
      <c r="S928" s="601"/>
      <c r="T928" s="601"/>
      <c r="U928" s="601"/>
      <c r="V928" s="601"/>
      <c r="W928" s="601"/>
      <c r="X928" s="601"/>
      <c r="Y928" s="601"/>
    </row>
    <row r="929" ht="15" spans="1:25">
      <c r="A929" s="569" t="s">
        <v>2573</v>
      </c>
      <c r="B929" s="569" t="s">
        <v>2574</v>
      </c>
      <c r="C929" s="569" t="s">
        <v>149</v>
      </c>
      <c r="D929" s="569" t="s">
        <v>2575</v>
      </c>
      <c r="E929" s="577" t="s">
        <v>134</v>
      </c>
      <c r="F929" s="570">
        <v>2</v>
      </c>
      <c r="G929" s="579">
        <v>242.9</v>
      </c>
      <c r="H929" s="600">
        <v>304.81</v>
      </c>
      <c r="I929" s="600">
        <v>609.62</v>
      </c>
      <c r="J929" s="612">
        <v>2.47890200735517e-5</v>
      </c>
      <c r="K929" s="613">
        <f t="shared" si="51"/>
        <v>0</v>
      </c>
      <c r="L929" s="610">
        <f t="shared" si="50"/>
        <v>609.62</v>
      </c>
      <c r="M929" s="601"/>
      <c r="N929" s="601"/>
      <c r="O929" s="601"/>
      <c r="P929" s="601"/>
      <c r="Q929" s="601"/>
      <c r="R929" s="601"/>
      <c r="S929" s="601"/>
      <c r="T929" s="601"/>
      <c r="U929" s="601"/>
      <c r="V929" s="601"/>
      <c r="W929" s="601"/>
      <c r="X929" s="601"/>
      <c r="Y929" s="601"/>
    </row>
    <row r="930" ht="25.5" spans="1:25">
      <c r="A930" s="569" t="s">
        <v>2576</v>
      </c>
      <c r="B930" s="569" t="s">
        <v>2577</v>
      </c>
      <c r="C930" s="569" t="s">
        <v>139</v>
      </c>
      <c r="D930" s="569" t="s">
        <v>2578</v>
      </c>
      <c r="E930" s="577" t="s">
        <v>134</v>
      </c>
      <c r="F930" s="570">
        <v>14</v>
      </c>
      <c r="G930" s="579">
        <v>42.83</v>
      </c>
      <c r="H930" s="600">
        <v>53.74</v>
      </c>
      <c r="I930" s="600">
        <v>752.36</v>
      </c>
      <c r="J930" s="612">
        <v>3.05932665308509e-5</v>
      </c>
      <c r="K930" s="613">
        <f t="shared" si="51"/>
        <v>0</v>
      </c>
      <c r="L930" s="610">
        <f t="shared" si="50"/>
        <v>752.36</v>
      </c>
      <c r="M930" s="601"/>
      <c r="N930" s="601"/>
      <c r="O930" s="601"/>
      <c r="P930" s="601"/>
      <c r="Q930" s="601"/>
      <c r="R930" s="601"/>
      <c r="S930" s="601"/>
      <c r="T930" s="601"/>
      <c r="U930" s="601"/>
      <c r="V930" s="601"/>
      <c r="W930" s="601"/>
      <c r="X930" s="601"/>
      <c r="Y930" s="601"/>
    </row>
    <row r="931" ht="25.5" spans="1:25">
      <c r="A931" s="569" t="s">
        <v>2579</v>
      </c>
      <c r="B931" s="569" t="s">
        <v>2580</v>
      </c>
      <c r="C931" s="569" t="s">
        <v>139</v>
      </c>
      <c r="D931" s="569" t="s">
        <v>2581</v>
      </c>
      <c r="E931" s="577" t="s">
        <v>134</v>
      </c>
      <c r="F931" s="570">
        <v>52</v>
      </c>
      <c r="G931" s="579">
        <v>56.96</v>
      </c>
      <c r="H931" s="600">
        <v>71.47</v>
      </c>
      <c r="I931" s="600">
        <v>3716.44</v>
      </c>
      <c r="J931" s="612">
        <v>0.000151121855848152</v>
      </c>
      <c r="K931" s="613">
        <f t="shared" si="51"/>
        <v>0</v>
      </c>
      <c r="L931" s="610">
        <f t="shared" si="50"/>
        <v>3716.44</v>
      </c>
      <c r="M931" s="601"/>
      <c r="N931" s="601"/>
      <c r="O931" s="601"/>
      <c r="P931" s="601"/>
      <c r="Q931" s="601"/>
      <c r="R931" s="601"/>
      <c r="S931" s="601"/>
      <c r="T931" s="601"/>
      <c r="U931" s="601"/>
      <c r="V931" s="601"/>
      <c r="W931" s="601"/>
      <c r="X931" s="601"/>
      <c r="Y931" s="601"/>
    </row>
    <row r="932" ht="25.5" spans="1:25">
      <c r="A932" s="569" t="s">
        <v>2582</v>
      </c>
      <c r="B932" s="569" t="s">
        <v>2583</v>
      </c>
      <c r="C932" s="569" t="s">
        <v>139</v>
      </c>
      <c r="D932" s="569" t="s">
        <v>2584</v>
      </c>
      <c r="E932" s="577" t="s">
        <v>134</v>
      </c>
      <c r="F932" s="570">
        <v>2</v>
      </c>
      <c r="G932" s="579">
        <v>60.31</v>
      </c>
      <c r="H932" s="600">
        <v>75.68</v>
      </c>
      <c r="I932" s="600">
        <v>151.36</v>
      </c>
      <c r="J932" s="612">
        <v>6.15476211136902e-6</v>
      </c>
      <c r="K932" s="613">
        <f t="shared" si="51"/>
        <v>0</v>
      </c>
      <c r="L932" s="610">
        <f t="shared" si="50"/>
        <v>151.36</v>
      </c>
      <c r="M932" s="601"/>
      <c r="N932" s="601"/>
      <c r="O932" s="601"/>
      <c r="P932" s="601"/>
      <c r="Q932" s="601"/>
      <c r="R932" s="601"/>
      <c r="S932" s="601"/>
      <c r="T932" s="601"/>
      <c r="U932" s="601"/>
      <c r="V932" s="601"/>
      <c r="W932" s="601"/>
      <c r="X932" s="601"/>
      <c r="Y932" s="601"/>
    </row>
    <row r="933" ht="25.5" spans="1:25">
      <c r="A933" s="569" t="s">
        <v>2585</v>
      </c>
      <c r="B933" s="569" t="s">
        <v>2586</v>
      </c>
      <c r="C933" s="569" t="s">
        <v>139</v>
      </c>
      <c r="D933" s="569" t="s">
        <v>2587</v>
      </c>
      <c r="E933" s="577" t="s">
        <v>134</v>
      </c>
      <c r="F933" s="570">
        <v>2</v>
      </c>
      <c r="G933" s="579">
        <v>75.31</v>
      </c>
      <c r="H933" s="600">
        <v>94.5</v>
      </c>
      <c r="I933" s="600">
        <v>189</v>
      </c>
      <c r="J933" s="612">
        <v>7.68532002542776e-6</v>
      </c>
      <c r="K933" s="613">
        <f t="shared" si="51"/>
        <v>0</v>
      </c>
      <c r="L933" s="610">
        <f t="shared" si="50"/>
        <v>189</v>
      </c>
      <c r="M933" s="601"/>
      <c r="N933" s="601"/>
      <c r="O933" s="601"/>
      <c r="P933" s="601"/>
      <c r="Q933" s="601"/>
      <c r="R933" s="601"/>
      <c r="S933" s="601"/>
      <c r="T933" s="601"/>
      <c r="U933" s="601"/>
      <c r="V933" s="601"/>
      <c r="W933" s="601"/>
      <c r="X933" s="601"/>
      <c r="Y933" s="601"/>
    </row>
    <row r="934" ht="25.5" spans="1:25">
      <c r="A934" s="569" t="s">
        <v>2588</v>
      </c>
      <c r="B934" s="569" t="s">
        <v>2589</v>
      </c>
      <c r="C934" s="569" t="s">
        <v>139</v>
      </c>
      <c r="D934" s="569" t="s">
        <v>2590</v>
      </c>
      <c r="E934" s="577" t="s">
        <v>134</v>
      </c>
      <c r="F934" s="570">
        <v>2</v>
      </c>
      <c r="G934" s="579">
        <v>93.28</v>
      </c>
      <c r="H934" s="600">
        <v>117.05</v>
      </c>
      <c r="I934" s="600">
        <v>234.1</v>
      </c>
      <c r="J934" s="612">
        <v>9.51922443361184e-6</v>
      </c>
      <c r="K934" s="613">
        <f t="shared" si="51"/>
        <v>0</v>
      </c>
      <c r="L934" s="610">
        <f t="shared" si="50"/>
        <v>234.1</v>
      </c>
      <c r="M934" s="601"/>
      <c r="N934" s="601"/>
      <c r="O934" s="601"/>
      <c r="P934" s="601"/>
      <c r="Q934" s="601"/>
      <c r="R934" s="601"/>
      <c r="S934" s="601"/>
      <c r="T934" s="601"/>
      <c r="U934" s="601"/>
      <c r="V934" s="601"/>
      <c r="W934" s="601"/>
      <c r="X934" s="601"/>
      <c r="Y934" s="601"/>
    </row>
    <row r="935" ht="25.5" spans="1:25">
      <c r="A935" s="569" t="s">
        <v>2591</v>
      </c>
      <c r="B935" s="569" t="s">
        <v>2592</v>
      </c>
      <c r="C935" s="569" t="s">
        <v>139</v>
      </c>
      <c r="D935" s="569" t="s">
        <v>2593</v>
      </c>
      <c r="E935" s="577" t="s">
        <v>134</v>
      </c>
      <c r="F935" s="570">
        <v>2</v>
      </c>
      <c r="G935" s="579">
        <v>129.24</v>
      </c>
      <c r="H935" s="600">
        <v>162.18</v>
      </c>
      <c r="I935" s="600">
        <v>324.36</v>
      </c>
      <c r="J935" s="612">
        <v>1.31894730341151e-5</v>
      </c>
      <c r="K935" s="613">
        <f t="shared" si="51"/>
        <v>0</v>
      </c>
      <c r="L935" s="610">
        <f t="shared" si="50"/>
        <v>324.36</v>
      </c>
      <c r="M935" s="601"/>
      <c r="N935" s="601"/>
      <c r="O935" s="601"/>
      <c r="P935" s="601"/>
      <c r="Q935" s="601"/>
      <c r="R935" s="601"/>
      <c r="S935" s="601"/>
      <c r="T935" s="601"/>
      <c r="U935" s="601"/>
      <c r="V935" s="601"/>
      <c r="W935" s="601"/>
      <c r="X935" s="601"/>
      <c r="Y935" s="601"/>
    </row>
    <row r="936" ht="25.5" spans="1:25">
      <c r="A936" s="569" t="s">
        <v>2594</v>
      </c>
      <c r="B936" s="569" t="s">
        <v>2595</v>
      </c>
      <c r="C936" s="569" t="s">
        <v>139</v>
      </c>
      <c r="D936" s="569" t="s">
        <v>2596</v>
      </c>
      <c r="E936" s="577" t="s">
        <v>134</v>
      </c>
      <c r="F936" s="570">
        <v>2</v>
      </c>
      <c r="G936" s="579">
        <v>130.6</v>
      </c>
      <c r="H936" s="600">
        <v>163.88</v>
      </c>
      <c r="I936" s="600">
        <v>327.76</v>
      </c>
      <c r="J936" s="612">
        <v>1.33277274684349e-5</v>
      </c>
      <c r="K936" s="613">
        <f t="shared" si="51"/>
        <v>0</v>
      </c>
      <c r="L936" s="610">
        <f t="shared" si="50"/>
        <v>327.76</v>
      </c>
      <c r="M936" s="601"/>
      <c r="N936" s="601"/>
      <c r="O936" s="601"/>
      <c r="P936" s="601"/>
      <c r="Q936" s="601"/>
      <c r="R936" s="601"/>
      <c r="S936" s="601"/>
      <c r="T936" s="601"/>
      <c r="U936" s="601"/>
      <c r="V936" s="601"/>
      <c r="W936" s="601"/>
      <c r="X936" s="601"/>
      <c r="Y936" s="601"/>
    </row>
    <row r="937" ht="25.5" spans="1:25">
      <c r="A937" s="569" t="s">
        <v>2597</v>
      </c>
      <c r="B937" s="569" t="s">
        <v>2598</v>
      </c>
      <c r="C937" s="569" t="s">
        <v>139</v>
      </c>
      <c r="D937" s="569" t="s">
        <v>2599</v>
      </c>
      <c r="E937" s="577" t="s">
        <v>134</v>
      </c>
      <c r="F937" s="570">
        <v>4</v>
      </c>
      <c r="G937" s="579">
        <v>172.67</v>
      </c>
      <c r="H937" s="600">
        <v>216.68</v>
      </c>
      <c r="I937" s="600">
        <v>866.72</v>
      </c>
      <c r="J937" s="612">
        <v>3.52434950922685e-5</v>
      </c>
      <c r="K937" s="613">
        <f t="shared" si="51"/>
        <v>0</v>
      </c>
      <c r="L937" s="610">
        <f t="shared" si="50"/>
        <v>866.72</v>
      </c>
      <c r="M937" s="601"/>
      <c r="N937" s="601"/>
      <c r="O937" s="601"/>
      <c r="P937" s="601"/>
      <c r="Q937" s="601"/>
      <c r="R937" s="601"/>
      <c r="S937" s="601"/>
      <c r="T937" s="601"/>
      <c r="U937" s="601"/>
      <c r="V937" s="601"/>
      <c r="W937" s="601"/>
      <c r="X937" s="601"/>
      <c r="Y937" s="601"/>
    </row>
    <row r="938" ht="15" spans="1:25">
      <c r="A938" s="569" t="s">
        <v>2600</v>
      </c>
      <c r="B938" s="569" t="s">
        <v>2601</v>
      </c>
      <c r="C938" s="569" t="s">
        <v>139</v>
      </c>
      <c r="D938" s="569" t="s">
        <v>2602</v>
      </c>
      <c r="E938" s="577" t="s">
        <v>134</v>
      </c>
      <c r="F938" s="570">
        <v>4</v>
      </c>
      <c r="G938" s="579">
        <v>260.18</v>
      </c>
      <c r="H938" s="600">
        <v>326.49</v>
      </c>
      <c r="I938" s="600">
        <v>1305.96</v>
      </c>
      <c r="J938" s="612">
        <v>5.31043414836383e-5</v>
      </c>
      <c r="K938" s="613">
        <f t="shared" si="51"/>
        <v>0</v>
      </c>
      <c r="L938" s="610">
        <f t="shared" si="50"/>
        <v>1305.96</v>
      </c>
      <c r="M938" s="601"/>
      <c r="N938" s="601"/>
      <c r="O938" s="601"/>
      <c r="P938" s="601"/>
      <c r="Q938" s="601"/>
      <c r="R938" s="601"/>
      <c r="S938" s="601"/>
      <c r="T938" s="601"/>
      <c r="U938" s="601"/>
      <c r="V938" s="601"/>
      <c r="W938" s="601"/>
      <c r="X938" s="601"/>
      <c r="Y938" s="601"/>
    </row>
    <row r="939" ht="15" spans="1:25">
      <c r="A939" s="569" t="s">
        <v>2603</v>
      </c>
      <c r="B939" s="569" t="s">
        <v>2604</v>
      </c>
      <c r="C939" s="569" t="s">
        <v>149</v>
      </c>
      <c r="D939" s="569" t="s">
        <v>2605</v>
      </c>
      <c r="E939" s="577" t="s">
        <v>393</v>
      </c>
      <c r="F939" s="570">
        <v>9.2</v>
      </c>
      <c r="G939" s="579">
        <v>107.03</v>
      </c>
      <c r="H939" s="600">
        <v>134.31</v>
      </c>
      <c r="I939" s="600">
        <v>1235.65</v>
      </c>
      <c r="J939" s="612">
        <v>5.02453211080413e-5</v>
      </c>
      <c r="K939" s="613">
        <f t="shared" si="51"/>
        <v>0</v>
      </c>
      <c r="L939" s="610">
        <f t="shared" si="50"/>
        <v>1235.65</v>
      </c>
      <c r="M939" s="601"/>
      <c r="N939" s="601"/>
      <c r="O939" s="601"/>
      <c r="P939" s="601"/>
      <c r="Q939" s="601"/>
      <c r="R939" s="601"/>
      <c r="S939" s="601"/>
      <c r="T939" s="601"/>
      <c r="U939" s="601"/>
      <c r="V939" s="601"/>
      <c r="W939" s="601"/>
      <c r="X939" s="601"/>
      <c r="Y939" s="601"/>
    </row>
    <row r="940" ht="15" spans="1:25">
      <c r="A940" s="569" t="s">
        <v>2606</v>
      </c>
      <c r="B940" s="569" t="s">
        <v>2607</v>
      </c>
      <c r="C940" s="569" t="s">
        <v>149</v>
      </c>
      <c r="D940" s="569" t="s">
        <v>2608</v>
      </c>
      <c r="E940" s="577" t="s">
        <v>393</v>
      </c>
      <c r="F940" s="570">
        <v>4.1</v>
      </c>
      <c r="G940" s="579">
        <v>84.45</v>
      </c>
      <c r="H940" s="600">
        <v>105.97</v>
      </c>
      <c r="I940" s="600">
        <v>434.47</v>
      </c>
      <c r="J940" s="612">
        <v>1.76668835526328e-5</v>
      </c>
      <c r="K940" s="613">
        <f t="shared" si="51"/>
        <v>0</v>
      </c>
      <c r="L940" s="610">
        <f t="shared" si="50"/>
        <v>434.47</v>
      </c>
      <c r="M940" s="601"/>
      <c r="N940" s="601"/>
      <c r="O940" s="601"/>
      <c r="P940" s="601"/>
      <c r="Q940" s="601"/>
      <c r="R940" s="601"/>
      <c r="S940" s="601"/>
      <c r="T940" s="601"/>
      <c r="U940" s="601"/>
      <c r="V940" s="601"/>
      <c r="W940" s="601"/>
      <c r="X940" s="601"/>
      <c r="Y940" s="601"/>
    </row>
    <row r="941" ht="15" spans="1:25">
      <c r="A941" s="596" t="s">
        <v>2609</v>
      </c>
      <c r="B941" s="596" t="s">
        <v>74</v>
      </c>
      <c r="C941" s="596"/>
      <c r="D941" s="596" t="s">
        <v>2610</v>
      </c>
      <c r="E941" s="597"/>
      <c r="F941" s="598">
        <v>1</v>
      </c>
      <c r="G941" s="598"/>
      <c r="H941" s="599">
        <v>385853.31</v>
      </c>
      <c r="I941" s="599">
        <v>385853.31</v>
      </c>
      <c r="J941" s="608">
        <v>0.0156899797366168</v>
      </c>
      <c r="K941" s="613">
        <f t="shared" si="51"/>
        <v>0</v>
      </c>
      <c r="L941" s="610">
        <f>SUM(L942:L953)</f>
        <v>385853.31</v>
      </c>
      <c r="M941" s="601"/>
      <c r="N941" s="601"/>
      <c r="O941" s="601"/>
      <c r="P941" s="601"/>
      <c r="Q941" s="601"/>
      <c r="R941" s="601"/>
      <c r="S941" s="601"/>
      <c r="T941" s="601"/>
      <c r="U941" s="601"/>
      <c r="V941" s="601"/>
      <c r="W941" s="601"/>
      <c r="X941" s="601"/>
      <c r="Y941" s="601"/>
    </row>
    <row r="942" ht="38.25" spans="1:25">
      <c r="A942" s="569" t="s">
        <v>2611</v>
      </c>
      <c r="B942" s="569" t="s">
        <v>1999</v>
      </c>
      <c r="C942" s="569" t="s">
        <v>139</v>
      </c>
      <c r="D942" s="569" t="s">
        <v>2000</v>
      </c>
      <c r="E942" s="577" t="s">
        <v>204</v>
      </c>
      <c r="F942" s="570">
        <v>283.65</v>
      </c>
      <c r="G942" s="579">
        <v>43.95</v>
      </c>
      <c r="H942" s="600">
        <v>55.15</v>
      </c>
      <c r="I942" s="600">
        <v>15643.29</v>
      </c>
      <c r="J942" s="612">
        <v>0.000636104179368115</v>
      </c>
      <c r="K942" s="613">
        <f t="shared" si="51"/>
        <v>0</v>
      </c>
      <c r="L942" s="610">
        <f t="shared" ref="L942:L953" si="52">I942-(I942*K942)</f>
        <v>15643.29</v>
      </c>
      <c r="M942" s="601"/>
      <c r="N942" s="601"/>
      <c r="O942" s="601"/>
      <c r="P942" s="601"/>
      <c r="Q942" s="601"/>
      <c r="R942" s="601"/>
      <c r="S942" s="601"/>
      <c r="T942" s="601"/>
      <c r="U942" s="601"/>
      <c r="V942" s="601"/>
      <c r="W942" s="601"/>
      <c r="X942" s="601"/>
      <c r="Y942" s="601"/>
    </row>
    <row r="943" ht="38.25" spans="1:25">
      <c r="A943" s="569" t="s">
        <v>2612</v>
      </c>
      <c r="B943" s="569" t="s">
        <v>2613</v>
      </c>
      <c r="C943" s="569" t="s">
        <v>139</v>
      </c>
      <c r="D943" s="569" t="s">
        <v>2614</v>
      </c>
      <c r="E943" s="577" t="s">
        <v>204</v>
      </c>
      <c r="F943" s="570">
        <v>10</v>
      </c>
      <c r="G943" s="579">
        <v>30.74</v>
      </c>
      <c r="H943" s="600">
        <v>38.57</v>
      </c>
      <c r="I943" s="600">
        <v>385.7</v>
      </c>
      <c r="J943" s="612">
        <v>1.56837456815211e-5</v>
      </c>
      <c r="K943" s="613">
        <f t="shared" si="51"/>
        <v>0</v>
      </c>
      <c r="L943" s="610">
        <f t="shared" si="52"/>
        <v>385.7</v>
      </c>
      <c r="M943" s="601"/>
      <c r="N943" s="601"/>
      <c r="O943" s="601"/>
      <c r="P943" s="601"/>
      <c r="Q943" s="601"/>
      <c r="R943" s="601"/>
      <c r="S943" s="601"/>
      <c r="T943" s="601"/>
      <c r="U943" s="601"/>
      <c r="V943" s="601"/>
      <c r="W943" s="601"/>
      <c r="X943" s="601"/>
      <c r="Y943" s="601"/>
    </row>
    <row r="944" ht="38.25" spans="1:25">
      <c r="A944" s="569" t="s">
        <v>2615</v>
      </c>
      <c r="B944" s="569" t="s">
        <v>1870</v>
      </c>
      <c r="C944" s="569" t="s">
        <v>139</v>
      </c>
      <c r="D944" s="569" t="s">
        <v>1871</v>
      </c>
      <c r="E944" s="577" t="s">
        <v>204</v>
      </c>
      <c r="F944" s="570">
        <v>171.6</v>
      </c>
      <c r="G944" s="579">
        <v>53.47</v>
      </c>
      <c r="H944" s="600">
        <v>67.09</v>
      </c>
      <c r="I944" s="600">
        <v>11512.64</v>
      </c>
      <c r="J944" s="612">
        <v>0.000468139273743601</v>
      </c>
      <c r="K944" s="613">
        <f t="shared" si="51"/>
        <v>0</v>
      </c>
      <c r="L944" s="610">
        <f t="shared" si="52"/>
        <v>11512.64</v>
      </c>
      <c r="M944" s="601"/>
      <c r="N944" s="601"/>
      <c r="O944" s="601"/>
      <c r="P944" s="601"/>
      <c r="Q944" s="601"/>
      <c r="R944" s="601"/>
      <c r="S944" s="601"/>
      <c r="T944" s="601"/>
      <c r="U944" s="601"/>
      <c r="V944" s="601"/>
      <c r="W944" s="601"/>
      <c r="X944" s="601"/>
      <c r="Y944" s="601"/>
    </row>
    <row r="945" ht="38.25" spans="1:25">
      <c r="A945" s="569" t="s">
        <v>2616</v>
      </c>
      <c r="B945" s="569" t="s">
        <v>2617</v>
      </c>
      <c r="C945" s="569" t="s">
        <v>139</v>
      </c>
      <c r="D945" s="569" t="s">
        <v>2618</v>
      </c>
      <c r="E945" s="577" t="s">
        <v>204</v>
      </c>
      <c r="F945" s="570">
        <v>173.9</v>
      </c>
      <c r="G945" s="579">
        <v>63.99</v>
      </c>
      <c r="H945" s="600">
        <v>80.3</v>
      </c>
      <c r="I945" s="600">
        <v>13964.17</v>
      </c>
      <c r="J945" s="612">
        <v>0.000567826007087183</v>
      </c>
      <c r="K945" s="613">
        <f t="shared" si="51"/>
        <v>0</v>
      </c>
      <c r="L945" s="610">
        <f t="shared" si="52"/>
        <v>13964.17</v>
      </c>
      <c r="M945" s="601"/>
      <c r="N945" s="601"/>
      <c r="O945" s="601"/>
      <c r="P945" s="601"/>
      <c r="Q945" s="601"/>
      <c r="R945" s="601"/>
      <c r="S945" s="601"/>
      <c r="T945" s="601"/>
      <c r="U945" s="601"/>
      <c r="V945" s="601"/>
      <c r="W945" s="601"/>
      <c r="X945" s="601"/>
      <c r="Y945" s="601"/>
    </row>
    <row r="946" ht="38.25" spans="1:25">
      <c r="A946" s="569" t="s">
        <v>2619</v>
      </c>
      <c r="B946" s="569" t="s">
        <v>2620</v>
      </c>
      <c r="C946" s="569" t="s">
        <v>139</v>
      </c>
      <c r="D946" s="569" t="s">
        <v>2621</v>
      </c>
      <c r="E946" s="577" t="s">
        <v>204</v>
      </c>
      <c r="F946" s="570">
        <v>60.4</v>
      </c>
      <c r="G946" s="579">
        <v>72.55</v>
      </c>
      <c r="H946" s="600">
        <v>91.04</v>
      </c>
      <c r="I946" s="600">
        <v>5498.81</v>
      </c>
      <c r="J946" s="612">
        <v>0.000223598489994827</v>
      </c>
      <c r="K946" s="613">
        <f t="shared" si="51"/>
        <v>0</v>
      </c>
      <c r="L946" s="610">
        <f t="shared" si="52"/>
        <v>5498.81</v>
      </c>
      <c r="M946" s="601"/>
      <c r="N946" s="601"/>
      <c r="O946" s="601"/>
      <c r="P946" s="601"/>
      <c r="Q946" s="601"/>
      <c r="R946" s="601"/>
      <c r="S946" s="601"/>
      <c r="T946" s="601"/>
      <c r="U946" s="601"/>
      <c r="V946" s="601"/>
      <c r="W946" s="601"/>
      <c r="X946" s="601"/>
      <c r="Y946" s="601"/>
    </row>
    <row r="947" ht="38.25" spans="1:25">
      <c r="A947" s="569" t="s">
        <v>2622</v>
      </c>
      <c r="B947" s="569" t="s">
        <v>2623</v>
      </c>
      <c r="C947" s="569" t="s">
        <v>139</v>
      </c>
      <c r="D947" s="569" t="s">
        <v>2624</v>
      </c>
      <c r="E947" s="577" t="s">
        <v>204</v>
      </c>
      <c r="F947" s="570">
        <v>98.2</v>
      </c>
      <c r="G947" s="579">
        <v>97.58</v>
      </c>
      <c r="H947" s="600">
        <v>122.45</v>
      </c>
      <c r="I947" s="600">
        <v>12024.59</v>
      </c>
      <c r="J947" s="612">
        <v>0.00048895673187597</v>
      </c>
      <c r="K947" s="613">
        <f t="shared" si="51"/>
        <v>0</v>
      </c>
      <c r="L947" s="610">
        <f t="shared" si="52"/>
        <v>12024.59</v>
      </c>
      <c r="M947" s="601"/>
      <c r="N947" s="601"/>
      <c r="O947" s="601"/>
      <c r="P947" s="601"/>
      <c r="Q947" s="601"/>
      <c r="R947" s="601"/>
      <c r="S947" s="601"/>
      <c r="T947" s="601"/>
      <c r="U947" s="601"/>
      <c r="V947" s="601"/>
      <c r="W947" s="601"/>
      <c r="X947" s="601"/>
      <c r="Y947" s="601"/>
    </row>
    <row r="948" ht="38.25" spans="1:25">
      <c r="A948" s="569" t="s">
        <v>2625</v>
      </c>
      <c r="B948" s="569" t="s">
        <v>2626</v>
      </c>
      <c r="C948" s="569" t="s">
        <v>139</v>
      </c>
      <c r="D948" s="569" t="s">
        <v>2627</v>
      </c>
      <c r="E948" s="577" t="s">
        <v>204</v>
      </c>
      <c r="F948" s="570">
        <v>40.55</v>
      </c>
      <c r="G948" s="579">
        <v>118.28</v>
      </c>
      <c r="H948" s="600">
        <v>148.42</v>
      </c>
      <c r="I948" s="600">
        <v>6018.43</v>
      </c>
      <c r="J948" s="612">
        <v>0.000244727833865795</v>
      </c>
      <c r="K948" s="613">
        <f t="shared" si="51"/>
        <v>0</v>
      </c>
      <c r="L948" s="610">
        <f t="shared" si="52"/>
        <v>6018.43</v>
      </c>
      <c r="M948" s="601"/>
      <c r="N948" s="601"/>
      <c r="O948" s="601"/>
      <c r="P948" s="601"/>
      <c r="Q948" s="601"/>
      <c r="R948" s="601"/>
      <c r="S948" s="601"/>
      <c r="T948" s="601"/>
      <c r="U948" s="601"/>
      <c r="V948" s="601"/>
      <c r="W948" s="601"/>
      <c r="X948" s="601"/>
      <c r="Y948" s="601"/>
    </row>
    <row r="949" ht="25.5" spans="1:25">
      <c r="A949" s="569" t="s">
        <v>2628</v>
      </c>
      <c r="B949" s="569" t="s">
        <v>2629</v>
      </c>
      <c r="C949" s="569" t="s">
        <v>132</v>
      </c>
      <c r="D949" s="569" t="s">
        <v>2630</v>
      </c>
      <c r="E949" s="577" t="s">
        <v>204</v>
      </c>
      <c r="F949" s="570">
        <v>169</v>
      </c>
      <c r="G949" s="579">
        <v>312.85</v>
      </c>
      <c r="H949" s="600">
        <v>392.59</v>
      </c>
      <c r="I949" s="600">
        <v>66347.71</v>
      </c>
      <c r="J949" s="612">
        <v>0.00269790150425541</v>
      </c>
      <c r="K949" s="613">
        <f t="shared" si="51"/>
        <v>0</v>
      </c>
      <c r="L949" s="610">
        <f t="shared" si="52"/>
        <v>66347.71</v>
      </c>
      <c r="M949" s="601"/>
      <c r="N949" s="601"/>
      <c r="O949" s="601"/>
      <c r="P949" s="601"/>
      <c r="Q949" s="601"/>
      <c r="R949" s="601"/>
      <c r="S949" s="601"/>
      <c r="T949" s="601"/>
      <c r="U949" s="601"/>
      <c r="V949" s="601"/>
      <c r="W949" s="601"/>
      <c r="X949" s="601"/>
      <c r="Y949" s="601"/>
    </row>
    <row r="950" ht="25.5" spans="1:25">
      <c r="A950" s="569" t="s">
        <v>2631</v>
      </c>
      <c r="B950" s="569" t="s">
        <v>2632</v>
      </c>
      <c r="C950" s="569" t="s">
        <v>132</v>
      </c>
      <c r="D950" s="569" t="s">
        <v>2633</v>
      </c>
      <c r="E950" s="577" t="s">
        <v>204</v>
      </c>
      <c r="F950" s="570">
        <v>44.45</v>
      </c>
      <c r="G950" s="579">
        <v>262.72</v>
      </c>
      <c r="H950" s="600">
        <v>329.68</v>
      </c>
      <c r="I950" s="600">
        <v>14654.27</v>
      </c>
      <c r="J950" s="612">
        <v>0.000595887590947223</v>
      </c>
      <c r="K950" s="613">
        <f t="shared" si="51"/>
        <v>0</v>
      </c>
      <c r="L950" s="610">
        <f t="shared" si="52"/>
        <v>14654.27</v>
      </c>
      <c r="M950" s="601"/>
      <c r="N950" s="601"/>
      <c r="O950" s="601"/>
      <c r="P950" s="601"/>
      <c r="Q950" s="601"/>
      <c r="R950" s="601"/>
      <c r="S950" s="601"/>
      <c r="T950" s="601"/>
      <c r="U950" s="601"/>
      <c r="V950" s="601"/>
      <c r="W950" s="601"/>
      <c r="X950" s="601"/>
      <c r="Y950" s="601"/>
    </row>
    <row r="951" ht="25.5" spans="1:25">
      <c r="A951" s="569" t="s">
        <v>2634</v>
      </c>
      <c r="B951" s="569" t="s">
        <v>762</v>
      </c>
      <c r="C951" s="569" t="s">
        <v>132</v>
      </c>
      <c r="D951" s="569" t="s">
        <v>763</v>
      </c>
      <c r="E951" s="577" t="s">
        <v>204</v>
      </c>
      <c r="F951" s="570">
        <v>60.45</v>
      </c>
      <c r="G951" s="579">
        <v>373.26</v>
      </c>
      <c r="H951" s="600">
        <v>468.4</v>
      </c>
      <c r="I951" s="600">
        <v>28314.78</v>
      </c>
      <c r="J951" s="612">
        <v>0.00115136585052689</v>
      </c>
      <c r="K951" s="613">
        <f t="shared" si="51"/>
        <v>0</v>
      </c>
      <c r="L951" s="610">
        <f t="shared" si="52"/>
        <v>28314.78</v>
      </c>
      <c r="M951" s="601"/>
      <c r="N951" s="601"/>
      <c r="O951" s="601"/>
      <c r="P951" s="601"/>
      <c r="Q951" s="601"/>
      <c r="R951" s="601"/>
      <c r="S951" s="601"/>
      <c r="T951" s="601"/>
      <c r="U951" s="601"/>
      <c r="V951" s="601"/>
      <c r="W951" s="601"/>
      <c r="X951" s="601"/>
      <c r="Y951" s="601"/>
    </row>
    <row r="952" ht="25.5" spans="1:25">
      <c r="A952" s="569" t="s">
        <v>2635</v>
      </c>
      <c r="B952" s="569" t="s">
        <v>2636</v>
      </c>
      <c r="C952" s="569" t="s">
        <v>132</v>
      </c>
      <c r="D952" s="569" t="s">
        <v>2637</v>
      </c>
      <c r="E952" s="577" t="s">
        <v>204</v>
      </c>
      <c r="F952" s="570">
        <v>32.5</v>
      </c>
      <c r="G952" s="579">
        <v>643.95</v>
      </c>
      <c r="H952" s="600">
        <v>808.09</v>
      </c>
      <c r="I952" s="600">
        <v>26262.92</v>
      </c>
      <c r="J952" s="612">
        <v>0.0010679309259376</v>
      </c>
      <c r="K952" s="613">
        <f t="shared" si="51"/>
        <v>0</v>
      </c>
      <c r="L952" s="610">
        <f t="shared" si="52"/>
        <v>26262.92</v>
      </c>
      <c r="M952" s="601"/>
      <c r="N952" s="601"/>
      <c r="O952" s="601"/>
      <c r="P952" s="601"/>
      <c r="Q952" s="601"/>
      <c r="R952" s="601"/>
      <c r="S952" s="601"/>
      <c r="T952" s="601"/>
      <c r="U952" s="601"/>
      <c r="V952" s="601"/>
      <c r="W952" s="601"/>
      <c r="X952" s="601"/>
      <c r="Y952" s="601"/>
    </row>
    <row r="953" ht="15" spans="1:25">
      <c r="A953" s="569" t="s">
        <v>2638</v>
      </c>
      <c r="B953" s="569" t="s">
        <v>2474</v>
      </c>
      <c r="C953" s="569" t="s">
        <v>149</v>
      </c>
      <c r="D953" s="569" t="s">
        <v>2475</v>
      </c>
      <c r="E953" s="577" t="s">
        <v>141</v>
      </c>
      <c r="F953" s="570">
        <v>600</v>
      </c>
      <c r="G953" s="579">
        <v>246.01</v>
      </c>
      <c r="H953" s="600">
        <v>308.71</v>
      </c>
      <c r="I953" s="600">
        <v>185226</v>
      </c>
      <c r="J953" s="612">
        <v>0.00753185760333271</v>
      </c>
      <c r="K953" s="613">
        <f t="shared" si="51"/>
        <v>0</v>
      </c>
      <c r="L953" s="610">
        <f t="shared" si="52"/>
        <v>185226</v>
      </c>
      <c r="M953" s="601"/>
      <c r="N953" s="601"/>
      <c r="O953" s="601"/>
      <c r="P953" s="601"/>
      <c r="Q953" s="601"/>
      <c r="R953" s="601"/>
      <c r="S953" s="601"/>
      <c r="T953" s="601"/>
      <c r="U953" s="601"/>
      <c r="V953" s="601"/>
      <c r="W953" s="601"/>
      <c r="X953" s="601"/>
      <c r="Y953" s="601"/>
    </row>
    <row r="954" ht="15" spans="1:25">
      <c r="A954" s="596" t="s">
        <v>2639</v>
      </c>
      <c r="B954" s="596" t="s">
        <v>74</v>
      </c>
      <c r="C954" s="596"/>
      <c r="D954" s="596" t="s">
        <v>2640</v>
      </c>
      <c r="E954" s="597"/>
      <c r="F954" s="598">
        <v>1</v>
      </c>
      <c r="G954" s="598"/>
      <c r="H954" s="599">
        <v>13790.4</v>
      </c>
      <c r="I954" s="599">
        <v>13790.4</v>
      </c>
      <c r="J954" s="608">
        <v>0.00056075998560137</v>
      </c>
      <c r="K954" s="613">
        <f t="shared" si="51"/>
        <v>0</v>
      </c>
      <c r="L954" s="610">
        <f>SUM(L955:L956)</f>
        <v>13790.4</v>
      </c>
      <c r="M954" s="601"/>
      <c r="N954" s="601"/>
      <c r="O954" s="601"/>
      <c r="P954" s="601"/>
      <c r="Q954" s="601"/>
      <c r="R954" s="601"/>
      <c r="S954" s="601"/>
      <c r="T954" s="601"/>
      <c r="U954" s="601"/>
      <c r="V954" s="601"/>
      <c r="W954" s="601"/>
      <c r="X954" s="601"/>
      <c r="Y954" s="601"/>
    </row>
    <row r="955" ht="15" spans="1:25">
      <c r="A955" s="569" t="s">
        <v>2641</v>
      </c>
      <c r="B955" s="569" t="s">
        <v>2642</v>
      </c>
      <c r="C955" s="569" t="s">
        <v>149</v>
      </c>
      <c r="D955" s="569" t="s">
        <v>2643</v>
      </c>
      <c r="E955" s="577" t="s">
        <v>204</v>
      </c>
      <c r="F955" s="570">
        <v>480</v>
      </c>
      <c r="G955" s="579">
        <v>16.57</v>
      </c>
      <c r="H955" s="600">
        <v>20.79</v>
      </c>
      <c r="I955" s="600">
        <v>9979.2</v>
      </c>
      <c r="J955" s="612">
        <v>0.000405784897342586</v>
      </c>
      <c r="K955" s="613">
        <f t="shared" si="51"/>
        <v>0</v>
      </c>
      <c r="L955" s="610">
        <f>I955-(I955*K955)</f>
        <v>9979.2</v>
      </c>
      <c r="M955" s="601"/>
      <c r="N955" s="601"/>
      <c r="O955" s="601"/>
      <c r="P955" s="601"/>
      <c r="Q955" s="601"/>
      <c r="R955" s="601"/>
      <c r="S955" s="601"/>
      <c r="T955" s="601"/>
      <c r="U955" s="601"/>
      <c r="V955" s="601"/>
      <c r="W955" s="601"/>
      <c r="X955" s="601"/>
      <c r="Y955" s="601"/>
    </row>
    <row r="956" ht="15" spans="1:25">
      <c r="A956" s="569" t="s">
        <v>2644</v>
      </c>
      <c r="B956" s="569" t="s">
        <v>2645</v>
      </c>
      <c r="C956" s="569" t="s">
        <v>149</v>
      </c>
      <c r="D956" s="569" t="s">
        <v>2646</v>
      </c>
      <c r="E956" s="577" t="s">
        <v>204</v>
      </c>
      <c r="F956" s="570">
        <v>480</v>
      </c>
      <c r="G956" s="579">
        <v>6.33</v>
      </c>
      <c r="H956" s="600">
        <v>7.94</v>
      </c>
      <c r="I956" s="600">
        <v>3811.2</v>
      </c>
      <c r="J956" s="612">
        <v>0.000154975088258784</v>
      </c>
      <c r="K956" s="613">
        <f t="shared" si="51"/>
        <v>0</v>
      </c>
      <c r="L956" s="610">
        <f>I956-(I956*K956)</f>
        <v>3811.2</v>
      </c>
      <c r="M956" s="601"/>
      <c r="N956" s="601"/>
      <c r="O956" s="601"/>
      <c r="P956" s="601"/>
      <c r="Q956" s="601"/>
      <c r="R956" s="601"/>
      <c r="S956" s="601"/>
      <c r="T956" s="601"/>
      <c r="U956" s="601"/>
      <c r="V956" s="601"/>
      <c r="W956" s="601"/>
      <c r="X956" s="601"/>
      <c r="Y956" s="601"/>
    </row>
    <row r="957" ht="15" spans="1:25">
      <c r="A957" s="596" t="s">
        <v>48</v>
      </c>
      <c r="B957" s="596" t="s">
        <v>74</v>
      </c>
      <c r="C957" s="596"/>
      <c r="D957" s="596" t="s">
        <v>49</v>
      </c>
      <c r="E957" s="597"/>
      <c r="F957" s="598">
        <v>1</v>
      </c>
      <c r="G957" s="598"/>
      <c r="H957" s="599">
        <v>88899.37</v>
      </c>
      <c r="I957" s="599">
        <v>88899.37</v>
      </c>
      <c r="J957" s="608">
        <v>0.00361492120904186</v>
      </c>
      <c r="K957" s="613">
        <f t="shared" si="51"/>
        <v>0</v>
      </c>
      <c r="L957" s="610">
        <f>SUM(L958:L961)</f>
        <v>88899.37</v>
      </c>
      <c r="M957" s="601"/>
      <c r="N957" s="601"/>
      <c r="O957" s="601"/>
      <c r="P957" s="601"/>
      <c r="Q957" s="601"/>
      <c r="R957" s="601"/>
      <c r="S957" s="601"/>
      <c r="T957" s="601"/>
      <c r="U957" s="601"/>
      <c r="V957" s="601"/>
      <c r="W957" s="601"/>
      <c r="X957" s="601"/>
      <c r="Y957" s="601"/>
    </row>
    <row r="958" ht="38.25" spans="1:25">
      <c r="A958" s="569" t="s">
        <v>2647</v>
      </c>
      <c r="B958" s="569" t="s">
        <v>2648</v>
      </c>
      <c r="C958" s="569" t="s">
        <v>139</v>
      </c>
      <c r="D958" s="569" t="s">
        <v>2649</v>
      </c>
      <c r="E958" s="577" t="s">
        <v>141</v>
      </c>
      <c r="F958" s="570">
        <v>827.48</v>
      </c>
      <c r="G958" s="579">
        <v>72.3</v>
      </c>
      <c r="H958" s="600">
        <v>90.72</v>
      </c>
      <c r="I958" s="600">
        <v>75068.98</v>
      </c>
      <c r="J958" s="612">
        <v>0.00305253510731447</v>
      </c>
      <c r="K958" s="613">
        <f t="shared" si="51"/>
        <v>0</v>
      </c>
      <c r="L958" s="610">
        <f>I958-(I958*K958)</f>
        <v>75068.98</v>
      </c>
      <c r="M958" s="601"/>
      <c r="N958" s="601"/>
      <c r="O958" s="601"/>
      <c r="P958" s="601"/>
      <c r="Q958" s="601"/>
      <c r="R958" s="601"/>
      <c r="S958" s="601"/>
      <c r="T958" s="601"/>
      <c r="U958" s="601"/>
      <c r="V958" s="601"/>
      <c r="W958" s="601"/>
      <c r="X958" s="601"/>
      <c r="Y958" s="601"/>
    </row>
    <row r="959" ht="38.25" spans="1:25">
      <c r="A959" s="569" t="s">
        <v>2650</v>
      </c>
      <c r="B959" s="569" t="s">
        <v>2651</v>
      </c>
      <c r="C959" s="569" t="s">
        <v>139</v>
      </c>
      <c r="D959" s="569" t="s">
        <v>2652</v>
      </c>
      <c r="E959" s="577" t="s">
        <v>141</v>
      </c>
      <c r="F959" s="570">
        <v>827.48</v>
      </c>
      <c r="G959" s="579">
        <v>5.1</v>
      </c>
      <c r="H959" s="600">
        <v>6.39</v>
      </c>
      <c r="I959" s="600">
        <v>5287.59</v>
      </c>
      <c r="J959" s="612">
        <v>0.00021500963657805</v>
      </c>
      <c r="K959" s="613">
        <f t="shared" si="51"/>
        <v>0</v>
      </c>
      <c r="L959" s="610">
        <f>I959-(I959*K959)</f>
        <v>5287.59</v>
      </c>
      <c r="M959" s="601"/>
      <c r="N959" s="601"/>
      <c r="O959" s="601"/>
      <c r="P959" s="601"/>
      <c r="Q959" s="601"/>
      <c r="R959" s="601"/>
      <c r="S959" s="601"/>
      <c r="T959" s="601"/>
      <c r="U959" s="601"/>
      <c r="V959" s="601"/>
      <c r="W959" s="601"/>
      <c r="X959" s="601"/>
      <c r="Y959" s="601"/>
    </row>
    <row r="960" ht="25.5" spans="1:25">
      <c r="A960" s="569" t="s">
        <v>2653</v>
      </c>
      <c r="B960" s="569" t="s">
        <v>2654</v>
      </c>
      <c r="C960" s="569" t="s">
        <v>77</v>
      </c>
      <c r="D960" s="569" t="s">
        <v>2655</v>
      </c>
      <c r="E960" s="577" t="s">
        <v>141</v>
      </c>
      <c r="F960" s="570">
        <v>1008</v>
      </c>
      <c r="G960" s="579">
        <v>2.95</v>
      </c>
      <c r="H960" s="600">
        <v>3.7</v>
      </c>
      <c r="I960" s="600">
        <v>3729.6</v>
      </c>
      <c r="J960" s="612">
        <v>0.000151656981835108</v>
      </c>
      <c r="K960" s="613">
        <f t="shared" si="51"/>
        <v>0</v>
      </c>
      <c r="L960" s="610">
        <f>I960-(I960*K960)</f>
        <v>3729.6</v>
      </c>
      <c r="M960" s="601"/>
      <c r="N960" s="601"/>
      <c r="O960" s="601"/>
      <c r="P960" s="601"/>
      <c r="Q960" s="601"/>
      <c r="R960" s="601"/>
      <c r="S960" s="601"/>
      <c r="T960" s="601"/>
      <c r="U960" s="601"/>
      <c r="V960" s="601"/>
      <c r="W960" s="601"/>
      <c r="X960" s="601"/>
      <c r="Y960" s="601"/>
    </row>
    <row r="961" ht="25.5" spans="1:25">
      <c r="A961" s="569" t="s">
        <v>2656</v>
      </c>
      <c r="B961" s="569" t="s">
        <v>2657</v>
      </c>
      <c r="C961" s="569" t="s">
        <v>132</v>
      </c>
      <c r="D961" s="569" t="s">
        <v>2658</v>
      </c>
      <c r="E961" s="577" t="s">
        <v>204</v>
      </c>
      <c r="F961" s="570">
        <v>28</v>
      </c>
      <c r="G961" s="579">
        <v>136.99</v>
      </c>
      <c r="H961" s="600">
        <v>171.9</v>
      </c>
      <c r="I961" s="600">
        <v>4813.2</v>
      </c>
      <c r="J961" s="612">
        <v>0.000195719483314227</v>
      </c>
      <c r="K961" s="613">
        <f t="shared" si="51"/>
        <v>0</v>
      </c>
      <c r="L961" s="610">
        <f>I961-(I961*K961)</f>
        <v>4813.2</v>
      </c>
      <c r="M961" s="601"/>
      <c r="N961" s="601"/>
      <c r="O961" s="601"/>
      <c r="P961" s="601"/>
      <c r="Q961" s="601"/>
      <c r="R961" s="601"/>
      <c r="S961" s="601"/>
      <c r="T961" s="601"/>
      <c r="U961" s="601"/>
      <c r="V961" s="601"/>
      <c r="W961" s="601"/>
      <c r="X961" s="601"/>
      <c r="Y961" s="601"/>
    </row>
    <row r="962" ht="15" spans="1:25">
      <c r="A962" s="596" t="s">
        <v>50</v>
      </c>
      <c r="B962" s="596" t="s">
        <v>74</v>
      </c>
      <c r="C962" s="596"/>
      <c r="D962" s="596" t="s">
        <v>51</v>
      </c>
      <c r="E962" s="597"/>
      <c r="F962" s="598">
        <v>1</v>
      </c>
      <c r="G962" s="598"/>
      <c r="H962" s="599">
        <v>1163132.52</v>
      </c>
      <c r="I962" s="599">
        <v>1163132.52</v>
      </c>
      <c r="J962" s="608">
        <v>0.0472965378210701</v>
      </c>
      <c r="K962" s="613">
        <f t="shared" si="51"/>
        <v>0</v>
      </c>
      <c r="L962" s="610">
        <f>SUM(L963,L977)</f>
        <v>1163132.52</v>
      </c>
      <c r="M962" s="601"/>
      <c r="N962" s="601"/>
      <c r="O962" s="601"/>
      <c r="P962" s="601"/>
      <c r="Q962" s="601"/>
      <c r="R962" s="601"/>
      <c r="S962" s="601"/>
      <c r="T962" s="601"/>
      <c r="U962" s="601"/>
      <c r="V962" s="601"/>
      <c r="W962" s="601"/>
      <c r="X962" s="601"/>
      <c r="Y962" s="601"/>
    </row>
    <row r="963" ht="15" spans="1:25">
      <c r="A963" s="596" t="s">
        <v>2659</v>
      </c>
      <c r="B963" s="596" t="s">
        <v>74</v>
      </c>
      <c r="C963" s="596"/>
      <c r="D963" s="596" t="s">
        <v>2660</v>
      </c>
      <c r="E963" s="597"/>
      <c r="F963" s="598">
        <v>1</v>
      </c>
      <c r="G963" s="598"/>
      <c r="H963" s="599">
        <v>842044.64</v>
      </c>
      <c r="I963" s="599">
        <v>842044.64</v>
      </c>
      <c r="J963" s="608">
        <v>0.0342401192280217</v>
      </c>
      <c r="K963" s="613">
        <f t="shared" si="51"/>
        <v>0</v>
      </c>
      <c r="L963" s="610">
        <f>SUM(L964:L976)</f>
        <v>842044.64</v>
      </c>
      <c r="M963" s="601"/>
      <c r="N963" s="601"/>
      <c r="O963" s="601"/>
      <c r="P963" s="601"/>
      <c r="Q963" s="601"/>
      <c r="R963" s="601"/>
      <c r="S963" s="601"/>
      <c r="T963" s="601"/>
      <c r="U963" s="601"/>
      <c r="V963" s="601"/>
      <c r="W963" s="601"/>
      <c r="X963" s="601"/>
      <c r="Y963" s="601"/>
    </row>
    <row r="964" ht="63.75" spans="1:25">
      <c r="A964" s="569" t="s">
        <v>2661</v>
      </c>
      <c r="B964" s="569" t="s">
        <v>2662</v>
      </c>
      <c r="C964" s="569" t="s">
        <v>139</v>
      </c>
      <c r="D964" s="569" t="s">
        <v>2663</v>
      </c>
      <c r="E964" s="577" t="s">
        <v>141</v>
      </c>
      <c r="F964" s="570">
        <v>822.46</v>
      </c>
      <c r="G964" s="579">
        <v>100.46</v>
      </c>
      <c r="H964" s="600">
        <v>126.06</v>
      </c>
      <c r="I964" s="600">
        <v>103679.3</v>
      </c>
      <c r="J964" s="612">
        <v>0.00421591852122927</v>
      </c>
      <c r="K964" s="613">
        <f t="shared" si="51"/>
        <v>0</v>
      </c>
      <c r="L964" s="610">
        <f t="shared" ref="L964:L976" si="53">I964-(I964*K964)</f>
        <v>103679.3</v>
      </c>
      <c r="M964" s="601"/>
      <c r="N964" s="601"/>
      <c r="O964" s="601"/>
      <c r="P964" s="601"/>
      <c r="Q964" s="601"/>
      <c r="R964" s="601"/>
      <c r="S964" s="601"/>
      <c r="T964" s="601"/>
      <c r="U964" s="601"/>
      <c r="V964" s="601"/>
      <c r="W964" s="601"/>
      <c r="X964" s="601"/>
      <c r="Y964" s="601"/>
    </row>
    <row r="965" ht="25.5" spans="1:25">
      <c r="A965" s="569" t="s">
        <v>2664</v>
      </c>
      <c r="B965" s="569" t="s">
        <v>2665</v>
      </c>
      <c r="C965" s="569" t="s">
        <v>132</v>
      </c>
      <c r="D965" s="569" t="s">
        <v>2666</v>
      </c>
      <c r="E965" s="577" t="s">
        <v>141</v>
      </c>
      <c r="F965" s="570">
        <v>1342.49</v>
      </c>
      <c r="G965" s="579">
        <v>61.23</v>
      </c>
      <c r="H965" s="600">
        <v>76.83</v>
      </c>
      <c r="I965" s="600">
        <v>103143.5</v>
      </c>
      <c r="J965" s="612">
        <v>0.00419413124890322</v>
      </c>
      <c r="K965" s="613">
        <f t="shared" si="51"/>
        <v>0</v>
      </c>
      <c r="L965" s="610">
        <f t="shared" si="53"/>
        <v>103143.5</v>
      </c>
      <c r="M965" s="601"/>
      <c r="N965" s="601"/>
      <c r="O965" s="601"/>
      <c r="P965" s="601"/>
      <c r="Q965" s="601"/>
      <c r="R965" s="601"/>
      <c r="S965" s="601"/>
      <c r="T965" s="601"/>
      <c r="U965" s="601"/>
      <c r="V965" s="601"/>
      <c r="W965" s="601"/>
      <c r="X965" s="601"/>
      <c r="Y965" s="601"/>
    </row>
    <row r="966" ht="51" spans="1:25">
      <c r="A966" s="569" t="s">
        <v>2667</v>
      </c>
      <c r="B966" s="569" t="s">
        <v>2668</v>
      </c>
      <c r="C966" s="569" t="s">
        <v>77</v>
      </c>
      <c r="D966" s="569" t="s">
        <v>2669</v>
      </c>
      <c r="E966" s="577" t="s">
        <v>204</v>
      </c>
      <c r="F966" s="570">
        <v>567</v>
      </c>
      <c r="G966" s="579">
        <v>80.82</v>
      </c>
      <c r="H966" s="600">
        <v>101.42</v>
      </c>
      <c r="I966" s="600">
        <v>57505.14</v>
      </c>
      <c r="J966" s="612">
        <v>0.00233833547093665</v>
      </c>
      <c r="K966" s="613">
        <f t="shared" si="51"/>
        <v>0</v>
      </c>
      <c r="L966" s="610">
        <f t="shared" si="53"/>
        <v>57505.14</v>
      </c>
      <c r="M966" s="601"/>
      <c r="N966" s="601"/>
      <c r="O966" s="601"/>
      <c r="P966" s="601"/>
      <c r="Q966" s="601"/>
      <c r="R966" s="601"/>
      <c r="S966" s="601"/>
      <c r="T966" s="601"/>
      <c r="U966" s="601"/>
      <c r="V966" s="601"/>
      <c r="W966" s="601"/>
      <c r="X966" s="601"/>
      <c r="Y966" s="601"/>
    </row>
    <row r="967" ht="25.5" spans="1:25">
      <c r="A967" s="569" t="s">
        <v>2670</v>
      </c>
      <c r="B967" s="569" t="s">
        <v>2671</v>
      </c>
      <c r="C967" s="569" t="s">
        <v>139</v>
      </c>
      <c r="D967" s="569" t="s">
        <v>2672</v>
      </c>
      <c r="E967" s="577" t="s">
        <v>141</v>
      </c>
      <c r="F967" s="570">
        <v>1366</v>
      </c>
      <c r="G967" s="579">
        <v>223.57</v>
      </c>
      <c r="H967" s="600">
        <v>280.55</v>
      </c>
      <c r="I967" s="600">
        <v>383231.3</v>
      </c>
      <c r="J967" s="612">
        <v>0.0155833607632842</v>
      </c>
      <c r="K967" s="613">
        <f t="shared" si="51"/>
        <v>0</v>
      </c>
      <c r="L967" s="610">
        <f t="shared" si="53"/>
        <v>383231.3</v>
      </c>
      <c r="M967" s="601"/>
      <c r="N967" s="601"/>
      <c r="O967" s="601"/>
      <c r="P967" s="601"/>
      <c r="Q967" s="601"/>
      <c r="R967" s="601"/>
      <c r="S967" s="601"/>
      <c r="T967" s="601"/>
      <c r="U967" s="601"/>
      <c r="V967" s="601"/>
      <c r="W967" s="601"/>
      <c r="X967" s="601"/>
      <c r="Y967" s="601"/>
    </row>
    <row r="968" ht="15" spans="1:25">
      <c r="A968" s="569" t="s">
        <v>2673</v>
      </c>
      <c r="B968" s="569" t="s">
        <v>2674</v>
      </c>
      <c r="C968" s="569" t="s">
        <v>149</v>
      </c>
      <c r="D968" s="569" t="s">
        <v>2675</v>
      </c>
      <c r="E968" s="577" t="s">
        <v>134</v>
      </c>
      <c r="F968" s="570">
        <v>1375</v>
      </c>
      <c r="G968" s="579">
        <v>27.57</v>
      </c>
      <c r="H968" s="600">
        <v>34.59</v>
      </c>
      <c r="I968" s="600">
        <v>47561.25</v>
      </c>
      <c r="J968" s="612">
        <v>0.00193398638655754</v>
      </c>
      <c r="K968" s="613">
        <f t="shared" si="51"/>
        <v>0</v>
      </c>
      <c r="L968" s="610">
        <f t="shared" si="53"/>
        <v>47561.25</v>
      </c>
      <c r="M968" s="601"/>
      <c r="N968" s="601"/>
      <c r="O968" s="601"/>
      <c r="P968" s="601"/>
      <c r="Q968" s="601"/>
      <c r="R968" s="601"/>
      <c r="S968" s="601"/>
      <c r="T968" s="601"/>
      <c r="U968" s="601"/>
      <c r="V968" s="601"/>
      <c r="W968" s="601"/>
      <c r="X968" s="601"/>
      <c r="Y968" s="601"/>
    </row>
    <row r="969" ht="25.5" spans="1:25">
      <c r="A969" s="569" t="s">
        <v>2676</v>
      </c>
      <c r="B969" s="569" t="s">
        <v>2677</v>
      </c>
      <c r="C969" s="569" t="s">
        <v>139</v>
      </c>
      <c r="D969" s="569" t="s">
        <v>2678</v>
      </c>
      <c r="E969" s="577" t="s">
        <v>141</v>
      </c>
      <c r="F969" s="570">
        <v>35.66</v>
      </c>
      <c r="G969" s="579">
        <v>57.38</v>
      </c>
      <c r="H969" s="600">
        <v>72</v>
      </c>
      <c r="I969" s="600">
        <v>2567.52</v>
      </c>
      <c r="J969" s="612">
        <v>0.000104403242707335</v>
      </c>
      <c r="K969" s="613">
        <f t="shared" ref="K969:K1032" si="54">$I$1051</f>
        <v>0</v>
      </c>
      <c r="L969" s="610">
        <f t="shared" si="53"/>
        <v>2567.52</v>
      </c>
      <c r="M969" s="601"/>
      <c r="N969" s="601"/>
      <c r="O969" s="601"/>
      <c r="P969" s="601"/>
      <c r="Q969" s="601"/>
      <c r="R969" s="601"/>
      <c r="S969" s="601"/>
      <c r="T969" s="601"/>
      <c r="U969" s="601"/>
      <c r="V969" s="601"/>
      <c r="W969" s="601"/>
      <c r="X969" s="601"/>
      <c r="Y969" s="601"/>
    </row>
    <row r="970" ht="38.25" spans="1:25">
      <c r="A970" s="569" t="s">
        <v>2679</v>
      </c>
      <c r="B970" s="569" t="s">
        <v>2680</v>
      </c>
      <c r="C970" s="569" t="s">
        <v>132</v>
      </c>
      <c r="D970" s="569" t="s">
        <v>2681</v>
      </c>
      <c r="E970" s="577" t="s">
        <v>141</v>
      </c>
      <c r="F970" s="570">
        <v>53.42</v>
      </c>
      <c r="G970" s="579">
        <v>105.63</v>
      </c>
      <c r="H970" s="600">
        <v>132.55</v>
      </c>
      <c r="I970" s="600">
        <v>7080.82</v>
      </c>
      <c r="J970" s="612">
        <v>0.000287927871653171</v>
      </c>
      <c r="K970" s="613">
        <f t="shared" si="54"/>
        <v>0</v>
      </c>
      <c r="L970" s="610">
        <f t="shared" si="53"/>
        <v>7080.82</v>
      </c>
      <c r="M970" s="601"/>
      <c r="N970" s="601"/>
      <c r="O970" s="601"/>
      <c r="P970" s="601"/>
      <c r="Q970" s="601"/>
      <c r="R970" s="601"/>
      <c r="S970" s="601"/>
      <c r="T970" s="601"/>
      <c r="U970" s="601"/>
      <c r="V970" s="601"/>
      <c r="W970" s="601"/>
      <c r="X970" s="601"/>
      <c r="Y970" s="601"/>
    </row>
    <row r="971" ht="25.5" spans="1:25">
      <c r="A971" s="569" t="s">
        <v>2682</v>
      </c>
      <c r="B971" s="569" t="s">
        <v>2683</v>
      </c>
      <c r="C971" s="569" t="s">
        <v>139</v>
      </c>
      <c r="D971" s="569" t="s">
        <v>2684</v>
      </c>
      <c r="E971" s="577" t="s">
        <v>204</v>
      </c>
      <c r="F971" s="570">
        <v>10.35</v>
      </c>
      <c r="G971" s="579">
        <v>8.42</v>
      </c>
      <c r="H971" s="600">
        <v>10.56</v>
      </c>
      <c r="I971" s="600">
        <v>109.29</v>
      </c>
      <c r="J971" s="612">
        <v>4.44406680200529e-6</v>
      </c>
      <c r="K971" s="613">
        <f t="shared" si="54"/>
        <v>0</v>
      </c>
      <c r="L971" s="610">
        <f t="shared" si="53"/>
        <v>109.29</v>
      </c>
      <c r="M971" s="601"/>
      <c r="N971" s="601"/>
      <c r="O971" s="601"/>
      <c r="P971" s="601"/>
      <c r="Q971" s="601"/>
      <c r="R971" s="601"/>
      <c r="S971" s="601"/>
      <c r="T971" s="601"/>
      <c r="U971" s="601"/>
      <c r="V971" s="601"/>
      <c r="W971" s="601"/>
      <c r="X971" s="601"/>
      <c r="Y971" s="601"/>
    </row>
    <row r="972" ht="25.5" spans="1:25">
      <c r="A972" s="569" t="s">
        <v>2685</v>
      </c>
      <c r="B972" s="569" t="s">
        <v>2686</v>
      </c>
      <c r="C972" s="569" t="s">
        <v>132</v>
      </c>
      <c r="D972" s="569" t="s">
        <v>2687</v>
      </c>
      <c r="E972" s="577" t="s">
        <v>141</v>
      </c>
      <c r="F972" s="570">
        <v>38.26</v>
      </c>
      <c r="G972" s="579">
        <v>242.13</v>
      </c>
      <c r="H972" s="600">
        <v>303.84</v>
      </c>
      <c r="I972" s="600">
        <v>11624.91</v>
      </c>
      <c r="J972" s="612">
        <v>0.000472704516490981</v>
      </c>
      <c r="K972" s="613">
        <f t="shared" si="54"/>
        <v>0</v>
      </c>
      <c r="L972" s="610">
        <f t="shared" si="53"/>
        <v>11624.91</v>
      </c>
      <c r="M972" s="601"/>
      <c r="N972" s="601"/>
      <c r="O972" s="601"/>
      <c r="P972" s="601"/>
      <c r="Q972" s="601"/>
      <c r="R972" s="601"/>
      <c r="S972" s="601"/>
      <c r="T972" s="601"/>
      <c r="U972" s="601"/>
      <c r="V972" s="601"/>
      <c r="W972" s="601"/>
      <c r="X972" s="601"/>
      <c r="Y972" s="601"/>
    </row>
    <row r="973" ht="25.5" spans="1:25">
      <c r="A973" s="569" t="s">
        <v>2688</v>
      </c>
      <c r="B973" s="569" t="s">
        <v>2689</v>
      </c>
      <c r="C973" s="569" t="s">
        <v>139</v>
      </c>
      <c r="D973" s="569" t="s">
        <v>2690</v>
      </c>
      <c r="E973" s="577" t="s">
        <v>204</v>
      </c>
      <c r="F973" s="570">
        <v>86.94</v>
      </c>
      <c r="G973" s="579">
        <v>191.3</v>
      </c>
      <c r="H973" s="600">
        <v>240.06</v>
      </c>
      <c r="I973" s="600">
        <v>20870.81</v>
      </c>
      <c r="J973" s="612">
        <v>0.000848671185396285</v>
      </c>
      <c r="K973" s="613">
        <f t="shared" si="54"/>
        <v>0</v>
      </c>
      <c r="L973" s="610">
        <f t="shared" si="53"/>
        <v>20870.81</v>
      </c>
      <c r="M973" s="601"/>
      <c r="N973" s="601"/>
      <c r="O973" s="601"/>
      <c r="P973" s="601"/>
      <c r="Q973" s="601"/>
      <c r="R973" s="601"/>
      <c r="S973" s="601"/>
      <c r="T973" s="601"/>
      <c r="U973" s="601"/>
      <c r="V973" s="601"/>
      <c r="W973" s="601"/>
      <c r="X973" s="601"/>
      <c r="Y973" s="601"/>
    </row>
    <row r="974" ht="25.5" spans="1:25">
      <c r="A974" s="569" t="s">
        <v>2691</v>
      </c>
      <c r="B974" s="569" t="s">
        <v>2692</v>
      </c>
      <c r="C974" s="569" t="s">
        <v>139</v>
      </c>
      <c r="D974" s="569" t="s">
        <v>2693</v>
      </c>
      <c r="E974" s="577" t="s">
        <v>141</v>
      </c>
      <c r="F974" s="570">
        <v>256.59</v>
      </c>
      <c r="G974" s="579">
        <v>176.14</v>
      </c>
      <c r="H974" s="600">
        <v>221.03</v>
      </c>
      <c r="I974" s="600">
        <v>56714.08</v>
      </c>
      <c r="J974" s="612">
        <v>0.00230616854363869</v>
      </c>
      <c r="K974" s="613">
        <f t="shared" si="54"/>
        <v>0</v>
      </c>
      <c r="L974" s="610">
        <f t="shared" si="53"/>
        <v>56714.08</v>
      </c>
      <c r="M974" s="601"/>
      <c r="N974" s="601"/>
      <c r="O974" s="601"/>
      <c r="P974" s="601"/>
      <c r="Q974" s="601"/>
      <c r="R974" s="601"/>
      <c r="S974" s="601"/>
      <c r="T974" s="601"/>
      <c r="U974" s="601"/>
      <c r="V974" s="601"/>
      <c r="W974" s="601"/>
      <c r="X974" s="601"/>
      <c r="Y974" s="601"/>
    </row>
    <row r="975" ht="15" spans="1:25">
      <c r="A975" s="569" t="s">
        <v>2694</v>
      </c>
      <c r="B975" s="569" t="s">
        <v>2695</v>
      </c>
      <c r="C975" s="569" t="s">
        <v>139</v>
      </c>
      <c r="D975" s="569" t="s">
        <v>2696</v>
      </c>
      <c r="E975" s="577" t="s">
        <v>204</v>
      </c>
      <c r="F975" s="570">
        <v>235.46</v>
      </c>
      <c r="G975" s="579">
        <v>135.2</v>
      </c>
      <c r="H975" s="600">
        <v>169.66</v>
      </c>
      <c r="I975" s="600">
        <v>39948.14</v>
      </c>
      <c r="J975" s="612">
        <v>0.00162441396995022</v>
      </c>
      <c r="K975" s="613">
        <f t="shared" si="54"/>
        <v>0</v>
      </c>
      <c r="L975" s="610">
        <f t="shared" si="53"/>
        <v>39948.14</v>
      </c>
      <c r="M975" s="601"/>
      <c r="N975" s="601"/>
      <c r="O975" s="601"/>
      <c r="P975" s="601"/>
      <c r="Q975" s="601"/>
      <c r="R975" s="601"/>
      <c r="S975" s="601"/>
      <c r="T975" s="601"/>
      <c r="U975" s="601"/>
      <c r="V975" s="601"/>
      <c r="W975" s="601"/>
      <c r="X975" s="601"/>
      <c r="Y975" s="601"/>
    </row>
    <row r="976" ht="25.5" spans="1:25">
      <c r="A976" s="569" t="s">
        <v>2697</v>
      </c>
      <c r="B976" s="569" t="s">
        <v>2698</v>
      </c>
      <c r="C976" s="569" t="s">
        <v>132</v>
      </c>
      <c r="D976" s="569" t="s">
        <v>2699</v>
      </c>
      <c r="E976" s="577" t="s">
        <v>204</v>
      </c>
      <c r="F976" s="570">
        <v>176.79</v>
      </c>
      <c r="G976" s="579">
        <v>36.1</v>
      </c>
      <c r="H976" s="600">
        <v>45.3</v>
      </c>
      <c r="I976" s="600">
        <v>8008.58</v>
      </c>
      <c r="J976" s="612">
        <v>0.00032565344047217</v>
      </c>
      <c r="K976" s="613">
        <f t="shared" si="54"/>
        <v>0</v>
      </c>
      <c r="L976" s="610">
        <f t="shared" si="53"/>
        <v>8008.58</v>
      </c>
      <c r="M976" s="601"/>
      <c r="N976" s="601"/>
      <c r="O976" s="601"/>
      <c r="P976" s="601"/>
      <c r="Q976" s="601"/>
      <c r="R976" s="601"/>
      <c r="S976" s="601"/>
      <c r="T976" s="601"/>
      <c r="U976" s="601"/>
      <c r="V976" s="601"/>
      <c r="W976" s="601"/>
      <c r="X976" s="601"/>
      <c r="Y976" s="601"/>
    </row>
    <row r="977" ht="15" spans="1:25">
      <c r="A977" s="596" t="s">
        <v>2700</v>
      </c>
      <c r="B977" s="596" t="s">
        <v>74</v>
      </c>
      <c r="C977" s="596"/>
      <c r="D977" s="596" t="s">
        <v>2701</v>
      </c>
      <c r="E977" s="597"/>
      <c r="F977" s="598">
        <v>1</v>
      </c>
      <c r="G977" s="598"/>
      <c r="H977" s="599">
        <v>321087.88</v>
      </c>
      <c r="I977" s="599">
        <v>321087.88</v>
      </c>
      <c r="J977" s="608">
        <v>0.0130564185930484</v>
      </c>
      <c r="K977" s="613">
        <f t="shared" si="54"/>
        <v>0</v>
      </c>
      <c r="L977" s="610">
        <f>SUM(L978:L983)</f>
        <v>321087.88</v>
      </c>
      <c r="M977" s="601"/>
      <c r="N977" s="601"/>
      <c r="O977" s="601"/>
      <c r="P977" s="601"/>
      <c r="Q977" s="601"/>
      <c r="R977" s="601"/>
      <c r="S977" s="601"/>
      <c r="T977" s="601"/>
      <c r="U977" s="601"/>
      <c r="V977" s="601"/>
      <c r="W977" s="601"/>
      <c r="X977" s="601"/>
      <c r="Y977" s="601"/>
    </row>
    <row r="978" ht="25.5" spans="1:25">
      <c r="A978" s="569" t="s">
        <v>2702</v>
      </c>
      <c r="B978" s="569" t="s">
        <v>2703</v>
      </c>
      <c r="C978" s="569" t="s">
        <v>139</v>
      </c>
      <c r="D978" s="569" t="s">
        <v>2704</v>
      </c>
      <c r="E978" s="577" t="s">
        <v>141</v>
      </c>
      <c r="F978" s="570">
        <v>728.04</v>
      </c>
      <c r="G978" s="579">
        <v>112.06</v>
      </c>
      <c r="H978" s="600">
        <v>140.62</v>
      </c>
      <c r="I978" s="600">
        <v>102376.98</v>
      </c>
      <c r="J978" s="612">
        <v>0.00416296219331649</v>
      </c>
      <c r="K978" s="613">
        <f t="shared" si="54"/>
        <v>0</v>
      </c>
      <c r="L978" s="610">
        <f t="shared" ref="L978:L983" si="55">I978-(I978*K978)</f>
        <v>102376.98</v>
      </c>
      <c r="M978" s="601"/>
      <c r="N978" s="601"/>
      <c r="O978" s="601"/>
      <c r="P978" s="601"/>
      <c r="Q978" s="601"/>
      <c r="R978" s="601"/>
      <c r="S978" s="601"/>
      <c r="T978" s="601"/>
      <c r="U978" s="601"/>
      <c r="V978" s="601"/>
      <c r="W978" s="601"/>
      <c r="X978" s="601"/>
      <c r="Y978" s="601"/>
    </row>
    <row r="979" ht="25.5" spans="1:25">
      <c r="A979" s="569" t="s">
        <v>2705</v>
      </c>
      <c r="B979" s="569" t="s">
        <v>2706</v>
      </c>
      <c r="C979" s="569" t="s">
        <v>139</v>
      </c>
      <c r="D979" s="569" t="s">
        <v>2707</v>
      </c>
      <c r="E979" s="577" t="s">
        <v>204</v>
      </c>
      <c r="F979" s="570">
        <v>374.56</v>
      </c>
      <c r="G979" s="579">
        <v>45.6</v>
      </c>
      <c r="H979" s="600">
        <v>57.22</v>
      </c>
      <c r="I979" s="600">
        <v>21432.32</v>
      </c>
      <c r="J979" s="612">
        <v>0.000871503905224211</v>
      </c>
      <c r="K979" s="613">
        <f t="shared" si="54"/>
        <v>0</v>
      </c>
      <c r="L979" s="610">
        <f t="shared" si="55"/>
        <v>21432.32</v>
      </c>
      <c r="M979" s="601"/>
      <c r="N979" s="601"/>
      <c r="O979" s="601"/>
      <c r="P979" s="601"/>
      <c r="Q979" s="601"/>
      <c r="R979" s="601"/>
      <c r="S979" s="601"/>
      <c r="T979" s="601"/>
      <c r="U979" s="601"/>
      <c r="V979" s="601"/>
      <c r="W979" s="601"/>
      <c r="X979" s="601"/>
      <c r="Y979" s="601"/>
    </row>
    <row r="980" ht="38.25" spans="1:25">
      <c r="A980" s="569" t="s">
        <v>2708</v>
      </c>
      <c r="B980" s="569" t="s">
        <v>2709</v>
      </c>
      <c r="C980" s="569" t="s">
        <v>139</v>
      </c>
      <c r="D980" s="569" t="s">
        <v>2710</v>
      </c>
      <c r="E980" s="577" t="s">
        <v>141</v>
      </c>
      <c r="F980" s="570">
        <v>1229.03</v>
      </c>
      <c r="G980" s="579">
        <v>90.35</v>
      </c>
      <c r="H980" s="600">
        <v>113.38</v>
      </c>
      <c r="I980" s="600">
        <v>139347.42</v>
      </c>
      <c r="J980" s="612">
        <v>0.00566629374295075</v>
      </c>
      <c r="K980" s="613">
        <f t="shared" si="54"/>
        <v>0</v>
      </c>
      <c r="L980" s="610">
        <f t="shared" si="55"/>
        <v>139347.42</v>
      </c>
      <c r="M980" s="601"/>
      <c r="N980" s="601"/>
      <c r="O980" s="601"/>
      <c r="P980" s="601"/>
      <c r="Q980" s="601"/>
      <c r="R980" s="601"/>
      <c r="S980" s="601"/>
      <c r="T980" s="601"/>
      <c r="U980" s="601"/>
      <c r="V980" s="601"/>
      <c r="W980" s="601"/>
      <c r="X980" s="601"/>
      <c r="Y980" s="601"/>
    </row>
    <row r="981" ht="25.5" spans="1:25">
      <c r="A981" s="569" t="s">
        <v>2711</v>
      </c>
      <c r="B981" s="569" t="s">
        <v>2712</v>
      </c>
      <c r="C981" s="569" t="s">
        <v>139</v>
      </c>
      <c r="D981" s="569" t="s">
        <v>2713</v>
      </c>
      <c r="E981" s="577" t="s">
        <v>141</v>
      </c>
      <c r="F981" s="570">
        <v>1216.17</v>
      </c>
      <c r="G981" s="579">
        <v>22.37</v>
      </c>
      <c r="H981" s="600">
        <v>28.07</v>
      </c>
      <c r="I981" s="600">
        <v>34137.89</v>
      </c>
      <c r="J981" s="612">
        <v>0.00138815137377169</v>
      </c>
      <c r="K981" s="613">
        <f t="shared" si="54"/>
        <v>0</v>
      </c>
      <c r="L981" s="610">
        <f t="shared" si="55"/>
        <v>34137.89</v>
      </c>
      <c r="M981" s="601"/>
      <c r="N981" s="601"/>
      <c r="O981" s="601"/>
      <c r="P981" s="601"/>
      <c r="Q981" s="601"/>
      <c r="R981" s="601"/>
      <c r="S981" s="601"/>
      <c r="T981" s="601"/>
      <c r="U981" s="601"/>
      <c r="V981" s="601"/>
      <c r="W981" s="601"/>
      <c r="X981" s="601"/>
      <c r="Y981" s="601"/>
    </row>
    <row r="982" ht="25.5" spans="1:25">
      <c r="A982" s="104" t="s">
        <v>2714</v>
      </c>
      <c r="B982" s="104" t="s">
        <v>2715</v>
      </c>
      <c r="C982" s="104" t="s">
        <v>139</v>
      </c>
      <c r="D982" s="104" t="s">
        <v>2716</v>
      </c>
      <c r="E982" s="105" t="s">
        <v>2717</v>
      </c>
      <c r="F982" s="103">
        <v>61.6</v>
      </c>
      <c r="G982" s="106">
        <v>91.17</v>
      </c>
      <c r="H982" s="126">
        <v>114.4</v>
      </c>
      <c r="I982" s="126">
        <v>7047.04</v>
      </c>
      <c r="J982" s="614">
        <v>0.000286554273185134</v>
      </c>
      <c r="K982" s="613">
        <f t="shared" si="54"/>
        <v>0</v>
      </c>
      <c r="L982" s="610">
        <f t="shared" si="55"/>
        <v>7047.04</v>
      </c>
      <c r="M982" s="601"/>
      <c r="N982" s="601"/>
      <c r="O982" s="601"/>
      <c r="P982" s="601"/>
      <c r="Q982" s="601"/>
      <c r="R982" s="601"/>
      <c r="S982" s="601"/>
      <c r="T982" s="601"/>
      <c r="U982" s="601"/>
      <c r="V982" s="601"/>
      <c r="W982" s="601"/>
      <c r="X982" s="601"/>
      <c r="Y982" s="601"/>
    </row>
    <row r="983" ht="25.5" spans="1:25">
      <c r="A983" s="104" t="s">
        <v>2718</v>
      </c>
      <c r="B983" s="104" t="s">
        <v>2719</v>
      </c>
      <c r="C983" s="104" t="s">
        <v>139</v>
      </c>
      <c r="D983" s="104" t="s">
        <v>2720</v>
      </c>
      <c r="E983" s="105" t="s">
        <v>2717</v>
      </c>
      <c r="F983" s="103">
        <v>122.71</v>
      </c>
      <c r="G983" s="106">
        <v>108.75</v>
      </c>
      <c r="H983" s="126">
        <v>136.47</v>
      </c>
      <c r="I983" s="126">
        <v>16746.23</v>
      </c>
      <c r="J983" s="614">
        <v>0.000680953104600101</v>
      </c>
      <c r="K983" s="613">
        <f t="shared" si="54"/>
        <v>0</v>
      </c>
      <c r="L983" s="610">
        <f t="shared" si="55"/>
        <v>16746.23</v>
      </c>
      <c r="M983" s="601"/>
      <c r="N983" s="601"/>
      <c r="O983" s="601"/>
      <c r="P983" s="601"/>
      <c r="Q983" s="601"/>
      <c r="R983" s="601"/>
      <c r="S983" s="601"/>
      <c r="T983" s="601"/>
      <c r="U983" s="601"/>
      <c r="V983" s="601"/>
      <c r="W983" s="601"/>
      <c r="X983" s="601"/>
      <c r="Y983" s="601"/>
    </row>
    <row r="984" ht="15" spans="1:25">
      <c r="A984" s="596" t="s">
        <v>52</v>
      </c>
      <c r="B984" s="596" t="s">
        <v>74</v>
      </c>
      <c r="C984" s="596"/>
      <c r="D984" s="596" t="s">
        <v>53</v>
      </c>
      <c r="E984" s="597"/>
      <c r="F984" s="598">
        <v>1</v>
      </c>
      <c r="G984" s="598"/>
      <c r="H984" s="599">
        <v>626594.56</v>
      </c>
      <c r="I984" s="599">
        <v>626594.56</v>
      </c>
      <c r="J984" s="608">
        <v>0.0254792577766777</v>
      </c>
      <c r="K984" s="613">
        <f t="shared" si="54"/>
        <v>0</v>
      </c>
      <c r="L984" s="610">
        <f>SUM(L985,L989,L995,L999)</f>
        <v>626594.56</v>
      </c>
      <c r="M984" s="601"/>
      <c r="N984" s="601"/>
      <c r="O984" s="601"/>
      <c r="P984" s="601"/>
      <c r="Q984" s="601"/>
      <c r="R984" s="601"/>
      <c r="S984" s="601"/>
      <c r="T984" s="601"/>
      <c r="U984" s="601"/>
      <c r="V984" s="601"/>
      <c r="W984" s="601"/>
      <c r="X984" s="601"/>
      <c r="Y984" s="601"/>
    </row>
    <row r="985" ht="15" spans="1:25">
      <c r="A985" s="596" t="s">
        <v>2721</v>
      </c>
      <c r="B985" s="596" t="s">
        <v>74</v>
      </c>
      <c r="C985" s="596"/>
      <c r="D985" s="596" t="s">
        <v>2722</v>
      </c>
      <c r="E985" s="597"/>
      <c r="F985" s="598">
        <v>1</v>
      </c>
      <c r="G985" s="598"/>
      <c r="H985" s="599">
        <v>300121.11</v>
      </c>
      <c r="I985" s="599">
        <v>300121.11</v>
      </c>
      <c r="J985" s="608">
        <v>0.0122038453795588</v>
      </c>
      <c r="K985" s="613">
        <f t="shared" si="54"/>
        <v>0</v>
      </c>
      <c r="L985" s="610">
        <f>SUM(L986:L988)</f>
        <v>300121.11</v>
      </c>
      <c r="M985" s="601"/>
      <c r="N985" s="601"/>
      <c r="O985" s="601"/>
      <c r="P985" s="601"/>
      <c r="Q985" s="601"/>
      <c r="R985" s="601"/>
      <c r="S985" s="601"/>
      <c r="T985" s="601"/>
      <c r="U985" s="601"/>
      <c r="V985" s="601"/>
      <c r="W985" s="601"/>
      <c r="X985" s="601"/>
      <c r="Y985" s="601"/>
    </row>
    <row r="986" ht="25.5" spans="1:25">
      <c r="A986" s="569" t="s">
        <v>2723</v>
      </c>
      <c r="B986" s="569" t="s">
        <v>2724</v>
      </c>
      <c r="C986" s="569" t="s">
        <v>139</v>
      </c>
      <c r="D986" s="569" t="s">
        <v>2725</v>
      </c>
      <c r="E986" s="577" t="s">
        <v>141</v>
      </c>
      <c r="F986" s="570">
        <v>5590.93</v>
      </c>
      <c r="G986" s="579">
        <v>5.46</v>
      </c>
      <c r="H986" s="600">
        <v>6.85</v>
      </c>
      <c r="I986" s="600">
        <v>38297.87</v>
      </c>
      <c r="J986" s="612">
        <v>0.00155730892720756</v>
      </c>
      <c r="K986" s="613">
        <f t="shared" si="54"/>
        <v>0</v>
      </c>
      <c r="L986" s="610">
        <f>I986-(I986*K986)</f>
        <v>38297.87</v>
      </c>
      <c r="M986" s="601"/>
      <c r="N986" s="601"/>
      <c r="O986" s="601"/>
      <c r="P986" s="601"/>
      <c r="Q986" s="601"/>
      <c r="R986" s="601"/>
      <c r="S986" s="601"/>
      <c r="T986" s="601"/>
      <c r="U986" s="601"/>
      <c r="V986" s="601"/>
      <c r="W986" s="601"/>
      <c r="X986" s="601"/>
      <c r="Y986" s="601"/>
    </row>
    <row r="987" ht="25.5" spans="1:25">
      <c r="A987" s="569" t="s">
        <v>2726</v>
      </c>
      <c r="B987" s="569" t="s">
        <v>2727</v>
      </c>
      <c r="C987" s="569" t="s">
        <v>139</v>
      </c>
      <c r="D987" s="569" t="s">
        <v>2728</v>
      </c>
      <c r="E987" s="577" t="s">
        <v>141</v>
      </c>
      <c r="F987" s="570">
        <v>5590.93</v>
      </c>
      <c r="G987" s="579">
        <v>15.19</v>
      </c>
      <c r="H987" s="600">
        <v>19.06</v>
      </c>
      <c r="I987" s="600">
        <v>106563.12</v>
      </c>
      <c r="J987" s="612">
        <v>0.00433318349263524</v>
      </c>
      <c r="K987" s="613">
        <f t="shared" si="54"/>
        <v>0</v>
      </c>
      <c r="L987" s="610">
        <f>I987-(I987*K987)</f>
        <v>106563.12</v>
      </c>
      <c r="M987" s="601"/>
      <c r="N987" s="601"/>
      <c r="O987" s="601"/>
      <c r="P987" s="601"/>
      <c r="Q987" s="601"/>
      <c r="R987" s="601"/>
      <c r="S987" s="601"/>
      <c r="T987" s="601"/>
      <c r="U987" s="601"/>
      <c r="V987" s="601"/>
      <c r="W987" s="601"/>
      <c r="X987" s="601"/>
      <c r="Y987" s="601"/>
    </row>
    <row r="988" ht="25.5" spans="1:25">
      <c r="A988" s="569" t="s">
        <v>2729</v>
      </c>
      <c r="B988" s="569" t="s">
        <v>2730</v>
      </c>
      <c r="C988" s="569" t="s">
        <v>139</v>
      </c>
      <c r="D988" s="569" t="s">
        <v>2731</v>
      </c>
      <c r="E988" s="577" t="s">
        <v>141</v>
      </c>
      <c r="F988" s="570">
        <v>5590.93</v>
      </c>
      <c r="G988" s="579">
        <v>22.13</v>
      </c>
      <c r="H988" s="600">
        <v>27.77</v>
      </c>
      <c r="I988" s="600">
        <v>155260.12</v>
      </c>
      <c r="J988" s="612">
        <v>0.00631335295971596</v>
      </c>
      <c r="K988" s="613">
        <f t="shared" si="54"/>
        <v>0</v>
      </c>
      <c r="L988" s="610">
        <f>I988-(I988*K988)</f>
        <v>155260.12</v>
      </c>
      <c r="M988" s="601"/>
      <c r="N988" s="601"/>
      <c r="O988" s="601"/>
      <c r="P988" s="601"/>
      <c r="Q988" s="601"/>
      <c r="R988" s="601"/>
      <c r="S988" s="601"/>
      <c r="T988" s="601"/>
      <c r="U988" s="601"/>
      <c r="V988" s="601"/>
      <c r="W988" s="601"/>
      <c r="X988" s="601"/>
      <c r="Y988" s="601"/>
    </row>
    <row r="989" ht="15" spans="1:25">
      <c r="A989" s="596" t="s">
        <v>2732</v>
      </c>
      <c r="B989" s="596" t="s">
        <v>74</v>
      </c>
      <c r="C989" s="596"/>
      <c r="D989" s="596" t="s">
        <v>2733</v>
      </c>
      <c r="E989" s="597"/>
      <c r="F989" s="598">
        <v>1</v>
      </c>
      <c r="G989" s="598"/>
      <c r="H989" s="599">
        <v>30861.16</v>
      </c>
      <c r="I989" s="599">
        <v>30861.16</v>
      </c>
      <c r="J989" s="608">
        <v>0.0012549094759573</v>
      </c>
      <c r="K989" s="613">
        <f t="shared" si="54"/>
        <v>0</v>
      </c>
      <c r="L989" s="610">
        <f>SUM(L990:L994)</f>
        <v>30861.16</v>
      </c>
      <c r="M989" s="601"/>
      <c r="N989" s="601"/>
      <c r="O989" s="601"/>
      <c r="P989" s="601"/>
      <c r="Q989" s="601"/>
      <c r="R989" s="601"/>
      <c r="S989" s="601"/>
      <c r="T989" s="601"/>
      <c r="U989" s="601"/>
      <c r="V989" s="601"/>
      <c r="W989" s="601"/>
      <c r="X989" s="601"/>
      <c r="Y989" s="601"/>
    </row>
    <row r="990" ht="25.5" spans="1:25">
      <c r="A990" s="569" t="s">
        <v>2734</v>
      </c>
      <c r="B990" s="569" t="s">
        <v>2735</v>
      </c>
      <c r="C990" s="569" t="s">
        <v>139</v>
      </c>
      <c r="D990" s="569" t="s">
        <v>2736</v>
      </c>
      <c r="E990" s="577" t="s">
        <v>141</v>
      </c>
      <c r="F990" s="570">
        <v>365</v>
      </c>
      <c r="G990" s="579">
        <v>6.46</v>
      </c>
      <c r="H990" s="600">
        <v>8.1</v>
      </c>
      <c r="I990" s="600">
        <v>2956.5</v>
      </c>
      <c r="J990" s="612">
        <v>0.000120220363254906</v>
      </c>
      <c r="K990" s="613">
        <f t="shared" si="54"/>
        <v>0</v>
      </c>
      <c r="L990" s="610">
        <f>I990-(I990*K990)</f>
        <v>2956.5</v>
      </c>
      <c r="M990" s="601"/>
      <c r="N990" s="601"/>
      <c r="O990" s="601"/>
      <c r="P990" s="601"/>
      <c r="Q990" s="601"/>
      <c r="R990" s="601"/>
      <c r="S990" s="601"/>
      <c r="T990" s="601"/>
      <c r="U990" s="601"/>
      <c r="V990" s="601"/>
      <c r="W990" s="601"/>
      <c r="X990" s="601"/>
      <c r="Y990" s="601"/>
    </row>
    <row r="991" ht="25.5" spans="1:25">
      <c r="A991" s="569" t="s">
        <v>2737</v>
      </c>
      <c r="B991" s="569" t="s">
        <v>2738</v>
      </c>
      <c r="C991" s="569" t="s">
        <v>139</v>
      </c>
      <c r="D991" s="569" t="s">
        <v>2739</v>
      </c>
      <c r="E991" s="577" t="s">
        <v>141</v>
      </c>
      <c r="F991" s="570">
        <v>365</v>
      </c>
      <c r="G991" s="579">
        <v>18.94</v>
      </c>
      <c r="H991" s="600">
        <v>23.76</v>
      </c>
      <c r="I991" s="600">
        <v>8672.4</v>
      </c>
      <c r="J991" s="612">
        <v>0.000352646398881056</v>
      </c>
      <c r="K991" s="613">
        <f t="shared" si="54"/>
        <v>0</v>
      </c>
      <c r="L991" s="610">
        <f>I991-(I991*K991)</f>
        <v>8672.4</v>
      </c>
      <c r="M991" s="601"/>
      <c r="N991" s="601"/>
      <c r="O991" s="601"/>
      <c r="P991" s="601"/>
      <c r="Q991" s="601"/>
      <c r="R991" s="601"/>
      <c r="S991" s="601"/>
      <c r="T991" s="601"/>
      <c r="U991" s="601"/>
      <c r="V991" s="601"/>
      <c r="W991" s="601"/>
      <c r="X991" s="601"/>
      <c r="Y991" s="601"/>
    </row>
    <row r="992" ht="25.5" spans="1:25">
      <c r="A992" s="569" t="s">
        <v>2740</v>
      </c>
      <c r="B992" s="569" t="s">
        <v>2741</v>
      </c>
      <c r="C992" s="569" t="s">
        <v>139</v>
      </c>
      <c r="D992" s="569" t="s">
        <v>2742</v>
      </c>
      <c r="E992" s="577" t="s">
        <v>141</v>
      </c>
      <c r="F992" s="570">
        <v>365</v>
      </c>
      <c r="G992" s="579">
        <v>36.19</v>
      </c>
      <c r="H992" s="600">
        <v>45.41</v>
      </c>
      <c r="I992" s="600">
        <v>16574.65</v>
      </c>
      <c r="J992" s="612">
        <v>0.000673976135235218</v>
      </c>
      <c r="K992" s="613">
        <f t="shared" si="54"/>
        <v>0</v>
      </c>
      <c r="L992" s="610">
        <f>I992-(I992*K992)</f>
        <v>16574.65</v>
      </c>
      <c r="M992" s="601"/>
      <c r="N992" s="601"/>
      <c r="O992" s="601"/>
      <c r="P992" s="601"/>
      <c r="Q992" s="601"/>
      <c r="R992" s="601"/>
      <c r="S992" s="601"/>
      <c r="T992" s="601"/>
      <c r="U992" s="601"/>
      <c r="V992" s="601"/>
      <c r="W992" s="601"/>
      <c r="X992" s="601"/>
      <c r="Y992" s="601"/>
    </row>
    <row r="993" ht="38.25" spans="1:25">
      <c r="A993" s="569" t="s">
        <v>2743</v>
      </c>
      <c r="B993" s="569" t="s">
        <v>594</v>
      </c>
      <c r="C993" s="569" t="s">
        <v>139</v>
      </c>
      <c r="D993" s="569" t="s">
        <v>595</v>
      </c>
      <c r="E993" s="577" t="s">
        <v>141</v>
      </c>
      <c r="F993" s="570">
        <v>27</v>
      </c>
      <c r="G993" s="579">
        <v>14.31</v>
      </c>
      <c r="H993" s="600">
        <v>17.95</v>
      </c>
      <c r="I993" s="600">
        <v>484.65</v>
      </c>
      <c r="J993" s="612">
        <v>1.97073563509183e-5</v>
      </c>
      <c r="K993" s="613">
        <f t="shared" si="54"/>
        <v>0</v>
      </c>
      <c r="L993" s="610">
        <f>I993-(I993*K993)</f>
        <v>484.65</v>
      </c>
      <c r="M993" s="601"/>
      <c r="N993" s="601"/>
      <c r="O993" s="601"/>
      <c r="P993" s="601"/>
      <c r="Q993" s="601"/>
      <c r="R993" s="601"/>
      <c r="S993" s="601"/>
      <c r="T993" s="601"/>
      <c r="U993" s="601"/>
      <c r="V993" s="601"/>
      <c r="W993" s="601"/>
      <c r="X993" s="601"/>
      <c r="Y993" s="601"/>
    </row>
    <row r="994" ht="38.25" spans="1:25">
      <c r="A994" s="569" t="s">
        <v>2744</v>
      </c>
      <c r="B994" s="569" t="s">
        <v>2745</v>
      </c>
      <c r="C994" s="569" t="s">
        <v>139</v>
      </c>
      <c r="D994" s="569" t="s">
        <v>2746</v>
      </c>
      <c r="E994" s="577" t="s">
        <v>141</v>
      </c>
      <c r="F994" s="570">
        <v>27</v>
      </c>
      <c r="G994" s="579">
        <v>64.14</v>
      </c>
      <c r="H994" s="600">
        <v>80.48</v>
      </c>
      <c r="I994" s="600">
        <v>2172.96</v>
      </c>
      <c r="J994" s="612">
        <v>8.83592222352037e-5</v>
      </c>
      <c r="K994" s="613">
        <f t="shared" si="54"/>
        <v>0</v>
      </c>
      <c r="L994" s="610">
        <f>I994-(I994*K994)</f>
        <v>2172.96</v>
      </c>
      <c r="M994" s="601"/>
      <c r="N994" s="601"/>
      <c r="O994" s="601"/>
      <c r="P994" s="601"/>
      <c r="Q994" s="601"/>
      <c r="R994" s="601"/>
      <c r="S994" s="601"/>
      <c r="T994" s="601"/>
      <c r="U994" s="601"/>
      <c r="V994" s="601"/>
      <c r="W994" s="601"/>
      <c r="X994" s="601"/>
      <c r="Y994" s="601"/>
    </row>
    <row r="995" ht="15" spans="1:25">
      <c r="A995" s="596" t="s">
        <v>2747</v>
      </c>
      <c r="B995" s="596" t="s">
        <v>74</v>
      </c>
      <c r="C995" s="596"/>
      <c r="D995" s="596" t="s">
        <v>2748</v>
      </c>
      <c r="E995" s="597"/>
      <c r="F995" s="598">
        <v>1</v>
      </c>
      <c r="G995" s="598"/>
      <c r="H995" s="599">
        <v>289535.03</v>
      </c>
      <c r="I995" s="599">
        <v>289535.03</v>
      </c>
      <c r="J995" s="608">
        <v>0.0117733828789515</v>
      </c>
      <c r="K995" s="613">
        <f t="shared" si="54"/>
        <v>0</v>
      </c>
      <c r="L995" s="610">
        <f>SUM(L996:L998)</f>
        <v>289535.03</v>
      </c>
      <c r="M995" s="601"/>
      <c r="N995" s="601"/>
      <c r="O995" s="601"/>
      <c r="P995" s="601"/>
      <c r="Q995" s="601"/>
      <c r="R995" s="601"/>
      <c r="S995" s="601"/>
      <c r="T995" s="601"/>
      <c r="U995" s="601"/>
      <c r="V995" s="601"/>
      <c r="W995" s="601"/>
      <c r="X995" s="601"/>
      <c r="Y995" s="601"/>
    </row>
    <row r="996" ht="25.5" spans="1:25">
      <c r="A996" s="569" t="s">
        <v>2749</v>
      </c>
      <c r="B996" s="569" t="s">
        <v>2750</v>
      </c>
      <c r="C996" s="569" t="s">
        <v>139</v>
      </c>
      <c r="D996" s="569" t="s">
        <v>2751</v>
      </c>
      <c r="E996" s="577" t="s">
        <v>141</v>
      </c>
      <c r="F996" s="570">
        <v>3536.09</v>
      </c>
      <c r="G996" s="579">
        <v>6.71</v>
      </c>
      <c r="H996" s="600">
        <v>8.42</v>
      </c>
      <c r="I996" s="600">
        <v>29773.87</v>
      </c>
      <c r="J996" s="612">
        <v>0.00121069692775388</v>
      </c>
      <c r="K996" s="613">
        <f t="shared" si="54"/>
        <v>0</v>
      </c>
      <c r="L996" s="610">
        <f>I996-(I996*K996)</f>
        <v>29773.87</v>
      </c>
      <c r="M996" s="601"/>
      <c r="N996" s="601"/>
      <c r="O996" s="601"/>
      <c r="P996" s="601"/>
      <c r="Q996" s="601"/>
      <c r="R996" s="601"/>
      <c r="S996" s="601"/>
      <c r="T996" s="601"/>
      <c r="U996" s="601"/>
      <c r="V996" s="601"/>
      <c r="W996" s="601"/>
      <c r="X996" s="601"/>
      <c r="Y996" s="601"/>
    </row>
    <row r="997" ht="25.5" spans="1:25">
      <c r="A997" s="569" t="s">
        <v>2752</v>
      </c>
      <c r="B997" s="569" t="s">
        <v>2753</v>
      </c>
      <c r="C997" s="569" t="s">
        <v>139</v>
      </c>
      <c r="D997" s="569" t="s">
        <v>2754</v>
      </c>
      <c r="E997" s="577" t="s">
        <v>141</v>
      </c>
      <c r="F997" s="570">
        <v>3536.09</v>
      </c>
      <c r="G997" s="579">
        <v>18.24</v>
      </c>
      <c r="H997" s="600">
        <v>22.88</v>
      </c>
      <c r="I997" s="600">
        <v>80905.73</v>
      </c>
      <c r="J997" s="612">
        <v>0.00328987527481932</v>
      </c>
      <c r="K997" s="613">
        <f t="shared" si="54"/>
        <v>0</v>
      </c>
      <c r="L997" s="610">
        <f>I997-(I997*K997)</f>
        <v>80905.73</v>
      </c>
      <c r="M997" s="601"/>
      <c r="N997" s="601"/>
      <c r="O997" s="601"/>
      <c r="P997" s="601"/>
      <c r="Q997" s="601"/>
      <c r="R997" s="601"/>
      <c r="S997" s="601"/>
      <c r="T997" s="601"/>
      <c r="U997" s="601"/>
      <c r="V997" s="601"/>
      <c r="W997" s="601"/>
      <c r="X997" s="601"/>
      <c r="Y997" s="601"/>
    </row>
    <row r="998" ht="25.5" spans="1:25">
      <c r="A998" s="569" t="s">
        <v>2755</v>
      </c>
      <c r="B998" s="569" t="s">
        <v>2756</v>
      </c>
      <c r="C998" s="569" t="s">
        <v>139</v>
      </c>
      <c r="D998" s="569" t="s">
        <v>2757</v>
      </c>
      <c r="E998" s="577" t="s">
        <v>141</v>
      </c>
      <c r="F998" s="570">
        <v>3536.09</v>
      </c>
      <c r="G998" s="579">
        <v>40.31</v>
      </c>
      <c r="H998" s="600">
        <v>50.58</v>
      </c>
      <c r="I998" s="600">
        <v>178855.43</v>
      </c>
      <c r="J998" s="612">
        <v>0.00727281067637827</v>
      </c>
      <c r="K998" s="613">
        <f t="shared" si="54"/>
        <v>0</v>
      </c>
      <c r="L998" s="610">
        <f>I998-(I998*K998)</f>
        <v>178855.43</v>
      </c>
      <c r="M998" s="601"/>
      <c r="N998" s="601"/>
      <c r="O998" s="601"/>
      <c r="P998" s="601"/>
      <c r="Q998" s="601"/>
      <c r="R998" s="601"/>
      <c r="S998" s="601"/>
      <c r="T998" s="601"/>
      <c r="U998" s="601"/>
      <c r="V998" s="601"/>
      <c r="W998" s="601"/>
      <c r="X998" s="601"/>
      <c r="Y998" s="601"/>
    </row>
    <row r="999" ht="15" spans="1:25">
      <c r="A999" s="596" t="s">
        <v>2758</v>
      </c>
      <c r="B999" s="596" t="s">
        <v>74</v>
      </c>
      <c r="C999" s="596"/>
      <c r="D999" s="596" t="s">
        <v>2759</v>
      </c>
      <c r="E999" s="597"/>
      <c r="F999" s="598">
        <v>1</v>
      </c>
      <c r="G999" s="598"/>
      <c r="H999" s="599">
        <v>6077.26</v>
      </c>
      <c r="I999" s="599">
        <v>6077.26</v>
      </c>
      <c r="J999" s="608">
        <v>0.000247120042210217</v>
      </c>
      <c r="K999" s="613">
        <f t="shared" si="54"/>
        <v>0</v>
      </c>
      <c r="L999" s="610">
        <f>SUM(L1000:L1001)</f>
        <v>6077.26</v>
      </c>
      <c r="M999" s="601"/>
      <c r="N999" s="601"/>
      <c r="O999" s="601"/>
      <c r="P999" s="601"/>
      <c r="Q999" s="601"/>
      <c r="R999" s="601"/>
      <c r="S999" s="601"/>
      <c r="T999" s="601"/>
      <c r="U999" s="601"/>
      <c r="V999" s="601"/>
      <c r="W999" s="601"/>
      <c r="X999" s="601"/>
      <c r="Y999" s="601"/>
    </row>
    <row r="1000" ht="15" spans="1:25">
      <c r="A1000" s="569" t="s">
        <v>2760</v>
      </c>
      <c r="B1000" s="569" t="s">
        <v>2761</v>
      </c>
      <c r="C1000" s="569" t="s">
        <v>149</v>
      </c>
      <c r="D1000" s="569" t="s">
        <v>2762</v>
      </c>
      <c r="E1000" s="577" t="s">
        <v>141</v>
      </c>
      <c r="F1000" s="570">
        <v>35.66</v>
      </c>
      <c r="G1000" s="579">
        <v>23.69</v>
      </c>
      <c r="H1000" s="600">
        <v>29.72</v>
      </c>
      <c r="I1000" s="600">
        <v>1059.81</v>
      </c>
      <c r="J1000" s="612">
        <v>4.30951270695693e-5</v>
      </c>
      <c r="K1000" s="613">
        <f t="shared" si="54"/>
        <v>0</v>
      </c>
      <c r="L1000" s="610">
        <f>I1000-(I1000*K1000)</f>
        <v>1059.81</v>
      </c>
      <c r="M1000" s="601"/>
      <c r="N1000" s="601"/>
      <c r="O1000" s="601"/>
      <c r="P1000" s="601"/>
      <c r="Q1000" s="601"/>
      <c r="R1000" s="601"/>
      <c r="S1000" s="601"/>
      <c r="T1000" s="601"/>
      <c r="U1000" s="601"/>
      <c r="V1000" s="601"/>
      <c r="W1000" s="601"/>
      <c r="X1000" s="601"/>
      <c r="Y1000" s="601"/>
    </row>
    <row r="1001" ht="25.5" spans="1:25">
      <c r="A1001" s="569" t="s">
        <v>2763</v>
      </c>
      <c r="B1001" s="569" t="s">
        <v>2764</v>
      </c>
      <c r="C1001" s="569" t="s">
        <v>139</v>
      </c>
      <c r="D1001" s="569" t="s">
        <v>2765</v>
      </c>
      <c r="E1001" s="577" t="s">
        <v>141</v>
      </c>
      <c r="F1001" s="570">
        <v>47.84</v>
      </c>
      <c r="G1001" s="579">
        <v>83.58</v>
      </c>
      <c r="H1001" s="600">
        <v>104.88</v>
      </c>
      <c r="I1001" s="600">
        <v>5017.45</v>
      </c>
      <c r="J1001" s="612">
        <v>0.000204024915140648</v>
      </c>
      <c r="K1001" s="613">
        <f t="shared" si="54"/>
        <v>0</v>
      </c>
      <c r="L1001" s="610">
        <f>I1001-(I1001*K1001)</f>
        <v>5017.45</v>
      </c>
      <c r="M1001" s="601"/>
      <c r="N1001" s="601"/>
      <c r="O1001" s="601"/>
      <c r="P1001" s="601"/>
      <c r="Q1001" s="601"/>
      <c r="R1001" s="601"/>
      <c r="S1001" s="601"/>
      <c r="T1001" s="601"/>
      <c r="U1001" s="601"/>
      <c r="V1001" s="601"/>
      <c r="W1001" s="601"/>
      <c r="X1001" s="601"/>
      <c r="Y1001" s="601"/>
    </row>
    <row r="1002" ht="15" spans="1:25">
      <c r="A1002" s="596" t="s">
        <v>54</v>
      </c>
      <c r="B1002" s="596" t="s">
        <v>74</v>
      </c>
      <c r="C1002" s="596"/>
      <c r="D1002" s="596" t="s">
        <v>55</v>
      </c>
      <c r="E1002" s="597"/>
      <c r="F1002" s="598">
        <v>1</v>
      </c>
      <c r="G1002" s="598"/>
      <c r="H1002" s="599">
        <v>472531.35</v>
      </c>
      <c r="I1002" s="599">
        <v>472531.35</v>
      </c>
      <c r="J1002" s="608">
        <v>0.01921457485078</v>
      </c>
      <c r="K1002" s="613">
        <f t="shared" si="54"/>
        <v>0</v>
      </c>
      <c r="L1002" s="610">
        <f>SUM(L1003:L1004)</f>
        <v>472531.35</v>
      </c>
      <c r="M1002" s="601"/>
      <c r="N1002" s="601"/>
      <c r="O1002" s="601"/>
      <c r="P1002" s="601"/>
      <c r="Q1002" s="601"/>
      <c r="R1002" s="601"/>
      <c r="S1002" s="601"/>
      <c r="T1002" s="601"/>
      <c r="U1002" s="601"/>
      <c r="V1002" s="601"/>
      <c r="W1002" s="601"/>
      <c r="X1002" s="601"/>
      <c r="Y1002" s="601"/>
    </row>
    <row r="1003" ht="51" spans="1:25">
      <c r="A1003" s="569" t="s">
        <v>2766</v>
      </c>
      <c r="B1003" s="569" t="s">
        <v>2767</v>
      </c>
      <c r="C1003" s="569" t="s">
        <v>77</v>
      </c>
      <c r="D1003" s="569" t="s">
        <v>2768</v>
      </c>
      <c r="E1003" s="577" t="s">
        <v>134</v>
      </c>
      <c r="F1003" s="570">
        <v>8</v>
      </c>
      <c r="G1003" s="579">
        <v>890.23</v>
      </c>
      <c r="H1003" s="600">
        <v>1117.14</v>
      </c>
      <c r="I1003" s="600">
        <v>8937.12</v>
      </c>
      <c r="J1003" s="612">
        <v>0.000363410726484925</v>
      </c>
      <c r="K1003" s="613">
        <f t="shared" si="54"/>
        <v>0</v>
      </c>
      <c r="L1003" s="610">
        <f>I1003-(I1003*K1003)</f>
        <v>8937.12</v>
      </c>
      <c r="M1003" s="601"/>
      <c r="N1003" s="601"/>
      <c r="O1003" s="601"/>
      <c r="P1003" s="601"/>
      <c r="Q1003" s="601"/>
      <c r="R1003" s="601"/>
      <c r="S1003" s="601"/>
      <c r="T1003" s="601"/>
      <c r="U1003" s="601"/>
      <c r="V1003" s="601"/>
      <c r="W1003" s="601"/>
      <c r="X1003" s="601"/>
      <c r="Y1003" s="601"/>
    </row>
    <row r="1004" ht="76.5" spans="1:25">
      <c r="A1004" s="569" t="s">
        <v>2769</v>
      </c>
      <c r="B1004" s="569" t="s">
        <v>2770</v>
      </c>
      <c r="C1004" s="569" t="s">
        <v>132</v>
      </c>
      <c r="D1004" s="569" t="s">
        <v>2771</v>
      </c>
      <c r="E1004" s="577" t="s">
        <v>134</v>
      </c>
      <c r="F1004" s="570">
        <v>1</v>
      </c>
      <c r="G1004" s="579">
        <v>399237.2</v>
      </c>
      <c r="H1004" s="600" t="s">
        <v>2772</v>
      </c>
      <c r="I1004" s="600">
        <v>463594.23</v>
      </c>
      <c r="J1004" s="612">
        <v>0.018851164124295</v>
      </c>
      <c r="K1004" s="613">
        <f t="shared" si="54"/>
        <v>0</v>
      </c>
      <c r="L1004" s="610">
        <f>I1004-(I1004*K1004)</f>
        <v>463594.23</v>
      </c>
      <c r="M1004" s="601"/>
      <c r="N1004" s="601"/>
      <c r="O1004" s="601"/>
      <c r="P1004" s="601"/>
      <c r="Q1004" s="601"/>
      <c r="R1004" s="601"/>
      <c r="S1004" s="601"/>
      <c r="T1004" s="601"/>
      <c r="U1004" s="601"/>
      <c r="V1004" s="601"/>
      <c r="W1004" s="601"/>
      <c r="X1004" s="601"/>
      <c r="Y1004" s="601"/>
    </row>
    <row r="1005" ht="15" spans="1:25">
      <c r="A1005" s="596" t="s">
        <v>56</v>
      </c>
      <c r="B1005" s="596" t="s">
        <v>74</v>
      </c>
      <c r="C1005" s="596"/>
      <c r="D1005" s="596" t="s">
        <v>57</v>
      </c>
      <c r="E1005" s="597"/>
      <c r="F1005" s="598">
        <v>1</v>
      </c>
      <c r="G1005" s="598"/>
      <c r="H1005" s="599">
        <v>951031.27</v>
      </c>
      <c r="I1005" s="599">
        <v>951031.27</v>
      </c>
      <c r="J1005" s="608">
        <v>0.0386718500748095</v>
      </c>
      <c r="K1005" s="613">
        <f t="shared" si="54"/>
        <v>0</v>
      </c>
      <c r="L1005" s="610">
        <f>SUM(L1006:L1011)</f>
        <v>951031.27</v>
      </c>
      <c r="M1005" s="601"/>
      <c r="N1005" s="601"/>
      <c r="O1005" s="601"/>
      <c r="P1005" s="601"/>
      <c r="Q1005" s="601"/>
      <c r="R1005" s="601"/>
      <c r="S1005" s="601"/>
      <c r="T1005" s="601"/>
      <c r="U1005" s="601"/>
      <c r="V1005" s="601"/>
      <c r="W1005" s="601"/>
      <c r="X1005" s="601"/>
      <c r="Y1005" s="601"/>
    </row>
    <row r="1006" ht="25.5" spans="1:25">
      <c r="A1006" s="569" t="s">
        <v>2773</v>
      </c>
      <c r="B1006" s="569" t="s">
        <v>2774</v>
      </c>
      <c r="C1006" s="569" t="s">
        <v>139</v>
      </c>
      <c r="D1006" s="569" t="s">
        <v>2775</v>
      </c>
      <c r="E1006" s="577" t="s">
        <v>141</v>
      </c>
      <c r="F1006" s="570">
        <v>1529.63</v>
      </c>
      <c r="G1006" s="579">
        <v>73.05</v>
      </c>
      <c r="H1006" s="600">
        <v>91.67</v>
      </c>
      <c r="I1006" s="600">
        <v>140221.18</v>
      </c>
      <c r="J1006" s="612">
        <v>0.0057018235060482</v>
      </c>
      <c r="K1006" s="613">
        <f t="shared" si="54"/>
        <v>0</v>
      </c>
      <c r="L1006" s="610">
        <f t="shared" ref="L1006:L1011" si="56">I1006-(I1006*K1006)</f>
        <v>140221.18</v>
      </c>
      <c r="M1006" s="601"/>
      <c r="N1006" s="601"/>
      <c r="O1006" s="601"/>
      <c r="P1006" s="601"/>
      <c r="Q1006" s="601"/>
      <c r="R1006" s="601"/>
      <c r="S1006" s="601"/>
      <c r="T1006" s="601"/>
      <c r="U1006" s="601"/>
      <c r="V1006" s="601"/>
      <c r="W1006" s="601"/>
      <c r="X1006" s="601"/>
      <c r="Y1006" s="601"/>
    </row>
    <row r="1007" ht="38.25" spans="1:25">
      <c r="A1007" s="569" t="s">
        <v>2776</v>
      </c>
      <c r="B1007" s="569" t="s">
        <v>2777</v>
      </c>
      <c r="C1007" s="569" t="s">
        <v>77</v>
      </c>
      <c r="D1007" s="569" t="s">
        <v>2778</v>
      </c>
      <c r="E1007" s="577" t="s">
        <v>141</v>
      </c>
      <c r="F1007" s="570">
        <v>670.74</v>
      </c>
      <c r="G1007" s="579">
        <v>442.66</v>
      </c>
      <c r="H1007" s="600">
        <v>555.49</v>
      </c>
      <c r="I1007" s="600">
        <v>372589.36</v>
      </c>
      <c r="J1007" s="612">
        <v>0.0151506268236471</v>
      </c>
      <c r="K1007" s="613">
        <f t="shared" si="54"/>
        <v>0</v>
      </c>
      <c r="L1007" s="610">
        <f t="shared" si="56"/>
        <v>372589.36</v>
      </c>
      <c r="M1007" s="601"/>
      <c r="N1007" s="601"/>
      <c r="O1007" s="601"/>
      <c r="P1007" s="601"/>
      <c r="Q1007" s="601"/>
      <c r="R1007" s="601"/>
      <c r="S1007" s="601"/>
      <c r="T1007" s="601"/>
      <c r="U1007" s="601"/>
      <c r="V1007" s="601"/>
      <c r="W1007" s="601"/>
      <c r="X1007" s="601"/>
      <c r="Y1007" s="601"/>
    </row>
    <row r="1008" ht="38.25" spans="1:25">
      <c r="A1008" s="569" t="s">
        <v>2779</v>
      </c>
      <c r="B1008" s="569" t="s">
        <v>2780</v>
      </c>
      <c r="C1008" s="569" t="s">
        <v>132</v>
      </c>
      <c r="D1008" s="569" t="s">
        <v>2781</v>
      </c>
      <c r="E1008" s="577" t="s">
        <v>141</v>
      </c>
      <c r="F1008" s="570">
        <v>1064.17</v>
      </c>
      <c r="G1008" s="579">
        <v>203.32</v>
      </c>
      <c r="H1008" s="600">
        <v>255.14</v>
      </c>
      <c r="I1008" s="600">
        <v>271512.33</v>
      </c>
      <c r="J1008" s="612">
        <v>0.0110405245867701</v>
      </c>
      <c r="K1008" s="613">
        <f t="shared" si="54"/>
        <v>0</v>
      </c>
      <c r="L1008" s="610">
        <f t="shared" si="56"/>
        <v>271512.33</v>
      </c>
      <c r="M1008" s="601"/>
      <c r="N1008" s="601"/>
      <c r="O1008" s="601"/>
      <c r="P1008" s="601"/>
      <c r="Q1008" s="601"/>
      <c r="R1008" s="601"/>
      <c r="S1008" s="601"/>
      <c r="T1008" s="601"/>
      <c r="U1008" s="601"/>
      <c r="V1008" s="601"/>
      <c r="W1008" s="601"/>
      <c r="X1008" s="601"/>
      <c r="Y1008" s="601"/>
    </row>
    <row r="1009" ht="38.25" spans="1:25">
      <c r="A1009" s="569" t="s">
        <v>2782</v>
      </c>
      <c r="B1009" s="569" t="s">
        <v>2783</v>
      </c>
      <c r="C1009" s="569" t="s">
        <v>132</v>
      </c>
      <c r="D1009" s="569" t="s">
        <v>2784</v>
      </c>
      <c r="E1009" s="577" t="s">
        <v>141</v>
      </c>
      <c r="F1009" s="570">
        <v>335.14</v>
      </c>
      <c r="G1009" s="579">
        <v>316.62</v>
      </c>
      <c r="H1009" s="600">
        <v>397.32</v>
      </c>
      <c r="I1009" s="600">
        <v>133157.82</v>
      </c>
      <c r="J1009" s="612">
        <v>0.00541460561157833</v>
      </c>
      <c r="K1009" s="613">
        <f t="shared" si="54"/>
        <v>0</v>
      </c>
      <c r="L1009" s="610">
        <f t="shared" si="56"/>
        <v>133157.82</v>
      </c>
      <c r="M1009" s="601"/>
      <c r="N1009" s="601"/>
      <c r="O1009" s="601"/>
      <c r="P1009" s="601"/>
      <c r="Q1009" s="601"/>
      <c r="R1009" s="601"/>
      <c r="S1009" s="601"/>
      <c r="T1009" s="601"/>
      <c r="U1009" s="601"/>
      <c r="V1009" s="601"/>
      <c r="W1009" s="601"/>
      <c r="X1009" s="601"/>
      <c r="Y1009" s="601"/>
    </row>
    <row r="1010" ht="25.5" spans="1:25">
      <c r="A1010" s="569" t="s">
        <v>2785</v>
      </c>
      <c r="B1010" s="569" t="s">
        <v>2786</v>
      </c>
      <c r="C1010" s="569" t="s">
        <v>132</v>
      </c>
      <c r="D1010" s="569" t="s">
        <v>2787</v>
      </c>
      <c r="E1010" s="577" t="s">
        <v>141</v>
      </c>
      <c r="F1010" s="570">
        <v>70.72</v>
      </c>
      <c r="G1010" s="579">
        <v>34.53</v>
      </c>
      <c r="H1010" s="600">
        <v>43.33</v>
      </c>
      <c r="I1010" s="600">
        <v>3064.29</v>
      </c>
      <c r="J1010" s="612">
        <v>0.000124603435453534</v>
      </c>
      <c r="K1010" s="613">
        <f t="shared" si="54"/>
        <v>0</v>
      </c>
      <c r="L1010" s="610">
        <f t="shared" si="56"/>
        <v>3064.29</v>
      </c>
      <c r="M1010" s="601"/>
      <c r="N1010" s="601"/>
      <c r="O1010" s="601"/>
      <c r="P1010" s="601"/>
      <c r="Q1010" s="601"/>
      <c r="R1010" s="601"/>
      <c r="S1010" s="601"/>
      <c r="T1010" s="601"/>
      <c r="U1010" s="601"/>
      <c r="V1010" s="601"/>
      <c r="W1010" s="601"/>
      <c r="X1010" s="601"/>
      <c r="Y1010" s="601"/>
    </row>
    <row r="1011" ht="25.5" spans="1:25">
      <c r="A1011" s="569" t="s">
        <v>2788</v>
      </c>
      <c r="B1011" s="569" t="s">
        <v>2789</v>
      </c>
      <c r="C1011" s="569" t="s">
        <v>139</v>
      </c>
      <c r="D1011" s="569" t="s">
        <v>2790</v>
      </c>
      <c r="E1011" s="577" t="s">
        <v>141</v>
      </c>
      <c r="F1011" s="570">
        <v>428.66</v>
      </c>
      <c r="G1011" s="579">
        <v>56.68</v>
      </c>
      <c r="H1011" s="600">
        <v>71.12</v>
      </c>
      <c r="I1011" s="600">
        <v>30486.29</v>
      </c>
      <c r="J1011" s="612">
        <v>0.00123966611131216</v>
      </c>
      <c r="K1011" s="613">
        <f t="shared" si="54"/>
        <v>0</v>
      </c>
      <c r="L1011" s="610">
        <f t="shared" si="56"/>
        <v>30486.29</v>
      </c>
      <c r="M1011" s="601"/>
      <c r="N1011" s="601"/>
      <c r="O1011" s="601"/>
      <c r="P1011" s="601"/>
      <c r="Q1011" s="601"/>
      <c r="R1011" s="601"/>
      <c r="S1011" s="601"/>
      <c r="T1011" s="601"/>
      <c r="U1011" s="601"/>
      <c r="V1011" s="601"/>
      <c r="W1011" s="601"/>
      <c r="X1011" s="601"/>
      <c r="Y1011" s="601"/>
    </row>
    <row r="1012" ht="15" spans="1:25">
      <c r="A1012" s="596" t="s">
        <v>58</v>
      </c>
      <c r="B1012" s="596" t="s">
        <v>74</v>
      </c>
      <c r="C1012" s="596"/>
      <c r="D1012" s="596" t="s">
        <v>59</v>
      </c>
      <c r="E1012" s="597"/>
      <c r="F1012" s="598">
        <v>1</v>
      </c>
      <c r="G1012" s="598"/>
      <c r="H1012" s="599">
        <v>169272</v>
      </c>
      <c r="I1012" s="599">
        <v>169272</v>
      </c>
      <c r="J1012" s="608">
        <v>0.0068831190018212</v>
      </c>
      <c r="K1012" s="613">
        <f t="shared" si="54"/>
        <v>0</v>
      </c>
      <c r="L1012" s="610">
        <f>SUM(L1013,L1015,L1018,L1036,L1043)</f>
        <v>169272</v>
      </c>
      <c r="M1012" s="601"/>
      <c r="N1012" s="601"/>
      <c r="O1012" s="601"/>
      <c r="P1012" s="601"/>
      <c r="Q1012" s="601"/>
      <c r="R1012" s="601"/>
      <c r="S1012" s="601"/>
      <c r="T1012" s="601"/>
      <c r="U1012" s="601"/>
      <c r="V1012" s="601"/>
      <c r="W1012" s="601"/>
      <c r="X1012" s="601"/>
      <c r="Y1012" s="601"/>
    </row>
    <row r="1013" ht="15" spans="1:25">
      <c r="A1013" s="596" t="s">
        <v>2791</v>
      </c>
      <c r="B1013" s="596" t="s">
        <v>74</v>
      </c>
      <c r="C1013" s="596"/>
      <c r="D1013" s="596" t="s">
        <v>2792</v>
      </c>
      <c r="E1013" s="597"/>
      <c r="F1013" s="598">
        <v>1</v>
      </c>
      <c r="G1013" s="598"/>
      <c r="H1013" s="599">
        <v>43590.72</v>
      </c>
      <c r="I1013" s="599">
        <v>43590.72</v>
      </c>
      <c r="J1013" s="608">
        <v>0.00177253245152812</v>
      </c>
      <c r="K1013" s="613">
        <f t="shared" si="54"/>
        <v>0</v>
      </c>
      <c r="L1013" s="610">
        <f>SUM(L1014)</f>
        <v>43590.72</v>
      </c>
      <c r="M1013" s="601"/>
      <c r="N1013" s="601"/>
      <c r="O1013" s="601"/>
      <c r="P1013" s="601"/>
      <c r="Q1013" s="601"/>
      <c r="R1013" s="601"/>
      <c r="S1013" s="601"/>
      <c r="T1013" s="601"/>
      <c r="U1013" s="601"/>
      <c r="V1013" s="601"/>
      <c r="W1013" s="601"/>
      <c r="X1013" s="601"/>
      <c r="Y1013" s="601"/>
    </row>
    <row r="1014" ht="51" spans="1:25">
      <c r="A1014" s="569" t="s">
        <v>2793</v>
      </c>
      <c r="B1014" s="569" t="s">
        <v>2794</v>
      </c>
      <c r="C1014" s="569" t="s">
        <v>77</v>
      </c>
      <c r="D1014" s="569" t="s">
        <v>2795</v>
      </c>
      <c r="E1014" s="577" t="s">
        <v>134</v>
      </c>
      <c r="F1014" s="570">
        <v>96</v>
      </c>
      <c r="G1014" s="579">
        <v>361.84</v>
      </c>
      <c r="H1014" s="600">
        <v>454.07</v>
      </c>
      <c r="I1014" s="600">
        <v>43590.72</v>
      </c>
      <c r="J1014" s="612">
        <v>0.00177253245152812</v>
      </c>
      <c r="K1014" s="613">
        <f t="shared" si="54"/>
        <v>0</v>
      </c>
      <c r="L1014" s="610">
        <f>I1014-(I1014*K1014)</f>
        <v>43590.72</v>
      </c>
      <c r="M1014" s="601"/>
      <c r="N1014" s="601"/>
      <c r="O1014" s="601"/>
      <c r="P1014" s="601"/>
      <c r="Q1014" s="601"/>
      <c r="R1014" s="601"/>
      <c r="S1014" s="601"/>
      <c r="T1014" s="601"/>
      <c r="U1014" s="601"/>
      <c r="V1014" s="601"/>
      <c r="W1014" s="601"/>
      <c r="X1014" s="601"/>
      <c r="Y1014" s="601"/>
    </row>
    <row r="1015" ht="15" spans="1:25">
      <c r="A1015" s="596" t="s">
        <v>2796</v>
      </c>
      <c r="B1015" s="596" t="s">
        <v>74</v>
      </c>
      <c r="C1015" s="596"/>
      <c r="D1015" s="596" t="s">
        <v>2797</v>
      </c>
      <c r="E1015" s="597"/>
      <c r="F1015" s="598">
        <v>1</v>
      </c>
      <c r="G1015" s="598"/>
      <c r="H1015" s="599">
        <v>752.94</v>
      </c>
      <c r="I1015" s="599">
        <v>752.94</v>
      </c>
      <c r="J1015" s="608">
        <v>3.06168511108231e-5</v>
      </c>
      <c r="K1015" s="613">
        <f t="shared" si="54"/>
        <v>0</v>
      </c>
      <c r="L1015" s="610">
        <f>SUM(L1016:L1017)</f>
        <v>752.94</v>
      </c>
      <c r="M1015" s="601"/>
      <c r="N1015" s="601"/>
      <c r="O1015" s="601"/>
      <c r="P1015" s="601"/>
      <c r="Q1015" s="601"/>
      <c r="R1015" s="601"/>
      <c r="S1015" s="601"/>
      <c r="T1015" s="601"/>
      <c r="U1015" s="601"/>
      <c r="V1015" s="601"/>
      <c r="W1015" s="601"/>
      <c r="X1015" s="601"/>
      <c r="Y1015" s="601"/>
    </row>
    <row r="1016" ht="25.5" spans="1:25">
      <c r="A1016" s="569" t="s">
        <v>2798</v>
      </c>
      <c r="B1016" s="569" t="s">
        <v>2799</v>
      </c>
      <c r="C1016" s="569" t="s">
        <v>132</v>
      </c>
      <c r="D1016" s="569" t="s">
        <v>2800</v>
      </c>
      <c r="E1016" s="577" t="s">
        <v>134</v>
      </c>
      <c r="F1016" s="570">
        <v>1</v>
      </c>
      <c r="G1016" s="579">
        <v>300</v>
      </c>
      <c r="H1016" s="600">
        <v>376.47</v>
      </c>
      <c r="I1016" s="600">
        <v>376.47</v>
      </c>
      <c r="J1016" s="612">
        <v>1.53084255554116e-5</v>
      </c>
      <c r="K1016" s="613">
        <f t="shared" si="54"/>
        <v>0</v>
      </c>
      <c r="L1016" s="610">
        <f>I1016-(I1016*K1016)</f>
        <v>376.47</v>
      </c>
      <c r="M1016" s="601"/>
      <c r="N1016" s="601"/>
      <c r="O1016" s="601"/>
      <c r="P1016" s="601"/>
      <c r="Q1016" s="601"/>
      <c r="R1016" s="601"/>
      <c r="S1016" s="601"/>
      <c r="T1016" s="601"/>
      <c r="U1016" s="601"/>
      <c r="V1016" s="601"/>
      <c r="W1016" s="601"/>
      <c r="X1016" s="601"/>
      <c r="Y1016" s="601"/>
    </row>
    <row r="1017" ht="15" spans="1:25">
      <c r="A1017" s="569" t="s">
        <v>2801</v>
      </c>
      <c r="B1017" s="569" t="s">
        <v>2802</v>
      </c>
      <c r="C1017" s="569" t="s">
        <v>149</v>
      </c>
      <c r="D1017" s="569" t="s">
        <v>2803</v>
      </c>
      <c r="E1017" s="577" t="s">
        <v>134</v>
      </c>
      <c r="F1017" s="570">
        <v>1</v>
      </c>
      <c r="G1017" s="579">
        <v>300</v>
      </c>
      <c r="H1017" s="600">
        <v>376.47</v>
      </c>
      <c r="I1017" s="600">
        <v>376.47</v>
      </c>
      <c r="J1017" s="612">
        <v>1.53084255554116e-5</v>
      </c>
      <c r="K1017" s="613">
        <f t="shared" si="54"/>
        <v>0</v>
      </c>
      <c r="L1017" s="610">
        <f>I1017-(I1017*K1017)</f>
        <v>376.47</v>
      </c>
      <c r="M1017" s="601"/>
      <c r="N1017" s="601"/>
      <c r="O1017" s="601"/>
      <c r="P1017" s="601"/>
      <c r="Q1017" s="601"/>
      <c r="R1017" s="601"/>
      <c r="S1017" s="601"/>
      <c r="T1017" s="601"/>
      <c r="U1017" s="601"/>
      <c r="V1017" s="601"/>
      <c r="W1017" s="601"/>
      <c r="X1017" s="601"/>
      <c r="Y1017" s="601"/>
    </row>
    <row r="1018" ht="15" spans="1:25">
      <c r="A1018" s="596" t="s">
        <v>2804</v>
      </c>
      <c r="B1018" s="596" t="s">
        <v>74</v>
      </c>
      <c r="C1018" s="596"/>
      <c r="D1018" s="596" t="s">
        <v>2805</v>
      </c>
      <c r="E1018" s="597"/>
      <c r="F1018" s="598">
        <v>1</v>
      </c>
      <c r="G1018" s="598"/>
      <c r="H1018" s="599">
        <v>44263.87</v>
      </c>
      <c r="I1018" s="599">
        <v>44263.87</v>
      </c>
      <c r="J1018" s="608">
        <v>0.00179990479637</v>
      </c>
      <c r="K1018" s="613">
        <f t="shared" si="54"/>
        <v>0</v>
      </c>
      <c r="L1018" s="610">
        <f>SUM(L1019:L1035)</f>
        <v>44263.87</v>
      </c>
      <c r="M1018" s="601"/>
      <c r="N1018" s="601"/>
      <c r="O1018" s="601"/>
      <c r="P1018" s="601"/>
      <c r="Q1018" s="601"/>
      <c r="R1018" s="601"/>
      <c r="S1018" s="601"/>
      <c r="T1018" s="601"/>
      <c r="U1018" s="601"/>
      <c r="V1018" s="601"/>
      <c r="W1018" s="601"/>
      <c r="X1018" s="601"/>
      <c r="Y1018" s="601"/>
    </row>
    <row r="1019" ht="38.25" spans="1:25">
      <c r="A1019" s="569" t="s">
        <v>2806</v>
      </c>
      <c r="B1019" s="569" t="s">
        <v>2807</v>
      </c>
      <c r="C1019" s="569" t="s">
        <v>132</v>
      </c>
      <c r="D1019" s="569" t="s">
        <v>2808</v>
      </c>
      <c r="E1019" s="577" t="s">
        <v>134</v>
      </c>
      <c r="F1019" s="570">
        <v>3</v>
      </c>
      <c r="G1019" s="579">
        <v>519.89</v>
      </c>
      <c r="H1019" s="600">
        <v>652.4</v>
      </c>
      <c r="I1019" s="600">
        <v>1957.2</v>
      </c>
      <c r="J1019" s="612">
        <v>7.95857584855408e-5</v>
      </c>
      <c r="K1019" s="613">
        <f t="shared" si="54"/>
        <v>0</v>
      </c>
      <c r="L1019" s="610">
        <f t="shared" ref="L1019:L1035" si="57">I1019-(I1019*K1019)</f>
        <v>1957.2</v>
      </c>
      <c r="M1019" s="601"/>
      <c r="N1019" s="601"/>
      <c r="O1019" s="601"/>
      <c r="P1019" s="601"/>
      <c r="Q1019" s="601"/>
      <c r="R1019" s="601"/>
      <c r="S1019" s="601"/>
      <c r="T1019" s="601"/>
      <c r="U1019" s="601"/>
      <c r="V1019" s="601"/>
      <c r="W1019" s="601"/>
      <c r="X1019" s="601"/>
      <c r="Y1019" s="601"/>
    </row>
    <row r="1020" ht="51" spans="1:25">
      <c r="A1020" s="569" t="s">
        <v>2809</v>
      </c>
      <c r="B1020" s="569" t="s">
        <v>2810</v>
      </c>
      <c r="C1020" s="569" t="s">
        <v>132</v>
      </c>
      <c r="D1020" s="569" t="s">
        <v>2811</v>
      </c>
      <c r="E1020" s="577" t="s">
        <v>334</v>
      </c>
      <c r="F1020" s="570">
        <v>6</v>
      </c>
      <c r="G1020" s="579">
        <v>115.45</v>
      </c>
      <c r="H1020" s="600">
        <v>144.87</v>
      </c>
      <c r="I1020" s="600">
        <v>869.22</v>
      </c>
      <c r="J1020" s="612">
        <v>3.53451527645625e-5</v>
      </c>
      <c r="K1020" s="613">
        <f t="shared" si="54"/>
        <v>0</v>
      </c>
      <c r="L1020" s="610">
        <f t="shared" si="57"/>
        <v>869.22</v>
      </c>
      <c r="M1020" s="601"/>
      <c r="N1020" s="601"/>
      <c r="O1020" s="601"/>
      <c r="P1020" s="601"/>
      <c r="Q1020" s="601"/>
      <c r="R1020" s="601"/>
      <c r="S1020" s="601"/>
      <c r="T1020" s="601"/>
      <c r="U1020" s="601"/>
      <c r="V1020" s="601"/>
      <c r="W1020" s="601"/>
      <c r="X1020" s="601"/>
      <c r="Y1020" s="601"/>
    </row>
    <row r="1021" ht="51" spans="1:25">
      <c r="A1021" s="569" t="s">
        <v>2812</v>
      </c>
      <c r="B1021" s="569" t="s">
        <v>2813</v>
      </c>
      <c r="C1021" s="569" t="s">
        <v>132</v>
      </c>
      <c r="D1021" s="569" t="s">
        <v>2814</v>
      </c>
      <c r="E1021" s="577" t="s">
        <v>334</v>
      </c>
      <c r="F1021" s="570">
        <v>16</v>
      </c>
      <c r="G1021" s="579">
        <v>57.67</v>
      </c>
      <c r="H1021" s="600">
        <v>72.37</v>
      </c>
      <c r="I1021" s="600">
        <v>1157.92</v>
      </c>
      <c r="J1021" s="612">
        <v>4.70845807610757e-5</v>
      </c>
      <c r="K1021" s="613">
        <f t="shared" si="54"/>
        <v>0</v>
      </c>
      <c r="L1021" s="610">
        <f t="shared" si="57"/>
        <v>1157.92</v>
      </c>
      <c r="M1021" s="601"/>
      <c r="N1021" s="601"/>
      <c r="O1021" s="601"/>
      <c r="P1021" s="601"/>
      <c r="Q1021" s="601"/>
      <c r="R1021" s="601"/>
      <c r="S1021" s="601"/>
      <c r="T1021" s="601"/>
      <c r="U1021" s="601"/>
      <c r="V1021" s="601"/>
      <c r="W1021" s="601"/>
      <c r="X1021" s="601"/>
      <c r="Y1021" s="601"/>
    </row>
    <row r="1022" ht="63.75" spans="1:25">
      <c r="A1022" s="569" t="s">
        <v>2815</v>
      </c>
      <c r="B1022" s="569" t="s">
        <v>2816</v>
      </c>
      <c r="C1022" s="569" t="s">
        <v>132</v>
      </c>
      <c r="D1022" s="569" t="s">
        <v>2817</v>
      </c>
      <c r="E1022" s="577" t="s">
        <v>134</v>
      </c>
      <c r="F1022" s="570">
        <v>19</v>
      </c>
      <c r="G1022" s="579">
        <v>11.98</v>
      </c>
      <c r="H1022" s="600">
        <v>15.03</v>
      </c>
      <c r="I1022" s="600">
        <v>285.57</v>
      </c>
      <c r="J1022" s="612">
        <v>1.16121525908011e-5</v>
      </c>
      <c r="K1022" s="613">
        <f t="shared" si="54"/>
        <v>0</v>
      </c>
      <c r="L1022" s="610">
        <f t="shared" si="57"/>
        <v>285.57</v>
      </c>
      <c r="M1022" s="601"/>
      <c r="N1022" s="601"/>
      <c r="O1022" s="601"/>
      <c r="P1022" s="601"/>
      <c r="Q1022" s="601"/>
      <c r="R1022" s="601"/>
      <c r="S1022" s="601"/>
      <c r="T1022" s="601"/>
      <c r="U1022" s="601"/>
      <c r="V1022" s="601"/>
      <c r="W1022" s="601"/>
      <c r="X1022" s="601"/>
      <c r="Y1022" s="601"/>
    </row>
    <row r="1023" ht="51" spans="1:25">
      <c r="A1023" s="569" t="s">
        <v>2818</v>
      </c>
      <c r="B1023" s="569" t="s">
        <v>2819</v>
      </c>
      <c r="C1023" s="569" t="s">
        <v>132</v>
      </c>
      <c r="D1023" s="569" t="s">
        <v>2820</v>
      </c>
      <c r="E1023" s="577" t="s">
        <v>134</v>
      </c>
      <c r="F1023" s="570">
        <v>24</v>
      </c>
      <c r="G1023" s="579">
        <v>15.75</v>
      </c>
      <c r="H1023" s="600">
        <v>19.76</v>
      </c>
      <c r="I1023" s="600">
        <v>474.24</v>
      </c>
      <c r="J1023" s="612">
        <v>1.9284053803486e-5</v>
      </c>
      <c r="K1023" s="613">
        <f t="shared" si="54"/>
        <v>0</v>
      </c>
      <c r="L1023" s="610">
        <f t="shared" si="57"/>
        <v>474.24</v>
      </c>
      <c r="M1023" s="601"/>
      <c r="N1023" s="601"/>
      <c r="O1023" s="601"/>
      <c r="P1023" s="601"/>
      <c r="Q1023" s="601"/>
      <c r="R1023" s="601"/>
      <c r="S1023" s="601"/>
      <c r="T1023" s="601"/>
      <c r="U1023" s="601"/>
      <c r="V1023" s="601"/>
      <c r="W1023" s="601"/>
      <c r="X1023" s="601"/>
      <c r="Y1023" s="601"/>
    </row>
    <row r="1024" ht="76.5" spans="1:25">
      <c r="A1024" s="569" t="s">
        <v>2821</v>
      </c>
      <c r="B1024" s="569" t="s">
        <v>2822</v>
      </c>
      <c r="C1024" s="569" t="s">
        <v>132</v>
      </c>
      <c r="D1024" s="569" t="s">
        <v>2823</v>
      </c>
      <c r="E1024" s="577" t="s">
        <v>134</v>
      </c>
      <c r="F1024" s="570">
        <v>37</v>
      </c>
      <c r="G1024" s="579">
        <v>14.41</v>
      </c>
      <c r="H1024" s="600">
        <v>18.08</v>
      </c>
      <c r="I1024" s="600">
        <v>668.96</v>
      </c>
      <c r="J1024" s="612">
        <v>2.72019665831225e-5</v>
      </c>
      <c r="K1024" s="613">
        <f t="shared" si="54"/>
        <v>0</v>
      </c>
      <c r="L1024" s="610">
        <f t="shared" si="57"/>
        <v>668.96</v>
      </c>
      <c r="M1024" s="601"/>
      <c r="N1024" s="601"/>
      <c r="O1024" s="601"/>
      <c r="P1024" s="601"/>
      <c r="Q1024" s="601"/>
      <c r="R1024" s="601"/>
      <c r="S1024" s="601"/>
      <c r="T1024" s="601"/>
      <c r="U1024" s="601"/>
      <c r="V1024" s="601"/>
      <c r="W1024" s="601"/>
      <c r="X1024" s="601"/>
      <c r="Y1024" s="601"/>
    </row>
    <row r="1025" ht="89.25" spans="1:25">
      <c r="A1025" s="569" t="s">
        <v>2824</v>
      </c>
      <c r="B1025" s="569" t="s">
        <v>2825</v>
      </c>
      <c r="C1025" s="569" t="s">
        <v>132</v>
      </c>
      <c r="D1025" s="569" t="s">
        <v>2826</v>
      </c>
      <c r="E1025" s="577" t="s">
        <v>134</v>
      </c>
      <c r="F1025" s="570">
        <v>17</v>
      </c>
      <c r="G1025" s="579">
        <v>12.76</v>
      </c>
      <c r="H1025" s="600">
        <v>16.01</v>
      </c>
      <c r="I1025" s="600">
        <v>272.17</v>
      </c>
      <c r="J1025" s="612">
        <v>1.10672674673051e-5</v>
      </c>
      <c r="K1025" s="613">
        <f t="shared" si="54"/>
        <v>0</v>
      </c>
      <c r="L1025" s="610">
        <f t="shared" si="57"/>
        <v>272.17</v>
      </c>
      <c r="M1025" s="601"/>
      <c r="N1025" s="601"/>
      <c r="O1025" s="601"/>
      <c r="P1025" s="601"/>
      <c r="Q1025" s="601"/>
      <c r="R1025" s="601"/>
      <c r="S1025" s="601"/>
      <c r="T1025" s="601"/>
      <c r="U1025" s="601"/>
      <c r="V1025" s="601"/>
      <c r="W1025" s="601"/>
      <c r="X1025" s="601"/>
      <c r="Y1025" s="601"/>
    </row>
    <row r="1026" ht="51" spans="1:25">
      <c r="A1026" s="569" t="s">
        <v>2827</v>
      </c>
      <c r="B1026" s="569" t="s">
        <v>2828</v>
      </c>
      <c r="C1026" s="569" t="s">
        <v>132</v>
      </c>
      <c r="D1026" s="569" t="s">
        <v>2829</v>
      </c>
      <c r="E1026" s="577" t="s">
        <v>134</v>
      </c>
      <c r="F1026" s="570">
        <v>14</v>
      </c>
      <c r="G1026" s="579">
        <v>13.91</v>
      </c>
      <c r="H1026" s="600">
        <v>17.45</v>
      </c>
      <c r="I1026" s="600">
        <v>244.3</v>
      </c>
      <c r="J1026" s="612">
        <v>9.93398773657143e-6</v>
      </c>
      <c r="K1026" s="613">
        <f t="shared" si="54"/>
        <v>0</v>
      </c>
      <c r="L1026" s="610">
        <f t="shared" si="57"/>
        <v>244.3</v>
      </c>
      <c r="M1026" s="601"/>
      <c r="N1026" s="601"/>
      <c r="O1026" s="601"/>
      <c r="P1026" s="601"/>
      <c r="Q1026" s="601"/>
      <c r="R1026" s="601"/>
      <c r="S1026" s="601"/>
      <c r="T1026" s="601"/>
      <c r="U1026" s="601"/>
      <c r="V1026" s="601"/>
      <c r="W1026" s="601"/>
      <c r="X1026" s="601"/>
      <c r="Y1026" s="601"/>
    </row>
    <row r="1027" ht="51" spans="1:25">
      <c r="A1027" s="569" t="s">
        <v>2830</v>
      </c>
      <c r="B1027" s="569" t="s">
        <v>2831</v>
      </c>
      <c r="C1027" s="569" t="s">
        <v>132</v>
      </c>
      <c r="D1027" s="569" t="s">
        <v>2832</v>
      </c>
      <c r="E1027" s="577" t="s">
        <v>334</v>
      </c>
      <c r="F1027" s="570">
        <v>8</v>
      </c>
      <c r="G1027" s="579">
        <v>76.87</v>
      </c>
      <c r="H1027" s="600">
        <v>96.46</v>
      </c>
      <c r="I1027" s="600">
        <v>771.68</v>
      </c>
      <c r="J1027" s="612">
        <v>3.13788770223391e-5</v>
      </c>
      <c r="K1027" s="613">
        <f t="shared" si="54"/>
        <v>0</v>
      </c>
      <c r="L1027" s="610">
        <f t="shared" si="57"/>
        <v>771.68</v>
      </c>
      <c r="M1027" s="601"/>
      <c r="N1027" s="601"/>
      <c r="O1027" s="601"/>
      <c r="P1027" s="601"/>
      <c r="Q1027" s="601"/>
      <c r="R1027" s="601"/>
      <c r="S1027" s="601"/>
      <c r="T1027" s="601"/>
      <c r="U1027" s="601"/>
      <c r="V1027" s="601"/>
      <c r="W1027" s="601"/>
      <c r="X1027" s="601"/>
      <c r="Y1027" s="601"/>
    </row>
    <row r="1028" ht="89.25" spans="1:25">
      <c r="A1028" s="569" t="s">
        <v>2833</v>
      </c>
      <c r="B1028" s="569" t="s">
        <v>2834</v>
      </c>
      <c r="C1028" s="569" t="s">
        <v>132</v>
      </c>
      <c r="D1028" s="569" t="s">
        <v>2835</v>
      </c>
      <c r="E1028" s="577" t="s">
        <v>134</v>
      </c>
      <c r="F1028" s="570">
        <v>8</v>
      </c>
      <c r="G1028" s="579">
        <v>149.13</v>
      </c>
      <c r="H1028" s="600">
        <v>187.14</v>
      </c>
      <c r="I1028" s="600">
        <v>1497.12</v>
      </c>
      <c r="J1028" s="612">
        <v>6.08774937379281e-5</v>
      </c>
      <c r="K1028" s="613">
        <f t="shared" si="54"/>
        <v>0</v>
      </c>
      <c r="L1028" s="610">
        <f t="shared" si="57"/>
        <v>1497.12</v>
      </c>
      <c r="M1028" s="601"/>
      <c r="N1028" s="601"/>
      <c r="O1028" s="601"/>
      <c r="P1028" s="601"/>
      <c r="Q1028" s="601"/>
      <c r="R1028" s="601"/>
      <c r="S1028" s="601"/>
      <c r="T1028" s="601"/>
      <c r="U1028" s="601"/>
      <c r="V1028" s="601"/>
      <c r="W1028" s="601"/>
      <c r="X1028" s="601"/>
      <c r="Y1028" s="601"/>
    </row>
    <row r="1029" ht="63.75" spans="1:25">
      <c r="A1029" s="569" t="s">
        <v>2836</v>
      </c>
      <c r="B1029" s="569" t="s">
        <v>2837</v>
      </c>
      <c r="C1029" s="569" t="s">
        <v>132</v>
      </c>
      <c r="D1029" s="569" t="s">
        <v>2838</v>
      </c>
      <c r="E1029" s="577" t="s">
        <v>134</v>
      </c>
      <c r="F1029" s="570">
        <v>49</v>
      </c>
      <c r="G1029" s="579">
        <v>70.59</v>
      </c>
      <c r="H1029" s="600">
        <v>88.58</v>
      </c>
      <c r="I1029" s="600">
        <v>4340.42</v>
      </c>
      <c r="J1029" s="612">
        <v>0.000176494797591361</v>
      </c>
      <c r="K1029" s="613">
        <f t="shared" si="54"/>
        <v>0</v>
      </c>
      <c r="L1029" s="610">
        <f t="shared" si="57"/>
        <v>4340.42</v>
      </c>
      <c r="M1029" s="601"/>
      <c r="N1029" s="601"/>
      <c r="O1029" s="601"/>
      <c r="P1029" s="601"/>
      <c r="Q1029" s="601"/>
      <c r="R1029" s="601"/>
      <c r="S1029" s="601"/>
      <c r="T1029" s="601"/>
      <c r="U1029" s="601"/>
      <c r="V1029" s="601"/>
      <c r="W1029" s="601"/>
      <c r="X1029" s="601"/>
      <c r="Y1029" s="601"/>
    </row>
    <row r="1030" ht="38.25" spans="1:25">
      <c r="A1030" s="569" t="s">
        <v>2839</v>
      </c>
      <c r="B1030" s="569" t="s">
        <v>2840</v>
      </c>
      <c r="C1030" s="569" t="s">
        <v>132</v>
      </c>
      <c r="D1030" s="569" t="s">
        <v>2841</v>
      </c>
      <c r="E1030" s="577" t="s">
        <v>134</v>
      </c>
      <c r="F1030" s="570">
        <v>10</v>
      </c>
      <c r="G1030" s="579">
        <v>115.52</v>
      </c>
      <c r="H1030" s="600">
        <v>144.96</v>
      </c>
      <c r="I1030" s="600">
        <v>1449.6</v>
      </c>
      <c r="J1030" s="612">
        <v>5.89451847029634e-5</v>
      </c>
      <c r="K1030" s="613">
        <f t="shared" si="54"/>
        <v>0</v>
      </c>
      <c r="L1030" s="610">
        <f t="shared" si="57"/>
        <v>1449.6</v>
      </c>
      <c r="M1030" s="601"/>
      <c r="N1030" s="601"/>
      <c r="O1030" s="601"/>
      <c r="P1030" s="601"/>
      <c r="Q1030" s="601"/>
      <c r="R1030" s="601"/>
      <c r="S1030" s="601"/>
      <c r="T1030" s="601"/>
      <c r="U1030" s="601"/>
      <c r="V1030" s="601"/>
      <c r="W1030" s="601"/>
      <c r="X1030" s="601"/>
      <c r="Y1030" s="601"/>
    </row>
    <row r="1031" ht="38.25" spans="1:25">
      <c r="A1031" s="569" t="s">
        <v>2842</v>
      </c>
      <c r="B1031" s="569" t="s">
        <v>2843</v>
      </c>
      <c r="C1031" s="569" t="s">
        <v>132</v>
      </c>
      <c r="D1031" s="569" t="s">
        <v>2844</v>
      </c>
      <c r="E1031" s="577" t="s">
        <v>134</v>
      </c>
      <c r="F1031" s="570">
        <v>2</v>
      </c>
      <c r="G1031" s="579">
        <v>72.78</v>
      </c>
      <c r="H1031" s="600">
        <v>91.33</v>
      </c>
      <c r="I1031" s="600">
        <v>182.66</v>
      </c>
      <c r="J1031" s="612">
        <v>7.42751616849013e-6</v>
      </c>
      <c r="K1031" s="613">
        <f t="shared" si="54"/>
        <v>0</v>
      </c>
      <c r="L1031" s="610">
        <f t="shared" si="57"/>
        <v>182.66</v>
      </c>
      <c r="M1031" s="601"/>
      <c r="N1031" s="601"/>
      <c r="O1031" s="601"/>
      <c r="P1031" s="601"/>
      <c r="Q1031" s="601"/>
      <c r="R1031" s="601"/>
      <c r="S1031" s="601"/>
      <c r="T1031" s="601"/>
      <c r="U1031" s="601"/>
      <c r="V1031" s="601"/>
      <c r="W1031" s="601"/>
      <c r="X1031" s="601"/>
      <c r="Y1031" s="601"/>
    </row>
    <row r="1032" ht="25.5" spans="1:25">
      <c r="A1032" s="569" t="s">
        <v>2845</v>
      </c>
      <c r="B1032" s="569" t="s">
        <v>2846</v>
      </c>
      <c r="C1032" s="569" t="s">
        <v>132</v>
      </c>
      <c r="D1032" s="569" t="s">
        <v>2847</v>
      </c>
      <c r="E1032" s="577" t="s">
        <v>134</v>
      </c>
      <c r="F1032" s="570">
        <v>2</v>
      </c>
      <c r="G1032" s="579">
        <v>191.62</v>
      </c>
      <c r="H1032" s="600">
        <v>240.46</v>
      </c>
      <c r="I1032" s="600">
        <v>480.92</v>
      </c>
      <c r="J1032" s="612">
        <v>1.95556831038556e-5</v>
      </c>
      <c r="K1032" s="613">
        <f t="shared" si="54"/>
        <v>0</v>
      </c>
      <c r="L1032" s="610">
        <f t="shared" si="57"/>
        <v>480.92</v>
      </c>
      <c r="M1032" s="601"/>
      <c r="N1032" s="601"/>
      <c r="O1032" s="601"/>
      <c r="P1032" s="601"/>
      <c r="Q1032" s="601"/>
      <c r="R1032" s="601"/>
      <c r="S1032" s="601"/>
      <c r="T1032" s="601"/>
      <c r="U1032" s="601"/>
      <c r="V1032" s="601"/>
      <c r="W1032" s="601"/>
      <c r="X1032" s="601"/>
      <c r="Y1032" s="601"/>
    </row>
    <row r="1033" ht="38.25" spans="1:25">
      <c r="A1033" s="569" t="s">
        <v>2848</v>
      </c>
      <c r="B1033" s="569" t="s">
        <v>2849</v>
      </c>
      <c r="C1033" s="569" t="s">
        <v>132</v>
      </c>
      <c r="D1033" s="569" t="s">
        <v>2850</v>
      </c>
      <c r="E1033" s="577" t="s">
        <v>134</v>
      </c>
      <c r="F1033" s="570">
        <v>1</v>
      </c>
      <c r="G1033" s="579">
        <v>518.73</v>
      </c>
      <c r="H1033" s="600">
        <v>650.95</v>
      </c>
      <c r="I1033" s="600">
        <v>650.95</v>
      </c>
      <c r="J1033" s="612">
        <v>2.64696247119164e-5</v>
      </c>
      <c r="K1033" s="613">
        <f t="shared" ref="K1033:K1046" si="58">$I$1051</f>
        <v>0</v>
      </c>
      <c r="L1033" s="610">
        <f t="shared" si="57"/>
        <v>650.95</v>
      </c>
      <c r="M1033" s="601"/>
      <c r="N1033" s="601"/>
      <c r="O1033" s="601"/>
      <c r="P1033" s="601"/>
      <c r="Q1033" s="601"/>
      <c r="R1033" s="601"/>
      <c r="S1033" s="601"/>
      <c r="T1033" s="601"/>
      <c r="U1033" s="601"/>
      <c r="V1033" s="601"/>
      <c r="W1033" s="601"/>
      <c r="X1033" s="601"/>
      <c r="Y1033" s="601"/>
    </row>
    <row r="1034" ht="38.25" spans="1:25">
      <c r="A1034" s="569" t="s">
        <v>2851</v>
      </c>
      <c r="B1034" s="569" t="s">
        <v>2852</v>
      </c>
      <c r="C1034" s="569" t="s">
        <v>132</v>
      </c>
      <c r="D1034" s="569" t="s">
        <v>2853</v>
      </c>
      <c r="E1034" s="577" t="s">
        <v>134</v>
      </c>
      <c r="F1034" s="570">
        <v>125</v>
      </c>
      <c r="G1034" s="579">
        <v>145.89</v>
      </c>
      <c r="H1034" s="600">
        <v>183.07</v>
      </c>
      <c r="I1034" s="600">
        <v>22883.75</v>
      </c>
      <c r="J1034" s="612">
        <v>0.000930523503343293</v>
      </c>
      <c r="K1034" s="613">
        <f t="shared" si="58"/>
        <v>0</v>
      </c>
      <c r="L1034" s="610">
        <f t="shared" si="57"/>
        <v>22883.75</v>
      </c>
      <c r="M1034" s="601"/>
      <c r="N1034" s="601"/>
      <c r="O1034" s="601"/>
      <c r="P1034" s="601"/>
      <c r="Q1034" s="601"/>
      <c r="R1034" s="601"/>
      <c r="S1034" s="601"/>
      <c r="T1034" s="601"/>
      <c r="U1034" s="601"/>
      <c r="V1034" s="601"/>
      <c r="W1034" s="601"/>
      <c r="X1034" s="601"/>
      <c r="Y1034" s="601"/>
    </row>
    <row r="1035" ht="15" spans="1:25">
      <c r="A1035" s="569" t="s">
        <v>2854</v>
      </c>
      <c r="B1035" s="569" t="s">
        <v>2855</v>
      </c>
      <c r="C1035" s="569" t="s">
        <v>149</v>
      </c>
      <c r="D1035" s="569" t="s">
        <v>2856</v>
      </c>
      <c r="E1035" s="577" t="s">
        <v>134</v>
      </c>
      <c r="F1035" s="570">
        <v>3</v>
      </c>
      <c r="G1035" s="579">
        <v>1614.26</v>
      </c>
      <c r="H1035" s="600">
        <v>2025.73</v>
      </c>
      <c r="I1035" s="600">
        <v>6077.19</v>
      </c>
      <c r="J1035" s="612">
        <v>0.000247117195795393</v>
      </c>
      <c r="K1035" s="613">
        <f t="shared" si="58"/>
        <v>0</v>
      </c>
      <c r="L1035" s="610">
        <f t="shared" si="57"/>
        <v>6077.19</v>
      </c>
      <c r="M1035" s="601"/>
      <c r="N1035" s="601"/>
      <c r="O1035" s="601"/>
      <c r="P1035" s="601"/>
      <c r="Q1035" s="601"/>
      <c r="R1035" s="601"/>
      <c r="S1035" s="601"/>
      <c r="T1035" s="601"/>
      <c r="U1035" s="601"/>
      <c r="V1035" s="601"/>
      <c r="W1035" s="601"/>
      <c r="X1035" s="601"/>
      <c r="Y1035" s="601"/>
    </row>
    <row r="1036" ht="15" spans="1:25">
      <c r="A1036" s="596" t="s">
        <v>2857</v>
      </c>
      <c r="B1036" s="596" t="s">
        <v>74</v>
      </c>
      <c r="C1036" s="596"/>
      <c r="D1036" s="596" t="s">
        <v>2858</v>
      </c>
      <c r="E1036" s="597"/>
      <c r="F1036" s="598">
        <v>1</v>
      </c>
      <c r="G1036" s="598"/>
      <c r="H1036" s="599">
        <v>19511.51</v>
      </c>
      <c r="I1036" s="599">
        <v>19511.51</v>
      </c>
      <c r="J1036" s="608">
        <v>0.000793397875816582</v>
      </c>
      <c r="K1036" s="613">
        <f t="shared" si="58"/>
        <v>0</v>
      </c>
      <c r="L1036" s="610">
        <f>SUM(L1037:L1042)</f>
        <v>19511.51</v>
      </c>
      <c r="M1036" s="601"/>
      <c r="N1036" s="601"/>
      <c r="O1036" s="601"/>
      <c r="P1036" s="601"/>
      <c r="Q1036" s="601"/>
      <c r="R1036" s="601"/>
      <c r="S1036" s="601"/>
      <c r="T1036" s="601"/>
      <c r="U1036" s="601"/>
      <c r="V1036" s="601"/>
      <c r="W1036" s="601"/>
      <c r="X1036" s="601"/>
      <c r="Y1036" s="601"/>
    </row>
    <row r="1037" ht="25.5" spans="1:25">
      <c r="A1037" s="569" t="s">
        <v>2859</v>
      </c>
      <c r="B1037" s="569" t="s">
        <v>271</v>
      </c>
      <c r="C1037" s="569" t="s">
        <v>139</v>
      </c>
      <c r="D1037" s="569" t="s">
        <v>272</v>
      </c>
      <c r="E1037" s="577" t="s">
        <v>141</v>
      </c>
      <c r="F1037" s="570">
        <v>366</v>
      </c>
      <c r="G1037" s="579">
        <v>4.09</v>
      </c>
      <c r="H1037" s="600">
        <v>5.13</v>
      </c>
      <c r="I1037" s="600">
        <v>1877.58</v>
      </c>
      <c r="J1037" s="612">
        <v>7.63481649383209e-5</v>
      </c>
      <c r="K1037" s="613">
        <f t="shared" si="58"/>
        <v>0</v>
      </c>
      <c r="L1037" s="610">
        <f t="shared" ref="L1037:L1042" si="59">I1037-(I1037*K1037)</f>
        <v>1877.58</v>
      </c>
      <c r="M1037" s="601"/>
      <c r="N1037" s="601"/>
      <c r="O1037" s="601"/>
      <c r="P1037" s="601"/>
      <c r="Q1037" s="601"/>
      <c r="R1037" s="601"/>
      <c r="S1037" s="601"/>
      <c r="T1037" s="601"/>
      <c r="U1037" s="601"/>
      <c r="V1037" s="601"/>
      <c r="W1037" s="601"/>
      <c r="X1037" s="601"/>
      <c r="Y1037" s="601"/>
    </row>
    <row r="1038" ht="25.5" spans="1:25">
      <c r="A1038" s="569" t="s">
        <v>2860</v>
      </c>
      <c r="B1038" s="569" t="s">
        <v>308</v>
      </c>
      <c r="C1038" s="569" t="s">
        <v>139</v>
      </c>
      <c r="D1038" s="569" t="s">
        <v>309</v>
      </c>
      <c r="E1038" s="577" t="s">
        <v>141</v>
      </c>
      <c r="F1038" s="570">
        <v>560</v>
      </c>
      <c r="G1038" s="579">
        <v>10.5</v>
      </c>
      <c r="H1038" s="600">
        <v>13.17</v>
      </c>
      <c r="I1038" s="600">
        <v>7375.2</v>
      </c>
      <c r="J1038" s="612">
        <v>0.000299898265881136</v>
      </c>
      <c r="K1038" s="613">
        <f t="shared" si="58"/>
        <v>0</v>
      </c>
      <c r="L1038" s="610">
        <f t="shared" si="59"/>
        <v>7375.2</v>
      </c>
      <c r="M1038" s="601"/>
      <c r="N1038" s="601"/>
      <c r="O1038" s="601"/>
      <c r="P1038" s="601"/>
      <c r="Q1038" s="601"/>
      <c r="R1038" s="601"/>
      <c r="S1038" s="601"/>
      <c r="T1038" s="601"/>
      <c r="U1038" s="601"/>
      <c r="V1038" s="601"/>
      <c r="W1038" s="601"/>
      <c r="X1038" s="601"/>
      <c r="Y1038" s="601"/>
    </row>
    <row r="1039" ht="25.5" spans="1:25">
      <c r="A1039" s="569" t="s">
        <v>2861</v>
      </c>
      <c r="B1039" s="569" t="s">
        <v>305</v>
      </c>
      <c r="C1039" s="569" t="s">
        <v>139</v>
      </c>
      <c r="D1039" s="569" t="s">
        <v>306</v>
      </c>
      <c r="E1039" s="577" t="s">
        <v>141</v>
      </c>
      <c r="F1039" s="570">
        <v>560</v>
      </c>
      <c r="G1039" s="579">
        <v>4.87</v>
      </c>
      <c r="H1039" s="600">
        <v>6.11</v>
      </c>
      <c r="I1039" s="600">
        <v>3421.6</v>
      </c>
      <c r="J1039" s="612">
        <v>0.000139132756608485</v>
      </c>
      <c r="K1039" s="613">
        <f t="shared" si="58"/>
        <v>0</v>
      </c>
      <c r="L1039" s="610">
        <f t="shared" si="59"/>
        <v>3421.6</v>
      </c>
      <c r="M1039" s="601"/>
      <c r="N1039" s="601"/>
      <c r="O1039" s="601"/>
      <c r="P1039" s="601"/>
      <c r="Q1039" s="601"/>
      <c r="R1039" s="601"/>
      <c r="S1039" s="601"/>
      <c r="T1039" s="601"/>
      <c r="U1039" s="601"/>
      <c r="V1039" s="601"/>
      <c r="W1039" s="601"/>
      <c r="X1039" s="601"/>
      <c r="Y1039" s="601"/>
    </row>
    <row r="1040" ht="25.5" spans="1:25">
      <c r="A1040" s="569" t="s">
        <v>2862</v>
      </c>
      <c r="B1040" s="569" t="s">
        <v>293</v>
      </c>
      <c r="C1040" s="569" t="s">
        <v>139</v>
      </c>
      <c r="D1040" s="569" t="s">
        <v>294</v>
      </c>
      <c r="E1040" s="577" t="s">
        <v>141</v>
      </c>
      <c r="F1040" s="570">
        <v>6</v>
      </c>
      <c r="G1040" s="579">
        <v>12.97</v>
      </c>
      <c r="H1040" s="600">
        <v>16.27</v>
      </c>
      <c r="I1040" s="600">
        <v>97.62</v>
      </c>
      <c r="J1040" s="612">
        <v>3.96952878773681e-6</v>
      </c>
      <c r="K1040" s="613">
        <f t="shared" si="58"/>
        <v>0</v>
      </c>
      <c r="L1040" s="610">
        <f t="shared" si="59"/>
        <v>97.62</v>
      </c>
      <c r="M1040" s="601"/>
      <c r="N1040" s="601"/>
      <c r="O1040" s="601"/>
      <c r="P1040" s="601"/>
      <c r="Q1040" s="601"/>
      <c r="R1040" s="601"/>
      <c r="S1040" s="601"/>
      <c r="T1040" s="601"/>
      <c r="U1040" s="601"/>
      <c r="V1040" s="601"/>
      <c r="W1040" s="601"/>
      <c r="X1040" s="601"/>
      <c r="Y1040" s="601"/>
    </row>
    <row r="1041" ht="25.5" spans="1:25">
      <c r="A1041" s="569" t="s">
        <v>2863</v>
      </c>
      <c r="B1041" s="569" t="s">
        <v>2864</v>
      </c>
      <c r="C1041" s="569" t="s">
        <v>139</v>
      </c>
      <c r="D1041" s="569" t="s">
        <v>2865</v>
      </c>
      <c r="E1041" s="577" t="s">
        <v>279</v>
      </c>
      <c r="F1041" s="570">
        <v>28</v>
      </c>
      <c r="G1041" s="579">
        <v>141.46</v>
      </c>
      <c r="H1041" s="600">
        <v>177.51</v>
      </c>
      <c r="I1041" s="600">
        <v>4970.28</v>
      </c>
      <c r="J1041" s="612">
        <v>0.000202106838179805</v>
      </c>
      <c r="K1041" s="613">
        <f t="shared" si="58"/>
        <v>0</v>
      </c>
      <c r="L1041" s="610">
        <f t="shared" si="59"/>
        <v>4970.28</v>
      </c>
      <c r="M1041" s="601"/>
      <c r="N1041" s="601"/>
      <c r="O1041" s="601"/>
      <c r="P1041" s="601"/>
      <c r="Q1041" s="601"/>
      <c r="R1041" s="601"/>
      <c r="S1041" s="601"/>
      <c r="T1041" s="601"/>
      <c r="U1041" s="601"/>
      <c r="V1041" s="601"/>
      <c r="W1041" s="601"/>
      <c r="X1041" s="601"/>
      <c r="Y1041" s="601"/>
    </row>
    <row r="1042" ht="38.25" spans="1:25">
      <c r="A1042" s="569" t="s">
        <v>2866</v>
      </c>
      <c r="B1042" s="569" t="s">
        <v>2867</v>
      </c>
      <c r="C1042" s="569" t="s">
        <v>139</v>
      </c>
      <c r="D1042" s="569" t="s">
        <v>2868</v>
      </c>
      <c r="E1042" s="577" t="s">
        <v>141</v>
      </c>
      <c r="F1042" s="570">
        <v>1944.21</v>
      </c>
      <c r="G1042" s="579">
        <v>0.73</v>
      </c>
      <c r="H1042" s="600">
        <v>0.91</v>
      </c>
      <c r="I1042" s="600">
        <v>1769.23</v>
      </c>
      <c r="J1042" s="612">
        <v>7.19423214210981e-5</v>
      </c>
      <c r="K1042" s="613">
        <f t="shared" si="58"/>
        <v>0</v>
      </c>
      <c r="L1042" s="610">
        <f t="shared" si="59"/>
        <v>1769.23</v>
      </c>
      <c r="M1042" s="601"/>
      <c r="N1042" s="601"/>
      <c r="O1042" s="601"/>
      <c r="P1042" s="601"/>
      <c r="Q1042" s="601"/>
      <c r="R1042" s="601"/>
      <c r="S1042" s="601"/>
      <c r="T1042" s="601"/>
      <c r="U1042" s="601"/>
      <c r="V1042" s="601"/>
      <c r="W1042" s="601"/>
      <c r="X1042" s="601"/>
      <c r="Y1042" s="601"/>
    </row>
    <row r="1043" ht="15" spans="1:25">
      <c r="A1043" s="596" t="s">
        <v>2869</v>
      </c>
      <c r="B1043" s="596" t="s">
        <v>74</v>
      </c>
      <c r="C1043" s="596"/>
      <c r="D1043" s="596" t="s">
        <v>2870</v>
      </c>
      <c r="E1043" s="597"/>
      <c r="F1043" s="598">
        <v>1</v>
      </c>
      <c r="G1043" s="598"/>
      <c r="H1043" s="599">
        <v>61152.96</v>
      </c>
      <c r="I1043" s="599">
        <v>61152.96</v>
      </c>
      <c r="J1043" s="608">
        <v>0.00248666702699567</v>
      </c>
      <c r="K1043" s="613">
        <f t="shared" si="58"/>
        <v>0</v>
      </c>
      <c r="L1043" s="610">
        <f>SUM(L1044:L1046)</f>
        <v>61152.96</v>
      </c>
      <c r="M1043" s="601"/>
      <c r="N1043" s="601"/>
      <c r="O1043" s="601"/>
      <c r="P1043" s="601"/>
      <c r="Q1043" s="601"/>
      <c r="R1043" s="601"/>
      <c r="S1043" s="601"/>
      <c r="T1043" s="601"/>
      <c r="U1043" s="601"/>
      <c r="V1043" s="601"/>
      <c r="W1043" s="601"/>
      <c r="X1043" s="601"/>
      <c r="Y1043" s="601"/>
    </row>
    <row r="1044" ht="15" spans="1:25">
      <c r="A1044" s="569" t="s">
        <v>2871</v>
      </c>
      <c r="B1044" s="569" t="s">
        <v>2872</v>
      </c>
      <c r="C1044" s="569" t="s">
        <v>77</v>
      </c>
      <c r="D1044" s="569" t="s">
        <v>2873</v>
      </c>
      <c r="E1044" s="577" t="s">
        <v>134</v>
      </c>
      <c r="F1044" s="570">
        <v>98</v>
      </c>
      <c r="G1044" s="579">
        <v>11.84</v>
      </c>
      <c r="H1044" s="600">
        <v>14.85</v>
      </c>
      <c r="I1044" s="600">
        <v>1455.3</v>
      </c>
      <c r="J1044" s="612">
        <v>5.91769641957937e-5</v>
      </c>
      <c r="K1044" s="613">
        <f t="shared" si="58"/>
        <v>0</v>
      </c>
      <c r="L1044" s="610">
        <f>I1044-(I1044*K1044)</f>
        <v>1455.3</v>
      </c>
      <c r="M1044" s="601"/>
      <c r="N1044" s="601"/>
      <c r="O1044" s="601"/>
      <c r="P1044" s="601"/>
      <c r="Q1044" s="601"/>
      <c r="R1044" s="601"/>
      <c r="S1044" s="601"/>
      <c r="T1044" s="601"/>
      <c r="U1044" s="601"/>
      <c r="V1044" s="601"/>
      <c r="W1044" s="601"/>
      <c r="X1044" s="601"/>
      <c r="Y1044" s="601"/>
    </row>
    <row r="1045" ht="63.75" spans="1:25">
      <c r="A1045" s="569" t="s">
        <v>2874</v>
      </c>
      <c r="B1045" s="569" t="s">
        <v>2875</v>
      </c>
      <c r="C1045" s="569" t="s">
        <v>77</v>
      </c>
      <c r="D1045" s="569" t="s">
        <v>2876</v>
      </c>
      <c r="E1045" s="577" t="s">
        <v>134</v>
      </c>
      <c r="F1045" s="570">
        <v>5</v>
      </c>
      <c r="G1045" s="579">
        <v>1084.78</v>
      </c>
      <c r="H1045" s="600">
        <v>1361.29</v>
      </c>
      <c r="I1045" s="600">
        <v>6806.45</v>
      </c>
      <c r="J1045" s="612">
        <v>0.000276771145434247</v>
      </c>
      <c r="K1045" s="613">
        <f t="shared" si="58"/>
        <v>0</v>
      </c>
      <c r="L1045" s="610">
        <f>I1045-(I1045*K1045)</f>
        <v>6806.45</v>
      </c>
      <c r="M1045" s="601"/>
      <c r="N1045" s="601"/>
      <c r="O1045" s="601"/>
      <c r="P1045" s="601"/>
      <c r="Q1045" s="601"/>
      <c r="R1045" s="601"/>
      <c r="S1045" s="601"/>
      <c r="T1045" s="601"/>
      <c r="U1045" s="601"/>
      <c r="V1045" s="601"/>
      <c r="W1045" s="601"/>
      <c r="X1045" s="601"/>
      <c r="Y1045" s="601"/>
    </row>
    <row r="1046" ht="25.5" spans="1:25">
      <c r="A1046" s="569" t="s">
        <v>2877</v>
      </c>
      <c r="B1046" s="569" t="s">
        <v>2878</v>
      </c>
      <c r="C1046" s="569" t="s">
        <v>132</v>
      </c>
      <c r="D1046" s="569" t="s">
        <v>2879</v>
      </c>
      <c r="E1046" s="577" t="s">
        <v>141</v>
      </c>
      <c r="F1046" s="570">
        <v>8503.41</v>
      </c>
      <c r="G1046" s="579">
        <v>4.96</v>
      </c>
      <c r="H1046" s="600">
        <v>6.22</v>
      </c>
      <c r="I1046" s="600">
        <v>52891.21</v>
      </c>
      <c r="J1046" s="612">
        <v>0.00215071891736563</v>
      </c>
      <c r="K1046" s="613">
        <f t="shared" si="58"/>
        <v>0</v>
      </c>
      <c r="L1046" s="610">
        <f>I1046-(I1046*K1046)</f>
        <v>52891.21</v>
      </c>
      <c r="M1046" s="601"/>
      <c r="N1046" s="601"/>
      <c r="O1046" s="601"/>
      <c r="P1046" s="601"/>
      <c r="Q1046" s="601"/>
      <c r="R1046" s="601"/>
      <c r="S1046" s="601"/>
      <c r="T1046" s="601"/>
      <c r="U1046" s="601"/>
      <c r="V1046" s="601"/>
      <c r="W1046" s="601"/>
      <c r="X1046" s="601"/>
      <c r="Y1046" s="601"/>
    </row>
    <row r="1047" spans="1:25">
      <c r="A1047" s="107"/>
      <c r="B1047" s="107"/>
      <c r="C1047" s="107"/>
      <c r="D1047" s="107"/>
      <c r="E1047" s="107"/>
      <c r="F1047" s="107"/>
      <c r="G1047" s="107"/>
      <c r="H1047" s="128"/>
      <c r="I1047" s="128"/>
      <c r="J1047" s="107"/>
      <c r="L1047" s="601"/>
      <c r="M1047" s="601"/>
      <c r="N1047" s="601"/>
      <c r="O1047" s="601"/>
      <c r="P1047" s="601"/>
      <c r="Q1047" s="601"/>
      <c r="R1047" s="601"/>
      <c r="S1047" s="601"/>
      <c r="T1047" s="601"/>
      <c r="U1047" s="601"/>
      <c r="V1047" s="601"/>
      <c r="W1047" s="601"/>
      <c r="X1047" s="601"/>
      <c r="Y1047" s="601"/>
    </row>
    <row r="1048" customHeight="1" spans="1:25">
      <c r="A1048" s="109"/>
      <c r="B1048" s="109"/>
      <c r="C1048" s="109"/>
      <c r="D1048" s="110"/>
      <c r="E1048" s="111"/>
      <c r="F1048" s="115" t="s">
        <v>2880</v>
      </c>
      <c r="G1048" s="115"/>
      <c r="H1048" s="130">
        <v>19963738.7</v>
      </c>
      <c r="I1048" s="130"/>
      <c r="J1048" s="130"/>
      <c r="L1048" s="601"/>
      <c r="M1048" s="601"/>
      <c r="N1048" s="601"/>
      <c r="O1048" s="601"/>
      <c r="P1048" s="601"/>
      <c r="Q1048" s="601"/>
      <c r="R1048" s="601"/>
      <c r="S1048" s="601"/>
      <c r="T1048" s="601"/>
      <c r="U1048" s="601"/>
      <c r="V1048" s="601"/>
      <c r="W1048" s="601"/>
      <c r="X1048" s="601"/>
      <c r="Y1048" s="601"/>
    </row>
    <row r="1049" ht="15" customHeight="1" spans="1:25">
      <c r="A1049" s="109"/>
      <c r="B1049" s="109"/>
      <c r="C1049" s="109"/>
      <c r="D1049" s="110"/>
      <c r="E1049" s="111"/>
      <c r="F1049" s="115" t="s">
        <v>2881</v>
      </c>
      <c r="G1049" s="115"/>
      <c r="H1049" s="130">
        <v>4628600.9</v>
      </c>
      <c r="I1049" s="130"/>
      <c r="J1049" s="130"/>
      <c r="L1049" s="601"/>
      <c r="M1049" s="601"/>
      <c r="N1049" s="601"/>
      <c r="O1049" s="601"/>
      <c r="P1049" s="601"/>
      <c r="Q1049" s="601"/>
      <c r="R1049" s="601"/>
      <c r="S1049" s="601"/>
      <c r="T1049" s="601"/>
      <c r="U1049" s="601"/>
      <c r="V1049" s="601"/>
      <c r="W1049" s="601"/>
      <c r="X1049" s="601"/>
      <c r="Y1049" s="601"/>
    </row>
    <row r="1050" ht="15" customHeight="1" spans="1:10">
      <c r="A1050" s="109"/>
      <c r="B1050" s="109"/>
      <c r="C1050" s="109"/>
      <c r="D1050" s="110"/>
      <c r="E1050" s="111"/>
      <c r="F1050" s="115" t="s">
        <v>2882</v>
      </c>
      <c r="G1050" s="115"/>
      <c r="H1050" s="130">
        <v>24592339.6</v>
      </c>
      <c r="I1050" s="130"/>
      <c r="J1050" s="130"/>
    </row>
    <row r="1051" ht="15" customHeight="1" spans="1:10">
      <c r="A1051" s="112"/>
      <c r="B1051" s="112"/>
      <c r="C1051" s="112"/>
      <c r="D1051" s="112"/>
      <c r="E1051" s="112"/>
      <c r="F1051" s="112"/>
      <c r="G1051" s="615" t="s">
        <v>2883</v>
      </c>
      <c r="H1051" s="615"/>
      <c r="I1051" s="617">
        <v>0</v>
      </c>
      <c r="J1051" s="112"/>
    </row>
    <row r="1052" ht="15" customHeight="1" spans="1:12">
      <c r="A1052" s="112"/>
      <c r="B1052" s="112"/>
      <c r="C1052" s="112"/>
      <c r="D1052" s="112"/>
      <c r="E1052" s="112"/>
      <c r="F1052" s="112"/>
      <c r="G1052" s="616" t="s">
        <v>2884</v>
      </c>
      <c r="H1052" s="616"/>
      <c r="I1052" s="618">
        <f>H1050-(H1050*I1051)</f>
        <v>24592339.6</v>
      </c>
      <c r="J1052" s="112"/>
      <c r="L1052" s="619">
        <f>L1012+L1005+L1002+L984+L962+L957+L760+L652+L611+L355+L271+L230+L219+L213+L207+L166+L119+L109+L29+L27+L8</f>
        <v>24592339.6</v>
      </c>
    </row>
    <row r="1053" ht="15" customHeight="1" spans="1:10">
      <c r="A1053" s="113" t="s">
        <v>2885</v>
      </c>
      <c r="B1053" s="113"/>
      <c r="C1053" s="113"/>
      <c r="D1053" s="113"/>
      <c r="E1053" s="113"/>
      <c r="F1053" s="113"/>
      <c r="G1053" s="113"/>
      <c r="H1053" s="113"/>
      <c r="I1053" s="113"/>
      <c r="J1053" s="113"/>
    </row>
    <row r="1055" ht="15" customHeight="1" spans="10:10">
      <c r="J1055" s="60"/>
    </row>
    <row r="1056" ht="15" customHeight="1" spans="10:10">
      <c r="J1056" s="60"/>
    </row>
  </sheetData>
  <mergeCells count="23">
    <mergeCell ref="E1:F1"/>
    <mergeCell ref="A2:J2"/>
    <mergeCell ref="A3:D3"/>
    <mergeCell ref="E3:G3"/>
    <mergeCell ref="H3:J3"/>
    <mergeCell ref="A4:D4"/>
    <mergeCell ref="E4:G4"/>
    <mergeCell ref="H4:J4"/>
    <mergeCell ref="A5:D5"/>
    <mergeCell ref="A6:D6"/>
    <mergeCell ref="I6:J6"/>
    <mergeCell ref="A1048:C1048"/>
    <mergeCell ref="F1048:G1048"/>
    <mergeCell ref="H1048:J1048"/>
    <mergeCell ref="A1049:C1049"/>
    <mergeCell ref="F1049:G1049"/>
    <mergeCell ref="H1049:J1049"/>
    <mergeCell ref="A1050:C1050"/>
    <mergeCell ref="F1050:G1050"/>
    <mergeCell ref="H1050:J1050"/>
    <mergeCell ref="G1051:H1051"/>
    <mergeCell ref="G1052:H1052"/>
    <mergeCell ref="A1053:J1053"/>
  </mergeCells>
  <printOptions horizontalCentered="1"/>
  <pageMargins left="0.511805555555556" right="0.511805555555556" top="0.511805555555556" bottom="0.7875" header="0" footer="0.511811023622047"/>
  <pageSetup paperSize="9" fitToHeight="0" orientation="landscape" horizontalDpi="300" verticalDpi="300"/>
  <headerFooter>
    <oddHeader>&amp;L </oddHeader>
  </headerFooter>
  <drawing r:id="rId1"/>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R11553"/>
  <sheetViews>
    <sheetView zoomScale="50" zoomScaleNormal="50" topLeftCell="D1" workbookViewId="0">
      <selection activeCell="A7" sqref="A7"/>
    </sheetView>
  </sheetViews>
  <sheetFormatPr defaultColWidth="12.625" defaultRowHeight="14.25"/>
  <cols>
    <col min="1" max="1" width="9" style="1" customWidth="1"/>
    <col min="2" max="2" width="7.61666666666667" style="1" customWidth="1"/>
    <col min="3" max="3" width="17.25" style="1" customWidth="1"/>
    <col min="4" max="4" width="17" style="1" customWidth="1"/>
    <col min="5" max="5" width="6.75" style="1" customWidth="1"/>
    <col min="6" max="6" width="60" style="1" customWidth="1"/>
    <col min="7" max="7" width="15" style="1" customWidth="1"/>
    <col min="8" max="9" width="10" style="1" customWidth="1"/>
    <col min="10" max="10" width="10.8833333333333" style="1" customWidth="1"/>
    <col min="11" max="11" width="13" style="1" customWidth="1"/>
    <col min="12" max="13" width="10.8833333333333" style="1" customWidth="1"/>
    <col min="14" max="14" width="14.8666666666667" style="1" customWidth="1"/>
    <col min="15" max="15" width="6.25" style="1" customWidth="1"/>
    <col min="16" max="16" width="13.6166666666667" style="1" customWidth="1"/>
    <col min="17" max="17" width="9" style="1" customWidth="1"/>
    <col min="18" max="18" width="11.25" style="1" customWidth="1"/>
  </cols>
  <sheetData>
    <row r="1" ht="127.5" customHeight="1" spans="1:18">
      <c r="A1" s="556"/>
      <c r="B1" s="557"/>
      <c r="C1" s="2"/>
      <c r="D1" s="3"/>
      <c r="E1" s="3"/>
      <c r="F1" s="558"/>
      <c r="G1" s="3"/>
      <c r="H1" s="3"/>
      <c r="I1" s="3"/>
      <c r="J1" s="3"/>
      <c r="K1" s="3"/>
      <c r="L1" s="3"/>
      <c r="M1" s="572"/>
      <c r="N1" s="573"/>
      <c r="O1" s="556"/>
      <c r="P1" s="573"/>
      <c r="Q1" s="556"/>
      <c r="R1" s="582"/>
    </row>
    <row r="2" ht="19.5" customHeight="1" spans="1:18">
      <c r="A2" s="556"/>
      <c r="B2" s="557"/>
      <c r="C2" s="425" t="s">
        <v>2886</v>
      </c>
      <c r="D2" s="425"/>
      <c r="E2" s="425"/>
      <c r="F2" s="425"/>
      <c r="G2" s="425"/>
      <c r="H2" s="425"/>
      <c r="I2" s="425"/>
      <c r="J2" s="425"/>
      <c r="K2" s="425"/>
      <c r="L2" s="425"/>
      <c r="M2" s="425"/>
      <c r="N2" s="573"/>
      <c r="O2" s="556"/>
      <c r="P2" s="573"/>
      <c r="Q2" s="556"/>
      <c r="R2" s="582"/>
    </row>
    <row r="3" ht="19.5" customHeight="1" spans="1:18">
      <c r="A3" s="556"/>
      <c r="B3" s="557"/>
      <c r="C3" s="559" t="s">
        <v>1</v>
      </c>
      <c r="D3" s="559"/>
      <c r="E3" s="559"/>
      <c r="F3" s="559"/>
      <c r="G3" s="560"/>
      <c r="H3" s="561" t="s">
        <v>2</v>
      </c>
      <c r="I3" s="561"/>
      <c r="J3" s="561"/>
      <c r="K3" s="448" t="s">
        <v>3</v>
      </c>
      <c r="L3" s="448"/>
      <c r="M3" s="448"/>
      <c r="N3" s="573"/>
      <c r="O3" s="556"/>
      <c r="P3" s="573"/>
      <c r="Q3" s="556"/>
      <c r="R3" s="582"/>
    </row>
    <row r="4" ht="19.5" customHeight="1" spans="1:18">
      <c r="A4" s="556"/>
      <c r="B4" s="557"/>
      <c r="C4" s="562" t="s">
        <v>4</v>
      </c>
      <c r="D4" s="562"/>
      <c r="E4" s="562"/>
      <c r="F4" s="562"/>
      <c r="G4" s="563"/>
      <c r="H4" s="564" t="str">
        <f>RESUMO!E14</f>
        <v>PROCESSO: 23069.180351/2025-62</v>
      </c>
      <c r="I4" s="564"/>
      <c r="J4" s="564"/>
      <c r="K4" s="449" t="s">
        <v>6</v>
      </c>
      <c r="L4" s="449"/>
      <c r="M4" s="449"/>
      <c r="N4" s="573"/>
      <c r="O4" s="556"/>
      <c r="P4" s="573"/>
      <c r="Q4" s="556"/>
      <c r="R4" s="582"/>
    </row>
    <row r="5" ht="19.5" customHeight="1" spans="1:18">
      <c r="A5" s="556"/>
      <c r="B5" s="557"/>
      <c r="C5" s="562" t="s">
        <v>7</v>
      </c>
      <c r="D5" s="562"/>
      <c r="E5" s="562"/>
      <c r="F5" s="562"/>
      <c r="G5" s="563"/>
      <c r="H5" s="430" t="s">
        <v>8</v>
      </c>
      <c r="I5" s="431" t="s">
        <v>9</v>
      </c>
      <c r="J5" s="431" t="s">
        <v>10</v>
      </c>
      <c r="K5" s="431" t="s">
        <v>11</v>
      </c>
      <c r="L5" s="574" t="s">
        <v>12</v>
      </c>
      <c r="M5" s="574"/>
      <c r="N5" s="573"/>
      <c r="O5" s="556"/>
      <c r="P5" s="573"/>
      <c r="Q5" s="556"/>
      <c r="R5" s="582"/>
    </row>
    <row r="6" ht="45" customHeight="1" spans="1:18">
      <c r="A6" s="556"/>
      <c r="B6" s="557"/>
      <c r="C6" s="565" t="str">
        <f>RESUMO!A16</f>
        <v>BASE DE DADOS: SINAPI - 07/2025 - Rio de Janeiro; SBC - 07/2025 - Rio de Janeiro; EMOP - 07/2025 - Rio de Janeiro; SCO - 07/2025 - Rio de Janeiro - DESONERADO</v>
      </c>
      <c r="D6" s="565"/>
      <c r="E6" s="565"/>
      <c r="F6" s="565"/>
      <c r="G6" s="566"/>
      <c r="H6" s="567">
        <f>BDI!$D$66</f>
        <v>0.2549</v>
      </c>
      <c r="I6" s="575">
        <f>BDI_DIF.!D67</f>
        <v>0.1612</v>
      </c>
      <c r="J6" s="452"/>
      <c r="K6" s="453">
        <f>RESUMO!H16</f>
        <v>45931</v>
      </c>
      <c r="L6" s="576" t="str">
        <f>RESUMO!I16</f>
        <v>R21</v>
      </c>
      <c r="M6" s="576"/>
      <c r="N6" s="573"/>
      <c r="O6" s="556"/>
      <c r="P6" s="573"/>
      <c r="Q6" s="556"/>
      <c r="R6" s="582"/>
    </row>
    <row r="7" ht="15" customHeight="1" spans="1:18">
      <c r="A7" s="556"/>
      <c r="B7" s="557"/>
      <c r="C7" s="568" t="s">
        <v>2887</v>
      </c>
      <c r="D7" s="568"/>
      <c r="E7" s="568"/>
      <c r="F7" s="568"/>
      <c r="G7" s="568"/>
      <c r="H7" s="568"/>
      <c r="I7" s="568"/>
      <c r="J7" s="568"/>
      <c r="K7" s="568"/>
      <c r="L7" s="568"/>
      <c r="M7" s="568"/>
      <c r="N7" s="573"/>
      <c r="O7" s="556"/>
      <c r="P7" s="573"/>
      <c r="Q7" s="556"/>
      <c r="R7" s="582"/>
    </row>
    <row r="8" ht="15" customHeight="1" spans="1:18">
      <c r="A8" s="556"/>
      <c r="B8" s="557"/>
      <c r="C8" s="568" t="s">
        <v>2888</v>
      </c>
      <c r="D8" s="568"/>
      <c r="E8" s="568"/>
      <c r="F8" s="568"/>
      <c r="G8" s="568"/>
      <c r="H8" s="568"/>
      <c r="I8" s="568"/>
      <c r="J8" s="568"/>
      <c r="K8" s="568"/>
      <c r="L8" s="568"/>
      <c r="M8" s="568"/>
      <c r="N8" s="573"/>
      <c r="O8" s="556"/>
      <c r="P8" s="573"/>
      <c r="Q8" s="556"/>
      <c r="R8" s="582"/>
    </row>
    <row r="9" ht="15" customHeight="1" spans="1:18">
      <c r="A9" s="556"/>
      <c r="B9" s="557" t="str">
        <f>C8</f>
        <v>Composições Principais</v>
      </c>
      <c r="C9" s="76" t="s">
        <v>75</v>
      </c>
      <c r="D9" s="75" t="s">
        <v>63</v>
      </c>
      <c r="E9" s="76" t="s">
        <v>64</v>
      </c>
      <c r="F9" s="76" t="s">
        <v>65</v>
      </c>
      <c r="G9" s="76" t="s">
        <v>2889</v>
      </c>
      <c r="H9" s="76"/>
      <c r="I9" s="77" t="s">
        <v>66</v>
      </c>
      <c r="J9" s="75" t="s">
        <v>67</v>
      </c>
      <c r="K9" s="75" t="s">
        <v>2890</v>
      </c>
      <c r="L9" s="75" t="s">
        <v>68</v>
      </c>
      <c r="M9" s="75" t="s">
        <v>70</v>
      </c>
      <c r="N9" s="573">
        <v>11.6</v>
      </c>
      <c r="O9" s="556" t="str">
        <f>IF(N9=M9,"OK","DIF")</f>
        <v>DIF</v>
      </c>
      <c r="P9" s="573"/>
      <c r="Q9" s="556"/>
      <c r="R9" s="582"/>
    </row>
    <row r="10" ht="63.75" spans="1:18">
      <c r="A10" s="556" t="str">
        <f>B10</f>
        <v>Composições Principais</v>
      </c>
      <c r="B10" s="557" t="str">
        <f>B9</f>
        <v>Composições Principais</v>
      </c>
      <c r="C10" s="569" t="s">
        <v>2891</v>
      </c>
      <c r="D10" s="570" t="s">
        <v>76</v>
      </c>
      <c r="E10" s="569" t="s">
        <v>77</v>
      </c>
      <c r="F10" s="569" t="s">
        <v>2892</v>
      </c>
      <c r="G10" s="569">
        <v>1</v>
      </c>
      <c r="H10" s="569"/>
      <c r="I10" s="577" t="s">
        <v>141</v>
      </c>
      <c r="J10" s="578">
        <v>1</v>
      </c>
      <c r="K10" s="579"/>
      <c r="L10" s="579">
        <v>12.95</v>
      </c>
      <c r="M10" s="579">
        <v>12.95</v>
      </c>
      <c r="N10" s="573">
        <v>11.6</v>
      </c>
      <c r="O10" s="556" t="str">
        <f>IF(N10=M10,"OK","DIF")</f>
        <v>DIF</v>
      </c>
      <c r="P10" s="573"/>
      <c r="Q10" s="556"/>
      <c r="R10" s="582"/>
    </row>
    <row r="11" ht="23.85" customHeight="1" spans="1:18">
      <c r="A11" s="556"/>
      <c r="B11" s="557"/>
      <c r="C11" s="100" t="s">
        <v>2893</v>
      </c>
      <c r="D11" s="99" t="s">
        <v>2894</v>
      </c>
      <c r="E11" s="100" t="s">
        <v>77</v>
      </c>
      <c r="F11" s="100" t="s">
        <v>2895</v>
      </c>
      <c r="G11" s="100" t="s">
        <v>2896</v>
      </c>
      <c r="H11" s="100"/>
      <c r="I11" s="101" t="s">
        <v>2897</v>
      </c>
      <c r="J11" s="580">
        <v>0.0912</v>
      </c>
      <c r="K11" s="580">
        <v>9</v>
      </c>
      <c r="L11" s="102">
        <v>130.31</v>
      </c>
      <c r="M11" s="102">
        <v>12.95</v>
      </c>
      <c r="N11" s="573"/>
      <c r="O11" s="556"/>
      <c r="P11" s="573"/>
      <c r="Q11" s="556"/>
      <c r="R11" s="582"/>
    </row>
    <row r="12" ht="25.5" spans="1:18">
      <c r="A12" s="556"/>
      <c r="B12" s="557"/>
      <c r="C12" s="108"/>
      <c r="D12" s="108"/>
      <c r="E12" s="108"/>
      <c r="F12" s="108"/>
      <c r="G12" s="108"/>
      <c r="H12" s="108" t="s">
        <v>2898</v>
      </c>
      <c r="I12" s="581">
        <v>12.95</v>
      </c>
      <c r="J12" s="108" t="s">
        <v>2899</v>
      </c>
      <c r="K12" s="581">
        <v>0</v>
      </c>
      <c r="L12" s="108" t="s">
        <v>2900</v>
      </c>
      <c r="M12" s="581">
        <v>12.95</v>
      </c>
      <c r="N12" s="573"/>
      <c r="O12" s="556"/>
      <c r="P12" s="573"/>
      <c r="Q12" s="556"/>
      <c r="R12" s="582"/>
    </row>
    <row r="13" ht="26.25" spans="1:18">
      <c r="A13" s="556"/>
      <c r="B13" s="557">
        <f>C12</f>
        <v>0</v>
      </c>
      <c r="C13" s="108"/>
      <c r="D13" s="108"/>
      <c r="E13" s="108"/>
      <c r="F13" s="108"/>
      <c r="G13" s="108"/>
      <c r="H13" s="108" t="s">
        <v>2901</v>
      </c>
      <c r="I13" s="581">
        <v>3.3</v>
      </c>
      <c r="J13" s="114"/>
      <c r="K13" s="114" t="s">
        <v>2902</v>
      </c>
      <c r="L13" s="108"/>
      <c r="M13" s="581">
        <v>16.25</v>
      </c>
      <c r="N13" s="573">
        <v>8.42</v>
      </c>
      <c r="O13" s="556" t="str">
        <f>IF(N13=M13,"OK","DIF")</f>
        <v>DIF</v>
      </c>
      <c r="P13" s="573"/>
      <c r="Q13" s="556"/>
      <c r="R13" s="582"/>
    </row>
    <row r="14" ht="15" spans="1:18">
      <c r="A14" s="556">
        <f>B14</f>
        <v>0</v>
      </c>
      <c r="B14" s="557">
        <f>B13</f>
        <v>0</v>
      </c>
      <c r="C14" s="571"/>
      <c r="D14" s="571"/>
      <c r="E14" s="571"/>
      <c r="F14" s="571"/>
      <c r="G14" s="571"/>
      <c r="H14" s="571"/>
      <c r="I14" s="571"/>
      <c r="J14" s="571"/>
      <c r="K14" s="571"/>
      <c r="L14" s="571"/>
      <c r="M14" s="571"/>
      <c r="N14" s="573">
        <v>8.42</v>
      </c>
      <c r="O14" s="556" t="str">
        <f>IF(N14=M14,"OK","DIF")</f>
        <v>DIF</v>
      </c>
      <c r="P14" s="573"/>
      <c r="Q14" s="556"/>
      <c r="R14" s="582"/>
    </row>
    <row r="15" ht="15" customHeight="1" spans="1:18">
      <c r="A15" s="556"/>
      <c r="B15" s="557"/>
      <c r="C15" s="76" t="s">
        <v>79</v>
      </c>
      <c r="D15" s="75" t="s">
        <v>63</v>
      </c>
      <c r="E15" s="76" t="s">
        <v>64</v>
      </c>
      <c r="F15" s="76" t="s">
        <v>65</v>
      </c>
      <c r="G15" s="76" t="s">
        <v>2889</v>
      </c>
      <c r="H15" s="76"/>
      <c r="I15" s="77" t="s">
        <v>66</v>
      </c>
      <c r="J15" s="75" t="s">
        <v>67</v>
      </c>
      <c r="K15" s="75" t="s">
        <v>2890</v>
      </c>
      <c r="L15" s="75" t="s">
        <v>68</v>
      </c>
      <c r="M15" s="75" t="s">
        <v>70</v>
      </c>
      <c r="N15" s="573"/>
      <c r="O15" s="556"/>
      <c r="P15" s="573"/>
      <c r="Q15" s="556"/>
      <c r="R15" s="582"/>
    </row>
    <row r="16" ht="63.75" spans="1:18">
      <c r="A16" s="556"/>
      <c r="B16" s="557"/>
      <c r="C16" s="569" t="s">
        <v>2891</v>
      </c>
      <c r="D16" s="570" t="s">
        <v>80</v>
      </c>
      <c r="E16" s="569" t="s">
        <v>77</v>
      </c>
      <c r="F16" s="569" t="s">
        <v>2903</v>
      </c>
      <c r="G16" s="569">
        <v>1</v>
      </c>
      <c r="H16" s="569"/>
      <c r="I16" s="577" t="s">
        <v>141</v>
      </c>
      <c r="J16" s="578">
        <v>1</v>
      </c>
      <c r="K16" s="579"/>
      <c r="L16" s="579">
        <v>9.4</v>
      </c>
      <c r="M16" s="579">
        <v>9.4</v>
      </c>
      <c r="N16" s="573"/>
      <c r="O16" s="556"/>
      <c r="P16" s="573"/>
      <c r="Q16" s="556"/>
      <c r="R16" s="582"/>
    </row>
    <row r="17" ht="23.85" customHeight="1" spans="1:18">
      <c r="A17" s="556"/>
      <c r="B17" s="557" t="str">
        <f>C16</f>
        <v>Composição</v>
      </c>
      <c r="C17" s="100" t="s">
        <v>2893</v>
      </c>
      <c r="D17" s="99" t="s">
        <v>2894</v>
      </c>
      <c r="E17" s="100" t="s">
        <v>77</v>
      </c>
      <c r="F17" s="100" t="s">
        <v>2895</v>
      </c>
      <c r="G17" s="100" t="s">
        <v>2896</v>
      </c>
      <c r="H17" s="100"/>
      <c r="I17" s="101" t="s">
        <v>2897</v>
      </c>
      <c r="J17" s="580">
        <v>0.0662</v>
      </c>
      <c r="K17" s="580">
        <v>9</v>
      </c>
      <c r="L17" s="102">
        <v>130.31</v>
      </c>
      <c r="M17" s="102">
        <v>9.4</v>
      </c>
      <c r="N17" s="573">
        <v>6.76</v>
      </c>
      <c r="O17" s="556" t="str">
        <f>IF(N17=M17,"OK","DIF")</f>
        <v>DIF</v>
      </c>
      <c r="P17" s="573"/>
      <c r="Q17" s="556"/>
      <c r="R17" s="582"/>
    </row>
    <row r="18" ht="25.5" spans="1:18">
      <c r="A18" s="556" t="str">
        <f>B18</f>
        <v>Composição</v>
      </c>
      <c r="B18" s="557" t="str">
        <f>B17</f>
        <v>Composição</v>
      </c>
      <c r="C18" s="108"/>
      <c r="D18" s="108"/>
      <c r="E18" s="108"/>
      <c r="F18" s="108"/>
      <c r="G18" s="108"/>
      <c r="H18" s="108" t="s">
        <v>2898</v>
      </c>
      <c r="I18" s="581">
        <v>9.4</v>
      </c>
      <c r="J18" s="108" t="s">
        <v>2899</v>
      </c>
      <c r="K18" s="581">
        <v>0</v>
      </c>
      <c r="L18" s="108" t="s">
        <v>2900</v>
      </c>
      <c r="M18" s="581">
        <v>9.4</v>
      </c>
      <c r="N18" s="573">
        <v>6.76</v>
      </c>
      <c r="O18" s="556" t="str">
        <f>IF(N18=M18,"OK","DIF")</f>
        <v>DIF</v>
      </c>
      <c r="P18" s="573"/>
      <c r="Q18" s="556"/>
      <c r="R18" s="582"/>
    </row>
    <row r="19" ht="26.25" spans="1:18">
      <c r="A19" s="556"/>
      <c r="B19" s="557"/>
      <c r="C19" s="108"/>
      <c r="D19" s="108"/>
      <c r="E19" s="108"/>
      <c r="F19" s="108"/>
      <c r="G19" s="108"/>
      <c r="H19" s="108" t="s">
        <v>2901</v>
      </c>
      <c r="I19" s="581">
        <v>2.39</v>
      </c>
      <c r="J19" s="114"/>
      <c r="K19" s="114" t="s">
        <v>2902</v>
      </c>
      <c r="L19" s="108"/>
      <c r="M19" s="581">
        <v>11.79</v>
      </c>
      <c r="N19" s="573"/>
      <c r="O19" s="556"/>
      <c r="P19" s="573"/>
      <c r="Q19" s="556"/>
      <c r="R19" s="582"/>
    </row>
    <row r="20" ht="15" spans="1:18">
      <c r="A20" s="556"/>
      <c r="B20" s="557"/>
      <c r="C20" s="571"/>
      <c r="D20" s="571"/>
      <c r="E20" s="571"/>
      <c r="F20" s="571"/>
      <c r="G20" s="571"/>
      <c r="H20" s="571"/>
      <c r="I20" s="571"/>
      <c r="J20" s="571"/>
      <c r="K20" s="571"/>
      <c r="L20" s="571"/>
      <c r="M20" s="571"/>
      <c r="N20" s="573"/>
      <c r="O20" s="556"/>
      <c r="P20" s="573"/>
      <c r="Q20" s="556"/>
      <c r="R20" s="582"/>
    </row>
    <row r="21" ht="15" customHeight="1" spans="1:18">
      <c r="A21" s="556"/>
      <c r="B21" s="557">
        <f>C20</f>
        <v>0</v>
      </c>
      <c r="C21" s="76" t="s">
        <v>82</v>
      </c>
      <c r="D21" s="75" t="s">
        <v>63</v>
      </c>
      <c r="E21" s="76" t="s">
        <v>64</v>
      </c>
      <c r="F21" s="76" t="s">
        <v>65</v>
      </c>
      <c r="G21" s="76" t="s">
        <v>2889</v>
      </c>
      <c r="H21" s="76"/>
      <c r="I21" s="77" t="s">
        <v>66</v>
      </c>
      <c r="J21" s="75" t="s">
        <v>67</v>
      </c>
      <c r="K21" s="75" t="s">
        <v>2890</v>
      </c>
      <c r="L21" s="75" t="s">
        <v>68</v>
      </c>
      <c r="M21" s="75" t="s">
        <v>70</v>
      </c>
      <c r="N21" s="573">
        <v>1.69</v>
      </c>
      <c r="O21" s="556" t="str">
        <f>IF(N21=M21,"OK","DIF")</f>
        <v>DIF</v>
      </c>
      <c r="P21" s="573"/>
      <c r="Q21" s="556"/>
      <c r="R21" s="582"/>
    </row>
    <row r="22" ht="63.75" spans="1:18">
      <c r="A22" s="556">
        <f>B22</f>
        <v>0</v>
      </c>
      <c r="B22" s="557">
        <f>B21</f>
        <v>0</v>
      </c>
      <c r="C22" s="569" t="s">
        <v>2891</v>
      </c>
      <c r="D22" s="570" t="s">
        <v>83</v>
      </c>
      <c r="E22" s="569" t="s">
        <v>77</v>
      </c>
      <c r="F22" s="569" t="s">
        <v>2904</v>
      </c>
      <c r="G22" s="569">
        <v>1</v>
      </c>
      <c r="H22" s="569"/>
      <c r="I22" s="577" t="s">
        <v>141</v>
      </c>
      <c r="J22" s="578">
        <v>1</v>
      </c>
      <c r="K22" s="579"/>
      <c r="L22" s="579">
        <v>7.55</v>
      </c>
      <c r="M22" s="579">
        <v>7.55</v>
      </c>
      <c r="N22" s="573">
        <v>1.69</v>
      </c>
      <c r="O22" s="556" t="str">
        <f>IF(N22=M22,"OK","DIF")</f>
        <v>DIF</v>
      </c>
      <c r="P22" s="573"/>
      <c r="Q22" s="556"/>
      <c r="R22" s="582"/>
    </row>
    <row r="23" ht="23.85" customHeight="1" spans="1:18">
      <c r="A23" s="556"/>
      <c r="B23" s="557"/>
      <c r="C23" s="100" t="s">
        <v>2893</v>
      </c>
      <c r="D23" s="99" t="s">
        <v>2894</v>
      </c>
      <c r="E23" s="100" t="s">
        <v>77</v>
      </c>
      <c r="F23" s="100" t="s">
        <v>2895</v>
      </c>
      <c r="G23" s="100" t="s">
        <v>2896</v>
      </c>
      <c r="H23" s="100"/>
      <c r="I23" s="101" t="s">
        <v>2897</v>
      </c>
      <c r="J23" s="580">
        <v>0.0532</v>
      </c>
      <c r="K23" s="580">
        <v>9</v>
      </c>
      <c r="L23" s="102">
        <v>130.31</v>
      </c>
      <c r="M23" s="102">
        <v>7.55</v>
      </c>
      <c r="N23" s="573"/>
      <c r="O23" s="556"/>
      <c r="P23" s="573"/>
      <c r="Q23" s="556"/>
      <c r="R23" s="582"/>
    </row>
    <row r="24" ht="25.5" spans="1:18">
      <c r="A24" s="556"/>
      <c r="B24" s="557"/>
      <c r="C24" s="108"/>
      <c r="D24" s="108"/>
      <c r="E24" s="108"/>
      <c r="F24" s="108"/>
      <c r="G24" s="108"/>
      <c r="H24" s="108" t="s">
        <v>2898</v>
      </c>
      <c r="I24" s="581">
        <v>7.55</v>
      </c>
      <c r="J24" s="108" t="s">
        <v>2899</v>
      </c>
      <c r="K24" s="581">
        <v>0</v>
      </c>
      <c r="L24" s="108" t="s">
        <v>2900</v>
      </c>
      <c r="M24" s="581">
        <v>7.55</v>
      </c>
      <c r="N24" s="573"/>
      <c r="O24" s="556"/>
      <c r="P24" s="573"/>
      <c r="Q24" s="556"/>
      <c r="R24" s="582"/>
    </row>
    <row r="25" ht="26.25" spans="1:18">
      <c r="A25" s="556"/>
      <c r="B25" s="557">
        <f>C24</f>
        <v>0</v>
      </c>
      <c r="C25" s="108"/>
      <c r="D25" s="108"/>
      <c r="E25" s="108"/>
      <c r="F25" s="108"/>
      <c r="G25" s="108"/>
      <c r="H25" s="108" t="s">
        <v>2901</v>
      </c>
      <c r="I25" s="581">
        <v>1.92</v>
      </c>
      <c r="J25" s="114"/>
      <c r="K25" s="114" t="s">
        <v>2902</v>
      </c>
      <c r="L25" s="108"/>
      <c r="M25" s="581">
        <v>9.47</v>
      </c>
      <c r="N25" s="573">
        <v>1.41</v>
      </c>
      <c r="O25" s="556" t="str">
        <f>IF(N25=M25,"OK","DIF")</f>
        <v>DIF</v>
      </c>
      <c r="P25" s="573"/>
      <c r="Q25" s="556"/>
      <c r="R25" s="582"/>
    </row>
    <row r="26" ht="15" spans="1:18">
      <c r="A26" s="556">
        <f>B26</f>
        <v>0</v>
      </c>
      <c r="B26" s="557">
        <f>B25</f>
        <v>0</v>
      </c>
      <c r="C26" s="571"/>
      <c r="D26" s="571"/>
      <c r="E26" s="571"/>
      <c r="F26" s="571"/>
      <c r="G26" s="571"/>
      <c r="H26" s="571"/>
      <c r="I26" s="571"/>
      <c r="J26" s="571"/>
      <c r="K26" s="571"/>
      <c r="L26" s="571"/>
      <c r="M26" s="571"/>
      <c r="N26" s="573">
        <v>1.41</v>
      </c>
      <c r="O26" s="556" t="str">
        <f>IF(N26=M26,"OK","DIF")</f>
        <v>DIF</v>
      </c>
      <c r="P26" s="573"/>
      <c r="Q26" s="556"/>
      <c r="R26" s="582"/>
    </row>
    <row r="27" ht="15" customHeight="1" spans="1:18">
      <c r="A27" s="556"/>
      <c r="B27" s="557"/>
      <c r="C27" s="76" t="s">
        <v>85</v>
      </c>
      <c r="D27" s="75" t="s">
        <v>63</v>
      </c>
      <c r="E27" s="76" t="s">
        <v>64</v>
      </c>
      <c r="F27" s="76" t="s">
        <v>65</v>
      </c>
      <c r="G27" s="76" t="s">
        <v>2889</v>
      </c>
      <c r="H27" s="76"/>
      <c r="I27" s="77" t="s">
        <v>66</v>
      </c>
      <c r="J27" s="75" t="s">
        <v>67</v>
      </c>
      <c r="K27" s="75" t="s">
        <v>2890</v>
      </c>
      <c r="L27" s="75" t="s">
        <v>68</v>
      </c>
      <c r="M27" s="75" t="s">
        <v>70</v>
      </c>
      <c r="N27" s="573"/>
      <c r="O27" s="556"/>
      <c r="P27" s="573"/>
      <c r="Q27" s="556"/>
      <c r="R27" s="582"/>
    </row>
    <row r="28" ht="38.25" spans="1:18">
      <c r="A28" s="556"/>
      <c r="B28" s="557"/>
      <c r="C28" s="569" t="s">
        <v>2891</v>
      </c>
      <c r="D28" s="570" t="s">
        <v>86</v>
      </c>
      <c r="E28" s="569" t="s">
        <v>77</v>
      </c>
      <c r="F28" s="569" t="s">
        <v>2905</v>
      </c>
      <c r="G28" s="569">
        <v>1</v>
      </c>
      <c r="H28" s="569"/>
      <c r="I28" s="577" t="s">
        <v>141</v>
      </c>
      <c r="J28" s="578">
        <v>1</v>
      </c>
      <c r="K28" s="579"/>
      <c r="L28" s="579">
        <v>1.88</v>
      </c>
      <c r="M28" s="579">
        <v>1.88</v>
      </c>
      <c r="N28" s="573"/>
      <c r="O28" s="556"/>
      <c r="P28" s="573"/>
      <c r="Q28" s="556"/>
      <c r="R28" s="582"/>
    </row>
    <row r="29" ht="23.85" customHeight="1" spans="1:18">
      <c r="A29" s="556"/>
      <c r="B29" s="557" t="str">
        <f>C28</f>
        <v>Composição</v>
      </c>
      <c r="C29" s="100" t="s">
        <v>2893</v>
      </c>
      <c r="D29" s="99" t="s">
        <v>2894</v>
      </c>
      <c r="E29" s="100" t="s">
        <v>77</v>
      </c>
      <c r="F29" s="100" t="s">
        <v>2895</v>
      </c>
      <c r="G29" s="100" t="s">
        <v>2896</v>
      </c>
      <c r="H29" s="100"/>
      <c r="I29" s="101" t="s">
        <v>2897</v>
      </c>
      <c r="J29" s="580">
        <v>0.0133</v>
      </c>
      <c r="K29" s="580">
        <v>9</v>
      </c>
      <c r="L29" s="102">
        <v>130.31</v>
      </c>
      <c r="M29" s="102">
        <v>1.88</v>
      </c>
      <c r="N29" s="573">
        <v>0.83</v>
      </c>
      <c r="O29" s="556" t="str">
        <f>IF(N29=M29,"OK","DIF")</f>
        <v>DIF</v>
      </c>
      <c r="P29" s="573"/>
      <c r="Q29" s="556"/>
      <c r="R29" s="582"/>
    </row>
    <row r="30" ht="25.5" spans="1:18">
      <c r="A30" s="556" t="str">
        <f>B30</f>
        <v>Composição</v>
      </c>
      <c r="B30" s="557" t="str">
        <f>B29</f>
        <v>Composição</v>
      </c>
      <c r="C30" s="108"/>
      <c r="D30" s="108"/>
      <c r="E30" s="108"/>
      <c r="F30" s="108"/>
      <c r="G30" s="108"/>
      <c r="H30" s="108" t="s">
        <v>2898</v>
      </c>
      <c r="I30" s="581">
        <v>1.88</v>
      </c>
      <c r="J30" s="108" t="s">
        <v>2899</v>
      </c>
      <c r="K30" s="581">
        <v>0</v>
      </c>
      <c r="L30" s="108" t="s">
        <v>2900</v>
      </c>
      <c r="M30" s="581">
        <v>1.88</v>
      </c>
      <c r="N30" s="573">
        <v>0.83</v>
      </c>
      <c r="O30" s="556" t="str">
        <f>IF(N30=M30,"OK","DIF")</f>
        <v>DIF</v>
      </c>
      <c r="P30" s="573"/>
      <c r="Q30" s="556"/>
      <c r="R30" s="582"/>
    </row>
    <row r="31" ht="26.25" spans="1:18">
      <c r="A31" s="556"/>
      <c r="B31" s="557"/>
      <c r="C31" s="108"/>
      <c r="D31" s="108"/>
      <c r="E31" s="108"/>
      <c r="F31" s="108"/>
      <c r="G31" s="108"/>
      <c r="H31" s="108" t="s">
        <v>2901</v>
      </c>
      <c r="I31" s="581">
        <v>0.47</v>
      </c>
      <c r="J31" s="114"/>
      <c r="K31" s="114" t="s">
        <v>2902</v>
      </c>
      <c r="L31" s="108"/>
      <c r="M31" s="581">
        <v>2.35</v>
      </c>
      <c r="N31" s="573"/>
      <c r="O31" s="556"/>
      <c r="P31" s="573"/>
      <c r="Q31" s="556"/>
      <c r="R31" s="582"/>
    </row>
    <row r="32" ht="15" spans="1:18">
      <c r="A32" s="556"/>
      <c r="B32" s="557"/>
      <c r="C32" s="571"/>
      <c r="D32" s="571"/>
      <c r="E32" s="571"/>
      <c r="F32" s="571"/>
      <c r="G32" s="571"/>
      <c r="H32" s="571"/>
      <c r="I32" s="571"/>
      <c r="J32" s="571"/>
      <c r="K32" s="571"/>
      <c r="L32" s="571"/>
      <c r="M32" s="571"/>
      <c r="N32" s="573"/>
      <c r="O32" s="556"/>
      <c r="P32" s="573"/>
      <c r="Q32" s="556"/>
      <c r="R32" s="582"/>
    </row>
    <row r="33" ht="15" customHeight="1" spans="1:18">
      <c r="A33" s="556"/>
      <c r="B33" s="557">
        <f>C32</f>
        <v>0</v>
      </c>
      <c r="C33" s="76" t="s">
        <v>88</v>
      </c>
      <c r="D33" s="75" t="s">
        <v>63</v>
      </c>
      <c r="E33" s="76" t="s">
        <v>64</v>
      </c>
      <c r="F33" s="76" t="s">
        <v>65</v>
      </c>
      <c r="G33" s="76" t="s">
        <v>2889</v>
      </c>
      <c r="H33" s="76"/>
      <c r="I33" s="77" t="s">
        <v>66</v>
      </c>
      <c r="J33" s="75" t="s">
        <v>67</v>
      </c>
      <c r="K33" s="75" t="s">
        <v>2890</v>
      </c>
      <c r="L33" s="75" t="s">
        <v>68</v>
      </c>
      <c r="M33" s="75" t="s">
        <v>70</v>
      </c>
      <c r="N33" s="573">
        <v>0.55</v>
      </c>
      <c r="O33" s="556" t="str">
        <f>IF(N33=M33,"OK","DIF")</f>
        <v>DIF</v>
      </c>
      <c r="P33" s="573"/>
      <c r="Q33" s="556"/>
      <c r="R33" s="582"/>
    </row>
    <row r="34" ht="51" spans="1:18">
      <c r="A34" s="556">
        <f>B34</f>
        <v>0</v>
      </c>
      <c r="B34" s="557">
        <f>B33</f>
        <v>0</v>
      </c>
      <c r="C34" s="569" t="s">
        <v>2891</v>
      </c>
      <c r="D34" s="570" t="s">
        <v>89</v>
      </c>
      <c r="E34" s="569" t="s">
        <v>77</v>
      </c>
      <c r="F34" s="569" t="s">
        <v>2906</v>
      </c>
      <c r="G34" s="569">
        <v>1</v>
      </c>
      <c r="H34" s="569"/>
      <c r="I34" s="577" t="s">
        <v>141</v>
      </c>
      <c r="J34" s="578">
        <v>1</v>
      </c>
      <c r="K34" s="579"/>
      <c r="L34" s="579">
        <v>1.57</v>
      </c>
      <c r="M34" s="579">
        <v>1.57</v>
      </c>
      <c r="N34" s="573">
        <v>0.55</v>
      </c>
      <c r="O34" s="556" t="str">
        <f>IF(N34=M34,"OK","DIF")</f>
        <v>DIF</v>
      </c>
      <c r="P34" s="573"/>
      <c r="Q34" s="556"/>
      <c r="R34" s="582"/>
    </row>
    <row r="35" ht="23.85" customHeight="1" spans="1:18">
      <c r="A35" s="556"/>
      <c r="B35" s="557"/>
      <c r="C35" s="100" t="s">
        <v>2893</v>
      </c>
      <c r="D35" s="99" t="s">
        <v>2894</v>
      </c>
      <c r="E35" s="100" t="s">
        <v>77</v>
      </c>
      <c r="F35" s="100" t="s">
        <v>2895</v>
      </c>
      <c r="G35" s="100" t="s">
        <v>2896</v>
      </c>
      <c r="H35" s="100"/>
      <c r="I35" s="101" t="s">
        <v>2897</v>
      </c>
      <c r="J35" s="580">
        <v>0.0111</v>
      </c>
      <c r="K35" s="580">
        <v>9</v>
      </c>
      <c r="L35" s="102">
        <v>130.31</v>
      </c>
      <c r="M35" s="102">
        <v>1.57</v>
      </c>
      <c r="N35" s="573"/>
      <c r="O35" s="556"/>
      <c r="P35" s="573"/>
      <c r="Q35" s="556"/>
      <c r="R35" s="582"/>
    </row>
    <row r="36" ht="25.5" spans="1:18">
      <c r="A36" s="556"/>
      <c r="B36" s="557"/>
      <c r="C36" s="108"/>
      <c r="D36" s="108"/>
      <c r="E36" s="108"/>
      <c r="F36" s="108"/>
      <c r="G36" s="108"/>
      <c r="H36" s="108" t="s">
        <v>2898</v>
      </c>
      <c r="I36" s="581">
        <v>1.57</v>
      </c>
      <c r="J36" s="108" t="s">
        <v>2899</v>
      </c>
      <c r="K36" s="581">
        <v>0</v>
      </c>
      <c r="L36" s="108" t="s">
        <v>2900</v>
      </c>
      <c r="M36" s="581">
        <v>1.57</v>
      </c>
      <c r="N36" s="573"/>
      <c r="O36" s="556"/>
      <c r="P36" s="573"/>
      <c r="Q36" s="556"/>
      <c r="R36" s="582"/>
    </row>
    <row r="37" ht="26.25" spans="1:18">
      <c r="A37" s="556"/>
      <c r="B37" s="557">
        <f>C36</f>
        <v>0</v>
      </c>
      <c r="C37" s="108"/>
      <c r="D37" s="108"/>
      <c r="E37" s="108"/>
      <c r="F37" s="108"/>
      <c r="G37" s="108"/>
      <c r="H37" s="108" t="s">
        <v>2901</v>
      </c>
      <c r="I37" s="581">
        <v>0.4</v>
      </c>
      <c r="J37" s="114"/>
      <c r="K37" s="114" t="s">
        <v>2902</v>
      </c>
      <c r="L37" s="108"/>
      <c r="M37" s="581">
        <v>1.97</v>
      </c>
      <c r="N37" s="573">
        <v>0.39</v>
      </c>
      <c r="O37" s="556" t="str">
        <f>IF(N37=M37,"OK","DIF")</f>
        <v>DIF</v>
      </c>
      <c r="P37" s="573"/>
      <c r="Q37" s="556"/>
      <c r="R37" s="582"/>
    </row>
    <row r="38" ht="15" spans="1:18">
      <c r="A38" s="556">
        <f>B38</f>
        <v>0</v>
      </c>
      <c r="B38" s="557">
        <f>B37</f>
        <v>0</v>
      </c>
      <c r="C38" s="571"/>
      <c r="D38" s="571"/>
      <c r="E38" s="571"/>
      <c r="F38" s="571"/>
      <c r="G38" s="571"/>
      <c r="H38" s="571"/>
      <c r="I38" s="571"/>
      <c r="J38" s="571"/>
      <c r="K38" s="571"/>
      <c r="L38" s="571"/>
      <c r="M38" s="571"/>
      <c r="N38" s="573">
        <v>0.39</v>
      </c>
      <c r="O38" s="556" t="str">
        <f>IF(N38=M38,"OK","DIF")</f>
        <v>DIF</v>
      </c>
      <c r="P38" s="573"/>
      <c r="Q38" s="556"/>
      <c r="R38" s="582"/>
    </row>
    <row r="39" ht="15" customHeight="1" spans="1:18">
      <c r="A39" s="556"/>
      <c r="B39" s="557"/>
      <c r="C39" s="76" t="s">
        <v>91</v>
      </c>
      <c r="D39" s="75" t="s">
        <v>63</v>
      </c>
      <c r="E39" s="76" t="s">
        <v>64</v>
      </c>
      <c r="F39" s="76" t="s">
        <v>65</v>
      </c>
      <c r="G39" s="76" t="s">
        <v>2889</v>
      </c>
      <c r="H39" s="76"/>
      <c r="I39" s="77" t="s">
        <v>66</v>
      </c>
      <c r="J39" s="75" t="s">
        <v>67</v>
      </c>
      <c r="K39" s="75" t="s">
        <v>2890</v>
      </c>
      <c r="L39" s="75" t="s">
        <v>68</v>
      </c>
      <c r="M39" s="75" t="s">
        <v>70</v>
      </c>
      <c r="N39" s="573"/>
      <c r="O39" s="556"/>
      <c r="P39" s="573"/>
      <c r="Q39" s="556"/>
      <c r="R39" s="582"/>
    </row>
    <row r="40" ht="51" spans="1:18">
      <c r="A40" s="556"/>
      <c r="B40" s="557"/>
      <c r="C40" s="569" t="s">
        <v>2891</v>
      </c>
      <c r="D40" s="570" t="s">
        <v>92</v>
      </c>
      <c r="E40" s="569" t="s">
        <v>77</v>
      </c>
      <c r="F40" s="569" t="s">
        <v>2907</v>
      </c>
      <c r="G40" s="569">
        <v>1</v>
      </c>
      <c r="H40" s="569"/>
      <c r="I40" s="577" t="s">
        <v>141</v>
      </c>
      <c r="J40" s="578">
        <v>1</v>
      </c>
      <c r="K40" s="579"/>
      <c r="L40" s="579">
        <v>0.93</v>
      </c>
      <c r="M40" s="579">
        <v>0.93</v>
      </c>
      <c r="N40" s="573"/>
      <c r="O40" s="556"/>
      <c r="P40" s="573"/>
      <c r="Q40" s="556"/>
      <c r="R40" s="582"/>
    </row>
    <row r="41" ht="23.85" customHeight="1" spans="1:18">
      <c r="A41" s="556"/>
      <c r="B41" s="557" t="str">
        <f>C40</f>
        <v>Composição</v>
      </c>
      <c r="C41" s="100" t="s">
        <v>2893</v>
      </c>
      <c r="D41" s="99" t="s">
        <v>2894</v>
      </c>
      <c r="E41" s="100" t="s">
        <v>77</v>
      </c>
      <c r="F41" s="100" t="s">
        <v>2895</v>
      </c>
      <c r="G41" s="100" t="s">
        <v>2896</v>
      </c>
      <c r="H41" s="100"/>
      <c r="I41" s="101" t="s">
        <v>2897</v>
      </c>
      <c r="J41" s="580">
        <v>0.0066</v>
      </c>
      <c r="K41" s="580">
        <v>9</v>
      </c>
      <c r="L41" s="102">
        <v>130.31</v>
      </c>
      <c r="M41" s="102">
        <v>0.93</v>
      </c>
      <c r="N41" s="573">
        <v>0.22</v>
      </c>
      <c r="O41" s="556" t="str">
        <f>IF(N41=M41,"OK","DIF")</f>
        <v>DIF</v>
      </c>
      <c r="P41" s="573"/>
      <c r="Q41" s="556"/>
      <c r="R41" s="582"/>
    </row>
    <row r="42" ht="25.5" spans="1:18">
      <c r="A42" s="556" t="str">
        <f>B42</f>
        <v>Composição</v>
      </c>
      <c r="B42" s="557" t="str">
        <f>B41</f>
        <v>Composição</v>
      </c>
      <c r="C42" s="108"/>
      <c r="D42" s="108"/>
      <c r="E42" s="108"/>
      <c r="F42" s="108"/>
      <c r="G42" s="108"/>
      <c r="H42" s="108" t="s">
        <v>2898</v>
      </c>
      <c r="I42" s="581">
        <v>0.93</v>
      </c>
      <c r="J42" s="108" t="s">
        <v>2899</v>
      </c>
      <c r="K42" s="581">
        <v>0</v>
      </c>
      <c r="L42" s="108" t="s">
        <v>2900</v>
      </c>
      <c r="M42" s="581">
        <v>0.93</v>
      </c>
      <c r="N42" s="573">
        <v>0.22</v>
      </c>
      <c r="O42" s="556" t="str">
        <f>IF(N42=M42,"OK","DIF")</f>
        <v>DIF</v>
      </c>
      <c r="P42" s="573"/>
      <c r="Q42" s="556"/>
      <c r="R42" s="582"/>
    </row>
    <row r="43" ht="26.25" spans="1:18">
      <c r="A43" s="556"/>
      <c r="B43" s="557"/>
      <c r="C43" s="108"/>
      <c r="D43" s="108"/>
      <c r="E43" s="108"/>
      <c r="F43" s="108"/>
      <c r="G43" s="108"/>
      <c r="H43" s="108" t="s">
        <v>2901</v>
      </c>
      <c r="I43" s="581">
        <v>0.23</v>
      </c>
      <c r="J43" s="114"/>
      <c r="K43" s="114" t="s">
        <v>2902</v>
      </c>
      <c r="L43" s="108"/>
      <c r="M43" s="581">
        <v>1.16</v>
      </c>
      <c r="N43" s="573"/>
      <c r="O43" s="556"/>
      <c r="P43" s="573"/>
      <c r="Q43" s="556"/>
      <c r="R43" s="582"/>
    </row>
    <row r="44" ht="15" spans="1:18">
      <c r="A44" s="556"/>
      <c r="B44" s="557"/>
      <c r="C44" s="571"/>
      <c r="D44" s="571"/>
      <c r="E44" s="571"/>
      <c r="F44" s="571"/>
      <c r="G44" s="571"/>
      <c r="H44" s="571"/>
      <c r="I44" s="571"/>
      <c r="J44" s="571"/>
      <c r="K44" s="571"/>
      <c r="L44" s="571"/>
      <c r="M44" s="571"/>
      <c r="N44" s="573"/>
      <c r="O44" s="556"/>
      <c r="P44" s="573"/>
      <c r="Q44" s="556"/>
      <c r="R44" s="582"/>
    </row>
    <row r="45" ht="15" customHeight="1" spans="1:18">
      <c r="A45" s="556"/>
      <c r="B45" s="557">
        <f>C44</f>
        <v>0</v>
      </c>
      <c r="C45" s="76" t="s">
        <v>94</v>
      </c>
      <c r="D45" s="75" t="s">
        <v>63</v>
      </c>
      <c r="E45" s="76" t="s">
        <v>64</v>
      </c>
      <c r="F45" s="76" t="s">
        <v>65</v>
      </c>
      <c r="G45" s="76" t="s">
        <v>2889</v>
      </c>
      <c r="H45" s="76"/>
      <c r="I45" s="77" t="s">
        <v>66</v>
      </c>
      <c r="J45" s="75" t="s">
        <v>67</v>
      </c>
      <c r="K45" s="75" t="s">
        <v>2890</v>
      </c>
      <c r="L45" s="75" t="s">
        <v>68</v>
      </c>
      <c r="M45" s="75" t="s">
        <v>70</v>
      </c>
      <c r="N45" s="573">
        <v>0.83</v>
      </c>
      <c r="O45" s="556" t="str">
        <f>IF(N45=M45,"OK","DIF")</f>
        <v>DIF</v>
      </c>
      <c r="P45" s="573"/>
      <c r="Q45" s="556"/>
      <c r="R45" s="582"/>
    </row>
    <row r="46" ht="38.25" spans="1:18">
      <c r="A46" s="556">
        <f>B46</f>
        <v>0</v>
      </c>
      <c r="B46" s="557">
        <f>B45</f>
        <v>0</v>
      </c>
      <c r="C46" s="569" t="s">
        <v>2891</v>
      </c>
      <c r="D46" s="570" t="s">
        <v>95</v>
      </c>
      <c r="E46" s="569" t="s">
        <v>77</v>
      </c>
      <c r="F46" s="569" t="s">
        <v>2908</v>
      </c>
      <c r="G46" s="569">
        <v>1</v>
      </c>
      <c r="H46" s="569"/>
      <c r="I46" s="577" t="s">
        <v>141</v>
      </c>
      <c r="J46" s="578">
        <v>1</v>
      </c>
      <c r="K46" s="579"/>
      <c r="L46" s="579">
        <v>0.62</v>
      </c>
      <c r="M46" s="579">
        <v>0.62</v>
      </c>
      <c r="N46" s="573">
        <v>0.83</v>
      </c>
      <c r="O46" s="556" t="str">
        <f>IF(N46=M46,"OK","DIF")</f>
        <v>DIF</v>
      </c>
      <c r="P46" s="573"/>
      <c r="Q46" s="556"/>
      <c r="R46" s="582"/>
    </row>
    <row r="47" ht="23.85" customHeight="1" spans="1:18">
      <c r="A47" s="556"/>
      <c r="B47" s="557"/>
      <c r="C47" s="100" t="s">
        <v>2893</v>
      </c>
      <c r="D47" s="99" t="s">
        <v>2894</v>
      </c>
      <c r="E47" s="100" t="s">
        <v>77</v>
      </c>
      <c r="F47" s="100" t="s">
        <v>2895</v>
      </c>
      <c r="G47" s="100" t="s">
        <v>2896</v>
      </c>
      <c r="H47" s="100"/>
      <c r="I47" s="101" t="s">
        <v>2897</v>
      </c>
      <c r="J47" s="580">
        <v>0.0044</v>
      </c>
      <c r="K47" s="580">
        <v>9</v>
      </c>
      <c r="L47" s="102">
        <v>130.31</v>
      </c>
      <c r="M47" s="102">
        <v>0.62</v>
      </c>
      <c r="N47" s="573"/>
      <c r="O47" s="556"/>
      <c r="P47" s="573"/>
      <c r="Q47" s="556"/>
      <c r="R47" s="582"/>
    </row>
    <row r="48" ht="25.5" spans="1:18">
      <c r="A48" s="556"/>
      <c r="B48" s="557"/>
      <c r="C48" s="108"/>
      <c r="D48" s="108"/>
      <c r="E48" s="108"/>
      <c r="F48" s="108"/>
      <c r="G48" s="108"/>
      <c r="H48" s="108" t="s">
        <v>2898</v>
      </c>
      <c r="I48" s="581">
        <v>0.62</v>
      </c>
      <c r="J48" s="108" t="s">
        <v>2899</v>
      </c>
      <c r="K48" s="581">
        <v>0</v>
      </c>
      <c r="L48" s="108" t="s">
        <v>2900</v>
      </c>
      <c r="M48" s="581">
        <v>0.62</v>
      </c>
      <c r="N48" s="573"/>
      <c r="O48" s="556"/>
      <c r="P48" s="573"/>
      <c r="Q48" s="556"/>
      <c r="R48" s="582"/>
    </row>
    <row r="49" ht="26.25" spans="1:18">
      <c r="A49" s="556"/>
      <c r="B49" s="557">
        <f>C48</f>
        <v>0</v>
      </c>
      <c r="C49" s="108"/>
      <c r="D49" s="108"/>
      <c r="E49" s="108"/>
      <c r="F49" s="108"/>
      <c r="G49" s="108"/>
      <c r="H49" s="108" t="s">
        <v>2901</v>
      </c>
      <c r="I49" s="581">
        <v>0.15</v>
      </c>
      <c r="J49" s="114"/>
      <c r="K49" s="114" t="s">
        <v>2902</v>
      </c>
      <c r="L49" s="108"/>
      <c r="M49" s="581">
        <v>0.77</v>
      </c>
      <c r="N49" s="573">
        <v>0.45</v>
      </c>
      <c r="O49" s="556" t="str">
        <f>IF(N49=M49,"OK","DIF")</f>
        <v>DIF</v>
      </c>
      <c r="P49" s="573"/>
      <c r="Q49" s="556"/>
      <c r="R49" s="582"/>
    </row>
    <row r="50" ht="15" spans="1:18">
      <c r="A50" s="556">
        <f>B50</f>
        <v>0</v>
      </c>
      <c r="B50" s="557">
        <f>B49</f>
        <v>0</v>
      </c>
      <c r="C50" s="571"/>
      <c r="D50" s="571"/>
      <c r="E50" s="571"/>
      <c r="F50" s="571"/>
      <c r="G50" s="571"/>
      <c r="H50" s="571"/>
      <c r="I50" s="571"/>
      <c r="J50" s="571"/>
      <c r="K50" s="571"/>
      <c r="L50" s="571"/>
      <c r="M50" s="571"/>
      <c r="N50" s="573">
        <v>0.45</v>
      </c>
      <c r="O50" s="556" t="str">
        <f>IF(N50=M50,"OK","DIF")</f>
        <v>DIF</v>
      </c>
      <c r="P50" s="573"/>
      <c r="Q50" s="556"/>
      <c r="R50" s="582"/>
    </row>
    <row r="51" ht="15" customHeight="1" spans="1:18">
      <c r="A51" s="556"/>
      <c r="B51" s="557"/>
      <c r="C51" s="76" t="s">
        <v>97</v>
      </c>
      <c r="D51" s="75" t="s">
        <v>63</v>
      </c>
      <c r="E51" s="76" t="s">
        <v>64</v>
      </c>
      <c r="F51" s="76" t="s">
        <v>65</v>
      </c>
      <c r="G51" s="76" t="s">
        <v>2889</v>
      </c>
      <c r="H51" s="76"/>
      <c r="I51" s="77" t="s">
        <v>66</v>
      </c>
      <c r="J51" s="75" t="s">
        <v>67</v>
      </c>
      <c r="K51" s="75" t="s">
        <v>2890</v>
      </c>
      <c r="L51" s="75" t="s">
        <v>68</v>
      </c>
      <c r="M51" s="75" t="s">
        <v>70</v>
      </c>
      <c r="N51" s="573"/>
      <c r="O51" s="556"/>
      <c r="P51" s="573"/>
      <c r="Q51" s="556"/>
      <c r="R51" s="582"/>
    </row>
    <row r="52" ht="38.25" spans="1:18">
      <c r="A52" s="556"/>
      <c r="B52" s="557"/>
      <c r="C52" s="569" t="s">
        <v>2891</v>
      </c>
      <c r="D52" s="570" t="s">
        <v>98</v>
      </c>
      <c r="E52" s="569" t="s">
        <v>77</v>
      </c>
      <c r="F52" s="569" t="s">
        <v>2909</v>
      </c>
      <c r="G52" s="569">
        <v>1</v>
      </c>
      <c r="H52" s="569"/>
      <c r="I52" s="577" t="s">
        <v>141</v>
      </c>
      <c r="J52" s="578">
        <v>1</v>
      </c>
      <c r="K52" s="579"/>
      <c r="L52" s="579">
        <v>0.44</v>
      </c>
      <c r="M52" s="579">
        <v>0.44</v>
      </c>
      <c r="N52" s="573"/>
      <c r="O52" s="556"/>
      <c r="P52" s="573"/>
      <c r="Q52" s="556"/>
      <c r="R52" s="582"/>
    </row>
    <row r="53" ht="23.85" customHeight="1" spans="1:18">
      <c r="A53" s="556"/>
      <c r="B53" s="557" t="str">
        <f>C52</f>
        <v>Composição</v>
      </c>
      <c r="C53" s="100" t="s">
        <v>2893</v>
      </c>
      <c r="D53" s="99" t="s">
        <v>2894</v>
      </c>
      <c r="E53" s="100" t="s">
        <v>77</v>
      </c>
      <c r="F53" s="100" t="s">
        <v>2895</v>
      </c>
      <c r="G53" s="100" t="s">
        <v>2896</v>
      </c>
      <c r="H53" s="100"/>
      <c r="I53" s="101" t="s">
        <v>2897</v>
      </c>
      <c r="J53" s="580">
        <v>0.0031</v>
      </c>
      <c r="K53" s="580">
        <v>9</v>
      </c>
      <c r="L53" s="102">
        <v>130.31</v>
      </c>
      <c r="M53" s="102">
        <v>0.44</v>
      </c>
      <c r="N53" s="573">
        <v>0.22</v>
      </c>
      <c r="O53" s="556" t="str">
        <f>IF(N53=M53,"OK","DIF")</f>
        <v>DIF</v>
      </c>
      <c r="P53" s="573"/>
      <c r="Q53" s="556"/>
      <c r="R53" s="582"/>
    </row>
    <row r="54" ht="25.5" spans="1:18">
      <c r="A54" s="556" t="str">
        <f>B54</f>
        <v>Composição</v>
      </c>
      <c r="B54" s="557" t="str">
        <f>B53</f>
        <v>Composição</v>
      </c>
      <c r="C54" s="108"/>
      <c r="D54" s="108"/>
      <c r="E54" s="108"/>
      <c r="F54" s="108"/>
      <c r="G54" s="108"/>
      <c r="H54" s="108" t="s">
        <v>2898</v>
      </c>
      <c r="I54" s="581">
        <v>0.44</v>
      </c>
      <c r="J54" s="108" t="s">
        <v>2899</v>
      </c>
      <c r="K54" s="581">
        <v>0</v>
      </c>
      <c r="L54" s="108" t="s">
        <v>2900</v>
      </c>
      <c r="M54" s="581">
        <v>0.44</v>
      </c>
      <c r="N54" s="573">
        <v>0.22</v>
      </c>
      <c r="O54" s="556" t="str">
        <f>IF(N54=M54,"OK","DIF")</f>
        <v>DIF</v>
      </c>
      <c r="P54" s="573"/>
      <c r="Q54" s="556"/>
      <c r="R54" s="582"/>
    </row>
    <row r="55" ht="26.25" spans="1:18">
      <c r="A55" s="556"/>
      <c r="B55" s="557"/>
      <c r="C55" s="108"/>
      <c r="D55" s="108"/>
      <c r="E55" s="108"/>
      <c r="F55" s="108"/>
      <c r="G55" s="108"/>
      <c r="H55" s="108" t="s">
        <v>2901</v>
      </c>
      <c r="I55" s="581">
        <v>0.11</v>
      </c>
      <c r="J55" s="114"/>
      <c r="K55" s="114" t="s">
        <v>2902</v>
      </c>
      <c r="L55" s="108"/>
      <c r="M55" s="581">
        <v>0.55</v>
      </c>
      <c r="N55" s="573"/>
      <c r="O55" s="556"/>
      <c r="P55" s="573"/>
      <c r="Q55" s="556"/>
      <c r="R55" s="582"/>
    </row>
    <row r="56" ht="15" spans="1:18">
      <c r="A56" s="556"/>
      <c r="B56" s="557"/>
      <c r="C56" s="571"/>
      <c r="D56" s="571"/>
      <c r="E56" s="571"/>
      <c r="F56" s="571"/>
      <c r="G56" s="571"/>
      <c r="H56" s="571"/>
      <c r="I56" s="571"/>
      <c r="J56" s="571"/>
      <c r="K56" s="571"/>
      <c r="L56" s="571"/>
      <c r="M56" s="571"/>
      <c r="N56" s="573"/>
      <c r="O56" s="556"/>
      <c r="P56" s="573"/>
      <c r="Q56" s="556"/>
      <c r="R56" s="582"/>
    </row>
    <row r="57" ht="15" customHeight="1" spans="1:18">
      <c r="A57" s="556"/>
      <c r="B57" s="557">
        <f>C56</f>
        <v>0</v>
      </c>
      <c r="C57" s="76" t="s">
        <v>100</v>
      </c>
      <c r="D57" s="75" t="s">
        <v>63</v>
      </c>
      <c r="E57" s="76" t="s">
        <v>64</v>
      </c>
      <c r="F57" s="76" t="s">
        <v>65</v>
      </c>
      <c r="G57" s="76" t="s">
        <v>2889</v>
      </c>
      <c r="H57" s="76"/>
      <c r="I57" s="77" t="s">
        <v>66</v>
      </c>
      <c r="J57" s="75" t="s">
        <v>67</v>
      </c>
      <c r="K57" s="75" t="s">
        <v>2890</v>
      </c>
      <c r="L57" s="75" t="s">
        <v>68</v>
      </c>
      <c r="M57" s="75" t="s">
        <v>70</v>
      </c>
      <c r="N57" s="573">
        <v>1.41</v>
      </c>
      <c r="O57" s="556" t="str">
        <f>IF(N57=M57,"OK","DIF")</f>
        <v>DIF</v>
      </c>
      <c r="P57" s="573"/>
      <c r="Q57" s="556"/>
      <c r="R57" s="582"/>
    </row>
    <row r="58" ht="38.25" spans="1:18">
      <c r="A58" s="556">
        <f>B58</f>
        <v>0</v>
      </c>
      <c r="B58" s="557">
        <f>B57</f>
        <v>0</v>
      </c>
      <c r="C58" s="569" t="s">
        <v>2891</v>
      </c>
      <c r="D58" s="570" t="s">
        <v>101</v>
      </c>
      <c r="E58" s="569" t="s">
        <v>77</v>
      </c>
      <c r="F58" s="569" t="s">
        <v>2910</v>
      </c>
      <c r="G58" s="569">
        <v>1</v>
      </c>
      <c r="H58" s="569"/>
      <c r="I58" s="577" t="s">
        <v>141</v>
      </c>
      <c r="J58" s="578">
        <v>1</v>
      </c>
      <c r="K58" s="579"/>
      <c r="L58" s="579">
        <v>0.25</v>
      </c>
      <c r="M58" s="579">
        <v>0.25</v>
      </c>
      <c r="N58" s="573">
        <v>1.41</v>
      </c>
      <c r="O58" s="556" t="str">
        <f>IF(N58=M58,"OK","DIF")</f>
        <v>DIF</v>
      </c>
      <c r="P58" s="573"/>
      <c r="Q58" s="556"/>
      <c r="R58" s="582"/>
    </row>
    <row r="59" ht="23.85" customHeight="1" spans="1:18">
      <c r="A59" s="556"/>
      <c r="B59" s="557"/>
      <c r="C59" s="100" t="s">
        <v>2893</v>
      </c>
      <c r="D59" s="99" t="s">
        <v>2894</v>
      </c>
      <c r="E59" s="100" t="s">
        <v>77</v>
      </c>
      <c r="F59" s="100" t="s">
        <v>2895</v>
      </c>
      <c r="G59" s="100" t="s">
        <v>2896</v>
      </c>
      <c r="H59" s="100"/>
      <c r="I59" s="101" t="s">
        <v>2897</v>
      </c>
      <c r="J59" s="580">
        <v>0.0018</v>
      </c>
      <c r="K59" s="580">
        <v>9</v>
      </c>
      <c r="L59" s="102">
        <v>130.31</v>
      </c>
      <c r="M59" s="102">
        <v>0.25</v>
      </c>
      <c r="N59" s="573"/>
      <c r="O59" s="556"/>
      <c r="P59" s="573"/>
      <c r="Q59" s="556"/>
      <c r="R59" s="582"/>
    </row>
    <row r="60" ht="25.5" spans="1:18">
      <c r="A60" s="556"/>
      <c r="B60" s="557"/>
      <c r="C60" s="108"/>
      <c r="D60" s="108"/>
      <c r="E60" s="108"/>
      <c r="F60" s="108"/>
      <c r="G60" s="108"/>
      <c r="H60" s="108" t="s">
        <v>2898</v>
      </c>
      <c r="I60" s="581">
        <v>0.25</v>
      </c>
      <c r="J60" s="108" t="s">
        <v>2899</v>
      </c>
      <c r="K60" s="581">
        <v>0</v>
      </c>
      <c r="L60" s="108" t="s">
        <v>2900</v>
      </c>
      <c r="M60" s="581">
        <v>0.25</v>
      </c>
      <c r="N60" s="573"/>
      <c r="O60" s="556"/>
      <c r="P60" s="573"/>
      <c r="Q60" s="556"/>
      <c r="R60" s="582"/>
    </row>
    <row r="61" ht="26.25" spans="1:18">
      <c r="A61" s="556"/>
      <c r="B61" s="557">
        <f>C60</f>
        <v>0</v>
      </c>
      <c r="C61" s="108"/>
      <c r="D61" s="108"/>
      <c r="E61" s="108"/>
      <c r="F61" s="108"/>
      <c r="G61" s="108"/>
      <c r="H61" s="108" t="s">
        <v>2901</v>
      </c>
      <c r="I61" s="581">
        <v>0.06</v>
      </c>
      <c r="J61" s="114"/>
      <c r="K61" s="114" t="s">
        <v>2902</v>
      </c>
      <c r="L61" s="108"/>
      <c r="M61" s="581">
        <v>0.31</v>
      </c>
      <c r="N61" s="573">
        <v>0.83</v>
      </c>
      <c r="O61" s="556" t="str">
        <f>IF(N61=M61,"OK","DIF")</f>
        <v>DIF</v>
      </c>
      <c r="P61" s="573"/>
      <c r="Q61" s="556"/>
      <c r="R61" s="582"/>
    </row>
    <row r="62" ht="15" spans="1:18">
      <c r="A62" s="556">
        <f>B62</f>
        <v>0</v>
      </c>
      <c r="B62" s="557">
        <f>B61</f>
        <v>0</v>
      </c>
      <c r="C62" s="571"/>
      <c r="D62" s="571"/>
      <c r="E62" s="571"/>
      <c r="F62" s="571"/>
      <c r="G62" s="571"/>
      <c r="H62" s="571"/>
      <c r="I62" s="571"/>
      <c r="J62" s="571"/>
      <c r="K62" s="571"/>
      <c r="L62" s="571"/>
      <c r="M62" s="571"/>
      <c r="N62" s="573">
        <v>0.83</v>
      </c>
      <c r="O62" s="556" t="str">
        <f>IF(N62=M62,"OK","DIF")</f>
        <v>DIF</v>
      </c>
      <c r="P62" s="573"/>
      <c r="Q62" s="556"/>
      <c r="R62" s="582"/>
    </row>
    <row r="63" ht="15" customHeight="1" spans="1:18">
      <c r="A63" s="556"/>
      <c r="B63" s="557"/>
      <c r="C63" s="76" t="s">
        <v>103</v>
      </c>
      <c r="D63" s="75" t="s">
        <v>63</v>
      </c>
      <c r="E63" s="76" t="s">
        <v>64</v>
      </c>
      <c r="F63" s="76" t="s">
        <v>65</v>
      </c>
      <c r="G63" s="76" t="s">
        <v>2889</v>
      </c>
      <c r="H63" s="76"/>
      <c r="I63" s="77" t="s">
        <v>66</v>
      </c>
      <c r="J63" s="75" t="s">
        <v>67</v>
      </c>
      <c r="K63" s="75" t="s">
        <v>2890</v>
      </c>
      <c r="L63" s="75" t="s">
        <v>68</v>
      </c>
      <c r="M63" s="75" t="s">
        <v>70</v>
      </c>
      <c r="N63" s="573"/>
      <c r="O63" s="556"/>
      <c r="P63" s="573"/>
      <c r="Q63" s="556"/>
      <c r="R63" s="582"/>
    </row>
    <row r="64" ht="51" spans="1:18">
      <c r="A64" s="556"/>
      <c r="B64" s="557"/>
      <c r="C64" s="569" t="s">
        <v>2891</v>
      </c>
      <c r="D64" s="570" t="s">
        <v>104</v>
      </c>
      <c r="E64" s="569" t="s">
        <v>77</v>
      </c>
      <c r="F64" s="569" t="s">
        <v>2911</v>
      </c>
      <c r="G64" s="569">
        <v>1</v>
      </c>
      <c r="H64" s="569"/>
      <c r="I64" s="577" t="s">
        <v>141</v>
      </c>
      <c r="J64" s="578">
        <v>1</v>
      </c>
      <c r="K64" s="579"/>
      <c r="L64" s="579">
        <v>0.93</v>
      </c>
      <c r="M64" s="579">
        <v>0.93</v>
      </c>
      <c r="N64" s="573"/>
      <c r="O64" s="556"/>
      <c r="P64" s="573"/>
      <c r="Q64" s="556"/>
      <c r="R64" s="582"/>
    </row>
    <row r="65" ht="23.85" customHeight="1" spans="1:18">
      <c r="A65" s="556"/>
      <c r="B65" s="557" t="str">
        <f>C64</f>
        <v>Composição</v>
      </c>
      <c r="C65" s="100" t="s">
        <v>2893</v>
      </c>
      <c r="D65" s="99" t="s">
        <v>2894</v>
      </c>
      <c r="E65" s="100" t="s">
        <v>77</v>
      </c>
      <c r="F65" s="100" t="s">
        <v>2895</v>
      </c>
      <c r="G65" s="100" t="s">
        <v>2896</v>
      </c>
      <c r="H65" s="100"/>
      <c r="I65" s="101" t="s">
        <v>2897</v>
      </c>
      <c r="J65" s="580">
        <v>0.0066</v>
      </c>
      <c r="K65" s="580">
        <v>9</v>
      </c>
      <c r="L65" s="102">
        <v>130.31</v>
      </c>
      <c r="M65" s="102">
        <v>0.93</v>
      </c>
      <c r="N65" s="573">
        <v>0.77</v>
      </c>
      <c r="O65" s="556" t="str">
        <f>IF(N65=M65,"OK","DIF")</f>
        <v>DIF</v>
      </c>
      <c r="P65" s="573"/>
      <c r="Q65" s="556"/>
      <c r="R65" s="582"/>
    </row>
    <row r="66" ht="25.5" spans="1:18">
      <c r="A66" s="556" t="str">
        <f>B66</f>
        <v>Composição</v>
      </c>
      <c r="B66" s="557" t="str">
        <f>B65</f>
        <v>Composição</v>
      </c>
      <c r="C66" s="108"/>
      <c r="D66" s="108"/>
      <c r="E66" s="108"/>
      <c r="F66" s="108"/>
      <c r="G66" s="108"/>
      <c r="H66" s="108" t="s">
        <v>2898</v>
      </c>
      <c r="I66" s="581">
        <v>0.93</v>
      </c>
      <c r="J66" s="108" t="s">
        <v>2899</v>
      </c>
      <c r="K66" s="581">
        <v>0</v>
      </c>
      <c r="L66" s="108" t="s">
        <v>2900</v>
      </c>
      <c r="M66" s="581">
        <v>0.93</v>
      </c>
      <c r="N66" s="573">
        <v>0.77</v>
      </c>
      <c r="O66" s="556" t="str">
        <f>IF(N66=M66,"OK","DIF")</f>
        <v>DIF</v>
      </c>
      <c r="P66" s="573"/>
      <c r="Q66" s="556"/>
      <c r="R66" s="582"/>
    </row>
    <row r="67" ht="26.25" spans="1:18">
      <c r="A67" s="556"/>
      <c r="B67" s="557"/>
      <c r="C67" s="108"/>
      <c r="D67" s="108"/>
      <c r="E67" s="108"/>
      <c r="F67" s="108"/>
      <c r="G67" s="108"/>
      <c r="H67" s="108" t="s">
        <v>2901</v>
      </c>
      <c r="I67" s="581">
        <v>0.23</v>
      </c>
      <c r="J67" s="114"/>
      <c r="K67" s="114" t="s">
        <v>2902</v>
      </c>
      <c r="L67" s="108"/>
      <c r="M67" s="581">
        <v>1.16</v>
      </c>
      <c r="N67" s="573"/>
      <c r="O67" s="556"/>
      <c r="P67" s="573"/>
      <c r="Q67" s="556"/>
      <c r="R67" s="582"/>
    </row>
    <row r="68" ht="15" spans="1:18">
      <c r="A68" s="556"/>
      <c r="B68" s="557"/>
      <c r="C68" s="571"/>
      <c r="D68" s="571"/>
      <c r="E68" s="571"/>
      <c r="F68" s="571"/>
      <c r="G68" s="571"/>
      <c r="H68" s="571"/>
      <c r="I68" s="571"/>
      <c r="J68" s="571"/>
      <c r="K68" s="571"/>
      <c r="L68" s="571"/>
      <c r="M68" s="571"/>
      <c r="N68" s="573"/>
      <c r="O68" s="556"/>
      <c r="P68" s="573"/>
      <c r="Q68" s="556"/>
      <c r="R68" s="582"/>
    </row>
    <row r="69" ht="15" customHeight="1" spans="1:18">
      <c r="A69" s="556"/>
      <c r="B69" s="557">
        <f>C68</f>
        <v>0</v>
      </c>
      <c r="C69" s="76" t="s">
        <v>106</v>
      </c>
      <c r="D69" s="75" t="s">
        <v>63</v>
      </c>
      <c r="E69" s="76" t="s">
        <v>64</v>
      </c>
      <c r="F69" s="76" t="s">
        <v>65</v>
      </c>
      <c r="G69" s="76" t="s">
        <v>2889</v>
      </c>
      <c r="H69" s="76"/>
      <c r="I69" s="77" t="s">
        <v>66</v>
      </c>
      <c r="J69" s="75" t="s">
        <v>67</v>
      </c>
      <c r="K69" s="75" t="s">
        <v>2890</v>
      </c>
      <c r="L69" s="75" t="s">
        <v>68</v>
      </c>
      <c r="M69" s="75" t="s">
        <v>70</v>
      </c>
      <c r="N69" s="573">
        <v>1.29</v>
      </c>
      <c r="O69" s="556" t="str">
        <f>IF(N69=M69,"OK","DIF")</f>
        <v>DIF</v>
      </c>
      <c r="P69" s="573"/>
      <c r="Q69" s="556"/>
      <c r="R69" s="582"/>
    </row>
    <row r="70" ht="51" spans="1:18">
      <c r="A70" s="556">
        <f>B70</f>
        <v>0</v>
      </c>
      <c r="B70" s="557">
        <f>B69</f>
        <v>0</v>
      </c>
      <c r="C70" s="569" t="s">
        <v>2891</v>
      </c>
      <c r="D70" s="570" t="s">
        <v>107</v>
      </c>
      <c r="E70" s="569" t="s">
        <v>77</v>
      </c>
      <c r="F70" s="569" t="s">
        <v>2912</v>
      </c>
      <c r="G70" s="569">
        <v>1</v>
      </c>
      <c r="H70" s="569"/>
      <c r="I70" s="577" t="s">
        <v>141</v>
      </c>
      <c r="J70" s="578">
        <v>1</v>
      </c>
      <c r="K70" s="579"/>
      <c r="L70" s="579">
        <v>0.51</v>
      </c>
      <c r="M70" s="579">
        <v>0.51</v>
      </c>
      <c r="N70" s="573">
        <v>1.29</v>
      </c>
      <c r="O70" s="556" t="str">
        <f>IF(N70=M70,"OK","DIF")</f>
        <v>DIF</v>
      </c>
      <c r="P70" s="573"/>
      <c r="Q70" s="556"/>
      <c r="R70" s="582"/>
    </row>
    <row r="71" ht="23.85" customHeight="1" spans="1:18">
      <c r="A71" s="556"/>
      <c r="B71" s="557"/>
      <c r="C71" s="100" t="s">
        <v>2893</v>
      </c>
      <c r="D71" s="99" t="s">
        <v>2894</v>
      </c>
      <c r="E71" s="100" t="s">
        <v>77</v>
      </c>
      <c r="F71" s="100" t="s">
        <v>2895</v>
      </c>
      <c r="G71" s="100" t="s">
        <v>2896</v>
      </c>
      <c r="H71" s="100"/>
      <c r="I71" s="101" t="s">
        <v>2897</v>
      </c>
      <c r="J71" s="580">
        <v>0.0036</v>
      </c>
      <c r="K71" s="580">
        <v>9</v>
      </c>
      <c r="L71" s="102">
        <v>130.31</v>
      </c>
      <c r="M71" s="102">
        <v>0.51</v>
      </c>
      <c r="N71" s="573"/>
      <c r="O71" s="556"/>
      <c r="P71" s="573"/>
      <c r="Q71" s="556"/>
      <c r="R71" s="582"/>
    </row>
    <row r="72" ht="25.5" spans="1:18">
      <c r="A72" s="556"/>
      <c r="B72" s="557"/>
      <c r="C72" s="108"/>
      <c r="D72" s="108"/>
      <c r="E72" s="108"/>
      <c r="F72" s="108"/>
      <c r="G72" s="108"/>
      <c r="H72" s="108" t="s">
        <v>2898</v>
      </c>
      <c r="I72" s="581">
        <v>0.51</v>
      </c>
      <c r="J72" s="108" t="s">
        <v>2899</v>
      </c>
      <c r="K72" s="581">
        <v>0</v>
      </c>
      <c r="L72" s="108" t="s">
        <v>2900</v>
      </c>
      <c r="M72" s="581">
        <v>0.51</v>
      </c>
      <c r="N72" s="573"/>
      <c r="O72" s="556"/>
      <c r="P72" s="573"/>
      <c r="Q72" s="556"/>
      <c r="R72" s="582"/>
    </row>
    <row r="73" ht="26.25" spans="1:18">
      <c r="A73" s="556"/>
      <c r="B73" s="557">
        <f>C72</f>
        <v>0</v>
      </c>
      <c r="C73" s="108"/>
      <c r="D73" s="108"/>
      <c r="E73" s="108"/>
      <c r="F73" s="108"/>
      <c r="G73" s="108"/>
      <c r="H73" s="108" t="s">
        <v>2901</v>
      </c>
      <c r="I73" s="581">
        <v>0.12</v>
      </c>
      <c r="J73" s="114"/>
      <c r="K73" s="114" t="s">
        <v>2902</v>
      </c>
      <c r="L73" s="108"/>
      <c r="M73" s="581">
        <v>0.63</v>
      </c>
      <c r="N73" s="573">
        <v>1.08</v>
      </c>
      <c r="O73" s="556" t="str">
        <f>IF(N73=M73,"OK","DIF")</f>
        <v>DIF</v>
      </c>
      <c r="P73" s="573"/>
      <c r="Q73" s="556"/>
      <c r="R73" s="582"/>
    </row>
    <row r="74" ht="15" spans="1:18">
      <c r="A74" s="556">
        <f>B74</f>
        <v>0</v>
      </c>
      <c r="B74" s="557">
        <f>B73</f>
        <v>0</v>
      </c>
      <c r="C74" s="571"/>
      <c r="D74" s="571"/>
      <c r="E74" s="571"/>
      <c r="F74" s="571"/>
      <c r="G74" s="571"/>
      <c r="H74" s="571"/>
      <c r="I74" s="571"/>
      <c r="J74" s="571"/>
      <c r="K74" s="571"/>
      <c r="L74" s="571"/>
      <c r="M74" s="571"/>
      <c r="N74" s="573">
        <v>1.08</v>
      </c>
      <c r="O74" s="556" t="str">
        <f>IF(N74=M74,"OK","DIF")</f>
        <v>DIF</v>
      </c>
      <c r="P74" s="573"/>
      <c r="Q74" s="556"/>
      <c r="R74" s="582"/>
    </row>
    <row r="75" ht="15" customHeight="1" spans="1:18">
      <c r="A75" s="556"/>
      <c r="B75" s="557"/>
      <c r="C75" s="76" t="s">
        <v>109</v>
      </c>
      <c r="D75" s="75" t="s">
        <v>63</v>
      </c>
      <c r="E75" s="76" t="s">
        <v>64</v>
      </c>
      <c r="F75" s="76" t="s">
        <v>65</v>
      </c>
      <c r="G75" s="76" t="s">
        <v>2889</v>
      </c>
      <c r="H75" s="76"/>
      <c r="I75" s="77" t="s">
        <v>66</v>
      </c>
      <c r="J75" s="75" t="s">
        <v>67</v>
      </c>
      <c r="K75" s="75" t="s">
        <v>2890</v>
      </c>
      <c r="L75" s="75" t="s">
        <v>68</v>
      </c>
      <c r="M75" s="75" t="s">
        <v>70</v>
      </c>
      <c r="N75" s="573"/>
      <c r="O75" s="556"/>
      <c r="P75" s="573"/>
      <c r="Q75" s="556"/>
      <c r="R75" s="582"/>
    </row>
    <row r="76" ht="51" spans="1:18">
      <c r="A76" s="556"/>
      <c r="B76" s="557"/>
      <c r="C76" s="569" t="s">
        <v>2891</v>
      </c>
      <c r="D76" s="570" t="s">
        <v>110</v>
      </c>
      <c r="E76" s="569" t="s">
        <v>77</v>
      </c>
      <c r="F76" s="569" t="s">
        <v>2913</v>
      </c>
      <c r="G76" s="569">
        <v>1</v>
      </c>
      <c r="H76" s="569"/>
      <c r="I76" s="577" t="s">
        <v>141</v>
      </c>
      <c r="J76" s="578">
        <v>1</v>
      </c>
      <c r="K76" s="579"/>
      <c r="L76" s="579">
        <v>0.25</v>
      </c>
      <c r="M76" s="579">
        <v>0.25</v>
      </c>
      <c r="N76" s="573"/>
      <c r="O76" s="556"/>
      <c r="P76" s="573"/>
      <c r="Q76" s="556"/>
      <c r="R76" s="582"/>
    </row>
    <row r="77" ht="23.85" customHeight="1" spans="1:18">
      <c r="A77" s="556"/>
      <c r="B77" s="557" t="str">
        <f>C76</f>
        <v>Composição</v>
      </c>
      <c r="C77" s="100" t="s">
        <v>2893</v>
      </c>
      <c r="D77" s="99" t="s">
        <v>2894</v>
      </c>
      <c r="E77" s="100" t="s">
        <v>77</v>
      </c>
      <c r="F77" s="100" t="s">
        <v>2895</v>
      </c>
      <c r="G77" s="100" t="s">
        <v>2896</v>
      </c>
      <c r="H77" s="100"/>
      <c r="I77" s="101" t="s">
        <v>2897</v>
      </c>
      <c r="J77" s="580">
        <v>0.0018</v>
      </c>
      <c r="K77" s="580">
        <v>9</v>
      </c>
      <c r="L77" s="102">
        <v>130.31</v>
      </c>
      <c r="M77" s="102">
        <v>0.25</v>
      </c>
      <c r="N77" s="573">
        <v>0.64</v>
      </c>
      <c r="O77" s="556" t="str">
        <f>IF(N77=M77,"OK","DIF")</f>
        <v>DIF</v>
      </c>
      <c r="P77" s="573"/>
      <c r="Q77" s="556"/>
      <c r="R77" s="582"/>
    </row>
    <row r="78" ht="25.5" spans="1:18">
      <c r="A78" s="556" t="str">
        <f>B78</f>
        <v>Composição</v>
      </c>
      <c r="B78" s="557" t="str">
        <f>B77</f>
        <v>Composição</v>
      </c>
      <c r="C78" s="108"/>
      <c r="D78" s="108"/>
      <c r="E78" s="108"/>
      <c r="F78" s="108"/>
      <c r="G78" s="108"/>
      <c r="H78" s="108" t="s">
        <v>2898</v>
      </c>
      <c r="I78" s="581">
        <v>0.25</v>
      </c>
      <c r="J78" s="108" t="s">
        <v>2899</v>
      </c>
      <c r="K78" s="581">
        <v>0</v>
      </c>
      <c r="L78" s="108" t="s">
        <v>2900</v>
      </c>
      <c r="M78" s="581">
        <v>0.25</v>
      </c>
      <c r="N78" s="573">
        <v>0.64</v>
      </c>
      <c r="O78" s="556" t="str">
        <f>IF(N78=M78,"OK","DIF")</f>
        <v>DIF</v>
      </c>
      <c r="P78" s="573"/>
      <c r="Q78" s="556"/>
      <c r="R78" s="582"/>
    </row>
    <row r="79" ht="26.25" spans="1:18">
      <c r="A79" s="556"/>
      <c r="B79" s="557"/>
      <c r="C79" s="108"/>
      <c r="D79" s="108"/>
      <c r="E79" s="108"/>
      <c r="F79" s="108"/>
      <c r="G79" s="108"/>
      <c r="H79" s="108" t="s">
        <v>2901</v>
      </c>
      <c r="I79" s="581">
        <v>0.06</v>
      </c>
      <c r="J79" s="114"/>
      <c r="K79" s="114" t="s">
        <v>2902</v>
      </c>
      <c r="L79" s="108"/>
      <c r="M79" s="581">
        <v>0.31</v>
      </c>
      <c r="N79" s="573"/>
      <c r="O79" s="556"/>
      <c r="P79" s="573"/>
      <c r="Q79" s="556"/>
      <c r="R79" s="582"/>
    </row>
    <row r="80" ht="15" spans="1:18">
      <c r="A80" s="556"/>
      <c r="B80" s="557"/>
      <c r="C80" s="571"/>
      <c r="D80" s="571"/>
      <c r="E80" s="571"/>
      <c r="F80" s="571"/>
      <c r="G80" s="571"/>
      <c r="H80" s="571"/>
      <c r="I80" s="571"/>
      <c r="J80" s="571"/>
      <c r="K80" s="571"/>
      <c r="L80" s="571"/>
      <c r="M80" s="571"/>
      <c r="N80" s="573"/>
      <c r="O80" s="556"/>
      <c r="P80" s="573"/>
      <c r="Q80" s="556"/>
      <c r="R80" s="582"/>
    </row>
    <row r="81" ht="15" customHeight="1" spans="1:18">
      <c r="A81" s="556"/>
      <c r="B81" s="557"/>
      <c r="C81" s="76" t="s">
        <v>112</v>
      </c>
      <c r="D81" s="75" t="s">
        <v>63</v>
      </c>
      <c r="E81" s="76" t="s">
        <v>64</v>
      </c>
      <c r="F81" s="76" t="s">
        <v>65</v>
      </c>
      <c r="G81" s="76" t="s">
        <v>2889</v>
      </c>
      <c r="H81" s="76"/>
      <c r="I81" s="77" t="s">
        <v>66</v>
      </c>
      <c r="J81" s="75" t="s">
        <v>67</v>
      </c>
      <c r="K81" s="75" t="s">
        <v>2890</v>
      </c>
      <c r="L81" s="75" t="s">
        <v>68</v>
      </c>
      <c r="M81" s="75" t="s">
        <v>70</v>
      </c>
      <c r="N81" s="573"/>
      <c r="O81" s="556"/>
      <c r="P81" s="573"/>
      <c r="Q81" s="556"/>
      <c r="R81" s="582"/>
    </row>
    <row r="82" ht="38.25" spans="1:18">
      <c r="A82" s="556"/>
      <c r="B82" s="557" t="str">
        <f>C81</f>
        <v> 1.13 </v>
      </c>
      <c r="C82" s="569" t="s">
        <v>2891</v>
      </c>
      <c r="D82" s="570" t="s">
        <v>113</v>
      </c>
      <c r="E82" s="569" t="s">
        <v>77</v>
      </c>
      <c r="F82" s="569" t="s">
        <v>2914</v>
      </c>
      <c r="G82" s="569">
        <v>1</v>
      </c>
      <c r="H82" s="569"/>
      <c r="I82" s="577" t="s">
        <v>141</v>
      </c>
      <c r="J82" s="578">
        <v>1</v>
      </c>
      <c r="K82" s="579"/>
      <c r="L82" s="579">
        <v>1.57</v>
      </c>
      <c r="M82" s="579">
        <v>1.57</v>
      </c>
      <c r="N82" s="573">
        <v>1328602.17</v>
      </c>
      <c r="O82" s="556" t="str">
        <f t="shared" ref="O82:O95" si="0">IF(N82=M82,"OK","DIF")</f>
        <v>DIF</v>
      </c>
      <c r="P82" s="573"/>
      <c r="Q82" s="556"/>
      <c r="R82" s="582"/>
    </row>
    <row r="83" ht="23.85" customHeight="1" spans="1:18">
      <c r="A83" s="556" t="str">
        <f t="shared" ref="A83:A95" si="1">B83</f>
        <v> 1.13 </v>
      </c>
      <c r="B83" s="557" t="str">
        <f t="shared" ref="B83:B95" si="2">B82</f>
        <v> 1.13 </v>
      </c>
      <c r="C83" s="100" t="s">
        <v>2893</v>
      </c>
      <c r="D83" s="99" t="s">
        <v>2894</v>
      </c>
      <c r="E83" s="100" t="s">
        <v>77</v>
      </c>
      <c r="F83" s="100" t="s">
        <v>2895</v>
      </c>
      <c r="G83" s="100" t="s">
        <v>2896</v>
      </c>
      <c r="H83" s="100"/>
      <c r="I83" s="101" t="s">
        <v>2897</v>
      </c>
      <c r="J83" s="580">
        <v>0.0111</v>
      </c>
      <c r="K83" s="580">
        <v>9</v>
      </c>
      <c r="L83" s="102">
        <v>130.31</v>
      </c>
      <c r="M83" s="102">
        <v>1.57</v>
      </c>
      <c r="N83" s="573">
        <v>127987.68</v>
      </c>
      <c r="O83" s="556" t="str">
        <f t="shared" si="0"/>
        <v>DIF</v>
      </c>
      <c r="P83" s="573"/>
      <c r="Q83" s="556"/>
      <c r="R83" s="582"/>
    </row>
    <row r="84" ht="25.5" spans="1:18">
      <c r="A84" s="556" t="str">
        <f t="shared" si="1"/>
        <v> 1.13 </v>
      </c>
      <c r="B84" s="557" t="str">
        <f t="shared" si="2"/>
        <v> 1.13 </v>
      </c>
      <c r="C84" s="108"/>
      <c r="D84" s="108"/>
      <c r="E84" s="108"/>
      <c r="F84" s="108"/>
      <c r="G84" s="108"/>
      <c r="H84" s="108" t="s">
        <v>2898</v>
      </c>
      <c r="I84" s="581">
        <v>1.57</v>
      </c>
      <c r="J84" s="108" t="s">
        <v>2899</v>
      </c>
      <c r="K84" s="581">
        <v>0</v>
      </c>
      <c r="L84" s="108" t="s">
        <v>2900</v>
      </c>
      <c r="M84" s="581">
        <v>1.57</v>
      </c>
      <c r="N84" s="573">
        <v>284383.56</v>
      </c>
      <c r="O84" s="556" t="str">
        <f t="shared" si="0"/>
        <v>DIF</v>
      </c>
      <c r="P84" s="573"/>
      <c r="Q84" s="556"/>
      <c r="R84" s="582"/>
    </row>
    <row r="85" ht="26.25" spans="1:18">
      <c r="A85" s="556" t="str">
        <f t="shared" si="1"/>
        <v> 1.13 </v>
      </c>
      <c r="B85" s="557" t="str">
        <f t="shared" si="2"/>
        <v> 1.13 </v>
      </c>
      <c r="C85" s="108"/>
      <c r="D85" s="108"/>
      <c r="E85" s="108"/>
      <c r="F85" s="108"/>
      <c r="G85" s="108"/>
      <c r="H85" s="108" t="s">
        <v>2901</v>
      </c>
      <c r="I85" s="581">
        <v>0.4</v>
      </c>
      <c r="J85" s="114"/>
      <c r="K85" s="114" t="s">
        <v>2902</v>
      </c>
      <c r="L85" s="108"/>
      <c r="M85" s="581">
        <v>1.97</v>
      </c>
      <c r="N85" s="573">
        <v>118418.4</v>
      </c>
      <c r="O85" s="556" t="str">
        <f t="shared" si="0"/>
        <v>DIF</v>
      </c>
      <c r="P85" s="573"/>
      <c r="Q85" s="556"/>
      <c r="R85" s="582"/>
    </row>
    <row r="86" ht="15" spans="1:18">
      <c r="A86" s="556" t="str">
        <f t="shared" si="1"/>
        <v> 1.13 </v>
      </c>
      <c r="B86" s="557" t="str">
        <f t="shared" si="2"/>
        <v> 1.13 </v>
      </c>
      <c r="C86" s="571"/>
      <c r="D86" s="571"/>
      <c r="E86" s="571"/>
      <c r="F86" s="571"/>
      <c r="G86" s="571"/>
      <c r="H86" s="571"/>
      <c r="I86" s="571"/>
      <c r="J86" s="571"/>
      <c r="K86" s="571"/>
      <c r="L86" s="571"/>
      <c r="M86" s="571"/>
      <c r="N86" s="573">
        <v>127987.68</v>
      </c>
      <c r="O86" s="556" t="str">
        <f t="shared" si="0"/>
        <v>DIF</v>
      </c>
      <c r="P86" s="573"/>
      <c r="Q86" s="556"/>
      <c r="R86" s="582"/>
    </row>
    <row r="87" ht="15" customHeight="1" spans="1:18">
      <c r="A87" s="556" t="str">
        <f t="shared" si="1"/>
        <v> 1.13 </v>
      </c>
      <c r="B87" s="557" t="str">
        <f t="shared" si="2"/>
        <v> 1.13 </v>
      </c>
      <c r="C87" s="76" t="s">
        <v>115</v>
      </c>
      <c r="D87" s="75" t="s">
        <v>63</v>
      </c>
      <c r="E87" s="76" t="s">
        <v>64</v>
      </c>
      <c r="F87" s="76" t="s">
        <v>65</v>
      </c>
      <c r="G87" s="76" t="s">
        <v>2889</v>
      </c>
      <c r="H87" s="76"/>
      <c r="I87" s="77" t="s">
        <v>66</v>
      </c>
      <c r="J87" s="75" t="s">
        <v>67</v>
      </c>
      <c r="K87" s="75" t="s">
        <v>2890</v>
      </c>
      <c r="L87" s="75" t="s">
        <v>68</v>
      </c>
      <c r="M87" s="75" t="s">
        <v>70</v>
      </c>
      <c r="N87" s="573">
        <v>111494.64</v>
      </c>
      <c r="O87" s="556" t="str">
        <f t="shared" si="0"/>
        <v>DIF</v>
      </c>
      <c r="P87" s="573"/>
      <c r="Q87" s="556"/>
      <c r="R87" s="582"/>
    </row>
    <row r="88" ht="51" spans="1:18">
      <c r="A88" s="556" t="str">
        <f t="shared" si="1"/>
        <v> 1.13 </v>
      </c>
      <c r="B88" s="557" t="str">
        <f t="shared" si="2"/>
        <v> 1.13 </v>
      </c>
      <c r="C88" s="569" t="s">
        <v>2891</v>
      </c>
      <c r="D88" s="570" t="s">
        <v>116</v>
      </c>
      <c r="E88" s="569" t="s">
        <v>77</v>
      </c>
      <c r="F88" s="569" t="s">
        <v>2915</v>
      </c>
      <c r="G88" s="569">
        <v>1</v>
      </c>
      <c r="H88" s="569"/>
      <c r="I88" s="577" t="s">
        <v>141</v>
      </c>
      <c r="J88" s="578">
        <v>1</v>
      </c>
      <c r="K88" s="579"/>
      <c r="L88" s="579">
        <v>0.93</v>
      </c>
      <c r="M88" s="579">
        <v>0.93</v>
      </c>
      <c r="N88" s="573">
        <v>81990.84</v>
      </c>
      <c r="O88" s="556" t="str">
        <f t="shared" si="0"/>
        <v>DIF</v>
      </c>
      <c r="P88" s="573"/>
      <c r="Q88" s="556"/>
      <c r="R88" s="582"/>
    </row>
    <row r="89" ht="23.85" customHeight="1" spans="1:18">
      <c r="A89" s="556" t="str">
        <f t="shared" si="1"/>
        <v> 1.13 </v>
      </c>
      <c r="B89" s="557" t="str">
        <f t="shared" si="2"/>
        <v> 1.13 </v>
      </c>
      <c r="C89" s="100" t="s">
        <v>2893</v>
      </c>
      <c r="D89" s="99" t="s">
        <v>2894</v>
      </c>
      <c r="E89" s="100" t="s">
        <v>77</v>
      </c>
      <c r="F89" s="100" t="s">
        <v>2895</v>
      </c>
      <c r="G89" s="100" t="s">
        <v>2896</v>
      </c>
      <c r="H89" s="100"/>
      <c r="I89" s="101" t="s">
        <v>2897</v>
      </c>
      <c r="J89" s="580">
        <v>0.0066</v>
      </c>
      <c r="K89" s="580">
        <v>9</v>
      </c>
      <c r="L89" s="102">
        <v>130.31</v>
      </c>
      <c r="M89" s="102">
        <v>0.93</v>
      </c>
      <c r="N89" s="573">
        <v>87866.04</v>
      </c>
      <c r="O89" s="556" t="str">
        <f t="shared" si="0"/>
        <v>DIF</v>
      </c>
      <c r="P89" s="573"/>
      <c r="Q89" s="556"/>
      <c r="R89" s="582"/>
    </row>
    <row r="90" ht="25.5" spans="1:18">
      <c r="A90" s="556" t="str">
        <f t="shared" si="1"/>
        <v> 1.13 </v>
      </c>
      <c r="B90" s="557" t="str">
        <f t="shared" si="2"/>
        <v> 1.13 </v>
      </c>
      <c r="C90" s="108"/>
      <c r="D90" s="108"/>
      <c r="E90" s="108"/>
      <c r="F90" s="108"/>
      <c r="G90" s="108"/>
      <c r="H90" s="108" t="s">
        <v>2898</v>
      </c>
      <c r="I90" s="581">
        <v>0.93</v>
      </c>
      <c r="J90" s="108" t="s">
        <v>2899</v>
      </c>
      <c r="K90" s="581">
        <v>0</v>
      </c>
      <c r="L90" s="108" t="s">
        <v>2900</v>
      </c>
      <c r="M90" s="581">
        <v>0.93</v>
      </c>
      <c r="N90" s="573">
        <v>75925.68</v>
      </c>
      <c r="O90" s="556" t="str">
        <f t="shared" si="0"/>
        <v>DIF</v>
      </c>
      <c r="P90" s="573"/>
      <c r="Q90" s="556"/>
      <c r="R90" s="582"/>
    </row>
    <row r="91" ht="26.25" spans="1:18">
      <c r="A91" s="556" t="str">
        <f t="shared" si="1"/>
        <v> 1.13 </v>
      </c>
      <c r="B91" s="557" t="str">
        <f t="shared" si="2"/>
        <v> 1.13 </v>
      </c>
      <c r="C91" s="108"/>
      <c r="D91" s="108"/>
      <c r="E91" s="108"/>
      <c r="F91" s="108"/>
      <c r="G91" s="108"/>
      <c r="H91" s="108" t="s">
        <v>2901</v>
      </c>
      <c r="I91" s="581">
        <v>0.23</v>
      </c>
      <c r="J91" s="114"/>
      <c r="K91" s="114" t="s">
        <v>2902</v>
      </c>
      <c r="L91" s="108"/>
      <c r="M91" s="581">
        <v>1.16</v>
      </c>
      <c r="N91" s="573">
        <v>60953.88</v>
      </c>
      <c r="O91" s="556" t="str">
        <f t="shared" si="0"/>
        <v>DIF</v>
      </c>
      <c r="P91" s="573"/>
      <c r="Q91" s="556"/>
      <c r="R91" s="582"/>
    </row>
    <row r="92" ht="15" spans="1:18">
      <c r="A92" s="556" t="str">
        <f t="shared" si="1"/>
        <v> 1.13 </v>
      </c>
      <c r="B92" s="557" t="str">
        <f t="shared" si="2"/>
        <v> 1.13 </v>
      </c>
      <c r="C92" s="571"/>
      <c r="D92" s="571"/>
      <c r="E92" s="571"/>
      <c r="F92" s="571"/>
      <c r="G92" s="571"/>
      <c r="H92" s="571"/>
      <c r="I92" s="571"/>
      <c r="J92" s="571"/>
      <c r="K92" s="571"/>
      <c r="L92" s="571"/>
      <c r="M92" s="571"/>
      <c r="N92" s="573">
        <v>62732.88</v>
      </c>
      <c r="O92" s="556" t="str">
        <f t="shared" si="0"/>
        <v>DIF</v>
      </c>
      <c r="P92" s="573"/>
      <c r="Q92" s="556"/>
      <c r="R92" s="582"/>
    </row>
    <row r="93" ht="15" customHeight="1" spans="1:18">
      <c r="A93" s="556" t="str">
        <f t="shared" si="1"/>
        <v> 1.13 </v>
      </c>
      <c r="B93" s="557" t="str">
        <f t="shared" si="2"/>
        <v> 1.13 </v>
      </c>
      <c r="C93" s="76" t="s">
        <v>118</v>
      </c>
      <c r="D93" s="75" t="s">
        <v>63</v>
      </c>
      <c r="E93" s="76" t="s">
        <v>64</v>
      </c>
      <c r="F93" s="76" t="s">
        <v>65</v>
      </c>
      <c r="G93" s="76" t="s">
        <v>2889</v>
      </c>
      <c r="H93" s="76"/>
      <c r="I93" s="77" t="s">
        <v>66</v>
      </c>
      <c r="J93" s="75" t="s">
        <v>67</v>
      </c>
      <c r="K93" s="75" t="s">
        <v>2890</v>
      </c>
      <c r="L93" s="75" t="s">
        <v>68</v>
      </c>
      <c r="M93" s="75" t="s">
        <v>70</v>
      </c>
      <c r="N93" s="573">
        <v>2128.1</v>
      </c>
      <c r="O93" s="556" t="str">
        <f t="shared" si="0"/>
        <v>DIF</v>
      </c>
      <c r="P93" s="573"/>
      <c r="Q93" s="556"/>
      <c r="R93" s="582"/>
    </row>
    <row r="94" ht="51" spans="1:18">
      <c r="A94" s="556" t="str">
        <f t="shared" si="1"/>
        <v> 1.13 </v>
      </c>
      <c r="B94" s="557" t="str">
        <f t="shared" si="2"/>
        <v> 1.13 </v>
      </c>
      <c r="C94" s="569" t="s">
        <v>2891</v>
      </c>
      <c r="D94" s="570" t="s">
        <v>119</v>
      </c>
      <c r="E94" s="569" t="s">
        <v>77</v>
      </c>
      <c r="F94" s="569" t="s">
        <v>2916</v>
      </c>
      <c r="G94" s="569">
        <v>1</v>
      </c>
      <c r="H94" s="569"/>
      <c r="I94" s="577" t="s">
        <v>141</v>
      </c>
      <c r="J94" s="578">
        <v>1</v>
      </c>
      <c r="K94" s="579"/>
      <c r="L94" s="579">
        <v>0.86</v>
      </c>
      <c r="M94" s="579">
        <v>0.86</v>
      </c>
      <c r="N94" s="573">
        <v>182499</v>
      </c>
      <c r="O94" s="556" t="str">
        <f t="shared" si="0"/>
        <v>DIF</v>
      </c>
      <c r="P94" s="573"/>
      <c r="Q94" s="556"/>
      <c r="R94" s="582"/>
    </row>
    <row r="95" ht="23.85" customHeight="1" spans="1:18">
      <c r="A95" s="556" t="str">
        <f t="shared" si="1"/>
        <v> 1.13 </v>
      </c>
      <c r="B95" s="557" t="str">
        <f t="shared" si="2"/>
        <v> 1.13 </v>
      </c>
      <c r="C95" s="100" t="s">
        <v>2893</v>
      </c>
      <c r="D95" s="99" t="s">
        <v>2894</v>
      </c>
      <c r="E95" s="100" t="s">
        <v>77</v>
      </c>
      <c r="F95" s="100" t="s">
        <v>2895</v>
      </c>
      <c r="G95" s="100" t="s">
        <v>2896</v>
      </c>
      <c r="H95" s="100"/>
      <c r="I95" s="101" t="s">
        <v>2897</v>
      </c>
      <c r="J95" s="580">
        <v>0.0061</v>
      </c>
      <c r="K95" s="580">
        <v>9</v>
      </c>
      <c r="L95" s="102">
        <v>130.31</v>
      </c>
      <c r="M95" s="102">
        <v>0.86</v>
      </c>
      <c r="N95" s="573">
        <v>4233.79</v>
      </c>
      <c r="O95" s="556" t="str">
        <f t="shared" si="0"/>
        <v>DIF</v>
      </c>
      <c r="P95" s="573"/>
      <c r="Q95" s="556"/>
      <c r="R95" s="582"/>
    </row>
    <row r="96" ht="25.5" spans="1:18">
      <c r="A96" s="556"/>
      <c r="B96" s="557"/>
      <c r="C96" s="108"/>
      <c r="D96" s="108"/>
      <c r="E96" s="108"/>
      <c r="F96" s="108"/>
      <c r="G96" s="108"/>
      <c r="H96" s="108" t="s">
        <v>2898</v>
      </c>
      <c r="I96" s="581">
        <v>0.86</v>
      </c>
      <c r="J96" s="108" t="s">
        <v>2899</v>
      </c>
      <c r="K96" s="581">
        <v>0</v>
      </c>
      <c r="L96" s="108" t="s">
        <v>2900</v>
      </c>
      <c r="M96" s="581">
        <v>0.86</v>
      </c>
      <c r="N96" s="573"/>
      <c r="O96" s="556"/>
      <c r="P96" s="573"/>
      <c r="Q96" s="556"/>
      <c r="R96" s="582"/>
    </row>
    <row r="97" ht="26.25" spans="1:18">
      <c r="A97" s="556"/>
      <c r="B97" s="557"/>
      <c r="C97" s="108"/>
      <c r="D97" s="108"/>
      <c r="E97" s="108"/>
      <c r="F97" s="108"/>
      <c r="G97" s="108"/>
      <c r="H97" s="108" t="s">
        <v>2901</v>
      </c>
      <c r="I97" s="581">
        <v>0.21</v>
      </c>
      <c r="J97" s="114"/>
      <c r="K97" s="114" t="s">
        <v>2902</v>
      </c>
      <c r="L97" s="108"/>
      <c r="M97" s="581">
        <v>1.07</v>
      </c>
      <c r="N97" s="573"/>
      <c r="O97" s="556"/>
      <c r="P97" s="573"/>
      <c r="Q97" s="556"/>
      <c r="R97" s="582"/>
    </row>
    <row r="98" ht="15" spans="1:18">
      <c r="A98" s="556"/>
      <c r="B98" s="557"/>
      <c r="C98" s="571"/>
      <c r="D98" s="571"/>
      <c r="E98" s="571"/>
      <c r="F98" s="571"/>
      <c r="G98" s="571"/>
      <c r="H98" s="571"/>
      <c r="I98" s="571"/>
      <c r="J98" s="571"/>
      <c r="K98" s="571"/>
      <c r="L98" s="571"/>
      <c r="M98" s="571"/>
      <c r="N98" s="573"/>
      <c r="O98" s="556"/>
      <c r="P98" s="573"/>
      <c r="Q98" s="556"/>
      <c r="R98" s="582"/>
    </row>
    <row r="99" ht="15" customHeight="1" spans="1:18">
      <c r="A99" s="556"/>
      <c r="B99" s="557"/>
      <c r="C99" s="76" t="s">
        <v>121</v>
      </c>
      <c r="D99" s="75" t="s">
        <v>63</v>
      </c>
      <c r="E99" s="76" t="s">
        <v>64</v>
      </c>
      <c r="F99" s="76" t="s">
        <v>65</v>
      </c>
      <c r="G99" s="76" t="s">
        <v>2889</v>
      </c>
      <c r="H99" s="76"/>
      <c r="I99" s="77" t="s">
        <v>66</v>
      </c>
      <c r="J99" s="75" t="s">
        <v>67</v>
      </c>
      <c r="K99" s="75" t="s">
        <v>2890</v>
      </c>
      <c r="L99" s="75" t="s">
        <v>68</v>
      </c>
      <c r="M99" s="75" t="s">
        <v>70</v>
      </c>
      <c r="N99" s="573"/>
      <c r="O99" s="556"/>
      <c r="P99" s="573"/>
      <c r="Q99" s="556"/>
      <c r="R99" s="582"/>
    </row>
    <row r="100" ht="38.25" spans="1:18">
      <c r="A100" s="556"/>
      <c r="B100" s="557" t="str">
        <f>C99</f>
        <v> 1.16 </v>
      </c>
      <c r="C100" s="569" t="s">
        <v>2891</v>
      </c>
      <c r="D100" s="570" t="s">
        <v>122</v>
      </c>
      <c r="E100" s="569" t="s">
        <v>77</v>
      </c>
      <c r="F100" s="569" t="s">
        <v>2917</v>
      </c>
      <c r="G100" s="569">
        <v>1</v>
      </c>
      <c r="H100" s="569"/>
      <c r="I100" s="577" t="s">
        <v>141</v>
      </c>
      <c r="J100" s="578">
        <v>1</v>
      </c>
      <c r="K100" s="579"/>
      <c r="L100" s="579">
        <v>1.44</v>
      </c>
      <c r="M100" s="579">
        <v>1.44</v>
      </c>
      <c r="N100" s="573">
        <v>319.36</v>
      </c>
      <c r="O100" s="556" t="str">
        <f t="shared" ref="O100:O107" si="3">IF(N100=M100,"OK","DIF")</f>
        <v>DIF</v>
      </c>
      <c r="P100" s="573"/>
      <c r="Q100" s="556"/>
      <c r="R100" s="582"/>
    </row>
    <row r="101" ht="23.85" customHeight="1" spans="1:18">
      <c r="A101" s="556" t="str">
        <f t="shared" ref="A101:A107" si="4">B101</f>
        <v> 1.16 </v>
      </c>
      <c r="B101" s="557" t="str">
        <f t="shared" ref="B101:B107" si="5">B100</f>
        <v> 1.16 </v>
      </c>
      <c r="C101" s="100" t="s">
        <v>2893</v>
      </c>
      <c r="D101" s="99" t="s">
        <v>2894</v>
      </c>
      <c r="E101" s="100" t="s">
        <v>77</v>
      </c>
      <c r="F101" s="100" t="s">
        <v>2895</v>
      </c>
      <c r="G101" s="100" t="s">
        <v>2896</v>
      </c>
      <c r="H101" s="100"/>
      <c r="I101" s="101" t="s">
        <v>2897</v>
      </c>
      <c r="J101" s="580">
        <v>0.0102</v>
      </c>
      <c r="K101" s="580">
        <v>9</v>
      </c>
      <c r="L101" s="102">
        <v>130.31</v>
      </c>
      <c r="M101" s="102">
        <v>1.44</v>
      </c>
      <c r="N101" s="573">
        <v>13.72</v>
      </c>
      <c r="O101" s="556" t="str">
        <f t="shared" si="3"/>
        <v>DIF</v>
      </c>
      <c r="P101" s="573"/>
      <c r="Q101" s="556"/>
      <c r="R101" s="582"/>
    </row>
    <row r="102" ht="25.5" spans="1:18">
      <c r="A102" s="556" t="str">
        <f t="shared" si="4"/>
        <v> 1.16 </v>
      </c>
      <c r="B102" s="557" t="str">
        <f t="shared" si="5"/>
        <v> 1.16 </v>
      </c>
      <c r="C102" s="108"/>
      <c r="D102" s="108"/>
      <c r="E102" s="108"/>
      <c r="F102" s="108"/>
      <c r="G102" s="108"/>
      <c r="H102" s="108" t="s">
        <v>2898</v>
      </c>
      <c r="I102" s="581">
        <v>1.44</v>
      </c>
      <c r="J102" s="108" t="s">
        <v>2899</v>
      </c>
      <c r="K102" s="581">
        <v>0</v>
      </c>
      <c r="L102" s="108" t="s">
        <v>2900</v>
      </c>
      <c r="M102" s="581">
        <v>1.44</v>
      </c>
      <c r="N102" s="573">
        <v>29.02</v>
      </c>
      <c r="O102" s="556" t="str">
        <f t="shared" si="3"/>
        <v>DIF</v>
      </c>
      <c r="P102" s="573"/>
      <c r="Q102" s="556"/>
      <c r="R102" s="582"/>
    </row>
    <row r="103" ht="26.25" spans="1:18">
      <c r="A103" s="556" t="str">
        <f t="shared" si="4"/>
        <v> 1.16 </v>
      </c>
      <c r="B103" s="557" t="str">
        <f t="shared" si="5"/>
        <v> 1.16 </v>
      </c>
      <c r="C103" s="108"/>
      <c r="D103" s="108"/>
      <c r="E103" s="108"/>
      <c r="F103" s="108"/>
      <c r="G103" s="108"/>
      <c r="H103" s="108" t="s">
        <v>2901</v>
      </c>
      <c r="I103" s="581">
        <v>0.36</v>
      </c>
      <c r="J103" s="114"/>
      <c r="K103" s="114" t="s">
        <v>2902</v>
      </c>
      <c r="L103" s="108"/>
      <c r="M103" s="581">
        <v>1.8</v>
      </c>
      <c r="N103" s="573">
        <v>12.36</v>
      </c>
      <c r="O103" s="556" t="str">
        <f t="shared" si="3"/>
        <v>DIF</v>
      </c>
      <c r="P103" s="573"/>
      <c r="Q103" s="556"/>
      <c r="R103" s="582"/>
    </row>
    <row r="104" ht="15" spans="1:18">
      <c r="A104" s="556" t="str">
        <f t="shared" si="4"/>
        <v> 1.16 </v>
      </c>
      <c r="B104" s="557" t="str">
        <f t="shared" si="5"/>
        <v> 1.16 </v>
      </c>
      <c r="C104" s="571"/>
      <c r="D104" s="571"/>
      <c r="E104" s="571"/>
      <c r="F104" s="571"/>
      <c r="G104" s="571"/>
      <c r="H104" s="571"/>
      <c r="I104" s="571"/>
      <c r="J104" s="571"/>
      <c r="K104" s="571"/>
      <c r="L104" s="571"/>
      <c r="M104" s="571"/>
      <c r="N104" s="573">
        <v>250</v>
      </c>
      <c r="O104" s="556" t="str">
        <f t="shared" si="3"/>
        <v>DIF</v>
      </c>
      <c r="P104" s="573"/>
      <c r="Q104" s="556"/>
      <c r="R104" s="582"/>
    </row>
    <row r="105" ht="15" customHeight="1" spans="1:18">
      <c r="A105" s="556" t="str">
        <f t="shared" si="4"/>
        <v> 1.16 </v>
      </c>
      <c r="B105" s="557" t="str">
        <f t="shared" si="5"/>
        <v> 1.16 </v>
      </c>
      <c r="C105" s="76" t="s">
        <v>124</v>
      </c>
      <c r="D105" s="75" t="s">
        <v>63</v>
      </c>
      <c r="E105" s="76" t="s">
        <v>64</v>
      </c>
      <c r="F105" s="76" t="s">
        <v>65</v>
      </c>
      <c r="G105" s="76" t="s">
        <v>2889</v>
      </c>
      <c r="H105" s="76"/>
      <c r="I105" s="77" t="s">
        <v>66</v>
      </c>
      <c r="J105" s="75" t="s">
        <v>67</v>
      </c>
      <c r="K105" s="75" t="s">
        <v>2890</v>
      </c>
      <c r="L105" s="75" t="s">
        <v>68</v>
      </c>
      <c r="M105" s="75" t="s">
        <v>70</v>
      </c>
      <c r="N105" s="573">
        <v>0.24</v>
      </c>
      <c r="O105" s="556" t="str">
        <f t="shared" si="3"/>
        <v>DIF</v>
      </c>
      <c r="P105" s="573"/>
      <c r="Q105" s="556"/>
      <c r="R105" s="582"/>
    </row>
    <row r="106" ht="38.25" spans="1:18">
      <c r="A106" s="556" t="str">
        <f t="shared" si="4"/>
        <v> 1.16 </v>
      </c>
      <c r="B106" s="557" t="str">
        <f t="shared" si="5"/>
        <v> 1.16 </v>
      </c>
      <c r="C106" s="569" t="s">
        <v>2891</v>
      </c>
      <c r="D106" s="570" t="s">
        <v>125</v>
      </c>
      <c r="E106" s="569" t="s">
        <v>77</v>
      </c>
      <c r="F106" s="569" t="s">
        <v>2918</v>
      </c>
      <c r="G106" s="569">
        <v>1</v>
      </c>
      <c r="H106" s="569"/>
      <c r="I106" s="577" t="s">
        <v>141</v>
      </c>
      <c r="J106" s="578">
        <v>1</v>
      </c>
      <c r="K106" s="579"/>
      <c r="L106" s="579">
        <v>1.2</v>
      </c>
      <c r="M106" s="579">
        <v>1.2</v>
      </c>
      <c r="N106" s="573">
        <v>0.39</v>
      </c>
      <c r="O106" s="556" t="str">
        <f t="shared" si="3"/>
        <v>DIF</v>
      </c>
      <c r="P106" s="573"/>
      <c r="Q106" s="556"/>
      <c r="R106" s="582"/>
    </row>
    <row r="107" ht="23.85" customHeight="1" spans="1:18">
      <c r="A107" s="556" t="str">
        <f t="shared" si="4"/>
        <v> 1.16 </v>
      </c>
      <c r="B107" s="557" t="str">
        <f t="shared" si="5"/>
        <v> 1.16 </v>
      </c>
      <c r="C107" s="100" t="s">
        <v>2893</v>
      </c>
      <c r="D107" s="99" t="s">
        <v>2894</v>
      </c>
      <c r="E107" s="100" t="s">
        <v>77</v>
      </c>
      <c r="F107" s="100" t="s">
        <v>2895</v>
      </c>
      <c r="G107" s="100" t="s">
        <v>2896</v>
      </c>
      <c r="H107" s="100"/>
      <c r="I107" s="101" t="s">
        <v>2897</v>
      </c>
      <c r="J107" s="580">
        <v>0.0085</v>
      </c>
      <c r="K107" s="580">
        <v>9</v>
      </c>
      <c r="L107" s="102">
        <v>130.31</v>
      </c>
      <c r="M107" s="102">
        <v>1.2</v>
      </c>
      <c r="N107" s="573">
        <v>13.63</v>
      </c>
      <c r="O107" s="556" t="str">
        <f t="shared" si="3"/>
        <v>DIF</v>
      </c>
      <c r="P107" s="573"/>
      <c r="Q107" s="556"/>
      <c r="R107" s="582"/>
    </row>
    <row r="108" ht="25.5" spans="1:18">
      <c r="A108" s="556"/>
      <c r="B108" s="557"/>
      <c r="C108" s="108"/>
      <c r="D108" s="108"/>
      <c r="E108" s="108"/>
      <c r="F108" s="108"/>
      <c r="G108" s="108"/>
      <c r="H108" s="108" t="s">
        <v>2898</v>
      </c>
      <c r="I108" s="581">
        <v>1.2</v>
      </c>
      <c r="J108" s="108" t="s">
        <v>2899</v>
      </c>
      <c r="K108" s="581">
        <v>0</v>
      </c>
      <c r="L108" s="108" t="s">
        <v>2900</v>
      </c>
      <c r="M108" s="581">
        <v>1.2</v>
      </c>
      <c r="N108" s="573"/>
      <c r="O108" s="556"/>
      <c r="P108" s="573"/>
      <c r="Q108" s="556"/>
      <c r="R108" s="582"/>
    </row>
    <row r="109" ht="26.25" spans="1:18">
      <c r="A109" s="556"/>
      <c r="B109" s="557"/>
      <c r="C109" s="108"/>
      <c r="D109" s="108"/>
      <c r="E109" s="108"/>
      <c r="F109" s="108"/>
      <c r="G109" s="108"/>
      <c r="H109" s="108" t="s">
        <v>2901</v>
      </c>
      <c r="I109" s="581">
        <v>0.3</v>
      </c>
      <c r="J109" s="114"/>
      <c r="K109" s="114" t="s">
        <v>2902</v>
      </c>
      <c r="L109" s="108"/>
      <c r="M109" s="581">
        <v>1.5</v>
      </c>
      <c r="N109" s="573"/>
      <c r="O109" s="556"/>
      <c r="P109" s="573"/>
      <c r="Q109" s="556"/>
      <c r="R109" s="582"/>
    </row>
    <row r="110" ht="15" spans="1:18">
      <c r="A110" s="556"/>
      <c r="B110" s="557"/>
      <c r="C110" s="571"/>
      <c r="D110" s="571"/>
      <c r="E110" s="571"/>
      <c r="F110" s="571"/>
      <c r="G110" s="571"/>
      <c r="H110" s="571"/>
      <c r="I110" s="571"/>
      <c r="J110" s="571"/>
      <c r="K110" s="571"/>
      <c r="L110" s="571"/>
      <c r="M110" s="571"/>
      <c r="N110" s="573"/>
      <c r="O110" s="556"/>
      <c r="P110" s="573"/>
      <c r="Q110" s="556"/>
      <c r="R110" s="582"/>
    </row>
    <row r="111" ht="15" customHeight="1" spans="1:18">
      <c r="A111" s="556"/>
      <c r="B111" s="557">
        <f>C110</f>
        <v>0</v>
      </c>
      <c r="C111" s="76" t="s">
        <v>127</v>
      </c>
      <c r="D111" s="75" t="s">
        <v>63</v>
      </c>
      <c r="E111" s="76" t="s">
        <v>64</v>
      </c>
      <c r="F111" s="76" t="s">
        <v>65</v>
      </c>
      <c r="G111" s="76" t="s">
        <v>2889</v>
      </c>
      <c r="H111" s="76"/>
      <c r="I111" s="77" t="s">
        <v>66</v>
      </c>
      <c r="J111" s="75" t="s">
        <v>67</v>
      </c>
      <c r="K111" s="75" t="s">
        <v>2890</v>
      </c>
      <c r="L111" s="75" t="s">
        <v>68</v>
      </c>
      <c r="M111" s="75" t="s">
        <v>70</v>
      </c>
      <c r="N111" s="573">
        <v>5958.86</v>
      </c>
      <c r="O111" s="556" t="str">
        <f t="shared" ref="O111:O120" si="6">IF(N111=M111,"OK","DIF")</f>
        <v>DIF</v>
      </c>
      <c r="P111" s="573"/>
      <c r="Q111" s="556"/>
      <c r="R111" s="582"/>
    </row>
    <row r="112" ht="38.25" spans="1:18">
      <c r="A112" s="556">
        <f t="shared" ref="A112:A120" si="7">B112</f>
        <v>0</v>
      </c>
      <c r="B112" s="557">
        <f t="shared" ref="B112:B120" si="8">B111</f>
        <v>0</v>
      </c>
      <c r="C112" s="569" t="s">
        <v>2891</v>
      </c>
      <c r="D112" s="570" t="s">
        <v>128</v>
      </c>
      <c r="E112" s="569" t="s">
        <v>77</v>
      </c>
      <c r="F112" s="569" t="s">
        <v>2919</v>
      </c>
      <c r="G112" s="569">
        <v>1</v>
      </c>
      <c r="H112" s="569"/>
      <c r="I112" s="577" t="s">
        <v>141</v>
      </c>
      <c r="J112" s="578">
        <v>1</v>
      </c>
      <c r="K112" s="579"/>
      <c r="L112" s="579">
        <v>0.72</v>
      </c>
      <c r="M112" s="579">
        <v>0.72</v>
      </c>
      <c r="N112" s="573">
        <v>719.22</v>
      </c>
      <c r="O112" s="556" t="str">
        <f t="shared" si="6"/>
        <v>DIF</v>
      </c>
      <c r="P112" s="573"/>
      <c r="Q112" s="556"/>
      <c r="R112" s="582"/>
    </row>
    <row r="113" ht="23.85" customHeight="1" spans="1:18">
      <c r="A113" s="556">
        <f t="shared" si="7"/>
        <v>0</v>
      </c>
      <c r="B113" s="557">
        <f t="shared" si="8"/>
        <v>0</v>
      </c>
      <c r="C113" s="100" t="s">
        <v>2893</v>
      </c>
      <c r="D113" s="99" t="s">
        <v>2894</v>
      </c>
      <c r="E113" s="100" t="s">
        <v>77</v>
      </c>
      <c r="F113" s="100" t="s">
        <v>2895</v>
      </c>
      <c r="G113" s="100" t="s">
        <v>2896</v>
      </c>
      <c r="H113" s="100"/>
      <c r="I113" s="101" t="s">
        <v>2897</v>
      </c>
      <c r="J113" s="580">
        <v>0.0051</v>
      </c>
      <c r="K113" s="580">
        <v>9</v>
      </c>
      <c r="L113" s="102">
        <v>130.31</v>
      </c>
      <c r="M113" s="102">
        <v>0.72</v>
      </c>
      <c r="N113" s="573">
        <v>1096.07</v>
      </c>
      <c r="O113" s="556" t="str">
        <f t="shared" si="6"/>
        <v>DIF</v>
      </c>
      <c r="P113" s="573"/>
      <c r="Q113" s="556"/>
      <c r="R113" s="582"/>
    </row>
    <row r="114" ht="25.5" spans="1:18">
      <c r="A114" s="556">
        <f t="shared" si="7"/>
        <v>0</v>
      </c>
      <c r="B114" s="557">
        <f t="shared" si="8"/>
        <v>0</v>
      </c>
      <c r="C114" s="108"/>
      <c r="D114" s="108"/>
      <c r="E114" s="108"/>
      <c r="F114" s="108"/>
      <c r="G114" s="108"/>
      <c r="H114" s="108" t="s">
        <v>2898</v>
      </c>
      <c r="I114" s="581">
        <v>0.72</v>
      </c>
      <c r="J114" s="108" t="s">
        <v>2899</v>
      </c>
      <c r="K114" s="581">
        <v>0</v>
      </c>
      <c r="L114" s="108" t="s">
        <v>2900</v>
      </c>
      <c r="M114" s="581">
        <v>0.72</v>
      </c>
      <c r="N114" s="573">
        <v>1828.77</v>
      </c>
      <c r="O114" s="556" t="str">
        <f t="shared" si="6"/>
        <v>DIF</v>
      </c>
      <c r="P114" s="573"/>
      <c r="Q114" s="556"/>
      <c r="R114" s="582"/>
    </row>
    <row r="115" ht="26.25" spans="1:18">
      <c r="A115" s="556">
        <f t="shared" si="7"/>
        <v>0</v>
      </c>
      <c r="B115" s="557">
        <f t="shared" si="8"/>
        <v>0</v>
      </c>
      <c r="C115" s="108"/>
      <c r="D115" s="108"/>
      <c r="E115" s="108"/>
      <c r="F115" s="108"/>
      <c r="G115" s="108"/>
      <c r="H115" s="108" t="s">
        <v>2901</v>
      </c>
      <c r="I115" s="581">
        <v>0.18</v>
      </c>
      <c r="J115" s="114"/>
      <c r="K115" s="114" t="s">
        <v>2902</v>
      </c>
      <c r="L115" s="108"/>
      <c r="M115" s="581">
        <v>0.9</v>
      </c>
      <c r="N115" s="573">
        <v>310.41</v>
      </c>
      <c r="O115" s="556" t="str">
        <f t="shared" si="6"/>
        <v>DIF</v>
      </c>
      <c r="P115" s="573"/>
      <c r="Q115" s="556"/>
      <c r="R115" s="582"/>
    </row>
    <row r="116" ht="15" spans="1:18">
      <c r="A116" s="556">
        <f t="shared" si="7"/>
        <v>0</v>
      </c>
      <c r="B116" s="557">
        <f t="shared" si="8"/>
        <v>0</v>
      </c>
      <c r="C116" s="571"/>
      <c r="D116" s="571"/>
      <c r="E116" s="571"/>
      <c r="F116" s="571"/>
      <c r="G116" s="571"/>
      <c r="H116" s="571"/>
      <c r="I116" s="571"/>
      <c r="J116" s="571"/>
      <c r="K116" s="571"/>
      <c r="L116" s="571"/>
      <c r="M116" s="571"/>
      <c r="N116" s="573">
        <v>319.65</v>
      </c>
      <c r="O116" s="556" t="str">
        <f t="shared" si="6"/>
        <v>DIF</v>
      </c>
      <c r="P116" s="573"/>
      <c r="Q116" s="556"/>
      <c r="R116" s="582"/>
    </row>
    <row r="117" ht="15" customHeight="1" spans="1:18">
      <c r="A117" s="556">
        <f t="shared" si="7"/>
        <v>0</v>
      </c>
      <c r="B117" s="557">
        <f t="shared" si="8"/>
        <v>0</v>
      </c>
      <c r="C117" s="76" t="s">
        <v>130</v>
      </c>
      <c r="D117" s="75" t="s">
        <v>63</v>
      </c>
      <c r="E117" s="76" t="s">
        <v>64</v>
      </c>
      <c r="F117" s="76" t="s">
        <v>65</v>
      </c>
      <c r="G117" s="76" t="s">
        <v>2889</v>
      </c>
      <c r="H117" s="76"/>
      <c r="I117" s="77" t="s">
        <v>66</v>
      </c>
      <c r="J117" s="75" t="s">
        <v>67</v>
      </c>
      <c r="K117" s="75" t="s">
        <v>2890</v>
      </c>
      <c r="L117" s="75" t="s">
        <v>68</v>
      </c>
      <c r="M117" s="75" t="s">
        <v>70</v>
      </c>
      <c r="N117" s="573">
        <v>487.27</v>
      </c>
      <c r="O117" s="556" t="str">
        <f t="shared" si="6"/>
        <v>DIF</v>
      </c>
      <c r="P117" s="573"/>
      <c r="Q117" s="556"/>
      <c r="R117" s="582"/>
    </row>
    <row r="118" ht="15" customHeight="1" spans="1:18">
      <c r="A118" s="556">
        <f t="shared" si="7"/>
        <v>0</v>
      </c>
      <c r="B118" s="557">
        <f t="shared" si="8"/>
        <v>0</v>
      </c>
      <c r="C118" s="569" t="s">
        <v>2891</v>
      </c>
      <c r="D118" s="570" t="s">
        <v>131</v>
      </c>
      <c r="E118" s="569" t="s">
        <v>132</v>
      </c>
      <c r="F118" s="569" t="s">
        <v>133</v>
      </c>
      <c r="G118" s="569" t="s">
        <v>2920</v>
      </c>
      <c r="H118" s="569"/>
      <c r="I118" s="577" t="s">
        <v>134</v>
      </c>
      <c r="J118" s="578">
        <v>1</v>
      </c>
      <c r="K118" s="579"/>
      <c r="L118" s="579">
        <v>1439486.86</v>
      </c>
      <c r="M118" s="579">
        <v>1439486.86</v>
      </c>
      <c r="N118" s="573">
        <v>345.06</v>
      </c>
      <c r="O118" s="556" t="str">
        <f t="shared" si="6"/>
        <v>DIF</v>
      </c>
      <c r="P118" s="573"/>
      <c r="Q118" s="556"/>
      <c r="R118" s="582"/>
    </row>
    <row r="119" ht="35.05" customHeight="1" spans="1:18">
      <c r="A119" s="556">
        <f t="shared" si="7"/>
        <v>0</v>
      </c>
      <c r="B119" s="557">
        <f t="shared" si="8"/>
        <v>0</v>
      </c>
      <c r="C119" s="79" t="s">
        <v>2921</v>
      </c>
      <c r="D119" s="78" t="s">
        <v>2922</v>
      </c>
      <c r="E119" s="79" t="s">
        <v>132</v>
      </c>
      <c r="F119" s="79" t="s">
        <v>2923</v>
      </c>
      <c r="G119" s="79" t="s">
        <v>2924</v>
      </c>
      <c r="H119" s="79"/>
      <c r="I119" s="80" t="s">
        <v>2925</v>
      </c>
      <c r="J119" s="583">
        <v>6</v>
      </c>
      <c r="K119" s="583">
        <v>0</v>
      </c>
      <c r="L119" s="92">
        <v>22233.45</v>
      </c>
      <c r="M119" s="92">
        <v>133400.7</v>
      </c>
      <c r="N119" s="573">
        <v>506.12</v>
      </c>
      <c r="O119" s="556" t="str">
        <f t="shared" si="6"/>
        <v>DIF</v>
      </c>
      <c r="P119" s="573"/>
      <c r="Q119" s="556"/>
      <c r="R119" s="582"/>
    </row>
    <row r="120" ht="23.85" customHeight="1" spans="1:18">
      <c r="A120" s="556">
        <f t="shared" si="7"/>
        <v>0</v>
      </c>
      <c r="B120" s="557">
        <f t="shared" si="8"/>
        <v>0</v>
      </c>
      <c r="C120" s="79" t="s">
        <v>2921</v>
      </c>
      <c r="D120" s="78" t="s">
        <v>2926</v>
      </c>
      <c r="E120" s="79" t="s">
        <v>139</v>
      </c>
      <c r="F120" s="79" t="s">
        <v>2927</v>
      </c>
      <c r="G120" s="79" t="s">
        <v>2928</v>
      </c>
      <c r="H120" s="79"/>
      <c r="I120" s="80" t="s">
        <v>2925</v>
      </c>
      <c r="J120" s="583">
        <v>12</v>
      </c>
      <c r="K120" s="583">
        <v>0</v>
      </c>
      <c r="L120" s="92">
        <v>24699.16</v>
      </c>
      <c r="M120" s="92">
        <v>296389.92</v>
      </c>
      <c r="N120" s="573">
        <v>346.29</v>
      </c>
      <c r="O120" s="556" t="str">
        <f t="shared" si="6"/>
        <v>DIF</v>
      </c>
      <c r="P120" s="573"/>
      <c r="Q120" s="556"/>
      <c r="R120" s="582"/>
    </row>
    <row r="121" ht="23.85" customHeight="1" spans="1:18">
      <c r="A121" s="556"/>
      <c r="B121" s="557"/>
      <c r="C121" s="79" t="s">
        <v>2921</v>
      </c>
      <c r="D121" s="78" t="s">
        <v>2929</v>
      </c>
      <c r="E121" s="79" t="s">
        <v>139</v>
      </c>
      <c r="F121" s="79" t="s">
        <v>2930</v>
      </c>
      <c r="G121" s="79" t="s">
        <v>2928</v>
      </c>
      <c r="H121" s="79"/>
      <c r="I121" s="80" t="s">
        <v>2925</v>
      </c>
      <c r="J121" s="583">
        <v>12</v>
      </c>
      <c r="K121" s="583">
        <v>0</v>
      </c>
      <c r="L121" s="92">
        <v>11001.16</v>
      </c>
      <c r="M121" s="92">
        <v>132013.92</v>
      </c>
      <c r="N121" s="573"/>
      <c r="O121" s="556"/>
      <c r="P121" s="573"/>
      <c r="Q121" s="556"/>
      <c r="R121" s="582"/>
    </row>
    <row r="122" ht="35.05" customHeight="1" spans="1:18">
      <c r="A122" s="556"/>
      <c r="B122" s="557"/>
      <c r="C122" s="79" t="s">
        <v>2921</v>
      </c>
      <c r="D122" s="78" t="s">
        <v>2931</v>
      </c>
      <c r="E122" s="79" t="s">
        <v>132</v>
      </c>
      <c r="F122" s="79" t="s">
        <v>2932</v>
      </c>
      <c r="G122" s="79" t="s">
        <v>2924</v>
      </c>
      <c r="H122" s="79"/>
      <c r="I122" s="80" t="s">
        <v>2925</v>
      </c>
      <c r="J122" s="583">
        <v>6</v>
      </c>
      <c r="K122" s="583">
        <v>0</v>
      </c>
      <c r="L122" s="92">
        <v>22233.45</v>
      </c>
      <c r="M122" s="92">
        <v>133400.7</v>
      </c>
      <c r="N122" s="573"/>
      <c r="O122" s="556"/>
      <c r="P122" s="573"/>
      <c r="Q122" s="556"/>
      <c r="R122" s="582"/>
    </row>
    <row r="123" ht="23.85" customHeight="1" spans="1:18">
      <c r="A123" s="556"/>
      <c r="B123" s="557" t="str">
        <f>C122</f>
        <v>Composição Auxiliar</v>
      </c>
      <c r="C123" s="79" t="s">
        <v>2921</v>
      </c>
      <c r="D123" s="78" t="s">
        <v>2933</v>
      </c>
      <c r="E123" s="79" t="s">
        <v>139</v>
      </c>
      <c r="F123" s="79" t="s">
        <v>2934</v>
      </c>
      <c r="G123" s="79" t="s">
        <v>2928</v>
      </c>
      <c r="H123" s="79"/>
      <c r="I123" s="80" t="s">
        <v>2925</v>
      </c>
      <c r="J123" s="583">
        <v>24</v>
      </c>
      <c r="K123" s="583">
        <v>0</v>
      </c>
      <c r="L123" s="92">
        <v>5237.32</v>
      </c>
      <c r="M123" s="92">
        <v>125695.68</v>
      </c>
      <c r="N123" s="573">
        <v>92.28</v>
      </c>
      <c r="O123" s="556" t="str">
        <f t="shared" ref="O123:O132" si="9">IF(N123=M123,"OK","DIF")</f>
        <v>DIF</v>
      </c>
      <c r="P123" s="573"/>
      <c r="Q123" s="556"/>
      <c r="R123" s="582"/>
    </row>
    <row r="124" ht="23.85" customHeight="1" spans="1:18">
      <c r="A124" s="556" t="str">
        <f t="shared" ref="A124:A132" si="10">B124</f>
        <v>Composição Auxiliar</v>
      </c>
      <c r="B124" s="557" t="str">
        <f t="shared" ref="B124:B132" si="11">B123</f>
        <v>Composição Auxiliar</v>
      </c>
      <c r="C124" s="79" t="s">
        <v>2921</v>
      </c>
      <c r="D124" s="78" t="s">
        <v>2935</v>
      </c>
      <c r="E124" s="79" t="s">
        <v>139</v>
      </c>
      <c r="F124" s="79" t="s">
        <v>2936</v>
      </c>
      <c r="G124" s="79" t="s">
        <v>2928</v>
      </c>
      <c r="H124" s="79"/>
      <c r="I124" s="80" t="s">
        <v>2925</v>
      </c>
      <c r="J124" s="583">
        <v>12</v>
      </c>
      <c r="K124" s="583">
        <v>0</v>
      </c>
      <c r="L124" s="92">
        <v>7782.88</v>
      </c>
      <c r="M124" s="92">
        <v>93394.56</v>
      </c>
      <c r="N124" s="573">
        <v>0.93</v>
      </c>
      <c r="O124" s="556" t="str">
        <f t="shared" si="9"/>
        <v>DIF</v>
      </c>
      <c r="P124" s="573"/>
      <c r="Q124" s="556"/>
      <c r="R124" s="582"/>
    </row>
    <row r="125" ht="23.85" customHeight="1" spans="1:18">
      <c r="A125" s="556" t="str">
        <f t="shared" si="10"/>
        <v>Composição Auxiliar</v>
      </c>
      <c r="B125" s="557" t="str">
        <f t="shared" si="11"/>
        <v>Composição Auxiliar</v>
      </c>
      <c r="C125" s="79" t="s">
        <v>2921</v>
      </c>
      <c r="D125" s="78" t="s">
        <v>2937</v>
      </c>
      <c r="E125" s="79" t="s">
        <v>139</v>
      </c>
      <c r="F125" s="79" t="s">
        <v>2938</v>
      </c>
      <c r="G125" s="79" t="s">
        <v>2928</v>
      </c>
      <c r="H125" s="79"/>
      <c r="I125" s="80" t="s">
        <v>2925</v>
      </c>
      <c r="J125" s="583">
        <v>12</v>
      </c>
      <c r="K125" s="583">
        <v>0</v>
      </c>
      <c r="L125" s="92">
        <v>8154.68</v>
      </c>
      <c r="M125" s="92">
        <v>97856.16</v>
      </c>
      <c r="N125" s="573">
        <v>2.63</v>
      </c>
      <c r="O125" s="556" t="str">
        <f t="shared" si="9"/>
        <v>DIF</v>
      </c>
      <c r="P125" s="573"/>
      <c r="Q125" s="556"/>
      <c r="R125" s="582"/>
    </row>
    <row r="126" ht="23.85" customHeight="1" spans="1:18">
      <c r="A126" s="556" t="str">
        <f t="shared" si="10"/>
        <v>Composição Auxiliar</v>
      </c>
      <c r="B126" s="557" t="str">
        <f t="shared" si="11"/>
        <v>Composição Auxiliar</v>
      </c>
      <c r="C126" s="79" t="s">
        <v>2921</v>
      </c>
      <c r="D126" s="78" t="s">
        <v>2939</v>
      </c>
      <c r="E126" s="79" t="s">
        <v>139</v>
      </c>
      <c r="F126" s="79" t="s">
        <v>2940</v>
      </c>
      <c r="G126" s="79" t="s">
        <v>2928</v>
      </c>
      <c r="H126" s="79"/>
      <c r="I126" s="80" t="s">
        <v>2925</v>
      </c>
      <c r="J126" s="583">
        <v>12</v>
      </c>
      <c r="K126" s="583">
        <v>0</v>
      </c>
      <c r="L126" s="92">
        <v>6609.95</v>
      </c>
      <c r="M126" s="92">
        <v>79319.4</v>
      </c>
      <c r="N126" s="573">
        <v>24.36</v>
      </c>
      <c r="O126" s="556" t="str">
        <f t="shared" si="9"/>
        <v>DIF</v>
      </c>
      <c r="P126" s="573"/>
      <c r="Q126" s="556"/>
      <c r="R126" s="582"/>
    </row>
    <row r="127" ht="23.85" customHeight="1" spans="1:18">
      <c r="A127" s="556" t="str">
        <f t="shared" si="10"/>
        <v>Composição Auxiliar</v>
      </c>
      <c r="B127" s="557" t="str">
        <f t="shared" si="11"/>
        <v>Composição Auxiliar</v>
      </c>
      <c r="C127" s="79" t="s">
        <v>2921</v>
      </c>
      <c r="D127" s="78" t="s">
        <v>2941</v>
      </c>
      <c r="E127" s="79" t="s">
        <v>139</v>
      </c>
      <c r="F127" s="79" t="s">
        <v>2942</v>
      </c>
      <c r="G127" s="79" t="s">
        <v>2928</v>
      </c>
      <c r="H127" s="79"/>
      <c r="I127" s="80" t="s">
        <v>2925</v>
      </c>
      <c r="J127" s="583">
        <v>12</v>
      </c>
      <c r="K127" s="583">
        <v>0</v>
      </c>
      <c r="L127" s="92">
        <v>5786.23</v>
      </c>
      <c r="M127" s="92">
        <v>69434.76</v>
      </c>
      <c r="N127" s="573">
        <v>0.24</v>
      </c>
      <c r="O127" s="556" t="str">
        <f t="shared" si="9"/>
        <v>DIF</v>
      </c>
      <c r="P127" s="573"/>
      <c r="Q127" s="556"/>
      <c r="R127" s="582"/>
    </row>
    <row r="128" ht="23.85" customHeight="1" spans="1:18">
      <c r="A128" s="556" t="str">
        <f t="shared" si="10"/>
        <v>Composição Auxiliar</v>
      </c>
      <c r="B128" s="557" t="str">
        <f t="shared" si="11"/>
        <v>Composição Auxiliar</v>
      </c>
      <c r="C128" s="79" t="s">
        <v>2921</v>
      </c>
      <c r="D128" s="78" t="s">
        <v>2943</v>
      </c>
      <c r="E128" s="79" t="s">
        <v>139</v>
      </c>
      <c r="F128" s="79" t="s">
        <v>2944</v>
      </c>
      <c r="G128" s="79" t="s">
        <v>2928</v>
      </c>
      <c r="H128" s="79"/>
      <c r="I128" s="80" t="s">
        <v>2925</v>
      </c>
      <c r="J128" s="583">
        <v>12</v>
      </c>
      <c r="K128" s="583">
        <v>0</v>
      </c>
      <c r="L128" s="92">
        <v>5946.56</v>
      </c>
      <c r="M128" s="92">
        <v>71358.72</v>
      </c>
      <c r="N128" s="573">
        <v>13.14</v>
      </c>
      <c r="O128" s="556" t="str">
        <f t="shared" si="9"/>
        <v>DIF</v>
      </c>
      <c r="P128" s="573"/>
      <c r="Q128" s="556"/>
      <c r="R128" s="582"/>
    </row>
    <row r="129" ht="23.85" customHeight="1" spans="1:18">
      <c r="A129" s="556" t="str">
        <f t="shared" si="10"/>
        <v>Composição Auxiliar</v>
      </c>
      <c r="B129" s="557" t="str">
        <f t="shared" si="11"/>
        <v>Composição Auxiliar</v>
      </c>
      <c r="C129" s="79" t="s">
        <v>2921</v>
      </c>
      <c r="D129" s="78" t="s">
        <v>2945</v>
      </c>
      <c r="E129" s="79" t="s">
        <v>139</v>
      </c>
      <c r="F129" s="79" t="s">
        <v>2946</v>
      </c>
      <c r="G129" s="79" t="s">
        <v>2928</v>
      </c>
      <c r="H129" s="79"/>
      <c r="I129" s="80" t="s">
        <v>2925</v>
      </c>
      <c r="J129" s="583">
        <v>1</v>
      </c>
      <c r="K129" s="583">
        <v>0</v>
      </c>
      <c r="L129" s="92">
        <v>2398.38</v>
      </c>
      <c r="M129" s="92">
        <v>2398.38</v>
      </c>
      <c r="N129" s="573">
        <v>11.96</v>
      </c>
      <c r="O129" s="556" t="str">
        <f t="shared" si="9"/>
        <v>DIF</v>
      </c>
      <c r="P129" s="573"/>
      <c r="Q129" s="556"/>
      <c r="R129" s="582"/>
    </row>
    <row r="130" spans="1:18">
      <c r="A130" s="556" t="str">
        <f t="shared" si="10"/>
        <v>Composição Auxiliar</v>
      </c>
      <c r="B130" s="557" t="str">
        <f t="shared" si="11"/>
        <v>Composição Auxiliar</v>
      </c>
      <c r="C130" s="79" t="s">
        <v>2921</v>
      </c>
      <c r="D130" s="78" t="s">
        <v>2947</v>
      </c>
      <c r="E130" s="79" t="s">
        <v>77</v>
      </c>
      <c r="F130" s="79" t="s">
        <v>2948</v>
      </c>
      <c r="G130" s="79">
        <v>5</v>
      </c>
      <c r="H130" s="79"/>
      <c r="I130" s="80" t="s">
        <v>2925</v>
      </c>
      <c r="J130" s="583">
        <v>12</v>
      </c>
      <c r="K130" s="583">
        <v>0</v>
      </c>
      <c r="L130" s="92">
        <v>16668.83</v>
      </c>
      <c r="M130" s="92">
        <v>200025.96</v>
      </c>
      <c r="N130" s="573">
        <v>10.28</v>
      </c>
      <c r="O130" s="556" t="str">
        <f t="shared" si="9"/>
        <v>DIF</v>
      </c>
      <c r="P130" s="573"/>
      <c r="Q130" s="556"/>
      <c r="R130" s="582"/>
    </row>
    <row r="131" ht="23.85" customHeight="1" spans="1:18">
      <c r="A131" s="556" t="str">
        <f t="shared" si="10"/>
        <v>Composição Auxiliar</v>
      </c>
      <c r="B131" s="557" t="str">
        <f t="shared" si="11"/>
        <v>Composição Auxiliar</v>
      </c>
      <c r="C131" s="79" t="s">
        <v>2921</v>
      </c>
      <c r="D131" s="78" t="s">
        <v>2949</v>
      </c>
      <c r="E131" s="79" t="s">
        <v>139</v>
      </c>
      <c r="F131" s="79" t="s">
        <v>2950</v>
      </c>
      <c r="G131" s="79" t="s">
        <v>2928</v>
      </c>
      <c r="H131" s="79"/>
      <c r="I131" s="80" t="s">
        <v>2925</v>
      </c>
      <c r="J131" s="583">
        <v>1</v>
      </c>
      <c r="K131" s="583">
        <v>0</v>
      </c>
      <c r="L131" s="92">
        <v>4798</v>
      </c>
      <c r="M131" s="92">
        <v>4798</v>
      </c>
      <c r="N131" s="573">
        <v>27.52</v>
      </c>
      <c r="O131" s="556" t="str">
        <f t="shared" si="9"/>
        <v>DIF</v>
      </c>
      <c r="P131" s="573"/>
      <c r="Q131" s="556"/>
      <c r="R131" s="582"/>
    </row>
    <row r="132" ht="25.5" spans="1:18">
      <c r="A132" s="556" t="str">
        <f t="shared" si="10"/>
        <v>Composição Auxiliar</v>
      </c>
      <c r="B132" s="557" t="str">
        <f t="shared" si="11"/>
        <v>Composição Auxiliar</v>
      </c>
      <c r="C132" s="108"/>
      <c r="D132" s="108"/>
      <c r="E132" s="108"/>
      <c r="F132" s="108"/>
      <c r="G132" s="108"/>
      <c r="H132" s="108" t="s">
        <v>2898</v>
      </c>
      <c r="I132" s="581">
        <v>1348725.54</v>
      </c>
      <c r="J132" s="108" t="s">
        <v>2899</v>
      </c>
      <c r="K132" s="581">
        <v>0</v>
      </c>
      <c r="L132" s="108" t="s">
        <v>2900</v>
      </c>
      <c r="M132" s="581">
        <v>1348725.54</v>
      </c>
      <c r="N132" s="573">
        <v>1.22</v>
      </c>
      <c r="O132" s="556" t="str">
        <f t="shared" si="9"/>
        <v>DIF</v>
      </c>
      <c r="P132" s="573"/>
      <c r="Q132" s="556"/>
      <c r="R132" s="582"/>
    </row>
    <row r="133" ht="26.25" spans="1:18">
      <c r="A133" s="556"/>
      <c r="B133" s="557"/>
      <c r="C133" s="108"/>
      <c r="D133" s="108"/>
      <c r="E133" s="108"/>
      <c r="F133" s="108"/>
      <c r="G133" s="108"/>
      <c r="H133" s="108" t="s">
        <v>2901</v>
      </c>
      <c r="I133" s="581">
        <v>366925.2</v>
      </c>
      <c r="J133" s="114"/>
      <c r="K133" s="114" t="s">
        <v>2902</v>
      </c>
      <c r="L133" s="108"/>
      <c r="M133" s="581">
        <v>1806412.06</v>
      </c>
      <c r="N133" s="573"/>
      <c r="O133" s="556"/>
      <c r="P133" s="573"/>
      <c r="Q133" s="556"/>
      <c r="R133" s="582"/>
    </row>
    <row r="134" ht="15" spans="1:18">
      <c r="A134" s="556"/>
      <c r="B134" s="557"/>
      <c r="C134" s="571"/>
      <c r="D134" s="571"/>
      <c r="E134" s="571"/>
      <c r="F134" s="571"/>
      <c r="G134" s="571"/>
      <c r="H134" s="571"/>
      <c r="I134" s="571"/>
      <c r="J134" s="571"/>
      <c r="K134" s="571"/>
      <c r="L134" s="571"/>
      <c r="M134" s="571"/>
      <c r="N134" s="573"/>
      <c r="O134" s="556"/>
      <c r="P134" s="573"/>
      <c r="Q134" s="556"/>
      <c r="R134" s="582"/>
    </row>
    <row r="135" ht="15" customHeight="1" spans="1:18">
      <c r="A135" s="556"/>
      <c r="B135" s="557"/>
      <c r="C135" s="76" t="s">
        <v>137</v>
      </c>
      <c r="D135" s="75" t="s">
        <v>63</v>
      </c>
      <c r="E135" s="76" t="s">
        <v>64</v>
      </c>
      <c r="F135" s="76" t="s">
        <v>65</v>
      </c>
      <c r="G135" s="76" t="s">
        <v>2889</v>
      </c>
      <c r="H135" s="76"/>
      <c r="I135" s="77" t="s">
        <v>66</v>
      </c>
      <c r="J135" s="75" t="s">
        <v>67</v>
      </c>
      <c r="K135" s="75" t="s">
        <v>2890</v>
      </c>
      <c r="L135" s="75" t="s">
        <v>68</v>
      </c>
      <c r="M135" s="75" t="s">
        <v>70</v>
      </c>
      <c r="N135" s="573"/>
      <c r="O135" s="556"/>
      <c r="P135" s="573"/>
      <c r="Q135" s="556"/>
      <c r="R135" s="582"/>
    </row>
    <row r="136" ht="23.85" customHeight="1" spans="1:18">
      <c r="A136" s="556"/>
      <c r="B136" s="557" t="str">
        <f>C135</f>
        <v> 3.1.1 </v>
      </c>
      <c r="C136" s="569" t="s">
        <v>2891</v>
      </c>
      <c r="D136" s="570" t="s">
        <v>138</v>
      </c>
      <c r="E136" s="569" t="s">
        <v>139</v>
      </c>
      <c r="F136" s="569" t="s">
        <v>140</v>
      </c>
      <c r="G136" s="569" t="s">
        <v>2951</v>
      </c>
      <c r="H136" s="569"/>
      <c r="I136" s="577" t="s">
        <v>141</v>
      </c>
      <c r="J136" s="578">
        <v>1</v>
      </c>
      <c r="K136" s="579"/>
      <c r="L136" s="579">
        <v>476.28</v>
      </c>
      <c r="M136" s="579">
        <v>476.28</v>
      </c>
      <c r="N136" s="573">
        <v>37.05</v>
      </c>
      <c r="O136" s="556" t="str">
        <f t="shared" ref="O136:O141" si="12">IF(N136=M136,"OK","DIF")</f>
        <v>DIF</v>
      </c>
      <c r="P136" s="573"/>
      <c r="Q136" s="556"/>
      <c r="R136" s="582"/>
    </row>
    <row r="137" ht="23.85" customHeight="1" spans="1:18">
      <c r="A137" s="556" t="str">
        <f>B137</f>
        <v> 3.1.1 </v>
      </c>
      <c r="B137" s="557" t="str">
        <f>B136</f>
        <v> 3.1.1 </v>
      </c>
      <c r="C137" s="79" t="s">
        <v>2921</v>
      </c>
      <c r="D137" s="78" t="s">
        <v>2952</v>
      </c>
      <c r="E137" s="79" t="s">
        <v>139</v>
      </c>
      <c r="F137" s="79" t="s">
        <v>2953</v>
      </c>
      <c r="G137" s="79" t="s">
        <v>2928</v>
      </c>
      <c r="H137" s="79"/>
      <c r="I137" s="80" t="s">
        <v>2897</v>
      </c>
      <c r="J137" s="583">
        <v>1.1186</v>
      </c>
      <c r="K137" s="583">
        <v>0</v>
      </c>
      <c r="L137" s="92">
        <v>29.15</v>
      </c>
      <c r="M137" s="92">
        <v>32.6</v>
      </c>
      <c r="N137" s="573">
        <v>11.81</v>
      </c>
      <c r="O137" s="556" t="str">
        <f t="shared" si="12"/>
        <v>DIF</v>
      </c>
      <c r="P137" s="573"/>
      <c r="Q137" s="556"/>
      <c r="R137" s="582"/>
    </row>
    <row r="138" ht="23.85" customHeight="1" spans="1:18">
      <c r="A138" s="556" t="str">
        <f>B138</f>
        <v> 3.1.1 </v>
      </c>
      <c r="B138" s="557" t="str">
        <f>B137</f>
        <v> 3.1.1 </v>
      </c>
      <c r="C138" s="79" t="s">
        <v>2921</v>
      </c>
      <c r="D138" s="78" t="s">
        <v>2954</v>
      </c>
      <c r="E138" s="79" t="s">
        <v>139</v>
      </c>
      <c r="F138" s="79" t="s">
        <v>2955</v>
      </c>
      <c r="G138" s="79" t="s">
        <v>2928</v>
      </c>
      <c r="H138" s="79"/>
      <c r="I138" s="80" t="s">
        <v>2897</v>
      </c>
      <c r="J138" s="583">
        <v>0.3729</v>
      </c>
      <c r="K138" s="583">
        <v>0</v>
      </c>
      <c r="L138" s="92">
        <v>37.51</v>
      </c>
      <c r="M138" s="92">
        <v>13.98</v>
      </c>
      <c r="N138" s="573">
        <v>4.59</v>
      </c>
      <c r="O138" s="556" t="str">
        <f t="shared" si="12"/>
        <v>DIF</v>
      </c>
      <c r="P138" s="573"/>
      <c r="Q138" s="556"/>
      <c r="R138" s="582"/>
    </row>
    <row r="139" ht="15" customHeight="1" spans="1:18">
      <c r="A139" s="556" t="str">
        <f>B139</f>
        <v> 3.1.1 </v>
      </c>
      <c r="B139" s="557" t="str">
        <f>B138</f>
        <v> 3.1.1 </v>
      </c>
      <c r="C139" s="79" t="s">
        <v>2921</v>
      </c>
      <c r="D139" s="78" t="s">
        <v>2956</v>
      </c>
      <c r="E139" s="79" t="s">
        <v>139</v>
      </c>
      <c r="F139" s="79" t="s">
        <v>2957</v>
      </c>
      <c r="G139" s="79" t="s">
        <v>2958</v>
      </c>
      <c r="H139" s="79"/>
      <c r="I139" s="80" t="s">
        <v>141</v>
      </c>
      <c r="J139" s="583">
        <v>0.5</v>
      </c>
      <c r="K139" s="583">
        <v>0</v>
      </c>
      <c r="L139" s="92">
        <v>29.54</v>
      </c>
      <c r="M139" s="92">
        <v>14.77</v>
      </c>
      <c r="N139" s="573">
        <v>18.19</v>
      </c>
      <c r="O139" s="556" t="str">
        <f t="shared" si="12"/>
        <v>DIF</v>
      </c>
      <c r="P139" s="573"/>
      <c r="Q139" s="556"/>
      <c r="R139" s="582"/>
    </row>
    <row r="140" ht="23.85" customHeight="1" spans="1:18">
      <c r="A140" s="556" t="str">
        <f>B140</f>
        <v> 3.1.1 </v>
      </c>
      <c r="B140" s="557" t="str">
        <f>B139</f>
        <v> 3.1.1 </v>
      </c>
      <c r="C140" s="100" t="s">
        <v>2893</v>
      </c>
      <c r="D140" s="99" t="s">
        <v>2959</v>
      </c>
      <c r="E140" s="100" t="s">
        <v>139</v>
      </c>
      <c r="F140" s="100" t="s">
        <v>2960</v>
      </c>
      <c r="G140" s="100" t="s">
        <v>2961</v>
      </c>
      <c r="H140" s="100"/>
      <c r="I140" s="101" t="s">
        <v>141</v>
      </c>
      <c r="J140" s="580">
        <v>1</v>
      </c>
      <c r="K140" s="580">
        <v>0</v>
      </c>
      <c r="L140" s="102">
        <v>400</v>
      </c>
      <c r="M140" s="102">
        <v>400</v>
      </c>
      <c r="N140" s="573">
        <v>2.15</v>
      </c>
      <c r="O140" s="556" t="str">
        <f t="shared" si="12"/>
        <v>DIF</v>
      </c>
      <c r="P140" s="573"/>
      <c r="Q140" s="556"/>
      <c r="R140" s="582"/>
    </row>
    <row r="141" ht="15" customHeight="1" spans="1:18">
      <c r="A141" s="556" t="str">
        <f>B141</f>
        <v> 3.1.1 </v>
      </c>
      <c r="B141" s="557" t="str">
        <f>B140</f>
        <v> 3.1.1 </v>
      </c>
      <c r="C141" s="100" t="s">
        <v>2893</v>
      </c>
      <c r="D141" s="99" t="s">
        <v>2962</v>
      </c>
      <c r="E141" s="100" t="s">
        <v>139</v>
      </c>
      <c r="F141" s="100" t="s">
        <v>2963</v>
      </c>
      <c r="G141" s="100" t="s">
        <v>2961</v>
      </c>
      <c r="H141" s="100"/>
      <c r="I141" s="101" t="s">
        <v>393</v>
      </c>
      <c r="J141" s="580">
        <v>0.0113</v>
      </c>
      <c r="K141" s="580">
        <v>0</v>
      </c>
      <c r="L141" s="102">
        <v>34.96</v>
      </c>
      <c r="M141" s="102">
        <v>0.39</v>
      </c>
      <c r="N141" s="573">
        <v>0.31</v>
      </c>
      <c r="O141" s="556" t="str">
        <f t="shared" si="12"/>
        <v>DIF</v>
      </c>
      <c r="P141" s="573"/>
      <c r="Q141" s="556"/>
      <c r="R141" s="582"/>
    </row>
    <row r="142" ht="23.85" customHeight="1" spans="1:18">
      <c r="A142" s="556"/>
      <c r="B142" s="557"/>
      <c r="C142" s="100" t="s">
        <v>2893</v>
      </c>
      <c r="D142" s="99" t="s">
        <v>2964</v>
      </c>
      <c r="E142" s="100" t="s">
        <v>139</v>
      </c>
      <c r="F142" s="100" t="s">
        <v>2965</v>
      </c>
      <c r="G142" s="100" t="s">
        <v>2961</v>
      </c>
      <c r="H142" s="100"/>
      <c r="I142" s="101" t="s">
        <v>204</v>
      </c>
      <c r="J142" s="580">
        <v>3.2083</v>
      </c>
      <c r="K142" s="580">
        <v>0</v>
      </c>
      <c r="L142" s="102">
        <v>4.46</v>
      </c>
      <c r="M142" s="102">
        <v>14.3</v>
      </c>
      <c r="N142" s="573"/>
      <c r="O142" s="556"/>
      <c r="P142" s="573"/>
      <c r="Q142" s="556"/>
      <c r="R142" s="582"/>
    </row>
    <row r="143" ht="15" customHeight="1" spans="1:18">
      <c r="A143" s="556"/>
      <c r="B143" s="557"/>
      <c r="C143" s="100" t="s">
        <v>2893</v>
      </c>
      <c r="D143" s="99" t="s">
        <v>2966</v>
      </c>
      <c r="E143" s="100" t="s">
        <v>139</v>
      </c>
      <c r="F143" s="100" t="s">
        <v>2967</v>
      </c>
      <c r="G143" s="100" t="s">
        <v>2961</v>
      </c>
      <c r="H143" s="100"/>
      <c r="I143" s="101" t="s">
        <v>393</v>
      </c>
      <c r="J143" s="580">
        <v>0.0132</v>
      </c>
      <c r="K143" s="580">
        <v>0</v>
      </c>
      <c r="L143" s="102">
        <v>18.73</v>
      </c>
      <c r="M143" s="102">
        <v>0.24</v>
      </c>
      <c r="N143" s="573"/>
      <c r="O143" s="556"/>
      <c r="P143" s="573"/>
      <c r="Q143" s="556"/>
      <c r="R143" s="582"/>
    </row>
    <row r="144" ht="25.5" spans="1:18">
      <c r="A144" s="556"/>
      <c r="B144" s="557" t="str">
        <f>C143</f>
        <v>Insumo</v>
      </c>
      <c r="C144" s="108"/>
      <c r="D144" s="108"/>
      <c r="E144" s="108"/>
      <c r="F144" s="108"/>
      <c r="G144" s="108"/>
      <c r="H144" s="108" t="s">
        <v>2898</v>
      </c>
      <c r="I144" s="581">
        <v>37.75</v>
      </c>
      <c r="J144" s="108" t="s">
        <v>2899</v>
      </c>
      <c r="K144" s="581">
        <v>0</v>
      </c>
      <c r="L144" s="108" t="s">
        <v>2900</v>
      </c>
      <c r="M144" s="581">
        <v>37.75</v>
      </c>
      <c r="N144" s="573">
        <v>122.85</v>
      </c>
      <c r="O144" s="556" t="str">
        <f t="shared" ref="O144:O153" si="13">IF(N144=M144,"OK","DIF")</f>
        <v>DIF</v>
      </c>
      <c r="P144" s="573"/>
      <c r="Q144" s="556"/>
      <c r="R144" s="582"/>
    </row>
    <row r="145" ht="26.25" spans="1:18">
      <c r="A145" s="556" t="str">
        <f t="shared" ref="A145:A153" si="14">B145</f>
        <v>Insumo</v>
      </c>
      <c r="B145" s="557" t="str">
        <f t="shared" ref="B145:B153" si="15">B144</f>
        <v>Insumo</v>
      </c>
      <c r="C145" s="108"/>
      <c r="D145" s="108"/>
      <c r="E145" s="108"/>
      <c r="F145" s="108"/>
      <c r="G145" s="108"/>
      <c r="H145" s="108" t="s">
        <v>2901</v>
      </c>
      <c r="I145" s="581">
        <v>121.4</v>
      </c>
      <c r="J145" s="114"/>
      <c r="K145" s="114" t="s">
        <v>2902</v>
      </c>
      <c r="L145" s="108"/>
      <c r="M145" s="581">
        <v>597.68</v>
      </c>
      <c r="N145" s="573">
        <v>18.41</v>
      </c>
      <c r="O145" s="556" t="str">
        <f t="shared" si="13"/>
        <v>DIF</v>
      </c>
      <c r="P145" s="573"/>
      <c r="Q145" s="556"/>
      <c r="R145" s="582"/>
    </row>
    <row r="146" ht="15" spans="1:18">
      <c r="A146" s="556" t="str">
        <f t="shared" si="14"/>
        <v>Insumo</v>
      </c>
      <c r="B146" s="557" t="str">
        <f t="shared" si="15"/>
        <v>Insumo</v>
      </c>
      <c r="C146" s="571"/>
      <c r="D146" s="571"/>
      <c r="E146" s="571"/>
      <c r="F146" s="571"/>
      <c r="G146" s="571"/>
      <c r="H146" s="571"/>
      <c r="I146" s="571"/>
      <c r="J146" s="571"/>
      <c r="K146" s="571"/>
      <c r="L146" s="571"/>
      <c r="M146" s="571"/>
      <c r="N146" s="573">
        <v>3.6</v>
      </c>
      <c r="O146" s="556" t="str">
        <f t="shared" si="13"/>
        <v>DIF</v>
      </c>
      <c r="P146" s="573"/>
      <c r="Q146" s="556"/>
      <c r="R146" s="582"/>
    </row>
    <row r="147" ht="15" customHeight="1" spans="1:18">
      <c r="A147" s="556" t="str">
        <f t="shared" si="14"/>
        <v>Insumo</v>
      </c>
      <c r="B147" s="557" t="str">
        <f t="shared" si="15"/>
        <v>Insumo</v>
      </c>
      <c r="C147" s="76" t="s">
        <v>142</v>
      </c>
      <c r="D147" s="75" t="s">
        <v>63</v>
      </c>
      <c r="E147" s="76" t="s">
        <v>64</v>
      </c>
      <c r="F147" s="76" t="s">
        <v>65</v>
      </c>
      <c r="G147" s="76" t="s">
        <v>2889</v>
      </c>
      <c r="H147" s="76"/>
      <c r="I147" s="77" t="s">
        <v>66</v>
      </c>
      <c r="J147" s="75" t="s">
        <v>67</v>
      </c>
      <c r="K147" s="75" t="s">
        <v>2890</v>
      </c>
      <c r="L147" s="75" t="s">
        <v>68</v>
      </c>
      <c r="M147" s="75" t="s">
        <v>70</v>
      </c>
      <c r="N147" s="573">
        <v>33.84</v>
      </c>
      <c r="O147" s="556" t="str">
        <f t="shared" si="13"/>
        <v>DIF</v>
      </c>
      <c r="P147" s="573"/>
      <c r="Q147" s="556"/>
      <c r="R147" s="582"/>
    </row>
    <row r="148" ht="46.25" customHeight="1" spans="1:18">
      <c r="A148" s="556" t="str">
        <f t="shared" si="14"/>
        <v>Insumo</v>
      </c>
      <c r="B148" s="557" t="str">
        <f t="shared" si="15"/>
        <v>Insumo</v>
      </c>
      <c r="C148" s="569" t="s">
        <v>2891</v>
      </c>
      <c r="D148" s="570" t="s">
        <v>143</v>
      </c>
      <c r="E148" s="569" t="s">
        <v>132</v>
      </c>
      <c r="F148" s="569" t="s">
        <v>144</v>
      </c>
      <c r="G148" s="569" t="s">
        <v>2968</v>
      </c>
      <c r="H148" s="569"/>
      <c r="I148" s="577" t="s">
        <v>134</v>
      </c>
      <c r="J148" s="578">
        <v>1</v>
      </c>
      <c r="K148" s="579"/>
      <c r="L148" s="579">
        <v>21065.96</v>
      </c>
      <c r="M148" s="579">
        <v>21065.96</v>
      </c>
      <c r="N148" s="573">
        <v>0.93</v>
      </c>
      <c r="O148" s="556" t="str">
        <f t="shared" si="13"/>
        <v>DIF</v>
      </c>
      <c r="P148" s="573"/>
      <c r="Q148" s="556"/>
      <c r="R148" s="582"/>
    </row>
    <row r="149" ht="15" customHeight="1" spans="1:18">
      <c r="A149" s="556" t="str">
        <f t="shared" si="14"/>
        <v>Insumo</v>
      </c>
      <c r="B149" s="557" t="str">
        <f t="shared" si="15"/>
        <v>Insumo</v>
      </c>
      <c r="C149" s="79" t="s">
        <v>2921</v>
      </c>
      <c r="D149" s="78" t="s">
        <v>2969</v>
      </c>
      <c r="E149" s="79" t="s">
        <v>139</v>
      </c>
      <c r="F149" s="79" t="s">
        <v>2970</v>
      </c>
      <c r="G149" s="79" t="s">
        <v>2924</v>
      </c>
      <c r="H149" s="79"/>
      <c r="I149" s="80" t="s">
        <v>2925</v>
      </c>
      <c r="J149" s="583">
        <v>2</v>
      </c>
      <c r="K149" s="583">
        <v>0</v>
      </c>
      <c r="L149" s="92">
        <v>3923.03</v>
      </c>
      <c r="M149" s="92">
        <v>7846.06</v>
      </c>
      <c r="N149" s="573">
        <v>1.85</v>
      </c>
      <c r="O149" s="556" t="str">
        <f t="shared" si="13"/>
        <v>DIF</v>
      </c>
      <c r="P149" s="573"/>
      <c r="Q149" s="556"/>
      <c r="R149" s="582"/>
    </row>
    <row r="150" ht="23.85" customHeight="1" spans="1:18">
      <c r="A150" s="556" t="str">
        <f t="shared" si="14"/>
        <v>Insumo</v>
      </c>
      <c r="B150" s="557" t="str">
        <f t="shared" si="15"/>
        <v>Insumo</v>
      </c>
      <c r="C150" s="79" t="s">
        <v>2921</v>
      </c>
      <c r="D150" s="78" t="s">
        <v>2939</v>
      </c>
      <c r="E150" s="79" t="s">
        <v>139</v>
      </c>
      <c r="F150" s="79" t="s">
        <v>2940</v>
      </c>
      <c r="G150" s="79" t="s">
        <v>2928</v>
      </c>
      <c r="H150" s="79"/>
      <c r="I150" s="80" t="s">
        <v>2925</v>
      </c>
      <c r="J150" s="583">
        <v>2</v>
      </c>
      <c r="K150" s="583">
        <v>0</v>
      </c>
      <c r="L150" s="92">
        <v>6609.95</v>
      </c>
      <c r="M150" s="92">
        <v>13219.9</v>
      </c>
      <c r="N150" s="573">
        <v>1.24</v>
      </c>
      <c r="O150" s="556" t="str">
        <f t="shared" si="13"/>
        <v>DIF</v>
      </c>
      <c r="P150" s="573"/>
      <c r="Q150" s="556"/>
      <c r="R150" s="582"/>
    </row>
    <row r="151" ht="25.5" spans="1:18">
      <c r="A151" s="556" t="str">
        <f t="shared" si="14"/>
        <v>Insumo</v>
      </c>
      <c r="B151" s="557" t="str">
        <f t="shared" si="15"/>
        <v>Insumo</v>
      </c>
      <c r="C151" s="108"/>
      <c r="D151" s="108"/>
      <c r="E151" s="108"/>
      <c r="F151" s="108"/>
      <c r="G151" s="108"/>
      <c r="H151" s="108" t="s">
        <v>2898</v>
      </c>
      <c r="I151" s="581">
        <v>19296.02</v>
      </c>
      <c r="J151" s="108" t="s">
        <v>2899</v>
      </c>
      <c r="K151" s="581">
        <v>0</v>
      </c>
      <c r="L151" s="108" t="s">
        <v>2900</v>
      </c>
      <c r="M151" s="581">
        <v>19296.02</v>
      </c>
      <c r="N151" s="573">
        <v>37.09</v>
      </c>
      <c r="O151" s="556" t="str">
        <f t="shared" si="13"/>
        <v>DIF</v>
      </c>
      <c r="P151" s="573"/>
      <c r="Q151" s="556"/>
      <c r="R151" s="582"/>
    </row>
    <row r="152" ht="25.5" spans="1:18">
      <c r="A152" s="556" t="str">
        <f t="shared" si="14"/>
        <v>Insumo</v>
      </c>
      <c r="B152" s="557" t="str">
        <f t="shared" si="15"/>
        <v>Insumo</v>
      </c>
      <c r="C152" s="108"/>
      <c r="D152" s="108"/>
      <c r="E152" s="108"/>
      <c r="F152" s="108"/>
      <c r="G152" s="108"/>
      <c r="H152" s="108" t="s">
        <v>2901</v>
      </c>
      <c r="I152" s="581">
        <v>5369.71</v>
      </c>
      <c r="J152" s="114"/>
      <c r="K152" s="114" t="s">
        <v>2902</v>
      </c>
      <c r="L152" s="108"/>
      <c r="M152" s="581">
        <v>26435.67</v>
      </c>
      <c r="N152" s="573">
        <v>10.78</v>
      </c>
      <c r="O152" s="556" t="str">
        <f t="shared" si="13"/>
        <v>DIF</v>
      </c>
      <c r="P152" s="573"/>
      <c r="Q152" s="556"/>
      <c r="R152" s="582"/>
    </row>
    <row r="153" ht="15" customHeight="1" spans="1:18">
      <c r="A153" s="556" t="str">
        <f t="shared" si="14"/>
        <v>Insumo</v>
      </c>
      <c r="B153" s="557" t="str">
        <f t="shared" si="15"/>
        <v>Insumo</v>
      </c>
      <c r="C153" s="115" t="s">
        <v>2971</v>
      </c>
      <c r="D153" s="115"/>
      <c r="E153" s="115"/>
      <c r="F153" s="115"/>
      <c r="G153" s="115"/>
      <c r="H153" s="115"/>
      <c r="I153" s="115"/>
      <c r="J153" s="115"/>
      <c r="K153" s="115"/>
      <c r="L153" s="115"/>
      <c r="M153" s="585"/>
      <c r="N153" s="573">
        <v>15.11</v>
      </c>
      <c r="O153" s="556" t="str">
        <f t="shared" si="13"/>
        <v>DIF</v>
      </c>
      <c r="P153" s="573"/>
      <c r="Q153" s="556"/>
      <c r="R153" s="582"/>
    </row>
    <row r="154" ht="15" customHeight="1" spans="1:18">
      <c r="A154" s="556"/>
      <c r="B154" s="557"/>
      <c r="C154" s="584" t="s">
        <v>2972</v>
      </c>
      <c r="D154" s="584"/>
      <c r="E154" s="584"/>
      <c r="F154" s="584"/>
      <c r="G154" s="584"/>
      <c r="H154" s="584"/>
      <c r="I154" s="584"/>
      <c r="J154" s="584"/>
      <c r="K154" s="584"/>
      <c r="L154" s="584"/>
      <c r="M154" s="110"/>
      <c r="N154" s="573"/>
      <c r="O154" s="556"/>
      <c r="P154" s="573"/>
      <c r="Q154" s="556"/>
      <c r="R154" s="582"/>
    </row>
    <row r="155" ht="15" spans="1:18">
      <c r="A155" s="556"/>
      <c r="B155" s="557"/>
      <c r="C155" s="571"/>
      <c r="D155" s="571"/>
      <c r="E155" s="571"/>
      <c r="F155" s="571"/>
      <c r="G155" s="571"/>
      <c r="H155" s="571"/>
      <c r="I155" s="571"/>
      <c r="J155" s="571"/>
      <c r="K155" s="571"/>
      <c r="L155" s="571"/>
      <c r="M155" s="571"/>
      <c r="N155" s="573"/>
      <c r="O155" s="556"/>
      <c r="P155" s="573"/>
      <c r="Q155" s="556"/>
      <c r="R155" s="582"/>
    </row>
    <row r="156" ht="15" customHeight="1" spans="1:18">
      <c r="A156" s="556"/>
      <c r="B156" s="557">
        <f>C155</f>
        <v>0</v>
      </c>
      <c r="C156" s="76" t="s">
        <v>147</v>
      </c>
      <c r="D156" s="75" t="s">
        <v>63</v>
      </c>
      <c r="E156" s="76" t="s">
        <v>64</v>
      </c>
      <c r="F156" s="76" t="s">
        <v>65</v>
      </c>
      <c r="G156" s="76" t="s">
        <v>2889</v>
      </c>
      <c r="H156" s="76"/>
      <c r="I156" s="77" t="s">
        <v>66</v>
      </c>
      <c r="J156" s="75" t="s">
        <v>67</v>
      </c>
      <c r="K156" s="75" t="s">
        <v>2890</v>
      </c>
      <c r="L156" s="75" t="s">
        <v>68</v>
      </c>
      <c r="M156" s="75" t="s">
        <v>70</v>
      </c>
      <c r="N156" s="573">
        <v>365.43</v>
      </c>
      <c r="O156" s="556" t="str">
        <f t="shared" ref="O156:O161" si="16">IF(N156=M156,"OK","DIF")</f>
        <v>DIF</v>
      </c>
      <c r="P156" s="573"/>
      <c r="Q156" s="556"/>
      <c r="R156" s="582"/>
    </row>
    <row r="157" ht="15" customHeight="1" spans="1:18">
      <c r="A157" s="556">
        <f>B157</f>
        <v>0</v>
      </c>
      <c r="B157" s="557">
        <f>B156</f>
        <v>0</v>
      </c>
      <c r="C157" s="569" t="s">
        <v>2891</v>
      </c>
      <c r="D157" s="570" t="s">
        <v>148</v>
      </c>
      <c r="E157" s="569" t="s">
        <v>149</v>
      </c>
      <c r="F157" s="569" t="s">
        <v>150</v>
      </c>
      <c r="G157" s="569" t="s">
        <v>2973</v>
      </c>
      <c r="H157" s="569"/>
      <c r="I157" s="577" t="s">
        <v>134</v>
      </c>
      <c r="J157" s="578">
        <v>1</v>
      </c>
      <c r="K157" s="579"/>
      <c r="L157" s="579">
        <v>6216.46</v>
      </c>
      <c r="M157" s="579">
        <v>6216.46</v>
      </c>
      <c r="N157" s="573">
        <v>45.01</v>
      </c>
      <c r="O157" s="556" t="str">
        <f t="shared" si="16"/>
        <v>DIF</v>
      </c>
      <c r="P157" s="573"/>
      <c r="Q157" s="556"/>
      <c r="R157" s="582"/>
    </row>
    <row r="158" ht="15" customHeight="1" spans="1:18">
      <c r="A158" s="556">
        <f>B158</f>
        <v>0</v>
      </c>
      <c r="B158" s="557">
        <f>B157</f>
        <v>0</v>
      </c>
      <c r="C158" s="100" t="s">
        <v>2893</v>
      </c>
      <c r="D158" s="99" t="s">
        <v>2974</v>
      </c>
      <c r="E158" s="100" t="s">
        <v>149</v>
      </c>
      <c r="F158" s="100" t="s">
        <v>2975</v>
      </c>
      <c r="G158" s="100" t="s">
        <v>2896</v>
      </c>
      <c r="H158" s="100"/>
      <c r="I158" s="101" t="s">
        <v>2897</v>
      </c>
      <c r="J158" s="580">
        <v>97.88</v>
      </c>
      <c r="K158" s="580">
        <v>0</v>
      </c>
      <c r="L158" s="102">
        <v>19.471856</v>
      </c>
      <c r="M158" s="102">
        <v>1905.9</v>
      </c>
      <c r="N158" s="573">
        <v>16.63</v>
      </c>
      <c r="O158" s="556" t="str">
        <f t="shared" si="16"/>
        <v>DIF</v>
      </c>
      <c r="P158" s="573"/>
      <c r="Q158" s="556"/>
      <c r="R158" s="582"/>
    </row>
    <row r="159" ht="15" customHeight="1" spans="1:18">
      <c r="A159" s="556">
        <f>B159</f>
        <v>0</v>
      </c>
      <c r="B159" s="557">
        <f>B158</f>
        <v>0</v>
      </c>
      <c r="C159" s="100" t="s">
        <v>2893</v>
      </c>
      <c r="D159" s="99" t="s">
        <v>2976</v>
      </c>
      <c r="E159" s="100" t="s">
        <v>149</v>
      </c>
      <c r="F159" s="100" t="s">
        <v>2977</v>
      </c>
      <c r="G159" s="100" t="s">
        <v>2896</v>
      </c>
      <c r="H159" s="100"/>
      <c r="I159" s="101" t="s">
        <v>2897</v>
      </c>
      <c r="J159" s="580">
        <v>55.674</v>
      </c>
      <c r="K159" s="580">
        <v>0</v>
      </c>
      <c r="L159" s="102">
        <v>20.515752</v>
      </c>
      <c r="M159" s="102">
        <v>1142.19</v>
      </c>
      <c r="N159" s="573">
        <v>235.99</v>
      </c>
      <c r="O159" s="556" t="str">
        <f t="shared" si="16"/>
        <v>DIF</v>
      </c>
      <c r="P159" s="573"/>
      <c r="Q159" s="556"/>
      <c r="R159" s="582"/>
    </row>
    <row r="160" ht="15" customHeight="1" spans="1:18">
      <c r="A160" s="556">
        <f>B160</f>
        <v>0</v>
      </c>
      <c r="B160" s="557">
        <f>B159</f>
        <v>0</v>
      </c>
      <c r="C160" s="100" t="s">
        <v>2893</v>
      </c>
      <c r="D160" s="99" t="s">
        <v>2978</v>
      </c>
      <c r="E160" s="100" t="s">
        <v>149</v>
      </c>
      <c r="F160" s="100" t="s">
        <v>2979</v>
      </c>
      <c r="G160" s="100" t="s">
        <v>2896</v>
      </c>
      <c r="H160" s="100"/>
      <c r="I160" s="101" t="s">
        <v>2897</v>
      </c>
      <c r="J160" s="580">
        <v>6.186</v>
      </c>
      <c r="K160" s="580">
        <v>0</v>
      </c>
      <c r="L160" s="102">
        <v>53.26</v>
      </c>
      <c r="M160" s="102">
        <v>329.46</v>
      </c>
      <c r="N160" s="573">
        <v>65.82</v>
      </c>
      <c r="O160" s="556" t="str">
        <f t="shared" si="16"/>
        <v>DIF</v>
      </c>
      <c r="P160" s="573"/>
      <c r="Q160" s="556"/>
      <c r="R160" s="582"/>
    </row>
    <row r="161" ht="15" customHeight="1" spans="1:18">
      <c r="A161" s="556">
        <f>B161</f>
        <v>0</v>
      </c>
      <c r="B161" s="557">
        <f>B160</f>
        <v>0</v>
      </c>
      <c r="C161" s="100" t="s">
        <v>2893</v>
      </c>
      <c r="D161" s="99" t="s">
        <v>2980</v>
      </c>
      <c r="E161" s="100" t="s">
        <v>149</v>
      </c>
      <c r="F161" s="100" t="s">
        <v>2981</v>
      </c>
      <c r="G161" s="100" t="s">
        <v>2896</v>
      </c>
      <c r="H161" s="100"/>
      <c r="I161" s="101" t="s">
        <v>2897</v>
      </c>
      <c r="J161" s="580">
        <v>12.372</v>
      </c>
      <c r="K161" s="580">
        <v>0</v>
      </c>
      <c r="L161" s="102">
        <v>26.928256</v>
      </c>
      <c r="M161" s="102">
        <v>333.15</v>
      </c>
      <c r="N161" s="573">
        <v>1.98</v>
      </c>
      <c r="O161" s="556" t="str">
        <f t="shared" si="16"/>
        <v>DIF</v>
      </c>
      <c r="P161" s="573"/>
      <c r="Q161" s="556"/>
      <c r="R161" s="582"/>
    </row>
    <row r="162" ht="15" customHeight="1" spans="1:18">
      <c r="A162" s="556"/>
      <c r="B162" s="557"/>
      <c r="C162" s="100" t="s">
        <v>2893</v>
      </c>
      <c r="D162" s="99" t="s">
        <v>2982</v>
      </c>
      <c r="E162" s="100" t="s">
        <v>149</v>
      </c>
      <c r="F162" s="100" t="s">
        <v>2983</v>
      </c>
      <c r="G162" s="100" t="s">
        <v>2896</v>
      </c>
      <c r="H162" s="100"/>
      <c r="I162" s="101" t="s">
        <v>2897</v>
      </c>
      <c r="J162" s="580">
        <v>17.527</v>
      </c>
      <c r="K162" s="580">
        <v>0</v>
      </c>
      <c r="L162" s="102">
        <v>28.994744</v>
      </c>
      <c r="M162" s="102">
        <v>508.19</v>
      </c>
      <c r="N162" s="573"/>
      <c r="O162" s="556"/>
      <c r="P162" s="573"/>
      <c r="Q162" s="556"/>
      <c r="R162" s="582"/>
    </row>
    <row r="163" ht="15" customHeight="1" spans="1:18">
      <c r="A163" s="556"/>
      <c r="B163" s="557"/>
      <c r="C163" s="100" t="s">
        <v>2893</v>
      </c>
      <c r="D163" s="99" t="s">
        <v>2984</v>
      </c>
      <c r="E163" s="100" t="s">
        <v>149</v>
      </c>
      <c r="F163" s="100" t="s">
        <v>2985</v>
      </c>
      <c r="G163" s="100" t="s">
        <v>2896</v>
      </c>
      <c r="H163" s="100"/>
      <c r="I163" s="101" t="s">
        <v>2897</v>
      </c>
      <c r="J163" s="580">
        <v>17.527</v>
      </c>
      <c r="K163" s="580">
        <v>0</v>
      </c>
      <c r="L163" s="102">
        <v>20.515752</v>
      </c>
      <c r="M163" s="102">
        <v>359.57</v>
      </c>
      <c r="N163" s="573"/>
      <c r="O163" s="556"/>
      <c r="P163" s="573"/>
      <c r="Q163" s="556"/>
      <c r="R163" s="582"/>
    </row>
    <row r="164" ht="15" customHeight="1" spans="1:18">
      <c r="A164" s="556"/>
      <c r="B164" s="557" t="str">
        <f>C163</f>
        <v>Insumo</v>
      </c>
      <c r="C164" s="100" t="s">
        <v>2893</v>
      </c>
      <c r="D164" s="99" t="s">
        <v>2986</v>
      </c>
      <c r="E164" s="100" t="s">
        <v>149</v>
      </c>
      <c r="F164" s="100" t="s">
        <v>2987</v>
      </c>
      <c r="G164" s="100" t="s">
        <v>2896</v>
      </c>
      <c r="H164" s="100"/>
      <c r="I164" s="101" t="s">
        <v>2897</v>
      </c>
      <c r="J164" s="580">
        <v>27.837</v>
      </c>
      <c r="K164" s="580">
        <v>0</v>
      </c>
      <c r="L164" s="102">
        <v>26.928256</v>
      </c>
      <c r="M164" s="102">
        <v>749.6</v>
      </c>
      <c r="N164" s="573">
        <v>401.76</v>
      </c>
      <c r="O164" s="556" t="str">
        <f t="shared" ref="O164:O169" si="17">IF(N164=M164,"OK","DIF")</f>
        <v>DIF</v>
      </c>
      <c r="P164" s="573"/>
      <c r="Q164" s="556"/>
      <c r="R164" s="582"/>
    </row>
    <row r="165" ht="15" customHeight="1" spans="1:18">
      <c r="A165" s="556" t="str">
        <f>B165</f>
        <v>Insumo</v>
      </c>
      <c r="B165" s="557" t="str">
        <f>B164</f>
        <v>Insumo</v>
      </c>
      <c r="C165" s="100" t="s">
        <v>2893</v>
      </c>
      <c r="D165" s="99" t="s">
        <v>2988</v>
      </c>
      <c r="E165" s="100" t="s">
        <v>149</v>
      </c>
      <c r="F165" s="100" t="s">
        <v>2989</v>
      </c>
      <c r="G165" s="100" t="s">
        <v>2896</v>
      </c>
      <c r="H165" s="100"/>
      <c r="I165" s="101" t="s">
        <v>2897</v>
      </c>
      <c r="J165" s="580">
        <v>19.589</v>
      </c>
      <c r="K165" s="580">
        <v>0</v>
      </c>
      <c r="L165" s="102">
        <v>26.928256</v>
      </c>
      <c r="M165" s="102">
        <v>527.49</v>
      </c>
      <c r="N165" s="573">
        <v>54.28</v>
      </c>
      <c r="O165" s="556" t="str">
        <f t="shared" si="17"/>
        <v>DIF</v>
      </c>
      <c r="P165" s="573"/>
      <c r="Q165" s="556"/>
      <c r="R165" s="582"/>
    </row>
    <row r="166" ht="15" customHeight="1" spans="1:18">
      <c r="A166" s="556" t="str">
        <f>B166</f>
        <v>Insumo</v>
      </c>
      <c r="B166" s="557" t="str">
        <f>B165</f>
        <v>Insumo</v>
      </c>
      <c r="C166" s="100" t="s">
        <v>2893</v>
      </c>
      <c r="D166" s="99" t="s">
        <v>2990</v>
      </c>
      <c r="E166" s="100" t="s">
        <v>149</v>
      </c>
      <c r="F166" s="100" t="s">
        <v>2991</v>
      </c>
      <c r="G166" s="100" t="s">
        <v>2896</v>
      </c>
      <c r="H166" s="100"/>
      <c r="I166" s="101" t="s">
        <v>2897</v>
      </c>
      <c r="J166" s="580">
        <v>13.403</v>
      </c>
      <c r="K166" s="580">
        <v>0</v>
      </c>
      <c r="L166" s="102">
        <v>26.928256</v>
      </c>
      <c r="M166" s="102">
        <v>360.91</v>
      </c>
      <c r="N166" s="573">
        <v>20.05</v>
      </c>
      <c r="O166" s="556" t="str">
        <f t="shared" si="17"/>
        <v>DIF</v>
      </c>
      <c r="P166" s="573"/>
      <c r="Q166" s="556"/>
      <c r="R166" s="582"/>
    </row>
    <row r="167" ht="25.5" spans="1:18">
      <c r="A167" s="556" t="str">
        <f>B167</f>
        <v>Insumo</v>
      </c>
      <c r="B167" s="557" t="str">
        <f>B166</f>
        <v>Insumo</v>
      </c>
      <c r="C167" s="108"/>
      <c r="D167" s="108"/>
      <c r="E167" s="108"/>
      <c r="F167" s="108"/>
      <c r="G167" s="108"/>
      <c r="H167" s="108" t="s">
        <v>2898</v>
      </c>
      <c r="I167" s="581">
        <v>6216.46</v>
      </c>
      <c r="J167" s="108" t="s">
        <v>2899</v>
      </c>
      <c r="K167" s="581">
        <v>0</v>
      </c>
      <c r="L167" s="108" t="s">
        <v>2900</v>
      </c>
      <c r="M167" s="581">
        <v>6216.46</v>
      </c>
      <c r="N167" s="573">
        <v>259.63</v>
      </c>
      <c r="O167" s="556" t="str">
        <f t="shared" si="17"/>
        <v>DIF</v>
      </c>
      <c r="P167" s="573"/>
      <c r="Q167" s="556"/>
      <c r="R167" s="582"/>
    </row>
    <row r="168" ht="26.25" spans="1:18">
      <c r="A168" s="556" t="str">
        <f>B168</f>
        <v>Insumo</v>
      </c>
      <c r="B168" s="557" t="str">
        <f>B167</f>
        <v>Insumo</v>
      </c>
      <c r="C168" s="108"/>
      <c r="D168" s="108"/>
      <c r="E168" s="108"/>
      <c r="F168" s="108"/>
      <c r="G168" s="108"/>
      <c r="H168" s="108" t="s">
        <v>2901</v>
      </c>
      <c r="I168" s="581">
        <v>1584.57</v>
      </c>
      <c r="J168" s="114"/>
      <c r="K168" s="114" t="s">
        <v>2902</v>
      </c>
      <c r="L168" s="108"/>
      <c r="M168" s="581">
        <v>7801.03</v>
      </c>
      <c r="N168" s="573">
        <v>65.82</v>
      </c>
      <c r="O168" s="556" t="str">
        <f t="shared" si="17"/>
        <v>DIF</v>
      </c>
      <c r="P168" s="573"/>
      <c r="Q168" s="556"/>
      <c r="R168" s="582"/>
    </row>
    <row r="169" ht="15" spans="1:18">
      <c r="A169" s="556" t="str">
        <f>B169</f>
        <v>Insumo</v>
      </c>
      <c r="B169" s="557" t="str">
        <f>B168</f>
        <v>Insumo</v>
      </c>
      <c r="C169" s="571"/>
      <c r="D169" s="571"/>
      <c r="E169" s="571"/>
      <c r="F169" s="571"/>
      <c r="G169" s="571"/>
      <c r="H169" s="571"/>
      <c r="I169" s="571"/>
      <c r="J169" s="571"/>
      <c r="K169" s="571"/>
      <c r="L169" s="571"/>
      <c r="M169" s="571"/>
      <c r="N169" s="573">
        <v>1.98</v>
      </c>
      <c r="O169" s="556" t="str">
        <f t="shared" si="17"/>
        <v>DIF</v>
      </c>
      <c r="P169" s="573"/>
      <c r="Q169" s="556"/>
      <c r="R169" s="582"/>
    </row>
    <row r="170" ht="15" customHeight="1" spans="1:18">
      <c r="A170" s="556"/>
      <c r="B170" s="557"/>
      <c r="C170" s="76" t="s">
        <v>151</v>
      </c>
      <c r="D170" s="75" t="s">
        <v>63</v>
      </c>
      <c r="E170" s="76" t="s">
        <v>64</v>
      </c>
      <c r="F170" s="76" t="s">
        <v>65</v>
      </c>
      <c r="G170" s="76" t="s">
        <v>2889</v>
      </c>
      <c r="H170" s="76"/>
      <c r="I170" s="77" t="s">
        <v>66</v>
      </c>
      <c r="J170" s="75" t="s">
        <v>67</v>
      </c>
      <c r="K170" s="75" t="s">
        <v>2890</v>
      </c>
      <c r="L170" s="75" t="s">
        <v>68</v>
      </c>
      <c r="M170" s="75" t="s">
        <v>70</v>
      </c>
      <c r="N170" s="573"/>
      <c r="O170" s="556"/>
      <c r="P170" s="573"/>
      <c r="Q170" s="556"/>
      <c r="R170" s="582"/>
    </row>
    <row r="171" ht="23.85" customHeight="1" spans="1:18">
      <c r="A171" s="556"/>
      <c r="B171" s="557"/>
      <c r="C171" s="569" t="s">
        <v>2891</v>
      </c>
      <c r="D171" s="570" t="s">
        <v>152</v>
      </c>
      <c r="E171" s="569" t="s">
        <v>139</v>
      </c>
      <c r="F171" s="569" t="s">
        <v>153</v>
      </c>
      <c r="G171" s="569" t="s">
        <v>2992</v>
      </c>
      <c r="H171" s="569"/>
      <c r="I171" s="577" t="s">
        <v>141</v>
      </c>
      <c r="J171" s="578">
        <v>1</v>
      </c>
      <c r="K171" s="579"/>
      <c r="L171" s="579">
        <v>105.08</v>
      </c>
      <c r="M171" s="579">
        <v>105.08</v>
      </c>
      <c r="N171" s="573"/>
      <c r="O171" s="556"/>
      <c r="P171" s="573"/>
      <c r="Q171" s="556"/>
      <c r="R171" s="582"/>
    </row>
    <row r="172" ht="23.85" customHeight="1" spans="1:18">
      <c r="A172" s="556"/>
      <c r="B172" s="557" t="str">
        <f>C171</f>
        <v>Composição</v>
      </c>
      <c r="C172" s="79" t="s">
        <v>2921</v>
      </c>
      <c r="D172" s="78" t="s">
        <v>2954</v>
      </c>
      <c r="E172" s="79" t="s">
        <v>139</v>
      </c>
      <c r="F172" s="79" t="s">
        <v>2955</v>
      </c>
      <c r="G172" s="79" t="s">
        <v>2928</v>
      </c>
      <c r="H172" s="79"/>
      <c r="I172" s="80" t="s">
        <v>2897</v>
      </c>
      <c r="J172" s="583">
        <v>0.735</v>
      </c>
      <c r="K172" s="583">
        <v>0</v>
      </c>
      <c r="L172" s="92">
        <v>37.51</v>
      </c>
      <c r="M172" s="92">
        <v>27.56</v>
      </c>
      <c r="N172" s="573">
        <v>128.08</v>
      </c>
      <c r="O172" s="556" t="str">
        <f>IF(N172=M172,"OK","DIF")</f>
        <v>DIF</v>
      </c>
      <c r="P172" s="573"/>
      <c r="Q172" s="556"/>
      <c r="R172" s="582"/>
    </row>
    <row r="173" ht="23.85" customHeight="1" spans="1:18">
      <c r="A173" s="556" t="str">
        <f>B173</f>
        <v>Composição</v>
      </c>
      <c r="B173" s="557" t="str">
        <f>B172</f>
        <v>Composição</v>
      </c>
      <c r="C173" s="79" t="s">
        <v>2921</v>
      </c>
      <c r="D173" s="78" t="s">
        <v>2993</v>
      </c>
      <c r="E173" s="79" t="s">
        <v>139</v>
      </c>
      <c r="F173" s="79" t="s">
        <v>2994</v>
      </c>
      <c r="G173" s="79" t="s">
        <v>2995</v>
      </c>
      <c r="H173" s="79"/>
      <c r="I173" s="80" t="s">
        <v>2996</v>
      </c>
      <c r="J173" s="583">
        <v>0.0264</v>
      </c>
      <c r="K173" s="583">
        <v>0</v>
      </c>
      <c r="L173" s="92">
        <v>39.98</v>
      </c>
      <c r="M173" s="92">
        <v>1.05</v>
      </c>
      <c r="N173" s="573">
        <v>13</v>
      </c>
      <c r="O173" s="556" t="str">
        <f>IF(N173=M173,"OK","DIF")</f>
        <v>DIF</v>
      </c>
      <c r="P173" s="573"/>
      <c r="Q173" s="556"/>
      <c r="R173" s="582"/>
    </row>
    <row r="174" ht="23.85" customHeight="1" spans="1:18">
      <c r="A174" s="556" t="str">
        <f>B174</f>
        <v>Composição</v>
      </c>
      <c r="B174" s="557" t="str">
        <f>B173</f>
        <v>Composição</v>
      </c>
      <c r="C174" s="79" t="s">
        <v>2921</v>
      </c>
      <c r="D174" s="78" t="s">
        <v>2997</v>
      </c>
      <c r="E174" s="79" t="s">
        <v>139</v>
      </c>
      <c r="F174" s="79" t="s">
        <v>2998</v>
      </c>
      <c r="G174" s="79" t="s">
        <v>2999</v>
      </c>
      <c r="H174" s="79"/>
      <c r="I174" s="80" t="s">
        <v>279</v>
      </c>
      <c r="J174" s="583">
        <v>0.0061</v>
      </c>
      <c r="K174" s="583">
        <v>0</v>
      </c>
      <c r="L174" s="92">
        <v>464.77</v>
      </c>
      <c r="M174" s="92">
        <v>2.83</v>
      </c>
      <c r="N174" s="573">
        <v>35.18</v>
      </c>
      <c r="O174" s="556" t="str">
        <f>IF(N174=M174,"OK","DIF")</f>
        <v>DIF</v>
      </c>
      <c r="P174" s="573"/>
      <c r="Q174" s="556"/>
      <c r="R174" s="582"/>
    </row>
    <row r="175" ht="23.85" customHeight="1" spans="1:18">
      <c r="A175" s="556" t="str">
        <f>B175</f>
        <v>Composição</v>
      </c>
      <c r="B175" s="557" t="str">
        <f>B174</f>
        <v>Composição</v>
      </c>
      <c r="C175" s="79" t="s">
        <v>2921</v>
      </c>
      <c r="D175" s="78" t="s">
        <v>3000</v>
      </c>
      <c r="E175" s="79" t="s">
        <v>139</v>
      </c>
      <c r="F175" s="79" t="s">
        <v>3001</v>
      </c>
      <c r="G175" s="79" t="s">
        <v>2995</v>
      </c>
      <c r="H175" s="79"/>
      <c r="I175" s="80" t="s">
        <v>3002</v>
      </c>
      <c r="J175" s="583">
        <v>0.0066</v>
      </c>
      <c r="K175" s="583">
        <v>0</v>
      </c>
      <c r="L175" s="92">
        <v>41.6</v>
      </c>
      <c r="M175" s="92">
        <v>0.27</v>
      </c>
      <c r="N175" s="573">
        <v>79.9</v>
      </c>
      <c r="O175" s="556" t="str">
        <f>IF(N175=M175,"OK","DIF")</f>
        <v>DIF</v>
      </c>
      <c r="P175" s="573"/>
      <c r="Q175" s="556"/>
      <c r="R175" s="582"/>
    </row>
    <row r="176" ht="23.85" customHeight="1" spans="1:18">
      <c r="A176" s="556"/>
      <c r="B176" s="557"/>
      <c r="C176" s="79" t="s">
        <v>2921</v>
      </c>
      <c r="D176" s="78" t="s">
        <v>3003</v>
      </c>
      <c r="E176" s="79" t="s">
        <v>139</v>
      </c>
      <c r="F176" s="79" t="s">
        <v>3004</v>
      </c>
      <c r="G176" s="79" t="s">
        <v>2928</v>
      </c>
      <c r="H176" s="79"/>
      <c r="I176" s="80" t="s">
        <v>2897</v>
      </c>
      <c r="J176" s="583">
        <v>0.492</v>
      </c>
      <c r="K176" s="583">
        <v>0</v>
      </c>
      <c r="L176" s="92">
        <v>29.91</v>
      </c>
      <c r="M176" s="92">
        <v>14.71</v>
      </c>
      <c r="N176" s="573"/>
      <c r="O176" s="556"/>
      <c r="P176" s="573"/>
      <c r="Q176" s="556"/>
      <c r="R176" s="582"/>
    </row>
    <row r="177" ht="35.05" customHeight="1" spans="1:18">
      <c r="A177" s="556"/>
      <c r="B177" s="557"/>
      <c r="C177" s="100" t="s">
        <v>2893</v>
      </c>
      <c r="D177" s="99" t="s">
        <v>3005</v>
      </c>
      <c r="E177" s="100" t="s">
        <v>139</v>
      </c>
      <c r="F177" s="100" t="s">
        <v>3006</v>
      </c>
      <c r="G177" s="100" t="s">
        <v>2961</v>
      </c>
      <c r="H177" s="100"/>
      <c r="I177" s="101" t="s">
        <v>141</v>
      </c>
      <c r="J177" s="580">
        <v>0.5853</v>
      </c>
      <c r="K177" s="580">
        <v>0</v>
      </c>
      <c r="L177" s="102">
        <v>58.31</v>
      </c>
      <c r="M177" s="102">
        <v>34.12</v>
      </c>
      <c r="N177" s="573"/>
      <c r="O177" s="556"/>
      <c r="P177" s="573"/>
      <c r="Q177" s="556"/>
      <c r="R177" s="582"/>
    </row>
    <row r="178" ht="23.85" customHeight="1" spans="1:18">
      <c r="A178" s="556"/>
      <c r="B178" s="557" t="str">
        <f>C177</f>
        <v>Insumo</v>
      </c>
      <c r="C178" s="100" t="s">
        <v>2893</v>
      </c>
      <c r="D178" s="99" t="s">
        <v>3007</v>
      </c>
      <c r="E178" s="100" t="s">
        <v>139</v>
      </c>
      <c r="F178" s="100" t="s">
        <v>3008</v>
      </c>
      <c r="G178" s="100" t="s">
        <v>2961</v>
      </c>
      <c r="H178" s="100"/>
      <c r="I178" s="101" t="s">
        <v>204</v>
      </c>
      <c r="J178" s="580">
        <v>1.2273</v>
      </c>
      <c r="K178" s="580">
        <v>0</v>
      </c>
      <c r="L178" s="102">
        <v>8.79</v>
      </c>
      <c r="M178" s="102">
        <v>10.78</v>
      </c>
      <c r="N178" s="573">
        <v>126.34</v>
      </c>
      <c r="O178" s="556" t="str">
        <f>IF(N178=M178,"OK","DIF")</f>
        <v>DIF</v>
      </c>
      <c r="P178" s="573"/>
      <c r="Q178" s="556"/>
      <c r="R178" s="582"/>
    </row>
    <row r="179" ht="23.85" customHeight="1" spans="1:18">
      <c r="A179" s="556" t="str">
        <f>B179</f>
        <v>Insumo</v>
      </c>
      <c r="B179" s="557" t="str">
        <f>B178</f>
        <v>Insumo</v>
      </c>
      <c r="C179" s="100" t="s">
        <v>2893</v>
      </c>
      <c r="D179" s="99" t="s">
        <v>3009</v>
      </c>
      <c r="E179" s="100" t="s">
        <v>139</v>
      </c>
      <c r="F179" s="100" t="s">
        <v>3010</v>
      </c>
      <c r="G179" s="100" t="s">
        <v>2961</v>
      </c>
      <c r="H179" s="100"/>
      <c r="I179" s="101" t="s">
        <v>204</v>
      </c>
      <c r="J179" s="580">
        <v>2</v>
      </c>
      <c r="K179" s="580">
        <v>0</v>
      </c>
      <c r="L179" s="102">
        <v>6.27</v>
      </c>
      <c r="M179" s="102">
        <v>12.54</v>
      </c>
      <c r="N179" s="573">
        <v>9.96</v>
      </c>
      <c r="O179" s="556" t="str">
        <f>IF(N179=M179,"OK","DIF")</f>
        <v>DIF</v>
      </c>
      <c r="P179" s="573"/>
      <c r="Q179" s="556"/>
      <c r="R179" s="582"/>
    </row>
    <row r="180" ht="15" customHeight="1" spans="1:18">
      <c r="A180" s="556" t="str">
        <f>B180</f>
        <v>Insumo</v>
      </c>
      <c r="B180" s="557" t="str">
        <f>B179</f>
        <v>Insumo</v>
      </c>
      <c r="C180" s="100" t="s">
        <v>2893</v>
      </c>
      <c r="D180" s="99" t="s">
        <v>3011</v>
      </c>
      <c r="E180" s="100" t="s">
        <v>139</v>
      </c>
      <c r="F180" s="100" t="s">
        <v>3012</v>
      </c>
      <c r="G180" s="100" t="s">
        <v>2961</v>
      </c>
      <c r="H180" s="100"/>
      <c r="I180" s="101" t="s">
        <v>393</v>
      </c>
      <c r="J180" s="580">
        <v>0.068</v>
      </c>
      <c r="K180" s="580">
        <v>0</v>
      </c>
      <c r="L180" s="102">
        <v>18.07</v>
      </c>
      <c r="M180" s="102">
        <v>1.22</v>
      </c>
      <c r="N180" s="573">
        <v>26.92</v>
      </c>
      <c r="O180" s="556" t="str">
        <f>IF(N180=M180,"OK","DIF")</f>
        <v>DIF</v>
      </c>
      <c r="P180" s="573"/>
      <c r="Q180" s="556"/>
      <c r="R180" s="582"/>
    </row>
    <row r="181" ht="25.5" spans="1:18">
      <c r="A181" s="556" t="str">
        <f>B181</f>
        <v>Insumo</v>
      </c>
      <c r="B181" s="557" t="str">
        <f>B180</f>
        <v>Insumo</v>
      </c>
      <c r="C181" s="108"/>
      <c r="D181" s="108"/>
      <c r="E181" s="108"/>
      <c r="F181" s="108"/>
      <c r="G181" s="108"/>
      <c r="H181" s="108" t="s">
        <v>2898</v>
      </c>
      <c r="I181" s="581">
        <v>31.99</v>
      </c>
      <c r="J181" s="108" t="s">
        <v>2899</v>
      </c>
      <c r="K181" s="581">
        <v>0</v>
      </c>
      <c r="L181" s="108" t="s">
        <v>2900</v>
      </c>
      <c r="M181" s="581">
        <v>31.99</v>
      </c>
      <c r="N181" s="573">
        <v>89.46</v>
      </c>
      <c r="O181" s="556" t="str">
        <f>IF(N181=M181,"OK","DIF")</f>
        <v>DIF</v>
      </c>
      <c r="P181" s="573"/>
      <c r="Q181" s="556"/>
      <c r="R181" s="582"/>
    </row>
    <row r="182" ht="26.25" spans="1:18">
      <c r="A182" s="556"/>
      <c r="B182" s="557"/>
      <c r="C182" s="108"/>
      <c r="D182" s="108"/>
      <c r="E182" s="108"/>
      <c r="F182" s="108"/>
      <c r="G182" s="108"/>
      <c r="H182" s="108" t="s">
        <v>2901</v>
      </c>
      <c r="I182" s="581">
        <v>26.78</v>
      </c>
      <c r="J182" s="114"/>
      <c r="K182" s="114" t="s">
        <v>2902</v>
      </c>
      <c r="L182" s="108"/>
      <c r="M182" s="581">
        <v>131.86</v>
      </c>
      <c r="N182" s="573"/>
      <c r="O182" s="556"/>
      <c r="P182" s="573"/>
      <c r="Q182" s="556"/>
      <c r="R182" s="582"/>
    </row>
    <row r="183" ht="15" spans="1:18">
      <c r="A183" s="556"/>
      <c r="B183" s="557"/>
      <c r="C183" s="571"/>
      <c r="D183" s="571"/>
      <c r="E183" s="571"/>
      <c r="F183" s="571"/>
      <c r="G183" s="571"/>
      <c r="H183" s="571"/>
      <c r="I183" s="571"/>
      <c r="J183" s="571"/>
      <c r="K183" s="571"/>
      <c r="L183" s="571"/>
      <c r="M183" s="571"/>
      <c r="N183" s="573"/>
      <c r="O183" s="556"/>
      <c r="P183" s="573"/>
      <c r="Q183" s="556"/>
      <c r="R183" s="582"/>
    </row>
    <row r="184" ht="15" customHeight="1" spans="1:18">
      <c r="A184" s="556"/>
      <c r="B184" s="557">
        <f>C183</f>
        <v>0</v>
      </c>
      <c r="C184" s="76" t="s">
        <v>156</v>
      </c>
      <c r="D184" s="75" t="s">
        <v>63</v>
      </c>
      <c r="E184" s="76" t="s">
        <v>64</v>
      </c>
      <c r="F184" s="76" t="s">
        <v>65</v>
      </c>
      <c r="G184" s="76" t="s">
        <v>2889</v>
      </c>
      <c r="H184" s="76"/>
      <c r="I184" s="77" t="s">
        <v>66</v>
      </c>
      <c r="J184" s="75" t="s">
        <v>67</v>
      </c>
      <c r="K184" s="75" t="s">
        <v>2890</v>
      </c>
      <c r="L184" s="75" t="s">
        <v>68</v>
      </c>
      <c r="M184" s="75" t="s">
        <v>70</v>
      </c>
      <c r="N184" s="573">
        <v>973</v>
      </c>
      <c r="O184" s="556" t="str">
        <f t="shared" ref="O184:O190" si="18">IF(N184=M184,"OK","DIF")</f>
        <v>DIF</v>
      </c>
      <c r="P184" s="573"/>
      <c r="Q184" s="556"/>
      <c r="R184" s="582"/>
    </row>
    <row r="185" ht="23.85" customHeight="1" spans="1:18">
      <c r="A185" s="556">
        <f t="shared" ref="A185:A190" si="19">B185</f>
        <v>0</v>
      </c>
      <c r="B185" s="557">
        <f t="shared" ref="B185:B190" si="20">B184</f>
        <v>0</v>
      </c>
      <c r="C185" s="569" t="s">
        <v>2891</v>
      </c>
      <c r="D185" s="570" t="s">
        <v>157</v>
      </c>
      <c r="E185" s="569" t="s">
        <v>139</v>
      </c>
      <c r="F185" s="569" t="s">
        <v>158</v>
      </c>
      <c r="G185" s="569" t="s">
        <v>3013</v>
      </c>
      <c r="H185" s="569"/>
      <c r="I185" s="577" t="s">
        <v>141</v>
      </c>
      <c r="J185" s="578">
        <v>1</v>
      </c>
      <c r="K185" s="579"/>
      <c r="L185" s="579">
        <v>40.28</v>
      </c>
      <c r="M185" s="579">
        <v>40.28</v>
      </c>
      <c r="N185" s="573">
        <v>22.48</v>
      </c>
      <c r="O185" s="556" t="str">
        <f t="shared" si="18"/>
        <v>DIF</v>
      </c>
      <c r="P185" s="573"/>
      <c r="Q185" s="556"/>
      <c r="R185" s="582"/>
    </row>
    <row r="186" ht="35.05" customHeight="1" spans="1:18">
      <c r="A186" s="556">
        <f t="shared" si="19"/>
        <v>0</v>
      </c>
      <c r="B186" s="557">
        <f t="shared" si="20"/>
        <v>0</v>
      </c>
      <c r="C186" s="79" t="s">
        <v>2921</v>
      </c>
      <c r="D186" s="78" t="s">
        <v>3014</v>
      </c>
      <c r="E186" s="79" t="s">
        <v>139</v>
      </c>
      <c r="F186" s="79" t="s">
        <v>3015</v>
      </c>
      <c r="G186" s="79" t="s">
        <v>3016</v>
      </c>
      <c r="H186" s="79"/>
      <c r="I186" s="80" t="s">
        <v>279</v>
      </c>
      <c r="J186" s="583">
        <v>0.031</v>
      </c>
      <c r="K186" s="583">
        <v>0</v>
      </c>
      <c r="L186" s="92">
        <v>627.48</v>
      </c>
      <c r="M186" s="92">
        <v>19.45</v>
      </c>
      <c r="N186" s="573">
        <v>60.84</v>
      </c>
      <c r="O186" s="556" t="str">
        <f t="shared" si="18"/>
        <v>DIF</v>
      </c>
      <c r="P186" s="573"/>
      <c r="Q186" s="556"/>
      <c r="R186" s="582"/>
    </row>
    <row r="187" ht="23.85" customHeight="1" spans="1:18">
      <c r="A187" s="556">
        <f t="shared" si="19"/>
        <v>0</v>
      </c>
      <c r="B187" s="557">
        <f t="shared" si="20"/>
        <v>0</v>
      </c>
      <c r="C187" s="79" t="s">
        <v>2921</v>
      </c>
      <c r="D187" s="78" t="s">
        <v>2952</v>
      </c>
      <c r="E187" s="79" t="s">
        <v>139</v>
      </c>
      <c r="F187" s="79" t="s">
        <v>2953</v>
      </c>
      <c r="G187" s="79" t="s">
        <v>2928</v>
      </c>
      <c r="H187" s="79"/>
      <c r="I187" s="80" t="s">
        <v>2897</v>
      </c>
      <c r="J187" s="583">
        <v>0.177</v>
      </c>
      <c r="K187" s="583">
        <v>0</v>
      </c>
      <c r="L187" s="92">
        <v>29.15</v>
      </c>
      <c r="M187" s="92">
        <v>5.15</v>
      </c>
      <c r="N187" s="573">
        <v>33.23</v>
      </c>
      <c r="O187" s="556" t="str">
        <f t="shared" si="18"/>
        <v>DIF</v>
      </c>
      <c r="P187" s="573"/>
      <c r="Q187" s="556"/>
      <c r="R187" s="582"/>
    </row>
    <row r="188" ht="23.85" customHeight="1" spans="1:18">
      <c r="A188" s="556">
        <f t="shared" si="19"/>
        <v>0</v>
      </c>
      <c r="B188" s="557">
        <f t="shared" si="20"/>
        <v>0</v>
      </c>
      <c r="C188" s="79" t="s">
        <v>2921</v>
      </c>
      <c r="D188" s="78" t="s">
        <v>3017</v>
      </c>
      <c r="E188" s="79" t="s">
        <v>139</v>
      </c>
      <c r="F188" s="79" t="s">
        <v>3018</v>
      </c>
      <c r="G188" s="79" t="s">
        <v>2928</v>
      </c>
      <c r="H188" s="79"/>
      <c r="I188" s="80" t="s">
        <v>2897</v>
      </c>
      <c r="J188" s="583">
        <v>0.354</v>
      </c>
      <c r="K188" s="583">
        <v>0</v>
      </c>
      <c r="L188" s="92">
        <v>36.96</v>
      </c>
      <c r="M188" s="92">
        <v>13.08</v>
      </c>
      <c r="N188" s="573">
        <v>0.83</v>
      </c>
      <c r="O188" s="556" t="str">
        <f t="shared" si="18"/>
        <v>DIF</v>
      </c>
      <c r="P188" s="573"/>
      <c r="Q188" s="556"/>
      <c r="R188" s="582"/>
    </row>
    <row r="189" ht="23.85" customHeight="1" spans="1:18">
      <c r="A189" s="556">
        <f t="shared" si="19"/>
        <v>0</v>
      </c>
      <c r="B189" s="557">
        <f t="shared" si="20"/>
        <v>0</v>
      </c>
      <c r="C189" s="100" t="s">
        <v>2893</v>
      </c>
      <c r="D189" s="99" t="s">
        <v>3019</v>
      </c>
      <c r="E189" s="100" t="s">
        <v>139</v>
      </c>
      <c r="F189" s="100" t="s">
        <v>3020</v>
      </c>
      <c r="G189" s="100" t="s">
        <v>2961</v>
      </c>
      <c r="H189" s="100"/>
      <c r="I189" s="101" t="s">
        <v>204</v>
      </c>
      <c r="J189" s="580">
        <v>1.67</v>
      </c>
      <c r="K189" s="580">
        <v>0</v>
      </c>
      <c r="L189" s="102">
        <v>1.37</v>
      </c>
      <c r="M189" s="102">
        <v>2.28</v>
      </c>
      <c r="N189" s="573">
        <v>821.11</v>
      </c>
      <c r="O189" s="556" t="str">
        <f t="shared" si="18"/>
        <v>DIF</v>
      </c>
      <c r="P189" s="573"/>
      <c r="Q189" s="556"/>
      <c r="R189" s="582"/>
    </row>
    <row r="190" ht="15" customHeight="1" spans="1:18">
      <c r="A190" s="556">
        <f t="shared" si="19"/>
        <v>0</v>
      </c>
      <c r="B190" s="557">
        <f t="shared" si="20"/>
        <v>0</v>
      </c>
      <c r="C190" s="100" t="s">
        <v>2893</v>
      </c>
      <c r="D190" s="99" t="s">
        <v>3021</v>
      </c>
      <c r="E190" s="100" t="s">
        <v>139</v>
      </c>
      <c r="F190" s="100" t="s">
        <v>3022</v>
      </c>
      <c r="G190" s="100" t="s">
        <v>2961</v>
      </c>
      <c r="H190" s="100"/>
      <c r="I190" s="101" t="s">
        <v>393</v>
      </c>
      <c r="J190" s="580">
        <v>0.5</v>
      </c>
      <c r="K190" s="580">
        <v>0</v>
      </c>
      <c r="L190" s="102">
        <v>0.64</v>
      </c>
      <c r="M190" s="102">
        <v>0.32</v>
      </c>
      <c r="N190" s="573">
        <v>34.51</v>
      </c>
      <c r="O190" s="556" t="str">
        <f t="shared" si="18"/>
        <v>DIF</v>
      </c>
      <c r="P190" s="573"/>
      <c r="Q190" s="556"/>
      <c r="R190" s="582"/>
    </row>
    <row r="191" ht="25.5" spans="1:18">
      <c r="A191" s="556"/>
      <c r="B191" s="557"/>
      <c r="C191" s="108"/>
      <c r="D191" s="108"/>
      <c r="E191" s="108"/>
      <c r="F191" s="108"/>
      <c r="G191" s="108"/>
      <c r="H191" s="108" t="s">
        <v>2898</v>
      </c>
      <c r="I191" s="581">
        <v>16.13</v>
      </c>
      <c r="J191" s="108" t="s">
        <v>2899</v>
      </c>
      <c r="K191" s="581">
        <v>0</v>
      </c>
      <c r="L191" s="108" t="s">
        <v>2900</v>
      </c>
      <c r="M191" s="581">
        <v>16.13</v>
      </c>
      <c r="N191" s="573"/>
      <c r="O191" s="556"/>
      <c r="P191" s="573"/>
      <c r="Q191" s="556"/>
      <c r="R191" s="582"/>
    </row>
    <row r="192" ht="26.25" spans="1:18">
      <c r="A192" s="556"/>
      <c r="B192" s="557"/>
      <c r="C192" s="108"/>
      <c r="D192" s="108"/>
      <c r="E192" s="108"/>
      <c r="F192" s="108"/>
      <c r="G192" s="108"/>
      <c r="H192" s="108" t="s">
        <v>2901</v>
      </c>
      <c r="I192" s="581">
        <v>10.26</v>
      </c>
      <c r="J192" s="114"/>
      <c r="K192" s="114" t="s">
        <v>2902</v>
      </c>
      <c r="L192" s="108"/>
      <c r="M192" s="581">
        <v>50.54</v>
      </c>
      <c r="N192" s="573"/>
      <c r="O192" s="556"/>
      <c r="P192" s="573"/>
      <c r="Q192" s="556"/>
      <c r="R192" s="582"/>
    </row>
    <row r="193" ht="15" spans="1:18">
      <c r="A193" s="556"/>
      <c r="B193" s="557">
        <f>C192</f>
        <v>0</v>
      </c>
      <c r="C193" s="571"/>
      <c r="D193" s="571"/>
      <c r="E193" s="571"/>
      <c r="F193" s="571"/>
      <c r="G193" s="571"/>
      <c r="H193" s="571"/>
      <c r="I193" s="571"/>
      <c r="J193" s="571"/>
      <c r="K193" s="571"/>
      <c r="L193" s="571"/>
      <c r="M193" s="571"/>
      <c r="N193" s="573">
        <v>1919.68</v>
      </c>
      <c r="O193" s="556" t="str">
        <f t="shared" ref="O193:O199" si="21">IF(N193=M193,"OK","DIF")</f>
        <v>DIF</v>
      </c>
      <c r="P193" s="573"/>
      <c r="Q193" s="556"/>
      <c r="R193" s="582"/>
    </row>
    <row r="194" ht="15" customHeight="1" spans="1:18">
      <c r="A194" s="556">
        <f t="shared" ref="A194:A199" si="22">B194</f>
        <v>0</v>
      </c>
      <c r="B194" s="557">
        <f t="shared" ref="B194:B199" si="23">B193</f>
        <v>0</v>
      </c>
      <c r="C194" s="76" t="s">
        <v>159</v>
      </c>
      <c r="D194" s="75" t="s">
        <v>63</v>
      </c>
      <c r="E194" s="76" t="s">
        <v>64</v>
      </c>
      <c r="F194" s="76" t="s">
        <v>65</v>
      </c>
      <c r="G194" s="76" t="s">
        <v>2889</v>
      </c>
      <c r="H194" s="76"/>
      <c r="I194" s="77" t="s">
        <v>66</v>
      </c>
      <c r="J194" s="75" t="s">
        <v>67</v>
      </c>
      <c r="K194" s="75" t="s">
        <v>2890</v>
      </c>
      <c r="L194" s="75" t="s">
        <v>68</v>
      </c>
      <c r="M194" s="75" t="s">
        <v>70</v>
      </c>
      <c r="N194" s="573">
        <v>136.86</v>
      </c>
      <c r="O194" s="556" t="str">
        <f t="shared" si="21"/>
        <v>DIF</v>
      </c>
      <c r="P194" s="573"/>
      <c r="Q194" s="556"/>
      <c r="R194" s="582"/>
    </row>
    <row r="195" ht="35.05" customHeight="1" spans="1:18">
      <c r="A195" s="556">
        <f t="shared" si="22"/>
        <v>0</v>
      </c>
      <c r="B195" s="557">
        <f t="shared" si="23"/>
        <v>0</v>
      </c>
      <c r="C195" s="569" t="s">
        <v>2891</v>
      </c>
      <c r="D195" s="570" t="s">
        <v>160</v>
      </c>
      <c r="E195" s="569" t="s">
        <v>139</v>
      </c>
      <c r="F195" s="569" t="s">
        <v>161</v>
      </c>
      <c r="G195" s="569" t="s">
        <v>2992</v>
      </c>
      <c r="H195" s="569"/>
      <c r="I195" s="577" t="s">
        <v>141</v>
      </c>
      <c r="J195" s="578">
        <v>1</v>
      </c>
      <c r="K195" s="579"/>
      <c r="L195" s="579">
        <v>124.74</v>
      </c>
      <c r="M195" s="579">
        <v>124.74</v>
      </c>
      <c r="N195" s="573">
        <v>50.57</v>
      </c>
      <c r="O195" s="556" t="str">
        <f t="shared" si="21"/>
        <v>DIF</v>
      </c>
      <c r="P195" s="573"/>
      <c r="Q195" s="556"/>
      <c r="R195" s="582"/>
    </row>
    <row r="196" ht="23.85" customHeight="1" spans="1:18">
      <c r="A196" s="556">
        <f t="shared" si="22"/>
        <v>0</v>
      </c>
      <c r="B196" s="557">
        <f t="shared" si="23"/>
        <v>0</v>
      </c>
      <c r="C196" s="79" t="s">
        <v>2921</v>
      </c>
      <c r="D196" s="78" t="s">
        <v>2993</v>
      </c>
      <c r="E196" s="79" t="s">
        <v>139</v>
      </c>
      <c r="F196" s="79" t="s">
        <v>2994</v>
      </c>
      <c r="G196" s="79" t="s">
        <v>2995</v>
      </c>
      <c r="H196" s="79"/>
      <c r="I196" s="80" t="s">
        <v>2996</v>
      </c>
      <c r="J196" s="583">
        <v>0.1016</v>
      </c>
      <c r="K196" s="583">
        <v>0</v>
      </c>
      <c r="L196" s="92">
        <v>39.98</v>
      </c>
      <c r="M196" s="92">
        <v>4.06</v>
      </c>
      <c r="N196" s="573">
        <v>132.94</v>
      </c>
      <c r="O196" s="556" t="str">
        <f t="shared" si="21"/>
        <v>DIF</v>
      </c>
      <c r="P196" s="573"/>
      <c r="Q196" s="556"/>
      <c r="R196" s="582"/>
    </row>
    <row r="197" ht="23.85" customHeight="1" spans="1:18">
      <c r="A197" s="556">
        <f t="shared" si="22"/>
        <v>0</v>
      </c>
      <c r="B197" s="557">
        <f t="shared" si="23"/>
        <v>0</v>
      </c>
      <c r="C197" s="79" t="s">
        <v>2921</v>
      </c>
      <c r="D197" s="78" t="s">
        <v>2954</v>
      </c>
      <c r="E197" s="79" t="s">
        <v>139</v>
      </c>
      <c r="F197" s="79" t="s">
        <v>2955</v>
      </c>
      <c r="G197" s="79" t="s">
        <v>2928</v>
      </c>
      <c r="H197" s="79"/>
      <c r="I197" s="80" t="s">
        <v>2897</v>
      </c>
      <c r="J197" s="583">
        <v>1.021</v>
      </c>
      <c r="K197" s="583">
        <v>0</v>
      </c>
      <c r="L197" s="92">
        <v>37.51</v>
      </c>
      <c r="M197" s="92">
        <v>38.29</v>
      </c>
      <c r="N197" s="573">
        <v>3.35</v>
      </c>
      <c r="O197" s="556" t="str">
        <f t="shared" si="21"/>
        <v>DIF</v>
      </c>
      <c r="P197" s="573"/>
      <c r="Q197" s="556"/>
      <c r="R197" s="582"/>
    </row>
    <row r="198" ht="23.85" customHeight="1" spans="1:18">
      <c r="A198" s="556">
        <f t="shared" si="22"/>
        <v>0</v>
      </c>
      <c r="B198" s="557">
        <f t="shared" si="23"/>
        <v>0</v>
      </c>
      <c r="C198" s="79" t="s">
        <v>2921</v>
      </c>
      <c r="D198" s="78" t="s">
        <v>2997</v>
      </c>
      <c r="E198" s="79" t="s">
        <v>139</v>
      </c>
      <c r="F198" s="79" t="s">
        <v>2998</v>
      </c>
      <c r="G198" s="79" t="s">
        <v>2999</v>
      </c>
      <c r="H198" s="79"/>
      <c r="I198" s="80" t="s">
        <v>279</v>
      </c>
      <c r="J198" s="583">
        <v>0.0043</v>
      </c>
      <c r="K198" s="583">
        <v>0</v>
      </c>
      <c r="L198" s="92">
        <v>464.77</v>
      </c>
      <c r="M198" s="92">
        <v>1.99</v>
      </c>
      <c r="N198" s="573">
        <v>78.06</v>
      </c>
      <c r="O198" s="556" t="str">
        <f t="shared" si="21"/>
        <v>DIF</v>
      </c>
      <c r="P198" s="573"/>
      <c r="Q198" s="556"/>
      <c r="R198" s="582"/>
    </row>
    <row r="199" ht="23.85" customHeight="1" spans="1:18">
      <c r="A199" s="556">
        <f t="shared" si="22"/>
        <v>0</v>
      </c>
      <c r="B199" s="557">
        <f t="shared" si="23"/>
        <v>0</v>
      </c>
      <c r="C199" s="79" t="s">
        <v>2921</v>
      </c>
      <c r="D199" s="78" t="s">
        <v>3000</v>
      </c>
      <c r="E199" s="79" t="s">
        <v>139</v>
      </c>
      <c r="F199" s="79" t="s">
        <v>3001</v>
      </c>
      <c r="G199" s="79" t="s">
        <v>2995</v>
      </c>
      <c r="H199" s="79"/>
      <c r="I199" s="80" t="s">
        <v>3002</v>
      </c>
      <c r="J199" s="583">
        <v>0.0253</v>
      </c>
      <c r="K199" s="583">
        <v>0</v>
      </c>
      <c r="L199" s="92">
        <v>41.6</v>
      </c>
      <c r="M199" s="92">
        <v>1.05</v>
      </c>
      <c r="N199" s="573">
        <v>1517.9</v>
      </c>
      <c r="O199" s="556" t="str">
        <f t="shared" si="21"/>
        <v>DIF</v>
      </c>
      <c r="P199" s="573"/>
      <c r="Q199" s="556"/>
      <c r="R199" s="582"/>
    </row>
    <row r="200" ht="23.85" customHeight="1" spans="1:18">
      <c r="A200" s="556"/>
      <c r="B200" s="557"/>
      <c r="C200" s="79" t="s">
        <v>2921</v>
      </c>
      <c r="D200" s="78" t="s">
        <v>3003</v>
      </c>
      <c r="E200" s="79" t="s">
        <v>139</v>
      </c>
      <c r="F200" s="79" t="s">
        <v>3004</v>
      </c>
      <c r="G200" s="79" t="s">
        <v>2928</v>
      </c>
      <c r="H200" s="79"/>
      <c r="I200" s="80" t="s">
        <v>2897</v>
      </c>
      <c r="J200" s="583">
        <v>0.689</v>
      </c>
      <c r="K200" s="583">
        <v>0</v>
      </c>
      <c r="L200" s="92">
        <v>29.91</v>
      </c>
      <c r="M200" s="92">
        <v>20.6</v>
      </c>
      <c r="N200" s="573"/>
      <c r="O200" s="556"/>
      <c r="P200" s="573"/>
      <c r="Q200" s="556"/>
      <c r="R200" s="582"/>
    </row>
    <row r="201" ht="23.85" customHeight="1" spans="1:18">
      <c r="A201" s="556"/>
      <c r="B201" s="557"/>
      <c r="C201" s="100" t="s">
        <v>2893</v>
      </c>
      <c r="D201" s="99" t="s">
        <v>3009</v>
      </c>
      <c r="E201" s="100" t="s">
        <v>139</v>
      </c>
      <c r="F201" s="100" t="s">
        <v>3010</v>
      </c>
      <c r="G201" s="100" t="s">
        <v>2961</v>
      </c>
      <c r="H201" s="100"/>
      <c r="I201" s="101" t="s">
        <v>204</v>
      </c>
      <c r="J201" s="580">
        <v>1.8033</v>
      </c>
      <c r="K201" s="580">
        <v>0</v>
      </c>
      <c r="L201" s="102">
        <v>6.27</v>
      </c>
      <c r="M201" s="102">
        <v>11.3</v>
      </c>
      <c r="N201" s="573"/>
      <c r="O201" s="556"/>
      <c r="P201" s="573"/>
      <c r="Q201" s="556"/>
      <c r="R201" s="582"/>
    </row>
    <row r="202" ht="35.05" customHeight="1" spans="1:18">
      <c r="A202" s="556"/>
      <c r="B202" s="557" t="str">
        <f>C201</f>
        <v>Insumo</v>
      </c>
      <c r="C202" s="100" t="s">
        <v>2893</v>
      </c>
      <c r="D202" s="99" t="s">
        <v>3023</v>
      </c>
      <c r="E202" s="100" t="s">
        <v>139</v>
      </c>
      <c r="F202" s="100" t="s">
        <v>3024</v>
      </c>
      <c r="G202" s="100" t="s">
        <v>2961</v>
      </c>
      <c r="H202" s="100"/>
      <c r="I202" s="101" t="s">
        <v>141</v>
      </c>
      <c r="J202" s="580">
        <v>1.050038</v>
      </c>
      <c r="K202" s="580">
        <v>0</v>
      </c>
      <c r="L202" s="102">
        <v>28.92</v>
      </c>
      <c r="M202" s="102">
        <v>30.36</v>
      </c>
      <c r="N202" s="573">
        <v>186.14</v>
      </c>
      <c r="O202" s="556" t="str">
        <f t="shared" ref="O202:O207" si="24">IF(N202=M202,"OK","DIF")</f>
        <v>DIF</v>
      </c>
      <c r="P202" s="573"/>
      <c r="Q202" s="556"/>
      <c r="R202" s="582"/>
    </row>
    <row r="203" ht="15" customHeight="1" spans="1:18">
      <c r="A203" s="556" t="str">
        <f>B203</f>
        <v>Insumo</v>
      </c>
      <c r="B203" s="557" t="str">
        <f>B202</f>
        <v>Insumo</v>
      </c>
      <c r="C203" s="100" t="s">
        <v>2893</v>
      </c>
      <c r="D203" s="99" t="s">
        <v>3011</v>
      </c>
      <c r="E203" s="100" t="s">
        <v>139</v>
      </c>
      <c r="F203" s="100" t="s">
        <v>3012</v>
      </c>
      <c r="G203" s="100" t="s">
        <v>2961</v>
      </c>
      <c r="H203" s="100"/>
      <c r="I203" s="101" t="s">
        <v>393</v>
      </c>
      <c r="J203" s="580">
        <v>0.069</v>
      </c>
      <c r="K203" s="580">
        <v>0</v>
      </c>
      <c r="L203" s="102">
        <v>18.07</v>
      </c>
      <c r="M203" s="102">
        <v>1.24</v>
      </c>
      <c r="N203" s="573">
        <v>19.32</v>
      </c>
      <c r="O203" s="556" t="str">
        <f t="shared" si="24"/>
        <v>DIF</v>
      </c>
      <c r="P203" s="573"/>
      <c r="Q203" s="556"/>
      <c r="R203" s="582"/>
    </row>
    <row r="204" ht="23.85" customHeight="1" spans="1:18">
      <c r="A204" s="556" t="str">
        <f>B204</f>
        <v>Insumo</v>
      </c>
      <c r="B204" s="557" t="str">
        <f>B203</f>
        <v>Insumo</v>
      </c>
      <c r="C204" s="100" t="s">
        <v>2893</v>
      </c>
      <c r="D204" s="99" t="s">
        <v>3007</v>
      </c>
      <c r="E204" s="100" t="s">
        <v>139</v>
      </c>
      <c r="F204" s="100" t="s">
        <v>3008</v>
      </c>
      <c r="G204" s="100" t="s">
        <v>2961</v>
      </c>
      <c r="H204" s="100"/>
      <c r="I204" s="101" t="s">
        <v>204</v>
      </c>
      <c r="J204" s="580">
        <v>1.8033</v>
      </c>
      <c r="K204" s="580">
        <v>0</v>
      </c>
      <c r="L204" s="102">
        <v>8.79</v>
      </c>
      <c r="M204" s="102">
        <v>15.85</v>
      </c>
      <c r="N204" s="573">
        <v>16.29</v>
      </c>
      <c r="O204" s="556" t="str">
        <f t="shared" si="24"/>
        <v>DIF</v>
      </c>
      <c r="P204" s="573"/>
      <c r="Q204" s="556"/>
      <c r="R204" s="582"/>
    </row>
    <row r="205" ht="25.5" spans="1:18">
      <c r="A205" s="556" t="str">
        <f>B205</f>
        <v>Insumo</v>
      </c>
      <c r="B205" s="557" t="str">
        <f>B204</f>
        <v>Insumo</v>
      </c>
      <c r="C205" s="108"/>
      <c r="D205" s="108"/>
      <c r="E205" s="108"/>
      <c r="F205" s="108"/>
      <c r="G205" s="108"/>
      <c r="H205" s="108" t="s">
        <v>2898</v>
      </c>
      <c r="I205" s="581">
        <v>46.58</v>
      </c>
      <c r="J205" s="108" t="s">
        <v>2899</v>
      </c>
      <c r="K205" s="581">
        <v>0</v>
      </c>
      <c r="L205" s="108" t="s">
        <v>2900</v>
      </c>
      <c r="M205" s="581">
        <v>46.58</v>
      </c>
      <c r="N205" s="573">
        <v>14.85</v>
      </c>
      <c r="O205" s="556" t="str">
        <f t="shared" si="24"/>
        <v>DIF</v>
      </c>
      <c r="P205" s="573"/>
      <c r="Q205" s="556"/>
      <c r="R205" s="582"/>
    </row>
    <row r="206" ht="26.25" spans="1:18">
      <c r="A206" s="556" t="str">
        <f>B206</f>
        <v>Insumo</v>
      </c>
      <c r="B206" s="557" t="str">
        <f>B205</f>
        <v>Insumo</v>
      </c>
      <c r="C206" s="108"/>
      <c r="D206" s="108"/>
      <c r="E206" s="108"/>
      <c r="F206" s="108"/>
      <c r="G206" s="108"/>
      <c r="H206" s="108" t="s">
        <v>2901</v>
      </c>
      <c r="I206" s="581">
        <v>31.79</v>
      </c>
      <c r="J206" s="114"/>
      <c r="K206" s="114" t="s">
        <v>2902</v>
      </c>
      <c r="L206" s="108"/>
      <c r="M206" s="581">
        <v>156.53</v>
      </c>
      <c r="N206" s="573">
        <v>135</v>
      </c>
      <c r="O206" s="556" t="str">
        <f t="shared" si="24"/>
        <v>DIF</v>
      </c>
      <c r="P206" s="573"/>
      <c r="Q206" s="556"/>
      <c r="R206" s="582"/>
    </row>
    <row r="207" ht="15" spans="1:18">
      <c r="A207" s="556" t="str">
        <f>B207</f>
        <v>Insumo</v>
      </c>
      <c r="B207" s="557" t="str">
        <f>B206</f>
        <v>Insumo</v>
      </c>
      <c r="C207" s="571"/>
      <c r="D207" s="571"/>
      <c r="E207" s="571"/>
      <c r="F207" s="571"/>
      <c r="G207" s="571"/>
      <c r="H207" s="571"/>
      <c r="I207" s="571"/>
      <c r="J207" s="571"/>
      <c r="K207" s="571"/>
      <c r="L207" s="571"/>
      <c r="M207" s="571"/>
      <c r="N207" s="573">
        <v>0.68</v>
      </c>
      <c r="O207" s="556" t="str">
        <f t="shared" si="24"/>
        <v>DIF</v>
      </c>
      <c r="P207" s="573"/>
      <c r="Q207" s="556"/>
      <c r="R207" s="582"/>
    </row>
    <row r="208" ht="15" customHeight="1" spans="1:18">
      <c r="A208" s="556"/>
      <c r="B208" s="557"/>
      <c r="C208" s="76" t="s">
        <v>162</v>
      </c>
      <c r="D208" s="75" t="s">
        <v>63</v>
      </c>
      <c r="E208" s="76" t="s">
        <v>64</v>
      </c>
      <c r="F208" s="76" t="s">
        <v>65</v>
      </c>
      <c r="G208" s="76" t="s">
        <v>2889</v>
      </c>
      <c r="H208" s="76"/>
      <c r="I208" s="77" t="s">
        <v>66</v>
      </c>
      <c r="J208" s="75" t="s">
        <v>67</v>
      </c>
      <c r="K208" s="75" t="s">
        <v>2890</v>
      </c>
      <c r="L208" s="75" t="s">
        <v>68</v>
      </c>
      <c r="M208" s="75" t="s">
        <v>70</v>
      </c>
      <c r="N208" s="573"/>
      <c r="O208" s="556"/>
      <c r="P208" s="573"/>
      <c r="Q208" s="556"/>
      <c r="R208" s="582"/>
    </row>
    <row r="209" ht="35.05" customHeight="1" spans="1:18">
      <c r="A209" s="556"/>
      <c r="B209" s="557"/>
      <c r="C209" s="569" t="s">
        <v>2891</v>
      </c>
      <c r="D209" s="570" t="s">
        <v>163</v>
      </c>
      <c r="E209" s="569" t="s">
        <v>139</v>
      </c>
      <c r="F209" s="569" t="s">
        <v>164</v>
      </c>
      <c r="G209" s="569" t="s">
        <v>3025</v>
      </c>
      <c r="H209" s="569"/>
      <c r="I209" s="577" t="s">
        <v>134</v>
      </c>
      <c r="J209" s="578">
        <v>1</v>
      </c>
      <c r="K209" s="579"/>
      <c r="L209" s="579">
        <v>420.39</v>
      </c>
      <c r="M209" s="579">
        <v>420.39</v>
      </c>
      <c r="N209" s="573"/>
      <c r="O209" s="556"/>
      <c r="P209" s="573"/>
      <c r="Q209" s="556"/>
      <c r="R209" s="582"/>
    </row>
    <row r="210" ht="23.85" customHeight="1" spans="1:18">
      <c r="A210" s="556"/>
      <c r="B210" s="557" t="str">
        <f>C209</f>
        <v>Composição</v>
      </c>
      <c r="C210" s="79" t="s">
        <v>2921</v>
      </c>
      <c r="D210" s="78" t="s">
        <v>2952</v>
      </c>
      <c r="E210" s="79" t="s">
        <v>139</v>
      </c>
      <c r="F210" s="79" t="s">
        <v>2953</v>
      </c>
      <c r="G210" s="79" t="s">
        <v>2928</v>
      </c>
      <c r="H210" s="79"/>
      <c r="I210" s="80" t="s">
        <v>2897</v>
      </c>
      <c r="J210" s="583">
        <v>0.641</v>
      </c>
      <c r="K210" s="583">
        <v>0</v>
      </c>
      <c r="L210" s="92">
        <v>29.15</v>
      </c>
      <c r="M210" s="92">
        <v>18.68</v>
      </c>
      <c r="N210" s="573">
        <v>102.45</v>
      </c>
      <c r="O210" s="556" t="str">
        <f t="shared" ref="O210:O216" si="25">IF(N210=M210,"OK","DIF")</f>
        <v>DIF</v>
      </c>
      <c r="P210" s="573"/>
      <c r="Q210" s="556"/>
      <c r="R210" s="582"/>
    </row>
    <row r="211" ht="23.85" customHeight="1" spans="1:18">
      <c r="A211" s="556" t="str">
        <f t="shared" ref="A211:A216" si="26">B211</f>
        <v>Composição</v>
      </c>
      <c r="B211" s="557" t="str">
        <f t="shared" ref="B211:B216" si="27">B210</f>
        <v>Composição</v>
      </c>
      <c r="C211" s="79" t="s">
        <v>2921</v>
      </c>
      <c r="D211" s="78" t="s">
        <v>3026</v>
      </c>
      <c r="E211" s="79" t="s">
        <v>139</v>
      </c>
      <c r="F211" s="79" t="s">
        <v>3027</v>
      </c>
      <c r="G211" s="79" t="s">
        <v>2928</v>
      </c>
      <c r="H211" s="79"/>
      <c r="I211" s="80" t="s">
        <v>2897</v>
      </c>
      <c r="J211" s="583">
        <v>1.282</v>
      </c>
      <c r="K211" s="583">
        <v>0</v>
      </c>
      <c r="L211" s="92">
        <v>39.71</v>
      </c>
      <c r="M211" s="92">
        <v>50.9</v>
      </c>
      <c r="N211" s="573">
        <v>53.74</v>
      </c>
      <c r="O211" s="556" t="str">
        <f t="shared" si="25"/>
        <v>DIF</v>
      </c>
      <c r="P211" s="573"/>
      <c r="Q211" s="556"/>
      <c r="R211" s="582"/>
    </row>
    <row r="212" ht="23.85" customHeight="1" spans="1:18">
      <c r="A212" s="556" t="str">
        <f t="shared" si="26"/>
        <v>Composição</v>
      </c>
      <c r="B212" s="557" t="str">
        <f t="shared" si="27"/>
        <v>Composição</v>
      </c>
      <c r="C212" s="100" t="s">
        <v>2893</v>
      </c>
      <c r="D212" s="99" t="s">
        <v>3028</v>
      </c>
      <c r="E212" s="100" t="s">
        <v>139</v>
      </c>
      <c r="F212" s="100" t="s">
        <v>3029</v>
      </c>
      <c r="G212" s="100" t="s">
        <v>2961</v>
      </c>
      <c r="H212" s="100"/>
      <c r="I212" s="101" t="s">
        <v>134</v>
      </c>
      <c r="J212" s="580">
        <v>3</v>
      </c>
      <c r="K212" s="580">
        <v>0</v>
      </c>
      <c r="L212" s="102">
        <v>29.08</v>
      </c>
      <c r="M212" s="102">
        <v>87.24</v>
      </c>
      <c r="N212" s="573">
        <v>5.3</v>
      </c>
      <c r="O212" s="556" t="str">
        <f t="shared" si="25"/>
        <v>DIF</v>
      </c>
      <c r="P212" s="573"/>
      <c r="Q212" s="556"/>
      <c r="R212" s="582"/>
    </row>
    <row r="213" ht="23.85" customHeight="1" spans="1:18">
      <c r="A213" s="556" t="str">
        <f t="shared" si="26"/>
        <v>Composição</v>
      </c>
      <c r="B213" s="557" t="str">
        <f t="shared" si="27"/>
        <v>Composição</v>
      </c>
      <c r="C213" s="100" t="s">
        <v>2893</v>
      </c>
      <c r="D213" s="99" t="s">
        <v>3030</v>
      </c>
      <c r="E213" s="100" t="s">
        <v>139</v>
      </c>
      <c r="F213" s="100" t="s">
        <v>3031</v>
      </c>
      <c r="G213" s="100" t="s">
        <v>2961</v>
      </c>
      <c r="H213" s="100"/>
      <c r="I213" s="101" t="s">
        <v>134</v>
      </c>
      <c r="J213" s="580">
        <v>19.8</v>
      </c>
      <c r="K213" s="580">
        <v>0</v>
      </c>
      <c r="L213" s="102">
        <v>0.09</v>
      </c>
      <c r="M213" s="102">
        <v>1.78</v>
      </c>
      <c r="N213" s="573">
        <v>20.88</v>
      </c>
      <c r="O213" s="556" t="str">
        <f t="shared" si="25"/>
        <v>DIF</v>
      </c>
      <c r="P213" s="573"/>
      <c r="Q213" s="556"/>
      <c r="R213" s="582"/>
    </row>
    <row r="214" ht="35.05" customHeight="1" spans="1:18">
      <c r="A214" s="556" t="str">
        <f t="shared" si="26"/>
        <v>Composição</v>
      </c>
      <c r="B214" s="557" t="str">
        <f t="shared" si="27"/>
        <v>Composição</v>
      </c>
      <c r="C214" s="100" t="s">
        <v>2893</v>
      </c>
      <c r="D214" s="99" t="s">
        <v>3032</v>
      </c>
      <c r="E214" s="100" t="s">
        <v>139</v>
      </c>
      <c r="F214" s="100" t="s">
        <v>3033</v>
      </c>
      <c r="G214" s="100" t="s">
        <v>2961</v>
      </c>
      <c r="H214" s="100"/>
      <c r="I214" s="101" t="s">
        <v>134</v>
      </c>
      <c r="J214" s="580">
        <v>1</v>
      </c>
      <c r="K214" s="580">
        <v>0</v>
      </c>
      <c r="L214" s="102">
        <v>261.79</v>
      </c>
      <c r="M214" s="102">
        <v>261.79</v>
      </c>
      <c r="N214" s="573">
        <v>0.34</v>
      </c>
      <c r="O214" s="556" t="str">
        <f t="shared" si="25"/>
        <v>DIF</v>
      </c>
      <c r="P214" s="573"/>
      <c r="Q214" s="556"/>
      <c r="R214" s="582"/>
    </row>
    <row r="215" ht="25.5" spans="1:18">
      <c r="A215" s="556" t="str">
        <f t="shared" si="26"/>
        <v>Composição</v>
      </c>
      <c r="B215" s="557" t="str">
        <f t="shared" si="27"/>
        <v>Composição</v>
      </c>
      <c r="C215" s="108"/>
      <c r="D215" s="108"/>
      <c r="E215" s="108"/>
      <c r="F215" s="108"/>
      <c r="G215" s="108"/>
      <c r="H215" s="108" t="s">
        <v>2898</v>
      </c>
      <c r="I215" s="581">
        <v>50.66</v>
      </c>
      <c r="J215" s="108" t="s">
        <v>2899</v>
      </c>
      <c r="K215" s="581">
        <v>0</v>
      </c>
      <c r="L215" s="108" t="s">
        <v>2900</v>
      </c>
      <c r="M215" s="581">
        <v>50.66</v>
      </c>
      <c r="N215" s="573">
        <v>0.96</v>
      </c>
      <c r="O215" s="556" t="str">
        <f t="shared" si="25"/>
        <v>DIF</v>
      </c>
      <c r="P215" s="573"/>
      <c r="Q215" s="556"/>
      <c r="R215" s="582"/>
    </row>
    <row r="216" ht="26.25" spans="1:18">
      <c r="A216" s="556" t="str">
        <f t="shared" si="26"/>
        <v>Composição</v>
      </c>
      <c r="B216" s="557" t="str">
        <f t="shared" si="27"/>
        <v>Composição</v>
      </c>
      <c r="C216" s="108"/>
      <c r="D216" s="108"/>
      <c r="E216" s="108"/>
      <c r="F216" s="108"/>
      <c r="G216" s="108"/>
      <c r="H216" s="108" t="s">
        <v>2901</v>
      </c>
      <c r="I216" s="581">
        <v>107.15</v>
      </c>
      <c r="J216" s="114"/>
      <c r="K216" s="114" t="s">
        <v>2902</v>
      </c>
      <c r="L216" s="108"/>
      <c r="M216" s="581">
        <v>527.54</v>
      </c>
      <c r="N216" s="573">
        <v>21.23</v>
      </c>
      <c r="O216" s="556" t="str">
        <f t="shared" si="25"/>
        <v>DIF</v>
      </c>
      <c r="P216" s="573"/>
      <c r="Q216" s="556"/>
      <c r="R216" s="582"/>
    </row>
    <row r="217" ht="15" spans="1:18">
      <c r="A217" s="556"/>
      <c r="B217" s="557"/>
      <c r="C217" s="571"/>
      <c r="D217" s="571"/>
      <c r="E217" s="571"/>
      <c r="F217" s="571"/>
      <c r="G217" s="571"/>
      <c r="H217" s="571"/>
      <c r="I217" s="571"/>
      <c r="J217" s="571"/>
      <c r="K217" s="571"/>
      <c r="L217" s="571"/>
      <c r="M217" s="571"/>
      <c r="N217" s="573"/>
      <c r="O217" s="556"/>
      <c r="P217" s="573"/>
      <c r="Q217" s="556"/>
      <c r="R217" s="582"/>
    </row>
    <row r="218" ht="15" customHeight="1" spans="1:18">
      <c r="A218" s="556"/>
      <c r="B218" s="557"/>
      <c r="C218" s="76" t="s">
        <v>165</v>
      </c>
      <c r="D218" s="75" t="s">
        <v>63</v>
      </c>
      <c r="E218" s="76" t="s">
        <v>64</v>
      </c>
      <c r="F218" s="76" t="s">
        <v>65</v>
      </c>
      <c r="G218" s="76" t="s">
        <v>2889</v>
      </c>
      <c r="H218" s="76"/>
      <c r="I218" s="77" t="s">
        <v>66</v>
      </c>
      <c r="J218" s="75" t="s">
        <v>67</v>
      </c>
      <c r="K218" s="75" t="s">
        <v>2890</v>
      </c>
      <c r="L218" s="75" t="s">
        <v>68</v>
      </c>
      <c r="M218" s="75" t="s">
        <v>70</v>
      </c>
      <c r="N218" s="573"/>
      <c r="O218" s="556"/>
      <c r="P218" s="573"/>
      <c r="Q218" s="556"/>
      <c r="R218" s="582"/>
    </row>
    <row r="219" ht="35.05" customHeight="1" spans="1:18">
      <c r="A219" s="556"/>
      <c r="B219" s="557" t="str">
        <f>C218</f>
        <v> 3.3.4 </v>
      </c>
      <c r="C219" s="569" t="s">
        <v>2891</v>
      </c>
      <c r="D219" s="570" t="s">
        <v>166</v>
      </c>
      <c r="E219" s="569" t="s">
        <v>139</v>
      </c>
      <c r="F219" s="569" t="s">
        <v>167</v>
      </c>
      <c r="G219" s="569" t="s">
        <v>3025</v>
      </c>
      <c r="H219" s="569"/>
      <c r="I219" s="577" t="s">
        <v>134</v>
      </c>
      <c r="J219" s="578">
        <v>1</v>
      </c>
      <c r="K219" s="579"/>
      <c r="L219" s="579">
        <v>460.96</v>
      </c>
      <c r="M219" s="579">
        <v>460.96</v>
      </c>
      <c r="N219" s="573">
        <v>31.73</v>
      </c>
      <c r="O219" s="556" t="str">
        <f>IF(N219=M219,"OK","DIF")</f>
        <v>DIF</v>
      </c>
      <c r="P219" s="573"/>
      <c r="Q219" s="556"/>
      <c r="R219" s="582"/>
    </row>
    <row r="220" ht="23.85" customHeight="1" spans="1:18">
      <c r="A220" s="556" t="str">
        <f>B220</f>
        <v> 3.3.4 </v>
      </c>
      <c r="B220" s="557" t="str">
        <f>B219</f>
        <v> 3.3.4 </v>
      </c>
      <c r="C220" s="79" t="s">
        <v>2921</v>
      </c>
      <c r="D220" s="78" t="s">
        <v>3026</v>
      </c>
      <c r="E220" s="79" t="s">
        <v>139</v>
      </c>
      <c r="F220" s="79" t="s">
        <v>3027</v>
      </c>
      <c r="G220" s="79" t="s">
        <v>2928</v>
      </c>
      <c r="H220" s="79"/>
      <c r="I220" s="80" t="s">
        <v>2897</v>
      </c>
      <c r="J220" s="583">
        <v>1.546</v>
      </c>
      <c r="K220" s="583">
        <v>0</v>
      </c>
      <c r="L220" s="92">
        <v>39.71</v>
      </c>
      <c r="M220" s="92">
        <v>61.39</v>
      </c>
      <c r="N220" s="573">
        <v>4.91</v>
      </c>
      <c r="O220" s="556" t="str">
        <f>IF(N220=M220,"OK","DIF")</f>
        <v>DIF</v>
      </c>
      <c r="P220" s="573"/>
      <c r="Q220" s="556"/>
      <c r="R220" s="582"/>
    </row>
    <row r="221" ht="23.85" customHeight="1" spans="1:18">
      <c r="A221" s="556" t="str">
        <f>B221</f>
        <v> 3.3.4 </v>
      </c>
      <c r="B221" s="557" t="str">
        <f>B220</f>
        <v> 3.3.4 </v>
      </c>
      <c r="C221" s="79" t="s">
        <v>2921</v>
      </c>
      <c r="D221" s="78" t="s">
        <v>2952</v>
      </c>
      <c r="E221" s="79" t="s">
        <v>139</v>
      </c>
      <c r="F221" s="79" t="s">
        <v>2953</v>
      </c>
      <c r="G221" s="79" t="s">
        <v>2928</v>
      </c>
      <c r="H221" s="79"/>
      <c r="I221" s="80" t="s">
        <v>2897</v>
      </c>
      <c r="J221" s="583">
        <v>0.773</v>
      </c>
      <c r="K221" s="583">
        <v>0</v>
      </c>
      <c r="L221" s="92">
        <v>29.15</v>
      </c>
      <c r="M221" s="92">
        <v>22.53</v>
      </c>
      <c r="N221" s="573">
        <v>14.18</v>
      </c>
      <c r="O221" s="556" t="str">
        <f>IF(N221=M221,"OK","DIF")</f>
        <v>DIF</v>
      </c>
      <c r="P221" s="573"/>
      <c r="Q221" s="556"/>
      <c r="R221" s="582"/>
    </row>
    <row r="222" ht="35.05" customHeight="1" spans="1:18">
      <c r="A222" s="556" t="str">
        <f>B222</f>
        <v> 3.3.4 </v>
      </c>
      <c r="B222" s="557" t="str">
        <f>B221</f>
        <v> 3.3.4 </v>
      </c>
      <c r="C222" s="100" t="s">
        <v>2893</v>
      </c>
      <c r="D222" s="99" t="s">
        <v>3034</v>
      </c>
      <c r="E222" s="100" t="s">
        <v>139</v>
      </c>
      <c r="F222" s="100" t="s">
        <v>3035</v>
      </c>
      <c r="G222" s="100" t="s">
        <v>2961</v>
      </c>
      <c r="H222" s="100"/>
      <c r="I222" s="101" t="s">
        <v>134</v>
      </c>
      <c r="J222" s="580">
        <v>1</v>
      </c>
      <c r="K222" s="580">
        <v>0</v>
      </c>
      <c r="L222" s="102">
        <v>288.02</v>
      </c>
      <c r="M222" s="102">
        <v>288.02</v>
      </c>
      <c r="N222" s="573">
        <v>12.64</v>
      </c>
      <c r="O222" s="556" t="str">
        <f>IF(N222=M222,"OK","DIF")</f>
        <v>DIF</v>
      </c>
      <c r="P222" s="573"/>
      <c r="Q222" s="556"/>
      <c r="R222" s="582"/>
    </row>
    <row r="223" ht="23.85" customHeight="1" spans="1:18">
      <c r="A223" s="556"/>
      <c r="B223" s="557"/>
      <c r="C223" s="100" t="s">
        <v>2893</v>
      </c>
      <c r="D223" s="99" t="s">
        <v>3030</v>
      </c>
      <c r="E223" s="100" t="s">
        <v>139</v>
      </c>
      <c r="F223" s="100" t="s">
        <v>3031</v>
      </c>
      <c r="G223" s="100" t="s">
        <v>2961</v>
      </c>
      <c r="H223" s="100"/>
      <c r="I223" s="101" t="s">
        <v>134</v>
      </c>
      <c r="J223" s="580">
        <v>19.8</v>
      </c>
      <c r="K223" s="580">
        <v>0</v>
      </c>
      <c r="L223" s="102">
        <v>0.09</v>
      </c>
      <c r="M223" s="102">
        <v>1.78</v>
      </c>
      <c r="N223" s="573"/>
      <c r="O223" s="556"/>
      <c r="P223" s="573"/>
      <c r="Q223" s="556"/>
      <c r="R223" s="582"/>
    </row>
    <row r="224" ht="23.85" customHeight="1" spans="1:18">
      <c r="A224" s="556"/>
      <c r="B224" s="557"/>
      <c r="C224" s="100" t="s">
        <v>2893</v>
      </c>
      <c r="D224" s="99" t="s">
        <v>3028</v>
      </c>
      <c r="E224" s="100" t="s">
        <v>139</v>
      </c>
      <c r="F224" s="100" t="s">
        <v>3029</v>
      </c>
      <c r="G224" s="100" t="s">
        <v>2961</v>
      </c>
      <c r="H224" s="100"/>
      <c r="I224" s="101" t="s">
        <v>134</v>
      </c>
      <c r="J224" s="580">
        <v>3</v>
      </c>
      <c r="K224" s="580">
        <v>0</v>
      </c>
      <c r="L224" s="102">
        <v>29.08</v>
      </c>
      <c r="M224" s="102">
        <v>87.24</v>
      </c>
      <c r="N224" s="573"/>
      <c r="O224" s="556"/>
      <c r="P224" s="573"/>
      <c r="Q224" s="556"/>
      <c r="R224" s="582"/>
    </row>
    <row r="225" ht="25.5" spans="1:18">
      <c r="A225" s="556"/>
      <c r="B225" s="557" t="str">
        <f>C224</f>
        <v>Insumo</v>
      </c>
      <c r="C225" s="108"/>
      <c r="D225" s="108"/>
      <c r="E225" s="108"/>
      <c r="F225" s="108"/>
      <c r="G225" s="108"/>
      <c r="H225" s="108" t="s">
        <v>2898</v>
      </c>
      <c r="I225" s="581">
        <v>61.09</v>
      </c>
      <c r="J225" s="108" t="s">
        <v>2899</v>
      </c>
      <c r="K225" s="581">
        <v>0</v>
      </c>
      <c r="L225" s="108" t="s">
        <v>2900</v>
      </c>
      <c r="M225" s="581">
        <v>61.09</v>
      </c>
      <c r="N225" s="573">
        <v>5.23</v>
      </c>
      <c r="O225" s="556" t="str">
        <f>IF(N225=M225,"OK","DIF")</f>
        <v>DIF</v>
      </c>
      <c r="P225" s="573"/>
      <c r="Q225" s="556"/>
      <c r="R225" s="582"/>
    </row>
    <row r="226" ht="26.25" spans="1:18">
      <c r="A226" s="556" t="str">
        <f>B226</f>
        <v>Insumo</v>
      </c>
      <c r="B226" s="557" t="str">
        <f>B225</f>
        <v>Insumo</v>
      </c>
      <c r="C226" s="108"/>
      <c r="D226" s="108"/>
      <c r="E226" s="108"/>
      <c r="F226" s="108"/>
      <c r="G226" s="108"/>
      <c r="H226" s="108" t="s">
        <v>2901</v>
      </c>
      <c r="I226" s="581">
        <v>117.49</v>
      </c>
      <c r="J226" s="114"/>
      <c r="K226" s="114" t="s">
        <v>2902</v>
      </c>
      <c r="L226" s="108"/>
      <c r="M226" s="581">
        <v>578.45</v>
      </c>
      <c r="N226" s="573">
        <v>0.66</v>
      </c>
      <c r="O226" s="556" t="str">
        <f>IF(N226=M226,"OK","DIF")</f>
        <v>DIF</v>
      </c>
      <c r="P226" s="573"/>
      <c r="Q226" s="556"/>
      <c r="R226" s="582"/>
    </row>
    <row r="227" ht="15" spans="1:18">
      <c r="A227" s="556" t="str">
        <f>B227</f>
        <v>Insumo</v>
      </c>
      <c r="B227" s="557" t="str">
        <f>B226</f>
        <v>Insumo</v>
      </c>
      <c r="C227" s="571"/>
      <c r="D227" s="571"/>
      <c r="E227" s="571"/>
      <c r="F227" s="571"/>
      <c r="G227" s="571"/>
      <c r="H227" s="571"/>
      <c r="I227" s="571"/>
      <c r="J227" s="571"/>
      <c r="K227" s="571"/>
      <c r="L227" s="571"/>
      <c r="M227" s="571"/>
      <c r="N227" s="573">
        <v>2.27</v>
      </c>
      <c r="O227" s="556" t="str">
        <f>IF(N227=M227,"OK","DIF")</f>
        <v>DIF</v>
      </c>
      <c r="P227" s="573"/>
      <c r="Q227" s="556"/>
      <c r="R227" s="582"/>
    </row>
    <row r="228" ht="15" customHeight="1" spans="1:18">
      <c r="A228" s="556" t="str">
        <f>B228</f>
        <v>Insumo</v>
      </c>
      <c r="B228" s="557" t="str">
        <f>B227</f>
        <v>Insumo</v>
      </c>
      <c r="C228" s="76" t="s">
        <v>168</v>
      </c>
      <c r="D228" s="75" t="s">
        <v>63</v>
      </c>
      <c r="E228" s="76" t="s">
        <v>64</v>
      </c>
      <c r="F228" s="76" t="s">
        <v>65</v>
      </c>
      <c r="G228" s="76" t="s">
        <v>2889</v>
      </c>
      <c r="H228" s="76"/>
      <c r="I228" s="77" t="s">
        <v>66</v>
      </c>
      <c r="J228" s="75" t="s">
        <v>67</v>
      </c>
      <c r="K228" s="75" t="s">
        <v>2890</v>
      </c>
      <c r="L228" s="75" t="s">
        <v>68</v>
      </c>
      <c r="M228" s="75" t="s">
        <v>70</v>
      </c>
      <c r="N228" s="573">
        <v>2.3</v>
      </c>
      <c r="O228" s="556" t="str">
        <f>IF(N228=M228,"OK","DIF")</f>
        <v>DIF</v>
      </c>
      <c r="P228" s="573"/>
      <c r="Q228" s="556"/>
      <c r="R228" s="582"/>
    </row>
    <row r="229" ht="35.05" customHeight="1" spans="1:18">
      <c r="A229" s="556"/>
      <c r="B229" s="557"/>
      <c r="C229" s="569" t="s">
        <v>2891</v>
      </c>
      <c r="D229" s="570" t="s">
        <v>169</v>
      </c>
      <c r="E229" s="569" t="s">
        <v>139</v>
      </c>
      <c r="F229" s="569" t="s">
        <v>170</v>
      </c>
      <c r="G229" s="569" t="s">
        <v>3025</v>
      </c>
      <c r="H229" s="569"/>
      <c r="I229" s="577" t="s">
        <v>134</v>
      </c>
      <c r="J229" s="578">
        <v>1</v>
      </c>
      <c r="K229" s="579"/>
      <c r="L229" s="579">
        <v>139.33</v>
      </c>
      <c r="M229" s="579">
        <v>139.33</v>
      </c>
      <c r="N229" s="573"/>
      <c r="O229" s="556"/>
      <c r="P229" s="573"/>
      <c r="Q229" s="556"/>
      <c r="R229" s="582"/>
    </row>
    <row r="230" ht="23.85" customHeight="1" spans="1:18">
      <c r="A230" s="556"/>
      <c r="B230" s="557"/>
      <c r="C230" s="79" t="s">
        <v>2921</v>
      </c>
      <c r="D230" s="78" t="s">
        <v>2952</v>
      </c>
      <c r="E230" s="79" t="s">
        <v>139</v>
      </c>
      <c r="F230" s="79" t="s">
        <v>2953</v>
      </c>
      <c r="G230" s="79" t="s">
        <v>2928</v>
      </c>
      <c r="H230" s="79"/>
      <c r="I230" s="80" t="s">
        <v>2897</v>
      </c>
      <c r="J230" s="583">
        <v>0.501</v>
      </c>
      <c r="K230" s="583">
        <v>0</v>
      </c>
      <c r="L230" s="92">
        <v>29.15</v>
      </c>
      <c r="M230" s="92">
        <v>14.6</v>
      </c>
      <c r="N230" s="573"/>
      <c r="O230" s="556"/>
      <c r="P230" s="573"/>
      <c r="Q230" s="556"/>
      <c r="R230" s="582"/>
    </row>
    <row r="231" ht="23.85" customHeight="1" spans="1:18">
      <c r="A231" s="556"/>
      <c r="B231" s="557" t="str">
        <f>C230</f>
        <v>Composição Auxiliar</v>
      </c>
      <c r="C231" s="79" t="s">
        <v>2921</v>
      </c>
      <c r="D231" s="78" t="s">
        <v>3026</v>
      </c>
      <c r="E231" s="79" t="s">
        <v>139</v>
      </c>
      <c r="F231" s="79" t="s">
        <v>3027</v>
      </c>
      <c r="G231" s="79" t="s">
        <v>2928</v>
      </c>
      <c r="H231" s="79"/>
      <c r="I231" s="80" t="s">
        <v>2897</v>
      </c>
      <c r="J231" s="583">
        <v>1.002</v>
      </c>
      <c r="K231" s="583">
        <v>0</v>
      </c>
      <c r="L231" s="92">
        <v>39.71</v>
      </c>
      <c r="M231" s="92">
        <v>39.78</v>
      </c>
      <c r="N231" s="573">
        <v>11.6</v>
      </c>
      <c r="O231" s="556" t="str">
        <f>IF(N231=M231,"OK","DIF")</f>
        <v>DIF</v>
      </c>
      <c r="P231" s="573"/>
      <c r="Q231" s="556"/>
      <c r="R231" s="582"/>
    </row>
    <row r="232" ht="46.25" customHeight="1" spans="1:18">
      <c r="A232" s="556" t="str">
        <f>B232</f>
        <v>Composição Auxiliar</v>
      </c>
      <c r="B232" s="557" t="str">
        <f>B231</f>
        <v>Composição Auxiliar</v>
      </c>
      <c r="C232" s="100" t="s">
        <v>2893</v>
      </c>
      <c r="D232" s="99" t="s">
        <v>3036</v>
      </c>
      <c r="E232" s="100" t="s">
        <v>139</v>
      </c>
      <c r="F232" s="100" t="s">
        <v>3037</v>
      </c>
      <c r="G232" s="100" t="s">
        <v>2961</v>
      </c>
      <c r="H232" s="100"/>
      <c r="I232" s="101" t="s">
        <v>1491</v>
      </c>
      <c r="J232" s="580">
        <v>1</v>
      </c>
      <c r="K232" s="580">
        <v>0</v>
      </c>
      <c r="L232" s="102">
        <v>84.95</v>
      </c>
      <c r="M232" s="102">
        <v>84.95</v>
      </c>
      <c r="N232" s="573">
        <v>1.41</v>
      </c>
      <c r="O232" s="556" t="str">
        <f>IF(N232=M232,"OK","DIF")</f>
        <v>DIF</v>
      </c>
      <c r="P232" s="573"/>
      <c r="Q232" s="556"/>
      <c r="R232" s="582"/>
    </row>
    <row r="233" ht="25.5" spans="1:18">
      <c r="A233" s="556" t="str">
        <f>B233</f>
        <v>Composição Auxiliar</v>
      </c>
      <c r="B233" s="557" t="str">
        <f>B232</f>
        <v>Composição Auxiliar</v>
      </c>
      <c r="C233" s="108"/>
      <c r="D233" s="108"/>
      <c r="E233" s="108"/>
      <c r="F233" s="108"/>
      <c r="G233" s="108"/>
      <c r="H233" s="108" t="s">
        <v>2898</v>
      </c>
      <c r="I233" s="581">
        <v>39.58</v>
      </c>
      <c r="J233" s="108" t="s">
        <v>2899</v>
      </c>
      <c r="K233" s="581">
        <v>0</v>
      </c>
      <c r="L233" s="108" t="s">
        <v>2900</v>
      </c>
      <c r="M233" s="581">
        <v>39.58</v>
      </c>
      <c r="N233" s="573">
        <v>5.45</v>
      </c>
      <c r="O233" s="556" t="str">
        <f>IF(N233=M233,"OK","DIF")</f>
        <v>DIF</v>
      </c>
      <c r="P233" s="573"/>
      <c r="Q233" s="556"/>
      <c r="R233" s="582"/>
    </row>
    <row r="234" ht="26.25" spans="1:18">
      <c r="A234" s="556" t="str">
        <f>B234</f>
        <v>Composição Auxiliar</v>
      </c>
      <c r="B234" s="557" t="str">
        <f>B233</f>
        <v>Composição Auxiliar</v>
      </c>
      <c r="C234" s="108"/>
      <c r="D234" s="108"/>
      <c r="E234" s="108"/>
      <c r="F234" s="108"/>
      <c r="G234" s="108"/>
      <c r="H234" s="108" t="s">
        <v>2901</v>
      </c>
      <c r="I234" s="581">
        <v>35.51</v>
      </c>
      <c r="J234" s="114"/>
      <c r="K234" s="114" t="s">
        <v>2902</v>
      </c>
      <c r="L234" s="108"/>
      <c r="M234" s="581">
        <v>174.84</v>
      </c>
      <c r="N234" s="573">
        <v>4.74</v>
      </c>
      <c r="O234" s="556" t="str">
        <f>IF(N234=M234,"OK","DIF")</f>
        <v>DIF</v>
      </c>
      <c r="P234" s="573"/>
      <c r="Q234" s="556"/>
      <c r="R234" s="582"/>
    </row>
    <row r="235" ht="15" spans="1:18">
      <c r="A235" s="556"/>
      <c r="B235" s="557"/>
      <c r="C235" s="571"/>
      <c r="D235" s="571"/>
      <c r="E235" s="571"/>
      <c r="F235" s="571"/>
      <c r="G235" s="571"/>
      <c r="H235" s="571"/>
      <c r="I235" s="571"/>
      <c r="J235" s="571"/>
      <c r="K235" s="571"/>
      <c r="L235" s="571"/>
      <c r="M235" s="571"/>
      <c r="N235" s="573"/>
      <c r="O235" s="556"/>
      <c r="P235" s="573"/>
      <c r="Q235" s="556"/>
      <c r="R235" s="582"/>
    </row>
    <row r="236" ht="15" customHeight="1" spans="1:18">
      <c r="A236" s="556"/>
      <c r="B236" s="557"/>
      <c r="C236" s="76" t="s">
        <v>171</v>
      </c>
      <c r="D236" s="75" t="s">
        <v>63</v>
      </c>
      <c r="E236" s="76" t="s">
        <v>64</v>
      </c>
      <c r="F236" s="76" t="s">
        <v>65</v>
      </c>
      <c r="G236" s="76" t="s">
        <v>2889</v>
      </c>
      <c r="H236" s="76"/>
      <c r="I236" s="77" t="s">
        <v>66</v>
      </c>
      <c r="J236" s="75" t="s">
        <v>67</v>
      </c>
      <c r="K236" s="75" t="s">
        <v>2890</v>
      </c>
      <c r="L236" s="75" t="s">
        <v>68</v>
      </c>
      <c r="M236" s="75" t="s">
        <v>70</v>
      </c>
      <c r="N236" s="573"/>
      <c r="O236" s="556"/>
      <c r="P236" s="573"/>
      <c r="Q236" s="556"/>
      <c r="R236" s="582"/>
    </row>
    <row r="237" ht="35.05" customHeight="1" spans="1:18">
      <c r="A237" s="556"/>
      <c r="B237" s="557" t="str">
        <f>C236</f>
        <v> 3.3.6 </v>
      </c>
      <c r="C237" s="569" t="s">
        <v>2891</v>
      </c>
      <c r="D237" s="570" t="s">
        <v>172</v>
      </c>
      <c r="E237" s="569" t="s">
        <v>139</v>
      </c>
      <c r="F237" s="569" t="s">
        <v>173</v>
      </c>
      <c r="G237" s="569" t="s">
        <v>3025</v>
      </c>
      <c r="H237" s="569"/>
      <c r="I237" s="577" t="s">
        <v>134</v>
      </c>
      <c r="J237" s="578">
        <v>1</v>
      </c>
      <c r="K237" s="579"/>
      <c r="L237" s="579">
        <v>136.75</v>
      </c>
      <c r="M237" s="579">
        <v>136.75</v>
      </c>
      <c r="N237" s="573">
        <v>33.31</v>
      </c>
      <c r="O237" s="556" t="str">
        <f t="shared" ref="O237:O243" si="28">IF(N237=M237,"OK","DIF")</f>
        <v>DIF</v>
      </c>
      <c r="P237" s="573"/>
      <c r="Q237" s="556"/>
      <c r="R237" s="582"/>
    </row>
    <row r="238" ht="23.85" customHeight="1" spans="1:18">
      <c r="A238" s="556" t="str">
        <f t="shared" ref="A238:A243" si="29">B238</f>
        <v> 3.3.6 </v>
      </c>
      <c r="B238" s="557" t="str">
        <f t="shared" ref="B238:B243" si="30">B237</f>
        <v> 3.3.6 </v>
      </c>
      <c r="C238" s="79" t="s">
        <v>2921</v>
      </c>
      <c r="D238" s="78" t="s">
        <v>2952</v>
      </c>
      <c r="E238" s="79" t="s">
        <v>139</v>
      </c>
      <c r="F238" s="79" t="s">
        <v>2953</v>
      </c>
      <c r="G238" s="79" t="s">
        <v>2928</v>
      </c>
      <c r="H238" s="79"/>
      <c r="I238" s="80" t="s">
        <v>2897</v>
      </c>
      <c r="J238" s="583">
        <v>0.384</v>
      </c>
      <c r="K238" s="583">
        <v>0</v>
      </c>
      <c r="L238" s="92">
        <v>29.15</v>
      </c>
      <c r="M238" s="92">
        <v>11.19</v>
      </c>
      <c r="N238" s="573">
        <v>0.18</v>
      </c>
      <c r="O238" s="556" t="str">
        <f t="shared" si="28"/>
        <v>DIF</v>
      </c>
      <c r="P238" s="573"/>
      <c r="Q238" s="556"/>
      <c r="R238" s="582"/>
    </row>
    <row r="239" ht="23.85" customHeight="1" spans="1:18">
      <c r="A239" s="556" t="str">
        <f t="shared" si="29"/>
        <v> 3.3.6 </v>
      </c>
      <c r="B239" s="557" t="str">
        <f t="shared" si="30"/>
        <v> 3.3.6 </v>
      </c>
      <c r="C239" s="79" t="s">
        <v>2921</v>
      </c>
      <c r="D239" s="78" t="s">
        <v>3026</v>
      </c>
      <c r="E239" s="79" t="s">
        <v>139</v>
      </c>
      <c r="F239" s="79" t="s">
        <v>3027</v>
      </c>
      <c r="G239" s="79" t="s">
        <v>2928</v>
      </c>
      <c r="H239" s="79"/>
      <c r="I239" s="80" t="s">
        <v>2897</v>
      </c>
      <c r="J239" s="583">
        <v>0.767</v>
      </c>
      <c r="K239" s="583">
        <v>0</v>
      </c>
      <c r="L239" s="92">
        <v>39.71</v>
      </c>
      <c r="M239" s="92">
        <v>30.45</v>
      </c>
      <c r="N239" s="573">
        <v>3.91</v>
      </c>
      <c r="O239" s="556" t="str">
        <f t="shared" si="28"/>
        <v>DIF</v>
      </c>
      <c r="P239" s="573"/>
      <c r="Q239" s="556"/>
      <c r="R239" s="582"/>
    </row>
    <row r="240" ht="46.25" customHeight="1" spans="1:18">
      <c r="A240" s="556" t="str">
        <f t="shared" si="29"/>
        <v> 3.3.6 </v>
      </c>
      <c r="B240" s="557" t="str">
        <f t="shared" si="30"/>
        <v> 3.3.6 </v>
      </c>
      <c r="C240" s="100" t="s">
        <v>2893</v>
      </c>
      <c r="D240" s="99" t="s">
        <v>3038</v>
      </c>
      <c r="E240" s="100" t="s">
        <v>139</v>
      </c>
      <c r="F240" s="100" t="s">
        <v>3039</v>
      </c>
      <c r="G240" s="100" t="s">
        <v>2961</v>
      </c>
      <c r="H240" s="100"/>
      <c r="I240" s="101" t="s">
        <v>1491</v>
      </c>
      <c r="J240" s="580">
        <v>1</v>
      </c>
      <c r="K240" s="580">
        <v>0</v>
      </c>
      <c r="L240" s="102">
        <v>95.11</v>
      </c>
      <c r="M240" s="102">
        <v>95.11</v>
      </c>
      <c r="N240" s="573">
        <v>1.73</v>
      </c>
      <c r="O240" s="556" t="str">
        <f t="shared" si="28"/>
        <v>DIF</v>
      </c>
      <c r="P240" s="573"/>
      <c r="Q240" s="556"/>
      <c r="R240" s="582"/>
    </row>
    <row r="241" ht="25.5" spans="1:18">
      <c r="A241" s="556" t="str">
        <f t="shared" si="29"/>
        <v> 3.3.6 </v>
      </c>
      <c r="B241" s="557" t="str">
        <f t="shared" si="30"/>
        <v> 3.3.6 </v>
      </c>
      <c r="C241" s="108"/>
      <c r="D241" s="108"/>
      <c r="E241" s="108"/>
      <c r="F241" s="108"/>
      <c r="G241" s="108"/>
      <c r="H241" s="108" t="s">
        <v>2898</v>
      </c>
      <c r="I241" s="581">
        <v>30.32</v>
      </c>
      <c r="J241" s="108" t="s">
        <v>2899</v>
      </c>
      <c r="K241" s="581">
        <v>0</v>
      </c>
      <c r="L241" s="108" t="s">
        <v>2900</v>
      </c>
      <c r="M241" s="581">
        <v>30.32</v>
      </c>
      <c r="N241" s="573">
        <v>0.13</v>
      </c>
      <c r="O241" s="556" t="str">
        <f t="shared" si="28"/>
        <v>DIF</v>
      </c>
      <c r="P241" s="573"/>
      <c r="Q241" s="556"/>
      <c r="R241" s="582"/>
    </row>
    <row r="242" ht="26.25" spans="1:18">
      <c r="A242" s="556" t="str">
        <f t="shared" si="29"/>
        <v> 3.3.6 </v>
      </c>
      <c r="B242" s="557" t="str">
        <f t="shared" si="30"/>
        <v> 3.3.6 </v>
      </c>
      <c r="C242" s="108"/>
      <c r="D242" s="108"/>
      <c r="E242" s="108"/>
      <c r="F242" s="108"/>
      <c r="G242" s="108"/>
      <c r="H242" s="108" t="s">
        <v>2901</v>
      </c>
      <c r="I242" s="581">
        <v>34.85</v>
      </c>
      <c r="J242" s="114"/>
      <c r="K242" s="114" t="s">
        <v>2902</v>
      </c>
      <c r="L242" s="108"/>
      <c r="M242" s="581">
        <v>171.6</v>
      </c>
      <c r="N242" s="573">
        <v>26.81</v>
      </c>
      <c r="O242" s="556" t="str">
        <f t="shared" si="28"/>
        <v>DIF</v>
      </c>
      <c r="P242" s="573"/>
      <c r="Q242" s="556"/>
      <c r="R242" s="582"/>
    </row>
    <row r="243" ht="15" spans="1:18">
      <c r="A243" s="556" t="str">
        <f t="shared" si="29"/>
        <v> 3.3.6 </v>
      </c>
      <c r="B243" s="557" t="str">
        <f t="shared" si="30"/>
        <v> 3.3.6 </v>
      </c>
      <c r="C243" s="571"/>
      <c r="D243" s="571"/>
      <c r="E243" s="571"/>
      <c r="F243" s="571"/>
      <c r="G243" s="571"/>
      <c r="H243" s="571"/>
      <c r="I243" s="571"/>
      <c r="J243" s="571"/>
      <c r="K243" s="571"/>
      <c r="L243" s="571"/>
      <c r="M243" s="571"/>
      <c r="N243" s="573">
        <v>0.55</v>
      </c>
      <c r="O243" s="556" t="str">
        <f t="shared" si="28"/>
        <v>DIF</v>
      </c>
      <c r="P243" s="573"/>
      <c r="Q243" s="556"/>
      <c r="R243" s="582"/>
    </row>
    <row r="244" ht="15" customHeight="1" spans="1:18">
      <c r="A244" s="556"/>
      <c r="B244" s="557"/>
      <c r="C244" s="76" t="s">
        <v>174</v>
      </c>
      <c r="D244" s="75" t="s">
        <v>63</v>
      </c>
      <c r="E244" s="76" t="s">
        <v>64</v>
      </c>
      <c r="F244" s="76" t="s">
        <v>65</v>
      </c>
      <c r="G244" s="76" t="s">
        <v>2889</v>
      </c>
      <c r="H244" s="76"/>
      <c r="I244" s="77" t="s">
        <v>66</v>
      </c>
      <c r="J244" s="75" t="s">
        <v>67</v>
      </c>
      <c r="K244" s="75" t="s">
        <v>2890</v>
      </c>
      <c r="L244" s="75" t="s">
        <v>68</v>
      </c>
      <c r="M244" s="75" t="s">
        <v>70</v>
      </c>
      <c r="N244" s="573"/>
      <c r="O244" s="556"/>
      <c r="P244" s="573"/>
      <c r="Q244" s="556"/>
      <c r="R244" s="582"/>
    </row>
    <row r="245" ht="68.65" customHeight="1" spans="1:18">
      <c r="A245" s="556"/>
      <c r="B245" s="557"/>
      <c r="C245" s="569" t="s">
        <v>2891</v>
      </c>
      <c r="D245" s="570" t="s">
        <v>175</v>
      </c>
      <c r="E245" s="569" t="s">
        <v>139</v>
      </c>
      <c r="F245" s="569" t="s">
        <v>3040</v>
      </c>
      <c r="G245" s="569" t="s">
        <v>3041</v>
      </c>
      <c r="H245" s="569"/>
      <c r="I245" s="577" t="s">
        <v>141</v>
      </c>
      <c r="J245" s="578">
        <v>1</v>
      </c>
      <c r="K245" s="579"/>
      <c r="L245" s="579">
        <v>631.07</v>
      </c>
      <c r="M245" s="579">
        <v>631.07</v>
      </c>
      <c r="N245" s="573"/>
      <c r="O245" s="556"/>
      <c r="P245" s="573"/>
      <c r="Q245" s="556"/>
      <c r="R245" s="582"/>
    </row>
    <row r="246" ht="23.85" customHeight="1" spans="1:18">
      <c r="A246" s="556"/>
      <c r="B246" s="557" t="str">
        <f>C245</f>
        <v>Composição</v>
      </c>
      <c r="C246" s="79" t="s">
        <v>2921</v>
      </c>
      <c r="D246" s="78" t="s">
        <v>2952</v>
      </c>
      <c r="E246" s="79" t="s">
        <v>139</v>
      </c>
      <c r="F246" s="79" t="s">
        <v>2953</v>
      </c>
      <c r="G246" s="79" t="s">
        <v>2928</v>
      </c>
      <c r="H246" s="79"/>
      <c r="I246" s="80" t="s">
        <v>2897</v>
      </c>
      <c r="J246" s="583">
        <v>0.9222253</v>
      </c>
      <c r="K246" s="583">
        <v>0</v>
      </c>
      <c r="L246" s="92">
        <v>29.15</v>
      </c>
      <c r="M246" s="92">
        <v>26.88</v>
      </c>
      <c r="N246" s="573">
        <v>55.04</v>
      </c>
      <c r="O246" s="556" t="str">
        <f t="shared" ref="O246:O253" si="31">IF(N246=M246,"OK","DIF")</f>
        <v>DIF</v>
      </c>
      <c r="P246" s="573"/>
      <c r="Q246" s="556"/>
      <c r="R246" s="582"/>
    </row>
    <row r="247" ht="23.85" customHeight="1" spans="1:18">
      <c r="A247" s="556" t="str">
        <f t="shared" ref="A247:A253" si="32">B247</f>
        <v>Composição</v>
      </c>
      <c r="B247" s="557" t="str">
        <f t="shared" ref="B247:B253" si="33">B246</f>
        <v>Composição</v>
      </c>
      <c r="C247" s="79" t="s">
        <v>2921</v>
      </c>
      <c r="D247" s="78" t="s">
        <v>3026</v>
      </c>
      <c r="E247" s="79" t="s">
        <v>139</v>
      </c>
      <c r="F247" s="79" t="s">
        <v>3027</v>
      </c>
      <c r="G247" s="79" t="s">
        <v>2928</v>
      </c>
      <c r="H247" s="79"/>
      <c r="I247" s="80" t="s">
        <v>2897</v>
      </c>
      <c r="J247" s="583">
        <v>1.8444506</v>
      </c>
      <c r="K247" s="583">
        <v>0</v>
      </c>
      <c r="L247" s="92">
        <v>39.71</v>
      </c>
      <c r="M247" s="92">
        <v>73.24</v>
      </c>
      <c r="N247" s="573">
        <v>4.3</v>
      </c>
      <c r="O247" s="556" t="str">
        <f t="shared" si="31"/>
        <v>DIF</v>
      </c>
      <c r="P247" s="573"/>
      <c r="Q247" s="556"/>
      <c r="R247" s="582"/>
    </row>
    <row r="248" ht="35.05" customHeight="1" spans="1:18">
      <c r="A248" s="556" t="str">
        <f t="shared" si="32"/>
        <v>Composição</v>
      </c>
      <c r="B248" s="557" t="str">
        <f t="shared" si="33"/>
        <v>Composição</v>
      </c>
      <c r="C248" s="100" t="s">
        <v>2893</v>
      </c>
      <c r="D248" s="99" t="s">
        <v>3042</v>
      </c>
      <c r="E248" s="100" t="s">
        <v>139</v>
      </c>
      <c r="F248" s="100" t="s">
        <v>3043</v>
      </c>
      <c r="G248" s="100" t="s">
        <v>2961</v>
      </c>
      <c r="H248" s="100"/>
      <c r="I248" s="101" t="s">
        <v>204</v>
      </c>
      <c r="J248" s="580">
        <v>1.7258</v>
      </c>
      <c r="K248" s="580">
        <v>0</v>
      </c>
      <c r="L248" s="102">
        <v>15.15</v>
      </c>
      <c r="M248" s="102">
        <v>26.14</v>
      </c>
      <c r="N248" s="573">
        <v>0.2</v>
      </c>
      <c r="O248" s="556" t="str">
        <f t="shared" si="31"/>
        <v>DIF</v>
      </c>
      <c r="P248" s="573"/>
      <c r="Q248" s="556"/>
      <c r="R248" s="582"/>
    </row>
    <row r="249" ht="15" customHeight="1" spans="1:18">
      <c r="A249" s="556" t="str">
        <f t="shared" si="32"/>
        <v>Composição</v>
      </c>
      <c r="B249" s="557" t="str">
        <f t="shared" si="33"/>
        <v>Composição</v>
      </c>
      <c r="C249" s="100" t="s">
        <v>2893</v>
      </c>
      <c r="D249" s="99" t="s">
        <v>3044</v>
      </c>
      <c r="E249" s="100" t="s">
        <v>139</v>
      </c>
      <c r="F249" s="100" t="s">
        <v>3045</v>
      </c>
      <c r="G249" s="100" t="s">
        <v>2961</v>
      </c>
      <c r="H249" s="100"/>
      <c r="I249" s="101" t="s">
        <v>134</v>
      </c>
      <c r="J249" s="580">
        <v>0.22</v>
      </c>
      <c r="K249" s="580">
        <v>0</v>
      </c>
      <c r="L249" s="102">
        <v>30</v>
      </c>
      <c r="M249" s="102">
        <v>6.6</v>
      </c>
      <c r="N249" s="573">
        <v>0.15</v>
      </c>
      <c r="O249" s="556" t="str">
        <f t="shared" si="31"/>
        <v>DIF</v>
      </c>
      <c r="P249" s="573"/>
      <c r="Q249" s="556"/>
      <c r="R249" s="582"/>
    </row>
    <row r="250" ht="57.45" customHeight="1" spans="1:18">
      <c r="A250" s="556" t="str">
        <f t="shared" si="32"/>
        <v>Composição</v>
      </c>
      <c r="B250" s="557" t="str">
        <f t="shared" si="33"/>
        <v>Composição</v>
      </c>
      <c r="C250" s="100" t="s">
        <v>2893</v>
      </c>
      <c r="D250" s="99" t="s">
        <v>3046</v>
      </c>
      <c r="E250" s="100" t="s">
        <v>139</v>
      </c>
      <c r="F250" s="100" t="s">
        <v>3047</v>
      </c>
      <c r="G250" s="100" t="s">
        <v>2961</v>
      </c>
      <c r="H250" s="100"/>
      <c r="I250" s="101" t="s">
        <v>141</v>
      </c>
      <c r="J250" s="580">
        <v>1</v>
      </c>
      <c r="K250" s="580">
        <v>0</v>
      </c>
      <c r="L250" s="102">
        <v>448.25</v>
      </c>
      <c r="M250" s="102">
        <v>448.25</v>
      </c>
      <c r="N250" s="573">
        <v>4.2</v>
      </c>
      <c r="O250" s="556" t="str">
        <f t="shared" si="31"/>
        <v>DIF</v>
      </c>
      <c r="P250" s="573"/>
      <c r="Q250" s="556"/>
      <c r="R250" s="582"/>
    </row>
    <row r="251" ht="35.05" customHeight="1" spans="1:18">
      <c r="A251" s="556" t="str">
        <f t="shared" si="32"/>
        <v>Composição</v>
      </c>
      <c r="B251" s="557" t="str">
        <f t="shared" si="33"/>
        <v>Composição</v>
      </c>
      <c r="C251" s="100" t="s">
        <v>2893</v>
      </c>
      <c r="D251" s="99" t="s">
        <v>3048</v>
      </c>
      <c r="E251" s="100" t="s">
        <v>139</v>
      </c>
      <c r="F251" s="100" t="s">
        <v>3049</v>
      </c>
      <c r="G251" s="100" t="s">
        <v>2961</v>
      </c>
      <c r="H251" s="100"/>
      <c r="I251" s="101" t="s">
        <v>204</v>
      </c>
      <c r="J251" s="580">
        <v>3.44</v>
      </c>
      <c r="K251" s="580">
        <v>0</v>
      </c>
      <c r="L251" s="102">
        <v>8.4</v>
      </c>
      <c r="M251" s="102">
        <v>28.89</v>
      </c>
      <c r="N251" s="573">
        <v>6.65</v>
      </c>
      <c r="O251" s="556" t="str">
        <f t="shared" si="31"/>
        <v>DIF</v>
      </c>
      <c r="P251" s="573"/>
      <c r="Q251" s="556"/>
      <c r="R251" s="582"/>
    </row>
    <row r="252" ht="15" customHeight="1" spans="1:18">
      <c r="A252" s="556" t="str">
        <f t="shared" si="32"/>
        <v>Composição</v>
      </c>
      <c r="B252" s="557" t="str">
        <f t="shared" si="33"/>
        <v>Composição</v>
      </c>
      <c r="C252" s="100" t="s">
        <v>2893</v>
      </c>
      <c r="D252" s="99" t="s">
        <v>3050</v>
      </c>
      <c r="E252" s="100" t="s">
        <v>139</v>
      </c>
      <c r="F252" s="100" t="s">
        <v>3051</v>
      </c>
      <c r="G252" s="100" t="s">
        <v>2961</v>
      </c>
      <c r="H252" s="100"/>
      <c r="I252" s="101" t="s">
        <v>134</v>
      </c>
      <c r="J252" s="580">
        <v>0.8014</v>
      </c>
      <c r="K252" s="580">
        <v>0</v>
      </c>
      <c r="L252" s="102">
        <v>26.3</v>
      </c>
      <c r="M252" s="102">
        <v>21.07</v>
      </c>
      <c r="N252" s="573">
        <v>39.1</v>
      </c>
      <c r="O252" s="556" t="str">
        <f t="shared" si="31"/>
        <v>DIF</v>
      </c>
      <c r="P252" s="573"/>
      <c r="Q252" s="556"/>
      <c r="R252" s="582"/>
    </row>
    <row r="253" ht="25.5" spans="1:18">
      <c r="A253" s="556" t="str">
        <f t="shared" si="32"/>
        <v>Composição</v>
      </c>
      <c r="B253" s="557" t="str">
        <f t="shared" si="33"/>
        <v>Composição</v>
      </c>
      <c r="C253" s="108"/>
      <c r="D253" s="108"/>
      <c r="E253" s="108"/>
      <c r="F253" s="108"/>
      <c r="G253" s="108"/>
      <c r="H253" s="108" t="s">
        <v>2898</v>
      </c>
      <c r="I253" s="581">
        <v>72.88</v>
      </c>
      <c r="J253" s="108" t="s">
        <v>2899</v>
      </c>
      <c r="K253" s="581">
        <v>0</v>
      </c>
      <c r="L253" s="108" t="s">
        <v>2900</v>
      </c>
      <c r="M253" s="581">
        <v>72.88</v>
      </c>
      <c r="N253" s="573">
        <v>0.44</v>
      </c>
      <c r="O253" s="556" t="str">
        <f t="shared" si="31"/>
        <v>DIF</v>
      </c>
      <c r="P253" s="573"/>
      <c r="Q253" s="556"/>
      <c r="R253" s="582"/>
    </row>
    <row r="254" ht="26.25" spans="1:18">
      <c r="A254" s="556"/>
      <c r="B254" s="557"/>
      <c r="C254" s="108"/>
      <c r="D254" s="108"/>
      <c r="E254" s="108"/>
      <c r="F254" s="108"/>
      <c r="G254" s="108"/>
      <c r="H254" s="108" t="s">
        <v>2901</v>
      </c>
      <c r="I254" s="581">
        <v>160.85</v>
      </c>
      <c r="J254" s="114"/>
      <c r="K254" s="114" t="s">
        <v>2902</v>
      </c>
      <c r="L254" s="108"/>
      <c r="M254" s="581">
        <v>791.92</v>
      </c>
      <c r="N254" s="573"/>
      <c r="O254" s="556"/>
      <c r="P254" s="573"/>
      <c r="Q254" s="556"/>
      <c r="R254" s="582"/>
    </row>
    <row r="255" ht="15" spans="1:18">
      <c r="A255" s="556"/>
      <c r="B255" s="557"/>
      <c r="C255" s="571"/>
      <c r="D255" s="571"/>
      <c r="E255" s="571"/>
      <c r="F255" s="571"/>
      <c r="G255" s="571"/>
      <c r="H255" s="571"/>
      <c r="I255" s="571"/>
      <c r="J255" s="571"/>
      <c r="K255" s="571"/>
      <c r="L255" s="571"/>
      <c r="M255" s="571"/>
      <c r="N255" s="573"/>
      <c r="O255" s="556"/>
      <c r="P255" s="573"/>
      <c r="Q255" s="556"/>
      <c r="R255" s="582"/>
    </row>
    <row r="256" ht="15" customHeight="1" spans="1:18">
      <c r="A256" s="556"/>
      <c r="B256" s="557">
        <f>C255</f>
        <v>0</v>
      </c>
      <c r="C256" s="76" t="s">
        <v>177</v>
      </c>
      <c r="D256" s="75" t="s">
        <v>63</v>
      </c>
      <c r="E256" s="76" t="s">
        <v>64</v>
      </c>
      <c r="F256" s="76" t="s">
        <v>65</v>
      </c>
      <c r="G256" s="76" t="s">
        <v>2889</v>
      </c>
      <c r="H256" s="76"/>
      <c r="I256" s="77" t="s">
        <v>66</v>
      </c>
      <c r="J256" s="75" t="s">
        <v>67</v>
      </c>
      <c r="K256" s="75" t="s">
        <v>2890</v>
      </c>
      <c r="L256" s="75" t="s">
        <v>68</v>
      </c>
      <c r="M256" s="75" t="s">
        <v>70</v>
      </c>
      <c r="N256" s="573">
        <v>24.82</v>
      </c>
      <c r="O256" s="556" t="str">
        <f>IF(N256=M256,"OK","DIF")</f>
        <v>DIF</v>
      </c>
      <c r="P256" s="573"/>
      <c r="Q256" s="556"/>
      <c r="R256" s="582"/>
    </row>
    <row r="257" ht="68.65" customHeight="1" spans="1:18">
      <c r="A257" s="556">
        <f>B257</f>
        <v>0</v>
      </c>
      <c r="B257" s="557">
        <f>B256</f>
        <v>0</v>
      </c>
      <c r="C257" s="569" t="s">
        <v>2891</v>
      </c>
      <c r="D257" s="570" t="s">
        <v>178</v>
      </c>
      <c r="E257" s="569" t="s">
        <v>139</v>
      </c>
      <c r="F257" s="569" t="s">
        <v>3052</v>
      </c>
      <c r="G257" s="569" t="s">
        <v>3041</v>
      </c>
      <c r="H257" s="569"/>
      <c r="I257" s="577" t="s">
        <v>141</v>
      </c>
      <c r="J257" s="578">
        <v>1</v>
      </c>
      <c r="K257" s="579"/>
      <c r="L257" s="579">
        <v>1250.46</v>
      </c>
      <c r="M257" s="579">
        <v>1250.46</v>
      </c>
      <c r="N257" s="573">
        <v>16.09</v>
      </c>
      <c r="O257" s="556" t="str">
        <f>IF(N257=M257,"OK","DIF")</f>
        <v>DIF</v>
      </c>
      <c r="P257" s="573"/>
      <c r="Q257" s="556"/>
      <c r="R257" s="582"/>
    </row>
    <row r="258" ht="23.85" customHeight="1" spans="1:18">
      <c r="A258" s="556">
        <f>B258</f>
        <v>0</v>
      </c>
      <c r="B258" s="557">
        <f>B257</f>
        <v>0</v>
      </c>
      <c r="C258" s="79" t="s">
        <v>2921</v>
      </c>
      <c r="D258" s="78" t="s">
        <v>2952</v>
      </c>
      <c r="E258" s="79" t="s">
        <v>139</v>
      </c>
      <c r="F258" s="79" t="s">
        <v>2953</v>
      </c>
      <c r="G258" s="79" t="s">
        <v>2928</v>
      </c>
      <c r="H258" s="79"/>
      <c r="I258" s="80" t="s">
        <v>2897</v>
      </c>
      <c r="J258" s="583">
        <v>2.1176713</v>
      </c>
      <c r="K258" s="583">
        <v>0</v>
      </c>
      <c r="L258" s="92">
        <v>29.15</v>
      </c>
      <c r="M258" s="92">
        <v>61.73</v>
      </c>
      <c r="N258" s="573">
        <v>4.98</v>
      </c>
      <c r="O258" s="556" t="str">
        <f>IF(N258=M258,"OK","DIF")</f>
        <v>DIF</v>
      </c>
      <c r="P258" s="573"/>
      <c r="Q258" s="556"/>
      <c r="R258" s="582"/>
    </row>
    <row r="259" ht="23.85" customHeight="1" spans="1:18">
      <c r="A259" s="556">
        <f>B259</f>
        <v>0</v>
      </c>
      <c r="B259" s="557">
        <f>B258</f>
        <v>0</v>
      </c>
      <c r="C259" s="79" t="s">
        <v>2921</v>
      </c>
      <c r="D259" s="78" t="s">
        <v>3026</v>
      </c>
      <c r="E259" s="79" t="s">
        <v>139</v>
      </c>
      <c r="F259" s="79" t="s">
        <v>3027</v>
      </c>
      <c r="G259" s="79" t="s">
        <v>2928</v>
      </c>
      <c r="H259" s="79"/>
      <c r="I259" s="80" t="s">
        <v>2897</v>
      </c>
      <c r="J259" s="583">
        <v>4.2353426</v>
      </c>
      <c r="K259" s="583">
        <v>0</v>
      </c>
      <c r="L259" s="92">
        <v>39.71</v>
      </c>
      <c r="M259" s="92">
        <v>168.18</v>
      </c>
      <c r="N259" s="573">
        <v>3.6</v>
      </c>
      <c r="O259" s="556" t="str">
        <f>IF(N259=M259,"OK","DIF")</f>
        <v>DIF</v>
      </c>
      <c r="P259" s="573"/>
      <c r="Q259" s="556"/>
      <c r="R259" s="582"/>
    </row>
    <row r="260" ht="15" customHeight="1" spans="1:18">
      <c r="A260" s="556">
        <f>B260</f>
        <v>0</v>
      </c>
      <c r="B260" s="557">
        <f>B259</f>
        <v>0</v>
      </c>
      <c r="C260" s="100" t="s">
        <v>2893</v>
      </c>
      <c r="D260" s="99" t="s">
        <v>3044</v>
      </c>
      <c r="E260" s="100" t="s">
        <v>139</v>
      </c>
      <c r="F260" s="100" t="s">
        <v>3045</v>
      </c>
      <c r="G260" s="100" t="s">
        <v>2961</v>
      </c>
      <c r="H260" s="100"/>
      <c r="I260" s="101" t="s">
        <v>134</v>
      </c>
      <c r="J260" s="580">
        <v>0.22</v>
      </c>
      <c r="K260" s="580">
        <v>0</v>
      </c>
      <c r="L260" s="102">
        <v>30</v>
      </c>
      <c r="M260" s="102">
        <v>6.6</v>
      </c>
      <c r="N260" s="573">
        <v>0.15</v>
      </c>
      <c r="O260" s="556" t="str">
        <f>IF(N260=M260,"OK","DIF")</f>
        <v>DIF</v>
      </c>
      <c r="P260" s="573"/>
      <c r="Q260" s="556"/>
      <c r="R260" s="582"/>
    </row>
    <row r="261" ht="35.05" customHeight="1" spans="1:18">
      <c r="A261" s="556"/>
      <c r="B261" s="557"/>
      <c r="C261" s="100" t="s">
        <v>2893</v>
      </c>
      <c r="D261" s="99" t="s">
        <v>3048</v>
      </c>
      <c r="E261" s="100" t="s">
        <v>139</v>
      </c>
      <c r="F261" s="100" t="s">
        <v>3049</v>
      </c>
      <c r="G261" s="100" t="s">
        <v>2961</v>
      </c>
      <c r="H261" s="100"/>
      <c r="I261" s="101" t="s">
        <v>204</v>
      </c>
      <c r="J261" s="580">
        <v>7.11</v>
      </c>
      <c r="K261" s="580">
        <v>0</v>
      </c>
      <c r="L261" s="102">
        <v>8.4</v>
      </c>
      <c r="M261" s="102">
        <v>59.72</v>
      </c>
      <c r="N261" s="573"/>
      <c r="O261" s="556"/>
      <c r="P261" s="573"/>
      <c r="Q261" s="556"/>
      <c r="R261" s="582"/>
    </row>
    <row r="262" ht="35.05" customHeight="1" spans="1:18">
      <c r="A262" s="556"/>
      <c r="B262" s="557"/>
      <c r="C262" s="100" t="s">
        <v>2893</v>
      </c>
      <c r="D262" s="99" t="s">
        <v>3042</v>
      </c>
      <c r="E262" s="100" t="s">
        <v>139</v>
      </c>
      <c r="F262" s="100" t="s">
        <v>3043</v>
      </c>
      <c r="G262" s="100" t="s">
        <v>2961</v>
      </c>
      <c r="H262" s="100"/>
      <c r="I262" s="101" t="s">
        <v>204</v>
      </c>
      <c r="J262" s="580">
        <v>6.9</v>
      </c>
      <c r="K262" s="580">
        <v>0</v>
      </c>
      <c r="L262" s="102">
        <v>15.15</v>
      </c>
      <c r="M262" s="102">
        <v>104.53</v>
      </c>
      <c r="N262" s="573"/>
      <c r="O262" s="556"/>
      <c r="P262" s="573"/>
      <c r="Q262" s="556"/>
      <c r="R262" s="582"/>
    </row>
    <row r="263" ht="15" customHeight="1" spans="1:18">
      <c r="A263" s="556"/>
      <c r="B263" s="557" t="str">
        <f>C262</f>
        <v>Insumo</v>
      </c>
      <c r="C263" s="100" t="s">
        <v>2893</v>
      </c>
      <c r="D263" s="99" t="s">
        <v>3050</v>
      </c>
      <c r="E263" s="100" t="s">
        <v>139</v>
      </c>
      <c r="F263" s="100" t="s">
        <v>3051</v>
      </c>
      <c r="G263" s="100" t="s">
        <v>2961</v>
      </c>
      <c r="H263" s="100"/>
      <c r="I263" s="101" t="s">
        <v>134</v>
      </c>
      <c r="J263" s="580">
        <v>0.8014</v>
      </c>
      <c r="K263" s="580">
        <v>0</v>
      </c>
      <c r="L263" s="102">
        <v>26.3</v>
      </c>
      <c r="M263" s="102">
        <v>21.07</v>
      </c>
      <c r="N263" s="573">
        <v>81.19</v>
      </c>
      <c r="O263" s="556" t="str">
        <f t="shared" ref="O263:O271" si="34">IF(N263=M263,"OK","DIF")</f>
        <v>DIF</v>
      </c>
      <c r="P263" s="573"/>
      <c r="Q263" s="556"/>
      <c r="R263" s="582"/>
    </row>
    <row r="264" ht="57.45" customHeight="1" spans="1:18">
      <c r="A264" s="556" t="str">
        <f t="shared" ref="A264:A271" si="35">B264</f>
        <v>Insumo</v>
      </c>
      <c r="B264" s="557" t="str">
        <f t="shared" ref="B264:B271" si="36">B263</f>
        <v>Insumo</v>
      </c>
      <c r="C264" s="100" t="s">
        <v>2893</v>
      </c>
      <c r="D264" s="99" t="s">
        <v>3053</v>
      </c>
      <c r="E264" s="100" t="s">
        <v>139</v>
      </c>
      <c r="F264" s="100" t="s">
        <v>3054</v>
      </c>
      <c r="G264" s="100" t="s">
        <v>2961</v>
      </c>
      <c r="H264" s="100"/>
      <c r="I264" s="101" t="s">
        <v>141</v>
      </c>
      <c r="J264" s="580">
        <v>1</v>
      </c>
      <c r="K264" s="580">
        <v>0</v>
      </c>
      <c r="L264" s="102">
        <v>828.63</v>
      </c>
      <c r="M264" s="102">
        <v>828.63</v>
      </c>
      <c r="N264" s="573">
        <v>20.89</v>
      </c>
      <c r="O264" s="556" t="str">
        <f t="shared" si="34"/>
        <v>DIF</v>
      </c>
      <c r="P264" s="573"/>
      <c r="Q264" s="556"/>
      <c r="R264" s="582"/>
    </row>
    <row r="265" ht="25.5" spans="1:18">
      <c r="A265" s="556" t="str">
        <f t="shared" si="35"/>
        <v>Insumo</v>
      </c>
      <c r="B265" s="557" t="str">
        <f t="shared" si="36"/>
        <v>Insumo</v>
      </c>
      <c r="C265" s="108"/>
      <c r="D265" s="108"/>
      <c r="E265" s="108"/>
      <c r="F265" s="108"/>
      <c r="G265" s="108"/>
      <c r="H265" s="108" t="s">
        <v>2898</v>
      </c>
      <c r="I265" s="581">
        <v>167.37</v>
      </c>
      <c r="J265" s="108" t="s">
        <v>2899</v>
      </c>
      <c r="K265" s="581">
        <v>0</v>
      </c>
      <c r="L265" s="108" t="s">
        <v>2900</v>
      </c>
      <c r="M265" s="581">
        <v>167.37</v>
      </c>
      <c r="N265" s="573">
        <v>0.73</v>
      </c>
      <c r="O265" s="556" t="str">
        <f t="shared" si="34"/>
        <v>DIF</v>
      </c>
      <c r="P265" s="573"/>
      <c r="Q265" s="556"/>
      <c r="R265" s="582"/>
    </row>
    <row r="266" ht="26.25" spans="1:18">
      <c r="A266" s="556" t="str">
        <f t="shared" si="35"/>
        <v>Insumo</v>
      </c>
      <c r="B266" s="557" t="str">
        <f t="shared" si="36"/>
        <v>Insumo</v>
      </c>
      <c r="C266" s="108"/>
      <c r="D266" s="108"/>
      <c r="E266" s="108"/>
      <c r="F266" s="108"/>
      <c r="G266" s="108"/>
      <c r="H266" s="108" t="s">
        <v>2901</v>
      </c>
      <c r="I266" s="581">
        <v>318.74</v>
      </c>
      <c r="J266" s="114"/>
      <c r="K266" s="114" t="s">
        <v>2902</v>
      </c>
      <c r="L266" s="108"/>
      <c r="M266" s="581">
        <v>1569.2</v>
      </c>
      <c r="N266" s="573">
        <v>0.46</v>
      </c>
      <c r="O266" s="556" t="str">
        <f t="shared" si="34"/>
        <v>DIF</v>
      </c>
      <c r="P266" s="573"/>
      <c r="Q266" s="556"/>
      <c r="R266" s="582"/>
    </row>
    <row r="267" ht="15" spans="1:18">
      <c r="A267" s="556" t="str">
        <f t="shared" si="35"/>
        <v>Insumo</v>
      </c>
      <c r="B267" s="557" t="str">
        <f t="shared" si="36"/>
        <v>Insumo</v>
      </c>
      <c r="C267" s="571"/>
      <c r="D267" s="571"/>
      <c r="E267" s="571"/>
      <c r="F267" s="571"/>
      <c r="G267" s="571"/>
      <c r="H267" s="571"/>
      <c r="I267" s="571"/>
      <c r="J267" s="571"/>
      <c r="K267" s="571"/>
      <c r="L267" s="571"/>
      <c r="M267" s="571"/>
      <c r="N267" s="573">
        <v>2.47</v>
      </c>
      <c r="O267" s="556" t="str">
        <f t="shared" si="34"/>
        <v>DIF</v>
      </c>
      <c r="P267" s="573"/>
      <c r="Q267" s="556"/>
      <c r="R267" s="582"/>
    </row>
    <row r="268" ht="15" customHeight="1" spans="1:18">
      <c r="A268" s="556" t="str">
        <f t="shared" si="35"/>
        <v>Insumo</v>
      </c>
      <c r="B268" s="557" t="str">
        <f t="shared" si="36"/>
        <v>Insumo</v>
      </c>
      <c r="C268" s="76" t="s">
        <v>180</v>
      </c>
      <c r="D268" s="75" t="s">
        <v>63</v>
      </c>
      <c r="E268" s="76" t="s">
        <v>64</v>
      </c>
      <c r="F268" s="76" t="s">
        <v>65</v>
      </c>
      <c r="G268" s="76" t="s">
        <v>2889</v>
      </c>
      <c r="H268" s="76"/>
      <c r="I268" s="77" t="s">
        <v>66</v>
      </c>
      <c r="J268" s="75" t="s">
        <v>67</v>
      </c>
      <c r="K268" s="75" t="s">
        <v>2890</v>
      </c>
      <c r="L268" s="75" t="s">
        <v>68</v>
      </c>
      <c r="M268" s="75" t="s">
        <v>70</v>
      </c>
      <c r="N268" s="573">
        <v>34.35</v>
      </c>
      <c r="O268" s="556" t="str">
        <f t="shared" si="34"/>
        <v>DIF</v>
      </c>
      <c r="P268" s="573"/>
      <c r="Q268" s="556"/>
      <c r="R268" s="582"/>
    </row>
    <row r="269" ht="23.85" customHeight="1" spans="1:18">
      <c r="A269" s="556" t="str">
        <f t="shared" si="35"/>
        <v>Insumo</v>
      </c>
      <c r="B269" s="557" t="str">
        <f t="shared" si="36"/>
        <v>Insumo</v>
      </c>
      <c r="C269" s="569" t="s">
        <v>2891</v>
      </c>
      <c r="D269" s="570" t="s">
        <v>181</v>
      </c>
      <c r="E269" s="569" t="s">
        <v>139</v>
      </c>
      <c r="F269" s="569" t="s">
        <v>182</v>
      </c>
      <c r="G269" s="569" t="s">
        <v>3055</v>
      </c>
      <c r="H269" s="569"/>
      <c r="I269" s="577" t="s">
        <v>141</v>
      </c>
      <c r="J269" s="578">
        <v>1</v>
      </c>
      <c r="K269" s="579"/>
      <c r="L269" s="579">
        <v>202.75</v>
      </c>
      <c r="M269" s="579">
        <v>202.75</v>
      </c>
      <c r="N269" s="573">
        <v>2.18</v>
      </c>
      <c r="O269" s="556" t="str">
        <f t="shared" si="34"/>
        <v>DIF</v>
      </c>
      <c r="P269" s="573"/>
      <c r="Q269" s="556"/>
      <c r="R269" s="582"/>
    </row>
    <row r="270" ht="23.85" customHeight="1" spans="1:18">
      <c r="A270" s="556" t="str">
        <f t="shared" si="35"/>
        <v>Insumo</v>
      </c>
      <c r="B270" s="557" t="str">
        <f t="shared" si="36"/>
        <v>Insumo</v>
      </c>
      <c r="C270" s="79" t="s">
        <v>2921</v>
      </c>
      <c r="D270" s="78" t="s">
        <v>3056</v>
      </c>
      <c r="E270" s="79" t="s">
        <v>139</v>
      </c>
      <c r="F270" s="79" t="s">
        <v>3057</v>
      </c>
      <c r="G270" s="79" t="s">
        <v>2928</v>
      </c>
      <c r="H270" s="79"/>
      <c r="I270" s="80" t="s">
        <v>2897</v>
      </c>
      <c r="J270" s="583">
        <v>0.646</v>
      </c>
      <c r="K270" s="583">
        <v>0</v>
      </c>
      <c r="L270" s="92">
        <v>33.17</v>
      </c>
      <c r="M270" s="92">
        <v>21.42</v>
      </c>
      <c r="N270" s="573">
        <v>1.1</v>
      </c>
      <c r="O270" s="556" t="str">
        <f t="shared" si="34"/>
        <v>DIF</v>
      </c>
      <c r="P270" s="573"/>
      <c r="Q270" s="556"/>
      <c r="R270" s="582"/>
    </row>
    <row r="271" ht="23.85" customHeight="1" spans="1:18">
      <c r="A271" s="556" t="str">
        <f t="shared" si="35"/>
        <v>Insumo</v>
      </c>
      <c r="B271" s="557" t="str">
        <f t="shared" si="36"/>
        <v>Insumo</v>
      </c>
      <c r="C271" s="79" t="s">
        <v>2921</v>
      </c>
      <c r="D271" s="78" t="s">
        <v>2952</v>
      </c>
      <c r="E271" s="79" t="s">
        <v>139</v>
      </c>
      <c r="F271" s="79" t="s">
        <v>2953</v>
      </c>
      <c r="G271" s="79" t="s">
        <v>2928</v>
      </c>
      <c r="H271" s="79"/>
      <c r="I271" s="80" t="s">
        <v>2897</v>
      </c>
      <c r="J271" s="583">
        <v>0.628</v>
      </c>
      <c r="K271" s="583">
        <v>0</v>
      </c>
      <c r="L271" s="92">
        <v>29.15</v>
      </c>
      <c r="M271" s="92">
        <v>18.3</v>
      </c>
      <c r="N271" s="573">
        <v>19.01</v>
      </c>
      <c r="O271" s="556" t="str">
        <f t="shared" si="34"/>
        <v>DIF</v>
      </c>
      <c r="P271" s="573"/>
      <c r="Q271" s="556"/>
      <c r="R271" s="582"/>
    </row>
    <row r="272" ht="15" customHeight="1" spans="1:18">
      <c r="A272" s="556"/>
      <c r="B272" s="557"/>
      <c r="C272" s="100" t="s">
        <v>2893</v>
      </c>
      <c r="D272" s="99" t="s">
        <v>3058</v>
      </c>
      <c r="E272" s="100" t="s">
        <v>139</v>
      </c>
      <c r="F272" s="100" t="s">
        <v>3059</v>
      </c>
      <c r="G272" s="100" t="s">
        <v>2961</v>
      </c>
      <c r="H272" s="100"/>
      <c r="I272" s="101" t="s">
        <v>393</v>
      </c>
      <c r="J272" s="580">
        <v>0.033</v>
      </c>
      <c r="K272" s="580">
        <v>0</v>
      </c>
      <c r="L272" s="102">
        <v>20.67</v>
      </c>
      <c r="M272" s="102">
        <v>0.68</v>
      </c>
      <c r="N272" s="573"/>
      <c r="O272" s="556"/>
      <c r="P272" s="573"/>
      <c r="Q272" s="556"/>
      <c r="R272" s="582"/>
    </row>
    <row r="273" ht="15" customHeight="1" spans="1:18">
      <c r="A273" s="556"/>
      <c r="B273" s="557"/>
      <c r="C273" s="100" t="s">
        <v>2893</v>
      </c>
      <c r="D273" s="99" t="s">
        <v>3060</v>
      </c>
      <c r="E273" s="100" t="s">
        <v>139</v>
      </c>
      <c r="F273" s="100" t="s">
        <v>3061</v>
      </c>
      <c r="G273" s="100" t="s">
        <v>2961</v>
      </c>
      <c r="H273" s="100"/>
      <c r="I273" s="101" t="s">
        <v>141</v>
      </c>
      <c r="J273" s="580">
        <v>1</v>
      </c>
      <c r="K273" s="580">
        <v>0</v>
      </c>
      <c r="L273" s="102">
        <v>147.5</v>
      </c>
      <c r="M273" s="102">
        <v>147.5</v>
      </c>
      <c r="N273" s="573"/>
      <c r="O273" s="556"/>
      <c r="P273" s="573"/>
      <c r="Q273" s="556"/>
      <c r="R273" s="582"/>
    </row>
    <row r="274" ht="15" customHeight="1" spans="1:18">
      <c r="A274" s="556"/>
      <c r="B274" s="557" t="str">
        <f>C273</f>
        <v>Insumo</v>
      </c>
      <c r="C274" s="100" t="s">
        <v>2893</v>
      </c>
      <c r="D274" s="99" t="s">
        <v>3050</v>
      </c>
      <c r="E274" s="100" t="s">
        <v>139</v>
      </c>
      <c r="F274" s="100" t="s">
        <v>3051</v>
      </c>
      <c r="G274" s="100" t="s">
        <v>2961</v>
      </c>
      <c r="H274" s="100"/>
      <c r="I274" s="101" t="s">
        <v>134</v>
      </c>
      <c r="J274" s="580">
        <v>0.565</v>
      </c>
      <c r="K274" s="580">
        <v>0</v>
      </c>
      <c r="L274" s="102">
        <v>26.3</v>
      </c>
      <c r="M274" s="102">
        <v>14.85</v>
      </c>
      <c r="N274" s="573">
        <v>157.78</v>
      </c>
      <c r="O274" s="556" t="str">
        <f t="shared" ref="O274:O280" si="37">IF(N274=M274,"OK","DIF")</f>
        <v>DIF</v>
      </c>
      <c r="P274" s="573"/>
      <c r="Q274" s="556"/>
      <c r="R274" s="582"/>
    </row>
    <row r="275" ht="25.5" spans="1:18">
      <c r="A275" s="556" t="str">
        <f t="shared" ref="A275:A280" si="38">B275</f>
        <v>Insumo</v>
      </c>
      <c r="B275" s="557" t="str">
        <f t="shared" ref="B275:B280" si="39">B274</f>
        <v>Insumo</v>
      </c>
      <c r="C275" s="108"/>
      <c r="D275" s="108"/>
      <c r="E275" s="108"/>
      <c r="F275" s="108"/>
      <c r="G275" s="108"/>
      <c r="H275" s="108" t="s">
        <v>2898</v>
      </c>
      <c r="I275" s="581">
        <v>27.02</v>
      </c>
      <c r="J275" s="108" t="s">
        <v>2899</v>
      </c>
      <c r="K275" s="581">
        <v>0</v>
      </c>
      <c r="L275" s="108" t="s">
        <v>2900</v>
      </c>
      <c r="M275" s="581">
        <v>27.02</v>
      </c>
      <c r="N275" s="573">
        <v>19.96</v>
      </c>
      <c r="O275" s="556" t="str">
        <f t="shared" si="37"/>
        <v>DIF</v>
      </c>
      <c r="P275" s="573"/>
      <c r="Q275" s="556"/>
      <c r="R275" s="582"/>
    </row>
    <row r="276" ht="26.25" spans="1:18">
      <c r="A276" s="556" t="str">
        <f t="shared" si="38"/>
        <v>Insumo</v>
      </c>
      <c r="B276" s="557" t="str">
        <f t="shared" si="39"/>
        <v>Insumo</v>
      </c>
      <c r="C276" s="108"/>
      <c r="D276" s="108"/>
      <c r="E276" s="108"/>
      <c r="F276" s="108"/>
      <c r="G276" s="108"/>
      <c r="H276" s="108" t="s">
        <v>2901</v>
      </c>
      <c r="I276" s="581">
        <v>51.68</v>
      </c>
      <c r="J276" s="114"/>
      <c r="K276" s="114" t="s">
        <v>2902</v>
      </c>
      <c r="L276" s="108"/>
      <c r="M276" s="581">
        <v>254.43</v>
      </c>
      <c r="N276" s="573">
        <v>57.8</v>
      </c>
      <c r="O276" s="556" t="str">
        <f t="shared" si="37"/>
        <v>DIF</v>
      </c>
      <c r="P276" s="573"/>
      <c r="Q276" s="556"/>
      <c r="R276" s="582"/>
    </row>
    <row r="277" ht="15" spans="1:18">
      <c r="A277" s="556" t="str">
        <f t="shared" si="38"/>
        <v>Insumo</v>
      </c>
      <c r="B277" s="557" t="str">
        <f t="shared" si="39"/>
        <v>Insumo</v>
      </c>
      <c r="C277" s="571"/>
      <c r="D277" s="571"/>
      <c r="E277" s="571"/>
      <c r="F277" s="571"/>
      <c r="G277" s="571"/>
      <c r="H277" s="571"/>
      <c r="I277" s="571"/>
      <c r="J277" s="571"/>
      <c r="K277" s="571"/>
      <c r="L277" s="571"/>
      <c r="M277" s="571"/>
      <c r="N277" s="573">
        <v>12.69</v>
      </c>
      <c r="O277" s="556" t="str">
        <f t="shared" si="37"/>
        <v>DIF</v>
      </c>
      <c r="P277" s="573"/>
      <c r="Q277" s="556"/>
      <c r="R277" s="582"/>
    </row>
    <row r="278" ht="15" customHeight="1" spans="1:18">
      <c r="A278" s="556" t="str">
        <f t="shared" si="38"/>
        <v>Insumo</v>
      </c>
      <c r="B278" s="557" t="str">
        <f t="shared" si="39"/>
        <v>Insumo</v>
      </c>
      <c r="C278" s="76" t="s">
        <v>183</v>
      </c>
      <c r="D278" s="75" t="s">
        <v>63</v>
      </c>
      <c r="E278" s="76" t="s">
        <v>64</v>
      </c>
      <c r="F278" s="76" t="s">
        <v>65</v>
      </c>
      <c r="G278" s="76" t="s">
        <v>2889</v>
      </c>
      <c r="H278" s="76"/>
      <c r="I278" s="77" t="s">
        <v>66</v>
      </c>
      <c r="J278" s="75" t="s">
        <v>67</v>
      </c>
      <c r="K278" s="75" t="s">
        <v>2890</v>
      </c>
      <c r="L278" s="75" t="s">
        <v>68</v>
      </c>
      <c r="M278" s="75" t="s">
        <v>70</v>
      </c>
      <c r="N278" s="573">
        <v>13.14</v>
      </c>
      <c r="O278" s="556" t="str">
        <f t="shared" si="37"/>
        <v>DIF</v>
      </c>
      <c r="P278" s="573"/>
      <c r="Q278" s="556"/>
      <c r="R278" s="582"/>
    </row>
    <row r="279" ht="35.05" customHeight="1" spans="1:18">
      <c r="A279" s="556" t="str">
        <f t="shared" si="38"/>
        <v>Insumo</v>
      </c>
      <c r="B279" s="557" t="str">
        <f t="shared" si="39"/>
        <v>Insumo</v>
      </c>
      <c r="C279" s="569" t="s">
        <v>2891</v>
      </c>
      <c r="D279" s="570" t="s">
        <v>184</v>
      </c>
      <c r="E279" s="569" t="s">
        <v>139</v>
      </c>
      <c r="F279" s="569" t="s">
        <v>185</v>
      </c>
      <c r="G279" s="569" t="s">
        <v>3062</v>
      </c>
      <c r="H279" s="569"/>
      <c r="I279" s="577" t="s">
        <v>141</v>
      </c>
      <c r="J279" s="578">
        <v>1</v>
      </c>
      <c r="K279" s="579"/>
      <c r="L279" s="579">
        <v>113.21</v>
      </c>
      <c r="M279" s="579">
        <v>113.21</v>
      </c>
      <c r="N279" s="573">
        <v>36.55</v>
      </c>
      <c r="O279" s="556" t="str">
        <f t="shared" si="37"/>
        <v>DIF</v>
      </c>
      <c r="P279" s="573"/>
      <c r="Q279" s="556"/>
      <c r="R279" s="582"/>
    </row>
    <row r="280" ht="23.85" customHeight="1" spans="1:18">
      <c r="A280" s="556" t="str">
        <f t="shared" si="38"/>
        <v>Insumo</v>
      </c>
      <c r="B280" s="557" t="str">
        <f t="shared" si="39"/>
        <v>Insumo</v>
      </c>
      <c r="C280" s="79" t="s">
        <v>2921</v>
      </c>
      <c r="D280" s="78" t="s">
        <v>3017</v>
      </c>
      <c r="E280" s="79" t="s">
        <v>139</v>
      </c>
      <c r="F280" s="79" t="s">
        <v>3018</v>
      </c>
      <c r="G280" s="79" t="s">
        <v>2928</v>
      </c>
      <c r="H280" s="79"/>
      <c r="I280" s="80" t="s">
        <v>2897</v>
      </c>
      <c r="J280" s="583">
        <v>1.61</v>
      </c>
      <c r="K280" s="583">
        <v>0</v>
      </c>
      <c r="L280" s="92">
        <v>36.96</v>
      </c>
      <c r="M280" s="92">
        <v>59.5</v>
      </c>
      <c r="N280" s="573">
        <v>17.64</v>
      </c>
      <c r="O280" s="556" t="str">
        <f t="shared" si="37"/>
        <v>DIF</v>
      </c>
      <c r="P280" s="573"/>
      <c r="Q280" s="556"/>
      <c r="R280" s="582"/>
    </row>
    <row r="281" ht="23.85" customHeight="1" spans="1:18">
      <c r="A281" s="556"/>
      <c r="B281" s="557"/>
      <c r="C281" s="79" t="s">
        <v>2921</v>
      </c>
      <c r="D281" s="78" t="s">
        <v>2952</v>
      </c>
      <c r="E281" s="79" t="s">
        <v>139</v>
      </c>
      <c r="F281" s="79" t="s">
        <v>2953</v>
      </c>
      <c r="G281" s="79" t="s">
        <v>2928</v>
      </c>
      <c r="H281" s="79"/>
      <c r="I281" s="80" t="s">
        <v>2897</v>
      </c>
      <c r="J281" s="583">
        <v>0.805</v>
      </c>
      <c r="K281" s="583">
        <v>0</v>
      </c>
      <c r="L281" s="92">
        <v>29.15</v>
      </c>
      <c r="M281" s="92">
        <v>23.46</v>
      </c>
      <c r="N281" s="573"/>
      <c r="O281" s="556"/>
      <c r="P281" s="573"/>
      <c r="Q281" s="556"/>
      <c r="R281" s="582"/>
    </row>
    <row r="282" ht="35.05" customHeight="1" spans="1:18">
      <c r="A282" s="556"/>
      <c r="B282" s="557"/>
      <c r="C282" s="79" t="s">
        <v>2921</v>
      </c>
      <c r="D282" s="78" t="s">
        <v>3063</v>
      </c>
      <c r="E282" s="79" t="s">
        <v>139</v>
      </c>
      <c r="F282" s="79" t="s">
        <v>3064</v>
      </c>
      <c r="G282" s="79" t="s">
        <v>3016</v>
      </c>
      <c r="H282" s="79"/>
      <c r="I282" s="80" t="s">
        <v>279</v>
      </c>
      <c r="J282" s="583">
        <v>0.0091</v>
      </c>
      <c r="K282" s="583">
        <v>0</v>
      </c>
      <c r="L282" s="92">
        <v>639.63</v>
      </c>
      <c r="M282" s="92">
        <v>5.82</v>
      </c>
      <c r="N282" s="573"/>
      <c r="O282" s="556"/>
      <c r="P282" s="573"/>
      <c r="Q282" s="556"/>
      <c r="R282" s="582"/>
    </row>
    <row r="283" ht="23.85" customHeight="1" spans="1:18">
      <c r="A283" s="556"/>
      <c r="B283" s="557" t="str">
        <f>C282</f>
        <v>Composição Auxiliar</v>
      </c>
      <c r="C283" s="100" t="s">
        <v>2893</v>
      </c>
      <c r="D283" s="99" t="s">
        <v>3065</v>
      </c>
      <c r="E283" s="100" t="s">
        <v>139</v>
      </c>
      <c r="F283" s="100" t="s">
        <v>3066</v>
      </c>
      <c r="G283" s="100" t="s">
        <v>2961</v>
      </c>
      <c r="H283" s="100"/>
      <c r="I283" s="101" t="s">
        <v>134</v>
      </c>
      <c r="J283" s="580">
        <v>28.31</v>
      </c>
      <c r="K283" s="580">
        <v>0</v>
      </c>
      <c r="L283" s="102">
        <v>0.82</v>
      </c>
      <c r="M283" s="102">
        <v>23.21</v>
      </c>
      <c r="N283" s="573">
        <v>12.35</v>
      </c>
      <c r="O283" s="556" t="str">
        <f>IF(N283=M283,"OK","DIF")</f>
        <v>DIF</v>
      </c>
      <c r="P283" s="573"/>
      <c r="Q283" s="556"/>
      <c r="R283" s="582"/>
    </row>
    <row r="284" ht="15" customHeight="1" spans="1:18">
      <c r="A284" s="556" t="str">
        <f>B284</f>
        <v>Composição Auxiliar</v>
      </c>
      <c r="B284" s="557" t="str">
        <f>B283</f>
        <v>Composição Auxiliar</v>
      </c>
      <c r="C284" s="100" t="s">
        <v>2893</v>
      </c>
      <c r="D284" s="99" t="s">
        <v>3067</v>
      </c>
      <c r="E284" s="100" t="s">
        <v>139</v>
      </c>
      <c r="F284" s="100" t="s">
        <v>3068</v>
      </c>
      <c r="G284" s="100" t="s">
        <v>2961</v>
      </c>
      <c r="H284" s="100"/>
      <c r="I284" s="101" t="s">
        <v>3069</v>
      </c>
      <c r="J284" s="580">
        <v>0.005</v>
      </c>
      <c r="K284" s="580">
        <v>0</v>
      </c>
      <c r="L284" s="102">
        <v>70.87</v>
      </c>
      <c r="M284" s="102">
        <v>0.35</v>
      </c>
      <c r="N284" s="573">
        <v>6.84</v>
      </c>
      <c r="O284" s="556" t="str">
        <f>IF(N284=M284,"OK","DIF")</f>
        <v>DIF</v>
      </c>
      <c r="P284" s="573"/>
      <c r="Q284" s="556"/>
      <c r="R284" s="582"/>
    </row>
    <row r="285" ht="23.85" customHeight="1" spans="1:18">
      <c r="A285" s="556" t="str">
        <f>B285</f>
        <v>Composição Auxiliar</v>
      </c>
      <c r="B285" s="557" t="str">
        <f>B284</f>
        <v>Composição Auxiliar</v>
      </c>
      <c r="C285" s="100" t="s">
        <v>2893</v>
      </c>
      <c r="D285" s="99" t="s">
        <v>3070</v>
      </c>
      <c r="E285" s="100" t="s">
        <v>139</v>
      </c>
      <c r="F285" s="100" t="s">
        <v>3071</v>
      </c>
      <c r="G285" s="100" t="s">
        <v>2961</v>
      </c>
      <c r="H285" s="100"/>
      <c r="I285" s="101" t="s">
        <v>204</v>
      </c>
      <c r="J285" s="580">
        <v>0.42</v>
      </c>
      <c r="K285" s="580">
        <v>0</v>
      </c>
      <c r="L285" s="102">
        <v>2.08</v>
      </c>
      <c r="M285" s="102">
        <v>0.87</v>
      </c>
      <c r="N285" s="573">
        <v>1.25</v>
      </c>
      <c r="O285" s="556" t="str">
        <f>IF(N285=M285,"OK","DIF")</f>
        <v>DIF</v>
      </c>
      <c r="P285" s="573"/>
      <c r="Q285" s="556"/>
      <c r="R285" s="582"/>
    </row>
    <row r="286" ht="25.5" spans="1:18">
      <c r="A286" s="556" t="str">
        <f>B286</f>
        <v>Composição Auxiliar</v>
      </c>
      <c r="B286" s="557" t="str">
        <f>B285</f>
        <v>Composição Auxiliar</v>
      </c>
      <c r="C286" s="108"/>
      <c r="D286" s="108"/>
      <c r="E286" s="108"/>
      <c r="F286" s="108"/>
      <c r="G286" s="108"/>
      <c r="H286" s="108" t="s">
        <v>2898</v>
      </c>
      <c r="I286" s="581">
        <v>59.79</v>
      </c>
      <c r="J286" s="108" t="s">
        <v>2899</v>
      </c>
      <c r="K286" s="581">
        <v>0</v>
      </c>
      <c r="L286" s="108" t="s">
        <v>2900</v>
      </c>
      <c r="M286" s="581">
        <v>59.79</v>
      </c>
      <c r="N286" s="573">
        <v>4.26</v>
      </c>
      <c r="O286" s="556" t="str">
        <f>IF(N286=M286,"OK","DIF")</f>
        <v>DIF</v>
      </c>
      <c r="P286" s="573"/>
      <c r="Q286" s="556"/>
      <c r="R286" s="582"/>
    </row>
    <row r="287" ht="26.25" spans="1:18">
      <c r="A287" s="556"/>
      <c r="B287" s="557"/>
      <c r="C287" s="108"/>
      <c r="D287" s="108"/>
      <c r="E287" s="108"/>
      <c r="F287" s="108"/>
      <c r="G287" s="108"/>
      <c r="H287" s="108" t="s">
        <v>2901</v>
      </c>
      <c r="I287" s="581">
        <v>28.85</v>
      </c>
      <c r="J287" s="114"/>
      <c r="K287" s="114" t="s">
        <v>2902</v>
      </c>
      <c r="L287" s="108"/>
      <c r="M287" s="581">
        <v>142.06</v>
      </c>
      <c r="N287" s="573"/>
      <c r="O287" s="556"/>
      <c r="P287" s="573"/>
      <c r="Q287" s="556"/>
      <c r="R287" s="582"/>
    </row>
    <row r="288" ht="15" spans="1:18">
      <c r="A288" s="556"/>
      <c r="B288" s="557"/>
      <c r="C288" s="571"/>
      <c r="D288" s="571"/>
      <c r="E288" s="571"/>
      <c r="F288" s="571"/>
      <c r="G288" s="571"/>
      <c r="H288" s="571"/>
      <c r="I288" s="571"/>
      <c r="J288" s="571"/>
      <c r="K288" s="571"/>
      <c r="L288" s="571"/>
      <c r="M288" s="571"/>
      <c r="N288" s="573"/>
      <c r="O288" s="556"/>
      <c r="P288" s="573"/>
      <c r="Q288" s="556"/>
      <c r="R288" s="582"/>
    </row>
    <row r="289" ht="15" customHeight="1" spans="1:18">
      <c r="A289" s="556"/>
      <c r="B289" s="557">
        <f>C288</f>
        <v>0</v>
      </c>
      <c r="C289" s="76" t="s">
        <v>186</v>
      </c>
      <c r="D289" s="75" t="s">
        <v>63</v>
      </c>
      <c r="E289" s="76" t="s">
        <v>64</v>
      </c>
      <c r="F289" s="76" t="s">
        <v>65</v>
      </c>
      <c r="G289" s="76" t="s">
        <v>2889</v>
      </c>
      <c r="H289" s="76"/>
      <c r="I289" s="77" t="s">
        <v>66</v>
      </c>
      <c r="J289" s="75" t="s">
        <v>67</v>
      </c>
      <c r="K289" s="75" t="s">
        <v>2890</v>
      </c>
      <c r="L289" s="75" t="s">
        <v>68</v>
      </c>
      <c r="M289" s="75" t="s">
        <v>70</v>
      </c>
      <c r="N289" s="573">
        <v>12.33</v>
      </c>
      <c r="O289" s="556" t="str">
        <f>IF(N289=M289,"OK","DIF")</f>
        <v>DIF</v>
      </c>
      <c r="P289" s="573"/>
      <c r="Q289" s="556"/>
      <c r="R289" s="582"/>
    </row>
    <row r="290" ht="35.05" customHeight="1" spans="1:18">
      <c r="A290" s="556">
        <f>B290</f>
        <v>0</v>
      </c>
      <c r="B290" s="557">
        <f>B289</f>
        <v>0</v>
      </c>
      <c r="C290" s="569" t="s">
        <v>2891</v>
      </c>
      <c r="D290" s="570" t="s">
        <v>187</v>
      </c>
      <c r="E290" s="569" t="s">
        <v>139</v>
      </c>
      <c r="F290" s="569" t="s">
        <v>188</v>
      </c>
      <c r="G290" s="569" t="s">
        <v>3072</v>
      </c>
      <c r="H290" s="569"/>
      <c r="I290" s="577" t="s">
        <v>141</v>
      </c>
      <c r="J290" s="578">
        <v>1</v>
      </c>
      <c r="K290" s="579"/>
      <c r="L290" s="579">
        <v>35.15</v>
      </c>
      <c r="M290" s="579">
        <v>35.15</v>
      </c>
      <c r="N290" s="573">
        <v>3.93</v>
      </c>
      <c r="O290" s="556" t="str">
        <f>IF(N290=M290,"OK","DIF")</f>
        <v>DIF</v>
      </c>
      <c r="P290" s="573"/>
      <c r="Q290" s="556"/>
      <c r="R290" s="582"/>
    </row>
    <row r="291" ht="23.85" customHeight="1" spans="1:18">
      <c r="A291" s="556">
        <f>B291</f>
        <v>0</v>
      </c>
      <c r="B291" s="557">
        <f>B290</f>
        <v>0</v>
      </c>
      <c r="C291" s="79" t="s">
        <v>2921</v>
      </c>
      <c r="D291" s="78" t="s">
        <v>2952</v>
      </c>
      <c r="E291" s="79" t="s">
        <v>139</v>
      </c>
      <c r="F291" s="79" t="s">
        <v>2953</v>
      </c>
      <c r="G291" s="79" t="s">
        <v>2928</v>
      </c>
      <c r="H291" s="79"/>
      <c r="I291" s="80" t="s">
        <v>2897</v>
      </c>
      <c r="J291" s="583">
        <v>0.1894</v>
      </c>
      <c r="K291" s="583">
        <v>0</v>
      </c>
      <c r="L291" s="92">
        <v>29.15</v>
      </c>
      <c r="M291" s="92">
        <v>5.52</v>
      </c>
      <c r="N291" s="573">
        <v>3.24</v>
      </c>
      <c r="O291" s="556" t="str">
        <f>IF(N291=M291,"OK","DIF")</f>
        <v>DIF</v>
      </c>
      <c r="P291" s="573"/>
      <c r="Q291" s="556"/>
      <c r="R291" s="582"/>
    </row>
    <row r="292" ht="35.05" customHeight="1" spans="1:18">
      <c r="A292" s="556">
        <f>B292</f>
        <v>0</v>
      </c>
      <c r="B292" s="557">
        <f>B291</f>
        <v>0</v>
      </c>
      <c r="C292" s="79" t="s">
        <v>2921</v>
      </c>
      <c r="D292" s="78" t="s">
        <v>3073</v>
      </c>
      <c r="E292" s="79" t="s">
        <v>139</v>
      </c>
      <c r="F292" s="79" t="s">
        <v>3074</v>
      </c>
      <c r="G292" s="79" t="s">
        <v>3016</v>
      </c>
      <c r="H292" s="79"/>
      <c r="I292" s="80" t="s">
        <v>279</v>
      </c>
      <c r="J292" s="583">
        <v>0.0194</v>
      </c>
      <c r="K292" s="583">
        <v>0</v>
      </c>
      <c r="L292" s="92">
        <v>806.06</v>
      </c>
      <c r="M292" s="92">
        <v>15.63</v>
      </c>
      <c r="N292" s="573">
        <v>5.16</v>
      </c>
      <c r="O292" s="556" t="str">
        <f>IF(N292=M292,"OK","DIF")</f>
        <v>DIF</v>
      </c>
      <c r="P292" s="573"/>
      <c r="Q292" s="556"/>
      <c r="R292" s="582"/>
    </row>
    <row r="293" ht="23.85" customHeight="1" spans="1:18">
      <c r="A293" s="556"/>
      <c r="B293" s="557"/>
      <c r="C293" s="79" t="s">
        <v>2921</v>
      </c>
      <c r="D293" s="78" t="s">
        <v>3017</v>
      </c>
      <c r="E293" s="79" t="s">
        <v>139</v>
      </c>
      <c r="F293" s="79" t="s">
        <v>3018</v>
      </c>
      <c r="G293" s="79" t="s">
        <v>2928</v>
      </c>
      <c r="H293" s="79"/>
      <c r="I293" s="80" t="s">
        <v>2897</v>
      </c>
      <c r="J293" s="583">
        <v>0.3789</v>
      </c>
      <c r="K293" s="583">
        <v>0</v>
      </c>
      <c r="L293" s="92">
        <v>36.96</v>
      </c>
      <c r="M293" s="92">
        <v>14</v>
      </c>
      <c r="N293" s="573"/>
      <c r="O293" s="556"/>
      <c r="P293" s="573"/>
      <c r="Q293" s="556"/>
      <c r="R293" s="582"/>
    </row>
    <row r="294" ht="25.5" spans="1:18">
      <c r="A294" s="556"/>
      <c r="B294" s="557"/>
      <c r="C294" s="108"/>
      <c r="D294" s="108"/>
      <c r="E294" s="108"/>
      <c r="F294" s="108"/>
      <c r="G294" s="108"/>
      <c r="H294" s="108" t="s">
        <v>2898</v>
      </c>
      <c r="I294" s="581">
        <v>17.97</v>
      </c>
      <c r="J294" s="108" t="s">
        <v>2899</v>
      </c>
      <c r="K294" s="581">
        <v>0</v>
      </c>
      <c r="L294" s="108" t="s">
        <v>2900</v>
      </c>
      <c r="M294" s="581">
        <v>17.97</v>
      </c>
      <c r="N294" s="573"/>
      <c r="O294" s="556"/>
      <c r="P294" s="573"/>
      <c r="Q294" s="556"/>
      <c r="R294" s="582"/>
    </row>
    <row r="295" ht="26.25" spans="1:18">
      <c r="A295" s="556"/>
      <c r="B295" s="557">
        <f>C294</f>
        <v>0</v>
      </c>
      <c r="C295" s="108"/>
      <c r="D295" s="108"/>
      <c r="E295" s="108"/>
      <c r="F295" s="108"/>
      <c r="G295" s="108"/>
      <c r="H295" s="108" t="s">
        <v>2901</v>
      </c>
      <c r="I295" s="581">
        <v>8.95</v>
      </c>
      <c r="J295" s="114"/>
      <c r="K295" s="114" t="s">
        <v>2902</v>
      </c>
      <c r="L295" s="108"/>
      <c r="M295" s="581">
        <v>44.1</v>
      </c>
      <c r="N295" s="573">
        <v>15.84</v>
      </c>
      <c r="O295" s="556" t="str">
        <f>IF(N295=M295,"OK","DIF")</f>
        <v>DIF</v>
      </c>
      <c r="P295" s="573"/>
      <c r="Q295" s="556"/>
      <c r="R295" s="582"/>
    </row>
    <row r="296" ht="15" spans="1:18">
      <c r="A296" s="556">
        <f>B296</f>
        <v>0</v>
      </c>
      <c r="B296" s="557">
        <f>B295</f>
        <v>0</v>
      </c>
      <c r="C296" s="571"/>
      <c r="D296" s="571"/>
      <c r="E296" s="571"/>
      <c r="F296" s="571"/>
      <c r="G296" s="571"/>
      <c r="H296" s="571"/>
      <c r="I296" s="571"/>
      <c r="J296" s="571"/>
      <c r="K296" s="571"/>
      <c r="L296" s="571"/>
      <c r="M296" s="571"/>
      <c r="N296" s="573">
        <v>4.83</v>
      </c>
      <c r="O296" s="556" t="str">
        <f>IF(N296=M296,"OK","DIF")</f>
        <v>DIF</v>
      </c>
      <c r="P296" s="573"/>
      <c r="Q296" s="556"/>
      <c r="R296" s="582"/>
    </row>
    <row r="297" ht="15" customHeight="1" spans="1:18">
      <c r="A297" s="556">
        <f>B297</f>
        <v>0</v>
      </c>
      <c r="B297" s="557">
        <f>B296</f>
        <v>0</v>
      </c>
      <c r="C297" s="76" t="s">
        <v>189</v>
      </c>
      <c r="D297" s="75" t="s">
        <v>63</v>
      </c>
      <c r="E297" s="76" t="s">
        <v>64</v>
      </c>
      <c r="F297" s="76" t="s">
        <v>65</v>
      </c>
      <c r="G297" s="76" t="s">
        <v>2889</v>
      </c>
      <c r="H297" s="76"/>
      <c r="I297" s="77" t="s">
        <v>66</v>
      </c>
      <c r="J297" s="75" t="s">
        <v>67</v>
      </c>
      <c r="K297" s="75" t="s">
        <v>2890</v>
      </c>
      <c r="L297" s="75" t="s">
        <v>68</v>
      </c>
      <c r="M297" s="75" t="s">
        <v>70</v>
      </c>
      <c r="N297" s="573">
        <v>5.85</v>
      </c>
      <c r="O297" s="556" t="str">
        <f>IF(N297=M297,"OK","DIF")</f>
        <v>DIF</v>
      </c>
      <c r="P297" s="573"/>
      <c r="Q297" s="556"/>
      <c r="R297" s="582"/>
    </row>
    <row r="298" ht="35.05" customHeight="1" spans="1:18">
      <c r="A298" s="556">
        <f>B298</f>
        <v>0</v>
      </c>
      <c r="B298" s="557">
        <f>B297</f>
        <v>0</v>
      </c>
      <c r="C298" s="569" t="s">
        <v>2891</v>
      </c>
      <c r="D298" s="570" t="s">
        <v>190</v>
      </c>
      <c r="E298" s="569" t="s">
        <v>139</v>
      </c>
      <c r="F298" s="569" t="s">
        <v>3075</v>
      </c>
      <c r="G298" s="569" t="s">
        <v>3076</v>
      </c>
      <c r="H298" s="569"/>
      <c r="I298" s="577" t="s">
        <v>141</v>
      </c>
      <c r="J298" s="578">
        <v>1</v>
      </c>
      <c r="K298" s="579"/>
      <c r="L298" s="579">
        <v>5.75</v>
      </c>
      <c r="M298" s="579">
        <v>5.75</v>
      </c>
      <c r="N298" s="573">
        <v>5.16</v>
      </c>
      <c r="O298" s="556" t="str">
        <f>IF(N298=M298,"OK","DIF")</f>
        <v>DIF</v>
      </c>
      <c r="P298" s="573"/>
      <c r="Q298" s="556"/>
      <c r="R298" s="582"/>
    </row>
    <row r="299" ht="23.85" customHeight="1" spans="1:18">
      <c r="A299" s="556"/>
      <c r="B299" s="557"/>
      <c r="C299" s="79" t="s">
        <v>2921</v>
      </c>
      <c r="D299" s="78" t="s">
        <v>3017</v>
      </c>
      <c r="E299" s="79" t="s">
        <v>139</v>
      </c>
      <c r="F299" s="79" t="s">
        <v>3018</v>
      </c>
      <c r="G299" s="79" t="s">
        <v>2928</v>
      </c>
      <c r="H299" s="79"/>
      <c r="I299" s="80" t="s">
        <v>2897</v>
      </c>
      <c r="J299" s="583">
        <v>0.0681</v>
      </c>
      <c r="K299" s="583">
        <v>0</v>
      </c>
      <c r="L299" s="92">
        <v>36.96</v>
      </c>
      <c r="M299" s="92">
        <v>2.51</v>
      </c>
      <c r="N299" s="573"/>
      <c r="O299" s="556"/>
      <c r="P299" s="573"/>
      <c r="Q299" s="556"/>
      <c r="R299" s="582"/>
    </row>
    <row r="300" ht="35.05" customHeight="1" spans="1:18">
      <c r="A300" s="556"/>
      <c r="B300" s="557"/>
      <c r="C300" s="79" t="s">
        <v>2921</v>
      </c>
      <c r="D300" s="78" t="s">
        <v>3077</v>
      </c>
      <c r="E300" s="79" t="s">
        <v>139</v>
      </c>
      <c r="F300" s="79" t="s">
        <v>3078</v>
      </c>
      <c r="G300" s="79" t="s">
        <v>3016</v>
      </c>
      <c r="H300" s="79"/>
      <c r="I300" s="80" t="s">
        <v>279</v>
      </c>
      <c r="J300" s="583">
        <v>0.0037</v>
      </c>
      <c r="K300" s="583">
        <v>0</v>
      </c>
      <c r="L300" s="92">
        <v>677.4</v>
      </c>
      <c r="M300" s="92">
        <v>2.5</v>
      </c>
      <c r="N300" s="573"/>
      <c r="O300" s="556"/>
      <c r="P300" s="573"/>
      <c r="Q300" s="556"/>
      <c r="R300" s="582"/>
    </row>
    <row r="301" ht="23.85" customHeight="1" spans="1:18">
      <c r="A301" s="556"/>
      <c r="B301" s="557" t="str">
        <f>C300</f>
        <v>Composição Auxiliar</v>
      </c>
      <c r="C301" s="79" t="s">
        <v>2921</v>
      </c>
      <c r="D301" s="78" t="s">
        <v>2952</v>
      </c>
      <c r="E301" s="79" t="s">
        <v>139</v>
      </c>
      <c r="F301" s="79" t="s">
        <v>2953</v>
      </c>
      <c r="G301" s="79" t="s">
        <v>2928</v>
      </c>
      <c r="H301" s="79"/>
      <c r="I301" s="80" t="s">
        <v>2897</v>
      </c>
      <c r="J301" s="583">
        <v>0.0255</v>
      </c>
      <c r="K301" s="583">
        <v>0</v>
      </c>
      <c r="L301" s="92">
        <v>29.15</v>
      </c>
      <c r="M301" s="92">
        <v>0.74</v>
      </c>
      <c r="N301" s="573">
        <v>9.91</v>
      </c>
      <c r="O301" s="556" t="str">
        <f>IF(N301=M301,"OK","DIF")</f>
        <v>DIF</v>
      </c>
      <c r="P301" s="573"/>
      <c r="Q301" s="556"/>
      <c r="R301" s="582"/>
    </row>
    <row r="302" ht="25.5" spans="1:18">
      <c r="A302" s="556" t="str">
        <f>B302</f>
        <v>Composição Auxiliar</v>
      </c>
      <c r="B302" s="557" t="str">
        <f>B301</f>
        <v>Composição Auxiliar</v>
      </c>
      <c r="C302" s="108"/>
      <c r="D302" s="108"/>
      <c r="E302" s="108"/>
      <c r="F302" s="108"/>
      <c r="G302" s="108"/>
      <c r="H302" s="108" t="s">
        <v>2898</v>
      </c>
      <c r="I302" s="581">
        <v>3.1</v>
      </c>
      <c r="J302" s="108" t="s">
        <v>2899</v>
      </c>
      <c r="K302" s="581">
        <v>0</v>
      </c>
      <c r="L302" s="108" t="s">
        <v>2900</v>
      </c>
      <c r="M302" s="581">
        <v>3.1</v>
      </c>
      <c r="N302" s="573">
        <v>3.74</v>
      </c>
      <c r="O302" s="556" t="str">
        <f>IF(N302=M302,"OK","DIF")</f>
        <v>DIF</v>
      </c>
      <c r="P302" s="573"/>
      <c r="Q302" s="556"/>
      <c r="R302" s="582"/>
    </row>
    <row r="303" ht="26.25" spans="1:18">
      <c r="A303" s="556" t="str">
        <f>B303</f>
        <v>Composição Auxiliar</v>
      </c>
      <c r="B303" s="557" t="str">
        <f>B302</f>
        <v>Composição Auxiliar</v>
      </c>
      <c r="C303" s="108"/>
      <c r="D303" s="108"/>
      <c r="E303" s="108"/>
      <c r="F303" s="108"/>
      <c r="G303" s="108"/>
      <c r="H303" s="108" t="s">
        <v>2901</v>
      </c>
      <c r="I303" s="581">
        <v>1.46</v>
      </c>
      <c r="J303" s="114"/>
      <c r="K303" s="114" t="s">
        <v>2902</v>
      </c>
      <c r="L303" s="108"/>
      <c r="M303" s="581">
        <v>7.21</v>
      </c>
      <c r="N303" s="573">
        <v>4.53</v>
      </c>
      <c r="O303" s="556" t="str">
        <f>IF(N303=M303,"OK","DIF")</f>
        <v>DIF</v>
      </c>
      <c r="P303" s="573"/>
      <c r="Q303" s="556"/>
      <c r="R303" s="582"/>
    </row>
    <row r="304" ht="15" spans="1:18">
      <c r="A304" s="556" t="str">
        <f>B304</f>
        <v>Composição Auxiliar</v>
      </c>
      <c r="B304" s="557" t="str">
        <f>B303</f>
        <v>Composição Auxiliar</v>
      </c>
      <c r="C304" s="571"/>
      <c r="D304" s="571"/>
      <c r="E304" s="571"/>
      <c r="F304" s="571"/>
      <c r="G304" s="571"/>
      <c r="H304" s="571"/>
      <c r="I304" s="571"/>
      <c r="J304" s="571"/>
      <c r="K304" s="571"/>
      <c r="L304" s="571"/>
      <c r="M304" s="571"/>
      <c r="N304" s="573">
        <v>1.64</v>
      </c>
      <c r="O304" s="556" t="str">
        <f>IF(N304=M304,"OK","DIF")</f>
        <v>DIF</v>
      </c>
      <c r="P304" s="573"/>
      <c r="Q304" s="556"/>
      <c r="R304" s="582"/>
    </row>
    <row r="305" ht="15" customHeight="1" spans="1:18">
      <c r="A305" s="556"/>
      <c r="B305" s="557"/>
      <c r="C305" s="76" t="s">
        <v>192</v>
      </c>
      <c r="D305" s="75" t="s">
        <v>63</v>
      </c>
      <c r="E305" s="76" t="s">
        <v>64</v>
      </c>
      <c r="F305" s="76" t="s">
        <v>65</v>
      </c>
      <c r="G305" s="76" t="s">
        <v>2889</v>
      </c>
      <c r="H305" s="76"/>
      <c r="I305" s="77" t="s">
        <v>66</v>
      </c>
      <c r="J305" s="75" t="s">
        <v>67</v>
      </c>
      <c r="K305" s="75" t="s">
        <v>2890</v>
      </c>
      <c r="L305" s="75" t="s">
        <v>68</v>
      </c>
      <c r="M305" s="75" t="s">
        <v>70</v>
      </c>
      <c r="N305" s="573"/>
      <c r="O305" s="556"/>
      <c r="P305" s="573"/>
      <c r="Q305" s="556"/>
      <c r="R305" s="582"/>
    </row>
    <row r="306" ht="23.85" customHeight="1" spans="1:18">
      <c r="A306" s="556"/>
      <c r="B306" s="557"/>
      <c r="C306" s="569" t="s">
        <v>2891</v>
      </c>
      <c r="D306" s="570" t="s">
        <v>193</v>
      </c>
      <c r="E306" s="569" t="s">
        <v>139</v>
      </c>
      <c r="F306" s="569" t="s">
        <v>194</v>
      </c>
      <c r="G306" s="569" t="s">
        <v>3079</v>
      </c>
      <c r="H306" s="569"/>
      <c r="I306" s="577" t="s">
        <v>141</v>
      </c>
      <c r="J306" s="578">
        <v>1</v>
      </c>
      <c r="K306" s="579"/>
      <c r="L306" s="579">
        <v>12.8</v>
      </c>
      <c r="M306" s="579">
        <v>12.8</v>
      </c>
      <c r="N306" s="573"/>
      <c r="O306" s="556"/>
      <c r="P306" s="573"/>
      <c r="Q306" s="556"/>
      <c r="R306" s="582"/>
    </row>
    <row r="307" ht="23.85" customHeight="1" spans="1:18">
      <c r="A307" s="556"/>
      <c r="B307" s="557" t="str">
        <f>C306</f>
        <v>Composição</v>
      </c>
      <c r="C307" s="79" t="s">
        <v>2921</v>
      </c>
      <c r="D307" s="78" t="s">
        <v>3080</v>
      </c>
      <c r="E307" s="79" t="s">
        <v>139</v>
      </c>
      <c r="F307" s="79" t="s">
        <v>3081</v>
      </c>
      <c r="G307" s="79" t="s">
        <v>2928</v>
      </c>
      <c r="H307" s="79"/>
      <c r="I307" s="80" t="s">
        <v>2897</v>
      </c>
      <c r="J307" s="583">
        <v>0.1631</v>
      </c>
      <c r="K307" s="583">
        <v>0</v>
      </c>
      <c r="L307" s="92">
        <v>38.02</v>
      </c>
      <c r="M307" s="92">
        <v>6.2</v>
      </c>
      <c r="N307" s="573">
        <v>16.22</v>
      </c>
      <c r="O307" s="556" t="str">
        <f>IF(N307=M307,"OK","DIF")</f>
        <v>DIF</v>
      </c>
      <c r="P307" s="573"/>
      <c r="Q307" s="556"/>
      <c r="R307" s="582"/>
    </row>
    <row r="308" ht="23.85" customHeight="1" spans="1:18">
      <c r="A308" s="556" t="str">
        <f>B308</f>
        <v>Composição</v>
      </c>
      <c r="B308" s="557" t="str">
        <f>B307</f>
        <v>Composição</v>
      </c>
      <c r="C308" s="79" t="s">
        <v>2921</v>
      </c>
      <c r="D308" s="78" t="s">
        <v>2952</v>
      </c>
      <c r="E308" s="79" t="s">
        <v>139</v>
      </c>
      <c r="F308" s="79" t="s">
        <v>2953</v>
      </c>
      <c r="G308" s="79" t="s">
        <v>2928</v>
      </c>
      <c r="H308" s="79"/>
      <c r="I308" s="80" t="s">
        <v>2897</v>
      </c>
      <c r="J308" s="583">
        <v>0.0544</v>
      </c>
      <c r="K308" s="583">
        <v>0</v>
      </c>
      <c r="L308" s="92">
        <v>29.15</v>
      </c>
      <c r="M308" s="92">
        <v>1.58</v>
      </c>
      <c r="N308" s="573">
        <v>5.62</v>
      </c>
      <c r="O308" s="556" t="str">
        <f>IF(N308=M308,"OK","DIF")</f>
        <v>DIF</v>
      </c>
      <c r="P308" s="573"/>
      <c r="Q308" s="556"/>
      <c r="R308" s="582"/>
    </row>
    <row r="309" ht="15" customHeight="1" spans="1:18">
      <c r="A309" s="556" t="str">
        <f>B309</f>
        <v>Composição</v>
      </c>
      <c r="B309" s="557" t="str">
        <f>B308</f>
        <v>Composição</v>
      </c>
      <c r="C309" s="100" t="s">
        <v>2893</v>
      </c>
      <c r="D309" s="99" t="s">
        <v>3082</v>
      </c>
      <c r="E309" s="100" t="s">
        <v>139</v>
      </c>
      <c r="F309" s="100" t="s">
        <v>3083</v>
      </c>
      <c r="G309" s="100" t="s">
        <v>2961</v>
      </c>
      <c r="H309" s="100"/>
      <c r="I309" s="101" t="s">
        <v>3084</v>
      </c>
      <c r="J309" s="580">
        <v>0.2367</v>
      </c>
      <c r="K309" s="580">
        <v>0</v>
      </c>
      <c r="L309" s="102">
        <v>21.25</v>
      </c>
      <c r="M309" s="102">
        <v>5.02</v>
      </c>
      <c r="N309" s="573">
        <v>6.81</v>
      </c>
      <c r="O309" s="556" t="str">
        <f>IF(N309=M309,"OK","DIF")</f>
        <v>DIF</v>
      </c>
      <c r="P309" s="573"/>
      <c r="Q309" s="556"/>
      <c r="R309" s="582"/>
    </row>
    <row r="310" ht="25.5" spans="1:18">
      <c r="A310" s="556" t="str">
        <f>B310</f>
        <v>Composição</v>
      </c>
      <c r="B310" s="557" t="str">
        <f>B309</f>
        <v>Composição</v>
      </c>
      <c r="C310" s="108"/>
      <c r="D310" s="108"/>
      <c r="E310" s="108"/>
      <c r="F310" s="108"/>
      <c r="G310" s="108"/>
      <c r="H310" s="108" t="s">
        <v>2898</v>
      </c>
      <c r="I310" s="581">
        <v>5.31</v>
      </c>
      <c r="J310" s="108" t="s">
        <v>2899</v>
      </c>
      <c r="K310" s="581">
        <v>0</v>
      </c>
      <c r="L310" s="108" t="s">
        <v>2900</v>
      </c>
      <c r="M310" s="581">
        <v>5.31</v>
      </c>
      <c r="N310" s="573">
        <v>3.79</v>
      </c>
      <c r="O310" s="556" t="str">
        <f>IF(N310=M310,"OK","DIF")</f>
        <v>DIF</v>
      </c>
      <c r="P310" s="573"/>
      <c r="Q310" s="556"/>
      <c r="R310" s="582"/>
    </row>
    <row r="311" ht="26.25" spans="1:18">
      <c r="A311" s="556"/>
      <c r="B311" s="557"/>
      <c r="C311" s="108"/>
      <c r="D311" s="108"/>
      <c r="E311" s="108"/>
      <c r="F311" s="108"/>
      <c r="G311" s="108"/>
      <c r="H311" s="108" t="s">
        <v>2901</v>
      </c>
      <c r="I311" s="581">
        <v>3.26</v>
      </c>
      <c r="J311" s="114"/>
      <c r="K311" s="114" t="s">
        <v>2902</v>
      </c>
      <c r="L311" s="108"/>
      <c r="M311" s="581">
        <v>16.06</v>
      </c>
      <c r="N311" s="573"/>
      <c r="O311" s="556"/>
      <c r="P311" s="573"/>
      <c r="Q311" s="556"/>
      <c r="R311" s="582"/>
    </row>
    <row r="312" ht="15" spans="1:18">
      <c r="A312" s="556"/>
      <c r="B312" s="557"/>
      <c r="C312" s="571"/>
      <c r="D312" s="571"/>
      <c r="E312" s="571"/>
      <c r="F312" s="571"/>
      <c r="G312" s="571"/>
      <c r="H312" s="571"/>
      <c r="I312" s="571"/>
      <c r="J312" s="571"/>
      <c r="K312" s="571"/>
      <c r="L312" s="571"/>
      <c r="M312" s="571"/>
      <c r="N312" s="573"/>
      <c r="O312" s="556"/>
      <c r="P312" s="573"/>
      <c r="Q312" s="556"/>
      <c r="R312" s="582"/>
    </row>
    <row r="313" ht="15" customHeight="1" spans="1:18">
      <c r="A313" s="556"/>
      <c r="B313" s="557">
        <f>C312</f>
        <v>0</v>
      </c>
      <c r="C313" s="76" t="s">
        <v>195</v>
      </c>
      <c r="D313" s="75" t="s">
        <v>63</v>
      </c>
      <c r="E313" s="76" t="s">
        <v>64</v>
      </c>
      <c r="F313" s="76" t="s">
        <v>65</v>
      </c>
      <c r="G313" s="76" t="s">
        <v>2889</v>
      </c>
      <c r="H313" s="76"/>
      <c r="I313" s="77" t="s">
        <v>66</v>
      </c>
      <c r="J313" s="75" t="s">
        <v>67</v>
      </c>
      <c r="K313" s="75" t="s">
        <v>2890</v>
      </c>
      <c r="L313" s="75" t="s">
        <v>68</v>
      </c>
      <c r="M313" s="75" t="s">
        <v>70</v>
      </c>
      <c r="N313" s="573">
        <v>4.56</v>
      </c>
      <c r="O313" s="556" t="str">
        <f>IF(N313=M313,"OK","DIF")</f>
        <v>DIF</v>
      </c>
      <c r="P313" s="573"/>
      <c r="Q313" s="556"/>
      <c r="R313" s="582"/>
    </row>
    <row r="314" ht="46.25" customHeight="1" spans="1:18">
      <c r="A314" s="556">
        <f>B314</f>
        <v>0</v>
      </c>
      <c r="B314" s="557">
        <f>B313</f>
        <v>0</v>
      </c>
      <c r="C314" s="569" t="s">
        <v>2891</v>
      </c>
      <c r="D314" s="570" t="s">
        <v>196</v>
      </c>
      <c r="E314" s="569" t="s">
        <v>139</v>
      </c>
      <c r="F314" s="569" t="s">
        <v>197</v>
      </c>
      <c r="G314" s="569" t="s">
        <v>3085</v>
      </c>
      <c r="H314" s="569"/>
      <c r="I314" s="577" t="s">
        <v>141</v>
      </c>
      <c r="J314" s="578">
        <v>1</v>
      </c>
      <c r="K314" s="579"/>
      <c r="L314" s="579">
        <v>27.57</v>
      </c>
      <c r="M314" s="579">
        <v>27.57</v>
      </c>
      <c r="N314" s="573">
        <v>0.95</v>
      </c>
      <c r="O314" s="556" t="str">
        <f>IF(N314=M314,"OK","DIF")</f>
        <v>DIF</v>
      </c>
      <c r="P314" s="573"/>
      <c r="Q314" s="556"/>
      <c r="R314" s="582"/>
    </row>
    <row r="315" ht="23.85" customHeight="1" spans="1:18">
      <c r="A315" s="556">
        <f>B315</f>
        <v>0</v>
      </c>
      <c r="B315" s="557">
        <f>B314</f>
        <v>0</v>
      </c>
      <c r="C315" s="79" t="s">
        <v>2921</v>
      </c>
      <c r="D315" s="78" t="s">
        <v>2954</v>
      </c>
      <c r="E315" s="79" t="s">
        <v>139</v>
      </c>
      <c r="F315" s="79" t="s">
        <v>2955</v>
      </c>
      <c r="G315" s="79" t="s">
        <v>2928</v>
      </c>
      <c r="H315" s="79"/>
      <c r="I315" s="80" t="s">
        <v>2897</v>
      </c>
      <c r="J315" s="583">
        <v>0.118</v>
      </c>
      <c r="K315" s="583">
        <v>0</v>
      </c>
      <c r="L315" s="92">
        <v>37.51</v>
      </c>
      <c r="M315" s="92">
        <v>4.42</v>
      </c>
      <c r="N315" s="573">
        <v>0.79</v>
      </c>
      <c r="O315" s="556" t="str">
        <f>IF(N315=M315,"OK","DIF")</f>
        <v>DIF</v>
      </c>
      <c r="P315" s="573"/>
      <c r="Q315" s="556"/>
      <c r="R315" s="582"/>
    </row>
    <row r="316" ht="23.85" customHeight="1" spans="1:18">
      <c r="A316" s="556">
        <f>B316</f>
        <v>0</v>
      </c>
      <c r="B316" s="557">
        <f>B315</f>
        <v>0</v>
      </c>
      <c r="C316" s="79" t="s">
        <v>2921</v>
      </c>
      <c r="D316" s="78" t="s">
        <v>3003</v>
      </c>
      <c r="E316" s="79" t="s">
        <v>139</v>
      </c>
      <c r="F316" s="79" t="s">
        <v>3004</v>
      </c>
      <c r="G316" s="79" t="s">
        <v>2928</v>
      </c>
      <c r="H316" s="79"/>
      <c r="I316" s="80" t="s">
        <v>2897</v>
      </c>
      <c r="J316" s="583">
        <v>0.065</v>
      </c>
      <c r="K316" s="583">
        <v>0</v>
      </c>
      <c r="L316" s="92">
        <v>29.91</v>
      </c>
      <c r="M316" s="92">
        <v>1.94</v>
      </c>
      <c r="N316" s="573">
        <v>2.73</v>
      </c>
      <c r="O316" s="556" t="str">
        <f>IF(N316=M316,"OK","DIF")</f>
        <v>DIF</v>
      </c>
      <c r="P316" s="573"/>
      <c r="Q316" s="556"/>
      <c r="R316" s="582"/>
    </row>
    <row r="317" ht="23.85" customHeight="1" spans="1:18">
      <c r="A317" s="556">
        <f>B317</f>
        <v>0</v>
      </c>
      <c r="B317" s="557">
        <f>B316</f>
        <v>0</v>
      </c>
      <c r="C317" s="79" t="s">
        <v>2921</v>
      </c>
      <c r="D317" s="78" t="s">
        <v>3086</v>
      </c>
      <c r="E317" s="79" t="s">
        <v>139</v>
      </c>
      <c r="F317" s="79" t="s">
        <v>3087</v>
      </c>
      <c r="G317" s="79" t="s">
        <v>2995</v>
      </c>
      <c r="H317" s="79"/>
      <c r="I317" s="80" t="s">
        <v>3002</v>
      </c>
      <c r="J317" s="583">
        <v>0.0046</v>
      </c>
      <c r="K317" s="583">
        <v>0</v>
      </c>
      <c r="L317" s="92">
        <v>33.46</v>
      </c>
      <c r="M317" s="92">
        <v>0.15</v>
      </c>
      <c r="N317" s="573">
        <v>0.09</v>
      </c>
      <c r="O317" s="556" t="str">
        <f>IF(N317=M317,"OK","DIF")</f>
        <v>DIF</v>
      </c>
      <c r="P317" s="573"/>
      <c r="Q317" s="556"/>
      <c r="R317" s="582"/>
    </row>
    <row r="318" ht="23.85" customHeight="1" spans="1:18">
      <c r="A318" s="556"/>
      <c r="B318" s="557"/>
      <c r="C318" s="79" t="s">
        <v>2921</v>
      </c>
      <c r="D318" s="78" t="s">
        <v>3088</v>
      </c>
      <c r="E318" s="79" t="s">
        <v>139</v>
      </c>
      <c r="F318" s="79" t="s">
        <v>3089</v>
      </c>
      <c r="G318" s="79" t="s">
        <v>2995</v>
      </c>
      <c r="H318" s="79"/>
      <c r="I318" s="80" t="s">
        <v>2996</v>
      </c>
      <c r="J318" s="583">
        <v>0.0064</v>
      </c>
      <c r="K318" s="583">
        <v>0</v>
      </c>
      <c r="L318" s="92">
        <v>32.28</v>
      </c>
      <c r="M318" s="92">
        <v>0.2</v>
      </c>
      <c r="N318" s="573"/>
      <c r="O318" s="556"/>
      <c r="P318" s="573"/>
      <c r="Q318" s="556"/>
      <c r="R318" s="582"/>
    </row>
    <row r="319" ht="15" customHeight="1" spans="1:18">
      <c r="A319" s="556"/>
      <c r="B319" s="557"/>
      <c r="C319" s="100" t="s">
        <v>2893</v>
      </c>
      <c r="D319" s="99" t="s">
        <v>3090</v>
      </c>
      <c r="E319" s="100" t="s">
        <v>139</v>
      </c>
      <c r="F319" s="100" t="s">
        <v>3091</v>
      </c>
      <c r="G319" s="100" t="s">
        <v>2961</v>
      </c>
      <c r="H319" s="100"/>
      <c r="I319" s="101" t="s">
        <v>393</v>
      </c>
      <c r="J319" s="580">
        <v>0.03</v>
      </c>
      <c r="K319" s="580">
        <v>0</v>
      </c>
      <c r="L319" s="102">
        <v>18.52</v>
      </c>
      <c r="M319" s="102">
        <v>0.55</v>
      </c>
      <c r="N319" s="573"/>
      <c r="O319" s="556"/>
      <c r="P319" s="573"/>
      <c r="Q319" s="556"/>
      <c r="R319" s="582"/>
    </row>
    <row r="320" ht="35.05" customHeight="1" spans="1:18">
      <c r="A320" s="556"/>
      <c r="B320" s="557" t="str">
        <f>C319</f>
        <v>Insumo</v>
      </c>
      <c r="C320" s="100" t="s">
        <v>2893</v>
      </c>
      <c r="D320" s="99" t="s">
        <v>3092</v>
      </c>
      <c r="E320" s="100" t="s">
        <v>139</v>
      </c>
      <c r="F320" s="100" t="s">
        <v>3093</v>
      </c>
      <c r="G320" s="100" t="s">
        <v>2961</v>
      </c>
      <c r="H320" s="100"/>
      <c r="I320" s="101" t="s">
        <v>204</v>
      </c>
      <c r="J320" s="580">
        <v>0.634</v>
      </c>
      <c r="K320" s="580">
        <v>0</v>
      </c>
      <c r="L320" s="102">
        <v>32.04</v>
      </c>
      <c r="M320" s="102">
        <v>20.31</v>
      </c>
      <c r="N320" s="573">
        <v>37</v>
      </c>
      <c r="O320" s="556" t="str">
        <f>IF(N320=M320,"OK","DIF")</f>
        <v>DIF</v>
      </c>
      <c r="P320" s="573"/>
      <c r="Q320" s="556"/>
      <c r="R320" s="582"/>
    </row>
    <row r="321" ht="25.5" spans="1:18">
      <c r="A321" s="556" t="str">
        <f>B321</f>
        <v>Insumo</v>
      </c>
      <c r="B321" s="557" t="str">
        <f>B320</f>
        <v>Insumo</v>
      </c>
      <c r="C321" s="108"/>
      <c r="D321" s="108"/>
      <c r="E321" s="108"/>
      <c r="F321" s="108"/>
      <c r="G321" s="108"/>
      <c r="H321" s="108" t="s">
        <v>2898</v>
      </c>
      <c r="I321" s="581">
        <v>4.8</v>
      </c>
      <c r="J321" s="108" t="s">
        <v>2899</v>
      </c>
      <c r="K321" s="581">
        <v>0</v>
      </c>
      <c r="L321" s="108" t="s">
        <v>2900</v>
      </c>
      <c r="M321" s="581">
        <v>4.8</v>
      </c>
      <c r="N321" s="573">
        <v>18.18</v>
      </c>
      <c r="O321" s="556" t="str">
        <f>IF(N321=M321,"OK","DIF")</f>
        <v>DIF</v>
      </c>
      <c r="P321" s="573"/>
      <c r="Q321" s="556"/>
      <c r="R321" s="582"/>
    </row>
    <row r="322" ht="26.25" spans="1:18">
      <c r="A322" s="556" t="str">
        <f>B322</f>
        <v>Insumo</v>
      </c>
      <c r="B322" s="557" t="str">
        <f>B321</f>
        <v>Insumo</v>
      </c>
      <c r="C322" s="108"/>
      <c r="D322" s="108"/>
      <c r="E322" s="108"/>
      <c r="F322" s="108"/>
      <c r="G322" s="108"/>
      <c r="H322" s="108" t="s">
        <v>2901</v>
      </c>
      <c r="I322" s="581">
        <v>7.02</v>
      </c>
      <c r="J322" s="114"/>
      <c r="K322" s="114" t="s">
        <v>2902</v>
      </c>
      <c r="L322" s="108"/>
      <c r="M322" s="581">
        <v>34.59</v>
      </c>
      <c r="N322" s="573">
        <v>0.54</v>
      </c>
      <c r="O322" s="556" t="str">
        <f>IF(N322=M322,"OK","DIF")</f>
        <v>DIF</v>
      </c>
      <c r="P322" s="573"/>
      <c r="Q322" s="556"/>
      <c r="R322" s="582"/>
    </row>
    <row r="323" ht="15" spans="1:18">
      <c r="A323" s="556" t="str">
        <f>B323</f>
        <v>Insumo</v>
      </c>
      <c r="B323" s="557" t="str">
        <f>B322</f>
        <v>Insumo</v>
      </c>
      <c r="C323" s="571"/>
      <c r="D323" s="571"/>
      <c r="E323" s="571"/>
      <c r="F323" s="571"/>
      <c r="G323" s="571"/>
      <c r="H323" s="571"/>
      <c r="I323" s="571"/>
      <c r="J323" s="571"/>
      <c r="K323" s="571"/>
      <c r="L323" s="571"/>
      <c r="M323" s="571"/>
      <c r="N323" s="573">
        <v>15.01</v>
      </c>
      <c r="O323" s="556" t="str">
        <f>IF(N323=M323,"OK","DIF")</f>
        <v>DIF</v>
      </c>
      <c r="P323" s="573"/>
      <c r="Q323" s="556"/>
      <c r="R323" s="582"/>
    </row>
    <row r="324" ht="15" customHeight="1" spans="1:18">
      <c r="A324" s="556" t="str">
        <f>B324</f>
        <v>Insumo</v>
      </c>
      <c r="B324" s="557" t="str">
        <f>B323</f>
        <v>Insumo</v>
      </c>
      <c r="C324" s="76" t="s">
        <v>198</v>
      </c>
      <c r="D324" s="75" t="s">
        <v>63</v>
      </c>
      <c r="E324" s="76" t="s">
        <v>64</v>
      </c>
      <c r="F324" s="76" t="s">
        <v>65</v>
      </c>
      <c r="G324" s="76" t="s">
        <v>2889</v>
      </c>
      <c r="H324" s="76"/>
      <c r="I324" s="77" t="s">
        <v>66</v>
      </c>
      <c r="J324" s="75" t="s">
        <v>67</v>
      </c>
      <c r="K324" s="75" t="s">
        <v>2890</v>
      </c>
      <c r="L324" s="75" t="s">
        <v>68</v>
      </c>
      <c r="M324" s="75" t="s">
        <v>70</v>
      </c>
      <c r="N324" s="573">
        <v>3.27</v>
      </c>
      <c r="O324" s="556" t="str">
        <f>IF(N324=M324,"OK","DIF")</f>
        <v>DIF</v>
      </c>
      <c r="P324" s="573"/>
      <c r="Q324" s="556"/>
      <c r="R324" s="582"/>
    </row>
    <row r="325" ht="46.25" customHeight="1" spans="1:18">
      <c r="A325" s="556"/>
      <c r="B325" s="557"/>
      <c r="C325" s="569" t="s">
        <v>2891</v>
      </c>
      <c r="D325" s="570" t="s">
        <v>199</v>
      </c>
      <c r="E325" s="569" t="s">
        <v>139</v>
      </c>
      <c r="F325" s="569" t="s">
        <v>200</v>
      </c>
      <c r="G325" s="569" t="s">
        <v>3094</v>
      </c>
      <c r="H325" s="569"/>
      <c r="I325" s="577" t="s">
        <v>141</v>
      </c>
      <c r="J325" s="578">
        <v>1</v>
      </c>
      <c r="K325" s="579"/>
      <c r="L325" s="579">
        <v>55.89</v>
      </c>
      <c r="M325" s="579">
        <v>55.89</v>
      </c>
      <c r="N325" s="573"/>
      <c r="O325" s="556"/>
      <c r="P325" s="573"/>
      <c r="Q325" s="556"/>
      <c r="R325" s="582"/>
    </row>
    <row r="326" ht="23.85" customHeight="1" spans="1:18">
      <c r="A326" s="556"/>
      <c r="B326" s="557"/>
      <c r="C326" s="79" t="s">
        <v>2921</v>
      </c>
      <c r="D326" s="78" t="s">
        <v>3095</v>
      </c>
      <c r="E326" s="79" t="s">
        <v>139</v>
      </c>
      <c r="F326" s="79" t="s">
        <v>3096</v>
      </c>
      <c r="G326" s="79" t="s">
        <v>2928</v>
      </c>
      <c r="H326" s="79"/>
      <c r="I326" s="80" t="s">
        <v>2897</v>
      </c>
      <c r="J326" s="583">
        <v>0.128</v>
      </c>
      <c r="K326" s="583">
        <v>0</v>
      </c>
      <c r="L326" s="92">
        <v>37.16</v>
      </c>
      <c r="M326" s="92">
        <v>4.75</v>
      </c>
      <c r="N326" s="573"/>
      <c r="O326" s="556"/>
      <c r="P326" s="573"/>
      <c r="Q326" s="556"/>
      <c r="R326" s="582"/>
    </row>
    <row r="327" ht="23.85" customHeight="1" spans="1:18">
      <c r="A327" s="556"/>
      <c r="B327" s="557" t="str">
        <f>C326</f>
        <v>Composição Auxiliar</v>
      </c>
      <c r="C327" s="79" t="s">
        <v>2921</v>
      </c>
      <c r="D327" s="78" t="s">
        <v>2952</v>
      </c>
      <c r="E327" s="79" t="s">
        <v>139</v>
      </c>
      <c r="F327" s="79" t="s">
        <v>2953</v>
      </c>
      <c r="G327" s="79" t="s">
        <v>2928</v>
      </c>
      <c r="H327" s="79"/>
      <c r="I327" s="80" t="s">
        <v>2897</v>
      </c>
      <c r="J327" s="583">
        <v>0.166</v>
      </c>
      <c r="K327" s="583">
        <v>0</v>
      </c>
      <c r="L327" s="92">
        <v>29.15</v>
      </c>
      <c r="M327" s="92">
        <v>4.83</v>
      </c>
      <c r="N327" s="573">
        <v>21.37</v>
      </c>
      <c r="O327" s="556" t="str">
        <f>IF(N327=M327,"OK","DIF")</f>
        <v>DIF</v>
      </c>
      <c r="P327" s="573"/>
      <c r="Q327" s="556"/>
      <c r="R327" s="582"/>
    </row>
    <row r="328" ht="23.85" customHeight="1" spans="1:18">
      <c r="A328" s="556" t="str">
        <f>B328</f>
        <v>Composição Auxiliar</v>
      </c>
      <c r="B328" s="557" t="str">
        <f>B327</f>
        <v>Composição Auxiliar</v>
      </c>
      <c r="C328" s="79" t="s">
        <v>2921</v>
      </c>
      <c r="D328" s="78" t="s">
        <v>3088</v>
      </c>
      <c r="E328" s="79" t="s">
        <v>139</v>
      </c>
      <c r="F328" s="79" t="s">
        <v>3089</v>
      </c>
      <c r="G328" s="79" t="s">
        <v>2995</v>
      </c>
      <c r="H328" s="79"/>
      <c r="I328" s="80" t="s">
        <v>2996</v>
      </c>
      <c r="J328" s="583">
        <v>0.0073</v>
      </c>
      <c r="K328" s="583">
        <v>0</v>
      </c>
      <c r="L328" s="92">
        <v>32.28</v>
      </c>
      <c r="M328" s="92">
        <v>0.23</v>
      </c>
      <c r="N328" s="573">
        <v>7.94</v>
      </c>
      <c r="O328" s="556" t="str">
        <f>IF(N328=M328,"OK","DIF")</f>
        <v>DIF</v>
      </c>
      <c r="P328" s="573"/>
      <c r="Q328" s="556"/>
      <c r="R328" s="582"/>
    </row>
    <row r="329" ht="23.85" customHeight="1" spans="1:18">
      <c r="A329" s="556" t="str">
        <f>B329</f>
        <v>Composição Auxiliar</v>
      </c>
      <c r="B329" s="557" t="str">
        <f>B328</f>
        <v>Composição Auxiliar</v>
      </c>
      <c r="C329" s="79" t="s">
        <v>2921</v>
      </c>
      <c r="D329" s="78" t="s">
        <v>3086</v>
      </c>
      <c r="E329" s="79" t="s">
        <v>139</v>
      </c>
      <c r="F329" s="79" t="s">
        <v>3087</v>
      </c>
      <c r="G329" s="79" t="s">
        <v>2995</v>
      </c>
      <c r="H329" s="79"/>
      <c r="I329" s="80" t="s">
        <v>3002</v>
      </c>
      <c r="J329" s="583">
        <v>0.0053</v>
      </c>
      <c r="K329" s="583">
        <v>0</v>
      </c>
      <c r="L329" s="92">
        <v>33.46</v>
      </c>
      <c r="M329" s="92">
        <v>0.17</v>
      </c>
      <c r="N329" s="573">
        <v>9.62</v>
      </c>
      <c r="O329" s="556" t="str">
        <f>IF(N329=M329,"OK","DIF")</f>
        <v>DIF</v>
      </c>
      <c r="P329" s="573"/>
      <c r="Q329" s="556"/>
      <c r="R329" s="582"/>
    </row>
    <row r="330" ht="23.85" customHeight="1" spans="1:18">
      <c r="A330" s="556" t="str">
        <f>B330</f>
        <v>Composição Auxiliar</v>
      </c>
      <c r="B330" s="557" t="str">
        <f>B329</f>
        <v>Composição Auxiliar</v>
      </c>
      <c r="C330" s="100" t="s">
        <v>2893</v>
      </c>
      <c r="D330" s="99" t="s">
        <v>3097</v>
      </c>
      <c r="E330" s="100" t="s">
        <v>139</v>
      </c>
      <c r="F330" s="100" t="s">
        <v>3098</v>
      </c>
      <c r="G330" s="100" t="s">
        <v>2961</v>
      </c>
      <c r="H330" s="100"/>
      <c r="I330" s="101" t="s">
        <v>141</v>
      </c>
      <c r="J330" s="580">
        <v>1.357</v>
      </c>
      <c r="K330" s="580">
        <v>0</v>
      </c>
      <c r="L330" s="102">
        <v>29.04</v>
      </c>
      <c r="M330" s="102">
        <v>39.4</v>
      </c>
      <c r="N330" s="573">
        <v>0.54</v>
      </c>
      <c r="O330" s="556" t="str">
        <f>IF(N330=M330,"OK","DIF")</f>
        <v>DIF</v>
      </c>
      <c r="P330" s="573"/>
      <c r="Q330" s="556"/>
      <c r="R330" s="582"/>
    </row>
    <row r="331" ht="23.85" customHeight="1" spans="1:18">
      <c r="A331" s="556" t="str">
        <f>B331</f>
        <v>Composição Auxiliar</v>
      </c>
      <c r="B331" s="557" t="str">
        <f>B330</f>
        <v>Composição Auxiliar</v>
      </c>
      <c r="C331" s="100" t="s">
        <v>2893</v>
      </c>
      <c r="D331" s="99" t="s">
        <v>3099</v>
      </c>
      <c r="E331" s="100" t="s">
        <v>139</v>
      </c>
      <c r="F331" s="100" t="s">
        <v>3100</v>
      </c>
      <c r="G331" s="100" t="s">
        <v>2961</v>
      </c>
      <c r="H331" s="100"/>
      <c r="I331" s="101" t="s">
        <v>134</v>
      </c>
      <c r="J331" s="580">
        <v>1.26</v>
      </c>
      <c r="K331" s="580">
        <v>0</v>
      </c>
      <c r="L331" s="102">
        <v>4.85</v>
      </c>
      <c r="M331" s="102">
        <v>6.11</v>
      </c>
      <c r="N331" s="573">
        <v>3.27</v>
      </c>
      <c r="O331" s="556" t="str">
        <f>IF(N331=M331,"OK","DIF")</f>
        <v>DIF</v>
      </c>
      <c r="P331" s="573"/>
      <c r="Q331" s="556"/>
      <c r="R331" s="582"/>
    </row>
    <row r="332" ht="23.85" customHeight="1" spans="1:18">
      <c r="A332" s="556"/>
      <c r="B332" s="557"/>
      <c r="C332" s="100" t="s">
        <v>2893</v>
      </c>
      <c r="D332" s="99" t="s">
        <v>3101</v>
      </c>
      <c r="E332" s="100" t="s">
        <v>139</v>
      </c>
      <c r="F332" s="100" t="s">
        <v>3102</v>
      </c>
      <c r="G332" s="100" t="s">
        <v>2961</v>
      </c>
      <c r="H332" s="100"/>
      <c r="I332" s="101" t="s">
        <v>1491</v>
      </c>
      <c r="J332" s="580">
        <v>1.26</v>
      </c>
      <c r="K332" s="580">
        <v>0</v>
      </c>
      <c r="L332" s="102">
        <v>0.32</v>
      </c>
      <c r="M332" s="102">
        <v>0.4</v>
      </c>
      <c r="N332" s="573"/>
      <c r="O332" s="556"/>
      <c r="P332" s="573"/>
      <c r="Q332" s="556"/>
      <c r="R332" s="582"/>
    </row>
    <row r="333" ht="25.5" spans="1:18">
      <c r="A333" s="556"/>
      <c r="B333" s="557"/>
      <c r="C333" s="108"/>
      <c r="D333" s="108"/>
      <c r="E333" s="108"/>
      <c r="F333" s="108"/>
      <c r="G333" s="108"/>
      <c r="H333" s="108" t="s">
        <v>2898</v>
      </c>
      <c r="I333" s="581">
        <v>6.97</v>
      </c>
      <c r="J333" s="108" t="s">
        <v>2899</v>
      </c>
      <c r="K333" s="581">
        <v>0</v>
      </c>
      <c r="L333" s="108" t="s">
        <v>2900</v>
      </c>
      <c r="M333" s="581">
        <v>6.97</v>
      </c>
      <c r="N333" s="573"/>
      <c r="O333" s="556"/>
      <c r="P333" s="573"/>
      <c r="Q333" s="556"/>
      <c r="R333" s="582"/>
    </row>
    <row r="334" ht="26.25" spans="1:18">
      <c r="A334" s="556"/>
      <c r="B334" s="557">
        <f>C333</f>
        <v>0</v>
      </c>
      <c r="C334" s="108"/>
      <c r="D334" s="108"/>
      <c r="E334" s="108"/>
      <c r="F334" s="108"/>
      <c r="G334" s="108"/>
      <c r="H334" s="108" t="s">
        <v>2901</v>
      </c>
      <c r="I334" s="581">
        <v>14.24</v>
      </c>
      <c r="J334" s="114"/>
      <c r="K334" s="114" t="s">
        <v>2902</v>
      </c>
      <c r="L334" s="108"/>
      <c r="M334" s="581">
        <v>70.13</v>
      </c>
      <c r="N334" s="573">
        <v>13.7</v>
      </c>
      <c r="O334" s="556" t="str">
        <f>IF(N334=M334,"OK","DIF")</f>
        <v>DIF</v>
      </c>
      <c r="P334" s="573"/>
      <c r="Q334" s="556"/>
      <c r="R334" s="582"/>
    </row>
    <row r="335" ht="15" spans="1:18">
      <c r="A335" s="556">
        <f>B335</f>
        <v>0</v>
      </c>
      <c r="B335" s="557">
        <f>B334</f>
        <v>0</v>
      </c>
      <c r="C335" s="571"/>
      <c r="D335" s="571"/>
      <c r="E335" s="571"/>
      <c r="F335" s="571"/>
      <c r="G335" s="571"/>
      <c r="H335" s="571"/>
      <c r="I335" s="571"/>
      <c r="J335" s="571"/>
      <c r="K335" s="571"/>
      <c r="L335" s="571"/>
      <c r="M335" s="571"/>
      <c r="N335" s="573">
        <v>0.54</v>
      </c>
      <c r="O335" s="556" t="str">
        <f>IF(N335=M335,"OK","DIF")</f>
        <v>DIF</v>
      </c>
      <c r="P335" s="573"/>
      <c r="Q335" s="556"/>
      <c r="R335" s="582"/>
    </row>
    <row r="336" ht="15" customHeight="1" spans="1:18">
      <c r="A336" s="556">
        <f>B336</f>
        <v>0</v>
      </c>
      <c r="B336" s="557">
        <f>B335</f>
        <v>0</v>
      </c>
      <c r="C336" s="76" t="s">
        <v>201</v>
      </c>
      <c r="D336" s="75" t="s">
        <v>63</v>
      </c>
      <c r="E336" s="76" t="s">
        <v>64</v>
      </c>
      <c r="F336" s="76" t="s">
        <v>65</v>
      </c>
      <c r="G336" s="76" t="s">
        <v>2889</v>
      </c>
      <c r="H336" s="76"/>
      <c r="I336" s="77" t="s">
        <v>66</v>
      </c>
      <c r="J336" s="75" t="s">
        <v>67</v>
      </c>
      <c r="K336" s="75" t="s">
        <v>2890</v>
      </c>
      <c r="L336" s="75" t="s">
        <v>68</v>
      </c>
      <c r="M336" s="75" t="s">
        <v>70</v>
      </c>
      <c r="N336" s="573">
        <v>4.47</v>
      </c>
      <c r="O336" s="556" t="str">
        <f>IF(N336=M336,"OK","DIF")</f>
        <v>DIF</v>
      </c>
      <c r="P336" s="573"/>
      <c r="Q336" s="556"/>
      <c r="R336" s="582"/>
    </row>
    <row r="337" ht="25.5" spans="1:18">
      <c r="A337" s="556">
        <f>B337</f>
        <v>0</v>
      </c>
      <c r="B337" s="557">
        <f>B336</f>
        <v>0</v>
      </c>
      <c r="C337" s="569" t="s">
        <v>2891</v>
      </c>
      <c r="D337" s="570" t="s">
        <v>202</v>
      </c>
      <c r="E337" s="569" t="s">
        <v>77</v>
      </c>
      <c r="F337" s="569" t="s">
        <v>3103</v>
      </c>
      <c r="G337" s="569">
        <v>16</v>
      </c>
      <c r="H337" s="569"/>
      <c r="I337" s="577" t="s">
        <v>204</v>
      </c>
      <c r="J337" s="578">
        <v>1</v>
      </c>
      <c r="K337" s="579"/>
      <c r="L337" s="579">
        <v>25.64</v>
      </c>
      <c r="M337" s="579">
        <v>25.64</v>
      </c>
      <c r="N337" s="573">
        <v>5.42</v>
      </c>
      <c r="O337" s="556" t="str">
        <f>IF(N337=M337,"OK","DIF")</f>
        <v>DIF</v>
      </c>
      <c r="P337" s="573"/>
      <c r="Q337" s="556"/>
      <c r="R337" s="582"/>
    </row>
    <row r="338" spans="1:18">
      <c r="A338" s="556">
        <f>B338</f>
        <v>0</v>
      </c>
      <c r="B338" s="557">
        <f>B337</f>
        <v>0</v>
      </c>
      <c r="C338" s="79" t="s">
        <v>2921</v>
      </c>
      <c r="D338" s="78" t="s">
        <v>3104</v>
      </c>
      <c r="E338" s="79" t="s">
        <v>77</v>
      </c>
      <c r="F338" s="79" t="s">
        <v>3105</v>
      </c>
      <c r="G338" s="79">
        <v>58</v>
      </c>
      <c r="H338" s="79"/>
      <c r="I338" s="80" t="s">
        <v>204</v>
      </c>
      <c r="J338" s="583">
        <v>1.1</v>
      </c>
      <c r="K338" s="583">
        <v>0</v>
      </c>
      <c r="L338" s="92">
        <v>14.63</v>
      </c>
      <c r="M338" s="92">
        <v>16.09</v>
      </c>
      <c r="N338" s="573">
        <v>3.27</v>
      </c>
      <c r="O338" s="556" t="str">
        <f>IF(N338=M338,"OK","DIF")</f>
        <v>DIF</v>
      </c>
      <c r="P338" s="573"/>
      <c r="Q338" s="556"/>
      <c r="R338" s="582"/>
    </row>
    <row r="339" ht="23.85" customHeight="1" spans="1:18">
      <c r="A339" s="556"/>
      <c r="B339" s="557"/>
      <c r="C339" s="100" t="s">
        <v>2893</v>
      </c>
      <c r="D339" s="99" t="s">
        <v>3106</v>
      </c>
      <c r="E339" s="100" t="s">
        <v>77</v>
      </c>
      <c r="F339" s="100" t="s">
        <v>3107</v>
      </c>
      <c r="G339" s="100" t="s">
        <v>2896</v>
      </c>
      <c r="H339" s="100"/>
      <c r="I339" s="101" t="s">
        <v>2897</v>
      </c>
      <c r="J339" s="580">
        <v>0.2</v>
      </c>
      <c r="K339" s="580">
        <v>3</v>
      </c>
      <c r="L339" s="102">
        <v>26.52</v>
      </c>
      <c r="M339" s="102">
        <v>5.46</v>
      </c>
      <c r="N339" s="573"/>
      <c r="O339" s="556"/>
      <c r="P339" s="573"/>
      <c r="Q339" s="556"/>
      <c r="R339" s="582"/>
    </row>
    <row r="340" ht="23.85" customHeight="1" spans="1:18">
      <c r="A340" s="556"/>
      <c r="B340" s="557"/>
      <c r="C340" s="100" t="s">
        <v>2893</v>
      </c>
      <c r="D340" s="99" t="s">
        <v>3108</v>
      </c>
      <c r="E340" s="100" t="s">
        <v>77</v>
      </c>
      <c r="F340" s="100" t="s">
        <v>3109</v>
      </c>
      <c r="G340" s="100" t="s">
        <v>2896</v>
      </c>
      <c r="H340" s="100"/>
      <c r="I340" s="101" t="s">
        <v>2897</v>
      </c>
      <c r="J340" s="580">
        <v>0.2</v>
      </c>
      <c r="K340" s="580">
        <v>3</v>
      </c>
      <c r="L340" s="102">
        <v>19.16</v>
      </c>
      <c r="M340" s="102">
        <v>3.94</v>
      </c>
      <c r="N340" s="573"/>
      <c r="O340" s="556"/>
      <c r="P340" s="573"/>
      <c r="Q340" s="556"/>
      <c r="R340" s="582"/>
    </row>
    <row r="341" ht="23.85" customHeight="1" spans="1:18">
      <c r="A341" s="556"/>
      <c r="B341" s="557" t="str">
        <f>C340</f>
        <v>Insumo</v>
      </c>
      <c r="C341" s="100" t="s">
        <v>2893</v>
      </c>
      <c r="D341" s="99" t="s">
        <v>3110</v>
      </c>
      <c r="E341" s="100" t="s">
        <v>77</v>
      </c>
      <c r="F341" s="100" t="s">
        <v>3111</v>
      </c>
      <c r="G341" s="100" t="s">
        <v>2961</v>
      </c>
      <c r="H341" s="100"/>
      <c r="I341" s="101" t="s">
        <v>393</v>
      </c>
      <c r="J341" s="580">
        <v>0.01</v>
      </c>
      <c r="K341" s="580">
        <v>0</v>
      </c>
      <c r="L341" s="102">
        <v>15.35</v>
      </c>
      <c r="M341" s="102">
        <v>0.15</v>
      </c>
      <c r="N341" s="573">
        <v>34.34</v>
      </c>
      <c r="O341" s="556" t="str">
        <f>IF(N341=M341,"OK","DIF")</f>
        <v>DIF</v>
      </c>
      <c r="P341" s="573"/>
      <c r="Q341" s="556"/>
      <c r="R341" s="582"/>
    </row>
    <row r="342" ht="25.5" spans="1:18">
      <c r="A342" s="556" t="str">
        <f>B342</f>
        <v>Insumo</v>
      </c>
      <c r="B342" s="557" t="str">
        <f>B341</f>
        <v>Insumo</v>
      </c>
      <c r="C342" s="108"/>
      <c r="D342" s="108"/>
      <c r="E342" s="108"/>
      <c r="F342" s="108"/>
      <c r="G342" s="108"/>
      <c r="H342" s="108" t="s">
        <v>2898</v>
      </c>
      <c r="I342" s="581">
        <v>9.4</v>
      </c>
      <c r="J342" s="108" t="s">
        <v>2899</v>
      </c>
      <c r="K342" s="581">
        <v>0</v>
      </c>
      <c r="L342" s="108" t="s">
        <v>2900</v>
      </c>
      <c r="M342" s="581">
        <v>9.4</v>
      </c>
      <c r="N342" s="573">
        <v>12.06</v>
      </c>
      <c r="O342" s="556" t="str">
        <f>IF(N342=M342,"OK","DIF")</f>
        <v>DIF</v>
      </c>
      <c r="P342" s="573"/>
      <c r="Q342" s="556"/>
      <c r="R342" s="582"/>
    </row>
    <row r="343" ht="26.25" spans="1:18">
      <c r="A343" s="556" t="str">
        <f>B343</f>
        <v>Insumo</v>
      </c>
      <c r="B343" s="557" t="str">
        <f>B342</f>
        <v>Insumo</v>
      </c>
      <c r="C343" s="108"/>
      <c r="D343" s="108"/>
      <c r="E343" s="108"/>
      <c r="F343" s="108"/>
      <c r="G343" s="108"/>
      <c r="H343" s="108" t="s">
        <v>2901</v>
      </c>
      <c r="I343" s="581">
        <v>6.53</v>
      </c>
      <c r="J343" s="114"/>
      <c r="K343" s="114" t="s">
        <v>2902</v>
      </c>
      <c r="L343" s="108"/>
      <c r="M343" s="581">
        <v>32.17</v>
      </c>
      <c r="N343" s="573">
        <v>22.28</v>
      </c>
      <c r="O343" s="556" t="str">
        <f>IF(N343=M343,"OK","DIF")</f>
        <v>DIF</v>
      </c>
      <c r="P343" s="573"/>
      <c r="Q343" s="556"/>
      <c r="R343" s="582"/>
    </row>
    <row r="344" ht="15" spans="1:18">
      <c r="A344" s="556"/>
      <c r="B344" s="557"/>
      <c r="C344" s="571"/>
      <c r="D344" s="571"/>
      <c r="E344" s="571"/>
      <c r="F344" s="571"/>
      <c r="G344" s="571"/>
      <c r="H344" s="571"/>
      <c r="I344" s="571"/>
      <c r="J344" s="571"/>
      <c r="K344" s="571"/>
      <c r="L344" s="571"/>
      <c r="M344" s="571"/>
      <c r="N344" s="573"/>
      <c r="O344" s="556"/>
      <c r="P344" s="573"/>
      <c r="Q344" s="556"/>
      <c r="R344" s="582"/>
    </row>
    <row r="345" ht="15" customHeight="1" spans="1:18">
      <c r="A345" s="556"/>
      <c r="B345" s="557"/>
      <c r="C345" s="76" t="s">
        <v>205</v>
      </c>
      <c r="D345" s="75" t="s">
        <v>63</v>
      </c>
      <c r="E345" s="76" t="s">
        <v>64</v>
      </c>
      <c r="F345" s="76" t="s">
        <v>65</v>
      </c>
      <c r="G345" s="76" t="s">
        <v>2889</v>
      </c>
      <c r="H345" s="76"/>
      <c r="I345" s="77" t="s">
        <v>66</v>
      </c>
      <c r="J345" s="75" t="s">
        <v>67</v>
      </c>
      <c r="K345" s="75" t="s">
        <v>2890</v>
      </c>
      <c r="L345" s="75" t="s">
        <v>68</v>
      </c>
      <c r="M345" s="75" t="s">
        <v>70</v>
      </c>
      <c r="N345" s="573"/>
      <c r="O345" s="556"/>
      <c r="P345" s="573"/>
      <c r="Q345" s="556"/>
      <c r="R345" s="582"/>
    </row>
    <row r="346" ht="23.85" customHeight="1" spans="1:18">
      <c r="A346" s="556"/>
      <c r="B346" s="557" t="str">
        <f>C345</f>
        <v> 3.3.17 </v>
      </c>
      <c r="C346" s="569" t="s">
        <v>2891</v>
      </c>
      <c r="D346" s="570" t="s">
        <v>206</v>
      </c>
      <c r="E346" s="569" t="s">
        <v>139</v>
      </c>
      <c r="F346" s="569" t="s">
        <v>207</v>
      </c>
      <c r="G346" s="569" t="s">
        <v>3112</v>
      </c>
      <c r="H346" s="569"/>
      <c r="I346" s="577" t="s">
        <v>141</v>
      </c>
      <c r="J346" s="578">
        <v>1</v>
      </c>
      <c r="K346" s="579"/>
      <c r="L346" s="579">
        <v>78.9</v>
      </c>
      <c r="M346" s="579">
        <v>78.9</v>
      </c>
      <c r="N346" s="573">
        <v>52.83</v>
      </c>
      <c r="O346" s="556" t="str">
        <f>IF(N346=M346,"OK","DIF")</f>
        <v>DIF</v>
      </c>
      <c r="P346" s="573"/>
      <c r="Q346" s="556"/>
      <c r="R346" s="582"/>
    </row>
    <row r="347" ht="23.85" customHeight="1" spans="1:18">
      <c r="A347" s="556" t="str">
        <f>B347</f>
        <v> 3.3.17 </v>
      </c>
      <c r="B347" s="557" t="str">
        <f>B346</f>
        <v> 3.3.17 </v>
      </c>
      <c r="C347" s="79" t="s">
        <v>2921</v>
      </c>
      <c r="D347" s="78" t="s">
        <v>3113</v>
      </c>
      <c r="E347" s="79" t="s">
        <v>139</v>
      </c>
      <c r="F347" s="79" t="s">
        <v>3114</v>
      </c>
      <c r="G347" s="79" t="s">
        <v>2928</v>
      </c>
      <c r="H347" s="79"/>
      <c r="I347" s="80" t="s">
        <v>2897</v>
      </c>
      <c r="J347" s="583">
        <v>0.6</v>
      </c>
      <c r="K347" s="583">
        <v>0</v>
      </c>
      <c r="L347" s="92">
        <v>39.26</v>
      </c>
      <c r="M347" s="92">
        <v>23.55</v>
      </c>
      <c r="N347" s="573">
        <v>40.77</v>
      </c>
      <c r="O347" s="556" t="str">
        <f>IF(N347=M347,"OK","DIF")</f>
        <v>DIF</v>
      </c>
      <c r="P347" s="573"/>
      <c r="Q347" s="556"/>
      <c r="R347" s="582"/>
    </row>
    <row r="348" ht="23.85" customHeight="1" spans="1:18">
      <c r="A348" s="556" t="str">
        <f>B348</f>
        <v> 3.3.17 </v>
      </c>
      <c r="B348" s="557" t="str">
        <f>B347</f>
        <v> 3.3.17 </v>
      </c>
      <c r="C348" s="100" t="s">
        <v>2893</v>
      </c>
      <c r="D348" s="99" t="s">
        <v>3115</v>
      </c>
      <c r="E348" s="100" t="s">
        <v>139</v>
      </c>
      <c r="F348" s="100" t="s">
        <v>3116</v>
      </c>
      <c r="G348" s="100" t="s">
        <v>2961</v>
      </c>
      <c r="H348" s="100"/>
      <c r="I348" s="101" t="s">
        <v>134</v>
      </c>
      <c r="J348" s="580">
        <v>2.2134</v>
      </c>
      <c r="K348" s="580">
        <v>0</v>
      </c>
      <c r="L348" s="102">
        <v>0.32</v>
      </c>
      <c r="M348" s="102">
        <v>0.7</v>
      </c>
      <c r="N348" s="573">
        <v>12.06</v>
      </c>
      <c r="O348" s="556" t="str">
        <f>IF(N348=M348,"OK","DIF")</f>
        <v>DIF</v>
      </c>
      <c r="P348" s="573"/>
      <c r="Q348" s="556"/>
      <c r="R348" s="582"/>
    </row>
    <row r="349" ht="15" customHeight="1" spans="1:18">
      <c r="A349" s="556"/>
      <c r="B349" s="557"/>
      <c r="C349" s="100" t="s">
        <v>2893</v>
      </c>
      <c r="D349" s="99" t="s">
        <v>3117</v>
      </c>
      <c r="E349" s="100" t="s">
        <v>139</v>
      </c>
      <c r="F349" s="100" t="s">
        <v>3118</v>
      </c>
      <c r="G349" s="100" t="s">
        <v>2961</v>
      </c>
      <c r="H349" s="100"/>
      <c r="I349" s="101" t="s">
        <v>3069</v>
      </c>
      <c r="J349" s="580">
        <v>0.0123</v>
      </c>
      <c r="K349" s="580">
        <v>0</v>
      </c>
      <c r="L349" s="102">
        <v>36.61</v>
      </c>
      <c r="M349" s="102">
        <v>0.45</v>
      </c>
      <c r="N349" s="573"/>
      <c r="O349" s="556"/>
      <c r="P349" s="573"/>
      <c r="Q349" s="556"/>
      <c r="R349" s="582"/>
    </row>
    <row r="350" ht="35.05" customHeight="1" spans="1:18">
      <c r="A350" s="556"/>
      <c r="B350" s="557"/>
      <c r="C350" s="100" t="s">
        <v>2893</v>
      </c>
      <c r="D350" s="99" t="s">
        <v>3119</v>
      </c>
      <c r="E350" s="100" t="s">
        <v>139</v>
      </c>
      <c r="F350" s="100" t="s">
        <v>3120</v>
      </c>
      <c r="G350" s="100" t="s">
        <v>2961</v>
      </c>
      <c r="H350" s="100"/>
      <c r="I350" s="101" t="s">
        <v>134</v>
      </c>
      <c r="J350" s="580">
        <v>1.2267</v>
      </c>
      <c r="K350" s="580">
        <v>0</v>
      </c>
      <c r="L350" s="102">
        <v>1.68</v>
      </c>
      <c r="M350" s="102">
        <v>2.06</v>
      </c>
      <c r="N350" s="573"/>
      <c r="O350" s="556"/>
      <c r="P350" s="573"/>
      <c r="Q350" s="556"/>
      <c r="R350" s="582"/>
    </row>
    <row r="351" ht="23.85" customHeight="1" spans="1:18">
      <c r="A351" s="556"/>
      <c r="B351" s="557" t="str">
        <f>C350</f>
        <v>Insumo</v>
      </c>
      <c r="C351" s="100" t="s">
        <v>2893</v>
      </c>
      <c r="D351" s="99" t="s">
        <v>3121</v>
      </c>
      <c r="E351" s="100" t="s">
        <v>139</v>
      </c>
      <c r="F351" s="100" t="s">
        <v>3122</v>
      </c>
      <c r="G351" s="100" t="s">
        <v>2961</v>
      </c>
      <c r="H351" s="100"/>
      <c r="I351" s="101" t="s">
        <v>204</v>
      </c>
      <c r="J351" s="580">
        <v>3.547</v>
      </c>
      <c r="K351" s="580">
        <v>0</v>
      </c>
      <c r="L351" s="102">
        <v>4.47</v>
      </c>
      <c r="M351" s="102">
        <v>15.85</v>
      </c>
      <c r="N351" s="573">
        <v>55.82</v>
      </c>
      <c r="O351" s="556" t="str">
        <f>IF(N351=M351,"OK","DIF")</f>
        <v>DIF</v>
      </c>
      <c r="P351" s="573"/>
      <c r="Q351" s="556"/>
      <c r="R351" s="582"/>
    </row>
    <row r="352" ht="23.85" customHeight="1" spans="1:18">
      <c r="A352" s="556" t="str">
        <f>B352</f>
        <v>Insumo</v>
      </c>
      <c r="B352" s="557" t="str">
        <f>B351</f>
        <v>Insumo</v>
      </c>
      <c r="C352" s="100" t="s">
        <v>2893</v>
      </c>
      <c r="D352" s="99" t="s">
        <v>3123</v>
      </c>
      <c r="E352" s="100" t="s">
        <v>139</v>
      </c>
      <c r="F352" s="100" t="s">
        <v>3124</v>
      </c>
      <c r="G352" s="100" t="s">
        <v>2961</v>
      </c>
      <c r="H352" s="100"/>
      <c r="I352" s="101" t="s">
        <v>3069</v>
      </c>
      <c r="J352" s="580">
        <v>0.0336</v>
      </c>
      <c r="K352" s="580">
        <v>0</v>
      </c>
      <c r="L352" s="102">
        <v>62.77</v>
      </c>
      <c r="M352" s="102">
        <v>2.1</v>
      </c>
      <c r="N352" s="573">
        <v>12.06</v>
      </c>
      <c r="O352" s="556" t="str">
        <f>IF(N352=M352,"OK","DIF")</f>
        <v>DIF</v>
      </c>
      <c r="P352" s="573"/>
      <c r="Q352" s="556"/>
      <c r="R352" s="582"/>
    </row>
    <row r="353" ht="23.85" customHeight="1" spans="1:18">
      <c r="A353" s="556" t="str">
        <f>B353</f>
        <v>Insumo</v>
      </c>
      <c r="B353" s="557" t="str">
        <f>B352</f>
        <v>Insumo</v>
      </c>
      <c r="C353" s="100" t="s">
        <v>2893</v>
      </c>
      <c r="D353" s="99" t="s">
        <v>3125</v>
      </c>
      <c r="E353" s="100" t="s">
        <v>139</v>
      </c>
      <c r="F353" s="100" t="s">
        <v>3126</v>
      </c>
      <c r="G353" s="100" t="s">
        <v>2961</v>
      </c>
      <c r="H353" s="100"/>
      <c r="I353" s="101" t="s">
        <v>141</v>
      </c>
      <c r="J353" s="580">
        <v>1.0363</v>
      </c>
      <c r="K353" s="580">
        <v>0</v>
      </c>
      <c r="L353" s="102">
        <v>32.09</v>
      </c>
      <c r="M353" s="102">
        <v>33.25</v>
      </c>
      <c r="N353" s="573">
        <v>43.76</v>
      </c>
      <c r="O353" s="556" t="str">
        <f>IF(N353=M353,"OK","DIF")</f>
        <v>DIF</v>
      </c>
      <c r="P353" s="573"/>
      <c r="Q353" s="556"/>
      <c r="R353" s="582"/>
    </row>
    <row r="354" ht="23.85" customHeight="1" spans="1:18">
      <c r="A354" s="556"/>
      <c r="B354" s="557"/>
      <c r="C354" s="100" t="s">
        <v>2893</v>
      </c>
      <c r="D354" s="99" t="s">
        <v>3127</v>
      </c>
      <c r="E354" s="100" t="s">
        <v>139</v>
      </c>
      <c r="F354" s="100" t="s">
        <v>3128</v>
      </c>
      <c r="G354" s="100" t="s">
        <v>2961</v>
      </c>
      <c r="H354" s="100"/>
      <c r="I354" s="101" t="s">
        <v>393</v>
      </c>
      <c r="J354" s="580">
        <v>0.037</v>
      </c>
      <c r="K354" s="580">
        <v>0</v>
      </c>
      <c r="L354" s="102">
        <v>25.55</v>
      </c>
      <c r="M354" s="102">
        <v>0.94</v>
      </c>
      <c r="N354" s="573"/>
      <c r="O354" s="556"/>
      <c r="P354" s="573"/>
      <c r="Q354" s="556"/>
      <c r="R354" s="582"/>
    </row>
    <row r="355" ht="25.5" spans="1:18">
      <c r="A355" s="556"/>
      <c r="B355" s="557"/>
      <c r="C355" s="108"/>
      <c r="D355" s="108"/>
      <c r="E355" s="108"/>
      <c r="F355" s="108"/>
      <c r="G355" s="108"/>
      <c r="H355" s="108" t="s">
        <v>2898</v>
      </c>
      <c r="I355" s="581">
        <v>18.25</v>
      </c>
      <c r="J355" s="108" t="s">
        <v>2899</v>
      </c>
      <c r="K355" s="581">
        <v>0</v>
      </c>
      <c r="L355" s="108" t="s">
        <v>2900</v>
      </c>
      <c r="M355" s="581">
        <v>18.25</v>
      </c>
      <c r="N355" s="573"/>
      <c r="O355" s="556"/>
      <c r="P355" s="573"/>
      <c r="Q355" s="556"/>
      <c r="R355" s="582"/>
    </row>
    <row r="356" ht="26.25" spans="1:18">
      <c r="A356" s="556"/>
      <c r="B356" s="557">
        <f>C355</f>
        <v>0</v>
      </c>
      <c r="C356" s="108"/>
      <c r="D356" s="108"/>
      <c r="E356" s="108"/>
      <c r="F356" s="108"/>
      <c r="G356" s="108"/>
      <c r="H356" s="108" t="s">
        <v>2901</v>
      </c>
      <c r="I356" s="581">
        <v>20.11</v>
      </c>
      <c r="J356" s="114"/>
      <c r="K356" s="114" t="s">
        <v>2902</v>
      </c>
      <c r="L356" s="108"/>
      <c r="M356" s="581">
        <v>99.01</v>
      </c>
      <c r="N356" s="573">
        <v>92.75</v>
      </c>
      <c r="O356" s="556" t="str">
        <f>IF(N356=M356,"OK","DIF")</f>
        <v>DIF</v>
      </c>
      <c r="P356" s="573"/>
      <c r="Q356" s="556"/>
      <c r="R356" s="582"/>
    </row>
    <row r="357" ht="15" spans="1:18">
      <c r="A357" s="556">
        <f>B357</f>
        <v>0</v>
      </c>
      <c r="B357" s="557">
        <f>B356</f>
        <v>0</v>
      </c>
      <c r="C357" s="571"/>
      <c r="D357" s="571"/>
      <c r="E357" s="571"/>
      <c r="F357" s="571"/>
      <c r="G357" s="571"/>
      <c r="H357" s="571"/>
      <c r="I357" s="571"/>
      <c r="J357" s="571"/>
      <c r="K357" s="571"/>
      <c r="L357" s="571"/>
      <c r="M357" s="571"/>
      <c r="N357" s="573">
        <v>12.05</v>
      </c>
      <c r="O357" s="556" t="str">
        <f>IF(N357=M357,"OK","DIF")</f>
        <v>DIF</v>
      </c>
      <c r="P357" s="573"/>
      <c r="Q357" s="556"/>
      <c r="R357" s="582"/>
    </row>
    <row r="358" ht="15" customHeight="1" spans="1:18">
      <c r="A358" s="556">
        <f>B358</f>
        <v>0</v>
      </c>
      <c r="B358" s="557">
        <f>B357</f>
        <v>0</v>
      </c>
      <c r="C358" s="76" t="s">
        <v>208</v>
      </c>
      <c r="D358" s="75" t="s">
        <v>63</v>
      </c>
      <c r="E358" s="76" t="s">
        <v>64</v>
      </c>
      <c r="F358" s="76" t="s">
        <v>65</v>
      </c>
      <c r="G358" s="76" t="s">
        <v>2889</v>
      </c>
      <c r="H358" s="76"/>
      <c r="I358" s="77" t="s">
        <v>66</v>
      </c>
      <c r="J358" s="75" t="s">
        <v>67</v>
      </c>
      <c r="K358" s="75" t="s">
        <v>2890</v>
      </c>
      <c r="L358" s="75" t="s">
        <v>68</v>
      </c>
      <c r="M358" s="75" t="s">
        <v>70</v>
      </c>
      <c r="N358" s="573">
        <v>4.14</v>
      </c>
      <c r="O358" s="556" t="str">
        <f>IF(N358=M358,"OK","DIF")</f>
        <v>DIF</v>
      </c>
      <c r="P358" s="573"/>
      <c r="Q358" s="556"/>
      <c r="R358" s="582"/>
    </row>
    <row r="359" ht="35.05" customHeight="1" spans="1:18">
      <c r="A359" s="556">
        <f>B359</f>
        <v>0</v>
      </c>
      <c r="B359" s="557">
        <f>B358</f>
        <v>0</v>
      </c>
      <c r="C359" s="569" t="s">
        <v>2891</v>
      </c>
      <c r="D359" s="570" t="s">
        <v>209</v>
      </c>
      <c r="E359" s="569" t="s">
        <v>132</v>
      </c>
      <c r="F359" s="569" t="s">
        <v>210</v>
      </c>
      <c r="G359" s="569" t="s">
        <v>3129</v>
      </c>
      <c r="H359" s="569"/>
      <c r="I359" s="577" t="s">
        <v>134</v>
      </c>
      <c r="J359" s="578">
        <v>1</v>
      </c>
      <c r="K359" s="579"/>
      <c r="L359" s="579">
        <v>172.29</v>
      </c>
      <c r="M359" s="579">
        <v>172.29</v>
      </c>
      <c r="N359" s="573">
        <v>76.56</v>
      </c>
      <c r="O359" s="556" t="str">
        <f>IF(N359=M359,"OK","DIF")</f>
        <v>DIF</v>
      </c>
      <c r="P359" s="573"/>
      <c r="Q359" s="556"/>
      <c r="R359" s="582"/>
    </row>
    <row r="360" ht="35.05" customHeight="1" spans="1:18">
      <c r="A360" s="556"/>
      <c r="B360" s="557"/>
      <c r="C360" s="79" t="s">
        <v>2921</v>
      </c>
      <c r="D360" s="78" t="s">
        <v>3130</v>
      </c>
      <c r="E360" s="79" t="s">
        <v>139</v>
      </c>
      <c r="F360" s="79" t="s">
        <v>3131</v>
      </c>
      <c r="G360" s="79" t="s">
        <v>3132</v>
      </c>
      <c r="H360" s="79"/>
      <c r="I360" s="80" t="s">
        <v>204</v>
      </c>
      <c r="J360" s="583">
        <v>2.14</v>
      </c>
      <c r="K360" s="583">
        <v>0</v>
      </c>
      <c r="L360" s="92">
        <v>10.28</v>
      </c>
      <c r="M360" s="92">
        <v>21.99</v>
      </c>
      <c r="N360" s="573"/>
      <c r="O360" s="556"/>
      <c r="P360" s="573"/>
      <c r="Q360" s="556"/>
      <c r="R360" s="582"/>
    </row>
    <row r="361" ht="23.85" customHeight="1" spans="1:18">
      <c r="A361" s="556"/>
      <c r="B361" s="557"/>
      <c r="C361" s="79" t="s">
        <v>2921</v>
      </c>
      <c r="D361" s="78" t="s">
        <v>3133</v>
      </c>
      <c r="E361" s="79" t="s">
        <v>139</v>
      </c>
      <c r="F361" s="79" t="s">
        <v>3134</v>
      </c>
      <c r="G361" s="79" t="s">
        <v>3135</v>
      </c>
      <c r="H361" s="79"/>
      <c r="I361" s="80" t="s">
        <v>204</v>
      </c>
      <c r="J361" s="583">
        <v>2.14</v>
      </c>
      <c r="K361" s="583">
        <v>0</v>
      </c>
      <c r="L361" s="92">
        <v>29.44</v>
      </c>
      <c r="M361" s="92">
        <v>63</v>
      </c>
      <c r="N361" s="573"/>
      <c r="O361" s="556"/>
      <c r="P361" s="573"/>
      <c r="Q361" s="556"/>
      <c r="R361" s="582"/>
    </row>
    <row r="362" ht="23.85" customHeight="1" spans="1:18">
      <c r="A362" s="556"/>
      <c r="B362" s="557" t="str">
        <f>C361</f>
        <v>Composição Auxiliar</v>
      </c>
      <c r="C362" s="79" t="s">
        <v>2921</v>
      </c>
      <c r="D362" s="78" t="s">
        <v>3136</v>
      </c>
      <c r="E362" s="79" t="s">
        <v>139</v>
      </c>
      <c r="F362" s="79" t="s">
        <v>3137</v>
      </c>
      <c r="G362" s="79" t="s">
        <v>3135</v>
      </c>
      <c r="H362" s="79"/>
      <c r="I362" s="80" t="s">
        <v>134</v>
      </c>
      <c r="J362" s="583">
        <v>1.18</v>
      </c>
      <c r="K362" s="583">
        <v>0</v>
      </c>
      <c r="L362" s="92">
        <v>11.88</v>
      </c>
      <c r="M362" s="92">
        <v>14.01</v>
      </c>
      <c r="N362" s="573">
        <v>370.79</v>
      </c>
      <c r="O362" s="556" t="str">
        <f>IF(N362=M362,"OK","DIF")</f>
        <v>DIF</v>
      </c>
      <c r="P362" s="573"/>
      <c r="Q362" s="556"/>
      <c r="R362" s="582"/>
    </row>
    <row r="363" ht="23.85" customHeight="1" spans="1:18">
      <c r="A363" s="556" t="str">
        <f>B363</f>
        <v>Composição Auxiliar</v>
      </c>
      <c r="B363" s="557" t="str">
        <f>B362</f>
        <v>Composição Auxiliar</v>
      </c>
      <c r="C363" s="79" t="s">
        <v>2921</v>
      </c>
      <c r="D363" s="78" t="s">
        <v>3138</v>
      </c>
      <c r="E363" s="79" t="s">
        <v>139</v>
      </c>
      <c r="F363" s="79" t="s">
        <v>3139</v>
      </c>
      <c r="G363" s="79" t="s">
        <v>3135</v>
      </c>
      <c r="H363" s="79"/>
      <c r="I363" s="80" t="s">
        <v>134</v>
      </c>
      <c r="J363" s="583">
        <v>0.89</v>
      </c>
      <c r="K363" s="583">
        <v>0</v>
      </c>
      <c r="L363" s="92">
        <v>16.28</v>
      </c>
      <c r="M363" s="92">
        <v>14.48</v>
      </c>
      <c r="N363" s="573">
        <v>8.24</v>
      </c>
      <c r="O363" s="556" t="str">
        <f>IF(N363=M363,"OK","DIF")</f>
        <v>DIF</v>
      </c>
      <c r="P363" s="573"/>
      <c r="Q363" s="556"/>
      <c r="R363" s="582"/>
    </row>
    <row r="364" ht="35.05" customHeight="1" spans="1:18">
      <c r="A364" s="556" t="str">
        <f>B364</f>
        <v>Composição Auxiliar</v>
      </c>
      <c r="B364" s="557" t="str">
        <f>B363</f>
        <v>Composição Auxiliar</v>
      </c>
      <c r="C364" s="79" t="s">
        <v>2921</v>
      </c>
      <c r="D364" s="78" t="s">
        <v>3140</v>
      </c>
      <c r="E364" s="79" t="s">
        <v>139</v>
      </c>
      <c r="F364" s="79" t="s">
        <v>3141</v>
      </c>
      <c r="G364" s="79" t="s">
        <v>3132</v>
      </c>
      <c r="H364" s="79"/>
      <c r="I364" s="80" t="s">
        <v>204</v>
      </c>
      <c r="J364" s="583">
        <v>2.14</v>
      </c>
      <c r="K364" s="583">
        <v>0</v>
      </c>
      <c r="L364" s="92">
        <v>18.76</v>
      </c>
      <c r="M364" s="92">
        <v>40.14</v>
      </c>
      <c r="N364" s="573">
        <v>13.13</v>
      </c>
      <c r="O364" s="556" t="str">
        <f>IF(N364=M364,"OK","DIF")</f>
        <v>DIF</v>
      </c>
      <c r="P364" s="573"/>
      <c r="Q364" s="556"/>
      <c r="R364" s="582"/>
    </row>
    <row r="365" ht="35.05" customHeight="1" spans="1:18">
      <c r="A365" s="556" t="str">
        <f>B365</f>
        <v>Composição Auxiliar</v>
      </c>
      <c r="B365" s="557" t="str">
        <f>B364</f>
        <v>Composição Auxiliar</v>
      </c>
      <c r="C365" s="79" t="s">
        <v>2921</v>
      </c>
      <c r="D365" s="78" t="s">
        <v>3142</v>
      </c>
      <c r="E365" s="79" t="s">
        <v>139</v>
      </c>
      <c r="F365" s="79" t="s">
        <v>3143</v>
      </c>
      <c r="G365" s="79" t="s">
        <v>3135</v>
      </c>
      <c r="H365" s="79"/>
      <c r="I365" s="80" t="s">
        <v>134</v>
      </c>
      <c r="J365" s="583">
        <v>1</v>
      </c>
      <c r="K365" s="583">
        <v>0</v>
      </c>
      <c r="L365" s="92">
        <v>18.67</v>
      </c>
      <c r="M365" s="92">
        <v>18.67</v>
      </c>
      <c r="N365" s="573">
        <v>15.9</v>
      </c>
      <c r="O365" s="556" t="str">
        <f>IF(N365=M365,"OK","DIF")</f>
        <v>DIF</v>
      </c>
      <c r="P365" s="573"/>
      <c r="Q365" s="556"/>
      <c r="R365" s="582"/>
    </row>
    <row r="366" ht="25.5" spans="1:18">
      <c r="A366" s="556" t="str">
        <f>B366</f>
        <v>Composição Auxiliar</v>
      </c>
      <c r="B366" s="557" t="str">
        <f>B365</f>
        <v>Composição Auxiliar</v>
      </c>
      <c r="C366" s="108"/>
      <c r="D366" s="108"/>
      <c r="E366" s="108"/>
      <c r="F366" s="108"/>
      <c r="G366" s="108"/>
      <c r="H366" s="108" t="s">
        <v>2898</v>
      </c>
      <c r="I366" s="581">
        <v>102.62</v>
      </c>
      <c r="J366" s="108" t="s">
        <v>2899</v>
      </c>
      <c r="K366" s="581">
        <v>0</v>
      </c>
      <c r="L366" s="108" t="s">
        <v>2900</v>
      </c>
      <c r="M366" s="581">
        <v>102.62</v>
      </c>
      <c r="N366" s="573">
        <v>333.52</v>
      </c>
      <c r="O366" s="556" t="str">
        <f>IF(N366=M366,"OK","DIF")</f>
        <v>DIF</v>
      </c>
      <c r="P366" s="573"/>
      <c r="Q366" s="556"/>
      <c r="R366" s="582"/>
    </row>
    <row r="367" ht="26.25" spans="1:18">
      <c r="A367" s="556"/>
      <c r="B367" s="557"/>
      <c r="C367" s="108"/>
      <c r="D367" s="108"/>
      <c r="E367" s="108"/>
      <c r="F367" s="108"/>
      <c r="G367" s="108"/>
      <c r="H367" s="108" t="s">
        <v>2901</v>
      </c>
      <c r="I367" s="581">
        <v>43.91</v>
      </c>
      <c r="J367" s="114"/>
      <c r="K367" s="114" t="s">
        <v>2902</v>
      </c>
      <c r="L367" s="108"/>
      <c r="M367" s="581">
        <v>216.2</v>
      </c>
      <c r="N367" s="573"/>
      <c r="O367" s="556"/>
      <c r="P367" s="573"/>
      <c r="Q367" s="556"/>
      <c r="R367" s="582"/>
    </row>
    <row r="368" ht="15" spans="1:18">
      <c r="A368" s="556"/>
      <c r="B368" s="557"/>
      <c r="C368" s="571"/>
      <c r="D368" s="571"/>
      <c r="E368" s="571"/>
      <c r="F368" s="571"/>
      <c r="G368" s="571"/>
      <c r="H368" s="571"/>
      <c r="I368" s="571"/>
      <c r="J368" s="571"/>
      <c r="K368" s="571"/>
      <c r="L368" s="571"/>
      <c r="M368" s="571"/>
      <c r="N368" s="573"/>
      <c r="O368" s="556"/>
      <c r="P368" s="573"/>
      <c r="Q368" s="556"/>
      <c r="R368" s="582"/>
    </row>
    <row r="369" ht="15" customHeight="1" spans="1:18">
      <c r="A369" s="556"/>
      <c r="B369" s="557">
        <f>C368</f>
        <v>0</v>
      </c>
      <c r="C369" s="76" t="s">
        <v>211</v>
      </c>
      <c r="D369" s="75" t="s">
        <v>63</v>
      </c>
      <c r="E369" s="76" t="s">
        <v>64</v>
      </c>
      <c r="F369" s="76" t="s">
        <v>65</v>
      </c>
      <c r="G369" s="76" t="s">
        <v>2889</v>
      </c>
      <c r="H369" s="76"/>
      <c r="I369" s="77" t="s">
        <v>66</v>
      </c>
      <c r="J369" s="75" t="s">
        <v>67</v>
      </c>
      <c r="K369" s="75" t="s">
        <v>2890</v>
      </c>
      <c r="L369" s="75" t="s">
        <v>68</v>
      </c>
      <c r="M369" s="75" t="s">
        <v>70</v>
      </c>
      <c r="N369" s="573">
        <v>57.1</v>
      </c>
      <c r="O369" s="556" t="str">
        <f>IF(N369=M369,"OK","DIF")</f>
        <v>DIF</v>
      </c>
      <c r="P369" s="573"/>
      <c r="Q369" s="556"/>
      <c r="R369" s="582"/>
    </row>
    <row r="370" ht="46.25" customHeight="1" spans="1:18">
      <c r="A370" s="556">
        <f>B370</f>
        <v>0</v>
      </c>
      <c r="B370" s="557">
        <f>B369</f>
        <v>0</v>
      </c>
      <c r="C370" s="569" t="s">
        <v>2891</v>
      </c>
      <c r="D370" s="570" t="s">
        <v>212</v>
      </c>
      <c r="E370" s="569" t="s">
        <v>139</v>
      </c>
      <c r="F370" s="569" t="s">
        <v>213</v>
      </c>
      <c r="G370" s="569" t="s">
        <v>3132</v>
      </c>
      <c r="H370" s="569"/>
      <c r="I370" s="577" t="s">
        <v>204</v>
      </c>
      <c r="J370" s="578">
        <v>1</v>
      </c>
      <c r="K370" s="579"/>
      <c r="L370" s="579">
        <v>12.77</v>
      </c>
      <c r="M370" s="579">
        <v>12.77</v>
      </c>
      <c r="N370" s="573">
        <v>4.97</v>
      </c>
      <c r="O370" s="556" t="str">
        <f>IF(N370=M370,"OK","DIF")</f>
        <v>DIF</v>
      </c>
      <c r="P370" s="573"/>
      <c r="Q370" s="556"/>
      <c r="R370" s="582"/>
    </row>
    <row r="371" ht="23.85" customHeight="1" spans="1:18">
      <c r="A371" s="556">
        <f>B371</f>
        <v>0</v>
      </c>
      <c r="B371" s="557">
        <f>B370</f>
        <v>0</v>
      </c>
      <c r="C371" s="79" t="s">
        <v>2921</v>
      </c>
      <c r="D371" s="78" t="s">
        <v>3144</v>
      </c>
      <c r="E371" s="79" t="s">
        <v>139</v>
      </c>
      <c r="F371" s="79" t="s">
        <v>3145</v>
      </c>
      <c r="G371" s="79" t="s">
        <v>2928</v>
      </c>
      <c r="H371" s="79"/>
      <c r="I371" s="80" t="s">
        <v>2897</v>
      </c>
      <c r="J371" s="583">
        <v>0.2114</v>
      </c>
      <c r="K371" s="583">
        <v>0</v>
      </c>
      <c r="L371" s="92">
        <v>35.55</v>
      </c>
      <c r="M371" s="92">
        <v>7.51</v>
      </c>
      <c r="N371" s="573">
        <v>6.02</v>
      </c>
      <c r="O371" s="556" t="str">
        <f>IF(N371=M371,"OK","DIF")</f>
        <v>DIF</v>
      </c>
      <c r="P371" s="573"/>
      <c r="Q371" s="556"/>
      <c r="R371" s="582"/>
    </row>
    <row r="372" ht="23.85" customHeight="1" spans="1:18">
      <c r="A372" s="556">
        <f>B372</f>
        <v>0</v>
      </c>
      <c r="B372" s="557">
        <f>B371</f>
        <v>0</v>
      </c>
      <c r="C372" s="79" t="s">
        <v>2921</v>
      </c>
      <c r="D372" s="78" t="s">
        <v>3146</v>
      </c>
      <c r="E372" s="79" t="s">
        <v>139</v>
      </c>
      <c r="F372" s="79" t="s">
        <v>3147</v>
      </c>
      <c r="G372" s="79" t="s">
        <v>2928</v>
      </c>
      <c r="H372" s="79"/>
      <c r="I372" s="80" t="s">
        <v>2897</v>
      </c>
      <c r="J372" s="583">
        <v>0.048</v>
      </c>
      <c r="K372" s="583">
        <v>0</v>
      </c>
      <c r="L372" s="92">
        <v>29.54</v>
      </c>
      <c r="M372" s="92">
        <v>1.41</v>
      </c>
      <c r="N372" s="573">
        <v>3.36</v>
      </c>
      <c r="O372" s="556" t="str">
        <f>IF(N372=M372,"OK","DIF")</f>
        <v>DIF</v>
      </c>
      <c r="P372" s="573"/>
      <c r="Q372" s="556"/>
      <c r="R372" s="582"/>
    </row>
    <row r="373" ht="23.85" customHeight="1" spans="1:18">
      <c r="A373" s="556">
        <f>B373</f>
        <v>0</v>
      </c>
      <c r="B373" s="557">
        <f>B372</f>
        <v>0</v>
      </c>
      <c r="C373" s="100" t="s">
        <v>2893</v>
      </c>
      <c r="D373" s="99" t="s">
        <v>3148</v>
      </c>
      <c r="E373" s="100" t="s">
        <v>139</v>
      </c>
      <c r="F373" s="100" t="s">
        <v>3149</v>
      </c>
      <c r="G373" s="100" t="s">
        <v>2961</v>
      </c>
      <c r="H373" s="100"/>
      <c r="I373" s="101" t="s">
        <v>134</v>
      </c>
      <c r="J373" s="580">
        <v>1.7857</v>
      </c>
      <c r="K373" s="580">
        <v>0</v>
      </c>
      <c r="L373" s="102">
        <v>2.16</v>
      </c>
      <c r="M373" s="102">
        <v>3.85</v>
      </c>
      <c r="N373" s="573">
        <v>42.75</v>
      </c>
      <c r="O373" s="556" t="str">
        <f>IF(N373=M373,"OK","DIF")</f>
        <v>DIF</v>
      </c>
      <c r="P373" s="573"/>
      <c r="Q373" s="556"/>
      <c r="R373" s="582"/>
    </row>
    <row r="374" ht="25.5" spans="1:18">
      <c r="A374" s="556"/>
      <c r="B374" s="557"/>
      <c r="C374" s="108"/>
      <c r="D374" s="108"/>
      <c r="E374" s="108"/>
      <c r="F374" s="108"/>
      <c r="G374" s="108"/>
      <c r="H374" s="108" t="s">
        <v>2898</v>
      </c>
      <c r="I374" s="581">
        <v>6.49</v>
      </c>
      <c r="J374" s="108" t="s">
        <v>2899</v>
      </c>
      <c r="K374" s="581">
        <v>0</v>
      </c>
      <c r="L374" s="108" t="s">
        <v>2900</v>
      </c>
      <c r="M374" s="581">
        <v>6.49</v>
      </c>
      <c r="N374" s="573"/>
      <c r="O374" s="556"/>
      <c r="P374" s="573"/>
      <c r="Q374" s="556"/>
      <c r="R374" s="582"/>
    </row>
    <row r="375" ht="26.25" spans="1:18">
      <c r="A375" s="556"/>
      <c r="B375" s="557"/>
      <c r="C375" s="108"/>
      <c r="D375" s="108"/>
      <c r="E375" s="108"/>
      <c r="F375" s="108"/>
      <c r="G375" s="108"/>
      <c r="H375" s="108" t="s">
        <v>2901</v>
      </c>
      <c r="I375" s="581">
        <v>3.25</v>
      </c>
      <c r="J375" s="114"/>
      <c r="K375" s="114" t="s">
        <v>2902</v>
      </c>
      <c r="L375" s="108"/>
      <c r="M375" s="581">
        <v>16.02</v>
      </c>
      <c r="N375" s="573"/>
      <c r="O375" s="556"/>
      <c r="P375" s="573"/>
      <c r="Q375" s="556"/>
      <c r="R375" s="582"/>
    </row>
    <row r="376" ht="15" spans="1:18">
      <c r="A376" s="556"/>
      <c r="B376" s="557">
        <f>C375</f>
        <v>0</v>
      </c>
      <c r="C376" s="571"/>
      <c r="D376" s="571"/>
      <c r="E376" s="571"/>
      <c r="F376" s="571"/>
      <c r="G376" s="571"/>
      <c r="H376" s="571"/>
      <c r="I376" s="571"/>
      <c r="J376" s="571"/>
      <c r="K376" s="571"/>
      <c r="L376" s="571"/>
      <c r="M376" s="571"/>
      <c r="N376" s="573">
        <v>12.85</v>
      </c>
      <c r="O376" s="556" t="str">
        <f>IF(N376=M376,"OK","DIF")</f>
        <v>DIF</v>
      </c>
      <c r="P376" s="573"/>
      <c r="Q376" s="556"/>
      <c r="R376" s="582"/>
    </row>
    <row r="377" ht="15" customHeight="1" spans="1:18">
      <c r="A377" s="556">
        <f>B377</f>
        <v>0</v>
      </c>
      <c r="B377" s="557">
        <f>B376</f>
        <v>0</v>
      </c>
      <c r="C377" s="76" t="s">
        <v>214</v>
      </c>
      <c r="D377" s="75" t="s">
        <v>63</v>
      </c>
      <c r="E377" s="76" t="s">
        <v>64</v>
      </c>
      <c r="F377" s="76" t="s">
        <v>65</v>
      </c>
      <c r="G377" s="76" t="s">
        <v>2889</v>
      </c>
      <c r="H377" s="76"/>
      <c r="I377" s="77" t="s">
        <v>66</v>
      </c>
      <c r="J377" s="75" t="s">
        <v>67</v>
      </c>
      <c r="K377" s="75" t="s">
        <v>2890</v>
      </c>
      <c r="L377" s="75" t="s">
        <v>68</v>
      </c>
      <c r="M377" s="75" t="s">
        <v>70</v>
      </c>
      <c r="N377" s="573">
        <v>1.8</v>
      </c>
      <c r="O377" s="556" t="str">
        <f>IF(N377=M377,"OK","DIF")</f>
        <v>DIF</v>
      </c>
      <c r="P377" s="573"/>
      <c r="Q377" s="556"/>
      <c r="R377" s="582"/>
    </row>
    <row r="378" ht="35.05" customHeight="1" spans="1:18">
      <c r="A378" s="556">
        <f>B378</f>
        <v>0</v>
      </c>
      <c r="B378" s="557">
        <f>B377</f>
        <v>0</v>
      </c>
      <c r="C378" s="569" t="s">
        <v>2891</v>
      </c>
      <c r="D378" s="570" t="s">
        <v>215</v>
      </c>
      <c r="E378" s="569" t="s">
        <v>139</v>
      </c>
      <c r="F378" s="569" t="s">
        <v>216</v>
      </c>
      <c r="G378" s="569" t="s">
        <v>3150</v>
      </c>
      <c r="H378" s="569"/>
      <c r="I378" s="577" t="s">
        <v>204</v>
      </c>
      <c r="J378" s="578">
        <v>1</v>
      </c>
      <c r="K378" s="579"/>
      <c r="L378" s="579">
        <v>13.02</v>
      </c>
      <c r="M378" s="579">
        <v>13.02</v>
      </c>
      <c r="N378" s="573">
        <v>2.19</v>
      </c>
      <c r="O378" s="556" t="str">
        <f>IF(N378=M378,"OK","DIF")</f>
        <v>DIF</v>
      </c>
      <c r="P378" s="573"/>
      <c r="Q378" s="556"/>
      <c r="R378" s="582"/>
    </row>
    <row r="379" ht="23.85" customHeight="1" spans="1:18">
      <c r="A379" s="556">
        <f>B379</f>
        <v>0</v>
      </c>
      <c r="B379" s="557">
        <f>B378</f>
        <v>0</v>
      </c>
      <c r="C379" s="79" t="s">
        <v>2921</v>
      </c>
      <c r="D379" s="78" t="s">
        <v>3151</v>
      </c>
      <c r="E379" s="79" t="s">
        <v>139</v>
      </c>
      <c r="F379" s="79" t="s">
        <v>3152</v>
      </c>
      <c r="G379" s="79" t="s">
        <v>2928</v>
      </c>
      <c r="H379" s="79"/>
      <c r="I379" s="80" t="s">
        <v>2897</v>
      </c>
      <c r="J379" s="583">
        <v>0.119</v>
      </c>
      <c r="K379" s="583">
        <v>0</v>
      </c>
      <c r="L379" s="92">
        <v>36.82</v>
      </c>
      <c r="M379" s="92">
        <v>4.38</v>
      </c>
      <c r="N379" s="573">
        <v>7.46</v>
      </c>
      <c r="O379" s="556" t="str">
        <f>IF(N379=M379,"OK","DIF")</f>
        <v>DIF</v>
      </c>
      <c r="P379" s="573"/>
      <c r="Q379" s="556"/>
      <c r="R379" s="582"/>
    </row>
    <row r="380" ht="23.85" customHeight="1" spans="1:18">
      <c r="A380" s="556">
        <f>B380</f>
        <v>0</v>
      </c>
      <c r="B380" s="557">
        <f>B379</f>
        <v>0</v>
      </c>
      <c r="C380" s="79" t="s">
        <v>2921</v>
      </c>
      <c r="D380" s="78" t="s">
        <v>3153</v>
      </c>
      <c r="E380" s="79" t="s">
        <v>139</v>
      </c>
      <c r="F380" s="79" t="s">
        <v>3154</v>
      </c>
      <c r="G380" s="79" t="s">
        <v>2928</v>
      </c>
      <c r="H380" s="79"/>
      <c r="I380" s="80" t="s">
        <v>2897</v>
      </c>
      <c r="J380" s="583">
        <v>0.119</v>
      </c>
      <c r="K380" s="583">
        <v>0</v>
      </c>
      <c r="L380" s="92">
        <v>30.6</v>
      </c>
      <c r="M380" s="92">
        <v>3.64</v>
      </c>
      <c r="N380" s="573">
        <v>1.4</v>
      </c>
      <c r="O380" s="556" t="str">
        <f>IF(N380=M380,"OK","DIF")</f>
        <v>DIF</v>
      </c>
      <c r="P380" s="573"/>
      <c r="Q380" s="556"/>
      <c r="R380" s="582"/>
    </row>
    <row r="381" ht="15" customHeight="1" spans="1:18">
      <c r="A381" s="556"/>
      <c r="B381" s="557"/>
      <c r="C381" s="100" t="s">
        <v>2893</v>
      </c>
      <c r="D381" s="99" t="s">
        <v>3155</v>
      </c>
      <c r="E381" s="100" t="s">
        <v>139</v>
      </c>
      <c r="F381" s="100" t="s">
        <v>3156</v>
      </c>
      <c r="G381" s="100" t="s">
        <v>2961</v>
      </c>
      <c r="H381" s="100"/>
      <c r="I381" s="101" t="s">
        <v>204</v>
      </c>
      <c r="J381" s="580">
        <v>1.017</v>
      </c>
      <c r="K381" s="580">
        <v>0</v>
      </c>
      <c r="L381" s="102">
        <v>4.92</v>
      </c>
      <c r="M381" s="102">
        <v>5</v>
      </c>
      <c r="N381" s="573"/>
      <c r="O381" s="556"/>
      <c r="P381" s="573"/>
      <c r="Q381" s="556"/>
      <c r="R381" s="582"/>
    </row>
    <row r="382" ht="25.5" spans="1:18">
      <c r="A382" s="556"/>
      <c r="B382" s="557"/>
      <c r="C382" s="108"/>
      <c r="D382" s="108"/>
      <c r="E382" s="108"/>
      <c r="F382" s="108"/>
      <c r="G382" s="108"/>
      <c r="H382" s="108" t="s">
        <v>2898</v>
      </c>
      <c r="I382" s="581">
        <v>5.62</v>
      </c>
      <c r="J382" s="108" t="s">
        <v>2899</v>
      </c>
      <c r="K382" s="581">
        <v>0</v>
      </c>
      <c r="L382" s="108" t="s">
        <v>2900</v>
      </c>
      <c r="M382" s="581">
        <v>5.62</v>
      </c>
      <c r="N382" s="573"/>
      <c r="O382" s="556"/>
      <c r="P382" s="573"/>
      <c r="Q382" s="556"/>
      <c r="R382" s="582"/>
    </row>
    <row r="383" ht="26.25" spans="1:18">
      <c r="A383" s="556"/>
      <c r="B383" s="557">
        <f>C382</f>
        <v>0</v>
      </c>
      <c r="C383" s="108"/>
      <c r="D383" s="108"/>
      <c r="E383" s="108"/>
      <c r="F383" s="108"/>
      <c r="G383" s="108"/>
      <c r="H383" s="108" t="s">
        <v>2901</v>
      </c>
      <c r="I383" s="581">
        <v>3.31</v>
      </c>
      <c r="J383" s="114"/>
      <c r="K383" s="114" t="s">
        <v>2902</v>
      </c>
      <c r="L383" s="108"/>
      <c r="M383" s="581">
        <v>16.33</v>
      </c>
      <c r="N383" s="573">
        <v>723.2</v>
      </c>
      <c r="O383" s="556" t="str">
        <f t="shared" ref="O383:O390" si="40">IF(N383=M383,"OK","DIF")</f>
        <v>DIF</v>
      </c>
      <c r="P383" s="573"/>
      <c r="Q383" s="556"/>
      <c r="R383" s="582"/>
    </row>
    <row r="384" ht="15" spans="1:18">
      <c r="A384" s="556">
        <f t="shared" ref="A384:A390" si="41">B384</f>
        <v>0</v>
      </c>
      <c r="B384" s="557">
        <f t="shared" ref="B384:B390" si="42">B383</f>
        <v>0</v>
      </c>
      <c r="C384" s="571"/>
      <c r="D384" s="571"/>
      <c r="E384" s="571"/>
      <c r="F384" s="571"/>
      <c r="G384" s="571"/>
      <c r="H384" s="571"/>
      <c r="I384" s="571"/>
      <c r="J384" s="571"/>
      <c r="K384" s="571"/>
      <c r="L384" s="571"/>
      <c r="M384" s="571"/>
      <c r="N384" s="573">
        <v>78.59</v>
      </c>
      <c r="O384" s="556" t="str">
        <f t="shared" si="40"/>
        <v>DIF</v>
      </c>
      <c r="P384" s="573"/>
      <c r="Q384" s="556"/>
      <c r="R384" s="582"/>
    </row>
    <row r="385" ht="15" customHeight="1" spans="1:18">
      <c r="A385" s="556">
        <f t="shared" si="41"/>
        <v>0</v>
      </c>
      <c r="B385" s="557">
        <f t="shared" si="42"/>
        <v>0</v>
      </c>
      <c r="C385" s="76" t="s">
        <v>217</v>
      </c>
      <c r="D385" s="75" t="s">
        <v>63</v>
      </c>
      <c r="E385" s="76" t="s">
        <v>64</v>
      </c>
      <c r="F385" s="76" t="s">
        <v>65</v>
      </c>
      <c r="G385" s="76" t="s">
        <v>2889</v>
      </c>
      <c r="H385" s="76"/>
      <c r="I385" s="77" t="s">
        <v>66</v>
      </c>
      <c r="J385" s="75" t="s">
        <v>67</v>
      </c>
      <c r="K385" s="75" t="s">
        <v>2890</v>
      </c>
      <c r="L385" s="75" t="s">
        <v>68</v>
      </c>
      <c r="M385" s="75" t="s">
        <v>70</v>
      </c>
      <c r="N385" s="573">
        <v>29.43</v>
      </c>
      <c r="O385" s="556" t="str">
        <f t="shared" si="40"/>
        <v>DIF</v>
      </c>
      <c r="P385" s="573"/>
      <c r="Q385" s="556"/>
      <c r="R385" s="582"/>
    </row>
    <row r="386" ht="35.05" customHeight="1" spans="1:18">
      <c r="A386" s="556">
        <f t="shared" si="41"/>
        <v>0</v>
      </c>
      <c r="B386" s="557">
        <f t="shared" si="42"/>
        <v>0</v>
      </c>
      <c r="C386" s="569" t="s">
        <v>2891</v>
      </c>
      <c r="D386" s="570" t="s">
        <v>218</v>
      </c>
      <c r="E386" s="569" t="s">
        <v>139</v>
      </c>
      <c r="F386" s="569" t="s">
        <v>219</v>
      </c>
      <c r="G386" s="569" t="s">
        <v>3150</v>
      </c>
      <c r="H386" s="569"/>
      <c r="I386" s="577" t="s">
        <v>204</v>
      </c>
      <c r="J386" s="578">
        <v>1</v>
      </c>
      <c r="K386" s="579"/>
      <c r="L386" s="579">
        <v>16.92</v>
      </c>
      <c r="M386" s="579">
        <v>16.92</v>
      </c>
      <c r="N386" s="573">
        <v>14.58</v>
      </c>
      <c r="O386" s="556" t="str">
        <f t="shared" si="40"/>
        <v>DIF</v>
      </c>
      <c r="P386" s="573"/>
      <c r="Q386" s="556"/>
      <c r="R386" s="582"/>
    </row>
    <row r="387" ht="23.85" customHeight="1" spans="1:18">
      <c r="A387" s="556">
        <f t="shared" si="41"/>
        <v>0</v>
      </c>
      <c r="B387" s="557">
        <f t="shared" si="42"/>
        <v>0</v>
      </c>
      <c r="C387" s="79" t="s">
        <v>2921</v>
      </c>
      <c r="D387" s="78" t="s">
        <v>3151</v>
      </c>
      <c r="E387" s="79" t="s">
        <v>139</v>
      </c>
      <c r="F387" s="79" t="s">
        <v>3152</v>
      </c>
      <c r="G387" s="79" t="s">
        <v>2928</v>
      </c>
      <c r="H387" s="79"/>
      <c r="I387" s="80" t="s">
        <v>2897</v>
      </c>
      <c r="J387" s="583">
        <v>0.177</v>
      </c>
      <c r="K387" s="583">
        <v>0</v>
      </c>
      <c r="L387" s="92">
        <v>36.82</v>
      </c>
      <c r="M387" s="92">
        <v>6.51</v>
      </c>
      <c r="N387" s="573">
        <v>21.17</v>
      </c>
      <c r="O387" s="556" t="str">
        <f t="shared" si="40"/>
        <v>DIF</v>
      </c>
      <c r="P387" s="573"/>
      <c r="Q387" s="556"/>
      <c r="R387" s="582"/>
    </row>
    <row r="388" ht="23.85" customHeight="1" spans="1:18">
      <c r="A388" s="556">
        <f t="shared" si="41"/>
        <v>0</v>
      </c>
      <c r="B388" s="557">
        <f t="shared" si="42"/>
        <v>0</v>
      </c>
      <c r="C388" s="79" t="s">
        <v>2921</v>
      </c>
      <c r="D388" s="78" t="s">
        <v>3153</v>
      </c>
      <c r="E388" s="79" t="s">
        <v>139</v>
      </c>
      <c r="F388" s="79" t="s">
        <v>3154</v>
      </c>
      <c r="G388" s="79" t="s">
        <v>2928</v>
      </c>
      <c r="H388" s="79"/>
      <c r="I388" s="80" t="s">
        <v>2897</v>
      </c>
      <c r="J388" s="583">
        <v>0.177</v>
      </c>
      <c r="K388" s="583">
        <v>0</v>
      </c>
      <c r="L388" s="92">
        <v>30.6</v>
      </c>
      <c r="M388" s="92">
        <v>5.41</v>
      </c>
      <c r="N388" s="573">
        <v>137.75</v>
      </c>
      <c r="O388" s="556" t="str">
        <f t="shared" si="40"/>
        <v>DIF</v>
      </c>
      <c r="P388" s="573"/>
      <c r="Q388" s="556"/>
      <c r="R388" s="582"/>
    </row>
    <row r="389" ht="15" customHeight="1" spans="1:18">
      <c r="A389" s="556">
        <f t="shared" si="41"/>
        <v>0</v>
      </c>
      <c r="B389" s="557">
        <f t="shared" si="42"/>
        <v>0</v>
      </c>
      <c r="C389" s="100" t="s">
        <v>2893</v>
      </c>
      <c r="D389" s="99" t="s">
        <v>3155</v>
      </c>
      <c r="E389" s="100" t="s">
        <v>139</v>
      </c>
      <c r="F389" s="100" t="s">
        <v>3156</v>
      </c>
      <c r="G389" s="100" t="s">
        <v>2961</v>
      </c>
      <c r="H389" s="100"/>
      <c r="I389" s="101" t="s">
        <v>204</v>
      </c>
      <c r="J389" s="580">
        <v>1.017</v>
      </c>
      <c r="K389" s="580">
        <v>0</v>
      </c>
      <c r="L389" s="102">
        <v>4.92</v>
      </c>
      <c r="M389" s="102">
        <v>5</v>
      </c>
      <c r="N389" s="573">
        <v>42.68</v>
      </c>
      <c r="O389" s="556" t="str">
        <f t="shared" si="40"/>
        <v>DIF</v>
      </c>
      <c r="P389" s="573"/>
      <c r="Q389" s="556"/>
      <c r="R389" s="582"/>
    </row>
    <row r="390" ht="25.5" spans="1:18">
      <c r="A390" s="556">
        <f t="shared" si="41"/>
        <v>0</v>
      </c>
      <c r="B390" s="557">
        <f t="shared" si="42"/>
        <v>0</v>
      </c>
      <c r="C390" s="108"/>
      <c r="D390" s="108"/>
      <c r="E390" s="108"/>
      <c r="F390" s="108"/>
      <c r="G390" s="108"/>
      <c r="H390" s="108" t="s">
        <v>2898</v>
      </c>
      <c r="I390" s="581">
        <v>8.36</v>
      </c>
      <c r="J390" s="108" t="s">
        <v>2899</v>
      </c>
      <c r="K390" s="581">
        <v>0</v>
      </c>
      <c r="L390" s="108" t="s">
        <v>2900</v>
      </c>
      <c r="M390" s="581">
        <v>8.36</v>
      </c>
      <c r="N390" s="573">
        <v>399</v>
      </c>
      <c r="O390" s="556" t="str">
        <f t="shared" si="40"/>
        <v>DIF</v>
      </c>
      <c r="P390" s="573"/>
      <c r="Q390" s="556"/>
      <c r="R390" s="582"/>
    </row>
    <row r="391" ht="26.25" spans="1:18">
      <c r="A391" s="556"/>
      <c r="B391" s="557"/>
      <c r="C391" s="108"/>
      <c r="D391" s="108"/>
      <c r="E391" s="108"/>
      <c r="F391" s="108"/>
      <c r="G391" s="108"/>
      <c r="H391" s="108" t="s">
        <v>2901</v>
      </c>
      <c r="I391" s="581">
        <v>4.31</v>
      </c>
      <c r="J391" s="114"/>
      <c r="K391" s="114" t="s">
        <v>2902</v>
      </c>
      <c r="L391" s="108"/>
      <c r="M391" s="581">
        <v>21.23</v>
      </c>
      <c r="N391" s="573"/>
      <c r="O391" s="556"/>
      <c r="P391" s="573"/>
      <c r="Q391" s="556"/>
      <c r="R391" s="582"/>
    </row>
    <row r="392" ht="15" spans="1:18">
      <c r="A392" s="556"/>
      <c r="B392" s="557"/>
      <c r="C392" s="571"/>
      <c r="D392" s="571"/>
      <c r="E392" s="571"/>
      <c r="F392" s="571"/>
      <c r="G392" s="571"/>
      <c r="H392" s="571"/>
      <c r="I392" s="571"/>
      <c r="J392" s="571"/>
      <c r="K392" s="571"/>
      <c r="L392" s="571"/>
      <c r="M392" s="571"/>
      <c r="N392" s="573"/>
      <c r="O392" s="556"/>
      <c r="P392" s="573"/>
      <c r="Q392" s="556"/>
      <c r="R392" s="582"/>
    </row>
    <row r="393" ht="15" customHeight="1" spans="1:18">
      <c r="A393" s="556"/>
      <c r="B393" s="557">
        <f>C392</f>
        <v>0</v>
      </c>
      <c r="C393" s="76" t="s">
        <v>220</v>
      </c>
      <c r="D393" s="75" t="s">
        <v>63</v>
      </c>
      <c r="E393" s="76" t="s">
        <v>64</v>
      </c>
      <c r="F393" s="76" t="s">
        <v>65</v>
      </c>
      <c r="G393" s="76" t="s">
        <v>2889</v>
      </c>
      <c r="H393" s="76"/>
      <c r="I393" s="77" t="s">
        <v>66</v>
      </c>
      <c r="J393" s="75" t="s">
        <v>67</v>
      </c>
      <c r="K393" s="75" t="s">
        <v>2890</v>
      </c>
      <c r="L393" s="75" t="s">
        <v>68</v>
      </c>
      <c r="M393" s="75" t="s">
        <v>70</v>
      </c>
      <c r="N393" s="573">
        <v>277.69</v>
      </c>
      <c r="O393" s="556" t="str">
        <f t="shared" ref="O393:O418" si="43">IF(N393=M393,"OK","DIF")</f>
        <v>DIF</v>
      </c>
      <c r="P393" s="573"/>
      <c r="Q393" s="556"/>
      <c r="R393" s="582"/>
    </row>
    <row r="394" ht="35.05" customHeight="1" spans="1:18">
      <c r="A394" s="556">
        <f t="shared" ref="A394:A418" si="44">B394</f>
        <v>0</v>
      </c>
      <c r="B394" s="557">
        <f t="shared" ref="B394:B418" si="45">B393</f>
        <v>0</v>
      </c>
      <c r="C394" s="569" t="s">
        <v>2891</v>
      </c>
      <c r="D394" s="570" t="s">
        <v>221</v>
      </c>
      <c r="E394" s="569" t="s">
        <v>139</v>
      </c>
      <c r="F394" s="569" t="s">
        <v>222</v>
      </c>
      <c r="G394" s="569" t="s">
        <v>3150</v>
      </c>
      <c r="H394" s="569"/>
      <c r="I394" s="577" t="s">
        <v>134</v>
      </c>
      <c r="J394" s="578">
        <v>1</v>
      </c>
      <c r="K394" s="579"/>
      <c r="L394" s="579">
        <v>10.75</v>
      </c>
      <c r="M394" s="579">
        <v>10.75</v>
      </c>
      <c r="N394" s="573">
        <v>1.13</v>
      </c>
      <c r="O394" s="556" t="str">
        <f t="shared" si="43"/>
        <v>DIF</v>
      </c>
      <c r="P394" s="573"/>
      <c r="Q394" s="556"/>
      <c r="R394" s="582"/>
    </row>
    <row r="395" ht="23.85" customHeight="1" spans="1:18">
      <c r="A395" s="556">
        <f t="shared" si="44"/>
        <v>0</v>
      </c>
      <c r="B395" s="557">
        <f t="shared" si="45"/>
        <v>0</v>
      </c>
      <c r="C395" s="79" t="s">
        <v>2921</v>
      </c>
      <c r="D395" s="78" t="s">
        <v>3151</v>
      </c>
      <c r="E395" s="79" t="s">
        <v>139</v>
      </c>
      <c r="F395" s="79" t="s">
        <v>3152</v>
      </c>
      <c r="G395" s="79" t="s">
        <v>2928</v>
      </c>
      <c r="H395" s="79"/>
      <c r="I395" s="80" t="s">
        <v>2897</v>
      </c>
      <c r="J395" s="583">
        <v>0.137</v>
      </c>
      <c r="K395" s="583">
        <v>0</v>
      </c>
      <c r="L395" s="92">
        <v>36.82</v>
      </c>
      <c r="M395" s="92">
        <v>5.04</v>
      </c>
      <c r="N395" s="573">
        <v>6.69</v>
      </c>
      <c r="O395" s="556" t="str">
        <f t="shared" si="43"/>
        <v>DIF</v>
      </c>
      <c r="P395" s="573"/>
      <c r="Q395" s="556"/>
      <c r="R395" s="582"/>
    </row>
    <row r="396" ht="23.85" customHeight="1" spans="1:18">
      <c r="A396" s="556">
        <f t="shared" si="44"/>
        <v>0</v>
      </c>
      <c r="B396" s="557">
        <f t="shared" si="45"/>
        <v>0</v>
      </c>
      <c r="C396" s="79" t="s">
        <v>2921</v>
      </c>
      <c r="D396" s="78" t="s">
        <v>3153</v>
      </c>
      <c r="E396" s="79" t="s">
        <v>139</v>
      </c>
      <c r="F396" s="79" t="s">
        <v>3154</v>
      </c>
      <c r="G396" s="79" t="s">
        <v>2928</v>
      </c>
      <c r="H396" s="79"/>
      <c r="I396" s="80" t="s">
        <v>2897</v>
      </c>
      <c r="J396" s="583">
        <v>0.137</v>
      </c>
      <c r="K396" s="583">
        <v>0</v>
      </c>
      <c r="L396" s="92">
        <v>30.6</v>
      </c>
      <c r="M396" s="92">
        <v>4.19</v>
      </c>
      <c r="N396" s="573">
        <v>1.2</v>
      </c>
      <c r="O396" s="556" t="str">
        <f t="shared" si="43"/>
        <v>DIF</v>
      </c>
      <c r="P396" s="573"/>
      <c r="Q396" s="556"/>
      <c r="R396" s="582"/>
    </row>
    <row r="397" ht="15" customHeight="1" spans="1:18">
      <c r="A397" s="556">
        <f t="shared" si="44"/>
        <v>0</v>
      </c>
      <c r="B397" s="557">
        <f t="shared" si="45"/>
        <v>0</v>
      </c>
      <c r="C397" s="100" t="s">
        <v>2893</v>
      </c>
      <c r="D397" s="99" t="s">
        <v>3157</v>
      </c>
      <c r="E397" s="100" t="s">
        <v>139</v>
      </c>
      <c r="F397" s="100" t="s">
        <v>3158</v>
      </c>
      <c r="G397" s="100" t="s">
        <v>2961</v>
      </c>
      <c r="H397" s="100"/>
      <c r="I397" s="101" t="s">
        <v>134</v>
      </c>
      <c r="J397" s="580">
        <v>1</v>
      </c>
      <c r="K397" s="580">
        <v>0</v>
      </c>
      <c r="L397" s="102">
        <v>1.52</v>
      </c>
      <c r="M397" s="102">
        <v>1.52</v>
      </c>
      <c r="N397" s="573">
        <v>68.61</v>
      </c>
      <c r="O397" s="556" t="str">
        <f t="shared" si="43"/>
        <v>DIF</v>
      </c>
      <c r="P397" s="573"/>
      <c r="Q397" s="556"/>
      <c r="R397" s="582"/>
    </row>
    <row r="398" ht="25.5" spans="1:18">
      <c r="A398" s="556">
        <f t="shared" si="44"/>
        <v>0</v>
      </c>
      <c r="B398" s="557">
        <f t="shared" si="45"/>
        <v>0</v>
      </c>
      <c r="C398" s="108"/>
      <c r="D398" s="108"/>
      <c r="E398" s="108"/>
      <c r="F398" s="108"/>
      <c r="G398" s="108"/>
      <c r="H398" s="108" t="s">
        <v>2898</v>
      </c>
      <c r="I398" s="581">
        <v>6.47</v>
      </c>
      <c r="J398" s="108" t="s">
        <v>2899</v>
      </c>
      <c r="K398" s="581">
        <v>0</v>
      </c>
      <c r="L398" s="108" t="s">
        <v>2900</v>
      </c>
      <c r="M398" s="581">
        <v>6.47</v>
      </c>
      <c r="N398" s="573">
        <v>2.57</v>
      </c>
      <c r="O398" s="556" t="str">
        <f t="shared" si="43"/>
        <v>DIF</v>
      </c>
      <c r="P398" s="573"/>
      <c r="Q398" s="556"/>
      <c r="R398" s="582"/>
    </row>
    <row r="399" ht="26.25" spans="1:18">
      <c r="A399" s="556">
        <f t="shared" si="44"/>
        <v>0</v>
      </c>
      <c r="B399" s="557">
        <f t="shared" si="45"/>
        <v>0</v>
      </c>
      <c r="C399" s="108"/>
      <c r="D399" s="108"/>
      <c r="E399" s="108"/>
      <c r="F399" s="108"/>
      <c r="G399" s="108"/>
      <c r="H399" s="108" t="s">
        <v>2901</v>
      </c>
      <c r="I399" s="581">
        <v>2.74</v>
      </c>
      <c r="J399" s="114"/>
      <c r="K399" s="114" t="s">
        <v>2902</v>
      </c>
      <c r="L399" s="108"/>
      <c r="M399" s="581">
        <v>13.49</v>
      </c>
      <c r="N399" s="573">
        <v>0.13</v>
      </c>
      <c r="O399" s="556" t="str">
        <f t="shared" si="43"/>
        <v>DIF</v>
      </c>
      <c r="P399" s="573"/>
      <c r="Q399" s="556"/>
      <c r="R399" s="582"/>
    </row>
    <row r="400" ht="15" spans="1:18">
      <c r="A400" s="556">
        <f t="shared" si="44"/>
        <v>0</v>
      </c>
      <c r="B400" s="557">
        <f t="shared" si="45"/>
        <v>0</v>
      </c>
      <c r="C400" s="571"/>
      <c r="D400" s="571"/>
      <c r="E400" s="571"/>
      <c r="F400" s="571"/>
      <c r="G400" s="571"/>
      <c r="H400" s="571"/>
      <c r="I400" s="571"/>
      <c r="J400" s="571"/>
      <c r="K400" s="571"/>
      <c r="L400" s="571"/>
      <c r="M400" s="571"/>
      <c r="N400" s="573">
        <v>6.02</v>
      </c>
      <c r="O400" s="556" t="str">
        <f t="shared" si="43"/>
        <v>DIF</v>
      </c>
      <c r="P400" s="573"/>
      <c r="Q400" s="556"/>
      <c r="R400" s="582"/>
    </row>
    <row r="401" ht="15" customHeight="1" spans="1:18">
      <c r="A401" s="556">
        <f t="shared" si="44"/>
        <v>0</v>
      </c>
      <c r="B401" s="557">
        <f t="shared" si="45"/>
        <v>0</v>
      </c>
      <c r="C401" s="76" t="s">
        <v>223</v>
      </c>
      <c r="D401" s="75" t="s">
        <v>63</v>
      </c>
      <c r="E401" s="76" t="s">
        <v>64</v>
      </c>
      <c r="F401" s="76" t="s">
        <v>65</v>
      </c>
      <c r="G401" s="76" t="s">
        <v>2889</v>
      </c>
      <c r="H401" s="76"/>
      <c r="I401" s="77" t="s">
        <v>66</v>
      </c>
      <c r="J401" s="75" t="s">
        <v>67</v>
      </c>
      <c r="K401" s="75" t="s">
        <v>2890</v>
      </c>
      <c r="L401" s="75" t="s">
        <v>68</v>
      </c>
      <c r="M401" s="75" t="s">
        <v>70</v>
      </c>
      <c r="N401" s="573">
        <v>2.36</v>
      </c>
      <c r="O401" s="556" t="str">
        <f t="shared" si="43"/>
        <v>DIF</v>
      </c>
      <c r="P401" s="573"/>
      <c r="Q401" s="556"/>
      <c r="R401" s="582"/>
    </row>
    <row r="402" ht="35.05" customHeight="1" spans="1:18">
      <c r="A402" s="556">
        <f t="shared" si="44"/>
        <v>0</v>
      </c>
      <c r="B402" s="557">
        <f t="shared" si="45"/>
        <v>0</v>
      </c>
      <c r="C402" s="569" t="s">
        <v>2891</v>
      </c>
      <c r="D402" s="570" t="s">
        <v>224</v>
      </c>
      <c r="E402" s="569" t="s">
        <v>139</v>
      </c>
      <c r="F402" s="569" t="s">
        <v>225</v>
      </c>
      <c r="G402" s="569" t="s">
        <v>3150</v>
      </c>
      <c r="H402" s="569"/>
      <c r="I402" s="577" t="s">
        <v>134</v>
      </c>
      <c r="J402" s="578">
        <v>1</v>
      </c>
      <c r="K402" s="579"/>
      <c r="L402" s="579">
        <v>17.39</v>
      </c>
      <c r="M402" s="579">
        <v>17.39</v>
      </c>
      <c r="N402" s="573">
        <v>2.16</v>
      </c>
      <c r="O402" s="556" t="str">
        <f t="shared" si="43"/>
        <v>DIF</v>
      </c>
      <c r="P402" s="573"/>
      <c r="Q402" s="556"/>
      <c r="R402" s="582"/>
    </row>
    <row r="403" ht="23.85" customHeight="1" spans="1:18">
      <c r="A403" s="556">
        <f t="shared" si="44"/>
        <v>0</v>
      </c>
      <c r="B403" s="557">
        <f t="shared" si="45"/>
        <v>0</v>
      </c>
      <c r="C403" s="79" t="s">
        <v>2921</v>
      </c>
      <c r="D403" s="78" t="s">
        <v>3151</v>
      </c>
      <c r="E403" s="79" t="s">
        <v>139</v>
      </c>
      <c r="F403" s="79" t="s">
        <v>3152</v>
      </c>
      <c r="G403" s="79" t="s">
        <v>2928</v>
      </c>
      <c r="H403" s="79"/>
      <c r="I403" s="80" t="s">
        <v>2897</v>
      </c>
      <c r="J403" s="583">
        <v>0.206</v>
      </c>
      <c r="K403" s="583">
        <v>0</v>
      </c>
      <c r="L403" s="92">
        <v>36.82</v>
      </c>
      <c r="M403" s="92">
        <v>7.58</v>
      </c>
      <c r="N403" s="573">
        <v>18.82</v>
      </c>
      <c r="O403" s="556" t="str">
        <f t="shared" si="43"/>
        <v>DIF</v>
      </c>
      <c r="P403" s="573"/>
      <c r="Q403" s="556"/>
      <c r="R403" s="582"/>
    </row>
    <row r="404" ht="23.85" customHeight="1" spans="1:18">
      <c r="A404" s="556">
        <f t="shared" si="44"/>
        <v>0</v>
      </c>
      <c r="B404" s="557">
        <f t="shared" si="45"/>
        <v>0</v>
      </c>
      <c r="C404" s="79" t="s">
        <v>2921</v>
      </c>
      <c r="D404" s="78" t="s">
        <v>3153</v>
      </c>
      <c r="E404" s="79" t="s">
        <v>139</v>
      </c>
      <c r="F404" s="79" t="s">
        <v>3154</v>
      </c>
      <c r="G404" s="79" t="s">
        <v>2928</v>
      </c>
      <c r="H404" s="79"/>
      <c r="I404" s="80" t="s">
        <v>2897</v>
      </c>
      <c r="J404" s="583">
        <v>0.206</v>
      </c>
      <c r="K404" s="583">
        <v>0</v>
      </c>
      <c r="L404" s="92">
        <v>30.6</v>
      </c>
      <c r="M404" s="92">
        <v>6.3</v>
      </c>
      <c r="N404" s="573">
        <v>22.12</v>
      </c>
      <c r="O404" s="556" t="str">
        <f t="shared" si="43"/>
        <v>DIF</v>
      </c>
      <c r="P404" s="573"/>
      <c r="Q404" s="556"/>
      <c r="R404" s="582"/>
    </row>
    <row r="405" ht="23.85" customHeight="1" spans="1:18">
      <c r="A405" s="556">
        <f t="shared" si="44"/>
        <v>0</v>
      </c>
      <c r="B405" s="557">
        <f t="shared" si="45"/>
        <v>0</v>
      </c>
      <c r="C405" s="100" t="s">
        <v>2893</v>
      </c>
      <c r="D405" s="99" t="s">
        <v>3159</v>
      </c>
      <c r="E405" s="100" t="s">
        <v>139</v>
      </c>
      <c r="F405" s="100" t="s">
        <v>3160</v>
      </c>
      <c r="G405" s="100" t="s">
        <v>2961</v>
      </c>
      <c r="H405" s="100"/>
      <c r="I405" s="101" t="s">
        <v>134</v>
      </c>
      <c r="J405" s="580">
        <v>1</v>
      </c>
      <c r="K405" s="580">
        <v>0</v>
      </c>
      <c r="L405" s="102">
        <v>3.51</v>
      </c>
      <c r="M405" s="102">
        <v>3.51</v>
      </c>
      <c r="N405" s="573">
        <v>0.82</v>
      </c>
      <c r="O405" s="556" t="str">
        <f t="shared" si="43"/>
        <v>DIF</v>
      </c>
      <c r="P405" s="573"/>
      <c r="Q405" s="556"/>
      <c r="R405" s="582"/>
    </row>
    <row r="406" ht="25.5" spans="1:18">
      <c r="A406" s="556">
        <f t="shared" si="44"/>
        <v>0</v>
      </c>
      <c r="B406" s="557">
        <f t="shared" si="45"/>
        <v>0</v>
      </c>
      <c r="C406" s="108"/>
      <c r="D406" s="108"/>
      <c r="E406" s="108"/>
      <c r="F406" s="108"/>
      <c r="G406" s="108"/>
      <c r="H406" s="108" t="s">
        <v>2898</v>
      </c>
      <c r="I406" s="581">
        <v>9.74</v>
      </c>
      <c r="J406" s="108" t="s">
        <v>2899</v>
      </c>
      <c r="K406" s="581">
        <v>0</v>
      </c>
      <c r="L406" s="108" t="s">
        <v>2900</v>
      </c>
      <c r="M406" s="581">
        <v>9.74</v>
      </c>
      <c r="N406" s="573">
        <v>12.28</v>
      </c>
      <c r="O406" s="556" t="str">
        <f t="shared" si="43"/>
        <v>DIF</v>
      </c>
      <c r="P406" s="573"/>
      <c r="Q406" s="556"/>
      <c r="R406" s="582"/>
    </row>
    <row r="407" ht="26.25" spans="1:18">
      <c r="A407" s="556">
        <f t="shared" si="44"/>
        <v>0</v>
      </c>
      <c r="B407" s="557">
        <f t="shared" si="45"/>
        <v>0</v>
      </c>
      <c r="C407" s="108"/>
      <c r="D407" s="108"/>
      <c r="E407" s="108"/>
      <c r="F407" s="108"/>
      <c r="G407" s="108"/>
      <c r="H407" s="108" t="s">
        <v>2901</v>
      </c>
      <c r="I407" s="581">
        <v>4.43</v>
      </c>
      <c r="J407" s="114"/>
      <c r="K407" s="114" t="s">
        <v>2902</v>
      </c>
      <c r="L407" s="108"/>
      <c r="M407" s="581">
        <v>21.82</v>
      </c>
      <c r="N407" s="573">
        <v>2.74</v>
      </c>
      <c r="O407" s="556" t="str">
        <f t="shared" si="43"/>
        <v>DIF</v>
      </c>
      <c r="P407" s="573"/>
      <c r="Q407" s="556"/>
      <c r="R407" s="582"/>
    </row>
    <row r="408" ht="15" spans="1:18">
      <c r="A408" s="556">
        <f t="shared" si="44"/>
        <v>0</v>
      </c>
      <c r="B408" s="557">
        <f t="shared" si="45"/>
        <v>0</v>
      </c>
      <c r="C408" s="571"/>
      <c r="D408" s="571"/>
      <c r="E408" s="571"/>
      <c r="F408" s="571"/>
      <c r="G408" s="571"/>
      <c r="H408" s="571"/>
      <c r="I408" s="571"/>
      <c r="J408" s="571"/>
      <c r="K408" s="571"/>
      <c r="L408" s="571"/>
      <c r="M408" s="571"/>
      <c r="N408" s="573">
        <v>1.46</v>
      </c>
      <c r="O408" s="556" t="str">
        <f t="shared" si="43"/>
        <v>DIF</v>
      </c>
      <c r="P408" s="573"/>
      <c r="Q408" s="556"/>
      <c r="R408" s="582"/>
    </row>
    <row r="409" ht="15" customHeight="1" spans="1:18">
      <c r="A409" s="556">
        <f t="shared" si="44"/>
        <v>0</v>
      </c>
      <c r="B409" s="557">
        <f t="shared" si="45"/>
        <v>0</v>
      </c>
      <c r="C409" s="76" t="s">
        <v>226</v>
      </c>
      <c r="D409" s="75" t="s">
        <v>63</v>
      </c>
      <c r="E409" s="76" t="s">
        <v>64</v>
      </c>
      <c r="F409" s="76" t="s">
        <v>65</v>
      </c>
      <c r="G409" s="76" t="s">
        <v>2889</v>
      </c>
      <c r="H409" s="76"/>
      <c r="I409" s="77" t="s">
        <v>66</v>
      </c>
      <c r="J409" s="75" t="s">
        <v>67</v>
      </c>
      <c r="K409" s="75" t="s">
        <v>2890</v>
      </c>
      <c r="L409" s="75" t="s">
        <v>68</v>
      </c>
      <c r="M409" s="75" t="s">
        <v>70</v>
      </c>
      <c r="N409" s="573">
        <v>44.54</v>
      </c>
      <c r="O409" s="556" t="str">
        <f t="shared" si="43"/>
        <v>DIF</v>
      </c>
      <c r="P409" s="573"/>
      <c r="Q409" s="556"/>
      <c r="R409" s="582"/>
    </row>
    <row r="410" ht="35.05" customHeight="1" spans="1:18">
      <c r="A410" s="556">
        <f t="shared" si="44"/>
        <v>0</v>
      </c>
      <c r="B410" s="557">
        <f t="shared" si="45"/>
        <v>0</v>
      </c>
      <c r="C410" s="569" t="s">
        <v>2891</v>
      </c>
      <c r="D410" s="570" t="s">
        <v>227</v>
      </c>
      <c r="E410" s="569" t="s">
        <v>139</v>
      </c>
      <c r="F410" s="569" t="s">
        <v>228</v>
      </c>
      <c r="G410" s="569" t="s">
        <v>3150</v>
      </c>
      <c r="H410" s="569"/>
      <c r="I410" s="577" t="s">
        <v>204</v>
      </c>
      <c r="J410" s="578">
        <v>1</v>
      </c>
      <c r="K410" s="579"/>
      <c r="L410" s="579">
        <v>4.98</v>
      </c>
      <c r="M410" s="579">
        <v>4.98</v>
      </c>
      <c r="N410" s="573">
        <v>41.52</v>
      </c>
      <c r="O410" s="556" t="str">
        <f t="shared" si="43"/>
        <v>DIF</v>
      </c>
      <c r="P410" s="573"/>
      <c r="Q410" s="556"/>
      <c r="R410" s="582"/>
    </row>
    <row r="411" ht="23.85" customHeight="1" spans="1:18">
      <c r="A411" s="556">
        <f t="shared" si="44"/>
        <v>0</v>
      </c>
      <c r="B411" s="557">
        <f t="shared" si="45"/>
        <v>0</v>
      </c>
      <c r="C411" s="79" t="s">
        <v>2921</v>
      </c>
      <c r="D411" s="78" t="s">
        <v>3151</v>
      </c>
      <c r="E411" s="79" t="s">
        <v>139</v>
      </c>
      <c r="F411" s="79" t="s">
        <v>3152</v>
      </c>
      <c r="G411" s="79" t="s">
        <v>2928</v>
      </c>
      <c r="H411" s="79"/>
      <c r="I411" s="80" t="s">
        <v>2897</v>
      </c>
      <c r="J411" s="583">
        <v>0.029</v>
      </c>
      <c r="K411" s="583">
        <v>0</v>
      </c>
      <c r="L411" s="92">
        <v>36.82</v>
      </c>
      <c r="M411" s="92">
        <v>1.06</v>
      </c>
      <c r="N411" s="573">
        <v>3.09</v>
      </c>
      <c r="O411" s="556" t="str">
        <f t="shared" si="43"/>
        <v>DIF</v>
      </c>
      <c r="P411" s="573"/>
      <c r="Q411" s="556"/>
      <c r="R411" s="582"/>
    </row>
    <row r="412" ht="23.85" customHeight="1" spans="1:18">
      <c r="A412" s="556">
        <f t="shared" si="44"/>
        <v>0</v>
      </c>
      <c r="B412" s="557">
        <f t="shared" si="45"/>
        <v>0</v>
      </c>
      <c r="C412" s="79" t="s">
        <v>2921</v>
      </c>
      <c r="D412" s="78" t="s">
        <v>3153</v>
      </c>
      <c r="E412" s="79" t="s">
        <v>139</v>
      </c>
      <c r="F412" s="79" t="s">
        <v>3154</v>
      </c>
      <c r="G412" s="79" t="s">
        <v>2928</v>
      </c>
      <c r="H412" s="79"/>
      <c r="I412" s="80" t="s">
        <v>2897</v>
      </c>
      <c r="J412" s="583">
        <v>0.029</v>
      </c>
      <c r="K412" s="583">
        <v>0</v>
      </c>
      <c r="L412" s="92">
        <v>30.6</v>
      </c>
      <c r="M412" s="92">
        <v>0.88</v>
      </c>
      <c r="N412" s="573">
        <v>1.9</v>
      </c>
      <c r="O412" s="556" t="str">
        <f t="shared" si="43"/>
        <v>DIF</v>
      </c>
      <c r="P412" s="573"/>
      <c r="Q412" s="556"/>
      <c r="R412" s="582"/>
    </row>
    <row r="413" ht="23.85" customHeight="1" spans="1:18">
      <c r="A413" s="556">
        <f t="shared" si="44"/>
        <v>0</v>
      </c>
      <c r="B413" s="557">
        <f t="shared" si="45"/>
        <v>0</v>
      </c>
      <c r="C413" s="100" t="s">
        <v>2893</v>
      </c>
      <c r="D413" s="99" t="s">
        <v>3161</v>
      </c>
      <c r="E413" s="100" t="s">
        <v>139</v>
      </c>
      <c r="F413" s="100" t="s">
        <v>3162</v>
      </c>
      <c r="G413" s="100" t="s">
        <v>2961</v>
      </c>
      <c r="H413" s="100"/>
      <c r="I413" s="101" t="s">
        <v>134</v>
      </c>
      <c r="J413" s="580">
        <v>0.0094</v>
      </c>
      <c r="K413" s="580">
        <v>0</v>
      </c>
      <c r="L413" s="102">
        <v>10.55</v>
      </c>
      <c r="M413" s="102">
        <v>0.09</v>
      </c>
      <c r="N413" s="573">
        <v>2.97</v>
      </c>
      <c r="O413" s="556" t="str">
        <f t="shared" si="43"/>
        <v>DIF</v>
      </c>
      <c r="P413" s="573"/>
      <c r="Q413" s="556"/>
      <c r="R413" s="582"/>
    </row>
    <row r="414" ht="23.85" customHeight="1" spans="1:18">
      <c r="A414" s="556">
        <f t="shared" si="44"/>
        <v>0</v>
      </c>
      <c r="B414" s="557">
        <f t="shared" si="45"/>
        <v>0</v>
      </c>
      <c r="C414" s="100" t="s">
        <v>2893</v>
      </c>
      <c r="D414" s="99" t="s">
        <v>3163</v>
      </c>
      <c r="E414" s="100" t="s">
        <v>139</v>
      </c>
      <c r="F414" s="100" t="s">
        <v>3164</v>
      </c>
      <c r="G414" s="100" t="s">
        <v>2961</v>
      </c>
      <c r="H414" s="100"/>
      <c r="I414" s="101" t="s">
        <v>204</v>
      </c>
      <c r="J414" s="580">
        <v>1.2434</v>
      </c>
      <c r="K414" s="580">
        <v>0</v>
      </c>
      <c r="L414" s="102">
        <v>2.38</v>
      </c>
      <c r="M414" s="102">
        <v>2.95</v>
      </c>
      <c r="N414" s="573">
        <v>3.55</v>
      </c>
      <c r="O414" s="556" t="str">
        <f t="shared" si="43"/>
        <v>DIF</v>
      </c>
      <c r="P414" s="573"/>
      <c r="Q414" s="556"/>
      <c r="R414" s="582"/>
    </row>
    <row r="415" ht="25.5" spans="1:18">
      <c r="A415" s="556">
        <f t="shared" si="44"/>
        <v>0</v>
      </c>
      <c r="B415" s="557">
        <f t="shared" si="45"/>
        <v>0</v>
      </c>
      <c r="C415" s="108"/>
      <c r="D415" s="108"/>
      <c r="E415" s="108"/>
      <c r="F415" s="108"/>
      <c r="G415" s="108"/>
      <c r="H415" s="108" t="s">
        <v>2898</v>
      </c>
      <c r="I415" s="581">
        <v>1.36</v>
      </c>
      <c r="J415" s="108" t="s">
        <v>2899</v>
      </c>
      <c r="K415" s="581">
        <v>0</v>
      </c>
      <c r="L415" s="108" t="s">
        <v>2900</v>
      </c>
      <c r="M415" s="581">
        <v>1.36</v>
      </c>
      <c r="N415" s="573">
        <v>18.71</v>
      </c>
      <c r="O415" s="556" t="str">
        <f t="shared" si="43"/>
        <v>DIF</v>
      </c>
      <c r="P415" s="573"/>
      <c r="Q415" s="556"/>
      <c r="R415" s="582"/>
    </row>
    <row r="416" ht="26.25" spans="1:18">
      <c r="A416" s="556">
        <f t="shared" si="44"/>
        <v>0</v>
      </c>
      <c r="B416" s="557">
        <f t="shared" si="45"/>
        <v>0</v>
      </c>
      <c r="C416" s="108"/>
      <c r="D416" s="108"/>
      <c r="E416" s="108"/>
      <c r="F416" s="108"/>
      <c r="G416" s="108"/>
      <c r="H416" s="108" t="s">
        <v>2901</v>
      </c>
      <c r="I416" s="581">
        <v>1.26</v>
      </c>
      <c r="J416" s="114"/>
      <c r="K416" s="114" t="s">
        <v>2902</v>
      </c>
      <c r="L416" s="108"/>
      <c r="M416" s="581">
        <v>6.24</v>
      </c>
      <c r="N416" s="573">
        <v>4.31</v>
      </c>
      <c r="O416" s="556" t="str">
        <f t="shared" si="43"/>
        <v>DIF</v>
      </c>
      <c r="P416" s="573"/>
      <c r="Q416" s="556"/>
      <c r="R416" s="582"/>
    </row>
    <row r="417" ht="15" spans="1:18">
      <c r="A417" s="556">
        <f t="shared" si="44"/>
        <v>0</v>
      </c>
      <c r="B417" s="557">
        <f t="shared" si="45"/>
        <v>0</v>
      </c>
      <c r="C417" s="571"/>
      <c r="D417" s="571"/>
      <c r="E417" s="571"/>
      <c r="F417" s="571"/>
      <c r="G417" s="571"/>
      <c r="H417" s="571"/>
      <c r="I417" s="571"/>
      <c r="J417" s="571"/>
      <c r="K417" s="571"/>
      <c r="L417" s="571"/>
      <c r="M417" s="571"/>
      <c r="N417" s="573">
        <v>4.06</v>
      </c>
      <c r="O417" s="556" t="str">
        <f t="shared" si="43"/>
        <v>DIF</v>
      </c>
      <c r="P417" s="573"/>
      <c r="Q417" s="556"/>
      <c r="R417" s="582"/>
    </row>
    <row r="418" ht="15" customHeight="1" spans="1:18">
      <c r="A418" s="556">
        <f t="shared" si="44"/>
        <v>0</v>
      </c>
      <c r="B418" s="557">
        <f t="shared" si="45"/>
        <v>0</v>
      </c>
      <c r="C418" s="76" t="s">
        <v>229</v>
      </c>
      <c r="D418" s="75" t="s">
        <v>63</v>
      </c>
      <c r="E418" s="76" t="s">
        <v>64</v>
      </c>
      <c r="F418" s="76" t="s">
        <v>65</v>
      </c>
      <c r="G418" s="76" t="s">
        <v>2889</v>
      </c>
      <c r="H418" s="76"/>
      <c r="I418" s="77" t="s">
        <v>66</v>
      </c>
      <c r="J418" s="75" t="s">
        <v>67</v>
      </c>
      <c r="K418" s="75" t="s">
        <v>2890</v>
      </c>
      <c r="L418" s="75" t="s">
        <v>68</v>
      </c>
      <c r="M418" s="75" t="s">
        <v>70</v>
      </c>
      <c r="N418" s="573">
        <v>3.93</v>
      </c>
      <c r="O418" s="556" t="str">
        <f t="shared" si="43"/>
        <v>DIF</v>
      </c>
      <c r="P418" s="573"/>
      <c r="Q418" s="556"/>
      <c r="R418" s="582"/>
    </row>
    <row r="419" ht="35.05" customHeight="1" spans="1:18">
      <c r="A419" s="556"/>
      <c r="B419" s="557"/>
      <c r="C419" s="569" t="s">
        <v>2891</v>
      </c>
      <c r="D419" s="570" t="s">
        <v>230</v>
      </c>
      <c r="E419" s="569" t="s">
        <v>139</v>
      </c>
      <c r="F419" s="569" t="s">
        <v>231</v>
      </c>
      <c r="G419" s="569" t="s">
        <v>3150</v>
      </c>
      <c r="H419" s="569"/>
      <c r="I419" s="577" t="s">
        <v>134</v>
      </c>
      <c r="J419" s="578">
        <v>1</v>
      </c>
      <c r="K419" s="579"/>
      <c r="L419" s="579">
        <v>40.68</v>
      </c>
      <c r="M419" s="579">
        <v>40.68</v>
      </c>
      <c r="N419" s="573"/>
      <c r="O419" s="556"/>
      <c r="P419" s="573"/>
      <c r="Q419" s="556"/>
      <c r="R419" s="582"/>
    </row>
    <row r="420" ht="23.85" customHeight="1" spans="1:18">
      <c r="A420" s="556"/>
      <c r="B420" s="557"/>
      <c r="C420" s="79" t="s">
        <v>2921</v>
      </c>
      <c r="D420" s="78" t="s">
        <v>3151</v>
      </c>
      <c r="E420" s="79" t="s">
        <v>139</v>
      </c>
      <c r="F420" s="79" t="s">
        <v>3152</v>
      </c>
      <c r="G420" s="79" t="s">
        <v>2928</v>
      </c>
      <c r="H420" s="79"/>
      <c r="I420" s="80" t="s">
        <v>2897</v>
      </c>
      <c r="J420" s="583">
        <v>0.55</v>
      </c>
      <c r="K420" s="583">
        <v>0</v>
      </c>
      <c r="L420" s="92">
        <v>36.82</v>
      </c>
      <c r="M420" s="92">
        <v>20.25</v>
      </c>
      <c r="N420" s="573"/>
      <c r="O420" s="556"/>
      <c r="P420" s="573"/>
      <c r="Q420" s="556"/>
      <c r="R420" s="582"/>
    </row>
    <row r="421" ht="23.85" customHeight="1" spans="1:18">
      <c r="A421" s="556"/>
      <c r="B421" s="557" t="str">
        <f>C420</f>
        <v>Composição Auxiliar</v>
      </c>
      <c r="C421" s="79" t="s">
        <v>2921</v>
      </c>
      <c r="D421" s="78" t="s">
        <v>3153</v>
      </c>
      <c r="E421" s="79" t="s">
        <v>139</v>
      </c>
      <c r="F421" s="79" t="s">
        <v>3154</v>
      </c>
      <c r="G421" s="79" t="s">
        <v>2928</v>
      </c>
      <c r="H421" s="79"/>
      <c r="I421" s="80" t="s">
        <v>2897</v>
      </c>
      <c r="J421" s="583">
        <v>0.55</v>
      </c>
      <c r="K421" s="583">
        <v>0</v>
      </c>
      <c r="L421" s="92">
        <v>30.6</v>
      </c>
      <c r="M421" s="92">
        <v>16.83</v>
      </c>
      <c r="N421" s="573">
        <v>480.64</v>
      </c>
      <c r="O421" s="556" t="str">
        <f t="shared" ref="O421:O446" si="46">IF(N421=M421,"OK","DIF")</f>
        <v>DIF</v>
      </c>
      <c r="P421" s="573"/>
      <c r="Q421" s="556"/>
      <c r="R421" s="582"/>
    </row>
    <row r="422" ht="23.85" customHeight="1" spans="1:18">
      <c r="A422" s="556" t="str">
        <f t="shared" ref="A422:A446" si="47">B422</f>
        <v>Composição Auxiliar</v>
      </c>
      <c r="B422" s="557" t="str">
        <f t="shared" ref="B422:B446" si="48">B421</f>
        <v>Composição Auxiliar</v>
      </c>
      <c r="C422" s="79" t="s">
        <v>2921</v>
      </c>
      <c r="D422" s="78" t="s">
        <v>3165</v>
      </c>
      <c r="E422" s="79" t="s">
        <v>139</v>
      </c>
      <c r="F422" s="79" t="s">
        <v>3166</v>
      </c>
      <c r="G422" s="79" t="s">
        <v>3016</v>
      </c>
      <c r="H422" s="79"/>
      <c r="I422" s="80" t="s">
        <v>279</v>
      </c>
      <c r="J422" s="583">
        <v>0.0009</v>
      </c>
      <c r="K422" s="583">
        <v>0</v>
      </c>
      <c r="L422" s="92">
        <v>655.2</v>
      </c>
      <c r="M422" s="92">
        <v>0.58</v>
      </c>
      <c r="N422" s="573">
        <v>6.59</v>
      </c>
      <c r="O422" s="556" t="str">
        <f t="shared" si="46"/>
        <v>DIF</v>
      </c>
      <c r="P422" s="573"/>
      <c r="Q422" s="556"/>
      <c r="R422" s="582"/>
    </row>
    <row r="423" ht="23.85" customHeight="1" spans="1:18">
      <c r="A423" s="556" t="str">
        <f t="shared" si="47"/>
        <v>Composição Auxiliar</v>
      </c>
      <c r="B423" s="557" t="str">
        <f t="shared" si="48"/>
        <v>Composição Auxiliar</v>
      </c>
      <c r="C423" s="100" t="s">
        <v>2893</v>
      </c>
      <c r="D423" s="99" t="s">
        <v>3167</v>
      </c>
      <c r="E423" s="100" t="s">
        <v>139</v>
      </c>
      <c r="F423" s="100" t="s">
        <v>3168</v>
      </c>
      <c r="G423" s="100" t="s">
        <v>2961</v>
      </c>
      <c r="H423" s="100"/>
      <c r="I423" s="101" t="s">
        <v>134</v>
      </c>
      <c r="J423" s="580">
        <v>1</v>
      </c>
      <c r="K423" s="580">
        <v>0</v>
      </c>
      <c r="L423" s="102">
        <v>3.02</v>
      </c>
      <c r="M423" s="102">
        <v>3.02</v>
      </c>
      <c r="N423" s="573">
        <v>4.45</v>
      </c>
      <c r="O423" s="556" t="str">
        <f t="shared" si="46"/>
        <v>DIF</v>
      </c>
      <c r="P423" s="573"/>
      <c r="Q423" s="556"/>
      <c r="R423" s="582"/>
    </row>
    <row r="424" ht="25.5" spans="1:18">
      <c r="A424" s="556" t="str">
        <f t="shared" si="47"/>
        <v>Composição Auxiliar</v>
      </c>
      <c r="B424" s="557" t="str">
        <f t="shared" si="48"/>
        <v>Composição Auxiliar</v>
      </c>
      <c r="C424" s="108"/>
      <c r="D424" s="108"/>
      <c r="E424" s="108"/>
      <c r="F424" s="108"/>
      <c r="G424" s="108"/>
      <c r="H424" s="108" t="s">
        <v>2898</v>
      </c>
      <c r="I424" s="581">
        <v>26.16</v>
      </c>
      <c r="J424" s="108" t="s">
        <v>2899</v>
      </c>
      <c r="K424" s="581">
        <v>0</v>
      </c>
      <c r="L424" s="108" t="s">
        <v>2900</v>
      </c>
      <c r="M424" s="581">
        <v>26.16</v>
      </c>
      <c r="N424" s="573">
        <v>18.41</v>
      </c>
      <c r="O424" s="556" t="str">
        <f t="shared" si="46"/>
        <v>DIF</v>
      </c>
      <c r="P424" s="573"/>
      <c r="Q424" s="556"/>
      <c r="R424" s="582"/>
    </row>
    <row r="425" ht="26.25" spans="1:18">
      <c r="A425" s="556" t="str">
        <f t="shared" si="47"/>
        <v>Composição Auxiliar</v>
      </c>
      <c r="B425" s="557" t="str">
        <f t="shared" si="48"/>
        <v>Composição Auxiliar</v>
      </c>
      <c r="C425" s="108"/>
      <c r="D425" s="108"/>
      <c r="E425" s="108"/>
      <c r="F425" s="108"/>
      <c r="G425" s="108"/>
      <c r="H425" s="108" t="s">
        <v>2901</v>
      </c>
      <c r="I425" s="581">
        <v>10.36</v>
      </c>
      <c r="J425" s="114"/>
      <c r="K425" s="114" t="s">
        <v>2902</v>
      </c>
      <c r="L425" s="108"/>
      <c r="M425" s="581">
        <v>51.04</v>
      </c>
      <c r="N425" s="573">
        <v>7.52</v>
      </c>
      <c r="O425" s="556" t="str">
        <f t="shared" si="46"/>
        <v>DIF</v>
      </c>
      <c r="P425" s="573"/>
      <c r="Q425" s="556"/>
      <c r="R425" s="582"/>
    </row>
    <row r="426" ht="15" spans="1:18">
      <c r="A426" s="556" t="str">
        <f t="shared" si="47"/>
        <v>Composição Auxiliar</v>
      </c>
      <c r="B426" s="557" t="str">
        <f t="shared" si="48"/>
        <v>Composição Auxiliar</v>
      </c>
      <c r="C426" s="571"/>
      <c r="D426" s="571"/>
      <c r="E426" s="571"/>
      <c r="F426" s="571"/>
      <c r="G426" s="571"/>
      <c r="H426" s="571"/>
      <c r="I426" s="571"/>
      <c r="J426" s="571"/>
      <c r="K426" s="571"/>
      <c r="L426" s="571"/>
      <c r="M426" s="571"/>
      <c r="N426" s="573">
        <v>2.13</v>
      </c>
      <c r="O426" s="556" t="str">
        <f t="shared" si="46"/>
        <v>DIF</v>
      </c>
      <c r="P426" s="573"/>
      <c r="Q426" s="556"/>
      <c r="R426" s="582"/>
    </row>
    <row r="427" ht="15" customHeight="1" spans="1:18">
      <c r="A427" s="556" t="str">
        <f t="shared" si="47"/>
        <v>Composição Auxiliar</v>
      </c>
      <c r="B427" s="557" t="str">
        <f t="shared" si="48"/>
        <v>Composição Auxiliar</v>
      </c>
      <c r="C427" s="76" t="s">
        <v>232</v>
      </c>
      <c r="D427" s="75" t="s">
        <v>63</v>
      </c>
      <c r="E427" s="76" t="s">
        <v>64</v>
      </c>
      <c r="F427" s="76" t="s">
        <v>65</v>
      </c>
      <c r="G427" s="76" t="s">
        <v>2889</v>
      </c>
      <c r="H427" s="76"/>
      <c r="I427" s="77" t="s">
        <v>66</v>
      </c>
      <c r="J427" s="75" t="s">
        <v>67</v>
      </c>
      <c r="K427" s="75" t="s">
        <v>2890</v>
      </c>
      <c r="L427" s="75" t="s">
        <v>68</v>
      </c>
      <c r="M427" s="75" t="s">
        <v>70</v>
      </c>
      <c r="N427" s="573">
        <v>5.39</v>
      </c>
      <c r="O427" s="556" t="str">
        <f t="shared" si="46"/>
        <v>DIF</v>
      </c>
      <c r="P427" s="573"/>
      <c r="Q427" s="556"/>
      <c r="R427" s="582"/>
    </row>
    <row r="428" ht="35.05" customHeight="1" spans="1:18">
      <c r="A428" s="556" t="str">
        <f t="shared" si="47"/>
        <v>Composição Auxiliar</v>
      </c>
      <c r="B428" s="557" t="str">
        <f t="shared" si="48"/>
        <v>Composição Auxiliar</v>
      </c>
      <c r="C428" s="569" t="s">
        <v>2891</v>
      </c>
      <c r="D428" s="570" t="s">
        <v>233</v>
      </c>
      <c r="E428" s="569" t="s">
        <v>139</v>
      </c>
      <c r="F428" s="569" t="s">
        <v>234</v>
      </c>
      <c r="G428" s="569" t="s">
        <v>3150</v>
      </c>
      <c r="H428" s="569"/>
      <c r="I428" s="577" t="s">
        <v>134</v>
      </c>
      <c r="J428" s="578">
        <v>1</v>
      </c>
      <c r="K428" s="579"/>
      <c r="L428" s="579">
        <v>23.21</v>
      </c>
      <c r="M428" s="579">
        <v>23.21</v>
      </c>
      <c r="N428" s="573">
        <v>68.8</v>
      </c>
      <c r="O428" s="556" t="str">
        <f t="shared" si="46"/>
        <v>DIF</v>
      </c>
      <c r="P428" s="573"/>
      <c r="Q428" s="556"/>
      <c r="R428" s="582"/>
    </row>
    <row r="429" ht="23.85" customHeight="1" spans="1:18">
      <c r="A429" s="556" t="str">
        <f t="shared" si="47"/>
        <v>Composição Auxiliar</v>
      </c>
      <c r="B429" s="557" t="str">
        <f t="shared" si="48"/>
        <v>Composição Auxiliar</v>
      </c>
      <c r="C429" s="79" t="s">
        <v>2921</v>
      </c>
      <c r="D429" s="78" t="s">
        <v>3153</v>
      </c>
      <c r="E429" s="79" t="s">
        <v>139</v>
      </c>
      <c r="F429" s="79" t="s">
        <v>3154</v>
      </c>
      <c r="G429" s="79" t="s">
        <v>2928</v>
      </c>
      <c r="H429" s="79"/>
      <c r="I429" s="80" t="s">
        <v>2897</v>
      </c>
      <c r="J429" s="583">
        <v>0.291</v>
      </c>
      <c r="K429" s="583">
        <v>0</v>
      </c>
      <c r="L429" s="92">
        <v>30.6</v>
      </c>
      <c r="M429" s="92">
        <v>8.9</v>
      </c>
      <c r="N429" s="573">
        <v>17.91</v>
      </c>
      <c r="O429" s="556" t="str">
        <f t="shared" si="46"/>
        <v>DIF</v>
      </c>
      <c r="P429" s="573"/>
      <c r="Q429" s="556"/>
      <c r="R429" s="582"/>
    </row>
    <row r="430" ht="23.85" customHeight="1" spans="1:18">
      <c r="A430" s="556" t="str">
        <f t="shared" si="47"/>
        <v>Composição Auxiliar</v>
      </c>
      <c r="B430" s="557" t="str">
        <f t="shared" si="48"/>
        <v>Composição Auxiliar</v>
      </c>
      <c r="C430" s="79" t="s">
        <v>2921</v>
      </c>
      <c r="D430" s="78" t="s">
        <v>3165</v>
      </c>
      <c r="E430" s="79" t="s">
        <v>139</v>
      </c>
      <c r="F430" s="79" t="s">
        <v>3166</v>
      </c>
      <c r="G430" s="79" t="s">
        <v>3016</v>
      </c>
      <c r="H430" s="79"/>
      <c r="I430" s="80" t="s">
        <v>279</v>
      </c>
      <c r="J430" s="583">
        <v>0.0009</v>
      </c>
      <c r="K430" s="583">
        <v>0</v>
      </c>
      <c r="L430" s="92">
        <v>655.2</v>
      </c>
      <c r="M430" s="92">
        <v>0.58</v>
      </c>
      <c r="N430" s="573">
        <v>11.13</v>
      </c>
      <c r="O430" s="556" t="str">
        <f t="shared" si="46"/>
        <v>DIF</v>
      </c>
      <c r="P430" s="573"/>
      <c r="Q430" s="556"/>
      <c r="R430" s="582"/>
    </row>
    <row r="431" ht="23.85" customHeight="1" spans="1:18">
      <c r="A431" s="556" t="str">
        <f t="shared" si="47"/>
        <v>Composição Auxiliar</v>
      </c>
      <c r="B431" s="557" t="str">
        <f t="shared" si="48"/>
        <v>Composição Auxiliar</v>
      </c>
      <c r="C431" s="79" t="s">
        <v>2921</v>
      </c>
      <c r="D431" s="78" t="s">
        <v>3151</v>
      </c>
      <c r="E431" s="79" t="s">
        <v>139</v>
      </c>
      <c r="F431" s="79" t="s">
        <v>3152</v>
      </c>
      <c r="G431" s="79" t="s">
        <v>2928</v>
      </c>
      <c r="H431" s="79"/>
      <c r="I431" s="80" t="s">
        <v>2897</v>
      </c>
      <c r="J431" s="583">
        <v>0.291</v>
      </c>
      <c r="K431" s="583">
        <v>0</v>
      </c>
      <c r="L431" s="92">
        <v>36.82</v>
      </c>
      <c r="M431" s="92">
        <v>10.71</v>
      </c>
      <c r="N431" s="573">
        <v>21.78</v>
      </c>
      <c r="O431" s="556" t="str">
        <f t="shared" si="46"/>
        <v>DIF</v>
      </c>
      <c r="P431" s="573"/>
      <c r="Q431" s="556"/>
      <c r="R431" s="582"/>
    </row>
    <row r="432" ht="23.85" customHeight="1" spans="1:18">
      <c r="A432" s="556" t="str">
        <f t="shared" si="47"/>
        <v>Composição Auxiliar</v>
      </c>
      <c r="B432" s="557" t="str">
        <f t="shared" si="48"/>
        <v>Composição Auxiliar</v>
      </c>
      <c r="C432" s="100" t="s">
        <v>2893</v>
      </c>
      <c r="D432" s="99" t="s">
        <v>3167</v>
      </c>
      <c r="E432" s="100" t="s">
        <v>139</v>
      </c>
      <c r="F432" s="100" t="s">
        <v>3168</v>
      </c>
      <c r="G432" s="100" t="s">
        <v>2961</v>
      </c>
      <c r="H432" s="100"/>
      <c r="I432" s="101" t="s">
        <v>134</v>
      </c>
      <c r="J432" s="580">
        <v>1</v>
      </c>
      <c r="K432" s="580">
        <v>0</v>
      </c>
      <c r="L432" s="102">
        <v>3.02</v>
      </c>
      <c r="M432" s="102">
        <v>3.02</v>
      </c>
      <c r="N432" s="573">
        <v>5.24</v>
      </c>
      <c r="O432" s="556" t="str">
        <f t="shared" si="46"/>
        <v>DIF</v>
      </c>
      <c r="P432" s="573"/>
      <c r="Q432" s="556"/>
      <c r="R432" s="582"/>
    </row>
    <row r="433" ht="25.5" spans="1:18">
      <c r="A433" s="556" t="str">
        <f t="shared" si="47"/>
        <v>Composição Auxiliar</v>
      </c>
      <c r="B433" s="557" t="str">
        <f t="shared" si="48"/>
        <v>Composição Auxiliar</v>
      </c>
      <c r="C433" s="108"/>
      <c r="D433" s="108"/>
      <c r="E433" s="108"/>
      <c r="F433" s="108"/>
      <c r="G433" s="108"/>
      <c r="H433" s="108" t="s">
        <v>2898</v>
      </c>
      <c r="I433" s="581">
        <v>13.91</v>
      </c>
      <c r="J433" s="108" t="s">
        <v>2899</v>
      </c>
      <c r="K433" s="581">
        <v>0</v>
      </c>
      <c r="L433" s="108" t="s">
        <v>2900</v>
      </c>
      <c r="M433" s="581">
        <v>13.91</v>
      </c>
      <c r="N433" s="573">
        <v>15.31</v>
      </c>
      <c r="O433" s="556" t="str">
        <f t="shared" si="46"/>
        <v>DIF</v>
      </c>
      <c r="P433" s="573"/>
      <c r="Q433" s="556"/>
      <c r="R433" s="582"/>
    </row>
    <row r="434" ht="26.25" spans="1:18">
      <c r="A434" s="556" t="str">
        <f t="shared" si="47"/>
        <v>Composição Auxiliar</v>
      </c>
      <c r="B434" s="557" t="str">
        <f t="shared" si="48"/>
        <v>Composição Auxiliar</v>
      </c>
      <c r="C434" s="108"/>
      <c r="D434" s="108"/>
      <c r="E434" s="108"/>
      <c r="F434" s="108"/>
      <c r="G434" s="108"/>
      <c r="H434" s="108" t="s">
        <v>2901</v>
      </c>
      <c r="I434" s="581">
        <v>5.91</v>
      </c>
      <c r="J434" s="114"/>
      <c r="K434" s="114" t="s">
        <v>2902</v>
      </c>
      <c r="L434" s="108"/>
      <c r="M434" s="581">
        <v>29.12</v>
      </c>
      <c r="N434" s="573">
        <v>9.51</v>
      </c>
      <c r="O434" s="556" t="str">
        <f t="shared" si="46"/>
        <v>DIF</v>
      </c>
      <c r="P434" s="573"/>
      <c r="Q434" s="556"/>
      <c r="R434" s="582"/>
    </row>
    <row r="435" ht="15" spans="1:18">
      <c r="A435" s="556" t="str">
        <f t="shared" si="47"/>
        <v>Composição Auxiliar</v>
      </c>
      <c r="B435" s="557" t="str">
        <f t="shared" si="48"/>
        <v>Composição Auxiliar</v>
      </c>
      <c r="C435" s="571"/>
      <c r="D435" s="571"/>
      <c r="E435" s="571"/>
      <c r="F435" s="571"/>
      <c r="G435" s="571"/>
      <c r="H435" s="571"/>
      <c r="I435" s="571"/>
      <c r="J435" s="571"/>
      <c r="K435" s="571"/>
      <c r="L435" s="571"/>
      <c r="M435" s="571"/>
      <c r="N435" s="573">
        <v>8.51</v>
      </c>
      <c r="O435" s="556" t="str">
        <f t="shared" si="46"/>
        <v>DIF</v>
      </c>
      <c r="P435" s="573"/>
      <c r="Q435" s="556"/>
      <c r="R435" s="582"/>
    </row>
    <row r="436" ht="15" customHeight="1" spans="1:18">
      <c r="A436" s="556" t="str">
        <f t="shared" si="47"/>
        <v>Composição Auxiliar</v>
      </c>
      <c r="B436" s="557" t="str">
        <f t="shared" si="48"/>
        <v>Composição Auxiliar</v>
      </c>
      <c r="C436" s="76" t="s">
        <v>235</v>
      </c>
      <c r="D436" s="75" t="s">
        <v>63</v>
      </c>
      <c r="E436" s="76" t="s">
        <v>64</v>
      </c>
      <c r="F436" s="76" t="s">
        <v>65</v>
      </c>
      <c r="G436" s="76" t="s">
        <v>2889</v>
      </c>
      <c r="H436" s="76"/>
      <c r="I436" s="77" t="s">
        <v>66</v>
      </c>
      <c r="J436" s="75" t="s">
        <v>67</v>
      </c>
      <c r="K436" s="75" t="s">
        <v>2890</v>
      </c>
      <c r="L436" s="75" t="s">
        <v>68</v>
      </c>
      <c r="M436" s="75" t="s">
        <v>70</v>
      </c>
      <c r="N436" s="573">
        <v>18.52</v>
      </c>
      <c r="O436" s="556" t="str">
        <f t="shared" si="46"/>
        <v>DIF</v>
      </c>
      <c r="P436" s="573"/>
      <c r="Q436" s="556"/>
      <c r="R436" s="582"/>
    </row>
    <row r="437" ht="35.05" customHeight="1" spans="1:18">
      <c r="A437" s="556" t="str">
        <f t="shared" si="47"/>
        <v>Composição Auxiliar</v>
      </c>
      <c r="B437" s="557" t="str">
        <f t="shared" si="48"/>
        <v>Composição Auxiliar</v>
      </c>
      <c r="C437" s="569" t="s">
        <v>2891</v>
      </c>
      <c r="D437" s="570" t="s">
        <v>236</v>
      </c>
      <c r="E437" s="569" t="s">
        <v>139</v>
      </c>
      <c r="F437" s="569" t="s">
        <v>237</v>
      </c>
      <c r="G437" s="569" t="s">
        <v>3150</v>
      </c>
      <c r="H437" s="569"/>
      <c r="I437" s="577" t="s">
        <v>134</v>
      </c>
      <c r="J437" s="578">
        <v>1</v>
      </c>
      <c r="K437" s="579"/>
      <c r="L437" s="579">
        <v>14.64</v>
      </c>
      <c r="M437" s="579">
        <v>14.64</v>
      </c>
      <c r="N437" s="573">
        <v>7.58</v>
      </c>
      <c r="O437" s="556" t="str">
        <f t="shared" si="46"/>
        <v>DIF</v>
      </c>
      <c r="P437" s="573"/>
      <c r="Q437" s="556"/>
      <c r="R437" s="582"/>
    </row>
    <row r="438" ht="23.85" customHeight="1" spans="1:18">
      <c r="A438" s="556" t="str">
        <f t="shared" si="47"/>
        <v>Composição Auxiliar</v>
      </c>
      <c r="B438" s="557" t="str">
        <f t="shared" si="48"/>
        <v>Composição Auxiliar</v>
      </c>
      <c r="C438" s="79" t="s">
        <v>2921</v>
      </c>
      <c r="D438" s="78" t="s">
        <v>3151</v>
      </c>
      <c r="E438" s="79" t="s">
        <v>139</v>
      </c>
      <c r="F438" s="79" t="s">
        <v>3152</v>
      </c>
      <c r="G438" s="79" t="s">
        <v>2928</v>
      </c>
      <c r="H438" s="79"/>
      <c r="I438" s="80" t="s">
        <v>2897</v>
      </c>
      <c r="J438" s="583">
        <v>0.164</v>
      </c>
      <c r="K438" s="583">
        <v>0</v>
      </c>
      <c r="L438" s="92">
        <v>36.82</v>
      </c>
      <c r="M438" s="92">
        <v>6.03</v>
      </c>
      <c r="N438" s="573">
        <v>3.45</v>
      </c>
      <c r="O438" s="556" t="str">
        <f t="shared" si="46"/>
        <v>DIF</v>
      </c>
      <c r="P438" s="573"/>
      <c r="Q438" s="556"/>
      <c r="R438" s="582"/>
    </row>
    <row r="439" ht="23.85" customHeight="1" spans="1:18">
      <c r="A439" s="556" t="str">
        <f t="shared" si="47"/>
        <v>Composição Auxiliar</v>
      </c>
      <c r="B439" s="557" t="str">
        <f t="shared" si="48"/>
        <v>Composição Auxiliar</v>
      </c>
      <c r="C439" s="79" t="s">
        <v>2921</v>
      </c>
      <c r="D439" s="78" t="s">
        <v>3153</v>
      </c>
      <c r="E439" s="79" t="s">
        <v>139</v>
      </c>
      <c r="F439" s="79" t="s">
        <v>3154</v>
      </c>
      <c r="G439" s="79" t="s">
        <v>2928</v>
      </c>
      <c r="H439" s="79"/>
      <c r="I439" s="80" t="s">
        <v>2897</v>
      </c>
      <c r="J439" s="583">
        <v>0.164</v>
      </c>
      <c r="K439" s="583">
        <v>0</v>
      </c>
      <c r="L439" s="92">
        <v>30.6</v>
      </c>
      <c r="M439" s="92">
        <v>5.01</v>
      </c>
      <c r="N439" s="573">
        <v>64.14</v>
      </c>
      <c r="O439" s="556" t="str">
        <f t="shared" si="46"/>
        <v>DIF</v>
      </c>
      <c r="P439" s="573"/>
      <c r="Q439" s="556"/>
      <c r="R439" s="582"/>
    </row>
    <row r="440" ht="23.85" customHeight="1" spans="1:18">
      <c r="A440" s="556" t="str">
        <f t="shared" si="47"/>
        <v>Composição Auxiliar</v>
      </c>
      <c r="B440" s="557" t="str">
        <f t="shared" si="48"/>
        <v>Composição Auxiliar</v>
      </c>
      <c r="C440" s="79" t="s">
        <v>2921</v>
      </c>
      <c r="D440" s="78" t="s">
        <v>3165</v>
      </c>
      <c r="E440" s="79" t="s">
        <v>139</v>
      </c>
      <c r="F440" s="79" t="s">
        <v>3166</v>
      </c>
      <c r="G440" s="79" t="s">
        <v>3016</v>
      </c>
      <c r="H440" s="79"/>
      <c r="I440" s="80" t="s">
        <v>279</v>
      </c>
      <c r="J440" s="583">
        <v>0.0009</v>
      </c>
      <c r="K440" s="583">
        <v>0</v>
      </c>
      <c r="L440" s="92">
        <v>655.2</v>
      </c>
      <c r="M440" s="92">
        <v>0.58</v>
      </c>
      <c r="N440" s="573">
        <v>17.58</v>
      </c>
      <c r="O440" s="556" t="str">
        <f t="shared" si="46"/>
        <v>DIF</v>
      </c>
      <c r="P440" s="573"/>
      <c r="Q440" s="556"/>
      <c r="R440" s="582"/>
    </row>
    <row r="441" ht="23.85" customHeight="1" spans="1:18">
      <c r="A441" s="556" t="str">
        <f t="shared" si="47"/>
        <v>Composição Auxiliar</v>
      </c>
      <c r="B441" s="557" t="str">
        <f t="shared" si="48"/>
        <v>Composição Auxiliar</v>
      </c>
      <c r="C441" s="100" t="s">
        <v>2893</v>
      </c>
      <c r="D441" s="99" t="s">
        <v>3167</v>
      </c>
      <c r="E441" s="100" t="s">
        <v>139</v>
      </c>
      <c r="F441" s="100" t="s">
        <v>3168</v>
      </c>
      <c r="G441" s="100" t="s">
        <v>2961</v>
      </c>
      <c r="H441" s="100"/>
      <c r="I441" s="101" t="s">
        <v>134</v>
      </c>
      <c r="J441" s="580">
        <v>1</v>
      </c>
      <c r="K441" s="580">
        <v>0</v>
      </c>
      <c r="L441" s="102">
        <v>3.02</v>
      </c>
      <c r="M441" s="102">
        <v>3.02</v>
      </c>
      <c r="N441" s="573">
        <v>0.8</v>
      </c>
      <c r="O441" s="556" t="str">
        <f t="shared" si="46"/>
        <v>DIF</v>
      </c>
      <c r="P441" s="573"/>
      <c r="Q441" s="556"/>
      <c r="R441" s="582"/>
    </row>
    <row r="442" ht="25.5" spans="1:18">
      <c r="A442" s="556" t="str">
        <f t="shared" si="47"/>
        <v>Composição Auxiliar</v>
      </c>
      <c r="B442" s="557" t="str">
        <f t="shared" si="48"/>
        <v>Composição Auxiliar</v>
      </c>
      <c r="C442" s="108"/>
      <c r="D442" s="108"/>
      <c r="E442" s="108"/>
      <c r="F442" s="108"/>
      <c r="G442" s="108"/>
      <c r="H442" s="108" t="s">
        <v>2898</v>
      </c>
      <c r="I442" s="581">
        <v>7.9</v>
      </c>
      <c r="J442" s="108" t="s">
        <v>2899</v>
      </c>
      <c r="K442" s="581">
        <v>0</v>
      </c>
      <c r="L442" s="108" t="s">
        <v>2900</v>
      </c>
      <c r="M442" s="581">
        <v>7.9</v>
      </c>
      <c r="N442" s="573">
        <v>6.9</v>
      </c>
      <c r="O442" s="556" t="str">
        <f t="shared" si="46"/>
        <v>DIF</v>
      </c>
      <c r="P442" s="573"/>
      <c r="Q442" s="556"/>
      <c r="R442" s="582"/>
    </row>
    <row r="443" ht="26.25" spans="1:18">
      <c r="A443" s="556" t="str">
        <f t="shared" si="47"/>
        <v>Composição Auxiliar</v>
      </c>
      <c r="B443" s="557" t="str">
        <f t="shared" si="48"/>
        <v>Composição Auxiliar</v>
      </c>
      <c r="C443" s="108"/>
      <c r="D443" s="108"/>
      <c r="E443" s="108"/>
      <c r="F443" s="108"/>
      <c r="G443" s="108"/>
      <c r="H443" s="108" t="s">
        <v>2901</v>
      </c>
      <c r="I443" s="581">
        <v>3.73</v>
      </c>
      <c r="J443" s="114"/>
      <c r="K443" s="114" t="s">
        <v>2902</v>
      </c>
      <c r="L443" s="108"/>
      <c r="M443" s="581">
        <v>18.37</v>
      </c>
      <c r="N443" s="573">
        <v>105.98</v>
      </c>
      <c r="O443" s="556" t="str">
        <f t="shared" si="46"/>
        <v>DIF</v>
      </c>
      <c r="P443" s="573"/>
      <c r="Q443" s="556"/>
      <c r="R443" s="582"/>
    </row>
    <row r="444" ht="15" spans="1:18">
      <c r="A444" s="556" t="str">
        <f t="shared" si="47"/>
        <v>Composição Auxiliar</v>
      </c>
      <c r="B444" s="557" t="str">
        <f t="shared" si="48"/>
        <v>Composição Auxiliar</v>
      </c>
      <c r="C444" s="571"/>
      <c r="D444" s="571"/>
      <c r="E444" s="571"/>
      <c r="F444" s="571"/>
      <c r="G444" s="571"/>
      <c r="H444" s="571"/>
      <c r="I444" s="571"/>
      <c r="J444" s="571"/>
      <c r="K444" s="571"/>
      <c r="L444" s="571"/>
      <c r="M444" s="571"/>
      <c r="N444" s="573">
        <v>6.47</v>
      </c>
      <c r="O444" s="556" t="str">
        <f t="shared" si="46"/>
        <v>DIF</v>
      </c>
      <c r="P444" s="573"/>
      <c r="Q444" s="556"/>
      <c r="R444" s="582"/>
    </row>
    <row r="445" ht="15" customHeight="1" spans="1:18">
      <c r="A445" s="556" t="str">
        <f t="shared" si="47"/>
        <v>Composição Auxiliar</v>
      </c>
      <c r="B445" s="557" t="str">
        <f t="shared" si="48"/>
        <v>Composição Auxiliar</v>
      </c>
      <c r="C445" s="76" t="s">
        <v>238</v>
      </c>
      <c r="D445" s="75" t="s">
        <v>63</v>
      </c>
      <c r="E445" s="76" t="s">
        <v>64</v>
      </c>
      <c r="F445" s="76" t="s">
        <v>65</v>
      </c>
      <c r="G445" s="76" t="s">
        <v>2889</v>
      </c>
      <c r="H445" s="76"/>
      <c r="I445" s="77" t="s">
        <v>66</v>
      </c>
      <c r="J445" s="75" t="s">
        <v>67</v>
      </c>
      <c r="K445" s="75" t="s">
        <v>2890</v>
      </c>
      <c r="L445" s="75" t="s">
        <v>68</v>
      </c>
      <c r="M445" s="75" t="s">
        <v>70</v>
      </c>
      <c r="N445" s="573">
        <v>23.66</v>
      </c>
      <c r="O445" s="556" t="str">
        <f t="shared" si="46"/>
        <v>DIF</v>
      </c>
      <c r="P445" s="573"/>
      <c r="Q445" s="556"/>
      <c r="R445" s="582"/>
    </row>
    <row r="446" ht="35.05" customHeight="1" spans="1:18">
      <c r="A446" s="556" t="str">
        <f t="shared" si="47"/>
        <v>Composição Auxiliar</v>
      </c>
      <c r="B446" s="557" t="str">
        <f t="shared" si="48"/>
        <v>Composição Auxiliar</v>
      </c>
      <c r="C446" s="569" t="s">
        <v>2891</v>
      </c>
      <c r="D446" s="570" t="s">
        <v>239</v>
      </c>
      <c r="E446" s="569" t="s">
        <v>139</v>
      </c>
      <c r="F446" s="569" t="s">
        <v>240</v>
      </c>
      <c r="G446" s="569" t="s">
        <v>3150</v>
      </c>
      <c r="H446" s="569"/>
      <c r="I446" s="577" t="s">
        <v>134</v>
      </c>
      <c r="J446" s="578">
        <v>1</v>
      </c>
      <c r="K446" s="579"/>
      <c r="L446" s="579">
        <v>35.53</v>
      </c>
      <c r="M446" s="579">
        <v>35.53</v>
      </c>
      <c r="N446" s="573">
        <v>22.88</v>
      </c>
      <c r="O446" s="556" t="str">
        <f t="shared" si="46"/>
        <v>DIF</v>
      </c>
      <c r="P446" s="573"/>
      <c r="Q446" s="556"/>
      <c r="R446" s="582"/>
    </row>
    <row r="447" ht="35.05" customHeight="1" spans="1:18">
      <c r="A447" s="556"/>
      <c r="B447" s="557"/>
      <c r="C447" s="79" t="s">
        <v>2921</v>
      </c>
      <c r="D447" s="78" t="s">
        <v>3169</v>
      </c>
      <c r="E447" s="79" t="s">
        <v>139</v>
      </c>
      <c r="F447" s="79" t="s">
        <v>3170</v>
      </c>
      <c r="G447" s="79" t="s">
        <v>3150</v>
      </c>
      <c r="H447" s="79"/>
      <c r="I447" s="80" t="s">
        <v>134</v>
      </c>
      <c r="J447" s="583">
        <v>1</v>
      </c>
      <c r="K447" s="583">
        <v>0</v>
      </c>
      <c r="L447" s="92">
        <v>23.08</v>
      </c>
      <c r="M447" s="92">
        <v>23.08</v>
      </c>
      <c r="N447" s="573"/>
      <c r="O447" s="556"/>
      <c r="P447" s="573"/>
      <c r="Q447" s="556"/>
      <c r="R447" s="582"/>
    </row>
    <row r="448" ht="35.05" customHeight="1" spans="1:18">
      <c r="A448" s="556"/>
      <c r="B448" s="557"/>
      <c r="C448" s="79" t="s">
        <v>2921</v>
      </c>
      <c r="D448" s="78" t="s">
        <v>3171</v>
      </c>
      <c r="E448" s="79" t="s">
        <v>139</v>
      </c>
      <c r="F448" s="79" t="s">
        <v>3172</v>
      </c>
      <c r="G448" s="79" t="s">
        <v>3150</v>
      </c>
      <c r="H448" s="79"/>
      <c r="I448" s="80" t="s">
        <v>134</v>
      </c>
      <c r="J448" s="583">
        <v>1</v>
      </c>
      <c r="K448" s="583">
        <v>0</v>
      </c>
      <c r="L448" s="92">
        <v>12.45</v>
      </c>
      <c r="M448" s="92">
        <v>12.45</v>
      </c>
      <c r="N448" s="573"/>
      <c r="O448" s="556"/>
      <c r="P448" s="573"/>
      <c r="Q448" s="556"/>
      <c r="R448" s="582"/>
    </row>
    <row r="449" ht="25.5" spans="1:18">
      <c r="A449" s="556"/>
      <c r="B449" s="557"/>
      <c r="C449" s="108"/>
      <c r="D449" s="108"/>
      <c r="E449" s="108"/>
      <c r="F449" s="108"/>
      <c r="G449" s="108"/>
      <c r="H449" s="108" t="s">
        <v>2898</v>
      </c>
      <c r="I449" s="581">
        <v>17.49</v>
      </c>
      <c r="J449" s="108" t="s">
        <v>2899</v>
      </c>
      <c r="K449" s="581">
        <v>0</v>
      </c>
      <c r="L449" s="108" t="s">
        <v>2900</v>
      </c>
      <c r="M449" s="581">
        <v>17.49</v>
      </c>
      <c r="N449" s="573"/>
      <c r="O449" s="556"/>
      <c r="P449" s="573"/>
      <c r="Q449" s="556"/>
      <c r="R449" s="582"/>
    </row>
    <row r="450" ht="26.25" spans="1:18">
      <c r="A450" s="556"/>
      <c r="B450" s="557">
        <f>C449</f>
        <v>0</v>
      </c>
      <c r="C450" s="108"/>
      <c r="D450" s="108"/>
      <c r="E450" s="108"/>
      <c r="F450" s="108"/>
      <c r="G450" s="108"/>
      <c r="H450" s="108" t="s">
        <v>2901</v>
      </c>
      <c r="I450" s="581">
        <v>9.05</v>
      </c>
      <c r="J450" s="114"/>
      <c r="K450" s="114" t="s">
        <v>2902</v>
      </c>
      <c r="L450" s="108"/>
      <c r="M450" s="581">
        <v>44.58</v>
      </c>
      <c r="N450" s="573">
        <v>3.64</v>
      </c>
      <c r="O450" s="556" t="str">
        <f>IF(N450=M450,"OK","DIF")</f>
        <v>DIF</v>
      </c>
      <c r="P450" s="573"/>
      <c r="Q450" s="556"/>
      <c r="R450" s="582"/>
    </row>
    <row r="451" ht="15" spans="1:18">
      <c r="A451" s="556">
        <f>B451</f>
        <v>0</v>
      </c>
      <c r="B451" s="557">
        <f>B450</f>
        <v>0</v>
      </c>
      <c r="C451" s="571"/>
      <c r="D451" s="571"/>
      <c r="E451" s="571"/>
      <c r="F451" s="571"/>
      <c r="G451" s="571"/>
      <c r="H451" s="571"/>
      <c r="I451" s="571"/>
      <c r="J451" s="571"/>
      <c r="K451" s="571"/>
      <c r="L451" s="571"/>
      <c r="M451" s="571"/>
      <c r="N451" s="573">
        <v>2.47</v>
      </c>
      <c r="O451" s="556" t="str">
        <f>IF(N451=M451,"OK","DIF")</f>
        <v>DIF</v>
      </c>
      <c r="P451" s="573"/>
      <c r="Q451" s="556"/>
      <c r="R451" s="582"/>
    </row>
    <row r="452" ht="15" customHeight="1" spans="1:18">
      <c r="A452" s="556">
        <f>B452</f>
        <v>0</v>
      </c>
      <c r="B452" s="557">
        <f>B451</f>
        <v>0</v>
      </c>
      <c r="C452" s="76" t="s">
        <v>241</v>
      </c>
      <c r="D452" s="75" t="s">
        <v>63</v>
      </c>
      <c r="E452" s="76" t="s">
        <v>64</v>
      </c>
      <c r="F452" s="76" t="s">
        <v>65</v>
      </c>
      <c r="G452" s="76" t="s">
        <v>2889</v>
      </c>
      <c r="H452" s="76"/>
      <c r="I452" s="77" t="s">
        <v>66</v>
      </c>
      <c r="J452" s="75" t="s">
        <v>67</v>
      </c>
      <c r="K452" s="75" t="s">
        <v>2890</v>
      </c>
      <c r="L452" s="75" t="s">
        <v>68</v>
      </c>
      <c r="M452" s="75" t="s">
        <v>70</v>
      </c>
      <c r="N452" s="573">
        <v>1.17</v>
      </c>
      <c r="O452" s="556" t="str">
        <f>IF(N452=M452,"OK","DIF")</f>
        <v>DIF</v>
      </c>
      <c r="P452" s="573"/>
      <c r="Q452" s="556"/>
      <c r="R452" s="582"/>
    </row>
    <row r="453" ht="35.05" customHeight="1" spans="1:18">
      <c r="A453" s="556"/>
      <c r="B453" s="557"/>
      <c r="C453" s="569" t="s">
        <v>2891</v>
      </c>
      <c r="D453" s="570" t="s">
        <v>242</v>
      </c>
      <c r="E453" s="569" t="s">
        <v>139</v>
      </c>
      <c r="F453" s="569" t="s">
        <v>243</v>
      </c>
      <c r="G453" s="569" t="s">
        <v>3150</v>
      </c>
      <c r="H453" s="569"/>
      <c r="I453" s="577" t="s">
        <v>134</v>
      </c>
      <c r="J453" s="578">
        <v>1</v>
      </c>
      <c r="K453" s="579"/>
      <c r="L453" s="579">
        <v>54.37</v>
      </c>
      <c r="M453" s="579">
        <v>54.37</v>
      </c>
      <c r="N453" s="573"/>
      <c r="O453" s="556"/>
      <c r="P453" s="573"/>
      <c r="Q453" s="556"/>
      <c r="R453" s="582"/>
    </row>
    <row r="454" ht="35.05" customHeight="1" spans="1:18">
      <c r="A454" s="556"/>
      <c r="B454" s="557"/>
      <c r="C454" s="79" t="s">
        <v>2921</v>
      </c>
      <c r="D454" s="78" t="s">
        <v>3173</v>
      </c>
      <c r="E454" s="79" t="s">
        <v>139</v>
      </c>
      <c r="F454" s="79" t="s">
        <v>3174</v>
      </c>
      <c r="G454" s="79" t="s">
        <v>3150</v>
      </c>
      <c r="H454" s="79"/>
      <c r="I454" s="80" t="s">
        <v>134</v>
      </c>
      <c r="J454" s="583">
        <v>1</v>
      </c>
      <c r="K454" s="583">
        <v>0</v>
      </c>
      <c r="L454" s="92">
        <v>41.92</v>
      </c>
      <c r="M454" s="92">
        <v>41.92</v>
      </c>
      <c r="N454" s="573"/>
      <c r="O454" s="556"/>
      <c r="P454" s="573"/>
      <c r="Q454" s="556"/>
      <c r="R454" s="582"/>
    </row>
    <row r="455" ht="35.05" customHeight="1" spans="1:18">
      <c r="A455" s="556"/>
      <c r="B455" s="557" t="str">
        <f>C454</f>
        <v>Composição Auxiliar</v>
      </c>
      <c r="C455" s="79" t="s">
        <v>2921</v>
      </c>
      <c r="D455" s="78" t="s">
        <v>3171</v>
      </c>
      <c r="E455" s="79" t="s">
        <v>139</v>
      </c>
      <c r="F455" s="79" t="s">
        <v>3172</v>
      </c>
      <c r="G455" s="79" t="s">
        <v>3150</v>
      </c>
      <c r="H455" s="79"/>
      <c r="I455" s="80" t="s">
        <v>134</v>
      </c>
      <c r="J455" s="583">
        <v>1</v>
      </c>
      <c r="K455" s="583">
        <v>0</v>
      </c>
      <c r="L455" s="92">
        <v>12.45</v>
      </c>
      <c r="M455" s="92">
        <v>12.45</v>
      </c>
      <c r="N455" s="573">
        <v>21.09</v>
      </c>
      <c r="O455" s="556" t="str">
        <f t="shared" ref="O455:O461" si="49">IF(N455=M455,"OK","DIF")</f>
        <v>DIF</v>
      </c>
      <c r="P455" s="573"/>
      <c r="Q455" s="556"/>
      <c r="R455" s="582"/>
    </row>
    <row r="456" ht="25.5" spans="1:18">
      <c r="A456" s="556" t="str">
        <f t="shared" ref="A456:A461" si="50">B456</f>
        <v>Composição Auxiliar</v>
      </c>
      <c r="B456" s="557" t="str">
        <f t="shared" ref="B456:B461" si="51">B455</f>
        <v>Composição Auxiliar</v>
      </c>
      <c r="C456" s="108"/>
      <c r="D456" s="108"/>
      <c r="E456" s="108"/>
      <c r="F456" s="108"/>
      <c r="G456" s="108"/>
      <c r="H456" s="108" t="s">
        <v>2898</v>
      </c>
      <c r="I456" s="581">
        <v>25.97</v>
      </c>
      <c r="J456" s="108" t="s">
        <v>2899</v>
      </c>
      <c r="K456" s="581">
        <v>0</v>
      </c>
      <c r="L456" s="108" t="s">
        <v>2900</v>
      </c>
      <c r="M456" s="581">
        <v>25.97</v>
      </c>
      <c r="N456" s="573">
        <v>2.9</v>
      </c>
      <c r="O456" s="556" t="str">
        <f t="shared" si="49"/>
        <v>DIF</v>
      </c>
      <c r="P456" s="573"/>
      <c r="Q456" s="556"/>
      <c r="R456" s="582"/>
    </row>
    <row r="457" ht="26.25" spans="1:18">
      <c r="A457" s="556" t="str">
        <f t="shared" si="50"/>
        <v>Composição Auxiliar</v>
      </c>
      <c r="B457" s="557" t="str">
        <f t="shared" si="51"/>
        <v>Composição Auxiliar</v>
      </c>
      <c r="C457" s="108"/>
      <c r="D457" s="108"/>
      <c r="E457" s="108"/>
      <c r="F457" s="108"/>
      <c r="G457" s="108"/>
      <c r="H457" s="108" t="s">
        <v>2901</v>
      </c>
      <c r="I457" s="581">
        <v>13.85</v>
      </c>
      <c r="J457" s="114"/>
      <c r="K457" s="114" t="s">
        <v>2902</v>
      </c>
      <c r="L457" s="108"/>
      <c r="M457" s="581">
        <v>68.22</v>
      </c>
      <c r="N457" s="573">
        <v>7.34</v>
      </c>
      <c r="O457" s="556" t="str">
        <f t="shared" si="49"/>
        <v>DIF</v>
      </c>
      <c r="P457" s="573"/>
      <c r="Q457" s="556"/>
      <c r="R457" s="582"/>
    </row>
    <row r="458" ht="15" spans="1:18">
      <c r="A458" s="556" t="str">
        <f t="shared" si="50"/>
        <v>Composição Auxiliar</v>
      </c>
      <c r="B458" s="557" t="str">
        <f t="shared" si="51"/>
        <v>Composição Auxiliar</v>
      </c>
      <c r="C458" s="571"/>
      <c r="D458" s="571"/>
      <c r="E458" s="571"/>
      <c r="F458" s="571"/>
      <c r="G458" s="571"/>
      <c r="H458" s="571"/>
      <c r="I458" s="571"/>
      <c r="J458" s="571"/>
      <c r="K458" s="571"/>
      <c r="L458" s="571"/>
      <c r="M458" s="571"/>
      <c r="N458" s="573">
        <v>3.59</v>
      </c>
      <c r="O458" s="556" t="str">
        <f t="shared" si="49"/>
        <v>DIF</v>
      </c>
      <c r="P458" s="573"/>
      <c r="Q458" s="556"/>
      <c r="R458" s="582"/>
    </row>
    <row r="459" ht="15" customHeight="1" spans="1:18">
      <c r="A459" s="556" t="str">
        <f t="shared" si="50"/>
        <v>Composição Auxiliar</v>
      </c>
      <c r="B459" s="557" t="str">
        <f t="shared" si="51"/>
        <v>Composição Auxiliar</v>
      </c>
      <c r="C459" s="76" t="s">
        <v>244</v>
      </c>
      <c r="D459" s="75" t="s">
        <v>63</v>
      </c>
      <c r="E459" s="76" t="s">
        <v>64</v>
      </c>
      <c r="F459" s="76" t="s">
        <v>65</v>
      </c>
      <c r="G459" s="76" t="s">
        <v>2889</v>
      </c>
      <c r="H459" s="76"/>
      <c r="I459" s="77" t="s">
        <v>66</v>
      </c>
      <c r="J459" s="75" t="s">
        <v>67</v>
      </c>
      <c r="K459" s="75" t="s">
        <v>2890</v>
      </c>
      <c r="L459" s="75" t="s">
        <v>68</v>
      </c>
      <c r="M459" s="75" t="s">
        <v>70</v>
      </c>
      <c r="N459" s="573">
        <v>4.01</v>
      </c>
      <c r="O459" s="556" t="str">
        <f t="shared" si="49"/>
        <v>DIF</v>
      </c>
      <c r="P459" s="573"/>
      <c r="Q459" s="556"/>
      <c r="R459" s="582"/>
    </row>
    <row r="460" ht="35.05" customHeight="1" spans="1:18">
      <c r="A460" s="556" t="str">
        <f t="shared" si="50"/>
        <v>Composição Auxiliar</v>
      </c>
      <c r="B460" s="557" t="str">
        <f t="shared" si="51"/>
        <v>Composição Auxiliar</v>
      </c>
      <c r="C460" s="569" t="s">
        <v>2891</v>
      </c>
      <c r="D460" s="570" t="s">
        <v>245</v>
      </c>
      <c r="E460" s="569" t="s">
        <v>139</v>
      </c>
      <c r="F460" s="569" t="s">
        <v>246</v>
      </c>
      <c r="G460" s="569" t="s">
        <v>3150</v>
      </c>
      <c r="H460" s="569"/>
      <c r="I460" s="577" t="s">
        <v>134</v>
      </c>
      <c r="J460" s="578">
        <v>1</v>
      </c>
      <c r="K460" s="579"/>
      <c r="L460" s="579">
        <v>57.93</v>
      </c>
      <c r="M460" s="579">
        <v>57.93</v>
      </c>
      <c r="N460" s="573">
        <v>2.5</v>
      </c>
      <c r="O460" s="556" t="str">
        <f t="shared" si="49"/>
        <v>DIF</v>
      </c>
      <c r="P460" s="573"/>
      <c r="Q460" s="556"/>
      <c r="R460" s="582"/>
    </row>
    <row r="461" ht="35.05" customHeight="1" spans="1:18">
      <c r="A461" s="556" t="str">
        <f t="shared" si="50"/>
        <v>Composição Auxiliar</v>
      </c>
      <c r="B461" s="557" t="str">
        <f t="shared" si="51"/>
        <v>Composição Auxiliar</v>
      </c>
      <c r="C461" s="79" t="s">
        <v>2921</v>
      </c>
      <c r="D461" s="78" t="s">
        <v>3175</v>
      </c>
      <c r="E461" s="79" t="s">
        <v>139</v>
      </c>
      <c r="F461" s="79" t="s">
        <v>3176</v>
      </c>
      <c r="G461" s="79" t="s">
        <v>3150</v>
      </c>
      <c r="H461" s="79"/>
      <c r="I461" s="80" t="s">
        <v>134</v>
      </c>
      <c r="J461" s="583">
        <v>1</v>
      </c>
      <c r="K461" s="583">
        <v>0</v>
      </c>
      <c r="L461" s="92">
        <v>45.48</v>
      </c>
      <c r="M461" s="92">
        <v>45.48</v>
      </c>
      <c r="N461" s="573">
        <v>0.75</v>
      </c>
      <c r="O461" s="556" t="str">
        <f t="shared" si="49"/>
        <v>DIF</v>
      </c>
      <c r="P461" s="573"/>
      <c r="Q461" s="556"/>
      <c r="R461" s="582"/>
    </row>
    <row r="462" ht="35.05" customHeight="1" spans="1:18">
      <c r="A462" s="556"/>
      <c r="B462" s="557"/>
      <c r="C462" s="79" t="s">
        <v>2921</v>
      </c>
      <c r="D462" s="78" t="s">
        <v>3171</v>
      </c>
      <c r="E462" s="79" t="s">
        <v>139</v>
      </c>
      <c r="F462" s="79" t="s">
        <v>3172</v>
      </c>
      <c r="G462" s="79" t="s">
        <v>3150</v>
      </c>
      <c r="H462" s="79"/>
      <c r="I462" s="80" t="s">
        <v>134</v>
      </c>
      <c r="J462" s="583">
        <v>1</v>
      </c>
      <c r="K462" s="583">
        <v>0</v>
      </c>
      <c r="L462" s="92">
        <v>12.45</v>
      </c>
      <c r="M462" s="92">
        <v>12.45</v>
      </c>
      <c r="N462" s="573"/>
      <c r="O462" s="556"/>
      <c r="P462" s="573"/>
      <c r="Q462" s="556"/>
      <c r="R462" s="582"/>
    </row>
    <row r="463" ht="25.5" spans="1:18">
      <c r="A463" s="556"/>
      <c r="B463" s="557"/>
      <c r="C463" s="108"/>
      <c r="D463" s="108"/>
      <c r="E463" s="108"/>
      <c r="F463" s="108"/>
      <c r="G463" s="108"/>
      <c r="H463" s="108" t="s">
        <v>2898</v>
      </c>
      <c r="I463" s="581">
        <v>29.04</v>
      </c>
      <c r="J463" s="108" t="s">
        <v>2899</v>
      </c>
      <c r="K463" s="581">
        <v>0</v>
      </c>
      <c r="L463" s="108" t="s">
        <v>2900</v>
      </c>
      <c r="M463" s="581">
        <v>29.04</v>
      </c>
      <c r="N463" s="573"/>
      <c r="O463" s="556"/>
      <c r="P463" s="573"/>
      <c r="Q463" s="556"/>
      <c r="R463" s="582"/>
    </row>
    <row r="464" ht="26.25" spans="1:18">
      <c r="A464" s="556"/>
      <c r="B464" s="557">
        <f>C463</f>
        <v>0</v>
      </c>
      <c r="C464" s="108"/>
      <c r="D464" s="108"/>
      <c r="E464" s="108"/>
      <c r="F464" s="108"/>
      <c r="G464" s="108"/>
      <c r="H464" s="108" t="s">
        <v>2901</v>
      </c>
      <c r="I464" s="581">
        <v>14.76</v>
      </c>
      <c r="J464" s="114"/>
      <c r="K464" s="114" t="s">
        <v>2902</v>
      </c>
      <c r="L464" s="108"/>
      <c r="M464" s="581">
        <v>72.69</v>
      </c>
      <c r="N464" s="573">
        <v>68.78</v>
      </c>
      <c r="O464" s="556" t="str">
        <f>IF(N464=M464,"OK","DIF")</f>
        <v>DIF</v>
      </c>
      <c r="P464" s="573"/>
      <c r="Q464" s="556"/>
      <c r="R464" s="582"/>
    </row>
    <row r="465" ht="15" spans="1:18">
      <c r="A465" s="556">
        <f>B465</f>
        <v>0</v>
      </c>
      <c r="B465" s="557">
        <f>B464</f>
        <v>0</v>
      </c>
      <c r="C465" s="571"/>
      <c r="D465" s="571"/>
      <c r="E465" s="571"/>
      <c r="F465" s="571"/>
      <c r="G465" s="571"/>
      <c r="H465" s="571"/>
      <c r="I465" s="571"/>
      <c r="J465" s="571"/>
      <c r="K465" s="571"/>
      <c r="L465" s="571"/>
      <c r="M465" s="571"/>
      <c r="N465" s="573">
        <v>56.97</v>
      </c>
      <c r="O465" s="556" t="str">
        <f>IF(N465=M465,"OK","DIF")</f>
        <v>DIF</v>
      </c>
      <c r="P465" s="573"/>
      <c r="Q465" s="556"/>
      <c r="R465" s="582"/>
    </row>
    <row r="466" ht="15" customHeight="1" spans="1:18">
      <c r="A466" s="556">
        <f>B466</f>
        <v>0</v>
      </c>
      <c r="B466" s="557">
        <f>B465</f>
        <v>0</v>
      </c>
      <c r="C466" s="76" t="s">
        <v>247</v>
      </c>
      <c r="D466" s="75" t="s">
        <v>63</v>
      </c>
      <c r="E466" s="76" t="s">
        <v>64</v>
      </c>
      <c r="F466" s="76" t="s">
        <v>65</v>
      </c>
      <c r="G466" s="76" t="s">
        <v>2889</v>
      </c>
      <c r="H466" s="76"/>
      <c r="I466" s="77" t="s">
        <v>66</v>
      </c>
      <c r="J466" s="75" t="s">
        <v>67</v>
      </c>
      <c r="K466" s="75" t="s">
        <v>2890</v>
      </c>
      <c r="L466" s="75" t="s">
        <v>68</v>
      </c>
      <c r="M466" s="75" t="s">
        <v>70</v>
      </c>
      <c r="N466" s="573">
        <v>11.81</v>
      </c>
      <c r="O466" s="556" t="str">
        <f>IF(N466=M466,"OK","DIF")</f>
        <v>DIF</v>
      </c>
      <c r="P466" s="573"/>
      <c r="Q466" s="556"/>
      <c r="R466" s="582"/>
    </row>
    <row r="467" ht="35.05" customHeight="1" spans="1:18">
      <c r="A467" s="556"/>
      <c r="B467" s="557"/>
      <c r="C467" s="569" t="s">
        <v>2891</v>
      </c>
      <c r="D467" s="570" t="s">
        <v>248</v>
      </c>
      <c r="E467" s="569" t="s">
        <v>139</v>
      </c>
      <c r="F467" s="569" t="s">
        <v>249</v>
      </c>
      <c r="G467" s="569" t="s">
        <v>3177</v>
      </c>
      <c r="H467" s="569"/>
      <c r="I467" s="577" t="s">
        <v>134</v>
      </c>
      <c r="J467" s="578">
        <v>1</v>
      </c>
      <c r="K467" s="579"/>
      <c r="L467" s="579">
        <v>85.91</v>
      </c>
      <c r="M467" s="579">
        <v>85.91</v>
      </c>
      <c r="N467" s="573"/>
      <c r="O467" s="556"/>
      <c r="P467" s="573"/>
      <c r="Q467" s="556"/>
      <c r="R467" s="582"/>
    </row>
    <row r="468" ht="23.85" customHeight="1" spans="1:18">
      <c r="A468" s="556"/>
      <c r="B468" s="557"/>
      <c r="C468" s="79" t="s">
        <v>2921</v>
      </c>
      <c r="D468" s="78" t="s">
        <v>3151</v>
      </c>
      <c r="E468" s="79" t="s">
        <v>139</v>
      </c>
      <c r="F468" s="79" t="s">
        <v>3152</v>
      </c>
      <c r="G468" s="79" t="s">
        <v>2928</v>
      </c>
      <c r="H468" s="79"/>
      <c r="I468" s="80" t="s">
        <v>2897</v>
      </c>
      <c r="J468" s="583">
        <v>0.3645</v>
      </c>
      <c r="K468" s="583">
        <v>0</v>
      </c>
      <c r="L468" s="92">
        <v>36.82</v>
      </c>
      <c r="M468" s="92">
        <v>13.42</v>
      </c>
      <c r="N468" s="573"/>
      <c r="O468" s="556"/>
      <c r="P468" s="573"/>
      <c r="Q468" s="556"/>
      <c r="R468" s="582"/>
    </row>
    <row r="469" ht="23.85" customHeight="1" spans="1:18">
      <c r="A469" s="556"/>
      <c r="B469" s="557" t="str">
        <f>C468</f>
        <v>Composição Auxiliar</v>
      </c>
      <c r="C469" s="79" t="s">
        <v>2921</v>
      </c>
      <c r="D469" s="78" t="s">
        <v>3153</v>
      </c>
      <c r="E469" s="79" t="s">
        <v>139</v>
      </c>
      <c r="F469" s="79" t="s">
        <v>3154</v>
      </c>
      <c r="G469" s="79" t="s">
        <v>2928</v>
      </c>
      <c r="H469" s="79"/>
      <c r="I469" s="80" t="s">
        <v>2897</v>
      </c>
      <c r="J469" s="583">
        <v>0.1519</v>
      </c>
      <c r="K469" s="583">
        <v>0</v>
      </c>
      <c r="L469" s="92">
        <v>30.6</v>
      </c>
      <c r="M469" s="92">
        <v>4.64</v>
      </c>
      <c r="N469" s="573">
        <v>28.16</v>
      </c>
      <c r="O469" s="556" t="str">
        <f>IF(N469=M469,"OK","DIF")</f>
        <v>DIF</v>
      </c>
      <c r="P469" s="573"/>
      <c r="Q469" s="556"/>
      <c r="R469" s="582"/>
    </row>
    <row r="470" ht="35.05" customHeight="1" spans="1:18">
      <c r="A470" s="556" t="str">
        <f>B470</f>
        <v>Composição Auxiliar</v>
      </c>
      <c r="B470" s="557" t="str">
        <f>B469</f>
        <v>Composição Auxiliar</v>
      </c>
      <c r="C470" s="100" t="s">
        <v>2893</v>
      </c>
      <c r="D470" s="99" t="s">
        <v>3178</v>
      </c>
      <c r="E470" s="100" t="s">
        <v>139</v>
      </c>
      <c r="F470" s="100" t="s">
        <v>3179</v>
      </c>
      <c r="G470" s="100" t="s">
        <v>2961</v>
      </c>
      <c r="H470" s="100"/>
      <c r="I470" s="101" t="s">
        <v>134</v>
      </c>
      <c r="J470" s="580">
        <v>1</v>
      </c>
      <c r="K470" s="580">
        <v>0</v>
      </c>
      <c r="L470" s="102">
        <v>67.85</v>
      </c>
      <c r="M470" s="102">
        <v>67.85</v>
      </c>
      <c r="N470" s="573">
        <v>20.08</v>
      </c>
      <c r="O470" s="556" t="str">
        <f>IF(N470=M470,"OK","DIF")</f>
        <v>DIF</v>
      </c>
      <c r="P470" s="573"/>
      <c r="Q470" s="556"/>
      <c r="R470" s="582"/>
    </row>
    <row r="471" ht="25.5" spans="1:18">
      <c r="A471" s="556" t="str">
        <f>B471</f>
        <v>Composição Auxiliar</v>
      </c>
      <c r="B471" s="557" t="str">
        <f>B470</f>
        <v>Composição Auxiliar</v>
      </c>
      <c r="C471" s="108"/>
      <c r="D471" s="108"/>
      <c r="E471" s="108"/>
      <c r="F471" s="108"/>
      <c r="G471" s="108"/>
      <c r="H471" s="108" t="s">
        <v>2898</v>
      </c>
      <c r="I471" s="581">
        <v>12.87</v>
      </c>
      <c r="J471" s="108" t="s">
        <v>2899</v>
      </c>
      <c r="K471" s="581">
        <v>0</v>
      </c>
      <c r="L471" s="108" t="s">
        <v>2900</v>
      </c>
      <c r="M471" s="581">
        <v>12.87</v>
      </c>
      <c r="N471" s="573">
        <v>8.08</v>
      </c>
      <c r="O471" s="556" t="str">
        <f>IF(N471=M471,"OK","DIF")</f>
        <v>DIF</v>
      </c>
      <c r="P471" s="573"/>
      <c r="Q471" s="556"/>
      <c r="R471" s="582"/>
    </row>
    <row r="472" ht="26.25" spans="1:18">
      <c r="A472" s="556"/>
      <c r="B472" s="557"/>
      <c r="C472" s="108"/>
      <c r="D472" s="108"/>
      <c r="E472" s="108"/>
      <c r="F472" s="108"/>
      <c r="G472" s="108"/>
      <c r="H472" s="108" t="s">
        <v>2901</v>
      </c>
      <c r="I472" s="581">
        <v>21.89</v>
      </c>
      <c r="J472" s="114"/>
      <c r="K472" s="114" t="s">
        <v>2902</v>
      </c>
      <c r="L472" s="108"/>
      <c r="M472" s="581">
        <v>107.8</v>
      </c>
      <c r="N472" s="573"/>
      <c r="O472" s="556"/>
      <c r="P472" s="573"/>
      <c r="Q472" s="556"/>
      <c r="R472" s="582"/>
    </row>
    <row r="473" ht="15" spans="1:18">
      <c r="A473" s="556"/>
      <c r="B473" s="557"/>
      <c r="C473" s="571"/>
      <c r="D473" s="571"/>
      <c r="E473" s="571"/>
      <c r="F473" s="571"/>
      <c r="G473" s="571"/>
      <c r="H473" s="571"/>
      <c r="I473" s="571"/>
      <c r="J473" s="571"/>
      <c r="K473" s="571"/>
      <c r="L473" s="571"/>
      <c r="M473" s="571"/>
      <c r="N473" s="573"/>
      <c r="O473" s="556"/>
      <c r="P473" s="573"/>
      <c r="Q473" s="556"/>
      <c r="R473" s="582"/>
    </row>
    <row r="474" ht="15" customHeight="1" spans="1:18">
      <c r="A474" s="556"/>
      <c r="B474" s="557">
        <f>C473</f>
        <v>0</v>
      </c>
      <c r="C474" s="76" t="s">
        <v>250</v>
      </c>
      <c r="D474" s="75" t="s">
        <v>63</v>
      </c>
      <c r="E474" s="76" t="s">
        <v>64</v>
      </c>
      <c r="F474" s="76" t="s">
        <v>65</v>
      </c>
      <c r="G474" s="76" t="s">
        <v>2889</v>
      </c>
      <c r="H474" s="76"/>
      <c r="I474" s="77" t="s">
        <v>66</v>
      </c>
      <c r="J474" s="75" t="s">
        <v>67</v>
      </c>
      <c r="K474" s="75" t="s">
        <v>2890</v>
      </c>
      <c r="L474" s="75" t="s">
        <v>68</v>
      </c>
      <c r="M474" s="75" t="s">
        <v>70</v>
      </c>
      <c r="N474" s="573">
        <v>5.19</v>
      </c>
      <c r="O474" s="556" t="str">
        <f>IF(N474=M474,"OK","DIF")</f>
        <v>DIF</v>
      </c>
      <c r="P474" s="573"/>
      <c r="Q474" s="556"/>
      <c r="R474" s="582"/>
    </row>
    <row r="475" ht="35.05" customHeight="1" spans="1:18">
      <c r="A475" s="556">
        <f>B475</f>
        <v>0</v>
      </c>
      <c r="B475" s="557">
        <f>B474</f>
        <v>0</v>
      </c>
      <c r="C475" s="569" t="s">
        <v>2891</v>
      </c>
      <c r="D475" s="570" t="s">
        <v>251</v>
      </c>
      <c r="E475" s="569" t="s">
        <v>139</v>
      </c>
      <c r="F475" s="569" t="s">
        <v>3180</v>
      </c>
      <c r="G475" s="569" t="s">
        <v>3181</v>
      </c>
      <c r="H475" s="569"/>
      <c r="I475" s="577" t="s">
        <v>134</v>
      </c>
      <c r="J475" s="578">
        <v>1</v>
      </c>
      <c r="K475" s="579"/>
      <c r="L475" s="579">
        <v>449.14</v>
      </c>
      <c r="M475" s="579">
        <v>449.14</v>
      </c>
      <c r="N475" s="573">
        <v>5.19</v>
      </c>
      <c r="O475" s="556" t="str">
        <f>IF(N475=M475,"OK","DIF")</f>
        <v>DIF</v>
      </c>
      <c r="P475" s="573"/>
      <c r="Q475" s="556"/>
      <c r="R475" s="582"/>
    </row>
    <row r="476" ht="23.85" customHeight="1" spans="1:18">
      <c r="A476" s="556"/>
      <c r="B476" s="557"/>
      <c r="C476" s="79" t="s">
        <v>2921</v>
      </c>
      <c r="D476" s="78" t="s">
        <v>3151</v>
      </c>
      <c r="E476" s="79" t="s">
        <v>139</v>
      </c>
      <c r="F476" s="79" t="s">
        <v>3152</v>
      </c>
      <c r="G476" s="79" t="s">
        <v>2928</v>
      </c>
      <c r="H476" s="79"/>
      <c r="I476" s="80" t="s">
        <v>2897</v>
      </c>
      <c r="J476" s="583">
        <v>1.4514</v>
      </c>
      <c r="K476" s="583">
        <v>0</v>
      </c>
      <c r="L476" s="92">
        <v>36.82</v>
      </c>
      <c r="M476" s="92">
        <v>53.44</v>
      </c>
      <c r="N476" s="573"/>
      <c r="O476" s="556"/>
      <c r="P476" s="573"/>
      <c r="Q476" s="556"/>
      <c r="R476" s="582"/>
    </row>
    <row r="477" ht="35.05" customHeight="1" spans="1:18">
      <c r="A477" s="556"/>
      <c r="B477" s="557"/>
      <c r="C477" s="79" t="s">
        <v>2921</v>
      </c>
      <c r="D477" s="78" t="s">
        <v>3182</v>
      </c>
      <c r="E477" s="79" t="s">
        <v>139</v>
      </c>
      <c r="F477" s="79" t="s">
        <v>3183</v>
      </c>
      <c r="G477" s="79" t="s">
        <v>3016</v>
      </c>
      <c r="H477" s="79"/>
      <c r="I477" s="80" t="s">
        <v>279</v>
      </c>
      <c r="J477" s="583">
        <v>0.0117</v>
      </c>
      <c r="K477" s="583">
        <v>0</v>
      </c>
      <c r="L477" s="92">
        <v>773.95</v>
      </c>
      <c r="M477" s="92">
        <v>9.05</v>
      </c>
      <c r="N477" s="573"/>
      <c r="O477" s="556"/>
      <c r="P477" s="573"/>
      <c r="Q477" s="556"/>
      <c r="R477" s="582"/>
    </row>
    <row r="478" ht="23.85" customHeight="1" spans="1:18">
      <c r="A478" s="556"/>
      <c r="B478" s="557" t="str">
        <f>C477</f>
        <v>Composição Auxiliar</v>
      </c>
      <c r="C478" s="79" t="s">
        <v>2921</v>
      </c>
      <c r="D478" s="78" t="s">
        <v>3153</v>
      </c>
      <c r="E478" s="79" t="s">
        <v>139</v>
      </c>
      <c r="F478" s="79" t="s">
        <v>3154</v>
      </c>
      <c r="G478" s="79" t="s">
        <v>2928</v>
      </c>
      <c r="H478" s="79"/>
      <c r="I478" s="80" t="s">
        <v>2897</v>
      </c>
      <c r="J478" s="583">
        <v>1.4514</v>
      </c>
      <c r="K478" s="583">
        <v>0</v>
      </c>
      <c r="L478" s="92">
        <v>30.6</v>
      </c>
      <c r="M478" s="92">
        <v>44.41</v>
      </c>
      <c r="N478" s="573">
        <v>2.46</v>
      </c>
      <c r="O478" s="556" t="str">
        <f>IF(N478=M478,"OK","DIF")</f>
        <v>DIF</v>
      </c>
      <c r="P478" s="573"/>
      <c r="Q478" s="556"/>
      <c r="R478" s="582"/>
    </row>
    <row r="479" ht="23.85" customHeight="1" spans="1:18">
      <c r="A479" s="556" t="str">
        <f>B479</f>
        <v>Composição Auxiliar</v>
      </c>
      <c r="B479" s="557" t="str">
        <f>B478</f>
        <v>Composição Auxiliar</v>
      </c>
      <c r="C479" s="100" t="s">
        <v>2893</v>
      </c>
      <c r="D479" s="99" t="s">
        <v>3184</v>
      </c>
      <c r="E479" s="100" t="s">
        <v>139</v>
      </c>
      <c r="F479" s="100" t="s">
        <v>3185</v>
      </c>
      <c r="G479" s="100" t="s">
        <v>2961</v>
      </c>
      <c r="H479" s="100"/>
      <c r="I479" s="101" t="s">
        <v>134</v>
      </c>
      <c r="J479" s="580">
        <v>1</v>
      </c>
      <c r="K479" s="580">
        <v>0</v>
      </c>
      <c r="L479" s="102">
        <v>342.24</v>
      </c>
      <c r="M479" s="102">
        <v>342.24</v>
      </c>
      <c r="N479" s="573">
        <v>1.67</v>
      </c>
      <c r="O479" s="556" t="str">
        <f>IF(N479=M479,"OK","DIF")</f>
        <v>DIF</v>
      </c>
      <c r="P479" s="573"/>
      <c r="Q479" s="556"/>
      <c r="R479" s="582"/>
    </row>
    <row r="480" ht="25.5" spans="1:18">
      <c r="A480" s="556" t="str">
        <f>B480</f>
        <v>Composição Auxiliar</v>
      </c>
      <c r="B480" s="557" t="str">
        <f>B479</f>
        <v>Composição Auxiliar</v>
      </c>
      <c r="C480" s="108"/>
      <c r="D480" s="108"/>
      <c r="E480" s="108"/>
      <c r="F480" s="108"/>
      <c r="G480" s="108"/>
      <c r="H480" s="108" t="s">
        <v>2898</v>
      </c>
      <c r="I480" s="581">
        <v>71.19</v>
      </c>
      <c r="J480" s="108" t="s">
        <v>2899</v>
      </c>
      <c r="K480" s="581">
        <v>0</v>
      </c>
      <c r="L480" s="108" t="s">
        <v>2900</v>
      </c>
      <c r="M480" s="581">
        <v>71.19</v>
      </c>
      <c r="N480" s="573">
        <v>0.79</v>
      </c>
      <c r="O480" s="556" t="str">
        <f>IF(N480=M480,"OK","DIF")</f>
        <v>DIF</v>
      </c>
      <c r="P480" s="573"/>
      <c r="Q480" s="556"/>
      <c r="R480" s="582"/>
    </row>
    <row r="481" ht="26.25" spans="1:18">
      <c r="A481" s="556"/>
      <c r="B481" s="557"/>
      <c r="C481" s="108"/>
      <c r="D481" s="108"/>
      <c r="E481" s="108"/>
      <c r="F481" s="108"/>
      <c r="G481" s="108"/>
      <c r="H481" s="108" t="s">
        <v>2901</v>
      </c>
      <c r="I481" s="581">
        <v>114.48</v>
      </c>
      <c r="J481" s="114"/>
      <c r="K481" s="114" t="s">
        <v>2902</v>
      </c>
      <c r="L481" s="108"/>
      <c r="M481" s="581">
        <v>563.62</v>
      </c>
      <c r="N481" s="573"/>
      <c r="O481" s="556"/>
      <c r="P481" s="573"/>
      <c r="Q481" s="556"/>
      <c r="R481" s="582"/>
    </row>
    <row r="482" ht="15" spans="1:18">
      <c r="A482" s="556"/>
      <c r="B482" s="557"/>
      <c r="C482" s="571"/>
      <c r="D482" s="571"/>
      <c r="E482" s="571"/>
      <c r="F482" s="571"/>
      <c r="G482" s="571"/>
      <c r="H482" s="571"/>
      <c r="I482" s="571"/>
      <c r="J482" s="571"/>
      <c r="K482" s="571"/>
      <c r="L482" s="571"/>
      <c r="M482" s="571"/>
      <c r="N482" s="573"/>
      <c r="O482" s="556"/>
      <c r="P482" s="573"/>
      <c r="Q482" s="556"/>
      <c r="R482" s="582"/>
    </row>
    <row r="483" ht="15" customHeight="1" spans="1:18">
      <c r="A483" s="556"/>
      <c r="B483" s="557">
        <f>C482</f>
        <v>0</v>
      </c>
      <c r="C483" s="76" t="s">
        <v>253</v>
      </c>
      <c r="D483" s="75" t="s">
        <v>63</v>
      </c>
      <c r="E483" s="76" t="s">
        <v>64</v>
      </c>
      <c r="F483" s="76" t="s">
        <v>65</v>
      </c>
      <c r="G483" s="76" t="s">
        <v>2889</v>
      </c>
      <c r="H483" s="76"/>
      <c r="I483" s="77" t="s">
        <v>66</v>
      </c>
      <c r="J483" s="75" t="s">
        <v>67</v>
      </c>
      <c r="K483" s="75" t="s">
        <v>2890</v>
      </c>
      <c r="L483" s="75" t="s">
        <v>68</v>
      </c>
      <c r="M483" s="75" t="s">
        <v>70</v>
      </c>
      <c r="N483" s="573">
        <v>3.54</v>
      </c>
      <c r="O483" s="556" t="str">
        <f>IF(N483=M483,"OK","DIF")</f>
        <v>DIF</v>
      </c>
      <c r="P483" s="573"/>
      <c r="Q483" s="556"/>
      <c r="R483" s="582"/>
    </row>
    <row r="484" ht="35.05" customHeight="1" spans="1:18">
      <c r="A484" s="556">
        <f>B484</f>
        <v>0</v>
      </c>
      <c r="B484" s="557">
        <f>B483</f>
        <v>0</v>
      </c>
      <c r="C484" s="569" t="s">
        <v>2891</v>
      </c>
      <c r="D484" s="570" t="s">
        <v>254</v>
      </c>
      <c r="E484" s="569" t="s">
        <v>139</v>
      </c>
      <c r="F484" s="569" t="s">
        <v>3186</v>
      </c>
      <c r="G484" s="569" t="s">
        <v>3181</v>
      </c>
      <c r="H484" s="569"/>
      <c r="I484" s="577" t="s">
        <v>134</v>
      </c>
      <c r="J484" s="578">
        <v>1</v>
      </c>
      <c r="K484" s="579"/>
      <c r="L484" s="579">
        <v>59.7</v>
      </c>
      <c r="M484" s="579">
        <v>59.7</v>
      </c>
      <c r="N484" s="573">
        <v>2.4</v>
      </c>
      <c r="O484" s="556" t="str">
        <f>IF(N484=M484,"OK","DIF")</f>
        <v>DIF</v>
      </c>
      <c r="P484" s="573"/>
      <c r="Q484" s="556"/>
      <c r="R484" s="582"/>
    </row>
    <row r="485" ht="23.85" customHeight="1" spans="1:18">
      <c r="A485" s="556">
        <f>B485</f>
        <v>0</v>
      </c>
      <c r="B485" s="557">
        <f>B484</f>
        <v>0</v>
      </c>
      <c r="C485" s="79" t="s">
        <v>2921</v>
      </c>
      <c r="D485" s="78" t="s">
        <v>3153</v>
      </c>
      <c r="E485" s="79" t="s">
        <v>139</v>
      </c>
      <c r="F485" s="79" t="s">
        <v>3154</v>
      </c>
      <c r="G485" s="79" t="s">
        <v>2928</v>
      </c>
      <c r="H485" s="79"/>
      <c r="I485" s="80" t="s">
        <v>2897</v>
      </c>
      <c r="J485" s="583">
        <v>0.173585</v>
      </c>
      <c r="K485" s="583">
        <v>0</v>
      </c>
      <c r="L485" s="92">
        <v>30.6</v>
      </c>
      <c r="M485" s="92">
        <v>5.31</v>
      </c>
      <c r="N485" s="573">
        <v>1.14</v>
      </c>
      <c r="O485" s="556" t="str">
        <f>IF(N485=M485,"OK","DIF")</f>
        <v>DIF</v>
      </c>
      <c r="P485" s="573"/>
      <c r="Q485" s="556"/>
      <c r="R485" s="582"/>
    </row>
    <row r="486" ht="23.85" customHeight="1" spans="1:18">
      <c r="A486" s="556"/>
      <c r="B486" s="557"/>
      <c r="C486" s="79" t="s">
        <v>2921</v>
      </c>
      <c r="D486" s="78" t="s">
        <v>3151</v>
      </c>
      <c r="E486" s="79" t="s">
        <v>139</v>
      </c>
      <c r="F486" s="79" t="s">
        <v>3152</v>
      </c>
      <c r="G486" s="79" t="s">
        <v>2928</v>
      </c>
      <c r="H486" s="79"/>
      <c r="I486" s="80" t="s">
        <v>2897</v>
      </c>
      <c r="J486" s="583">
        <v>0.173585</v>
      </c>
      <c r="K486" s="583">
        <v>0</v>
      </c>
      <c r="L486" s="92">
        <v>36.82</v>
      </c>
      <c r="M486" s="92">
        <v>6.39</v>
      </c>
      <c r="N486" s="573"/>
      <c r="O486" s="556"/>
      <c r="P486" s="573"/>
      <c r="Q486" s="556"/>
      <c r="R486" s="582"/>
    </row>
    <row r="487" ht="23.85" customHeight="1" spans="1:18">
      <c r="A487" s="556"/>
      <c r="B487" s="557"/>
      <c r="C487" s="100" t="s">
        <v>2893</v>
      </c>
      <c r="D487" s="99" t="s">
        <v>3187</v>
      </c>
      <c r="E487" s="100" t="s">
        <v>139</v>
      </c>
      <c r="F487" s="100" t="s">
        <v>3188</v>
      </c>
      <c r="G487" s="100" t="s">
        <v>2961</v>
      </c>
      <c r="H487" s="100"/>
      <c r="I487" s="101" t="s">
        <v>134</v>
      </c>
      <c r="J487" s="580">
        <v>2</v>
      </c>
      <c r="K487" s="580">
        <v>0</v>
      </c>
      <c r="L487" s="102">
        <v>1.65</v>
      </c>
      <c r="M487" s="102">
        <v>3.3</v>
      </c>
      <c r="N487" s="573"/>
      <c r="O487" s="556"/>
      <c r="P487" s="573"/>
      <c r="Q487" s="556"/>
      <c r="R487" s="582"/>
    </row>
    <row r="488" ht="15" customHeight="1" spans="1:18">
      <c r="A488" s="556"/>
      <c r="B488" s="557" t="str">
        <f>C487</f>
        <v>Insumo</v>
      </c>
      <c r="C488" s="100" t="s">
        <v>2893</v>
      </c>
      <c r="D488" s="99" t="s">
        <v>3189</v>
      </c>
      <c r="E488" s="100" t="s">
        <v>139</v>
      </c>
      <c r="F488" s="100" t="s">
        <v>3190</v>
      </c>
      <c r="G488" s="100" t="s">
        <v>2961</v>
      </c>
      <c r="H488" s="100"/>
      <c r="I488" s="101" t="s">
        <v>134</v>
      </c>
      <c r="J488" s="580">
        <v>1</v>
      </c>
      <c r="K488" s="580">
        <v>0</v>
      </c>
      <c r="L488" s="102">
        <v>44.7</v>
      </c>
      <c r="M488" s="102">
        <v>44.7</v>
      </c>
      <c r="N488" s="573">
        <v>11.59</v>
      </c>
      <c r="O488" s="556" t="str">
        <f>IF(N488=M488,"OK","DIF")</f>
        <v>DIF</v>
      </c>
      <c r="P488" s="573"/>
      <c r="Q488" s="556"/>
      <c r="R488" s="582"/>
    </row>
    <row r="489" ht="25.5" spans="1:18">
      <c r="A489" s="556" t="str">
        <f>B489</f>
        <v>Insumo</v>
      </c>
      <c r="B489" s="557" t="str">
        <f>B488</f>
        <v>Insumo</v>
      </c>
      <c r="C489" s="108"/>
      <c r="D489" s="108"/>
      <c r="E489" s="108"/>
      <c r="F489" s="108"/>
      <c r="G489" s="108"/>
      <c r="H489" s="108" t="s">
        <v>2898</v>
      </c>
      <c r="I489" s="581">
        <v>8.2</v>
      </c>
      <c r="J489" s="108" t="s">
        <v>2899</v>
      </c>
      <c r="K489" s="581">
        <v>0</v>
      </c>
      <c r="L489" s="108" t="s">
        <v>2900</v>
      </c>
      <c r="M489" s="581">
        <v>8.2</v>
      </c>
      <c r="N489" s="573">
        <v>7.97</v>
      </c>
      <c r="O489" s="556" t="str">
        <f>IF(N489=M489,"OK","DIF")</f>
        <v>DIF</v>
      </c>
      <c r="P489" s="573"/>
      <c r="Q489" s="556"/>
      <c r="R489" s="582"/>
    </row>
    <row r="490" ht="26.25" spans="1:18">
      <c r="A490" s="556" t="str">
        <f>B490</f>
        <v>Insumo</v>
      </c>
      <c r="B490" s="557" t="str">
        <f>B489</f>
        <v>Insumo</v>
      </c>
      <c r="C490" s="108"/>
      <c r="D490" s="108"/>
      <c r="E490" s="108"/>
      <c r="F490" s="108"/>
      <c r="G490" s="108"/>
      <c r="H490" s="108" t="s">
        <v>2901</v>
      </c>
      <c r="I490" s="581">
        <v>15.21</v>
      </c>
      <c r="J490" s="114"/>
      <c r="K490" s="114" t="s">
        <v>2902</v>
      </c>
      <c r="L490" s="108"/>
      <c r="M490" s="581">
        <v>74.91</v>
      </c>
      <c r="N490" s="573">
        <v>3.62</v>
      </c>
      <c r="O490" s="556" t="str">
        <f>IF(N490=M490,"OK","DIF")</f>
        <v>DIF</v>
      </c>
      <c r="P490" s="573"/>
      <c r="Q490" s="556"/>
      <c r="R490" s="582"/>
    </row>
    <row r="491" ht="15" spans="1:18">
      <c r="A491" s="556"/>
      <c r="B491" s="557"/>
      <c r="C491" s="571"/>
      <c r="D491" s="571"/>
      <c r="E491" s="571"/>
      <c r="F491" s="571"/>
      <c r="G491" s="571"/>
      <c r="H491" s="571"/>
      <c r="I491" s="571"/>
      <c r="J491" s="571"/>
      <c r="K491" s="571"/>
      <c r="L491" s="571"/>
      <c r="M491" s="571"/>
      <c r="N491" s="573"/>
      <c r="O491" s="556"/>
      <c r="P491" s="573"/>
      <c r="Q491" s="556"/>
      <c r="R491" s="582"/>
    </row>
    <row r="492" ht="15" customHeight="1" spans="1:18">
      <c r="A492" s="556"/>
      <c r="B492" s="557"/>
      <c r="C492" s="76" t="s">
        <v>256</v>
      </c>
      <c r="D492" s="75" t="s">
        <v>63</v>
      </c>
      <c r="E492" s="76" t="s">
        <v>64</v>
      </c>
      <c r="F492" s="76" t="s">
        <v>65</v>
      </c>
      <c r="G492" s="76" t="s">
        <v>2889</v>
      </c>
      <c r="H492" s="76"/>
      <c r="I492" s="77" t="s">
        <v>66</v>
      </c>
      <c r="J492" s="75" t="s">
        <v>67</v>
      </c>
      <c r="K492" s="75" t="s">
        <v>2890</v>
      </c>
      <c r="L492" s="75" t="s">
        <v>68</v>
      </c>
      <c r="M492" s="75" t="s">
        <v>70</v>
      </c>
      <c r="N492" s="573"/>
      <c r="O492" s="556"/>
      <c r="P492" s="573"/>
      <c r="Q492" s="556"/>
      <c r="R492" s="582"/>
    </row>
    <row r="493" ht="35.05" customHeight="1" spans="1:18">
      <c r="A493" s="556"/>
      <c r="B493" s="557" t="str">
        <f>C492</f>
        <v> 3.3.34 </v>
      </c>
      <c r="C493" s="569" t="s">
        <v>2891</v>
      </c>
      <c r="D493" s="570" t="s">
        <v>257</v>
      </c>
      <c r="E493" s="569" t="s">
        <v>139</v>
      </c>
      <c r="F493" s="569" t="s">
        <v>3191</v>
      </c>
      <c r="G493" s="569" t="s">
        <v>3181</v>
      </c>
      <c r="H493" s="569"/>
      <c r="I493" s="577" t="s">
        <v>134</v>
      </c>
      <c r="J493" s="578">
        <v>1</v>
      </c>
      <c r="K493" s="579"/>
      <c r="L493" s="579">
        <v>12.33</v>
      </c>
      <c r="M493" s="579">
        <v>12.33</v>
      </c>
      <c r="N493" s="573">
        <v>29.95</v>
      </c>
      <c r="O493" s="556" t="str">
        <f>IF(N493=M493,"OK","DIF")</f>
        <v>DIF</v>
      </c>
      <c r="P493" s="573"/>
      <c r="Q493" s="556"/>
      <c r="R493" s="582"/>
    </row>
    <row r="494" ht="23.85" customHeight="1" spans="1:18">
      <c r="A494" s="556" t="str">
        <f>B494</f>
        <v> 3.3.34 </v>
      </c>
      <c r="B494" s="557" t="str">
        <f>B493</f>
        <v> 3.3.34 </v>
      </c>
      <c r="C494" s="79" t="s">
        <v>2921</v>
      </c>
      <c r="D494" s="78" t="s">
        <v>3151</v>
      </c>
      <c r="E494" s="79" t="s">
        <v>139</v>
      </c>
      <c r="F494" s="79" t="s">
        <v>3152</v>
      </c>
      <c r="G494" s="79" t="s">
        <v>2928</v>
      </c>
      <c r="H494" s="79"/>
      <c r="I494" s="80" t="s">
        <v>2897</v>
      </c>
      <c r="J494" s="583">
        <v>0.046843</v>
      </c>
      <c r="K494" s="583">
        <v>0</v>
      </c>
      <c r="L494" s="92">
        <v>36.82</v>
      </c>
      <c r="M494" s="92">
        <v>1.72</v>
      </c>
      <c r="N494" s="573">
        <v>9.36</v>
      </c>
      <c r="O494" s="556" t="str">
        <f>IF(N494=M494,"OK","DIF")</f>
        <v>DIF</v>
      </c>
      <c r="P494" s="573"/>
      <c r="Q494" s="556"/>
      <c r="R494" s="582"/>
    </row>
    <row r="495" ht="23.85" customHeight="1" spans="1:18">
      <c r="A495" s="556" t="str">
        <f>B495</f>
        <v> 3.3.34 </v>
      </c>
      <c r="B495" s="557" t="str">
        <f>B494</f>
        <v> 3.3.34 </v>
      </c>
      <c r="C495" s="79" t="s">
        <v>2921</v>
      </c>
      <c r="D495" s="78" t="s">
        <v>3153</v>
      </c>
      <c r="E495" s="79" t="s">
        <v>139</v>
      </c>
      <c r="F495" s="79" t="s">
        <v>3154</v>
      </c>
      <c r="G495" s="79" t="s">
        <v>2928</v>
      </c>
      <c r="H495" s="79"/>
      <c r="I495" s="80" t="s">
        <v>2897</v>
      </c>
      <c r="J495" s="583">
        <v>0.046843</v>
      </c>
      <c r="K495" s="583">
        <v>0</v>
      </c>
      <c r="L495" s="92">
        <v>30.6</v>
      </c>
      <c r="M495" s="92">
        <v>1.43</v>
      </c>
      <c r="N495" s="573">
        <v>20.59</v>
      </c>
      <c r="O495" s="556" t="str">
        <f>IF(N495=M495,"OK","DIF")</f>
        <v>DIF</v>
      </c>
      <c r="P495" s="573"/>
      <c r="Q495" s="556"/>
      <c r="R495" s="582"/>
    </row>
    <row r="496" ht="23.85" customHeight="1" spans="1:18">
      <c r="A496" s="556"/>
      <c r="B496" s="557"/>
      <c r="C496" s="100" t="s">
        <v>2893</v>
      </c>
      <c r="D496" s="99" t="s">
        <v>3192</v>
      </c>
      <c r="E496" s="100" t="s">
        <v>139</v>
      </c>
      <c r="F496" s="100" t="s">
        <v>3193</v>
      </c>
      <c r="G496" s="100" t="s">
        <v>2961</v>
      </c>
      <c r="H496" s="100"/>
      <c r="I496" s="101" t="s">
        <v>134</v>
      </c>
      <c r="J496" s="580">
        <v>1</v>
      </c>
      <c r="K496" s="580">
        <v>0</v>
      </c>
      <c r="L496" s="102">
        <v>1.38</v>
      </c>
      <c r="M496" s="102">
        <v>1.38</v>
      </c>
      <c r="N496" s="573"/>
      <c r="O496" s="556"/>
      <c r="P496" s="573"/>
      <c r="Q496" s="556"/>
      <c r="R496" s="582"/>
    </row>
    <row r="497" ht="23.85" customHeight="1" spans="1:18">
      <c r="A497" s="556"/>
      <c r="B497" s="557"/>
      <c r="C497" s="100" t="s">
        <v>2893</v>
      </c>
      <c r="D497" s="99" t="s">
        <v>3194</v>
      </c>
      <c r="E497" s="100" t="s">
        <v>139</v>
      </c>
      <c r="F497" s="100" t="s">
        <v>3195</v>
      </c>
      <c r="G497" s="100" t="s">
        <v>2961</v>
      </c>
      <c r="H497" s="100"/>
      <c r="I497" s="101" t="s">
        <v>134</v>
      </c>
      <c r="J497" s="580">
        <v>1</v>
      </c>
      <c r="K497" s="580">
        <v>0</v>
      </c>
      <c r="L497" s="102">
        <v>7.8</v>
      </c>
      <c r="M497" s="102">
        <v>7.8</v>
      </c>
      <c r="N497" s="573"/>
      <c r="O497" s="556"/>
      <c r="P497" s="573"/>
      <c r="Q497" s="556"/>
      <c r="R497" s="582"/>
    </row>
    <row r="498" ht="25.5" spans="1:18">
      <c r="A498" s="556"/>
      <c r="B498" s="557" t="str">
        <f>C497</f>
        <v>Insumo</v>
      </c>
      <c r="C498" s="108"/>
      <c r="D498" s="108"/>
      <c r="E498" s="108"/>
      <c r="F498" s="108"/>
      <c r="G498" s="108"/>
      <c r="H498" s="108" t="s">
        <v>2898</v>
      </c>
      <c r="I498" s="581">
        <v>2.21</v>
      </c>
      <c r="J498" s="108" t="s">
        <v>2899</v>
      </c>
      <c r="K498" s="581">
        <v>0</v>
      </c>
      <c r="L498" s="108" t="s">
        <v>2900</v>
      </c>
      <c r="M498" s="581">
        <v>2.21</v>
      </c>
      <c r="N498" s="573">
        <v>26.86</v>
      </c>
      <c r="O498" s="556" t="str">
        <f>IF(N498=M498,"OK","DIF")</f>
        <v>DIF</v>
      </c>
      <c r="P498" s="573"/>
      <c r="Q498" s="556"/>
      <c r="R498" s="582"/>
    </row>
    <row r="499" ht="26.25" spans="1:18">
      <c r="A499" s="556" t="str">
        <f>B499</f>
        <v>Insumo</v>
      </c>
      <c r="B499" s="557" t="str">
        <f>B498</f>
        <v>Insumo</v>
      </c>
      <c r="C499" s="108"/>
      <c r="D499" s="108"/>
      <c r="E499" s="108"/>
      <c r="F499" s="108"/>
      <c r="G499" s="108"/>
      <c r="H499" s="108" t="s">
        <v>2901</v>
      </c>
      <c r="I499" s="581">
        <v>3.14</v>
      </c>
      <c r="J499" s="114"/>
      <c r="K499" s="114" t="s">
        <v>2902</v>
      </c>
      <c r="L499" s="108"/>
      <c r="M499" s="581">
        <v>15.47</v>
      </c>
      <c r="N499" s="573">
        <v>14.56</v>
      </c>
      <c r="O499" s="556" t="str">
        <f>IF(N499=M499,"OK","DIF")</f>
        <v>DIF</v>
      </c>
      <c r="P499" s="573"/>
      <c r="Q499" s="556"/>
      <c r="R499" s="582"/>
    </row>
    <row r="500" ht="15" spans="1:18">
      <c r="A500" s="556" t="str">
        <f>B500</f>
        <v>Insumo</v>
      </c>
      <c r="B500" s="557" t="str">
        <f>B499</f>
        <v>Insumo</v>
      </c>
      <c r="C500" s="571"/>
      <c r="D500" s="571"/>
      <c r="E500" s="571"/>
      <c r="F500" s="571"/>
      <c r="G500" s="571"/>
      <c r="H500" s="571"/>
      <c r="I500" s="571"/>
      <c r="J500" s="571"/>
      <c r="K500" s="571"/>
      <c r="L500" s="571"/>
      <c r="M500" s="571"/>
      <c r="N500" s="573">
        <v>12.3</v>
      </c>
      <c r="O500" s="556" t="str">
        <f>IF(N500=M500,"OK","DIF")</f>
        <v>DIF</v>
      </c>
      <c r="P500" s="573"/>
      <c r="Q500" s="556"/>
      <c r="R500" s="582"/>
    </row>
    <row r="501" ht="15" customHeight="1" spans="1:18">
      <c r="A501" s="556"/>
      <c r="B501" s="557"/>
      <c r="C501" s="76" t="s">
        <v>259</v>
      </c>
      <c r="D501" s="75" t="s">
        <v>63</v>
      </c>
      <c r="E501" s="76" t="s">
        <v>64</v>
      </c>
      <c r="F501" s="76" t="s">
        <v>65</v>
      </c>
      <c r="G501" s="76" t="s">
        <v>2889</v>
      </c>
      <c r="H501" s="76"/>
      <c r="I501" s="77" t="s">
        <v>66</v>
      </c>
      <c r="J501" s="75" t="s">
        <v>67</v>
      </c>
      <c r="K501" s="75" t="s">
        <v>2890</v>
      </c>
      <c r="L501" s="75" t="s">
        <v>68</v>
      </c>
      <c r="M501" s="75" t="s">
        <v>70</v>
      </c>
      <c r="N501" s="573"/>
      <c r="O501" s="556"/>
      <c r="P501" s="573"/>
      <c r="Q501" s="556"/>
      <c r="R501" s="582"/>
    </row>
    <row r="502" ht="35.05" customHeight="1" spans="1:18">
      <c r="A502" s="556"/>
      <c r="B502" s="557"/>
      <c r="C502" s="569" t="s">
        <v>2891</v>
      </c>
      <c r="D502" s="570" t="s">
        <v>260</v>
      </c>
      <c r="E502" s="569" t="s">
        <v>132</v>
      </c>
      <c r="F502" s="569" t="s">
        <v>261</v>
      </c>
      <c r="G502" s="569" t="s">
        <v>2920</v>
      </c>
      <c r="H502" s="569"/>
      <c r="I502" s="577" t="s">
        <v>134</v>
      </c>
      <c r="J502" s="578">
        <v>1</v>
      </c>
      <c r="K502" s="579"/>
      <c r="L502" s="579">
        <v>775.49</v>
      </c>
      <c r="M502" s="579">
        <v>775.49</v>
      </c>
      <c r="N502" s="573"/>
      <c r="O502" s="556"/>
      <c r="P502" s="573"/>
      <c r="Q502" s="556"/>
      <c r="R502" s="582"/>
    </row>
    <row r="503" ht="23.85" customHeight="1" spans="1:18">
      <c r="A503" s="556"/>
      <c r="B503" s="557" t="str">
        <f>C502</f>
        <v>Composição</v>
      </c>
      <c r="C503" s="79" t="s">
        <v>2921</v>
      </c>
      <c r="D503" s="78" t="s">
        <v>3196</v>
      </c>
      <c r="E503" s="79" t="s">
        <v>139</v>
      </c>
      <c r="F503" s="79" t="s">
        <v>3197</v>
      </c>
      <c r="G503" s="79" t="s">
        <v>3198</v>
      </c>
      <c r="H503" s="79"/>
      <c r="I503" s="80" t="s">
        <v>134</v>
      </c>
      <c r="J503" s="583">
        <v>1</v>
      </c>
      <c r="K503" s="583">
        <v>0</v>
      </c>
      <c r="L503" s="92">
        <v>72.76</v>
      </c>
      <c r="M503" s="92">
        <v>72.76</v>
      </c>
      <c r="N503" s="573">
        <v>19.17</v>
      </c>
      <c r="O503" s="556" t="str">
        <f>IF(N503=M503,"OK","DIF")</f>
        <v>DIF</v>
      </c>
      <c r="P503" s="573"/>
      <c r="Q503" s="556"/>
      <c r="R503" s="582"/>
    </row>
    <row r="504" ht="23.85" customHeight="1" spans="1:18">
      <c r="A504" s="556" t="str">
        <f>B504</f>
        <v>Composição</v>
      </c>
      <c r="B504" s="557" t="str">
        <f>B503</f>
        <v>Composição</v>
      </c>
      <c r="C504" s="79" t="s">
        <v>2921</v>
      </c>
      <c r="D504" s="78" t="s">
        <v>747</v>
      </c>
      <c r="E504" s="79" t="s">
        <v>139</v>
      </c>
      <c r="F504" s="79" t="s">
        <v>748</v>
      </c>
      <c r="G504" s="79" t="s">
        <v>3135</v>
      </c>
      <c r="H504" s="79"/>
      <c r="I504" s="80" t="s">
        <v>134</v>
      </c>
      <c r="J504" s="583">
        <v>3</v>
      </c>
      <c r="K504" s="583">
        <v>0</v>
      </c>
      <c r="L504" s="92">
        <v>10.82</v>
      </c>
      <c r="M504" s="92">
        <v>32.46</v>
      </c>
      <c r="N504" s="573">
        <v>10.4</v>
      </c>
      <c r="O504" s="556" t="str">
        <f>IF(N504=M504,"OK","DIF")</f>
        <v>DIF</v>
      </c>
      <c r="P504" s="573"/>
      <c r="Q504" s="556"/>
      <c r="R504" s="582"/>
    </row>
    <row r="505" ht="35.05" customHeight="1" spans="1:18">
      <c r="A505" s="556" t="str">
        <f>B505</f>
        <v>Composição</v>
      </c>
      <c r="B505" s="557" t="str">
        <f>B504</f>
        <v>Composição</v>
      </c>
      <c r="C505" s="79" t="s">
        <v>2921</v>
      </c>
      <c r="D505" s="78" t="s">
        <v>3199</v>
      </c>
      <c r="E505" s="79" t="s">
        <v>139</v>
      </c>
      <c r="F505" s="79" t="s">
        <v>3200</v>
      </c>
      <c r="G505" s="79" t="s">
        <v>3201</v>
      </c>
      <c r="H505" s="79"/>
      <c r="I505" s="80" t="s">
        <v>134</v>
      </c>
      <c r="J505" s="583">
        <v>2</v>
      </c>
      <c r="K505" s="583">
        <v>0</v>
      </c>
      <c r="L505" s="92">
        <v>7.99</v>
      </c>
      <c r="M505" s="92">
        <v>15.98</v>
      </c>
      <c r="N505" s="573">
        <v>8.77</v>
      </c>
      <c r="O505" s="556" t="str">
        <f>IF(N505=M505,"OK","DIF")</f>
        <v>DIF</v>
      </c>
      <c r="P505" s="573"/>
      <c r="Q505" s="556"/>
      <c r="R505" s="582"/>
    </row>
    <row r="506" ht="35.05" customHeight="1" spans="1:18">
      <c r="A506" s="556"/>
      <c r="B506" s="557"/>
      <c r="C506" s="79" t="s">
        <v>2921</v>
      </c>
      <c r="D506" s="78" t="s">
        <v>3202</v>
      </c>
      <c r="E506" s="79" t="s">
        <v>139</v>
      </c>
      <c r="F506" s="79" t="s">
        <v>3203</v>
      </c>
      <c r="G506" s="79" t="s">
        <v>3201</v>
      </c>
      <c r="H506" s="79"/>
      <c r="I506" s="80" t="s">
        <v>134</v>
      </c>
      <c r="J506" s="583">
        <v>1</v>
      </c>
      <c r="K506" s="583">
        <v>0</v>
      </c>
      <c r="L506" s="92">
        <v>22.11</v>
      </c>
      <c r="M506" s="92">
        <v>22.11</v>
      </c>
      <c r="N506" s="573"/>
      <c r="O506" s="556"/>
      <c r="P506" s="573"/>
      <c r="Q506" s="556"/>
      <c r="R506" s="582"/>
    </row>
    <row r="507" ht="35.05" customHeight="1" spans="1:18">
      <c r="A507" s="556"/>
      <c r="B507" s="557"/>
      <c r="C507" s="79" t="s">
        <v>2921</v>
      </c>
      <c r="D507" s="78" t="s">
        <v>3204</v>
      </c>
      <c r="E507" s="79" t="s">
        <v>139</v>
      </c>
      <c r="F507" s="79" t="s">
        <v>3205</v>
      </c>
      <c r="G507" s="79" t="s">
        <v>3201</v>
      </c>
      <c r="H507" s="79"/>
      <c r="I507" s="80" t="s">
        <v>204</v>
      </c>
      <c r="J507" s="583">
        <v>19</v>
      </c>
      <c r="K507" s="583">
        <v>0</v>
      </c>
      <c r="L507" s="92">
        <v>7.55</v>
      </c>
      <c r="M507" s="92">
        <v>143.45</v>
      </c>
      <c r="N507" s="573"/>
      <c r="O507" s="556"/>
      <c r="P507" s="573"/>
      <c r="Q507" s="556"/>
      <c r="R507" s="582"/>
    </row>
    <row r="508" ht="35.05" customHeight="1" spans="1:18">
      <c r="A508" s="556"/>
      <c r="B508" s="557" t="str">
        <f>C507</f>
        <v>Composição Auxiliar</v>
      </c>
      <c r="C508" s="79" t="s">
        <v>2921</v>
      </c>
      <c r="D508" s="78" t="s">
        <v>3206</v>
      </c>
      <c r="E508" s="79" t="s">
        <v>139</v>
      </c>
      <c r="F508" s="79" t="s">
        <v>3207</v>
      </c>
      <c r="G508" s="79" t="s">
        <v>3129</v>
      </c>
      <c r="H508" s="79"/>
      <c r="I508" s="80" t="s">
        <v>134</v>
      </c>
      <c r="J508" s="583">
        <v>1</v>
      </c>
      <c r="K508" s="583">
        <v>0</v>
      </c>
      <c r="L508" s="92">
        <v>49.73</v>
      </c>
      <c r="M508" s="92">
        <v>49.73</v>
      </c>
      <c r="N508" s="573">
        <v>4.33</v>
      </c>
      <c r="O508" s="556" t="str">
        <f>IF(N508=M508,"OK","DIF")</f>
        <v>DIF</v>
      </c>
      <c r="P508" s="573"/>
      <c r="Q508" s="556"/>
      <c r="R508" s="582"/>
    </row>
    <row r="509" ht="23.85" customHeight="1" spans="1:18">
      <c r="A509" s="556" t="str">
        <f>B509</f>
        <v>Composição Auxiliar</v>
      </c>
      <c r="B509" s="557" t="str">
        <f>B508</f>
        <v>Composição Auxiliar</v>
      </c>
      <c r="C509" s="100" t="s">
        <v>2893</v>
      </c>
      <c r="D509" s="99" t="s">
        <v>3208</v>
      </c>
      <c r="E509" s="100" t="s">
        <v>139</v>
      </c>
      <c r="F509" s="100" t="s">
        <v>3209</v>
      </c>
      <c r="G509" s="100" t="s">
        <v>2961</v>
      </c>
      <c r="H509" s="100"/>
      <c r="I509" s="101" t="s">
        <v>134</v>
      </c>
      <c r="J509" s="580">
        <v>1</v>
      </c>
      <c r="K509" s="580">
        <v>0</v>
      </c>
      <c r="L509" s="102">
        <v>439</v>
      </c>
      <c r="M509" s="102">
        <v>439</v>
      </c>
      <c r="N509" s="573">
        <v>2.99</v>
      </c>
      <c r="O509" s="556" t="str">
        <f>IF(N509=M509,"OK","DIF")</f>
        <v>DIF</v>
      </c>
      <c r="P509" s="573"/>
      <c r="Q509" s="556"/>
      <c r="R509" s="582"/>
    </row>
    <row r="510" ht="25.5" spans="1:18">
      <c r="A510" s="556" t="str">
        <f>B510</f>
        <v>Composição Auxiliar</v>
      </c>
      <c r="B510" s="557" t="str">
        <f>B509</f>
        <v>Composição Auxiliar</v>
      </c>
      <c r="C510" s="108"/>
      <c r="D510" s="108"/>
      <c r="E510" s="108"/>
      <c r="F510" s="108"/>
      <c r="G510" s="108"/>
      <c r="H510" s="108" t="s">
        <v>2898</v>
      </c>
      <c r="I510" s="581">
        <v>95.46</v>
      </c>
      <c r="J510" s="108" t="s">
        <v>2899</v>
      </c>
      <c r="K510" s="581">
        <v>0</v>
      </c>
      <c r="L510" s="108" t="s">
        <v>2900</v>
      </c>
      <c r="M510" s="581">
        <v>95.46</v>
      </c>
      <c r="N510" s="573">
        <v>1.34</v>
      </c>
      <c r="O510" s="556" t="str">
        <f>IF(N510=M510,"OK","DIF")</f>
        <v>DIF</v>
      </c>
      <c r="P510" s="573"/>
      <c r="Q510" s="556"/>
      <c r="R510" s="582"/>
    </row>
    <row r="511" ht="26.25" spans="1:18">
      <c r="A511" s="556"/>
      <c r="B511" s="557"/>
      <c r="C511" s="108"/>
      <c r="D511" s="108"/>
      <c r="E511" s="108"/>
      <c r="F511" s="108"/>
      <c r="G511" s="108"/>
      <c r="H511" s="108" t="s">
        <v>2901</v>
      </c>
      <c r="I511" s="581">
        <v>197.67</v>
      </c>
      <c r="J511" s="114"/>
      <c r="K511" s="114" t="s">
        <v>2902</v>
      </c>
      <c r="L511" s="108"/>
      <c r="M511" s="581">
        <v>973.16</v>
      </c>
      <c r="N511" s="573"/>
      <c r="O511" s="556"/>
      <c r="P511" s="573"/>
      <c r="Q511" s="556"/>
      <c r="R511" s="582"/>
    </row>
    <row r="512" ht="15" spans="1:18">
      <c r="A512" s="556"/>
      <c r="B512" s="557"/>
      <c r="C512" s="571"/>
      <c r="D512" s="571"/>
      <c r="E512" s="571"/>
      <c r="F512" s="571"/>
      <c r="G512" s="571"/>
      <c r="H512" s="571"/>
      <c r="I512" s="571"/>
      <c r="J512" s="571"/>
      <c r="K512" s="571"/>
      <c r="L512" s="571"/>
      <c r="M512" s="571"/>
      <c r="N512" s="573"/>
      <c r="O512" s="556"/>
      <c r="P512" s="573"/>
      <c r="Q512" s="556"/>
      <c r="R512" s="582"/>
    </row>
    <row r="513" ht="15" customHeight="1" spans="1:18">
      <c r="A513" s="556"/>
      <c r="B513" s="557">
        <f>C512</f>
        <v>0</v>
      </c>
      <c r="C513" s="76" t="s">
        <v>262</v>
      </c>
      <c r="D513" s="75" t="s">
        <v>63</v>
      </c>
      <c r="E513" s="76" t="s">
        <v>64</v>
      </c>
      <c r="F513" s="76" t="s">
        <v>65</v>
      </c>
      <c r="G513" s="76" t="s">
        <v>2889</v>
      </c>
      <c r="H513" s="76"/>
      <c r="I513" s="77" t="s">
        <v>66</v>
      </c>
      <c r="J513" s="75" t="s">
        <v>67</v>
      </c>
      <c r="K513" s="75" t="s">
        <v>2890</v>
      </c>
      <c r="L513" s="75" t="s">
        <v>68</v>
      </c>
      <c r="M513" s="75" t="s">
        <v>70</v>
      </c>
      <c r="N513" s="573">
        <v>9.33</v>
      </c>
      <c r="O513" s="556" t="str">
        <f>IF(N513=M513,"OK","DIF")</f>
        <v>DIF</v>
      </c>
      <c r="P513" s="573"/>
      <c r="Q513" s="556"/>
      <c r="R513" s="582"/>
    </row>
    <row r="514" ht="35.05" customHeight="1" spans="1:18">
      <c r="A514" s="556">
        <f>B514</f>
        <v>0</v>
      </c>
      <c r="B514" s="557">
        <f>B513</f>
        <v>0</v>
      </c>
      <c r="C514" s="569" t="s">
        <v>2891</v>
      </c>
      <c r="D514" s="570" t="s">
        <v>263</v>
      </c>
      <c r="E514" s="569" t="s">
        <v>132</v>
      </c>
      <c r="F514" s="569" t="s">
        <v>264</v>
      </c>
      <c r="G514" s="569" t="s">
        <v>2920</v>
      </c>
      <c r="H514" s="569"/>
      <c r="I514" s="577" t="s">
        <v>141</v>
      </c>
      <c r="J514" s="578">
        <v>1</v>
      </c>
      <c r="K514" s="579"/>
      <c r="L514" s="579">
        <v>279.47</v>
      </c>
      <c r="M514" s="579">
        <v>279.47</v>
      </c>
      <c r="N514" s="573">
        <v>6.45</v>
      </c>
      <c r="O514" s="556" t="str">
        <f>IF(N514=M514,"OK","DIF")</f>
        <v>DIF</v>
      </c>
      <c r="P514" s="573"/>
      <c r="Q514" s="556"/>
      <c r="R514" s="582"/>
    </row>
    <row r="515" ht="35.05" customHeight="1" spans="1:18">
      <c r="A515" s="556">
        <f>B515</f>
        <v>0</v>
      </c>
      <c r="B515" s="557">
        <f>B514</f>
        <v>0</v>
      </c>
      <c r="C515" s="79" t="s">
        <v>2921</v>
      </c>
      <c r="D515" s="78" t="s">
        <v>239</v>
      </c>
      <c r="E515" s="79" t="s">
        <v>139</v>
      </c>
      <c r="F515" s="79" t="s">
        <v>240</v>
      </c>
      <c r="G515" s="79" t="s">
        <v>3150</v>
      </c>
      <c r="H515" s="79"/>
      <c r="I515" s="80" t="s">
        <v>134</v>
      </c>
      <c r="J515" s="583">
        <v>0.0331</v>
      </c>
      <c r="K515" s="583">
        <v>0</v>
      </c>
      <c r="L515" s="92">
        <v>35.53</v>
      </c>
      <c r="M515" s="92">
        <v>1.17</v>
      </c>
      <c r="N515" s="573">
        <v>2.88</v>
      </c>
      <c r="O515" s="556" t="str">
        <f>IF(N515=M515,"OK","DIF")</f>
        <v>DIF</v>
      </c>
      <c r="P515" s="573"/>
      <c r="Q515" s="556"/>
      <c r="R515" s="582"/>
    </row>
    <row r="516" ht="23.85" customHeight="1" spans="1:18">
      <c r="A516" s="556"/>
      <c r="B516" s="557"/>
      <c r="C516" s="79" t="s">
        <v>2921</v>
      </c>
      <c r="D516" s="78" t="s">
        <v>2727</v>
      </c>
      <c r="E516" s="79" t="s">
        <v>139</v>
      </c>
      <c r="F516" s="79" t="s">
        <v>2728</v>
      </c>
      <c r="G516" s="79" t="s">
        <v>3079</v>
      </c>
      <c r="H516" s="79"/>
      <c r="I516" s="80" t="s">
        <v>141</v>
      </c>
      <c r="J516" s="583">
        <v>0.4837</v>
      </c>
      <c r="K516" s="583">
        <v>0</v>
      </c>
      <c r="L516" s="92">
        <v>15.19</v>
      </c>
      <c r="M516" s="92">
        <v>7.34</v>
      </c>
      <c r="N516" s="573"/>
      <c r="O516" s="556"/>
      <c r="P516" s="573"/>
      <c r="Q516" s="556"/>
      <c r="R516" s="582"/>
    </row>
    <row r="517" ht="35.05" customHeight="1" spans="1:18">
      <c r="A517" s="556"/>
      <c r="B517" s="557"/>
      <c r="C517" s="79" t="s">
        <v>2921</v>
      </c>
      <c r="D517" s="78" t="s">
        <v>3210</v>
      </c>
      <c r="E517" s="79" t="s">
        <v>139</v>
      </c>
      <c r="F517" s="79" t="s">
        <v>3211</v>
      </c>
      <c r="G517" s="79" t="s">
        <v>3150</v>
      </c>
      <c r="H517" s="79"/>
      <c r="I517" s="80" t="s">
        <v>134</v>
      </c>
      <c r="J517" s="583">
        <v>0.0331</v>
      </c>
      <c r="K517" s="583">
        <v>0</v>
      </c>
      <c r="L517" s="92">
        <v>37.42</v>
      </c>
      <c r="M517" s="92">
        <v>1.23</v>
      </c>
      <c r="N517" s="573"/>
      <c r="O517" s="556"/>
      <c r="P517" s="573"/>
      <c r="Q517" s="556"/>
      <c r="R517" s="582"/>
    </row>
    <row r="518" ht="46.25" customHeight="1" spans="1:18">
      <c r="A518" s="556"/>
      <c r="B518" s="557" t="str">
        <f>C517</f>
        <v>Composição Auxiliar</v>
      </c>
      <c r="C518" s="79" t="s">
        <v>2921</v>
      </c>
      <c r="D518" s="78" t="s">
        <v>199</v>
      </c>
      <c r="E518" s="79" t="s">
        <v>139</v>
      </c>
      <c r="F518" s="79" t="s">
        <v>200</v>
      </c>
      <c r="G518" s="79" t="s">
        <v>3094</v>
      </c>
      <c r="H518" s="79"/>
      <c r="I518" s="80" t="s">
        <v>141</v>
      </c>
      <c r="J518" s="583">
        <v>1.2467</v>
      </c>
      <c r="K518" s="583">
        <v>0</v>
      </c>
      <c r="L518" s="92">
        <v>55.89</v>
      </c>
      <c r="M518" s="92">
        <v>69.67</v>
      </c>
      <c r="N518" s="573">
        <v>0.8</v>
      </c>
      <c r="O518" s="556" t="str">
        <f>IF(N518=M518,"OK","DIF")</f>
        <v>DIF</v>
      </c>
      <c r="P518" s="573"/>
      <c r="Q518" s="556"/>
      <c r="R518" s="582"/>
    </row>
    <row r="519" ht="35.05" customHeight="1" spans="1:18">
      <c r="A519" s="556" t="str">
        <f>B519</f>
        <v>Composição Auxiliar</v>
      </c>
      <c r="B519" s="557" t="str">
        <f>B518</f>
        <v>Composição Auxiliar</v>
      </c>
      <c r="C519" s="79" t="s">
        <v>2921</v>
      </c>
      <c r="D519" s="78" t="s">
        <v>3212</v>
      </c>
      <c r="E519" s="79" t="s">
        <v>139</v>
      </c>
      <c r="F519" s="79" t="s">
        <v>3213</v>
      </c>
      <c r="G519" s="79" t="s">
        <v>3177</v>
      </c>
      <c r="H519" s="79"/>
      <c r="I519" s="80" t="s">
        <v>204</v>
      </c>
      <c r="J519" s="583">
        <v>0.1656</v>
      </c>
      <c r="K519" s="583">
        <v>0</v>
      </c>
      <c r="L519" s="92">
        <v>16.87</v>
      </c>
      <c r="M519" s="92">
        <v>2.79</v>
      </c>
      <c r="N519" s="573">
        <v>0.25</v>
      </c>
      <c r="O519" s="556" t="str">
        <f>IF(N519=M519,"OK","DIF")</f>
        <v>DIF</v>
      </c>
      <c r="P519" s="573"/>
      <c r="Q519" s="556"/>
      <c r="R519" s="582"/>
    </row>
    <row r="520" ht="15" customHeight="1" spans="1:18">
      <c r="A520" s="556" t="str">
        <f>B520</f>
        <v>Composição Auxiliar</v>
      </c>
      <c r="B520" s="557" t="str">
        <f>B519</f>
        <v>Composição Auxiliar</v>
      </c>
      <c r="C520" s="79" t="s">
        <v>2921</v>
      </c>
      <c r="D520" s="78" t="s">
        <v>375</v>
      </c>
      <c r="E520" s="79" t="s">
        <v>139</v>
      </c>
      <c r="F520" s="79" t="s">
        <v>3214</v>
      </c>
      <c r="G520" s="79" t="s">
        <v>3215</v>
      </c>
      <c r="H520" s="79"/>
      <c r="I520" s="80" t="s">
        <v>279</v>
      </c>
      <c r="J520" s="583">
        <v>0.0013</v>
      </c>
      <c r="K520" s="583">
        <v>0</v>
      </c>
      <c r="L520" s="92">
        <v>115.31</v>
      </c>
      <c r="M520" s="92">
        <v>0.14</v>
      </c>
      <c r="N520" s="573">
        <v>0.55</v>
      </c>
      <c r="O520" s="556" t="str">
        <f>IF(N520=M520,"OK","DIF")</f>
        <v>DIF</v>
      </c>
      <c r="P520" s="573"/>
      <c r="Q520" s="556"/>
      <c r="R520" s="582"/>
    </row>
    <row r="521" ht="35.05" customHeight="1" spans="1:18">
      <c r="A521" s="556"/>
      <c r="B521" s="557"/>
      <c r="C521" s="79" t="s">
        <v>2921</v>
      </c>
      <c r="D521" s="78" t="s">
        <v>3216</v>
      </c>
      <c r="E521" s="79" t="s">
        <v>139</v>
      </c>
      <c r="F521" s="79" t="s">
        <v>3217</v>
      </c>
      <c r="G521" s="79" t="s">
        <v>3218</v>
      </c>
      <c r="H521" s="79"/>
      <c r="I521" s="80" t="s">
        <v>134</v>
      </c>
      <c r="J521" s="583">
        <v>0.0331</v>
      </c>
      <c r="K521" s="583">
        <v>0</v>
      </c>
      <c r="L521" s="92">
        <v>193.84</v>
      </c>
      <c r="M521" s="92">
        <v>6.41</v>
      </c>
      <c r="N521" s="573"/>
      <c r="O521" s="556"/>
      <c r="P521" s="573"/>
      <c r="Q521" s="556"/>
      <c r="R521" s="582"/>
    </row>
    <row r="522" ht="23.85" customHeight="1" spans="1:18">
      <c r="A522" s="556"/>
      <c r="B522" s="557"/>
      <c r="C522" s="79" t="s">
        <v>2921</v>
      </c>
      <c r="D522" s="78" t="s">
        <v>3219</v>
      </c>
      <c r="E522" s="79" t="s">
        <v>139</v>
      </c>
      <c r="F522" s="79" t="s">
        <v>3220</v>
      </c>
      <c r="G522" s="79" t="s">
        <v>3221</v>
      </c>
      <c r="H522" s="79"/>
      <c r="I522" s="80" t="s">
        <v>134</v>
      </c>
      <c r="J522" s="583">
        <v>0.0331</v>
      </c>
      <c r="K522" s="583">
        <v>0</v>
      </c>
      <c r="L522" s="92">
        <v>82.4</v>
      </c>
      <c r="M522" s="92">
        <v>2.72</v>
      </c>
      <c r="N522" s="573"/>
      <c r="O522" s="556"/>
      <c r="P522" s="573"/>
      <c r="Q522" s="556"/>
      <c r="R522" s="582"/>
    </row>
    <row r="523" ht="35.05" customHeight="1" spans="1:18">
      <c r="A523" s="556"/>
      <c r="B523" s="557" t="str">
        <f>C522</f>
        <v>Composição Auxiliar</v>
      </c>
      <c r="C523" s="79" t="s">
        <v>2921</v>
      </c>
      <c r="D523" s="78" t="s">
        <v>3222</v>
      </c>
      <c r="E523" s="79" t="s">
        <v>139</v>
      </c>
      <c r="F523" s="79" t="s">
        <v>3223</v>
      </c>
      <c r="G523" s="79" t="s">
        <v>3181</v>
      </c>
      <c r="H523" s="79"/>
      <c r="I523" s="80" t="s">
        <v>134</v>
      </c>
      <c r="J523" s="583">
        <v>0.0828</v>
      </c>
      <c r="K523" s="583">
        <v>0</v>
      </c>
      <c r="L523" s="92">
        <v>27.3</v>
      </c>
      <c r="M523" s="92">
        <v>2.26</v>
      </c>
      <c r="N523" s="573">
        <v>0.85</v>
      </c>
      <c r="O523" s="556" t="str">
        <f>IF(N523=M523,"OK","DIF")</f>
        <v>DIF</v>
      </c>
      <c r="P523" s="573"/>
      <c r="Q523" s="556"/>
      <c r="R523" s="582"/>
    </row>
    <row r="524" ht="35.05" customHeight="1" spans="1:18">
      <c r="A524" s="556" t="str">
        <f>B524</f>
        <v>Composição Auxiliar</v>
      </c>
      <c r="B524" s="557" t="str">
        <f>B523</f>
        <v>Composição Auxiliar</v>
      </c>
      <c r="C524" s="79" t="s">
        <v>2921</v>
      </c>
      <c r="D524" s="78" t="s">
        <v>160</v>
      </c>
      <c r="E524" s="79" t="s">
        <v>139</v>
      </c>
      <c r="F524" s="79" t="s">
        <v>161</v>
      </c>
      <c r="G524" s="79" t="s">
        <v>2992</v>
      </c>
      <c r="H524" s="79"/>
      <c r="I524" s="80" t="s">
        <v>141</v>
      </c>
      <c r="J524" s="583">
        <v>0.1532</v>
      </c>
      <c r="K524" s="583">
        <v>0</v>
      </c>
      <c r="L524" s="92">
        <v>124.74</v>
      </c>
      <c r="M524" s="92">
        <v>19.11</v>
      </c>
      <c r="N524" s="573">
        <v>0.26</v>
      </c>
      <c r="O524" s="556" t="str">
        <f>IF(N524=M524,"OK","DIF")</f>
        <v>DIF</v>
      </c>
      <c r="P524" s="573"/>
      <c r="Q524" s="556"/>
      <c r="R524" s="582"/>
    </row>
    <row r="525" ht="23.85" customHeight="1" spans="1:18">
      <c r="A525" s="556" t="str">
        <f>B525</f>
        <v>Composição Auxiliar</v>
      </c>
      <c r="B525" s="557" t="str">
        <f>B524</f>
        <v>Composição Auxiliar</v>
      </c>
      <c r="C525" s="79" t="s">
        <v>2921</v>
      </c>
      <c r="D525" s="78" t="s">
        <v>3224</v>
      </c>
      <c r="E525" s="79" t="s">
        <v>139</v>
      </c>
      <c r="F525" s="79" t="s">
        <v>3225</v>
      </c>
      <c r="G525" s="79" t="s">
        <v>2992</v>
      </c>
      <c r="H525" s="79"/>
      <c r="I525" s="80" t="s">
        <v>141</v>
      </c>
      <c r="J525" s="583">
        <v>0.211</v>
      </c>
      <c r="K525" s="583">
        <v>0</v>
      </c>
      <c r="L525" s="92">
        <v>104.96</v>
      </c>
      <c r="M525" s="92">
        <v>22.14</v>
      </c>
      <c r="N525" s="573">
        <v>0.59</v>
      </c>
      <c r="O525" s="556" t="str">
        <f>IF(N525=M525,"OK","DIF")</f>
        <v>DIF</v>
      </c>
      <c r="P525" s="573"/>
      <c r="Q525" s="556"/>
      <c r="R525" s="582"/>
    </row>
    <row r="526" ht="35.05" customHeight="1" spans="1:18">
      <c r="A526" s="556"/>
      <c r="B526" s="557"/>
      <c r="C526" s="79" t="s">
        <v>2921</v>
      </c>
      <c r="D526" s="78" t="s">
        <v>1571</v>
      </c>
      <c r="E526" s="79" t="s">
        <v>139</v>
      </c>
      <c r="F526" s="79" t="s">
        <v>1572</v>
      </c>
      <c r="G526" s="79" t="s">
        <v>3150</v>
      </c>
      <c r="H526" s="79"/>
      <c r="I526" s="80" t="s">
        <v>134</v>
      </c>
      <c r="J526" s="583">
        <v>0.0166</v>
      </c>
      <c r="K526" s="583">
        <v>0</v>
      </c>
      <c r="L526" s="92">
        <v>51.45</v>
      </c>
      <c r="M526" s="92">
        <v>0.85</v>
      </c>
      <c r="N526" s="573"/>
      <c r="O526" s="556"/>
      <c r="P526" s="573"/>
      <c r="Q526" s="556"/>
      <c r="R526" s="582"/>
    </row>
    <row r="527" ht="35.05" customHeight="1" spans="1:18">
      <c r="A527" s="556"/>
      <c r="B527" s="557"/>
      <c r="C527" s="79" t="s">
        <v>2921</v>
      </c>
      <c r="D527" s="78" t="s">
        <v>248</v>
      </c>
      <c r="E527" s="79" t="s">
        <v>139</v>
      </c>
      <c r="F527" s="79" t="s">
        <v>249</v>
      </c>
      <c r="G527" s="79" t="s">
        <v>3177</v>
      </c>
      <c r="H527" s="79"/>
      <c r="I527" s="80" t="s">
        <v>134</v>
      </c>
      <c r="J527" s="583">
        <v>0.1325</v>
      </c>
      <c r="K527" s="583">
        <v>0</v>
      </c>
      <c r="L527" s="92">
        <v>85.91</v>
      </c>
      <c r="M527" s="92">
        <v>11.38</v>
      </c>
      <c r="N527" s="573"/>
      <c r="O527" s="556"/>
      <c r="P527" s="573"/>
      <c r="Q527" s="556"/>
      <c r="R527" s="582"/>
    </row>
    <row r="528" ht="46.25" customHeight="1" spans="1:18">
      <c r="A528" s="556"/>
      <c r="B528" s="557" t="str">
        <f>C527</f>
        <v>Composição Auxiliar</v>
      </c>
      <c r="C528" s="79" t="s">
        <v>2921</v>
      </c>
      <c r="D528" s="78" t="s">
        <v>212</v>
      </c>
      <c r="E528" s="79" t="s">
        <v>139</v>
      </c>
      <c r="F528" s="79" t="s">
        <v>213</v>
      </c>
      <c r="G528" s="79" t="s">
        <v>3132</v>
      </c>
      <c r="H528" s="79"/>
      <c r="I528" s="80" t="s">
        <v>204</v>
      </c>
      <c r="J528" s="583">
        <v>0.2219</v>
      </c>
      <c r="K528" s="583">
        <v>0</v>
      </c>
      <c r="L528" s="92">
        <v>12.77</v>
      </c>
      <c r="M528" s="92">
        <v>2.83</v>
      </c>
      <c r="N528" s="573">
        <v>15.31</v>
      </c>
      <c r="O528" s="556" t="str">
        <f>IF(N528=M528,"OK","DIF")</f>
        <v>DIF</v>
      </c>
      <c r="P528" s="573"/>
      <c r="Q528" s="556"/>
      <c r="R528" s="582"/>
    </row>
    <row r="529" ht="35.05" customHeight="1" spans="1:18">
      <c r="A529" s="556" t="str">
        <f>B529</f>
        <v>Composição Auxiliar</v>
      </c>
      <c r="B529" s="557" t="str">
        <f>B528</f>
        <v>Composição Auxiliar</v>
      </c>
      <c r="C529" s="79" t="s">
        <v>2921</v>
      </c>
      <c r="D529" s="78" t="s">
        <v>3226</v>
      </c>
      <c r="E529" s="79" t="s">
        <v>139</v>
      </c>
      <c r="F529" s="79" t="s">
        <v>3227</v>
      </c>
      <c r="G529" s="79" t="s">
        <v>3181</v>
      </c>
      <c r="H529" s="79"/>
      <c r="I529" s="80" t="s">
        <v>134</v>
      </c>
      <c r="J529" s="583">
        <v>0.0166</v>
      </c>
      <c r="K529" s="583">
        <v>0</v>
      </c>
      <c r="L529" s="92">
        <v>142.65</v>
      </c>
      <c r="M529" s="92">
        <v>2.36</v>
      </c>
      <c r="N529" s="573">
        <v>10.62</v>
      </c>
      <c r="O529" s="556" t="str">
        <f>IF(N529=M529,"OK","DIF")</f>
        <v>DIF</v>
      </c>
      <c r="P529" s="573"/>
      <c r="Q529" s="556"/>
      <c r="R529" s="582"/>
    </row>
    <row r="530" ht="23.85" customHeight="1" spans="1:18">
      <c r="A530" s="556" t="str">
        <f>B530</f>
        <v>Composição Auxiliar</v>
      </c>
      <c r="B530" s="557" t="str">
        <f>B529</f>
        <v>Composição Auxiliar</v>
      </c>
      <c r="C530" s="79" t="s">
        <v>2921</v>
      </c>
      <c r="D530" s="78" t="s">
        <v>3228</v>
      </c>
      <c r="E530" s="79" t="s">
        <v>139</v>
      </c>
      <c r="F530" s="79" t="s">
        <v>3229</v>
      </c>
      <c r="G530" s="79" t="s">
        <v>3230</v>
      </c>
      <c r="H530" s="79"/>
      <c r="I530" s="80" t="s">
        <v>141</v>
      </c>
      <c r="J530" s="583">
        <v>1.2467</v>
      </c>
      <c r="K530" s="583">
        <v>0</v>
      </c>
      <c r="L530" s="92">
        <v>38.56</v>
      </c>
      <c r="M530" s="92">
        <v>48.07</v>
      </c>
      <c r="N530" s="573">
        <v>4.69</v>
      </c>
      <c r="O530" s="556" t="str">
        <f>IF(N530=M530,"OK","DIF")</f>
        <v>DIF</v>
      </c>
      <c r="P530" s="573"/>
      <c r="Q530" s="556"/>
      <c r="R530" s="582"/>
    </row>
    <row r="531" ht="46.25" customHeight="1" spans="1:18">
      <c r="A531" s="556"/>
      <c r="B531" s="557"/>
      <c r="C531" s="79" t="s">
        <v>2921</v>
      </c>
      <c r="D531" s="78" t="s">
        <v>196</v>
      </c>
      <c r="E531" s="79" t="s">
        <v>139</v>
      </c>
      <c r="F531" s="79" t="s">
        <v>197</v>
      </c>
      <c r="G531" s="79" t="s">
        <v>3085</v>
      </c>
      <c r="H531" s="79"/>
      <c r="I531" s="80" t="s">
        <v>141</v>
      </c>
      <c r="J531" s="583">
        <v>1.2467</v>
      </c>
      <c r="K531" s="583">
        <v>0</v>
      </c>
      <c r="L531" s="92">
        <v>27.57</v>
      </c>
      <c r="M531" s="92">
        <v>34.37</v>
      </c>
      <c r="N531" s="573"/>
      <c r="O531" s="556"/>
      <c r="P531" s="573"/>
      <c r="Q531" s="556"/>
      <c r="R531" s="582"/>
    </row>
    <row r="532" ht="35.05" customHeight="1" spans="1:18">
      <c r="A532" s="556"/>
      <c r="B532" s="557"/>
      <c r="C532" s="79" t="s">
        <v>2921</v>
      </c>
      <c r="D532" s="78" t="s">
        <v>3231</v>
      </c>
      <c r="E532" s="79" t="s">
        <v>139</v>
      </c>
      <c r="F532" s="79" t="s">
        <v>3232</v>
      </c>
      <c r="G532" s="79" t="s">
        <v>3150</v>
      </c>
      <c r="H532" s="79"/>
      <c r="I532" s="80" t="s">
        <v>204</v>
      </c>
      <c r="J532" s="583">
        <v>0.2219</v>
      </c>
      <c r="K532" s="583">
        <v>0</v>
      </c>
      <c r="L532" s="92">
        <v>14.99</v>
      </c>
      <c r="M532" s="92">
        <v>3.32</v>
      </c>
      <c r="N532" s="573"/>
      <c r="O532" s="556"/>
      <c r="P532" s="573"/>
      <c r="Q532" s="556"/>
      <c r="R532" s="582"/>
    </row>
    <row r="533" ht="35.05" customHeight="1" spans="1:18">
      <c r="A533" s="556"/>
      <c r="B533" s="557" t="str">
        <f>C532</f>
        <v>Composição Auxiliar</v>
      </c>
      <c r="C533" s="79" t="s">
        <v>2921</v>
      </c>
      <c r="D533" s="78" t="s">
        <v>3233</v>
      </c>
      <c r="E533" s="79" t="s">
        <v>139</v>
      </c>
      <c r="F533" s="79" t="s">
        <v>3234</v>
      </c>
      <c r="G533" s="79" t="s">
        <v>3235</v>
      </c>
      <c r="H533" s="79"/>
      <c r="I533" s="80" t="s">
        <v>134</v>
      </c>
      <c r="J533" s="583">
        <v>0.0662</v>
      </c>
      <c r="K533" s="583">
        <v>0</v>
      </c>
      <c r="L533" s="92">
        <v>29.38</v>
      </c>
      <c r="M533" s="92">
        <v>1.94</v>
      </c>
      <c r="N533" s="573">
        <v>1.9</v>
      </c>
      <c r="O533" s="556" t="str">
        <f>IF(N533=M533,"OK","DIF")</f>
        <v>DIF</v>
      </c>
      <c r="P533" s="573"/>
      <c r="Q533" s="556"/>
      <c r="R533" s="582"/>
    </row>
    <row r="534" ht="35.05" customHeight="1" spans="1:18">
      <c r="A534" s="556" t="str">
        <f>B534</f>
        <v>Composição Auxiliar</v>
      </c>
      <c r="B534" s="557" t="str">
        <f>B533</f>
        <v>Composição Auxiliar</v>
      </c>
      <c r="C534" s="79" t="s">
        <v>2921</v>
      </c>
      <c r="D534" s="78" t="s">
        <v>3236</v>
      </c>
      <c r="E534" s="79" t="s">
        <v>139</v>
      </c>
      <c r="F534" s="79" t="s">
        <v>3237</v>
      </c>
      <c r="G534" s="79" t="s">
        <v>3150</v>
      </c>
      <c r="H534" s="79"/>
      <c r="I534" s="80" t="s">
        <v>204</v>
      </c>
      <c r="J534" s="583">
        <v>0.9334</v>
      </c>
      <c r="K534" s="583">
        <v>0</v>
      </c>
      <c r="L534" s="92">
        <v>3.49</v>
      </c>
      <c r="M534" s="92">
        <v>3.25</v>
      </c>
      <c r="N534" s="573">
        <v>1.32</v>
      </c>
      <c r="O534" s="556" t="str">
        <f>IF(N534=M534,"OK","DIF")</f>
        <v>DIF</v>
      </c>
      <c r="P534" s="573"/>
      <c r="Q534" s="556"/>
      <c r="R534" s="582"/>
    </row>
    <row r="535" ht="35.05" customHeight="1" spans="1:18">
      <c r="A535" s="556" t="str">
        <f>B535</f>
        <v>Composição Auxiliar</v>
      </c>
      <c r="B535" s="557" t="str">
        <f>B534</f>
        <v>Composição Auxiliar</v>
      </c>
      <c r="C535" s="79" t="s">
        <v>2921</v>
      </c>
      <c r="D535" s="78" t="s">
        <v>3238</v>
      </c>
      <c r="E535" s="79" t="s">
        <v>139</v>
      </c>
      <c r="F535" s="79" t="s">
        <v>3239</v>
      </c>
      <c r="G535" s="79" t="s">
        <v>3150</v>
      </c>
      <c r="H535" s="79"/>
      <c r="I535" s="80" t="s">
        <v>204</v>
      </c>
      <c r="J535" s="583">
        <v>0.3397</v>
      </c>
      <c r="K535" s="583">
        <v>0</v>
      </c>
      <c r="L535" s="92">
        <v>11.08</v>
      </c>
      <c r="M535" s="92">
        <v>3.76</v>
      </c>
      <c r="N535" s="573">
        <v>0.58</v>
      </c>
      <c r="O535" s="556" t="str">
        <f>IF(N535=M535,"OK","DIF")</f>
        <v>DIF</v>
      </c>
      <c r="P535" s="573"/>
      <c r="Q535" s="556"/>
      <c r="R535" s="582"/>
    </row>
    <row r="536" ht="35.05" customHeight="1" spans="1:18">
      <c r="A536" s="556"/>
      <c r="B536" s="557"/>
      <c r="C536" s="79" t="s">
        <v>2921</v>
      </c>
      <c r="D536" s="78" t="s">
        <v>3240</v>
      </c>
      <c r="E536" s="79" t="s">
        <v>139</v>
      </c>
      <c r="F536" s="79" t="s">
        <v>3241</v>
      </c>
      <c r="G536" s="79" t="s">
        <v>2992</v>
      </c>
      <c r="H536" s="79"/>
      <c r="I536" s="80" t="s">
        <v>141</v>
      </c>
      <c r="J536" s="583">
        <v>0.1195</v>
      </c>
      <c r="K536" s="583">
        <v>0</v>
      </c>
      <c r="L536" s="92">
        <v>162.12</v>
      </c>
      <c r="M536" s="92">
        <v>19.37</v>
      </c>
      <c r="N536" s="573"/>
      <c r="O536" s="556"/>
      <c r="P536" s="573"/>
      <c r="Q536" s="556"/>
      <c r="R536" s="582"/>
    </row>
    <row r="537" ht="35.05" customHeight="1" spans="1:18">
      <c r="A537" s="556"/>
      <c r="B537" s="557"/>
      <c r="C537" s="79" t="s">
        <v>2921</v>
      </c>
      <c r="D537" s="78" t="s">
        <v>227</v>
      </c>
      <c r="E537" s="79" t="s">
        <v>139</v>
      </c>
      <c r="F537" s="79" t="s">
        <v>228</v>
      </c>
      <c r="G537" s="79" t="s">
        <v>3150</v>
      </c>
      <c r="H537" s="79"/>
      <c r="I537" s="80" t="s">
        <v>204</v>
      </c>
      <c r="J537" s="583">
        <v>0.9472</v>
      </c>
      <c r="K537" s="583">
        <v>0</v>
      </c>
      <c r="L537" s="92">
        <v>4.98</v>
      </c>
      <c r="M537" s="92">
        <v>4.71</v>
      </c>
      <c r="N537" s="573"/>
      <c r="O537" s="556"/>
      <c r="P537" s="573"/>
      <c r="Q537" s="556"/>
      <c r="R537" s="582"/>
    </row>
    <row r="538" ht="23.85" customHeight="1" spans="1:18">
      <c r="A538" s="556"/>
      <c r="B538" s="557" t="str">
        <f>C537</f>
        <v>Composição Auxiliar</v>
      </c>
      <c r="C538" s="100" t="s">
        <v>2893</v>
      </c>
      <c r="D538" s="99" t="s">
        <v>3242</v>
      </c>
      <c r="E538" s="100" t="s">
        <v>139</v>
      </c>
      <c r="F538" s="100" t="s">
        <v>3243</v>
      </c>
      <c r="G538" s="100" t="s">
        <v>2961</v>
      </c>
      <c r="H538" s="100"/>
      <c r="I538" s="101" t="s">
        <v>134</v>
      </c>
      <c r="J538" s="580">
        <v>0.0166</v>
      </c>
      <c r="K538" s="580">
        <v>0</v>
      </c>
      <c r="L538" s="102">
        <v>253.75</v>
      </c>
      <c r="M538" s="102">
        <v>4.21</v>
      </c>
      <c r="N538" s="573">
        <v>2.17</v>
      </c>
      <c r="O538" s="556" t="str">
        <f>IF(N538=M538,"OK","DIF")</f>
        <v>DIF</v>
      </c>
      <c r="P538" s="573"/>
      <c r="Q538" s="556"/>
      <c r="R538" s="582"/>
    </row>
    <row r="539" ht="23.85" customHeight="1" spans="1:18">
      <c r="A539" s="556" t="str">
        <f>B539</f>
        <v>Composição Auxiliar</v>
      </c>
      <c r="B539" s="557" t="str">
        <f>B538</f>
        <v>Composição Auxiliar</v>
      </c>
      <c r="C539" s="100" t="s">
        <v>2893</v>
      </c>
      <c r="D539" s="99" t="s">
        <v>3244</v>
      </c>
      <c r="E539" s="100" t="s">
        <v>139</v>
      </c>
      <c r="F539" s="100" t="s">
        <v>3245</v>
      </c>
      <c r="G539" s="100" t="s">
        <v>2961</v>
      </c>
      <c r="H539" s="100"/>
      <c r="I539" s="101" t="s">
        <v>134</v>
      </c>
      <c r="J539" s="580">
        <v>0.0166</v>
      </c>
      <c r="K539" s="580">
        <v>0</v>
      </c>
      <c r="L539" s="102">
        <v>245.38</v>
      </c>
      <c r="M539" s="102">
        <v>4.07</v>
      </c>
      <c r="N539" s="573">
        <v>1.5</v>
      </c>
      <c r="O539" s="556" t="str">
        <f>IF(N539=M539,"OK","DIF")</f>
        <v>DIF</v>
      </c>
      <c r="P539" s="573"/>
      <c r="Q539" s="556"/>
      <c r="R539" s="582"/>
    </row>
    <row r="540" ht="25.5" spans="1:18">
      <c r="A540" s="556" t="str">
        <f>B540</f>
        <v>Composição Auxiliar</v>
      </c>
      <c r="B540" s="557" t="str">
        <f>B539</f>
        <v>Composição Auxiliar</v>
      </c>
      <c r="C540" s="108"/>
      <c r="D540" s="108"/>
      <c r="E540" s="108"/>
      <c r="F540" s="108"/>
      <c r="G540" s="108"/>
      <c r="H540" s="108" t="s">
        <v>2898</v>
      </c>
      <c r="I540" s="581">
        <v>72.97</v>
      </c>
      <c r="J540" s="108" t="s">
        <v>2899</v>
      </c>
      <c r="K540" s="581">
        <v>0</v>
      </c>
      <c r="L540" s="108" t="s">
        <v>2900</v>
      </c>
      <c r="M540" s="581">
        <v>72.97</v>
      </c>
      <c r="N540" s="573">
        <v>0.67</v>
      </c>
      <c r="O540" s="556" t="str">
        <f>IF(N540=M540,"OK","DIF")</f>
        <v>DIF</v>
      </c>
      <c r="P540" s="573"/>
      <c r="Q540" s="556"/>
      <c r="R540" s="582"/>
    </row>
    <row r="541" ht="26.25" spans="1:18">
      <c r="A541" s="556"/>
      <c r="B541" s="557"/>
      <c r="C541" s="108"/>
      <c r="D541" s="108"/>
      <c r="E541" s="108"/>
      <c r="F541" s="108"/>
      <c r="G541" s="108"/>
      <c r="H541" s="108" t="s">
        <v>2901</v>
      </c>
      <c r="I541" s="581">
        <v>71.23</v>
      </c>
      <c r="J541" s="114"/>
      <c r="K541" s="114" t="s">
        <v>2902</v>
      </c>
      <c r="L541" s="108"/>
      <c r="M541" s="581">
        <v>350.7</v>
      </c>
      <c r="N541" s="573"/>
      <c r="O541" s="556"/>
      <c r="P541" s="573"/>
      <c r="Q541" s="556"/>
      <c r="R541" s="582"/>
    </row>
    <row r="542" ht="15" spans="1:18">
      <c r="A542" s="556"/>
      <c r="B542" s="557"/>
      <c r="C542" s="571"/>
      <c r="D542" s="571"/>
      <c r="E542" s="571"/>
      <c r="F542" s="571"/>
      <c r="G542" s="571"/>
      <c r="H542" s="571"/>
      <c r="I542" s="571"/>
      <c r="J542" s="571"/>
      <c r="K542" s="571"/>
      <c r="L542" s="571"/>
      <c r="M542" s="571"/>
      <c r="N542" s="573"/>
      <c r="O542" s="556"/>
      <c r="P542" s="573"/>
      <c r="Q542" s="556"/>
      <c r="R542" s="582"/>
    </row>
    <row r="543" ht="15" customHeight="1" spans="1:18">
      <c r="A543" s="556"/>
      <c r="B543" s="557">
        <f>C542</f>
        <v>0</v>
      </c>
      <c r="C543" s="76" t="s">
        <v>265</v>
      </c>
      <c r="D543" s="75" t="s">
        <v>63</v>
      </c>
      <c r="E543" s="76" t="s">
        <v>64</v>
      </c>
      <c r="F543" s="76" t="s">
        <v>65</v>
      </c>
      <c r="G543" s="76" t="s">
        <v>2889</v>
      </c>
      <c r="H543" s="76"/>
      <c r="I543" s="77" t="s">
        <v>66</v>
      </c>
      <c r="J543" s="75" t="s">
        <v>67</v>
      </c>
      <c r="K543" s="75" t="s">
        <v>2890</v>
      </c>
      <c r="L543" s="75" t="s">
        <v>68</v>
      </c>
      <c r="M543" s="75" t="s">
        <v>70</v>
      </c>
      <c r="N543" s="573">
        <v>11.16</v>
      </c>
      <c r="O543" s="556" t="str">
        <f>IF(N543=M543,"OK","DIF")</f>
        <v>DIF</v>
      </c>
      <c r="P543" s="573"/>
      <c r="Q543" s="556"/>
      <c r="R543" s="582"/>
    </row>
    <row r="544" ht="35.05" customHeight="1" spans="1:18">
      <c r="A544" s="556">
        <f>B544</f>
        <v>0</v>
      </c>
      <c r="B544" s="557">
        <f>B543</f>
        <v>0</v>
      </c>
      <c r="C544" s="569" t="s">
        <v>2891</v>
      </c>
      <c r="D544" s="570" t="s">
        <v>266</v>
      </c>
      <c r="E544" s="569" t="s">
        <v>132</v>
      </c>
      <c r="F544" s="569" t="s">
        <v>267</v>
      </c>
      <c r="G544" s="569" t="s">
        <v>2920</v>
      </c>
      <c r="H544" s="569"/>
      <c r="I544" s="577" t="s">
        <v>141</v>
      </c>
      <c r="J544" s="578">
        <v>1</v>
      </c>
      <c r="K544" s="579"/>
      <c r="L544" s="579">
        <v>490.17</v>
      </c>
      <c r="M544" s="579">
        <v>490.17</v>
      </c>
      <c r="N544" s="573">
        <v>7.74</v>
      </c>
      <c r="O544" s="556" t="str">
        <f>IF(N544=M544,"OK","DIF")</f>
        <v>DIF</v>
      </c>
      <c r="P544" s="573"/>
      <c r="Q544" s="556"/>
      <c r="R544" s="582"/>
    </row>
    <row r="545" ht="23.85" customHeight="1" spans="1:18">
      <c r="A545" s="556">
        <f>B545</f>
        <v>0</v>
      </c>
      <c r="B545" s="557">
        <f>B544</f>
        <v>0</v>
      </c>
      <c r="C545" s="79" t="s">
        <v>2921</v>
      </c>
      <c r="D545" s="78" t="s">
        <v>2727</v>
      </c>
      <c r="E545" s="79" t="s">
        <v>139</v>
      </c>
      <c r="F545" s="79" t="s">
        <v>2728</v>
      </c>
      <c r="G545" s="79" t="s">
        <v>3079</v>
      </c>
      <c r="H545" s="79"/>
      <c r="I545" s="80" t="s">
        <v>141</v>
      </c>
      <c r="J545" s="583">
        <v>0.4761</v>
      </c>
      <c r="K545" s="583">
        <v>0</v>
      </c>
      <c r="L545" s="92">
        <v>15.19</v>
      </c>
      <c r="M545" s="92">
        <v>7.23</v>
      </c>
      <c r="N545" s="573">
        <v>3.42</v>
      </c>
      <c r="O545" s="556" t="str">
        <f>IF(N545=M545,"OK","DIF")</f>
        <v>DIF</v>
      </c>
      <c r="P545" s="573"/>
      <c r="Q545" s="556"/>
      <c r="R545" s="582"/>
    </row>
    <row r="546" ht="35.05" customHeight="1" spans="1:18">
      <c r="A546" s="556"/>
      <c r="B546" s="557"/>
      <c r="C546" s="79" t="s">
        <v>2921</v>
      </c>
      <c r="D546" s="78" t="s">
        <v>3238</v>
      </c>
      <c r="E546" s="79" t="s">
        <v>139</v>
      </c>
      <c r="F546" s="79" t="s">
        <v>3239</v>
      </c>
      <c r="G546" s="79" t="s">
        <v>3150</v>
      </c>
      <c r="H546" s="79"/>
      <c r="I546" s="80" t="s">
        <v>204</v>
      </c>
      <c r="J546" s="583">
        <v>0.4251</v>
      </c>
      <c r="K546" s="583">
        <v>0</v>
      </c>
      <c r="L546" s="92">
        <v>11.08</v>
      </c>
      <c r="M546" s="92">
        <v>4.71</v>
      </c>
      <c r="N546" s="573"/>
      <c r="O546" s="556"/>
      <c r="P546" s="573"/>
      <c r="Q546" s="556"/>
      <c r="R546" s="582"/>
    </row>
    <row r="547" ht="35.05" customHeight="1" spans="1:18">
      <c r="A547" s="556"/>
      <c r="B547" s="557"/>
      <c r="C547" s="79" t="s">
        <v>2921</v>
      </c>
      <c r="D547" s="78" t="s">
        <v>3240</v>
      </c>
      <c r="E547" s="79" t="s">
        <v>139</v>
      </c>
      <c r="F547" s="79" t="s">
        <v>3241</v>
      </c>
      <c r="G547" s="79" t="s">
        <v>2992</v>
      </c>
      <c r="H547" s="79"/>
      <c r="I547" s="80" t="s">
        <v>141</v>
      </c>
      <c r="J547" s="583">
        <v>0.1176</v>
      </c>
      <c r="K547" s="583">
        <v>0</v>
      </c>
      <c r="L547" s="92">
        <v>162.12</v>
      </c>
      <c r="M547" s="92">
        <v>19.06</v>
      </c>
      <c r="N547" s="573"/>
      <c r="O547" s="556"/>
      <c r="P547" s="573"/>
      <c r="Q547" s="556"/>
      <c r="R547" s="582"/>
    </row>
    <row r="548" ht="35.05" customHeight="1" spans="1:18">
      <c r="A548" s="556"/>
      <c r="B548" s="557" t="str">
        <f>C547</f>
        <v>Composição Auxiliar</v>
      </c>
      <c r="C548" s="79" t="s">
        <v>2921</v>
      </c>
      <c r="D548" s="78" t="s">
        <v>3212</v>
      </c>
      <c r="E548" s="79" t="s">
        <v>139</v>
      </c>
      <c r="F548" s="79" t="s">
        <v>3213</v>
      </c>
      <c r="G548" s="79" t="s">
        <v>3177</v>
      </c>
      <c r="H548" s="79"/>
      <c r="I548" s="80" t="s">
        <v>204</v>
      </c>
      <c r="J548" s="583">
        <v>0.4831</v>
      </c>
      <c r="K548" s="583">
        <v>0</v>
      </c>
      <c r="L548" s="92">
        <v>16.87</v>
      </c>
      <c r="M548" s="92">
        <v>8.14</v>
      </c>
      <c r="N548" s="573">
        <v>97.17</v>
      </c>
      <c r="O548" s="556" t="str">
        <f>IF(N548=M548,"OK","DIF")</f>
        <v>DIF</v>
      </c>
      <c r="P548" s="573"/>
      <c r="Q548" s="556"/>
      <c r="R548" s="582"/>
    </row>
    <row r="549" ht="46.25" customHeight="1" spans="1:18">
      <c r="A549" s="556" t="str">
        <f>B549</f>
        <v>Composição Auxiliar</v>
      </c>
      <c r="B549" s="557" t="str">
        <f>B548</f>
        <v>Composição Auxiliar</v>
      </c>
      <c r="C549" s="79" t="s">
        <v>2921</v>
      </c>
      <c r="D549" s="78" t="s">
        <v>3246</v>
      </c>
      <c r="E549" s="79" t="s">
        <v>139</v>
      </c>
      <c r="F549" s="79" t="s">
        <v>3247</v>
      </c>
      <c r="G549" s="79" t="s">
        <v>3132</v>
      </c>
      <c r="H549" s="79"/>
      <c r="I549" s="80" t="s">
        <v>204</v>
      </c>
      <c r="J549" s="583">
        <v>0.4638</v>
      </c>
      <c r="K549" s="583">
        <v>0</v>
      </c>
      <c r="L549" s="92">
        <v>4.76</v>
      </c>
      <c r="M549" s="92">
        <v>2.2</v>
      </c>
      <c r="N549" s="573">
        <v>97.17</v>
      </c>
      <c r="O549" s="556" t="str">
        <f>IF(N549=M549,"OK","DIF")</f>
        <v>DIF</v>
      </c>
      <c r="P549" s="573"/>
      <c r="Q549" s="556"/>
      <c r="R549" s="582"/>
    </row>
    <row r="550" ht="35.05" customHeight="1" spans="1:18">
      <c r="A550" s="556"/>
      <c r="B550" s="557"/>
      <c r="C550" s="79" t="s">
        <v>2921</v>
      </c>
      <c r="D550" s="78" t="s">
        <v>245</v>
      </c>
      <c r="E550" s="79" t="s">
        <v>139</v>
      </c>
      <c r="F550" s="79" t="s">
        <v>246</v>
      </c>
      <c r="G550" s="79" t="s">
        <v>3150</v>
      </c>
      <c r="H550" s="79"/>
      <c r="I550" s="80" t="s">
        <v>134</v>
      </c>
      <c r="J550" s="583">
        <v>0.0966</v>
      </c>
      <c r="K550" s="583">
        <v>0</v>
      </c>
      <c r="L550" s="92">
        <v>57.93</v>
      </c>
      <c r="M550" s="92">
        <v>5.59</v>
      </c>
      <c r="N550" s="573"/>
      <c r="O550" s="556"/>
      <c r="P550" s="573"/>
      <c r="Q550" s="556"/>
      <c r="R550" s="582"/>
    </row>
    <row r="551" ht="23.85" customHeight="1" spans="1:18">
      <c r="A551" s="556"/>
      <c r="B551" s="557"/>
      <c r="C551" s="79" t="s">
        <v>2921</v>
      </c>
      <c r="D551" s="78" t="s">
        <v>3228</v>
      </c>
      <c r="E551" s="79" t="s">
        <v>139</v>
      </c>
      <c r="F551" s="79" t="s">
        <v>3229</v>
      </c>
      <c r="G551" s="79" t="s">
        <v>3230</v>
      </c>
      <c r="H551" s="79"/>
      <c r="I551" s="80" t="s">
        <v>141</v>
      </c>
      <c r="J551" s="583">
        <v>1.9256</v>
      </c>
      <c r="K551" s="583">
        <v>0</v>
      </c>
      <c r="L551" s="92">
        <v>38.56</v>
      </c>
      <c r="M551" s="92">
        <v>74.25</v>
      </c>
      <c r="N551" s="573"/>
      <c r="O551" s="556"/>
      <c r="P551" s="573"/>
      <c r="Q551" s="556"/>
      <c r="R551" s="582"/>
    </row>
    <row r="552" ht="35.05" customHeight="1" spans="1:18">
      <c r="A552" s="556"/>
      <c r="B552" s="557" t="str">
        <f>C551</f>
        <v>Composição Auxiliar</v>
      </c>
      <c r="C552" s="79" t="s">
        <v>2921</v>
      </c>
      <c r="D552" s="78" t="s">
        <v>248</v>
      </c>
      <c r="E552" s="79" t="s">
        <v>139</v>
      </c>
      <c r="F552" s="79" t="s">
        <v>249</v>
      </c>
      <c r="G552" s="79" t="s">
        <v>3177</v>
      </c>
      <c r="H552" s="79"/>
      <c r="I552" s="80" t="s">
        <v>134</v>
      </c>
      <c r="J552" s="583">
        <v>0.1932</v>
      </c>
      <c r="K552" s="583">
        <v>0</v>
      </c>
      <c r="L552" s="92">
        <v>85.91</v>
      </c>
      <c r="M552" s="92">
        <v>16.59</v>
      </c>
      <c r="N552" s="573">
        <v>59.33</v>
      </c>
      <c r="O552" s="556" t="str">
        <f>IF(N552=M552,"OK","DIF")</f>
        <v>DIF</v>
      </c>
      <c r="P552" s="573"/>
      <c r="Q552" s="556"/>
      <c r="R552" s="582"/>
    </row>
    <row r="553" ht="35.05" customHeight="1" spans="1:18">
      <c r="A553" s="556" t="str">
        <f>B553</f>
        <v>Composição Auxiliar</v>
      </c>
      <c r="B553" s="557" t="str">
        <f>B552</f>
        <v>Composição Auxiliar</v>
      </c>
      <c r="C553" s="79" t="s">
        <v>2921</v>
      </c>
      <c r="D553" s="78" t="s">
        <v>3233</v>
      </c>
      <c r="E553" s="79" t="s">
        <v>139</v>
      </c>
      <c r="F553" s="79" t="s">
        <v>3234</v>
      </c>
      <c r="G553" s="79" t="s">
        <v>3235</v>
      </c>
      <c r="H553" s="79"/>
      <c r="I553" s="80" t="s">
        <v>134</v>
      </c>
      <c r="J553" s="583">
        <v>0.3865</v>
      </c>
      <c r="K553" s="583">
        <v>0</v>
      </c>
      <c r="L553" s="92">
        <v>29.38</v>
      </c>
      <c r="M553" s="92">
        <v>11.35</v>
      </c>
      <c r="N553" s="573">
        <v>25.95</v>
      </c>
      <c r="O553" s="556" t="str">
        <f>IF(N553=M553,"OK","DIF")</f>
        <v>DIF</v>
      </c>
      <c r="P553" s="573"/>
      <c r="Q553" s="556"/>
      <c r="R553" s="582"/>
    </row>
    <row r="554" ht="23.85" customHeight="1" spans="1:18">
      <c r="A554" s="556" t="str">
        <f>B554</f>
        <v>Composição Auxiliar</v>
      </c>
      <c r="B554" s="557" t="str">
        <f>B553</f>
        <v>Composição Auxiliar</v>
      </c>
      <c r="C554" s="79" t="s">
        <v>2921</v>
      </c>
      <c r="D554" s="78" t="s">
        <v>3224</v>
      </c>
      <c r="E554" s="79" t="s">
        <v>139</v>
      </c>
      <c r="F554" s="79" t="s">
        <v>3225</v>
      </c>
      <c r="G554" s="79" t="s">
        <v>2992</v>
      </c>
      <c r="H554" s="79"/>
      <c r="I554" s="80" t="s">
        <v>141</v>
      </c>
      <c r="J554" s="583">
        <v>0.2077</v>
      </c>
      <c r="K554" s="583">
        <v>0</v>
      </c>
      <c r="L554" s="92">
        <v>104.96</v>
      </c>
      <c r="M554" s="92">
        <v>21.8</v>
      </c>
      <c r="N554" s="573">
        <v>33.38</v>
      </c>
      <c r="O554" s="556" t="str">
        <f>IF(N554=M554,"OK","DIF")</f>
        <v>DIF</v>
      </c>
      <c r="P554" s="573"/>
      <c r="Q554" s="556"/>
      <c r="R554" s="582"/>
    </row>
    <row r="555" ht="46.25" customHeight="1" spans="1:18">
      <c r="A555" s="556"/>
      <c r="B555" s="557"/>
      <c r="C555" s="79" t="s">
        <v>2921</v>
      </c>
      <c r="D555" s="78" t="s">
        <v>212</v>
      </c>
      <c r="E555" s="79" t="s">
        <v>139</v>
      </c>
      <c r="F555" s="79" t="s">
        <v>213</v>
      </c>
      <c r="G555" s="79" t="s">
        <v>3132</v>
      </c>
      <c r="H555" s="79"/>
      <c r="I555" s="80" t="s">
        <v>204</v>
      </c>
      <c r="J555" s="583">
        <v>0.4251</v>
      </c>
      <c r="K555" s="583">
        <v>0</v>
      </c>
      <c r="L555" s="92">
        <v>12.77</v>
      </c>
      <c r="M555" s="92">
        <v>5.42</v>
      </c>
      <c r="N555" s="573"/>
      <c r="O555" s="556"/>
      <c r="P555" s="573"/>
      <c r="Q555" s="556"/>
      <c r="R555" s="582"/>
    </row>
    <row r="556" ht="35.05" customHeight="1" spans="1:18">
      <c r="A556" s="556"/>
      <c r="B556" s="557"/>
      <c r="C556" s="79" t="s">
        <v>2921</v>
      </c>
      <c r="D556" s="78" t="s">
        <v>242</v>
      </c>
      <c r="E556" s="79" t="s">
        <v>139</v>
      </c>
      <c r="F556" s="79" t="s">
        <v>243</v>
      </c>
      <c r="G556" s="79" t="s">
        <v>3150</v>
      </c>
      <c r="H556" s="79"/>
      <c r="I556" s="80" t="s">
        <v>134</v>
      </c>
      <c r="J556" s="583">
        <v>0.2899</v>
      </c>
      <c r="K556" s="583">
        <v>0</v>
      </c>
      <c r="L556" s="92">
        <v>54.37</v>
      </c>
      <c r="M556" s="92">
        <v>15.76</v>
      </c>
      <c r="N556" s="573"/>
      <c r="O556" s="556"/>
      <c r="P556" s="573"/>
      <c r="Q556" s="556"/>
      <c r="R556" s="582"/>
    </row>
    <row r="557" ht="35.05" customHeight="1" spans="1:18">
      <c r="A557" s="556"/>
      <c r="B557" s="557"/>
      <c r="C557" s="79" t="s">
        <v>2921</v>
      </c>
      <c r="D557" s="78" t="s">
        <v>227</v>
      </c>
      <c r="E557" s="79" t="s">
        <v>139</v>
      </c>
      <c r="F557" s="79" t="s">
        <v>228</v>
      </c>
      <c r="G557" s="79" t="s">
        <v>3150</v>
      </c>
      <c r="H557" s="79"/>
      <c r="I557" s="80" t="s">
        <v>204</v>
      </c>
      <c r="J557" s="583">
        <v>2.087</v>
      </c>
      <c r="K557" s="583">
        <v>0</v>
      </c>
      <c r="L557" s="92">
        <v>4.98</v>
      </c>
      <c r="M557" s="92">
        <v>10.39</v>
      </c>
      <c r="N557" s="573"/>
      <c r="O557" s="556"/>
      <c r="P557" s="573"/>
      <c r="Q557" s="556"/>
      <c r="R557" s="582"/>
    </row>
    <row r="558" ht="35.05" customHeight="1" spans="1:18">
      <c r="A558" s="556"/>
      <c r="B558" s="557" t="str">
        <f>C557</f>
        <v>Composição Auxiliar</v>
      </c>
      <c r="C558" s="79" t="s">
        <v>2921</v>
      </c>
      <c r="D558" s="78" t="s">
        <v>3226</v>
      </c>
      <c r="E558" s="79" t="s">
        <v>139</v>
      </c>
      <c r="F558" s="79" t="s">
        <v>3227</v>
      </c>
      <c r="G558" s="79" t="s">
        <v>3181</v>
      </c>
      <c r="H558" s="79"/>
      <c r="I558" s="80" t="s">
        <v>134</v>
      </c>
      <c r="J558" s="583">
        <v>0.0966</v>
      </c>
      <c r="K558" s="583">
        <v>0</v>
      </c>
      <c r="L558" s="92">
        <v>142.65</v>
      </c>
      <c r="M558" s="92">
        <v>13.77</v>
      </c>
      <c r="N558" s="573">
        <v>37.77</v>
      </c>
      <c r="O558" s="556" t="str">
        <f>IF(N558=M558,"OK","DIF")</f>
        <v>DIF</v>
      </c>
      <c r="P558" s="573"/>
      <c r="Q558" s="556"/>
      <c r="R558" s="582"/>
    </row>
    <row r="559" ht="35.05" customHeight="1" spans="1:18">
      <c r="A559" s="556" t="str">
        <f>B559</f>
        <v>Composição Auxiliar</v>
      </c>
      <c r="B559" s="557" t="str">
        <f>B558</f>
        <v>Composição Auxiliar</v>
      </c>
      <c r="C559" s="79" t="s">
        <v>2921</v>
      </c>
      <c r="D559" s="78" t="s">
        <v>160</v>
      </c>
      <c r="E559" s="79" t="s">
        <v>139</v>
      </c>
      <c r="F559" s="79" t="s">
        <v>161</v>
      </c>
      <c r="G559" s="79" t="s">
        <v>2992</v>
      </c>
      <c r="H559" s="79"/>
      <c r="I559" s="80" t="s">
        <v>141</v>
      </c>
      <c r="J559" s="583">
        <v>0.1508</v>
      </c>
      <c r="K559" s="583">
        <v>0</v>
      </c>
      <c r="L559" s="92">
        <v>124.74</v>
      </c>
      <c r="M559" s="92">
        <v>18.81</v>
      </c>
      <c r="N559" s="573">
        <v>37.77</v>
      </c>
      <c r="O559" s="556" t="str">
        <f>IF(N559=M559,"OK","DIF")</f>
        <v>DIF</v>
      </c>
      <c r="P559" s="573"/>
      <c r="Q559" s="556"/>
      <c r="R559" s="582"/>
    </row>
    <row r="560" ht="35.05" customHeight="1" spans="1:18">
      <c r="A560" s="556"/>
      <c r="B560" s="557"/>
      <c r="C560" s="79" t="s">
        <v>2921</v>
      </c>
      <c r="D560" s="78" t="s">
        <v>3222</v>
      </c>
      <c r="E560" s="79" t="s">
        <v>139</v>
      </c>
      <c r="F560" s="79" t="s">
        <v>3223</v>
      </c>
      <c r="G560" s="79" t="s">
        <v>3181</v>
      </c>
      <c r="H560" s="79"/>
      <c r="I560" s="80" t="s">
        <v>134</v>
      </c>
      <c r="J560" s="583">
        <v>0.2899</v>
      </c>
      <c r="K560" s="583">
        <v>0</v>
      </c>
      <c r="L560" s="92">
        <v>27.3</v>
      </c>
      <c r="M560" s="92">
        <v>7.91</v>
      </c>
      <c r="N560" s="573"/>
      <c r="O560" s="556"/>
      <c r="P560" s="573"/>
      <c r="Q560" s="556"/>
      <c r="R560" s="582"/>
    </row>
    <row r="561" ht="35.05" customHeight="1" spans="1:18">
      <c r="A561" s="556"/>
      <c r="B561" s="557"/>
      <c r="C561" s="79" t="s">
        <v>2921</v>
      </c>
      <c r="D561" s="78" t="s">
        <v>3236</v>
      </c>
      <c r="E561" s="79" t="s">
        <v>139</v>
      </c>
      <c r="F561" s="79" t="s">
        <v>3237</v>
      </c>
      <c r="G561" s="79" t="s">
        <v>3150</v>
      </c>
      <c r="H561" s="79"/>
      <c r="I561" s="80" t="s">
        <v>204</v>
      </c>
      <c r="J561" s="583">
        <v>1.0821</v>
      </c>
      <c r="K561" s="583">
        <v>0</v>
      </c>
      <c r="L561" s="92">
        <v>3.49</v>
      </c>
      <c r="M561" s="92">
        <v>3.77</v>
      </c>
      <c r="N561" s="573"/>
      <c r="O561" s="556"/>
      <c r="P561" s="573"/>
      <c r="Q561" s="556"/>
      <c r="R561" s="582"/>
    </row>
    <row r="562" ht="46.25" customHeight="1" spans="1:18">
      <c r="A562" s="556"/>
      <c r="B562" s="557" t="str">
        <f>C561</f>
        <v>Composição Auxiliar</v>
      </c>
      <c r="C562" s="79" t="s">
        <v>2921</v>
      </c>
      <c r="D562" s="78" t="s">
        <v>196</v>
      </c>
      <c r="E562" s="79" t="s">
        <v>139</v>
      </c>
      <c r="F562" s="79" t="s">
        <v>197</v>
      </c>
      <c r="G562" s="79" t="s">
        <v>3085</v>
      </c>
      <c r="H562" s="79"/>
      <c r="I562" s="80" t="s">
        <v>141</v>
      </c>
      <c r="J562" s="583">
        <v>1.9256</v>
      </c>
      <c r="K562" s="583">
        <v>0</v>
      </c>
      <c r="L562" s="92">
        <v>27.57</v>
      </c>
      <c r="M562" s="92">
        <v>53.08</v>
      </c>
      <c r="N562" s="573">
        <v>0.95</v>
      </c>
      <c r="O562" s="556" t="str">
        <f>IF(N562=M562,"OK","DIF")</f>
        <v>DIF</v>
      </c>
      <c r="P562" s="573"/>
      <c r="Q562" s="556"/>
      <c r="R562" s="582"/>
    </row>
    <row r="563" ht="35.05" customHeight="1" spans="1:18">
      <c r="A563" s="556" t="str">
        <f>B563</f>
        <v>Composição Auxiliar</v>
      </c>
      <c r="B563" s="557" t="str">
        <f>B562</f>
        <v>Composição Auxiliar</v>
      </c>
      <c r="C563" s="79" t="s">
        <v>2921</v>
      </c>
      <c r="D563" s="78" t="s">
        <v>3216</v>
      </c>
      <c r="E563" s="79" t="s">
        <v>139</v>
      </c>
      <c r="F563" s="79" t="s">
        <v>3217</v>
      </c>
      <c r="G563" s="79" t="s">
        <v>3218</v>
      </c>
      <c r="H563" s="79"/>
      <c r="I563" s="80" t="s">
        <v>134</v>
      </c>
      <c r="J563" s="583">
        <v>0.0966</v>
      </c>
      <c r="K563" s="583">
        <v>0</v>
      </c>
      <c r="L563" s="92">
        <v>193.84</v>
      </c>
      <c r="M563" s="92">
        <v>18.72</v>
      </c>
      <c r="N563" s="573">
        <v>0.72</v>
      </c>
      <c r="O563" s="556" t="str">
        <f>IF(N563=M563,"OK","DIF")</f>
        <v>DIF</v>
      </c>
      <c r="P563" s="573"/>
      <c r="Q563" s="556"/>
      <c r="R563" s="582"/>
    </row>
    <row r="564" ht="15" customHeight="1" spans="1:18">
      <c r="A564" s="556" t="str">
        <f>B564</f>
        <v>Composição Auxiliar</v>
      </c>
      <c r="B564" s="557" t="str">
        <f>B563</f>
        <v>Composição Auxiliar</v>
      </c>
      <c r="C564" s="79" t="s">
        <v>2921</v>
      </c>
      <c r="D564" s="78" t="s">
        <v>375</v>
      </c>
      <c r="E564" s="79" t="s">
        <v>139</v>
      </c>
      <c r="F564" s="79" t="s">
        <v>3214</v>
      </c>
      <c r="G564" s="79" t="s">
        <v>3215</v>
      </c>
      <c r="H564" s="79"/>
      <c r="I564" s="80" t="s">
        <v>279</v>
      </c>
      <c r="J564" s="583">
        <v>0.0078</v>
      </c>
      <c r="K564" s="583">
        <v>0</v>
      </c>
      <c r="L564" s="92">
        <v>115.31</v>
      </c>
      <c r="M564" s="92">
        <v>0.89</v>
      </c>
      <c r="N564" s="573">
        <v>0.23</v>
      </c>
      <c r="O564" s="556" t="str">
        <f>IF(N564=M564,"OK","DIF")</f>
        <v>DIF</v>
      </c>
      <c r="P564" s="573"/>
      <c r="Q564" s="556"/>
      <c r="R564" s="582"/>
    </row>
    <row r="565" ht="23.85" customHeight="1" spans="1:18">
      <c r="A565" s="556"/>
      <c r="B565" s="557"/>
      <c r="C565" s="79" t="s">
        <v>2921</v>
      </c>
      <c r="D565" s="78" t="s">
        <v>3219</v>
      </c>
      <c r="E565" s="79" t="s">
        <v>139</v>
      </c>
      <c r="F565" s="79" t="s">
        <v>3220</v>
      </c>
      <c r="G565" s="79" t="s">
        <v>3221</v>
      </c>
      <c r="H565" s="79"/>
      <c r="I565" s="80" t="s">
        <v>134</v>
      </c>
      <c r="J565" s="583">
        <v>0.0966</v>
      </c>
      <c r="K565" s="583">
        <v>0</v>
      </c>
      <c r="L565" s="92">
        <v>82.4</v>
      </c>
      <c r="M565" s="92">
        <v>7.95</v>
      </c>
      <c r="N565" s="573"/>
      <c r="O565" s="556"/>
      <c r="P565" s="573"/>
      <c r="Q565" s="556"/>
      <c r="R565" s="582"/>
    </row>
    <row r="566" ht="46.25" customHeight="1" spans="1:18">
      <c r="A566" s="556"/>
      <c r="B566" s="557"/>
      <c r="C566" s="79" t="s">
        <v>2921</v>
      </c>
      <c r="D566" s="78" t="s">
        <v>199</v>
      </c>
      <c r="E566" s="79" t="s">
        <v>139</v>
      </c>
      <c r="F566" s="79" t="s">
        <v>200</v>
      </c>
      <c r="G566" s="79" t="s">
        <v>3094</v>
      </c>
      <c r="H566" s="79"/>
      <c r="I566" s="80" t="s">
        <v>141</v>
      </c>
      <c r="J566" s="583">
        <v>1.9256</v>
      </c>
      <c r="K566" s="583">
        <v>0</v>
      </c>
      <c r="L566" s="92">
        <v>55.89</v>
      </c>
      <c r="M566" s="92">
        <v>107.62</v>
      </c>
      <c r="N566" s="573"/>
      <c r="O566" s="556"/>
      <c r="P566" s="573"/>
      <c r="Q566" s="556"/>
      <c r="R566" s="582"/>
    </row>
    <row r="567" ht="35.05" customHeight="1" spans="1:18">
      <c r="A567" s="556"/>
      <c r="B567" s="557" t="str">
        <f>C566</f>
        <v>Composição Auxiliar</v>
      </c>
      <c r="C567" s="79" t="s">
        <v>2921</v>
      </c>
      <c r="D567" s="78" t="s">
        <v>3231</v>
      </c>
      <c r="E567" s="79" t="s">
        <v>139</v>
      </c>
      <c r="F567" s="79" t="s">
        <v>3232</v>
      </c>
      <c r="G567" s="79" t="s">
        <v>3150</v>
      </c>
      <c r="H567" s="79"/>
      <c r="I567" s="80" t="s">
        <v>204</v>
      </c>
      <c r="J567" s="583">
        <v>0.4638</v>
      </c>
      <c r="K567" s="583">
        <v>0</v>
      </c>
      <c r="L567" s="92">
        <v>14.99</v>
      </c>
      <c r="M567" s="92">
        <v>6.95</v>
      </c>
      <c r="N567" s="573">
        <v>0.2</v>
      </c>
      <c r="O567" s="556" t="str">
        <f>IF(N567=M567,"OK","DIF")</f>
        <v>DIF</v>
      </c>
      <c r="P567" s="573"/>
      <c r="Q567" s="556"/>
      <c r="R567" s="582"/>
    </row>
    <row r="568" ht="23.85" customHeight="1" spans="1:18">
      <c r="A568" s="556" t="str">
        <f>B568</f>
        <v>Composição Auxiliar</v>
      </c>
      <c r="B568" s="557" t="str">
        <f>B567</f>
        <v>Composição Auxiliar</v>
      </c>
      <c r="C568" s="100" t="s">
        <v>2893</v>
      </c>
      <c r="D568" s="99" t="s">
        <v>3242</v>
      </c>
      <c r="E568" s="100" t="s">
        <v>139</v>
      </c>
      <c r="F568" s="100" t="s">
        <v>3243</v>
      </c>
      <c r="G568" s="100" t="s">
        <v>2961</v>
      </c>
      <c r="H568" s="100"/>
      <c r="I568" s="101" t="s">
        <v>134</v>
      </c>
      <c r="J568" s="580">
        <v>0.0966</v>
      </c>
      <c r="K568" s="580">
        <v>0</v>
      </c>
      <c r="L568" s="102">
        <v>253.75</v>
      </c>
      <c r="M568" s="102">
        <v>24.51</v>
      </c>
      <c r="N568" s="573">
        <v>0.2</v>
      </c>
      <c r="O568" s="556" t="str">
        <f>IF(N568=M568,"OK","DIF")</f>
        <v>DIF</v>
      </c>
      <c r="P568" s="573"/>
      <c r="Q568" s="556"/>
      <c r="R568" s="582"/>
    </row>
    <row r="569" ht="23.85" customHeight="1" spans="1:18">
      <c r="A569" s="556"/>
      <c r="B569" s="557"/>
      <c r="C569" s="100" t="s">
        <v>2893</v>
      </c>
      <c r="D569" s="99" t="s">
        <v>3244</v>
      </c>
      <c r="E569" s="100" t="s">
        <v>139</v>
      </c>
      <c r="F569" s="100" t="s">
        <v>3245</v>
      </c>
      <c r="G569" s="100" t="s">
        <v>2961</v>
      </c>
      <c r="H569" s="100"/>
      <c r="I569" s="101" t="s">
        <v>134</v>
      </c>
      <c r="J569" s="580">
        <v>0.0966</v>
      </c>
      <c r="K569" s="580">
        <v>0</v>
      </c>
      <c r="L569" s="102">
        <v>245.38</v>
      </c>
      <c r="M569" s="102">
        <v>23.7</v>
      </c>
      <c r="N569" s="573"/>
      <c r="O569" s="556"/>
      <c r="P569" s="573"/>
      <c r="Q569" s="556"/>
      <c r="R569" s="582"/>
    </row>
    <row r="570" ht="25.5" spans="1:18">
      <c r="A570" s="556"/>
      <c r="B570" s="557"/>
      <c r="C570" s="108"/>
      <c r="D570" s="108"/>
      <c r="E570" s="108"/>
      <c r="F570" s="108"/>
      <c r="G570" s="108"/>
      <c r="H570" s="108" t="s">
        <v>2898</v>
      </c>
      <c r="I570" s="581">
        <v>121.4</v>
      </c>
      <c r="J570" s="108" t="s">
        <v>2899</v>
      </c>
      <c r="K570" s="581">
        <v>0</v>
      </c>
      <c r="L570" s="108" t="s">
        <v>2900</v>
      </c>
      <c r="M570" s="581">
        <v>121.4</v>
      </c>
      <c r="N570" s="573"/>
      <c r="O570" s="556"/>
      <c r="P570" s="573"/>
      <c r="Q570" s="556"/>
      <c r="R570" s="582"/>
    </row>
    <row r="571" ht="26.25" spans="1:18">
      <c r="A571" s="556"/>
      <c r="B571" s="557">
        <f>C570</f>
        <v>0</v>
      </c>
      <c r="C571" s="108"/>
      <c r="D571" s="108"/>
      <c r="E571" s="108"/>
      <c r="F571" s="108"/>
      <c r="G571" s="108"/>
      <c r="H571" s="108" t="s">
        <v>2901</v>
      </c>
      <c r="I571" s="581">
        <v>124.94</v>
      </c>
      <c r="J571" s="114"/>
      <c r="K571" s="114" t="s">
        <v>2902</v>
      </c>
      <c r="L571" s="108"/>
      <c r="M571" s="581">
        <v>615.11</v>
      </c>
      <c r="N571" s="573">
        <v>7.21</v>
      </c>
      <c r="O571" s="556" t="str">
        <f>IF(N571=M571,"OK","DIF")</f>
        <v>DIF</v>
      </c>
      <c r="P571" s="573"/>
      <c r="Q571" s="556"/>
      <c r="R571" s="582"/>
    </row>
    <row r="572" ht="15" spans="1:18">
      <c r="A572" s="556">
        <f>B572</f>
        <v>0</v>
      </c>
      <c r="B572" s="557">
        <f>B571</f>
        <v>0</v>
      </c>
      <c r="C572" s="571"/>
      <c r="D572" s="571"/>
      <c r="E572" s="571"/>
      <c r="F572" s="571"/>
      <c r="G572" s="571"/>
      <c r="H572" s="571"/>
      <c r="I572" s="571"/>
      <c r="J572" s="571"/>
      <c r="K572" s="571"/>
      <c r="L572" s="571"/>
      <c r="M572" s="571"/>
      <c r="N572" s="573">
        <v>7.21</v>
      </c>
      <c r="O572" s="556" t="str">
        <f>IF(N572=M572,"OK","DIF")</f>
        <v>DIF</v>
      </c>
      <c r="P572" s="573"/>
      <c r="Q572" s="556"/>
      <c r="R572" s="582"/>
    </row>
    <row r="573" ht="15" customHeight="1" spans="1:18">
      <c r="A573" s="556"/>
      <c r="B573" s="557"/>
      <c r="C573" s="76" t="s">
        <v>270</v>
      </c>
      <c r="D573" s="75" t="s">
        <v>63</v>
      </c>
      <c r="E573" s="76" t="s">
        <v>64</v>
      </c>
      <c r="F573" s="76" t="s">
        <v>65</v>
      </c>
      <c r="G573" s="76" t="s">
        <v>2889</v>
      </c>
      <c r="H573" s="76"/>
      <c r="I573" s="77" t="s">
        <v>66</v>
      </c>
      <c r="J573" s="75" t="s">
        <v>67</v>
      </c>
      <c r="K573" s="75" t="s">
        <v>2890</v>
      </c>
      <c r="L573" s="75" t="s">
        <v>68</v>
      </c>
      <c r="M573" s="75" t="s">
        <v>70</v>
      </c>
      <c r="N573" s="573"/>
      <c r="O573" s="556"/>
      <c r="P573" s="573"/>
      <c r="Q573" s="556"/>
      <c r="R573" s="582"/>
    </row>
    <row r="574" ht="23.85" customHeight="1" spans="1:18">
      <c r="A574" s="556"/>
      <c r="B574" s="557"/>
      <c r="C574" s="569" t="s">
        <v>2891</v>
      </c>
      <c r="D574" s="570" t="s">
        <v>271</v>
      </c>
      <c r="E574" s="569" t="s">
        <v>139</v>
      </c>
      <c r="F574" s="569" t="s">
        <v>272</v>
      </c>
      <c r="G574" s="569" t="s">
        <v>3248</v>
      </c>
      <c r="H574" s="569"/>
      <c r="I574" s="577" t="s">
        <v>141</v>
      </c>
      <c r="J574" s="578">
        <v>1</v>
      </c>
      <c r="K574" s="579"/>
      <c r="L574" s="579">
        <v>4.09</v>
      </c>
      <c r="M574" s="579">
        <v>4.09</v>
      </c>
      <c r="N574" s="573"/>
      <c r="O574" s="556"/>
      <c r="P574" s="573"/>
      <c r="Q574" s="556"/>
      <c r="R574" s="582"/>
    </row>
    <row r="575" ht="23.85" customHeight="1" spans="1:18">
      <c r="A575" s="556"/>
      <c r="B575" s="557" t="str">
        <f>C574</f>
        <v>Composição</v>
      </c>
      <c r="C575" s="79" t="s">
        <v>2921</v>
      </c>
      <c r="D575" s="78" t="s">
        <v>2952</v>
      </c>
      <c r="E575" s="79" t="s">
        <v>139</v>
      </c>
      <c r="F575" s="79" t="s">
        <v>2953</v>
      </c>
      <c r="G575" s="79" t="s">
        <v>2928</v>
      </c>
      <c r="H575" s="79"/>
      <c r="I575" s="80" t="s">
        <v>2897</v>
      </c>
      <c r="J575" s="583">
        <v>0.0952</v>
      </c>
      <c r="K575" s="583">
        <v>0</v>
      </c>
      <c r="L575" s="92">
        <v>29.15</v>
      </c>
      <c r="M575" s="92">
        <v>2.77</v>
      </c>
      <c r="N575" s="573">
        <v>97.02</v>
      </c>
      <c r="O575" s="556" t="str">
        <f>IF(N575=M575,"OK","DIF")</f>
        <v>DIF</v>
      </c>
      <c r="P575" s="573"/>
      <c r="Q575" s="556"/>
      <c r="R575" s="582"/>
    </row>
    <row r="576" ht="23.85" customHeight="1" spans="1:18">
      <c r="A576" s="556" t="str">
        <f>B576</f>
        <v>Composição</v>
      </c>
      <c r="B576" s="557" t="str">
        <f>B575</f>
        <v>Composição</v>
      </c>
      <c r="C576" s="79" t="s">
        <v>2921</v>
      </c>
      <c r="D576" s="78" t="s">
        <v>3113</v>
      </c>
      <c r="E576" s="79" t="s">
        <v>139</v>
      </c>
      <c r="F576" s="79" t="s">
        <v>3114</v>
      </c>
      <c r="G576" s="79" t="s">
        <v>2928</v>
      </c>
      <c r="H576" s="79"/>
      <c r="I576" s="80" t="s">
        <v>2897</v>
      </c>
      <c r="J576" s="583">
        <v>0.0337</v>
      </c>
      <c r="K576" s="583">
        <v>0</v>
      </c>
      <c r="L576" s="92">
        <v>39.26</v>
      </c>
      <c r="M576" s="92">
        <v>1.32</v>
      </c>
      <c r="N576" s="573">
        <v>97.02</v>
      </c>
      <c r="O576" s="556" t="str">
        <f>IF(N576=M576,"OK","DIF")</f>
        <v>DIF</v>
      </c>
      <c r="P576" s="573"/>
      <c r="Q576" s="556"/>
      <c r="R576" s="582"/>
    </row>
    <row r="577" ht="25.5" spans="1:18">
      <c r="A577" s="556"/>
      <c r="B577" s="557"/>
      <c r="C577" s="108"/>
      <c r="D577" s="108"/>
      <c r="E577" s="108"/>
      <c r="F577" s="108"/>
      <c r="G577" s="108"/>
      <c r="H577" s="108" t="s">
        <v>2898</v>
      </c>
      <c r="I577" s="581">
        <v>2.84</v>
      </c>
      <c r="J577" s="108" t="s">
        <v>2899</v>
      </c>
      <c r="K577" s="581">
        <v>0</v>
      </c>
      <c r="L577" s="108" t="s">
        <v>2900</v>
      </c>
      <c r="M577" s="581">
        <v>2.84</v>
      </c>
      <c r="N577" s="573"/>
      <c r="O577" s="556"/>
      <c r="P577" s="573"/>
      <c r="Q577" s="556"/>
      <c r="R577" s="582"/>
    </row>
    <row r="578" ht="26.25" spans="1:18">
      <c r="A578" s="556"/>
      <c r="B578" s="557"/>
      <c r="C578" s="108"/>
      <c r="D578" s="108"/>
      <c r="E578" s="108"/>
      <c r="F578" s="108"/>
      <c r="G578" s="108"/>
      <c r="H578" s="108" t="s">
        <v>2901</v>
      </c>
      <c r="I578" s="581">
        <v>1.04</v>
      </c>
      <c r="J578" s="114"/>
      <c r="K578" s="114" t="s">
        <v>2902</v>
      </c>
      <c r="L578" s="108"/>
      <c r="M578" s="581">
        <v>5.13</v>
      </c>
      <c r="N578" s="573"/>
      <c r="O578" s="556"/>
      <c r="P578" s="573"/>
      <c r="Q578" s="556"/>
      <c r="R578" s="582"/>
    </row>
    <row r="579" ht="15" spans="1:18">
      <c r="A579" s="556"/>
      <c r="B579" s="557">
        <f>C578</f>
        <v>0</v>
      </c>
      <c r="C579" s="571"/>
      <c r="D579" s="571"/>
      <c r="E579" s="571"/>
      <c r="F579" s="571"/>
      <c r="G579" s="571"/>
      <c r="H579" s="571"/>
      <c r="I579" s="571"/>
      <c r="J579" s="571"/>
      <c r="K579" s="571"/>
      <c r="L579" s="571"/>
      <c r="M579" s="571"/>
      <c r="N579" s="573">
        <v>0.59</v>
      </c>
      <c r="O579" s="556" t="str">
        <f>IF(N579=M579,"OK","DIF")</f>
        <v>DIF</v>
      </c>
      <c r="P579" s="573"/>
      <c r="Q579" s="556"/>
      <c r="R579" s="582"/>
    </row>
    <row r="580" ht="15" customHeight="1" spans="1:18">
      <c r="A580" s="556">
        <f>B580</f>
        <v>0</v>
      </c>
      <c r="B580" s="557">
        <f>B579</f>
        <v>0</v>
      </c>
      <c r="C580" s="76" t="s">
        <v>273</v>
      </c>
      <c r="D580" s="75" t="s">
        <v>63</v>
      </c>
      <c r="E580" s="76" t="s">
        <v>64</v>
      </c>
      <c r="F580" s="76" t="s">
        <v>65</v>
      </c>
      <c r="G580" s="76" t="s">
        <v>2889</v>
      </c>
      <c r="H580" s="76"/>
      <c r="I580" s="77" t="s">
        <v>66</v>
      </c>
      <c r="J580" s="75" t="s">
        <v>67</v>
      </c>
      <c r="K580" s="75" t="s">
        <v>2890</v>
      </c>
      <c r="L580" s="75" t="s">
        <v>68</v>
      </c>
      <c r="M580" s="75" t="s">
        <v>70</v>
      </c>
      <c r="N580" s="573">
        <v>0.59</v>
      </c>
      <c r="O580" s="556" t="str">
        <f>IF(N580=M580,"OK","DIF")</f>
        <v>DIF</v>
      </c>
      <c r="P580" s="573"/>
      <c r="Q580" s="556"/>
      <c r="R580" s="582"/>
    </row>
    <row r="581" ht="23.85" customHeight="1" spans="1:18">
      <c r="A581" s="556"/>
      <c r="B581" s="557"/>
      <c r="C581" s="569" t="s">
        <v>2891</v>
      </c>
      <c r="D581" s="570" t="s">
        <v>274</v>
      </c>
      <c r="E581" s="569" t="s">
        <v>139</v>
      </c>
      <c r="F581" s="569" t="s">
        <v>275</v>
      </c>
      <c r="G581" s="569" t="s">
        <v>3248</v>
      </c>
      <c r="H581" s="569"/>
      <c r="I581" s="577" t="s">
        <v>204</v>
      </c>
      <c r="J581" s="578">
        <v>1</v>
      </c>
      <c r="K581" s="579"/>
      <c r="L581" s="579">
        <v>23.05</v>
      </c>
      <c r="M581" s="579">
        <v>23.05</v>
      </c>
      <c r="N581" s="573"/>
      <c r="O581" s="556"/>
      <c r="P581" s="573"/>
      <c r="Q581" s="556"/>
      <c r="R581" s="582"/>
    </row>
    <row r="582" ht="35.05" customHeight="1" spans="1:18">
      <c r="A582" s="556"/>
      <c r="B582" s="557"/>
      <c r="C582" s="79" t="s">
        <v>2921</v>
      </c>
      <c r="D582" s="78" t="s">
        <v>3249</v>
      </c>
      <c r="E582" s="79" t="s">
        <v>139</v>
      </c>
      <c r="F582" s="79" t="s">
        <v>3250</v>
      </c>
      <c r="G582" s="79" t="s">
        <v>2995</v>
      </c>
      <c r="H582" s="79"/>
      <c r="I582" s="80" t="s">
        <v>2996</v>
      </c>
      <c r="J582" s="583">
        <v>0.0839</v>
      </c>
      <c r="K582" s="583">
        <v>0</v>
      </c>
      <c r="L582" s="92">
        <v>8.9</v>
      </c>
      <c r="M582" s="92">
        <v>0.74</v>
      </c>
      <c r="N582" s="573"/>
      <c r="O582" s="556"/>
      <c r="P582" s="573"/>
      <c r="Q582" s="556"/>
      <c r="R582" s="582"/>
    </row>
    <row r="583" ht="23.85" customHeight="1" spans="1:18">
      <c r="A583" s="556"/>
      <c r="B583" s="557"/>
      <c r="C583" s="79" t="s">
        <v>2921</v>
      </c>
      <c r="D583" s="78" t="s">
        <v>3017</v>
      </c>
      <c r="E583" s="79" t="s">
        <v>139</v>
      </c>
      <c r="F583" s="79" t="s">
        <v>3018</v>
      </c>
      <c r="G583" s="79" t="s">
        <v>2928</v>
      </c>
      <c r="H583" s="79"/>
      <c r="I583" s="80" t="s">
        <v>2897</v>
      </c>
      <c r="J583" s="583">
        <v>0.2199</v>
      </c>
      <c r="K583" s="583">
        <v>0</v>
      </c>
      <c r="L583" s="92">
        <v>36.96</v>
      </c>
      <c r="M583" s="92">
        <v>8.12</v>
      </c>
      <c r="N583" s="573"/>
      <c r="O583" s="556"/>
      <c r="P583" s="573"/>
      <c r="Q583" s="556"/>
      <c r="R583" s="582"/>
    </row>
    <row r="584" ht="23.85" customHeight="1" spans="1:18">
      <c r="A584" s="556"/>
      <c r="B584" s="557" t="str">
        <f>C583</f>
        <v>Composição Auxiliar</v>
      </c>
      <c r="C584" s="79" t="s">
        <v>2921</v>
      </c>
      <c r="D584" s="78" t="s">
        <v>3251</v>
      </c>
      <c r="E584" s="79" t="s">
        <v>139</v>
      </c>
      <c r="F584" s="79" t="s">
        <v>3252</v>
      </c>
      <c r="G584" s="79" t="s">
        <v>2995</v>
      </c>
      <c r="H584" s="79"/>
      <c r="I584" s="80" t="s">
        <v>2996</v>
      </c>
      <c r="J584" s="583">
        <v>0.0839</v>
      </c>
      <c r="K584" s="583">
        <v>0</v>
      </c>
      <c r="L584" s="92">
        <v>39.1</v>
      </c>
      <c r="M584" s="92">
        <v>3.28</v>
      </c>
      <c r="N584" s="573">
        <v>4911.12</v>
      </c>
      <c r="O584" s="556" t="str">
        <f t="shared" ref="O584:O589" si="52">IF(N584=M584,"OK","DIF")</f>
        <v>DIF</v>
      </c>
      <c r="P584" s="573"/>
      <c r="Q584" s="556"/>
      <c r="R584" s="582"/>
    </row>
    <row r="585" ht="23.85" customHeight="1" spans="1:18">
      <c r="A585" s="556" t="str">
        <f>B585</f>
        <v>Composição Auxiliar</v>
      </c>
      <c r="B585" s="557" t="str">
        <f>B584</f>
        <v>Composição Auxiliar</v>
      </c>
      <c r="C585" s="79" t="s">
        <v>2921</v>
      </c>
      <c r="D585" s="78" t="s">
        <v>3253</v>
      </c>
      <c r="E585" s="79" t="s">
        <v>139</v>
      </c>
      <c r="F585" s="79" t="s">
        <v>3254</v>
      </c>
      <c r="G585" s="79" t="s">
        <v>2995</v>
      </c>
      <c r="H585" s="79"/>
      <c r="I585" s="80" t="s">
        <v>3002</v>
      </c>
      <c r="J585" s="583">
        <v>0.1098</v>
      </c>
      <c r="K585" s="583">
        <v>0</v>
      </c>
      <c r="L585" s="92">
        <v>41.23</v>
      </c>
      <c r="M585" s="92">
        <v>4.52</v>
      </c>
      <c r="N585" s="573">
        <v>1081.74</v>
      </c>
      <c r="O585" s="556" t="str">
        <f t="shared" si="52"/>
        <v>DIF</v>
      </c>
      <c r="P585" s="573"/>
      <c r="Q585" s="556"/>
      <c r="R585" s="582"/>
    </row>
    <row r="586" ht="35.05" customHeight="1" spans="1:18">
      <c r="A586" s="556" t="str">
        <f>B586</f>
        <v>Composição Auxiliar</v>
      </c>
      <c r="B586" s="557" t="str">
        <f>B585</f>
        <v>Composição Auxiliar</v>
      </c>
      <c r="C586" s="79" t="s">
        <v>2921</v>
      </c>
      <c r="D586" s="78" t="s">
        <v>3255</v>
      </c>
      <c r="E586" s="79" t="s">
        <v>139</v>
      </c>
      <c r="F586" s="79" t="s">
        <v>3256</v>
      </c>
      <c r="G586" s="79" t="s">
        <v>2995</v>
      </c>
      <c r="H586" s="79"/>
      <c r="I586" s="80" t="s">
        <v>3002</v>
      </c>
      <c r="J586" s="583">
        <v>0.1098</v>
      </c>
      <c r="K586" s="583">
        <v>0</v>
      </c>
      <c r="L586" s="92">
        <v>32.69</v>
      </c>
      <c r="M586" s="92">
        <v>3.58</v>
      </c>
      <c r="N586" s="573">
        <v>2609.54</v>
      </c>
      <c r="O586" s="556" t="str">
        <f t="shared" si="52"/>
        <v>DIF</v>
      </c>
      <c r="P586" s="573"/>
      <c r="Q586" s="556"/>
      <c r="R586" s="582"/>
    </row>
    <row r="587" ht="23.85" customHeight="1" spans="1:18">
      <c r="A587" s="556" t="str">
        <f>B587</f>
        <v>Composição Auxiliar</v>
      </c>
      <c r="B587" s="557" t="str">
        <f>B586</f>
        <v>Composição Auxiliar</v>
      </c>
      <c r="C587" s="79" t="s">
        <v>2921</v>
      </c>
      <c r="D587" s="78" t="s">
        <v>2952</v>
      </c>
      <c r="E587" s="79" t="s">
        <v>139</v>
      </c>
      <c r="F587" s="79" t="s">
        <v>2953</v>
      </c>
      <c r="G587" s="79" t="s">
        <v>2928</v>
      </c>
      <c r="H587" s="79"/>
      <c r="I587" s="80" t="s">
        <v>2897</v>
      </c>
      <c r="J587" s="583">
        <v>0.0965</v>
      </c>
      <c r="K587" s="583">
        <v>0</v>
      </c>
      <c r="L587" s="92">
        <v>29.15</v>
      </c>
      <c r="M587" s="92">
        <v>2.81</v>
      </c>
      <c r="N587" s="573">
        <v>217.46</v>
      </c>
      <c r="O587" s="556" t="str">
        <f t="shared" si="52"/>
        <v>DIF</v>
      </c>
      <c r="P587" s="573"/>
      <c r="Q587" s="556"/>
      <c r="R587" s="582"/>
    </row>
    <row r="588" ht="25.5" spans="1:18">
      <c r="A588" s="556" t="str">
        <f>B588</f>
        <v>Composição Auxiliar</v>
      </c>
      <c r="B588" s="557" t="str">
        <f>B587</f>
        <v>Composição Auxiliar</v>
      </c>
      <c r="C588" s="108"/>
      <c r="D588" s="108"/>
      <c r="E588" s="108"/>
      <c r="F588" s="108"/>
      <c r="G588" s="108"/>
      <c r="H588" s="108" t="s">
        <v>2898</v>
      </c>
      <c r="I588" s="581">
        <v>13.22</v>
      </c>
      <c r="J588" s="108" t="s">
        <v>2899</v>
      </c>
      <c r="K588" s="581">
        <v>0</v>
      </c>
      <c r="L588" s="108" t="s">
        <v>2900</v>
      </c>
      <c r="M588" s="581">
        <v>13.22</v>
      </c>
      <c r="N588" s="573">
        <v>171.29</v>
      </c>
      <c r="O588" s="556" t="str">
        <f t="shared" si="52"/>
        <v>DIF</v>
      </c>
      <c r="P588" s="573"/>
      <c r="Q588" s="556"/>
      <c r="R588" s="582"/>
    </row>
    <row r="589" ht="26.25" spans="1:18">
      <c r="A589" s="556" t="str">
        <f>B589</f>
        <v>Composição Auxiliar</v>
      </c>
      <c r="B589" s="557" t="str">
        <f>B588</f>
        <v>Composição Auxiliar</v>
      </c>
      <c r="C589" s="108"/>
      <c r="D589" s="108"/>
      <c r="E589" s="108"/>
      <c r="F589" s="108"/>
      <c r="G589" s="108"/>
      <c r="H589" s="108" t="s">
        <v>2901</v>
      </c>
      <c r="I589" s="581">
        <v>5.87</v>
      </c>
      <c r="J589" s="114"/>
      <c r="K589" s="114" t="s">
        <v>2902</v>
      </c>
      <c r="L589" s="108"/>
      <c r="M589" s="581">
        <v>28.92</v>
      </c>
      <c r="N589" s="573">
        <v>831.09</v>
      </c>
      <c r="O589" s="556" t="str">
        <f t="shared" si="52"/>
        <v>DIF</v>
      </c>
      <c r="P589" s="573"/>
      <c r="Q589" s="556"/>
      <c r="R589" s="582"/>
    </row>
    <row r="590" ht="15" spans="1:18">
      <c r="A590" s="556"/>
      <c r="B590" s="557"/>
      <c r="C590" s="571"/>
      <c r="D590" s="571"/>
      <c r="E590" s="571"/>
      <c r="F590" s="571"/>
      <c r="G590" s="571"/>
      <c r="H590" s="571"/>
      <c r="I590" s="571"/>
      <c r="J590" s="571"/>
      <c r="K590" s="571"/>
      <c r="L590" s="571"/>
      <c r="M590" s="571"/>
      <c r="N590" s="573"/>
      <c r="O590" s="556"/>
      <c r="P590" s="573"/>
      <c r="Q590" s="556"/>
      <c r="R590" s="582"/>
    </row>
    <row r="591" ht="15" customHeight="1" spans="1:18">
      <c r="A591" s="556"/>
      <c r="B591" s="557"/>
      <c r="C591" s="76" t="s">
        <v>276</v>
      </c>
      <c r="D591" s="75" t="s">
        <v>63</v>
      </c>
      <c r="E591" s="76" t="s">
        <v>64</v>
      </c>
      <c r="F591" s="76" t="s">
        <v>65</v>
      </c>
      <c r="G591" s="76" t="s">
        <v>2889</v>
      </c>
      <c r="H591" s="76"/>
      <c r="I591" s="77" t="s">
        <v>66</v>
      </c>
      <c r="J591" s="75" t="s">
        <v>67</v>
      </c>
      <c r="K591" s="75" t="s">
        <v>2890</v>
      </c>
      <c r="L591" s="75" t="s">
        <v>68</v>
      </c>
      <c r="M591" s="75" t="s">
        <v>70</v>
      </c>
      <c r="N591" s="573"/>
      <c r="O591" s="556"/>
      <c r="P591" s="573"/>
      <c r="Q591" s="556"/>
      <c r="R591" s="582"/>
    </row>
    <row r="592" ht="23.85" customHeight="1" spans="1:18">
      <c r="A592" s="556"/>
      <c r="B592" s="557"/>
      <c r="C592" s="569" t="s">
        <v>2891</v>
      </c>
      <c r="D592" s="570" t="s">
        <v>277</v>
      </c>
      <c r="E592" s="569" t="s">
        <v>139</v>
      </c>
      <c r="F592" s="569" t="s">
        <v>278</v>
      </c>
      <c r="G592" s="569" t="s">
        <v>3248</v>
      </c>
      <c r="H592" s="569"/>
      <c r="I592" s="577" t="s">
        <v>279</v>
      </c>
      <c r="J592" s="578">
        <v>1</v>
      </c>
      <c r="K592" s="579"/>
      <c r="L592" s="579">
        <v>77.08</v>
      </c>
      <c r="M592" s="579">
        <v>77.08</v>
      </c>
      <c r="N592" s="573"/>
      <c r="O592" s="556"/>
      <c r="P592" s="573"/>
      <c r="Q592" s="556"/>
      <c r="R592" s="582"/>
    </row>
    <row r="593" ht="23.85" customHeight="1" spans="1:18">
      <c r="A593" s="556"/>
      <c r="B593" s="557"/>
      <c r="C593" s="79" t="s">
        <v>2921</v>
      </c>
      <c r="D593" s="78" t="s">
        <v>2952</v>
      </c>
      <c r="E593" s="79" t="s">
        <v>139</v>
      </c>
      <c r="F593" s="79" t="s">
        <v>2953</v>
      </c>
      <c r="G593" s="79" t="s">
        <v>2928</v>
      </c>
      <c r="H593" s="79"/>
      <c r="I593" s="80" t="s">
        <v>2897</v>
      </c>
      <c r="J593" s="583">
        <v>2.1957</v>
      </c>
      <c r="K593" s="583">
        <v>0</v>
      </c>
      <c r="L593" s="92">
        <v>29.15</v>
      </c>
      <c r="M593" s="92">
        <v>64</v>
      </c>
      <c r="N593" s="573"/>
      <c r="O593" s="556"/>
      <c r="P593" s="573"/>
      <c r="Q593" s="556"/>
      <c r="R593" s="582"/>
    </row>
    <row r="594" ht="23.85" customHeight="1" spans="1:18">
      <c r="A594" s="556"/>
      <c r="B594" s="557" t="str">
        <f>C593</f>
        <v>Composição Auxiliar</v>
      </c>
      <c r="C594" s="79" t="s">
        <v>2921</v>
      </c>
      <c r="D594" s="78" t="s">
        <v>3017</v>
      </c>
      <c r="E594" s="79" t="s">
        <v>139</v>
      </c>
      <c r="F594" s="79" t="s">
        <v>3018</v>
      </c>
      <c r="G594" s="79" t="s">
        <v>2928</v>
      </c>
      <c r="H594" s="79"/>
      <c r="I594" s="80" t="s">
        <v>2897</v>
      </c>
      <c r="J594" s="583">
        <v>0.3541</v>
      </c>
      <c r="K594" s="583">
        <v>0</v>
      </c>
      <c r="L594" s="92">
        <v>36.96</v>
      </c>
      <c r="M594" s="92">
        <v>13.08</v>
      </c>
      <c r="N594" s="573">
        <v>5.53</v>
      </c>
      <c r="O594" s="556" t="str">
        <f>IF(N594=M594,"OK","DIF")</f>
        <v>DIF</v>
      </c>
      <c r="P594" s="573"/>
      <c r="Q594" s="556"/>
      <c r="R594" s="582"/>
    </row>
    <row r="595" ht="25.5" spans="1:18">
      <c r="A595" s="556" t="str">
        <f>B595</f>
        <v>Composição Auxiliar</v>
      </c>
      <c r="B595" s="557" t="str">
        <f>B594</f>
        <v>Composição Auxiliar</v>
      </c>
      <c r="C595" s="108"/>
      <c r="D595" s="108"/>
      <c r="E595" s="108"/>
      <c r="F595" s="108"/>
      <c r="G595" s="108"/>
      <c r="H595" s="108" t="s">
        <v>2898</v>
      </c>
      <c r="I595" s="581">
        <v>51.73</v>
      </c>
      <c r="J595" s="108" t="s">
        <v>2899</v>
      </c>
      <c r="K595" s="581">
        <v>0</v>
      </c>
      <c r="L595" s="108" t="s">
        <v>2900</v>
      </c>
      <c r="M595" s="581">
        <v>51.73</v>
      </c>
      <c r="N595" s="573">
        <v>5.53</v>
      </c>
      <c r="O595" s="556" t="str">
        <f>IF(N595=M595,"OK","DIF")</f>
        <v>DIF</v>
      </c>
      <c r="P595" s="573"/>
      <c r="Q595" s="556"/>
      <c r="R595" s="582"/>
    </row>
    <row r="596" ht="26.25" spans="1:18">
      <c r="A596" s="556"/>
      <c r="B596" s="557"/>
      <c r="C596" s="108"/>
      <c r="D596" s="108"/>
      <c r="E596" s="108"/>
      <c r="F596" s="108"/>
      <c r="G596" s="108"/>
      <c r="H596" s="108" t="s">
        <v>2901</v>
      </c>
      <c r="I596" s="581">
        <v>19.64</v>
      </c>
      <c r="J596" s="114"/>
      <c r="K596" s="114" t="s">
        <v>2902</v>
      </c>
      <c r="L596" s="108"/>
      <c r="M596" s="581">
        <v>96.72</v>
      </c>
      <c r="N596" s="573"/>
      <c r="O596" s="556"/>
      <c r="P596" s="573"/>
      <c r="Q596" s="556"/>
      <c r="R596" s="582"/>
    </row>
    <row r="597" ht="15" spans="1:18">
      <c r="A597" s="556"/>
      <c r="B597" s="557"/>
      <c r="C597" s="571"/>
      <c r="D597" s="571"/>
      <c r="E597" s="571"/>
      <c r="F597" s="571"/>
      <c r="G597" s="571"/>
      <c r="H597" s="571"/>
      <c r="I597" s="571"/>
      <c r="J597" s="571"/>
      <c r="K597" s="571"/>
      <c r="L597" s="571"/>
      <c r="M597" s="571"/>
      <c r="N597" s="573"/>
      <c r="O597" s="556"/>
      <c r="P597" s="573"/>
      <c r="Q597" s="556"/>
      <c r="R597" s="582"/>
    </row>
    <row r="598" ht="15" customHeight="1" spans="1:18">
      <c r="A598" s="556"/>
      <c r="B598" s="557">
        <f>C597</f>
        <v>0</v>
      </c>
      <c r="C598" s="76" t="s">
        <v>280</v>
      </c>
      <c r="D598" s="75" t="s">
        <v>63</v>
      </c>
      <c r="E598" s="76" t="s">
        <v>64</v>
      </c>
      <c r="F598" s="76" t="s">
        <v>65</v>
      </c>
      <c r="G598" s="76" t="s">
        <v>2889</v>
      </c>
      <c r="H598" s="76"/>
      <c r="I598" s="77" t="s">
        <v>66</v>
      </c>
      <c r="J598" s="75" t="s">
        <v>67</v>
      </c>
      <c r="K598" s="75" t="s">
        <v>2890</v>
      </c>
      <c r="L598" s="75" t="s">
        <v>68</v>
      </c>
      <c r="M598" s="75" t="s">
        <v>70</v>
      </c>
      <c r="N598" s="573">
        <v>696.61</v>
      </c>
      <c r="O598" s="556" t="str">
        <f t="shared" ref="O598:O609" si="53">IF(N598=M598,"OK","DIF")</f>
        <v>DIF</v>
      </c>
      <c r="P598" s="573"/>
      <c r="Q598" s="556"/>
      <c r="R598" s="582"/>
    </row>
    <row r="599" ht="35.05" customHeight="1" spans="1:18">
      <c r="A599" s="556">
        <f t="shared" ref="A599:A609" si="54">B599</f>
        <v>0</v>
      </c>
      <c r="B599" s="557">
        <f t="shared" ref="B599:B609" si="55">B598</f>
        <v>0</v>
      </c>
      <c r="C599" s="569" t="s">
        <v>2891</v>
      </c>
      <c r="D599" s="570" t="s">
        <v>281</v>
      </c>
      <c r="E599" s="569" t="s">
        <v>132</v>
      </c>
      <c r="F599" s="569" t="s">
        <v>282</v>
      </c>
      <c r="G599" s="569" t="s">
        <v>3257</v>
      </c>
      <c r="H599" s="569"/>
      <c r="I599" s="577" t="s">
        <v>141</v>
      </c>
      <c r="J599" s="578">
        <v>1</v>
      </c>
      <c r="K599" s="579"/>
      <c r="L599" s="579">
        <v>31.52</v>
      </c>
      <c r="M599" s="579">
        <v>31.52</v>
      </c>
      <c r="N599" s="573">
        <v>82.82</v>
      </c>
      <c r="O599" s="556" t="str">
        <f t="shared" si="53"/>
        <v>DIF</v>
      </c>
      <c r="P599" s="573"/>
      <c r="Q599" s="556"/>
      <c r="R599" s="582"/>
    </row>
    <row r="600" ht="23.85" customHeight="1" spans="1:18">
      <c r="A600" s="556">
        <f t="shared" si="54"/>
        <v>0</v>
      </c>
      <c r="B600" s="557">
        <f t="shared" si="55"/>
        <v>0</v>
      </c>
      <c r="C600" s="79" t="s">
        <v>2921</v>
      </c>
      <c r="D600" s="78" t="s">
        <v>2952</v>
      </c>
      <c r="E600" s="79" t="s">
        <v>139</v>
      </c>
      <c r="F600" s="79" t="s">
        <v>2953</v>
      </c>
      <c r="G600" s="79" t="s">
        <v>2928</v>
      </c>
      <c r="H600" s="79"/>
      <c r="I600" s="80" t="s">
        <v>2897</v>
      </c>
      <c r="J600" s="583">
        <v>0.774</v>
      </c>
      <c r="K600" s="583">
        <v>0</v>
      </c>
      <c r="L600" s="92">
        <v>29.15</v>
      </c>
      <c r="M600" s="92">
        <v>22.56</v>
      </c>
      <c r="N600" s="573">
        <v>21.31</v>
      </c>
      <c r="O600" s="556" t="str">
        <f t="shared" si="53"/>
        <v>DIF</v>
      </c>
      <c r="P600" s="573"/>
      <c r="Q600" s="556"/>
      <c r="R600" s="582"/>
    </row>
    <row r="601" ht="23.85" customHeight="1" spans="1:18">
      <c r="A601" s="556">
        <f t="shared" si="54"/>
        <v>0</v>
      </c>
      <c r="B601" s="557">
        <f t="shared" si="55"/>
        <v>0</v>
      </c>
      <c r="C601" s="79" t="s">
        <v>2921</v>
      </c>
      <c r="D601" s="78" t="s">
        <v>3258</v>
      </c>
      <c r="E601" s="79" t="s">
        <v>139</v>
      </c>
      <c r="F601" s="79" t="s">
        <v>3259</v>
      </c>
      <c r="G601" s="79" t="s">
        <v>2928</v>
      </c>
      <c r="H601" s="79"/>
      <c r="I601" s="80" t="s">
        <v>2897</v>
      </c>
      <c r="J601" s="583">
        <v>0.2301</v>
      </c>
      <c r="K601" s="583">
        <v>0</v>
      </c>
      <c r="L601" s="92">
        <v>38.96</v>
      </c>
      <c r="M601" s="92">
        <v>8.96</v>
      </c>
      <c r="N601" s="573">
        <v>287.67</v>
      </c>
      <c r="O601" s="556" t="str">
        <f t="shared" si="53"/>
        <v>DIF</v>
      </c>
      <c r="P601" s="573"/>
      <c r="Q601" s="556"/>
      <c r="R601" s="582"/>
    </row>
    <row r="602" ht="25.5" spans="1:18">
      <c r="A602" s="556">
        <f t="shared" si="54"/>
        <v>0</v>
      </c>
      <c r="B602" s="557">
        <f t="shared" si="55"/>
        <v>0</v>
      </c>
      <c r="C602" s="108"/>
      <c r="D602" s="108"/>
      <c r="E602" s="108"/>
      <c r="F602" s="108"/>
      <c r="G602" s="108"/>
      <c r="H602" s="108" t="s">
        <v>2898</v>
      </c>
      <c r="I602" s="581">
        <v>21.52</v>
      </c>
      <c r="J602" s="108" t="s">
        <v>2899</v>
      </c>
      <c r="K602" s="581">
        <v>0</v>
      </c>
      <c r="L602" s="108" t="s">
        <v>2900</v>
      </c>
      <c r="M602" s="581">
        <v>21.52</v>
      </c>
      <c r="N602" s="573">
        <v>140.25</v>
      </c>
      <c r="O602" s="556" t="str">
        <f t="shared" si="53"/>
        <v>DIF</v>
      </c>
      <c r="P602" s="573"/>
      <c r="Q602" s="556"/>
      <c r="R602" s="582"/>
    </row>
    <row r="603" ht="26.25" spans="1:18">
      <c r="A603" s="556">
        <f t="shared" si="54"/>
        <v>0</v>
      </c>
      <c r="B603" s="557">
        <f t="shared" si="55"/>
        <v>0</v>
      </c>
      <c r="C603" s="108"/>
      <c r="D603" s="108"/>
      <c r="E603" s="108"/>
      <c r="F603" s="108"/>
      <c r="G603" s="108"/>
      <c r="H603" s="108" t="s">
        <v>2901</v>
      </c>
      <c r="I603" s="581">
        <v>8.03</v>
      </c>
      <c r="J603" s="114"/>
      <c r="K603" s="114" t="s">
        <v>2902</v>
      </c>
      <c r="L603" s="108"/>
      <c r="M603" s="581">
        <v>39.55</v>
      </c>
      <c r="N603" s="573">
        <v>6.55</v>
      </c>
      <c r="O603" s="556" t="str">
        <f t="shared" si="53"/>
        <v>DIF</v>
      </c>
      <c r="P603" s="573"/>
      <c r="Q603" s="556"/>
      <c r="R603" s="582"/>
    </row>
    <row r="604" ht="15" spans="1:18">
      <c r="A604" s="556">
        <f t="shared" si="54"/>
        <v>0</v>
      </c>
      <c r="B604" s="557">
        <f t="shared" si="55"/>
        <v>0</v>
      </c>
      <c r="C604" s="571"/>
      <c r="D604" s="571"/>
      <c r="E604" s="571"/>
      <c r="F604" s="571"/>
      <c r="G604" s="571"/>
      <c r="H604" s="571"/>
      <c r="I604" s="571"/>
      <c r="J604" s="571"/>
      <c r="K604" s="571"/>
      <c r="L604" s="571"/>
      <c r="M604" s="571"/>
      <c r="N604" s="573">
        <v>2.73</v>
      </c>
      <c r="O604" s="556" t="str">
        <f t="shared" si="53"/>
        <v>DIF</v>
      </c>
      <c r="P604" s="573"/>
      <c r="Q604" s="556"/>
      <c r="R604" s="582"/>
    </row>
    <row r="605" ht="15" customHeight="1" spans="1:18">
      <c r="A605" s="556">
        <f t="shared" si="54"/>
        <v>0</v>
      </c>
      <c r="B605" s="557">
        <f t="shared" si="55"/>
        <v>0</v>
      </c>
      <c r="C605" s="76" t="s">
        <v>283</v>
      </c>
      <c r="D605" s="75" t="s">
        <v>63</v>
      </c>
      <c r="E605" s="76" t="s">
        <v>64</v>
      </c>
      <c r="F605" s="76" t="s">
        <v>65</v>
      </c>
      <c r="G605" s="76" t="s">
        <v>2889</v>
      </c>
      <c r="H605" s="76"/>
      <c r="I605" s="77" t="s">
        <v>66</v>
      </c>
      <c r="J605" s="75" t="s">
        <v>67</v>
      </c>
      <c r="K605" s="75" t="s">
        <v>2890</v>
      </c>
      <c r="L605" s="75" t="s">
        <v>68</v>
      </c>
      <c r="M605" s="75" t="s">
        <v>70</v>
      </c>
      <c r="N605" s="573">
        <v>42.6</v>
      </c>
      <c r="O605" s="556" t="str">
        <f t="shared" si="53"/>
        <v>DIF</v>
      </c>
      <c r="P605" s="573"/>
      <c r="Q605" s="556"/>
      <c r="R605" s="582"/>
    </row>
    <row r="606" ht="25.5" spans="1:18">
      <c r="A606" s="556">
        <f t="shared" si="54"/>
        <v>0</v>
      </c>
      <c r="B606" s="557">
        <f t="shared" si="55"/>
        <v>0</v>
      </c>
      <c r="C606" s="569" t="s">
        <v>2891</v>
      </c>
      <c r="D606" s="570" t="s">
        <v>284</v>
      </c>
      <c r="E606" s="569" t="s">
        <v>132</v>
      </c>
      <c r="F606" s="569" t="s">
        <v>285</v>
      </c>
      <c r="G606" s="569">
        <v>45</v>
      </c>
      <c r="H606" s="569"/>
      <c r="I606" s="577" t="s">
        <v>141</v>
      </c>
      <c r="J606" s="578">
        <v>1</v>
      </c>
      <c r="K606" s="579"/>
      <c r="L606" s="579">
        <v>5.83</v>
      </c>
      <c r="M606" s="579">
        <v>5.83</v>
      </c>
      <c r="N606" s="573">
        <v>0.31</v>
      </c>
      <c r="O606" s="556" t="str">
        <f t="shared" si="53"/>
        <v>DIF</v>
      </c>
      <c r="P606" s="573"/>
      <c r="Q606" s="556"/>
      <c r="R606" s="582"/>
    </row>
    <row r="607" ht="23.85" customHeight="1" spans="1:18">
      <c r="A607" s="556">
        <f t="shared" si="54"/>
        <v>0</v>
      </c>
      <c r="B607" s="557">
        <f t="shared" si="55"/>
        <v>0</v>
      </c>
      <c r="C607" s="79" t="s">
        <v>2921</v>
      </c>
      <c r="D607" s="78" t="s">
        <v>2952</v>
      </c>
      <c r="E607" s="79" t="s">
        <v>139</v>
      </c>
      <c r="F607" s="79" t="s">
        <v>2953</v>
      </c>
      <c r="G607" s="79" t="s">
        <v>2928</v>
      </c>
      <c r="H607" s="79"/>
      <c r="I607" s="80" t="s">
        <v>2897</v>
      </c>
      <c r="J607" s="583">
        <v>0.2</v>
      </c>
      <c r="K607" s="583">
        <v>0</v>
      </c>
      <c r="L607" s="92">
        <v>29.15</v>
      </c>
      <c r="M607" s="92">
        <v>5.83</v>
      </c>
      <c r="N607" s="573">
        <v>109.75</v>
      </c>
      <c r="O607" s="556" t="str">
        <f t="shared" si="53"/>
        <v>DIF</v>
      </c>
      <c r="P607" s="573"/>
      <c r="Q607" s="556"/>
      <c r="R607" s="582"/>
    </row>
    <row r="608" ht="25.5" spans="1:18">
      <c r="A608" s="556">
        <f t="shared" si="54"/>
        <v>0</v>
      </c>
      <c r="B608" s="557">
        <f t="shared" si="55"/>
        <v>0</v>
      </c>
      <c r="C608" s="108"/>
      <c r="D608" s="108"/>
      <c r="E608" s="108"/>
      <c r="F608" s="108"/>
      <c r="G608" s="108"/>
      <c r="H608" s="108" t="s">
        <v>2898</v>
      </c>
      <c r="I608" s="581">
        <v>3.84</v>
      </c>
      <c r="J608" s="108" t="s">
        <v>2899</v>
      </c>
      <c r="K608" s="581">
        <v>0</v>
      </c>
      <c r="L608" s="108" t="s">
        <v>2900</v>
      </c>
      <c r="M608" s="581">
        <v>3.84</v>
      </c>
      <c r="N608" s="573">
        <v>1.29</v>
      </c>
      <c r="O608" s="556" t="str">
        <f t="shared" si="53"/>
        <v>DIF</v>
      </c>
      <c r="P608" s="573"/>
      <c r="Q608" s="556"/>
      <c r="R608" s="582"/>
    </row>
    <row r="609" ht="26.25" spans="1:18">
      <c r="A609" s="556">
        <f t="shared" si="54"/>
        <v>0</v>
      </c>
      <c r="B609" s="557">
        <f t="shared" si="55"/>
        <v>0</v>
      </c>
      <c r="C609" s="108"/>
      <c r="D609" s="108"/>
      <c r="E609" s="108"/>
      <c r="F609" s="108"/>
      <c r="G609" s="108"/>
      <c r="H609" s="108" t="s">
        <v>2901</v>
      </c>
      <c r="I609" s="581">
        <v>1.48</v>
      </c>
      <c r="J609" s="114"/>
      <c r="K609" s="114" t="s">
        <v>2902</v>
      </c>
      <c r="L609" s="108"/>
      <c r="M609" s="581">
        <v>7.31</v>
      </c>
      <c r="N609" s="573">
        <v>1.33</v>
      </c>
      <c r="O609" s="556" t="str">
        <f t="shared" si="53"/>
        <v>DIF</v>
      </c>
      <c r="P609" s="573"/>
      <c r="Q609" s="556"/>
      <c r="R609" s="582"/>
    </row>
    <row r="610" ht="15" spans="1:18">
      <c r="A610" s="556"/>
      <c r="B610" s="557"/>
      <c r="C610" s="571"/>
      <c r="D610" s="571"/>
      <c r="E610" s="571"/>
      <c r="F610" s="571"/>
      <c r="G610" s="571"/>
      <c r="H610" s="571"/>
      <c r="I610" s="571"/>
      <c r="J610" s="571"/>
      <c r="K610" s="571"/>
      <c r="L610" s="571"/>
      <c r="M610" s="571"/>
      <c r="N610" s="573"/>
      <c r="O610" s="556"/>
      <c r="P610" s="573"/>
      <c r="Q610" s="556"/>
      <c r="R610" s="582"/>
    </row>
    <row r="611" ht="15" customHeight="1" spans="1:18">
      <c r="A611" s="556"/>
      <c r="B611" s="557"/>
      <c r="C611" s="76" t="s">
        <v>286</v>
      </c>
      <c r="D611" s="75" t="s">
        <v>63</v>
      </c>
      <c r="E611" s="76" t="s">
        <v>64</v>
      </c>
      <c r="F611" s="76" t="s">
        <v>65</v>
      </c>
      <c r="G611" s="76" t="s">
        <v>2889</v>
      </c>
      <c r="H611" s="76"/>
      <c r="I611" s="77" t="s">
        <v>66</v>
      </c>
      <c r="J611" s="75" t="s">
        <v>67</v>
      </c>
      <c r="K611" s="75" t="s">
        <v>2890</v>
      </c>
      <c r="L611" s="75" t="s">
        <v>68</v>
      </c>
      <c r="M611" s="75" t="s">
        <v>70</v>
      </c>
      <c r="N611" s="573"/>
      <c r="O611" s="556"/>
      <c r="P611" s="573"/>
      <c r="Q611" s="556"/>
      <c r="R611" s="582"/>
    </row>
    <row r="612" ht="23.85" customHeight="1" spans="1:18">
      <c r="A612" s="556"/>
      <c r="B612" s="557"/>
      <c r="C612" s="569" t="s">
        <v>2891</v>
      </c>
      <c r="D612" s="570" t="s">
        <v>287</v>
      </c>
      <c r="E612" s="569" t="s">
        <v>139</v>
      </c>
      <c r="F612" s="569" t="s">
        <v>288</v>
      </c>
      <c r="G612" s="569" t="s">
        <v>3248</v>
      </c>
      <c r="H612" s="569"/>
      <c r="I612" s="577" t="s">
        <v>141</v>
      </c>
      <c r="J612" s="578">
        <v>1</v>
      </c>
      <c r="K612" s="579"/>
      <c r="L612" s="579">
        <v>2.77</v>
      </c>
      <c r="M612" s="579">
        <v>2.77</v>
      </c>
      <c r="N612" s="573"/>
      <c r="O612" s="556"/>
      <c r="P612" s="573"/>
      <c r="Q612" s="556"/>
      <c r="R612" s="582"/>
    </row>
    <row r="613" ht="23.85" customHeight="1" spans="1:18">
      <c r="A613" s="556"/>
      <c r="B613" s="557"/>
      <c r="C613" s="79" t="s">
        <v>2921</v>
      </c>
      <c r="D613" s="78" t="s">
        <v>2952</v>
      </c>
      <c r="E613" s="79" t="s">
        <v>139</v>
      </c>
      <c r="F613" s="79" t="s">
        <v>2953</v>
      </c>
      <c r="G613" s="79" t="s">
        <v>2928</v>
      </c>
      <c r="H613" s="79"/>
      <c r="I613" s="80" t="s">
        <v>2897</v>
      </c>
      <c r="J613" s="583">
        <v>0.0647</v>
      </c>
      <c r="K613" s="583">
        <v>0</v>
      </c>
      <c r="L613" s="92">
        <v>29.15</v>
      </c>
      <c r="M613" s="92">
        <v>1.88</v>
      </c>
      <c r="N613" s="573"/>
      <c r="O613" s="556"/>
      <c r="P613" s="573"/>
      <c r="Q613" s="556"/>
      <c r="R613" s="582"/>
    </row>
    <row r="614" ht="23.85" customHeight="1" spans="1:18">
      <c r="A614" s="556"/>
      <c r="B614" s="557" t="str">
        <f>C613</f>
        <v>Composição Auxiliar</v>
      </c>
      <c r="C614" s="79" t="s">
        <v>2921</v>
      </c>
      <c r="D614" s="78" t="s">
        <v>3113</v>
      </c>
      <c r="E614" s="79" t="s">
        <v>139</v>
      </c>
      <c r="F614" s="79" t="s">
        <v>3114</v>
      </c>
      <c r="G614" s="79" t="s">
        <v>2928</v>
      </c>
      <c r="H614" s="79"/>
      <c r="I614" s="80" t="s">
        <v>2897</v>
      </c>
      <c r="J614" s="583">
        <v>0.0229</v>
      </c>
      <c r="K614" s="583">
        <v>0</v>
      </c>
      <c r="L614" s="92">
        <v>39.26</v>
      </c>
      <c r="M614" s="92">
        <v>0.89</v>
      </c>
      <c r="N614" s="573">
        <v>102.65</v>
      </c>
      <c r="O614" s="556" t="str">
        <f>IF(N614=M614,"OK","DIF")</f>
        <v>DIF</v>
      </c>
      <c r="P614" s="573"/>
      <c r="Q614" s="556"/>
      <c r="R614" s="582"/>
    </row>
    <row r="615" ht="25.5" spans="1:18">
      <c r="A615" s="556" t="str">
        <f>B615</f>
        <v>Composição Auxiliar</v>
      </c>
      <c r="B615" s="557" t="str">
        <f>B614</f>
        <v>Composição Auxiliar</v>
      </c>
      <c r="C615" s="108"/>
      <c r="D615" s="108"/>
      <c r="E615" s="108"/>
      <c r="F615" s="108"/>
      <c r="G615" s="108"/>
      <c r="H615" s="108" t="s">
        <v>2898</v>
      </c>
      <c r="I615" s="581">
        <v>1.93</v>
      </c>
      <c r="J615" s="108" t="s">
        <v>2899</v>
      </c>
      <c r="K615" s="581">
        <v>0</v>
      </c>
      <c r="L615" s="108" t="s">
        <v>2900</v>
      </c>
      <c r="M615" s="581">
        <v>1.93</v>
      </c>
      <c r="N615" s="573">
        <v>102.65</v>
      </c>
      <c r="O615" s="556" t="str">
        <f>IF(N615=M615,"OK","DIF")</f>
        <v>DIF</v>
      </c>
      <c r="P615" s="573"/>
      <c r="Q615" s="556"/>
      <c r="R615" s="582"/>
    </row>
    <row r="616" ht="26.25" spans="1:18">
      <c r="A616" s="556"/>
      <c r="B616" s="557"/>
      <c r="C616" s="108"/>
      <c r="D616" s="108"/>
      <c r="E616" s="108"/>
      <c r="F616" s="108"/>
      <c r="G616" s="108"/>
      <c r="H616" s="108" t="s">
        <v>2901</v>
      </c>
      <c r="I616" s="581">
        <v>0.7</v>
      </c>
      <c r="J616" s="114"/>
      <c r="K616" s="114" t="s">
        <v>2902</v>
      </c>
      <c r="L616" s="108"/>
      <c r="M616" s="581">
        <v>3.47</v>
      </c>
      <c r="N616" s="573"/>
      <c r="O616" s="556"/>
      <c r="P616" s="573"/>
      <c r="Q616" s="556"/>
      <c r="R616" s="582"/>
    </row>
    <row r="617" ht="15" spans="1:18">
      <c r="A617" s="556"/>
      <c r="B617" s="557"/>
      <c r="C617" s="571"/>
      <c r="D617" s="571"/>
      <c r="E617" s="571"/>
      <c r="F617" s="571"/>
      <c r="G617" s="571"/>
      <c r="H617" s="571"/>
      <c r="I617" s="571"/>
      <c r="J617" s="571"/>
      <c r="K617" s="571"/>
      <c r="L617" s="571"/>
      <c r="M617" s="571"/>
      <c r="N617" s="573"/>
      <c r="O617" s="556"/>
      <c r="P617" s="573"/>
      <c r="Q617" s="556"/>
      <c r="R617" s="582"/>
    </row>
    <row r="618" ht="15" customHeight="1" spans="1:18">
      <c r="A618" s="556"/>
      <c r="B618" s="557">
        <f>C617</f>
        <v>0</v>
      </c>
      <c r="C618" s="76" t="s">
        <v>289</v>
      </c>
      <c r="D618" s="75" t="s">
        <v>63</v>
      </c>
      <c r="E618" s="76" t="s">
        <v>64</v>
      </c>
      <c r="F618" s="76" t="s">
        <v>65</v>
      </c>
      <c r="G618" s="76" t="s">
        <v>2889</v>
      </c>
      <c r="H618" s="76"/>
      <c r="I618" s="77" t="s">
        <v>66</v>
      </c>
      <c r="J618" s="75" t="s">
        <v>67</v>
      </c>
      <c r="K618" s="75" t="s">
        <v>2890</v>
      </c>
      <c r="L618" s="75" t="s">
        <v>68</v>
      </c>
      <c r="M618" s="75" t="s">
        <v>70</v>
      </c>
      <c r="N618" s="573">
        <v>30.74</v>
      </c>
      <c r="O618" s="556" t="str">
        <f>IF(N618=M618,"OK","DIF")</f>
        <v>DIF</v>
      </c>
      <c r="P618" s="573"/>
      <c r="Q618" s="556"/>
      <c r="R618" s="582"/>
    </row>
    <row r="619" ht="23.85" customHeight="1" spans="1:18">
      <c r="A619" s="556">
        <f>B619</f>
        <v>0</v>
      </c>
      <c r="B619" s="557">
        <f>B618</f>
        <v>0</v>
      </c>
      <c r="C619" s="569" t="s">
        <v>2891</v>
      </c>
      <c r="D619" s="570" t="s">
        <v>290</v>
      </c>
      <c r="E619" s="569" t="s">
        <v>139</v>
      </c>
      <c r="F619" s="569" t="s">
        <v>291</v>
      </c>
      <c r="G619" s="569" t="s">
        <v>3248</v>
      </c>
      <c r="H619" s="569"/>
      <c r="I619" s="577" t="s">
        <v>141</v>
      </c>
      <c r="J619" s="578">
        <v>1</v>
      </c>
      <c r="K619" s="579"/>
      <c r="L619" s="579">
        <v>3.98</v>
      </c>
      <c r="M619" s="579">
        <v>3.98</v>
      </c>
      <c r="N619" s="573">
        <v>20.41</v>
      </c>
      <c r="O619" s="556" t="str">
        <f>IF(N619=M619,"OK","DIF")</f>
        <v>DIF</v>
      </c>
      <c r="P619" s="573"/>
      <c r="Q619" s="556"/>
      <c r="R619" s="582"/>
    </row>
    <row r="620" ht="23.85" customHeight="1" spans="1:18">
      <c r="A620" s="556">
        <f>B620</f>
        <v>0</v>
      </c>
      <c r="B620" s="557">
        <f>B619</f>
        <v>0</v>
      </c>
      <c r="C620" s="79" t="s">
        <v>2921</v>
      </c>
      <c r="D620" s="78" t="s">
        <v>3113</v>
      </c>
      <c r="E620" s="79" t="s">
        <v>139</v>
      </c>
      <c r="F620" s="79" t="s">
        <v>3114</v>
      </c>
      <c r="G620" s="79" t="s">
        <v>2928</v>
      </c>
      <c r="H620" s="79"/>
      <c r="I620" s="80" t="s">
        <v>2897</v>
      </c>
      <c r="J620" s="583">
        <v>0.0328</v>
      </c>
      <c r="K620" s="583">
        <v>0</v>
      </c>
      <c r="L620" s="92">
        <v>39.26</v>
      </c>
      <c r="M620" s="92">
        <v>1.28</v>
      </c>
      <c r="N620" s="573">
        <v>8.49</v>
      </c>
      <c r="O620" s="556" t="str">
        <f>IF(N620=M620,"OK","DIF")</f>
        <v>DIF</v>
      </c>
      <c r="P620" s="573"/>
      <c r="Q620" s="556"/>
      <c r="R620" s="582"/>
    </row>
    <row r="621" ht="23.85" customHeight="1" spans="1:18">
      <c r="A621" s="556">
        <f>B621</f>
        <v>0</v>
      </c>
      <c r="B621" s="557">
        <f>B620</f>
        <v>0</v>
      </c>
      <c r="C621" s="79" t="s">
        <v>2921</v>
      </c>
      <c r="D621" s="78" t="s">
        <v>2952</v>
      </c>
      <c r="E621" s="79" t="s">
        <v>139</v>
      </c>
      <c r="F621" s="79" t="s">
        <v>2953</v>
      </c>
      <c r="G621" s="79" t="s">
        <v>2928</v>
      </c>
      <c r="H621" s="79"/>
      <c r="I621" s="80" t="s">
        <v>2897</v>
      </c>
      <c r="J621" s="583">
        <v>0.0927</v>
      </c>
      <c r="K621" s="583">
        <v>0</v>
      </c>
      <c r="L621" s="92">
        <v>29.15</v>
      </c>
      <c r="M621" s="92">
        <v>2.7</v>
      </c>
      <c r="N621" s="573">
        <v>1.79</v>
      </c>
      <c r="O621" s="556" t="str">
        <f>IF(N621=M621,"OK","DIF")</f>
        <v>DIF</v>
      </c>
      <c r="P621" s="573"/>
      <c r="Q621" s="556"/>
      <c r="R621" s="582"/>
    </row>
    <row r="622" ht="25.5" spans="1:18">
      <c r="A622" s="556">
        <f>B622</f>
        <v>0</v>
      </c>
      <c r="B622" s="557">
        <f>B621</f>
        <v>0</v>
      </c>
      <c r="C622" s="108"/>
      <c r="D622" s="108"/>
      <c r="E622" s="108"/>
      <c r="F622" s="108"/>
      <c r="G622" s="108"/>
      <c r="H622" s="108" t="s">
        <v>2898</v>
      </c>
      <c r="I622" s="581">
        <v>2.77</v>
      </c>
      <c r="J622" s="108" t="s">
        <v>2899</v>
      </c>
      <c r="K622" s="581">
        <v>0</v>
      </c>
      <c r="L622" s="108" t="s">
        <v>2900</v>
      </c>
      <c r="M622" s="581">
        <v>2.77</v>
      </c>
      <c r="N622" s="573">
        <v>0.05</v>
      </c>
      <c r="O622" s="556" t="str">
        <f>IF(N622=M622,"OK","DIF")</f>
        <v>DIF</v>
      </c>
      <c r="P622" s="573"/>
      <c r="Q622" s="556"/>
      <c r="R622" s="582"/>
    </row>
    <row r="623" ht="26.25" spans="1:18">
      <c r="A623" s="556"/>
      <c r="B623" s="557"/>
      <c r="C623" s="108"/>
      <c r="D623" s="108"/>
      <c r="E623" s="108"/>
      <c r="F623" s="108"/>
      <c r="G623" s="108"/>
      <c r="H623" s="108" t="s">
        <v>2901</v>
      </c>
      <c r="I623" s="581">
        <v>1.01</v>
      </c>
      <c r="J623" s="114"/>
      <c r="K623" s="114" t="s">
        <v>2902</v>
      </c>
      <c r="L623" s="108"/>
      <c r="M623" s="581">
        <v>4.99</v>
      </c>
      <c r="N623" s="573"/>
      <c r="O623" s="556"/>
      <c r="P623" s="573"/>
      <c r="Q623" s="556"/>
      <c r="R623" s="582"/>
    </row>
    <row r="624" ht="15" spans="1:18">
      <c r="A624" s="556"/>
      <c r="B624" s="557"/>
      <c r="C624" s="571"/>
      <c r="D624" s="571"/>
      <c r="E624" s="571"/>
      <c r="F624" s="571"/>
      <c r="G624" s="571"/>
      <c r="H624" s="571"/>
      <c r="I624" s="571"/>
      <c r="J624" s="571"/>
      <c r="K624" s="571"/>
      <c r="L624" s="571"/>
      <c r="M624" s="571"/>
      <c r="N624" s="573"/>
      <c r="O624" s="556"/>
      <c r="P624" s="573"/>
      <c r="Q624" s="556"/>
      <c r="R624" s="582"/>
    </row>
    <row r="625" ht="15" customHeight="1" spans="1:18">
      <c r="A625" s="556"/>
      <c r="B625" s="557"/>
      <c r="C625" s="76" t="s">
        <v>292</v>
      </c>
      <c r="D625" s="75" t="s">
        <v>63</v>
      </c>
      <c r="E625" s="76" t="s">
        <v>64</v>
      </c>
      <c r="F625" s="76" t="s">
        <v>65</v>
      </c>
      <c r="G625" s="76" t="s">
        <v>2889</v>
      </c>
      <c r="H625" s="76"/>
      <c r="I625" s="77" t="s">
        <v>66</v>
      </c>
      <c r="J625" s="75" t="s">
        <v>67</v>
      </c>
      <c r="K625" s="75" t="s">
        <v>2890</v>
      </c>
      <c r="L625" s="75" t="s">
        <v>68</v>
      </c>
      <c r="M625" s="75" t="s">
        <v>70</v>
      </c>
      <c r="N625" s="573"/>
      <c r="O625" s="556"/>
      <c r="P625" s="573"/>
      <c r="Q625" s="556"/>
      <c r="R625" s="582"/>
    </row>
    <row r="626" ht="23.85" customHeight="1" spans="1:18">
      <c r="A626" s="556"/>
      <c r="B626" s="557" t="str">
        <f>C625</f>
        <v> 3.4.8 </v>
      </c>
      <c r="C626" s="569" t="s">
        <v>2891</v>
      </c>
      <c r="D626" s="570" t="s">
        <v>293</v>
      </c>
      <c r="E626" s="569" t="s">
        <v>139</v>
      </c>
      <c r="F626" s="569" t="s">
        <v>294</v>
      </c>
      <c r="G626" s="569" t="s">
        <v>3248</v>
      </c>
      <c r="H626" s="569"/>
      <c r="I626" s="577" t="s">
        <v>141</v>
      </c>
      <c r="J626" s="578">
        <v>1</v>
      </c>
      <c r="K626" s="579"/>
      <c r="L626" s="579">
        <v>12.97</v>
      </c>
      <c r="M626" s="579">
        <v>12.97</v>
      </c>
      <c r="N626" s="573">
        <v>102.65</v>
      </c>
      <c r="O626" s="556" t="str">
        <f>IF(N626=M626,"OK","DIF")</f>
        <v>DIF</v>
      </c>
      <c r="P626" s="573"/>
      <c r="Q626" s="556"/>
      <c r="R626" s="582"/>
    </row>
    <row r="627" ht="23.85" customHeight="1" spans="1:18">
      <c r="A627" s="556" t="str">
        <f>B627</f>
        <v> 3.4.8 </v>
      </c>
      <c r="B627" s="557" t="str">
        <f>B626</f>
        <v> 3.4.8 </v>
      </c>
      <c r="C627" s="79" t="s">
        <v>2921</v>
      </c>
      <c r="D627" s="78" t="s">
        <v>3017</v>
      </c>
      <c r="E627" s="79" t="s">
        <v>139</v>
      </c>
      <c r="F627" s="79" t="s">
        <v>3018</v>
      </c>
      <c r="G627" s="79" t="s">
        <v>2928</v>
      </c>
      <c r="H627" s="79"/>
      <c r="I627" s="80" t="s">
        <v>2897</v>
      </c>
      <c r="J627" s="583">
        <v>0.1087</v>
      </c>
      <c r="K627" s="583">
        <v>0</v>
      </c>
      <c r="L627" s="92">
        <v>36.96</v>
      </c>
      <c r="M627" s="92">
        <v>4.01</v>
      </c>
      <c r="N627" s="573">
        <v>102.65</v>
      </c>
      <c r="O627" s="556" t="str">
        <f>IF(N627=M627,"OK","DIF")</f>
        <v>DIF</v>
      </c>
      <c r="P627" s="573"/>
      <c r="Q627" s="556"/>
      <c r="R627" s="582"/>
    </row>
    <row r="628" ht="23.85" customHeight="1" spans="1:18">
      <c r="A628" s="556"/>
      <c r="B628" s="557"/>
      <c r="C628" s="79" t="s">
        <v>2921</v>
      </c>
      <c r="D628" s="78" t="s">
        <v>2952</v>
      </c>
      <c r="E628" s="79" t="s">
        <v>139</v>
      </c>
      <c r="F628" s="79" t="s">
        <v>2953</v>
      </c>
      <c r="G628" s="79" t="s">
        <v>2928</v>
      </c>
      <c r="H628" s="79"/>
      <c r="I628" s="80" t="s">
        <v>2897</v>
      </c>
      <c r="J628" s="583">
        <v>0.3075</v>
      </c>
      <c r="K628" s="583">
        <v>0</v>
      </c>
      <c r="L628" s="92">
        <v>29.15</v>
      </c>
      <c r="M628" s="92">
        <v>8.96</v>
      </c>
      <c r="N628" s="573"/>
      <c r="O628" s="556"/>
      <c r="P628" s="573"/>
      <c r="Q628" s="556"/>
      <c r="R628" s="582"/>
    </row>
    <row r="629" ht="25.5" spans="1:18">
      <c r="A629" s="556"/>
      <c r="B629" s="557"/>
      <c r="C629" s="108"/>
      <c r="D629" s="108"/>
      <c r="E629" s="108"/>
      <c r="F629" s="108"/>
      <c r="G629" s="108"/>
      <c r="H629" s="108" t="s">
        <v>2898</v>
      </c>
      <c r="I629" s="581">
        <v>8.83</v>
      </c>
      <c r="J629" s="108" t="s">
        <v>2899</v>
      </c>
      <c r="K629" s="581">
        <v>0</v>
      </c>
      <c r="L629" s="108" t="s">
        <v>2900</v>
      </c>
      <c r="M629" s="581">
        <v>8.83</v>
      </c>
      <c r="N629" s="573"/>
      <c r="O629" s="556"/>
      <c r="P629" s="573"/>
      <c r="Q629" s="556"/>
      <c r="R629" s="582"/>
    </row>
    <row r="630" ht="26.25" spans="1:18">
      <c r="A630" s="556"/>
      <c r="B630" s="557">
        <f>C629</f>
        <v>0</v>
      </c>
      <c r="C630" s="108"/>
      <c r="D630" s="108"/>
      <c r="E630" s="108"/>
      <c r="F630" s="108"/>
      <c r="G630" s="108"/>
      <c r="H630" s="108" t="s">
        <v>2901</v>
      </c>
      <c r="I630" s="581">
        <v>3.3</v>
      </c>
      <c r="J630" s="114"/>
      <c r="K630" s="114" t="s">
        <v>2902</v>
      </c>
      <c r="L630" s="108"/>
      <c r="M630" s="581">
        <v>16.27</v>
      </c>
      <c r="N630" s="573">
        <v>30.74</v>
      </c>
      <c r="O630" s="556" t="str">
        <f>IF(N630=M630,"OK","DIF")</f>
        <v>DIF</v>
      </c>
      <c r="P630" s="573"/>
      <c r="Q630" s="556"/>
      <c r="R630" s="582"/>
    </row>
    <row r="631" ht="15" spans="1:18">
      <c r="A631" s="556">
        <f>B631</f>
        <v>0</v>
      </c>
      <c r="B631" s="557">
        <f>B630</f>
        <v>0</v>
      </c>
      <c r="C631" s="571"/>
      <c r="D631" s="571"/>
      <c r="E631" s="571"/>
      <c r="F631" s="571"/>
      <c r="G631" s="571"/>
      <c r="H631" s="571"/>
      <c r="I631" s="571"/>
      <c r="J631" s="571"/>
      <c r="K631" s="571"/>
      <c r="L631" s="571"/>
      <c r="M631" s="571"/>
      <c r="N631" s="573">
        <v>20.41</v>
      </c>
      <c r="O631" s="556" t="str">
        <f>IF(N631=M631,"OK","DIF")</f>
        <v>DIF</v>
      </c>
      <c r="P631" s="573"/>
      <c r="Q631" s="556"/>
      <c r="R631" s="582"/>
    </row>
    <row r="632" ht="15" customHeight="1" spans="1:18">
      <c r="A632" s="556">
        <f>B632</f>
        <v>0</v>
      </c>
      <c r="B632" s="557">
        <f>B631</f>
        <v>0</v>
      </c>
      <c r="C632" s="76" t="s">
        <v>295</v>
      </c>
      <c r="D632" s="75" t="s">
        <v>63</v>
      </c>
      <c r="E632" s="76" t="s">
        <v>64</v>
      </c>
      <c r="F632" s="76" t="s">
        <v>65</v>
      </c>
      <c r="G632" s="76" t="s">
        <v>2889</v>
      </c>
      <c r="H632" s="76"/>
      <c r="I632" s="77" t="s">
        <v>66</v>
      </c>
      <c r="J632" s="75" t="s">
        <v>67</v>
      </c>
      <c r="K632" s="75" t="s">
        <v>2890</v>
      </c>
      <c r="L632" s="75" t="s">
        <v>68</v>
      </c>
      <c r="M632" s="75" t="s">
        <v>70</v>
      </c>
      <c r="N632" s="573">
        <v>8.49</v>
      </c>
      <c r="O632" s="556" t="str">
        <f>IF(N632=M632,"OK","DIF")</f>
        <v>DIF</v>
      </c>
      <c r="P632" s="573"/>
      <c r="Q632" s="556"/>
      <c r="R632" s="582"/>
    </row>
    <row r="633" ht="23.85" customHeight="1" spans="1:18">
      <c r="A633" s="556">
        <f>B633</f>
        <v>0</v>
      </c>
      <c r="B633" s="557">
        <f>B632</f>
        <v>0</v>
      </c>
      <c r="C633" s="569" t="s">
        <v>2891</v>
      </c>
      <c r="D633" s="570" t="s">
        <v>296</v>
      </c>
      <c r="E633" s="569" t="s">
        <v>139</v>
      </c>
      <c r="F633" s="569" t="s">
        <v>297</v>
      </c>
      <c r="G633" s="569" t="s">
        <v>3248</v>
      </c>
      <c r="H633" s="569"/>
      <c r="I633" s="577" t="s">
        <v>141</v>
      </c>
      <c r="J633" s="578">
        <v>1</v>
      </c>
      <c r="K633" s="579"/>
      <c r="L633" s="579">
        <v>33.5</v>
      </c>
      <c r="M633" s="579">
        <v>33.5</v>
      </c>
      <c r="N633" s="573">
        <v>1.79</v>
      </c>
      <c r="O633" s="556" t="str">
        <f>IF(N633=M633,"OK","DIF")</f>
        <v>DIF</v>
      </c>
      <c r="P633" s="573"/>
      <c r="Q633" s="556"/>
      <c r="R633" s="582"/>
    </row>
    <row r="634" ht="23.85" customHeight="1" spans="1:18">
      <c r="A634" s="556">
        <f>B634</f>
        <v>0</v>
      </c>
      <c r="B634" s="557">
        <f>B633</f>
        <v>0</v>
      </c>
      <c r="C634" s="79" t="s">
        <v>2921</v>
      </c>
      <c r="D634" s="78" t="s">
        <v>2952</v>
      </c>
      <c r="E634" s="79" t="s">
        <v>139</v>
      </c>
      <c r="F634" s="79" t="s">
        <v>2953</v>
      </c>
      <c r="G634" s="79" t="s">
        <v>2928</v>
      </c>
      <c r="H634" s="79"/>
      <c r="I634" s="80" t="s">
        <v>2897</v>
      </c>
      <c r="J634" s="583">
        <v>0.7936</v>
      </c>
      <c r="K634" s="583">
        <v>0</v>
      </c>
      <c r="L634" s="92">
        <v>29.15</v>
      </c>
      <c r="M634" s="92">
        <v>23.13</v>
      </c>
      <c r="N634" s="573">
        <v>0.05</v>
      </c>
      <c r="O634" s="556" t="str">
        <f>IF(N634=M634,"OK","DIF")</f>
        <v>DIF</v>
      </c>
      <c r="P634" s="573"/>
      <c r="Q634" s="556"/>
      <c r="R634" s="582"/>
    </row>
    <row r="635" ht="23.85" customHeight="1" spans="1:18">
      <c r="A635" s="556"/>
      <c r="B635" s="557"/>
      <c r="C635" s="79" t="s">
        <v>2921</v>
      </c>
      <c r="D635" s="78" t="s">
        <v>3017</v>
      </c>
      <c r="E635" s="79" t="s">
        <v>139</v>
      </c>
      <c r="F635" s="79" t="s">
        <v>3018</v>
      </c>
      <c r="G635" s="79" t="s">
        <v>2928</v>
      </c>
      <c r="H635" s="79"/>
      <c r="I635" s="80" t="s">
        <v>2897</v>
      </c>
      <c r="J635" s="583">
        <v>0.2807</v>
      </c>
      <c r="K635" s="583">
        <v>0</v>
      </c>
      <c r="L635" s="92">
        <v>36.96</v>
      </c>
      <c r="M635" s="92">
        <v>10.37</v>
      </c>
      <c r="N635" s="573"/>
      <c r="O635" s="556"/>
      <c r="P635" s="573"/>
      <c r="Q635" s="556"/>
      <c r="R635" s="582"/>
    </row>
    <row r="636" ht="25.5" spans="1:18">
      <c r="A636" s="556"/>
      <c r="B636" s="557"/>
      <c r="C636" s="108"/>
      <c r="D636" s="108"/>
      <c r="E636" s="108"/>
      <c r="F636" s="108"/>
      <c r="G636" s="108"/>
      <c r="H636" s="108" t="s">
        <v>2898</v>
      </c>
      <c r="I636" s="581">
        <v>22.81</v>
      </c>
      <c r="J636" s="108" t="s">
        <v>2899</v>
      </c>
      <c r="K636" s="581">
        <v>0</v>
      </c>
      <c r="L636" s="108" t="s">
        <v>2900</v>
      </c>
      <c r="M636" s="581">
        <v>22.81</v>
      </c>
      <c r="N636" s="573"/>
      <c r="O636" s="556"/>
      <c r="P636" s="573"/>
      <c r="Q636" s="556"/>
      <c r="R636" s="582"/>
    </row>
    <row r="637" ht="26.25" spans="1:18">
      <c r="A637" s="556"/>
      <c r="B637" s="557"/>
      <c r="C637" s="108"/>
      <c r="D637" s="108"/>
      <c r="E637" s="108"/>
      <c r="F637" s="108"/>
      <c r="G637" s="108"/>
      <c r="H637" s="108" t="s">
        <v>2901</v>
      </c>
      <c r="I637" s="581">
        <v>8.53</v>
      </c>
      <c r="J637" s="114"/>
      <c r="K637" s="114" t="s">
        <v>2902</v>
      </c>
      <c r="L637" s="108"/>
      <c r="M637" s="581">
        <v>42.03</v>
      </c>
      <c r="N637" s="573"/>
      <c r="O637" s="556"/>
      <c r="P637" s="573"/>
      <c r="Q637" s="556"/>
      <c r="R637" s="582"/>
    </row>
    <row r="638" ht="15" spans="1:18">
      <c r="A638" s="556"/>
      <c r="B638" s="557">
        <f>C637</f>
        <v>0</v>
      </c>
      <c r="C638" s="571"/>
      <c r="D638" s="571"/>
      <c r="E638" s="571"/>
      <c r="F638" s="571"/>
      <c r="G638" s="571"/>
      <c r="H638" s="571"/>
      <c r="I638" s="571"/>
      <c r="J638" s="571"/>
      <c r="K638" s="571"/>
      <c r="L638" s="571"/>
      <c r="M638" s="571"/>
      <c r="N638" s="573">
        <v>102.65</v>
      </c>
      <c r="O638" s="556" t="str">
        <f>IF(N638=M638,"OK","DIF")</f>
        <v>DIF</v>
      </c>
      <c r="P638" s="573"/>
      <c r="Q638" s="556"/>
      <c r="R638" s="582"/>
    </row>
    <row r="639" ht="15" customHeight="1" spans="1:18">
      <c r="A639" s="556">
        <f>B639</f>
        <v>0</v>
      </c>
      <c r="B639" s="557">
        <f>B638</f>
        <v>0</v>
      </c>
      <c r="C639" s="76" t="s">
        <v>298</v>
      </c>
      <c r="D639" s="75" t="s">
        <v>63</v>
      </c>
      <c r="E639" s="76" t="s">
        <v>64</v>
      </c>
      <c r="F639" s="76" t="s">
        <v>65</v>
      </c>
      <c r="G639" s="76" t="s">
        <v>2889</v>
      </c>
      <c r="H639" s="76"/>
      <c r="I639" s="77" t="s">
        <v>66</v>
      </c>
      <c r="J639" s="75" t="s">
        <v>67</v>
      </c>
      <c r="K639" s="75" t="s">
        <v>2890</v>
      </c>
      <c r="L639" s="75" t="s">
        <v>68</v>
      </c>
      <c r="M639" s="75" t="s">
        <v>70</v>
      </c>
      <c r="N639" s="573">
        <v>102.65</v>
      </c>
      <c r="O639" s="556" t="str">
        <f>IF(N639=M639,"OK","DIF")</f>
        <v>DIF</v>
      </c>
      <c r="P639" s="573"/>
      <c r="Q639" s="556"/>
      <c r="R639" s="582"/>
    </row>
    <row r="640" ht="23.85" customHeight="1" spans="1:18">
      <c r="A640" s="556"/>
      <c r="B640" s="557"/>
      <c r="C640" s="569" t="s">
        <v>2891</v>
      </c>
      <c r="D640" s="570" t="s">
        <v>299</v>
      </c>
      <c r="E640" s="569" t="s">
        <v>139</v>
      </c>
      <c r="F640" s="569" t="s">
        <v>300</v>
      </c>
      <c r="G640" s="569" t="s">
        <v>3055</v>
      </c>
      <c r="H640" s="569"/>
      <c r="I640" s="577" t="s">
        <v>141</v>
      </c>
      <c r="J640" s="578">
        <v>1</v>
      </c>
      <c r="K640" s="579"/>
      <c r="L640" s="579">
        <v>29.96</v>
      </c>
      <c r="M640" s="579">
        <v>29.96</v>
      </c>
      <c r="N640" s="573"/>
      <c r="O640" s="556"/>
      <c r="P640" s="573"/>
      <c r="Q640" s="556"/>
      <c r="R640" s="582"/>
    </row>
    <row r="641" ht="23.85" customHeight="1" spans="1:18">
      <c r="A641" s="556"/>
      <c r="B641" s="557"/>
      <c r="C641" s="79" t="s">
        <v>2921</v>
      </c>
      <c r="D641" s="78" t="s">
        <v>3056</v>
      </c>
      <c r="E641" s="79" t="s">
        <v>139</v>
      </c>
      <c r="F641" s="79" t="s">
        <v>3057</v>
      </c>
      <c r="G641" s="79" t="s">
        <v>2928</v>
      </c>
      <c r="H641" s="79"/>
      <c r="I641" s="80" t="s">
        <v>2897</v>
      </c>
      <c r="J641" s="583">
        <v>0.487</v>
      </c>
      <c r="K641" s="583">
        <v>0</v>
      </c>
      <c r="L641" s="92">
        <v>33.17</v>
      </c>
      <c r="M641" s="92">
        <v>16.15</v>
      </c>
      <c r="N641" s="573"/>
      <c r="O641" s="556"/>
      <c r="P641" s="573"/>
      <c r="Q641" s="556"/>
      <c r="R641" s="582"/>
    </row>
    <row r="642" ht="23.85" customHeight="1" spans="1:18">
      <c r="A642" s="556"/>
      <c r="B642" s="557" t="str">
        <f>C641</f>
        <v>Composição Auxiliar</v>
      </c>
      <c r="C642" s="79" t="s">
        <v>2921</v>
      </c>
      <c r="D642" s="78" t="s">
        <v>2952</v>
      </c>
      <c r="E642" s="79" t="s">
        <v>139</v>
      </c>
      <c r="F642" s="79" t="s">
        <v>2953</v>
      </c>
      <c r="G642" s="79" t="s">
        <v>2928</v>
      </c>
      <c r="H642" s="79"/>
      <c r="I642" s="80" t="s">
        <v>2897</v>
      </c>
      <c r="J642" s="583">
        <v>0.474</v>
      </c>
      <c r="K642" s="583">
        <v>0</v>
      </c>
      <c r="L642" s="92">
        <v>29.15</v>
      </c>
      <c r="M642" s="92">
        <v>13.81</v>
      </c>
      <c r="N642" s="573">
        <v>30.74</v>
      </c>
      <c r="O642" s="556" t="str">
        <f>IF(N642=M642,"OK","DIF")</f>
        <v>DIF</v>
      </c>
      <c r="P642" s="573"/>
      <c r="Q642" s="556"/>
      <c r="R642" s="582"/>
    </row>
    <row r="643" ht="25.5" spans="1:18">
      <c r="A643" s="556" t="str">
        <f>B643</f>
        <v>Composição Auxiliar</v>
      </c>
      <c r="B643" s="557" t="str">
        <f>B642</f>
        <v>Composição Auxiliar</v>
      </c>
      <c r="C643" s="108"/>
      <c r="D643" s="108"/>
      <c r="E643" s="108"/>
      <c r="F643" s="108"/>
      <c r="G643" s="108"/>
      <c r="H643" s="108" t="s">
        <v>2898</v>
      </c>
      <c r="I643" s="581">
        <v>20.38</v>
      </c>
      <c r="J643" s="108" t="s">
        <v>2899</v>
      </c>
      <c r="K643" s="581">
        <v>0</v>
      </c>
      <c r="L643" s="108" t="s">
        <v>2900</v>
      </c>
      <c r="M643" s="581">
        <v>20.38</v>
      </c>
      <c r="N643" s="573">
        <v>20.41</v>
      </c>
      <c r="O643" s="556" t="str">
        <f>IF(N643=M643,"OK","DIF")</f>
        <v>DIF</v>
      </c>
      <c r="P643" s="573"/>
      <c r="Q643" s="556"/>
      <c r="R643" s="582"/>
    </row>
    <row r="644" ht="26.25" spans="1:18">
      <c r="A644" s="556" t="str">
        <f>B644</f>
        <v>Composição Auxiliar</v>
      </c>
      <c r="B644" s="557" t="str">
        <f>B643</f>
        <v>Composição Auxiliar</v>
      </c>
      <c r="C644" s="108"/>
      <c r="D644" s="108"/>
      <c r="E644" s="108"/>
      <c r="F644" s="108"/>
      <c r="G644" s="108"/>
      <c r="H644" s="108" t="s">
        <v>2901</v>
      </c>
      <c r="I644" s="581">
        <v>7.63</v>
      </c>
      <c r="J644" s="114"/>
      <c r="K644" s="114" t="s">
        <v>2902</v>
      </c>
      <c r="L644" s="108"/>
      <c r="M644" s="581">
        <v>37.59</v>
      </c>
      <c r="N644" s="573">
        <v>8.49</v>
      </c>
      <c r="O644" s="556" t="str">
        <f>IF(N644=M644,"OK","DIF")</f>
        <v>DIF</v>
      </c>
      <c r="P644" s="573"/>
      <c r="Q644" s="556"/>
      <c r="R644" s="582"/>
    </row>
    <row r="645" ht="15" spans="1:18">
      <c r="A645" s="556" t="str">
        <f>B645</f>
        <v>Composição Auxiliar</v>
      </c>
      <c r="B645" s="557" t="str">
        <f>B644</f>
        <v>Composição Auxiliar</v>
      </c>
      <c r="C645" s="571"/>
      <c r="D645" s="571"/>
      <c r="E645" s="571"/>
      <c r="F645" s="571"/>
      <c r="G645" s="571"/>
      <c r="H645" s="571"/>
      <c r="I645" s="571"/>
      <c r="J645" s="571"/>
      <c r="K645" s="571"/>
      <c r="L645" s="571"/>
      <c r="M645" s="571"/>
      <c r="N645" s="573">
        <v>1.79</v>
      </c>
      <c r="O645" s="556" t="str">
        <f>IF(N645=M645,"OK","DIF")</f>
        <v>DIF</v>
      </c>
      <c r="P645" s="573"/>
      <c r="Q645" s="556"/>
      <c r="R645" s="582"/>
    </row>
    <row r="646" ht="15" customHeight="1" spans="1:18">
      <c r="A646" s="556" t="str">
        <f>B646</f>
        <v>Composição Auxiliar</v>
      </c>
      <c r="B646" s="557" t="str">
        <f>B645</f>
        <v>Composição Auxiliar</v>
      </c>
      <c r="C646" s="76" t="s">
        <v>301</v>
      </c>
      <c r="D646" s="75" t="s">
        <v>63</v>
      </c>
      <c r="E646" s="76" t="s">
        <v>64</v>
      </c>
      <c r="F646" s="76" t="s">
        <v>65</v>
      </c>
      <c r="G646" s="76" t="s">
        <v>2889</v>
      </c>
      <c r="H646" s="76"/>
      <c r="I646" s="77" t="s">
        <v>66</v>
      </c>
      <c r="J646" s="75" t="s">
        <v>67</v>
      </c>
      <c r="K646" s="75" t="s">
        <v>2890</v>
      </c>
      <c r="L646" s="75" t="s">
        <v>68</v>
      </c>
      <c r="M646" s="75" t="s">
        <v>70</v>
      </c>
      <c r="N646" s="573">
        <v>0.05</v>
      </c>
      <c r="O646" s="556" t="str">
        <f>IF(N646=M646,"OK","DIF")</f>
        <v>DIF</v>
      </c>
      <c r="P646" s="573"/>
      <c r="Q646" s="556"/>
      <c r="R646" s="582"/>
    </row>
    <row r="647" ht="15" customHeight="1" spans="1:18">
      <c r="A647" s="556"/>
      <c r="B647" s="557"/>
      <c r="C647" s="569" t="s">
        <v>2891</v>
      </c>
      <c r="D647" s="570" t="s">
        <v>302</v>
      </c>
      <c r="E647" s="569" t="s">
        <v>139</v>
      </c>
      <c r="F647" s="569" t="s">
        <v>303</v>
      </c>
      <c r="G647" s="569" t="s">
        <v>3055</v>
      </c>
      <c r="H647" s="569"/>
      <c r="I647" s="577" t="s">
        <v>141</v>
      </c>
      <c r="J647" s="578">
        <v>1</v>
      </c>
      <c r="K647" s="579"/>
      <c r="L647" s="579">
        <v>21.39</v>
      </c>
      <c r="M647" s="579">
        <v>21.39</v>
      </c>
      <c r="N647" s="573"/>
      <c r="O647" s="556"/>
      <c r="P647" s="573"/>
      <c r="Q647" s="556"/>
      <c r="R647" s="582"/>
    </row>
    <row r="648" ht="23.85" customHeight="1" spans="1:18">
      <c r="A648" s="556"/>
      <c r="B648" s="557"/>
      <c r="C648" s="79" t="s">
        <v>2921</v>
      </c>
      <c r="D648" s="78" t="s">
        <v>3056</v>
      </c>
      <c r="E648" s="79" t="s">
        <v>139</v>
      </c>
      <c r="F648" s="79" t="s">
        <v>3057</v>
      </c>
      <c r="G648" s="79" t="s">
        <v>2928</v>
      </c>
      <c r="H648" s="79"/>
      <c r="I648" s="80" t="s">
        <v>2897</v>
      </c>
      <c r="J648" s="583">
        <v>0.348</v>
      </c>
      <c r="K648" s="583">
        <v>0</v>
      </c>
      <c r="L648" s="92">
        <v>33.17</v>
      </c>
      <c r="M648" s="92">
        <v>11.54</v>
      </c>
      <c r="N648" s="573"/>
      <c r="O648" s="556"/>
      <c r="P648" s="573"/>
      <c r="Q648" s="556"/>
      <c r="R648" s="582"/>
    </row>
    <row r="649" ht="23.85" customHeight="1" spans="1:18">
      <c r="A649" s="556"/>
      <c r="B649" s="557"/>
      <c r="C649" s="79" t="s">
        <v>2921</v>
      </c>
      <c r="D649" s="78" t="s">
        <v>2952</v>
      </c>
      <c r="E649" s="79" t="s">
        <v>139</v>
      </c>
      <c r="F649" s="79" t="s">
        <v>2953</v>
      </c>
      <c r="G649" s="79" t="s">
        <v>2928</v>
      </c>
      <c r="H649" s="79"/>
      <c r="I649" s="80" t="s">
        <v>2897</v>
      </c>
      <c r="J649" s="583">
        <v>0.338</v>
      </c>
      <c r="K649" s="583">
        <v>0</v>
      </c>
      <c r="L649" s="92">
        <v>29.15</v>
      </c>
      <c r="M649" s="92">
        <v>9.85</v>
      </c>
      <c r="N649" s="573"/>
      <c r="O649" s="556"/>
      <c r="P649" s="573"/>
      <c r="Q649" s="556"/>
      <c r="R649" s="582"/>
    </row>
    <row r="650" ht="25.5" spans="1:18">
      <c r="A650" s="556"/>
      <c r="B650" s="557"/>
      <c r="C650" s="108"/>
      <c r="D650" s="108"/>
      <c r="E650" s="108"/>
      <c r="F650" s="108"/>
      <c r="G650" s="108"/>
      <c r="H650" s="108" t="s">
        <v>2898</v>
      </c>
      <c r="I650" s="581">
        <v>14.54</v>
      </c>
      <c r="J650" s="108" t="s">
        <v>2899</v>
      </c>
      <c r="K650" s="581">
        <v>0</v>
      </c>
      <c r="L650" s="108" t="s">
        <v>2900</v>
      </c>
      <c r="M650" s="581">
        <v>14.54</v>
      </c>
      <c r="N650" s="573"/>
      <c r="O650" s="556"/>
      <c r="P650" s="573"/>
      <c r="Q650" s="556"/>
      <c r="R650" s="582"/>
    </row>
    <row r="651" ht="26.25" spans="1:18">
      <c r="A651" s="556"/>
      <c r="B651" s="557">
        <f>C650</f>
        <v>0</v>
      </c>
      <c r="C651" s="108"/>
      <c r="D651" s="108"/>
      <c r="E651" s="108"/>
      <c r="F651" s="108"/>
      <c r="G651" s="108"/>
      <c r="H651" s="108" t="s">
        <v>2901</v>
      </c>
      <c r="I651" s="581">
        <v>5.45</v>
      </c>
      <c r="J651" s="114"/>
      <c r="K651" s="114" t="s">
        <v>2902</v>
      </c>
      <c r="L651" s="108"/>
      <c r="M651" s="581">
        <v>26.84</v>
      </c>
      <c r="N651" s="573">
        <v>18.93</v>
      </c>
      <c r="O651" s="556" t="str">
        <f t="shared" ref="O651:O656" si="56">IF(N651=M651,"OK","DIF")</f>
        <v>DIF</v>
      </c>
      <c r="P651" s="573"/>
      <c r="Q651" s="556"/>
      <c r="R651" s="582"/>
    </row>
    <row r="652" ht="15" spans="1:18">
      <c r="A652" s="556">
        <f>B652</f>
        <v>0</v>
      </c>
      <c r="B652" s="557">
        <f>B651</f>
        <v>0</v>
      </c>
      <c r="C652" s="571"/>
      <c r="D652" s="571"/>
      <c r="E652" s="571"/>
      <c r="F652" s="571"/>
      <c r="G652" s="571"/>
      <c r="H652" s="571"/>
      <c r="I652" s="571"/>
      <c r="J652" s="571"/>
      <c r="K652" s="571"/>
      <c r="L652" s="571"/>
      <c r="M652" s="571"/>
      <c r="N652" s="573">
        <v>6.35</v>
      </c>
      <c r="O652" s="556" t="str">
        <f t="shared" si="56"/>
        <v>DIF</v>
      </c>
      <c r="P652" s="573"/>
      <c r="Q652" s="556"/>
      <c r="R652" s="582"/>
    </row>
    <row r="653" ht="15" customHeight="1" spans="1:18">
      <c r="A653" s="556">
        <f>B653</f>
        <v>0</v>
      </c>
      <c r="B653" s="557">
        <f>B652</f>
        <v>0</v>
      </c>
      <c r="C653" s="76" t="s">
        <v>304</v>
      </c>
      <c r="D653" s="75" t="s">
        <v>63</v>
      </c>
      <c r="E653" s="76" t="s">
        <v>64</v>
      </c>
      <c r="F653" s="76" t="s">
        <v>65</v>
      </c>
      <c r="G653" s="76" t="s">
        <v>2889</v>
      </c>
      <c r="H653" s="76"/>
      <c r="I653" s="77" t="s">
        <v>66</v>
      </c>
      <c r="J653" s="75" t="s">
        <v>67</v>
      </c>
      <c r="K653" s="75" t="s">
        <v>2890</v>
      </c>
      <c r="L653" s="75" t="s">
        <v>68</v>
      </c>
      <c r="M653" s="75" t="s">
        <v>70</v>
      </c>
      <c r="N653" s="573">
        <v>9.76</v>
      </c>
      <c r="O653" s="556" t="str">
        <f t="shared" si="56"/>
        <v>DIF</v>
      </c>
      <c r="P653" s="573"/>
      <c r="Q653" s="556"/>
      <c r="R653" s="582"/>
    </row>
    <row r="654" ht="23.85" customHeight="1" spans="1:18">
      <c r="A654" s="556">
        <f>B654</f>
        <v>0</v>
      </c>
      <c r="B654" s="557">
        <f>B653</f>
        <v>0</v>
      </c>
      <c r="C654" s="569" t="s">
        <v>2891</v>
      </c>
      <c r="D654" s="570" t="s">
        <v>305</v>
      </c>
      <c r="E654" s="569" t="s">
        <v>139</v>
      </c>
      <c r="F654" s="569" t="s">
        <v>306</v>
      </c>
      <c r="G654" s="569" t="s">
        <v>3248</v>
      </c>
      <c r="H654" s="569"/>
      <c r="I654" s="577" t="s">
        <v>141</v>
      </c>
      <c r="J654" s="578">
        <v>1</v>
      </c>
      <c r="K654" s="579"/>
      <c r="L654" s="579">
        <v>4.87</v>
      </c>
      <c r="M654" s="579">
        <v>4.87</v>
      </c>
      <c r="N654" s="573">
        <v>2</v>
      </c>
      <c r="O654" s="556" t="str">
        <f t="shared" si="56"/>
        <v>DIF</v>
      </c>
      <c r="P654" s="573"/>
      <c r="Q654" s="556"/>
      <c r="R654" s="582"/>
    </row>
    <row r="655" ht="23.85" customHeight="1" spans="1:18">
      <c r="A655" s="556">
        <f>B655</f>
        <v>0</v>
      </c>
      <c r="B655" s="557">
        <f>B654</f>
        <v>0</v>
      </c>
      <c r="C655" s="79" t="s">
        <v>2921</v>
      </c>
      <c r="D655" s="78" t="s">
        <v>3095</v>
      </c>
      <c r="E655" s="79" t="s">
        <v>139</v>
      </c>
      <c r="F655" s="79" t="s">
        <v>3096</v>
      </c>
      <c r="G655" s="79" t="s">
        <v>2928</v>
      </c>
      <c r="H655" s="79"/>
      <c r="I655" s="80" t="s">
        <v>2897</v>
      </c>
      <c r="J655" s="583">
        <v>0.0408</v>
      </c>
      <c r="K655" s="583">
        <v>0</v>
      </c>
      <c r="L655" s="92">
        <v>37.16</v>
      </c>
      <c r="M655" s="92">
        <v>1.51</v>
      </c>
      <c r="N655" s="573">
        <v>0.64</v>
      </c>
      <c r="O655" s="556" t="str">
        <f t="shared" si="56"/>
        <v>DIF</v>
      </c>
      <c r="P655" s="573"/>
      <c r="Q655" s="556"/>
      <c r="R655" s="582"/>
    </row>
    <row r="656" ht="23.85" customHeight="1" spans="1:18">
      <c r="A656" s="556">
        <f>B656</f>
        <v>0</v>
      </c>
      <c r="B656" s="557">
        <f>B655</f>
        <v>0</v>
      </c>
      <c r="C656" s="79" t="s">
        <v>2921</v>
      </c>
      <c r="D656" s="78" t="s">
        <v>2952</v>
      </c>
      <c r="E656" s="79" t="s">
        <v>139</v>
      </c>
      <c r="F656" s="79" t="s">
        <v>2953</v>
      </c>
      <c r="G656" s="79" t="s">
        <v>2928</v>
      </c>
      <c r="H656" s="79"/>
      <c r="I656" s="80" t="s">
        <v>2897</v>
      </c>
      <c r="J656" s="583">
        <v>0.1153</v>
      </c>
      <c r="K656" s="583">
        <v>0</v>
      </c>
      <c r="L656" s="92">
        <v>29.15</v>
      </c>
      <c r="M656" s="92">
        <v>3.36</v>
      </c>
      <c r="N656" s="573">
        <v>0.18</v>
      </c>
      <c r="O656" s="556" t="str">
        <f t="shared" si="56"/>
        <v>DIF</v>
      </c>
      <c r="P656" s="573"/>
      <c r="Q656" s="556"/>
      <c r="R656" s="582"/>
    </row>
    <row r="657" ht="25.5" spans="1:18">
      <c r="A657" s="556"/>
      <c r="B657" s="557"/>
      <c r="C657" s="108"/>
      <c r="D657" s="108"/>
      <c r="E657" s="108"/>
      <c r="F657" s="108"/>
      <c r="G657" s="108"/>
      <c r="H657" s="108" t="s">
        <v>2898</v>
      </c>
      <c r="I657" s="581">
        <v>3.32</v>
      </c>
      <c r="J657" s="108" t="s">
        <v>2899</v>
      </c>
      <c r="K657" s="581">
        <v>0</v>
      </c>
      <c r="L657" s="108" t="s">
        <v>2900</v>
      </c>
      <c r="M657" s="581">
        <v>3.32</v>
      </c>
      <c r="N657" s="573"/>
      <c r="O657" s="556"/>
      <c r="P657" s="573"/>
      <c r="Q657" s="556"/>
      <c r="R657" s="582"/>
    </row>
    <row r="658" ht="26.25" spans="1:18">
      <c r="A658" s="556"/>
      <c r="B658" s="557"/>
      <c r="C658" s="108"/>
      <c r="D658" s="108"/>
      <c r="E658" s="108"/>
      <c r="F658" s="108"/>
      <c r="G658" s="108"/>
      <c r="H658" s="108" t="s">
        <v>2901</v>
      </c>
      <c r="I658" s="581">
        <v>1.24</v>
      </c>
      <c r="J658" s="114"/>
      <c r="K658" s="114" t="s">
        <v>2902</v>
      </c>
      <c r="L658" s="108"/>
      <c r="M658" s="581">
        <v>6.11</v>
      </c>
      <c r="N658" s="573"/>
      <c r="O658" s="556"/>
      <c r="P658" s="573"/>
      <c r="Q658" s="556"/>
      <c r="R658" s="582"/>
    </row>
    <row r="659" ht="15" spans="1:18">
      <c r="A659" s="556"/>
      <c r="B659" s="557">
        <f>C658</f>
        <v>0</v>
      </c>
      <c r="C659" s="571"/>
      <c r="D659" s="571"/>
      <c r="E659" s="571"/>
      <c r="F659" s="571"/>
      <c r="G659" s="571"/>
      <c r="H659" s="571"/>
      <c r="I659" s="571"/>
      <c r="J659" s="571"/>
      <c r="K659" s="571"/>
      <c r="L659" s="571"/>
      <c r="M659" s="571"/>
      <c r="N659" s="573">
        <v>16.74</v>
      </c>
      <c r="O659" s="556" t="str">
        <f t="shared" ref="O659:O664" si="57">IF(N659=M659,"OK","DIF")</f>
        <v>DIF</v>
      </c>
      <c r="P659" s="573"/>
      <c r="Q659" s="556"/>
      <c r="R659" s="582"/>
    </row>
    <row r="660" ht="15" customHeight="1" spans="1:18">
      <c r="A660" s="556">
        <f>B660</f>
        <v>0</v>
      </c>
      <c r="B660" s="557">
        <f>B659</f>
        <v>0</v>
      </c>
      <c r="C660" s="76" t="s">
        <v>307</v>
      </c>
      <c r="D660" s="75" t="s">
        <v>63</v>
      </c>
      <c r="E660" s="76" t="s">
        <v>64</v>
      </c>
      <c r="F660" s="76" t="s">
        <v>65</v>
      </c>
      <c r="G660" s="76" t="s">
        <v>2889</v>
      </c>
      <c r="H660" s="76"/>
      <c r="I660" s="77" t="s">
        <v>66</v>
      </c>
      <c r="J660" s="75" t="s">
        <v>67</v>
      </c>
      <c r="K660" s="75" t="s">
        <v>2890</v>
      </c>
      <c r="L660" s="75" t="s">
        <v>68</v>
      </c>
      <c r="M660" s="75" t="s">
        <v>70</v>
      </c>
      <c r="N660" s="573">
        <v>1.52</v>
      </c>
      <c r="O660" s="556" t="str">
        <f t="shared" si="57"/>
        <v>DIF</v>
      </c>
      <c r="P660" s="573"/>
      <c r="Q660" s="556"/>
      <c r="R660" s="582"/>
    </row>
    <row r="661" ht="23.85" customHeight="1" spans="1:18">
      <c r="A661" s="556">
        <f>B661</f>
        <v>0</v>
      </c>
      <c r="B661" s="557">
        <f>B660</f>
        <v>0</v>
      </c>
      <c r="C661" s="569" t="s">
        <v>2891</v>
      </c>
      <c r="D661" s="570" t="s">
        <v>308</v>
      </c>
      <c r="E661" s="569" t="s">
        <v>139</v>
      </c>
      <c r="F661" s="569" t="s">
        <v>309</v>
      </c>
      <c r="G661" s="569" t="s">
        <v>3248</v>
      </c>
      <c r="H661" s="569"/>
      <c r="I661" s="577" t="s">
        <v>141</v>
      </c>
      <c r="J661" s="578">
        <v>1</v>
      </c>
      <c r="K661" s="579"/>
      <c r="L661" s="579">
        <v>10.5</v>
      </c>
      <c r="M661" s="579">
        <v>10.5</v>
      </c>
      <c r="N661" s="573">
        <v>9.59</v>
      </c>
      <c r="O661" s="556" t="str">
        <f t="shared" si="57"/>
        <v>DIF</v>
      </c>
      <c r="P661" s="573"/>
      <c r="Q661" s="556"/>
      <c r="R661" s="582"/>
    </row>
    <row r="662" ht="23.85" customHeight="1" spans="1:18">
      <c r="A662" s="556">
        <f>B662</f>
        <v>0</v>
      </c>
      <c r="B662" s="557">
        <f>B661</f>
        <v>0</v>
      </c>
      <c r="C662" s="79" t="s">
        <v>2921</v>
      </c>
      <c r="D662" s="78" t="s">
        <v>2952</v>
      </c>
      <c r="E662" s="79" t="s">
        <v>139</v>
      </c>
      <c r="F662" s="79" t="s">
        <v>2953</v>
      </c>
      <c r="G662" s="79" t="s">
        <v>2928</v>
      </c>
      <c r="H662" s="79"/>
      <c r="I662" s="80" t="s">
        <v>2897</v>
      </c>
      <c r="J662" s="583">
        <v>0.2487</v>
      </c>
      <c r="K662" s="583">
        <v>0</v>
      </c>
      <c r="L662" s="92">
        <v>29.15</v>
      </c>
      <c r="M662" s="92">
        <v>7.24</v>
      </c>
      <c r="N662" s="573">
        <v>4.86</v>
      </c>
      <c r="O662" s="556" t="str">
        <f t="shared" si="57"/>
        <v>DIF</v>
      </c>
      <c r="P662" s="573"/>
      <c r="Q662" s="556"/>
      <c r="R662" s="582"/>
    </row>
    <row r="663" ht="23.85" customHeight="1" spans="1:18">
      <c r="A663" s="556">
        <f>B663</f>
        <v>0</v>
      </c>
      <c r="B663" s="557">
        <f>B662</f>
        <v>0</v>
      </c>
      <c r="C663" s="79" t="s">
        <v>2921</v>
      </c>
      <c r="D663" s="78" t="s">
        <v>3095</v>
      </c>
      <c r="E663" s="79" t="s">
        <v>139</v>
      </c>
      <c r="F663" s="79" t="s">
        <v>3096</v>
      </c>
      <c r="G663" s="79" t="s">
        <v>2928</v>
      </c>
      <c r="H663" s="79"/>
      <c r="I663" s="80" t="s">
        <v>2897</v>
      </c>
      <c r="J663" s="583">
        <v>0.0879</v>
      </c>
      <c r="K663" s="583">
        <v>0</v>
      </c>
      <c r="L663" s="92">
        <v>37.16</v>
      </c>
      <c r="M663" s="92">
        <v>3.26</v>
      </c>
      <c r="N663" s="573">
        <v>0.64</v>
      </c>
      <c r="O663" s="556" t="str">
        <f t="shared" si="57"/>
        <v>DIF</v>
      </c>
      <c r="P663" s="573"/>
      <c r="Q663" s="556"/>
      <c r="R663" s="582"/>
    </row>
    <row r="664" ht="25.5" spans="1:18">
      <c r="A664" s="556">
        <f>B664</f>
        <v>0</v>
      </c>
      <c r="B664" s="557">
        <f>B663</f>
        <v>0</v>
      </c>
      <c r="C664" s="108"/>
      <c r="D664" s="108"/>
      <c r="E664" s="108"/>
      <c r="F664" s="108"/>
      <c r="G664" s="108"/>
      <c r="H664" s="108" t="s">
        <v>2898</v>
      </c>
      <c r="I664" s="581">
        <v>7.18</v>
      </c>
      <c r="J664" s="108" t="s">
        <v>2899</v>
      </c>
      <c r="K664" s="581">
        <v>0</v>
      </c>
      <c r="L664" s="108" t="s">
        <v>2900</v>
      </c>
      <c r="M664" s="581">
        <v>7.18</v>
      </c>
      <c r="N664" s="573">
        <v>0.13</v>
      </c>
      <c r="O664" s="556" t="str">
        <f t="shared" si="57"/>
        <v>DIF</v>
      </c>
      <c r="P664" s="573"/>
      <c r="Q664" s="556"/>
      <c r="R664" s="582"/>
    </row>
    <row r="665" ht="26.25" spans="1:18">
      <c r="A665" s="556"/>
      <c r="B665" s="557"/>
      <c r="C665" s="108"/>
      <c r="D665" s="108"/>
      <c r="E665" s="108"/>
      <c r="F665" s="108"/>
      <c r="G665" s="108"/>
      <c r="H665" s="108" t="s">
        <v>2901</v>
      </c>
      <c r="I665" s="581">
        <v>2.67</v>
      </c>
      <c r="J665" s="114"/>
      <c r="K665" s="114" t="s">
        <v>2902</v>
      </c>
      <c r="L665" s="108"/>
      <c r="M665" s="581">
        <v>13.17</v>
      </c>
      <c r="N665" s="573"/>
      <c r="O665" s="556"/>
      <c r="P665" s="573"/>
      <c r="Q665" s="556"/>
      <c r="R665" s="582"/>
    </row>
    <row r="666" ht="15" spans="1:18">
      <c r="A666" s="556"/>
      <c r="B666" s="557"/>
      <c r="C666" s="571"/>
      <c r="D666" s="571"/>
      <c r="E666" s="571"/>
      <c r="F666" s="571"/>
      <c r="G666" s="571"/>
      <c r="H666" s="571"/>
      <c r="I666" s="571"/>
      <c r="J666" s="571"/>
      <c r="K666" s="571"/>
      <c r="L666" s="571"/>
      <c r="M666" s="571"/>
      <c r="N666" s="573"/>
      <c r="O666" s="556"/>
      <c r="P666" s="573"/>
      <c r="Q666" s="556"/>
      <c r="R666" s="582"/>
    </row>
    <row r="667" ht="15" customHeight="1" spans="1:18">
      <c r="A667" s="556"/>
      <c r="B667" s="557">
        <f>C666</f>
        <v>0</v>
      </c>
      <c r="C667" s="76" t="s">
        <v>310</v>
      </c>
      <c r="D667" s="75" t="s">
        <v>63</v>
      </c>
      <c r="E667" s="76" t="s">
        <v>64</v>
      </c>
      <c r="F667" s="76" t="s">
        <v>65</v>
      </c>
      <c r="G667" s="76" t="s">
        <v>2889</v>
      </c>
      <c r="H667" s="76"/>
      <c r="I667" s="77" t="s">
        <v>66</v>
      </c>
      <c r="J667" s="75" t="s">
        <v>67</v>
      </c>
      <c r="K667" s="75" t="s">
        <v>2890</v>
      </c>
      <c r="L667" s="75" t="s">
        <v>68</v>
      </c>
      <c r="M667" s="75" t="s">
        <v>70</v>
      </c>
      <c r="N667" s="573">
        <v>14.46</v>
      </c>
      <c r="O667" s="556" t="str">
        <f t="shared" ref="O667:O672" si="58">IF(N667=M667,"OK","DIF")</f>
        <v>DIF</v>
      </c>
      <c r="P667" s="573"/>
      <c r="Q667" s="556"/>
      <c r="R667" s="582"/>
    </row>
    <row r="668" ht="23.85" customHeight="1" spans="1:18">
      <c r="A668" s="556">
        <f>B668</f>
        <v>0</v>
      </c>
      <c r="B668" s="557">
        <f>B667</f>
        <v>0</v>
      </c>
      <c r="C668" s="569" t="s">
        <v>2891</v>
      </c>
      <c r="D668" s="570" t="s">
        <v>311</v>
      </c>
      <c r="E668" s="569" t="s">
        <v>139</v>
      </c>
      <c r="F668" s="569" t="s">
        <v>312</v>
      </c>
      <c r="G668" s="569" t="s">
        <v>3248</v>
      </c>
      <c r="H668" s="569"/>
      <c r="I668" s="577" t="s">
        <v>134</v>
      </c>
      <c r="J668" s="578">
        <v>1</v>
      </c>
      <c r="K668" s="579"/>
      <c r="L668" s="579">
        <v>0.89</v>
      </c>
      <c r="M668" s="579">
        <v>0.89</v>
      </c>
      <c r="N668" s="573">
        <v>3.75</v>
      </c>
      <c r="O668" s="556" t="str">
        <f t="shared" si="58"/>
        <v>DIF</v>
      </c>
      <c r="P668" s="573"/>
      <c r="Q668" s="556"/>
      <c r="R668" s="582"/>
    </row>
    <row r="669" ht="23.85" customHeight="1" spans="1:18">
      <c r="A669" s="556">
        <f>B669</f>
        <v>0</v>
      </c>
      <c r="B669" s="557">
        <f>B668</f>
        <v>0</v>
      </c>
      <c r="C669" s="79" t="s">
        <v>2921</v>
      </c>
      <c r="D669" s="78" t="s">
        <v>3151</v>
      </c>
      <c r="E669" s="79" t="s">
        <v>139</v>
      </c>
      <c r="F669" s="79" t="s">
        <v>3152</v>
      </c>
      <c r="G669" s="79" t="s">
        <v>2928</v>
      </c>
      <c r="H669" s="79"/>
      <c r="I669" s="80" t="s">
        <v>2897</v>
      </c>
      <c r="J669" s="583">
        <v>0.0076</v>
      </c>
      <c r="K669" s="583">
        <v>0</v>
      </c>
      <c r="L669" s="92">
        <v>36.82</v>
      </c>
      <c r="M669" s="92">
        <v>0.27</v>
      </c>
      <c r="N669" s="573">
        <v>1.17</v>
      </c>
      <c r="O669" s="556" t="str">
        <f t="shared" si="58"/>
        <v>DIF</v>
      </c>
      <c r="P669" s="573"/>
      <c r="Q669" s="556"/>
      <c r="R669" s="582"/>
    </row>
    <row r="670" ht="23.85" customHeight="1" spans="1:18">
      <c r="A670" s="556">
        <f>B670</f>
        <v>0</v>
      </c>
      <c r="B670" s="557">
        <f>B669</f>
        <v>0</v>
      </c>
      <c r="C670" s="79" t="s">
        <v>2921</v>
      </c>
      <c r="D670" s="78" t="s">
        <v>2952</v>
      </c>
      <c r="E670" s="79" t="s">
        <v>139</v>
      </c>
      <c r="F670" s="79" t="s">
        <v>2953</v>
      </c>
      <c r="G670" s="79" t="s">
        <v>2928</v>
      </c>
      <c r="H670" s="79"/>
      <c r="I670" s="80" t="s">
        <v>2897</v>
      </c>
      <c r="J670" s="583">
        <v>0.0215</v>
      </c>
      <c r="K670" s="583">
        <v>0</v>
      </c>
      <c r="L670" s="92">
        <v>29.15</v>
      </c>
      <c r="M670" s="92">
        <v>0.62</v>
      </c>
      <c r="N670" s="573">
        <v>8.8</v>
      </c>
      <c r="O670" s="556" t="str">
        <f t="shared" si="58"/>
        <v>DIF</v>
      </c>
      <c r="P670" s="573"/>
      <c r="Q670" s="556"/>
      <c r="R670" s="582"/>
    </row>
    <row r="671" ht="25.5" spans="1:18">
      <c r="A671" s="556">
        <f>B671</f>
        <v>0</v>
      </c>
      <c r="B671" s="557">
        <f>B670</f>
        <v>0</v>
      </c>
      <c r="C671" s="108"/>
      <c r="D671" s="108"/>
      <c r="E671" s="108"/>
      <c r="F671" s="108"/>
      <c r="G671" s="108"/>
      <c r="H671" s="108" t="s">
        <v>2898</v>
      </c>
      <c r="I671" s="581">
        <v>0.61</v>
      </c>
      <c r="J671" s="108" t="s">
        <v>2899</v>
      </c>
      <c r="K671" s="581">
        <v>0</v>
      </c>
      <c r="L671" s="108" t="s">
        <v>2900</v>
      </c>
      <c r="M671" s="581">
        <v>0.61</v>
      </c>
      <c r="N671" s="573">
        <v>0.1</v>
      </c>
      <c r="O671" s="556" t="str">
        <f t="shared" si="58"/>
        <v>DIF</v>
      </c>
      <c r="P671" s="573"/>
      <c r="Q671" s="556"/>
      <c r="R671" s="582"/>
    </row>
    <row r="672" ht="26.25" spans="1:18">
      <c r="A672" s="556">
        <f>B672</f>
        <v>0</v>
      </c>
      <c r="B672" s="557">
        <f>B671</f>
        <v>0</v>
      </c>
      <c r="C672" s="108"/>
      <c r="D672" s="108"/>
      <c r="E672" s="108"/>
      <c r="F672" s="108"/>
      <c r="G672" s="108"/>
      <c r="H672" s="108" t="s">
        <v>2901</v>
      </c>
      <c r="I672" s="581">
        <v>0.22</v>
      </c>
      <c r="J672" s="114"/>
      <c r="K672" s="114" t="s">
        <v>2902</v>
      </c>
      <c r="L672" s="108"/>
      <c r="M672" s="581">
        <v>1.11</v>
      </c>
      <c r="N672" s="573">
        <v>0.64</v>
      </c>
      <c r="O672" s="556" t="str">
        <f t="shared" si="58"/>
        <v>DIF</v>
      </c>
      <c r="P672" s="573"/>
      <c r="Q672" s="556"/>
      <c r="R672" s="582"/>
    </row>
    <row r="673" ht="15" spans="1:18">
      <c r="A673" s="556"/>
      <c r="B673" s="557"/>
      <c r="C673" s="571"/>
      <c r="D673" s="571"/>
      <c r="E673" s="571"/>
      <c r="F673" s="571"/>
      <c r="G673" s="571"/>
      <c r="H673" s="571"/>
      <c r="I673" s="571"/>
      <c r="J673" s="571"/>
      <c r="K673" s="571"/>
      <c r="L673" s="571"/>
      <c r="M673" s="571"/>
      <c r="N673" s="573"/>
      <c r="O673" s="556"/>
      <c r="P673" s="573"/>
      <c r="Q673" s="556"/>
      <c r="R673" s="582"/>
    </row>
    <row r="674" ht="15" customHeight="1" spans="1:18">
      <c r="A674" s="556"/>
      <c r="B674" s="557"/>
      <c r="C674" s="76" t="s">
        <v>313</v>
      </c>
      <c r="D674" s="75" t="s">
        <v>63</v>
      </c>
      <c r="E674" s="76" t="s">
        <v>64</v>
      </c>
      <c r="F674" s="76" t="s">
        <v>65</v>
      </c>
      <c r="G674" s="76" t="s">
        <v>2889</v>
      </c>
      <c r="H674" s="76"/>
      <c r="I674" s="77" t="s">
        <v>66</v>
      </c>
      <c r="J674" s="75" t="s">
        <v>67</v>
      </c>
      <c r="K674" s="75" t="s">
        <v>2890</v>
      </c>
      <c r="L674" s="75" t="s">
        <v>68</v>
      </c>
      <c r="M674" s="75" t="s">
        <v>70</v>
      </c>
      <c r="N674" s="573"/>
      <c r="O674" s="556"/>
      <c r="P674" s="573"/>
      <c r="Q674" s="556"/>
      <c r="R674" s="582"/>
    </row>
    <row r="675" ht="23.85" customHeight="1" spans="1:18">
      <c r="A675" s="556"/>
      <c r="B675" s="557" t="str">
        <f>C674</f>
        <v> 3.4.15 </v>
      </c>
      <c r="C675" s="569" t="s">
        <v>2891</v>
      </c>
      <c r="D675" s="570" t="s">
        <v>314</v>
      </c>
      <c r="E675" s="569" t="s">
        <v>139</v>
      </c>
      <c r="F675" s="569" t="s">
        <v>315</v>
      </c>
      <c r="G675" s="569" t="s">
        <v>3248</v>
      </c>
      <c r="H675" s="569"/>
      <c r="I675" s="577" t="s">
        <v>204</v>
      </c>
      <c r="J675" s="578">
        <v>1</v>
      </c>
      <c r="K675" s="579"/>
      <c r="L675" s="579">
        <v>0.96</v>
      </c>
      <c r="M675" s="579">
        <v>0.96</v>
      </c>
      <c r="N675" s="573">
        <v>10.95</v>
      </c>
      <c r="O675" s="556" t="str">
        <f t="shared" ref="O675:O680" si="59">IF(N675=M675,"OK","DIF")</f>
        <v>DIF</v>
      </c>
      <c r="P675" s="573"/>
      <c r="Q675" s="556"/>
      <c r="R675" s="582"/>
    </row>
    <row r="676" ht="23.85" customHeight="1" spans="1:18">
      <c r="A676" s="556" t="str">
        <f>B676</f>
        <v> 3.4.15 </v>
      </c>
      <c r="B676" s="557" t="str">
        <f>B675</f>
        <v> 3.4.15 </v>
      </c>
      <c r="C676" s="79" t="s">
        <v>2921</v>
      </c>
      <c r="D676" s="78" t="s">
        <v>3151</v>
      </c>
      <c r="E676" s="79" t="s">
        <v>139</v>
      </c>
      <c r="F676" s="79" t="s">
        <v>3152</v>
      </c>
      <c r="G676" s="79" t="s">
        <v>2928</v>
      </c>
      <c r="H676" s="79"/>
      <c r="I676" s="80" t="s">
        <v>2897</v>
      </c>
      <c r="J676" s="583">
        <v>0.0081</v>
      </c>
      <c r="K676" s="583">
        <v>0</v>
      </c>
      <c r="L676" s="92">
        <v>36.82</v>
      </c>
      <c r="M676" s="92">
        <v>0.29</v>
      </c>
      <c r="N676" s="573">
        <v>7.52</v>
      </c>
      <c r="O676" s="556" t="str">
        <f t="shared" si="59"/>
        <v>DIF</v>
      </c>
      <c r="P676" s="573"/>
      <c r="Q676" s="556"/>
      <c r="R676" s="582"/>
    </row>
    <row r="677" ht="23.85" customHeight="1" spans="1:18">
      <c r="A677" s="556" t="str">
        <f>B677</f>
        <v> 3.4.15 </v>
      </c>
      <c r="B677" s="557" t="str">
        <f>B676</f>
        <v> 3.4.15 </v>
      </c>
      <c r="C677" s="79" t="s">
        <v>2921</v>
      </c>
      <c r="D677" s="78" t="s">
        <v>2952</v>
      </c>
      <c r="E677" s="79" t="s">
        <v>139</v>
      </c>
      <c r="F677" s="79" t="s">
        <v>2953</v>
      </c>
      <c r="G677" s="79" t="s">
        <v>2928</v>
      </c>
      <c r="H677" s="79"/>
      <c r="I677" s="80" t="s">
        <v>2897</v>
      </c>
      <c r="J677" s="583">
        <v>0.023</v>
      </c>
      <c r="K677" s="583">
        <v>0</v>
      </c>
      <c r="L677" s="92">
        <v>29.15</v>
      </c>
      <c r="M677" s="92">
        <v>0.67</v>
      </c>
      <c r="N677" s="573">
        <v>0.66</v>
      </c>
      <c r="O677" s="556" t="str">
        <f t="shared" si="59"/>
        <v>DIF</v>
      </c>
      <c r="P677" s="573"/>
      <c r="Q677" s="556"/>
      <c r="R677" s="582"/>
    </row>
    <row r="678" ht="25.5" spans="1:18">
      <c r="A678" s="556" t="str">
        <f>B678</f>
        <v> 3.4.15 </v>
      </c>
      <c r="B678" s="557" t="str">
        <f>B677</f>
        <v> 3.4.15 </v>
      </c>
      <c r="C678" s="108"/>
      <c r="D678" s="108"/>
      <c r="E678" s="108"/>
      <c r="F678" s="108"/>
      <c r="G678" s="108"/>
      <c r="H678" s="108" t="s">
        <v>2898</v>
      </c>
      <c r="I678" s="581">
        <v>0.65</v>
      </c>
      <c r="J678" s="108" t="s">
        <v>2899</v>
      </c>
      <c r="K678" s="581">
        <v>0</v>
      </c>
      <c r="L678" s="108" t="s">
        <v>2900</v>
      </c>
      <c r="M678" s="581">
        <v>0.65</v>
      </c>
      <c r="N678" s="573">
        <v>2.07</v>
      </c>
      <c r="O678" s="556" t="str">
        <f t="shared" si="59"/>
        <v>DIF</v>
      </c>
      <c r="P678" s="573"/>
      <c r="Q678" s="556"/>
      <c r="R678" s="582"/>
    </row>
    <row r="679" ht="26.25" spans="1:18">
      <c r="A679" s="556" t="str">
        <f>B679</f>
        <v> 3.4.15 </v>
      </c>
      <c r="B679" s="557" t="str">
        <f>B678</f>
        <v> 3.4.15 </v>
      </c>
      <c r="C679" s="108"/>
      <c r="D679" s="108"/>
      <c r="E679" s="108"/>
      <c r="F679" s="108"/>
      <c r="G679" s="108"/>
      <c r="H679" s="108" t="s">
        <v>2901</v>
      </c>
      <c r="I679" s="581">
        <v>0.24</v>
      </c>
      <c r="J679" s="114"/>
      <c r="K679" s="114" t="s">
        <v>2902</v>
      </c>
      <c r="L679" s="108"/>
      <c r="M679" s="581">
        <v>1.2</v>
      </c>
      <c r="N679" s="573">
        <v>0.06</v>
      </c>
      <c r="O679" s="556" t="str">
        <f t="shared" si="59"/>
        <v>DIF</v>
      </c>
      <c r="P679" s="573"/>
      <c r="Q679" s="556"/>
      <c r="R679" s="582"/>
    </row>
    <row r="680" ht="15" spans="1:18">
      <c r="A680" s="556" t="str">
        <f>B680</f>
        <v> 3.4.15 </v>
      </c>
      <c r="B680" s="557" t="str">
        <f>B679</f>
        <v> 3.4.15 </v>
      </c>
      <c r="C680" s="571"/>
      <c r="D680" s="571"/>
      <c r="E680" s="571"/>
      <c r="F680" s="571"/>
      <c r="G680" s="571"/>
      <c r="H680" s="571"/>
      <c r="I680" s="571"/>
      <c r="J680" s="571"/>
      <c r="K680" s="571"/>
      <c r="L680" s="571"/>
      <c r="M680" s="571"/>
      <c r="N680" s="573">
        <v>0.64</v>
      </c>
      <c r="O680" s="556" t="str">
        <f t="shared" si="59"/>
        <v>DIF</v>
      </c>
      <c r="P680" s="573"/>
      <c r="Q680" s="556"/>
      <c r="R680" s="582"/>
    </row>
    <row r="681" ht="15" customHeight="1" spans="1:18">
      <c r="A681" s="556"/>
      <c r="B681" s="557"/>
      <c r="C681" s="76" t="s">
        <v>316</v>
      </c>
      <c r="D681" s="75" t="s">
        <v>63</v>
      </c>
      <c r="E681" s="76" t="s">
        <v>64</v>
      </c>
      <c r="F681" s="76" t="s">
        <v>65</v>
      </c>
      <c r="G681" s="76" t="s">
        <v>2889</v>
      </c>
      <c r="H681" s="76"/>
      <c r="I681" s="77" t="s">
        <v>66</v>
      </c>
      <c r="J681" s="75" t="s">
        <v>67</v>
      </c>
      <c r="K681" s="75" t="s">
        <v>2890</v>
      </c>
      <c r="L681" s="75" t="s">
        <v>68</v>
      </c>
      <c r="M681" s="75" t="s">
        <v>70</v>
      </c>
      <c r="N681" s="573"/>
      <c r="O681" s="556"/>
      <c r="P681" s="573"/>
      <c r="Q681" s="556"/>
      <c r="R681" s="582"/>
    </row>
    <row r="682" ht="23.85" customHeight="1" spans="1:18">
      <c r="A682" s="556"/>
      <c r="B682" s="557"/>
      <c r="C682" s="569" t="s">
        <v>2891</v>
      </c>
      <c r="D682" s="570" t="s">
        <v>317</v>
      </c>
      <c r="E682" s="569" t="s">
        <v>139</v>
      </c>
      <c r="F682" s="569" t="s">
        <v>318</v>
      </c>
      <c r="G682" s="569" t="s">
        <v>3248</v>
      </c>
      <c r="H682" s="569"/>
      <c r="I682" s="577" t="s">
        <v>134</v>
      </c>
      <c r="J682" s="578">
        <v>1</v>
      </c>
      <c r="K682" s="579"/>
      <c r="L682" s="579">
        <v>17.07</v>
      </c>
      <c r="M682" s="579">
        <v>17.07</v>
      </c>
      <c r="N682" s="573"/>
      <c r="O682" s="556"/>
      <c r="P682" s="573"/>
      <c r="Q682" s="556"/>
      <c r="R682" s="582"/>
    </row>
    <row r="683" ht="23.85" customHeight="1" spans="1:18">
      <c r="A683" s="556"/>
      <c r="B683" s="557" t="str">
        <f>C682</f>
        <v>Composição</v>
      </c>
      <c r="C683" s="79" t="s">
        <v>2921</v>
      </c>
      <c r="D683" s="78" t="s">
        <v>2952</v>
      </c>
      <c r="E683" s="79" t="s">
        <v>139</v>
      </c>
      <c r="F683" s="79" t="s">
        <v>2953</v>
      </c>
      <c r="G683" s="79" t="s">
        <v>2928</v>
      </c>
      <c r="H683" s="79"/>
      <c r="I683" s="80" t="s">
        <v>2897</v>
      </c>
      <c r="J683" s="583">
        <v>0.4096</v>
      </c>
      <c r="K683" s="583">
        <v>0</v>
      </c>
      <c r="L683" s="92">
        <v>29.15</v>
      </c>
      <c r="M683" s="92">
        <v>11.93</v>
      </c>
      <c r="N683" s="573">
        <v>10.2</v>
      </c>
      <c r="O683" s="556" t="str">
        <f t="shared" ref="O683:O688" si="60">IF(N683=M683,"OK","DIF")</f>
        <v>DIF</v>
      </c>
      <c r="P683" s="573"/>
      <c r="Q683" s="556"/>
      <c r="R683" s="582"/>
    </row>
    <row r="684" ht="23.85" customHeight="1" spans="1:18">
      <c r="A684" s="556" t="str">
        <f>B684</f>
        <v>Composição</v>
      </c>
      <c r="B684" s="557" t="str">
        <f>B683</f>
        <v>Composição</v>
      </c>
      <c r="C684" s="79" t="s">
        <v>2921</v>
      </c>
      <c r="D684" s="78" t="s">
        <v>3144</v>
      </c>
      <c r="E684" s="79" t="s">
        <v>139</v>
      </c>
      <c r="F684" s="79" t="s">
        <v>3145</v>
      </c>
      <c r="G684" s="79" t="s">
        <v>2928</v>
      </c>
      <c r="H684" s="79"/>
      <c r="I684" s="80" t="s">
        <v>2897</v>
      </c>
      <c r="J684" s="583">
        <v>0.1448</v>
      </c>
      <c r="K684" s="583">
        <v>0</v>
      </c>
      <c r="L684" s="92">
        <v>35.55</v>
      </c>
      <c r="M684" s="92">
        <v>5.14</v>
      </c>
      <c r="N684" s="573">
        <v>0.5</v>
      </c>
      <c r="O684" s="556" t="str">
        <f t="shared" si="60"/>
        <v>DIF</v>
      </c>
      <c r="P684" s="573"/>
      <c r="Q684" s="556"/>
      <c r="R684" s="582"/>
    </row>
    <row r="685" ht="25.5" spans="1:18">
      <c r="A685" s="556" t="str">
        <f>B685</f>
        <v>Composição</v>
      </c>
      <c r="B685" s="557" t="str">
        <f>B684</f>
        <v>Composição</v>
      </c>
      <c r="C685" s="108"/>
      <c r="D685" s="108"/>
      <c r="E685" s="108"/>
      <c r="F685" s="108"/>
      <c r="G685" s="108"/>
      <c r="H685" s="108" t="s">
        <v>2898</v>
      </c>
      <c r="I685" s="581">
        <v>11.66</v>
      </c>
      <c r="J685" s="108" t="s">
        <v>2899</v>
      </c>
      <c r="K685" s="581">
        <v>0</v>
      </c>
      <c r="L685" s="108" t="s">
        <v>2900</v>
      </c>
      <c r="M685" s="581">
        <v>11.66</v>
      </c>
      <c r="N685" s="573">
        <v>1.58</v>
      </c>
      <c r="O685" s="556" t="str">
        <f t="shared" si="60"/>
        <v>DIF</v>
      </c>
      <c r="P685" s="573"/>
      <c r="Q685" s="556"/>
      <c r="R685" s="582"/>
    </row>
    <row r="686" ht="26.25" spans="1:18">
      <c r="A686" s="556" t="str">
        <f>B686</f>
        <v>Composição</v>
      </c>
      <c r="B686" s="557" t="str">
        <f>B685</f>
        <v>Composição</v>
      </c>
      <c r="C686" s="108"/>
      <c r="D686" s="108"/>
      <c r="E686" s="108"/>
      <c r="F686" s="108"/>
      <c r="G686" s="108"/>
      <c r="H686" s="108" t="s">
        <v>2901</v>
      </c>
      <c r="I686" s="581">
        <v>4.35</v>
      </c>
      <c r="J686" s="114"/>
      <c r="K686" s="114" t="s">
        <v>2902</v>
      </c>
      <c r="L686" s="108"/>
      <c r="M686" s="581">
        <v>21.42</v>
      </c>
      <c r="N686" s="573">
        <v>7.43</v>
      </c>
      <c r="O686" s="556" t="str">
        <f t="shared" si="60"/>
        <v>DIF</v>
      </c>
      <c r="P686" s="573"/>
      <c r="Q686" s="556"/>
      <c r="R686" s="582"/>
    </row>
    <row r="687" ht="15" spans="1:18">
      <c r="A687" s="556" t="str">
        <f>B687</f>
        <v>Composição</v>
      </c>
      <c r="B687" s="557" t="str">
        <f>B686</f>
        <v>Composição</v>
      </c>
      <c r="C687" s="571"/>
      <c r="D687" s="571"/>
      <c r="E687" s="571"/>
      <c r="F687" s="571"/>
      <c r="G687" s="571"/>
      <c r="H687" s="571"/>
      <c r="I687" s="571"/>
      <c r="J687" s="571"/>
      <c r="K687" s="571"/>
      <c r="L687" s="571"/>
      <c r="M687" s="571"/>
      <c r="N687" s="573">
        <v>0.64</v>
      </c>
      <c r="O687" s="556" t="str">
        <f t="shared" si="60"/>
        <v>DIF</v>
      </c>
      <c r="P687" s="573"/>
      <c r="Q687" s="556"/>
      <c r="R687" s="582"/>
    </row>
    <row r="688" ht="15" customHeight="1" spans="1:18">
      <c r="A688" s="556" t="str">
        <f>B688</f>
        <v>Composição</v>
      </c>
      <c r="B688" s="557" t="str">
        <f>B687</f>
        <v>Composição</v>
      </c>
      <c r="C688" s="76" t="s">
        <v>319</v>
      </c>
      <c r="D688" s="75" t="s">
        <v>63</v>
      </c>
      <c r="E688" s="76" t="s">
        <v>64</v>
      </c>
      <c r="F688" s="76" t="s">
        <v>65</v>
      </c>
      <c r="G688" s="76" t="s">
        <v>2889</v>
      </c>
      <c r="H688" s="76"/>
      <c r="I688" s="77" t="s">
        <v>66</v>
      </c>
      <c r="J688" s="75" t="s">
        <v>67</v>
      </c>
      <c r="K688" s="75" t="s">
        <v>2890</v>
      </c>
      <c r="L688" s="75" t="s">
        <v>68</v>
      </c>
      <c r="M688" s="75" t="s">
        <v>70</v>
      </c>
      <c r="N688" s="573">
        <v>0.05</v>
      </c>
      <c r="O688" s="556" t="str">
        <f t="shared" si="60"/>
        <v>DIF</v>
      </c>
      <c r="P688" s="573"/>
      <c r="Q688" s="556"/>
      <c r="R688" s="582"/>
    </row>
    <row r="689" ht="23.85" customHeight="1" spans="1:18">
      <c r="A689" s="556"/>
      <c r="B689" s="557"/>
      <c r="C689" s="569" t="s">
        <v>2891</v>
      </c>
      <c r="D689" s="570" t="s">
        <v>320</v>
      </c>
      <c r="E689" s="569" t="s">
        <v>139</v>
      </c>
      <c r="F689" s="569" t="s">
        <v>321</v>
      </c>
      <c r="G689" s="569" t="s">
        <v>3248</v>
      </c>
      <c r="H689" s="569"/>
      <c r="I689" s="577" t="s">
        <v>134</v>
      </c>
      <c r="J689" s="578">
        <v>1</v>
      </c>
      <c r="K689" s="579"/>
      <c r="L689" s="579">
        <v>2.13</v>
      </c>
      <c r="M689" s="579">
        <v>2.13</v>
      </c>
      <c r="N689" s="573"/>
      <c r="O689" s="556"/>
      <c r="P689" s="573"/>
      <c r="Q689" s="556"/>
      <c r="R689" s="582"/>
    </row>
    <row r="690" ht="23.85" customHeight="1" spans="1:18">
      <c r="A690" s="556"/>
      <c r="B690" s="557"/>
      <c r="C690" s="79" t="s">
        <v>2921</v>
      </c>
      <c r="D690" s="78" t="s">
        <v>2952</v>
      </c>
      <c r="E690" s="79" t="s">
        <v>139</v>
      </c>
      <c r="F690" s="79" t="s">
        <v>2953</v>
      </c>
      <c r="G690" s="79" t="s">
        <v>2928</v>
      </c>
      <c r="H690" s="79"/>
      <c r="I690" s="80" t="s">
        <v>2897</v>
      </c>
      <c r="J690" s="583">
        <v>0.0512</v>
      </c>
      <c r="K690" s="583">
        <v>0</v>
      </c>
      <c r="L690" s="92">
        <v>29.15</v>
      </c>
      <c r="M690" s="92">
        <v>1.49</v>
      </c>
      <c r="N690" s="573"/>
      <c r="O690" s="556"/>
      <c r="P690" s="573"/>
      <c r="Q690" s="556"/>
      <c r="R690" s="582"/>
    </row>
    <row r="691" ht="23.85" customHeight="1" spans="1:18">
      <c r="A691" s="556"/>
      <c r="B691" s="557" t="str">
        <f>C690</f>
        <v>Composição Auxiliar</v>
      </c>
      <c r="C691" s="79" t="s">
        <v>2921</v>
      </c>
      <c r="D691" s="78" t="s">
        <v>3144</v>
      </c>
      <c r="E691" s="79" t="s">
        <v>139</v>
      </c>
      <c r="F691" s="79" t="s">
        <v>3145</v>
      </c>
      <c r="G691" s="79" t="s">
        <v>2928</v>
      </c>
      <c r="H691" s="79"/>
      <c r="I691" s="80" t="s">
        <v>2897</v>
      </c>
      <c r="J691" s="583">
        <v>0.0181</v>
      </c>
      <c r="K691" s="583">
        <v>0</v>
      </c>
      <c r="L691" s="92">
        <v>35.55</v>
      </c>
      <c r="M691" s="92">
        <v>0.64</v>
      </c>
      <c r="N691" s="573">
        <v>145.95</v>
      </c>
      <c r="O691" s="556" t="str">
        <f t="shared" ref="O691:O703" si="61">IF(N691=M691,"OK","DIF")</f>
        <v>DIF</v>
      </c>
      <c r="P691" s="573"/>
      <c r="Q691" s="556"/>
      <c r="R691" s="582"/>
    </row>
    <row r="692" ht="25.5" spans="1:18">
      <c r="A692" s="556" t="str">
        <f t="shared" ref="A692:A703" si="62">B692</f>
        <v>Composição Auxiliar</v>
      </c>
      <c r="B692" s="557" t="str">
        <f t="shared" ref="B692:B703" si="63">B691</f>
        <v>Composição Auxiliar</v>
      </c>
      <c r="C692" s="108"/>
      <c r="D692" s="108"/>
      <c r="E692" s="108"/>
      <c r="F692" s="108"/>
      <c r="G692" s="108"/>
      <c r="H692" s="108" t="s">
        <v>2898</v>
      </c>
      <c r="I692" s="581">
        <v>1.45</v>
      </c>
      <c r="J692" s="108" t="s">
        <v>2899</v>
      </c>
      <c r="K692" s="581">
        <v>0</v>
      </c>
      <c r="L692" s="108" t="s">
        <v>2900</v>
      </c>
      <c r="M692" s="581">
        <v>1.45</v>
      </c>
      <c r="N692" s="573">
        <v>23.56</v>
      </c>
      <c r="O692" s="556" t="str">
        <f t="shared" si="61"/>
        <v>DIF</v>
      </c>
      <c r="P692" s="573"/>
      <c r="Q692" s="556"/>
      <c r="R692" s="582"/>
    </row>
    <row r="693" ht="26.25" spans="1:18">
      <c r="A693" s="556" t="str">
        <f t="shared" si="62"/>
        <v>Composição Auxiliar</v>
      </c>
      <c r="B693" s="557" t="str">
        <f t="shared" si="63"/>
        <v>Composição Auxiliar</v>
      </c>
      <c r="C693" s="108"/>
      <c r="D693" s="108"/>
      <c r="E693" s="108"/>
      <c r="F693" s="108"/>
      <c r="G693" s="108"/>
      <c r="H693" s="108" t="s">
        <v>2901</v>
      </c>
      <c r="I693" s="581">
        <v>0.54</v>
      </c>
      <c r="J693" s="114"/>
      <c r="K693" s="114" t="s">
        <v>2902</v>
      </c>
      <c r="L693" s="108"/>
      <c r="M693" s="581">
        <v>2.67</v>
      </c>
      <c r="N693" s="573">
        <v>3.47</v>
      </c>
      <c r="O693" s="556" t="str">
        <f t="shared" si="61"/>
        <v>DIF</v>
      </c>
      <c r="P693" s="573"/>
      <c r="Q693" s="556"/>
      <c r="R693" s="582"/>
    </row>
    <row r="694" ht="15" spans="1:18">
      <c r="A694" s="556" t="str">
        <f t="shared" si="62"/>
        <v>Composição Auxiliar</v>
      </c>
      <c r="B694" s="557" t="str">
        <f t="shared" si="63"/>
        <v>Composição Auxiliar</v>
      </c>
      <c r="C694" s="571"/>
      <c r="D694" s="571"/>
      <c r="E694" s="571"/>
      <c r="F694" s="571"/>
      <c r="G694" s="571"/>
      <c r="H694" s="571"/>
      <c r="I694" s="571"/>
      <c r="J694" s="571"/>
      <c r="K694" s="571"/>
      <c r="L694" s="571"/>
      <c r="M694" s="571"/>
      <c r="N694" s="573">
        <v>71</v>
      </c>
      <c r="O694" s="556" t="str">
        <f t="shared" si="61"/>
        <v>DIF</v>
      </c>
      <c r="P694" s="573"/>
      <c r="Q694" s="556"/>
      <c r="R694" s="582"/>
    </row>
    <row r="695" ht="15" customHeight="1" spans="1:18">
      <c r="A695" s="556" t="str">
        <f t="shared" si="62"/>
        <v>Composição Auxiliar</v>
      </c>
      <c r="B695" s="557" t="str">
        <f t="shared" si="63"/>
        <v>Composição Auxiliar</v>
      </c>
      <c r="C695" s="76" t="s">
        <v>322</v>
      </c>
      <c r="D695" s="75" t="s">
        <v>63</v>
      </c>
      <c r="E695" s="76" t="s">
        <v>64</v>
      </c>
      <c r="F695" s="76" t="s">
        <v>65</v>
      </c>
      <c r="G695" s="76" t="s">
        <v>2889</v>
      </c>
      <c r="H695" s="76"/>
      <c r="I695" s="77" t="s">
        <v>66</v>
      </c>
      <c r="J695" s="75" t="s">
        <v>67</v>
      </c>
      <c r="K695" s="75" t="s">
        <v>2890</v>
      </c>
      <c r="L695" s="75" t="s">
        <v>68</v>
      </c>
      <c r="M695" s="75" t="s">
        <v>70</v>
      </c>
      <c r="N695" s="573">
        <v>0.89</v>
      </c>
      <c r="O695" s="556" t="str">
        <f t="shared" si="61"/>
        <v>DIF</v>
      </c>
      <c r="P695" s="573"/>
      <c r="Q695" s="556"/>
      <c r="R695" s="582"/>
    </row>
    <row r="696" ht="23.85" customHeight="1" spans="1:18">
      <c r="A696" s="556" t="str">
        <f t="shared" si="62"/>
        <v>Composição Auxiliar</v>
      </c>
      <c r="B696" s="557" t="str">
        <f t="shared" si="63"/>
        <v>Composição Auxiliar</v>
      </c>
      <c r="C696" s="569" t="s">
        <v>2891</v>
      </c>
      <c r="D696" s="570" t="s">
        <v>323</v>
      </c>
      <c r="E696" s="569" t="s">
        <v>139</v>
      </c>
      <c r="F696" s="569" t="s">
        <v>324</v>
      </c>
      <c r="G696" s="569" t="s">
        <v>3248</v>
      </c>
      <c r="H696" s="569"/>
      <c r="I696" s="577" t="s">
        <v>134</v>
      </c>
      <c r="J696" s="578">
        <v>1</v>
      </c>
      <c r="K696" s="579"/>
      <c r="L696" s="579">
        <v>2.44</v>
      </c>
      <c r="M696" s="579">
        <v>2.44</v>
      </c>
      <c r="N696" s="573">
        <v>0.07</v>
      </c>
      <c r="O696" s="556" t="str">
        <f t="shared" si="61"/>
        <v>DIF</v>
      </c>
      <c r="P696" s="573"/>
      <c r="Q696" s="556"/>
      <c r="R696" s="582"/>
    </row>
    <row r="697" ht="23.85" customHeight="1" spans="1:18">
      <c r="A697" s="556" t="str">
        <f t="shared" si="62"/>
        <v>Composição Auxiliar</v>
      </c>
      <c r="B697" s="557" t="str">
        <f t="shared" si="63"/>
        <v>Composição Auxiliar</v>
      </c>
      <c r="C697" s="79" t="s">
        <v>2921</v>
      </c>
      <c r="D697" s="78" t="s">
        <v>2952</v>
      </c>
      <c r="E697" s="79" t="s">
        <v>139</v>
      </c>
      <c r="F697" s="79" t="s">
        <v>2953</v>
      </c>
      <c r="G697" s="79" t="s">
        <v>2928</v>
      </c>
      <c r="H697" s="79"/>
      <c r="I697" s="80" t="s">
        <v>2897</v>
      </c>
      <c r="J697" s="583">
        <v>0.058</v>
      </c>
      <c r="K697" s="583">
        <v>0</v>
      </c>
      <c r="L697" s="92">
        <v>29.15</v>
      </c>
      <c r="M697" s="92">
        <v>1.69</v>
      </c>
      <c r="N697" s="573">
        <v>0.26</v>
      </c>
      <c r="O697" s="556" t="str">
        <f t="shared" si="61"/>
        <v>DIF</v>
      </c>
      <c r="P697" s="573"/>
      <c r="Q697" s="556"/>
      <c r="R697" s="582"/>
    </row>
    <row r="698" ht="23.85" customHeight="1" spans="1:18">
      <c r="A698" s="556" t="str">
        <f t="shared" si="62"/>
        <v>Composição Auxiliar</v>
      </c>
      <c r="B698" s="557" t="str">
        <f t="shared" si="63"/>
        <v>Composição Auxiliar</v>
      </c>
      <c r="C698" s="79" t="s">
        <v>2921</v>
      </c>
      <c r="D698" s="78" t="s">
        <v>3151</v>
      </c>
      <c r="E698" s="79" t="s">
        <v>139</v>
      </c>
      <c r="F698" s="79" t="s">
        <v>3152</v>
      </c>
      <c r="G698" s="79" t="s">
        <v>2928</v>
      </c>
      <c r="H698" s="79"/>
      <c r="I698" s="80" t="s">
        <v>2897</v>
      </c>
      <c r="J698" s="583">
        <v>0.0205</v>
      </c>
      <c r="K698" s="583">
        <v>0</v>
      </c>
      <c r="L698" s="92">
        <v>36.82</v>
      </c>
      <c r="M698" s="92">
        <v>0.75</v>
      </c>
      <c r="N698" s="573">
        <v>5.26</v>
      </c>
      <c r="O698" s="556" t="str">
        <f t="shared" si="61"/>
        <v>DIF</v>
      </c>
      <c r="P698" s="573"/>
      <c r="Q698" s="556"/>
      <c r="R698" s="582"/>
    </row>
    <row r="699" ht="25.5" spans="1:18">
      <c r="A699" s="556" t="str">
        <f t="shared" si="62"/>
        <v>Composição Auxiliar</v>
      </c>
      <c r="B699" s="557" t="str">
        <f t="shared" si="63"/>
        <v>Composição Auxiliar</v>
      </c>
      <c r="C699" s="108"/>
      <c r="D699" s="108"/>
      <c r="E699" s="108"/>
      <c r="F699" s="108"/>
      <c r="G699" s="108"/>
      <c r="H699" s="108" t="s">
        <v>2898</v>
      </c>
      <c r="I699" s="581">
        <v>1.65</v>
      </c>
      <c r="J699" s="108" t="s">
        <v>2899</v>
      </c>
      <c r="K699" s="581">
        <v>0</v>
      </c>
      <c r="L699" s="108" t="s">
        <v>2900</v>
      </c>
      <c r="M699" s="581">
        <v>1.65</v>
      </c>
      <c r="N699" s="573">
        <v>13.03</v>
      </c>
      <c r="O699" s="556" t="str">
        <f t="shared" si="61"/>
        <v>DIF</v>
      </c>
      <c r="P699" s="573"/>
      <c r="Q699" s="556"/>
      <c r="R699" s="582"/>
    </row>
    <row r="700" ht="26.25" spans="1:18">
      <c r="A700" s="556" t="str">
        <f t="shared" si="62"/>
        <v>Composição Auxiliar</v>
      </c>
      <c r="B700" s="557" t="str">
        <f t="shared" si="63"/>
        <v>Composição Auxiliar</v>
      </c>
      <c r="C700" s="108"/>
      <c r="D700" s="108"/>
      <c r="E700" s="108"/>
      <c r="F700" s="108"/>
      <c r="G700" s="108"/>
      <c r="H700" s="108" t="s">
        <v>2901</v>
      </c>
      <c r="I700" s="581">
        <v>0.62</v>
      </c>
      <c r="J700" s="114"/>
      <c r="K700" s="114" t="s">
        <v>2902</v>
      </c>
      <c r="L700" s="108"/>
      <c r="M700" s="581">
        <v>3.06</v>
      </c>
      <c r="N700" s="573">
        <v>0.72</v>
      </c>
      <c r="O700" s="556" t="str">
        <f t="shared" si="61"/>
        <v>DIF</v>
      </c>
      <c r="P700" s="573"/>
      <c r="Q700" s="556"/>
      <c r="R700" s="582"/>
    </row>
    <row r="701" ht="15" spans="1:18">
      <c r="A701" s="556" t="str">
        <f t="shared" si="62"/>
        <v>Composição Auxiliar</v>
      </c>
      <c r="B701" s="557" t="str">
        <f t="shared" si="63"/>
        <v>Composição Auxiliar</v>
      </c>
      <c r="C701" s="571"/>
      <c r="D701" s="571"/>
      <c r="E701" s="571"/>
      <c r="F701" s="571"/>
      <c r="G701" s="571"/>
      <c r="H701" s="571"/>
      <c r="I701" s="571"/>
      <c r="J701" s="571"/>
      <c r="K701" s="571"/>
      <c r="L701" s="571"/>
      <c r="M701" s="571"/>
      <c r="N701" s="573">
        <v>8.34</v>
      </c>
      <c r="O701" s="556" t="str">
        <f t="shared" si="61"/>
        <v>DIF</v>
      </c>
      <c r="P701" s="573"/>
      <c r="Q701" s="556"/>
      <c r="R701" s="582"/>
    </row>
    <row r="702" ht="15" customHeight="1" spans="1:18">
      <c r="A702" s="556" t="str">
        <f t="shared" si="62"/>
        <v>Composição Auxiliar</v>
      </c>
      <c r="B702" s="557" t="str">
        <f t="shared" si="63"/>
        <v>Composição Auxiliar</v>
      </c>
      <c r="C702" s="76" t="s">
        <v>325</v>
      </c>
      <c r="D702" s="75" t="s">
        <v>63</v>
      </c>
      <c r="E702" s="76" t="s">
        <v>64</v>
      </c>
      <c r="F702" s="76" t="s">
        <v>65</v>
      </c>
      <c r="G702" s="76" t="s">
        <v>2889</v>
      </c>
      <c r="H702" s="76"/>
      <c r="I702" s="77" t="s">
        <v>66</v>
      </c>
      <c r="J702" s="75" t="s">
        <v>67</v>
      </c>
      <c r="K702" s="75" t="s">
        <v>2890</v>
      </c>
      <c r="L702" s="75" t="s">
        <v>68</v>
      </c>
      <c r="M702" s="75" t="s">
        <v>70</v>
      </c>
      <c r="N702" s="573">
        <v>0.63</v>
      </c>
      <c r="O702" s="556" t="str">
        <f t="shared" si="61"/>
        <v>DIF</v>
      </c>
      <c r="P702" s="573"/>
      <c r="Q702" s="556"/>
      <c r="R702" s="582"/>
    </row>
    <row r="703" ht="23.85" customHeight="1" spans="1:18">
      <c r="A703" s="556" t="str">
        <f t="shared" si="62"/>
        <v>Composição Auxiliar</v>
      </c>
      <c r="B703" s="557" t="str">
        <f t="shared" si="63"/>
        <v>Composição Auxiliar</v>
      </c>
      <c r="C703" s="569" t="s">
        <v>2891</v>
      </c>
      <c r="D703" s="570" t="s">
        <v>326</v>
      </c>
      <c r="E703" s="569" t="s">
        <v>139</v>
      </c>
      <c r="F703" s="569" t="s">
        <v>327</v>
      </c>
      <c r="G703" s="569" t="s">
        <v>3248</v>
      </c>
      <c r="H703" s="569"/>
      <c r="I703" s="577" t="s">
        <v>134</v>
      </c>
      <c r="J703" s="578">
        <v>1</v>
      </c>
      <c r="K703" s="579"/>
      <c r="L703" s="579">
        <v>12.45</v>
      </c>
      <c r="M703" s="579">
        <v>12.45</v>
      </c>
      <c r="N703" s="573">
        <v>18.72</v>
      </c>
      <c r="O703" s="556" t="str">
        <f t="shared" si="61"/>
        <v>DIF</v>
      </c>
      <c r="P703" s="573"/>
      <c r="Q703" s="556"/>
      <c r="R703" s="582"/>
    </row>
    <row r="704" ht="23.85" customHeight="1" spans="1:18">
      <c r="A704" s="556"/>
      <c r="B704" s="557"/>
      <c r="C704" s="79" t="s">
        <v>2921</v>
      </c>
      <c r="D704" s="78" t="s">
        <v>3144</v>
      </c>
      <c r="E704" s="79" t="s">
        <v>139</v>
      </c>
      <c r="F704" s="79" t="s">
        <v>3145</v>
      </c>
      <c r="G704" s="79" t="s">
        <v>2928</v>
      </c>
      <c r="H704" s="79"/>
      <c r="I704" s="80" t="s">
        <v>2897</v>
      </c>
      <c r="J704" s="583">
        <v>0.1056</v>
      </c>
      <c r="K704" s="583">
        <v>0</v>
      </c>
      <c r="L704" s="92">
        <v>35.55</v>
      </c>
      <c r="M704" s="92">
        <v>3.75</v>
      </c>
      <c r="N704" s="573"/>
      <c r="O704" s="556"/>
      <c r="P704" s="573"/>
      <c r="Q704" s="556"/>
      <c r="R704" s="582"/>
    </row>
    <row r="705" ht="23.85" customHeight="1" spans="1:18">
      <c r="A705" s="556"/>
      <c r="B705" s="557"/>
      <c r="C705" s="79" t="s">
        <v>2921</v>
      </c>
      <c r="D705" s="78" t="s">
        <v>2952</v>
      </c>
      <c r="E705" s="79" t="s">
        <v>139</v>
      </c>
      <c r="F705" s="79" t="s">
        <v>2953</v>
      </c>
      <c r="G705" s="79" t="s">
        <v>2928</v>
      </c>
      <c r="H705" s="79"/>
      <c r="I705" s="80" t="s">
        <v>2897</v>
      </c>
      <c r="J705" s="583">
        <v>0.2986</v>
      </c>
      <c r="K705" s="583">
        <v>0</v>
      </c>
      <c r="L705" s="92">
        <v>29.15</v>
      </c>
      <c r="M705" s="92">
        <v>8.7</v>
      </c>
      <c r="N705" s="573"/>
      <c r="O705" s="556"/>
      <c r="P705" s="573"/>
      <c r="Q705" s="556"/>
      <c r="R705" s="582"/>
    </row>
    <row r="706" ht="25.5" spans="1:18">
      <c r="A706" s="556"/>
      <c r="B706" s="557" t="str">
        <f>C705</f>
        <v>Composição Auxiliar</v>
      </c>
      <c r="C706" s="108"/>
      <c r="D706" s="108"/>
      <c r="E706" s="108"/>
      <c r="F706" s="108"/>
      <c r="G706" s="108"/>
      <c r="H706" s="108" t="s">
        <v>2898</v>
      </c>
      <c r="I706" s="581">
        <v>8.49</v>
      </c>
      <c r="J706" s="108" t="s">
        <v>2899</v>
      </c>
      <c r="K706" s="581">
        <v>0</v>
      </c>
      <c r="L706" s="108" t="s">
        <v>2900</v>
      </c>
      <c r="M706" s="581">
        <v>8.49</v>
      </c>
      <c r="N706" s="573">
        <v>685.14</v>
      </c>
      <c r="O706" s="556" t="str">
        <f t="shared" ref="O706:O711" si="64">IF(N706=M706,"OK","DIF")</f>
        <v>DIF</v>
      </c>
      <c r="P706" s="573"/>
      <c r="Q706" s="556"/>
      <c r="R706" s="582"/>
    </row>
    <row r="707" ht="26.25" spans="1:18">
      <c r="A707" s="556" t="str">
        <f>B707</f>
        <v>Composição Auxiliar</v>
      </c>
      <c r="B707" s="557" t="str">
        <f>B706</f>
        <v>Composição Auxiliar</v>
      </c>
      <c r="C707" s="108"/>
      <c r="D707" s="108"/>
      <c r="E707" s="108"/>
      <c r="F707" s="108"/>
      <c r="G707" s="108"/>
      <c r="H707" s="108" t="s">
        <v>2901</v>
      </c>
      <c r="I707" s="581">
        <v>3.17</v>
      </c>
      <c r="J707" s="114"/>
      <c r="K707" s="114" t="s">
        <v>2902</v>
      </c>
      <c r="L707" s="108"/>
      <c r="M707" s="581">
        <v>15.62</v>
      </c>
      <c r="N707" s="573">
        <v>74.78</v>
      </c>
      <c r="O707" s="556" t="str">
        <f t="shared" si="64"/>
        <v>DIF</v>
      </c>
      <c r="P707" s="573"/>
      <c r="Q707" s="556"/>
      <c r="R707" s="582"/>
    </row>
    <row r="708" ht="15" spans="1:18">
      <c r="A708" s="556" t="str">
        <f>B708</f>
        <v>Composição Auxiliar</v>
      </c>
      <c r="B708" s="557" t="str">
        <f>B707</f>
        <v>Composição Auxiliar</v>
      </c>
      <c r="C708" s="571"/>
      <c r="D708" s="571"/>
      <c r="E708" s="571"/>
      <c r="F708" s="571"/>
      <c r="G708" s="571"/>
      <c r="H708" s="571"/>
      <c r="I708" s="571"/>
      <c r="J708" s="571"/>
      <c r="K708" s="571"/>
      <c r="L708" s="571"/>
      <c r="M708" s="571"/>
      <c r="N708" s="573">
        <v>528.35</v>
      </c>
      <c r="O708" s="556" t="str">
        <f t="shared" si="64"/>
        <v>DIF</v>
      </c>
      <c r="P708" s="573"/>
      <c r="Q708" s="556"/>
      <c r="R708" s="582"/>
    </row>
    <row r="709" ht="15" customHeight="1" spans="1:18">
      <c r="A709" s="556" t="str">
        <f>B709</f>
        <v>Composição Auxiliar</v>
      </c>
      <c r="B709" s="557" t="str">
        <f>B708</f>
        <v>Composição Auxiliar</v>
      </c>
      <c r="C709" s="76" t="s">
        <v>328</v>
      </c>
      <c r="D709" s="75" t="s">
        <v>63</v>
      </c>
      <c r="E709" s="76" t="s">
        <v>64</v>
      </c>
      <c r="F709" s="76" t="s">
        <v>65</v>
      </c>
      <c r="G709" s="76" t="s">
        <v>2889</v>
      </c>
      <c r="H709" s="76"/>
      <c r="I709" s="77" t="s">
        <v>66</v>
      </c>
      <c r="J709" s="75" t="s">
        <v>67</v>
      </c>
      <c r="K709" s="75" t="s">
        <v>2890</v>
      </c>
      <c r="L709" s="75" t="s">
        <v>68</v>
      </c>
      <c r="M709" s="75" t="s">
        <v>70</v>
      </c>
      <c r="N709" s="573">
        <v>80.94</v>
      </c>
      <c r="O709" s="556" t="str">
        <f t="shared" si="64"/>
        <v>DIF</v>
      </c>
      <c r="P709" s="573"/>
      <c r="Q709" s="556"/>
      <c r="R709" s="582"/>
    </row>
    <row r="710" ht="35.05" customHeight="1" spans="1:18">
      <c r="A710" s="556" t="str">
        <f>B710</f>
        <v>Composição Auxiliar</v>
      </c>
      <c r="B710" s="557" t="str">
        <f>B709</f>
        <v>Composição Auxiliar</v>
      </c>
      <c r="C710" s="569" t="s">
        <v>2891</v>
      </c>
      <c r="D710" s="570" t="s">
        <v>329</v>
      </c>
      <c r="E710" s="569" t="s">
        <v>132</v>
      </c>
      <c r="F710" s="569" t="s">
        <v>330</v>
      </c>
      <c r="G710" s="569" t="s">
        <v>3257</v>
      </c>
      <c r="H710" s="569"/>
      <c r="I710" s="577" t="s">
        <v>134</v>
      </c>
      <c r="J710" s="578">
        <v>1</v>
      </c>
      <c r="K710" s="579"/>
      <c r="L710" s="579">
        <v>106.65</v>
      </c>
      <c r="M710" s="579">
        <v>106.65</v>
      </c>
      <c r="N710" s="573">
        <v>0.58</v>
      </c>
      <c r="O710" s="556" t="str">
        <f t="shared" si="64"/>
        <v>DIF</v>
      </c>
      <c r="P710" s="573"/>
      <c r="Q710" s="556"/>
      <c r="R710" s="582"/>
    </row>
    <row r="711" ht="23.85" customHeight="1" spans="1:18">
      <c r="A711" s="556" t="str">
        <f>B711</f>
        <v>Composição Auxiliar</v>
      </c>
      <c r="B711" s="557" t="str">
        <f>B710</f>
        <v>Composição Auxiliar</v>
      </c>
      <c r="C711" s="79" t="s">
        <v>2921</v>
      </c>
      <c r="D711" s="78" t="s">
        <v>3144</v>
      </c>
      <c r="E711" s="79" t="s">
        <v>139</v>
      </c>
      <c r="F711" s="79" t="s">
        <v>3145</v>
      </c>
      <c r="G711" s="79" t="s">
        <v>2928</v>
      </c>
      <c r="H711" s="79"/>
      <c r="I711" s="80" t="s">
        <v>2897</v>
      </c>
      <c r="J711" s="583">
        <v>3</v>
      </c>
      <c r="K711" s="583">
        <v>0</v>
      </c>
      <c r="L711" s="92">
        <v>35.55</v>
      </c>
      <c r="M711" s="92">
        <v>106.65</v>
      </c>
      <c r="N711" s="573">
        <v>0.49</v>
      </c>
      <c r="O711" s="556" t="str">
        <f t="shared" si="64"/>
        <v>DIF</v>
      </c>
      <c r="P711" s="573"/>
      <c r="Q711" s="556"/>
      <c r="R711" s="582"/>
    </row>
    <row r="712" ht="25.5" spans="1:18">
      <c r="A712" s="556"/>
      <c r="B712" s="557"/>
      <c r="C712" s="108"/>
      <c r="D712" s="108"/>
      <c r="E712" s="108"/>
      <c r="F712" s="108"/>
      <c r="G712" s="108"/>
      <c r="H712" s="108" t="s">
        <v>2898</v>
      </c>
      <c r="I712" s="581">
        <v>78.54</v>
      </c>
      <c r="J712" s="108" t="s">
        <v>2899</v>
      </c>
      <c r="K712" s="581">
        <v>0</v>
      </c>
      <c r="L712" s="108" t="s">
        <v>2900</v>
      </c>
      <c r="M712" s="581">
        <v>78.54</v>
      </c>
      <c r="N712" s="573"/>
      <c r="O712" s="556"/>
      <c r="P712" s="573"/>
      <c r="Q712" s="556"/>
      <c r="R712" s="582"/>
    </row>
    <row r="713" ht="26.25" spans="1:18">
      <c r="A713" s="556"/>
      <c r="B713" s="557"/>
      <c r="C713" s="108"/>
      <c r="D713" s="108"/>
      <c r="E713" s="108"/>
      <c r="F713" s="108"/>
      <c r="G713" s="108"/>
      <c r="H713" s="108" t="s">
        <v>2901</v>
      </c>
      <c r="I713" s="581">
        <v>27.18</v>
      </c>
      <c r="J713" s="114"/>
      <c r="K713" s="114" t="s">
        <v>2902</v>
      </c>
      <c r="L713" s="108"/>
      <c r="M713" s="581">
        <v>133.83</v>
      </c>
      <c r="N713" s="573"/>
      <c r="O713" s="556"/>
      <c r="P713" s="573"/>
      <c r="Q713" s="556"/>
      <c r="R713" s="582"/>
    </row>
    <row r="714" ht="15" spans="1:18">
      <c r="A714" s="556"/>
      <c r="B714" s="557">
        <f>C713</f>
        <v>0</v>
      </c>
      <c r="C714" s="571"/>
      <c r="D714" s="571"/>
      <c r="E714" s="571"/>
      <c r="F714" s="571"/>
      <c r="G714" s="571"/>
      <c r="H714" s="571"/>
      <c r="I714" s="571"/>
      <c r="J714" s="571"/>
      <c r="K714" s="571"/>
      <c r="L714" s="571"/>
      <c r="M714" s="571"/>
      <c r="N714" s="573">
        <v>787.42</v>
      </c>
      <c r="O714" s="556" t="str">
        <f>IF(N714=M714,"OK","DIF")</f>
        <v>DIF</v>
      </c>
      <c r="P714" s="573"/>
      <c r="Q714" s="556"/>
      <c r="R714" s="582"/>
    </row>
    <row r="715" ht="15" customHeight="1" spans="1:18">
      <c r="A715" s="556">
        <f>B715</f>
        <v>0</v>
      </c>
      <c r="B715" s="557">
        <f>B714</f>
        <v>0</v>
      </c>
      <c r="C715" s="76" t="s">
        <v>331</v>
      </c>
      <c r="D715" s="75" t="s">
        <v>63</v>
      </c>
      <c r="E715" s="76" t="s">
        <v>64</v>
      </c>
      <c r="F715" s="76" t="s">
        <v>65</v>
      </c>
      <c r="G715" s="76" t="s">
        <v>2889</v>
      </c>
      <c r="H715" s="76"/>
      <c r="I715" s="77" t="s">
        <v>66</v>
      </c>
      <c r="J715" s="75" t="s">
        <v>67</v>
      </c>
      <c r="K715" s="75" t="s">
        <v>2890</v>
      </c>
      <c r="L715" s="75" t="s">
        <v>68</v>
      </c>
      <c r="M715" s="75" t="s">
        <v>70</v>
      </c>
      <c r="N715" s="573">
        <v>63.65</v>
      </c>
      <c r="O715" s="556" t="str">
        <f>IF(N715=M715,"OK","DIF")</f>
        <v>DIF</v>
      </c>
      <c r="P715" s="573"/>
      <c r="Q715" s="556"/>
      <c r="R715" s="582"/>
    </row>
    <row r="716" ht="38.25" spans="1:18">
      <c r="A716" s="556">
        <f>B716</f>
        <v>0</v>
      </c>
      <c r="B716" s="557">
        <f>B715</f>
        <v>0</v>
      </c>
      <c r="C716" s="569" t="s">
        <v>2891</v>
      </c>
      <c r="D716" s="570" t="s">
        <v>332</v>
      </c>
      <c r="E716" s="569" t="s">
        <v>132</v>
      </c>
      <c r="F716" s="569" t="s">
        <v>333</v>
      </c>
      <c r="G716" s="569">
        <v>45</v>
      </c>
      <c r="H716" s="569"/>
      <c r="I716" s="577" t="s">
        <v>334</v>
      </c>
      <c r="J716" s="578">
        <v>1</v>
      </c>
      <c r="K716" s="579"/>
      <c r="L716" s="579">
        <v>66.11</v>
      </c>
      <c r="M716" s="579">
        <v>66.11</v>
      </c>
      <c r="N716" s="573">
        <v>226.34</v>
      </c>
      <c r="O716" s="556" t="str">
        <f>IF(N716=M716,"OK","DIF")</f>
        <v>DIF</v>
      </c>
      <c r="P716" s="573"/>
      <c r="Q716" s="556"/>
      <c r="R716" s="582"/>
    </row>
    <row r="717" ht="23.85" customHeight="1" spans="1:18">
      <c r="A717" s="556">
        <f>B717</f>
        <v>0</v>
      </c>
      <c r="B717" s="557">
        <f>B716</f>
        <v>0</v>
      </c>
      <c r="C717" s="79" t="s">
        <v>2921</v>
      </c>
      <c r="D717" s="78" t="s">
        <v>2952</v>
      </c>
      <c r="E717" s="79" t="s">
        <v>139</v>
      </c>
      <c r="F717" s="79" t="s">
        <v>2953</v>
      </c>
      <c r="G717" s="79" t="s">
        <v>2928</v>
      </c>
      <c r="H717" s="79"/>
      <c r="I717" s="80" t="s">
        <v>2897</v>
      </c>
      <c r="J717" s="583">
        <v>1</v>
      </c>
      <c r="K717" s="583">
        <v>0</v>
      </c>
      <c r="L717" s="92">
        <v>29.15</v>
      </c>
      <c r="M717" s="92">
        <v>29.15</v>
      </c>
      <c r="N717" s="573">
        <v>497.43</v>
      </c>
      <c r="O717" s="556" t="str">
        <f>IF(N717=M717,"OK","DIF")</f>
        <v>DIF</v>
      </c>
      <c r="P717" s="573"/>
      <c r="Q717" s="556"/>
      <c r="R717" s="582"/>
    </row>
    <row r="718" ht="23.85" customHeight="1" spans="1:18">
      <c r="A718" s="556"/>
      <c r="B718" s="557"/>
      <c r="C718" s="79" t="s">
        <v>2921</v>
      </c>
      <c r="D718" s="78" t="s">
        <v>3017</v>
      </c>
      <c r="E718" s="79" t="s">
        <v>139</v>
      </c>
      <c r="F718" s="79" t="s">
        <v>3018</v>
      </c>
      <c r="G718" s="79" t="s">
        <v>2928</v>
      </c>
      <c r="H718" s="79"/>
      <c r="I718" s="80" t="s">
        <v>2897</v>
      </c>
      <c r="J718" s="583">
        <v>1</v>
      </c>
      <c r="K718" s="583">
        <v>0</v>
      </c>
      <c r="L718" s="92">
        <v>36.96</v>
      </c>
      <c r="M718" s="92">
        <v>36.96</v>
      </c>
      <c r="N718" s="573"/>
      <c r="O718" s="556"/>
      <c r="P718" s="573"/>
      <c r="Q718" s="556"/>
      <c r="R718" s="582"/>
    </row>
    <row r="719" ht="25.5" spans="1:18">
      <c r="A719" s="556"/>
      <c r="B719" s="557"/>
      <c r="C719" s="108"/>
      <c r="D719" s="108"/>
      <c r="E719" s="108"/>
      <c r="F719" s="108"/>
      <c r="G719" s="108"/>
      <c r="H719" s="108" t="s">
        <v>2898</v>
      </c>
      <c r="I719" s="581">
        <v>46.16</v>
      </c>
      <c r="J719" s="108" t="s">
        <v>2899</v>
      </c>
      <c r="K719" s="581">
        <v>0</v>
      </c>
      <c r="L719" s="108" t="s">
        <v>2900</v>
      </c>
      <c r="M719" s="581">
        <v>46.16</v>
      </c>
      <c r="N719" s="573"/>
      <c r="O719" s="556"/>
      <c r="P719" s="573"/>
      <c r="Q719" s="556"/>
      <c r="R719" s="582"/>
    </row>
    <row r="720" ht="26.25" spans="1:18">
      <c r="A720" s="556"/>
      <c r="B720" s="557">
        <f>C719</f>
        <v>0</v>
      </c>
      <c r="C720" s="108"/>
      <c r="D720" s="108"/>
      <c r="E720" s="108"/>
      <c r="F720" s="108"/>
      <c r="G720" s="108"/>
      <c r="H720" s="108" t="s">
        <v>2901</v>
      </c>
      <c r="I720" s="581">
        <v>16.85</v>
      </c>
      <c r="J720" s="114"/>
      <c r="K720" s="114" t="s">
        <v>2902</v>
      </c>
      <c r="L720" s="108"/>
      <c r="M720" s="581">
        <v>82.96</v>
      </c>
      <c r="N720" s="573">
        <v>11505.03</v>
      </c>
      <c r="O720" s="556" t="str">
        <f>IF(N720=M720,"OK","DIF")</f>
        <v>DIF</v>
      </c>
      <c r="P720" s="573"/>
      <c r="Q720" s="556"/>
      <c r="R720" s="582"/>
    </row>
    <row r="721" ht="15" spans="1:18">
      <c r="A721" s="556">
        <f>B721</f>
        <v>0</v>
      </c>
      <c r="B721" s="557">
        <f>B720</f>
        <v>0</v>
      </c>
      <c r="C721" s="571"/>
      <c r="D721" s="571"/>
      <c r="E721" s="571"/>
      <c r="F721" s="571"/>
      <c r="G721" s="571"/>
      <c r="H721" s="571"/>
      <c r="I721" s="571"/>
      <c r="J721" s="571"/>
      <c r="K721" s="571"/>
      <c r="L721" s="571"/>
      <c r="M721" s="571"/>
      <c r="N721" s="573">
        <v>3005.03</v>
      </c>
      <c r="O721" s="556" t="str">
        <f>IF(N721=M721,"OK","DIF")</f>
        <v>DIF</v>
      </c>
      <c r="P721" s="573"/>
      <c r="Q721" s="556"/>
      <c r="R721" s="582"/>
    </row>
    <row r="722" ht="15" customHeight="1" spans="1:18">
      <c r="A722" s="556">
        <f>B722</f>
        <v>0</v>
      </c>
      <c r="B722" s="557">
        <f>B721</f>
        <v>0</v>
      </c>
      <c r="C722" s="76" t="s">
        <v>337</v>
      </c>
      <c r="D722" s="75" t="s">
        <v>63</v>
      </c>
      <c r="E722" s="76" t="s">
        <v>64</v>
      </c>
      <c r="F722" s="76" t="s">
        <v>65</v>
      </c>
      <c r="G722" s="76" t="s">
        <v>2889</v>
      </c>
      <c r="H722" s="76"/>
      <c r="I722" s="77" t="s">
        <v>66</v>
      </c>
      <c r="J722" s="75" t="s">
        <v>67</v>
      </c>
      <c r="K722" s="75" t="s">
        <v>2890</v>
      </c>
      <c r="L722" s="75" t="s">
        <v>68</v>
      </c>
      <c r="M722" s="75" t="s">
        <v>70</v>
      </c>
      <c r="N722" s="573">
        <v>8500</v>
      </c>
      <c r="O722" s="556" t="str">
        <f>IF(N722=M722,"OK","DIF")</f>
        <v>DIF</v>
      </c>
      <c r="P722" s="573"/>
      <c r="Q722" s="556"/>
      <c r="R722" s="582"/>
    </row>
    <row r="723" ht="76.5" spans="1:18">
      <c r="A723" s="556"/>
      <c r="B723" s="557"/>
      <c r="C723" s="569" t="s">
        <v>2891</v>
      </c>
      <c r="D723" s="570" t="s">
        <v>338</v>
      </c>
      <c r="E723" s="569" t="s">
        <v>77</v>
      </c>
      <c r="F723" s="569" t="s">
        <v>339</v>
      </c>
      <c r="G723" s="569">
        <v>5</v>
      </c>
      <c r="H723" s="569"/>
      <c r="I723" s="577" t="s">
        <v>340</v>
      </c>
      <c r="J723" s="578">
        <v>1</v>
      </c>
      <c r="K723" s="579"/>
      <c r="L723" s="579">
        <v>39.66</v>
      </c>
      <c r="M723" s="579">
        <v>39.66</v>
      </c>
      <c r="N723" s="573"/>
      <c r="O723" s="556"/>
      <c r="P723" s="573"/>
      <c r="Q723" s="556"/>
      <c r="R723" s="582"/>
    </row>
    <row r="724" ht="35.05" customHeight="1" spans="1:18">
      <c r="A724" s="556"/>
      <c r="B724" s="557"/>
      <c r="C724" s="100" t="s">
        <v>2893</v>
      </c>
      <c r="D724" s="99" t="s">
        <v>3260</v>
      </c>
      <c r="E724" s="100" t="s">
        <v>77</v>
      </c>
      <c r="F724" s="100" t="s">
        <v>3261</v>
      </c>
      <c r="G724" s="100" t="s">
        <v>2961</v>
      </c>
      <c r="H724" s="100"/>
      <c r="I724" s="101" t="s">
        <v>340</v>
      </c>
      <c r="J724" s="580">
        <v>1</v>
      </c>
      <c r="K724" s="580">
        <v>0</v>
      </c>
      <c r="L724" s="102">
        <v>39.66</v>
      </c>
      <c r="M724" s="102">
        <v>39.66</v>
      </c>
      <c r="N724" s="573"/>
      <c r="O724" s="556"/>
      <c r="P724" s="573"/>
      <c r="Q724" s="556"/>
      <c r="R724" s="582"/>
    </row>
    <row r="725" ht="25.5" spans="1:18">
      <c r="A725" s="556"/>
      <c r="B725" s="557" t="str">
        <f>C724</f>
        <v>Insumo</v>
      </c>
      <c r="C725" s="108"/>
      <c r="D725" s="108"/>
      <c r="E725" s="108"/>
      <c r="F725" s="108"/>
      <c r="G725" s="108"/>
      <c r="H725" s="108" t="s">
        <v>2898</v>
      </c>
      <c r="I725" s="581">
        <v>0</v>
      </c>
      <c r="J725" s="108" t="s">
        <v>2899</v>
      </c>
      <c r="K725" s="581">
        <v>0</v>
      </c>
      <c r="L725" s="108" t="s">
        <v>2900</v>
      </c>
      <c r="M725" s="581">
        <v>0</v>
      </c>
      <c r="N725" s="573">
        <v>304.32</v>
      </c>
      <c r="O725" s="556" t="str">
        <f>IF(N725=M725,"OK","DIF")</f>
        <v>DIF</v>
      </c>
      <c r="P725" s="573"/>
      <c r="Q725" s="556"/>
      <c r="R725" s="582"/>
    </row>
    <row r="726" ht="26.25" spans="1:18">
      <c r="A726" s="556" t="str">
        <f>B726</f>
        <v>Insumo</v>
      </c>
      <c r="B726" s="557" t="str">
        <f>B725</f>
        <v>Insumo</v>
      </c>
      <c r="C726" s="108"/>
      <c r="D726" s="108"/>
      <c r="E726" s="108"/>
      <c r="F726" s="108"/>
      <c r="G726" s="108"/>
      <c r="H726" s="108" t="s">
        <v>2901</v>
      </c>
      <c r="I726" s="581">
        <v>10.1</v>
      </c>
      <c r="J726" s="114"/>
      <c r="K726" s="114" t="s">
        <v>2902</v>
      </c>
      <c r="L726" s="108"/>
      <c r="M726" s="581">
        <v>49.76</v>
      </c>
      <c r="N726" s="573">
        <v>53.36</v>
      </c>
      <c r="O726" s="556" t="str">
        <f>IF(N726=M726,"OK","DIF")</f>
        <v>DIF</v>
      </c>
      <c r="P726" s="573"/>
      <c r="Q726" s="556"/>
      <c r="R726" s="582"/>
    </row>
    <row r="727" ht="15" spans="1:18">
      <c r="A727" s="556" t="str">
        <f>B727</f>
        <v>Insumo</v>
      </c>
      <c r="B727" s="557" t="str">
        <f>B726</f>
        <v>Insumo</v>
      </c>
      <c r="C727" s="571"/>
      <c r="D727" s="571"/>
      <c r="E727" s="571"/>
      <c r="F727" s="571"/>
      <c r="G727" s="571"/>
      <c r="H727" s="571"/>
      <c r="I727" s="571"/>
      <c r="J727" s="571"/>
      <c r="K727" s="571"/>
      <c r="L727" s="571"/>
      <c r="M727" s="571"/>
      <c r="N727" s="573">
        <v>250.96</v>
      </c>
      <c r="O727" s="556" t="str">
        <f>IF(N727=M727,"OK","DIF")</f>
        <v>DIF</v>
      </c>
      <c r="P727" s="573"/>
      <c r="Q727" s="556"/>
      <c r="R727" s="582"/>
    </row>
    <row r="728" ht="15" customHeight="1" spans="1:18">
      <c r="A728" s="556"/>
      <c r="B728" s="557"/>
      <c r="C728" s="76" t="s">
        <v>341</v>
      </c>
      <c r="D728" s="75" t="s">
        <v>63</v>
      </c>
      <c r="E728" s="76" t="s">
        <v>64</v>
      </c>
      <c r="F728" s="76" t="s">
        <v>65</v>
      </c>
      <c r="G728" s="76" t="s">
        <v>2889</v>
      </c>
      <c r="H728" s="76"/>
      <c r="I728" s="77" t="s">
        <v>66</v>
      </c>
      <c r="J728" s="75" t="s">
        <v>67</v>
      </c>
      <c r="K728" s="75" t="s">
        <v>2890</v>
      </c>
      <c r="L728" s="75" t="s">
        <v>68</v>
      </c>
      <c r="M728" s="75" t="s">
        <v>70</v>
      </c>
      <c r="N728" s="573"/>
      <c r="O728" s="556"/>
      <c r="P728" s="573"/>
      <c r="Q728" s="556"/>
      <c r="R728" s="582"/>
    </row>
    <row r="729" ht="38.25" spans="1:18">
      <c r="A729" s="556"/>
      <c r="B729" s="557"/>
      <c r="C729" s="569" t="s">
        <v>2891</v>
      </c>
      <c r="D729" s="570" t="s">
        <v>342</v>
      </c>
      <c r="E729" s="569" t="s">
        <v>77</v>
      </c>
      <c r="F729" s="569" t="s">
        <v>3262</v>
      </c>
      <c r="G729" s="569">
        <v>4</v>
      </c>
      <c r="H729" s="569"/>
      <c r="I729" s="577" t="s">
        <v>141</v>
      </c>
      <c r="J729" s="578">
        <v>1</v>
      </c>
      <c r="K729" s="579"/>
      <c r="L729" s="579">
        <v>1.01</v>
      </c>
      <c r="M729" s="579">
        <v>1.01</v>
      </c>
      <c r="N729" s="573"/>
      <c r="O729" s="556"/>
      <c r="P729" s="573"/>
      <c r="Q729" s="556"/>
      <c r="R729" s="582"/>
    </row>
    <row r="730" ht="25.5" spans="1:18">
      <c r="A730" s="556"/>
      <c r="B730" s="557" t="str">
        <f>C729</f>
        <v>Composição</v>
      </c>
      <c r="C730" s="79" t="s">
        <v>2921</v>
      </c>
      <c r="D730" s="78" t="s">
        <v>3263</v>
      </c>
      <c r="E730" s="79" t="s">
        <v>77</v>
      </c>
      <c r="F730" s="79" t="s">
        <v>3264</v>
      </c>
      <c r="G730" s="79">
        <v>19</v>
      </c>
      <c r="H730" s="79"/>
      <c r="I730" s="80" t="s">
        <v>2897</v>
      </c>
      <c r="J730" s="583">
        <v>0.013</v>
      </c>
      <c r="K730" s="583">
        <v>0</v>
      </c>
      <c r="L730" s="92">
        <v>58.62</v>
      </c>
      <c r="M730" s="92">
        <v>0.76</v>
      </c>
      <c r="N730" s="573">
        <v>280.56</v>
      </c>
      <c r="O730" s="556" t="str">
        <f t="shared" ref="O730:O736" si="65">IF(N730=M730,"OK","DIF")</f>
        <v>DIF</v>
      </c>
      <c r="P730" s="573"/>
      <c r="Q730" s="556"/>
      <c r="R730" s="582"/>
    </row>
    <row r="731" ht="23.85" customHeight="1" spans="1:18">
      <c r="A731" s="556" t="str">
        <f t="shared" ref="A731:A736" si="66">B731</f>
        <v>Composição</v>
      </c>
      <c r="B731" s="557" t="str">
        <f t="shared" ref="B731:B736" si="67">B730</f>
        <v>Composição</v>
      </c>
      <c r="C731" s="100" t="s">
        <v>2893</v>
      </c>
      <c r="D731" s="99" t="s">
        <v>3108</v>
      </c>
      <c r="E731" s="100" t="s">
        <v>77</v>
      </c>
      <c r="F731" s="100" t="s">
        <v>3109</v>
      </c>
      <c r="G731" s="100" t="s">
        <v>2896</v>
      </c>
      <c r="H731" s="100"/>
      <c r="I731" s="101" t="s">
        <v>2897</v>
      </c>
      <c r="J731" s="580">
        <v>0.013</v>
      </c>
      <c r="K731" s="580">
        <v>3</v>
      </c>
      <c r="L731" s="102">
        <v>19.16</v>
      </c>
      <c r="M731" s="102">
        <v>0.25</v>
      </c>
      <c r="N731" s="573">
        <v>65.67</v>
      </c>
      <c r="O731" s="556" t="str">
        <f t="shared" si="65"/>
        <v>DIF</v>
      </c>
      <c r="P731" s="573"/>
      <c r="Q731" s="556"/>
      <c r="R731" s="582"/>
    </row>
    <row r="732" ht="25.5" spans="1:18">
      <c r="A732" s="556" t="str">
        <f t="shared" si="66"/>
        <v>Composição</v>
      </c>
      <c r="B732" s="557" t="str">
        <f t="shared" si="67"/>
        <v>Composição</v>
      </c>
      <c r="C732" s="108"/>
      <c r="D732" s="108"/>
      <c r="E732" s="108"/>
      <c r="F732" s="108"/>
      <c r="G732" s="108"/>
      <c r="H732" s="108" t="s">
        <v>2898</v>
      </c>
      <c r="I732" s="581">
        <v>0.59</v>
      </c>
      <c r="J732" s="108" t="s">
        <v>2899</v>
      </c>
      <c r="K732" s="581">
        <v>0</v>
      </c>
      <c r="L732" s="108" t="s">
        <v>2900</v>
      </c>
      <c r="M732" s="581">
        <v>0.59</v>
      </c>
      <c r="N732" s="573">
        <v>7.06</v>
      </c>
      <c r="O732" s="556" t="str">
        <f t="shared" si="65"/>
        <v>DIF</v>
      </c>
      <c r="P732" s="573"/>
      <c r="Q732" s="556"/>
      <c r="R732" s="582"/>
    </row>
    <row r="733" ht="26.25" spans="1:18">
      <c r="A733" s="556" t="str">
        <f t="shared" si="66"/>
        <v>Composição</v>
      </c>
      <c r="B733" s="557" t="str">
        <f t="shared" si="67"/>
        <v>Composição</v>
      </c>
      <c r="C733" s="108"/>
      <c r="D733" s="108"/>
      <c r="E733" s="108"/>
      <c r="F733" s="108"/>
      <c r="G733" s="108"/>
      <c r="H733" s="108" t="s">
        <v>2901</v>
      </c>
      <c r="I733" s="581">
        <v>0.25</v>
      </c>
      <c r="J733" s="114"/>
      <c r="K733" s="114" t="s">
        <v>2902</v>
      </c>
      <c r="L733" s="108"/>
      <c r="M733" s="581">
        <v>1.26</v>
      </c>
      <c r="N733" s="573">
        <v>70.35</v>
      </c>
      <c r="O733" s="556" t="str">
        <f t="shared" si="65"/>
        <v>DIF</v>
      </c>
      <c r="P733" s="573"/>
      <c r="Q733" s="556"/>
      <c r="R733" s="582"/>
    </row>
    <row r="734" ht="15" spans="1:18">
      <c r="A734" s="556" t="str">
        <f t="shared" si="66"/>
        <v>Composição</v>
      </c>
      <c r="B734" s="557" t="str">
        <f t="shared" si="67"/>
        <v>Composição</v>
      </c>
      <c r="C734" s="571"/>
      <c r="D734" s="571"/>
      <c r="E734" s="571"/>
      <c r="F734" s="571"/>
      <c r="G734" s="571"/>
      <c r="H734" s="571"/>
      <c r="I734" s="571"/>
      <c r="J734" s="571"/>
      <c r="K734" s="571"/>
      <c r="L734" s="571"/>
      <c r="M734" s="571"/>
      <c r="N734" s="573">
        <v>3.07</v>
      </c>
      <c r="O734" s="556" t="str">
        <f t="shared" si="65"/>
        <v>DIF</v>
      </c>
      <c r="P734" s="573"/>
      <c r="Q734" s="556"/>
      <c r="R734" s="582"/>
    </row>
    <row r="735" ht="15" customHeight="1" spans="1:18">
      <c r="A735" s="556" t="str">
        <f t="shared" si="66"/>
        <v>Composição</v>
      </c>
      <c r="B735" s="557" t="str">
        <f t="shared" si="67"/>
        <v>Composição</v>
      </c>
      <c r="C735" s="76" t="s">
        <v>344</v>
      </c>
      <c r="D735" s="75" t="s">
        <v>63</v>
      </c>
      <c r="E735" s="76" t="s">
        <v>64</v>
      </c>
      <c r="F735" s="76" t="s">
        <v>65</v>
      </c>
      <c r="G735" s="76" t="s">
        <v>2889</v>
      </c>
      <c r="H735" s="76"/>
      <c r="I735" s="77" t="s">
        <v>66</v>
      </c>
      <c r="J735" s="75" t="s">
        <v>67</v>
      </c>
      <c r="K735" s="75" t="s">
        <v>2890</v>
      </c>
      <c r="L735" s="75" t="s">
        <v>68</v>
      </c>
      <c r="M735" s="75" t="s">
        <v>70</v>
      </c>
      <c r="N735" s="573">
        <v>124.21</v>
      </c>
      <c r="O735" s="556" t="str">
        <f t="shared" si="65"/>
        <v>DIF</v>
      </c>
      <c r="P735" s="573"/>
      <c r="Q735" s="556"/>
      <c r="R735" s="582"/>
    </row>
    <row r="736" ht="38.25" spans="1:18">
      <c r="A736" s="556" t="str">
        <f t="shared" si="66"/>
        <v>Composição</v>
      </c>
      <c r="B736" s="557" t="str">
        <f t="shared" si="67"/>
        <v>Composição</v>
      </c>
      <c r="C736" s="569" t="s">
        <v>2891</v>
      </c>
      <c r="D736" s="570" t="s">
        <v>345</v>
      </c>
      <c r="E736" s="569" t="s">
        <v>77</v>
      </c>
      <c r="F736" s="569" t="s">
        <v>346</v>
      </c>
      <c r="G736" s="569">
        <v>4</v>
      </c>
      <c r="H736" s="569"/>
      <c r="I736" s="577" t="s">
        <v>347</v>
      </c>
      <c r="J736" s="578">
        <v>1</v>
      </c>
      <c r="K736" s="579"/>
      <c r="L736" s="579">
        <v>0.2</v>
      </c>
      <c r="M736" s="579">
        <v>0.2</v>
      </c>
      <c r="N736" s="573">
        <v>10.2</v>
      </c>
      <c r="O736" s="556" t="str">
        <f t="shared" si="65"/>
        <v>DIF</v>
      </c>
      <c r="P736" s="573"/>
      <c r="Q736" s="556"/>
      <c r="R736" s="582"/>
    </row>
    <row r="737" ht="25.5" spans="1:18">
      <c r="A737" s="556"/>
      <c r="B737" s="557"/>
      <c r="C737" s="79" t="s">
        <v>2921</v>
      </c>
      <c r="D737" s="78" t="s">
        <v>3265</v>
      </c>
      <c r="E737" s="79" t="s">
        <v>77</v>
      </c>
      <c r="F737" s="79" t="s">
        <v>3266</v>
      </c>
      <c r="G737" s="79">
        <v>19</v>
      </c>
      <c r="H737" s="79"/>
      <c r="I737" s="80" t="s">
        <v>2897</v>
      </c>
      <c r="J737" s="583">
        <v>0.00121</v>
      </c>
      <c r="K737" s="583">
        <v>0</v>
      </c>
      <c r="L737" s="92">
        <v>170.13</v>
      </c>
      <c r="M737" s="92">
        <v>0.2</v>
      </c>
      <c r="N737" s="573"/>
      <c r="O737" s="556"/>
      <c r="P737" s="573"/>
      <c r="Q737" s="556"/>
      <c r="R737" s="582"/>
    </row>
    <row r="738" ht="25.5" spans="1:18">
      <c r="A738" s="556"/>
      <c r="B738" s="557"/>
      <c r="C738" s="108"/>
      <c r="D738" s="108"/>
      <c r="E738" s="108"/>
      <c r="F738" s="108"/>
      <c r="G738" s="108"/>
      <c r="H738" s="108" t="s">
        <v>2898</v>
      </c>
      <c r="I738" s="581">
        <v>0.03</v>
      </c>
      <c r="J738" s="108" t="s">
        <v>2899</v>
      </c>
      <c r="K738" s="581">
        <v>0</v>
      </c>
      <c r="L738" s="108" t="s">
        <v>2900</v>
      </c>
      <c r="M738" s="581">
        <v>0.03</v>
      </c>
      <c r="N738" s="573"/>
      <c r="O738" s="556"/>
      <c r="P738" s="573"/>
      <c r="Q738" s="556"/>
      <c r="R738" s="582"/>
    </row>
    <row r="739" ht="26.25" spans="1:18">
      <c r="A739" s="556"/>
      <c r="B739" s="557"/>
      <c r="C739" s="108"/>
      <c r="D739" s="108"/>
      <c r="E739" s="108"/>
      <c r="F739" s="108"/>
      <c r="G739" s="108"/>
      <c r="H739" s="108" t="s">
        <v>2901</v>
      </c>
      <c r="I739" s="581">
        <v>0.05</v>
      </c>
      <c r="J739" s="114"/>
      <c r="K739" s="114" t="s">
        <v>2902</v>
      </c>
      <c r="L739" s="108"/>
      <c r="M739" s="581">
        <v>0.25</v>
      </c>
      <c r="N739" s="573"/>
      <c r="O739" s="556"/>
      <c r="P739" s="573"/>
      <c r="Q739" s="556"/>
      <c r="R739" s="582"/>
    </row>
    <row r="740" ht="15" spans="1:18">
      <c r="A740" s="556"/>
      <c r="B740" s="557">
        <f>C739</f>
        <v>0</v>
      </c>
      <c r="C740" s="571"/>
      <c r="D740" s="571"/>
      <c r="E740" s="571"/>
      <c r="F740" s="571"/>
      <c r="G740" s="571"/>
      <c r="H740" s="571"/>
      <c r="I740" s="571"/>
      <c r="J740" s="571"/>
      <c r="K740" s="571"/>
      <c r="L740" s="571"/>
      <c r="M740" s="571"/>
      <c r="N740" s="573">
        <v>708.2</v>
      </c>
      <c r="O740" s="556" t="str">
        <f t="shared" ref="O740:O745" si="68">IF(N740=M740,"OK","DIF")</f>
        <v>DIF</v>
      </c>
      <c r="P740" s="573"/>
      <c r="Q740" s="556"/>
      <c r="R740" s="582"/>
    </row>
    <row r="741" ht="15" customHeight="1" spans="1:18">
      <c r="A741" s="556">
        <f>B741</f>
        <v>0</v>
      </c>
      <c r="B741" s="557">
        <f>B740</f>
        <v>0</v>
      </c>
      <c r="C741" s="76" t="s">
        <v>348</v>
      </c>
      <c r="D741" s="75" t="s">
        <v>63</v>
      </c>
      <c r="E741" s="76" t="s">
        <v>64</v>
      </c>
      <c r="F741" s="76" t="s">
        <v>65</v>
      </c>
      <c r="G741" s="76" t="s">
        <v>2889</v>
      </c>
      <c r="H741" s="76"/>
      <c r="I741" s="77" t="s">
        <v>66</v>
      </c>
      <c r="J741" s="75" t="s">
        <v>67</v>
      </c>
      <c r="K741" s="75" t="s">
        <v>2890</v>
      </c>
      <c r="L741" s="75" t="s">
        <v>68</v>
      </c>
      <c r="M741" s="75" t="s">
        <v>70</v>
      </c>
      <c r="N741" s="573">
        <v>0.23</v>
      </c>
      <c r="O741" s="556" t="str">
        <f t="shared" si="68"/>
        <v>DIF</v>
      </c>
      <c r="P741" s="573"/>
      <c r="Q741" s="556"/>
      <c r="R741" s="582"/>
    </row>
    <row r="742" ht="38.25" spans="1:18">
      <c r="A742" s="556">
        <f>B742</f>
        <v>0</v>
      </c>
      <c r="B742" s="557">
        <f>B741</f>
        <v>0</v>
      </c>
      <c r="C742" s="569" t="s">
        <v>2891</v>
      </c>
      <c r="D742" s="570" t="s">
        <v>349</v>
      </c>
      <c r="E742" s="569" t="s">
        <v>77</v>
      </c>
      <c r="F742" s="569" t="s">
        <v>3267</v>
      </c>
      <c r="G742" s="569">
        <v>5</v>
      </c>
      <c r="H742" s="569"/>
      <c r="I742" s="577" t="s">
        <v>141</v>
      </c>
      <c r="J742" s="578">
        <v>1</v>
      </c>
      <c r="K742" s="579"/>
      <c r="L742" s="579">
        <v>7.89</v>
      </c>
      <c r="M742" s="579">
        <v>7.89</v>
      </c>
      <c r="N742" s="573">
        <v>22.86</v>
      </c>
      <c r="O742" s="556" t="str">
        <f t="shared" si="68"/>
        <v>DIF</v>
      </c>
      <c r="P742" s="573"/>
      <c r="Q742" s="556"/>
      <c r="R742" s="582"/>
    </row>
    <row r="743" ht="23.85" customHeight="1" spans="1:18">
      <c r="A743" s="556">
        <f>B743</f>
        <v>0</v>
      </c>
      <c r="B743" s="557">
        <f>B742</f>
        <v>0</v>
      </c>
      <c r="C743" s="100" t="s">
        <v>2893</v>
      </c>
      <c r="D743" s="99" t="s">
        <v>3108</v>
      </c>
      <c r="E743" s="100" t="s">
        <v>77</v>
      </c>
      <c r="F743" s="100" t="s">
        <v>3109</v>
      </c>
      <c r="G743" s="100" t="s">
        <v>2896</v>
      </c>
      <c r="H743" s="100"/>
      <c r="I743" s="101" t="s">
        <v>2897</v>
      </c>
      <c r="J743" s="580">
        <v>0.4</v>
      </c>
      <c r="K743" s="580">
        <v>3</v>
      </c>
      <c r="L743" s="102">
        <v>19.16</v>
      </c>
      <c r="M743" s="102">
        <v>7.89</v>
      </c>
      <c r="N743" s="573">
        <v>0.07</v>
      </c>
      <c r="O743" s="556" t="str">
        <f t="shared" si="68"/>
        <v>DIF</v>
      </c>
      <c r="P743" s="573"/>
      <c r="Q743" s="556"/>
      <c r="R743" s="582"/>
    </row>
    <row r="744" ht="25.5" spans="1:18">
      <c r="A744" s="556">
        <f>B744</f>
        <v>0</v>
      </c>
      <c r="B744" s="557">
        <f>B743</f>
        <v>0</v>
      </c>
      <c r="C744" s="108"/>
      <c r="D744" s="108"/>
      <c r="E744" s="108"/>
      <c r="F744" s="108"/>
      <c r="G744" s="108"/>
      <c r="H744" s="108" t="s">
        <v>2898</v>
      </c>
      <c r="I744" s="581">
        <v>7.89</v>
      </c>
      <c r="J744" s="108" t="s">
        <v>2899</v>
      </c>
      <c r="K744" s="581">
        <v>0</v>
      </c>
      <c r="L744" s="108" t="s">
        <v>2900</v>
      </c>
      <c r="M744" s="581">
        <v>7.89</v>
      </c>
      <c r="N744" s="573">
        <v>19.59</v>
      </c>
      <c r="O744" s="556" t="str">
        <f t="shared" si="68"/>
        <v>DIF</v>
      </c>
      <c r="P744" s="573"/>
      <c r="Q744" s="556"/>
      <c r="R744" s="582"/>
    </row>
    <row r="745" ht="26.25" spans="1:18">
      <c r="A745" s="556">
        <f>B745</f>
        <v>0</v>
      </c>
      <c r="B745" s="557">
        <f>B744</f>
        <v>0</v>
      </c>
      <c r="C745" s="108"/>
      <c r="D745" s="108"/>
      <c r="E745" s="108"/>
      <c r="F745" s="108"/>
      <c r="G745" s="108"/>
      <c r="H745" s="108" t="s">
        <v>2901</v>
      </c>
      <c r="I745" s="581">
        <v>2.01</v>
      </c>
      <c r="J745" s="114"/>
      <c r="K745" s="114" t="s">
        <v>2902</v>
      </c>
      <c r="L745" s="108"/>
      <c r="M745" s="581">
        <v>9.9</v>
      </c>
      <c r="N745" s="573">
        <v>665.45</v>
      </c>
      <c r="O745" s="556" t="str">
        <f t="shared" si="68"/>
        <v>DIF</v>
      </c>
      <c r="P745" s="573"/>
      <c r="Q745" s="556"/>
      <c r="R745" s="582"/>
    </row>
    <row r="746" ht="15" spans="1:18">
      <c r="A746" s="556"/>
      <c r="B746" s="557"/>
      <c r="C746" s="571"/>
      <c r="D746" s="571"/>
      <c r="E746" s="571"/>
      <c r="F746" s="571"/>
      <c r="G746" s="571"/>
      <c r="H746" s="571"/>
      <c r="I746" s="571"/>
      <c r="J746" s="571"/>
      <c r="K746" s="571"/>
      <c r="L746" s="571"/>
      <c r="M746" s="571"/>
      <c r="N746" s="573"/>
      <c r="O746" s="556"/>
      <c r="P746" s="573"/>
      <c r="Q746" s="556"/>
      <c r="R746" s="582"/>
    </row>
    <row r="747" ht="15" customHeight="1" spans="1:18">
      <c r="A747" s="556"/>
      <c r="B747" s="557"/>
      <c r="C747" s="76" t="s">
        <v>351</v>
      </c>
      <c r="D747" s="75" t="s">
        <v>63</v>
      </c>
      <c r="E747" s="76" t="s">
        <v>64</v>
      </c>
      <c r="F747" s="76" t="s">
        <v>65</v>
      </c>
      <c r="G747" s="76" t="s">
        <v>2889</v>
      </c>
      <c r="H747" s="76"/>
      <c r="I747" s="77" t="s">
        <v>66</v>
      </c>
      <c r="J747" s="75" t="s">
        <v>67</v>
      </c>
      <c r="K747" s="75" t="s">
        <v>2890</v>
      </c>
      <c r="L747" s="75" t="s">
        <v>68</v>
      </c>
      <c r="M747" s="75" t="s">
        <v>70</v>
      </c>
      <c r="N747" s="573"/>
      <c r="O747" s="556"/>
      <c r="P747" s="573"/>
      <c r="Q747" s="556"/>
      <c r="R747" s="582"/>
    </row>
    <row r="748" ht="51" spans="1:18">
      <c r="A748" s="556"/>
      <c r="B748" s="557" t="str">
        <f>C747</f>
        <v> 3.5.5 </v>
      </c>
      <c r="C748" s="569" t="s">
        <v>2891</v>
      </c>
      <c r="D748" s="570" t="s">
        <v>352</v>
      </c>
      <c r="E748" s="569" t="s">
        <v>77</v>
      </c>
      <c r="F748" s="569" t="s">
        <v>353</v>
      </c>
      <c r="G748" s="569">
        <v>5</v>
      </c>
      <c r="H748" s="569"/>
      <c r="I748" s="577" t="s">
        <v>340</v>
      </c>
      <c r="J748" s="578">
        <v>1</v>
      </c>
      <c r="K748" s="579"/>
      <c r="L748" s="579">
        <v>101.88</v>
      </c>
      <c r="M748" s="579">
        <v>101.88</v>
      </c>
      <c r="N748" s="573">
        <v>673.91</v>
      </c>
      <c r="O748" s="556" t="str">
        <f t="shared" ref="O748:O753" si="69">IF(N748=M748,"OK","DIF")</f>
        <v>DIF</v>
      </c>
      <c r="P748" s="573"/>
      <c r="Q748" s="556"/>
      <c r="R748" s="582"/>
    </row>
    <row r="749" ht="23.85" customHeight="1" spans="1:18">
      <c r="A749" s="556" t="str">
        <f>B749</f>
        <v> 3.5.5 </v>
      </c>
      <c r="B749" s="557" t="str">
        <f>B748</f>
        <v> 3.5.5 </v>
      </c>
      <c r="C749" s="100" t="s">
        <v>2893</v>
      </c>
      <c r="D749" s="99" t="s">
        <v>3268</v>
      </c>
      <c r="E749" s="100" t="s">
        <v>77</v>
      </c>
      <c r="F749" s="100" t="s">
        <v>3269</v>
      </c>
      <c r="G749" s="100" t="s">
        <v>2961</v>
      </c>
      <c r="H749" s="100"/>
      <c r="I749" s="101" t="s">
        <v>3270</v>
      </c>
      <c r="J749" s="580">
        <v>3</v>
      </c>
      <c r="K749" s="580">
        <v>0</v>
      </c>
      <c r="L749" s="102">
        <v>33.96</v>
      </c>
      <c r="M749" s="102">
        <v>101.88</v>
      </c>
      <c r="N749" s="573">
        <v>11.14</v>
      </c>
      <c r="O749" s="556" t="str">
        <f t="shared" si="69"/>
        <v>DIF</v>
      </c>
      <c r="P749" s="573"/>
      <c r="Q749" s="556"/>
      <c r="R749" s="582"/>
    </row>
    <row r="750" ht="25.5" spans="1:18">
      <c r="A750" s="556" t="str">
        <f>B750</f>
        <v> 3.5.5 </v>
      </c>
      <c r="B750" s="557" t="str">
        <f>B749</f>
        <v> 3.5.5 </v>
      </c>
      <c r="C750" s="108"/>
      <c r="D750" s="108"/>
      <c r="E750" s="108"/>
      <c r="F750" s="108"/>
      <c r="G750" s="108"/>
      <c r="H750" s="108" t="s">
        <v>2898</v>
      </c>
      <c r="I750" s="581">
        <v>0</v>
      </c>
      <c r="J750" s="108" t="s">
        <v>2899</v>
      </c>
      <c r="K750" s="581">
        <v>0</v>
      </c>
      <c r="L750" s="108" t="s">
        <v>2900</v>
      </c>
      <c r="M750" s="581">
        <v>0</v>
      </c>
      <c r="N750" s="573">
        <v>0.03</v>
      </c>
      <c r="O750" s="556" t="str">
        <f t="shared" si="69"/>
        <v>DIF</v>
      </c>
      <c r="P750" s="573"/>
      <c r="Q750" s="556"/>
      <c r="R750" s="582"/>
    </row>
    <row r="751" ht="26.25" spans="1:18">
      <c r="A751" s="556" t="str">
        <f>B751</f>
        <v> 3.5.5 </v>
      </c>
      <c r="B751" s="557" t="str">
        <f>B750</f>
        <v> 3.5.5 </v>
      </c>
      <c r="C751" s="108"/>
      <c r="D751" s="108"/>
      <c r="E751" s="108"/>
      <c r="F751" s="108"/>
      <c r="G751" s="108"/>
      <c r="H751" s="108" t="s">
        <v>2901</v>
      </c>
      <c r="I751" s="581">
        <v>25.96</v>
      </c>
      <c r="J751" s="114"/>
      <c r="K751" s="114" t="s">
        <v>2902</v>
      </c>
      <c r="L751" s="108"/>
      <c r="M751" s="581">
        <v>127.84</v>
      </c>
      <c r="N751" s="573">
        <v>0.13</v>
      </c>
      <c r="O751" s="556" t="str">
        <f t="shared" si="69"/>
        <v>DIF</v>
      </c>
      <c r="P751" s="573"/>
      <c r="Q751" s="556"/>
      <c r="R751" s="582"/>
    </row>
    <row r="752" ht="15" spans="1:18">
      <c r="A752" s="556" t="str">
        <f>B752</f>
        <v> 3.5.5 </v>
      </c>
      <c r="B752" s="557" t="str">
        <f>B751</f>
        <v> 3.5.5 </v>
      </c>
      <c r="C752" s="571"/>
      <c r="D752" s="571"/>
      <c r="E752" s="571"/>
      <c r="F752" s="571"/>
      <c r="G752" s="571"/>
      <c r="H752" s="571"/>
      <c r="I752" s="571"/>
      <c r="J752" s="571"/>
      <c r="K752" s="571"/>
      <c r="L752" s="571"/>
      <c r="M752" s="571"/>
      <c r="N752" s="573">
        <v>13</v>
      </c>
      <c r="O752" s="556" t="str">
        <f t="shared" si="69"/>
        <v>DIF</v>
      </c>
      <c r="P752" s="573"/>
      <c r="Q752" s="556"/>
      <c r="R752" s="582"/>
    </row>
    <row r="753" ht="15" customHeight="1" spans="1:18">
      <c r="A753" s="556" t="str">
        <f>B753</f>
        <v> 3.5.5 </v>
      </c>
      <c r="B753" s="557" t="str">
        <f>B752</f>
        <v> 3.5.5 </v>
      </c>
      <c r="C753" s="76" t="s">
        <v>354</v>
      </c>
      <c r="D753" s="75" t="s">
        <v>63</v>
      </c>
      <c r="E753" s="76" t="s">
        <v>64</v>
      </c>
      <c r="F753" s="76" t="s">
        <v>65</v>
      </c>
      <c r="G753" s="76" t="s">
        <v>2889</v>
      </c>
      <c r="H753" s="76"/>
      <c r="I753" s="77" t="s">
        <v>66</v>
      </c>
      <c r="J753" s="75" t="s">
        <v>67</v>
      </c>
      <c r="K753" s="75" t="s">
        <v>2890</v>
      </c>
      <c r="L753" s="75" t="s">
        <v>68</v>
      </c>
      <c r="M753" s="75" t="s">
        <v>70</v>
      </c>
      <c r="N753" s="573">
        <v>649.61</v>
      </c>
      <c r="O753" s="556" t="str">
        <f t="shared" si="69"/>
        <v>DIF</v>
      </c>
      <c r="P753" s="573"/>
      <c r="Q753" s="556"/>
      <c r="R753" s="582"/>
    </row>
    <row r="754" ht="25.5" spans="1:18">
      <c r="A754" s="556"/>
      <c r="B754" s="557"/>
      <c r="C754" s="569" t="s">
        <v>2891</v>
      </c>
      <c r="D754" s="570" t="s">
        <v>355</v>
      </c>
      <c r="E754" s="569" t="s">
        <v>77</v>
      </c>
      <c r="F754" s="569" t="s">
        <v>3271</v>
      </c>
      <c r="G754" s="569">
        <v>5</v>
      </c>
      <c r="H754" s="569"/>
      <c r="I754" s="577" t="s">
        <v>141</v>
      </c>
      <c r="J754" s="578">
        <v>1</v>
      </c>
      <c r="K754" s="579"/>
      <c r="L754" s="579">
        <v>0.65</v>
      </c>
      <c r="M754" s="579">
        <v>0.65</v>
      </c>
      <c r="N754" s="573"/>
      <c r="O754" s="556"/>
      <c r="P754" s="573"/>
      <c r="Q754" s="556"/>
      <c r="R754" s="582"/>
    </row>
    <row r="755" ht="23.85" customHeight="1" spans="1:18">
      <c r="A755" s="556"/>
      <c r="B755" s="557"/>
      <c r="C755" s="100" t="s">
        <v>2893</v>
      </c>
      <c r="D755" s="99" t="s">
        <v>3108</v>
      </c>
      <c r="E755" s="100" t="s">
        <v>77</v>
      </c>
      <c r="F755" s="100" t="s">
        <v>3109</v>
      </c>
      <c r="G755" s="100" t="s">
        <v>2896</v>
      </c>
      <c r="H755" s="100"/>
      <c r="I755" s="101" t="s">
        <v>2897</v>
      </c>
      <c r="J755" s="580">
        <v>0.033</v>
      </c>
      <c r="K755" s="580">
        <v>3</v>
      </c>
      <c r="L755" s="102">
        <v>19.16</v>
      </c>
      <c r="M755" s="102">
        <v>0.65</v>
      </c>
      <c r="N755" s="573"/>
      <c r="O755" s="556"/>
      <c r="P755" s="573"/>
      <c r="Q755" s="556"/>
      <c r="R755" s="582"/>
    </row>
    <row r="756" ht="25.5" spans="1:18">
      <c r="A756" s="556"/>
      <c r="B756" s="557" t="str">
        <f>C755</f>
        <v>Insumo</v>
      </c>
      <c r="C756" s="108"/>
      <c r="D756" s="108"/>
      <c r="E756" s="108"/>
      <c r="F756" s="108"/>
      <c r="G756" s="108"/>
      <c r="H756" s="108" t="s">
        <v>2898</v>
      </c>
      <c r="I756" s="581">
        <v>0.65</v>
      </c>
      <c r="J756" s="108" t="s">
        <v>2899</v>
      </c>
      <c r="K756" s="581">
        <v>0</v>
      </c>
      <c r="L756" s="108" t="s">
        <v>2900</v>
      </c>
      <c r="M756" s="581">
        <v>0.65</v>
      </c>
      <c r="N756" s="573">
        <v>787.42</v>
      </c>
      <c r="O756" s="556" t="str">
        <f>IF(N756=M756,"OK","DIF")</f>
        <v>DIF</v>
      </c>
      <c r="P756" s="573"/>
      <c r="Q756" s="556"/>
      <c r="R756" s="582"/>
    </row>
    <row r="757" ht="26.25" spans="1:18">
      <c r="A757" s="556" t="str">
        <f>B757</f>
        <v>Insumo</v>
      </c>
      <c r="B757" s="557" t="str">
        <f>B756</f>
        <v>Insumo</v>
      </c>
      <c r="C757" s="108"/>
      <c r="D757" s="108"/>
      <c r="E757" s="108"/>
      <c r="F757" s="108"/>
      <c r="G757" s="108"/>
      <c r="H757" s="108" t="s">
        <v>2901</v>
      </c>
      <c r="I757" s="581">
        <v>0.16</v>
      </c>
      <c r="J757" s="114"/>
      <c r="K757" s="114" t="s">
        <v>2902</v>
      </c>
      <c r="L757" s="108"/>
      <c r="M757" s="581">
        <v>0.81</v>
      </c>
      <c r="N757" s="573">
        <v>63.65</v>
      </c>
      <c r="O757" s="556" t="str">
        <f>IF(N757=M757,"OK","DIF")</f>
        <v>DIF</v>
      </c>
      <c r="P757" s="573"/>
      <c r="Q757" s="556"/>
      <c r="R757" s="582"/>
    </row>
    <row r="758" ht="15" spans="1:18">
      <c r="A758" s="556" t="str">
        <f>B758</f>
        <v>Insumo</v>
      </c>
      <c r="B758" s="557" t="str">
        <f>B757</f>
        <v>Insumo</v>
      </c>
      <c r="C758" s="571"/>
      <c r="D758" s="571"/>
      <c r="E758" s="571"/>
      <c r="F758" s="571"/>
      <c r="G758" s="571"/>
      <c r="H758" s="571"/>
      <c r="I758" s="571"/>
      <c r="J758" s="571"/>
      <c r="K758" s="571"/>
      <c r="L758" s="571"/>
      <c r="M758" s="571"/>
      <c r="N758" s="573">
        <v>226.34</v>
      </c>
      <c r="O758" s="556" t="str">
        <f>IF(N758=M758,"OK","DIF")</f>
        <v>DIF</v>
      </c>
      <c r="P758" s="573"/>
      <c r="Q758" s="556"/>
      <c r="R758" s="582"/>
    </row>
    <row r="759" ht="15" customHeight="1" spans="1:18">
      <c r="A759" s="556" t="str">
        <f>B759</f>
        <v>Insumo</v>
      </c>
      <c r="B759" s="557" t="str">
        <f>B758</f>
        <v>Insumo</v>
      </c>
      <c r="C759" s="76" t="s">
        <v>359</v>
      </c>
      <c r="D759" s="75" t="s">
        <v>63</v>
      </c>
      <c r="E759" s="76" t="s">
        <v>64</v>
      </c>
      <c r="F759" s="76" t="s">
        <v>65</v>
      </c>
      <c r="G759" s="76" t="s">
        <v>2889</v>
      </c>
      <c r="H759" s="76"/>
      <c r="I759" s="77" t="s">
        <v>66</v>
      </c>
      <c r="J759" s="75" t="s">
        <v>67</v>
      </c>
      <c r="K759" s="75" t="s">
        <v>2890</v>
      </c>
      <c r="L759" s="75" t="s">
        <v>68</v>
      </c>
      <c r="M759" s="75" t="s">
        <v>70</v>
      </c>
      <c r="N759" s="573">
        <v>497.43</v>
      </c>
      <c r="O759" s="556" t="str">
        <f>IF(N759=M759,"OK","DIF")</f>
        <v>DIF</v>
      </c>
      <c r="P759" s="573"/>
      <c r="Q759" s="556"/>
      <c r="R759" s="582"/>
    </row>
    <row r="760" ht="38.25" spans="1:18">
      <c r="A760" s="556"/>
      <c r="B760" s="557"/>
      <c r="C760" s="569" t="s">
        <v>2891</v>
      </c>
      <c r="D760" s="570" t="s">
        <v>360</v>
      </c>
      <c r="E760" s="569" t="s">
        <v>132</v>
      </c>
      <c r="F760" s="569" t="s">
        <v>361</v>
      </c>
      <c r="G760" s="569">
        <v>18</v>
      </c>
      <c r="H760" s="569"/>
      <c r="I760" s="577" t="s">
        <v>134</v>
      </c>
      <c r="J760" s="578">
        <v>1</v>
      </c>
      <c r="K760" s="579"/>
      <c r="L760" s="579">
        <v>5236.07</v>
      </c>
      <c r="M760" s="579">
        <v>5236.07</v>
      </c>
      <c r="N760" s="573"/>
      <c r="O760" s="556"/>
      <c r="P760" s="573"/>
      <c r="Q760" s="556"/>
      <c r="R760" s="582"/>
    </row>
    <row r="761" ht="25.5" spans="1:18">
      <c r="A761" s="556"/>
      <c r="B761" s="557"/>
      <c r="C761" s="79" t="s">
        <v>2921</v>
      </c>
      <c r="D761" s="78" t="s">
        <v>3272</v>
      </c>
      <c r="E761" s="79" t="s">
        <v>77</v>
      </c>
      <c r="F761" s="79" t="s">
        <v>3273</v>
      </c>
      <c r="G761" s="79">
        <v>19</v>
      </c>
      <c r="H761" s="79"/>
      <c r="I761" s="80" t="s">
        <v>2897</v>
      </c>
      <c r="J761" s="583">
        <v>13.6</v>
      </c>
      <c r="K761" s="583">
        <v>0</v>
      </c>
      <c r="L761" s="92">
        <v>81.79</v>
      </c>
      <c r="M761" s="92">
        <v>1112.34</v>
      </c>
      <c r="N761" s="573"/>
      <c r="O761" s="556"/>
      <c r="P761" s="573"/>
      <c r="Q761" s="556"/>
      <c r="R761" s="582"/>
    </row>
    <row r="762" ht="15" customHeight="1" spans="1:18">
      <c r="A762" s="556"/>
      <c r="B762" s="557" t="str">
        <f>C761</f>
        <v>Composição Auxiliar</v>
      </c>
      <c r="C762" s="79" t="s">
        <v>2921</v>
      </c>
      <c r="D762" s="78" t="s">
        <v>3274</v>
      </c>
      <c r="E762" s="79" t="s">
        <v>149</v>
      </c>
      <c r="F762" s="79" t="s">
        <v>3275</v>
      </c>
      <c r="G762" s="79" t="s">
        <v>3276</v>
      </c>
      <c r="H762" s="79"/>
      <c r="I762" s="80" t="s">
        <v>134</v>
      </c>
      <c r="J762" s="583">
        <v>1</v>
      </c>
      <c r="K762" s="583">
        <v>0</v>
      </c>
      <c r="L762" s="92">
        <v>2839.28</v>
      </c>
      <c r="M762" s="92">
        <v>2839.28</v>
      </c>
      <c r="N762" s="573">
        <v>2.3</v>
      </c>
      <c r="O762" s="556" t="str">
        <f>IF(N762=M762,"OK","DIF")</f>
        <v>DIF</v>
      </c>
      <c r="P762" s="573"/>
      <c r="Q762" s="556"/>
      <c r="R762" s="582"/>
    </row>
    <row r="763" ht="25.5" spans="1:18">
      <c r="A763" s="556" t="str">
        <f>B763</f>
        <v>Composição Auxiliar</v>
      </c>
      <c r="B763" s="557" t="str">
        <f>B762</f>
        <v>Composição Auxiliar</v>
      </c>
      <c r="C763" s="79" t="s">
        <v>2921</v>
      </c>
      <c r="D763" s="78" t="s">
        <v>3277</v>
      </c>
      <c r="E763" s="79" t="s">
        <v>77</v>
      </c>
      <c r="F763" s="79" t="s">
        <v>3278</v>
      </c>
      <c r="G763" s="79">
        <v>19</v>
      </c>
      <c r="H763" s="79"/>
      <c r="I763" s="80" t="s">
        <v>2897</v>
      </c>
      <c r="J763" s="583">
        <v>3.4</v>
      </c>
      <c r="K763" s="583">
        <v>0</v>
      </c>
      <c r="L763" s="92">
        <v>66.2</v>
      </c>
      <c r="M763" s="92">
        <v>225.08</v>
      </c>
      <c r="N763" s="573">
        <v>0.46</v>
      </c>
      <c r="O763" s="556" t="str">
        <f>IF(N763=M763,"OK","DIF")</f>
        <v>DIF</v>
      </c>
      <c r="P763" s="573"/>
      <c r="Q763" s="556"/>
      <c r="R763" s="582"/>
    </row>
    <row r="764" ht="76.5" spans="1:18">
      <c r="A764" s="556" t="str">
        <f>B764</f>
        <v>Composição Auxiliar</v>
      </c>
      <c r="B764" s="557" t="str">
        <f>B763</f>
        <v>Composição Auxiliar</v>
      </c>
      <c r="C764" s="79" t="s">
        <v>2921</v>
      </c>
      <c r="D764" s="78" t="s">
        <v>3279</v>
      </c>
      <c r="E764" s="79" t="s">
        <v>77</v>
      </c>
      <c r="F764" s="79" t="s">
        <v>3280</v>
      </c>
      <c r="G764" s="79">
        <v>19</v>
      </c>
      <c r="H764" s="79"/>
      <c r="I764" s="80" t="s">
        <v>2897</v>
      </c>
      <c r="J764" s="583">
        <v>3.4</v>
      </c>
      <c r="K764" s="583">
        <v>0</v>
      </c>
      <c r="L764" s="92">
        <v>53.7</v>
      </c>
      <c r="M764" s="92">
        <v>182.58</v>
      </c>
      <c r="N764" s="573">
        <v>0.12</v>
      </c>
      <c r="O764" s="556" t="str">
        <f>IF(N764=M764,"OK","DIF")</f>
        <v>DIF</v>
      </c>
      <c r="P764" s="573"/>
      <c r="Q764" s="556"/>
      <c r="R764" s="582"/>
    </row>
    <row r="765" ht="76.5" spans="1:18">
      <c r="A765" s="556" t="str">
        <f>B765</f>
        <v>Composição Auxiliar</v>
      </c>
      <c r="B765" s="557" t="str">
        <f>B764</f>
        <v>Composição Auxiliar</v>
      </c>
      <c r="C765" s="79" t="s">
        <v>2921</v>
      </c>
      <c r="D765" s="78" t="s">
        <v>3281</v>
      </c>
      <c r="E765" s="79" t="s">
        <v>77</v>
      </c>
      <c r="F765" s="79" t="s">
        <v>3280</v>
      </c>
      <c r="G765" s="79">
        <v>19</v>
      </c>
      <c r="H765" s="79"/>
      <c r="I765" s="80" t="s">
        <v>2897</v>
      </c>
      <c r="J765" s="583">
        <v>13.6</v>
      </c>
      <c r="K765" s="583">
        <v>0</v>
      </c>
      <c r="L765" s="92">
        <v>64.47</v>
      </c>
      <c r="M765" s="92">
        <v>876.79</v>
      </c>
      <c r="N765" s="573">
        <v>1.72</v>
      </c>
      <c r="O765" s="556" t="str">
        <f>IF(N765=M765,"OK","DIF")</f>
        <v>DIF</v>
      </c>
      <c r="P765" s="573"/>
      <c r="Q765" s="556"/>
      <c r="R765" s="582"/>
    </row>
    <row r="766" ht="25.5" spans="1:18">
      <c r="A766" s="556"/>
      <c r="B766" s="557"/>
      <c r="C766" s="108"/>
      <c r="D766" s="108"/>
      <c r="E766" s="108"/>
      <c r="F766" s="108"/>
      <c r="G766" s="108"/>
      <c r="H766" s="108" t="s">
        <v>2898</v>
      </c>
      <c r="I766" s="581">
        <v>3941.54</v>
      </c>
      <c r="J766" s="108" t="s">
        <v>2899</v>
      </c>
      <c r="K766" s="581">
        <v>0</v>
      </c>
      <c r="L766" s="108" t="s">
        <v>2900</v>
      </c>
      <c r="M766" s="581">
        <v>3941.54</v>
      </c>
      <c r="N766" s="573"/>
      <c r="O766" s="556"/>
      <c r="P766" s="573"/>
      <c r="Q766" s="556"/>
      <c r="R766" s="582"/>
    </row>
    <row r="767" ht="26.25" spans="1:18">
      <c r="A767" s="556"/>
      <c r="B767" s="557"/>
      <c r="C767" s="108"/>
      <c r="D767" s="108"/>
      <c r="E767" s="108"/>
      <c r="F767" s="108"/>
      <c r="G767" s="108"/>
      <c r="H767" s="108" t="s">
        <v>2901</v>
      </c>
      <c r="I767" s="581">
        <v>1334.67</v>
      </c>
      <c r="J767" s="114"/>
      <c r="K767" s="114" t="s">
        <v>2902</v>
      </c>
      <c r="L767" s="108"/>
      <c r="M767" s="581">
        <v>6570.74</v>
      </c>
      <c r="N767" s="573"/>
      <c r="O767" s="556"/>
      <c r="P767" s="573"/>
      <c r="Q767" s="556"/>
      <c r="R767" s="582"/>
    </row>
    <row r="768" ht="15" spans="1:18">
      <c r="A768" s="556"/>
      <c r="B768" s="557">
        <f>C767</f>
        <v>0</v>
      </c>
      <c r="C768" s="571"/>
      <c r="D768" s="571"/>
      <c r="E768" s="571"/>
      <c r="F768" s="571"/>
      <c r="G768" s="571"/>
      <c r="H768" s="571"/>
      <c r="I768" s="571"/>
      <c r="J768" s="571"/>
      <c r="K768" s="571"/>
      <c r="L768" s="571"/>
      <c r="M768" s="571"/>
      <c r="N768" s="573">
        <v>17.78</v>
      </c>
      <c r="O768" s="556" t="str">
        <f t="shared" ref="O768:O773" si="70">IF(N768=M768,"OK","DIF")</f>
        <v>DIF</v>
      </c>
      <c r="P768" s="573"/>
      <c r="Q768" s="556"/>
      <c r="R768" s="582"/>
    </row>
    <row r="769" ht="15" customHeight="1" spans="1:18">
      <c r="A769" s="556">
        <f>B769</f>
        <v>0</v>
      </c>
      <c r="B769" s="557">
        <f>B768</f>
        <v>0</v>
      </c>
      <c r="C769" s="76" t="s">
        <v>366</v>
      </c>
      <c r="D769" s="75" t="s">
        <v>63</v>
      </c>
      <c r="E769" s="76" t="s">
        <v>64</v>
      </c>
      <c r="F769" s="76" t="s">
        <v>65</v>
      </c>
      <c r="G769" s="76" t="s">
        <v>2889</v>
      </c>
      <c r="H769" s="76"/>
      <c r="I769" s="77" t="s">
        <v>66</v>
      </c>
      <c r="J769" s="75" t="s">
        <v>67</v>
      </c>
      <c r="K769" s="75" t="s">
        <v>2890</v>
      </c>
      <c r="L769" s="75" t="s">
        <v>68</v>
      </c>
      <c r="M769" s="75" t="s">
        <v>70</v>
      </c>
      <c r="N769" s="573">
        <v>9.87</v>
      </c>
      <c r="O769" s="556" t="str">
        <f t="shared" si="70"/>
        <v>DIF</v>
      </c>
      <c r="P769" s="573"/>
      <c r="Q769" s="556"/>
      <c r="R769" s="582"/>
    </row>
    <row r="770" ht="23.85" customHeight="1" spans="1:18">
      <c r="A770" s="556">
        <f>B770</f>
        <v>0</v>
      </c>
      <c r="B770" s="557">
        <f>B769</f>
        <v>0</v>
      </c>
      <c r="C770" s="569" t="s">
        <v>2891</v>
      </c>
      <c r="D770" s="570" t="s">
        <v>367</v>
      </c>
      <c r="E770" s="569" t="s">
        <v>139</v>
      </c>
      <c r="F770" s="569" t="s">
        <v>368</v>
      </c>
      <c r="G770" s="569" t="s">
        <v>3282</v>
      </c>
      <c r="H770" s="569"/>
      <c r="I770" s="577" t="s">
        <v>141</v>
      </c>
      <c r="J770" s="578">
        <v>1</v>
      </c>
      <c r="K770" s="579"/>
      <c r="L770" s="579">
        <v>6.21</v>
      </c>
      <c r="M770" s="579">
        <v>6.21</v>
      </c>
      <c r="N770" s="573">
        <v>1.71</v>
      </c>
      <c r="O770" s="556" t="str">
        <f t="shared" si="70"/>
        <v>DIF</v>
      </c>
      <c r="P770" s="573"/>
      <c r="Q770" s="556"/>
      <c r="R770" s="582"/>
    </row>
    <row r="771" ht="23.85" customHeight="1" spans="1:18">
      <c r="A771" s="556">
        <f>B771</f>
        <v>0</v>
      </c>
      <c r="B771" s="557">
        <f>B770</f>
        <v>0</v>
      </c>
      <c r="C771" s="79" t="s">
        <v>2921</v>
      </c>
      <c r="D771" s="78" t="s">
        <v>2952</v>
      </c>
      <c r="E771" s="79" t="s">
        <v>139</v>
      </c>
      <c r="F771" s="79" t="s">
        <v>2953</v>
      </c>
      <c r="G771" s="79" t="s">
        <v>2928</v>
      </c>
      <c r="H771" s="79"/>
      <c r="I771" s="80" t="s">
        <v>2897</v>
      </c>
      <c r="J771" s="583">
        <v>0.2132</v>
      </c>
      <c r="K771" s="583">
        <v>0</v>
      </c>
      <c r="L771" s="92">
        <v>29.15</v>
      </c>
      <c r="M771" s="92">
        <v>6.21</v>
      </c>
      <c r="N771" s="573">
        <v>5.38</v>
      </c>
      <c r="O771" s="556" t="str">
        <f t="shared" si="70"/>
        <v>DIF</v>
      </c>
      <c r="P771" s="573"/>
      <c r="Q771" s="556"/>
      <c r="R771" s="582"/>
    </row>
    <row r="772" ht="25.5" spans="1:18">
      <c r="A772" s="556">
        <f>B772</f>
        <v>0</v>
      </c>
      <c r="B772" s="557">
        <f>B771</f>
        <v>0</v>
      </c>
      <c r="C772" s="108"/>
      <c r="D772" s="108"/>
      <c r="E772" s="108"/>
      <c r="F772" s="108"/>
      <c r="G772" s="108"/>
      <c r="H772" s="108" t="s">
        <v>2898</v>
      </c>
      <c r="I772" s="581">
        <v>4.09</v>
      </c>
      <c r="J772" s="108" t="s">
        <v>2899</v>
      </c>
      <c r="K772" s="581">
        <v>0</v>
      </c>
      <c r="L772" s="108" t="s">
        <v>2900</v>
      </c>
      <c r="M772" s="581">
        <v>4.09</v>
      </c>
      <c r="N772" s="573">
        <v>0.64</v>
      </c>
      <c r="O772" s="556" t="str">
        <f t="shared" si="70"/>
        <v>DIF</v>
      </c>
      <c r="P772" s="573"/>
      <c r="Q772" s="556"/>
      <c r="R772" s="582"/>
    </row>
    <row r="773" ht="26.25" spans="1:18">
      <c r="A773" s="556">
        <f>B773</f>
        <v>0</v>
      </c>
      <c r="B773" s="557">
        <f>B772</f>
        <v>0</v>
      </c>
      <c r="C773" s="108"/>
      <c r="D773" s="108"/>
      <c r="E773" s="108"/>
      <c r="F773" s="108"/>
      <c r="G773" s="108"/>
      <c r="H773" s="108" t="s">
        <v>2901</v>
      </c>
      <c r="I773" s="581">
        <v>1.58</v>
      </c>
      <c r="J773" s="114"/>
      <c r="K773" s="114" t="s">
        <v>2902</v>
      </c>
      <c r="L773" s="108"/>
      <c r="M773" s="581">
        <v>7.79</v>
      </c>
      <c r="N773" s="573">
        <v>0.18</v>
      </c>
      <c r="O773" s="556" t="str">
        <f t="shared" si="70"/>
        <v>DIF</v>
      </c>
      <c r="P773" s="573"/>
      <c r="Q773" s="556"/>
      <c r="R773" s="582"/>
    </row>
    <row r="774" ht="15" spans="1:18">
      <c r="A774" s="556"/>
      <c r="B774" s="557"/>
      <c r="C774" s="571"/>
      <c r="D774" s="571"/>
      <c r="E774" s="571"/>
      <c r="F774" s="571"/>
      <c r="G774" s="571"/>
      <c r="H774" s="571"/>
      <c r="I774" s="571"/>
      <c r="J774" s="571"/>
      <c r="K774" s="571"/>
      <c r="L774" s="571"/>
      <c r="M774" s="571"/>
      <c r="N774" s="573"/>
      <c r="O774" s="556"/>
      <c r="P774" s="573"/>
      <c r="Q774" s="556"/>
      <c r="R774" s="582"/>
    </row>
    <row r="775" ht="15" customHeight="1" spans="1:18">
      <c r="A775" s="556"/>
      <c r="B775" s="557"/>
      <c r="C775" s="76" t="s">
        <v>369</v>
      </c>
      <c r="D775" s="75" t="s">
        <v>63</v>
      </c>
      <c r="E775" s="76" t="s">
        <v>64</v>
      </c>
      <c r="F775" s="76" t="s">
        <v>65</v>
      </c>
      <c r="G775" s="76" t="s">
        <v>2889</v>
      </c>
      <c r="H775" s="76"/>
      <c r="I775" s="77" t="s">
        <v>66</v>
      </c>
      <c r="J775" s="75" t="s">
        <v>67</v>
      </c>
      <c r="K775" s="75" t="s">
        <v>2890</v>
      </c>
      <c r="L775" s="75" t="s">
        <v>68</v>
      </c>
      <c r="M775" s="75" t="s">
        <v>70</v>
      </c>
      <c r="N775" s="573"/>
      <c r="O775" s="556"/>
      <c r="P775" s="573"/>
      <c r="Q775" s="556"/>
      <c r="R775" s="582"/>
    </row>
    <row r="776" ht="15" customHeight="1" spans="1:18">
      <c r="A776" s="556"/>
      <c r="B776" s="557" t="str">
        <f>C775</f>
        <v> 3.7.1.2 </v>
      </c>
      <c r="C776" s="569" t="s">
        <v>2891</v>
      </c>
      <c r="D776" s="570" t="s">
        <v>370</v>
      </c>
      <c r="E776" s="569" t="s">
        <v>149</v>
      </c>
      <c r="F776" s="569" t="s">
        <v>371</v>
      </c>
      <c r="G776" s="569" t="s">
        <v>3276</v>
      </c>
      <c r="H776" s="569"/>
      <c r="I776" s="577" t="s">
        <v>279</v>
      </c>
      <c r="J776" s="578">
        <v>1</v>
      </c>
      <c r="K776" s="579"/>
      <c r="L776" s="579">
        <v>787.69</v>
      </c>
      <c r="M776" s="579">
        <v>787.69</v>
      </c>
      <c r="N776" s="573">
        <v>14.68</v>
      </c>
      <c r="O776" s="556" t="str">
        <f t="shared" ref="O776:O781" si="71">IF(N776=M776,"OK","DIF")</f>
        <v>DIF</v>
      </c>
      <c r="P776" s="573"/>
      <c r="Q776" s="556"/>
      <c r="R776" s="582"/>
    </row>
    <row r="777" ht="15" customHeight="1" spans="1:18">
      <c r="A777" s="556" t="str">
        <f>B777</f>
        <v> 3.7.1.2 </v>
      </c>
      <c r="B777" s="557" t="str">
        <f>B776</f>
        <v> 3.7.1.2 </v>
      </c>
      <c r="C777" s="100" t="s">
        <v>2893</v>
      </c>
      <c r="D777" s="99" t="s">
        <v>2974</v>
      </c>
      <c r="E777" s="100" t="s">
        <v>149</v>
      </c>
      <c r="F777" s="100" t="s">
        <v>2975</v>
      </c>
      <c r="G777" s="100" t="s">
        <v>2896</v>
      </c>
      <c r="H777" s="100"/>
      <c r="I777" s="101" t="s">
        <v>2897</v>
      </c>
      <c r="J777" s="580">
        <v>4.433</v>
      </c>
      <c r="K777" s="580">
        <v>0</v>
      </c>
      <c r="L777" s="102">
        <v>19.471856</v>
      </c>
      <c r="M777" s="102">
        <v>86.31</v>
      </c>
      <c r="N777" s="573">
        <v>3.3</v>
      </c>
      <c r="O777" s="556" t="str">
        <f t="shared" si="71"/>
        <v>DIF</v>
      </c>
      <c r="P777" s="573"/>
      <c r="Q777" s="556"/>
      <c r="R777" s="582"/>
    </row>
    <row r="778" ht="15" customHeight="1" spans="1:18">
      <c r="A778" s="556" t="str">
        <f>B778</f>
        <v> 3.7.1.2 </v>
      </c>
      <c r="B778" s="557" t="str">
        <f>B777</f>
        <v> 3.7.1.2 </v>
      </c>
      <c r="C778" s="100" t="s">
        <v>2893</v>
      </c>
      <c r="D778" s="99" t="s">
        <v>3283</v>
      </c>
      <c r="E778" s="100" t="s">
        <v>149</v>
      </c>
      <c r="F778" s="100" t="s">
        <v>3284</v>
      </c>
      <c r="G778" s="100" t="s">
        <v>2896</v>
      </c>
      <c r="H778" s="100"/>
      <c r="I778" s="101" t="s">
        <v>2897</v>
      </c>
      <c r="J778" s="580">
        <v>0.825</v>
      </c>
      <c r="K778" s="580">
        <v>0</v>
      </c>
      <c r="L778" s="102">
        <v>28.994744</v>
      </c>
      <c r="M778" s="102">
        <v>23.92</v>
      </c>
      <c r="N778" s="573">
        <v>1.04</v>
      </c>
      <c r="O778" s="556" t="str">
        <f t="shared" si="71"/>
        <v>DIF</v>
      </c>
      <c r="P778" s="573"/>
      <c r="Q778" s="556"/>
      <c r="R778" s="582"/>
    </row>
    <row r="779" ht="23.85" customHeight="1" spans="1:18">
      <c r="A779" s="556" t="str">
        <f>B779</f>
        <v> 3.7.1.2 </v>
      </c>
      <c r="B779" s="557" t="str">
        <f>B778</f>
        <v> 3.7.1.2 </v>
      </c>
      <c r="C779" s="100" t="s">
        <v>2893</v>
      </c>
      <c r="D779" s="99" t="s">
        <v>3285</v>
      </c>
      <c r="E779" s="100" t="s">
        <v>149</v>
      </c>
      <c r="F779" s="100" t="s">
        <v>3286</v>
      </c>
      <c r="G779" s="100" t="s">
        <v>2961</v>
      </c>
      <c r="H779" s="100"/>
      <c r="I779" s="101" t="s">
        <v>2897</v>
      </c>
      <c r="J779" s="580">
        <v>1.65</v>
      </c>
      <c r="K779" s="580">
        <v>0</v>
      </c>
      <c r="L779" s="102">
        <v>177</v>
      </c>
      <c r="M779" s="102">
        <v>292.05</v>
      </c>
      <c r="N779" s="573">
        <v>9.59</v>
      </c>
      <c r="O779" s="556" t="str">
        <f t="shared" si="71"/>
        <v>DIF</v>
      </c>
      <c r="P779" s="573"/>
      <c r="Q779" s="556"/>
      <c r="R779" s="582"/>
    </row>
    <row r="780" ht="15" customHeight="1" spans="1:18">
      <c r="A780" s="556" t="str">
        <f>B780</f>
        <v> 3.7.1.2 </v>
      </c>
      <c r="B780" s="557" t="str">
        <f>B779</f>
        <v> 3.7.1.2 </v>
      </c>
      <c r="C780" s="100" t="s">
        <v>2893</v>
      </c>
      <c r="D780" s="99" t="s">
        <v>3287</v>
      </c>
      <c r="E780" s="100" t="s">
        <v>149</v>
      </c>
      <c r="F780" s="100" t="s">
        <v>3288</v>
      </c>
      <c r="G780" s="100" t="s">
        <v>2961</v>
      </c>
      <c r="H780" s="100"/>
      <c r="I780" s="101" t="s">
        <v>2897</v>
      </c>
      <c r="J780" s="580">
        <v>4.25</v>
      </c>
      <c r="K780" s="580">
        <v>0</v>
      </c>
      <c r="L780" s="102">
        <v>45</v>
      </c>
      <c r="M780" s="102">
        <v>191.25</v>
      </c>
      <c r="N780" s="573">
        <v>0.11</v>
      </c>
      <c r="O780" s="556" t="str">
        <f t="shared" si="71"/>
        <v>DIF</v>
      </c>
      <c r="P780" s="573"/>
      <c r="Q780" s="556"/>
      <c r="R780" s="582"/>
    </row>
    <row r="781" ht="15" customHeight="1" spans="1:18">
      <c r="A781" s="556" t="str">
        <f>B781</f>
        <v> 3.7.1.2 </v>
      </c>
      <c r="B781" s="557" t="str">
        <f>B780</f>
        <v> 3.7.1.2 </v>
      </c>
      <c r="C781" s="100" t="s">
        <v>2893</v>
      </c>
      <c r="D781" s="99" t="s">
        <v>3289</v>
      </c>
      <c r="E781" s="100" t="s">
        <v>149</v>
      </c>
      <c r="F781" s="100" t="s">
        <v>3290</v>
      </c>
      <c r="G781" s="100" t="s">
        <v>2961</v>
      </c>
      <c r="H781" s="100"/>
      <c r="I781" s="101" t="s">
        <v>2897</v>
      </c>
      <c r="J781" s="580">
        <v>0.05</v>
      </c>
      <c r="K781" s="580">
        <v>0</v>
      </c>
      <c r="L781" s="102">
        <v>132</v>
      </c>
      <c r="M781" s="102">
        <v>6.6</v>
      </c>
      <c r="N781" s="573">
        <v>0.64</v>
      </c>
      <c r="O781" s="556" t="str">
        <f t="shared" si="71"/>
        <v>DIF</v>
      </c>
      <c r="P781" s="573"/>
      <c r="Q781" s="556"/>
      <c r="R781" s="582"/>
    </row>
    <row r="782" ht="15" customHeight="1" spans="1:18">
      <c r="A782" s="556"/>
      <c r="B782" s="557"/>
      <c r="C782" s="100" t="s">
        <v>2893</v>
      </c>
      <c r="D782" s="99" t="s">
        <v>3291</v>
      </c>
      <c r="E782" s="100" t="s">
        <v>149</v>
      </c>
      <c r="F782" s="100" t="s">
        <v>3292</v>
      </c>
      <c r="G782" s="100" t="s">
        <v>2961</v>
      </c>
      <c r="H782" s="100"/>
      <c r="I782" s="101" t="s">
        <v>2897</v>
      </c>
      <c r="J782" s="580">
        <v>0.011</v>
      </c>
      <c r="K782" s="580">
        <v>0</v>
      </c>
      <c r="L782" s="102">
        <v>185</v>
      </c>
      <c r="M782" s="102">
        <v>2.03</v>
      </c>
      <c r="N782" s="573"/>
      <c r="O782" s="556"/>
      <c r="P782" s="573"/>
      <c r="Q782" s="556"/>
      <c r="R782" s="582"/>
    </row>
    <row r="783" ht="15" customHeight="1" spans="1:18">
      <c r="A783" s="556"/>
      <c r="B783" s="557"/>
      <c r="C783" s="100" t="s">
        <v>2893</v>
      </c>
      <c r="D783" s="99" t="s">
        <v>3293</v>
      </c>
      <c r="E783" s="100" t="s">
        <v>149</v>
      </c>
      <c r="F783" s="100" t="s">
        <v>3294</v>
      </c>
      <c r="G783" s="100" t="s">
        <v>2896</v>
      </c>
      <c r="H783" s="100"/>
      <c r="I783" s="101" t="s">
        <v>2897</v>
      </c>
      <c r="J783" s="580">
        <v>1.701</v>
      </c>
      <c r="K783" s="580">
        <v>0</v>
      </c>
      <c r="L783" s="102">
        <v>28.994744</v>
      </c>
      <c r="M783" s="102">
        <v>49.32</v>
      </c>
      <c r="N783" s="573"/>
      <c r="O783" s="556"/>
      <c r="P783" s="573"/>
      <c r="Q783" s="556"/>
      <c r="R783" s="582"/>
    </row>
    <row r="784" ht="15" customHeight="1" spans="1:18">
      <c r="A784" s="556"/>
      <c r="B784" s="557" t="str">
        <f>C783</f>
        <v>Insumo</v>
      </c>
      <c r="C784" s="100" t="s">
        <v>2893</v>
      </c>
      <c r="D784" s="99" t="s">
        <v>3295</v>
      </c>
      <c r="E784" s="100" t="s">
        <v>149</v>
      </c>
      <c r="F784" s="100" t="s">
        <v>3296</v>
      </c>
      <c r="G784" s="100" t="s">
        <v>2896</v>
      </c>
      <c r="H784" s="100"/>
      <c r="I784" s="101" t="s">
        <v>2897</v>
      </c>
      <c r="J784" s="580">
        <v>0.011</v>
      </c>
      <c r="K784" s="580">
        <v>0</v>
      </c>
      <c r="L784" s="102">
        <v>30.25168</v>
      </c>
      <c r="M784" s="102">
        <v>0.33</v>
      </c>
      <c r="N784" s="573">
        <v>12.97</v>
      </c>
      <c r="O784" s="556" t="str">
        <f t="shared" ref="O784:O789" si="72">IF(N784=M784,"OK","DIF")</f>
        <v>DIF</v>
      </c>
      <c r="P784" s="573"/>
      <c r="Q784" s="556"/>
      <c r="R784" s="582"/>
    </row>
    <row r="785" ht="15" customHeight="1" spans="1:18">
      <c r="A785" s="556" t="str">
        <f>B785</f>
        <v>Insumo</v>
      </c>
      <c r="B785" s="557" t="str">
        <f>B784</f>
        <v>Insumo</v>
      </c>
      <c r="C785" s="100" t="s">
        <v>2893</v>
      </c>
      <c r="D785" s="99" t="s">
        <v>3297</v>
      </c>
      <c r="E785" s="100" t="s">
        <v>149</v>
      </c>
      <c r="F785" s="100" t="s">
        <v>3298</v>
      </c>
      <c r="G785" s="100" t="s">
        <v>2896</v>
      </c>
      <c r="H785" s="100"/>
      <c r="I785" s="101" t="s">
        <v>2897</v>
      </c>
      <c r="J785" s="580">
        <v>4.382</v>
      </c>
      <c r="K785" s="580">
        <v>0</v>
      </c>
      <c r="L785" s="102">
        <v>30.25168</v>
      </c>
      <c r="M785" s="102">
        <v>132.56</v>
      </c>
      <c r="N785" s="573">
        <v>2.62</v>
      </c>
      <c r="O785" s="556" t="str">
        <f t="shared" si="72"/>
        <v>DIF</v>
      </c>
      <c r="P785" s="573"/>
      <c r="Q785" s="556"/>
      <c r="R785" s="582"/>
    </row>
    <row r="786" ht="15" customHeight="1" spans="1:18">
      <c r="A786" s="556" t="str">
        <f>B786</f>
        <v>Insumo</v>
      </c>
      <c r="B786" s="557" t="str">
        <f>B785</f>
        <v>Insumo</v>
      </c>
      <c r="C786" s="100" t="s">
        <v>2893</v>
      </c>
      <c r="D786" s="99" t="s">
        <v>3299</v>
      </c>
      <c r="E786" s="100" t="s">
        <v>149</v>
      </c>
      <c r="F786" s="100" t="s">
        <v>3300</v>
      </c>
      <c r="G786" s="100" t="s">
        <v>2896</v>
      </c>
      <c r="H786" s="100"/>
      <c r="I786" s="101" t="s">
        <v>2897</v>
      </c>
      <c r="J786" s="580">
        <v>0.052</v>
      </c>
      <c r="K786" s="580">
        <v>0</v>
      </c>
      <c r="L786" s="102">
        <v>26.118704</v>
      </c>
      <c r="M786" s="102">
        <v>1.35</v>
      </c>
      <c r="N786" s="573">
        <v>8.8</v>
      </c>
      <c r="O786" s="556" t="str">
        <f t="shared" si="72"/>
        <v>DIF</v>
      </c>
      <c r="P786" s="573"/>
      <c r="Q786" s="556"/>
      <c r="R786" s="582"/>
    </row>
    <row r="787" ht="15" customHeight="1" spans="1:18">
      <c r="A787" s="556" t="str">
        <f>B787</f>
        <v>Insumo</v>
      </c>
      <c r="B787" s="557" t="str">
        <f>B786</f>
        <v>Insumo</v>
      </c>
      <c r="C787" s="100" t="s">
        <v>2893</v>
      </c>
      <c r="D787" s="99" t="s">
        <v>3301</v>
      </c>
      <c r="E787" s="100" t="s">
        <v>149</v>
      </c>
      <c r="F787" s="100" t="s">
        <v>3302</v>
      </c>
      <c r="G787" s="100" t="s">
        <v>2896</v>
      </c>
      <c r="H787" s="100"/>
      <c r="I787" s="101" t="s">
        <v>2897</v>
      </c>
      <c r="J787" s="580">
        <v>0.062</v>
      </c>
      <c r="K787" s="580">
        <v>0</v>
      </c>
      <c r="L787" s="102">
        <v>31.870784</v>
      </c>
      <c r="M787" s="102">
        <v>1.97</v>
      </c>
      <c r="N787" s="573">
        <v>0.83</v>
      </c>
      <c r="O787" s="556" t="str">
        <f t="shared" si="72"/>
        <v>DIF</v>
      </c>
      <c r="P787" s="573"/>
      <c r="Q787" s="556"/>
      <c r="R787" s="582"/>
    </row>
    <row r="788" ht="25.5" spans="1:18">
      <c r="A788" s="556" t="str">
        <f>B788</f>
        <v>Insumo</v>
      </c>
      <c r="B788" s="557" t="str">
        <f>B787</f>
        <v>Insumo</v>
      </c>
      <c r="C788" s="108"/>
      <c r="D788" s="108"/>
      <c r="E788" s="108"/>
      <c r="F788" s="108"/>
      <c r="G788" s="108"/>
      <c r="H788" s="108" t="s">
        <v>2898</v>
      </c>
      <c r="I788" s="581">
        <v>295.76</v>
      </c>
      <c r="J788" s="108" t="s">
        <v>2899</v>
      </c>
      <c r="K788" s="581">
        <v>0</v>
      </c>
      <c r="L788" s="108" t="s">
        <v>2900</v>
      </c>
      <c r="M788" s="581">
        <v>295.76</v>
      </c>
      <c r="N788" s="573">
        <v>0.08</v>
      </c>
      <c r="O788" s="556" t="str">
        <f t="shared" si="72"/>
        <v>DIF</v>
      </c>
      <c r="P788" s="573"/>
      <c r="Q788" s="556"/>
      <c r="R788" s="582"/>
    </row>
    <row r="789" ht="26.25" spans="1:18">
      <c r="A789" s="556" t="str">
        <f>B789</f>
        <v>Insumo</v>
      </c>
      <c r="B789" s="557" t="str">
        <f>B788</f>
        <v>Insumo</v>
      </c>
      <c r="C789" s="108"/>
      <c r="D789" s="108"/>
      <c r="E789" s="108"/>
      <c r="F789" s="108"/>
      <c r="G789" s="108"/>
      <c r="H789" s="108" t="s">
        <v>2901</v>
      </c>
      <c r="I789" s="581">
        <v>200.78</v>
      </c>
      <c r="J789" s="114"/>
      <c r="K789" s="114" t="s">
        <v>2902</v>
      </c>
      <c r="L789" s="108"/>
      <c r="M789" s="581">
        <v>988.47</v>
      </c>
      <c r="N789" s="573">
        <v>0.64</v>
      </c>
      <c r="O789" s="556" t="str">
        <f t="shared" si="72"/>
        <v>DIF</v>
      </c>
      <c r="P789" s="573"/>
      <c r="Q789" s="556"/>
      <c r="R789" s="582"/>
    </row>
    <row r="790" ht="15" spans="1:18">
      <c r="A790" s="556"/>
      <c r="B790" s="557"/>
      <c r="C790" s="571"/>
      <c r="D790" s="571"/>
      <c r="E790" s="571"/>
      <c r="F790" s="571"/>
      <c r="G790" s="571"/>
      <c r="H790" s="571"/>
      <c r="I790" s="571"/>
      <c r="J790" s="571"/>
      <c r="K790" s="571"/>
      <c r="L790" s="571"/>
      <c r="M790" s="571"/>
      <c r="N790" s="573"/>
      <c r="O790" s="556"/>
      <c r="P790" s="573"/>
      <c r="Q790" s="556"/>
      <c r="R790" s="582"/>
    </row>
    <row r="791" ht="15" customHeight="1" spans="1:18">
      <c r="A791" s="556"/>
      <c r="B791" s="557"/>
      <c r="C791" s="76" t="s">
        <v>374</v>
      </c>
      <c r="D791" s="75" t="s">
        <v>63</v>
      </c>
      <c r="E791" s="76" t="s">
        <v>64</v>
      </c>
      <c r="F791" s="76" t="s">
        <v>65</v>
      </c>
      <c r="G791" s="76" t="s">
        <v>2889</v>
      </c>
      <c r="H791" s="76"/>
      <c r="I791" s="77" t="s">
        <v>66</v>
      </c>
      <c r="J791" s="75" t="s">
        <v>67</v>
      </c>
      <c r="K791" s="75" t="s">
        <v>2890</v>
      </c>
      <c r="L791" s="75" t="s">
        <v>68</v>
      </c>
      <c r="M791" s="75" t="s">
        <v>70</v>
      </c>
      <c r="N791" s="573"/>
      <c r="O791" s="556"/>
      <c r="P791" s="573"/>
      <c r="Q791" s="556"/>
      <c r="R791" s="582"/>
    </row>
    <row r="792" ht="15" customHeight="1" spans="1:18">
      <c r="A792" s="556"/>
      <c r="B792" s="557" t="str">
        <f>C791</f>
        <v> 4.1.1 </v>
      </c>
      <c r="C792" s="569" t="s">
        <v>2891</v>
      </c>
      <c r="D792" s="570" t="s">
        <v>375</v>
      </c>
      <c r="E792" s="569" t="s">
        <v>139</v>
      </c>
      <c r="F792" s="569" t="s">
        <v>3214</v>
      </c>
      <c r="G792" s="569" t="s">
        <v>3215</v>
      </c>
      <c r="H792" s="569"/>
      <c r="I792" s="577" t="s">
        <v>279</v>
      </c>
      <c r="J792" s="578">
        <v>1</v>
      </c>
      <c r="K792" s="579"/>
      <c r="L792" s="579">
        <v>115.31</v>
      </c>
      <c r="M792" s="579">
        <v>115.31</v>
      </c>
      <c r="N792" s="573">
        <v>10.95</v>
      </c>
      <c r="O792" s="556" t="str">
        <f t="shared" ref="O792:O797" si="73">IF(N792=M792,"OK","DIF")</f>
        <v>DIF</v>
      </c>
      <c r="P792" s="573"/>
      <c r="Q792" s="556"/>
      <c r="R792" s="582"/>
    </row>
    <row r="793" ht="23.85" customHeight="1" spans="1:18">
      <c r="A793" s="556" t="str">
        <f>B793</f>
        <v> 4.1.1 </v>
      </c>
      <c r="B793" s="557" t="str">
        <f>B792</f>
        <v> 4.1.1 </v>
      </c>
      <c r="C793" s="79" t="s">
        <v>2921</v>
      </c>
      <c r="D793" s="78" t="s">
        <v>2952</v>
      </c>
      <c r="E793" s="79" t="s">
        <v>139</v>
      </c>
      <c r="F793" s="79" t="s">
        <v>2953</v>
      </c>
      <c r="G793" s="79" t="s">
        <v>2928</v>
      </c>
      <c r="H793" s="79"/>
      <c r="I793" s="80" t="s">
        <v>2897</v>
      </c>
      <c r="J793" s="583">
        <v>3.9557667</v>
      </c>
      <c r="K793" s="583">
        <v>0</v>
      </c>
      <c r="L793" s="92">
        <v>29.15</v>
      </c>
      <c r="M793" s="92">
        <v>115.31</v>
      </c>
      <c r="N793" s="573">
        <v>7.52</v>
      </c>
      <c r="O793" s="556" t="str">
        <f t="shared" si="73"/>
        <v>DIF</v>
      </c>
      <c r="P793" s="573"/>
      <c r="Q793" s="556"/>
      <c r="R793" s="582"/>
    </row>
    <row r="794" ht="25.5" spans="1:18">
      <c r="A794" s="556" t="str">
        <f>B794</f>
        <v> 4.1.1 </v>
      </c>
      <c r="B794" s="557" t="str">
        <f>B793</f>
        <v> 4.1.1 </v>
      </c>
      <c r="C794" s="108"/>
      <c r="D794" s="108"/>
      <c r="E794" s="108"/>
      <c r="F794" s="108"/>
      <c r="G794" s="108"/>
      <c r="H794" s="108" t="s">
        <v>2898</v>
      </c>
      <c r="I794" s="581">
        <v>76.02</v>
      </c>
      <c r="J794" s="108" t="s">
        <v>2899</v>
      </c>
      <c r="K794" s="581">
        <v>0</v>
      </c>
      <c r="L794" s="108" t="s">
        <v>2900</v>
      </c>
      <c r="M794" s="581">
        <v>76.02</v>
      </c>
      <c r="N794" s="573">
        <v>0.66</v>
      </c>
      <c r="O794" s="556" t="str">
        <f t="shared" si="73"/>
        <v>DIF</v>
      </c>
      <c r="P794" s="573"/>
      <c r="Q794" s="556"/>
      <c r="R794" s="582"/>
    </row>
    <row r="795" ht="26.25" spans="1:18">
      <c r="A795" s="556" t="str">
        <f>B795</f>
        <v> 4.1.1 </v>
      </c>
      <c r="B795" s="557" t="str">
        <f>B794</f>
        <v> 4.1.1 </v>
      </c>
      <c r="C795" s="108"/>
      <c r="D795" s="108"/>
      <c r="E795" s="108"/>
      <c r="F795" s="108"/>
      <c r="G795" s="108"/>
      <c r="H795" s="108" t="s">
        <v>2901</v>
      </c>
      <c r="I795" s="581">
        <v>29.39</v>
      </c>
      <c r="J795" s="114"/>
      <c r="K795" s="114" t="s">
        <v>2902</v>
      </c>
      <c r="L795" s="108"/>
      <c r="M795" s="581">
        <v>144.7</v>
      </c>
      <c r="N795" s="573">
        <v>2.07</v>
      </c>
      <c r="O795" s="556" t="str">
        <f t="shared" si="73"/>
        <v>DIF</v>
      </c>
      <c r="P795" s="573"/>
      <c r="Q795" s="556"/>
      <c r="R795" s="582"/>
    </row>
    <row r="796" ht="15" spans="1:18">
      <c r="A796" s="556" t="str">
        <f>B796</f>
        <v> 4.1.1 </v>
      </c>
      <c r="B796" s="557" t="str">
        <f>B795</f>
        <v> 4.1.1 </v>
      </c>
      <c r="C796" s="571"/>
      <c r="D796" s="571"/>
      <c r="E796" s="571"/>
      <c r="F796" s="571"/>
      <c r="G796" s="571"/>
      <c r="H796" s="571"/>
      <c r="I796" s="571"/>
      <c r="J796" s="571"/>
      <c r="K796" s="571"/>
      <c r="L796" s="571"/>
      <c r="M796" s="571"/>
      <c r="N796" s="573">
        <v>0.06</v>
      </c>
      <c r="O796" s="556" t="str">
        <f t="shared" si="73"/>
        <v>DIF</v>
      </c>
      <c r="P796" s="573"/>
      <c r="Q796" s="556"/>
      <c r="R796" s="582"/>
    </row>
    <row r="797" ht="15" customHeight="1" spans="1:18">
      <c r="A797" s="556" t="str">
        <f>B797</f>
        <v> 4.1.1 </v>
      </c>
      <c r="B797" s="557" t="str">
        <f>B796</f>
        <v> 4.1.1 </v>
      </c>
      <c r="C797" s="76" t="s">
        <v>377</v>
      </c>
      <c r="D797" s="75" t="s">
        <v>63</v>
      </c>
      <c r="E797" s="76" t="s">
        <v>64</v>
      </c>
      <c r="F797" s="76" t="s">
        <v>65</v>
      </c>
      <c r="G797" s="76" t="s">
        <v>2889</v>
      </c>
      <c r="H797" s="76"/>
      <c r="I797" s="77" t="s">
        <v>66</v>
      </c>
      <c r="J797" s="75" t="s">
        <v>67</v>
      </c>
      <c r="K797" s="75" t="s">
        <v>2890</v>
      </c>
      <c r="L797" s="75" t="s">
        <v>68</v>
      </c>
      <c r="M797" s="75" t="s">
        <v>70</v>
      </c>
      <c r="N797" s="573">
        <v>0.64</v>
      </c>
      <c r="O797" s="556" t="str">
        <f t="shared" si="73"/>
        <v>DIF</v>
      </c>
      <c r="P797" s="573"/>
      <c r="Q797" s="556"/>
      <c r="R797" s="582"/>
    </row>
    <row r="798" ht="23.85" customHeight="1" spans="1:18">
      <c r="A798" s="556"/>
      <c r="B798" s="557"/>
      <c r="C798" s="569" t="s">
        <v>2891</v>
      </c>
      <c r="D798" s="570" t="s">
        <v>378</v>
      </c>
      <c r="E798" s="569" t="s">
        <v>139</v>
      </c>
      <c r="F798" s="569" t="s">
        <v>379</v>
      </c>
      <c r="G798" s="569" t="s">
        <v>3303</v>
      </c>
      <c r="H798" s="569"/>
      <c r="I798" s="577" t="s">
        <v>279</v>
      </c>
      <c r="J798" s="578">
        <v>1</v>
      </c>
      <c r="K798" s="579"/>
      <c r="L798" s="579">
        <v>34.27</v>
      </c>
      <c r="M798" s="579">
        <v>34.27</v>
      </c>
      <c r="N798" s="573"/>
      <c r="O798" s="556"/>
      <c r="P798" s="573"/>
      <c r="Q798" s="556"/>
      <c r="R798" s="582"/>
    </row>
    <row r="799" ht="23.85" customHeight="1" spans="1:18">
      <c r="A799" s="556"/>
      <c r="B799" s="557"/>
      <c r="C799" s="79" t="s">
        <v>2921</v>
      </c>
      <c r="D799" s="78" t="s">
        <v>2952</v>
      </c>
      <c r="E799" s="79" t="s">
        <v>139</v>
      </c>
      <c r="F799" s="79" t="s">
        <v>2953</v>
      </c>
      <c r="G799" s="79" t="s">
        <v>2928</v>
      </c>
      <c r="H799" s="79"/>
      <c r="I799" s="80" t="s">
        <v>2897</v>
      </c>
      <c r="J799" s="583">
        <v>0.7866</v>
      </c>
      <c r="K799" s="583">
        <v>0</v>
      </c>
      <c r="L799" s="92">
        <v>29.15</v>
      </c>
      <c r="M799" s="92">
        <v>22.92</v>
      </c>
      <c r="N799" s="573"/>
      <c r="O799" s="556"/>
      <c r="P799" s="573"/>
      <c r="Q799" s="556"/>
      <c r="R799" s="582"/>
    </row>
    <row r="800" ht="46.25" customHeight="1" spans="1:18">
      <c r="A800" s="556"/>
      <c r="B800" s="557" t="str">
        <f>C799</f>
        <v>Composição Auxiliar</v>
      </c>
      <c r="C800" s="79" t="s">
        <v>2921</v>
      </c>
      <c r="D800" s="78" t="s">
        <v>3304</v>
      </c>
      <c r="E800" s="79" t="s">
        <v>139</v>
      </c>
      <c r="F800" s="79" t="s">
        <v>3305</v>
      </c>
      <c r="G800" s="79" t="s">
        <v>2995</v>
      </c>
      <c r="H800" s="79"/>
      <c r="I800" s="80" t="s">
        <v>2996</v>
      </c>
      <c r="J800" s="583">
        <v>0.0006</v>
      </c>
      <c r="K800" s="583">
        <v>0</v>
      </c>
      <c r="L800" s="92">
        <v>94.91</v>
      </c>
      <c r="M800" s="92">
        <v>0.05</v>
      </c>
      <c r="N800" s="573">
        <v>584.28</v>
      </c>
      <c r="O800" s="556" t="str">
        <f t="shared" ref="O800:O805" si="74">IF(N800=M800,"OK","DIF")</f>
        <v>DIF</v>
      </c>
      <c r="P800" s="573"/>
      <c r="Q800" s="556"/>
      <c r="R800" s="582"/>
    </row>
    <row r="801" ht="23.85" customHeight="1" spans="1:18">
      <c r="A801" s="556" t="str">
        <f>B801</f>
        <v>Composição Auxiliar</v>
      </c>
      <c r="B801" s="557" t="str">
        <f>B800</f>
        <v>Composição Auxiliar</v>
      </c>
      <c r="C801" s="79" t="s">
        <v>2921</v>
      </c>
      <c r="D801" s="78" t="s">
        <v>3306</v>
      </c>
      <c r="E801" s="79" t="s">
        <v>139</v>
      </c>
      <c r="F801" s="79" t="s">
        <v>3307</v>
      </c>
      <c r="G801" s="79" t="s">
        <v>2995</v>
      </c>
      <c r="H801" s="79"/>
      <c r="I801" s="80" t="s">
        <v>3002</v>
      </c>
      <c r="J801" s="583">
        <v>0.1962</v>
      </c>
      <c r="K801" s="583">
        <v>0</v>
      </c>
      <c r="L801" s="92">
        <v>48.29</v>
      </c>
      <c r="M801" s="92">
        <v>9.47</v>
      </c>
      <c r="N801" s="573">
        <v>0.02</v>
      </c>
      <c r="O801" s="556" t="str">
        <f t="shared" si="74"/>
        <v>DIF</v>
      </c>
      <c r="P801" s="573"/>
      <c r="Q801" s="556"/>
      <c r="R801" s="582"/>
    </row>
    <row r="802" ht="46.25" customHeight="1" spans="1:18">
      <c r="A802" s="556" t="str">
        <f>B802</f>
        <v>Composição Auxiliar</v>
      </c>
      <c r="B802" s="557" t="str">
        <f>B801</f>
        <v>Composição Auxiliar</v>
      </c>
      <c r="C802" s="79" t="s">
        <v>2921</v>
      </c>
      <c r="D802" s="78" t="s">
        <v>3308</v>
      </c>
      <c r="E802" s="79" t="s">
        <v>139</v>
      </c>
      <c r="F802" s="79" t="s">
        <v>3309</v>
      </c>
      <c r="G802" s="79" t="s">
        <v>2995</v>
      </c>
      <c r="H802" s="79"/>
      <c r="I802" s="80" t="s">
        <v>3002</v>
      </c>
      <c r="J802" s="583">
        <v>0.0054</v>
      </c>
      <c r="K802" s="583">
        <v>0</v>
      </c>
      <c r="L802" s="92">
        <v>339.64</v>
      </c>
      <c r="M802" s="92">
        <v>1.83</v>
      </c>
      <c r="N802" s="573">
        <v>10.66</v>
      </c>
      <c r="O802" s="556" t="str">
        <f t="shared" si="74"/>
        <v>DIF</v>
      </c>
      <c r="P802" s="573"/>
      <c r="Q802" s="556"/>
      <c r="R802" s="582"/>
    </row>
    <row r="803" ht="25.5" spans="1:18">
      <c r="A803" s="556" t="str">
        <f>B803</f>
        <v>Composição Auxiliar</v>
      </c>
      <c r="B803" s="557" t="str">
        <f>B802</f>
        <v>Composição Auxiliar</v>
      </c>
      <c r="C803" s="108"/>
      <c r="D803" s="108"/>
      <c r="E803" s="108"/>
      <c r="F803" s="108"/>
      <c r="G803" s="108"/>
      <c r="H803" s="108" t="s">
        <v>2898</v>
      </c>
      <c r="I803" s="581">
        <v>21.44</v>
      </c>
      <c r="J803" s="108" t="s">
        <v>2899</v>
      </c>
      <c r="K803" s="581">
        <v>0</v>
      </c>
      <c r="L803" s="108" t="s">
        <v>2900</v>
      </c>
      <c r="M803" s="581">
        <v>21.44</v>
      </c>
      <c r="N803" s="573">
        <v>0.07</v>
      </c>
      <c r="O803" s="556" t="str">
        <f t="shared" si="74"/>
        <v>DIF</v>
      </c>
      <c r="P803" s="573"/>
      <c r="Q803" s="556"/>
      <c r="R803" s="582"/>
    </row>
    <row r="804" ht="26.25" spans="1:18">
      <c r="A804" s="556" t="str">
        <f>B804</f>
        <v>Composição Auxiliar</v>
      </c>
      <c r="B804" s="557" t="str">
        <f>B803</f>
        <v>Composição Auxiliar</v>
      </c>
      <c r="C804" s="108"/>
      <c r="D804" s="108"/>
      <c r="E804" s="108"/>
      <c r="F804" s="108"/>
      <c r="G804" s="108"/>
      <c r="H804" s="108" t="s">
        <v>2901</v>
      </c>
      <c r="I804" s="581">
        <v>8.73</v>
      </c>
      <c r="J804" s="114"/>
      <c r="K804" s="114" t="s">
        <v>2902</v>
      </c>
      <c r="L804" s="108"/>
      <c r="M804" s="581">
        <v>43</v>
      </c>
      <c r="N804" s="573">
        <v>13.71</v>
      </c>
      <c r="O804" s="556" t="str">
        <f t="shared" si="74"/>
        <v>DIF</v>
      </c>
      <c r="P804" s="573"/>
      <c r="Q804" s="556"/>
      <c r="R804" s="582"/>
    </row>
    <row r="805" ht="15" spans="1:18">
      <c r="A805" s="556" t="str">
        <f>B805</f>
        <v>Composição Auxiliar</v>
      </c>
      <c r="B805" s="557" t="str">
        <f>B804</f>
        <v>Composição Auxiliar</v>
      </c>
      <c r="C805" s="571"/>
      <c r="D805" s="571"/>
      <c r="E805" s="571"/>
      <c r="F805" s="571"/>
      <c r="G805" s="571"/>
      <c r="H805" s="571"/>
      <c r="I805" s="571"/>
      <c r="J805" s="571"/>
      <c r="K805" s="571"/>
      <c r="L805" s="571"/>
      <c r="M805" s="571"/>
      <c r="N805" s="573">
        <v>559.82</v>
      </c>
      <c r="O805" s="556" t="str">
        <f t="shared" si="74"/>
        <v>DIF</v>
      </c>
      <c r="P805" s="573"/>
      <c r="Q805" s="556"/>
      <c r="R805" s="582"/>
    </row>
    <row r="806" ht="15" customHeight="1" spans="1:18">
      <c r="A806" s="556"/>
      <c r="B806" s="557"/>
      <c r="C806" s="76" t="s">
        <v>382</v>
      </c>
      <c r="D806" s="75" t="s">
        <v>63</v>
      </c>
      <c r="E806" s="76" t="s">
        <v>64</v>
      </c>
      <c r="F806" s="76" t="s">
        <v>65</v>
      </c>
      <c r="G806" s="76" t="s">
        <v>2889</v>
      </c>
      <c r="H806" s="76"/>
      <c r="I806" s="77" t="s">
        <v>66</v>
      </c>
      <c r="J806" s="75" t="s">
        <v>67</v>
      </c>
      <c r="K806" s="75" t="s">
        <v>2890</v>
      </c>
      <c r="L806" s="75" t="s">
        <v>68</v>
      </c>
      <c r="M806" s="75" t="s">
        <v>70</v>
      </c>
      <c r="N806" s="573"/>
      <c r="O806" s="556"/>
      <c r="P806" s="573"/>
      <c r="Q806" s="556"/>
      <c r="R806" s="582"/>
    </row>
    <row r="807" ht="15" customHeight="1" spans="1:18">
      <c r="A807" s="556"/>
      <c r="B807" s="557"/>
      <c r="C807" s="569" t="s">
        <v>2891</v>
      </c>
      <c r="D807" s="570" t="s">
        <v>375</v>
      </c>
      <c r="E807" s="569" t="s">
        <v>139</v>
      </c>
      <c r="F807" s="569" t="s">
        <v>3214</v>
      </c>
      <c r="G807" s="569" t="s">
        <v>3215</v>
      </c>
      <c r="H807" s="569"/>
      <c r="I807" s="577" t="s">
        <v>279</v>
      </c>
      <c r="J807" s="578">
        <v>1</v>
      </c>
      <c r="K807" s="579"/>
      <c r="L807" s="579">
        <v>115.31</v>
      </c>
      <c r="M807" s="579">
        <v>115.31</v>
      </c>
      <c r="N807" s="573"/>
      <c r="O807" s="556"/>
      <c r="P807" s="573"/>
      <c r="Q807" s="556"/>
      <c r="R807" s="582"/>
    </row>
    <row r="808" ht="23.85" customHeight="1" spans="1:18">
      <c r="A808" s="556"/>
      <c r="B808" s="557" t="str">
        <f>C807</f>
        <v>Composição</v>
      </c>
      <c r="C808" s="79" t="s">
        <v>2921</v>
      </c>
      <c r="D808" s="78" t="s">
        <v>2952</v>
      </c>
      <c r="E808" s="79" t="s">
        <v>139</v>
      </c>
      <c r="F808" s="79" t="s">
        <v>2953</v>
      </c>
      <c r="G808" s="79" t="s">
        <v>2928</v>
      </c>
      <c r="H808" s="79"/>
      <c r="I808" s="80" t="s">
        <v>2897</v>
      </c>
      <c r="J808" s="583">
        <v>3.9557667</v>
      </c>
      <c r="K808" s="583">
        <v>0</v>
      </c>
      <c r="L808" s="92">
        <v>29.15</v>
      </c>
      <c r="M808" s="92">
        <v>115.31</v>
      </c>
      <c r="N808" s="573">
        <v>3.98</v>
      </c>
      <c r="O808" s="556" t="str">
        <f>IF(N808=M808,"OK","DIF")</f>
        <v>DIF</v>
      </c>
      <c r="P808" s="573"/>
      <c r="Q808" s="556"/>
      <c r="R808" s="582"/>
    </row>
    <row r="809" ht="25.5" spans="1:18">
      <c r="A809" s="556" t="str">
        <f>B809</f>
        <v>Composição</v>
      </c>
      <c r="B809" s="557" t="str">
        <f>B808</f>
        <v>Composição</v>
      </c>
      <c r="C809" s="108"/>
      <c r="D809" s="108"/>
      <c r="E809" s="108"/>
      <c r="F809" s="108"/>
      <c r="G809" s="108"/>
      <c r="H809" s="108" t="s">
        <v>2898</v>
      </c>
      <c r="I809" s="581">
        <v>76.02</v>
      </c>
      <c r="J809" s="108" t="s">
        <v>2899</v>
      </c>
      <c r="K809" s="581">
        <v>0</v>
      </c>
      <c r="L809" s="108" t="s">
        <v>2900</v>
      </c>
      <c r="M809" s="581">
        <v>76.02</v>
      </c>
      <c r="N809" s="573">
        <v>0.03</v>
      </c>
      <c r="O809" s="556" t="str">
        <f>IF(N809=M809,"OK","DIF")</f>
        <v>DIF</v>
      </c>
      <c r="P809" s="573"/>
      <c r="Q809" s="556"/>
      <c r="R809" s="582"/>
    </row>
    <row r="810" ht="26.25" spans="1:18">
      <c r="A810" s="556" t="str">
        <f>B810</f>
        <v>Composição</v>
      </c>
      <c r="B810" s="557" t="str">
        <f>B809</f>
        <v>Composição</v>
      </c>
      <c r="C810" s="108"/>
      <c r="D810" s="108"/>
      <c r="E810" s="108"/>
      <c r="F810" s="108"/>
      <c r="G810" s="108"/>
      <c r="H810" s="108" t="s">
        <v>2901</v>
      </c>
      <c r="I810" s="581">
        <v>29.39</v>
      </c>
      <c r="J810" s="114"/>
      <c r="K810" s="114" t="s">
        <v>2902</v>
      </c>
      <c r="L810" s="108"/>
      <c r="M810" s="581">
        <v>144.7</v>
      </c>
      <c r="N810" s="573">
        <v>0.15</v>
      </c>
      <c r="O810" s="556" t="str">
        <f>IF(N810=M810,"OK","DIF")</f>
        <v>DIF</v>
      </c>
      <c r="P810" s="573"/>
      <c r="Q810" s="556"/>
      <c r="R810" s="582"/>
    </row>
    <row r="811" ht="15" spans="1:18">
      <c r="A811" s="556" t="str">
        <f>B811</f>
        <v>Composição</v>
      </c>
      <c r="B811" s="557" t="str">
        <f>B810</f>
        <v>Composição</v>
      </c>
      <c r="C811" s="571"/>
      <c r="D811" s="571"/>
      <c r="E811" s="571"/>
      <c r="F811" s="571"/>
      <c r="G811" s="571"/>
      <c r="H811" s="571"/>
      <c r="I811" s="571"/>
      <c r="J811" s="571"/>
      <c r="K811" s="571"/>
      <c r="L811" s="571"/>
      <c r="M811" s="571"/>
      <c r="N811" s="573">
        <v>1.5</v>
      </c>
      <c r="O811" s="556" t="str">
        <f>IF(N811=M811,"OK","DIF")</f>
        <v>DIF</v>
      </c>
      <c r="P811" s="573"/>
      <c r="Q811" s="556"/>
      <c r="R811" s="582"/>
    </row>
    <row r="812" ht="15" customHeight="1" spans="1:18">
      <c r="A812" s="556" t="str">
        <f>B812</f>
        <v>Composição</v>
      </c>
      <c r="B812" s="557" t="str">
        <f>B811</f>
        <v>Composição</v>
      </c>
      <c r="C812" s="76" t="s">
        <v>383</v>
      </c>
      <c r="D812" s="75" t="s">
        <v>63</v>
      </c>
      <c r="E812" s="76" t="s">
        <v>64</v>
      </c>
      <c r="F812" s="76" t="s">
        <v>65</v>
      </c>
      <c r="G812" s="76" t="s">
        <v>2889</v>
      </c>
      <c r="H812" s="76"/>
      <c r="I812" s="77" t="s">
        <v>66</v>
      </c>
      <c r="J812" s="75" t="s">
        <v>67</v>
      </c>
      <c r="K812" s="75" t="s">
        <v>2890</v>
      </c>
      <c r="L812" s="75" t="s">
        <v>68</v>
      </c>
      <c r="M812" s="75" t="s">
        <v>70</v>
      </c>
      <c r="N812" s="573">
        <v>2.3</v>
      </c>
      <c r="O812" s="556" t="str">
        <f>IF(N812=M812,"OK","DIF")</f>
        <v>DIF</v>
      </c>
      <c r="P812" s="573"/>
      <c r="Q812" s="556"/>
      <c r="R812" s="582"/>
    </row>
    <row r="813" ht="23.85" customHeight="1" spans="1:18">
      <c r="A813" s="556"/>
      <c r="B813" s="557"/>
      <c r="C813" s="569" t="s">
        <v>2891</v>
      </c>
      <c r="D813" s="570" t="s">
        <v>378</v>
      </c>
      <c r="E813" s="569" t="s">
        <v>139</v>
      </c>
      <c r="F813" s="569" t="s">
        <v>379</v>
      </c>
      <c r="G813" s="569" t="s">
        <v>3303</v>
      </c>
      <c r="H813" s="569"/>
      <c r="I813" s="577" t="s">
        <v>279</v>
      </c>
      <c r="J813" s="578">
        <v>1</v>
      </c>
      <c r="K813" s="579"/>
      <c r="L813" s="579">
        <v>34.27</v>
      </c>
      <c r="M813" s="579">
        <v>34.27</v>
      </c>
      <c r="N813" s="573"/>
      <c r="O813" s="556"/>
      <c r="P813" s="573"/>
      <c r="Q813" s="556"/>
      <c r="R813" s="582"/>
    </row>
    <row r="814" ht="23.85" customHeight="1" spans="1:18">
      <c r="A814" s="556"/>
      <c r="B814" s="557"/>
      <c r="C814" s="79" t="s">
        <v>2921</v>
      </c>
      <c r="D814" s="78" t="s">
        <v>2952</v>
      </c>
      <c r="E814" s="79" t="s">
        <v>139</v>
      </c>
      <c r="F814" s="79" t="s">
        <v>2953</v>
      </c>
      <c r="G814" s="79" t="s">
        <v>2928</v>
      </c>
      <c r="H814" s="79"/>
      <c r="I814" s="80" t="s">
        <v>2897</v>
      </c>
      <c r="J814" s="583">
        <v>0.7866</v>
      </c>
      <c r="K814" s="583">
        <v>0</v>
      </c>
      <c r="L814" s="92">
        <v>29.15</v>
      </c>
      <c r="M814" s="92">
        <v>22.92</v>
      </c>
      <c r="N814" s="573"/>
      <c r="O814" s="556"/>
      <c r="P814" s="573"/>
      <c r="Q814" s="556"/>
      <c r="R814" s="582"/>
    </row>
    <row r="815" ht="46.25" customHeight="1" spans="1:18">
      <c r="A815" s="556"/>
      <c r="B815" s="557" t="str">
        <f>C814</f>
        <v>Composição Auxiliar</v>
      </c>
      <c r="C815" s="79" t="s">
        <v>2921</v>
      </c>
      <c r="D815" s="78" t="s">
        <v>3304</v>
      </c>
      <c r="E815" s="79" t="s">
        <v>139</v>
      </c>
      <c r="F815" s="79" t="s">
        <v>3305</v>
      </c>
      <c r="G815" s="79" t="s">
        <v>2995</v>
      </c>
      <c r="H815" s="79"/>
      <c r="I815" s="80" t="s">
        <v>2996</v>
      </c>
      <c r="J815" s="583">
        <v>0.0006</v>
      </c>
      <c r="K815" s="583">
        <v>0</v>
      </c>
      <c r="L815" s="92">
        <v>94.91</v>
      </c>
      <c r="M815" s="92">
        <v>0.05</v>
      </c>
      <c r="N815" s="573">
        <v>714.79</v>
      </c>
      <c r="O815" s="556" t="str">
        <f>IF(N815=M815,"OK","DIF")</f>
        <v>DIF</v>
      </c>
      <c r="P815" s="573"/>
      <c r="Q815" s="556"/>
      <c r="R815" s="582"/>
    </row>
    <row r="816" ht="23.85" customHeight="1" spans="1:18">
      <c r="A816" s="556" t="str">
        <f>B816</f>
        <v>Composição Auxiliar</v>
      </c>
      <c r="B816" s="557" t="str">
        <f>B815</f>
        <v>Composição Auxiliar</v>
      </c>
      <c r="C816" s="79" t="s">
        <v>2921</v>
      </c>
      <c r="D816" s="78" t="s">
        <v>3306</v>
      </c>
      <c r="E816" s="79" t="s">
        <v>139</v>
      </c>
      <c r="F816" s="79" t="s">
        <v>3307</v>
      </c>
      <c r="G816" s="79" t="s">
        <v>2995</v>
      </c>
      <c r="H816" s="79"/>
      <c r="I816" s="80" t="s">
        <v>3002</v>
      </c>
      <c r="J816" s="583">
        <v>0.1962</v>
      </c>
      <c r="K816" s="583">
        <v>0</v>
      </c>
      <c r="L816" s="92">
        <v>48.29</v>
      </c>
      <c r="M816" s="92">
        <v>9.47</v>
      </c>
      <c r="N816" s="573">
        <v>47.69</v>
      </c>
      <c r="O816" s="556" t="str">
        <f>IF(N816=M816,"OK","DIF")</f>
        <v>DIF</v>
      </c>
      <c r="P816" s="573"/>
      <c r="Q816" s="556"/>
      <c r="R816" s="582"/>
    </row>
    <row r="817" ht="46.25" customHeight="1" spans="1:18">
      <c r="A817" s="556" t="str">
        <f>B817</f>
        <v>Composição Auxiliar</v>
      </c>
      <c r="B817" s="557" t="str">
        <f>B816</f>
        <v>Composição Auxiliar</v>
      </c>
      <c r="C817" s="79" t="s">
        <v>2921</v>
      </c>
      <c r="D817" s="78" t="s">
        <v>3308</v>
      </c>
      <c r="E817" s="79" t="s">
        <v>139</v>
      </c>
      <c r="F817" s="79" t="s">
        <v>3309</v>
      </c>
      <c r="G817" s="79" t="s">
        <v>2995</v>
      </c>
      <c r="H817" s="79"/>
      <c r="I817" s="80" t="s">
        <v>3002</v>
      </c>
      <c r="J817" s="583">
        <v>0.0054</v>
      </c>
      <c r="K817" s="583">
        <v>0</v>
      </c>
      <c r="L817" s="92">
        <v>339.64</v>
      </c>
      <c r="M817" s="92">
        <v>1.83</v>
      </c>
      <c r="N817" s="573">
        <v>169.67</v>
      </c>
      <c r="O817" s="556" t="str">
        <f>IF(N817=M817,"OK","DIF")</f>
        <v>DIF</v>
      </c>
      <c r="P817" s="573"/>
      <c r="Q817" s="556"/>
      <c r="R817" s="582"/>
    </row>
    <row r="818" ht="25.5" spans="1:18">
      <c r="A818" s="556" t="str">
        <f>B818</f>
        <v>Composição Auxiliar</v>
      </c>
      <c r="B818" s="557" t="str">
        <f>B817</f>
        <v>Composição Auxiliar</v>
      </c>
      <c r="C818" s="108"/>
      <c r="D818" s="108"/>
      <c r="E818" s="108"/>
      <c r="F818" s="108"/>
      <c r="G818" s="108"/>
      <c r="H818" s="108" t="s">
        <v>2898</v>
      </c>
      <c r="I818" s="581">
        <v>21.44</v>
      </c>
      <c r="J818" s="108" t="s">
        <v>2899</v>
      </c>
      <c r="K818" s="581">
        <v>0</v>
      </c>
      <c r="L818" s="108" t="s">
        <v>2900</v>
      </c>
      <c r="M818" s="581">
        <v>21.44</v>
      </c>
      <c r="N818" s="573">
        <v>497.43</v>
      </c>
      <c r="O818" s="556" t="str">
        <f>IF(N818=M818,"OK","DIF")</f>
        <v>DIF</v>
      </c>
      <c r="P818" s="573"/>
      <c r="Q818" s="556"/>
      <c r="R818" s="582"/>
    </row>
    <row r="819" ht="26.25" spans="1:18">
      <c r="A819" s="556"/>
      <c r="B819" s="557"/>
      <c r="C819" s="108"/>
      <c r="D819" s="108"/>
      <c r="E819" s="108"/>
      <c r="F819" s="108"/>
      <c r="G819" s="108"/>
      <c r="H819" s="108" t="s">
        <v>2901</v>
      </c>
      <c r="I819" s="581">
        <v>8.73</v>
      </c>
      <c r="J819" s="114"/>
      <c r="K819" s="114" t="s">
        <v>2902</v>
      </c>
      <c r="L819" s="108"/>
      <c r="M819" s="581">
        <v>43</v>
      </c>
      <c r="N819" s="573"/>
      <c r="O819" s="556"/>
      <c r="P819" s="573"/>
      <c r="Q819" s="556"/>
      <c r="R819" s="582"/>
    </row>
    <row r="820" ht="15" spans="1:18">
      <c r="A820" s="556"/>
      <c r="B820" s="557"/>
      <c r="C820" s="571"/>
      <c r="D820" s="571"/>
      <c r="E820" s="571"/>
      <c r="F820" s="571"/>
      <c r="G820" s="571"/>
      <c r="H820" s="571"/>
      <c r="I820" s="571"/>
      <c r="J820" s="571"/>
      <c r="K820" s="571"/>
      <c r="L820" s="571"/>
      <c r="M820" s="571"/>
      <c r="N820" s="573"/>
      <c r="O820" s="556"/>
      <c r="P820" s="573"/>
      <c r="Q820" s="556"/>
      <c r="R820" s="582"/>
    </row>
    <row r="821" ht="15" customHeight="1" spans="1:18">
      <c r="A821" s="556"/>
      <c r="B821" s="557">
        <f>C820</f>
        <v>0</v>
      </c>
      <c r="C821" s="76" t="s">
        <v>386</v>
      </c>
      <c r="D821" s="75" t="s">
        <v>63</v>
      </c>
      <c r="E821" s="76" t="s">
        <v>64</v>
      </c>
      <c r="F821" s="76" t="s">
        <v>65</v>
      </c>
      <c r="G821" s="76" t="s">
        <v>2889</v>
      </c>
      <c r="H821" s="76"/>
      <c r="I821" s="77" t="s">
        <v>66</v>
      </c>
      <c r="J821" s="75" t="s">
        <v>67</v>
      </c>
      <c r="K821" s="75" t="s">
        <v>2890</v>
      </c>
      <c r="L821" s="75" t="s">
        <v>68</v>
      </c>
      <c r="M821" s="75" t="s">
        <v>70</v>
      </c>
      <c r="N821" s="573">
        <v>12.88</v>
      </c>
      <c r="O821" s="556" t="str">
        <f t="shared" ref="O821:O826" si="75">IF(N821=M821,"OK","DIF")</f>
        <v>DIF</v>
      </c>
      <c r="P821" s="573"/>
      <c r="Q821" s="556"/>
      <c r="R821" s="582"/>
    </row>
    <row r="822" ht="15" customHeight="1" spans="1:18">
      <c r="A822" s="556">
        <f>B822</f>
        <v>0</v>
      </c>
      <c r="B822" s="557">
        <f>B821</f>
        <v>0</v>
      </c>
      <c r="C822" s="569" t="s">
        <v>2891</v>
      </c>
      <c r="D822" s="570" t="s">
        <v>375</v>
      </c>
      <c r="E822" s="569" t="s">
        <v>139</v>
      </c>
      <c r="F822" s="569" t="s">
        <v>3214</v>
      </c>
      <c r="G822" s="569" t="s">
        <v>3215</v>
      </c>
      <c r="H822" s="569"/>
      <c r="I822" s="577" t="s">
        <v>279</v>
      </c>
      <c r="J822" s="578">
        <v>1</v>
      </c>
      <c r="K822" s="579"/>
      <c r="L822" s="579">
        <v>115.31</v>
      </c>
      <c r="M822" s="579">
        <v>115.31</v>
      </c>
      <c r="N822" s="573">
        <v>0.26</v>
      </c>
      <c r="O822" s="556" t="str">
        <f t="shared" si="75"/>
        <v>DIF</v>
      </c>
      <c r="P822" s="573"/>
      <c r="Q822" s="556"/>
      <c r="R822" s="582"/>
    </row>
    <row r="823" ht="23.85" customHeight="1" spans="1:18">
      <c r="A823" s="556">
        <f>B823</f>
        <v>0</v>
      </c>
      <c r="B823" s="557">
        <f>B822</f>
        <v>0</v>
      </c>
      <c r="C823" s="79" t="s">
        <v>2921</v>
      </c>
      <c r="D823" s="78" t="s">
        <v>2952</v>
      </c>
      <c r="E823" s="79" t="s">
        <v>139</v>
      </c>
      <c r="F823" s="79" t="s">
        <v>2953</v>
      </c>
      <c r="G823" s="79" t="s">
        <v>2928</v>
      </c>
      <c r="H823" s="79"/>
      <c r="I823" s="80" t="s">
        <v>2897</v>
      </c>
      <c r="J823" s="583">
        <v>3.9557667</v>
      </c>
      <c r="K823" s="583">
        <v>0</v>
      </c>
      <c r="L823" s="92">
        <v>29.15</v>
      </c>
      <c r="M823" s="92">
        <v>115.31</v>
      </c>
      <c r="N823" s="573">
        <v>1.93</v>
      </c>
      <c r="O823" s="556" t="str">
        <f t="shared" si="75"/>
        <v>DIF</v>
      </c>
      <c r="P823" s="573"/>
      <c r="Q823" s="556"/>
      <c r="R823" s="582"/>
    </row>
    <row r="824" ht="25.5" spans="1:18">
      <c r="A824" s="556">
        <f>B824</f>
        <v>0</v>
      </c>
      <c r="B824" s="557">
        <f>B823</f>
        <v>0</v>
      </c>
      <c r="C824" s="108"/>
      <c r="D824" s="108"/>
      <c r="E824" s="108"/>
      <c r="F824" s="108"/>
      <c r="G824" s="108"/>
      <c r="H824" s="108" t="s">
        <v>2898</v>
      </c>
      <c r="I824" s="581">
        <v>76.02</v>
      </c>
      <c r="J824" s="108" t="s">
        <v>2899</v>
      </c>
      <c r="K824" s="581">
        <v>0</v>
      </c>
      <c r="L824" s="108" t="s">
        <v>2900</v>
      </c>
      <c r="M824" s="581">
        <v>76.02</v>
      </c>
      <c r="N824" s="573">
        <v>9.76</v>
      </c>
      <c r="O824" s="556" t="str">
        <f t="shared" si="75"/>
        <v>DIF</v>
      </c>
      <c r="P824" s="573"/>
      <c r="Q824" s="556"/>
      <c r="R824" s="582"/>
    </row>
    <row r="825" ht="26.25" spans="1:18">
      <c r="A825" s="556">
        <f>B825</f>
        <v>0</v>
      </c>
      <c r="B825" s="557">
        <f>B824</f>
        <v>0</v>
      </c>
      <c r="C825" s="108"/>
      <c r="D825" s="108"/>
      <c r="E825" s="108"/>
      <c r="F825" s="108"/>
      <c r="G825" s="108"/>
      <c r="H825" s="108" t="s">
        <v>2901</v>
      </c>
      <c r="I825" s="581">
        <v>29.39</v>
      </c>
      <c r="J825" s="114"/>
      <c r="K825" s="114" t="s">
        <v>2902</v>
      </c>
      <c r="L825" s="108"/>
      <c r="M825" s="581">
        <v>144.7</v>
      </c>
      <c r="N825" s="573">
        <v>0.64</v>
      </c>
      <c r="O825" s="556" t="str">
        <f t="shared" si="75"/>
        <v>DIF</v>
      </c>
      <c r="P825" s="573"/>
      <c r="Q825" s="556"/>
      <c r="R825" s="582"/>
    </row>
    <row r="826" ht="15" spans="1:18">
      <c r="A826" s="556">
        <f>B826</f>
        <v>0</v>
      </c>
      <c r="B826" s="557">
        <f>B825</f>
        <v>0</v>
      </c>
      <c r="C826" s="571"/>
      <c r="D826" s="571"/>
      <c r="E826" s="571"/>
      <c r="F826" s="571"/>
      <c r="G826" s="571"/>
      <c r="H826" s="571"/>
      <c r="I826" s="571"/>
      <c r="J826" s="571"/>
      <c r="K826" s="571"/>
      <c r="L826" s="571"/>
      <c r="M826" s="571"/>
      <c r="N826" s="573">
        <v>0.29</v>
      </c>
      <c r="O826" s="556" t="str">
        <f t="shared" si="75"/>
        <v>DIF</v>
      </c>
      <c r="P826" s="573"/>
      <c r="Q826" s="556"/>
      <c r="R826" s="582"/>
    </row>
    <row r="827" ht="15" customHeight="1" spans="1:18">
      <c r="A827" s="556"/>
      <c r="B827" s="557"/>
      <c r="C827" s="76" t="s">
        <v>387</v>
      </c>
      <c r="D827" s="75" t="s">
        <v>63</v>
      </c>
      <c r="E827" s="76" t="s">
        <v>64</v>
      </c>
      <c r="F827" s="76" t="s">
        <v>65</v>
      </c>
      <c r="G827" s="76" t="s">
        <v>2889</v>
      </c>
      <c r="H827" s="76"/>
      <c r="I827" s="77" t="s">
        <v>66</v>
      </c>
      <c r="J827" s="75" t="s">
        <v>67</v>
      </c>
      <c r="K827" s="75" t="s">
        <v>2890</v>
      </c>
      <c r="L827" s="75" t="s">
        <v>68</v>
      </c>
      <c r="M827" s="75" t="s">
        <v>70</v>
      </c>
      <c r="N827" s="573"/>
      <c r="O827" s="556"/>
      <c r="P827" s="573"/>
      <c r="Q827" s="556"/>
      <c r="R827" s="582"/>
    </row>
    <row r="828" ht="23.85" customHeight="1" spans="1:18">
      <c r="A828" s="556"/>
      <c r="B828" s="557"/>
      <c r="C828" s="569" t="s">
        <v>2891</v>
      </c>
      <c r="D828" s="570" t="s">
        <v>378</v>
      </c>
      <c r="E828" s="569" t="s">
        <v>139</v>
      </c>
      <c r="F828" s="569" t="s">
        <v>379</v>
      </c>
      <c r="G828" s="569" t="s">
        <v>3303</v>
      </c>
      <c r="H828" s="569"/>
      <c r="I828" s="577" t="s">
        <v>279</v>
      </c>
      <c r="J828" s="578">
        <v>1</v>
      </c>
      <c r="K828" s="579"/>
      <c r="L828" s="579">
        <v>34.27</v>
      </c>
      <c r="M828" s="579">
        <v>34.27</v>
      </c>
      <c r="N828" s="573"/>
      <c r="O828" s="556"/>
      <c r="P828" s="573"/>
      <c r="Q828" s="556"/>
      <c r="R828" s="582"/>
    </row>
    <row r="829" ht="23.85" customHeight="1" spans="1:18">
      <c r="A829" s="556"/>
      <c r="B829" s="557" t="str">
        <f>C828</f>
        <v>Composição</v>
      </c>
      <c r="C829" s="79" t="s">
        <v>2921</v>
      </c>
      <c r="D829" s="78" t="s">
        <v>2952</v>
      </c>
      <c r="E829" s="79" t="s">
        <v>139</v>
      </c>
      <c r="F829" s="79" t="s">
        <v>2953</v>
      </c>
      <c r="G829" s="79" t="s">
        <v>2928</v>
      </c>
      <c r="H829" s="79"/>
      <c r="I829" s="80" t="s">
        <v>2897</v>
      </c>
      <c r="J829" s="583">
        <v>0.7866</v>
      </c>
      <c r="K829" s="583">
        <v>0</v>
      </c>
      <c r="L829" s="92">
        <v>29.15</v>
      </c>
      <c r="M829" s="92">
        <v>22.92</v>
      </c>
      <c r="N829" s="573">
        <v>11.86</v>
      </c>
      <c r="O829" s="556" t="str">
        <f t="shared" ref="O829:O834" si="76">IF(N829=M829,"OK","DIF")</f>
        <v>DIF</v>
      </c>
      <c r="P829" s="573"/>
      <c r="Q829" s="556"/>
      <c r="R829" s="582"/>
    </row>
    <row r="830" ht="46.25" customHeight="1" spans="1:18">
      <c r="A830" s="556" t="str">
        <f>B830</f>
        <v>Composição</v>
      </c>
      <c r="B830" s="557" t="str">
        <f>B829</f>
        <v>Composição</v>
      </c>
      <c r="C830" s="79" t="s">
        <v>2921</v>
      </c>
      <c r="D830" s="78" t="s">
        <v>3304</v>
      </c>
      <c r="E830" s="79" t="s">
        <v>139</v>
      </c>
      <c r="F830" s="79" t="s">
        <v>3305</v>
      </c>
      <c r="G830" s="79" t="s">
        <v>2995</v>
      </c>
      <c r="H830" s="79"/>
      <c r="I830" s="80" t="s">
        <v>2996</v>
      </c>
      <c r="J830" s="583">
        <v>0.0006</v>
      </c>
      <c r="K830" s="583">
        <v>0</v>
      </c>
      <c r="L830" s="92">
        <v>94.91</v>
      </c>
      <c r="M830" s="92">
        <v>0.05</v>
      </c>
      <c r="N830" s="573">
        <v>9.59</v>
      </c>
      <c r="O830" s="556" t="str">
        <f t="shared" si="76"/>
        <v>DIF</v>
      </c>
      <c r="P830" s="573"/>
      <c r="Q830" s="556"/>
      <c r="R830" s="582"/>
    </row>
    <row r="831" ht="23.85" customHeight="1" spans="1:18">
      <c r="A831" s="556" t="str">
        <f>B831</f>
        <v>Composição</v>
      </c>
      <c r="B831" s="557" t="str">
        <f>B830</f>
        <v>Composição</v>
      </c>
      <c r="C831" s="79" t="s">
        <v>2921</v>
      </c>
      <c r="D831" s="78" t="s">
        <v>3306</v>
      </c>
      <c r="E831" s="79" t="s">
        <v>139</v>
      </c>
      <c r="F831" s="79" t="s">
        <v>3307</v>
      </c>
      <c r="G831" s="79" t="s">
        <v>2995</v>
      </c>
      <c r="H831" s="79"/>
      <c r="I831" s="80" t="s">
        <v>3002</v>
      </c>
      <c r="J831" s="583">
        <v>0.1962</v>
      </c>
      <c r="K831" s="583">
        <v>0</v>
      </c>
      <c r="L831" s="92">
        <v>48.29</v>
      </c>
      <c r="M831" s="92">
        <v>9.47</v>
      </c>
      <c r="N831" s="573">
        <v>1.3</v>
      </c>
      <c r="O831" s="556" t="str">
        <f t="shared" si="76"/>
        <v>DIF</v>
      </c>
      <c r="P831" s="573"/>
      <c r="Q831" s="556"/>
      <c r="R831" s="582"/>
    </row>
    <row r="832" ht="46.25" customHeight="1" spans="1:18">
      <c r="A832" s="556" t="str">
        <f>B832</f>
        <v>Composição</v>
      </c>
      <c r="B832" s="557" t="str">
        <f>B831</f>
        <v>Composição</v>
      </c>
      <c r="C832" s="79" t="s">
        <v>2921</v>
      </c>
      <c r="D832" s="78" t="s">
        <v>3308</v>
      </c>
      <c r="E832" s="79" t="s">
        <v>139</v>
      </c>
      <c r="F832" s="79" t="s">
        <v>3309</v>
      </c>
      <c r="G832" s="79" t="s">
        <v>2995</v>
      </c>
      <c r="H832" s="79"/>
      <c r="I832" s="80" t="s">
        <v>3002</v>
      </c>
      <c r="J832" s="583">
        <v>0.0054</v>
      </c>
      <c r="K832" s="583">
        <v>0</v>
      </c>
      <c r="L832" s="92">
        <v>339.64</v>
      </c>
      <c r="M832" s="92">
        <v>1.83</v>
      </c>
      <c r="N832" s="573">
        <v>0.17</v>
      </c>
      <c r="O832" s="556" t="str">
        <f t="shared" si="76"/>
        <v>DIF</v>
      </c>
      <c r="P832" s="573"/>
      <c r="Q832" s="556"/>
      <c r="R832" s="582"/>
    </row>
    <row r="833" ht="25.5" spans="1:18">
      <c r="A833" s="556" t="str">
        <f>B833</f>
        <v>Composição</v>
      </c>
      <c r="B833" s="557" t="str">
        <f>B832</f>
        <v>Composição</v>
      </c>
      <c r="C833" s="108"/>
      <c r="D833" s="108"/>
      <c r="E833" s="108"/>
      <c r="F833" s="108"/>
      <c r="G833" s="108"/>
      <c r="H833" s="108" t="s">
        <v>2898</v>
      </c>
      <c r="I833" s="581">
        <v>21.44</v>
      </c>
      <c r="J833" s="108" t="s">
        <v>2899</v>
      </c>
      <c r="K833" s="581">
        <v>0</v>
      </c>
      <c r="L833" s="108" t="s">
        <v>2900</v>
      </c>
      <c r="M833" s="581">
        <v>21.44</v>
      </c>
      <c r="N833" s="573">
        <v>0.16</v>
      </c>
      <c r="O833" s="556" t="str">
        <f t="shared" si="76"/>
        <v>DIF</v>
      </c>
      <c r="P833" s="573"/>
      <c r="Q833" s="556"/>
      <c r="R833" s="582"/>
    </row>
    <row r="834" ht="26.25" spans="1:18">
      <c r="A834" s="556" t="str">
        <f>B834</f>
        <v>Composição</v>
      </c>
      <c r="B834" s="557" t="str">
        <f>B833</f>
        <v>Composição</v>
      </c>
      <c r="C834" s="108"/>
      <c r="D834" s="108"/>
      <c r="E834" s="108"/>
      <c r="F834" s="108"/>
      <c r="G834" s="108"/>
      <c r="H834" s="108" t="s">
        <v>2901</v>
      </c>
      <c r="I834" s="581">
        <v>8.73</v>
      </c>
      <c r="J834" s="114"/>
      <c r="K834" s="114" t="s">
        <v>2902</v>
      </c>
      <c r="L834" s="108"/>
      <c r="M834" s="581">
        <v>43</v>
      </c>
      <c r="N834" s="573">
        <v>0.64</v>
      </c>
      <c r="O834" s="556" t="str">
        <f t="shared" si="76"/>
        <v>DIF</v>
      </c>
      <c r="P834" s="573"/>
      <c r="Q834" s="556"/>
      <c r="R834" s="582"/>
    </row>
    <row r="835" ht="15" spans="1:18">
      <c r="A835" s="556"/>
      <c r="B835" s="557"/>
      <c r="C835" s="571"/>
      <c r="D835" s="571"/>
      <c r="E835" s="571"/>
      <c r="F835" s="571"/>
      <c r="G835" s="571"/>
      <c r="H835" s="571"/>
      <c r="I835" s="571"/>
      <c r="J835" s="571"/>
      <c r="K835" s="571"/>
      <c r="L835" s="571"/>
      <c r="M835" s="571"/>
      <c r="N835" s="573"/>
      <c r="O835" s="556"/>
      <c r="P835" s="573"/>
      <c r="Q835" s="556"/>
      <c r="R835" s="582"/>
    </row>
    <row r="836" ht="15" customHeight="1" spans="1:18">
      <c r="A836" s="556"/>
      <c r="B836" s="557"/>
      <c r="C836" s="76" t="s">
        <v>390</v>
      </c>
      <c r="D836" s="75" t="s">
        <v>63</v>
      </c>
      <c r="E836" s="76" t="s">
        <v>64</v>
      </c>
      <c r="F836" s="76" t="s">
        <v>65</v>
      </c>
      <c r="G836" s="76" t="s">
        <v>2889</v>
      </c>
      <c r="H836" s="76"/>
      <c r="I836" s="77" t="s">
        <v>66</v>
      </c>
      <c r="J836" s="75" t="s">
        <v>67</v>
      </c>
      <c r="K836" s="75" t="s">
        <v>2890</v>
      </c>
      <c r="L836" s="75" t="s">
        <v>68</v>
      </c>
      <c r="M836" s="75" t="s">
        <v>70</v>
      </c>
      <c r="N836" s="573"/>
      <c r="O836" s="556"/>
      <c r="P836" s="573"/>
      <c r="Q836" s="556"/>
      <c r="R836" s="582"/>
    </row>
    <row r="837" ht="23.85" customHeight="1" spans="1:18">
      <c r="A837" s="556"/>
      <c r="B837" s="557" t="str">
        <f>C836</f>
        <v> 5.1.1 </v>
      </c>
      <c r="C837" s="569" t="s">
        <v>2891</v>
      </c>
      <c r="D837" s="570" t="s">
        <v>391</v>
      </c>
      <c r="E837" s="569" t="s">
        <v>139</v>
      </c>
      <c r="F837" s="569" t="s">
        <v>392</v>
      </c>
      <c r="G837" s="569" t="s">
        <v>3310</v>
      </c>
      <c r="H837" s="569"/>
      <c r="I837" s="577" t="s">
        <v>393</v>
      </c>
      <c r="J837" s="578">
        <v>1</v>
      </c>
      <c r="K837" s="579"/>
      <c r="L837" s="579">
        <v>20.86</v>
      </c>
      <c r="M837" s="579">
        <v>20.86</v>
      </c>
      <c r="N837" s="573">
        <v>10.45</v>
      </c>
      <c r="O837" s="556" t="str">
        <f t="shared" ref="O837:O842" si="77">IF(N837=M837,"OK","DIF")</f>
        <v>DIF</v>
      </c>
      <c r="P837" s="573"/>
      <c r="Q837" s="556"/>
      <c r="R837" s="582"/>
    </row>
    <row r="838" ht="23.85" customHeight="1" spans="1:18">
      <c r="A838" s="556" t="str">
        <f>B838</f>
        <v> 5.1.1 </v>
      </c>
      <c r="B838" s="557" t="str">
        <f>B837</f>
        <v> 5.1.1 </v>
      </c>
      <c r="C838" s="79" t="s">
        <v>2921</v>
      </c>
      <c r="D838" s="78" t="s">
        <v>3311</v>
      </c>
      <c r="E838" s="79" t="s">
        <v>139</v>
      </c>
      <c r="F838" s="79" t="s">
        <v>3312</v>
      </c>
      <c r="G838" s="79" t="s">
        <v>2928</v>
      </c>
      <c r="H838" s="79"/>
      <c r="I838" s="80" t="s">
        <v>2897</v>
      </c>
      <c r="J838" s="583">
        <v>0.075</v>
      </c>
      <c r="K838" s="583">
        <v>0</v>
      </c>
      <c r="L838" s="92">
        <v>30.06</v>
      </c>
      <c r="M838" s="92">
        <v>2.25</v>
      </c>
      <c r="N838" s="573">
        <v>0.83</v>
      </c>
      <c r="O838" s="556" t="str">
        <f t="shared" si="77"/>
        <v>DIF</v>
      </c>
      <c r="P838" s="573"/>
      <c r="Q838" s="556"/>
      <c r="R838" s="582"/>
    </row>
    <row r="839" ht="23.85" customHeight="1" spans="1:18">
      <c r="A839" s="556" t="str">
        <f>B839</f>
        <v> 5.1.1 </v>
      </c>
      <c r="B839" s="557" t="str">
        <f>B838</f>
        <v> 5.1.1 </v>
      </c>
      <c r="C839" s="79" t="s">
        <v>2921</v>
      </c>
      <c r="D839" s="78" t="s">
        <v>3313</v>
      </c>
      <c r="E839" s="79" t="s">
        <v>139</v>
      </c>
      <c r="F839" s="79" t="s">
        <v>3314</v>
      </c>
      <c r="G839" s="79" t="s">
        <v>2928</v>
      </c>
      <c r="H839" s="79"/>
      <c r="I839" s="80" t="s">
        <v>2897</v>
      </c>
      <c r="J839" s="583">
        <v>0.196</v>
      </c>
      <c r="K839" s="583">
        <v>0</v>
      </c>
      <c r="L839" s="92">
        <v>35.95</v>
      </c>
      <c r="M839" s="92">
        <v>7.04</v>
      </c>
      <c r="N839" s="573">
        <v>0.11</v>
      </c>
      <c r="O839" s="556" t="str">
        <f t="shared" si="77"/>
        <v>DIF</v>
      </c>
      <c r="P839" s="573"/>
      <c r="Q839" s="556"/>
      <c r="R839" s="582"/>
    </row>
    <row r="840" ht="23.85" customHeight="1" spans="1:18">
      <c r="A840" s="556" t="str">
        <f>B840</f>
        <v> 5.1.1 </v>
      </c>
      <c r="B840" s="557" t="str">
        <f>B839</f>
        <v> 5.1.1 </v>
      </c>
      <c r="C840" s="79" t="s">
        <v>2921</v>
      </c>
      <c r="D840" s="78" t="s">
        <v>3315</v>
      </c>
      <c r="E840" s="79" t="s">
        <v>139</v>
      </c>
      <c r="F840" s="79" t="s">
        <v>3316</v>
      </c>
      <c r="G840" s="79" t="s">
        <v>3317</v>
      </c>
      <c r="H840" s="79"/>
      <c r="I840" s="80" t="s">
        <v>393</v>
      </c>
      <c r="J840" s="583">
        <v>1</v>
      </c>
      <c r="K840" s="583">
        <v>0</v>
      </c>
      <c r="L840" s="92">
        <v>10.84</v>
      </c>
      <c r="M840" s="92">
        <v>10.84</v>
      </c>
      <c r="N840" s="573">
        <v>8.8</v>
      </c>
      <c r="O840" s="556" t="str">
        <f t="shared" si="77"/>
        <v>DIF</v>
      </c>
      <c r="P840" s="573"/>
      <c r="Q840" s="556"/>
      <c r="R840" s="582"/>
    </row>
    <row r="841" ht="23.85" customHeight="1" spans="1:18">
      <c r="A841" s="556" t="str">
        <f>B841</f>
        <v> 5.1.1 </v>
      </c>
      <c r="B841" s="557" t="str">
        <f>B840</f>
        <v> 5.1.1 </v>
      </c>
      <c r="C841" s="100" t="s">
        <v>2893</v>
      </c>
      <c r="D841" s="99" t="s">
        <v>3318</v>
      </c>
      <c r="E841" s="100" t="s">
        <v>139</v>
      </c>
      <c r="F841" s="100" t="s">
        <v>3319</v>
      </c>
      <c r="G841" s="100" t="s">
        <v>2961</v>
      </c>
      <c r="H841" s="100"/>
      <c r="I841" s="101" t="s">
        <v>393</v>
      </c>
      <c r="J841" s="580">
        <v>0.025</v>
      </c>
      <c r="K841" s="580">
        <v>0</v>
      </c>
      <c r="L841" s="102">
        <v>22</v>
      </c>
      <c r="M841" s="102">
        <v>0.55</v>
      </c>
      <c r="N841" s="573">
        <v>0.64</v>
      </c>
      <c r="O841" s="556" t="str">
        <f t="shared" si="77"/>
        <v>DIF</v>
      </c>
      <c r="P841" s="573"/>
      <c r="Q841" s="556"/>
      <c r="R841" s="582"/>
    </row>
    <row r="842" ht="23.85" customHeight="1" spans="1:18">
      <c r="A842" s="556" t="str">
        <f>B842</f>
        <v> 5.1.1 </v>
      </c>
      <c r="B842" s="557" t="str">
        <f>B841</f>
        <v> 5.1.1 </v>
      </c>
      <c r="C842" s="100" t="s">
        <v>2893</v>
      </c>
      <c r="D842" s="99" t="s">
        <v>3320</v>
      </c>
      <c r="E842" s="100" t="s">
        <v>139</v>
      </c>
      <c r="F842" s="100" t="s">
        <v>3321</v>
      </c>
      <c r="G842" s="100" t="s">
        <v>2961</v>
      </c>
      <c r="H842" s="100"/>
      <c r="I842" s="101" t="s">
        <v>134</v>
      </c>
      <c r="J842" s="580">
        <v>0.856</v>
      </c>
      <c r="K842" s="580">
        <v>0</v>
      </c>
      <c r="L842" s="102">
        <v>0.22</v>
      </c>
      <c r="M842" s="102">
        <v>0.18</v>
      </c>
      <c r="N842" s="573">
        <v>0.07</v>
      </c>
      <c r="O842" s="556" t="str">
        <f t="shared" si="77"/>
        <v>DIF</v>
      </c>
      <c r="P842" s="573"/>
      <c r="Q842" s="556"/>
      <c r="R842" s="582"/>
    </row>
    <row r="843" ht="25.5" spans="1:18">
      <c r="A843" s="556"/>
      <c r="B843" s="557"/>
      <c r="C843" s="108"/>
      <c r="D843" s="108"/>
      <c r="E843" s="108"/>
      <c r="F843" s="108"/>
      <c r="G843" s="108"/>
      <c r="H843" s="108" t="s">
        <v>2898</v>
      </c>
      <c r="I843" s="581">
        <v>7.48</v>
      </c>
      <c r="J843" s="108" t="s">
        <v>2899</v>
      </c>
      <c r="K843" s="581">
        <v>0</v>
      </c>
      <c r="L843" s="108" t="s">
        <v>2900</v>
      </c>
      <c r="M843" s="581">
        <v>7.48</v>
      </c>
      <c r="N843" s="573"/>
      <c r="O843" s="556"/>
      <c r="P843" s="573"/>
      <c r="Q843" s="556"/>
      <c r="R843" s="582"/>
    </row>
    <row r="844" ht="26.25" spans="1:18">
      <c r="A844" s="556"/>
      <c r="B844" s="557"/>
      <c r="C844" s="108"/>
      <c r="D844" s="108"/>
      <c r="E844" s="108"/>
      <c r="F844" s="108"/>
      <c r="G844" s="108"/>
      <c r="H844" s="108" t="s">
        <v>2901</v>
      </c>
      <c r="I844" s="581">
        <v>5.31</v>
      </c>
      <c r="J844" s="114"/>
      <c r="K844" s="114" t="s">
        <v>2902</v>
      </c>
      <c r="L844" s="108"/>
      <c r="M844" s="581">
        <v>26.17</v>
      </c>
      <c r="N844" s="573"/>
      <c r="O844" s="556"/>
      <c r="P844" s="573"/>
      <c r="Q844" s="556"/>
      <c r="R844" s="582"/>
    </row>
    <row r="845" ht="15" spans="1:18">
      <c r="A845" s="556"/>
      <c r="B845" s="557">
        <f>C844</f>
        <v>0</v>
      </c>
      <c r="C845" s="571"/>
      <c r="D845" s="571"/>
      <c r="E845" s="571"/>
      <c r="F845" s="571"/>
      <c r="G845" s="571"/>
      <c r="H845" s="571"/>
      <c r="I845" s="571"/>
      <c r="J845" s="571"/>
      <c r="K845" s="571"/>
      <c r="L845" s="571"/>
      <c r="M845" s="571"/>
      <c r="N845" s="573">
        <v>8.71</v>
      </c>
      <c r="O845" s="556" t="str">
        <f t="shared" ref="O845:O850" si="78">IF(N845=M845,"OK","DIF")</f>
        <v>DIF</v>
      </c>
      <c r="P845" s="573"/>
      <c r="Q845" s="556"/>
      <c r="R845" s="582"/>
    </row>
    <row r="846" ht="15" customHeight="1" spans="1:18">
      <c r="A846" s="556">
        <f>B846</f>
        <v>0</v>
      </c>
      <c r="B846" s="557">
        <f>B845</f>
        <v>0</v>
      </c>
      <c r="C846" s="76" t="s">
        <v>394</v>
      </c>
      <c r="D846" s="75" t="s">
        <v>63</v>
      </c>
      <c r="E846" s="76" t="s">
        <v>64</v>
      </c>
      <c r="F846" s="76" t="s">
        <v>65</v>
      </c>
      <c r="G846" s="76" t="s">
        <v>2889</v>
      </c>
      <c r="H846" s="76"/>
      <c r="I846" s="77" t="s">
        <v>66</v>
      </c>
      <c r="J846" s="75" t="s">
        <v>67</v>
      </c>
      <c r="K846" s="75" t="s">
        <v>2890</v>
      </c>
      <c r="L846" s="75" t="s">
        <v>68</v>
      </c>
      <c r="M846" s="75" t="s">
        <v>70</v>
      </c>
      <c r="N846" s="573">
        <v>7.52</v>
      </c>
      <c r="O846" s="556" t="str">
        <f t="shared" si="78"/>
        <v>DIF</v>
      </c>
      <c r="P846" s="573"/>
      <c r="Q846" s="556"/>
      <c r="R846" s="582"/>
    </row>
    <row r="847" ht="23.85" customHeight="1" spans="1:18">
      <c r="A847" s="556">
        <f>B847</f>
        <v>0</v>
      </c>
      <c r="B847" s="557">
        <f>B846</f>
        <v>0</v>
      </c>
      <c r="C847" s="569" t="s">
        <v>2891</v>
      </c>
      <c r="D847" s="570" t="s">
        <v>395</v>
      </c>
      <c r="E847" s="569" t="s">
        <v>139</v>
      </c>
      <c r="F847" s="569" t="s">
        <v>396</v>
      </c>
      <c r="G847" s="569" t="s">
        <v>3310</v>
      </c>
      <c r="H847" s="569"/>
      <c r="I847" s="577" t="s">
        <v>393</v>
      </c>
      <c r="J847" s="578">
        <v>1</v>
      </c>
      <c r="K847" s="579"/>
      <c r="L847" s="579">
        <v>18.43</v>
      </c>
      <c r="M847" s="579">
        <v>18.43</v>
      </c>
      <c r="N847" s="573">
        <v>0.06</v>
      </c>
      <c r="O847" s="556" t="str">
        <f t="shared" si="78"/>
        <v>DIF</v>
      </c>
      <c r="P847" s="573"/>
      <c r="Q847" s="556"/>
      <c r="R847" s="582"/>
    </row>
    <row r="848" ht="23.85" customHeight="1" spans="1:18">
      <c r="A848" s="556">
        <f>B848</f>
        <v>0</v>
      </c>
      <c r="B848" s="557">
        <f>B847</f>
        <v>0</v>
      </c>
      <c r="C848" s="79" t="s">
        <v>2921</v>
      </c>
      <c r="D848" s="78" t="s">
        <v>3311</v>
      </c>
      <c r="E848" s="79" t="s">
        <v>139</v>
      </c>
      <c r="F848" s="79" t="s">
        <v>3312</v>
      </c>
      <c r="G848" s="79" t="s">
        <v>2928</v>
      </c>
      <c r="H848" s="79"/>
      <c r="I848" s="80" t="s">
        <v>2897</v>
      </c>
      <c r="J848" s="583">
        <v>0.057</v>
      </c>
      <c r="K848" s="583">
        <v>0</v>
      </c>
      <c r="L848" s="92">
        <v>30.06</v>
      </c>
      <c r="M848" s="92">
        <v>1.71</v>
      </c>
      <c r="N848" s="573">
        <v>0.46</v>
      </c>
      <c r="O848" s="556" t="str">
        <f t="shared" si="78"/>
        <v>DIF</v>
      </c>
      <c r="P848" s="573"/>
      <c r="Q848" s="556"/>
      <c r="R848" s="582"/>
    </row>
    <row r="849" ht="23.85" customHeight="1" spans="1:18">
      <c r="A849" s="556">
        <f>B849</f>
        <v>0</v>
      </c>
      <c r="B849" s="557">
        <f>B848</f>
        <v>0</v>
      </c>
      <c r="C849" s="79" t="s">
        <v>2921</v>
      </c>
      <c r="D849" s="78" t="s">
        <v>3313</v>
      </c>
      <c r="E849" s="79" t="s">
        <v>139</v>
      </c>
      <c r="F849" s="79" t="s">
        <v>3314</v>
      </c>
      <c r="G849" s="79" t="s">
        <v>2928</v>
      </c>
      <c r="H849" s="79"/>
      <c r="I849" s="80" t="s">
        <v>2897</v>
      </c>
      <c r="J849" s="583">
        <v>0.15</v>
      </c>
      <c r="K849" s="583">
        <v>0</v>
      </c>
      <c r="L849" s="92">
        <v>35.95</v>
      </c>
      <c r="M849" s="92">
        <v>5.39</v>
      </c>
      <c r="N849" s="573">
        <v>0.03</v>
      </c>
      <c r="O849" s="556" t="str">
        <f t="shared" si="78"/>
        <v>DIF</v>
      </c>
      <c r="P849" s="573"/>
      <c r="Q849" s="556"/>
      <c r="R849" s="582"/>
    </row>
    <row r="850" ht="23.85" customHeight="1" spans="1:18">
      <c r="A850" s="556">
        <f>B850</f>
        <v>0</v>
      </c>
      <c r="B850" s="557">
        <f>B849</f>
        <v>0</v>
      </c>
      <c r="C850" s="79" t="s">
        <v>2921</v>
      </c>
      <c r="D850" s="78" t="s">
        <v>3322</v>
      </c>
      <c r="E850" s="79" t="s">
        <v>139</v>
      </c>
      <c r="F850" s="79" t="s">
        <v>3323</v>
      </c>
      <c r="G850" s="79" t="s">
        <v>3317</v>
      </c>
      <c r="H850" s="79"/>
      <c r="I850" s="80" t="s">
        <v>393</v>
      </c>
      <c r="J850" s="583">
        <v>1</v>
      </c>
      <c r="K850" s="583">
        <v>0</v>
      </c>
      <c r="L850" s="92">
        <v>10.65</v>
      </c>
      <c r="M850" s="92">
        <v>10.65</v>
      </c>
      <c r="N850" s="573">
        <v>0.64</v>
      </c>
      <c r="O850" s="556" t="str">
        <f t="shared" si="78"/>
        <v>DIF</v>
      </c>
      <c r="P850" s="573"/>
      <c r="Q850" s="556"/>
      <c r="R850" s="582"/>
    </row>
    <row r="851" ht="23.85" customHeight="1" spans="1:18">
      <c r="A851" s="556"/>
      <c r="B851" s="557"/>
      <c r="C851" s="100" t="s">
        <v>2893</v>
      </c>
      <c r="D851" s="99" t="s">
        <v>3318</v>
      </c>
      <c r="E851" s="100" t="s">
        <v>139</v>
      </c>
      <c r="F851" s="100" t="s">
        <v>3319</v>
      </c>
      <c r="G851" s="100" t="s">
        <v>2961</v>
      </c>
      <c r="H851" s="100"/>
      <c r="I851" s="101" t="s">
        <v>393</v>
      </c>
      <c r="J851" s="580">
        <v>0.025</v>
      </c>
      <c r="K851" s="580">
        <v>0</v>
      </c>
      <c r="L851" s="102">
        <v>22</v>
      </c>
      <c r="M851" s="102">
        <v>0.55</v>
      </c>
      <c r="N851" s="573"/>
      <c r="O851" s="556"/>
      <c r="P851" s="573"/>
      <c r="Q851" s="556"/>
      <c r="R851" s="582"/>
    </row>
    <row r="852" ht="23.85" customHeight="1" spans="1:18">
      <c r="A852" s="556"/>
      <c r="B852" s="557"/>
      <c r="C852" s="100" t="s">
        <v>2893</v>
      </c>
      <c r="D852" s="99" t="s">
        <v>3320</v>
      </c>
      <c r="E852" s="100" t="s">
        <v>139</v>
      </c>
      <c r="F852" s="100" t="s">
        <v>3321</v>
      </c>
      <c r="G852" s="100" t="s">
        <v>2961</v>
      </c>
      <c r="H852" s="100"/>
      <c r="I852" s="101" t="s">
        <v>134</v>
      </c>
      <c r="J852" s="580">
        <v>0.635</v>
      </c>
      <c r="K852" s="580">
        <v>0</v>
      </c>
      <c r="L852" s="102">
        <v>0.22</v>
      </c>
      <c r="M852" s="102">
        <v>0.13</v>
      </c>
      <c r="N852" s="573"/>
      <c r="O852" s="556"/>
      <c r="P852" s="573"/>
      <c r="Q852" s="556"/>
      <c r="R852" s="582"/>
    </row>
    <row r="853" ht="25.5" spans="1:18">
      <c r="A853" s="556"/>
      <c r="B853" s="557" t="str">
        <f>C852</f>
        <v>Insumo</v>
      </c>
      <c r="C853" s="108"/>
      <c r="D853" s="108"/>
      <c r="E853" s="108"/>
      <c r="F853" s="108"/>
      <c r="G853" s="108"/>
      <c r="H853" s="108" t="s">
        <v>2898</v>
      </c>
      <c r="I853" s="581">
        <v>5.49</v>
      </c>
      <c r="J853" s="108" t="s">
        <v>2899</v>
      </c>
      <c r="K853" s="581">
        <v>0</v>
      </c>
      <c r="L853" s="108" t="s">
        <v>2900</v>
      </c>
      <c r="M853" s="581">
        <v>5.49</v>
      </c>
      <c r="N853" s="573">
        <v>150.38</v>
      </c>
      <c r="O853" s="556" t="str">
        <f t="shared" ref="O853:O863" si="79">IF(N853=M853,"OK","DIF")</f>
        <v>DIF</v>
      </c>
      <c r="P853" s="573"/>
      <c r="Q853" s="556"/>
      <c r="R853" s="582"/>
    </row>
    <row r="854" ht="26.25" spans="1:18">
      <c r="A854" s="556" t="str">
        <f t="shared" ref="A854:A863" si="80">B854</f>
        <v>Insumo</v>
      </c>
      <c r="B854" s="557" t="str">
        <f t="shared" ref="B854:B863" si="81">B853</f>
        <v>Insumo</v>
      </c>
      <c r="C854" s="108"/>
      <c r="D854" s="108"/>
      <c r="E854" s="108"/>
      <c r="F854" s="108"/>
      <c r="G854" s="108"/>
      <c r="H854" s="108" t="s">
        <v>2901</v>
      </c>
      <c r="I854" s="581">
        <v>4.69</v>
      </c>
      <c r="J854" s="114"/>
      <c r="K854" s="114" t="s">
        <v>2902</v>
      </c>
      <c r="L854" s="108"/>
      <c r="M854" s="581">
        <v>23.12</v>
      </c>
      <c r="N854" s="573">
        <v>28.88</v>
      </c>
      <c r="O854" s="556" t="str">
        <f t="shared" si="79"/>
        <v>DIF</v>
      </c>
      <c r="P854" s="573"/>
      <c r="Q854" s="556"/>
      <c r="R854" s="582"/>
    </row>
    <row r="855" ht="15" spans="1:18">
      <c r="A855" s="556" t="str">
        <f t="shared" si="80"/>
        <v>Insumo</v>
      </c>
      <c r="B855" s="557" t="str">
        <f t="shared" si="81"/>
        <v>Insumo</v>
      </c>
      <c r="C855" s="571"/>
      <c r="D855" s="571"/>
      <c r="E855" s="571"/>
      <c r="F855" s="571"/>
      <c r="G855" s="571"/>
      <c r="H855" s="571"/>
      <c r="I855" s="571"/>
      <c r="J855" s="571"/>
      <c r="K855" s="571"/>
      <c r="L855" s="571"/>
      <c r="M855" s="571"/>
      <c r="N855" s="573">
        <v>2.59</v>
      </c>
      <c r="O855" s="556" t="str">
        <f t="shared" si="79"/>
        <v>DIF</v>
      </c>
      <c r="P855" s="573"/>
      <c r="Q855" s="556"/>
      <c r="R855" s="582"/>
    </row>
    <row r="856" ht="15" customHeight="1" spans="1:18">
      <c r="A856" s="556" t="str">
        <f t="shared" si="80"/>
        <v>Insumo</v>
      </c>
      <c r="B856" s="557" t="str">
        <f t="shared" si="81"/>
        <v>Insumo</v>
      </c>
      <c r="C856" s="76" t="s">
        <v>397</v>
      </c>
      <c r="D856" s="75" t="s">
        <v>63</v>
      </c>
      <c r="E856" s="76" t="s">
        <v>64</v>
      </c>
      <c r="F856" s="76" t="s">
        <v>65</v>
      </c>
      <c r="G856" s="76" t="s">
        <v>2889</v>
      </c>
      <c r="H856" s="76"/>
      <c r="I856" s="77" t="s">
        <v>66</v>
      </c>
      <c r="J856" s="75" t="s">
        <v>67</v>
      </c>
      <c r="K856" s="75" t="s">
        <v>2890</v>
      </c>
      <c r="L856" s="75" t="s">
        <v>68</v>
      </c>
      <c r="M856" s="75" t="s">
        <v>70</v>
      </c>
      <c r="N856" s="573">
        <v>79.29</v>
      </c>
      <c r="O856" s="556" t="str">
        <f t="shared" si="79"/>
        <v>DIF</v>
      </c>
      <c r="P856" s="573"/>
      <c r="Q856" s="556"/>
      <c r="R856" s="582"/>
    </row>
    <row r="857" ht="23.85" customHeight="1" spans="1:18">
      <c r="A857" s="556" t="str">
        <f t="shared" si="80"/>
        <v>Insumo</v>
      </c>
      <c r="B857" s="557" t="str">
        <f t="shared" si="81"/>
        <v>Insumo</v>
      </c>
      <c r="C857" s="569" t="s">
        <v>2891</v>
      </c>
      <c r="D857" s="570" t="s">
        <v>398</v>
      </c>
      <c r="E857" s="569" t="s">
        <v>139</v>
      </c>
      <c r="F857" s="569" t="s">
        <v>399</v>
      </c>
      <c r="G857" s="569" t="s">
        <v>3310</v>
      </c>
      <c r="H857" s="569"/>
      <c r="I857" s="577" t="s">
        <v>393</v>
      </c>
      <c r="J857" s="578">
        <v>1</v>
      </c>
      <c r="K857" s="579"/>
      <c r="L857" s="579">
        <v>15.92</v>
      </c>
      <c r="M857" s="579">
        <v>15.92</v>
      </c>
      <c r="N857" s="573">
        <v>10</v>
      </c>
      <c r="O857" s="556" t="str">
        <f t="shared" si="79"/>
        <v>DIF</v>
      </c>
      <c r="P857" s="573"/>
      <c r="Q857" s="556"/>
      <c r="R857" s="582"/>
    </row>
    <row r="858" ht="23.85" customHeight="1" spans="1:18">
      <c r="A858" s="556" t="str">
        <f t="shared" si="80"/>
        <v>Insumo</v>
      </c>
      <c r="B858" s="557" t="str">
        <f t="shared" si="81"/>
        <v>Insumo</v>
      </c>
      <c r="C858" s="79" t="s">
        <v>2921</v>
      </c>
      <c r="D858" s="78" t="s">
        <v>3313</v>
      </c>
      <c r="E858" s="79" t="s">
        <v>139</v>
      </c>
      <c r="F858" s="79" t="s">
        <v>3314</v>
      </c>
      <c r="G858" s="79" t="s">
        <v>2928</v>
      </c>
      <c r="H858" s="79"/>
      <c r="I858" s="80" t="s">
        <v>2897</v>
      </c>
      <c r="J858" s="583">
        <v>0.116</v>
      </c>
      <c r="K858" s="583">
        <v>0</v>
      </c>
      <c r="L858" s="92">
        <v>35.95</v>
      </c>
      <c r="M858" s="92">
        <v>4.17</v>
      </c>
      <c r="N858" s="573">
        <v>10.57</v>
      </c>
      <c r="O858" s="556" t="str">
        <f t="shared" si="79"/>
        <v>DIF</v>
      </c>
      <c r="P858" s="573"/>
      <c r="Q858" s="556"/>
      <c r="R858" s="582"/>
    </row>
    <row r="859" ht="23.85" customHeight="1" spans="1:18">
      <c r="A859" s="556" t="str">
        <f t="shared" si="80"/>
        <v>Insumo</v>
      </c>
      <c r="B859" s="557" t="str">
        <f t="shared" si="81"/>
        <v>Insumo</v>
      </c>
      <c r="C859" s="79" t="s">
        <v>2921</v>
      </c>
      <c r="D859" s="78" t="s">
        <v>3311</v>
      </c>
      <c r="E859" s="79" t="s">
        <v>139</v>
      </c>
      <c r="F859" s="79" t="s">
        <v>3312</v>
      </c>
      <c r="G859" s="79" t="s">
        <v>2928</v>
      </c>
      <c r="H859" s="79"/>
      <c r="I859" s="80" t="s">
        <v>2897</v>
      </c>
      <c r="J859" s="583">
        <v>0.044</v>
      </c>
      <c r="K859" s="583">
        <v>0</v>
      </c>
      <c r="L859" s="92">
        <v>30.06</v>
      </c>
      <c r="M859" s="92">
        <v>1.32</v>
      </c>
      <c r="N859" s="573">
        <v>17.05</v>
      </c>
      <c r="O859" s="556" t="str">
        <f t="shared" si="79"/>
        <v>DIF</v>
      </c>
      <c r="P859" s="573"/>
      <c r="Q859" s="556"/>
      <c r="R859" s="582"/>
    </row>
    <row r="860" ht="23.85" customHeight="1" spans="1:18">
      <c r="A860" s="556" t="str">
        <f t="shared" si="80"/>
        <v>Insumo</v>
      </c>
      <c r="B860" s="557" t="str">
        <f t="shared" si="81"/>
        <v>Insumo</v>
      </c>
      <c r="C860" s="79" t="s">
        <v>2921</v>
      </c>
      <c r="D860" s="78" t="s">
        <v>3324</v>
      </c>
      <c r="E860" s="79" t="s">
        <v>139</v>
      </c>
      <c r="F860" s="79" t="s">
        <v>3325</v>
      </c>
      <c r="G860" s="79" t="s">
        <v>3317</v>
      </c>
      <c r="H860" s="79"/>
      <c r="I860" s="80" t="s">
        <v>393</v>
      </c>
      <c r="J860" s="583">
        <v>1</v>
      </c>
      <c r="K860" s="583">
        <v>0</v>
      </c>
      <c r="L860" s="92">
        <v>9.78</v>
      </c>
      <c r="M860" s="92">
        <v>9.78</v>
      </c>
      <c r="N860" s="573">
        <v>1.06</v>
      </c>
      <c r="O860" s="556" t="str">
        <f t="shared" si="79"/>
        <v>DIF</v>
      </c>
      <c r="P860" s="573"/>
      <c r="Q860" s="556"/>
      <c r="R860" s="582"/>
    </row>
    <row r="861" ht="23.85" customHeight="1" spans="1:18">
      <c r="A861" s="556" t="str">
        <f t="shared" si="80"/>
        <v>Insumo</v>
      </c>
      <c r="B861" s="557" t="str">
        <f t="shared" si="81"/>
        <v>Insumo</v>
      </c>
      <c r="C861" s="100" t="s">
        <v>2893</v>
      </c>
      <c r="D861" s="99" t="s">
        <v>3318</v>
      </c>
      <c r="E861" s="100" t="s">
        <v>139</v>
      </c>
      <c r="F861" s="100" t="s">
        <v>3319</v>
      </c>
      <c r="G861" s="100" t="s">
        <v>2961</v>
      </c>
      <c r="H861" s="100"/>
      <c r="I861" s="101" t="s">
        <v>393</v>
      </c>
      <c r="J861" s="580">
        <v>0.025</v>
      </c>
      <c r="K861" s="580">
        <v>0</v>
      </c>
      <c r="L861" s="102">
        <v>22</v>
      </c>
      <c r="M861" s="102">
        <v>0.55</v>
      </c>
      <c r="N861" s="573">
        <v>0.13</v>
      </c>
      <c r="O861" s="556" t="str">
        <f t="shared" si="79"/>
        <v>DIF</v>
      </c>
      <c r="P861" s="573"/>
      <c r="Q861" s="556"/>
      <c r="R861" s="582"/>
    </row>
    <row r="862" ht="23.85" customHeight="1" spans="1:18">
      <c r="A862" s="556" t="str">
        <f t="shared" si="80"/>
        <v>Insumo</v>
      </c>
      <c r="B862" s="557" t="str">
        <f t="shared" si="81"/>
        <v>Insumo</v>
      </c>
      <c r="C862" s="100" t="s">
        <v>2893</v>
      </c>
      <c r="D862" s="99" t="s">
        <v>3320</v>
      </c>
      <c r="E862" s="100" t="s">
        <v>139</v>
      </c>
      <c r="F862" s="100" t="s">
        <v>3321</v>
      </c>
      <c r="G862" s="100" t="s">
        <v>2961</v>
      </c>
      <c r="H862" s="100"/>
      <c r="I862" s="101" t="s">
        <v>134</v>
      </c>
      <c r="J862" s="580">
        <v>0.48</v>
      </c>
      <c r="K862" s="580">
        <v>0</v>
      </c>
      <c r="L862" s="102">
        <v>0.22</v>
      </c>
      <c r="M862" s="102">
        <v>0.1</v>
      </c>
      <c r="N862" s="573">
        <v>0.71</v>
      </c>
      <c r="O862" s="556" t="str">
        <f t="shared" si="79"/>
        <v>DIF</v>
      </c>
      <c r="P862" s="573"/>
      <c r="Q862" s="556"/>
      <c r="R862" s="582"/>
    </row>
    <row r="863" ht="25.5" spans="1:18">
      <c r="A863" s="556" t="str">
        <f t="shared" si="80"/>
        <v>Insumo</v>
      </c>
      <c r="B863" s="557" t="str">
        <f t="shared" si="81"/>
        <v>Insumo</v>
      </c>
      <c r="C863" s="108"/>
      <c r="D863" s="108"/>
      <c r="E863" s="108"/>
      <c r="F863" s="108"/>
      <c r="G863" s="108"/>
      <c r="H863" s="108" t="s">
        <v>2898</v>
      </c>
      <c r="I863" s="581">
        <v>4.12</v>
      </c>
      <c r="J863" s="108" t="s">
        <v>2899</v>
      </c>
      <c r="K863" s="581">
        <v>0</v>
      </c>
      <c r="L863" s="108" t="s">
        <v>2900</v>
      </c>
      <c r="M863" s="581">
        <v>4.12</v>
      </c>
      <c r="N863" s="573">
        <v>0.1</v>
      </c>
      <c r="O863" s="556" t="str">
        <f t="shared" si="79"/>
        <v>DIF</v>
      </c>
      <c r="P863" s="573"/>
      <c r="Q863" s="556"/>
      <c r="R863" s="582"/>
    </row>
    <row r="864" ht="26.25" spans="1:18">
      <c r="A864" s="556"/>
      <c r="B864" s="557"/>
      <c r="C864" s="108"/>
      <c r="D864" s="108"/>
      <c r="E864" s="108"/>
      <c r="F864" s="108"/>
      <c r="G864" s="108"/>
      <c r="H864" s="108" t="s">
        <v>2901</v>
      </c>
      <c r="I864" s="581">
        <v>4.05</v>
      </c>
      <c r="J864" s="114"/>
      <c r="K864" s="114" t="s">
        <v>2902</v>
      </c>
      <c r="L864" s="108"/>
      <c r="M864" s="581">
        <v>19.97</v>
      </c>
      <c r="N864" s="573"/>
      <c r="O864" s="556"/>
      <c r="P864" s="573"/>
      <c r="Q864" s="556"/>
      <c r="R864" s="582"/>
    </row>
    <row r="865" ht="15" spans="1:18">
      <c r="A865" s="556"/>
      <c r="B865" s="557"/>
      <c r="C865" s="571"/>
      <c r="D865" s="571"/>
      <c r="E865" s="571"/>
      <c r="F865" s="571"/>
      <c r="G865" s="571"/>
      <c r="H865" s="571"/>
      <c r="I865" s="571"/>
      <c r="J865" s="571"/>
      <c r="K865" s="571"/>
      <c r="L865" s="571"/>
      <c r="M865" s="571"/>
      <c r="N865" s="573"/>
      <c r="O865" s="556"/>
      <c r="P865" s="573"/>
      <c r="Q865" s="556"/>
      <c r="R865" s="582"/>
    </row>
    <row r="866" ht="15" customHeight="1" spans="1:18">
      <c r="A866" s="556"/>
      <c r="B866" s="557">
        <f>C865</f>
        <v>0</v>
      </c>
      <c r="C866" s="76" t="s">
        <v>400</v>
      </c>
      <c r="D866" s="75" t="s">
        <v>63</v>
      </c>
      <c r="E866" s="76" t="s">
        <v>64</v>
      </c>
      <c r="F866" s="76" t="s">
        <v>65</v>
      </c>
      <c r="G866" s="76" t="s">
        <v>2889</v>
      </c>
      <c r="H866" s="76"/>
      <c r="I866" s="77" t="s">
        <v>66</v>
      </c>
      <c r="J866" s="75" t="s">
        <v>67</v>
      </c>
      <c r="K866" s="75" t="s">
        <v>2890</v>
      </c>
      <c r="L866" s="75" t="s">
        <v>68</v>
      </c>
      <c r="M866" s="75" t="s">
        <v>70</v>
      </c>
      <c r="N866" s="573">
        <v>75.39</v>
      </c>
      <c r="O866" s="556" t="str">
        <f t="shared" ref="O866:O876" si="82">IF(N866=M866,"OK","DIF")</f>
        <v>DIF</v>
      </c>
      <c r="P866" s="573"/>
      <c r="Q866" s="556"/>
      <c r="R866" s="582"/>
    </row>
    <row r="867" ht="23.85" customHeight="1" spans="1:18">
      <c r="A867" s="556">
        <f t="shared" ref="A867:A876" si="83">B867</f>
        <v>0</v>
      </c>
      <c r="B867" s="557">
        <f t="shared" ref="B867:B876" si="84">B866</f>
        <v>0</v>
      </c>
      <c r="C867" s="569" t="s">
        <v>2891</v>
      </c>
      <c r="D867" s="570" t="s">
        <v>401</v>
      </c>
      <c r="E867" s="569" t="s">
        <v>139</v>
      </c>
      <c r="F867" s="569" t="s">
        <v>402</v>
      </c>
      <c r="G867" s="569" t="s">
        <v>3310</v>
      </c>
      <c r="H867" s="569"/>
      <c r="I867" s="577" t="s">
        <v>393</v>
      </c>
      <c r="J867" s="578">
        <v>1</v>
      </c>
      <c r="K867" s="579"/>
      <c r="L867" s="579">
        <v>12.01</v>
      </c>
      <c r="M867" s="579">
        <v>12.01</v>
      </c>
      <c r="N867" s="573">
        <v>36.06</v>
      </c>
      <c r="O867" s="556" t="str">
        <f t="shared" si="82"/>
        <v>DIF</v>
      </c>
      <c r="P867" s="573"/>
      <c r="Q867" s="556"/>
      <c r="R867" s="582"/>
    </row>
    <row r="868" ht="23.85" customHeight="1" spans="1:18">
      <c r="A868" s="556">
        <f t="shared" si="83"/>
        <v>0</v>
      </c>
      <c r="B868" s="557">
        <f t="shared" si="84"/>
        <v>0</v>
      </c>
      <c r="C868" s="79" t="s">
        <v>2921</v>
      </c>
      <c r="D868" s="78" t="s">
        <v>3313</v>
      </c>
      <c r="E868" s="79" t="s">
        <v>139</v>
      </c>
      <c r="F868" s="79" t="s">
        <v>3314</v>
      </c>
      <c r="G868" s="79" t="s">
        <v>2928</v>
      </c>
      <c r="H868" s="79"/>
      <c r="I868" s="80" t="s">
        <v>2897</v>
      </c>
      <c r="J868" s="583">
        <v>0.064</v>
      </c>
      <c r="K868" s="583">
        <v>0</v>
      </c>
      <c r="L868" s="92">
        <v>35.95</v>
      </c>
      <c r="M868" s="92">
        <v>2.3</v>
      </c>
      <c r="N868" s="573">
        <v>12.74</v>
      </c>
      <c r="O868" s="556" t="str">
        <f t="shared" si="82"/>
        <v>DIF</v>
      </c>
      <c r="P868" s="573"/>
      <c r="Q868" s="556"/>
      <c r="R868" s="582"/>
    </row>
    <row r="869" ht="23.85" customHeight="1" spans="1:18">
      <c r="A869" s="556">
        <f t="shared" si="83"/>
        <v>0</v>
      </c>
      <c r="B869" s="557">
        <f t="shared" si="84"/>
        <v>0</v>
      </c>
      <c r="C869" s="79" t="s">
        <v>2921</v>
      </c>
      <c r="D869" s="78" t="s">
        <v>3311</v>
      </c>
      <c r="E869" s="79" t="s">
        <v>139</v>
      </c>
      <c r="F869" s="79" t="s">
        <v>3312</v>
      </c>
      <c r="G869" s="79" t="s">
        <v>2928</v>
      </c>
      <c r="H869" s="79"/>
      <c r="I869" s="80" t="s">
        <v>2897</v>
      </c>
      <c r="J869" s="583">
        <v>0.025</v>
      </c>
      <c r="K869" s="583">
        <v>0</v>
      </c>
      <c r="L869" s="92">
        <v>30.06</v>
      </c>
      <c r="M869" s="92">
        <v>0.75</v>
      </c>
      <c r="N869" s="573">
        <v>1.88</v>
      </c>
      <c r="O869" s="556" t="str">
        <f t="shared" si="82"/>
        <v>DIF</v>
      </c>
      <c r="P869" s="573"/>
      <c r="Q869" s="556"/>
      <c r="R869" s="582"/>
    </row>
    <row r="870" ht="23.85" customHeight="1" spans="1:18">
      <c r="A870" s="556">
        <f t="shared" si="83"/>
        <v>0</v>
      </c>
      <c r="B870" s="557">
        <f t="shared" si="84"/>
        <v>0</v>
      </c>
      <c r="C870" s="79" t="s">
        <v>2921</v>
      </c>
      <c r="D870" s="78" t="s">
        <v>3326</v>
      </c>
      <c r="E870" s="79" t="s">
        <v>139</v>
      </c>
      <c r="F870" s="79" t="s">
        <v>3327</v>
      </c>
      <c r="G870" s="79" t="s">
        <v>3317</v>
      </c>
      <c r="H870" s="79"/>
      <c r="I870" s="80" t="s">
        <v>393</v>
      </c>
      <c r="J870" s="583">
        <v>1</v>
      </c>
      <c r="K870" s="583">
        <v>0</v>
      </c>
      <c r="L870" s="92">
        <v>8.35</v>
      </c>
      <c r="M870" s="92">
        <v>8.35</v>
      </c>
      <c r="N870" s="573">
        <v>0.48</v>
      </c>
      <c r="O870" s="556" t="str">
        <f t="shared" si="82"/>
        <v>DIF</v>
      </c>
      <c r="P870" s="573"/>
      <c r="Q870" s="556"/>
      <c r="R870" s="582"/>
    </row>
    <row r="871" ht="23.85" customHeight="1" spans="1:18">
      <c r="A871" s="556">
        <f t="shared" si="83"/>
        <v>0</v>
      </c>
      <c r="B871" s="557">
        <f t="shared" si="84"/>
        <v>0</v>
      </c>
      <c r="C871" s="100" t="s">
        <v>2893</v>
      </c>
      <c r="D871" s="99" t="s">
        <v>3320</v>
      </c>
      <c r="E871" s="100" t="s">
        <v>139</v>
      </c>
      <c r="F871" s="100" t="s">
        <v>3321</v>
      </c>
      <c r="G871" s="100" t="s">
        <v>2961</v>
      </c>
      <c r="H871" s="100"/>
      <c r="I871" s="101" t="s">
        <v>134</v>
      </c>
      <c r="J871" s="580">
        <v>0.317</v>
      </c>
      <c r="K871" s="580">
        <v>0</v>
      </c>
      <c r="L871" s="102">
        <v>0.22</v>
      </c>
      <c r="M871" s="102">
        <v>0.06</v>
      </c>
      <c r="N871" s="573">
        <v>0.13</v>
      </c>
      <c r="O871" s="556" t="str">
        <f t="shared" si="82"/>
        <v>DIF</v>
      </c>
      <c r="P871" s="573"/>
      <c r="Q871" s="556"/>
      <c r="R871" s="582"/>
    </row>
    <row r="872" ht="23.85" customHeight="1" spans="1:18">
      <c r="A872" s="556">
        <f t="shared" si="83"/>
        <v>0</v>
      </c>
      <c r="B872" s="557">
        <f t="shared" si="84"/>
        <v>0</v>
      </c>
      <c r="C872" s="100" t="s">
        <v>2893</v>
      </c>
      <c r="D872" s="99" t="s">
        <v>3318</v>
      </c>
      <c r="E872" s="100" t="s">
        <v>139</v>
      </c>
      <c r="F872" s="100" t="s">
        <v>3319</v>
      </c>
      <c r="G872" s="100" t="s">
        <v>2961</v>
      </c>
      <c r="H872" s="100"/>
      <c r="I872" s="101" t="s">
        <v>393</v>
      </c>
      <c r="J872" s="580">
        <v>0.025</v>
      </c>
      <c r="K872" s="580">
        <v>0</v>
      </c>
      <c r="L872" s="102">
        <v>22</v>
      </c>
      <c r="M872" s="102">
        <v>0.55</v>
      </c>
      <c r="N872" s="573">
        <v>1.6</v>
      </c>
      <c r="O872" s="556" t="str">
        <f t="shared" si="82"/>
        <v>DIF</v>
      </c>
      <c r="P872" s="573"/>
      <c r="Q872" s="556"/>
      <c r="R872" s="582"/>
    </row>
    <row r="873" ht="25.5" spans="1:18">
      <c r="A873" s="556">
        <f t="shared" si="83"/>
        <v>0</v>
      </c>
      <c r="B873" s="557">
        <f t="shared" si="84"/>
        <v>0</v>
      </c>
      <c r="C873" s="108"/>
      <c r="D873" s="108"/>
      <c r="E873" s="108"/>
      <c r="F873" s="108"/>
      <c r="G873" s="108"/>
      <c r="H873" s="108" t="s">
        <v>2898</v>
      </c>
      <c r="I873" s="581">
        <v>2.28</v>
      </c>
      <c r="J873" s="108" t="s">
        <v>2899</v>
      </c>
      <c r="K873" s="581">
        <v>0</v>
      </c>
      <c r="L873" s="108" t="s">
        <v>2900</v>
      </c>
      <c r="M873" s="581">
        <v>2.28</v>
      </c>
      <c r="N873" s="573">
        <v>1.2</v>
      </c>
      <c r="O873" s="556" t="str">
        <f t="shared" si="82"/>
        <v>DIF</v>
      </c>
      <c r="P873" s="573"/>
      <c r="Q873" s="556"/>
      <c r="R873" s="582"/>
    </row>
    <row r="874" ht="26.25" spans="1:18">
      <c r="A874" s="556">
        <f t="shared" si="83"/>
        <v>0</v>
      </c>
      <c r="B874" s="557">
        <f t="shared" si="84"/>
        <v>0</v>
      </c>
      <c r="C874" s="108"/>
      <c r="D874" s="108"/>
      <c r="E874" s="108"/>
      <c r="F874" s="108"/>
      <c r="G874" s="108"/>
      <c r="H874" s="108" t="s">
        <v>2901</v>
      </c>
      <c r="I874" s="581">
        <v>3.06</v>
      </c>
      <c r="J874" s="114"/>
      <c r="K874" s="114" t="s">
        <v>2902</v>
      </c>
      <c r="L874" s="108"/>
      <c r="M874" s="581">
        <v>15.07</v>
      </c>
      <c r="N874" s="573">
        <v>5.06</v>
      </c>
      <c r="O874" s="556" t="str">
        <f t="shared" si="82"/>
        <v>DIF</v>
      </c>
      <c r="P874" s="573"/>
      <c r="Q874" s="556"/>
      <c r="R874" s="582"/>
    </row>
    <row r="875" ht="15" spans="1:18">
      <c r="A875" s="556">
        <f t="shared" si="83"/>
        <v>0</v>
      </c>
      <c r="B875" s="557">
        <f t="shared" si="84"/>
        <v>0</v>
      </c>
      <c r="C875" s="571"/>
      <c r="D875" s="571"/>
      <c r="E875" s="571"/>
      <c r="F875" s="571"/>
      <c r="G875" s="571"/>
      <c r="H875" s="571"/>
      <c r="I875" s="571"/>
      <c r="J875" s="571"/>
      <c r="K875" s="571"/>
      <c r="L875" s="571"/>
      <c r="M875" s="571"/>
      <c r="N875" s="573">
        <v>0.48</v>
      </c>
      <c r="O875" s="556" t="str">
        <f t="shared" si="82"/>
        <v>DIF</v>
      </c>
      <c r="P875" s="573"/>
      <c r="Q875" s="556"/>
      <c r="R875" s="582"/>
    </row>
    <row r="876" ht="15" customHeight="1" spans="1:18">
      <c r="A876" s="556">
        <f t="shared" si="83"/>
        <v>0</v>
      </c>
      <c r="B876" s="557">
        <f t="shared" si="84"/>
        <v>0</v>
      </c>
      <c r="C876" s="76" t="s">
        <v>403</v>
      </c>
      <c r="D876" s="75" t="s">
        <v>63</v>
      </c>
      <c r="E876" s="76" t="s">
        <v>64</v>
      </c>
      <c r="F876" s="76" t="s">
        <v>65</v>
      </c>
      <c r="G876" s="76" t="s">
        <v>2889</v>
      </c>
      <c r="H876" s="76"/>
      <c r="I876" s="77" t="s">
        <v>66</v>
      </c>
      <c r="J876" s="75" t="s">
        <v>67</v>
      </c>
      <c r="K876" s="75" t="s">
        <v>2890</v>
      </c>
      <c r="L876" s="75" t="s">
        <v>68</v>
      </c>
      <c r="M876" s="75" t="s">
        <v>70</v>
      </c>
      <c r="N876" s="573">
        <v>15.76</v>
      </c>
      <c r="O876" s="556" t="str">
        <f t="shared" si="82"/>
        <v>DIF</v>
      </c>
      <c r="P876" s="573"/>
      <c r="Q876" s="556"/>
      <c r="R876" s="582"/>
    </row>
    <row r="877" ht="23.85" customHeight="1" spans="1:18">
      <c r="A877" s="556"/>
      <c r="B877" s="557"/>
      <c r="C877" s="569" t="s">
        <v>2891</v>
      </c>
      <c r="D877" s="570" t="s">
        <v>404</v>
      </c>
      <c r="E877" s="569" t="s">
        <v>139</v>
      </c>
      <c r="F877" s="569" t="s">
        <v>405</v>
      </c>
      <c r="G877" s="569" t="s">
        <v>3310</v>
      </c>
      <c r="H877" s="569"/>
      <c r="I877" s="577" t="s">
        <v>393</v>
      </c>
      <c r="J877" s="578">
        <v>1</v>
      </c>
      <c r="K877" s="579"/>
      <c r="L877" s="579">
        <v>11.17</v>
      </c>
      <c r="M877" s="579">
        <v>11.17</v>
      </c>
      <c r="N877" s="573"/>
      <c r="O877" s="556"/>
      <c r="P877" s="573"/>
      <c r="Q877" s="556"/>
      <c r="R877" s="582"/>
    </row>
    <row r="878" ht="23.85" customHeight="1" spans="1:18">
      <c r="A878" s="556"/>
      <c r="B878" s="557"/>
      <c r="C878" s="79" t="s">
        <v>2921</v>
      </c>
      <c r="D878" s="78" t="s">
        <v>3311</v>
      </c>
      <c r="E878" s="79" t="s">
        <v>139</v>
      </c>
      <c r="F878" s="79" t="s">
        <v>3312</v>
      </c>
      <c r="G878" s="79" t="s">
        <v>2928</v>
      </c>
      <c r="H878" s="79"/>
      <c r="I878" s="80" t="s">
        <v>2897</v>
      </c>
      <c r="J878" s="583">
        <v>0.019</v>
      </c>
      <c r="K878" s="583">
        <v>0</v>
      </c>
      <c r="L878" s="92">
        <v>30.06</v>
      </c>
      <c r="M878" s="92">
        <v>0.57</v>
      </c>
      <c r="N878" s="573"/>
      <c r="O878" s="556"/>
      <c r="P878" s="573"/>
      <c r="Q878" s="556"/>
      <c r="R878" s="582"/>
    </row>
    <row r="879" ht="23.85" customHeight="1" spans="1:18">
      <c r="A879" s="556"/>
      <c r="B879" s="557" t="str">
        <f>C878</f>
        <v>Composição Auxiliar</v>
      </c>
      <c r="C879" s="79" t="s">
        <v>2921</v>
      </c>
      <c r="D879" s="78" t="s">
        <v>3328</v>
      </c>
      <c r="E879" s="79" t="s">
        <v>139</v>
      </c>
      <c r="F879" s="79" t="s">
        <v>3329</v>
      </c>
      <c r="G879" s="79" t="s">
        <v>3317</v>
      </c>
      <c r="H879" s="79"/>
      <c r="I879" s="80" t="s">
        <v>393</v>
      </c>
      <c r="J879" s="583">
        <v>1</v>
      </c>
      <c r="K879" s="583">
        <v>0</v>
      </c>
      <c r="L879" s="92">
        <v>8.24</v>
      </c>
      <c r="M879" s="92">
        <v>8.24</v>
      </c>
      <c r="N879" s="573">
        <v>161.95</v>
      </c>
      <c r="O879" s="556" t="str">
        <f t="shared" ref="O879:O886" si="85">IF(N879=M879,"OK","DIF")</f>
        <v>DIF</v>
      </c>
      <c r="P879" s="573"/>
      <c r="Q879" s="556"/>
      <c r="R879" s="582"/>
    </row>
    <row r="880" ht="23.85" customHeight="1" spans="1:18">
      <c r="A880" s="556" t="str">
        <f t="shared" ref="A880:A886" si="86">B880</f>
        <v>Composição Auxiliar</v>
      </c>
      <c r="B880" s="557" t="str">
        <f t="shared" ref="B880:B886" si="87">B879</f>
        <v>Composição Auxiliar</v>
      </c>
      <c r="C880" s="79" t="s">
        <v>2921</v>
      </c>
      <c r="D880" s="78" t="s">
        <v>3313</v>
      </c>
      <c r="E880" s="79" t="s">
        <v>139</v>
      </c>
      <c r="F880" s="79" t="s">
        <v>3314</v>
      </c>
      <c r="G880" s="79" t="s">
        <v>2928</v>
      </c>
      <c r="H880" s="79"/>
      <c r="I880" s="80" t="s">
        <v>2897</v>
      </c>
      <c r="J880" s="583">
        <v>0.049</v>
      </c>
      <c r="K880" s="583">
        <v>0</v>
      </c>
      <c r="L880" s="92">
        <v>35.95</v>
      </c>
      <c r="M880" s="92">
        <v>1.76</v>
      </c>
      <c r="N880" s="573">
        <v>38.58</v>
      </c>
      <c r="O880" s="556" t="str">
        <f t="shared" si="85"/>
        <v>DIF</v>
      </c>
      <c r="P880" s="573"/>
      <c r="Q880" s="556"/>
      <c r="R880" s="582"/>
    </row>
    <row r="881" ht="23.85" customHeight="1" spans="1:18">
      <c r="A881" s="556" t="str">
        <f t="shared" si="86"/>
        <v>Composição Auxiliar</v>
      </c>
      <c r="B881" s="557" t="str">
        <f t="shared" si="87"/>
        <v>Composição Auxiliar</v>
      </c>
      <c r="C881" s="100" t="s">
        <v>2893</v>
      </c>
      <c r="D881" s="99" t="s">
        <v>3318</v>
      </c>
      <c r="E881" s="100" t="s">
        <v>139</v>
      </c>
      <c r="F881" s="100" t="s">
        <v>3319</v>
      </c>
      <c r="G881" s="100" t="s">
        <v>2961</v>
      </c>
      <c r="H881" s="100"/>
      <c r="I881" s="101" t="s">
        <v>393</v>
      </c>
      <c r="J881" s="580">
        <v>0.025</v>
      </c>
      <c r="K881" s="580">
        <v>0</v>
      </c>
      <c r="L881" s="102">
        <v>22</v>
      </c>
      <c r="M881" s="102">
        <v>0.55</v>
      </c>
      <c r="N881" s="573">
        <v>78.13</v>
      </c>
      <c r="O881" s="556" t="str">
        <f t="shared" si="85"/>
        <v>DIF</v>
      </c>
      <c r="P881" s="573"/>
      <c r="Q881" s="556"/>
      <c r="R881" s="582"/>
    </row>
    <row r="882" ht="23.85" customHeight="1" spans="1:18">
      <c r="A882" s="556" t="str">
        <f t="shared" si="86"/>
        <v>Composição Auxiliar</v>
      </c>
      <c r="B882" s="557" t="str">
        <f t="shared" si="87"/>
        <v>Composição Auxiliar</v>
      </c>
      <c r="C882" s="100" t="s">
        <v>2893</v>
      </c>
      <c r="D882" s="99" t="s">
        <v>3320</v>
      </c>
      <c r="E882" s="100" t="s">
        <v>139</v>
      </c>
      <c r="F882" s="100" t="s">
        <v>3321</v>
      </c>
      <c r="G882" s="100" t="s">
        <v>2961</v>
      </c>
      <c r="H882" s="100"/>
      <c r="I882" s="101" t="s">
        <v>134</v>
      </c>
      <c r="J882" s="580">
        <v>0.245</v>
      </c>
      <c r="K882" s="580">
        <v>0</v>
      </c>
      <c r="L882" s="102">
        <v>0.22</v>
      </c>
      <c r="M882" s="102">
        <v>0.05</v>
      </c>
      <c r="N882" s="573">
        <v>1.74</v>
      </c>
      <c r="O882" s="556" t="str">
        <f t="shared" si="85"/>
        <v>DIF</v>
      </c>
      <c r="P882" s="573"/>
      <c r="Q882" s="556"/>
      <c r="R882" s="582"/>
    </row>
    <row r="883" ht="25.5" spans="1:18">
      <c r="A883" s="556" t="str">
        <f t="shared" si="86"/>
        <v>Composição Auxiliar</v>
      </c>
      <c r="B883" s="557" t="str">
        <f t="shared" si="87"/>
        <v>Composição Auxiliar</v>
      </c>
      <c r="C883" s="108"/>
      <c r="D883" s="108"/>
      <c r="E883" s="108"/>
      <c r="F883" s="108"/>
      <c r="G883" s="108"/>
      <c r="H883" s="108" t="s">
        <v>2898</v>
      </c>
      <c r="I883" s="581">
        <v>1.71</v>
      </c>
      <c r="J883" s="108" t="s">
        <v>2899</v>
      </c>
      <c r="K883" s="581">
        <v>0</v>
      </c>
      <c r="L883" s="108" t="s">
        <v>2900</v>
      </c>
      <c r="M883" s="581">
        <v>1.71</v>
      </c>
      <c r="N883" s="573">
        <v>0.13</v>
      </c>
      <c r="O883" s="556" t="str">
        <f t="shared" si="85"/>
        <v>DIF</v>
      </c>
      <c r="P883" s="573"/>
      <c r="Q883" s="556"/>
      <c r="R883" s="582"/>
    </row>
    <row r="884" ht="26.25" spans="1:18">
      <c r="A884" s="556" t="str">
        <f t="shared" si="86"/>
        <v>Composição Auxiliar</v>
      </c>
      <c r="B884" s="557" t="str">
        <f t="shared" si="87"/>
        <v>Composição Auxiliar</v>
      </c>
      <c r="C884" s="108"/>
      <c r="D884" s="108"/>
      <c r="E884" s="108"/>
      <c r="F884" s="108"/>
      <c r="G884" s="108"/>
      <c r="H884" s="108" t="s">
        <v>2901</v>
      </c>
      <c r="I884" s="581">
        <v>2.84</v>
      </c>
      <c r="J884" s="114"/>
      <c r="K884" s="114" t="s">
        <v>2902</v>
      </c>
      <c r="L884" s="108"/>
      <c r="M884" s="581">
        <v>14.01</v>
      </c>
      <c r="N884" s="573">
        <v>38.99</v>
      </c>
      <c r="O884" s="556" t="str">
        <f t="shared" si="85"/>
        <v>DIF</v>
      </c>
      <c r="P884" s="573"/>
      <c r="Q884" s="556"/>
      <c r="R884" s="582"/>
    </row>
    <row r="885" ht="15" spans="1:18">
      <c r="A885" s="556" t="str">
        <f t="shared" si="86"/>
        <v>Composição Auxiliar</v>
      </c>
      <c r="B885" s="557" t="str">
        <f t="shared" si="87"/>
        <v>Composição Auxiliar</v>
      </c>
      <c r="C885" s="571"/>
      <c r="D885" s="571"/>
      <c r="E885" s="571"/>
      <c r="F885" s="571"/>
      <c r="G885" s="571"/>
      <c r="H885" s="571"/>
      <c r="I885" s="571"/>
      <c r="J885" s="571"/>
      <c r="K885" s="571"/>
      <c r="L885" s="571"/>
      <c r="M885" s="571"/>
      <c r="N885" s="573">
        <v>3.1</v>
      </c>
      <c r="O885" s="556" t="str">
        <f t="shared" si="85"/>
        <v>DIF</v>
      </c>
      <c r="P885" s="573"/>
      <c r="Q885" s="556"/>
      <c r="R885" s="582"/>
    </row>
    <row r="886" ht="15" customHeight="1" spans="1:18">
      <c r="A886" s="556" t="str">
        <f t="shared" si="86"/>
        <v>Composição Auxiliar</v>
      </c>
      <c r="B886" s="557" t="str">
        <f t="shared" si="87"/>
        <v>Composição Auxiliar</v>
      </c>
      <c r="C886" s="76" t="s">
        <v>406</v>
      </c>
      <c r="D886" s="75" t="s">
        <v>63</v>
      </c>
      <c r="E886" s="76" t="s">
        <v>64</v>
      </c>
      <c r="F886" s="76" t="s">
        <v>65</v>
      </c>
      <c r="G886" s="76" t="s">
        <v>2889</v>
      </c>
      <c r="H886" s="76"/>
      <c r="I886" s="77" t="s">
        <v>66</v>
      </c>
      <c r="J886" s="75" t="s">
        <v>67</v>
      </c>
      <c r="K886" s="75" t="s">
        <v>2890</v>
      </c>
      <c r="L886" s="75" t="s">
        <v>68</v>
      </c>
      <c r="M886" s="75" t="s">
        <v>70</v>
      </c>
      <c r="N886" s="573">
        <v>1.28</v>
      </c>
      <c r="O886" s="556" t="str">
        <f t="shared" si="85"/>
        <v>DIF</v>
      </c>
      <c r="P886" s="573"/>
      <c r="Q886" s="556"/>
      <c r="R886" s="582"/>
    </row>
    <row r="887" ht="35.05" customHeight="1" spans="1:18">
      <c r="A887" s="556"/>
      <c r="B887" s="557"/>
      <c r="C887" s="569" t="s">
        <v>2891</v>
      </c>
      <c r="D887" s="570" t="s">
        <v>407</v>
      </c>
      <c r="E887" s="569" t="s">
        <v>139</v>
      </c>
      <c r="F887" s="569" t="s">
        <v>408</v>
      </c>
      <c r="G887" s="569" t="s">
        <v>3310</v>
      </c>
      <c r="H887" s="569"/>
      <c r="I887" s="577" t="s">
        <v>141</v>
      </c>
      <c r="J887" s="578">
        <v>1</v>
      </c>
      <c r="K887" s="579"/>
      <c r="L887" s="579">
        <v>156.54</v>
      </c>
      <c r="M887" s="579">
        <v>156.54</v>
      </c>
      <c r="N887" s="573"/>
      <c r="O887" s="556"/>
      <c r="P887" s="573"/>
      <c r="Q887" s="556"/>
      <c r="R887" s="582"/>
    </row>
    <row r="888" ht="23.85" customHeight="1" spans="1:18">
      <c r="A888" s="556"/>
      <c r="B888" s="557"/>
      <c r="C888" s="79" t="s">
        <v>2921</v>
      </c>
      <c r="D888" s="78" t="s">
        <v>3003</v>
      </c>
      <c r="E888" s="79" t="s">
        <v>139</v>
      </c>
      <c r="F888" s="79" t="s">
        <v>3004</v>
      </c>
      <c r="G888" s="79" t="s">
        <v>2928</v>
      </c>
      <c r="H888" s="79"/>
      <c r="I888" s="80" t="s">
        <v>2897</v>
      </c>
      <c r="J888" s="583">
        <v>0.882</v>
      </c>
      <c r="K888" s="583">
        <v>0</v>
      </c>
      <c r="L888" s="92">
        <v>29.91</v>
      </c>
      <c r="M888" s="92">
        <v>26.38</v>
      </c>
      <c r="N888" s="573"/>
      <c r="O888" s="556"/>
      <c r="P888" s="573"/>
      <c r="Q888" s="556"/>
      <c r="R888" s="582"/>
    </row>
    <row r="889" ht="23.85" customHeight="1" spans="1:18">
      <c r="A889" s="556"/>
      <c r="B889" s="557"/>
      <c r="C889" s="79" t="s">
        <v>2921</v>
      </c>
      <c r="D889" s="78" t="s">
        <v>3000</v>
      </c>
      <c r="E889" s="79" t="s">
        <v>139</v>
      </c>
      <c r="F889" s="79" t="s">
        <v>3001</v>
      </c>
      <c r="G889" s="79" t="s">
        <v>2995</v>
      </c>
      <c r="H889" s="79"/>
      <c r="I889" s="80" t="s">
        <v>3002</v>
      </c>
      <c r="J889" s="583">
        <v>0.024</v>
      </c>
      <c r="K889" s="583">
        <v>0</v>
      </c>
      <c r="L889" s="92">
        <v>41.6</v>
      </c>
      <c r="M889" s="92">
        <v>0.99</v>
      </c>
      <c r="N889" s="573"/>
      <c r="O889" s="556"/>
      <c r="P889" s="573"/>
      <c r="Q889" s="556"/>
      <c r="R889" s="582"/>
    </row>
    <row r="890" ht="23.85" customHeight="1" spans="1:18">
      <c r="A890" s="556"/>
      <c r="B890" s="557" t="str">
        <f>C889</f>
        <v>Composição Auxiliar</v>
      </c>
      <c r="C890" s="79" t="s">
        <v>2921</v>
      </c>
      <c r="D890" s="78" t="s">
        <v>2993</v>
      </c>
      <c r="E890" s="79" t="s">
        <v>139</v>
      </c>
      <c r="F890" s="79" t="s">
        <v>2994</v>
      </c>
      <c r="G890" s="79" t="s">
        <v>2995</v>
      </c>
      <c r="H890" s="79"/>
      <c r="I890" s="80" t="s">
        <v>2996</v>
      </c>
      <c r="J890" s="583">
        <v>0.098</v>
      </c>
      <c r="K890" s="583">
        <v>0</v>
      </c>
      <c r="L890" s="92">
        <v>39.98</v>
      </c>
      <c r="M890" s="92">
        <v>3.91</v>
      </c>
      <c r="N890" s="573">
        <v>708.2</v>
      </c>
      <c r="O890" s="556" t="str">
        <f t="shared" ref="O890:O895" si="88">IF(N890=M890,"OK","DIF")</f>
        <v>DIF</v>
      </c>
      <c r="P890" s="573"/>
      <c r="Q890" s="556"/>
      <c r="R890" s="582"/>
    </row>
    <row r="891" ht="23.85" customHeight="1" spans="1:18">
      <c r="A891" s="556" t="str">
        <f>B891</f>
        <v>Composição Auxiliar</v>
      </c>
      <c r="B891" s="557" t="str">
        <f>B890</f>
        <v>Composição Auxiliar</v>
      </c>
      <c r="C891" s="79" t="s">
        <v>2921</v>
      </c>
      <c r="D891" s="78" t="s">
        <v>2954</v>
      </c>
      <c r="E891" s="79" t="s">
        <v>139</v>
      </c>
      <c r="F891" s="79" t="s">
        <v>2955</v>
      </c>
      <c r="G891" s="79" t="s">
        <v>2928</v>
      </c>
      <c r="H891" s="79"/>
      <c r="I891" s="80" t="s">
        <v>2897</v>
      </c>
      <c r="J891" s="583">
        <v>2.142</v>
      </c>
      <c r="K891" s="583">
        <v>0</v>
      </c>
      <c r="L891" s="92">
        <v>37.51</v>
      </c>
      <c r="M891" s="92">
        <v>80.34</v>
      </c>
      <c r="N891" s="573">
        <v>0.23</v>
      </c>
      <c r="O891" s="556" t="str">
        <f t="shared" si="88"/>
        <v>DIF</v>
      </c>
      <c r="P891" s="573"/>
      <c r="Q891" s="556"/>
      <c r="R891" s="582"/>
    </row>
    <row r="892" ht="35.05" customHeight="1" spans="1:18">
      <c r="A892" s="556" t="str">
        <f>B892</f>
        <v>Composição Auxiliar</v>
      </c>
      <c r="B892" s="557" t="str">
        <f>B891</f>
        <v>Composição Auxiliar</v>
      </c>
      <c r="C892" s="100" t="s">
        <v>2893</v>
      </c>
      <c r="D892" s="99" t="s">
        <v>3330</v>
      </c>
      <c r="E892" s="100" t="s">
        <v>139</v>
      </c>
      <c r="F892" s="100" t="s">
        <v>3331</v>
      </c>
      <c r="G892" s="100" t="s">
        <v>2961</v>
      </c>
      <c r="H892" s="100"/>
      <c r="I892" s="101" t="s">
        <v>141</v>
      </c>
      <c r="J892" s="580">
        <v>0.334</v>
      </c>
      <c r="K892" s="580">
        <v>0</v>
      </c>
      <c r="L892" s="102">
        <v>45.9</v>
      </c>
      <c r="M892" s="102">
        <v>15.33</v>
      </c>
      <c r="N892" s="573">
        <v>22.86</v>
      </c>
      <c r="O892" s="556" t="str">
        <f t="shared" si="88"/>
        <v>DIF</v>
      </c>
      <c r="P892" s="573"/>
      <c r="Q892" s="556"/>
      <c r="R892" s="582"/>
    </row>
    <row r="893" ht="23.85" customHeight="1" spans="1:18">
      <c r="A893" s="556" t="str">
        <f>B893</f>
        <v>Composição Auxiliar</v>
      </c>
      <c r="B893" s="557" t="str">
        <f>B892</f>
        <v>Composição Auxiliar</v>
      </c>
      <c r="C893" s="100" t="s">
        <v>2893</v>
      </c>
      <c r="D893" s="99" t="s">
        <v>3007</v>
      </c>
      <c r="E893" s="100" t="s">
        <v>139</v>
      </c>
      <c r="F893" s="100" t="s">
        <v>3008</v>
      </c>
      <c r="G893" s="100" t="s">
        <v>2961</v>
      </c>
      <c r="H893" s="100"/>
      <c r="I893" s="101" t="s">
        <v>204</v>
      </c>
      <c r="J893" s="580">
        <v>1.555</v>
      </c>
      <c r="K893" s="580">
        <v>0</v>
      </c>
      <c r="L893" s="102">
        <v>8.79</v>
      </c>
      <c r="M893" s="102">
        <v>13.66</v>
      </c>
      <c r="N893" s="573">
        <v>0.07</v>
      </c>
      <c r="O893" s="556" t="str">
        <f t="shared" si="88"/>
        <v>DIF</v>
      </c>
      <c r="P893" s="573"/>
      <c r="Q893" s="556"/>
      <c r="R893" s="582"/>
    </row>
    <row r="894" ht="15" customHeight="1" spans="1:18">
      <c r="A894" s="556" t="str">
        <f>B894</f>
        <v>Composição Auxiliar</v>
      </c>
      <c r="B894" s="557" t="str">
        <f>B893</f>
        <v>Composição Auxiliar</v>
      </c>
      <c r="C894" s="100" t="s">
        <v>2893</v>
      </c>
      <c r="D894" s="99" t="s">
        <v>3332</v>
      </c>
      <c r="E894" s="100" t="s">
        <v>139</v>
      </c>
      <c r="F894" s="100" t="s">
        <v>3333</v>
      </c>
      <c r="G894" s="100" t="s">
        <v>2961</v>
      </c>
      <c r="H894" s="100"/>
      <c r="I894" s="101" t="s">
        <v>393</v>
      </c>
      <c r="J894" s="580">
        <v>0.032</v>
      </c>
      <c r="K894" s="580">
        <v>0</v>
      </c>
      <c r="L894" s="102">
        <v>22.69</v>
      </c>
      <c r="M894" s="102">
        <v>0.72</v>
      </c>
      <c r="N894" s="573">
        <v>19.59</v>
      </c>
      <c r="O894" s="556" t="str">
        <f t="shared" si="88"/>
        <v>DIF</v>
      </c>
      <c r="P894" s="573"/>
      <c r="Q894" s="556"/>
      <c r="R894" s="582"/>
    </row>
    <row r="895" ht="23.85" customHeight="1" spans="1:18">
      <c r="A895" s="556" t="str">
        <f>B895</f>
        <v>Composição Auxiliar</v>
      </c>
      <c r="B895" s="557" t="str">
        <f>B894</f>
        <v>Composição Auxiliar</v>
      </c>
      <c r="C895" s="100" t="s">
        <v>2893</v>
      </c>
      <c r="D895" s="99" t="s">
        <v>3334</v>
      </c>
      <c r="E895" s="100" t="s">
        <v>139</v>
      </c>
      <c r="F895" s="100" t="s">
        <v>3335</v>
      </c>
      <c r="G895" s="100" t="s">
        <v>2961</v>
      </c>
      <c r="H895" s="100"/>
      <c r="I895" s="101" t="s">
        <v>204</v>
      </c>
      <c r="J895" s="580">
        <v>1.796</v>
      </c>
      <c r="K895" s="580">
        <v>0</v>
      </c>
      <c r="L895" s="102">
        <v>3.07</v>
      </c>
      <c r="M895" s="102">
        <v>5.51</v>
      </c>
      <c r="N895" s="573">
        <v>665.45</v>
      </c>
      <c r="O895" s="556" t="str">
        <f t="shared" si="88"/>
        <v>DIF</v>
      </c>
      <c r="P895" s="573"/>
      <c r="Q895" s="556"/>
      <c r="R895" s="582"/>
    </row>
    <row r="896" ht="15" customHeight="1" spans="1:18">
      <c r="A896" s="556"/>
      <c r="B896" s="557"/>
      <c r="C896" s="100" t="s">
        <v>2893</v>
      </c>
      <c r="D896" s="99" t="s">
        <v>3336</v>
      </c>
      <c r="E896" s="100" t="s">
        <v>139</v>
      </c>
      <c r="F896" s="100" t="s">
        <v>3337</v>
      </c>
      <c r="G896" s="100" t="s">
        <v>2961</v>
      </c>
      <c r="H896" s="100"/>
      <c r="I896" s="101" t="s">
        <v>393</v>
      </c>
      <c r="J896" s="580">
        <v>0.034</v>
      </c>
      <c r="K896" s="580">
        <v>0</v>
      </c>
      <c r="L896" s="102">
        <v>18.73</v>
      </c>
      <c r="M896" s="102">
        <v>0.63</v>
      </c>
      <c r="N896" s="573"/>
      <c r="O896" s="556"/>
      <c r="P896" s="573"/>
      <c r="Q896" s="556"/>
      <c r="R896" s="582"/>
    </row>
    <row r="897" ht="23.85" customHeight="1" spans="1:18">
      <c r="A897" s="556"/>
      <c r="B897" s="557"/>
      <c r="C897" s="100" t="s">
        <v>2893</v>
      </c>
      <c r="D897" s="99" t="s">
        <v>3338</v>
      </c>
      <c r="E897" s="100" t="s">
        <v>139</v>
      </c>
      <c r="F897" s="100" t="s">
        <v>3339</v>
      </c>
      <c r="G897" s="100" t="s">
        <v>2961</v>
      </c>
      <c r="H897" s="100"/>
      <c r="I897" s="101" t="s">
        <v>204</v>
      </c>
      <c r="J897" s="580">
        <v>0.6</v>
      </c>
      <c r="K897" s="580">
        <v>0</v>
      </c>
      <c r="L897" s="102">
        <v>14.58</v>
      </c>
      <c r="M897" s="102">
        <v>8.74</v>
      </c>
      <c r="N897" s="573"/>
      <c r="O897" s="556"/>
      <c r="P897" s="573"/>
      <c r="Q897" s="556"/>
      <c r="R897" s="582"/>
    </row>
    <row r="898" ht="15" customHeight="1" spans="1:18">
      <c r="A898" s="556"/>
      <c r="B898" s="557" t="str">
        <f>C897</f>
        <v>Insumo</v>
      </c>
      <c r="C898" s="100" t="s">
        <v>2893</v>
      </c>
      <c r="D898" s="99" t="s">
        <v>3340</v>
      </c>
      <c r="E898" s="100" t="s">
        <v>139</v>
      </c>
      <c r="F898" s="100" t="s">
        <v>3341</v>
      </c>
      <c r="G898" s="100" t="s">
        <v>2961</v>
      </c>
      <c r="H898" s="100"/>
      <c r="I898" s="101" t="s">
        <v>393</v>
      </c>
      <c r="J898" s="580">
        <v>0.013</v>
      </c>
      <c r="K898" s="580">
        <v>0</v>
      </c>
      <c r="L898" s="102">
        <v>20.35</v>
      </c>
      <c r="M898" s="102">
        <v>0.26</v>
      </c>
      <c r="N898" s="573">
        <v>673.91</v>
      </c>
      <c r="O898" s="556" t="str">
        <f t="shared" ref="O898:O903" si="89">IF(N898=M898,"OK","DIF")</f>
        <v>DIF</v>
      </c>
      <c r="P898" s="573"/>
      <c r="Q898" s="556"/>
      <c r="R898" s="582"/>
    </row>
    <row r="899" ht="23.85" customHeight="1" spans="1:18">
      <c r="A899" s="556" t="str">
        <f>B899</f>
        <v>Insumo</v>
      </c>
      <c r="B899" s="557" t="str">
        <f>B898</f>
        <v>Insumo</v>
      </c>
      <c r="C899" s="100" t="s">
        <v>2893</v>
      </c>
      <c r="D899" s="99" t="s">
        <v>3342</v>
      </c>
      <c r="E899" s="100" t="s">
        <v>139</v>
      </c>
      <c r="F899" s="100" t="s">
        <v>3343</v>
      </c>
      <c r="G899" s="100" t="s">
        <v>2961</v>
      </c>
      <c r="H899" s="100"/>
      <c r="I899" s="101" t="s">
        <v>3084</v>
      </c>
      <c r="J899" s="580">
        <v>0.00955</v>
      </c>
      <c r="K899" s="580">
        <v>0</v>
      </c>
      <c r="L899" s="102">
        <v>7.97</v>
      </c>
      <c r="M899" s="102">
        <v>0.07</v>
      </c>
      <c r="N899" s="573">
        <v>11.14</v>
      </c>
      <c r="O899" s="556" t="str">
        <f t="shared" si="89"/>
        <v>DIF</v>
      </c>
      <c r="P899" s="573"/>
      <c r="Q899" s="556"/>
      <c r="R899" s="582"/>
    </row>
    <row r="900" ht="25.5" spans="1:18">
      <c r="A900" s="556" t="str">
        <f>B900</f>
        <v>Insumo</v>
      </c>
      <c r="B900" s="557" t="str">
        <f>B899</f>
        <v>Insumo</v>
      </c>
      <c r="C900" s="108"/>
      <c r="D900" s="108"/>
      <c r="E900" s="108"/>
      <c r="F900" s="108"/>
      <c r="G900" s="108"/>
      <c r="H900" s="108" t="s">
        <v>2898</v>
      </c>
      <c r="I900" s="581">
        <v>80.86</v>
      </c>
      <c r="J900" s="108" t="s">
        <v>2899</v>
      </c>
      <c r="K900" s="581">
        <v>0</v>
      </c>
      <c r="L900" s="108" t="s">
        <v>2900</v>
      </c>
      <c r="M900" s="581">
        <v>80.86</v>
      </c>
      <c r="N900" s="573">
        <v>0.03</v>
      </c>
      <c r="O900" s="556" t="str">
        <f t="shared" si="89"/>
        <v>DIF</v>
      </c>
      <c r="P900" s="573"/>
      <c r="Q900" s="556"/>
      <c r="R900" s="582"/>
    </row>
    <row r="901" ht="26.25" spans="1:18">
      <c r="A901" s="556" t="str">
        <f>B901</f>
        <v>Insumo</v>
      </c>
      <c r="B901" s="557" t="str">
        <f>B900</f>
        <v>Insumo</v>
      </c>
      <c r="C901" s="108"/>
      <c r="D901" s="108"/>
      <c r="E901" s="108"/>
      <c r="F901" s="108"/>
      <c r="G901" s="108"/>
      <c r="H901" s="108" t="s">
        <v>2901</v>
      </c>
      <c r="I901" s="581">
        <v>39.9</v>
      </c>
      <c r="J901" s="114"/>
      <c r="K901" s="114" t="s">
        <v>2902</v>
      </c>
      <c r="L901" s="108"/>
      <c r="M901" s="581">
        <v>196.44</v>
      </c>
      <c r="N901" s="573">
        <v>0.13</v>
      </c>
      <c r="O901" s="556" t="str">
        <f t="shared" si="89"/>
        <v>DIF</v>
      </c>
      <c r="P901" s="573"/>
      <c r="Q901" s="556"/>
      <c r="R901" s="582"/>
    </row>
    <row r="902" ht="15" spans="1:18">
      <c r="A902" s="556" t="str">
        <f>B902</f>
        <v>Insumo</v>
      </c>
      <c r="B902" s="557" t="str">
        <f>B901</f>
        <v>Insumo</v>
      </c>
      <c r="C902" s="571"/>
      <c r="D902" s="571"/>
      <c r="E902" s="571"/>
      <c r="F902" s="571"/>
      <c r="G902" s="571"/>
      <c r="H902" s="571"/>
      <c r="I902" s="571"/>
      <c r="J902" s="571"/>
      <c r="K902" s="571"/>
      <c r="L902" s="571"/>
      <c r="M902" s="571"/>
      <c r="N902" s="573">
        <v>13</v>
      </c>
      <c r="O902" s="556" t="str">
        <f t="shared" si="89"/>
        <v>DIF</v>
      </c>
      <c r="P902" s="573"/>
      <c r="Q902" s="556"/>
      <c r="R902" s="582"/>
    </row>
    <row r="903" ht="15" customHeight="1" spans="1:18">
      <c r="A903" s="556" t="str">
        <f>B903</f>
        <v>Insumo</v>
      </c>
      <c r="B903" s="557" t="str">
        <f>B902</f>
        <v>Insumo</v>
      </c>
      <c r="C903" s="76" t="s">
        <v>409</v>
      </c>
      <c r="D903" s="75" t="s">
        <v>63</v>
      </c>
      <c r="E903" s="76" t="s">
        <v>64</v>
      </c>
      <c r="F903" s="76" t="s">
        <v>65</v>
      </c>
      <c r="G903" s="76" t="s">
        <v>2889</v>
      </c>
      <c r="H903" s="76"/>
      <c r="I903" s="77" t="s">
        <v>66</v>
      </c>
      <c r="J903" s="75" t="s">
        <v>67</v>
      </c>
      <c r="K903" s="75" t="s">
        <v>2890</v>
      </c>
      <c r="L903" s="75" t="s">
        <v>68</v>
      </c>
      <c r="M903" s="75" t="s">
        <v>70</v>
      </c>
      <c r="N903" s="573">
        <v>649.61</v>
      </c>
      <c r="O903" s="556" t="str">
        <f t="shared" si="89"/>
        <v>DIF</v>
      </c>
      <c r="P903" s="573"/>
      <c r="Q903" s="556"/>
      <c r="R903" s="582"/>
    </row>
    <row r="904" ht="35.05" customHeight="1" spans="1:18">
      <c r="A904" s="556"/>
      <c r="B904" s="557"/>
      <c r="C904" s="569" t="s">
        <v>2891</v>
      </c>
      <c r="D904" s="570" t="s">
        <v>410</v>
      </c>
      <c r="E904" s="569" t="s">
        <v>139</v>
      </c>
      <c r="F904" s="569" t="s">
        <v>411</v>
      </c>
      <c r="G904" s="569" t="s">
        <v>3310</v>
      </c>
      <c r="H904" s="569"/>
      <c r="I904" s="577" t="s">
        <v>279</v>
      </c>
      <c r="J904" s="578">
        <v>1</v>
      </c>
      <c r="K904" s="579"/>
      <c r="L904" s="579">
        <v>732.3</v>
      </c>
      <c r="M904" s="579">
        <v>732.3</v>
      </c>
      <c r="N904" s="573"/>
      <c r="O904" s="556"/>
      <c r="P904" s="573"/>
      <c r="Q904" s="556"/>
      <c r="R904" s="582"/>
    </row>
    <row r="905" ht="23.85" customHeight="1" spans="1:18">
      <c r="A905" s="556"/>
      <c r="B905" s="557"/>
      <c r="C905" s="79" t="s">
        <v>2921</v>
      </c>
      <c r="D905" s="78" t="s">
        <v>2952</v>
      </c>
      <c r="E905" s="79" t="s">
        <v>139</v>
      </c>
      <c r="F905" s="79" t="s">
        <v>2953</v>
      </c>
      <c r="G905" s="79" t="s">
        <v>2928</v>
      </c>
      <c r="H905" s="79"/>
      <c r="I905" s="80" t="s">
        <v>2897</v>
      </c>
      <c r="J905" s="583">
        <v>2.882</v>
      </c>
      <c r="K905" s="583">
        <v>0</v>
      </c>
      <c r="L905" s="92">
        <v>29.15</v>
      </c>
      <c r="M905" s="92">
        <v>84.01</v>
      </c>
      <c r="N905" s="573"/>
      <c r="O905" s="556"/>
      <c r="P905" s="573"/>
      <c r="Q905" s="556"/>
      <c r="R905" s="582"/>
    </row>
    <row r="906" ht="35.05" customHeight="1" spans="1:18">
      <c r="A906" s="556"/>
      <c r="B906" s="557" t="str">
        <f>C905</f>
        <v>Composição Auxiliar</v>
      </c>
      <c r="C906" s="79" t="s">
        <v>2921</v>
      </c>
      <c r="D906" s="78" t="s">
        <v>3344</v>
      </c>
      <c r="E906" s="79" t="s">
        <v>139</v>
      </c>
      <c r="F906" s="79" t="s">
        <v>3345</v>
      </c>
      <c r="G906" s="79" t="s">
        <v>2999</v>
      </c>
      <c r="H906" s="79"/>
      <c r="I906" s="80" t="s">
        <v>279</v>
      </c>
      <c r="J906" s="583">
        <v>1.16</v>
      </c>
      <c r="K906" s="583">
        <v>0</v>
      </c>
      <c r="L906" s="92">
        <v>480.69</v>
      </c>
      <c r="M906" s="92">
        <v>557.6</v>
      </c>
      <c r="N906" s="573">
        <v>787.42</v>
      </c>
      <c r="O906" s="556" t="str">
        <f>IF(N906=M906,"OK","DIF")</f>
        <v>DIF</v>
      </c>
      <c r="P906" s="573"/>
      <c r="Q906" s="556"/>
      <c r="R906" s="582"/>
    </row>
    <row r="907" ht="23.85" customHeight="1" spans="1:18">
      <c r="A907" s="556" t="str">
        <f>B907</f>
        <v>Composição Auxiliar</v>
      </c>
      <c r="B907" s="557" t="str">
        <f>B906</f>
        <v>Composição Auxiliar</v>
      </c>
      <c r="C907" s="79" t="s">
        <v>2921</v>
      </c>
      <c r="D907" s="78" t="s">
        <v>3017</v>
      </c>
      <c r="E907" s="79" t="s">
        <v>139</v>
      </c>
      <c r="F907" s="79" t="s">
        <v>3018</v>
      </c>
      <c r="G907" s="79" t="s">
        <v>2928</v>
      </c>
      <c r="H907" s="79"/>
      <c r="I907" s="80" t="s">
        <v>2897</v>
      </c>
      <c r="J907" s="583">
        <v>2.425</v>
      </c>
      <c r="K907" s="583">
        <v>0</v>
      </c>
      <c r="L907" s="92">
        <v>36.96</v>
      </c>
      <c r="M907" s="92">
        <v>89.62</v>
      </c>
      <c r="N907" s="573">
        <v>63.65</v>
      </c>
      <c r="O907" s="556" t="str">
        <f>IF(N907=M907,"OK","DIF")</f>
        <v>DIF</v>
      </c>
      <c r="P907" s="573"/>
      <c r="Q907" s="556"/>
      <c r="R907" s="582"/>
    </row>
    <row r="908" ht="23.85" customHeight="1" spans="1:18">
      <c r="A908" s="556" t="str">
        <f>B908</f>
        <v>Composição Auxiliar</v>
      </c>
      <c r="B908" s="557" t="str">
        <f>B907</f>
        <v>Composição Auxiliar</v>
      </c>
      <c r="C908" s="79" t="s">
        <v>2921</v>
      </c>
      <c r="D908" s="78" t="s">
        <v>3346</v>
      </c>
      <c r="E908" s="79" t="s">
        <v>139</v>
      </c>
      <c r="F908" s="79" t="s">
        <v>3347</v>
      </c>
      <c r="G908" s="79" t="s">
        <v>2995</v>
      </c>
      <c r="H908" s="79"/>
      <c r="I908" s="80" t="s">
        <v>2996</v>
      </c>
      <c r="J908" s="583">
        <v>1.101</v>
      </c>
      <c r="K908" s="583">
        <v>0</v>
      </c>
      <c r="L908" s="92">
        <v>0.53</v>
      </c>
      <c r="M908" s="92">
        <v>0.58</v>
      </c>
      <c r="N908" s="573">
        <v>226.34</v>
      </c>
      <c r="O908" s="556" t="str">
        <f>IF(N908=M908,"OK","DIF")</f>
        <v>DIF</v>
      </c>
      <c r="P908" s="573"/>
      <c r="Q908" s="556"/>
      <c r="R908" s="582"/>
    </row>
    <row r="909" ht="23.85" customHeight="1" spans="1:18">
      <c r="A909" s="556" t="str">
        <f>B909</f>
        <v>Composição Auxiliar</v>
      </c>
      <c r="B909" s="557" t="str">
        <f>B908</f>
        <v>Composição Auxiliar</v>
      </c>
      <c r="C909" s="79" t="s">
        <v>2921</v>
      </c>
      <c r="D909" s="78" t="s">
        <v>3348</v>
      </c>
      <c r="E909" s="79" t="s">
        <v>139</v>
      </c>
      <c r="F909" s="79" t="s">
        <v>3349</v>
      </c>
      <c r="G909" s="79" t="s">
        <v>2995</v>
      </c>
      <c r="H909" s="79"/>
      <c r="I909" s="80" t="s">
        <v>3002</v>
      </c>
      <c r="J909" s="583">
        <v>0.34</v>
      </c>
      <c r="K909" s="583">
        <v>0</v>
      </c>
      <c r="L909" s="92">
        <v>1.45</v>
      </c>
      <c r="M909" s="92">
        <v>0.49</v>
      </c>
      <c r="N909" s="573">
        <v>497.43</v>
      </c>
      <c r="O909" s="556" t="str">
        <f>IF(N909=M909,"OK","DIF")</f>
        <v>DIF</v>
      </c>
      <c r="P909" s="573"/>
      <c r="Q909" s="556"/>
      <c r="R909" s="582"/>
    </row>
    <row r="910" ht="25.5" spans="1:18">
      <c r="A910" s="556"/>
      <c r="B910" s="557"/>
      <c r="C910" s="108"/>
      <c r="D910" s="108"/>
      <c r="E910" s="108"/>
      <c r="F910" s="108"/>
      <c r="G910" s="108"/>
      <c r="H910" s="108" t="s">
        <v>2898</v>
      </c>
      <c r="I910" s="581">
        <v>198.08</v>
      </c>
      <c r="J910" s="108" t="s">
        <v>2899</v>
      </c>
      <c r="K910" s="581">
        <v>0</v>
      </c>
      <c r="L910" s="108" t="s">
        <v>2900</v>
      </c>
      <c r="M910" s="581">
        <v>198.08</v>
      </c>
      <c r="N910" s="573"/>
      <c r="O910" s="556"/>
      <c r="P910" s="573"/>
      <c r="Q910" s="556"/>
      <c r="R910" s="582"/>
    </row>
    <row r="911" ht="26.25" spans="1:18">
      <c r="A911" s="556"/>
      <c r="B911" s="557"/>
      <c r="C911" s="108"/>
      <c r="D911" s="108"/>
      <c r="E911" s="108"/>
      <c r="F911" s="108"/>
      <c r="G911" s="108"/>
      <c r="H911" s="108" t="s">
        <v>2901</v>
      </c>
      <c r="I911" s="581">
        <v>186.66</v>
      </c>
      <c r="J911" s="114"/>
      <c r="K911" s="114" t="s">
        <v>2902</v>
      </c>
      <c r="L911" s="108"/>
      <c r="M911" s="581">
        <v>918.96</v>
      </c>
      <c r="N911" s="573"/>
      <c r="O911" s="556"/>
      <c r="P911" s="573"/>
      <c r="Q911" s="556"/>
      <c r="R911" s="582"/>
    </row>
    <row r="912" ht="15" spans="1:18">
      <c r="A912" s="556"/>
      <c r="B912" s="557">
        <f>C911</f>
        <v>0</v>
      </c>
      <c r="C912" s="571"/>
      <c r="D912" s="571"/>
      <c r="E912" s="571"/>
      <c r="F912" s="571"/>
      <c r="G912" s="571"/>
      <c r="H912" s="571"/>
      <c r="I912" s="571"/>
      <c r="J912" s="571"/>
      <c r="K912" s="571"/>
      <c r="L912" s="571"/>
      <c r="M912" s="571"/>
      <c r="N912" s="573">
        <v>2.3</v>
      </c>
      <c r="O912" s="556" t="str">
        <f>IF(N912=M912,"OK","DIF")</f>
        <v>DIF</v>
      </c>
      <c r="P912" s="573"/>
      <c r="Q912" s="556"/>
      <c r="R912" s="582"/>
    </row>
    <row r="913" ht="15" customHeight="1" spans="1:18">
      <c r="A913" s="556">
        <f>B913</f>
        <v>0</v>
      </c>
      <c r="B913" s="557">
        <f>B912</f>
        <v>0</v>
      </c>
      <c r="C913" s="76" t="s">
        <v>412</v>
      </c>
      <c r="D913" s="75" t="s">
        <v>63</v>
      </c>
      <c r="E913" s="76" t="s">
        <v>64</v>
      </c>
      <c r="F913" s="76" t="s">
        <v>65</v>
      </c>
      <c r="G913" s="76" t="s">
        <v>2889</v>
      </c>
      <c r="H913" s="76"/>
      <c r="I913" s="77" t="s">
        <v>66</v>
      </c>
      <c r="J913" s="75" t="s">
        <v>67</v>
      </c>
      <c r="K913" s="75" t="s">
        <v>2890</v>
      </c>
      <c r="L913" s="75" t="s">
        <v>68</v>
      </c>
      <c r="M913" s="75" t="s">
        <v>70</v>
      </c>
      <c r="N913" s="573">
        <v>0.46</v>
      </c>
      <c r="O913" s="556" t="str">
        <f>IF(N913=M913,"OK","DIF")</f>
        <v>DIF</v>
      </c>
      <c r="P913" s="573"/>
      <c r="Q913" s="556"/>
      <c r="R913" s="582"/>
    </row>
    <row r="914" ht="23.85" customHeight="1" spans="1:18">
      <c r="A914" s="556">
        <f>B914</f>
        <v>0</v>
      </c>
      <c r="B914" s="557">
        <f>B913</f>
        <v>0</v>
      </c>
      <c r="C914" s="569" t="s">
        <v>2891</v>
      </c>
      <c r="D914" s="570" t="s">
        <v>413</v>
      </c>
      <c r="E914" s="569" t="s">
        <v>139</v>
      </c>
      <c r="F914" s="569" t="s">
        <v>414</v>
      </c>
      <c r="G914" s="569" t="s">
        <v>3230</v>
      </c>
      <c r="H914" s="569"/>
      <c r="I914" s="577" t="s">
        <v>279</v>
      </c>
      <c r="J914" s="578">
        <v>1</v>
      </c>
      <c r="K914" s="579"/>
      <c r="L914" s="579">
        <v>852.23</v>
      </c>
      <c r="M914" s="579">
        <v>852.23</v>
      </c>
      <c r="N914" s="573">
        <v>0.12</v>
      </c>
      <c r="O914" s="556" t="str">
        <f>IF(N914=M914,"OK","DIF")</f>
        <v>DIF</v>
      </c>
      <c r="P914" s="573"/>
      <c r="Q914" s="556"/>
      <c r="R914" s="582"/>
    </row>
    <row r="915" ht="35.05" customHeight="1" spans="1:18">
      <c r="A915" s="556">
        <f>B915</f>
        <v>0</v>
      </c>
      <c r="B915" s="557">
        <f>B914</f>
        <v>0</v>
      </c>
      <c r="C915" s="79" t="s">
        <v>2921</v>
      </c>
      <c r="D915" s="78" t="s">
        <v>3350</v>
      </c>
      <c r="E915" s="79" t="s">
        <v>139</v>
      </c>
      <c r="F915" s="79" t="s">
        <v>3351</v>
      </c>
      <c r="G915" s="79" t="s">
        <v>2999</v>
      </c>
      <c r="H915" s="79"/>
      <c r="I915" s="80" t="s">
        <v>279</v>
      </c>
      <c r="J915" s="583">
        <v>1.38</v>
      </c>
      <c r="K915" s="583">
        <v>0</v>
      </c>
      <c r="L915" s="92">
        <v>384.14</v>
      </c>
      <c r="M915" s="92">
        <v>530.11</v>
      </c>
      <c r="N915" s="573">
        <v>1.72</v>
      </c>
      <c r="O915" s="556" t="str">
        <f>IF(N915=M915,"OK","DIF")</f>
        <v>DIF</v>
      </c>
      <c r="P915" s="573"/>
      <c r="Q915" s="556"/>
      <c r="R915" s="582"/>
    </row>
    <row r="916" ht="23.85" customHeight="1" spans="1:18">
      <c r="A916" s="556"/>
      <c r="B916" s="557"/>
      <c r="C916" s="79" t="s">
        <v>2921</v>
      </c>
      <c r="D916" s="78" t="s">
        <v>2952</v>
      </c>
      <c r="E916" s="79" t="s">
        <v>139</v>
      </c>
      <c r="F916" s="79" t="s">
        <v>2953</v>
      </c>
      <c r="G916" s="79" t="s">
        <v>2928</v>
      </c>
      <c r="H916" s="79"/>
      <c r="I916" s="80" t="s">
        <v>2897</v>
      </c>
      <c r="J916" s="583">
        <v>2.453</v>
      </c>
      <c r="K916" s="583">
        <v>0</v>
      </c>
      <c r="L916" s="92">
        <v>29.15</v>
      </c>
      <c r="M916" s="92">
        <v>71.5</v>
      </c>
      <c r="N916" s="573"/>
      <c r="O916" s="556"/>
      <c r="P916" s="573"/>
      <c r="Q916" s="556"/>
      <c r="R916" s="582"/>
    </row>
    <row r="917" ht="23.85" customHeight="1" spans="1:18">
      <c r="A917" s="556"/>
      <c r="B917" s="557"/>
      <c r="C917" s="79" t="s">
        <v>2921</v>
      </c>
      <c r="D917" s="78" t="s">
        <v>3017</v>
      </c>
      <c r="E917" s="79" t="s">
        <v>139</v>
      </c>
      <c r="F917" s="79" t="s">
        <v>3018</v>
      </c>
      <c r="G917" s="79" t="s">
        <v>2928</v>
      </c>
      <c r="H917" s="79"/>
      <c r="I917" s="80" t="s">
        <v>2897</v>
      </c>
      <c r="J917" s="583">
        <v>6.781</v>
      </c>
      <c r="K917" s="583">
        <v>0</v>
      </c>
      <c r="L917" s="92">
        <v>36.96</v>
      </c>
      <c r="M917" s="92">
        <v>250.62</v>
      </c>
      <c r="N917" s="573"/>
      <c r="O917" s="556"/>
      <c r="P917" s="573"/>
      <c r="Q917" s="556"/>
      <c r="R917" s="582"/>
    </row>
    <row r="918" ht="25.5" spans="1:18">
      <c r="A918" s="556"/>
      <c r="B918" s="557" t="str">
        <f>C917</f>
        <v>Composição Auxiliar</v>
      </c>
      <c r="C918" s="108"/>
      <c r="D918" s="108"/>
      <c r="E918" s="108"/>
      <c r="F918" s="108"/>
      <c r="G918" s="108"/>
      <c r="H918" s="108" t="s">
        <v>2898</v>
      </c>
      <c r="I918" s="581">
        <v>328.6</v>
      </c>
      <c r="J918" s="108" t="s">
        <v>2899</v>
      </c>
      <c r="K918" s="581">
        <v>0</v>
      </c>
      <c r="L918" s="108" t="s">
        <v>2900</v>
      </c>
      <c r="M918" s="581">
        <v>328.6</v>
      </c>
      <c r="N918" s="573">
        <v>17.78</v>
      </c>
      <c r="O918" s="556" t="str">
        <f t="shared" ref="O918:O923" si="90">IF(N918=M918,"OK","DIF")</f>
        <v>DIF</v>
      </c>
      <c r="P918" s="573"/>
      <c r="Q918" s="556"/>
      <c r="R918" s="582"/>
    </row>
    <row r="919" ht="26.25" spans="1:18">
      <c r="A919" s="556" t="str">
        <f>B919</f>
        <v>Composição Auxiliar</v>
      </c>
      <c r="B919" s="557" t="str">
        <f>B918</f>
        <v>Composição Auxiliar</v>
      </c>
      <c r="C919" s="108"/>
      <c r="D919" s="108"/>
      <c r="E919" s="108"/>
      <c r="F919" s="108"/>
      <c r="G919" s="108"/>
      <c r="H919" s="108" t="s">
        <v>2901</v>
      </c>
      <c r="I919" s="581">
        <v>217.23</v>
      </c>
      <c r="J919" s="114"/>
      <c r="K919" s="114" t="s">
        <v>2902</v>
      </c>
      <c r="L919" s="108"/>
      <c r="M919" s="581">
        <v>1069.46</v>
      </c>
      <c r="N919" s="573">
        <v>9.87</v>
      </c>
      <c r="O919" s="556" t="str">
        <f t="shared" si="90"/>
        <v>DIF</v>
      </c>
      <c r="P919" s="573"/>
      <c r="Q919" s="556"/>
      <c r="R919" s="582"/>
    </row>
    <row r="920" ht="15" spans="1:18">
      <c r="A920" s="556" t="str">
        <f>B920</f>
        <v>Composição Auxiliar</v>
      </c>
      <c r="B920" s="557" t="str">
        <f>B919</f>
        <v>Composição Auxiliar</v>
      </c>
      <c r="C920" s="571"/>
      <c r="D920" s="571"/>
      <c r="E920" s="571"/>
      <c r="F920" s="571"/>
      <c r="G920" s="571"/>
      <c r="H920" s="571"/>
      <c r="I920" s="571"/>
      <c r="J920" s="571"/>
      <c r="K920" s="571"/>
      <c r="L920" s="571"/>
      <c r="M920" s="571"/>
      <c r="N920" s="573">
        <v>1.71</v>
      </c>
      <c r="O920" s="556" t="str">
        <f t="shared" si="90"/>
        <v>DIF</v>
      </c>
      <c r="P920" s="573"/>
      <c r="Q920" s="556"/>
      <c r="R920" s="582"/>
    </row>
    <row r="921" ht="15" customHeight="1" spans="1:18">
      <c r="A921" s="556" t="str">
        <f>B921</f>
        <v>Composição Auxiliar</v>
      </c>
      <c r="B921" s="557" t="str">
        <f>B920</f>
        <v>Composição Auxiliar</v>
      </c>
      <c r="C921" s="76" t="s">
        <v>415</v>
      </c>
      <c r="D921" s="75" t="s">
        <v>63</v>
      </c>
      <c r="E921" s="76" t="s">
        <v>64</v>
      </c>
      <c r="F921" s="76" t="s">
        <v>65</v>
      </c>
      <c r="G921" s="76" t="s">
        <v>2889</v>
      </c>
      <c r="H921" s="76"/>
      <c r="I921" s="77" t="s">
        <v>66</v>
      </c>
      <c r="J921" s="75" t="s">
        <v>67</v>
      </c>
      <c r="K921" s="75" t="s">
        <v>2890</v>
      </c>
      <c r="L921" s="75" t="s">
        <v>68</v>
      </c>
      <c r="M921" s="75" t="s">
        <v>70</v>
      </c>
      <c r="N921" s="573">
        <v>5.38</v>
      </c>
      <c r="O921" s="556" t="str">
        <f t="shared" si="90"/>
        <v>DIF</v>
      </c>
      <c r="P921" s="573"/>
      <c r="Q921" s="556"/>
      <c r="R921" s="582"/>
    </row>
    <row r="922" ht="23.85" customHeight="1" spans="1:18">
      <c r="A922" s="556" t="str">
        <f>B922</f>
        <v>Composição Auxiliar</v>
      </c>
      <c r="B922" s="557" t="str">
        <f>B921</f>
        <v>Composição Auxiliar</v>
      </c>
      <c r="C922" s="569" t="s">
        <v>2891</v>
      </c>
      <c r="D922" s="570" t="s">
        <v>416</v>
      </c>
      <c r="E922" s="569" t="s">
        <v>149</v>
      </c>
      <c r="F922" s="569" t="s">
        <v>417</v>
      </c>
      <c r="G922" s="569" t="s">
        <v>3352</v>
      </c>
      <c r="H922" s="569"/>
      <c r="I922" s="577" t="s">
        <v>134</v>
      </c>
      <c r="J922" s="578">
        <v>1</v>
      </c>
      <c r="K922" s="579"/>
      <c r="L922" s="579">
        <v>11631.77</v>
      </c>
      <c r="M922" s="579">
        <v>11631.77</v>
      </c>
      <c r="N922" s="573">
        <v>0.64</v>
      </c>
      <c r="O922" s="556" t="str">
        <f t="shared" si="90"/>
        <v>DIF</v>
      </c>
      <c r="P922" s="573"/>
      <c r="Q922" s="556"/>
      <c r="R922" s="582"/>
    </row>
    <row r="923" ht="15" customHeight="1" spans="1:18">
      <c r="A923" s="556" t="str">
        <f>B923</f>
        <v>Composição Auxiliar</v>
      </c>
      <c r="B923" s="557" t="str">
        <f>B922</f>
        <v>Composição Auxiliar</v>
      </c>
      <c r="C923" s="100" t="s">
        <v>2893</v>
      </c>
      <c r="D923" s="99" t="s">
        <v>2974</v>
      </c>
      <c r="E923" s="100" t="s">
        <v>149</v>
      </c>
      <c r="F923" s="100" t="s">
        <v>2975</v>
      </c>
      <c r="G923" s="100" t="s">
        <v>2896</v>
      </c>
      <c r="H923" s="100"/>
      <c r="I923" s="101" t="s">
        <v>2897</v>
      </c>
      <c r="J923" s="580">
        <v>160.836</v>
      </c>
      <c r="K923" s="580">
        <v>0</v>
      </c>
      <c r="L923" s="102">
        <v>19.471856</v>
      </c>
      <c r="M923" s="102">
        <v>3131.77</v>
      </c>
      <c r="N923" s="573">
        <v>0.18</v>
      </c>
      <c r="O923" s="556" t="str">
        <f t="shared" si="90"/>
        <v>DIF</v>
      </c>
      <c r="P923" s="573"/>
      <c r="Q923" s="556"/>
      <c r="R923" s="582"/>
    </row>
    <row r="924" ht="15" customHeight="1" spans="1:18">
      <c r="A924" s="556"/>
      <c r="B924" s="557"/>
      <c r="C924" s="100" t="s">
        <v>2893</v>
      </c>
      <c r="D924" s="99" t="s">
        <v>3353</v>
      </c>
      <c r="E924" s="100" t="s">
        <v>149</v>
      </c>
      <c r="F924" s="100" t="s">
        <v>3354</v>
      </c>
      <c r="G924" s="100" t="s">
        <v>2961</v>
      </c>
      <c r="H924" s="100"/>
      <c r="I924" s="101" t="s">
        <v>134</v>
      </c>
      <c r="J924" s="580">
        <v>1</v>
      </c>
      <c r="K924" s="580">
        <v>0</v>
      </c>
      <c r="L924" s="102">
        <v>8500</v>
      </c>
      <c r="M924" s="102">
        <v>8500</v>
      </c>
      <c r="N924" s="573"/>
      <c r="O924" s="556"/>
      <c r="P924" s="573"/>
      <c r="Q924" s="556"/>
      <c r="R924" s="582"/>
    </row>
    <row r="925" ht="25.5" spans="1:18">
      <c r="A925" s="556"/>
      <c r="B925" s="557"/>
      <c r="C925" s="108"/>
      <c r="D925" s="108"/>
      <c r="E925" s="108"/>
      <c r="F925" s="108"/>
      <c r="G925" s="108"/>
      <c r="H925" s="108" t="s">
        <v>2898</v>
      </c>
      <c r="I925" s="581">
        <v>3131.77</v>
      </c>
      <c r="J925" s="108" t="s">
        <v>2899</v>
      </c>
      <c r="K925" s="581">
        <v>0</v>
      </c>
      <c r="L925" s="108" t="s">
        <v>2900</v>
      </c>
      <c r="M925" s="581">
        <v>3131.77</v>
      </c>
      <c r="N925" s="573"/>
      <c r="O925" s="556"/>
      <c r="P925" s="573"/>
      <c r="Q925" s="556"/>
      <c r="R925" s="582"/>
    </row>
    <row r="926" ht="26.25" spans="1:18">
      <c r="A926" s="556"/>
      <c r="B926" s="557">
        <f>C925</f>
        <v>0</v>
      </c>
      <c r="C926" s="108"/>
      <c r="D926" s="108"/>
      <c r="E926" s="108"/>
      <c r="F926" s="108"/>
      <c r="G926" s="108"/>
      <c r="H926" s="108" t="s">
        <v>2901</v>
      </c>
      <c r="I926" s="581">
        <v>2964.93</v>
      </c>
      <c r="J926" s="114"/>
      <c r="K926" s="114" t="s">
        <v>2902</v>
      </c>
      <c r="L926" s="108"/>
      <c r="M926" s="581">
        <v>14596.7</v>
      </c>
      <c r="N926" s="573">
        <v>14.68</v>
      </c>
      <c r="O926" s="556" t="str">
        <f t="shared" ref="O926:O931" si="91">IF(N926=M926,"OK","DIF")</f>
        <v>DIF</v>
      </c>
      <c r="P926" s="573"/>
      <c r="Q926" s="556"/>
      <c r="R926" s="582"/>
    </row>
    <row r="927" ht="15" spans="1:18">
      <c r="A927" s="556">
        <f>B927</f>
        <v>0</v>
      </c>
      <c r="B927" s="557">
        <f>B926</f>
        <v>0</v>
      </c>
      <c r="C927" s="571"/>
      <c r="D927" s="571"/>
      <c r="E927" s="571"/>
      <c r="F927" s="571"/>
      <c r="G927" s="571"/>
      <c r="H927" s="571"/>
      <c r="I927" s="571"/>
      <c r="J927" s="571"/>
      <c r="K927" s="571"/>
      <c r="L927" s="571"/>
      <c r="M927" s="571"/>
      <c r="N927" s="573">
        <v>3.3</v>
      </c>
      <c r="O927" s="556" t="str">
        <f t="shared" si="91"/>
        <v>DIF</v>
      </c>
      <c r="P927" s="573"/>
      <c r="Q927" s="556"/>
      <c r="R927" s="582"/>
    </row>
    <row r="928" ht="15" customHeight="1" spans="1:18">
      <c r="A928" s="556">
        <f>B928</f>
        <v>0</v>
      </c>
      <c r="B928" s="557">
        <f>B927</f>
        <v>0</v>
      </c>
      <c r="C928" s="76" t="s">
        <v>418</v>
      </c>
      <c r="D928" s="75" t="s">
        <v>63</v>
      </c>
      <c r="E928" s="76" t="s">
        <v>64</v>
      </c>
      <c r="F928" s="76" t="s">
        <v>65</v>
      </c>
      <c r="G928" s="76" t="s">
        <v>2889</v>
      </c>
      <c r="H928" s="76"/>
      <c r="I928" s="77" t="s">
        <v>66</v>
      </c>
      <c r="J928" s="75" t="s">
        <v>67</v>
      </c>
      <c r="K928" s="75" t="s">
        <v>2890</v>
      </c>
      <c r="L928" s="75" t="s">
        <v>68</v>
      </c>
      <c r="M928" s="75" t="s">
        <v>70</v>
      </c>
      <c r="N928" s="573">
        <v>1.04</v>
      </c>
      <c r="O928" s="556" t="str">
        <f t="shared" si="91"/>
        <v>DIF</v>
      </c>
      <c r="P928" s="573"/>
      <c r="Q928" s="556"/>
      <c r="R928" s="582"/>
    </row>
    <row r="929" ht="38.25" spans="1:18">
      <c r="A929" s="556">
        <f>B929</f>
        <v>0</v>
      </c>
      <c r="B929" s="557">
        <f>B928</f>
        <v>0</v>
      </c>
      <c r="C929" s="569" t="s">
        <v>2891</v>
      </c>
      <c r="D929" s="570" t="s">
        <v>419</v>
      </c>
      <c r="E929" s="569" t="s">
        <v>77</v>
      </c>
      <c r="F929" s="569" t="s">
        <v>3355</v>
      </c>
      <c r="G929" s="569">
        <v>1</v>
      </c>
      <c r="H929" s="569"/>
      <c r="I929" s="577" t="s">
        <v>204</v>
      </c>
      <c r="J929" s="578">
        <v>1</v>
      </c>
      <c r="K929" s="579"/>
      <c r="L929" s="579">
        <v>334.7</v>
      </c>
      <c r="M929" s="579">
        <v>334.7</v>
      </c>
      <c r="N929" s="573">
        <v>9.59</v>
      </c>
      <c r="O929" s="556" t="str">
        <f t="shared" si="91"/>
        <v>DIF</v>
      </c>
      <c r="P929" s="573"/>
      <c r="Q929" s="556"/>
      <c r="R929" s="582"/>
    </row>
    <row r="930" ht="25.5" spans="1:18">
      <c r="A930" s="556">
        <f>B930</f>
        <v>0</v>
      </c>
      <c r="B930" s="557">
        <f>B929</f>
        <v>0</v>
      </c>
      <c r="C930" s="79" t="s">
        <v>2921</v>
      </c>
      <c r="D930" s="78" t="s">
        <v>3356</v>
      </c>
      <c r="E930" s="79" t="s">
        <v>77</v>
      </c>
      <c r="F930" s="79" t="s">
        <v>3357</v>
      </c>
      <c r="G930" s="79">
        <v>55</v>
      </c>
      <c r="H930" s="79"/>
      <c r="I930" s="80" t="s">
        <v>2897</v>
      </c>
      <c r="J930" s="583">
        <v>0.9701</v>
      </c>
      <c r="K930" s="583">
        <v>0</v>
      </c>
      <c r="L930" s="92">
        <v>284.02</v>
      </c>
      <c r="M930" s="92">
        <v>275.52</v>
      </c>
      <c r="N930" s="573">
        <v>0.11</v>
      </c>
      <c r="O930" s="556" t="str">
        <f t="shared" si="91"/>
        <v>DIF</v>
      </c>
      <c r="P930" s="573"/>
      <c r="Q930" s="556"/>
      <c r="R930" s="582"/>
    </row>
    <row r="931" ht="25.5" spans="1:18">
      <c r="A931" s="556">
        <f>B931</f>
        <v>0</v>
      </c>
      <c r="B931" s="557">
        <f>B930</f>
        <v>0</v>
      </c>
      <c r="C931" s="79" t="s">
        <v>2921</v>
      </c>
      <c r="D931" s="78" t="s">
        <v>3358</v>
      </c>
      <c r="E931" s="79" t="s">
        <v>77</v>
      </c>
      <c r="F931" s="79" t="s">
        <v>3359</v>
      </c>
      <c r="G931" s="79">
        <v>58</v>
      </c>
      <c r="H931" s="79"/>
      <c r="I931" s="80" t="s">
        <v>2897</v>
      </c>
      <c r="J931" s="583">
        <v>0.4157</v>
      </c>
      <c r="K931" s="583">
        <v>0</v>
      </c>
      <c r="L931" s="92">
        <v>142.38</v>
      </c>
      <c r="M931" s="92">
        <v>59.18</v>
      </c>
      <c r="N931" s="573">
        <v>0.64</v>
      </c>
      <c r="O931" s="556" t="str">
        <f t="shared" si="91"/>
        <v>DIF</v>
      </c>
      <c r="P931" s="573"/>
      <c r="Q931" s="556"/>
      <c r="R931" s="582"/>
    </row>
    <row r="932" ht="25.5" spans="1:18">
      <c r="A932" s="556"/>
      <c r="B932" s="557"/>
      <c r="C932" s="108"/>
      <c r="D932" s="108"/>
      <c r="E932" s="108"/>
      <c r="F932" s="108"/>
      <c r="G932" s="108"/>
      <c r="H932" s="108" t="s">
        <v>2898</v>
      </c>
      <c r="I932" s="581">
        <v>241.95</v>
      </c>
      <c r="J932" s="108" t="s">
        <v>2899</v>
      </c>
      <c r="K932" s="581">
        <v>0</v>
      </c>
      <c r="L932" s="108" t="s">
        <v>2900</v>
      </c>
      <c r="M932" s="581">
        <v>241.95</v>
      </c>
      <c r="N932" s="573"/>
      <c r="O932" s="556"/>
      <c r="P932" s="573"/>
      <c r="Q932" s="556"/>
      <c r="R932" s="582"/>
    </row>
    <row r="933" ht="26.25" spans="1:18">
      <c r="A933" s="556"/>
      <c r="B933" s="557"/>
      <c r="C933" s="108"/>
      <c r="D933" s="108"/>
      <c r="E933" s="108"/>
      <c r="F933" s="108"/>
      <c r="G933" s="108"/>
      <c r="H933" s="108" t="s">
        <v>2901</v>
      </c>
      <c r="I933" s="581">
        <v>85.31</v>
      </c>
      <c r="J933" s="114"/>
      <c r="K933" s="114" t="s">
        <v>2902</v>
      </c>
      <c r="L933" s="108"/>
      <c r="M933" s="581">
        <v>420.01</v>
      </c>
      <c r="N933" s="573"/>
      <c r="O933" s="556"/>
      <c r="P933" s="573"/>
      <c r="Q933" s="556"/>
      <c r="R933" s="582"/>
    </row>
    <row r="934" ht="15" spans="1:18">
      <c r="A934" s="556"/>
      <c r="B934" s="557">
        <f>C933</f>
        <v>0</v>
      </c>
      <c r="C934" s="571"/>
      <c r="D934" s="571"/>
      <c r="E934" s="571"/>
      <c r="F934" s="571"/>
      <c r="G934" s="571"/>
      <c r="H934" s="571"/>
      <c r="I934" s="571"/>
      <c r="J934" s="571"/>
      <c r="K934" s="571"/>
      <c r="L934" s="571"/>
      <c r="M934" s="571"/>
      <c r="N934" s="573">
        <v>12.97</v>
      </c>
      <c r="O934" s="556" t="str">
        <f t="shared" ref="O934:O939" si="92">IF(N934=M934,"OK","DIF")</f>
        <v>DIF</v>
      </c>
      <c r="P934" s="573"/>
      <c r="Q934" s="556"/>
      <c r="R934" s="582"/>
    </row>
    <row r="935" ht="15" customHeight="1" spans="1:18">
      <c r="A935" s="556">
        <f>B935</f>
        <v>0</v>
      </c>
      <c r="B935" s="557">
        <f>B934</f>
        <v>0</v>
      </c>
      <c r="C935" s="76" t="s">
        <v>421</v>
      </c>
      <c r="D935" s="75" t="s">
        <v>63</v>
      </c>
      <c r="E935" s="76" t="s">
        <v>64</v>
      </c>
      <c r="F935" s="76" t="s">
        <v>65</v>
      </c>
      <c r="G935" s="76" t="s">
        <v>2889</v>
      </c>
      <c r="H935" s="76"/>
      <c r="I935" s="77" t="s">
        <v>66</v>
      </c>
      <c r="J935" s="75" t="s">
        <v>67</v>
      </c>
      <c r="K935" s="75" t="s">
        <v>2890</v>
      </c>
      <c r="L935" s="75" t="s">
        <v>68</v>
      </c>
      <c r="M935" s="75" t="s">
        <v>70</v>
      </c>
      <c r="N935" s="573">
        <v>2.62</v>
      </c>
      <c r="O935" s="556" t="str">
        <f t="shared" si="92"/>
        <v>DIF</v>
      </c>
      <c r="P935" s="573"/>
      <c r="Q935" s="556"/>
      <c r="R935" s="582"/>
    </row>
    <row r="936" ht="63.75" spans="1:18">
      <c r="A936" s="556">
        <f>B936</f>
        <v>0</v>
      </c>
      <c r="B936" s="557">
        <f>B935</f>
        <v>0</v>
      </c>
      <c r="C936" s="569" t="s">
        <v>2891</v>
      </c>
      <c r="D936" s="570" t="s">
        <v>422</v>
      </c>
      <c r="E936" s="569" t="s">
        <v>77</v>
      </c>
      <c r="F936" s="569" t="s">
        <v>3360</v>
      </c>
      <c r="G936" s="569">
        <v>10</v>
      </c>
      <c r="H936" s="569"/>
      <c r="I936" s="577" t="s">
        <v>204</v>
      </c>
      <c r="J936" s="578">
        <v>1</v>
      </c>
      <c r="K936" s="579"/>
      <c r="L936" s="579">
        <v>278.31</v>
      </c>
      <c r="M936" s="579">
        <v>278.31</v>
      </c>
      <c r="N936" s="573">
        <v>8.8</v>
      </c>
      <c r="O936" s="556" t="str">
        <f t="shared" si="92"/>
        <v>DIF</v>
      </c>
      <c r="P936" s="573"/>
      <c r="Q936" s="556"/>
      <c r="R936" s="582"/>
    </row>
    <row r="937" ht="38.25" spans="1:18">
      <c r="A937" s="556">
        <f>B937</f>
        <v>0</v>
      </c>
      <c r="B937" s="557">
        <f>B936</f>
        <v>0</v>
      </c>
      <c r="C937" s="79" t="s">
        <v>2921</v>
      </c>
      <c r="D937" s="78" t="s">
        <v>3361</v>
      </c>
      <c r="E937" s="79" t="s">
        <v>77</v>
      </c>
      <c r="F937" s="79" t="s">
        <v>3362</v>
      </c>
      <c r="G937" s="79">
        <v>11</v>
      </c>
      <c r="H937" s="79"/>
      <c r="I937" s="80" t="s">
        <v>393</v>
      </c>
      <c r="J937" s="583">
        <v>1.193</v>
      </c>
      <c r="K937" s="583">
        <v>15</v>
      </c>
      <c r="L937" s="92">
        <v>5.63</v>
      </c>
      <c r="M937" s="92">
        <v>7.72</v>
      </c>
      <c r="N937" s="573">
        <v>0.83</v>
      </c>
      <c r="O937" s="556" t="str">
        <f t="shared" si="92"/>
        <v>DIF</v>
      </c>
      <c r="P937" s="573"/>
      <c r="Q937" s="556"/>
      <c r="R937" s="582"/>
    </row>
    <row r="938" ht="76.5" spans="1:18">
      <c r="A938" s="556">
        <f>B938</f>
        <v>0</v>
      </c>
      <c r="B938" s="557">
        <f>B937</f>
        <v>0</v>
      </c>
      <c r="C938" s="79" t="s">
        <v>2921</v>
      </c>
      <c r="D938" s="78" t="s">
        <v>3363</v>
      </c>
      <c r="E938" s="79" t="s">
        <v>77</v>
      </c>
      <c r="F938" s="79" t="s">
        <v>3364</v>
      </c>
      <c r="G938" s="79">
        <v>7</v>
      </c>
      <c r="H938" s="79"/>
      <c r="I938" s="80" t="s">
        <v>279</v>
      </c>
      <c r="J938" s="583">
        <v>0.075</v>
      </c>
      <c r="K938" s="583">
        <v>30</v>
      </c>
      <c r="L938" s="92">
        <v>736.24</v>
      </c>
      <c r="M938" s="92">
        <v>71.78</v>
      </c>
      <c r="N938" s="573">
        <v>0.08</v>
      </c>
      <c r="O938" s="556" t="str">
        <f t="shared" si="92"/>
        <v>DIF</v>
      </c>
      <c r="P938" s="573"/>
      <c r="Q938" s="556"/>
      <c r="R938" s="582"/>
    </row>
    <row r="939" ht="38.25" spans="1:18">
      <c r="A939" s="556">
        <f>B939</f>
        <v>0</v>
      </c>
      <c r="B939" s="557">
        <f>B938</f>
        <v>0</v>
      </c>
      <c r="C939" s="79" t="s">
        <v>2921</v>
      </c>
      <c r="D939" s="78" t="s">
        <v>3365</v>
      </c>
      <c r="E939" s="79" t="s">
        <v>77</v>
      </c>
      <c r="F939" s="79" t="s">
        <v>3366</v>
      </c>
      <c r="G939" s="79">
        <v>11</v>
      </c>
      <c r="H939" s="79"/>
      <c r="I939" s="80" t="s">
        <v>393</v>
      </c>
      <c r="J939" s="583">
        <v>14.796</v>
      </c>
      <c r="K939" s="583">
        <v>15</v>
      </c>
      <c r="L939" s="92">
        <v>4.22</v>
      </c>
      <c r="M939" s="92">
        <v>71.8</v>
      </c>
      <c r="N939" s="573">
        <v>0.64</v>
      </c>
      <c r="O939" s="556" t="str">
        <f t="shared" si="92"/>
        <v>DIF</v>
      </c>
      <c r="P939" s="573"/>
      <c r="Q939" s="556"/>
      <c r="R939" s="582"/>
    </row>
    <row r="940" ht="15" customHeight="1" spans="1:18">
      <c r="A940" s="556"/>
      <c r="B940" s="557"/>
      <c r="C940" s="100" t="s">
        <v>2893</v>
      </c>
      <c r="D940" s="99" t="s">
        <v>3367</v>
      </c>
      <c r="E940" s="100" t="s">
        <v>77</v>
      </c>
      <c r="F940" s="100" t="s">
        <v>3368</v>
      </c>
      <c r="G940" s="100" t="s">
        <v>2961</v>
      </c>
      <c r="H940" s="100"/>
      <c r="I940" s="101" t="s">
        <v>393</v>
      </c>
      <c r="J940" s="580">
        <v>1.193</v>
      </c>
      <c r="K940" s="580">
        <v>15</v>
      </c>
      <c r="L940" s="102">
        <v>6.47</v>
      </c>
      <c r="M940" s="102">
        <v>8.87</v>
      </c>
      <c r="N940" s="573"/>
      <c r="O940" s="556"/>
      <c r="P940" s="573"/>
      <c r="Q940" s="556"/>
      <c r="R940" s="582"/>
    </row>
    <row r="941" ht="15" customHeight="1" spans="1:18">
      <c r="A941" s="556"/>
      <c r="B941" s="557"/>
      <c r="C941" s="100" t="s">
        <v>2893</v>
      </c>
      <c r="D941" s="99" t="s">
        <v>3369</v>
      </c>
      <c r="E941" s="100" t="s">
        <v>77</v>
      </c>
      <c r="F941" s="100" t="s">
        <v>3370</v>
      </c>
      <c r="G941" s="100" t="s">
        <v>2961</v>
      </c>
      <c r="H941" s="100"/>
      <c r="I941" s="101" t="s">
        <v>393</v>
      </c>
      <c r="J941" s="580">
        <v>0.2</v>
      </c>
      <c r="K941" s="580">
        <v>15</v>
      </c>
      <c r="L941" s="102">
        <v>14.32</v>
      </c>
      <c r="M941" s="102">
        <v>3.29</v>
      </c>
      <c r="N941" s="573"/>
      <c r="O941" s="556"/>
      <c r="P941" s="573"/>
      <c r="Q941" s="556"/>
      <c r="R941" s="582"/>
    </row>
    <row r="942" ht="23.85" customHeight="1" spans="1:18">
      <c r="A942" s="556"/>
      <c r="B942" s="557" t="str">
        <f>C941</f>
        <v>Insumo</v>
      </c>
      <c r="C942" s="100" t="s">
        <v>2893</v>
      </c>
      <c r="D942" s="99" t="s">
        <v>3371</v>
      </c>
      <c r="E942" s="100" t="s">
        <v>77</v>
      </c>
      <c r="F942" s="100" t="s">
        <v>3372</v>
      </c>
      <c r="G942" s="100" t="s">
        <v>2961</v>
      </c>
      <c r="H942" s="100"/>
      <c r="I942" s="101" t="s">
        <v>393</v>
      </c>
      <c r="J942" s="580">
        <v>14.796</v>
      </c>
      <c r="K942" s="580">
        <v>15</v>
      </c>
      <c r="L942" s="102">
        <v>6.75</v>
      </c>
      <c r="M942" s="102">
        <v>114.85</v>
      </c>
      <c r="N942" s="573">
        <v>10.95</v>
      </c>
      <c r="O942" s="556" t="str">
        <f t="shared" ref="O942:O947" si="93">IF(N942=M942,"OK","DIF")</f>
        <v>DIF</v>
      </c>
      <c r="P942" s="573"/>
      <c r="Q942" s="556"/>
      <c r="R942" s="582"/>
    </row>
    <row r="943" ht="25.5" spans="1:18">
      <c r="A943" s="556" t="str">
        <f>B943</f>
        <v>Insumo</v>
      </c>
      <c r="B943" s="557" t="str">
        <f>B942</f>
        <v>Insumo</v>
      </c>
      <c r="C943" s="108"/>
      <c r="D943" s="108"/>
      <c r="E943" s="108"/>
      <c r="F943" s="108"/>
      <c r="G943" s="108"/>
      <c r="H943" s="108" t="s">
        <v>2898</v>
      </c>
      <c r="I943" s="581">
        <v>101.16</v>
      </c>
      <c r="J943" s="108" t="s">
        <v>2899</v>
      </c>
      <c r="K943" s="581">
        <v>0</v>
      </c>
      <c r="L943" s="108" t="s">
        <v>2900</v>
      </c>
      <c r="M943" s="581">
        <v>101.16</v>
      </c>
      <c r="N943" s="573">
        <v>7.52</v>
      </c>
      <c r="O943" s="556" t="str">
        <f t="shared" si="93"/>
        <v>DIF</v>
      </c>
      <c r="P943" s="573"/>
      <c r="Q943" s="556"/>
      <c r="R943" s="582"/>
    </row>
    <row r="944" ht="26.25" spans="1:18">
      <c r="A944" s="556" t="str">
        <f>B944</f>
        <v>Insumo</v>
      </c>
      <c r="B944" s="557" t="str">
        <f>B943</f>
        <v>Insumo</v>
      </c>
      <c r="C944" s="108"/>
      <c r="D944" s="108"/>
      <c r="E944" s="108"/>
      <c r="F944" s="108"/>
      <c r="G944" s="108"/>
      <c r="H944" s="108" t="s">
        <v>2901</v>
      </c>
      <c r="I944" s="581">
        <v>70.94</v>
      </c>
      <c r="J944" s="114"/>
      <c r="K944" s="114" t="s">
        <v>2902</v>
      </c>
      <c r="L944" s="108"/>
      <c r="M944" s="581">
        <v>349.25</v>
      </c>
      <c r="N944" s="573">
        <v>0.66</v>
      </c>
      <c r="O944" s="556" t="str">
        <f t="shared" si="93"/>
        <v>DIF</v>
      </c>
      <c r="P944" s="573"/>
      <c r="Q944" s="556"/>
      <c r="R944" s="582"/>
    </row>
    <row r="945" ht="15" spans="1:18">
      <c r="A945" s="556" t="str">
        <f>B945</f>
        <v>Insumo</v>
      </c>
      <c r="B945" s="557" t="str">
        <f>B944</f>
        <v>Insumo</v>
      </c>
      <c r="C945" s="571"/>
      <c r="D945" s="571"/>
      <c r="E945" s="571"/>
      <c r="F945" s="571"/>
      <c r="G945" s="571"/>
      <c r="H945" s="571"/>
      <c r="I945" s="571"/>
      <c r="J945" s="571"/>
      <c r="K945" s="571"/>
      <c r="L945" s="571"/>
      <c r="M945" s="571"/>
      <c r="N945" s="573">
        <v>2.07</v>
      </c>
      <c r="O945" s="556" t="str">
        <f t="shared" si="93"/>
        <v>DIF</v>
      </c>
      <c r="P945" s="573"/>
      <c r="Q945" s="556"/>
      <c r="R945" s="582"/>
    </row>
    <row r="946" ht="15" customHeight="1" spans="1:18">
      <c r="A946" s="556" t="str">
        <f>B946</f>
        <v>Insumo</v>
      </c>
      <c r="B946" s="557" t="str">
        <f>B945</f>
        <v>Insumo</v>
      </c>
      <c r="C946" s="76" t="s">
        <v>425</v>
      </c>
      <c r="D946" s="75" t="s">
        <v>63</v>
      </c>
      <c r="E946" s="76" t="s">
        <v>64</v>
      </c>
      <c r="F946" s="76" t="s">
        <v>65</v>
      </c>
      <c r="G946" s="76" t="s">
        <v>2889</v>
      </c>
      <c r="H946" s="76"/>
      <c r="I946" s="77" t="s">
        <v>66</v>
      </c>
      <c r="J946" s="75" t="s">
        <v>67</v>
      </c>
      <c r="K946" s="75" t="s">
        <v>2890</v>
      </c>
      <c r="L946" s="75" t="s">
        <v>68</v>
      </c>
      <c r="M946" s="75" t="s">
        <v>70</v>
      </c>
      <c r="N946" s="573">
        <v>0.06</v>
      </c>
      <c r="O946" s="556" t="str">
        <f t="shared" si="93"/>
        <v>DIF</v>
      </c>
      <c r="P946" s="573"/>
      <c r="Q946" s="556"/>
      <c r="R946" s="582"/>
    </row>
    <row r="947" ht="23.85" customHeight="1" spans="1:18">
      <c r="A947" s="556" t="str">
        <f>B947</f>
        <v>Insumo</v>
      </c>
      <c r="B947" s="557" t="str">
        <f>B946</f>
        <v>Insumo</v>
      </c>
      <c r="C947" s="569" t="s">
        <v>2891</v>
      </c>
      <c r="D947" s="570" t="s">
        <v>426</v>
      </c>
      <c r="E947" s="569" t="s">
        <v>139</v>
      </c>
      <c r="F947" s="569" t="s">
        <v>427</v>
      </c>
      <c r="G947" s="569" t="s">
        <v>3310</v>
      </c>
      <c r="H947" s="569"/>
      <c r="I947" s="577" t="s">
        <v>279</v>
      </c>
      <c r="J947" s="578">
        <v>1</v>
      </c>
      <c r="K947" s="579"/>
      <c r="L947" s="579">
        <v>756.52</v>
      </c>
      <c r="M947" s="579">
        <v>756.52</v>
      </c>
      <c r="N947" s="573">
        <v>0.64</v>
      </c>
      <c r="O947" s="556" t="str">
        <f t="shared" si="93"/>
        <v>DIF</v>
      </c>
      <c r="P947" s="573"/>
      <c r="Q947" s="556"/>
      <c r="R947" s="582"/>
    </row>
    <row r="948" ht="23.85" customHeight="1" spans="1:18">
      <c r="A948" s="556"/>
      <c r="B948" s="557"/>
      <c r="C948" s="79" t="s">
        <v>2921</v>
      </c>
      <c r="D948" s="78" t="s">
        <v>3017</v>
      </c>
      <c r="E948" s="79" t="s">
        <v>139</v>
      </c>
      <c r="F948" s="79" t="s">
        <v>3018</v>
      </c>
      <c r="G948" s="79" t="s">
        <v>2928</v>
      </c>
      <c r="H948" s="79"/>
      <c r="I948" s="80" t="s">
        <v>2897</v>
      </c>
      <c r="J948" s="583">
        <v>0.587</v>
      </c>
      <c r="K948" s="583">
        <v>0</v>
      </c>
      <c r="L948" s="92">
        <v>36.96</v>
      </c>
      <c r="M948" s="92">
        <v>21.69</v>
      </c>
      <c r="N948" s="573"/>
      <c r="O948" s="556"/>
      <c r="P948" s="573"/>
      <c r="Q948" s="556"/>
      <c r="R948" s="582"/>
    </row>
    <row r="949" ht="23.85" customHeight="1" spans="1:18">
      <c r="A949" s="556"/>
      <c r="B949" s="557"/>
      <c r="C949" s="79" t="s">
        <v>2921</v>
      </c>
      <c r="D949" s="78" t="s">
        <v>2952</v>
      </c>
      <c r="E949" s="79" t="s">
        <v>139</v>
      </c>
      <c r="F949" s="79" t="s">
        <v>2953</v>
      </c>
      <c r="G949" s="79" t="s">
        <v>2928</v>
      </c>
      <c r="H949" s="79"/>
      <c r="I949" s="80" t="s">
        <v>2897</v>
      </c>
      <c r="J949" s="583">
        <v>0.881</v>
      </c>
      <c r="K949" s="583">
        <v>0</v>
      </c>
      <c r="L949" s="92">
        <v>29.15</v>
      </c>
      <c r="M949" s="92">
        <v>25.68</v>
      </c>
      <c r="N949" s="573"/>
      <c r="O949" s="556"/>
      <c r="P949" s="573"/>
      <c r="Q949" s="556"/>
      <c r="R949" s="582"/>
    </row>
    <row r="950" ht="23.85" customHeight="1" spans="1:18">
      <c r="A950" s="556"/>
      <c r="B950" s="557" t="str">
        <f>C949</f>
        <v>Composição Auxiliar</v>
      </c>
      <c r="C950" s="79" t="s">
        <v>2921</v>
      </c>
      <c r="D950" s="78" t="s">
        <v>3346</v>
      </c>
      <c r="E950" s="79" t="s">
        <v>139</v>
      </c>
      <c r="F950" s="79" t="s">
        <v>3347</v>
      </c>
      <c r="G950" s="79" t="s">
        <v>2995</v>
      </c>
      <c r="H950" s="79"/>
      <c r="I950" s="80" t="s">
        <v>2996</v>
      </c>
      <c r="J950" s="583">
        <v>0.133</v>
      </c>
      <c r="K950" s="583">
        <v>0</v>
      </c>
      <c r="L950" s="92">
        <v>0.53</v>
      </c>
      <c r="M950" s="92">
        <v>0.07</v>
      </c>
      <c r="N950" s="573">
        <v>584.28</v>
      </c>
      <c r="O950" s="556" t="str">
        <f t="shared" ref="O950:O955" si="94">IF(N950=M950,"OK","DIF")</f>
        <v>DIF</v>
      </c>
      <c r="P950" s="573"/>
      <c r="Q950" s="556"/>
      <c r="R950" s="582"/>
    </row>
    <row r="951" ht="23.85" customHeight="1" spans="1:18">
      <c r="A951" s="556" t="str">
        <f>B951</f>
        <v>Composição Auxiliar</v>
      </c>
      <c r="B951" s="557" t="str">
        <f>B950</f>
        <v>Composição Auxiliar</v>
      </c>
      <c r="C951" s="79" t="s">
        <v>2921</v>
      </c>
      <c r="D951" s="78" t="s">
        <v>3348</v>
      </c>
      <c r="E951" s="79" t="s">
        <v>139</v>
      </c>
      <c r="F951" s="79" t="s">
        <v>3349</v>
      </c>
      <c r="G951" s="79" t="s">
        <v>2995</v>
      </c>
      <c r="H951" s="79"/>
      <c r="I951" s="80" t="s">
        <v>3002</v>
      </c>
      <c r="J951" s="583">
        <v>0.161</v>
      </c>
      <c r="K951" s="583">
        <v>0</v>
      </c>
      <c r="L951" s="92">
        <v>1.45</v>
      </c>
      <c r="M951" s="92">
        <v>0.23</v>
      </c>
      <c r="N951" s="573">
        <v>0.02</v>
      </c>
      <c r="O951" s="556" t="str">
        <f t="shared" si="94"/>
        <v>DIF</v>
      </c>
      <c r="P951" s="573"/>
      <c r="Q951" s="556"/>
      <c r="R951" s="582"/>
    </row>
    <row r="952" ht="35.05" customHeight="1" spans="1:18">
      <c r="A952" s="556" t="str">
        <f>B952</f>
        <v>Composição Auxiliar</v>
      </c>
      <c r="B952" s="557" t="str">
        <f>B951</f>
        <v>Composição Auxiliar</v>
      </c>
      <c r="C952" s="100" t="s">
        <v>2893</v>
      </c>
      <c r="D952" s="99" t="s">
        <v>3373</v>
      </c>
      <c r="E952" s="100" t="s">
        <v>139</v>
      </c>
      <c r="F952" s="100" t="s">
        <v>3374</v>
      </c>
      <c r="G952" s="100" t="s">
        <v>2961</v>
      </c>
      <c r="H952" s="100"/>
      <c r="I952" s="101" t="s">
        <v>279</v>
      </c>
      <c r="J952" s="580">
        <v>1.26</v>
      </c>
      <c r="K952" s="580">
        <v>0</v>
      </c>
      <c r="L952" s="102">
        <v>562.58</v>
      </c>
      <c r="M952" s="102">
        <v>708.85</v>
      </c>
      <c r="N952" s="573">
        <v>10.66</v>
      </c>
      <c r="O952" s="556" t="str">
        <f t="shared" si="94"/>
        <v>DIF</v>
      </c>
      <c r="P952" s="573"/>
      <c r="Q952" s="556"/>
      <c r="R952" s="582"/>
    </row>
    <row r="953" ht="25.5" spans="1:18">
      <c r="A953" s="556" t="str">
        <f>B953</f>
        <v>Composição Auxiliar</v>
      </c>
      <c r="B953" s="557" t="str">
        <f>B952</f>
        <v>Composição Auxiliar</v>
      </c>
      <c r="C953" s="108"/>
      <c r="D953" s="108"/>
      <c r="E953" s="108"/>
      <c r="F953" s="108"/>
      <c r="G953" s="108"/>
      <c r="H953" s="108" t="s">
        <v>2898</v>
      </c>
      <c r="I953" s="581">
        <v>32.74</v>
      </c>
      <c r="J953" s="108" t="s">
        <v>2899</v>
      </c>
      <c r="K953" s="581">
        <v>0</v>
      </c>
      <c r="L953" s="108" t="s">
        <v>2900</v>
      </c>
      <c r="M953" s="581">
        <v>32.74</v>
      </c>
      <c r="N953" s="573">
        <v>0.07</v>
      </c>
      <c r="O953" s="556" t="str">
        <f t="shared" si="94"/>
        <v>DIF</v>
      </c>
      <c r="P953" s="573"/>
      <c r="Q953" s="556"/>
      <c r="R953" s="582"/>
    </row>
    <row r="954" ht="26.25" spans="1:18">
      <c r="A954" s="556" t="str">
        <f>B954</f>
        <v>Composição Auxiliar</v>
      </c>
      <c r="B954" s="557" t="str">
        <f>B953</f>
        <v>Composição Auxiliar</v>
      </c>
      <c r="C954" s="108"/>
      <c r="D954" s="108"/>
      <c r="E954" s="108"/>
      <c r="F954" s="108"/>
      <c r="G954" s="108"/>
      <c r="H954" s="108" t="s">
        <v>2901</v>
      </c>
      <c r="I954" s="581">
        <v>192.83</v>
      </c>
      <c r="J954" s="114"/>
      <c r="K954" s="114" t="s">
        <v>2902</v>
      </c>
      <c r="L954" s="108"/>
      <c r="M954" s="581">
        <v>949.35</v>
      </c>
      <c r="N954" s="573">
        <v>13.71</v>
      </c>
      <c r="O954" s="556" t="str">
        <f t="shared" si="94"/>
        <v>DIF</v>
      </c>
      <c r="P954" s="573"/>
      <c r="Q954" s="556"/>
      <c r="R954" s="582"/>
    </row>
    <row r="955" ht="15" spans="1:18">
      <c r="A955" s="556" t="str">
        <f>B955</f>
        <v>Composição Auxiliar</v>
      </c>
      <c r="B955" s="557" t="str">
        <f>B954</f>
        <v>Composição Auxiliar</v>
      </c>
      <c r="C955" s="571"/>
      <c r="D955" s="571"/>
      <c r="E955" s="571"/>
      <c r="F955" s="571"/>
      <c r="G955" s="571"/>
      <c r="H955" s="571"/>
      <c r="I955" s="571"/>
      <c r="J955" s="571"/>
      <c r="K955" s="571"/>
      <c r="L955" s="571"/>
      <c r="M955" s="571"/>
      <c r="N955" s="573">
        <v>559.82</v>
      </c>
      <c r="O955" s="556" t="str">
        <f t="shared" si="94"/>
        <v>DIF</v>
      </c>
      <c r="P955" s="573"/>
      <c r="Q955" s="556"/>
      <c r="R955" s="582"/>
    </row>
    <row r="956" ht="15" customHeight="1" spans="1:18">
      <c r="A956" s="556"/>
      <c r="B956" s="557"/>
      <c r="C956" s="76" t="s">
        <v>428</v>
      </c>
      <c r="D956" s="75" t="s">
        <v>63</v>
      </c>
      <c r="E956" s="76" t="s">
        <v>64</v>
      </c>
      <c r="F956" s="76" t="s">
        <v>65</v>
      </c>
      <c r="G956" s="76" t="s">
        <v>2889</v>
      </c>
      <c r="H956" s="76"/>
      <c r="I956" s="77" t="s">
        <v>66</v>
      </c>
      <c r="J956" s="75" t="s">
        <v>67</v>
      </c>
      <c r="K956" s="75" t="s">
        <v>2890</v>
      </c>
      <c r="L956" s="75" t="s">
        <v>68</v>
      </c>
      <c r="M956" s="75" t="s">
        <v>70</v>
      </c>
      <c r="N956" s="573"/>
      <c r="O956" s="556"/>
      <c r="P956" s="573"/>
      <c r="Q956" s="556"/>
      <c r="R956" s="582"/>
    </row>
    <row r="957" ht="35.05" customHeight="1" spans="1:18">
      <c r="A957" s="556"/>
      <c r="B957" s="557"/>
      <c r="C957" s="569" t="s">
        <v>2891</v>
      </c>
      <c r="D957" s="570" t="s">
        <v>429</v>
      </c>
      <c r="E957" s="569" t="s">
        <v>139</v>
      </c>
      <c r="F957" s="569" t="s">
        <v>430</v>
      </c>
      <c r="G957" s="569" t="s">
        <v>3310</v>
      </c>
      <c r="H957" s="569"/>
      <c r="I957" s="577" t="s">
        <v>279</v>
      </c>
      <c r="J957" s="578">
        <v>1</v>
      </c>
      <c r="K957" s="579"/>
      <c r="L957" s="579">
        <v>719.07</v>
      </c>
      <c r="M957" s="579">
        <v>719.07</v>
      </c>
      <c r="N957" s="573"/>
      <c r="O957" s="556"/>
      <c r="P957" s="573"/>
      <c r="Q957" s="556"/>
      <c r="R957" s="582"/>
    </row>
    <row r="958" ht="23.85" customHeight="1" spans="1:18">
      <c r="A958" s="556"/>
      <c r="B958" s="557" t="str">
        <f>C957</f>
        <v>Composição</v>
      </c>
      <c r="C958" s="79" t="s">
        <v>2921</v>
      </c>
      <c r="D958" s="78" t="s">
        <v>3348</v>
      </c>
      <c r="E958" s="79" t="s">
        <v>139</v>
      </c>
      <c r="F958" s="79" t="s">
        <v>3349</v>
      </c>
      <c r="G958" s="79" t="s">
        <v>2995</v>
      </c>
      <c r="H958" s="79"/>
      <c r="I958" s="80" t="s">
        <v>3002</v>
      </c>
      <c r="J958" s="583">
        <v>0.092</v>
      </c>
      <c r="K958" s="583">
        <v>0</v>
      </c>
      <c r="L958" s="92">
        <v>1.45</v>
      </c>
      <c r="M958" s="92">
        <v>0.13</v>
      </c>
      <c r="N958" s="573">
        <v>3.98</v>
      </c>
      <c r="O958" s="556" t="str">
        <f>IF(N958=M958,"OK","DIF")</f>
        <v>DIF</v>
      </c>
      <c r="P958" s="573"/>
      <c r="Q958" s="556"/>
      <c r="R958" s="582"/>
    </row>
    <row r="959" ht="23.85" customHeight="1" spans="1:18">
      <c r="A959" s="556" t="str">
        <f>B959</f>
        <v>Composição</v>
      </c>
      <c r="B959" s="557" t="str">
        <f>B958</f>
        <v>Composição</v>
      </c>
      <c r="C959" s="79" t="s">
        <v>2921</v>
      </c>
      <c r="D959" s="78" t="s">
        <v>3017</v>
      </c>
      <c r="E959" s="79" t="s">
        <v>139</v>
      </c>
      <c r="F959" s="79" t="s">
        <v>3018</v>
      </c>
      <c r="G959" s="79" t="s">
        <v>2928</v>
      </c>
      <c r="H959" s="79"/>
      <c r="I959" s="80" t="s">
        <v>2897</v>
      </c>
      <c r="J959" s="583">
        <v>0.334</v>
      </c>
      <c r="K959" s="583">
        <v>0</v>
      </c>
      <c r="L959" s="92">
        <v>36.96</v>
      </c>
      <c r="M959" s="92">
        <v>12.34</v>
      </c>
      <c r="N959" s="573">
        <v>0.03</v>
      </c>
      <c r="O959" s="556" t="str">
        <f>IF(N959=M959,"OK","DIF")</f>
        <v>DIF</v>
      </c>
      <c r="P959" s="573"/>
      <c r="Q959" s="556"/>
      <c r="R959" s="582"/>
    </row>
    <row r="960" ht="23.85" customHeight="1" spans="1:18">
      <c r="A960" s="556" t="str">
        <f>B960</f>
        <v>Composição</v>
      </c>
      <c r="B960" s="557" t="str">
        <f>B959</f>
        <v>Composição</v>
      </c>
      <c r="C960" s="79" t="s">
        <v>2921</v>
      </c>
      <c r="D960" s="78" t="s">
        <v>3346</v>
      </c>
      <c r="E960" s="79" t="s">
        <v>139</v>
      </c>
      <c r="F960" s="79" t="s">
        <v>3347</v>
      </c>
      <c r="G960" s="79" t="s">
        <v>2995</v>
      </c>
      <c r="H960" s="79"/>
      <c r="I960" s="80" t="s">
        <v>2996</v>
      </c>
      <c r="J960" s="583">
        <v>0.075</v>
      </c>
      <c r="K960" s="583">
        <v>0</v>
      </c>
      <c r="L960" s="92">
        <v>0.53</v>
      </c>
      <c r="M960" s="92">
        <v>0.03</v>
      </c>
      <c r="N960" s="573">
        <v>0.15</v>
      </c>
      <c r="O960" s="556" t="str">
        <f>IF(N960=M960,"OK","DIF")</f>
        <v>DIF</v>
      </c>
      <c r="P960" s="573"/>
      <c r="Q960" s="556"/>
      <c r="R960" s="582"/>
    </row>
    <row r="961" ht="23.85" customHeight="1" spans="1:18">
      <c r="A961" s="556" t="str">
        <f>B961</f>
        <v>Composição</v>
      </c>
      <c r="B961" s="557" t="str">
        <f>B960</f>
        <v>Composição</v>
      </c>
      <c r="C961" s="79" t="s">
        <v>2921</v>
      </c>
      <c r="D961" s="78" t="s">
        <v>2952</v>
      </c>
      <c r="E961" s="79" t="s">
        <v>139</v>
      </c>
      <c r="F961" s="79" t="s">
        <v>2953</v>
      </c>
      <c r="G961" s="79" t="s">
        <v>2928</v>
      </c>
      <c r="H961" s="79"/>
      <c r="I961" s="80" t="s">
        <v>2897</v>
      </c>
      <c r="J961" s="583">
        <v>0.501</v>
      </c>
      <c r="K961" s="583">
        <v>0</v>
      </c>
      <c r="L961" s="92">
        <v>29.15</v>
      </c>
      <c r="M961" s="92">
        <v>14.6</v>
      </c>
      <c r="N961" s="573">
        <v>1.5</v>
      </c>
      <c r="O961" s="556" t="str">
        <f>IF(N961=M961,"OK","DIF")</f>
        <v>DIF</v>
      </c>
      <c r="P961" s="573"/>
      <c r="Q961" s="556"/>
      <c r="R961" s="582"/>
    </row>
    <row r="962" ht="35.05" customHeight="1" spans="1:18">
      <c r="A962" s="556" t="str">
        <f>B962</f>
        <v>Composição</v>
      </c>
      <c r="B962" s="557" t="str">
        <f>B961</f>
        <v>Composição</v>
      </c>
      <c r="C962" s="100" t="s">
        <v>2893</v>
      </c>
      <c r="D962" s="99" t="s">
        <v>3373</v>
      </c>
      <c r="E962" s="100" t="s">
        <v>139</v>
      </c>
      <c r="F962" s="100" t="s">
        <v>3374</v>
      </c>
      <c r="G962" s="100" t="s">
        <v>2961</v>
      </c>
      <c r="H962" s="100"/>
      <c r="I962" s="101" t="s">
        <v>279</v>
      </c>
      <c r="J962" s="580">
        <v>1.23</v>
      </c>
      <c r="K962" s="580">
        <v>0</v>
      </c>
      <c r="L962" s="102">
        <v>562.58</v>
      </c>
      <c r="M962" s="102">
        <v>691.97</v>
      </c>
      <c r="N962" s="573">
        <v>2.3</v>
      </c>
      <c r="O962" s="556" t="str">
        <f>IF(N962=M962,"OK","DIF")</f>
        <v>DIF</v>
      </c>
      <c r="P962" s="573"/>
      <c r="Q962" s="556"/>
      <c r="R962" s="582"/>
    </row>
    <row r="963" ht="25.5" spans="1:18">
      <c r="A963" s="556"/>
      <c r="B963" s="557"/>
      <c r="C963" s="108"/>
      <c r="D963" s="108"/>
      <c r="E963" s="108"/>
      <c r="F963" s="108"/>
      <c r="G963" s="108"/>
      <c r="H963" s="108" t="s">
        <v>2898</v>
      </c>
      <c r="I963" s="581">
        <v>18.61</v>
      </c>
      <c r="J963" s="108" t="s">
        <v>2899</v>
      </c>
      <c r="K963" s="581">
        <v>0</v>
      </c>
      <c r="L963" s="108" t="s">
        <v>2900</v>
      </c>
      <c r="M963" s="581">
        <v>18.61</v>
      </c>
      <c r="N963" s="573"/>
      <c r="O963" s="556"/>
      <c r="P963" s="573"/>
      <c r="Q963" s="556"/>
      <c r="R963" s="582"/>
    </row>
    <row r="964" ht="26.25" spans="1:18">
      <c r="A964" s="556"/>
      <c r="B964" s="557"/>
      <c r="C964" s="108"/>
      <c r="D964" s="108"/>
      <c r="E964" s="108"/>
      <c r="F964" s="108"/>
      <c r="G964" s="108"/>
      <c r="H964" s="108" t="s">
        <v>2901</v>
      </c>
      <c r="I964" s="581">
        <v>183.29</v>
      </c>
      <c r="J964" s="114"/>
      <c r="K964" s="114" t="s">
        <v>2902</v>
      </c>
      <c r="L964" s="108"/>
      <c r="M964" s="581">
        <v>902.36</v>
      </c>
      <c r="N964" s="573"/>
      <c r="O964" s="556"/>
      <c r="P964" s="573"/>
      <c r="Q964" s="556"/>
      <c r="R964" s="582"/>
    </row>
    <row r="965" ht="15" spans="1:18">
      <c r="A965" s="556"/>
      <c r="B965" s="557">
        <f>C964</f>
        <v>0</v>
      </c>
      <c r="C965" s="571"/>
      <c r="D965" s="571"/>
      <c r="E965" s="571"/>
      <c r="F965" s="571"/>
      <c r="G965" s="571"/>
      <c r="H965" s="571"/>
      <c r="I965" s="571"/>
      <c r="J965" s="571"/>
      <c r="K965" s="571"/>
      <c r="L965" s="571"/>
      <c r="M965" s="571"/>
      <c r="N965" s="573">
        <v>714.79</v>
      </c>
      <c r="O965" s="556" t="str">
        <f>IF(N965=M965,"OK","DIF")</f>
        <v>DIF</v>
      </c>
      <c r="P965" s="573"/>
      <c r="Q965" s="556"/>
      <c r="R965" s="582"/>
    </row>
    <row r="966" ht="15" customHeight="1" spans="1:18">
      <c r="A966" s="556">
        <f>B966</f>
        <v>0</v>
      </c>
      <c r="B966" s="557">
        <f>B965</f>
        <v>0</v>
      </c>
      <c r="C966" s="76" t="s">
        <v>431</v>
      </c>
      <c r="D966" s="75" t="s">
        <v>63</v>
      </c>
      <c r="E966" s="76" t="s">
        <v>64</v>
      </c>
      <c r="F966" s="76" t="s">
        <v>65</v>
      </c>
      <c r="G966" s="76" t="s">
        <v>2889</v>
      </c>
      <c r="H966" s="76"/>
      <c r="I966" s="77" t="s">
        <v>66</v>
      </c>
      <c r="J966" s="75" t="s">
        <v>67</v>
      </c>
      <c r="K966" s="75" t="s">
        <v>2890</v>
      </c>
      <c r="L966" s="75" t="s">
        <v>68</v>
      </c>
      <c r="M966" s="75" t="s">
        <v>70</v>
      </c>
      <c r="N966" s="573">
        <v>47.69</v>
      </c>
      <c r="O966" s="556" t="str">
        <f>IF(N966=M966,"OK","DIF")</f>
        <v>DIF</v>
      </c>
      <c r="P966" s="573"/>
      <c r="Q966" s="556"/>
      <c r="R966" s="582"/>
    </row>
    <row r="967" ht="23.85" customHeight="1" spans="1:18">
      <c r="A967" s="556">
        <f>B967</f>
        <v>0</v>
      </c>
      <c r="B967" s="557">
        <f>B966</f>
        <v>0</v>
      </c>
      <c r="C967" s="569" t="s">
        <v>2891</v>
      </c>
      <c r="D967" s="570" t="s">
        <v>413</v>
      </c>
      <c r="E967" s="569" t="s">
        <v>139</v>
      </c>
      <c r="F967" s="569" t="s">
        <v>414</v>
      </c>
      <c r="G967" s="569" t="s">
        <v>3230</v>
      </c>
      <c r="H967" s="569"/>
      <c r="I967" s="577" t="s">
        <v>279</v>
      </c>
      <c r="J967" s="578">
        <v>1</v>
      </c>
      <c r="K967" s="579"/>
      <c r="L967" s="579">
        <v>852.23</v>
      </c>
      <c r="M967" s="579">
        <v>852.23</v>
      </c>
      <c r="N967" s="573">
        <v>169.67</v>
      </c>
      <c r="O967" s="556" t="str">
        <f>IF(N967=M967,"OK","DIF")</f>
        <v>DIF</v>
      </c>
      <c r="P967" s="573"/>
      <c r="Q967" s="556"/>
      <c r="R967" s="582"/>
    </row>
    <row r="968" ht="35.05" customHeight="1" spans="1:18">
      <c r="A968" s="556">
        <f>B968</f>
        <v>0</v>
      </c>
      <c r="B968" s="557">
        <f>B967</f>
        <v>0</v>
      </c>
      <c r="C968" s="79" t="s">
        <v>2921</v>
      </c>
      <c r="D968" s="78" t="s">
        <v>3350</v>
      </c>
      <c r="E968" s="79" t="s">
        <v>139</v>
      </c>
      <c r="F968" s="79" t="s">
        <v>3351</v>
      </c>
      <c r="G968" s="79" t="s">
        <v>2999</v>
      </c>
      <c r="H968" s="79"/>
      <c r="I968" s="80" t="s">
        <v>279</v>
      </c>
      <c r="J968" s="583">
        <v>1.38</v>
      </c>
      <c r="K968" s="583">
        <v>0</v>
      </c>
      <c r="L968" s="92">
        <v>384.14</v>
      </c>
      <c r="M968" s="92">
        <v>530.11</v>
      </c>
      <c r="N968" s="573">
        <v>497.43</v>
      </c>
      <c r="O968" s="556" t="str">
        <f>IF(N968=M968,"OK","DIF")</f>
        <v>DIF</v>
      </c>
      <c r="P968" s="573"/>
      <c r="Q968" s="556"/>
      <c r="R968" s="582"/>
    </row>
    <row r="969" ht="23.85" customHeight="1" spans="1:18">
      <c r="A969" s="556"/>
      <c r="B969" s="557"/>
      <c r="C969" s="79" t="s">
        <v>2921</v>
      </c>
      <c r="D969" s="78" t="s">
        <v>2952</v>
      </c>
      <c r="E969" s="79" t="s">
        <v>139</v>
      </c>
      <c r="F969" s="79" t="s">
        <v>2953</v>
      </c>
      <c r="G969" s="79" t="s">
        <v>2928</v>
      </c>
      <c r="H969" s="79"/>
      <c r="I969" s="80" t="s">
        <v>2897</v>
      </c>
      <c r="J969" s="583">
        <v>2.453</v>
      </c>
      <c r="K969" s="583">
        <v>0</v>
      </c>
      <c r="L969" s="92">
        <v>29.15</v>
      </c>
      <c r="M969" s="92">
        <v>71.5</v>
      </c>
      <c r="N969" s="573"/>
      <c r="O969" s="556"/>
      <c r="P969" s="573"/>
      <c r="Q969" s="556"/>
      <c r="R969" s="582"/>
    </row>
    <row r="970" ht="23.85" customHeight="1" spans="1:18">
      <c r="A970" s="556"/>
      <c r="B970" s="557"/>
      <c r="C970" s="79" t="s">
        <v>2921</v>
      </c>
      <c r="D970" s="78" t="s">
        <v>3017</v>
      </c>
      <c r="E970" s="79" t="s">
        <v>139</v>
      </c>
      <c r="F970" s="79" t="s">
        <v>3018</v>
      </c>
      <c r="G970" s="79" t="s">
        <v>2928</v>
      </c>
      <c r="H970" s="79"/>
      <c r="I970" s="80" t="s">
        <v>2897</v>
      </c>
      <c r="J970" s="583">
        <v>6.781</v>
      </c>
      <c r="K970" s="583">
        <v>0</v>
      </c>
      <c r="L970" s="92">
        <v>36.96</v>
      </c>
      <c r="M970" s="92">
        <v>250.62</v>
      </c>
      <c r="N970" s="573"/>
      <c r="O970" s="556"/>
      <c r="P970" s="573"/>
      <c r="Q970" s="556"/>
      <c r="R970" s="582"/>
    </row>
    <row r="971" ht="25.5" spans="1:18">
      <c r="A971" s="556"/>
      <c r="B971" s="557" t="str">
        <f>C970</f>
        <v>Composição Auxiliar</v>
      </c>
      <c r="C971" s="108"/>
      <c r="D971" s="108"/>
      <c r="E971" s="108"/>
      <c r="F971" s="108"/>
      <c r="G971" s="108"/>
      <c r="H971" s="108" t="s">
        <v>2898</v>
      </c>
      <c r="I971" s="581">
        <v>328.6</v>
      </c>
      <c r="J971" s="108" t="s">
        <v>2899</v>
      </c>
      <c r="K971" s="581">
        <v>0</v>
      </c>
      <c r="L971" s="108" t="s">
        <v>2900</v>
      </c>
      <c r="M971" s="581">
        <v>328.6</v>
      </c>
      <c r="N971" s="573">
        <v>10.45</v>
      </c>
      <c r="O971" s="556" t="str">
        <f t="shared" ref="O971:O976" si="95">IF(N971=M971,"OK","DIF")</f>
        <v>DIF</v>
      </c>
      <c r="P971" s="573"/>
      <c r="Q971" s="556"/>
      <c r="R971" s="582"/>
    </row>
    <row r="972" ht="26.25" spans="1:18">
      <c r="A972" s="556" t="str">
        <f>B972</f>
        <v>Composição Auxiliar</v>
      </c>
      <c r="B972" s="557" t="str">
        <f>B971</f>
        <v>Composição Auxiliar</v>
      </c>
      <c r="C972" s="108"/>
      <c r="D972" s="108"/>
      <c r="E972" s="108"/>
      <c r="F972" s="108"/>
      <c r="G972" s="108"/>
      <c r="H972" s="108" t="s">
        <v>2901</v>
      </c>
      <c r="I972" s="581">
        <v>217.23</v>
      </c>
      <c r="J972" s="114"/>
      <c r="K972" s="114" t="s">
        <v>2902</v>
      </c>
      <c r="L972" s="108"/>
      <c r="M972" s="581">
        <v>1069.46</v>
      </c>
      <c r="N972" s="573">
        <v>0.83</v>
      </c>
      <c r="O972" s="556" t="str">
        <f t="shared" si="95"/>
        <v>DIF</v>
      </c>
      <c r="P972" s="573"/>
      <c r="Q972" s="556"/>
      <c r="R972" s="582"/>
    </row>
    <row r="973" ht="15" spans="1:18">
      <c r="A973" s="556" t="str">
        <f>B973</f>
        <v>Composição Auxiliar</v>
      </c>
      <c r="B973" s="557" t="str">
        <f>B972</f>
        <v>Composição Auxiliar</v>
      </c>
      <c r="C973" s="571"/>
      <c r="D973" s="571"/>
      <c r="E973" s="571"/>
      <c r="F973" s="571"/>
      <c r="G973" s="571"/>
      <c r="H973" s="571"/>
      <c r="I973" s="571"/>
      <c r="J973" s="571"/>
      <c r="K973" s="571"/>
      <c r="L973" s="571"/>
      <c r="M973" s="571"/>
      <c r="N973" s="573">
        <v>0.11</v>
      </c>
      <c r="O973" s="556" t="str">
        <f t="shared" si="95"/>
        <v>DIF</v>
      </c>
      <c r="P973" s="573"/>
      <c r="Q973" s="556"/>
      <c r="R973" s="582"/>
    </row>
    <row r="974" ht="15" customHeight="1" spans="1:18">
      <c r="A974" s="556" t="str">
        <f>B974</f>
        <v>Composição Auxiliar</v>
      </c>
      <c r="B974" s="557" t="str">
        <f>B973</f>
        <v>Composição Auxiliar</v>
      </c>
      <c r="C974" s="76" t="s">
        <v>432</v>
      </c>
      <c r="D974" s="75" t="s">
        <v>63</v>
      </c>
      <c r="E974" s="76" t="s">
        <v>64</v>
      </c>
      <c r="F974" s="76" t="s">
        <v>65</v>
      </c>
      <c r="G974" s="76" t="s">
        <v>2889</v>
      </c>
      <c r="H974" s="76"/>
      <c r="I974" s="77" t="s">
        <v>66</v>
      </c>
      <c r="J974" s="75" t="s">
        <v>67</v>
      </c>
      <c r="K974" s="75" t="s">
        <v>2890</v>
      </c>
      <c r="L974" s="75" t="s">
        <v>68</v>
      </c>
      <c r="M974" s="75" t="s">
        <v>70</v>
      </c>
      <c r="N974" s="573">
        <v>8.8</v>
      </c>
      <c r="O974" s="556" t="str">
        <f t="shared" si="95"/>
        <v>DIF</v>
      </c>
      <c r="P974" s="573"/>
      <c r="Q974" s="556"/>
      <c r="R974" s="582"/>
    </row>
    <row r="975" ht="23.85" customHeight="1" spans="1:18">
      <c r="A975" s="556" t="str">
        <f>B975</f>
        <v>Composição Auxiliar</v>
      </c>
      <c r="B975" s="557" t="str">
        <f>B974</f>
        <v>Composição Auxiliar</v>
      </c>
      <c r="C975" s="569" t="s">
        <v>2891</v>
      </c>
      <c r="D975" s="570" t="s">
        <v>433</v>
      </c>
      <c r="E975" s="569" t="s">
        <v>139</v>
      </c>
      <c r="F975" s="569" t="s">
        <v>434</v>
      </c>
      <c r="G975" s="569" t="s">
        <v>3375</v>
      </c>
      <c r="H975" s="569"/>
      <c r="I975" s="577" t="s">
        <v>141</v>
      </c>
      <c r="J975" s="578">
        <v>1</v>
      </c>
      <c r="K975" s="579"/>
      <c r="L975" s="579">
        <v>2.71</v>
      </c>
      <c r="M975" s="579">
        <v>2.71</v>
      </c>
      <c r="N975" s="573">
        <v>0.64</v>
      </c>
      <c r="O975" s="556" t="str">
        <f t="shared" si="95"/>
        <v>DIF</v>
      </c>
      <c r="P975" s="573"/>
      <c r="Q975" s="556"/>
      <c r="R975" s="582"/>
    </row>
    <row r="976" ht="23.85" customHeight="1" spans="1:18">
      <c r="A976" s="556" t="str">
        <f>B976</f>
        <v>Composição Auxiliar</v>
      </c>
      <c r="B976" s="557" t="str">
        <f>B975</f>
        <v>Composição Auxiliar</v>
      </c>
      <c r="C976" s="79" t="s">
        <v>2921</v>
      </c>
      <c r="D976" s="78" t="s">
        <v>3017</v>
      </c>
      <c r="E976" s="79" t="s">
        <v>139</v>
      </c>
      <c r="F976" s="79" t="s">
        <v>3018</v>
      </c>
      <c r="G976" s="79" t="s">
        <v>2928</v>
      </c>
      <c r="H976" s="79"/>
      <c r="I976" s="80" t="s">
        <v>2897</v>
      </c>
      <c r="J976" s="583">
        <v>0.014</v>
      </c>
      <c r="K976" s="583">
        <v>0</v>
      </c>
      <c r="L976" s="92">
        <v>36.96</v>
      </c>
      <c r="M976" s="92">
        <v>0.51</v>
      </c>
      <c r="N976" s="573">
        <v>0.07</v>
      </c>
      <c r="O976" s="556" t="str">
        <f t="shared" si="95"/>
        <v>DIF</v>
      </c>
      <c r="P976" s="573"/>
      <c r="Q976" s="556"/>
      <c r="R976" s="582"/>
    </row>
    <row r="977" ht="23.85" customHeight="1" spans="1:18">
      <c r="A977" s="556"/>
      <c r="B977" s="557"/>
      <c r="C977" s="79" t="s">
        <v>2921</v>
      </c>
      <c r="D977" s="78" t="s">
        <v>2952</v>
      </c>
      <c r="E977" s="79" t="s">
        <v>139</v>
      </c>
      <c r="F977" s="79" t="s">
        <v>2953</v>
      </c>
      <c r="G977" s="79" t="s">
        <v>2928</v>
      </c>
      <c r="H977" s="79"/>
      <c r="I977" s="80" t="s">
        <v>2897</v>
      </c>
      <c r="J977" s="583">
        <v>0.005</v>
      </c>
      <c r="K977" s="583">
        <v>0</v>
      </c>
      <c r="L977" s="92">
        <v>29.15</v>
      </c>
      <c r="M977" s="92">
        <v>0.14</v>
      </c>
      <c r="N977" s="573"/>
      <c r="O977" s="556"/>
      <c r="P977" s="573"/>
      <c r="Q977" s="556"/>
      <c r="R977" s="582"/>
    </row>
    <row r="978" ht="15" customHeight="1" spans="1:18">
      <c r="A978" s="556"/>
      <c r="B978" s="557"/>
      <c r="C978" s="100" t="s">
        <v>2893</v>
      </c>
      <c r="D978" s="99" t="s">
        <v>3376</v>
      </c>
      <c r="E978" s="100" t="s">
        <v>139</v>
      </c>
      <c r="F978" s="100" t="s">
        <v>3377</v>
      </c>
      <c r="G978" s="100" t="s">
        <v>2961</v>
      </c>
      <c r="H978" s="100"/>
      <c r="I978" s="101" t="s">
        <v>141</v>
      </c>
      <c r="J978" s="580">
        <v>1.04</v>
      </c>
      <c r="K978" s="580">
        <v>0</v>
      </c>
      <c r="L978" s="102">
        <v>1.99</v>
      </c>
      <c r="M978" s="102">
        <v>2.06</v>
      </c>
      <c r="N978" s="573"/>
      <c r="O978" s="556"/>
      <c r="P978" s="573"/>
      <c r="Q978" s="556"/>
      <c r="R978" s="582"/>
    </row>
    <row r="979" ht="25.5" spans="1:18">
      <c r="A979" s="556"/>
      <c r="B979" s="557" t="str">
        <f>C978</f>
        <v>Insumo</v>
      </c>
      <c r="C979" s="108"/>
      <c r="D979" s="108"/>
      <c r="E979" s="108"/>
      <c r="F979" s="108"/>
      <c r="G979" s="108"/>
      <c r="H979" s="108" t="s">
        <v>2898</v>
      </c>
      <c r="I979" s="581">
        <v>0.46</v>
      </c>
      <c r="J979" s="108" t="s">
        <v>2899</v>
      </c>
      <c r="K979" s="581">
        <v>0</v>
      </c>
      <c r="L979" s="108" t="s">
        <v>2900</v>
      </c>
      <c r="M979" s="581">
        <v>0.46</v>
      </c>
      <c r="N979" s="573">
        <v>150.38</v>
      </c>
      <c r="O979" s="556" t="str">
        <f t="shared" ref="O979:O989" si="96">IF(N979=M979,"OK","DIF")</f>
        <v>DIF</v>
      </c>
      <c r="P979" s="573"/>
      <c r="Q979" s="556"/>
      <c r="R979" s="582"/>
    </row>
    <row r="980" ht="26.25" spans="1:18">
      <c r="A980" s="556" t="str">
        <f t="shared" ref="A980:A989" si="97">B980</f>
        <v>Insumo</v>
      </c>
      <c r="B980" s="557" t="str">
        <f t="shared" ref="B980:B989" si="98">B979</f>
        <v>Insumo</v>
      </c>
      <c r="C980" s="108"/>
      <c r="D980" s="108"/>
      <c r="E980" s="108"/>
      <c r="F980" s="108"/>
      <c r="G980" s="108"/>
      <c r="H980" s="108" t="s">
        <v>2901</v>
      </c>
      <c r="I980" s="581">
        <v>0.69</v>
      </c>
      <c r="J980" s="114"/>
      <c r="K980" s="114" t="s">
        <v>2902</v>
      </c>
      <c r="L980" s="108"/>
      <c r="M980" s="581">
        <v>3.4</v>
      </c>
      <c r="N980" s="573">
        <v>28.88</v>
      </c>
      <c r="O980" s="556" t="str">
        <f t="shared" si="96"/>
        <v>DIF</v>
      </c>
      <c r="P980" s="573"/>
      <c r="Q980" s="556"/>
      <c r="R980" s="582"/>
    </row>
    <row r="981" ht="15" spans="1:18">
      <c r="A981" s="556" t="str">
        <f t="shared" si="97"/>
        <v>Insumo</v>
      </c>
      <c r="B981" s="557" t="str">
        <f t="shared" si="98"/>
        <v>Insumo</v>
      </c>
      <c r="C981" s="571"/>
      <c r="D981" s="571"/>
      <c r="E981" s="571"/>
      <c r="F981" s="571"/>
      <c r="G981" s="571"/>
      <c r="H981" s="571"/>
      <c r="I981" s="571"/>
      <c r="J981" s="571"/>
      <c r="K981" s="571"/>
      <c r="L981" s="571"/>
      <c r="M981" s="571"/>
      <c r="N981" s="573">
        <v>2.59</v>
      </c>
      <c r="O981" s="556" t="str">
        <f t="shared" si="96"/>
        <v>DIF</v>
      </c>
      <c r="P981" s="573"/>
      <c r="Q981" s="556"/>
      <c r="R981" s="582"/>
    </row>
    <row r="982" ht="15" customHeight="1" spans="1:18">
      <c r="A982" s="556" t="str">
        <f t="shared" si="97"/>
        <v>Insumo</v>
      </c>
      <c r="B982" s="557" t="str">
        <f t="shared" si="98"/>
        <v>Insumo</v>
      </c>
      <c r="C982" s="76" t="s">
        <v>435</v>
      </c>
      <c r="D982" s="75" t="s">
        <v>63</v>
      </c>
      <c r="E982" s="76" t="s">
        <v>64</v>
      </c>
      <c r="F982" s="76" t="s">
        <v>65</v>
      </c>
      <c r="G982" s="76" t="s">
        <v>2889</v>
      </c>
      <c r="H982" s="76"/>
      <c r="I982" s="77" t="s">
        <v>66</v>
      </c>
      <c r="J982" s="75" t="s">
        <v>67</v>
      </c>
      <c r="K982" s="75" t="s">
        <v>2890</v>
      </c>
      <c r="L982" s="75" t="s">
        <v>68</v>
      </c>
      <c r="M982" s="75" t="s">
        <v>70</v>
      </c>
      <c r="N982" s="573">
        <v>79.29</v>
      </c>
      <c r="O982" s="556" t="str">
        <f t="shared" si="96"/>
        <v>DIF</v>
      </c>
      <c r="P982" s="573"/>
      <c r="Q982" s="556"/>
      <c r="R982" s="582"/>
    </row>
    <row r="983" ht="23.85" customHeight="1" spans="1:18">
      <c r="A983" s="556" t="str">
        <f t="shared" si="97"/>
        <v>Insumo</v>
      </c>
      <c r="B983" s="557" t="str">
        <f t="shared" si="98"/>
        <v>Insumo</v>
      </c>
      <c r="C983" s="569" t="s">
        <v>2891</v>
      </c>
      <c r="D983" s="570" t="s">
        <v>436</v>
      </c>
      <c r="E983" s="569" t="s">
        <v>139</v>
      </c>
      <c r="F983" s="569" t="s">
        <v>437</v>
      </c>
      <c r="G983" s="569" t="s">
        <v>3310</v>
      </c>
      <c r="H983" s="569"/>
      <c r="I983" s="577" t="s">
        <v>393</v>
      </c>
      <c r="J983" s="578">
        <v>1</v>
      </c>
      <c r="K983" s="579"/>
      <c r="L983" s="579">
        <v>19.57</v>
      </c>
      <c r="M983" s="579">
        <v>19.57</v>
      </c>
      <c r="N983" s="573">
        <v>10</v>
      </c>
      <c r="O983" s="556" t="str">
        <f t="shared" si="96"/>
        <v>DIF</v>
      </c>
      <c r="P983" s="573"/>
      <c r="Q983" s="556"/>
      <c r="R983" s="582"/>
    </row>
    <row r="984" ht="23.85" customHeight="1" spans="1:18">
      <c r="A984" s="556" t="str">
        <f t="shared" si="97"/>
        <v>Insumo</v>
      </c>
      <c r="B984" s="557" t="str">
        <f t="shared" si="98"/>
        <v>Insumo</v>
      </c>
      <c r="C984" s="79" t="s">
        <v>2921</v>
      </c>
      <c r="D984" s="78" t="s">
        <v>3378</v>
      </c>
      <c r="E984" s="79" t="s">
        <v>139</v>
      </c>
      <c r="F984" s="79" t="s">
        <v>3379</v>
      </c>
      <c r="G984" s="79" t="s">
        <v>3317</v>
      </c>
      <c r="H984" s="79"/>
      <c r="I984" s="80" t="s">
        <v>393</v>
      </c>
      <c r="J984" s="583">
        <v>1</v>
      </c>
      <c r="K984" s="583">
        <v>0</v>
      </c>
      <c r="L984" s="92">
        <v>10.96</v>
      </c>
      <c r="M984" s="92">
        <v>10.96</v>
      </c>
      <c r="N984" s="573">
        <v>10.57</v>
      </c>
      <c r="O984" s="556" t="str">
        <f t="shared" si="96"/>
        <v>DIF</v>
      </c>
      <c r="P984" s="573"/>
      <c r="Q984" s="556"/>
      <c r="R984" s="582"/>
    </row>
    <row r="985" ht="23.85" customHeight="1" spans="1:18">
      <c r="A985" s="556" t="str">
        <f t="shared" si="97"/>
        <v>Insumo</v>
      </c>
      <c r="B985" s="557" t="str">
        <f t="shared" si="98"/>
        <v>Insumo</v>
      </c>
      <c r="C985" s="79" t="s">
        <v>2921</v>
      </c>
      <c r="D985" s="78" t="s">
        <v>3313</v>
      </c>
      <c r="E985" s="79" t="s">
        <v>139</v>
      </c>
      <c r="F985" s="79" t="s">
        <v>3314</v>
      </c>
      <c r="G985" s="79" t="s">
        <v>2928</v>
      </c>
      <c r="H985" s="79"/>
      <c r="I985" s="80" t="s">
        <v>2897</v>
      </c>
      <c r="J985" s="583">
        <v>0.166</v>
      </c>
      <c r="K985" s="583">
        <v>0</v>
      </c>
      <c r="L985" s="92">
        <v>35.95</v>
      </c>
      <c r="M985" s="92">
        <v>5.96</v>
      </c>
      <c r="N985" s="573">
        <v>17.05</v>
      </c>
      <c r="O985" s="556" t="str">
        <f t="shared" si="96"/>
        <v>DIF</v>
      </c>
      <c r="P985" s="573"/>
      <c r="Q985" s="556"/>
      <c r="R985" s="582"/>
    </row>
    <row r="986" ht="23.85" customHeight="1" spans="1:18">
      <c r="A986" s="556" t="str">
        <f t="shared" si="97"/>
        <v>Insumo</v>
      </c>
      <c r="B986" s="557" t="str">
        <f t="shared" si="98"/>
        <v>Insumo</v>
      </c>
      <c r="C986" s="79" t="s">
        <v>2921</v>
      </c>
      <c r="D986" s="78" t="s">
        <v>3311</v>
      </c>
      <c r="E986" s="79" t="s">
        <v>139</v>
      </c>
      <c r="F986" s="79" t="s">
        <v>3312</v>
      </c>
      <c r="G986" s="79" t="s">
        <v>2928</v>
      </c>
      <c r="H986" s="79"/>
      <c r="I986" s="80" t="s">
        <v>2897</v>
      </c>
      <c r="J986" s="583">
        <v>0.064</v>
      </c>
      <c r="K986" s="583">
        <v>0</v>
      </c>
      <c r="L986" s="92">
        <v>30.06</v>
      </c>
      <c r="M986" s="92">
        <v>1.92</v>
      </c>
      <c r="N986" s="573">
        <v>1.06</v>
      </c>
      <c r="O986" s="556" t="str">
        <f t="shared" si="96"/>
        <v>DIF</v>
      </c>
      <c r="P986" s="573"/>
      <c r="Q986" s="556"/>
      <c r="R986" s="582"/>
    </row>
    <row r="987" ht="23.85" customHeight="1" spans="1:18">
      <c r="A987" s="556" t="str">
        <f t="shared" si="97"/>
        <v>Insumo</v>
      </c>
      <c r="B987" s="557" t="str">
        <f t="shared" si="98"/>
        <v>Insumo</v>
      </c>
      <c r="C987" s="100" t="s">
        <v>2893</v>
      </c>
      <c r="D987" s="99" t="s">
        <v>3320</v>
      </c>
      <c r="E987" s="100" t="s">
        <v>139</v>
      </c>
      <c r="F987" s="100" t="s">
        <v>3321</v>
      </c>
      <c r="G987" s="100" t="s">
        <v>2961</v>
      </c>
      <c r="H987" s="100"/>
      <c r="I987" s="101" t="s">
        <v>134</v>
      </c>
      <c r="J987" s="580">
        <v>0.819</v>
      </c>
      <c r="K987" s="580">
        <v>0</v>
      </c>
      <c r="L987" s="102">
        <v>0.22</v>
      </c>
      <c r="M987" s="102">
        <v>0.18</v>
      </c>
      <c r="N987" s="573">
        <v>0.13</v>
      </c>
      <c r="O987" s="556" t="str">
        <f t="shared" si="96"/>
        <v>DIF</v>
      </c>
      <c r="P987" s="573"/>
      <c r="Q987" s="556"/>
      <c r="R987" s="582"/>
    </row>
    <row r="988" ht="23.85" customHeight="1" spans="1:18">
      <c r="A988" s="556" t="str">
        <f t="shared" si="97"/>
        <v>Insumo</v>
      </c>
      <c r="B988" s="557" t="str">
        <f t="shared" si="98"/>
        <v>Insumo</v>
      </c>
      <c r="C988" s="100" t="s">
        <v>2893</v>
      </c>
      <c r="D988" s="99" t="s">
        <v>3318</v>
      </c>
      <c r="E988" s="100" t="s">
        <v>139</v>
      </c>
      <c r="F988" s="100" t="s">
        <v>3319</v>
      </c>
      <c r="G988" s="100" t="s">
        <v>2961</v>
      </c>
      <c r="H988" s="100"/>
      <c r="I988" s="101" t="s">
        <v>393</v>
      </c>
      <c r="J988" s="580">
        <v>0.025</v>
      </c>
      <c r="K988" s="580">
        <v>0</v>
      </c>
      <c r="L988" s="102">
        <v>22</v>
      </c>
      <c r="M988" s="102">
        <v>0.55</v>
      </c>
      <c r="N988" s="573">
        <v>0.71</v>
      </c>
      <c r="O988" s="556" t="str">
        <f t="shared" si="96"/>
        <v>DIF</v>
      </c>
      <c r="P988" s="573"/>
      <c r="Q988" s="556"/>
      <c r="R988" s="582"/>
    </row>
    <row r="989" ht="25.5" spans="1:18">
      <c r="A989" s="556" t="str">
        <f t="shared" si="97"/>
        <v>Insumo</v>
      </c>
      <c r="B989" s="557" t="str">
        <f t="shared" si="98"/>
        <v>Insumo</v>
      </c>
      <c r="C989" s="108"/>
      <c r="D989" s="108"/>
      <c r="E989" s="108"/>
      <c r="F989" s="108"/>
      <c r="G989" s="108"/>
      <c r="H989" s="108" t="s">
        <v>2898</v>
      </c>
      <c r="I989" s="581">
        <v>7.27</v>
      </c>
      <c r="J989" s="108" t="s">
        <v>2899</v>
      </c>
      <c r="K989" s="581">
        <v>0</v>
      </c>
      <c r="L989" s="108" t="s">
        <v>2900</v>
      </c>
      <c r="M989" s="581">
        <v>7.27</v>
      </c>
      <c r="N989" s="573">
        <v>0.1</v>
      </c>
      <c r="O989" s="556" t="str">
        <f t="shared" si="96"/>
        <v>DIF</v>
      </c>
      <c r="P989" s="573"/>
      <c r="Q989" s="556"/>
      <c r="R989" s="582"/>
    </row>
    <row r="990" ht="26.25" spans="1:18">
      <c r="A990" s="556"/>
      <c r="B990" s="557"/>
      <c r="C990" s="108"/>
      <c r="D990" s="108"/>
      <c r="E990" s="108"/>
      <c r="F990" s="108"/>
      <c r="G990" s="108"/>
      <c r="H990" s="108" t="s">
        <v>2901</v>
      </c>
      <c r="I990" s="581">
        <v>4.98</v>
      </c>
      <c r="J990" s="114"/>
      <c r="K990" s="114" t="s">
        <v>2902</v>
      </c>
      <c r="L990" s="108"/>
      <c r="M990" s="581">
        <v>24.55</v>
      </c>
      <c r="N990" s="573"/>
      <c r="O990" s="556"/>
      <c r="P990" s="573"/>
      <c r="Q990" s="556"/>
      <c r="R990" s="582"/>
    </row>
    <row r="991" ht="15" spans="1:18">
      <c r="A991" s="556"/>
      <c r="B991" s="557"/>
      <c r="C991" s="571"/>
      <c r="D991" s="571"/>
      <c r="E991" s="571"/>
      <c r="F991" s="571"/>
      <c r="G991" s="571"/>
      <c r="H991" s="571"/>
      <c r="I991" s="571"/>
      <c r="J991" s="571"/>
      <c r="K991" s="571"/>
      <c r="L991" s="571"/>
      <c r="M991" s="571"/>
      <c r="N991" s="573"/>
      <c r="O991" s="556"/>
      <c r="P991" s="573"/>
      <c r="Q991" s="556"/>
      <c r="R991" s="582"/>
    </row>
    <row r="992" ht="15" customHeight="1" spans="1:18">
      <c r="A992" s="556"/>
      <c r="B992" s="557">
        <f>C991</f>
        <v>0</v>
      </c>
      <c r="C992" s="76" t="s">
        <v>438</v>
      </c>
      <c r="D992" s="75" t="s">
        <v>63</v>
      </c>
      <c r="E992" s="76" t="s">
        <v>64</v>
      </c>
      <c r="F992" s="76" t="s">
        <v>65</v>
      </c>
      <c r="G992" s="76" t="s">
        <v>2889</v>
      </c>
      <c r="H992" s="76"/>
      <c r="I992" s="77" t="s">
        <v>66</v>
      </c>
      <c r="J992" s="75" t="s">
        <v>67</v>
      </c>
      <c r="K992" s="75" t="s">
        <v>2890</v>
      </c>
      <c r="L992" s="75" t="s">
        <v>68</v>
      </c>
      <c r="M992" s="75" t="s">
        <v>70</v>
      </c>
      <c r="N992" s="573">
        <v>75.39</v>
      </c>
      <c r="O992" s="556" t="str">
        <f t="shared" ref="O992:O1002" si="99">IF(N992=M992,"OK","DIF")</f>
        <v>DIF</v>
      </c>
      <c r="P992" s="573"/>
      <c r="Q992" s="556"/>
      <c r="R992" s="582"/>
    </row>
    <row r="993" ht="23.85" customHeight="1" spans="1:18">
      <c r="A993" s="556">
        <f t="shared" ref="A993:A1002" si="100">B993</f>
        <v>0</v>
      </c>
      <c r="B993" s="557">
        <f t="shared" ref="B993:B1002" si="101">B992</f>
        <v>0</v>
      </c>
      <c r="C993" s="569" t="s">
        <v>2891</v>
      </c>
      <c r="D993" s="570" t="s">
        <v>439</v>
      </c>
      <c r="E993" s="569" t="s">
        <v>139</v>
      </c>
      <c r="F993" s="569" t="s">
        <v>440</v>
      </c>
      <c r="G993" s="569" t="s">
        <v>3310</v>
      </c>
      <c r="H993" s="569"/>
      <c r="I993" s="577" t="s">
        <v>393</v>
      </c>
      <c r="J993" s="578">
        <v>1</v>
      </c>
      <c r="K993" s="579"/>
      <c r="L993" s="579">
        <v>16.14</v>
      </c>
      <c r="M993" s="579">
        <v>16.14</v>
      </c>
      <c r="N993" s="573">
        <v>36.06</v>
      </c>
      <c r="O993" s="556" t="str">
        <f t="shared" si="99"/>
        <v>DIF</v>
      </c>
      <c r="P993" s="573"/>
      <c r="Q993" s="556"/>
      <c r="R993" s="582"/>
    </row>
    <row r="994" ht="23.85" customHeight="1" spans="1:18">
      <c r="A994" s="556">
        <f t="shared" si="100"/>
        <v>0</v>
      </c>
      <c r="B994" s="557">
        <f t="shared" si="101"/>
        <v>0</v>
      </c>
      <c r="C994" s="79" t="s">
        <v>2921</v>
      </c>
      <c r="D994" s="78" t="s">
        <v>3311</v>
      </c>
      <c r="E994" s="79" t="s">
        <v>139</v>
      </c>
      <c r="F994" s="79" t="s">
        <v>3312</v>
      </c>
      <c r="G994" s="79" t="s">
        <v>2928</v>
      </c>
      <c r="H994" s="79"/>
      <c r="I994" s="80" t="s">
        <v>2897</v>
      </c>
      <c r="J994" s="583">
        <v>0.039</v>
      </c>
      <c r="K994" s="583">
        <v>0</v>
      </c>
      <c r="L994" s="92">
        <v>30.06</v>
      </c>
      <c r="M994" s="92">
        <v>1.17</v>
      </c>
      <c r="N994" s="573">
        <v>12.74</v>
      </c>
      <c r="O994" s="556" t="str">
        <f t="shared" si="99"/>
        <v>DIF</v>
      </c>
      <c r="P994" s="573"/>
      <c r="Q994" s="556"/>
      <c r="R994" s="582"/>
    </row>
    <row r="995" ht="23.85" customHeight="1" spans="1:18">
      <c r="A995" s="556">
        <f t="shared" si="100"/>
        <v>0</v>
      </c>
      <c r="B995" s="557">
        <f t="shared" si="101"/>
        <v>0</v>
      </c>
      <c r="C995" s="79" t="s">
        <v>2921</v>
      </c>
      <c r="D995" s="78" t="s">
        <v>3322</v>
      </c>
      <c r="E995" s="79" t="s">
        <v>139</v>
      </c>
      <c r="F995" s="79" t="s">
        <v>3323</v>
      </c>
      <c r="G995" s="79" t="s">
        <v>3317</v>
      </c>
      <c r="H995" s="79"/>
      <c r="I995" s="80" t="s">
        <v>393</v>
      </c>
      <c r="J995" s="583">
        <v>1</v>
      </c>
      <c r="K995" s="583">
        <v>0</v>
      </c>
      <c r="L995" s="92">
        <v>10.65</v>
      </c>
      <c r="M995" s="92">
        <v>10.65</v>
      </c>
      <c r="N995" s="573">
        <v>1.88</v>
      </c>
      <c r="O995" s="556" t="str">
        <f t="shared" si="99"/>
        <v>DIF</v>
      </c>
      <c r="P995" s="573"/>
      <c r="Q995" s="556"/>
      <c r="R995" s="582"/>
    </row>
    <row r="996" ht="23.85" customHeight="1" spans="1:18">
      <c r="A996" s="556">
        <f t="shared" si="100"/>
        <v>0</v>
      </c>
      <c r="B996" s="557">
        <f t="shared" si="101"/>
        <v>0</v>
      </c>
      <c r="C996" s="79" t="s">
        <v>2921</v>
      </c>
      <c r="D996" s="78" t="s">
        <v>3313</v>
      </c>
      <c r="E996" s="79" t="s">
        <v>139</v>
      </c>
      <c r="F996" s="79" t="s">
        <v>3314</v>
      </c>
      <c r="G996" s="79" t="s">
        <v>2928</v>
      </c>
      <c r="H996" s="79"/>
      <c r="I996" s="80" t="s">
        <v>2897</v>
      </c>
      <c r="J996" s="583">
        <v>0.102</v>
      </c>
      <c r="K996" s="583">
        <v>0</v>
      </c>
      <c r="L996" s="92">
        <v>35.95</v>
      </c>
      <c r="M996" s="92">
        <v>3.66</v>
      </c>
      <c r="N996" s="573">
        <v>0.48</v>
      </c>
      <c r="O996" s="556" t="str">
        <f t="shared" si="99"/>
        <v>DIF</v>
      </c>
      <c r="P996" s="573"/>
      <c r="Q996" s="556"/>
      <c r="R996" s="582"/>
    </row>
    <row r="997" ht="23.85" customHeight="1" spans="1:18">
      <c r="A997" s="556">
        <f t="shared" si="100"/>
        <v>0</v>
      </c>
      <c r="B997" s="557">
        <f t="shared" si="101"/>
        <v>0</v>
      </c>
      <c r="C997" s="100" t="s">
        <v>2893</v>
      </c>
      <c r="D997" s="99" t="s">
        <v>3320</v>
      </c>
      <c r="E997" s="100" t="s">
        <v>139</v>
      </c>
      <c r="F997" s="100" t="s">
        <v>3321</v>
      </c>
      <c r="G997" s="100" t="s">
        <v>2961</v>
      </c>
      <c r="H997" s="100"/>
      <c r="I997" s="101" t="s">
        <v>134</v>
      </c>
      <c r="J997" s="580">
        <v>0.503</v>
      </c>
      <c r="K997" s="580">
        <v>0</v>
      </c>
      <c r="L997" s="102">
        <v>0.22</v>
      </c>
      <c r="M997" s="102">
        <v>0.11</v>
      </c>
      <c r="N997" s="573">
        <v>0.13</v>
      </c>
      <c r="O997" s="556" t="str">
        <f t="shared" si="99"/>
        <v>DIF</v>
      </c>
      <c r="P997" s="573"/>
      <c r="Q997" s="556"/>
      <c r="R997" s="582"/>
    </row>
    <row r="998" ht="23.85" customHeight="1" spans="1:18">
      <c r="A998" s="556">
        <f t="shared" si="100"/>
        <v>0</v>
      </c>
      <c r="B998" s="557">
        <f t="shared" si="101"/>
        <v>0</v>
      </c>
      <c r="C998" s="100" t="s">
        <v>2893</v>
      </c>
      <c r="D998" s="99" t="s">
        <v>3318</v>
      </c>
      <c r="E998" s="100" t="s">
        <v>139</v>
      </c>
      <c r="F998" s="100" t="s">
        <v>3319</v>
      </c>
      <c r="G998" s="100" t="s">
        <v>2961</v>
      </c>
      <c r="H998" s="100"/>
      <c r="I998" s="101" t="s">
        <v>393</v>
      </c>
      <c r="J998" s="580">
        <v>0.025</v>
      </c>
      <c r="K998" s="580">
        <v>0</v>
      </c>
      <c r="L998" s="102">
        <v>22</v>
      </c>
      <c r="M998" s="102">
        <v>0.55</v>
      </c>
      <c r="N998" s="573">
        <v>1.6</v>
      </c>
      <c r="O998" s="556" t="str">
        <f t="shared" si="99"/>
        <v>DIF</v>
      </c>
      <c r="P998" s="573"/>
      <c r="Q998" s="556"/>
      <c r="R998" s="582"/>
    </row>
    <row r="999" ht="25.5" spans="1:18">
      <c r="A999" s="556">
        <f t="shared" si="100"/>
        <v>0</v>
      </c>
      <c r="B999" s="557">
        <f t="shared" si="101"/>
        <v>0</v>
      </c>
      <c r="C999" s="108"/>
      <c r="D999" s="108"/>
      <c r="E999" s="108"/>
      <c r="F999" s="108"/>
      <c r="G999" s="108"/>
      <c r="H999" s="108" t="s">
        <v>2898</v>
      </c>
      <c r="I999" s="581">
        <v>3.89</v>
      </c>
      <c r="J999" s="108" t="s">
        <v>2899</v>
      </c>
      <c r="K999" s="581">
        <v>0</v>
      </c>
      <c r="L999" s="108" t="s">
        <v>2900</v>
      </c>
      <c r="M999" s="581">
        <v>3.89</v>
      </c>
      <c r="N999" s="573">
        <v>1.2</v>
      </c>
      <c r="O999" s="556" t="str">
        <f t="shared" si="99"/>
        <v>DIF</v>
      </c>
      <c r="P999" s="573"/>
      <c r="Q999" s="556"/>
      <c r="R999" s="582"/>
    </row>
    <row r="1000" ht="26.25" spans="1:18">
      <c r="A1000" s="556">
        <f t="shared" si="100"/>
        <v>0</v>
      </c>
      <c r="B1000" s="557">
        <f t="shared" si="101"/>
        <v>0</v>
      </c>
      <c r="C1000" s="108"/>
      <c r="D1000" s="108"/>
      <c r="E1000" s="108"/>
      <c r="F1000" s="108"/>
      <c r="G1000" s="108"/>
      <c r="H1000" s="108" t="s">
        <v>2901</v>
      </c>
      <c r="I1000" s="581">
        <v>4.11</v>
      </c>
      <c r="J1000" s="114"/>
      <c r="K1000" s="114" t="s">
        <v>2902</v>
      </c>
      <c r="L1000" s="108"/>
      <c r="M1000" s="581">
        <v>20.25</v>
      </c>
      <c r="N1000" s="573">
        <v>5.06</v>
      </c>
      <c r="O1000" s="556" t="str">
        <f t="shared" si="99"/>
        <v>DIF</v>
      </c>
      <c r="P1000" s="573"/>
      <c r="Q1000" s="556"/>
      <c r="R1000" s="582"/>
    </row>
    <row r="1001" ht="15" spans="1:18">
      <c r="A1001" s="556">
        <f t="shared" si="100"/>
        <v>0</v>
      </c>
      <c r="B1001" s="557">
        <f t="shared" si="101"/>
        <v>0</v>
      </c>
      <c r="C1001" s="571"/>
      <c r="D1001" s="571"/>
      <c r="E1001" s="571"/>
      <c r="F1001" s="571"/>
      <c r="G1001" s="571"/>
      <c r="H1001" s="571"/>
      <c r="I1001" s="571"/>
      <c r="J1001" s="571"/>
      <c r="K1001" s="571"/>
      <c r="L1001" s="571"/>
      <c r="M1001" s="571"/>
      <c r="N1001" s="573">
        <v>0.48</v>
      </c>
      <c r="O1001" s="556" t="str">
        <f t="shared" si="99"/>
        <v>DIF</v>
      </c>
      <c r="P1001" s="573"/>
      <c r="Q1001" s="556"/>
      <c r="R1001" s="582"/>
    </row>
    <row r="1002" ht="15" customHeight="1" spans="1:18">
      <c r="A1002" s="556">
        <f t="shared" si="100"/>
        <v>0</v>
      </c>
      <c r="B1002" s="557">
        <f t="shared" si="101"/>
        <v>0</v>
      </c>
      <c r="C1002" s="76" t="s">
        <v>441</v>
      </c>
      <c r="D1002" s="75" t="s">
        <v>63</v>
      </c>
      <c r="E1002" s="76" t="s">
        <v>64</v>
      </c>
      <c r="F1002" s="76" t="s">
        <v>65</v>
      </c>
      <c r="G1002" s="76" t="s">
        <v>2889</v>
      </c>
      <c r="H1002" s="76"/>
      <c r="I1002" s="77" t="s">
        <v>66</v>
      </c>
      <c r="J1002" s="75" t="s">
        <v>67</v>
      </c>
      <c r="K1002" s="75" t="s">
        <v>2890</v>
      </c>
      <c r="L1002" s="75" t="s">
        <v>68</v>
      </c>
      <c r="M1002" s="75" t="s">
        <v>70</v>
      </c>
      <c r="N1002" s="573">
        <v>15.76</v>
      </c>
      <c r="O1002" s="556" t="str">
        <f t="shared" si="99"/>
        <v>DIF</v>
      </c>
      <c r="P1002" s="573"/>
      <c r="Q1002" s="556"/>
      <c r="R1002" s="582"/>
    </row>
    <row r="1003" ht="23.85" customHeight="1" spans="1:18">
      <c r="A1003" s="556"/>
      <c r="B1003" s="557"/>
      <c r="C1003" s="569" t="s">
        <v>2891</v>
      </c>
      <c r="D1003" s="570" t="s">
        <v>442</v>
      </c>
      <c r="E1003" s="569" t="s">
        <v>139</v>
      </c>
      <c r="F1003" s="569" t="s">
        <v>443</v>
      </c>
      <c r="G1003" s="569" t="s">
        <v>3310</v>
      </c>
      <c r="H1003" s="569"/>
      <c r="I1003" s="577" t="s">
        <v>393</v>
      </c>
      <c r="J1003" s="578">
        <v>1</v>
      </c>
      <c r="K1003" s="579"/>
      <c r="L1003" s="579">
        <v>14.25</v>
      </c>
      <c r="M1003" s="579">
        <v>14.25</v>
      </c>
      <c r="N1003" s="573"/>
      <c r="O1003" s="556"/>
      <c r="P1003" s="573"/>
      <c r="Q1003" s="556"/>
      <c r="R1003" s="582"/>
    </row>
    <row r="1004" ht="23.85" customHeight="1" spans="1:18">
      <c r="A1004" s="556"/>
      <c r="B1004" s="557"/>
      <c r="C1004" s="79" t="s">
        <v>2921</v>
      </c>
      <c r="D1004" s="78" t="s">
        <v>3324</v>
      </c>
      <c r="E1004" s="79" t="s">
        <v>139</v>
      </c>
      <c r="F1004" s="79" t="s">
        <v>3325</v>
      </c>
      <c r="G1004" s="79" t="s">
        <v>3317</v>
      </c>
      <c r="H1004" s="79"/>
      <c r="I1004" s="80" t="s">
        <v>393</v>
      </c>
      <c r="J1004" s="583">
        <v>1</v>
      </c>
      <c r="K1004" s="583">
        <v>0</v>
      </c>
      <c r="L1004" s="92">
        <v>9.78</v>
      </c>
      <c r="M1004" s="92">
        <v>9.78</v>
      </c>
      <c r="N1004" s="573"/>
      <c r="O1004" s="556"/>
      <c r="P1004" s="573"/>
      <c r="Q1004" s="556"/>
      <c r="R1004" s="582"/>
    </row>
    <row r="1005" ht="23.85" customHeight="1" spans="1:18">
      <c r="A1005" s="556"/>
      <c r="B1005" s="557"/>
      <c r="C1005" s="79" t="s">
        <v>2921</v>
      </c>
      <c r="D1005" s="78" t="s">
        <v>3311</v>
      </c>
      <c r="E1005" s="79" t="s">
        <v>139</v>
      </c>
      <c r="F1005" s="79" t="s">
        <v>3312</v>
      </c>
      <c r="G1005" s="79" t="s">
        <v>2928</v>
      </c>
      <c r="H1005" s="79"/>
      <c r="I1005" s="80" t="s">
        <v>2897</v>
      </c>
      <c r="J1005" s="583">
        <v>0.031</v>
      </c>
      <c r="K1005" s="583">
        <v>0</v>
      </c>
      <c r="L1005" s="92">
        <v>30.06</v>
      </c>
      <c r="M1005" s="92">
        <v>0.93</v>
      </c>
      <c r="N1005" s="573"/>
      <c r="O1005" s="556"/>
      <c r="P1005" s="573"/>
      <c r="Q1005" s="556"/>
      <c r="R1005" s="582"/>
    </row>
    <row r="1006" ht="23.85" customHeight="1" spans="1:18">
      <c r="A1006" s="556"/>
      <c r="B1006" s="557"/>
      <c r="C1006" s="79" t="s">
        <v>2921</v>
      </c>
      <c r="D1006" s="78" t="s">
        <v>3313</v>
      </c>
      <c r="E1006" s="79" t="s">
        <v>139</v>
      </c>
      <c r="F1006" s="79" t="s">
        <v>3314</v>
      </c>
      <c r="G1006" s="79" t="s">
        <v>2928</v>
      </c>
      <c r="H1006" s="79"/>
      <c r="I1006" s="80" t="s">
        <v>2897</v>
      </c>
      <c r="J1006" s="583">
        <v>0.081</v>
      </c>
      <c r="K1006" s="583">
        <v>0</v>
      </c>
      <c r="L1006" s="92">
        <v>35.95</v>
      </c>
      <c r="M1006" s="92">
        <v>2.91</v>
      </c>
      <c r="N1006" s="573"/>
      <c r="O1006" s="556"/>
      <c r="P1006" s="573"/>
      <c r="Q1006" s="556"/>
      <c r="R1006" s="582"/>
    </row>
    <row r="1007" ht="23.85" customHeight="1" spans="1:18">
      <c r="A1007" s="556"/>
      <c r="B1007" s="557" t="str">
        <f>C1006</f>
        <v>Composição Auxiliar</v>
      </c>
      <c r="C1007" s="100" t="s">
        <v>2893</v>
      </c>
      <c r="D1007" s="99" t="s">
        <v>3320</v>
      </c>
      <c r="E1007" s="100" t="s">
        <v>139</v>
      </c>
      <c r="F1007" s="100" t="s">
        <v>3321</v>
      </c>
      <c r="G1007" s="100" t="s">
        <v>2961</v>
      </c>
      <c r="H1007" s="100"/>
      <c r="I1007" s="101" t="s">
        <v>134</v>
      </c>
      <c r="J1007" s="580">
        <v>0.399</v>
      </c>
      <c r="K1007" s="580">
        <v>0</v>
      </c>
      <c r="L1007" s="102">
        <v>0.22</v>
      </c>
      <c r="M1007" s="102">
        <v>0.08</v>
      </c>
      <c r="N1007" s="573">
        <v>14.69</v>
      </c>
      <c r="O1007" s="556" t="str">
        <f t="shared" ref="O1007:O1012" si="102">IF(N1007=M1007,"OK","DIF")</f>
        <v>DIF</v>
      </c>
      <c r="P1007" s="573"/>
      <c r="Q1007" s="556"/>
      <c r="R1007" s="582"/>
    </row>
    <row r="1008" ht="23.85" customHeight="1" spans="1:18">
      <c r="A1008" s="556" t="str">
        <f>B1008</f>
        <v>Composição Auxiliar</v>
      </c>
      <c r="B1008" s="557" t="str">
        <f>B1007</f>
        <v>Composição Auxiliar</v>
      </c>
      <c r="C1008" s="100" t="s">
        <v>2893</v>
      </c>
      <c r="D1008" s="99" t="s">
        <v>3318</v>
      </c>
      <c r="E1008" s="100" t="s">
        <v>139</v>
      </c>
      <c r="F1008" s="100" t="s">
        <v>3319</v>
      </c>
      <c r="G1008" s="100" t="s">
        <v>2961</v>
      </c>
      <c r="H1008" s="100"/>
      <c r="I1008" s="101" t="s">
        <v>393</v>
      </c>
      <c r="J1008" s="580">
        <v>0.025</v>
      </c>
      <c r="K1008" s="580">
        <v>0</v>
      </c>
      <c r="L1008" s="102">
        <v>22</v>
      </c>
      <c r="M1008" s="102">
        <v>0.55</v>
      </c>
      <c r="N1008" s="573">
        <v>0.46</v>
      </c>
      <c r="O1008" s="556" t="str">
        <f t="shared" si="102"/>
        <v>DIF</v>
      </c>
      <c r="P1008" s="573"/>
      <c r="Q1008" s="556"/>
      <c r="R1008" s="582"/>
    </row>
    <row r="1009" ht="25.5" spans="1:18">
      <c r="A1009" s="556" t="str">
        <f>B1009</f>
        <v>Composição Auxiliar</v>
      </c>
      <c r="B1009" s="557" t="str">
        <f>B1008</f>
        <v>Composição Auxiliar</v>
      </c>
      <c r="C1009" s="108"/>
      <c r="D1009" s="108"/>
      <c r="E1009" s="108"/>
      <c r="F1009" s="108"/>
      <c r="G1009" s="108"/>
      <c r="H1009" s="108" t="s">
        <v>2898</v>
      </c>
      <c r="I1009" s="581">
        <v>2.96</v>
      </c>
      <c r="J1009" s="108" t="s">
        <v>2899</v>
      </c>
      <c r="K1009" s="581">
        <v>0</v>
      </c>
      <c r="L1009" s="108" t="s">
        <v>2900</v>
      </c>
      <c r="M1009" s="581">
        <v>2.96</v>
      </c>
      <c r="N1009" s="573">
        <v>3.46</v>
      </c>
      <c r="O1009" s="556" t="str">
        <f t="shared" si="102"/>
        <v>DIF</v>
      </c>
      <c r="P1009" s="573"/>
      <c r="Q1009" s="556"/>
      <c r="R1009" s="582"/>
    </row>
    <row r="1010" ht="26.25" spans="1:18">
      <c r="A1010" s="556" t="str">
        <f>B1010</f>
        <v>Composição Auxiliar</v>
      </c>
      <c r="B1010" s="557" t="str">
        <f>B1009</f>
        <v>Composição Auxiliar</v>
      </c>
      <c r="C1010" s="108"/>
      <c r="D1010" s="108"/>
      <c r="E1010" s="108"/>
      <c r="F1010" s="108"/>
      <c r="G1010" s="108"/>
      <c r="H1010" s="108" t="s">
        <v>2901</v>
      </c>
      <c r="I1010" s="581">
        <v>3.63</v>
      </c>
      <c r="J1010" s="114"/>
      <c r="K1010" s="114" t="s">
        <v>2902</v>
      </c>
      <c r="L1010" s="108"/>
      <c r="M1010" s="581">
        <v>17.88</v>
      </c>
      <c r="N1010" s="573">
        <v>9.87</v>
      </c>
      <c r="O1010" s="556" t="str">
        <f t="shared" si="102"/>
        <v>DIF</v>
      </c>
      <c r="P1010" s="573"/>
      <c r="Q1010" s="556"/>
      <c r="R1010" s="582"/>
    </row>
    <row r="1011" ht="15" spans="1:18">
      <c r="A1011" s="556" t="str">
        <f>B1011</f>
        <v>Composição Auxiliar</v>
      </c>
      <c r="B1011" s="557" t="str">
        <f>B1010</f>
        <v>Composição Auxiliar</v>
      </c>
      <c r="C1011" s="571"/>
      <c r="D1011" s="571"/>
      <c r="E1011" s="571"/>
      <c r="F1011" s="571"/>
      <c r="G1011" s="571"/>
      <c r="H1011" s="571"/>
      <c r="I1011" s="571"/>
      <c r="J1011" s="571"/>
      <c r="K1011" s="571"/>
      <c r="L1011" s="571"/>
      <c r="M1011" s="571"/>
      <c r="N1011" s="573">
        <v>0.26</v>
      </c>
      <c r="O1011" s="556" t="str">
        <f t="shared" si="102"/>
        <v>DIF</v>
      </c>
      <c r="P1011" s="573"/>
      <c r="Q1011" s="556"/>
      <c r="R1011" s="582"/>
    </row>
    <row r="1012" ht="15" customHeight="1" spans="1:18">
      <c r="A1012" s="556" t="str">
        <f>B1012</f>
        <v>Composição Auxiliar</v>
      </c>
      <c r="B1012" s="557" t="str">
        <f>B1011</f>
        <v>Composição Auxiliar</v>
      </c>
      <c r="C1012" s="76" t="s">
        <v>444</v>
      </c>
      <c r="D1012" s="75" t="s">
        <v>63</v>
      </c>
      <c r="E1012" s="76" t="s">
        <v>64</v>
      </c>
      <c r="F1012" s="76" t="s">
        <v>65</v>
      </c>
      <c r="G1012" s="76" t="s">
        <v>2889</v>
      </c>
      <c r="H1012" s="76"/>
      <c r="I1012" s="77" t="s">
        <v>66</v>
      </c>
      <c r="J1012" s="75" t="s">
        <v>67</v>
      </c>
      <c r="K1012" s="75" t="s">
        <v>2890</v>
      </c>
      <c r="L1012" s="75" t="s">
        <v>68</v>
      </c>
      <c r="M1012" s="75" t="s">
        <v>70</v>
      </c>
      <c r="N1012" s="573">
        <v>0.64</v>
      </c>
      <c r="O1012" s="556" t="str">
        <f t="shared" si="102"/>
        <v>DIF</v>
      </c>
      <c r="P1012" s="573"/>
      <c r="Q1012" s="556"/>
      <c r="R1012" s="582"/>
    </row>
    <row r="1013" ht="23.85" customHeight="1" spans="1:18">
      <c r="A1013" s="556"/>
      <c r="B1013" s="557"/>
      <c r="C1013" s="569" t="s">
        <v>2891</v>
      </c>
      <c r="D1013" s="570" t="s">
        <v>401</v>
      </c>
      <c r="E1013" s="569" t="s">
        <v>139</v>
      </c>
      <c r="F1013" s="569" t="s">
        <v>402</v>
      </c>
      <c r="G1013" s="569" t="s">
        <v>3310</v>
      </c>
      <c r="H1013" s="569"/>
      <c r="I1013" s="577" t="s">
        <v>393</v>
      </c>
      <c r="J1013" s="578">
        <v>1</v>
      </c>
      <c r="K1013" s="579"/>
      <c r="L1013" s="579">
        <v>12.01</v>
      </c>
      <c r="M1013" s="579">
        <v>12.01</v>
      </c>
      <c r="N1013" s="573"/>
      <c r="O1013" s="556"/>
      <c r="P1013" s="573"/>
      <c r="Q1013" s="556"/>
      <c r="R1013" s="582"/>
    </row>
    <row r="1014" ht="23.85" customHeight="1" spans="1:18">
      <c r="A1014" s="556"/>
      <c r="B1014" s="557"/>
      <c r="C1014" s="79" t="s">
        <v>2921</v>
      </c>
      <c r="D1014" s="78" t="s">
        <v>3313</v>
      </c>
      <c r="E1014" s="79" t="s">
        <v>139</v>
      </c>
      <c r="F1014" s="79" t="s">
        <v>3314</v>
      </c>
      <c r="G1014" s="79" t="s">
        <v>2928</v>
      </c>
      <c r="H1014" s="79"/>
      <c r="I1014" s="80" t="s">
        <v>2897</v>
      </c>
      <c r="J1014" s="583">
        <v>0.064</v>
      </c>
      <c r="K1014" s="583">
        <v>0</v>
      </c>
      <c r="L1014" s="92">
        <v>35.95</v>
      </c>
      <c r="M1014" s="92">
        <v>2.3</v>
      </c>
      <c r="N1014" s="573"/>
      <c r="O1014" s="556"/>
      <c r="P1014" s="573"/>
      <c r="Q1014" s="556"/>
      <c r="R1014" s="582"/>
    </row>
    <row r="1015" ht="23.85" customHeight="1" spans="1:18">
      <c r="A1015" s="556"/>
      <c r="B1015" s="557" t="str">
        <f>C1014</f>
        <v>Composição Auxiliar</v>
      </c>
      <c r="C1015" s="79" t="s">
        <v>2921</v>
      </c>
      <c r="D1015" s="78" t="s">
        <v>3311</v>
      </c>
      <c r="E1015" s="79" t="s">
        <v>139</v>
      </c>
      <c r="F1015" s="79" t="s">
        <v>3312</v>
      </c>
      <c r="G1015" s="79" t="s">
        <v>2928</v>
      </c>
      <c r="H1015" s="79"/>
      <c r="I1015" s="80" t="s">
        <v>2897</v>
      </c>
      <c r="J1015" s="583">
        <v>0.025</v>
      </c>
      <c r="K1015" s="583">
        <v>0</v>
      </c>
      <c r="L1015" s="92">
        <v>30.06</v>
      </c>
      <c r="M1015" s="92">
        <v>0.75</v>
      </c>
      <c r="N1015" s="573">
        <v>13.51</v>
      </c>
      <c r="O1015" s="556" t="str">
        <f t="shared" ref="O1015:O1020" si="103">IF(N1015=M1015,"OK","DIF")</f>
        <v>DIF</v>
      </c>
      <c r="P1015" s="573"/>
      <c r="Q1015" s="556"/>
      <c r="R1015" s="582"/>
    </row>
    <row r="1016" ht="23.85" customHeight="1" spans="1:18">
      <c r="A1016" s="556" t="str">
        <f>B1016</f>
        <v>Composição Auxiliar</v>
      </c>
      <c r="B1016" s="557" t="str">
        <f>B1015</f>
        <v>Composição Auxiliar</v>
      </c>
      <c r="C1016" s="79" t="s">
        <v>2921</v>
      </c>
      <c r="D1016" s="78" t="s">
        <v>3326</v>
      </c>
      <c r="E1016" s="79" t="s">
        <v>139</v>
      </c>
      <c r="F1016" s="79" t="s">
        <v>3327</v>
      </c>
      <c r="G1016" s="79" t="s">
        <v>3317</v>
      </c>
      <c r="H1016" s="79"/>
      <c r="I1016" s="80" t="s">
        <v>393</v>
      </c>
      <c r="J1016" s="583">
        <v>1</v>
      </c>
      <c r="K1016" s="583">
        <v>0</v>
      </c>
      <c r="L1016" s="92">
        <v>8.35</v>
      </c>
      <c r="M1016" s="92">
        <v>8.35</v>
      </c>
      <c r="N1016" s="573">
        <v>2.56</v>
      </c>
      <c r="O1016" s="556" t="str">
        <f t="shared" si="103"/>
        <v>DIF</v>
      </c>
      <c r="P1016" s="573"/>
      <c r="Q1016" s="556"/>
      <c r="R1016" s="582"/>
    </row>
    <row r="1017" ht="23.85" customHeight="1" spans="1:18">
      <c r="A1017" s="556" t="str">
        <f>B1017</f>
        <v>Composição Auxiliar</v>
      </c>
      <c r="B1017" s="557" t="str">
        <f>B1016</f>
        <v>Composição Auxiliar</v>
      </c>
      <c r="C1017" s="100" t="s">
        <v>2893</v>
      </c>
      <c r="D1017" s="99" t="s">
        <v>3320</v>
      </c>
      <c r="E1017" s="100" t="s">
        <v>139</v>
      </c>
      <c r="F1017" s="100" t="s">
        <v>3321</v>
      </c>
      <c r="G1017" s="100" t="s">
        <v>2961</v>
      </c>
      <c r="H1017" s="100"/>
      <c r="I1017" s="101" t="s">
        <v>134</v>
      </c>
      <c r="J1017" s="580">
        <v>0.317</v>
      </c>
      <c r="K1017" s="580">
        <v>0</v>
      </c>
      <c r="L1017" s="102">
        <v>0.22</v>
      </c>
      <c r="M1017" s="102">
        <v>0.06</v>
      </c>
      <c r="N1017" s="573">
        <v>9.76</v>
      </c>
      <c r="O1017" s="556" t="str">
        <f t="shared" si="103"/>
        <v>DIF</v>
      </c>
      <c r="P1017" s="573"/>
      <c r="Q1017" s="556"/>
      <c r="R1017" s="582"/>
    </row>
    <row r="1018" ht="23.85" customHeight="1" spans="1:18">
      <c r="A1018" s="556" t="str">
        <f>B1018</f>
        <v>Composição Auxiliar</v>
      </c>
      <c r="B1018" s="557" t="str">
        <f>B1017</f>
        <v>Composição Auxiliar</v>
      </c>
      <c r="C1018" s="100" t="s">
        <v>2893</v>
      </c>
      <c r="D1018" s="99" t="s">
        <v>3318</v>
      </c>
      <c r="E1018" s="100" t="s">
        <v>139</v>
      </c>
      <c r="F1018" s="100" t="s">
        <v>3319</v>
      </c>
      <c r="G1018" s="100" t="s">
        <v>2961</v>
      </c>
      <c r="H1018" s="100"/>
      <c r="I1018" s="101" t="s">
        <v>393</v>
      </c>
      <c r="J1018" s="580">
        <v>0.025</v>
      </c>
      <c r="K1018" s="580">
        <v>0</v>
      </c>
      <c r="L1018" s="102">
        <v>22</v>
      </c>
      <c r="M1018" s="102">
        <v>0.55</v>
      </c>
      <c r="N1018" s="573">
        <v>0.34</v>
      </c>
      <c r="O1018" s="556" t="str">
        <f t="shared" si="103"/>
        <v>DIF</v>
      </c>
      <c r="P1018" s="573"/>
      <c r="Q1018" s="556"/>
      <c r="R1018" s="582"/>
    </row>
    <row r="1019" ht="25.5" spans="1:18">
      <c r="A1019" s="556" t="str">
        <f>B1019</f>
        <v>Composição Auxiliar</v>
      </c>
      <c r="B1019" s="557" t="str">
        <f>B1018</f>
        <v>Composição Auxiliar</v>
      </c>
      <c r="C1019" s="108"/>
      <c r="D1019" s="108"/>
      <c r="E1019" s="108"/>
      <c r="F1019" s="108"/>
      <c r="G1019" s="108"/>
      <c r="H1019" s="108" t="s">
        <v>2898</v>
      </c>
      <c r="I1019" s="581">
        <v>2.28</v>
      </c>
      <c r="J1019" s="108" t="s">
        <v>2899</v>
      </c>
      <c r="K1019" s="581">
        <v>0</v>
      </c>
      <c r="L1019" s="108" t="s">
        <v>2900</v>
      </c>
      <c r="M1019" s="581">
        <v>2.28</v>
      </c>
      <c r="N1019" s="573">
        <v>0.64</v>
      </c>
      <c r="O1019" s="556" t="str">
        <f t="shared" si="103"/>
        <v>DIF</v>
      </c>
      <c r="P1019" s="573"/>
      <c r="Q1019" s="556"/>
      <c r="R1019" s="582"/>
    </row>
    <row r="1020" ht="26.25" spans="1:18">
      <c r="A1020" s="556" t="str">
        <f>B1020</f>
        <v>Composição Auxiliar</v>
      </c>
      <c r="B1020" s="557" t="str">
        <f>B1019</f>
        <v>Composição Auxiliar</v>
      </c>
      <c r="C1020" s="108"/>
      <c r="D1020" s="108"/>
      <c r="E1020" s="108"/>
      <c r="F1020" s="108"/>
      <c r="G1020" s="108"/>
      <c r="H1020" s="108" t="s">
        <v>2901</v>
      </c>
      <c r="I1020" s="581">
        <v>3.06</v>
      </c>
      <c r="J1020" s="114"/>
      <c r="K1020" s="114" t="s">
        <v>2902</v>
      </c>
      <c r="L1020" s="108"/>
      <c r="M1020" s="581">
        <v>15.07</v>
      </c>
      <c r="N1020" s="573">
        <v>0.21</v>
      </c>
      <c r="O1020" s="556" t="str">
        <f t="shared" si="103"/>
        <v>DIF</v>
      </c>
      <c r="P1020" s="573"/>
      <c r="Q1020" s="556"/>
      <c r="R1020" s="582"/>
    </row>
    <row r="1021" ht="15" spans="1:18">
      <c r="A1021" s="556"/>
      <c r="B1021" s="557"/>
      <c r="C1021" s="571"/>
      <c r="D1021" s="571"/>
      <c r="E1021" s="571"/>
      <c r="F1021" s="571"/>
      <c r="G1021" s="571"/>
      <c r="H1021" s="571"/>
      <c r="I1021" s="571"/>
      <c r="J1021" s="571"/>
      <c r="K1021" s="571"/>
      <c r="L1021" s="571"/>
      <c r="M1021" s="571"/>
      <c r="N1021" s="573"/>
      <c r="O1021" s="556"/>
      <c r="P1021" s="573"/>
      <c r="Q1021" s="556"/>
      <c r="R1021" s="582"/>
    </row>
    <row r="1022" ht="15" customHeight="1" spans="1:18">
      <c r="A1022" s="556"/>
      <c r="B1022" s="557"/>
      <c r="C1022" s="76" t="s">
        <v>445</v>
      </c>
      <c r="D1022" s="75" t="s">
        <v>63</v>
      </c>
      <c r="E1022" s="76" t="s">
        <v>64</v>
      </c>
      <c r="F1022" s="76" t="s">
        <v>65</v>
      </c>
      <c r="G1022" s="76" t="s">
        <v>2889</v>
      </c>
      <c r="H1022" s="76"/>
      <c r="I1022" s="77" t="s">
        <v>66</v>
      </c>
      <c r="J1022" s="75" t="s">
        <v>67</v>
      </c>
      <c r="K1022" s="75" t="s">
        <v>2890</v>
      </c>
      <c r="L1022" s="75" t="s">
        <v>68</v>
      </c>
      <c r="M1022" s="75" t="s">
        <v>70</v>
      </c>
      <c r="N1022" s="573"/>
      <c r="O1022" s="556"/>
      <c r="P1022" s="573"/>
      <c r="Q1022" s="556"/>
      <c r="R1022" s="582"/>
    </row>
    <row r="1023" ht="23.85" customHeight="1" spans="1:18">
      <c r="A1023" s="556"/>
      <c r="B1023" s="557" t="str">
        <f>C1022</f>
        <v> 5.2.9 </v>
      </c>
      <c r="C1023" s="569" t="s">
        <v>2891</v>
      </c>
      <c r="D1023" s="570" t="s">
        <v>446</v>
      </c>
      <c r="E1023" s="569" t="s">
        <v>139</v>
      </c>
      <c r="F1023" s="569" t="s">
        <v>447</v>
      </c>
      <c r="G1023" s="569" t="s">
        <v>3375</v>
      </c>
      <c r="H1023" s="569"/>
      <c r="I1023" s="577" t="s">
        <v>279</v>
      </c>
      <c r="J1023" s="578">
        <v>1</v>
      </c>
      <c r="K1023" s="579"/>
      <c r="L1023" s="579">
        <v>623.59</v>
      </c>
      <c r="M1023" s="579">
        <v>623.59</v>
      </c>
      <c r="N1023" s="573">
        <v>10.99</v>
      </c>
      <c r="O1023" s="556" t="str">
        <f t="shared" ref="O1023:O1028" si="104">IF(N1023=M1023,"OK","DIF")</f>
        <v>DIF</v>
      </c>
      <c r="P1023" s="573"/>
      <c r="Q1023" s="556"/>
      <c r="R1023" s="582"/>
    </row>
    <row r="1024" ht="23.85" customHeight="1" spans="1:18">
      <c r="A1024" s="556" t="str">
        <f>B1024</f>
        <v> 5.2.9 </v>
      </c>
      <c r="B1024" s="557" t="str">
        <f>B1023</f>
        <v> 5.2.9 </v>
      </c>
      <c r="C1024" s="79" t="s">
        <v>2921</v>
      </c>
      <c r="D1024" s="78" t="s">
        <v>2952</v>
      </c>
      <c r="E1024" s="79" t="s">
        <v>139</v>
      </c>
      <c r="F1024" s="79" t="s">
        <v>2953</v>
      </c>
      <c r="G1024" s="79" t="s">
        <v>2928</v>
      </c>
      <c r="H1024" s="79"/>
      <c r="I1024" s="80" t="s">
        <v>2897</v>
      </c>
      <c r="J1024" s="583">
        <v>0.411</v>
      </c>
      <c r="K1024" s="583">
        <v>0</v>
      </c>
      <c r="L1024" s="92">
        <v>29.15</v>
      </c>
      <c r="M1024" s="92">
        <v>11.98</v>
      </c>
      <c r="N1024" s="573">
        <v>0.17</v>
      </c>
      <c r="O1024" s="556" t="str">
        <f t="shared" si="104"/>
        <v>DIF</v>
      </c>
      <c r="P1024" s="573"/>
      <c r="Q1024" s="556"/>
      <c r="R1024" s="582"/>
    </row>
    <row r="1025" ht="23.85" customHeight="1" spans="1:18">
      <c r="A1025" s="556" t="str">
        <f>B1025</f>
        <v> 5.2.9 </v>
      </c>
      <c r="B1025" s="557" t="str">
        <f>B1024</f>
        <v> 5.2.9 </v>
      </c>
      <c r="C1025" s="79" t="s">
        <v>2921</v>
      </c>
      <c r="D1025" s="78" t="s">
        <v>3346</v>
      </c>
      <c r="E1025" s="79" t="s">
        <v>139</v>
      </c>
      <c r="F1025" s="79" t="s">
        <v>3347</v>
      </c>
      <c r="G1025" s="79" t="s">
        <v>2995</v>
      </c>
      <c r="H1025" s="79"/>
      <c r="I1025" s="80" t="s">
        <v>2996</v>
      </c>
      <c r="J1025" s="583">
        <v>0.049</v>
      </c>
      <c r="K1025" s="583">
        <v>0</v>
      </c>
      <c r="L1025" s="92">
        <v>0.53</v>
      </c>
      <c r="M1025" s="92">
        <v>0.02</v>
      </c>
      <c r="N1025" s="573">
        <v>1.27</v>
      </c>
      <c r="O1025" s="556" t="str">
        <f t="shared" si="104"/>
        <v>DIF</v>
      </c>
      <c r="P1025" s="573"/>
      <c r="Q1025" s="556"/>
      <c r="R1025" s="582"/>
    </row>
    <row r="1026" ht="23.85" customHeight="1" spans="1:18">
      <c r="A1026" s="556" t="str">
        <f>B1026</f>
        <v> 5.2.9 </v>
      </c>
      <c r="B1026" s="557" t="str">
        <f>B1025</f>
        <v> 5.2.9 </v>
      </c>
      <c r="C1026" s="79" t="s">
        <v>2921</v>
      </c>
      <c r="D1026" s="78" t="s">
        <v>3348</v>
      </c>
      <c r="E1026" s="79" t="s">
        <v>139</v>
      </c>
      <c r="F1026" s="79" t="s">
        <v>3349</v>
      </c>
      <c r="G1026" s="79" t="s">
        <v>2995</v>
      </c>
      <c r="H1026" s="79"/>
      <c r="I1026" s="80" t="s">
        <v>3002</v>
      </c>
      <c r="J1026" s="583">
        <v>0.053</v>
      </c>
      <c r="K1026" s="583">
        <v>0</v>
      </c>
      <c r="L1026" s="92">
        <v>1.45</v>
      </c>
      <c r="M1026" s="92">
        <v>0.07</v>
      </c>
      <c r="N1026" s="573">
        <v>8.8</v>
      </c>
      <c r="O1026" s="556" t="str">
        <f t="shared" si="104"/>
        <v>DIF</v>
      </c>
      <c r="P1026" s="573"/>
      <c r="Q1026" s="556"/>
      <c r="R1026" s="582"/>
    </row>
    <row r="1027" ht="23.85" customHeight="1" spans="1:18">
      <c r="A1027" s="556" t="str">
        <f>B1027</f>
        <v> 5.2.9 </v>
      </c>
      <c r="B1027" s="557" t="str">
        <f>B1026</f>
        <v> 5.2.9 </v>
      </c>
      <c r="C1027" s="79" t="s">
        <v>2921</v>
      </c>
      <c r="D1027" s="78" t="s">
        <v>3017</v>
      </c>
      <c r="E1027" s="79" t="s">
        <v>139</v>
      </c>
      <c r="F1027" s="79" t="s">
        <v>3018</v>
      </c>
      <c r="G1027" s="79" t="s">
        <v>2928</v>
      </c>
      <c r="H1027" s="79"/>
      <c r="I1027" s="80" t="s">
        <v>2897</v>
      </c>
      <c r="J1027" s="583">
        <v>0.411</v>
      </c>
      <c r="K1027" s="583">
        <v>0</v>
      </c>
      <c r="L1027" s="92">
        <v>36.96</v>
      </c>
      <c r="M1027" s="92">
        <v>15.19</v>
      </c>
      <c r="N1027" s="573">
        <v>0.64</v>
      </c>
      <c r="O1027" s="556" t="str">
        <f t="shared" si="104"/>
        <v>DIF</v>
      </c>
      <c r="P1027" s="573"/>
      <c r="Q1027" s="556"/>
      <c r="R1027" s="582"/>
    </row>
    <row r="1028" ht="35.05" customHeight="1" spans="1:18">
      <c r="A1028" s="556" t="str">
        <f>B1028</f>
        <v> 5.2.9 </v>
      </c>
      <c r="B1028" s="557" t="str">
        <f>B1027</f>
        <v> 5.2.9 </v>
      </c>
      <c r="C1028" s="100" t="s">
        <v>2893</v>
      </c>
      <c r="D1028" s="99" t="s">
        <v>3373</v>
      </c>
      <c r="E1028" s="100" t="s">
        <v>139</v>
      </c>
      <c r="F1028" s="100" t="s">
        <v>3374</v>
      </c>
      <c r="G1028" s="100" t="s">
        <v>2961</v>
      </c>
      <c r="H1028" s="100"/>
      <c r="I1028" s="101" t="s">
        <v>279</v>
      </c>
      <c r="J1028" s="580">
        <v>1.06</v>
      </c>
      <c r="K1028" s="580">
        <v>0</v>
      </c>
      <c r="L1028" s="102">
        <v>562.58</v>
      </c>
      <c r="M1028" s="102">
        <v>596.33</v>
      </c>
      <c r="N1028" s="573">
        <v>0.11</v>
      </c>
      <c r="O1028" s="556" t="str">
        <f t="shared" si="104"/>
        <v>DIF</v>
      </c>
      <c r="P1028" s="573"/>
      <c r="Q1028" s="556"/>
      <c r="R1028" s="582"/>
    </row>
    <row r="1029" ht="25.5" spans="1:18">
      <c r="A1029" s="556"/>
      <c r="B1029" s="557"/>
      <c r="C1029" s="108"/>
      <c r="D1029" s="108"/>
      <c r="E1029" s="108"/>
      <c r="F1029" s="108"/>
      <c r="G1029" s="108"/>
      <c r="H1029" s="108" t="s">
        <v>2898</v>
      </c>
      <c r="I1029" s="581">
        <v>18.96</v>
      </c>
      <c r="J1029" s="108" t="s">
        <v>2899</v>
      </c>
      <c r="K1029" s="581">
        <v>0</v>
      </c>
      <c r="L1029" s="108" t="s">
        <v>2900</v>
      </c>
      <c r="M1029" s="581">
        <v>18.96</v>
      </c>
      <c r="N1029" s="573"/>
      <c r="O1029" s="556"/>
      <c r="P1029" s="573"/>
      <c r="Q1029" s="556"/>
      <c r="R1029" s="582"/>
    </row>
    <row r="1030" ht="26.25" spans="1:18">
      <c r="A1030" s="556"/>
      <c r="B1030" s="557"/>
      <c r="C1030" s="108"/>
      <c r="D1030" s="108"/>
      <c r="E1030" s="108"/>
      <c r="F1030" s="108"/>
      <c r="G1030" s="108"/>
      <c r="H1030" s="108" t="s">
        <v>2901</v>
      </c>
      <c r="I1030" s="581">
        <v>158.95</v>
      </c>
      <c r="J1030" s="114"/>
      <c r="K1030" s="114" t="s">
        <v>2902</v>
      </c>
      <c r="L1030" s="108"/>
      <c r="M1030" s="581">
        <v>782.54</v>
      </c>
      <c r="N1030" s="573"/>
      <c r="O1030" s="556"/>
      <c r="P1030" s="573"/>
      <c r="Q1030" s="556"/>
      <c r="R1030" s="582"/>
    </row>
    <row r="1031" ht="15" spans="1:18">
      <c r="A1031" s="556"/>
      <c r="B1031" s="557">
        <f>C1030</f>
        <v>0</v>
      </c>
      <c r="C1031" s="571"/>
      <c r="D1031" s="571"/>
      <c r="E1031" s="571"/>
      <c r="F1031" s="571"/>
      <c r="G1031" s="571"/>
      <c r="H1031" s="571"/>
      <c r="I1031" s="571"/>
      <c r="J1031" s="571"/>
      <c r="K1031" s="571"/>
      <c r="L1031" s="571"/>
      <c r="M1031" s="571"/>
      <c r="N1031" s="573">
        <v>9.18</v>
      </c>
      <c r="O1031" s="556" t="str">
        <f t="shared" ref="O1031:O1036" si="105">IF(N1031=M1031,"OK","DIF")</f>
        <v>DIF</v>
      </c>
      <c r="P1031" s="573"/>
      <c r="Q1031" s="556"/>
      <c r="R1031" s="582"/>
    </row>
    <row r="1032" ht="15" customHeight="1" spans="1:18">
      <c r="A1032" s="556">
        <f>B1032</f>
        <v>0</v>
      </c>
      <c r="B1032" s="557">
        <f>B1031</f>
        <v>0</v>
      </c>
      <c r="C1032" s="76" t="s">
        <v>448</v>
      </c>
      <c r="D1032" s="75" t="s">
        <v>63</v>
      </c>
      <c r="E1032" s="76" t="s">
        <v>64</v>
      </c>
      <c r="F1032" s="76" t="s">
        <v>65</v>
      </c>
      <c r="G1032" s="76" t="s">
        <v>2889</v>
      </c>
      <c r="H1032" s="76"/>
      <c r="I1032" s="77" t="s">
        <v>66</v>
      </c>
      <c r="J1032" s="75" t="s">
        <v>67</v>
      </c>
      <c r="K1032" s="75" t="s">
        <v>2890</v>
      </c>
      <c r="L1032" s="75" t="s">
        <v>68</v>
      </c>
      <c r="M1032" s="75" t="s">
        <v>70</v>
      </c>
      <c r="N1032" s="573">
        <v>7.52</v>
      </c>
      <c r="O1032" s="556" t="str">
        <f t="shared" si="105"/>
        <v>DIF</v>
      </c>
      <c r="P1032" s="573"/>
      <c r="Q1032" s="556"/>
      <c r="R1032" s="582"/>
    </row>
    <row r="1033" ht="35.05" customHeight="1" spans="1:18">
      <c r="A1033" s="556">
        <f>B1033</f>
        <v>0</v>
      </c>
      <c r="B1033" s="557">
        <f>B1032</f>
        <v>0</v>
      </c>
      <c r="C1033" s="569" t="s">
        <v>2891</v>
      </c>
      <c r="D1033" s="570" t="s">
        <v>449</v>
      </c>
      <c r="E1033" s="569" t="s">
        <v>139</v>
      </c>
      <c r="F1033" s="569" t="s">
        <v>450</v>
      </c>
      <c r="G1033" s="569" t="s">
        <v>3375</v>
      </c>
      <c r="H1033" s="569"/>
      <c r="I1033" s="577" t="s">
        <v>141</v>
      </c>
      <c r="J1033" s="578">
        <v>1</v>
      </c>
      <c r="K1033" s="579"/>
      <c r="L1033" s="579">
        <v>4.44</v>
      </c>
      <c r="M1033" s="579">
        <v>4.44</v>
      </c>
      <c r="N1033" s="573">
        <v>0.83</v>
      </c>
      <c r="O1033" s="556" t="str">
        <f t="shared" si="105"/>
        <v>DIF</v>
      </c>
      <c r="P1033" s="573"/>
      <c r="Q1033" s="556"/>
      <c r="R1033" s="582"/>
    </row>
    <row r="1034" ht="23.85" customHeight="1" spans="1:18">
      <c r="A1034" s="556">
        <f>B1034</f>
        <v>0</v>
      </c>
      <c r="B1034" s="557">
        <f>B1033</f>
        <v>0</v>
      </c>
      <c r="C1034" s="79" t="s">
        <v>2921</v>
      </c>
      <c r="D1034" s="78" t="s">
        <v>3380</v>
      </c>
      <c r="E1034" s="79" t="s">
        <v>139</v>
      </c>
      <c r="F1034" s="79" t="s">
        <v>3381</v>
      </c>
      <c r="G1034" s="79" t="s">
        <v>2995</v>
      </c>
      <c r="H1034" s="79"/>
      <c r="I1034" s="80" t="s">
        <v>3002</v>
      </c>
      <c r="J1034" s="583">
        <v>0.025</v>
      </c>
      <c r="K1034" s="583">
        <v>0</v>
      </c>
      <c r="L1034" s="92">
        <v>6.46</v>
      </c>
      <c r="M1034" s="92">
        <v>0.16</v>
      </c>
      <c r="N1034" s="573">
        <v>0.11</v>
      </c>
      <c r="O1034" s="556" t="str">
        <f t="shared" si="105"/>
        <v>DIF</v>
      </c>
      <c r="P1034" s="573"/>
      <c r="Q1034" s="556"/>
      <c r="R1034" s="582"/>
    </row>
    <row r="1035" ht="23.85" customHeight="1" spans="1:18">
      <c r="A1035" s="556">
        <f>B1035</f>
        <v>0</v>
      </c>
      <c r="B1035" s="557">
        <f>B1034</f>
        <v>0</v>
      </c>
      <c r="C1035" s="79" t="s">
        <v>2921</v>
      </c>
      <c r="D1035" s="78" t="s">
        <v>3017</v>
      </c>
      <c r="E1035" s="79" t="s">
        <v>139</v>
      </c>
      <c r="F1035" s="79" t="s">
        <v>3018</v>
      </c>
      <c r="G1035" s="79" t="s">
        <v>2928</v>
      </c>
      <c r="H1035" s="79"/>
      <c r="I1035" s="80" t="s">
        <v>2897</v>
      </c>
      <c r="J1035" s="583">
        <v>0.045</v>
      </c>
      <c r="K1035" s="583">
        <v>0</v>
      </c>
      <c r="L1035" s="92">
        <v>36.96</v>
      </c>
      <c r="M1035" s="92">
        <v>1.66</v>
      </c>
      <c r="N1035" s="573">
        <v>0.08</v>
      </c>
      <c r="O1035" s="556" t="str">
        <f t="shared" si="105"/>
        <v>DIF</v>
      </c>
      <c r="P1035" s="573"/>
      <c r="Q1035" s="556"/>
      <c r="R1035" s="582"/>
    </row>
    <row r="1036" ht="23.85" customHeight="1" spans="1:18">
      <c r="A1036" s="556">
        <f>B1036</f>
        <v>0</v>
      </c>
      <c r="B1036" s="557">
        <f>B1035</f>
        <v>0</v>
      </c>
      <c r="C1036" s="79" t="s">
        <v>2921</v>
      </c>
      <c r="D1036" s="78" t="s">
        <v>3382</v>
      </c>
      <c r="E1036" s="79" t="s">
        <v>139</v>
      </c>
      <c r="F1036" s="79" t="s">
        <v>3383</v>
      </c>
      <c r="G1036" s="79" t="s">
        <v>2995</v>
      </c>
      <c r="H1036" s="79"/>
      <c r="I1036" s="80" t="s">
        <v>2996</v>
      </c>
      <c r="J1036" s="583">
        <v>0.042</v>
      </c>
      <c r="K1036" s="583">
        <v>0</v>
      </c>
      <c r="L1036" s="92">
        <v>0.87</v>
      </c>
      <c r="M1036" s="92">
        <v>0.03</v>
      </c>
      <c r="N1036" s="573">
        <v>0.64</v>
      </c>
      <c r="O1036" s="556" t="str">
        <f t="shared" si="105"/>
        <v>DIF</v>
      </c>
      <c r="P1036" s="573"/>
      <c r="Q1036" s="556"/>
      <c r="R1036" s="582"/>
    </row>
    <row r="1037" ht="23.85" customHeight="1" spans="1:18">
      <c r="A1037" s="556"/>
      <c r="B1037" s="557"/>
      <c r="C1037" s="79" t="s">
        <v>2921</v>
      </c>
      <c r="D1037" s="78" t="s">
        <v>2952</v>
      </c>
      <c r="E1037" s="79" t="s">
        <v>139</v>
      </c>
      <c r="F1037" s="79" t="s">
        <v>2953</v>
      </c>
      <c r="G1037" s="79" t="s">
        <v>2928</v>
      </c>
      <c r="H1037" s="79"/>
      <c r="I1037" s="80" t="s">
        <v>2897</v>
      </c>
      <c r="J1037" s="583">
        <v>0.089</v>
      </c>
      <c r="K1037" s="583">
        <v>0</v>
      </c>
      <c r="L1037" s="92">
        <v>29.15</v>
      </c>
      <c r="M1037" s="92">
        <v>2.59</v>
      </c>
      <c r="N1037" s="573"/>
      <c r="O1037" s="556"/>
      <c r="P1037" s="573"/>
      <c r="Q1037" s="556"/>
      <c r="R1037" s="582"/>
    </row>
    <row r="1038" ht="25.5" spans="1:18">
      <c r="A1038" s="556"/>
      <c r="B1038" s="557"/>
      <c r="C1038" s="108"/>
      <c r="D1038" s="108"/>
      <c r="E1038" s="108"/>
      <c r="F1038" s="108"/>
      <c r="G1038" s="108"/>
      <c r="H1038" s="108" t="s">
        <v>2898</v>
      </c>
      <c r="I1038" s="581">
        <v>2.92</v>
      </c>
      <c r="J1038" s="108" t="s">
        <v>2899</v>
      </c>
      <c r="K1038" s="581">
        <v>0</v>
      </c>
      <c r="L1038" s="108" t="s">
        <v>2900</v>
      </c>
      <c r="M1038" s="581">
        <v>2.92</v>
      </c>
      <c r="N1038" s="573"/>
      <c r="O1038" s="556"/>
      <c r="P1038" s="573"/>
      <c r="Q1038" s="556"/>
      <c r="R1038" s="582"/>
    </row>
    <row r="1039" ht="26.25" spans="1:18">
      <c r="A1039" s="556"/>
      <c r="B1039" s="557">
        <f>C1038</f>
        <v>0</v>
      </c>
      <c r="C1039" s="108"/>
      <c r="D1039" s="108"/>
      <c r="E1039" s="108"/>
      <c r="F1039" s="108"/>
      <c r="G1039" s="108"/>
      <c r="H1039" s="108" t="s">
        <v>2901</v>
      </c>
      <c r="I1039" s="581">
        <v>1.13</v>
      </c>
      <c r="J1039" s="114"/>
      <c r="K1039" s="114" t="s">
        <v>2902</v>
      </c>
      <c r="L1039" s="108"/>
      <c r="M1039" s="581">
        <v>5.57</v>
      </c>
      <c r="N1039" s="573">
        <v>10.17</v>
      </c>
      <c r="O1039" s="556" t="str">
        <f t="shared" ref="O1039:O1044" si="106">IF(N1039=M1039,"OK","DIF")</f>
        <v>DIF</v>
      </c>
      <c r="P1039" s="573"/>
      <c r="Q1039" s="556"/>
      <c r="R1039" s="582"/>
    </row>
    <row r="1040" ht="15" spans="1:18">
      <c r="A1040" s="556">
        <f>B1040</f>
        <v>0</v>
      </c>
      <c r="B1040" s="557">
        <f>B1039</f>
        <v>0</v>
      </c>
      <c r="C1040" s="571"/>
      <c r="D1040" s="571"/>
      <c r="E1040" s="571"/>
      <c r="F1040" s="571"/>
      <c r="G1040" s="571"/>
      <c r="H1040" s="571"/>
      <c r="I1040" s="571"/>
      <c r="J1040" s="571"/>
      <c r="K1040" s="571"/>
      <c r="L1040" s="571"/>
      <c r="M1040" s="571"/>
      <c r="N1040" s="573">
        <v>7.43</v>
      </c>
      <c r="O1040" s="556" t="str">
        <f t="shared" si="106"/>
        <v>DIF</v>
      </c>
      <c r="P1040" s="573"/>
      <c r="Q1040" s="556"/>
      <c r="R1040" s="582"/>
    </row>
    <row r="1041" ht="15" customHeight="1" spans="1:18">
      <c r="A1041" s="556">
        <f>B1041</f>
        <v>0</v>
      </c>
      <c r="B1041" s="557">
        <f>B1040</f>
        <v>0</v>
      </c>
      <c r="C1041" s="76" t="s">
        <v>451</v>
      </c>
      <c r="D1041" s="75" t="s">
        <v>63</v>
      </c>
      <c r="E1041" s="76" t="s">
        <v>64</v>
      </c>
      <c r="F1041" s="76" t="s">
        <v>65</v>
      </c>
      <c r="G1041" s="76" t="s">
        <v>2889</v>
      </c>
      <c r="H1041" s="76"/>
      <c r="I1041" s="77" t="s">
        <v>66</v>
      </c>
      <c r="J1041" s="75" t="s">
        <v>67</v>
      </c>
      <c r="K1041" s="75" t="s">
        <v>2890</v>
      </c>
      <c r="L1041" s="75" t="s">
        <v>68</v>
      </c>
      <c r="M1041" s="75" t="s">
        <v>70</v>
      </c>
      <c r="N1041" s="573">
        <v>0.24</v>
      </c>
      <c r="O1041" s="556" t="str">
        <f t="shared" si="106"/>
        <v>DIF</v>
      </c>
      <c r="P1041" s="573"/>
      <c r="Q1041" s="556"/>
      <c r="R1041" s="582"/>
    </row>
    <row r="1042" ht="23.85" customHeight="1" spans="1:18">
      <c r="A1042" s="556">
        <f>B1042</f>
        <v>0</v>
      </c>
      <c r="B1042" s="557">
        <f>B1041</f>
        <v>0</v>
      </c>
      <c r="C1042" s="569" t="s">
        <v>2891</v>
      </c>
      <c r="D1042" s="570" t="s">
        <v>452</v>
      </c>
      <c r="E1042" s="569" t="s">
        <v>139</v>
      </c>
      <c r="F1042" s="569" t="s">
        <v>453</v>
      </c>
      <c r="G1042" s="569" t="s">
        <v>3230</v>
      </c>
      <c r="H1042" s="569"/>
      <c r="I1042" s="577" t="s">
        <v>279</v>
      </c>
      <c r="J1042" s="578">
        <v>1</v>
      </c>
      <c r="K1042" s="579"/>
      <c r="L1042" s="579">
        <v>771.54</v>
      </c>
      <c r="M1042" s="579">
        <v>771.54</v>
      </c>
      <c r="N1042" s="573">
        <v>1.82</v>
      </c>
      <c r="O1042" s="556" t="str">
        <f t="shared" si="106"/>
        <v>DIF</v>
      </c>
      <c r="P1042" s="573"/>
      <c r="Q1042" s="556"/>
      <c r="R1042" s="582"/>
    </row>
    <row r="1043" ht="35.05" customHeight="1" spans="1:18">
      <c r="A1043" s="556">
        <f>B1043</f>
        <v>0</v>
      </c>
      <c r="B1043" s="557">
        <f>B1042</f>
        <v>0</v>
      </c>
      <c r="C1043" s="79" t="s">
        <v>2921</v>
      </c>
      <c r="D1043" s="78" t="s">
        <v>3350</v>
      </c>
      <c r="E1043" s="79" t="s">
        <v>139</v>
      </c>
      <c r="F1043" s="79" t="s">
        <v>3351</v>
      </c>
      <c r="G1043" s="79" t="s">
        <v>2999</v>
      </c>
      <c r="H1043" s="79"/>
      <c r="I1043" s="80" t="s">
        <v>279</v>
      </c>
      <c r="J1043" s="583">
        <v>1.38</v>
      </c>
      <c r="K1043" s="583">
        <v>0</v>
      </c>
      <c r="L1043" s="92">
        <v>384.14</v>
      </c>
      <c r="M1043" s="92">
        <v>530.11</v>
      </c>
      <c r="N1043" s="573">
        <v>0.04</v>
      </c>
      <c r="O1043" s="556" t="str">
        <f t="shared" si="106"/>
        <v>DIF</v>
      </c>
      <c r="P1043" s="573"/>
      <c r="Q1043" s="556"/>
      <c r="R1043" s="582"/>
    </row>
    <row r="1044" ht="23.85" customHeight="1" spans="1:18">
      <c r="A1044" s="556">
        <f>B1044</f>
        <v>0</v>
      </c>
      <c r="B1044" s="557">
        <f>B1043</f>
        <v>0</v>
      </c>
      <c r="C1044" s="79" t="s">
        <v>2921</v>
      </c>
      <c r="D1044" s="78" t="s">
        <v>3017</v>
      </c>
      <c r="E1044" s="79" t="s">
        <v>139</v>
      </c>
      <c r="F1044" s="79" t="s">
        <v>3018</v>
      </c>
      <c r="G1044" s="79" t="s">
        <v>2928</v>
      </c>
      <c r="H1044" s="79"/>
      <c r="I1044" s="80" t="s">
        <v>2897</v>
      </c>
      <c r="J1044" s="583">
        <v>5.083</v>
      </c>
      <c r="K1044" s="583">
        <v>0</v>
      </c>
      <c r="L1044" s="92">
        <v>36.96</v>
      </c>
      <c r="M1044" s="92">
        <v>187.86</v>
      </c>
      <c r="N1044" s="573">
        <v>0.64</v>
      </c>
      <c r="O1044" s="556" t="str">
        <f t="shared" si="106"/>
        <v>DIF</v>
      </c>
      <c r="P1044" s="573"/>
      <c r="Q1044" s="556"/>
      <c r="R1044" s="582"/>
    </row>
    <row r="1045" ht="23.85" customHeight="1" spans="1:18">
      <c r="A1045" s="556"/>
      <c r="B1045" s="557"/>
      <c r="C1045" s="79" t="s">
        <v>2921</v>
      </c>
      <c r="D1045" s="78" t="s">
        <v>2952</v>
      </c>
      <c r="E1045" s="79" t="s">
        <v>139</v>
      </c>
      <c r="F1045" s="79" t="s">
        <v>2953</v>
      </c>
      <c r="G1045" s="79" t="s">
        <v>2928</v>
      </c>
      <c r="H1045" s="79"/>
      <c r="I1045" s="80" t="s">
        <v>2897</v>
      </c>
      <c r="J1045" s="583">
        <v>1.838</v>
      </c>
      <c r="K1045" s="583">
        <v>0</v>
      </c>
      <c r="L1045" s="92">
        <v>29.15</v>
      </c>
      <c r="M1045" s="92">
        <v>53.57</v>
      </c>
      <c r="N1045" s="573"/>
      <c r="O1045" s="556"/>
      <c r="P1045" s="573"/>
      <c r="Q1045" s="556"/>
      <c r="R1045" s="582"/>
    </row>
    <row r="1046" ht="25.5" spans="1:18">
      <c r="A1046" s="556"/>
      <c r="B1046" s="557"/>
      <c r="C1046" s="108"/>
      <c r="D1046" s="108"/>
      <c r="E1046" s="108"/>
      <c r="F1046" s="108"/>
      <c r="G1046" s="108"/>
      <c r="H1046" s="108" t="s">
        <v>2898</v>
      </c>
      <c r="I1046" s="581">
        <v>271.03</v>
      </c>
      <c r="J1046" s="108" t="s">
        <v>2899</v>
      </c>
      <c r="K1046" s="581">
        <v>0</v>
      </c>
      <c r="L1046" s="108" t="s">
        <v>2900</v>
      </c>
      <c r="M1046" s="581">
        <v>271.03</v>
      </c>
      <c r="N1046" s="573"/>
      <c r="O1046" s="556"/>
      <c r="P1046" s="573"/>
      <c r="Q1046" s="556"/>
      <c r="R1046" s="582"/>
    </row>
    <row r="1047" ht="26.25" spans="1:18">
      <c r="A1047" s="556"/>
      <c r="B1047" s="557">
        <f>C1046</f>
        <v>0</v>
      </c>
      <c r="C1047" s="108"/>
      <c r="D1047" s="108"/>
      <c r="E1047" s="108"/>
      <c r="F1047" s="108"/>
      <c r="G1047" s="108"/>
      <c r="H1047" s="108" t="s">
        <v>2901</v>
      </c>
      <c r="I1047" s="581">
        <v>196.66</v>
      </c>
      <c r="J1047" s="114"/>
      <c r="K1047" s="114" t="s">
        <v>2902</v>
      </c>
      <c r="L1047" s="108"/>
      <c r="M1047" s="581">
        <v>968.2</v>
      </c>
      <c r="N1047" s="573">
        <v>12.88</v>
      </c>
      <c r="O1047" s="556" t="str">
        <f t="shared" ref="O1047:O1052" si="107">IF(N1047=M1047,"OK","DIF")</f>
        <v>DIF</v>
      </c>
      <c r="P1047" s="573"/>
      <c r="Q1047" s="556"/>
      <c r="R1047" s="582"/>
    </row>
    <row r="1048" ht="15" spans="1:18">
      <c r="A1048" s="556">
        <f>B1048</f>
        <v>0</v>
      </c>
      <c r="B1048" s="557">
        <f>B1047</f>
        <v>0</v>
      </c>
      <c r="C1048" s="571"/>
      <c r="D1048" s="571"/>
      <c r="E1048" s="571"/>
      <c r="F1048" s="571"/>
      <c r="G1048" s="571"/>
      <c r="H1048" s="571"/>
      <c r="I1048" s="571"/>
      <c r="J1048" s="571"/>
      <c r="K1048" s="571"/>
      <c r="L1048" s="571"/>
      <c r="M1048" s="571"/>
      <c r="N1048" s="573">
        <v>0.26</v>
      </c>
      <c r="O1048" s="556" t="str">
        <f t="shared" si="107"/>
        <v>DIF</v>
      </c>
      <c r="P1048" s="573"/>
      <c r="Q1048" s="556"/>
      <c r="R1048" s="582"/>
    </row>
    <row r="1049" ht="15" customHeight="1" spans="1:18">
      <c r="A1049" s="556">
        <f>B1049</f>
        <v>0</v>
      </c>
      <c r="B1049" s="557">
        <f>B1048</f>
        <v>0</v>
      </c>
      <c r="C1049" s="76" t="s">
        <v>454</v>
      </c>
      <c r="D1049" s="75" t="s">
        <v>63</v>
      </c>
      <c r="E1049" s="76" t="s">
        <v>64</v>
      </c>
      <c r="F1049" s="76" t="s">
        <v>65</v>
      </c>
      <c r="G1049" s="76" t="s">
        <v>2889</v>
      </c>
      <c r="H1049" s="76"/>
      <c r="I1049" s="77" t="s">
        <v>66</v>
      </c>
      <c r="J1049" s="75" t="s">
        <v>67</v>
      </c>
      <c r="K1049" s="75" t="s">
        <v>2890</v>
      </c>
      <c r="L1049" s="75" t="s">
        <v>68</v>
      </c>
      <c r="M1049" s="75" t="s">
        <v>70</v>
      </c>
      <c r="N1049" s="573">
        <v>1.93</v>
      </c>
      <c r="O1049" s="556" t="str">
        <f t="shared" si="107"/>
        <v>DIF</v>
      </c>
      <c r="P1049" s="573"/>
      <c r="Q1049" s="556"/>
      <c r="R1049" s="582"/>
    </row>
    <row r="1050" ht="23.85" customHeight="1" spans="1:18">
      <c r="A1050" s="556">
        <f>B1050</f>
        <v>0</v>
      </c>
      <c r="B1050" s="557">
        <f>B1049</f>
        <v>0</v>
      </c>
      <c r="C1050" s="569" t="s">
        <v>2891</v>
      </c>
      <c r="D1050" s="570" t="s">
        <v>455</v>
      </c>
      <c r="E1050" s="569" t="s">
        <v>139</v>
      </c>
      <c r="F1050" s="569" t="s">
        <v>456</v>
      </c>
      <c r="G1050" s="569" t="s">
        <v>3317</v>
      </c>
      <c r="H1050" s="569"/>
      <c r="I1050" s="577" t="s">
        <v>393</v>
      </c>
      <c r="J1050" s="578">
        <v>1</v>
      </c>
      <c r="K1050" s="579"/>
      <c r="L1050" s="579">
        <v>14.11</v>
      </c>
      <c r="M1050" s="579">
        <v>14.11</v>
      </c>
      <c r="N1050" s="573">
        <v>9.76</v>
      </c>
      <c r="O1050" s="556" t="str">
        <f t="shared" si="107"/>
        <v>DIF</v>
      </c>
      <c r="P1050" s="573"/>
      <c r="Q1050" s="556"/>
      <c r="R1050" s="582"/>
    </row>
    <row r="1051" ht="23.85" customHeight="1" spans="1:18">
      <c r="A1051" s="556">
        <f>B1051</f>
        <v>0</v>
      </c>
      <c r="B1051" s="557">
        <f>B1050</f>
        <v>0</v>
      </c>
      <c r="C1051" s="79" t="s">
        <v>2921</v>
      </c>
      <c r="D1051" s="78" t="s">
        <v>3313</v>
      </c>
      <c r="E1051" s="79" t="s">
        <v>139</v>
      </c>
      <c r="F1051" s="79" t="s">
        <v>3314</v>
      </c>
      <c r="G1051" s="79" t="s">
        <v>2928</v>
      </c>
      <c r="H1051" s="79"/>
      <c r="I1051" s="80" t="s">
        <v>2897</v>
      </c>
      <c r="J1051" s="583">
        <v>0.0597</v>
      </c>
      <c r="K1051" s="583">
        <v>0</v>
      </c>
      <c r="L1051" s="92">
        <v>35.95</v>
      </c>
      <c r="M1051" s="92">
        <v>2.14</v>
      </c>
      <c r="N1051" s="573">
        <v>0.64</v>
      </c>
      <c r="O1051" s="556" t="str">
        <f t="shared" si="107"/>
        <v>DIF</v>
      </c>
      <c r="P1051" s="573"/>
      <c r="Q1051" s="556"/>
      <c r="R1051" s="582"/>
    </row>
    <row r="1052" ht="23.85" customHeight="1" spans="1:18">
      <c r="A1052" s="556">
        <f>B1052</f>
        <v>0</v>
      </c>
      <c r="B1052" s="557">
        <f>B1051</f>
        <v>0</v>
      </c>
      <c r="C1052" s="79" t="s">
        <v>2921</v>
      </c>
      <c r="D1052" s="78" t="s">
        <v>3315</v>
      </c>
      <c r="E1052" s="79" t="s">
        <v>139</v>
      </c>
      <c r="F1052" s="79" t="s">
        <v>3316</v>
      </c>
      <c r="G1052" s="79" t="s">
        <v>3317</v>
      </c>
      <c r="H1052" s="79"/>
      <c r="I1052" s="80" t="s">
        <v>393</v>
      </c>
      <c r="J1052" s="583">
        <v>1</v>
      </c>
      <c r="K1052" s="583">
        <v>0</v>
      </c>
      <c r="L1052" s="92">
        <v>10.84</v>
      </c>
      <c r="M1052" s="92">
        <v>10.84</v>
      </c>
      <c r="N1052" s="573">
        <v>0.29</v>
      </c>
      <c r="O1052" s="556" t="str">
        <f t="shared" si="107"/>
        <v>DIF</v>
      </c>
      <c r="P1052" s="573"/>
      <c r="Q1052" s="556"/>
      <c r="R1052" s="582"/>
    </row>
    <row r="1053" ht="23.85" customHeight="1" spans="1:18">
      <c r="A1053" s="556"/>
      <c r="B1053" s="557"/>
      <c r="C1053" s="79" t="s">
        <v>2921</v>
      </c>
      <c r="D1053" s="78" t="s">
        <v>3311</v>
      </c>
      <c r="E1053" s="79" t="s">
        <v>139</v>
      </c>
      <c r="F1053" s="79" t="s">
        <v>3312</v>
      </c>
      <c r="G1053" s="79" t="s">
        <v>2928</v>
      </c>
      <c r="H1053" s="79"/>
      <c r="I1053" s="80" t="s">
        <v>2897</v>
      </c>
      <c r="J1053" s="583">
        <v>0.0098</v>
      </c>
      <c r="K1053" s="583">
        <v>0</v>
      </c>
      <c r="L1053" s="92">
        <v>30.06</v>
      </c>
      <c r="M1053" s="92">
        <v>0.29</v>
      </c>
      <c r="N1053" s="573"/>
      <c r="O1053" s="556"/>
      <c r="P1053" s="573"/>
      <c r="Q1053" s="556"/>
      <c r="R1053" s="582"/>
    </row>
    <row r="1054" ht="23.85" customHeight="1" spans="1:18">
      <c r="A1054" s="556"/>
      <c r="B1054" s="557"/>
      <c r="C1054" s="100" t="s">
        <v>2893</v>
      </c>
      <c r="D1054" s="99" t="s">
        <v>3318</v>
      </c>
      <c r="E1054" s="100" t="s">
        <v>139</v>
      </c>
      <c r="F1054" s="100" t="s">
        <v>3319</v>
      </c>
      <c r="G1054" s="100" t="s">
        <v>2961</v>
      </c>
      <c r="H1054" s="100"/>
      <c r="I1054" s="101" t="s">
        <v>393</v>
      </c>
      <c r="J1054" s="580">
        <v>0.025</v>
      </c>
      <c r="K1054" s="580">
        <v>0</v>
      </c>
      <c r="L1054" s="102">
        <v>22</v>
      </c>
      <c r="M1054" s="102">
        <v>0.55</v>
      </c>
      <c r="N1054" s="573"/>
      <c r="O1054" s="556"/>
      <c r="P1054" s="573"/>
      <c r="Q1054" s="556"/>
      <c r="R1054" s="582"/>
    </row>
    <row r="1055" ht="23.85" customHeight="1" spans="1:18">
      <c r="A1055" s="556"/>
      <c r="B1055" s="557" t="str">
        <f>C1054</f>
        <v>Insumo</v>
      </c>
      <c r="C1055" s="100" t="s">
        <v>2893</v>
      </c>
      <c r="D1055" s="99" t="s">
        <v>3320</v>
      </c>
      <c r="E1055" s="100" t="s">
        <v>139</v>
      </c>
      <c r="F1055" s="100" t="s">
        <v>3321</v>
      </c>
      <c r="G1055" s="100" t="s">
        <v>2961</v>
      </c>
      <c r="H1055" s="100"/>
      <c r="I1055" s="101" t="s">
        <v>134</v>
      </c>
      <c r="J1055" s="580">
        <v>1.333</v>
      </c>
      <c r="K1055" s="580">
        <v>0</v>
      </c>
      <c r="L1055" s="102">
        <v>0.22</v>
      </c>
      <c r="M1055" s="102">
        <v>0.29</v>
      </c>
      <c r="N1055" s="573">
        <v>11.86</v>
      </c>
      <c r="O1055" s="556" t="str">
        <f t="shared" ref="O1055:O1060" si="108">IF(N1055=M1055,"OK","DIF")</f>
        <v>DIF</v>
      </c>
      <c r="P1055" s="573"/>
      <c r="Q1055" s="556"/>
      <c r="R1055" s="582"/>
    </row>
    <row r="1056" ht="25.5" spans="1:18">
      <c r="A1056" s="556" t="str">
        <f>B1056</f>
        <v>Insumo</v>
      </c>
      <c r="B1056" s="557" t="str">
        <f>B1055</f>
        <v>Insumo</v>
      </c>
      <c r="C1056" s="108"/>
      <c r="D1056" s="108"/>
      <c r="E1056" s="108"/>
      <c r="F1056" s="108"/>
      <c r="G1056" s="108"/>
      <c r="H1056" s="108" t="s">
        <v>2898</v>
      </c>
      <c r="I1056" s="581">
        <v>2.63</v>
      </c>
      <c r="J1056" s="108" t="s">
        <v>2899</v>
      </c>
      <c r="K1056" s="581">
        <v>0</v>
      </c>
      <c r="L1056" s="108" t="s">
        <v>2900</v>
      </c>
      <c r="M1056" s="581">
        <v>2.63</v>
      </c>
      <c r="N1056" s="573">
        <v>9.59</v>
      </c>
      <c r="O1056" s="556" t="str">
        <f t="shared" si="108"/>
        <v>DIF</v>
      </c>
      <c r="P1056" s="573"/>
      <c r="Q1056" s="556"/>
      <c r="R1056" s="582"/>
    </row>
    <row r="1057" ht="26.25" spans="1:18">
      <c r="A1057" s="556" t="str">
        <f>B1057</f>
        <v>Insumo</v>
      </c>
      <c r="B1057" s="557" t="str">
        <f>B1056</f>
        <v>Insumo</v>
      </c>
      <c r="C1057" s="108"/>
      <c r="D1057" s="108"/>
      <c r="E1057" s="108"/>
      <c r="F1057" s="108"/>
      <c r="G1057" s="108"/>
      <c r="H1057" s="108" t="s">
        <v>2901</v>
      </c>
      <c r="I1057" s="581">
        <v>3.59</v>
      </c>
      <c r="J1057" s="114"/>
      <c r="K1057" s="114" t="s">
        <v>2902</v>
      </c>
      <c r="L1057" s="108"/>
      <c r="M1057" s="581">
        <v>17.7</v>
      </c>
      <c r="N1057" s="573">
        <v>1.3</v>
      </c>
      <c r="O1057" s="556" t="str">
        <f t="shared" si="108"/>
        <v>DIF</v>
      </c>
      <c r="P1057" s="573"/>
      <c r="Q1057" s="556"/>
      <c r="R1057" s="582"/>
    </row>
    <row r="1058" ht="15" spans="1:18">
      <c r="A1058" s="556" t="str">
        <f>B1058</f>
        <v>Insumo</v>
      </c>
      <c r="B1058" s="557" t="str">
        <f>B1057</f>
        <v>Insumo</v>
      </c>
      <c r="C1058" s="571"/>
      <c r="D1058" s="571"/>
      <c r="E1058" s="571"/>
      <c r="F1058" s="571"/>
      <c r="G1058" s="571"/>
      <c r="H1058" s="571"/>
      <c r="I1058" s="571"/>
      <c r="J1058" s="571"/>
      <c r="K1058" s="571"/>
      <c r="L1058" s="571"/>
      <c r="M1058" s="571"/>
      <c r="N1058" s="573">
        <v>0.17</v>
      </c>
      <c r="O1058" s="556" t="str">
        <f t="shared" si="108"/>
        <v>DIF</v>
      </c>
      <c r="P1058" s="573"/>
      <c r="Q1058" s="556"/>
      <c r="R1058" s="582"/>
    </row>
    <row r="1059" ht="15" customHeight="1" spans="1:18">
      <c r="A1059" s="556" t="str">
        <f>B1059</f>
        <v>Insumo</v>
      </c>
      <c r="B1059" s="557" t="str">
        <f>B1058</f>
        <v>Insumo</v>
      </c>
      <c r="C1059" s="76" t="s">
        <v>457</v>
      </c>
      <c r="D1059" s="75" t="s">
        <v>63</v>
      </c>
      <c r="E1059" s="76" t="s">
        <v>64</v>
      </c>
      <c r="F1059" s="76" t="s">
        <v>65</v>
      </c>
      <c r="G1059" s="76" t="s">
        <v>2889</v>
      </c>
      <c r="H1059" s="76"/>
      <c r="I1059" s="77" t="s">
        <v>66</v>
      </c>
      <c r="J1059" s="75" t="s">
        <v>67</v>
      </c>
      <c r="K1059" s="75" t="s">
        <v>2890</v>
      </c>
      <c r="L1059" s="75" t="s">
        <v>68</v>
      </c>
      <c r="M1059" s="75" t="s">
        <v>70</v>
      </c>
      <c r="N1059" s="573">
        <v>0.16</v>
      </c>
      <c r="O1059" s="556" t="str">
        <f t="shared" si="108"/>
        <v>DIF</v>
      </c>
      <c r="P1059" s="573"/>
      <c r="Q1059" s="556"/>
      <c r="R1059" s="582"/>
    </row>
    <row r="1060" ht="23.85" customHeight="1" spans="1:18">
      <c r="A1060" s="556" t="str">
        <f>B1060</f>
        <v>Insumo</v>
      </c>
      <c r="B1060" s="557" t="str">
        <f>B1059</f>
        <v>Insumo</v>
      </c>
      <c r="C1060" s="569" t="s">
        <v>2891</v>
      </c>
      <c r="D1060" s="570" t="s">
        <v>458</v>
      </c>
      <c r="E1060" s="569" t="s">
        <v>139</v>
      </c>
      <c r="F1060" s="569" t="s">
        <v>459</v>
      </c>
      <c r="G1060" s="569" t="s">
        <v>3317</v>
      </c>
      <c r="H1060" s="569"/>
      <c r="I1060" s="577" t="s">
        <v>393</v>
      </c>
      <c r="J1060" s="578">
        <v>1</v>
      </c>
      <c r="K1060" s="579"/>
      <c r="L1060" s="579">
        <v>12.99</v>
      </c>
      <c r="M1060" s="579">
        <v>12.99</v>
      </c>
      <c r="N1060" s="573">
        <v>0.64</v>
      </c>
      <c r="O1060" s="556" t="str">
        <f t="shared" si="108"/>
        <v>DIF</v>
      </c>
      <c r="P1060" s="573"/>
      <c r="Q1060" s="556"/>
      <c r="R1060" s="582"/>
    </row>
    <row r="1061" ht="23.85" customHeight="1" spans="1:18">
      <c r="A1061" s="556"/>
      <c r="B1061" s="557"/>
      <c r="C1061" s="79" t="s">
        <v>2921</v>
      </c>
      <c r="D1061" s="78" t="s">
        <v>3311</v>
      </c>
      <c r="E1061" s="79" t="s">
        <v>139</v>
      </c>
      <c r="F1061" s="79" t="s">
        <v>3312</v>
      </c>
      <c r="G1061" s="79" t="s">
        <v>2928</v>
      </c>
      <c r="H1061" s="79"/>
      <c r="I1061" s="80" t="s">
        <v>2897</v>
      </c>
      <c r="J1061" s="583">
        <v>0.0066</v>
      </c>
      <c r="K1061" s="583">
        <v>0</v>
      </c>
      <c r="L1061" s="92">
        <v>30.06</v>
      </c>
      <c r="M1061" s="92">
        <v>0.19</v>
      </c>
      <c r="N1061" s="573"/>
      <c r="O1061" s="556"/>
      <c r="P1061" s="573"/>
      <c r="Q1061" s="556"/>
      <c r="R1061" s="582"/>
    </row>
    <row r="1062" ht="23.85" customHeight="1" spans="1:18">
      <c r="A1062" s="556"/>
      <c r="B1062" s="557"/>
      <c r="C1062" s="79" t="s">
        <v>2921</v>
      </c>
      <c r="D1062" s="78" t="s">
        <v>3322</v>
      </c>
      <c r="E1062" s="79" t="s">
        <v>139</v>
      </c>
      <c r="F1062" s="79" t="s">
        <v>3323</v>
      </c>
      <c r="G1062" s="79" t="s">
        <v>3317</v>
      </c>
      <c r="H1062" s="79"/>
      <c r="I1062" s="80" t="s">
        <v>393</v>
      </c>
      <c r="J1062" s="583">
        <v>1</v>
      </c>
      <c r="K1062" s="583">
        <v>0</v>
      </c>
      <c r="L1062" s="92">
        <v>10.65</v>
      </c>
      <c r="M1062" s="92">
        <v>10.65</v>
      </c>
      <c r="N1062" s="573"/>
      <c r="O1062" s="556"/>
      <c r="P1062" s="573"/>
      <c r="Q1062" s="556"/>
      <c r="R1062" s="582"/>
    </row>
    <row r="1063" ht="23.85" customHeight="1" spans="1:18">
      <c r="A1063" s="556"/>
      <c r="B1063" s="557" t="str">
        <f>C1062</f>
        <v>Composição Auxiliar</v>
      </c>
      <c r="C1063" s="79" t="s">
        <v>2921</v>
      </c>
      <c r="D1063" s="78" t="s">
        <v>3313</v>
      </c>
      <c r="E1063" s="79" t="s">
        <v>139</v>
      </c>
      <c r="F1063" s="79" t="s">
        <v>3314</v>
      </c>
      <c r="G1063" s="79" t="s">
        <v>2928</v>
      </c>
      <c r="H1063" s="79"/>
      <c r="I1063" s="80" t="s">
        <v>2897</v>
      </c>
      <c r="J1063" s="583">
        <v>0.0403</v>
      </c>
      <c r="K1063" s="583">
        <v>0</v>
      </c>
      <c r="L1063" s="92">
        <v>35.95</v>
      </c>
      <c r="M1063" s="92">
        <v>1.44</v>
      </c>
      <c r="N1063" s="573">
        <v>86.57</v>
      </c>
      <c r="O1063" s="556" t="str">
        <f t="shared" ref="O1063:O1071" si="109">IF(N1063=M1063,"OK","DIF")</f>
        <v>DIF</v>
      </c>
      <c r="P1063" s="573"/>
      <c r="Q1063" s="556"/>
      <c r="R1063" s="582"/>
    </row>
    <row r="1064" ht="23.85" customHeight="1" spans="1:18">
      <c r="A1064" s="556" t="str">
        <f t="shared" ref="A1064:A1071" si="110">B1064</f>
        <v>Composição Auxiliar</v>
      </c>
      <c r="B1064" s="557" t="str">
        <f t="shared" ref="B1064:B1071" si="111">B1063</f>
        <v>Composição Auxiliar</v>
      </c>
      <c r="C1064" s="100" t="s">
        <v>2893</v>
      </c>
      <c r="D1064" s="99" t="s">
        <v>3318</v>
      </c>
      <c r="E1064" s="100" t="s">
        <v>139</v>
      </c>
      <c r="F1064" s="100" t="s">
        <v>3319</v>
      </c>
      <c r="G1064" s="100" t="s">
        <v>2961</v>
      </c>
      <c r="H1064" s="100"/>
      <c r="I1064" s="101" t="s">
        <v>393</v>
      </c>
      <c r="J1064" s="580">
        <v>0.025</v>
      </c>
      <c r="K1064" s="580">
        <v>0</v>
      </c>
      <c r="L1064" s="102">
        <v>22</v>
      </c>
      <c r="M1064" s="102">
        <v>0.55</v>
      </c>
      <c r="N1064" s="573">
        <v>5.31</v>
      </c>
      <c r="O1064" s="556" t="str">
        <f t="shared" si="109"/>
        <v>DIF</v>
      </c>
      <c r="P1064" s="573"/>
      <c r="Q1064" s="556"/>
      <c r="R1064" s="582"/>
    </row>
    <row r="1065" ht="23.85" customHeight="1" spans="1:18">
      <c r="A1065" s="556" t="str">
        <f t="shared" si="110"/>
        <v>Composição Auxiliar</v>
      </c>
      <c r="B1065" s="557" t="str">
        <f t="shared" si="111"/>
        <v>Composição Auxiliar</v>
      </c>
      <c r="C1065" s="100" t="s">
        <v>2893</v>
      </c>
      <c r="D1065" s="99" t="s">
        <v>3320</v>
      </c>
      <c r="E1065" s="100" t="s">
        <v>139</v>
      </c>
      <c r="F1065" s="100" t="s">
        <v>3321</v>
      </c>
      <c r="G1065" s="100" t="s">
        <v>2961</v>
      </c>
      <c r="H1065" s="100"/>
      <c r="I1065" s="101" t="s">
        <v>134</v>
      </c>
      <c r="J1065" s="580">
        <v>0.728</v>
      </c>
      <c r="K1065" s="580">
        <v>0</v>
      </c>
      <c r="L1065" s="102">
        <v>0.22</v>
      </c>
      <c r="M1065" s="102">
        <v>0.16</v>
      </c>
      <c r="N1065" s="573">
        <v>24.59</v>
      </c>
      <c r="O1065" s="556" t="str">
        <f t="shared" si="109"/>
        <v>DIF</v>
      </c>
      <c r="P1065" s="573"/>
      <c r="Q1065" s="556"/>
      <c r="R1065" s="582"/>
    </row>
    <row r="1066" ht="25.5" spans="1:18">
      <c r="A1066" s="556" t="str">
        <f t="shared" si="110"/>
        <v>Composição Auxiliar</v>
      </c>
      <c r="B1066" s="557" t="str">
        <f t="shared" si="111"/>
        <v>Composição Auxiliar</v>
      </c>
      <c r="C1066" s="108"/>
      <c r="D1066" s="108"/>
      <c r="E1066" s="108"/>
      <c r="F1066" s="108"/>
      <c r="G1066" s="108"/>
      <c r="H1066" s="108" t="s">
        <v>2898</v>
      </c>
      <c r="I1066" s="581">
        <v>1.64</v>
      </c>
      <c r="J1066" s="108" t="s">
        <v>2899</v>
      </c>
      <c r="K1066" s="581">
        <v>0</v>
      </c>
      <c r="L1066" s="108" t="s">
        <v>2900</v>
      </c>
      <c r="M1066" s="581">
        <v>1.64</v>
      </c>
      <c r="N1066" s="573">
        <v>36.06</v>
      </c>
      <c r="O1066" s="556" t="str">
        <f t="shared" si="109"/>
        <v>DIF</v>
      </c>
      <c r="P1066" s="573"/>
      <c r="Q1066" s="556"/>
      <c r="R1066" s="582"/>
    </row>
    <row r="1067" ht="26.25" spans="1:18">
      <c r="A1067" s="556" t="str">
        <f t="shared" si="110"/>
        <v>Composição Auxiliar</v>
      </c>
      <c r="B1067" s="557" t="str">
        <f t="shared" si="111"/>
        <v>Composição Auxiliar</v>
      </c>
      <c r="C1067" s="108"/>
      <c r="D1067" s="108"/>
      <c r="E1067" s="108"/>
      <c r="F1067" s="108"/>
      <c r="G1067" s="108"/>
      <c r="H1067" s="108" t="s">
        <v>2901</v>
      </c>
      <c r="I1067" s="581">
        <v>3.31</v>
      </c>
      <c r="J1067" s="114"/>
      <c r="K1067" s="114" t="s">
        <v>2902</v>
      </c>
      <c r="L1067" s="108"/>
      <c r="M1067" s="581">
        <v>16.3</v>
      </c>
      <c r="N1067" s="573">
        <v>0.03</v>
      </c>
      <c r="O1067" s="556" t="str">
        <f t="shared" si="109"/>
        <v>DIF</v>
      </c>
      <c r="P1067" s="573"/>
      <c r="Q1067" s="556"/>
      <c r="R1067" s="582"/>
    </row>
    <row r="1068" ht="15" spans="1:18">
      <c r="A1068" s="556" t="str">
        <f t="shared" si="110"/>
        <v>Composição Auxiliar</v>
      </c>
      <c r="B1068" s="557" t="str">
        <f t="shared" si="111"/>
        <v>Composição Auxiliar</v>
      </c>
      <c r="C1068" s="571"/>
      <c r="D1068" s="571"/>
      <c r="E1068" s="571"/>
      <c r="F1068" s="571"/>
      <c r="G1068" s="571"/>
      <c r="H1068" s="571"/>
      <c r="I1068" s="571"/>
      <c r="J1068" s="571"/>
      <c r="K1068" s="571"/>
      <c r="L1068" s="571"/>
      <c r="M1068" s="571"/>
      <c r="N1068" s="573">
        <v>0.43</v>
      </c>
      <c r="O1068" s="556" t="str">
        <f t="shared" si="109"/>
        <v>DIF</v>
      </c>
      <c r="P1068" s="573"/>
      <c r="Q1068" s="556"/>
      <c r="R1068" s="582"/>
    </row>
    <row r="1069" ht="15" customHeight="1" spans="1:18">
      <c r="A1069" s="556" t="str">
        <f t="shared" si="110"/>
        <v>Composição Auxiliar</v>
      </c>
      <c r="B1069" s="557" t="str">
        <f t="shared" si="111"/>
        <v>Composição Auxiliar</v>
      </c>
      <c r="C1069" s="76" t="s">
        <v>460</v>
      </c>
      <c r="D1069" s="75" t="s">
        <v>63</v>
      </c>
      <c r="E1069" s="76" t="s">
        <v>64</v>
      </c>
      <c r="F1069" s="76" t="s">
        <v>65</v>
      </c>
      <c r="G1069" s="76" t="s">
        <v>2889</v>
      </c>
      <c r="H1069" s="76"/>
      <c r="I1069" s="77" t="s">
        <v>66</v>
      </c>
      <c r="J1069" s="75" t="s">
        <v>67</v>
      </c>
      <c r="K1069" s="75" t="s">
        <v>2890</v>
      </c>
      <c r="L1069" s="75" t="s">
        <v>68</v>
      </c>
      <c r="M1069" s="75" t="s">
        <v>70</v>
      </c>
      <c r="N1069" s="573">
        <v>6.7</v>
      </c>
      <c r="O1069" s="556" t="str">
        <f t="shared" si="109"/>
        <v>DIF</v>
      </c>
      <c r="P1069" s="573"/>
      <c r="Q1069" s="556"/>
      <c r="R1069" s="582"/>
    </row>
    <row r="1070" ht="23.85" customHeight="1" spans="1:18">
      <c r="A1070" s="556" t="str">
        <f t="shared" si="110"/>
        <v>Composição Auxiliar</v>
      </c>
      <c r="B1070" s="557" t="str">
        <f t="shared" si="111"/>
        <v>Composição Auxiliar</v>
      </c>
      <c r="C1070" s="569" t="s">
        <v>2891</v>
      </c>
      <c r="D1070" s="570" t="s">
        <v>461</v>
      </c>
      <c r="E1070" s="569" t="s">
        <v>139</v>
      </c>
      <c r="F1070" s="569" t="s">
        <v>462</v>
      </c>
      <c r="G1070" s="569" t="s">
        <v>3317</v>
      </c>
      <c r="H1070" s="569"/>
      <c r="I1070" s="577" t="s">
        <v>393</v>
      </c>
      <c r="J1070" s="578">
        <v>1</v>
      </c>
      <c r="K1070" s="579"/>
      <c r="L1070" s="579">
        <v>11.45</v>
      </c>
      <c r="M1070" s="579">
        <v>11.45</v>
      </c>
      <c r="N1070" s="573">
        <v>4.34</v>
      </c>
      <c r="O1070" s="556" t="str">
        <f t="shared" si="109"/>
        <v>DIF</v>
      </c>
      <c r="P1070" s="573"/>
      <c r="Q1070" s="556"/>
      <c r="R1070" s="582"/>
    </row>
    <row r="1071" ht="23.85" customHeight="1" spans="1:18">
      <c r="A1071" s="556" t="str">
        <f t="shared" si="110"/>
        <v>Composição Auxiliar</v>
      </c>
      <c r="B1071" s="557" t="str">
        <f t="shared" si="111"/>
        <v>Composição Auxiliar</v>
      </c>
      <c r="C1071" s="79" t="s">
        <v>2921</v>
      </c>
      <c r="D1071" s="78" t="s">
        <v>3324</v>
      </c>
      <c r="E1071" s="79" t="s">
        <v>139</v>
      </c>
      <c r="F1071" s="79" t="s">
        <v>3325</v>
      </c>
      <c r="G1071" s="79" t="s">
        <v>3317</v>
      </c>
      <c r="H1071" s="79"/>
      <c r="I1071" s="80" t="s">
        <v>393</v>
      </c>
      <c r="J1071" s="583">
        <v>1</v>
      </c>
      <c r="K1071" s="583">
        <v>0</v>
      </c>
      <c r="L1071" s="92">
        <v>9.78</v>
      </c>
      <c r="M1071" s="92">
        <v>9.78</v>
      </c>
      <c r="N1071" s="573">
        <v>9.11</v>
      </c>
      <c r="O1071" s="556" t="str">
        <f t="shared" si="109"/>
        <v>DIF</v>
      </c>
      <c r="P1071" s="573"/>
      <c r="Q1071" s="556"/>
      <c r="R1071" s="582"/>
    </row>
    <row r="1072" ht="23.85" customHeight="1" spans="1:18">
      <c r="A1072" s="556"/>
      <c r="B1072" s="557"/>
      <c r="C1072" s="79" t="s">
        <v>2921</v>
      </c>
      <c r="D1072" s="78" t="s">
        <v>3313</v>
      </c>
      <c r="E1072" s="79" t="s">
        <v>139</v>
      </c>
      <c r="F1072" s="79" t="s">
        <v>3314</v>
      </c>
      <c r="G1072" s="79" t="s">
        <v>2928</v>
      </c>
      <c r="H1072" s="79"/>
      <c r="I1072" s="80" t="s">
        <v>2897</v>
      </c>
      <c r="J1072" s="583">
        <v>0.0259</v>
      </c>
      <c r="K1072" s="583">
        <v>0</v>
      </c>
      <c r="L1072" s="92">
        <v>35.95</v>
      </c>
      <c r="M1072" s="92">
        <v>0.93</v>
      </c>
      <c r="N1072" s="573"/>
      <c r="O1072" s="556"/>
      <c r="P1072" s="573"/>
      <c r="Q1072" s="556"/>
      <c r="R1072" s="582"/>
    </row>
    <row r="1073" ht="23.85" customHeight="1" spans="1:18">
      <c r="A1073" s="556"/>
      <c r="B1073" s="557"/>
      <c r="C1073" s="79" t="s">
        <v>2921</v>
      </c>
      <c r="D1073" s="78" t="s">
        <v>3311</v>
      </c>
      <c r="E1073" s="79" t="s">
        <v>139</v>
      </c>
      <c r="F1073" s="79" t="s">
        <v>3312</v>
      </c>
      <c r="G1073" s="79" t="s">
        <v>2928</v>
      </c>
      <c r="H1073" s="79"/>
      <c r="I1073" s="80" t="s">
        <v>2897</v>
      </c>
      <c r="J1073" s="583">
        <v>0.0042</v>
      </c>
      <c r="K1073" s="583">
        <v>0</v>
      </c>
      <c r="L1073" s="92">
        <v>30.06</v>
      </c>
      <c r="M1073" s="92">
        <v>0.12</v>
      </c>
      <c r="N1073" s="573"/>
      <c r="O1073" s="556"/>
      <c r="P1073" s="573"/>
      <c r="Q1073" s="556"/>
      <c r="R1073" s="582"/>
    </row>
    <row r="1074" ht="23.85" customHeight="1" spans="1:18">
      <c r="A1074" s="556"/>
      <c r="B1074" s="557" t="str">
        <f>C1073</f>
        <v>Composição Auxiliar</v>
      </c>
      <c r="C1074" s="100" t="s">
        <v>2893</v>
      </c>
      <c r="D1074" s="99" t="s">
        <v>3318</v>
      </c>
      <c r="E1074" s="100" t="s">
        <v>139</v>
      </c>
      <c r="F1074" s="100" t="s">
        <v>3319</v>
      </c>
      <c r="G1074" s="100" t="s">
        <v>2961</v>
      </c>
      <c r="H1074" s="100"/>
      <c r="I1074" s="101" t="s">
        <v>393</v>
      </c>
      <c r="J1074" s="580">
        <v>0.025</v>
      </c>
      <c r="K1074" s="580">
        <v>0</v>
      </c>
      <c r="L1074" s="102">
        <v>22</v>
      </c>
      <c r="M1074" s="102">
        <v>0.55</v>
      </c>
      <c r="N1074" s="573">
        <v>133.23</v>
      </c>
      <c r="O1074" s="556" t="str">
        <f t="shared" ref="O1074:O1084" si="112">IF(N1074=M1074,"OK","DIF")</f>
        <v>DIF</v>
      </c>
      <c r="P1074" s="573"/>
      <c r="Q1074" s="556"/>
      <c r="R1074" s="582"/>
    </row>
    <row r="1075" ht="23.85" customHeight="1" spans="1:18">
      <c r="A1075" s="556" t="str">
        <f t="shared" ref="A1075:A1084" si="113">B1075</f>
        <v>Composição Auxiliar</v>
      </c>
      <c r="B1075" s="557" t="str">
        <f t="shared" ref="B1075:B1084" si="114">B1074</f>
        <v>Composição Auxiliar</v>
      </c>
      <c r="C1075" s="100" t="s">
        <v>2893</v>
      </c>
      <c r="D1075" s="99" t="s">
        <v>3320</v>
      </c>
      <c r="E1075" s="100" t="s">
        <v>139</v>
      </c>
      <c r="F1075" s="100" t="s">
        <v>3321</v>
      </c>
      <c r="G1075" s="100" t="s">
        <v>2961</v>
      </c>
      <c r="H1075" s="100"/>
      <c r="I1075" s="101" t="s">
        <v>134</v>
      </c>
      <c r="J1075" s="580">
        <v>0.357</v>
      </c>
      <c r="K1075" s="580">
        <v>0</v>
      </c>
      <c r="L1075" s="102">
        <v>0.22</v>
      </c>
      <c r="M1075" s="102">
        <v>0.07</v>
      </c>
      <c r="N1075" s="573">
        <v>6.33</v>
      </c>
      <c r="O1075" s="556" t="str">
        <f t="shared" si="112"/>
        <v>DIF</v>
      </c>
      <c r="P1075" s="573"/>
      <c r="Q1075" s="556"/>
      <c r="R1075" s="582"/>
    </row>
    <row r="1076" ht="25.5" spans="1:18">
      <c r="A1076" s="556" t="str">
        <f t="shared" si="113"/>
        <v>Composição Auxiliar</v>
      </c>
      <c r="B1076" s="557" t="str">
        <f t="shared" si="114"/>
        <v>Composição Auxiliar</v>
      </c>
      <c r="C1076" s="108"/>
      <c r="D1076" s="108"/>
      <c r="E1076" s="108"/>
      <c r="F1076" s="108"/>
      <c r="G1076" s="108"/>
      <c r="H1076" s="108" t="s">
        <v>2898</v>
      </c>
      <c r="I1076" s="581">
        <v>0.99</v>
      </c>
      <c r="J1076" s="108" t="s">
        <v>2899</v>
      </c>
      <c r="K1076" s="581">
        <v>0</v>
      </c>
      <c r="L1076" s="108" t="s">
        <v>2900</v>
      </c>
      <c r="M1076" s="581">
        <v>0.99</v>
      </c>
      <c r="N1076" s="573">
        <v>42.79</v>
      </c>
      <c r="O1076" s="556" t="str">
        <f t="shared" si="112"/>
        <v>DIF</v>
      </c>
      <c r="P1076" s="573"/>
      <c r="Q1076" s="556"/>
      <c r="R1076" s="582"/>
    </row>
    <row r="1077" ht="26.25" spans="1:18">
      <c r="A1077" s="556" t="str">
        <f t="shared" si="113"/>
        <v>Composição Auxiliar</v>
      </c>
      <c r="B1077" s="557" t="str">
        <f t="shared" si="114"/>
        <v>Composição Auxiliar</v>
      </c>
      <c r="C1077" s="108"/>
      <c r="D1077" s="108"/>
      <c r="E1077" s="108"/>
      <c r="F1077" s="108"/>
      <c r="G1077" s="108"/>
      <c r="H1077" s="108" t="s">
        <v>2901</v>
      </c>
      <c r="I1077" s="581">
        <v>2.91</v>
      </c>
      <c r="J1077" s="114"/>
      <c r="K1077" s="114" t="s">
        <v>2902</v>
      </c>
      <c r="L1077" s="108"/>
      <c r="M1077" s="581">
        <v>14.36</v>
      </c>
      <c r="N1077" s="573">
        <v>29.58</v>
      </c>
      <c r="O1077" s="556" t="str">
        <f t="shared" si="112"/>
        <v>DIF</v>
      </c>
      <c r="P1077" s="573"/>
      <c r="Q1077" s="556"/>
      <c r="R1077" s="582"/>
    </row>
    <row r="1078" ht="15" spans="1:18">
      <c r="A1078" s="556" t="str">
        <f t="shared" si="113"/>
        <v>Composição Auxiliar</v>
      </c>
      <c r="B1078" s="557" t="str">
        <f t="shared" si="114"/>
        <v>Composição Auxiliar</v>
      </c>
      <c r="C1078" s="571"/>
      <c r="D1078" s="571"/>
      <c r="E1078" s="571"/>
      <c r="F1078" s="571"/>
      <c r="G1078" s="571"/>
      <c r="H1078" s="571"/>
      <c r="I1078" s="571"/>
      <c r="J1078" s="571"/>
      <c r="K1078" s="571"/>
      <c r="L1078" s="571"/>
      <c r="M1078" s="571"/>
      <c r="N1078" s="573">
        <v>0.74</v>
      </c>
      <c r="O1078" s="556" t="str">
        <f t="shared" si="112"/>
        <v>DIF</v>
      </c>
      <c r="P1078" s="573"/>
      <c r="Q1078" s="556"/>
      <c r="R1078" s="582"/>
    </row>
    <row r="1079" ht="15" customHeight="1" spans="1:18">
      <c r="A1079" s="556" t="str">
        <f t="shared" si="113"/>
        <v>Composição Auxiliar</v>
      </c>
      <c r="B1079" s="557" t="str">
        <f t="shared" si="114"/>
        <v>Composição Auxiliar</v>
      </c>
      <c r="C1079" s="76" t="s">
        <v>463</v>
      </c>
      <c r="D1079" s="75" t="s">
        <v>63</v>
      </c>
      <c r="E1079" s="76" t="s">
        <v>64</v>
      </c>
      <c r="F1079" s="76" t="s">
        <v>65</v>
      </c>
      <c r="G1079" s="76" t="s">
        <v>2889</v>
      </c>
      <c r="H1079" s="76"/>
      <c r="I1079" s="77" t="s">
        <v>66</v>
      </c>
      <c r="J1079" s="75" t="s">
        <v>67</v>
      </c>
      <c r="K1079" s="75" t="s">
        <v>2890</v>
      </c>
      <c r="L1079" s="75" t="s">
        <v>68</v>
      </c>
      <c r="M1079" s="75" t="s">
        <v>70</v>
      </c>
      <c r="N1079" s="573">
        <v>0.03</v>
      </c>
      <c r="O1079" s="556" t="str">
        <f t="shared" si="112"/>
        <v>DIF</v>
      </c>
      <c r="P1079" s="573"/>
      <c r="Q1079" s="556"/>
      <c r="R1079" s="582"/>
    </row>
    <row r="1080" ht="23.85" customHeight="1" spans="1:18">
      <c r="A1080" s="556" t="str">
        <f t="shared" si="113"/>
        <v>Composição Auxiliar</v>
      </c>
      <c r="B1080" s="557" t="str">
        <f t="shared" si="114"/>
        <v>Composição Auxiliar</v>
      </c>
      <c r="C1080" s="569" t="s">
        <v>2891</v>
      </c>
      <c r="D1080" s="570" t="s">
        <v>464</v>
      </c>
      <c r="E1080" s="569" t="s">
        <v>139</v>
      </c>
      <c r="F1080" s="569" t="s">
        <v>465</v>
      </c>
      <c r="G1080" s="569" t="s">
        <v>3317</v>
      </c>
      <c r="H1080" s="569"/>
      <c r="I1080" s="577" t="s">
        <v>393</v>
      </c>
      <c r="J1080" s="578">
        <v>1</v>
      </c>
      <c r="K1080" s="579"/>
      <c r="L1080" s="579">
        <v>9.5</v>
      </c>
      <c r="M1080" s="579">
        <v>9.5</v>
      </c>
      <c r="N1080" s="573">
        <v>8.25</v>
      </c>
      <c r="O1080" s="556" t="str">
        <f t="shared" si="112"/>
        <v>DIF</v>
      </c>
      <c r="P1080" s="573"/>
      <c r="Q1080" s="556"/>
      <c r="R1080" s="582"/>
    </row>
    <row r="1081" ht="23.85" customHeight="1" spans="1:18">
      <c r="A1081" s="556" t="str">
        <f t="shared" si="113"/>
        <v>Composição Auxiliar</v>
      </c>
      <c r="B1081" s="557" t="str">
        <f t="shared" si="114"/>
        <v>Composição Auxiliar</v>
      </c>
      <c r="C1081" s="79" t="s">
        <v>2921</v>
      </c>
      <c r="D1081" s="78" t="s">
        <v>3326</v>
      </c>
      <c r="E1081" s="79" t="s">
        <v>139</v>
      </c>
      <c r="F1081" s="79" t="s">
        <v>3327</v>
      </c>
      <c r="G1081" s="79" t="s">
        <v>3317</v>
      </c>
      <c r="H1081" s="79"/>
      <c r="I1081" s="80" t="s">
        <v>393</v>
      </c>
      <c r="J1081" s="583">
        <v>1</v>
      </c>
      <c r="K1081" s="583">
        <v>0</v>
      </c>
      <c r="L1081" s="92">
        <v>8.35</v>
      </c>
      <c r="M1081" s="92">
        <v>8.35</v>
      </c>
      <c r="N1081" s="573">
        <v>1.74</v>
      </c>
      <c r="O1081" s="556" t="str">
        <f t="shared" si="112"/>
        <v>DIF</v>
      </c>
      <c r="P1081" s="573"/>
      <c r="Q1081" s="556"/>
      <c r="R1081" s="582"/>
    </row>
    <row r="1082" ht="23.85" customHeight="1" spans="1:18">
      <c r="A1082" s="556" t="str">
        <f t="shared" si="113"/>
        <v>Composição Auxiliar</v>
      </c>
      <c r="B1082" s="557" t="str">
        <f t="shared" si="114"/>
        <v>Composição Auxiliar</v>
      </c>
      <c r="C1082" s="79" t="s">
        <v>2921</v>
      </c>
      <c r="D1082" s="78" t="s">
        <v>3311</v>
      </c>
      <c r="E1082" s="79" t="s">
        <v>139</v>
      </c>
      <c r="F1082" s="79" t="s">
        <v>3312</v>
      </c>
      <c r="G1082" s="79" t="s">
        <v>2928</v>
      </c>
      <c r="H1082" s="79"/>
      <c r="I1082" s="80" t="s">
        <v>2897</v>
      </c>
      <c r="J1082" s="583">
        <v>0.0023</v>
      </c>
      <c r="K1082" s="583">
        <v>0</v>
      </c>
      <c r="L1082" s="92">
        <v>30.06</v>
      </c>
      <c r="M1082" s="92">
        <v>0.06</v>
      </c>
      <c r="N1082" s="573">
        <v>4.04</v>
      </c>
      <c r="O1082" s="556" t="str">
        <f t="shared" si="112"/>
        <v>DIF</v>
      </c>
      <c r="P1082" s="573"/>
      <c r="Q1082" s="556"/>
      <c r="R1082" s="582"/>
    </row>
    <row r="1083" ht="23.85" customHeight="1" spans="1:18">
      <c r="A1083" s="556" t="str">
        <f t="shared" si="113"/>
        <v>Composição Auxiliar</v>
      </c>
      <c r="B1083" s="557" t="str">
        <f t="shared" si="114"/>
        <v>Composição Auxiliar</v>
      </c>
      <c r="C1083" s="79" t="s">
        <v>2921</v>
      </c>
      <c r="D1083" s="78" t="s">
        <v>3313</v>
      </c>
      <c r="E1083" s="79" t="s">
        <v>139</v>
      </c>
      <c r="F1083" s="79" t="s">
        <v>3314</v>
      </c>
      <c r="G1083" s="79" t="s">
        <v>2928</v>
      </c>
      <c r="H1083" s="79"/>
      <c r="I1083" s="80" t="s">
        <v>2897</v>
      </c>
      <c r="J1083" s="583">
        <v>0.0143</v>
      </c>
      <c r="K1083" s="583">
        <v>0</v>
      </c>
      <c r="L1083" s="92">
        <v>35.95</v>
      </c>
      <c r="M1083" s="92">
        <v>0.51</v>
      </c>
      <c r="N1083" s="573">
        <v>9.22</v>
      </c>
      <c r="O1083" s="556" t="str">
        <f t="shared" si="112"/>
        <v>DIF</v>
      </c>
      <c r="P1083" s="573"/>
      <c r="Q1083" s="556"/>
      <c r="R1083" s="582"/>
    </row>
    <row r="1084" ht="23.85" customHeight="1" spans="1:18">
      <c r="A1084" s="556" t="str">
        <f t="shared" si="113"/>
        <v>Composição Auxiliar</v>
      </c>
      <c r="B1084" s="557" t="str">
        <f t="shared" si="114"/>
        <v>Composição Auxiliar</v>
      </c>
      <c r="C1084" s="100" t="s">
        <v>2893</v>
      </c>
      <c r="D1084" s="99" t="s">
        <v>3320</v>
      </c>
      <c r="E1084" s="100" t="s">
        <v>139</v>
      </c>
      <c r="F1084" s="100" t="s">
        <v>3321</v>
      </c>
      <c r="G1084" s="100" t="s">
        <v>2961</v>
      </c>
      <c r="H1084" s="100"/>
      <c r="I1084" s="101" t="s">
        <v>134</v>
      </c>
      <c r="J1084" s="580">
        <v>0.147</v>
      </c>
      <c r="K1084" s="580">
        <v>0</v>
      </c>
      <c r="L1084" s="102">
        <v>0.22</v>
      </c>
      <c r="M1084" s="102">
        <v>0.03</v>
      </c>
      <c r="N1084" s="573">
        <v>30.51</v>
      </c>
      <c r="O1084" s="556" t="str">
        <f t="shared" si="112"/>
        <v>DIF</v>
      </c>
      <c r="P1084" s="573"/>
      <c r="Q1084" s="556"/>
      <c r="R1084" s="582"/>
    </row>
    <row r="1085" ht="23.85" customHeight="1" spans="1:18">
      <c r="A1085" s="556"/>
      <c r="B1085" s="557"/>
      <c r="C1085" s="100" t="s">
        <v>2893</v>
      </c>
      <c r="D1085" s="99" t="s">
        <v>3318</v>
      </c>
      <c r="E1085" s="100" t="s">
        <v>139</v>
      </c>
      <c r="F1085" s="100" t="s">
        <v>3319</v>
      </c>
      <c r="G1085" s="100" t="s">
        <v>2961</v>
      </c>
      <c r="H1085" s="100"/>
      <c r="I1085" s="101" t="s">
        <v>393</v>
      </c>
      <c r="J1085" s="580">
        <v>0.025</v>
      </c>
      <c r="K1085" s="580">
        <v>0</v>
      </c>
      <c r="L1085" s="102">
        <v>22</v>
      </c>
      <c r="M1085" s="102">
        <v>0.55</v>
      </c>
      <c r="N1085" s="573"/>
      <c r="O1085" s="556"/>
      <c r="P1085" s="573"/>
      <c r="Q1085" s="556"/>
      <c r="R1085" s="582"/>
    </row>
    <row r="1086" ht="25.5" spans="1:18">
      <c r="A1086" s="556"/>
      <c r="B1086" s="557"/>
      <c r="C1086" s="108"/>
      <c r="D1086" s="108"/>
      <c r="E1086" s="108"/>
      <c r="F1086" s="108"/>
      <c r="G1086" s="108"/>
      <c r="H1086" s="108" t="s">
        <v>2898</v>
      </c>
      <c r="I1086" s="581">
        <v>0.54</v>
      </c>
      <c r="J1086" s="108" t="s">
        <v>2899</v>
      </c>
      <c r="K1086" s="581">
        <v>0</v>
      </c>
      <c r="L1086" s="108" t="s">
        <v>2900</v>
      </c>
      <c r="M1086" s="581">
        <v>0.54</v>
      </c>
      <c r="N1086" s="573"/>
      <c r="O1086" s="556"/>
      <c r="P1086" s="573"/>
      <c r="Q1086" s="556"/>
      <c r="R1086" s="582"/>
    </row>
    <row r="1087" ht="26.25" spans="1:18">
      <c r="A1087" s="556"/>
      <c r="B1087" s="557">
        <f>C1086</f>
        <v>0</v>
      </c>
      <c r="C1087" s="108"/>
      <c r="D1087" s="108"/>
      <c r="E1087" s="108"/>
      <c r="F1087" s="108"/>
      <c r="G1087" s="108"/>
      <c r="H1087" s="108" t="s">
        <v>2901</v>
      </c>
      <c r="I1087" s="581">
        <v>2.42</v>
      </c>
      <c r="J1087" s="114"/>
      <c r="K1087" s="114" t="s">
        <v>2902</v>
      </c>
      <c r="L1087" s="108"/>
      <c r="M1087" s="581">
        <v>11.92</v>
      </c>
      <c r="N1087" s="573">
        <v>87.45</v>
      </c>
      <c r="O1087" s="556" t="str">
        <f t="shared" ref="O1087:O1093" si="115">IF(N1087=M1087,"OK","DIF")</f>
        <v>DIF</v>
      </c>
      <c r="P1087" s="573"/>
      <c r="Q1087" s="556"/>
      <c r="R1087" s="582"/>
    </row>
    <row r="1088" ht="15" spans="1:18">
      <c r="A1088" s="556">
        <f t="shared" ref="A1088:A1093" si="116">B1088</f>
        <v>0</v>
      </c>
      <c r="B1088" s="557">
        <f t="shared" ref="B1088:B1093" si="117">B1087</f>
        <v>0</v>
      </c>
      <c r="C1088" s="571"/>
      <c r="D1088" s="571"/>
      <c r="E1088" s="571"/>
      <c r="F1088" s="571"/>
      <c r="G1088" s="571"/>
      <c r="H1088" s="571"/>
      <c r="I1088" s="571"/>
      <c r="J1088" s="571"/>
      <c r="K1088" s="571"/>
      <c r="L1088" s="571"/>
      <c r="M1088" s="571"/>
      <c r="N1088" s="573">
        <v>13.72</v>
      </c>
      <c r="O1088" s="556" t="str">
        <f t="shared" si="115"/>
        <v>DIF</v>
      </c>
      <c r="P1088" s="573"/>
      <c r="Q1088" s="556"/>
      <c r="R1088" s="582"/>
    </row>
    <row r="1089" ht="15" customHeight="1" spans="1:18">
      <c r="A1089" s="556">
        <f t="shared" si="116"/>
        <v>0</v>
      </c>
      <c r="B1089" s="557">
        <f t="shared" si="117"/>
        <v>0</v>
      </c>
      <c r="C1089" s="76" t="s">
        <v>466</v>
      </c>
      <c r="D1089" s="75" t="s">
        <v>63</v>
      </c>
      <c r="E1089" s="76" t="s">
        <v>64</v>
      </c>
      <c r="F1089" s="76" t="s">
        <v>65</v>
      </c>
      <c r="G1089" s="76" t="s">
        <v>2889</v>
      </c>
      <c r="H1089" s="76"/>
      <c r="I1089" s="77" t="s">
        <v>66</v>
      </c>
      <c r="J1089" s="75" t="s">
        <v>67</v>
      </c>
      <c r="K1089" s="75" t="s">
        <v>2890</v>
      </c>
      <c r="L1089" s="75" t="s">
        <v>68</v>
      </c>
      <c r="M1089" s="75" t="s">
        <v>70</v>
      </c>
      <c r="N1089" s="573">
        <v>4.24</v>
      </c>
      <c r="O1089" s="556" t="str">
        <f t="shared" si="115"/>
        <v>DIF</v>
      </c>
      <c r="P1089" s="573"/>
      <c r="Q1089" s="556"/>
      <c r="R1089" s="582"/>
    </row>
    <row r="1090" ht="23.85" customHeight="1" spans="1:18">
      <c r="A1090" s="556">
        <f t="shared" si="116"/>
        <v>0</v>
      </c>
      <c r="B1090" s="557">
        <f t="shared" si="117"/>
        <v>0</v>
      </c>
      <c r="C1090" s="569" t="s">
        <v>2891</v>
      </c>
      <c r="D1090" s="570" t="s">
        <v>467</v>
      </c>
      <c r="E1090" s="569" t="s">
        <v>139</v>
      </c>
      <c r="F1090" s="569" t="s">
        <v>468</v>
      </c>
      <c r="G1090" s="569" t="s">
        <v>3310</v>
      </c>
      <c r="H1090" s="569"/>
      <c r="I1090" s="577" t="s">
        <v>141</v>
      </c>
      <c r="J1090" s="578">
        <v>1</v>
      </c>
      <c r="K1090" s="579"/>
      <c r="L1090" s="579">
        <v>167.18</v>
      </c>
      <c r="M1090" s="579">
        <v>167.18</v>
      </c>
      <c r="N1090" s="573">
        <v>28.77</v>
      </c>
      <c r="O1090" s="556" t="str">
        <f t="shared" si="115"/>
        <v>DIF</v>
      </c>
      <c r="P1090" s="573"/>
      <c r="Q1090" s="556"/>
      <c r="R1090" s="582"/>
    </row>
    <row r="1091" ht="23.85" customHeight="1" spans="1:18">
      <c r="A1091" s="556">
        <f t="shared" si="116"/>
        <v>0</v>
      </c>
      <c r="B1091" s="557">
        <f t="shared" si="117"/>
        <v>0</v>
      </c>
      <c r="C1091" s="79" t="s">
        <v>2921</v>
      </c>
      <c r="D1091" s="78" t="s">
        <v>2954</v>
      </c>
      <c r="E1091" s="79" t="s">
        <v>139</v>
      </c>
      <c r="F1091" s="79" t="s">
        <v>2955</v>
      </c>
      <c r="G1091" s="79" t="s">
        <v>2928</v>
      </c>
      <c r="H1091" s="79"/>
      <c r="I1091" s="80" t="s">
        <v>2897</v>
      </c>
      <c r="J1091" s="583">
        <v>2.392</v>
      </c>
      <c r="K1091" s="583">
        <v>0</v>
      </c>
      <c r="L1091" s="92">
        <v>37.51</v>
      </c>
      <c r="M1091" s="92">
        <v>89.72</v>
      </c>
      <c r="N1091" s="573">
        <v>36.25</v>
      </c>
      <c r="O1091" s="556" t="str">
        <f t="shared" si="115"/>
        <v>DIF</v>
      </c>
      <c r="P1091" s="573"/>
      <c r="Q1091" s="556"/>
      <c r="R1091" s="582"/>
    </row>
    <row r="1092" ht="23.85" customHeight="1" spans="1:18">
      <c r="A1092" s="556">
        <f t="shared" si="116"/>
        <v>0</v>
      </c>
      <c r="B1092" s="557">
        <f t="shared" si="117"/>
        <v>0</v>
      </c>
      <c r="C1092" s="79" t="s">
        <v>2921</v>
      </c>
      <c r="D1092" s="78" t="s">
        <v>3000</v>
      </c>
      <c r="E1092" s="79" t="s">
        <v>139</v>
      </c>
      <c r="F1092" s="79" t="s">
        <v>3001</v>
      </c>
      <c r="G1092" s="79" t="s">
        <v>2995</v>
      </c>
      <c r="H1092" s="79"/>
      <c r="I1092" s="80" t="s">
        <v>3002</v>
      </c>
      <c r="J1092" s="583">
        <v>0.07</v>
      </c>
      <c r="K1092" s="583">
        <v>0</v>
      </c>
      <c r="L1092" s="92">
        <v>41.6</v>
      </c>
      <c r="M1092" s="92">
        <v>2.91</v>
      </c>
      <c r="N1092" s="573">
        <v>4.44</v>
      </c>
      <c r="O1092" s="556" t="str">
        <f t="shared" si="115"/>
        <v>DIF</v>
      </c>
      <c r="P1092" s="573"/>
      <c r="Q1092" s="556"/>
      <c r="R1092" s="582"/>
    </row>
    <row r="1093" ht="23.85" customHeight="1" spans="1:18">
      <c r="A1093" s="556">
        <f t="shared" si="116"/>
        <v>0</v>
      </c>
      <c r="B1093" s="557">
        <f t="shared" si="117"/>
        <v>0</v>
      </c>
      <c r="C1093" s="79" t="s">
        <v>2921</v>
      </c>
      <c r="D1093" s="78" t="s">
        <v>3003</v>
      </c>
      <c r="E1093" s="79" t="s">
        <v>139</v>
      </c>
      <c r="F1093" s="79" t="s">
        <v>3004</v>
      </c>
      <c r="G1093" s="79" t="s">
        <v>2928</v>
      </c>
      <c r="H1093" s="79"/>
      <c r="I1093" s="80" t="s">
        <v>2897</v>
      </c>
      <c r="J1093" s="583">
        <v>1.081</v>
      </c>
      <c r="K1093" s="583">
        <v>0</v>
      </c>
      <c r="L1093" s="92">
        <v>29.91</v>
      </c>
      <c r="M1093" s="92">
        <v>32.33</v>
      </c>
      <c r="N1093" s="573">
        <v>0.03</v>
      </c>
      <c r="O1093" s="556" t="str">
        <f t="shared" si="115"/>
        <v>DIF</v>
      </c>
      <c r="P1093" s="573"/>
      <c r="Q1093" s="556"/>
      <c r="R1093" s="582"/>
    </row>
    <row r="1094" ht="23.85" customHeight="1" spans="1:18">
      <c r="A1094" s="556"/>
      <c r="B1094" s="557"/>
      <c r="C1094" s="79" t="s">
        <v>2921</v>
      </c>
      <c r="D1094" s="78" t="s">
        <v>2993</v>
      </c>
      <c r="E1094" s="79" t="s">
        <v>139</v>
      </c>
      <c r="F1094" s="79" t="s">
        <v>2994</v>
      </c>
      <c r="G1094" s="79" t="s">
        <v>2995</v>
      </c>
      <c r="H1094" s="79"/>
      <c r="I1094" s="80" t="s">
        <v>2996</v>
      </c>
      <c r="J1094" s="583">
        <v>0.282</v>
      </c>
      <c r="K1094" s="583">
        <v>0</v>
      </c>
      <c r="L1094" s="92">
        <v>39.98</v>
      </c>
      <c r="M1094" s="92">
        <v>11.27</v>
      </c>
      <c r="N1094" s="573"/>
      <c r="O1094" s="556"/>
      <c r="P1094" s="573"/>
      <c r="Q1094" s="556"/>
      <c r="R1094" s="582"/>
    </row>
    <row r="1095" ht="23.85" customHeight="1" spans="1:18">
      <c r="A1095" s="556"/>
      <c r="B1095" s="557"/>
      <c r="C1095" s="100" t="s">
        <v>2893</v>
      </c>
      <c r="D1095" s="99" t="s">
        <v>3338</v>
      </c>
      <c r="E1095" s="100" t="s">
        <v>139</v>
      </c>
      <c r="F1095" s="100" t="s">
        <v>3339</v>
      </c>
      <c r="G1095" s="100" t="s">
        <v>2961</v>
      </c>
      <c r="H1095" s="100"/>
      <c r="I1095" s="101" t="s">
        <v>204</v>
      </c>
      <c r="J1095" s="580">
        <v>1.227</v>
      </c>
      <c r="K1095" s="580">
        <v>0</v>
      </c>
      <c r="L1095" s="102">
        <v>14.58</v>
      </c>
      <c r="M1095" s="102">
        <v>17.88</v>
      </c>
      <c r="N1095" s="573"/>
      <c r="O1095" s="556"/>
      <c r="P1095" s="573"/>
      <c r="Q1095" s="556"/>
      <c r="R1095" s="582"/>
    </row>
    <row r="1096" ht="15" customHeight="1" spans="1:18">
      <c r="A1096" s="556"/>
      <c r="B1096" s="557" t="str">
        <f>C1095</f>
        <v>Insumo</v>
      </c>
      <c r="C1096" s="100" t="s">
        <v>2893</v>
      </c>
      <c r="D1096" s="99" t="s">
        <v>3384</v>
      </c>
      <c r="E1096" s="100" t="s">
        <v>139</v>
      </c>
      <c r="F1096" s="100" t="s">
        <v>3385</v>
      </c>
      <c r="G1096" s="100" t="s">
        <v>2961</v>
      </c>
      <c r="H1096" s="100"/>
      <c r="I1096" s="101" t="s">
        <v>393</v>
      </c>
      <c r="J1096" s="580">
        <v>0.005</v>
      </c>
      <c r="K1096" s="580">
        <v>0</v>
      </c>
      <c r="L1096" s="102">
        <v>20.59</v>
      </c>
      <c r="M1096" s="102">
        <v>0.1</v>
      </c>
      <c r="N1096" s="573">
        <v>780.05</v>
      </c>
      <c r="O1096" s="556" t="str">
        <f t="shared" ref="O1096:O1101" si="118">IF(N1096=M1096,"OK","DIF")</f>
        <v>DIF</v>
      </c>
      <c r="P1096" s="573"/>
      <c r="Q1096" s="556"/>
      <c r="R1096" s="582"/>
    </row>
    <row r="1097" ht="23.85" customHeight="1" spans="1:18">
      <c r="A1097" s="556" t="str">
        <f>B1097</f>
        <v>Insumo</v>
      </c>
      <c r="B1097" s="557" t="str">
        <f>B1096</f>
        <v>Insumo</v>
      </c>
      <c r="C1097" s="100" t="s">
        <v>2893</v>
      </c>
      <c r="D1097" s="99" t="s">
        <v>3342</v>
      </c>
      <c r="E1097" s="100" t="s">
        <v>139</v>
      </c>
      <c r="F1097" s="100" t="s">
        <v>3343</v>
      </c>
      <c r="G1097" s="100" t="s">
        <v>2961</v>
      </c>
      <c r="H1097" s="100"/>
      <c r="I1097" s="101" t="s">
        <v>3084</v>
      </c>
      <c r="J1097" s="580">
        <v>0.0167</v>
      </c>
      <c r="K1097" s="580">
        <v>0</v>
      </c>
      <c r="L1097" s="102">
        <v>7.97</v>
      </c>
      <c r="M1097" s="102">
        <v>0.13</v>
      </c>
      <c r="N1097" s="573">
        <v>58.13</v>
      </c>
      <c r="O1097" s="556" t="str">
        <f t="shared" si="118"/>
        <v>DIF</v>
      </c>
      <c r="P1097" s="573"/>
      <c r="Q1097" s="556"/>
      <c r="R1097" s="582"/>
    </row>
    <row r="1098" ht="15" customHeight="1" spans="1:18">
      <c r="A1098" s="556" t="str">
        <f>B1098</f>
        <v>Insumo</v>
      </c>
      <c r="B1098" s="557" t="str">
        <f>B1097</f>
        <v>Insumo</v>
      </c>
      <c r="C1098" s="100" t="s">
        <v>2893</v>
      </c>
      <c r="D1098" s="99" t="s">
        <v>3332</v>
      </c>
      <c r="E1098" s="100" t="s">
        <v>139</v>
      </c>
      <c r="F1098" s="100" t="s">
        <v>3333</v>
      </c>
      <c r="G1098" s="100" t="s">
        <v>2961</v>
      </c>
      <c r="H1098" s="100"/>
      <c r="I1098" s="101" t="s">
        <v>393</v>
      </c>
      <c r="J1098" s="580">
        <v>0.047</v>
      </c>
      <c r="K1098" s="580">
        <v>0</v>
      </c>
      <c r="L1098" s="102">
        <v>22.69</v>
      </c>
      <c r="M1098" s="102">
        <v>1.06</v>
      </c>
      <c r="N1098" s="573">
        <v>3.51</v>
      </c>
      <c r="O1098" s="556" t="str">
        <f t="shared" si="118"/>
        <v>DIF</v>
      </c>
      <c r="P1098" s="573"/>
      <c r="Q1098" s="556"/>
      <c r="R1098" s="582"/>
    </row>
    <row r="1099" ht="23.85" customHeight="1" spans="1:18">
      <c r="A1099" s="556" t="str">
        <f>B1099</f>
        <v>Insumo</v>
      </c>
      <c r="B1099" s="557" t="str">
        <f>B1098</f>
        <v>Insumo</v>
      </c>
      <c r="C1099" s="100" t="s">
        <v>2893</v>
      </c>
      <c r="D1099" s="99" t="s">
        <v>3334</v>
      </c>
      <c r="E1099" s="100" t="s">
        <v>139</v>
      </c>
      <c r="F1099" s="100" t="s">
        <v>3335</v>
      </c>
      <c r="G1099" s="100" t="s">
        <v>2961</v>
      </c>
      <c r="H1099" s="100"/>
      <c r="I1099" s="101" t="s">
        <v>204</v>
      </c>
      <c r="J1099" s="580">
        <v>3.609</v>
      </c>
      <c r="K1099" s="580">
        <v>0</v>
      </c>
      <c r="L1099" s="102">
        <v>3.07</v>
      </c>
      <c r="M1099" s="102">
        <v>11.07</v>
      </c>
      <c r="N1099" s="573">
        <v>67.79</v>
      </c>
      <c r="O1099" s="556" t="str">
        <f t="shared" si="118"/>
        <v>DIF</v>
      </c>
      <c r="P1099" s="573"/>
      <c r="Q1099" s="556"/>
      <c r="R1099" s="582"/>
    </row>
    <row r="1100" ht="15" customHeight="1" spans="1:18">
      <c r="A1100" s="556" t="str">
        <f>B1100</f>
        <v>Insumo</v>
      </c>
      <c r="B1100" s="557" t="str">
        <f>B1099</f>
        <v>Insumo</v>
      </c>
      <c r="C1100" s="100" t="s">
        <v>2893</v>
      </c>
      <c r="D1100" s="99" t="s">
        <v>3336</v>
      </c>
      <c r="E1100" s="100" t="s">
        <v>139</v>
      </c>
      <c r="F1100" s="100" t="s">
        <v>3337</v>
      </c>
      <c r="G1100" s="100" t="s">
        <v>2961</v>
      </c>
      <c r="H1100" s="100"/>
      <c r="I1100" s="101" t="s">
        <v>393</v>
      </c>
      <c r="J1100" s="580">
        <v>0.038</v>
      </c>
      <c r="K1100" s="580">
        <v>0</v>
      </c>
      <c r="L1100" s="102">
        <v>18.73</v>
      </c>
      <c r="M1100" s="102">
        <v>0.71</v>
      </c>
      <c r="N1100" s="573">
        <v>91.94</v>
      </c>
      <c r="O1100" s="556" t="str">
        <f t="shared" si="118"/>
        <v>DIF</v>
      </c>
      <c r="P1100" s="573"/>
      <c r="Q1100" s="556"/>
      <c r="R1100" s="582"/>
    </row>
    <row r="1101" ht="25.5" spans="1:18">
      <c r="A1101" s="556" t="str">
        <f>B1101</f>
        <v>Insumo</v>
      </c>
      <c r="B1101" s="557" t="str">
        <f>B1100</f>
        <v>Insumo</v>
      </c>
      <c r="C1101" s="108"/>
      <c r="D1101" s="108"/>
      <c r="E1101" s="108"/>
      <c r="F1101" s="108"/>
      <c r="G1101" s="108"/>
      <c r="H1101" s="108" t="s">
        <v>2898</v>
      </c>
      <c r="I1101" s="581">
        <v>98.93</v>
      </c>
      <c r="J1101" s="108" t="s">
        <v>2899</v>
      </c>
      <c r="K1101" s="581">
        <v>0</v>
      </c>
      <c r="L1101" s="108" t="s">
        <v>2900</v>
      </c>
      <c r="M1101" s="581">
        <v>98.93</v>
      </c>
      <c r="N1101" s="573">
        <v>558.68</v>
      </c>
      <c r="O1101" s="556" t="str">
        <f t="shared" si="118"/>
        <v>DIF</v>
      </c>
      <c r="P1101" s="573"/>
      <c r="Q1101" s="556"/>
      <c r="R1101" s="582"/>
    </row>
    <row r="1102" ht="26.25" spans="1:18">
      <c r="A1102" s="556"/>
      <c r="B1102" s="557"/>
      <c r="C1102" s="108"/>
      <c r="D1102" s="108"/>
      <c r="E1102" s="108"/>
      <c r="F1102" s="108"/>
      <c r="G1102" s="108"/>
      <c r="H1102" s="108" t="s">
        <v>2901</v>
      </c>
      <c r="I1102" s="581">
        <v>42.61</v>
      </c>
      <c r="J1102" s="114"/>
      <c r="K1102" s="114" t="s">
        <v>2902</v>
      </c>
      <c r="L1102" s="108"/>
      <c r="M1102" s="581">
        <v>209.79</v>
      </c>
      <c r="N1102" s="573"/>
      <c r="O1102" s="556"/>
      <c r="P1102" s="573"/>
      <c r="Q1102" s="556"/>
      <c r="R1102" s="582"/>
    </row>
    <row r="1103" ht="15" spans="1:18">
      <c r="A1103" s="556"/>
      <c r="B1103" s="557"/>
      <c r="C1103" s="571"/>
      <c r="D1103" s="571"/>
      <c r="E1103" s="571"/>
      <c r="F1103" s="571"/>
      <c r="G1103" s="571"/>
      <c r="H1103" s="571"/>
      <c r="I1103" s="571"/>
      <c r="J1103" s="571"/>
      <c r="K1103" s="571"/>
      <c r="L1103" s="571"/>
      <c r="M1103" s="571"/>
      <c r="N1103" s="573"/>
      <c r="O1103" s="556"/>
      <c r="P1103" s="573"/>
      <c r="Q1103" s="556"/>
      <c r="R1103" s="582"/>
    </row>
    <row r="1104" ht="15" customHeight="1" spans="1:18">
      <c r="A1104" s="556"/>
      <c r="B1104" s="557">
        <f>C1103</f>
        <v>0</v>
      </c>
      <c r="C1104" s="76" t="s">
        <v>469</v>
      </c>
      <c r="D1104" s="75" t="s">
        <v>63</v>
      </c>
      <c r="E1104" s="76" t="s">
        <v>64</v>
      </c>
      <c r="F1104" s="76" t="s">
        <v>65</v>
      </c>
      <c r="G1104" s="76" t="s">
        <v>2889</v>
      </c>
      <c r="H1104" s="76"/>
      <c r="I1104" s="77" t="s">
        <v>66</v>
      </c>
      <c r="J1104" s="75" t="s">
        <v>67</v>
      </c>
      <c r="K1104" s="75" t="s">
        <v>2890</v>
      </c>
      <c r="L1104" s="75" t="s">
        <v>68</v>
      </c>
      <c r="M1104" s="75" t="s">
        <v>70</v>
      </c>
      <c r="N1104" s="573">
        <v>49.98</v>
      </c>
      <c r="O1104" s="556" t="str">
        <f t="shared" ref="O1104:O1109" si="119">IF(N1104=M1104,"OK","DIF")</f>
        <v>DIF</v>
      </c>
      <c r="P1104" s="573"/>
      <c r="Q1104" s="556"/>
      <c r="R1104" s="582"/>
    </row>
    <row r="1105" ht="35.05" customHeight="1" spans="1:18">
      <c r="A1105" s="556">
        <f>B1105</f>
        <v>0</v>
      </c>
      <c r="B1105" s="557">
        <f>B1104</f>
        <v>0</v>
      </c>
      <c r="C1105" s="569" t="s">
        <v>2891</v>
      </c>
      <c r="D1105" s="570" t="s">
        <v>470</v>
      </c>
      <c r="E1105" s="569" t="s">
        <v>139</v>
      </c>
      <c r="F1105" s="569" t="s">
        <v>471</v>
      </c>
      <c r="G1105" s="569" t="s">
        <v>3310</v>
      </c>
      <c r="H1105" s="569"/>
      <c r="I1105" s="577" t="s">
        <v>141</v>
      </c>
      <c r="J1105" s="578">
        <v>1</v>
      </c>
      <c r="K1105" s="579"/>
      <c r="L1105" s="579">
        <v>83.04</v>
      </c>
      <c r="M1105" s="579">
        <v>83.04</v>
      </c>
      <c r="N1105" s="573">
        <v>7.42</v>
      </c>
      <c r="O1105" s="556" t="str">
        <f t="shared" si="119"/>
        <v>DIF</v>
      </c>
      <c r="P1105" s="573"/>
      <c r="Q1105" s="556"/>
      <c r="R1105" s="582"/>
    </row>
    <row r="1106" ht="23.85" customHeight="1" spans="1:18">
      <c r="A1106" s="556">
        <f>B1106</f>
        <v>0</v>
      </c>
      <c r="B1106" s="557">
        <f>B1105</f>
        <v>0</v>
      </c>
      <c r="C1106" s="79" t="s">
        <v>2921</v>
      </c>
      <c r="D1106" s="78" t="s">
        <v>2993</v>
      </c>
      <c r="E1106" s="79" t="s">
        <v>139</v>
      </c>
      <c r="F1106" s="79" t="s">
        <v>2994</v>
      </c>
      <c r="G1106" s="79" t="s">
        <v>2995</v>
      </c>
      <c r="H1106" s="79"/>
      <c r="I1106" s="80" t="s">
        <v>2996</v>
      </c>
      <c r="J1106" s="583">
        <v>0.053</v>
      </c>
      <c r="K1106" s="583">
        <v>0</v>
      </c>
      <c r="L1106" s="92">
        <v>39.98</v>
      </c>
      <c r="M1106" s="92">
        <v>2.11</v>
      </c>
      <c r="N1106" s="573">
        <v>34.9</v>
      </c>
      <c r="O1106" s="556" t="str">
        <f t="shared" si="119"/>
        <v>DIF</v>
      </c>
      <c r="P1106" s="573"/>
      <c r="Q1106" s="556"/>
      <c r="R1106" s="582"/>
    </row>
    <row r="1107" ht="23.85" customHeight="1" spans="1:18">
      <c r="A1107" s="556">
        <f>B1107</f>
        <v>0</v>
      </c>
      <c r="B1107" s="557">
        <f>B1106</f>
        <v>0</v>
      </c>
      <c r="C1107" s="79" t="s">
        <v>2921</v>
      </c>
      <c r="D1107" s="78" t="s">
        <v>3003</v>
      </c>
      <c r="E1107" s="79" t="s">
        <v>139</v>
      </c>
      <c r="F1107" s="79" t="s">
        <v>3004</v>
      </c>
      <c r="G1107" s="79" t="s">
        <v>2928</v>
      </c>
      <c r="H1107" s="79"/>
      <c r="I1107" s="80" t="s">
        <v>2897</v>
      </c>
      <c r="J1107" s="583">
        <v>0.477</v>
      </c>
      <c r="K1107" s="583">
        <v>0</v>
      </c>
      <c r="L1107" s="92">
        <v>29.91</v>
      </c>
      <c r="M1107" s="92">
        <v>14.26</v>
      </c>
      <c r="N1107" s="573">
        <v>7.47</v>
      </c>
      <c r="O1107" s="556" t="str">
        <f t="shared" si="119"/>
        <v>DIF</v>
      </c>
      <c r="P1107" s="573"/>
      <c r="Q1107" s="556"/>
      <c r="R1107" s="582"/>
    </row>
    <row r="1108" ht="23.85" customHeight="1" spans="1:18">
      <c r="A1108" s="556">
        <f>B1108</f>
        <v>0</v>
      </c>
      <c r="B1108" s="557">
        <f>B1107</f>
        <v>0</v>
      </c>
      <c r="C1108" s="79" t="s">
        <v>2921</v>
      </c>
      <c r="D1108" s="78" t="s">
        <v>2954</v>
      </c>
      <c r="E1108" s="79" t="s">
        <v>139</v>
      </c>
      <c r="F1108" s="79" t="s">
        <v>2955</v>
      </c>
      <c r="G1108" s="79" t="s">
        <v>2928</v>
      </c>
      <c r="H1108" s="79"/>
      <c r="I1108" s="80" t="s">
        <v>2897</v>
      </c>
      <c r="J1108" s="583">
        <v>1.088</v>
      </c>
      <c r="K1108" s="583">
        <v>0</v>
      </c>
      <c r="L1108" s="92">
        <v>37.51</v>
      </c>
      <c r="M1108" s="92">
        <v>40.81</v>
      </c>
      <c r="N1108" s="573">
        <v>0.13</v>
      </c>
      <c r="O1108" s="556" t="str">
        <f t="shared" si="119"/>
        <v>DIF</v>
      </c>
      <c r="P1108" s="573"/>
      <c r="Q1108" s="556"/>
      <c r="R1108" s="582"/>
    </row>
    <row r="1109" ht="23.85" customHeight="1" spans="1:18">
      <c r="A1109" s="556">
        <f>B1109</f>
        <v>0</v>
      </c>
      <c r="B1109" s="557">
        <f>B1108</f>
        <v>0</v>
      </c>
      <c r="C1109" s="79" t="s">
        <v>2921</v>
      </c>
      <c r="D1109" s="78" t="s">
        <v>3000</v>
      </c>
      <c r="E1109" s="79" t="s">
        <v>139</v>
      </c>
      <c r="F1109" s="79" t="s">
        <v>3001</v>
      </c>
      <c r="G1109" s="79" t="s">
        <v>2995</v>
      </c>
      <c r="H1109" s="79"/>
      <c r="I1109" s="80" t="s">
        <v>3002</v>
      </c>
      <c r="J1109" s="583">
        <v>0.013</v>
      </c>
      <c r="K1109" s="583">
        <v>0</v>
      </c>
      <c r="L1109" s="92">
        <v>41.6</v>
      </c>
      <c r="M1109" s="92">
        <v>0.54</v>
      </c>
      <c r="N1109" s="573">
        <v>0.06</v>
      </c>
      <c r="O1109" s="556" t="str">
        <f t="shared" si="119"/>
        <v>DIF</v>
      </c>
      <c r="P1109" s="573"/>
      <c r="Q1109" s="556"/>
      <c r="R1109" s="582"/>
    </row>
    <row r="1110" ht="23.85" customHeight="1" spans="1:18">
      <c r="A1110" s="556"/>
      <c r="B1110" s="557"/>
      <c r="C1110" s="100" t="s">
        <v>2893</v>
      </c>
      <c r="D1110" s="99" t="s">
        <v>3342</v>
      </c>
      <c r="E1110" s="100" t="s">
        <v>139</v>
      </c>
      <c r="F1110" s="100" t="s">
        <v>3343</v>
      </c>
      <c r="G1110" s="100" t="s">
        <v>2961</v>
      </c>
      <c r="H1110" s="100"/>
      <c r="I1110" s="101" t="s">
        <v>3084</v>
      </c>
      <c r="J1110" s="580">
        <v>0.0167</v>
      </c>
      <c r="K1110" s="580">
        <v>0</v>
      </c>
      <c r="L1110" s="102">
        <v>7.97</v>
      </c>
      <c r="M1110" s="102">
        <v>0.13</v>
      </c>
      <c r="N1110" s="573"/>
      <c r="O1110" s="556"/>
      <c r="P1110" s="573"/>
      <c r="Q1110" s="556"/>
      <c r="R1110" s="582"/>
    </row>
    <row r="1111" ht="15" customHeight="1" spans="1:18">
      <c r="A1111" s="556"/>
      <c r="B1111" s="557"/>
      <c r="C1111" s="100" t="s">
        <v>2893</v>
      </c>
      <c r="D1111" s="99" t="s">
        <v>3336</v>
      </c>
      <c r="E1111" s="100" t="s">
        <v>139</v>
      </c>
      <c r="F1111" s="100" t="s">
        <v>3337</v>
      </c>
      <c r="G1111" s="100" t="s">
        <v>2961</v>
      </c>
      <c r="H1111" s="100"/>
      <c r="I1111" s="101" t="s">
        <v>393</v>
      </c>
      <c r="J1111" s="580">
        <v>0.026</v>
      </c>
      <c r="K1111" s="580">
        <v>0</v>
      </c>
      <c r="L1111" s="102">
        <v>18.73</v>
      </c>
      <c r="M1111" s="102">
        <v>0.48</v>
      </c>
      <c r="N1111" s="573"/>
      <c r="O1111" s="556"/>
      <c r="P1111" s="573"/>
      <c r="Q1111" s="556"/>
      <c r="R1111" s="582"/>
    </row>
    <row r="1112" ht="23.85" customHeight="1" spans="1:18">
      <c r="A1112" s="556"/>
      <c r="B1112" s="557" t="str">
        <f>C1111</f>
        <v>Insumo</v>
      </c>
      <c r="C1112" s="100" t="s">
        <v>2893</v>
      </c>
      <c r="D1112" s="99" t="s">
        <v>3338</v>
      </c>
      <c r="E1112" s="100" t="s">
        <v>139</v>
      </c>
      <c r="F1112" s="100" t="s">
        <v>3339</v>
      </c>
      <c r="G1112" s="100" t="s">
        <v>2961</v>
      </c>
      <c r="H1112" s="100"/>
      <c r="I1112" s="101" t="s">
        <v>204</v>
      </c>
      <c r="J1112" s="580">
        <v>1.134</v>
      </c>
      <c r="K1112" s="580">
        <v>0</v>
      </c>
      <c r="L1112" s="102">
        <v>14.58</v>
      </c>
      <c r="M1112" s="102">
        <v>16.53</v>
      </c>
      <c r="N1112" s="573">
        <v>47.85</v>
      </c>
      <c r="O1112" s="556" t="str">
        <f>IF(N1112=M1112,"OK","DIF")</f>
        <v>DIF</v>
      </c>
      <c r="P1112" s="573"/>
      <c r="Q1112" s="556"/>
      <c r="R1112" s="582"/>
    </row>
    <row r="1113" ht="23.85" customHeight="1" spans="1:18">
      <c r="A1113" s="556" t="str">
        <f>B1113</f>
        <v>Insumo</v>
      </c>
      <c r="B1113" s="557" t="str">
        <f>B1112</f>
        <v>Insumo</v>
      </c>
      <c r="C1113" s="100" t="s">
        <v>2893</v>
      </c>
      <c r="D1113" s="99" t="s">
        <v>3334</v>
      </c>
      <c r="E1113" s="100" t="s">
        <v>139</v>
      </c>
      <c r="F1113" s="100" t="s">
        <v>3335</v>
      </c>
      <c r="G1113" s="100" t="s">
        <v>2961</v>
      </c>
      <c r="H1113" s="100"/>
      <c r="I1113" s="101" t="s">
        <v>204</v>
      </c>
      <c r="J1113" s="580">
        <v>0.547</v>
      </c>
      <c r="K1113" s="580">
        <v>0</v>
      </c>
      <c r="L1113" s="102">
        <v>3.07</v>
      </c>
      <c r="M1113" s="102">
        <v>1.67</v>
      </c>
      <c r="N1113" s="573">
        <v>29.54</v>
      </c>
      <c r="O1113" s="556" t="str">
        <f>IF(N1113=M1113,"OK","DIF")</f>
        <v>DIF</v>
      </c>
      <c r="P1113" s="573"/>
      <c r="Q1113" s="556"/>
      <c r="R1113" s="582"/>
    </row>
    <row r="1114" ht="23.85" customHeight="1" spans="1:18">
      <c r="A1114" s="556" t="str">
        <f>B1114</f>
        <v>Insumo</v>
      </c>
      <c r="B1114" s="557" t="str">
        <f>B1113</f>
        <v>Insumo</v>
      </c>
      <c r="C1114" s="100" t="s">
        <v>2893</v>
      </c>
      <c r="D1114" s="99" t="s">
        <v>3007</v>
      </c>
      <c r="E1114" s="100" t="s">
        <v>139</v>
      </c>
      <c r="F1114" s="100" t="s">
        <v>3008</v>
      </c>
      <c r="G1114" s="100" t="s">
        <v>2961</v>
      </c>
      <c r="H1114" s="100"/>
      <c r="I1114" s="101" t="s">
        <v>204</v>
      </c>
      <c r="J1114" s="580">
        <v>0.605</v>
      </c>
      <c r="K1114" s="580">
        <v>0</v>
      </c>
      <c r="L1114" s="102">
        <v>8.79</v>
      </c>
      <c r="M1114" s="102">
        <v>5.31</v>
      </c>
      <c r="N1114" s="573">
        <v>18.31</v>
      </c>
      <c r="O1114" s="556" t="str">
        <f>IF(N1114=M1114,"OK","DIF")</f>
        <v>DIF</v>
      </c>
      <c r="P1114" s="573"/>
      <c r="Q1114" s="556"/>
      <c r="R1114" s="582"/>
    </row>
    <row r="1115" ht="15" customHeight="1" spans="1:18">
      <c r="A1115" s="556"/>
      <c r="B1115" s="557"/>
      <c r="C1115" s="100" t="s">
        <v>2893</v>
      </c>
      <c r="D1115" s="99" t="s">
        <v>3332</v>
      </c>
      <c r="E1115" s="100" t="s">
        <v>139</v>
      </c>
      <c r="F1115" s="100" t="s">
        <v>3333</v>
      </c>
      <c r="G1115" s="100" t="s">
        <v>2961</v>
      </c>
      <c r="H1115" s="100"/>
      <c r="I1115" s="101" t="s">
        <v>393</v>
      </c>
      <c r="J1115" s="580">
        <v>0.053</v>
      </c>
      <c r="K1115" s="580">
        <v>0</v>
      </c>
      <c r="L1115" s="102">
        <v>22.69</v>
      </c>
      <c r="M1115" s="102">
        <v>1.2</v>
      </c>
      <c r="N1115" s="573"/>
      <c r="O1115" s="556"/>
      <c r="P1115" s="573"/>
      <c r="Q1115" s="556"/>
      <c r="R1115" s="582"/>
    </row>
    <row r="1116" ht="25.5" spans="1:18">
      <c r="A1116" s="556"/>
      <c r="B1116" s="557"/>
      <c r="C1116" s="108"/>
      <c r="D1116" s="108"/>
      <c r="E1116" s="108"/>
      <c r="F1116" s="108"/>
      <c r="G1116" s="108"/>
      <c r="H1116" s="108" t="s">
        <v>2898</v>
      </c>
      <c r="I1116" s="581">
        <v>41.77</v>
      </c>
      <c r="J1116" s="108" t="s">
        <v>2899</v>
      </c>
      <c r="K1116" s="581">
        <v>0</v>
      </c>
      <c r="L1116" s="108" t="s">
        <v>2900</v>
      </c>
      <c r="M1116" s="581">
        <v>41.77</v>
      </c>
      <c r="N1116" s="573"/>
      <c r="O1116" s="556"/>
      <c r="P1116" s="573"/>
      <c r="Q1116" s="556"/>
      <c r="R1116" s="582"/>
    </row>
    <row r="1117" ht="26.25" spans="1:18">
      <c r="A1117" s="556"/>
      <c r="B1117" s="557">
        <f>C1116</f>
        <v>0</v>
      </c>
      <c r="C1117" s="108"/>
      <c r="D1117" s="108"/>
      <c r="E1117" s="108"/>
      <c r="F1117" s="108"/>
      <c r="G1117" s="108"/>
      <c r="H1117" s="108" t="s">
        <v>2901</v>
      </c>
      <c r="I1117" s="581">
        <v>21.16</v>
      </c>
      <c r="J1117" s="114"/>
      <c r="K1117" s="114" t="s">
        <v>2902</v>
      </c>
      <c r="L1117" s="108"/>
      <c r="M1117" s="581">
        <v>104.2</v>
      </c>
      <c r="N1117" s="573">
        <v>21.45</v>
      </c>
      <c r="O1117" s="556" t="str">
        <f t="shared" ref="O1117:O1122" si="120">IF(N1117=M1117,"OK","DIF")</f>
        <v>DIF</v>
      </c>
      <c r="P1117" s="573"/>
      <c r="Q1117" s="556"/>
      <c r="R1117" s="582"/>
    </row>
    <row r="1118" ht="15" spans="1:18">
      <c r="A1118" s="556">
        <f>B1118</f>
        <v>0</v>
      </c>
      <c r="B1118" s="557">
        <f>B1117</f>
        <v>0</v>
      </c>
      <c r="C1118" s="571"/>
      <c r="D1118" s="571"/>
      <c r="E1118" s="571"/>
      <c r="F1118" s="571"/>
      <c r="G1118" s="571"/>
      <c r="H1118" s="571"/>
      <c r="I1118" s="571"/>
      <c r="J1118" s="571"/>
      <c r="K1118" s="571"/>
      <c r="L1118" s="571"/>
      <c r="M1118" s="571"/>
      <c r="N1118" s="573">
        <v>9.62</v>
      </c>
      <c r="O1118" s="556" t="str">
        <f t="shared" si="120"/>
        <v>DIF</v>
      </c>
      <c r="P1118" s="573"/>
      <c r="Q1118" s="556"/>
      <c r="R1118" s="582"/>
    </row>
    <row r="1119" ht="15" customHeight="1" spans="1:18">
      <c r="A1119" s="556">
        <f>B1119</f>
        <v>0</v>
      </c>
      <c r="B1119" s="557">
        <f>B1118</f>
        <v>0</v>
      </c>
      <c r="C1119" s="76" t="s">
        <v>472</v>
      </c>
      <c r="D1119" s="75" t="s">
        <v>63</v>
      </c>
      <c r="E1119" s="76" t="s">
        <v>64</v>
      </c>
      <c r="F1119" s="76" t="s">
        <v>65</v>
      </c>
      <c r="G1119" s="76" t="s">
        <v>2889</v>
      </c>
      <c r="H1119" s="76"/>
      <c r="I1119" s="77" t="s">
        <v>66</v>
      </c>
      <c r="J1119" s="75" t="s">
        <v>67</v>
      </c>
      <c r="K1119" s="75" t="s">
        <v>2890</v>
      </c>
      <c r="L1119" s="75" t="s">
        <v>68</v>
      </c>
      <c r="M1119" s="75" t="s">
        <v>70</v>
      </c>
      <c r="N1119" s="573">
        <v>1.25</v>
      </c>
      <c r="O1119" s="556" t="str">
        <f t="shared" si="120"/>
        <v>DIF</v>
      </c>
      <c r="P1119" s="573"/>
      <c r="Q1119" s="556"/>
      <c r="R1119" s="582"/>
    </row>
    <row r="1120" ht="35.05" customHeight="1" spans="1:18">
      <c r="A1120" s="556">
        <f>B1120</f>
        <v>0</v>
      </c>
      <c r="B1120" s="557">
        <f>B1119</f>
        <v>0</v>
      </c>
      <c r="C1120" s="569" t="s">
        <v>2891</v>
      </c>
      <c r="D1120" s="570" t="s">
        <v>473</v>
      </c>
      <c r="E1120" s="569" t="s">
        <v>139</v>
      </c>
      <c r="F1120" s="569" t="s">
        <v>474</v>
      </c>
      <c r="G1120" s="569" t="s">
        <v>3375</v>
      </c>
      <c r="H1120" s="569"/>
      <c r="I1120" s="577" t="s">
        <v>141</v>
      </c>
      <c r="J1120" s="578">
        <v>1</v>
      </c>
      <c r="K1120" s="579"/>
      <c r="L1120" s="579">
        <v>167.61</v>
      </c>
      <c r="M1120" s="579">
        <v>167.61</v>
      </c>
      <c r="N1120" s="573">
        <v>9.76</v>
      </c>
      <c r="O1120" s="556" t="str">
        <f t="shared" si="120"/>
        <v>DIF</v>
      </c>
      <c r="P1120" s="573"/>
      <c r="Q1120" s="556"/>
      <c r="R1120" s="582"/>
    </row>
    <row r="1121" ht="23.85" customHeight="1" spans="1:18">
      <c r="A1121" s="556">
        <f>B1121</f>
        <v>0</v>
      </c>
      <c r="B1121" s="557">
        <f>B1120</f>
        <v>0</v>
      </c>
      <c r="C1121" s="79" t="s">
        <v>2921</v>
      </c>
      <c r="D1121" s="78" t="s">
        <v>3003</v>
      </c>
      <c r="E1121" s="79" t="s">
        <v>139</v>
      </c>
      <c r="F1121" s="79" t="s">
        <v>3004</v>
      </c>
      <c r="G1121" s="79" t="s">
        <v>2928</v>
      </c>
      <c r="H1121" s="79"/>
      <c r="I1121" s="80" t="s">
        <v>2897</v>
      </c>
      <c r="J1121" s="583">
        <v>1.444</v>
      </c>
      <c r="K1121" s="583">
        <v>0</v>
      </c>
      <c r="L1121" s="92">
        <v>29.91</v>
      </c>
      <c r="M1121" s="92">
        <v>43.19</v>
      </c>
      <c r="N1121" s="573">
        <v>0.18</v>
      </c>
      <c r="O1121" s="556" t="str">
        <f t="shared" si="120"/>
        <v>DIF</v>
      </c>
      <c r="P1121" s="573"/>
      <c r="Q1121" s="556"/>
      <c r="R1121" s="582"/>
    </row>
    <row r="1122" ht="23.85" customHeight="1" spans="1:18">
      <c r="A1122" s="556">
        <f>B1122</f>
        <v>0</v>
      </c>
      <c r="B1122" s="557">
        <f>B1121</f>
        <v>0</v>
      </c>
      <c r="C1122" s="79" t="s">
        <v>2921</v>
      </c>
      <c r="D1122" s="78" t="s">
        <v>2954</v>
      </c>
      <c r="E1122" s="79" t="s">
        <v>139</v>
      </c>
      <c r="F1122" s="79" t="s">
        <v>2955</v>
      </c>
      <c r="G1122" s="79" t="s">
        <v>2928</v>
      </c>
      <c r="H1122" s="79"/>
      <c r="I1122" s="80" t="s">
        <v>2897</v>
      </c>
      <c r="J1122" s="583">
        <v>2.357</v>
      </c>
      <c r="K1122" s="583">
        <v>0</v>
      </c>
      <c r="L1122" s="92">
        <v>37.51</v>
      </c>
      <c r="M1122" s="92">
        <v>88.41</v>
      </c>
      <c r="N1122" s="573">
        <v>0.64</v>
      </c>
      <c r="O1122" s="556" t="str">
        <f t="shared" si="120"/>
        <v>DIF</v>
      </c>
      <c r="P1122" s="573"/>
      <c r="Q1122" s="556"/>
      <c r="R1122" s="582"/>
    </row>
    <row r="1123" ht="35.05" customHeight="1" spans="1:18">
      <c r="A1123" s="556"/>
      <c r="B1123" s="557"/>
      <c r="C1123" s="100" t="s">
        <v>2893</v>
      </c>
      <c r="D1123" s="99" t="s">
        <v>3386</v>
      </c>
      <c r="E1123" s="100" t="s">
        <v>139</v>
      </c>
      <c r="F1123" s="100" t="s">
        <v>3387</v>
      </c>
      <c r="G1123" s="100" t="s">
        <v>2961</v>
      </c>
      <c r="H1123" s="100"/>
      <c r="I1123" s="101" t="s">
        <v>204</v>
      </c>
      <c r="J1123" s="580">
        <v>1.38</v>
      </c>
      <c r="K1123" s="580">
        <v>0</v>
      </c>
      <c r="L1123" s="102">
        <v>21.41</v>
      </c>
      <c r="M1123" s="102">
        <v>29.54</v>
      </c>
      <c r="N1123" s="573"/>
      <c r="O1123" s="556"/>
      <c r="P1123" s="573"/>
      <c r="Q1123" s="556"/>
      <c r="R1123" s="582"/>
    </row>
    <row r="1124" ht="23.85" customHeight="1" spans="1:18">
      <c r="A1124" s="556"/>
      <c r="B1124" s="557"/>
      <c r="C1124" s="100" t="s">
        <v>2893</v>
      </c>
      <c r="D1124" s="99" t="s">
        <v>3334</v>
      </c>
      <c r="E1124" s="100" t="s">
        <v>139</v>
      </c>
      <c r="F1124" s="100" t="s">
        <v>3335</v>
      </c>
      <c r="G1124" s="100" t="s">
        <v>2961</v>
      </c>
      <c r="H1124" s="100"/>
      <c r="I1124" s="101" t="s">
        <v>204</v>
      </c>
      <c r="J1124" s="580">
        <v>0.44</v>
      </c>
      <c r="K1124" s="580">
        <v>0</v>
      </c>
      <c r="L1124" s="102">
        <v>3.07</v>
      </c>
      <c r="M1124" s="102">
        <v>1.35</v>
      </c>
      <c r="N1124" s="573"/>
      <c r="O1124" s="556"/>
      <c r="P1124" s="573"/>
      <c r="Q1124" s="556"/>
      <c r="R1124" s="582"/>
    </row>
    <row r="1125" ht="23.85" customHeight="1" spans="1:18">
      <c r="A1125" s="556"/>
      <c r="B1125" s="557" t="str">
        <f>C1124</f>
        <v>Insumo</v>
      </c>
      <c r="C1125" s="100" t="s">
        <v>2893</v>
      </c>
      <c r="D1125" s="99" t="s">
        <v>3007</v>
      </c>
      <c r="E1125" s="100" t="s">
        <v>139</v>
      </c>
      <c r="F1125" s="100" t="s">
        <v>3008</v>
      </c>
      <c r="G1125" s="100" t="s">
        <v>2961</v>
      </c>
      <c r="H1125" s="100"/>
      <c r="I1125" s="101" t="s">
        <v>204</v>
      </c>
      <c r="J1125" s="580">
        <v>0.37</v>
      </c>
      <c r="K1125" s="580">
        <v>0</v>
      </c>
      <c r="L1125" s="102">
        <v>8.79</v>
      </c>
      <c r="M1125" s="102">
        <v>3.25</v>
      </c>
      <c r="N1125" s="573">
        <v>16.78</v>
      </c>
      <c r="O1125" s="556" t="str">
        <f t="shared" ref="O1125:O1130" si="121">IF(N1125=M1125,"OK","DIF")</f>
        <v>DIF</v>
      </c>
      <c r="P1125" s="573"/>
      <c r="Q1125" s="556"/>
      <c r="R1125" s="582"/>
    </row>
    <row r="1126" ht="23.85" customHeight="1" spans="1:18">
      <c r="A1126" s="556" t="str">
        <f>B1126</f>
        <v>Insumo</v>
      </c>
      <c r="B1126" s="557" t="str">
        <f>B1125</f>
        <v>Insumo</v>
      </c>
      <c r="C1126" s="100" t="s">
        <v>2893</v>
      </c>
      <c r="D1126" s="99" t="s">
        <v>3342</v>
      </c>
      <c r="E1126" s="100" t="s">
        <v>139</v>
      </c>
      <c r="F1126" s="100" t="s">
        <v>3343</v>
      </c>
      <c r="G1126" s="100" t="s">
        <v>2961</v>
      </c>
      <c r="H1126" s="100"/>
      <c r="I1126" s="101" t="s">
        <v>3084</v>
      </c>
      <c r="J1126" s="580">
        <v>0.017</v>
      </c>
      <c r="K1126" s="580">
        <v>0</v>
      </c>
      <c r="L1126" s="102">
        <v>7.97</v>
      </c>
      <c r="M1126" s="102">
        <v>0.13</v>
      </c>
      <c r="N1126" s="573">
        <v>9.59</v>
      </c>
      <c r="O1126" s="556" t="str">
        <f t="shared" si="121"/>
        <v>DIF</v>
      </c>
      <c r="P1126" s="573"/>
      <c r="Q1126" s="556"/>
      <c r="R1126" s="582"/>
    </row>
    <row r="1127" ht="15" customHeight="1" spans="1:18">
      <c r="A1127" s="556" t="str">
        <f>B1127</f>
        <v>Insumo</v>
      </c>
      <c r="B1127" s="557" t="str">
        <f>B1126</f>
        <v>Insumo</v>
      </c>
      <c r="C1127" s="100" t="s">
        <v>2893</v>
      </c>
      <c r="D1127" s="99" t="s">
        <v>3388</v>
      </c>
      <c r="E1127" s="100" t="s">
        <v>139</v>
      </c>
      <c r="F1127" s="100" t="s">
        <v>3389</v>
      </c>
      <c r="G1127" s="100" t="s">
        <v>2961</v>
      </c>
      <c r="H1127" s="100"/>
      <c r="I1127" s="101" t="s">
        <v>393</v>
      </c>
      <c r="J1127" s="580">
        <v>0.095</v>
      </c>
      <c r="K1127" s="580">
        <v>0</v>
      </c>
      <c r="L1127" s="102">
        <v>18.38</v>
      </c>
      <c r="M1127" s="102">
        <v>1.74</v>
      </c>
      <c r="N1127" s="573">
        <v>0.75</v>
      </c>
      <c r="O1127" s="556" t="str">
        <f t="shared" si="121"/>
        <v>DIF</v>
      </c>
      <c r="P1127" s="573"/>
      <c r="Q1127" s="556"/>
      <c r="R1127" s="582"/>
    </row>
    <row r="1128" ht="25.5" spans="1:18">
      <c r="A1128" s="556" t="str">
        <f>B1128</f>
        <v>Insumo</v>
      </c>
      <c r="B1128" s="557" t="str">
        <f>B1127</f>
        <v>Insumo</v>
      </c>
      <c r="C1128" s="108"/>
      <c r="D1128" s="108"/>
      <c r="E1128" s="108"/>
      <c r="F1128" s="108"/>
      <c r="G1128" s="108"/>
      <c r="H1128" s="108" t="s">
        <v>2898</v>
      </c>
      <c r="I1128" s="581">
        <v>94.34</v>
      </c>
      <c r="J1128" s="108" t="s">
        <v>2899</v>
      </c>
      <c r="K1128" s="581">
        <v>0</v>
      </c>
      <c r="L1128" s="108" t="s">
        <v>2900</v>
      </c>
      <c r="M1128" s="581">
        <v>94.34</v>
      </c>
      <c r="N1128" s="573">
        <v>5.67</v>
      </c>
      <c r="O1128" s="556" t="str">
        <f t="shared" si="121"/>
        <v>DIF</v>
      </c>
      <c r="P1128" s="573"/>
      <c r="Q1128" s="556"/>
      <c r="R1128" s="582"/>
    </row>
    <row r="1129" ht="26.25" spans="1:18">
      <c r="A1129" s="556" t="str">
        <f>B1129</f>
        <v>Insumo</v>
      </c>
      <c r="B1129" s="557" t="str">
        <f>B1128</f>
        <v>Insumo</v>
      </c>
      <c r="C1129" s="108"/>
      <c r="D1129" s="108"/>
      <c r="E1129" s="108"/>
      <c r="F1129" s="108"/>
      <c r="G1129" s="108"/>
      <c r="H1129" s="108" t="s">
        <v>2901</v>
      </c>
      <c r="I1129" s="581">
        <v>42.72</v>
      </c>
      <c r="J1129" s="114"/>
      <c r="K1129" s="114" t="s">
        <v>2902</v>
      </c>
      <c r="L1129" s="108"/>
      <c r="M1129" s="581">
        <v>210.33</v>
      </c>
      <c r="N1129" s="573">
        <v>0.13</v>
      </c>
      <c r="O1129" s="556" t="str">
        <f t="shared" si="121"/>
        <v>DIF</v>
      </c>
      <c r="P1129" s="573"/>
      <c r="Q1129" s="556"/>
      <c r="R1129" s="582"/>
    </row>
    <row r="1130" ht="15" spans="1:18">
      <c r="A1130" s="556" t="str">
        <f>B1130</f>
        <v>Insumo</v>
      </c>
      <c r="B1130" s="557" t="str">
        <f>B1129</f>
        <v>Insumo</v>
      </c>
      <c r="C1130" s="571"/>
      <c r="D1130" s="571"/>
      <c r="E1130" s="571"/>
      <c r="F1130" s="571"/>
      <c r="G1130" s="571"/>
      <c r="H1130" s="571"/>
      <c r="I1130" s="571"/>
      <c r="J1130" s="571"/>
      <c r="K1130" s="571"/>
      <c r="L1130" s="571"/>
      <c r="M1130" s="571"/>
      <c r="N1130" s="573">
        <v>0.64</v>
      </c>
      <c r="O1130" s="556" t="str">
        <f t="shared" si="121"/>
        <v>DIF</v>
      </c>
      <c r="P1130" s="573"/>
      <c r="Q1130" s="556"/>
      <c r="R1130" s="582"/>
    </row>
    <row r="1131" ht="15" customHeight="1" spans="1:18">
      <c r="A1131" s="556"/>
      <c r="B1131" s="557"/>
      <c r="C1131" s="76" t="s">
        <v>476</v>
      </c>
      <c r="D1131" s="75" t="s">
        <v>63</v>
      </c>
      <c r="E1131" s="76" t="s">
        <v>64</v>
      </c>
      <c r="F1131" s="76" t="s">
        <v>65</v>
      </c>
      <c r="G1131" s="76" t="s">
        <v>2889</v>
      </c>
      <c r="H1131" s="76"/>
      <c r="I1131" s="77" t="s">
        <v>66</v>
      </c>
      <c r="J1131" s="75" t="s">
        <v>67</v>
      </c>
      <c r="K1131" s="75" t="s">
        <v>2890</v>
      </c>
      <c r="L1131" s="75" t="s">
        <v>68</v>
      </c>
      <c r="M1131" s="75" t="s">
        <v>70</v>
      </c>
      <c r="N1131" s="573"/>
      <c r="O1131" s="556"/>
      <c r="P1131" s="573"/>
      <c r="Q1131" s="556"/>
      <c r="R1131" s="582"/>
    </row>
    <row r="1132" ht="23.85" customHeight="1" spans="1:18">
      <c r="A1132" s="556"/>
      <c r="B1132" s="557"/>
      <c r="C1132" s="569" t="s">
        <v>2891</v>
      </c>
      <c r="D1132" s="570" t="s">
        <v>426</v>
      </c>
      <c r="E1132" s="569" t="s">
        <v>139</v>
      </c>
      <c r="F1132" s="569" t="s">
        <v>427</v>
      </c>
      <c r="G1132" s="569" t="s">
        <v>3310</v>
      </c>
      <c r="H1132" s="569"/>
      <c r="I1132" s="577" t="s">
        <v>279</v>
      </c>
      <c r="J1132" s="578">
        <v>1</v>
      </c>
      <c r="K1132" s="579"/>
      <c r="L1132" s="579">
        <v>756.52</v>
      </c>
      <c r="M1132" s="579">
        <v>756.52</v>
      </c>
      <c r="N1132" s="573"/>
      <c r="O1132" s="556"/>
      <c r="P1132" s="573"/>
      <c r="Q1132" s="556"/>
      <c r="R1132" s="582"/>
    </row>
    <row r="1133" ht="23.85" customHeight="1" spans="1:18">
      <c r="A1133" s="556"/>
      <c r="B1133" s="557" t="str">
        <f>C1132</f>
        <v>Composição</v>
      </c>
      <c r="C1133" s="79" t="s">
        <v>2921</v>
      </c>
      <c r="D1133" s="78" t="s">
        <v>3017</v>
      </c>
      <c r="E1133" s="79" t="s">
        <v>139</v>
      </c>
      <c r="F1133" s="79" t="s">
        <v>3018</v>
      </c>
      <c r="G1133" s="79" t="s">
        <v>2928</v>
      </c>
      <c r="H1133" s="79"/>
      <c r="I1133" s="80" t="s">
        <v>2897</v>
      </c>
      <c r="J1133" s="583">
        <v>0.587</v>
      </c>
      <c r="K1133" s="583">
        <v>0</v>
      </c>
      <c r="L1133" s="92">
        <v>36.96</v>
      </c>
      <c r="M1133" s="92">
        <v>21.69</v>
      </c>
      <c r="N1133" s="573">
        <v>12.97</v>
      </c>
      <c r="O1133" s="556" t="str">
        <f t="shared" ref="O1133:O1138" si="122">IF(N1133=M1133,"OK","DIF")</f>
        <v>DIF</v>
      </c>
      <c r="P1133" s="573"/>
      <c r="Q1133" s="556"/>
      <c r="R1133" s="582"/>
    </row>
    <row r="1134" ht="23.85" customHeight="1" spans="1:18">
      <c r="A1134" s="556" t="str">
        <f>B1134</f>
        <v>Composição</v>
      </c>
      <c r="B1134" s="557" t="str">
        <f>B1133</f>
        <v>Composição</v>
      </c>
      <c r="C1134" s="79" t="s">
        <v>2921</v>
      </c>
      <c r="D1134" s="78" t="s">
        <v>2952</v>
      </c>
      <c r="E1134" s="79" t="s">
        <v>139</v>
      </c>
      <c r="F1134" s="79" t="s">
        <v>2953</v>
      </c>
      <c r="G1134" s="79" t="s">
        <v>2928</v>
      </c>
      <c r="H1134" s="79"/>
      <c r="I1134" s="80" t="s">
        <v>2897</v>
      </c>
      <c r="J1134" s="583">
        <v>0.881</v>
      </c>
      <c r="K1134" s="583">
        <v>0</v>
      </c>
      <c r="L1134" s="92">
        <v>29.15</v>
      </c>
      <c r="M1134" s="92">
        <v>25.68</v>
      </c>
      <c r="N1134" s="573">
        <v>0.4</v>
      </c>
      <c r="O1134" s="556" t="str">
        <f t="shared" si="122"/>
        <v>DIF</v>
      </c>
      <c r="P1134" s="573"/>
      <c r="Q1134" s="556"/>
      <c r="R1134" s="582"/>
    </row>
    <row r="1135" ht="23.85" customHeight="1" spans="1:18">
      <c r="A1135" s="556" t="str">
        <f>B1135</f>
        <v>Composição</v>
      </c>
      <c r="B1135" s="557" t="str">
        <f>B1134</f>
        <v>Composição</v>
      </c>
      <c r="C1135" s="79" t="s">
        <v>2921</v>
      </c>
      <c r="D1135" s="78" t="s">
        <v>3346</v>
      </c>
      <c r="E1135" s="79" t="s">
        <v>139</v>
      </c>
      <c r="F1135" s="79" t="s">
        <v>3347</v>
      </c>
      <c r="G1135" s="79" t="s">
        <v>2995</v>
      </c>
      <c r="H1135" s="79"/>
      <c r="I1135" s="80" t="s">
        <v>2996</v>
      </c>
      <c r="J1135" s="583">
        <v>0.133</v>
      </c>
      <c r="K1135" s="583">
        <v>0</v>
      </c>
      <c r="L1135" s="92">
        <v>0.53</v>
      </c>
      <c r="M1135" s="92">
        <v>0.07</v>
      </c>
      <c r="N1135" s="573">
        <v>3.04</v>
      </c>
      <c r="O1135" s="556" t="str">
        <f t="shared" si="122"/>
        <v>DIF</v>
      </c>
      <c r="P1135" s="573"/>
      <c r="Q1135" s="556"/>
      <c r="R1135" s="582"/>
    </row>
    <row r="1136" ht="23.85" customHeight="1" spans="1:18">
      <c r="A1136" s="556" t="str">
        <f>B1136</f>
        <v>Composição</v>
      </c>
      <c r="B1136" s="557" t="str">
        <f>B1135</f>
        <v>Composição</v>
      </c>
      <c r="C1136" s="79" t="s">
        <v>2921</v>
      </c>
      <c r="D1136" s="78" t="s">
        <v>3348</v>
      </c>
      <c r="E1136" s="79" t="s">
        <v>139</v>
      </c>
      <c r="F1136" s="79" t="s">
        <v>3349</v>
      </c>
      <c r="G1136" s="79" t="s">
        <v>2995</v>
      </c>
      <c r="H1136" s="79"/>
      <c r="I1136" s="80" t="s">
        <v>3002</v>
      </c>
      <c r="J1136" s="583">
        <v>0.161</v>
      </c>
      <c r="K1136" s="583">
        <v>0</v>
      </c>
      <c r="L1136" s="92">
        <v>1.45</v>
      </c>
      <c r="M1136" s="92">
        <v>0.23</v>
      </c>
      <c r="N1136" s="573">
        <v>8.8</v>
      </c>
      <c r="O1136" s="556" t="str">
        <f t="shared" si="122"/>
        <v>DIF</v>
      </c>
      <c r="P1136" s="573"/>
      <c r="Q1136" s="556"/>
      <c r="R1136" s="582"/>
    </row>
    <row r="1137" ht="35.05" customHeight="1" spans="1:18">
      <c r="A1137" s="556" t="str">
        <f>B1137</f>
        <v>Composição</v>
      </c>
      <c r="B1137" s="557" t="str">
        <f>B1136</f>
        <v>Composição</v>
      </c>
      <c r="C1137" s="100" t="s">
        <v>2893</v>
      </c>
      <c r="D1137" s="99" t="s">
        <v>3373</v>
      </c>
      <c r="E1137" s="100" t="s">
        <v>139</v>
      </c>
      <c r="F1137" s="100" t="s">
        <v>3374</v>
      </c>
      <c r="G1137" s="100" t="s">
        <v>2961</v>
      </c>
      <c r="H1137" s="100"/>
      <c r="I1137" s="101" t="s">
        <v>279</v>
      </c>
      <c r="J1137" s="580">
        <v>1.26</v>
      </c>
      <c r="K1137" s="580">
        <v>0</v>
      </c>
      <c r="L1137" s="102">
        <v>562.58</v>
      </c>
      <c r="M1137" s="102">
        <v>708.85</v>
      </c>
      <c r="N1137" s="573">
        <v>0.09</v>
      </c>
      <c r="O1137" s="556" t="str">
        <f t="shared" si="122"/>
        <v>DIF</v>
      </c>
      <c r="P1137" s="573"/>
      <c r="Q1137" s="556"/>
      <c r="R1137" s="582"/>
    </row>
    <row r="1138" ht="25.5" spans="1:18">
      <c r="A1138" s="556" t="str">
        <f>B1138</f>
        <v>Composição</v>
      </c>
      <c r="B1138" s="557" t="str">
        <f>B1137</f>
        <v>Composição</v>
      </c>
      <c r="C1138" s="108"/>
      <c r="D1138" s="108"/>
      <c r="E1138" s="108"/>
      <c r="F1138" s="108"/>
      <c r="G1138" s="108"/>
      <c r="H1138" s="108" t="s">
        <v>2898</v>
      </c>
      <c r="I1138" s="581">
        <v>32.74</v>
      </c>
      <c r="J1138" s="108" t="s">
        <v>2899</v>
      </c>
      <c r="K1138" s="581">
        <v>0</v>
      </c>
      <c r="L1138" s="108" t="s">
        <v>2900</v>
      </c>
      <c r="M1138" s="581">
        <v>32.74</v>
      </c>
      <c r="N1138" s="573">
        <v>0.64</v>
      </c>
      <c r="O1138" s="556" t="str">
        <f t="shared" si="122"/>
        <v>DIF</v>
      </c>
      <c r="P1138" s="573"/>
      <c r="Q1138" s="556"/>
      <c r="R1138" s="582"/>
    </row>
    <row r="1139" ht="26.25" spans="1:18">
      <c r="A1139" s="556"/>
      <c r="B1139" s="557"/>
      <c r="C1139" s="108"/>
      <c r="D1139" s="108"/>
      <c r="E1139" s="108"/>
      <c r="F1139" s="108"/>
      <c r="G1139" s="108"/>
      <c r="H1139" s="108" t="s">
        <v>2901</v>
      </c>
      <c r="I1139" s="581">
        <v>192.83</v>
      </c>
      <c r="J1139" s="114"/>
      <c r="K1139" s="114" t="s">
        <v>2902</v>
      </c>
      <c r="L1139" s="108"/>
      <c r="M1139" s="581">
        <v>949.35</v>
      </c>
      <c r="N1139" s="573"/>
      <c r="O1139" s="556"/>
      <c r="P1139" s="573"/>
      <c r="Q1139" s="556"/>
      <c r="R1139" s="582"/>
    </row>
    <row r="1140" ht="15" spans="1:18">
      <c r="A1140" s="556"/>
      <c r="B1140" s="557"/>
      <c r="C1140" s="571"/>
      <c r="D1140" s="571"/>
      <c r="E1140" s="571"/>
      <c r="F1140" s="571"/>
      <c r="G1140" s="571"/>
      <c r="H1140" s="571"/>
      <c r="I1140" s="571"/>
      <c r="J1140" s="571"/>
      <c r="K1140" s="571"/>
      <c r="L1140" s="571"/>
      <c r="M1140" s="571"/>
      <c r="N1140" s="573"/>
      <c r="O1140" s="556"/>
      <c r="P1140" s="573"/>
      <c r="Q1140" s="556"/>
      <c r="R1140" s="582"/>
    </row>
    <row r="1141" ht="15" customHeight="1" spans="1:18">
      <c r="A1141" s="556"/>
      <c r="B1141" s="557"/>
      <c r="C1141" s="76" t="s">
        <v>477</v>
      </c>
      <c r="D1141" s="75" t="s">
        <v>63</v>
      </c>
      <c r="E1141" s="76" t="s">
        <v>64</v>
      </c>
      <c r="F1141" s="76" t="s">
        <v>65</v>
      </c>
      <c r="G1141" s="76" t="s">
        <v>2889</v>
      </c>
      <c r="H1141" s="76"/>
      <c r="I1141" s="77" t="s">
        <v>66</v>
      </c>
      <c r="J1141" s="75" t="s">
        <v>67</v>
      </c>
      <c r="K1141" s="75" t="s">
        <v>2890</v>
      </c>
      <c r="L1141" s="75" t="s">
        <v>68</v>
      </c>
      <c r="M1141" s="75" t="s">
        <v>70</v>
      </c>
      <c r="N1141" s="573"/>
      <c r="O1141" s="556"/>
      <c r="P1141" s="573"/>
      <c r="Q1141" s="556"/>
      <c r="R1141" s="582"/>
    </row>
    <row r="1142" ht="35.05" customHeight="1" spans="1:18">
      <c r="A1142" s="556"/>
      <c r="B1142" s="557" t="str">
        <f>C1141</f>
        <v> 5.3.2 </v>
      </c>
      <c r="C1142" s="569" t="s">
        <v>2891</v>
      </c>
      <c r="D1142" s="570" t="s">
        <v>429</v>
      </c>
      <c r="E1142" s="569" t="s">
        <v>139</v>
      </c>
      <c r="F1142" s="569" t="s">
        <v>430</v>
      </c>
      <c r="G1142" s="569" t="s">
        <v>3310</v>
      </c>
      <c r="H1142" s="569"/>
      <c r="I1142" s="577" t="s">
        <v>279</v>
      </c>
      <c r="J1142" s="578">
        <v>1</v>
      </c>
      <c r="K1142" s="579"/>
      <c r="L1142" s="579">
        <v>719.07</v>
      </c>
      <c r="M1142" s="579">
        <v>719.07</v>
      </c>
      <c r="N1142" s="573">
        <v>632.51</v>
      </c>
      <c r="O1142" s="556" t="str">
        <f t="shared" ref="O1142:O1148" si="123">IF(N1142=M1142,"OK","DIF")</f>
        <v>DIF</v>
      </c>
      <c r="P1142" s="573"/>
      <c r="Q1142" s="556"/>
      <c r="R1142" s="582"/>
    </row>
    <row r="1143" ht="23.85" customHeight="1" spans="1:18">
      <c r="A1143" s="556" t="str">
        <f t="shared" ref="A1143:A1148" si="124">B1143</f>
        <v> 5.3.2 </v>
      </c>
      <c r="B1143" s="557" t="str">
        <f t="shared" ref="B1143:B1148" si="125">B1142</f>
        <v> 5.3.2 </v>
      </c>
      <c r="C1143" s="79" t="s">
        <v>2921</v>
      </c>
      <c r="D1143" s="78" t="s">
        <v>3348</v>
      </c>
      <c r="E1143" s="79" t="s">
        <v>139</v>
      </c>
      <c r="F1143" s="79" t="s">
        <v>3349</v>
      </c>
      <c r="G1143" s="79" t="s">
        <v>2995</v>
      </c>
      <c r="H1143" s="79"/>
      <c r="I1143" s="80" t="s">
        <v>3002</v>
      </c>
      <c r="J1143" s="583">
        <v>0.092</v>
      </c>
      <c r="K1143" s="583">
        <v>0</v>
      </c>
      <c r="L1143" s="92">
        <v>1.45</v>
      </c>
      <c r="M1143" s="92">
        <v>0.13</v>
      </c>
      <c r="N1143" s="573">
        <v>0.13</v>
      </c>
      <c r="O1143" s="556" t="str">
        <f t="shared" si="123"/>
        <v>OK</v>
      </c>
      <c r="P1143" s="573"/>
      <c r="Q1143" s="556"/>
      <c r="R1143" s="582"/>
    </row>
    <row r="1144" ht="23.85" customHeight="1" spans="1:18">
      <c r="A1144" s="556" t="str">
        <f t="shared" si="124"/>
        <v> 5.3.2 </v>
      </c>
      <c r="B1144" s="557" t="str">
        <f t="shared" si="125"/>
        <v> 5.3.2 </v>
      </c>
      <c r="C1144" s="79" t="s">
        <v>2921</v>
      </c>
      <c r="D1144" s="78" t="s">
        <v>3017</v>
      </c>
      <c r="E1144" s="79" t="s">
        <v>139</v>
      </c>
      <c r="F1144" s="79" t="s">
        <v>3018</v>
      </c>
      <c r="G1144" s="79" t="s">
        <v>2928</v>
      </c>
      <c r="H1144" s="79"/>
      <c r="I1144" s="80" t="s">
        <v>2897</v>
      </c>
      <c r="J1144" s="583">
        <v>0.334</v>
      </c>
      <c r="K1144" s="583">
        <v>0</v>
      </c>
      <c r="L1144" s="92">
        <v>36.96</v>
      </c>
      <c r="M1144" s="92">
        <v>12.34</v>
      </c>
      <c r="N1144" s="573">
        <v>0.06</v>
      </c>
      <c r="O1144" s="556" t="str">
        <f t="shared" si="123"/>
        <v>DIF</v>
      </c>
      <c r="P1144" s="573"/>
      <c r="Q1144" s="556"/>
      <c r="R1144" s="582"/>
    </row>
    <row r="1145" ht="23.85" customHeight="1" spans="1:18">
      <c r="A1145" s="556" t="str">
        <f t="shared" si="124"/>
        <v> 5.3.2 </v>
      </c>
      <c r="B1145" s="557" t="str">
        <f t="shared" si="125"/>
        <v> 5.3.2 </v>
      </c>
      <c r="C1145" s="79" t="s">
        <v>2921</v>
      </c>
      <c r="D1145" s="78" t="s">
        <v>3346</v>
      </c>
      <c r="E1145" s="79" t="s">
        <v>139</v>
      </c>
      <c r="F1145" s="79" t="s">
        <v>3347</v>
      </c>
      <c r="G1145" s="79" t="s">
        <v>2995</v>
      </c>
      <c r="H1145" s="79"/>
      <c r="I1145" s="80" t="s">
        <v>2996</v>
      </c>
      <c r="J1145" s="583">
        <v>0.075</v>
      </c>
      <c r="K1145" s="583">
        <v>0</v>
      </c>
      <c r="L1145" s="92">
        <v>0.53</v>
      </c>
      <c r="M1145" s="92">
        <v>0.03</v>
      </c>
      <c r="N1145" s="573">
        <v>7.47</v>
      </c>
      <c r="O1145" s="556" t="str">
        <f t="shared" si="123"/>
        <v>DIF</v>
      </c>
      <c r="P1145" s="573"/>
      <c r="Q1145" s="556"/>
      <c r="R1145" s="582"/>
    </row>
    <row r="1146" ht="23.85" customHeight="1" spans="1:18">
      <c r="A1146" s="556" t="str">
        <f t="shared" si="124"/>
        <v> 5.3.2 </v>
      </c>
      <c r="B1146" s="557" t="str">
        <f t="shared" si="125"/>
        <v> 5.3.2 </v>
      </c>
      <c r="C1146" s="79" t="s">
        <v>2921</v>
      </c>
      <c r="D1146" s="78" t="s">
        <v>2952</v>
      </c>
      <c r="E1146" s="79" t="s">
        <v>139</v>
      </c>
      <c r="F1146" s="79" t="s">
        <v>2953</v>
      </c>
      <c r="G1146" s="79" t="s">
        <v>2928</v>
      </c>
      <c r="H1146" s="79"/>
      <c r="I1146" s="80" t="s">
        <v>2897</v>
      </c>
      <c r="J1146" s="583">
        <v>0.501</v>
      </c>
      <c r="K1146" s="583">
        <v>0</v>
      </c>
      <c r="L1146" s="92">
        <v>29.15</v>
      </c>
      <c r="M1146" s="92">
        <v>14.6</v>
      </c>
      <c r="N1146" s="573">
        <v>34.9</v>
      </c>
      <c r="O1146" s="556" t="str">
        <f t="shared" si="123"/>
        <v>DIF</v>
      </c>
      <c r="P1146" s="573"/>
      <c r="Q1146" s="556"/>
      <c r="R1146" s="582"/>
    </row>
    <row r="1147" ht="35.05" customHeight="1" spans="1:18">
      <c r="A1147" s="556" t="str">
        <f t="shared" si="124"/>
        <v> 5.3.2 </v>
      </c>
      <c r="B1147" s="557" t="str">
        <f t="shared" si="125"/>
        <v> 5.3.2 </v>
      </c>
      <c r="C1147" s="100" t="s">
        <v>2893</v>
      </c>
      <c r="D1147" s="99" t="s">
        <v>3373</v>
      </c>
      <c r="E1147" s="100" t="s">
        <v>139</v>
      </c>
      <c r="F1147" s="100" t="s">
        <v>3374</v>
      </c>
      <c r="G1147" s="100" t="s">
        <v>2961</v>
      </c>
      <c r="H1147" s="100"/>
      <c r="I1147" s="101" t="s">
        <v>279</v>
      </c>
      <c r="J1147" s="580">
        <v>1.23</v>
      </c>
      <c r="K1147" s="580">
        <v>0</v>
      </c>
      <c r="L1147" s="102">
        <v>562.58</v>
      </c>
      <c r="M1147" s="102">
        <v>691.97</v>
      </c>
      <c r="N1147" s="573">
        <v>7.42</v>
      </c>
      <c r="O1147" s="556" t="str">
        <f t="shared" si="123"/>
        <v>DIF</v>
      </c>
      <c r="P1147" s="573"/>
      <c r="Q1147" s="556"/>
      <c r="R1147" s="582"/>
    </row>
    <row r="1148" ht="25.5" spans="1:18">
      <c r="A1148" s="556" t="str">
        <f t="shared" si="124"/>
        <v> 5.3.2 </v>
      </c>
      <c r="B1148" s="557" t="str">
        <f t="shared" si="125"/>
        <v> 5.3.2 </v>
      </c>
      <c r="C1148" s="108"/>
      <c r="D1148" s="108"/>
      <c r="E1148" s="108"/>
      <c r="F1148" s="108"/>
      <c r="G1148" s="108"/>
      <c r="H1148" s="108" t="s">
        <v>2898</v>
      </c>
      <c r="I1148" s="581">
        <v>18.61</v>
      </c>
      <c r="J1148" s="108" t="s">
        <v>2899</v>
      </c>
      <c r="K1148" s="581">
        <v>0</v>
      </c>
      <c r="L1148" s="108" t="s">
        <v>2900</v>
      </c>
      <c r="M1148" s="581">
        <v>18.61</v>
      </c>
      <c r="N1148" s="573">
        <v>582.53</v>
      </c>
      <c r="O1148" s="556" t="str">
        <f t="shared" si="123"/>
        <v>DIF</v>
      </c>
      <c r="P1148" s="573"/>
      <c r="Q1148" s="556"/>
      <c r="R1148" s="582"/>
    </row>
    <row r="1149" ht="26.25" spans="1:18">
      <c r="A1149" s="556"/>
      <c r="B1149" s="557"/>
      <c r="C1149" s="108"/>
      <c r="D1149" s="108"/>
      <c r="E1149" s="108"/>
      <c r="F1149" s="108"/>
      <c r="G1149" s="108"/>
      <c r="H1149" s="108" t="s">
        <v>2901</v>
      </c>
      <c r="I1149" s="581">
        <v>183.29</v>
      </c>
      <c r="J1149" s="114"/>
      <c r="K1149" s="114" t="s">
        <v>2902</v>
      </c>
      <c r="L1149" s="108"/>
      <c r="M1149" s="581">
        <v>902.36</v>
      </c>
      <c r="N1149" s="573"/>
      <c r="O1149" s="556"/>
      <c r="P1149" s="573"/>
      <c r="Q1149" s="556"/>
      <c r="R1149" s="582"/>
    </row>
    <row r="1150" ht="15" spans="1:18">
      <c r="A1150" s="556"/>
      <c r="B1150" s="557"/>
      <c r="C1150" s="571"/>
      <c r="D1150" s="571"/>
      <c r="E1150" s="571"/>
      <c r="F1150" s="571"/>
      <c r="G1150" s="571"/>
      <c r="H1150" s="571"/>
      <c r="I1150" s="571"/>
      <c r="J1150" s="571"/>
      <c r="K1150" s="571"/>
      <c r="L1150" s="571"/>
      <c r="M1150" s="571"/>
      <c r="N1150" s="573"/>
      <c r="O1150" s="556"/>
      <c r="P1150" s="573"/>
      <c r="Q1150" s="556"/>
      <c r="R1150" s="582"/>
    </row>
    <row r="1151" ht="15" customHeight="1" spans="1:18">
      <c r="A1151" s="556"/>
      <c r="B1151" s="557">
        <f>C1150</f>
        <v>0</v>
      </c>
      <c r="C1151" s="76" t="s">
        <v>478</v>
      </c>
      <c r="D1151" s="75" t="s">
        <v>63</v>
      </c>
      <c r="E1151" s="76" t="s">
        <v>64</v>
      </c>
      <c r="F1151" s="76" t="s">
        <v>65</v>
      </c>
      <c r="G1151" s="76" t="s">
        <v>2889</v>
      </c>
      <c r="H1151" s="76"/>
      <c r="I1151" s="77" t="s">
        <v>66</v>
      </c>
      <c r="J1151" s="75" t="s">
        <v>67</v>
      </c>
      <c r="K1151" s="75" t="s">
        <v>2890</v>
      </c>
      <c r="L1151" s="75" t="s">
        <v>68</v>
      </c>
      <c r="M1151" s="75" t="s">
        <v>70</v>
      </c>
      <c r="N1151" s="573">
        <v>633.46</v>
      </c>
      <c r="O1151" s="556" t="str">
        <f t="shared" ref="O1151:O1157" si="126">IF(N1151=M1151,"OK","DIF")</f>
        <v>DIF</v>
      </c>
      <c r="P1151" s="573"/>
      <c r="Q1151" s="556"/>
      <c r="R1151" s="582"/>
    </row>
    <row r="1152" ht="23.85" customHeight="1" spans="1:18">
      <c r="A1152" s="556">
        <f t="shared" ref="A1152:A1157" si="127">B1152</f>
        <v>0</v>
      </c>
      <c r="B1152" s="557">
        <f t="shared" ref="B1152:B1157" si="128">B1151</f>
        <v>0</v>
      </c>
      <c r="C1152" s="569" t="s">
        <v>2891</v>
      </c>
      <c r="D1152" s="570" t="s">
        <v>413</v>
      </c>
      <c r="E1152" s="569" t="s">
        <v>139</v>
      </c>
      <c r="F1152" s="569" t="s">
        <v>414</v>
      </c>
      <c r="G1152" s="569" t="s">
        <v>3230</v>
      </c>
      <c r="H1152" s="569"/>
      <c r="I1152" s="577" t="s">
        <v>279</v>
      </c>
      <c r="J1152" s="578">
        <v>1</v>
      </c>
      <c r="K1152" s="579"/>
      <c r="L1152" s="579">
        <v>852.23</v>
      </c>
      <c r="M1152" s="579">
        <v>852.23</v>
      </c>
      <c r="N1152" s="573">
        <v>21.43</v>
      </c>
      <c r="O1152" s="556" t="str">
        <f t="shared" si="126"/>
        <v>DIF</v>
      </c>
      <c r="P1152" s="573"/>
      <c r="Q1152" s="556"/>
      <c r="R1152" s="582"/>
    </row>
    <row r="1153" ht="35.05" customHeight="1" spans="1:18">
      <c r="A1153" s="556">
        <f t="shared" si="127"/>
        <v>0</v>
      </c>
      <c r="B1153" s="557">
        <f t="shared" si="128"/>
        <v>0</v>
      </c>
      <c r="C1153" s="79" t="s">
        <v>2921</v>
      </c>
      <c r="D1153" s="78" t="s">
        <v>3350</v>
      </c>
      <c r="E1153" s="79" t="s">
        <v>139</v>
      </c>
      <c r="F1153" s="79" t="s">
        <v>3351</v>
      </c>
      <c r="G1153" s="79" t="s">
        <v>2999</v>
      </c>
      <c r="H1153" s="79"/>
      <c r="I1153" s="80" t="s">
        <v>279</v>
      </c>
      <c r="J1153" s="583">
        <v>1.38</v>
      </c>
      <c r="K1153" s="583">
        <v>0</v>
      </c>
      <c r="L1153" s="92">
        <v>384.14</v>
      </c>
      <c r="M1153" s="92">
        <v>530.11</v>
      </c>
      <c r="N1153" s="573">
        <v>4.14</v>
      </c>
      <c r="O1153" s="556" t="str">
        <f t="shared" si="126"/>
        <v>DIF</v>
      </c>
      <c r="P1153" s="573"/>
      <c r="Q1153" s="556"/>
      <c r="R1153" s="582"/>
    </row>
    <row r="1154" ht="23.85" customHeight="1" spans="1:18">
      <c r="A1154" s="556">
        <f t="shared" si="127"/>
        <v>0</v>
      </c>
      <c r="B1154" s="557">
        <f t="shared" si="128"/>
        <v>0</v>
      </c>
      <c r="C1154" s="79" t="s">
        <v>2921</v>
      </c>
      <c r="D1154" s="78" t="s">
        <v>2952</v>
      </c>
      <c r="E1154" s="79" t="s">
        <v>139</v>
      </c>
      <c r="F1154" s="79" t="s">
        <v>2953</v>
      </c>
      <c r="G1154" s="79" t="s">
        <v>2928</v>
      </c>
      <c r="H1154" s="79"/>
      <c r="I1154" s="80" t="s">
        <v>2897</v>
      </c>
      <c r="J1154" s="583">
        <v>2.453</v>
      </c>
      <c r="K1154" s="583">
        <v>0</v>
      </c>
      <c r="L1154" s="92">
        <v>29.15</v>
      </c>
      <c r="M1154" s="92">
        <v>71.5</v>
      </c>
      <c r="N1154" s="573">
        <v>25.13</v>
      </c>
      <c r="O1154" s="556" t="str">
        <f t="shared" si="126"/>
        <v>DIF</v>
      </c>
      <c r="P1154" s="573"/>
      <c r="Q1154" s="556"/>
      <c r="R1154" s="582"/>
    </row>
    <row r="1155" ht="23.85" customHeight="1" spans="1:18">
      <c r="A1155" s="556">
        <f t="shared" si="127"/>
        <v>0</v>
      </c>
      <c r="B1155" s="557">
        <f t="shared" si="128"/>
        <v>0</v>
      </c>
      <c r="C1155" s="79" t="s">
        <v>2921</v>
      </c>
      <c r="D1155" s="78" t="s">
        <v>3017</v>
      </c>
      <c r="E1155" s="79" t="s">
        <v>139</v>
      </c>
      <c r="F1155" s="79" t="s">
        <v>3018</v>
      </c>
      <c r="G1155" s="79" t="s">
        <v>2928</v>
      </c>
      <c r="H1155" s="79"/>
      <c r="I1155" s="80" t="s">
        <v>2897</v>
      </c>
      <c r="J1155" s="583">
        <v>6.781</v>
      </c>
      <c r="K1155" s="583">
        <v>0</v>
      </c>
      <c r="L1155" s="92">
        <v>36.96</v>
      </c>
      <c r="M1155" s="92">
        <v>250.62</v>
      </c>
      <c r="N1155" s="573">
        <v>0.17</v>
      </c>
      <c r="O1155" s="556" t="str">
        <f t="shared" si="126"/>
        <v>DIF</v>
      </c>
      <c r="P1155" s="573"/>
      <c r="Q1155" s="556"/>
      <c r="R1155" s="582"/>
    </row>
    <row r="1156" ht="25.5" spans="1:18">
      <c r="A1156" s="556">
        <f t="shared" si="127"/>
        <v>0</v>
      </c>
      <c r="B1156" s="557">
        <f t="shared" si="128"/>
        <v>0</v>
      </c>
      <c r="C1156" s="108"/>
      <c r="D1156" s="108"/>
      <c r="E1156" s="108"/>
      <c r="F1156" s="108"/>
      <c r="G1156" s="108"/>
      <c r="H1156" s="108" t="s">
        <v>2898</v>
      </c>
      <c r="I1156" s="581">
        <v>328.6</v>
      </c>
      <c r="J1156" s="108" t="s">
        <v>2899</v>
      </c>
      <c r="K1156" s="581">
        <v>0</v>
      </c>
      <c r="L1156" s="108" t="s">
        <v>2900</v>
      </c>
      <c r="M1156" s="581">
        <v>328.6</v>
      </c>
      <c r="N1156" s="573">
        <v>0.06</v>
      </c>
      <c r="O1156" s="556" t="str">
        <f t="shared" si="126"/>
        <v>DIF</v>
      </c>
      <c r="P1156" s="573"/>
      <c r="Q1156" s="556"/>
      <c r="R1156" s="582"/>
    </row>
    <row r="1157" ht="26.25" spans="1:18">
      <c r="A1157" s="556">
        <f t="shared" si="127"/>
        <v>0</v>
      </c>
      <c r="B1157" s="557">
        <f t="shared" si="128"/>
        <v>0</v>
      </c>
      <c r="C1157" s="108"/>
      <c r="D1157" s="108"/>
      <c r="E1157" s="108"/>
      <c r="F1157" s="108"/>
      <c r="G1157" s="108"/>
      <c r="H1157" s="108" t="s">
        <v>2901</v>
      </c>
      <c r="I1157" s="581">
        <v>217.23</v>
      </c>
      <c r="J1157" s="114"/>
      <c r="K1157" s="114" t="s">
        <v>2902</v>
      </c>
      <c r="L1157" s="108"/>
      <c r="M1157" s="581">
        <v>1069.46</v>
      </c>
      <c r="N1157" s="573">
        <v>582.53</v>
      </c>
      <c r="O1157" s="556" t="str">
        <f t="shared" si="126"/>
        <v>DIF</v>
      </c>
      <c r="P1157" s="573"/>
      <c r="Q1157" s="556"/>
      <c r="R1157" s="582"/>
    </row>
    <row r="1158" ht="15" spans="1:18">
      <c r="A1158" s="556"/>
      <c r="B1158" s="557"/>
      <c r="C1158" s="571"/>
      <c r="D1158" s="571"/>
      <c r="E1158" s="571"/>
      <c r="F1158" s="571"/>
      <c r="G1158" s="571"/>
      <c r="H1158" s="571"/>
      <c r="I1158" s="571"/>
      <c r="J1158" s="571"/>
      <c r="K1158" s="571"/>
      <c r="L1158" s="571"/>
      <c r="M1158" s="571"/>
      <c r="N1158" s="573"/>
      <c r="O1158" s="556"/>
      <c r="P1158" s="573"/>
      <c r="Q1158" s="556"/>
      <c r="R1158" s="582"/>
    </row>
    <row r="1159" ht="15" customHeight="1" spans="1:18">
      <c r="A1159" s="556"/>
      <c r="B1159" s="557"/>
      <c r="C1159" s="76" t="s">
        <v>479</v>
      </c>
      <c r="D1159" s="75" t="s">
        <v>63</v>
      </c>
      <c r="E1159" s="76" t="s">
        <v>64</v>
      </c>
      <c r="F1159" s="76" t="s">
        <v>65</v>
      </c>
      <c r="G1159" s="76" t="s">
        <v>2889</v>
      </c>
      <c r="H1159" s="76"/>
      <c r="I1159" s="77" t="s">
        <v>66</v>
      </c>
      <c r="J1159" s="75" t="s">
        <v>67</v>
      </c>
      <c r="K1159" s="75" t="s">
        <v>2890</v>
      </c>
      <c r="L1159" s="75" t="s">
        <v>68</v>
      </c>
      <c r="M1159" s="75" t="s">
        <v>70</v>
      </c>
      <c r="N1159" s="573"/>
      <c r="O1159" s="556"/>
      <c r="P1159" s="573"/>
      <c r="Q1159" s="556"/>
      <c r="R1159" s="582"/>
    </row>
    <row r="1160" ht="23.85" customHeight="1" spans="1:18">
      <c r="A1160" s="556"/>
      <c r="B1160" s="557" t="str">
        <f>C1159</f>
        <v> 5.3.4 </v>
      </c>
      <c r="C1160" s="569" t="s">
        <v>2891</v>
      </c>
      <c r="D1160" s="570" t="s">
        <v>433</v>
      </c>
      <c r="E1160" s="569" t="s">
        <v>139</v>
      </c>
      <c r="F1160" s="569" t="s">
        <v>434</v>
      </c>
      <c r="G1160" s="569" t="s">
        <v>3375</v>
      </c>
      <c r="H1160" s="569"/>
      <c r="I1160" s="577" t="s">
        <v>141</v>
      </c>
      <c r="J1160" s="578">
        <v>1</v>
      </c>
      <c r="K1160" s="579"/>
      <c r="L1160" s="579">
        <v>2.71</v>
      </c>
      <c r="M1160" s="579">
        <v>2.71</v>
      </c>
      <c r="N1160" s="573">
        <v>14.69</v>
      </c>
      <c r="O1160" s="556" t="str">
        <f t="shared" ref="O1160:O1165" si="129">IF(N1160=M1160,"OK","DIF")</f>
        <v>DIF</v>
      </c>
      <c r="P1160" s="573"/>
      <c r="Q1160" s="556"/>
      <c r="R1160" s="582"/>
    </row>
    <row r="1161" ht="23.85" customHeight="1" spans="1:18">
      <c r="A1161" s="556" t="str">
        <f>B1161</f>
        <v> 5.3.4 </v>
      </c>
      <c r="B1161" s="557" t="str">
        <f>B1160</f>
        <v> 5.3.4 </v>
      </c>
      <c r="C1161" s="79" t="s">
        <v>2921</v>
      </c>
      <c r="D1161" s="78" t="s">
        <v>3017</v>
      </c>
      <c r="E1161" s="79" t="s">
        <v>139</v>
      </c>
      <c r="F1161" s="79" t="s">
        <v>3018</v>
      </c>
      <c r="G1161" s="79" t="s">
        <v>2928</v>
      </c>
      <c r="H1161" s="79"/>
      <c r="I1161" s="80" t="s">
        <v>2897</v>
      </c>
      <c r="J1161" s="583">
        <v>0.014</v>
      </c>
      <c r="K1161" s="583">
        <v>0</v>
      </c>
      <c r="L1161" s="92">
        <v>36.96</v>
      </c>
      <c r="M1161" s="92">
        <v>0.51</v>
      </c>
      <c r="N1161" s="573">
        <v>0.46</v>
      </c>
      <c r="O1161" s="556" t="str">
        <f t="shared" si="129"/>
        <v>DIF</v>
      </c>
      <c r="P1161" s="573"/>
      <c r="Q1161" s="556"/>
      <c r="R1161" s="582"/>
    </row>
    <row r="1162" ht="23.85" customHeight="1" spans="1:18">
      <c r="A1162" s="556" t="str">
        <f>B1162</f>
        <v> 5.3.4 </v>
      </c>
      <c r="B1162" s="557" t="str">
        <f>B1161</f>
        <v> 5.3.4 </v>
      </c>
      <c r="C1162" s="79" t="s">
        <v>2921</v>
      </c>
      <c r="D1162" s="78" t="s">
        <v>2952</v>
      </c>
      <c r="E1162" s="79" t="s">
        <v>139</v>
      </c>
      <c r="F1162" s="79" t="s">
        <v>2953</v>
      </c>
      <c r="G1162" s="79" t="s">
        <v>2928</v>
      </c>
      <c r="H1162" s="79"/>
      <c r="I1162" s="80" t="s">
        <v>2897</v>
      </c>
      <c r="J1162" s="583">
        <v>0.005</v>
      </c>
      <c r="K1162" s="583">
        <v>0</v>
      </c>
      <c r="L1162" s="92">
        <v>29.15</v>
      </c>
      <c r="M1162" s="92">
        <v>0.14</v>
      </c>
      <c r="N1162" s="573">
        <v>3.46</v>
      </c>
      <c r="O1162" s="556" t="str">
        <f t="shared" si="129"/>
        <v>DIF</v>
      </c>
      <c r="P1162" s="573"/>
      <c r="Q1162" s="556"/>
      <c r="R1162" s="582"/>
    </row>
    <row r="1163" ht="15" customHeight="1" spans="1:18">
      <c r="A1163" s="556" t="str">
        <f>B1163</f>
        <v> 5.3.4 </v>
      </c>
      <c r="B1163" s="557" t="str">
        <f>B1162</f>
        <v> 5.3.4 </v>
      </c>
      <c r="C1163" s="100" t="s">
        <v>2893</v>
      </c>
      <c r="D1163" s="99" t="s">
        <v>3376</v>
      </c>
      <c r="E1163" s="100" t="s">
        <v>139</v>
      </c>
      <c r="F1163" s="100" t="s">
        <v>3377</v>
      </c>
      <c r="G1163" s="100" t="s">
        <v>2961</v>
      </c>
      <c r="H1163" s="100"/>
      <c r="I1163" s="101" t="s">
        <v>141</v>
      </c>
      <c r="J1163" s="580">
        <v>1.04</v>
      </c>
      <c r="K1163" s="580">
        <v>0</v>
      </c>
      <c r="L1163" s="102">
        <v>1.99</v>
      </c>
      <c r="M1163" s="102">
        <v>2.06</v>
      </c>
      <c r="N1163" s="573">
        <v>9.87</v>
      </c>
      <c r="O1163" s="556" t="str">
        <f t="shared" si="129"/>
        <v>DIF</v>
      </c>
      <c r="P1163" s="573"/>
      <c r="Q1163" s="556"/>
      <c r="R1163" s="582"/>
    </row>
    <row r="1164" ht="25.5" spans="1:18">
      <c r="A1164" s="556" t="str">
        <f>B1164</f>
        <v> 5.3.4 </v>
      </c>
      <c r="B1164" s="557" t="str">
        <f>B1163</f>
        <v> 5.3.4 </v>
      </c>
      <c r="C1164" s="108"/>
      <c r="D1164" s="108"/>
      <c r="E1164" s="108"/>
      <c r="F1164" s="108"/>
      <c r="G1164" s="108"/>
      <c r="H1164" s="108" t="s">
        <v>2898</v>
      </c>
      <c r="I1164" s="581">
        <v>0.46</v>
      </c>
      <c r="J1164" s="108" t="s">
        <v>2899</v>
      </c>
      <c r="K1164" s="581">
        <v>0</v>
      </c>
      <c r="L1164" s="108" t="s">
        <v>2900</v>
      </c>
      <c r="M1164" s="581">
        <v>0.46</v>
      </c>
      <c r="N1164" s="573">
        <v>0.26</v>
      </c>
      <c r="O1164" s="556" t="str">
        <f t="shared" si="129"/>
        <v>DIF</v>
      </c>
      <c r="P1164" s="573"/>
      <c r="Q1164" s="556"/>
      <c r="R1164" s="582"/>
    </row>
    <row r="1165" ht="26.25" spans="1:18">
      <c r="A1165" s="556" t="str">
        <f>B1165</f>
        <v> 5.3.4 </v>
      </c>
      <c r="B1165" s="557" t="str">
        <f>B1164</f>
        <v> 5.3.4 </v>
      </c>
      <c r="C1165" s="108"/>
      <c r="D1165" s="108"/>
      <c r="E1165" s="108"/>
      <c r="F1165" s="108"/>
      <c r="G1165" s="108"/>
      <c r="H1165" s="108" t="s">
        <v>2901</v>
      </c>
      <c r="I1165" s="581">
        <v>0.69</v>
      </c>
      <c r="J1165" s="114"/>
      <c r="K1165" s="114" t="s">
        <v>2902</v>
      </c>
      <c r="L1165" s="108"/>
      <c r="M1165" s="581">
        <v>3.4</v>
      </c>
      <c r="N1165" s="573">
        <v>0.64</v>
      </c>
      <c r="O1165" s="556" t="str">
        <f t="shared" si="129"/>
        <v>DIF</v>
      </c>
      <c r="P1165" s="573"/>
      <c r="Q1165" s="556"/>
      <c r="R1165" s="582"/>
    </row>
    <row r="1166" ht="15" spans="1:18">
      <c r="A1166" s="556"/>
      <c r="B1166" s="557"/>
      <c r="C1166" s="571"/>
      <c r="D1166" s="571"/>
      <c r="E1166" s="571"/>
      <c r="F1166" s="571"/>
      <c r="G1166" s="571"/>
      <c r="H1166" s="571"/>
      <c r="I1166" s="571"/>
      <c r="J1166" s="571"/>
      <c r="K1166" s="571"/>
      <c r="L1166" s="571"/>
      <c r="M1166" s="571"/>
      <c r="N1166" s="573"/>
      <c r="O1166" s="556"/>
      <c r="P1166" s="573"/>
      <c r="Q1166" s="556"/>
      <c r="R1166" s="582"/>
    </row>
    <row r="1167" ht="15" customHeight="1" spans="1:18">
      <c r="A1167" s="556"/>
      <c r="B1167" s="557"/>
      <c r="C1167" s="76" t="s">
        <v>480</v>
      </c>
      <c r="D1167" s="75" t="s">
        <v>63</v>
      </c>
      <c r="E1167" s="76" t="s">
        <v>64</v>
      </c>
      <c r="F1167" s="76" t="s">
        <v>65</v>
      </c>
      <c r="G1167" s="76" t="s">
        <v>2889</v>
      </c>
      <c r="H1167" s="76"/>
      <c r="I1167" s="77" t="s">
        <v>66</v>
      </c>
      <c r="J1167" s="75" t="s">
        <v>67</v>
      </c>
      <c r="K1167" s="75" t="s">
        <v>2890</v>
      </c>
      <c r="L1167" s="75" t="s">
        <v>68</v>
      </c>
      <c r="M1167" s="75" t="s">
        <v>70</v>
      </c>
      <c r="N1167" s="573"/>
      <c r="O1167" s="556"/>
      <c r="P1167" s="573"/>
      <c r="Q1167" s="556"/>
      <c r="R1167" s="582"/>
    </row>
    <row r="1168" ht="23.85" customHeight="1" spans="1:18">
      <c r="A1168" s="556"/>
      <c r="B1168" s="557" t="str">
        <f>C1167</f>
        <v> 5.3.5 </v>
      </c>
      <c r="C1168" s="569" t="s">
        <v>2891</v>
      </c>
      <c r="D1168" s="570" t="s">
        <v>436</v>
      </c>
      <c r="E1168" s="569" t="s">
        <v>139</v>
      </c>
      <c r="F1168" s="569" t="s">
        <v>437</v>
      </c>
      <c r="G1168" s="569" t="s">
        <v>3310</v>
      </c>
      <c r="H1168" s="569"/>
      <c r="I1168" s="577" t="s">
        <v>393</v>
      </c>
      <c r="J1168" s="578">
        <v>1</v>
      </c>
      <c r="K1168" s="579"/>
      <c r="L1168" s="579">
        <v>19.57</v>
      </c>
      <c r="M1168" s="579">
        <v>19.57</v>
      </c>
      <c r="N1168" s="573">
        <v>12.44</v>
      </c>
      <c r="O1168" s="556" t="str">
        <f t="shared" ref="O1168:O1173" si="130">IF(N1168=M1168,"OK","DIF")</f>
        <v>DIF</v>
      </c>
      <c r="P1168" s="573"/>
      <c r="Q1168" s="556"/>
      <c r="R1168" s="582"/>
    </row>
    <row r="1169" ht="23.85" customHeight="1" spans="1:18">
      <c r="A1169" s="556" t="str">
        <f>B1169</f>
        <v> 5.3.5 </v>
      </c>
      <c r="B1169" s="557" t="str">
        <f>B1168</f>
        <v> 5.3.5 </v>
      </c>
      <c r="C1169" s="79" t="s">
        <v>2921</v>
      </c>
      <c r="D1169" s="78" t="s">
        <v>3378</v>
      </c>
      <c r="E1169" s="79" t="s">
        <v>139</v>
      </c>
      <c r="F1169" s="79" t="s">
        <v>3379</v>
      </c>
      <c r="G1169" s="79" t="s">
        <v>3317</v>
      </c>
      <c r="H1169" s="79"/>
      <c r="I1169" s="80" t="s">
        <v>393</v>
      </c>
      <c r="J1169" s="583">
        <v>1</v>
      </c>
      <c r="K1169" s="583">
        <v>0</v>
      </c>
      <c r="L1169" s="92">
        <v>10.96</v>
      </c>
      <c r="M1169" s="92">
        <v>10.96</v>
      </c>
      <c r="N1169" s="573">
        <v>9.59</v>
      </c>
      <c r="O1169" s="556" t="str">
        <f t="shared" si="130"/>
        <v>DIF</v>
      </c>
      <c r="P1169" s="573"/>
      <c r="Q1169" s="556"/>
      <c r="R1169" s="582"/>
    </row>
    <row r="1170" ht="23.85" customHeight="1" spans="1:18">
      <c r="A1170" s="556" t="str">
        <f>B1170</f>
        <v> 5.3.5 </v>
      </c>
      <c r="B1170" s="557" t="str">
        <f>B1169</f>
        <v> 5.3.5 </v>
      </c>
      <c r="C1170" s="79" t="s">
        <v>2921</v>
      </c>
      <c r="D1170" s="78" t="s">
        <v>3313</v>
      </c>
      <c r="E1170" s="79" t="s">
        <v>139</v>
      </c>
      <c r="F1170" s="79" t="s">
        <v>3314</v>
      </c>
      <c r="G1170" s="79" t="s">
        <v>2928</v>
      </c>
      <c r="H1170" s="79"/>
      <c r="I1170" s="80" t="s">
        <v>2897</v>
      </c>
      <c r="J1170" s="583">
        <v>0.166</v>
      </c>
      <c r="K1170" s="583">
        <v>0</v>
      </c>
      <c r="L1170" s="92">
        <v>35.95</v>
      </c>
      <c r="M1170" s="92">
        <v>5.96</v>
      </c>
      <c r="N1170" s="573">
        <v>0.24</v>
      </c>
      <c r="O1170" s="556" t="str">
        <f t="shared" si="130"/>
        <v>DIF</v>
      </c>
      <c r="P1170" s="573"/>
      <c r="Q1170" s="556"/>
      <c r="R1170" s="582"/>
    </row>
    <row r="1171" ht="23.85" customHeight="1" spans="1:18">
      <c r="A1171" s="556" t="str">
        <f>B1171</f>
        <v> 5.3.5 </v>
      </c>
      <c r="B1171" s="557" t="str">
        <f>B1170</f>
        <v> 5.3.5 </v>
      </c>
      <c r="C1171" s="79" t="s">
        <v>2921</v>
      </c>
      <c r="D1171" s="78" t="s">
        <v>3311</v>
      </c>
      <c r="E1171" s="79" t="s">
        <v>139</v>
      </c>
      <c r="F1171" s="79" t="s">
        <v>3312</v>
      </c>
      <c r="G1171" s="79" t="s">
        <v>2928</v>
      </c>
      <c r="H1171" s="79"/>
      <c r="I1171" s="80" t="s">
        <v>2897</v>
      </c>
      <c r="J1171" s="583">
        <v>0.064</v>
      </c>
      <c r="K1171" s="583">
        <v>0</v>
      </c>
      <c r="L1171" s="92">
        <v>30.06</v>
      </c>
      <c r="M1171" s="92">
        <v>1.92</v>
      </c>
      <c r="N1171" s="573">
        <v>1.81</v>
      </c>
      <c r="O1171" s="556" t="str">
        <f t="shared" si="130"/>
        <v>DIF</v>
      </c>
      <c r="P1171" s="573"/>
      <c r="Q1171" s="556"/>
      <c r="R1171" s="582"/>
    </row>
    <row r="1172" ht="23.85" customHeight="1" spans="1:18">
      <c r="A1172" s="556" t="str">
        <f>B1172</f>
        <v> 5.3.5 </v>
      </c>
      <c r="B1172" s="557" t="str">
        <f>B1171</f>
        <v> 5.3.5 </v>
      </c>
      <c r="C1172" s="100" t="s">
        <v>2893</v>
      </c>
      <c r="D1172" s="99" t="s">
        <v>3320</v>
      </c>
      <c r="E1172" s="100" t="s">
        <v>139</v>
      </c>
      <c r="F1172" s="100" t="s">
        <v>3321</v>
      </c>
      <c r="G1172" s="100" t="s">
        <v>2961</v>
      </c>
      <c r="H1172" s="100"/>
      <c r="I1172" s="101" t="s">
        <v>134</v>
      </c>
      <c r="J1172" s="580">
        <v>0.819</v>
      </c>
      <c r="K1172" s="580">
        <v>0</v>
      </c>
      <c r="L1172" s="102">
        <v>0.22</v>
      </c>
      <c r="M1172" s="102">
        <v>0.18</v>
      </c>
      <c r="N1172" s="573">
        <v>0.16</v>
      </c>
      <c r="O1172" s="556" t="str">
        <f t="shared" si="130"/>
        <v>DIF</v>
      </c>
      <c r="P1172" s="573"/>
      <c r="Q1172" s="556"/>
      <c r="R1172" s="582"/>
    </row>
    <row r="1173" ht="23.85" customHeight="1" spans="1:18">
      <c r="A1173" s="556" t="str">
        <f>B1173</f>
        <v> 5.3.5 </v>
      </c>
      <c r="B1173" s="557" t="str">
        <f>B1172</f>
        <v> 5.3.5 </v>
      </c>
      <c r="C1173" s="100" t="s">
        <v>2893</v>
      </c>
      <c r="D1173" s="99" t="s">
        <v>3318</v>
      </c>
      <c r="E1173" s="100" t="s">
        <v>139</v>
      </c>
      <c r="F1173" s="100" t="s">
        <v>3319</v>
      </c>
      <c r="G1173" s="100" t="s">
        <v>2961</v>
      </c>
      <c r="H1173" s="100"/>
      <c r="I1173" s="101" t="s">
        <v>393</v>
      </c>
      <c r="J1173" s="580">
        <v>0.025</v>
      </c>
      <c r="K1173" s="580">
        <v>0</v>
      </c>
      <c r="L1173" s="102">
        <v>22</v>
      </c>
      <c r="M1173" s="102">
        <v>0.55</v>
      </c>
      <c r="N1173" s="573">
        <v>0.64</v>
      </c>
      <c r="O1173" s="556" t="str">
        <f t="shared" si="130"/>
        <v>DIF</v>
      </c>
      <c r="P1173" s="573"/>
      <c r="Q1173" s="556"/>
      <c r="R1173" s="582"/>
    </row>
    <row r="1174" ht="25.5" spans="1:18">
      <c r="A1174" s="556"/>
      <c r="B1174" s="557"/>
      <c r="C1174" s="108"/>
      <c r="D1174" s="108"/>
      <c r="E1174" s="108"/>
      <c r="F1174" s="108"/>
      <c r="G1174" s="108"/>
      <c r="H1174" s="108" t="s">
        <v>2898</v>
      </c>
      <c r="I1174" s="581">
        <v>7.27</v>
      </c>
      <c r="J1174" s="108" t="s">
        <v>2899</v>
      </c>
      <c r="K1174" s="581">
        <v>0</v>
      </c>
      <c r="L1174" s="108" t="s">
        <v>2900</v>
      </c>
      <c r="M1174" s="581">
        <v>7.27</v>
      </c>
      <c r="N1174" s="573"/>
      <c r="O1174" s="556"/>
      <c r="P1174" s="573"/>
      <c r="Q1174" s="556"/>
      <c r="R1174" s="582"/>
    </row>
    <row r="1175" ht="26.25" spans="1:18">
      <c r="A1175" s="556"/>
      <c r="B1175" s="557"/>
      <c r="C1175" s="108"/>
      <c r="D1175" s="108"/>
      <c r="E1175" s="108"/>
      <c r="F1175" s="108"/>
      <c r="G1175" s="108"/>
      <c r="H1175" s="108" t="s">
        <v>2901</v>
      </c>
      <c r="I1175" s="581">
        <v>4.98</v>
      </c>
      <c r="J1175" s="114"/>
      <c r="K1175" s="114" t="s">
        <v>2902</v>
      </c>
      <c r="L1175" s="108"/>
      <c r="M1175" s="581">
        <v>24.55</v>
      </c>
      <c r="N1175" s="573"/>
      <c r="O1175" s="556"/>
      <c r="P1175" s="573"/>
      <c r="Q1175" s="556"/>
      <c r="R1175" s="582"/>
    </row>
    <row r="1176" ht="15" spans="1:18">
      <c r="A1176" s="556"/>
      <c r="B1176" s="557">
        <f>C1175</f>
        <v>0</v>
      </c>
      <c r="C1176" s="571"/>
      <c r="D1176" s="571"/>
      <c r="E1176" s="571"/>
      <c r="F1176" s="571"/>
      <c r="G1176" s="571"/>
      <c r="H1176" s="571"/>
      <c r="I1176" s="571"/>
      <c r="J1176" s="571"/>
      <c r="K1176" s="571"/>
      <c r="L1176" s="571"/>
      <c r="M1176" s="571"/>
      <c r="N1176" s="573">
        <v>9.18</v>
      </c>
      <c r="O1176" s="556" t="str">
        <f t="shared" ref="O1176:O1181" si="131">IF(N1176=M1176,"OK","DIF")</f>
        <v>DIF</v>
      </c>
      <c r="P1176" s="573"/>
      <c r="Q1176" s="556"/>
      <c r="R1176" s="582"/>
    </row>
    <row r="1177" ht="15" customHeight="1" spans="1:18">
      <c r="A1177" s="556">
        <f>B1177</f>
        <v>0</v>
      </c>
      <c r="B1177" s="557">
        <f>B1176</f>
        <v>0</v>
      </c>
      <c r="C1177" s="76" t="s">
        <v>481</v>
      </c>
      <c r="D1177" s="75" t="s">
        <v>63</v>
      </c>
      <c r="E1177" s="76" t="s">
        <v>64</v>
      </c>
      <c r="F1177" s="76" t="s">
        <v>65</v>
      </c>
      <c r="G1177" s="76" t="s">
        <v>2889</v>
      </c>
      <c r="H1177" s="76"/>
      <c r="I1177" s="77" t="s">
        <v>66</v>
      </c>
      <c r="J1177" s="75" t="s">
        <v>67</v>
      </c>
      <c r="K1177" s="75" t="s">
        <v>2890</v>
      </c>
      <c r="L1177" s="75" t="s">
        <v>68</v>
      </c>
      <c r="M1177" s="75" t="s">
        <v>70</v>
      </c>
      <c r="N1177" s="573">
        <v>7.52</v>
      </c>
      <c r="O1177" s="556" t="str">
        <f t="shared" si="131"/>
        <v>DIF</v>
      </c>
      <c r="P1177" s="573"/>
      <c r="Q1177" s="556"/>
      <c r="R1177" s="582"/>
    </row>
    <row r="1178" ht="23.85" customHeight="1" spans="1:18">
      <c r="A1178" s="556">
        <f>B1178</f>
        <v>0</v>
      </c>
      <c r="B1178" s="557">
        <f>B1177</f>
        <v>0</v>
      </c>
      <c r="C1178" s="569" t="s">
        <v>2891</v>
      </c>
      <c r="D1178" s="570" t="s">
        <v>439</v>
      </c>
      <c r="E1178" s="569" t="s">
        <v>139</v>
      </c>
      <c r="F1178" s="569" t="s">
        <v>440</v>
      </c>
      <c r="G1178" s="569" t="s">
        <v>3310</v>
      </c>
      <c r="H1178" s="569"/>
      <c r="I1178" s="577" t="s">
        <v>393</v>
      </c>
      <c r="J1178" s="578">
        <v>1</v>
      </c>
      <c r="K1178" s="579"/>
      <c r="L1178" s="579">
        <v>16.14</v>
      </c>
      <c r="M1178" s="579">
        <v>16.14</v>
      </c>
      <c r="N1178" s="573">
        <v>0.83</v>
      </c>
      <c r="O1178" s="556" t="str">
        <f t="shared" si="131"/>
        <v>DIF</v>
      </c>
      <c r="P1178" s="573"/>
      <c r="Q1178" s="556"/>
      <c r="R1178" s="582"/>
    </row>
    <row r="1179" ht="23.85" customHeight="1" spans="1:18">
      <c r="A1179" s="556">
        <f>B1179</f>
        <v>0</v>
      </c>
      <c r="B1179" s="557">
        <f>B1178</f>
        <v>0</v>
      </c>
      <c r="C1179" s="79" t="s">
        <v>2921</v>
      </c>
      <c r="D1179" s="78" t="s">
        <v>3311</v>
      </c>
      <c r="E1179" s="79" t="s">
        <v>139</v>
      </c>
      <c r="F1179" s="79" t="s">
        <v>3312</v>
      </c>
      <c r="G1179" s="79" t="s">
        <v>2928</v>
      </c>
      <c r="H1179" s="79"/>
      <c r="I1179" s="80" t="s">
        <v>2897</v>
      </c>
      <c r="J1179" s="583">
        <v>0.039</v>
      </c>
      <c r="K1179" s="583">
        <v>0</v>
      </c>
      <c r="L1179" s="92">
        <v>30.06</v>
      </c>
      <c r="M1179" s="92">
        <v>1.17</v>
      </c>
      <c r="N1179" s="573">
        <v>0.11</v>
      </c>
      <c r="O1179" s="556" t="str">
        <f t="shared" si="131"/>
        <v>DIF</v>
      </c>
      <c r="P1179" s="573"/>
      <c r="Q1179" s="556"/>
      <c r="R1179" s="582"/>
    </row>
    <row r="1180" ht="23.85" customHeight="1" spans="1:18">
      <c r="A1180" s="556">
        <f>B1180</f>
        <v>0</v>
      </c>
      <c r="B1180" s="557">
        <f>B1179</f>
        <v>0</v>
      </c>
      <c r="C1180" s="79" t="s">
        <v>2921</v>
      </c>
      <c r="D1180" s="78" t="s">
        <v>3322</v>
      </c>
      <c r="E1180" s="79" t="s">
        <v>139</v>
      </c>
      <c r="F1180" s="79" t="s">
        <v>3323</v>
      </c>
      <c r="G1180" s="79" t="s">
        <v>3317</v>
      </c>
      <c r="H1180" s="79"/>
      <c r="I1180" s="80" t="s">
        <v>393</v>
      </c>
      <c r="J1180" s="583">
        <v>1</v>
      </c>
      <c r="K1180" s="583">
        <v>0</v>
      </c>
      <c r="L1180" s="92">
        <v>10.65</v>
      </c>
      <c r="M1180" s="92">
        <v>10.65</v>
      </c>
      <c r="N1180" s="573">
        <v>0.08</v>
      </c>
      <c r="O1180" s="556" t="str">
        <f t="shared" si="131"/>
        <v>DIF</v>
      </c>
      <c r="P1180" s="573"/>
      <c r="Q1180" s="556"/>
      <c r="R1180" s="582"/>
    </row>
    <row r="1181" ht="23.85" customHeight="1" spans="1:18">
      <c r="A1181" s="556">
        <f>B1181</f>
        <v>0</v>
      </c>
      <c r="B1181" s="557">
        <f>B1180</f>
        <v>0</v>
      </c>
      <c r="C1181" s="79" t="s">
        <v>2921</v>
      </c>
      <c r="D1181" s="78" t="s">
        <v>3313</v>
      </c>
      <c r="E1181" s="79" t="s">
        <v>139</v>
      </c>
      <c r="F1181" s="79" t="s">
        <v>3314</v>
      </c>
      <c r="G1181" s="79" t="s">
        <v>2928</v>
      </c>
      <c r="H1181" s="79"/>
      <c r="I1181" s="80" t="s">
        <v>2897</v>
      </c>
      <c r="J1181" s="583">
        <v>0.102</v>
      </c>
      <c r="K1181" s="583">
        <v>0</v>
      </c>
      <c r="L1181" s="92">
        <v>35.95</v>
      </c>
      <c r="M1181" s="92">
        <v>3.66</v>
      </c>
      <c r="N1181" s="573">
        <v>0.64</v>
      </c>
      <c r="O1181" s="556" t="str">
        <f t="shared" si="131"/>
        <v>DIF</v>
      </c>
      <c r="P1181" s="573"/>
      <c r="Q1181" s="556"/>
      <c r="R1181" s="582"/>
    </row>
    <row r="1182" ht="23.85" customHeight="1" spans="1:18">
      <c r="A1182" s="556"/>
      <c r="B1182" s="557"/>
      <c r="C1182" s="100" t="s">
        <v>2893</v>
      </c>
      <c r="D1182" s="99" t="s">
        <v>3320</v>
      </c>
      <c r="E1182" s="100" t="s">
        <v>139</v>
      </c>
      <c r="F1182" s="100" t="s">
        <v>3321</v>
      </c>
      <c r="G1182" s="100" t="s">
        <v>2961</v>
      </c>
      <c r="H1182" s="100"/>
      <c r="I1182" s="101" t="s">
        <v>134</v>
      </c>
      <c r="J1182" s="580">
        <v>0.503</v>
      </c>
      <c r="K1182" s="580">
        <v>0</v>
      </c>
      <c r="L1182" s="102">
        <v>0.22</v>
      </c>
      <c r="M1182" s="102">
        <v>0.11</v>
      </c>
      <c r="N1182" s="573"/>
      <c r="O1182" s="556"/>
      <c r="P1182" s="573"/>
      <c r="Q1182" s="556"/>
      <c r="R1182" s="582"/>
    </row>
    <row r="1183" ht="23.85" customHeight="1" spans="1:18">
      <c r="A1183" s="556"/>
      <c r="B1183" s="557"/>
      <c r="C1183" s="100" t="s">
        <v>2893</v>
      </c>
      <c r="D1183" s="99" t="s">
        <v>3318</v>
      </c>
      <c r="E1183" s="100" t="s">
        <v>139</v>
      </c>
      <c r="F1183" s="100" t="s">
        <v>3319</v>
      </c>
      <c r="G1183" s="100" t="s">
        <v>2961</v>
      </c>
      <c r="H1183" s="100"/>
      <c r="I1183" s="101" t="s">
        <v>393</v>
      </c>
      <c r="J1183" s="580">
        <v>0.025</v>
      </c>
      <c r="K1183" s="580">
        <v>0</v>
      </c>
      <c r="L1183" s="102">
        <v>22</v>
      </c>
      <c r="M1183" s="102">
        <v>0.55</v>
      </c>
      <c r="N1183" s="573"/>
      <c r="O1183" s="556"/>
      <c r="P1183" s="573"/>
      <c r="Q1183" s="556"/>
      <c r="R1183" s="582"/>
    </row>
    <row r="1184" ht="25.5" spans="1:18">
      <c r="A1184" s="556"/>
      <c r="B1184" s="557" t="str">
        <f>C1183</f>
        <v>Insumo</v>
      </c>
      <c r="C1184" s="108"/>
      <c r="D1184" s="108"/>
      <c r="E1184" s="108"/>
      <c r="F1184" s="108"/>
      <c r="G1184" s="108"/>
      <c r="H1184" s="108" t="s">
        <v>2898</v>
      </c>
      <c r="I1184" s="581">
        <v>3.89</v>
      </c>
      <c r="J1184" s="108" t="s">
        <v>2899</v>
      </c>
      <c r="K1184" s="581">
        <v>0</v>
      </c>
      <c r="L1184" s="108" t="s">
        <v>2900</v>
      </c>
      <c r="M1184" s="581">
        <v>3.89</v>
      </c>
      <c r="N1184" s="573">
        <v>14.03</v>
      </c>
      <c r="O1184" s="556" t="str">
        <f t="shared" ref="O1184:O1189" si="132">IF(N1184=M1184,"OK","DIF")</f>
        <v>DIF</v>
      </c>
      <c r="P1184" s="573"/>
      <c r="Q1184" s="556"/>
      <c r="R1184" s="582"/>
    </row>
    <row r="1185" ht="26.25" spans="1:18">
      <c r="A1185" s="556" t="str">
        <f>B1185</f>
        <v>Insumo</v>
      </c>
      <c r="B1185" s="557" t="str">
        <f>B1184</f>
        <v>Insumo</v>
      </c>
      <c r="C1185" s="108"/>
      <c r="D1185" s="108"/>
      <c r="E1185" s="108"/>
      <c r="F1185" s="108"/>
      <c r="G1185" s="108"/>
      <c r="H1185" s="108" t="s">
        <v>2901</v>
      </c>
      <c r="I1185" s="581">
        <v>4.11</v>
      </c>
      <c r="J1185" s="114"/>
      <c r="K1185" s="114" t="s">
        <v>2902</v>
      </c>
      <c r="L1185" s="108"/>
      <c r="M1185" s="581">
        <v>20.25</v>
      </c>
      <c r="N1185" s="573">
        <v>0.36</v>
      </c>
      <c r="O1185" s="556" t="str">
        <f t="shared" si="132"/>
        <v>DIF</v>
      </c>
      <c r="P1185" s="573"/>
      <c r="Q1185" s="556"/>
      <c r="R1185" s="582"/>
    </row>
    <row r="1186" ht="15" spans="1:18">
      <c r="A1186" s="556" t="str">
        <f>B1186</f>
        <v>Insumo</v>
      </c>
      <c r="B1186" s="557" t="str">
        <f>B1185</f>
        <v>Insumo</v>
      </c>
      <c r="C1186" s="571"/>
      <c r="D1186" s="571"/>
      <c r="E1186" s="571"/>
      <c r="F1186" s="571"/>
      <c r="G1186" s="571"/>
      <c r="H1186" s="571"/>
      <c r="I1186" s="571"/>
      <c r="J1186" s="571"/>
      <c r="K1186" s="571"/>
      <c r="L1186" s="571"/>
      <c r="M1186" s="571"/>
      <c r="N1186" s="573">
        <v>2.7</v>
      </c>
      <c r="O1186" s="556" t="str">
        <f t="shared" si="132"/>
        <v>DIF</v>
      </c>
      <c r="P1186" s="573"/>
      <c r="Q1186" s="556"/>
      <c r="R1186" s="582"/>
    </row>
    <row r="1187" ht="15" customHeight="1" spans="1:18">
      <c r="A1187" s="556" t="str">
        <f>B1187</f>
        <v>Insumo</v>
      </c>
      <c r="B1187" s="557" t="str">
        <f>B1186</f>
        <v>Insumo</v>
      </c>
      <c r="C1187" s="76" t="s">
        <v>482</v>
      </c>
      <c r="D1187" s="75" t="s">
        <v>63</v>
      </c>
      <c r="E1187" s="76" t="s">
        <v>64</v>
      </c>
      <c r="F1187" s="76" t="s">
        <v>65</v>
      </c>
      <c r="G1187" s="76" t="s">
        <v>2889</v>
      </c>
      <c r="H1187" s="76"/>
      <c r="I1187" s="77" t="s">
        <v>66</v>
      </c>
      <c r="J1187" s="75" t="s">
        <v>67</v>
      </c>
      <c r="K1187" s="75" t="s">
        <v>2890</v>
      </c>
      <c r="L1187" s="75" t="s">
        <v>68</v>
      </c>
      <c r="M1187" s="75" t="s">
        <v>70</v>
      </c>
      <c r="N1187" s="573">
        <v>9.87</v>
      </c>
      <c r="O1187" s="556" t="str">
        <f t="shared" si="132"/>
        <v>DIF</v>
      </c>
      <c r="P1187" s="573"/>
      <c r="Q1187" s="556"/>
      <c r="R1187" s="582"/>
    </row>
    <row r="1188" ht="23.85" customHeight="1" spans="1:18">
      <c r="A1188" s="556" t="str">
        <f>B1188</f>
        <v>Insumo</v>
      </c>
      <c r="B1188" s="557" t="str">
        <f>B1187</f>
        <v>Insumo</v>
      </c>
      <c r="C1188" s="569" t="s">
        <v>2891</v>
      </c>
      <c r="D1188" s="570" t="s">
        <v>442</v>
      </c>
      <c r="E1188" s="569" t="s">
        <v>139</v>
      </c>
      <c r="F1188" s="569" t="s">
        <v>443</v>
      </c>
      <c r="G1188" s="569" t="s">
        <v>3310</v>
      </c>
      <c r="H1188" s="569"/>
      <c r="I1188" s="577" t="s">
        <v>393</v>
      </c>
      <c r="J1188" s="578">
        <v>1</v>
      </c>
      <c r="K1188" s="579"/>
      <c r="L1188" s="579">
        <v>14.25</v>
      </c>
      <c r="M1188" s="579">
        <v>14.25</v>
      </c>
      <c r="N1188" s="573">
        <v>0.64</v>
      </c>
      <c r="O1188" s="556" t="str">
        <f t="shared" si="132"/>
        <v>DIF</v>
      </c>
      <c r="P1188" s="573"/>
      <c r="Q1188" s="556"/>
      <c r="R1188" s="582"/>
    </row>
    <row r="1189" ht="23.85" customHeight="1" spans="1:18">
      <c r="A1189" s="556" t="str">
        <f>B1189</f>
        <v>Insumo</v>
      </c>
      <c r="B1189" s="557" t="str">
        <f>B1188</f>
        <v>Insumo</v>
      </c>
      <c r="C1189" s="79" t="s">
        <v>2921</v>
      </c>
      <c r="D1189" s="78" t="s">
        <v>3324</v>
      </c>
      <c r="E1189" s="79" t="s">
        <v>139</v>
      </c>
      <c r="F1189" s="79" t="s">
        <v>3325</v>
      </c>
      <c r="G1189" s="79" t="s">
        <v>3317</v>
      </c>
      <c r="H1189" s="79"/>
      <c r="I1189" s="80" t="s">
        <v>393</v>
      </c>
      <c r="J1189" s="583">
        <v>1</v>
      </c>
      <c r="K1189" s="583">
        <v>0</v>
      </c>
      <c r="L1189" s="92">
        <v>9.78</v>
      </c>
      <c r="M1189" s="92">
        <v>9.78</v>
      </c>
      <c r="N1189" s="573">
        <v>0.46</v>
      </c>
      <c r="O1189" s="556" t="str">
        <f t="shared" si="132"/>
        <v>DIF</v>
      </c>
      <c r="P1189" s="573"/>
      <c r="Q1189" s="556"/>
      <c r="R1189" s="582"/>
    </row>
    <row r="1190" ht="23.85" customHeight="1" spans="1:18">
      <c r="A1190" s="556"/>
      <c r="B1190" s="557"/>
      <c r="C1190" s="79" t="s">
        <v>2921</v>
      </c>
      <c r="D1190" s="78" t="s">
        <v>3311</v>
      </c>
      <c r="E1190" s="79" t="s">
        <v>139</v>
      </c>
      <c r="F1190" s="79" t="s">
        <v>3312</v>
      </c>
      <c r="G1190" s="79" t="s">
        <v>2928</v>
      </c>
      <c r="H1190" s="79"/>
      <c r="I1190" s="80" t="s">
        <v>2897</v>
      </c>
      <c r="J1190" s="583">
        <v>0.031</v>
      </c>
      <c r="K1190" s="583">
        <v>0</v>
      </c>
      <c r="L1190" s="92">
        <v>30.06</v>
      </c>
      <c r="M1190" s="92">
        <v>0.93</v>
      </c>
      <c r="N1190" s="573"/>
      <c r="O1190" s="556"/>
      <c r="P1190" s="573"/>
      <c r="Q1190" s="556"/>
      <c r="R1190" s="582"/>
    </row>
    <row r="1191" ht="23.85" customHeight="1" spans="1:18">
      <c r="A1191" s="556"/>
      <c r="B1191" s="557"/>
      <c r="C1191" s="79" t="s">
        <v>2921</v>
      </c>
      <c r="D1191" s="78" t="s">
        <v>3313</v>
      </c>
      <c r="E1191" s="79" t="s">
        <v>139</v>
      </c>
      <c r="F1191" s="79" t="s">
        <v>3314</v>
      </c>
      <c r="G1191" s="79" t="s">
        <v>2928</v>
      </c>
      <c r="H1191" s="79"/>
      <c r="I1191" s="80" t="s">
        <v>2897</v>
      </c>
      <c r="J1191" s="583">
        <v>0.081</v>
      </c>
      <c r="K1191" s="583">
        <v>0</v>
      </c>
      <c r="L1191" s="92">
        <v>35.95</v>
      </c>
      <c r="M1191" s="92">
        <v>2.91</v>
      </c>
      <c r="N1191" s="573"/>
      <c r="O1191" s="556"/>
      <c r="P1191" s="573"/>
      <c r="Q1191" s="556"/>
      <c r="R1191" s="582"/>
    </row>
    <row r="1192" ht="23.85" customHeight="1" spans="1:18">
      <c r="A1192" s="556"/>
      <c r="B1192" s="557" t="str">
        <f>C1191</f>
        <v>Composição Auxiliar</v>
      </c>
      <c r="C1192" s="100" t="s">
        <v>2893</v>
      </c>
      <c r="D1192" s="99" t="s">
        <v>3320</v>
      </c>
      <c r="E1192" s="100" t="s">
        <v>139</v>
      </c>
      <c r="F1192" s="100" t="s">
        <v>3321</v>
      </c>
      <c r="G1192" s="100" t="s">
        <v>2961</v>
      </c>
      <c r="H1192" s="100"/>
      <c r="I1192" s="101" t="s">
        <v>134</v>
      </c>
      <c r="J1192" s="580">
        <v>0.399</v>
      </c>
      <c r="K1192" s="580">
        <v>0</v>
      </c>
      <c r="L1192" s="102">
        <v>0.22</v>
      </c>
      <c r="M1192" s="102">
        <v>0.08</v>
      </c>
      <c r="N1192" s="573">
        <v>11.86</v>
      </c>
      <c r="O1192" s="556" t="str">
        <f t="shared" ref="O1192:O1197" si="133">IF(N1192=M1192,"OK","DIF")</f>
        <v>DIF</v>
      </c>
      <c r="P1192" s="573"/>
      <c r="Q1192" s="556"/>
      <c r="R1192" s="582"/>
    </row>
    <row r="1193" ht="23.85" customHeight="1" spans="1:18">
      <c r="A1193" s="556" t="str">
        <f>B1193</f>
        <v>Composição Auxiliar</v>
      </c>
      <c r="B1193" s="557" t="str">
        <f>B1192</f>
        <v>Composição Auxiliar</v>
      </c>
      <c r="C1193" s="100" t="s">
        <v>2893</v>
      </c>
      <c r="D1193" s="99" t="s">
        <v>3318</v>
      </c>
      <c r="E1193" s="100" t="s">
        <v>139</v>
      </c>
      <c r="F1193" s="100" t="s">
        <v>3319</v>
      </c>
      <c r="G1193" s="100" t="s">
        <v>2961</v>
      </c>
      <c r="H1193" s="100"/>
      <c r="I1193" s="101" t="s">
        <v>393</v>
      </c>
      <c r="J1193" s="580">
        <v>0.025</v>
      </c>
      <c r="K1193" s="580">
        <v>0</v>
      </c>
      <c r="L1193" s="102">
        <v>22</v>
      </c>
      <c r="M1193" s="102">
        <v>0.55</v>
      </c>
      <c r="N1193" s="573">
        <v>9.59</v>
      </c>
      <c r="O1193" s="556" t="str">
        <f t="shared" si="133"/>
        <v>DIF</v>
      </c>
      <c r="P1193" s="573"/>
      <c r="Q1193" s="556"/>
      <c r="R1193" s="582"/>
    </row>
    <row r="1194" ht="25.5" spans="1:18">
      <c r="A1194" s="556" t="str">
        <f>B1194</f>
        <v>Composição Auxiliar</v>
      </c>
      <c r="B1194" s="557" t="str">
        <f>B1193</f>
        <v>Composição Auxiliar</v>
      </c>
      <c r="C1194" s="108"/>
      <c r="D1194" s="108"/>
      <c r="E1194" s="108"/>
      <c r="F1194" s="108"/>
      <c r="G1194" s="108"/>
      <c r="H1194" s="108" t="s">
        <v>2898</v>
      </c>
      <c r="I1194" s="581">
        <v>2.96</v>
      </c>
      <c r="J1194" s="108" t="s">
        <v>2899</v>
      </c>
      <c r="K1194" s="581">
        <v>0</v>
      </c>
      <c r="L1194" s="108" t="s">
        <v>2900</v>
      </c>
      <c r="M1194" s="581">
        <v>2.96</v>
      </c>
      <c r="N1194" s="573">
        <v>1.3</v>
      </c>
      <c r="O1194" s="556" t="str">
        <f t="shared" si="133"/>
        <v>DIF</v>
      </c>
      <c r="P1194" s="573"/>
      <c r="Q1194" s="556"/>
      <c r="R1194" s="582"/>
    </row>
    <row r="1195" ht="26.25" spans="1:18">
      <c r="A1195" s="556" t="str">
        <f>B1195</f>
        <v>Composição Auxiliar</v>
      </c>
      <c r="B1195" s="557" t="str">
        <f>B1194</f>
        <v>Composição Auxiliar</v>
      </c>
      <c r="C1195" s="108"/>
      <c r="D1195" s="108"/>
      <c r="E1195" s="108"/>
      <c r="F1195" s="108"/>
      <c r="G1195" s="108"/>
      <c r="H1195" s="108" t="s">
        <v>2901</v>
      </c>
      <c r="I1195" s="581">
        <v>3.63</v>
      </c>
      <c r="J1195" s="114"/>
      <c r="K1195" s="114" t="s">
        <v>2902</v>
      </c>
      <c r="L1195" s="108"/>
      <c r="M1195" s="581">
        <v>17.88</v>
      </c>
      <c r="N1195" s="573">
        <v>0.17</v>
      </c>
      <c r="O1195" s="556" t="str">
        <f t="shared" si="133"/>
        <v>DIF</v>
      </c>
      <c r="P1195" s="573"/>
      <c r="Q1195" s="556"/>
      <c r="R1195" s="582"/>
    </row>
    <row r="1196" ht="15" spans="1:18">
      <c r="A1196" s="556" t="str">
        <f>B1196</f>
        <v>Composição Auxiliar</v>
      </c>
      <c r="B1196" s="557" t="str">
        <f>B1195</f>
        <v>Composição Auxiliar</v>
      </c>
      <c r="C1196" s="571"/>
      <c r="D1196" s="571"/>
      <c r="E1196" s="571"/>
      <c r="F1196" s="571"/>
      <c r="G1196" s="571"/>
      <c r="H1196" s="571"/>
      <c r="I1196" s="571"/>
      <c r="J1196" s="571"/>
      <c r="K1196" s="571"/>
      <c r="L1196" s="571"/>
      <c r="M1196" s="571"/>
      <c r="N1196" s="573">
        <v>0.16</v>
      </c>
      <c r="O1196" s="556" t="str">
        <f t="shared" si="133"/>
        <v>DIF</v>
      </c>
      <c r="P1196" s="573"/>
      <c r="Q1196" s="556"/>
      <c r="R1196" s="582"/>
    </row>
    <row r="1197" ht="15" customHeight="1" spans="1:18">
      <c r="A1197" s="556" t="str">
        <f>B1197</f>
        <v>Composição Auxiliar</v>
      </c>
      <c r="B1197" s="557" t="str">
        <f>B1196</f>
        <v>Composição Auxiliar</v>
      </c>
      <c r="C1197" s="76" t="s">
        <v>483</v>
      </c>
      <c r="D1197" s="75" t="s">
        <v>63</v>
      </c>
      <c r="E1197" s="76" t="s">
        <v>64</v>
      </c>
      <c r="F1197" s="76" t="s">
        <v>65</v>
      </c>
      <c r="G1197" s="76" t="s">
        <v>2889</v>
      </c>
      <c r="H1197" s="76"/>
      <c r="I1197" s="77" t="s">
        <v>66</v>
      </c>
      <c r="J1197" s="75" t="s">
        <v>67</v>
      </c>
      <c r="K1197" s="75" t="s">
        <v>2890</v>
      </c>
      <c r="L1197" s="75" t="s">
        <v>68</v>
      </c>
      <c r="M1197" s="75" t="s">
        <v>70</v>
      </c>
      <c r="N1197" s="573">
        <v>0.64</v>
      </c>
      <c r="O1197" s="556" t="str">
        <f t="shared" si="133"/>
        <v>DIF</v>
      </c>
      <c r="P1197" s="573"/>
      <c r="Q1197" s="556"/>
      <c r="R1197" s="582"/>
    </row>
    <row r="1198" ht="23.85" customHeight="1" spans="1:18">
      <c r="A1198" s="556"/>
      <c r="B1198" s="557"/>
      <c r="C1198" s="569" t="s">
        <v>2891</v>
      </c>
      <c r="D1198" s="570" t="s">
        <v>401</v>
      </c>
      <c r="E1198" s="569" t="s">
        <v>139</v>
      </c>
      <c r="F1198" s="569" t="s">
        <v>402</v>
      </c>
      <c r="G1198" s="569" t="s">
        <v>3310</v>
      </c>
      <c r="H1198" s="569"/>
      <c r="I1198" s="577" t="s">
        <v>393</v>
      </c>
      <c r="J1198" s="578">
        <v>1</v>
      </c>
      <c r="K1198" s="579"/>
      <c r="L1198" s="579">
        <v>12.01</v>
      </c>
      <c r="M1198" s="579">
        <v>12.01</v>
      </c>
      <c r="N1198" s="573"/>
      <c r="O1198" s="556"/>
      <c r="P1198" s="573"/>
      <c r="Q1198" s="556"/>
      <c r="R1198" s="582"/>
    </row>
    <row r="1199" ht="23.85" customHeight="1" spans="1:18">
      <c r="A1199" s="556"/>
      <c r="B1199" s="557"/>
      <c r="C1199" s="79" t="s">
        <v>2921</v>
      </c>
      <c r="D1199" s="78" t="s">
        <v>3313</v>
      </c>
      <c r="E1199" s="79" t="s">
        <v>139</v>
      </c>
      <c r="F1199" s="79" t="s">
        <v>3314</v>
      </c>
      <c r="G1199" s="79" t="s">
        <v>2928</v>
      </c>
      <c r="H1199" s="79"/>
      <c r="I1199" s="80" t="s">
        <v>2897</v>
      </c>
      <c r="J1199" s="583">
        <v>0.064</v>
      </c>
      <c r="K1199" s="583">
        <v>0</v>
      </c>
      <c r="L1199" s="92">
        <v>35.95</v>
      </c>
      <c r="M1199" s="92">
        <v>2.3</v>
      </c>
      <c r="N1199" s="573"/>
      <c r="O1199" s="556"/>
      <c r="P1199" s="573"/>
      <c r="Q1199" s="556"/>
      <c r="R1199" s="582"/>
    </row>
    <row r="1200" ht="23.85" customHeight="1" spans="1:18">
      <c r="A1200" s="556"/>
      <c r="B1200" s="557" t="str">
        <f>C1199</f>
        <v>Composição Auxiliar</v>
      </c>
      <c r="C1200" s="79" t="s">
        <v>2921</v>
      </c>
      <c r="D1200" s="78" t="s">
        <v>3311</v>
      </c>
      <c r="E1200" s="79" t="s">
        <v>139</v>
      </c>
      <c r="F1200" s="79" t="s">
        <v>3312</v>
      </c>
      <c r="G1200" s="79" t="s">
        <v>2928</v>
      </c>
      <c r="H1200" s="79"/>
      <c r="I1200" s="80" t="s">
        <v>2897</v>
      </c>
      <c r="J1200" s="583">
        <v>0.025</v>
      </c>
      <c r="K1200" s="583">
        <v>0</v>
      </c>
      <c r="L1200" s="92">
        <v>30.06</v>
      </c>
      <c r="M1200" s="92">
        <v>0.75</v>
      </c>
      <c r="N1200" s="573">
        <v>70.34</v>
      </c>
      <c r="O1200" s="556" t="str">
        <f t="shared" ref="O1200:O1208" si="134">IF(N1200=M1200,"OK","DIF")</f>
        <v>DIF</v>
      </c>
      <c r="P1200" s="573"/>
      <c r="Q1200" s="556"/>
      <c r="R1200" s="582"/>
    </row>
    <row r="1201" ht="23.85" customHeight="1" spans="1:18">
      <c r="A1201" s="556" t="str">
        <f t="shared" ref="A1201:A1208" si="135">B1201</f>
        <v>Composição Auxiliar</v>
      </c>
      <c r="B1201" s="557" t="str">
        <f t="shared" ref="B1201:B1208" si="136">B1200</f>
        <v>Composição Auxiliar</v>
      </c>
      <c r="C1201" s="79" t="s">
        <v>2921</v>
      </c>
      <c r="D1201" s="78" t="s">
        <v>3326</v>
      </c>
      <c r="E1201" s="79" t="s">
        <v>139</v>
      </c>
      <c r="F1201" s="79" t="s">
        <v>3327</v>
      </c>
      <c r="G1201" s="79" t="s">
        <v>3317</v>
      </c>
      <c r="H1201" s="79"/>
      <c r="I1201" s="80" t="s">
        <v>393</v>
      </c>
      <c r="J1201" s="583">
        <v>1</v>
      </c>
      <c r="K1201" s="583">
        <v>0</v>
      </c>
      <c r="L1201" s="92">
        <v>8.35</v>
      </c>
      <c r="M1201" s="92">
        <v>8.35</v>
      </c>
      <c r="N1201" s="573">
        <v>24.59</v>
      </c>
      <c r="O1201" s="556" t="str">
        <f t="shared" si="134"/>
        <v>DIF</v>
      </c>
      <c r="P1201" s="573"/>
      <c r="Q1201" s="556"/>
      <c r="R1201" s="582"/>
    </row>
    <row r="1202" ht="23.85" customHeight="1" spans="1:18">
      <c r="A1202" s="556" t="str">
        <f t="shared" si="135"/>
        <v>Composição Auxiliar</v>
      </c>
      <c r="B1202" s="557" t="str">
        <f t="shared" si="136"/>
        <v>Composição Auxiliar</v>
      </c>
      <c r="C1202" s="100" t="s">
        <v>2893</v>
      </c>
      <c r="D1202" s="99" t="s">
        <v>3320</v>
      </c>
      <c r="E1202" s="100" t="s">
        <v>139</v>
      </c>
      <c r="F1202" s="100" t="s">
        <v>3321</v>
      </c>
      <c r="G1202" s="100" t="s">
        <v>2961</v>
      </c>
      <c r="H1202" s="100"/>
      <c r="I1202" s="101" t="s">
        <v>134</v>
      </c>
      <c r="J1202" s="580">
        <v>0.317</v>
      </c>
      <c r="K1202" s="580">
        <v>0</v>
      </c>
      <c r="L1202" s="102">
        <v>0.22</v>
      </c>
      <c r="M1202" s="102">
        <v>0.06</v>
      </c>
      <c r="N1202" s="573">
        <v>3.23</v>
      </c>
      <c r="O1202" s="556" t="str">
        <f t="shared" si="134"/>
        <v>DIF</v>
      </c>
      <c r="P1202" s="573"/>
      <c r="Q1202" s="556"/>
      <c r="R1202" s="582"/>
    </row>
    <row r="1203" ht="23.85" customHeight="1" spans="1:18">
      <c r="A1203" s="556" t="str">
        <f t="shared" si="135"/>
        <v>Composição Auxiliar</v>
      </c>
      <c r="B1203" s="557" t="str">
        <f t="shared" si="136"/>
        <v>Composição Auxiliar</v>
      </c>
      <c r="C1203" s="100" t="s">
        <v>2893</v>
      </c>
      <c r="D1203" s="99" t="s">
        <v>3318</v>
      </c>
      <c r="E1203" s="100" t="s">
        <v>139</v>
      </c>
      <c r="F1203" s="100" t="s">
        <v>3319</v>
      </c>
      <c r="G1203" s="100" t="s">
        <v>2961</v>
      </c>
      <c r="H1203" s="100"/>
      <c r="I1203" s="101" t="s">
        <v>393</v>
      </c>
      <c r="J1203" s="580">
        <v>0.025</v>
      </c>
      <c r="K1203" s="580">
        <v>0</v>
      </c>
      <c r="L1203" s="102">
        <v>22</v>
      </c>
      <c r="M1203" s="102">
        <v>0.55</v>
      </c>
      <c r="N1203" s="573">
        <v>21.91</v>
      </c>
      <c r="O1203" s="556" t="str">
        <f t="shared" si="134"/>
        <v>DIF</v>
      </c>
      <c r="P1203" s="573"/>
      <c r="Q1203" s="556"/>
      <c r="R1203" s="582"/>
    </row>
    <row r="1204" ht="25.5" spans="1:18">
      <c r="A1204" s="556" t="str">
        <f t="shared" si="135"/>
        <v>Composição Auxiliar</v>
      </c>
      <c r="B1204" s="557" t="str">
        <f t="shared" si="136"/>
        <v>Composição Auxiliar</v>
      </c>
      <c r="C1204" s="108"/>
      <c r="D1204" s="108"/>
      <c r="E1204" s="108"/>
      <c r="F1204" s="108"/>
      <c r="G1204" s="108"/>
      <c r="H1204" s="108" t="s">
        <v>2898</v>
      </c>
      <c r="I1204" s="581">
        <v>2.28</v>
      </c>
      <c r="J1204" s="108" t="s">
        <v>2899</v>
      </c>
      <c r="K1204" s="581">
        <v>0</v>
      </c>
      <c r="L1204" s="108" t="s">
        <v>2900</v>
      </c>
      <c r="M1204" s="581">
        <v>2.28</v>
      </c>
      <c r="N1204" s="573">
        <v>0.43</v>
      </c>
      <c r="O1204" s="556" t="str">
        <f t="shared" si="134"/>
        <v>DIF</v>
      </c>
      <c r="P1204" s="573"/>
      <c r="Q1204" s="556"/>
      <c r="R1204" s="582"/>
    </row>
    <row r="1205" ht="26.25" spans="1:18">
      <c r="A1205" s="556" t="str">
        <f t="shared" si="135"/>
        <v>Composição Auxiliar</v>
      </c>
      <c r="B1205" s="557" t="str">
        <f t="shared" si="136"/>
        <v>Composição Auxiliar</v>
      </c>
      <c r="C1205" s="108"/>
      <c r="D1205" s="108"/>
      <c r="E1205" s="108"/>
      <c r="F1205" s="108"/>
      <c r="G1205" s="108"/>
      <c r="H1205" s="108" t="s">
        <v>2901</v>
      </c>
      <c r="I1205" s="581">
        <v>3.06</v>
      </c>
      <c r="J1205" s="114"/>
      <c r="K1205" s="114" t="s">
        <v>2902</v>
      </c>
      <c r="L1205" s="108"/>
      <c r="M1205" s="581">
        <v>15.07</v>
      </c>
      <c r="N1205" s="573">
        <v>0.03</v>
      </c>
      <c r="O1205" s="556" t="str">
        <f t="shared" si="134"/>
        <v>DIF</v>
      </c>
      <c r="P1205" s="573"/>
      <c r="Q1205" s="556"/>
      <c r="R1205" s="582"/>
    </row>
    <row r="1206" ht="15" spans="1:18">
      <c r="A1206" s="556" t="str">
        <f t="shared" si="135"/>
        <v>Composição Auxiliar</v>
      </c>
      <c r="B1206" s="557" t="str">
        <f t="shared" si="136"/>
        <v>Composição Auxiliar</v>
      </c>
      <c r="C1206" s="571"/>
      <c r="D1206" s="571"/>
      <c r="E1206" s="571"/>
      <c r="F1206" s="571"/>
      <c r="G1206" s="571"/>
      <c r="H1206" s="571"/>
      <c r="I1206" s="571"/>
      <c r="J1206" s="571"/>
      <c r="K1206" s="571"/>
      <c r="L1206" s="571"/>
      <c r="M1206" s="571"/>
      <c r="N1206" s="573">
        <v>4.34</v>
      </c>
      <c r="O1206" s="556" t="str">
        <f t="shared" si="134"/>
        <v>DIF</v>
      </c>
      <c r="P1206" s="573"/>
      <c r="Q1206" s="556"/>
      <c r="R1206" s="582"/>
    </row>
    <row r="1207" ht="15" customHeight="1" spans="1:18">
      <c r="A1207" s="556" t="str">
        <f t="shared" si="135"/>
        <v>Composição Auxiliar</v>
      </c>
      <c r="B1207" s="557" t="str">
        <f t="shared" si="136"/>
        <v>Composição Auxiliar</v>
      </c>
      <c r="C1207" s="76" t="s">
        <v>484</v>
      </c>
      <c r="D1207" s="75" t="s">
        <v>63</v>
      </c>
      <c r="E1207" s="76" t="s">
        <v>64</v>
      </c>
      <c r="F1207" s="76" t="s">
        <v>65</v>
      </c>
      <c r="G1207" s="76" t="s">
        <v>2889</v>
      </c>
      <c r="H1207" s="76"/>
      <c r="I1207" s="77" t="s">
        <v>66</v>
      </c>
      <c r="J1207" s="75" t="s">
        <v>67</v>
      </c>
      <c r="K1207" s="75" t="s">
        <v>2890</v>
      </c>
      <c r="L1207" s="75" t="s">
        <v>68</v>
      </c>
      <c r="M1207" s="75" t="s">
        <v>70</v>
      </c>
      <c r="N1207" s="573">
        <v>6.7</v>
      </c>
      <c r="O1207" s="556" t="str">
        <f t="shared" si="134"/>
        <v>DIF</v>
      </c>
      <c r="P1207" s="573"/>
      <c r="Q1207" s="556"/>
      <c r="R1207" s="582"/>
    </row>
    <row r="1208" ht="23.85" customHeight="1" spans="1:18">
      <c r="A1208" s="556" t="str">
        <f t="shared" si="135"/>
        <v>Composição Auxiliar</v>
      </c>
      <c r="B1208" s="557" t="str">
        <f t="shared" si="136"/>
        <v>Composição Auxiliar</v>
      </c>
      <c r="C1208" s="569" t="s">
        <v>2891</v>
      </c>
      <c r="D1208" s="570" t="s">
        <v>446</v>
      </c>
      <c r="E1208" s="569" t="s">
        <v>139</v>
      </c>
      <c r="F1208" s="569" t="s">
        <v>447</v>
      </c>
      <c r="G1208" s="569" t="s">
        <v>3375</v>
      </c>
      <c r="H1208" s="569"/>
      <c r="I1208" s="577" t="s">
        <v>279</v>
      </c>
      <c r="J1208" s="578">
        <v>1</v>
      </c>
      <c r="K1208" s="579"/>
      <c r="L1208" s="579">
        <v>623.59</v>
      </c>
      <c r="M1208" s="579">
        <v>623.59</v>
      </c>
      <c r="N1208" s="573">
        <v>9.11</v>
      </c>
      <c r="O1208" s="556" t="str">
        <f t="shared" si="134"/>
        <v>DIF</v>
      </c>
      <c r="P1208" s="573"/>
      <c r="Q1208" s="556"/>
      <c r="R1208" s="582"/>
    </row>
    <row r="1209" ht="23.85" customHeight="1" spans="1:18">
      <c r="A1209" s="556"/>
      <c r="B1209" s="557"/>
      <c r="C1209" s="79" t="s">
        <v>2921</v>
      </c>
      <c r="D1209" s="78" t="s">
        <v>2952</v>
      </c>
      <c r="E1209" s="79" t="s">
        <v>139</v>
      </c>
      <c r="F1209" s="79" t="s">
        <v>2953</v>
      </c>
      <c r="G1209" s="79" t="s">
        <v>2928</v>
      </c>
      <c r="H1209" s="79"/>
      <c r="I1209" s="80" t="s">
        <v>2897</v>
      </c>
      <c r="J1209" s="583">
        <v>0.411</v>
      </c>
      <c r="K1209" s="583">
        <v>0</v>
      </c>
      <c r="L1209" s="92">
        <v>29.15</v>
      </c>
      <c r="M1209" s="92">
        <v>11.98</v>
      </c>
      <c r="N1209" s="573"/>
      <c r="O1209" s="556"/>
      <c r="P1209" s="573"/>
      <c r="Q1209" s="556"/>
      <c r="R1209" s="582"/>
    </row>
    <row r="1210" ht="23.85" customHeight="1" spans="1:18">
      <c r="A1210" s="556"/>
      <c r="B1210" s="557"/>
      <c r="C1210" s="79" t="s">
        <v>2921</v>
      </c>
      <c r="D1210" s="78" t="s">
        <v>3346</v>
      </c>
      <c r="E1210" s="79" t="s">
        <v>139</v>
      </c>
      <c r="F1210" s="79" t="s">
        <v>3347</v>
      </c>
      <c r="G1210" s="79" t="s">
        <v>2995</v>
      </c>
      <c r="H1210" s="79"/>
      <c r="I1210" s="80" t="s">
        <v>2996</v>
      </c>
      <c r="J1210" s="583">
        <v>0.049</v>
      </c>
      <c r="K1210" s="583">
        <v>0</v>
      </c>
      <c r="L1210" s="92">
        <v>0.53</v>
      </c>
      <c r="M1210" s="92">
        <v>0.02</v>
      </c>
      <c r="N1210" s="573"/>
      <c r="O1210" s="556"/>
      <c r="P1210" s="573"/>
      <c r="Q1210" s="556"/>
      <c r="R1210" s="582"/>
    </row>
    <row r="1211" ht="23.85" customHeight="1" spans="1:18">
      <c r="A1211" s="556"/>
      <c r="B1211" s="557" t="str">
        <f>C1210</f>
        <v>Composição Auxiliar</v>
      </c>
      <c r="C1211" s="79" t="s">
        <v>2921</v>
      </c>
      <c r="D1211" s="78" t="s">
        <v>3348</v>
      </c>
      <c r="E1211" s="79" t="s">
        <v>139</v>
      </c>
      <c r="F1211" s="79" t="s">
        <v>3349</v>
      </c>
      <c r="G1211" s="79" t="s">
        <v>2995</v>
      </c>
      <c r="H1211" s="79"/>
      <c r="I1211" s="80" t="s">
        <v>3002</v>
      </c>
      <c r="J1211" s="583">
        <v>0.053</v>
      </c>
      <c r="K1211" s="583">
        <v>0</v>
      </c>
      <c r="L1211" s="92">
        <v>1.45</v>
      </c>
      <c r="M1211" s="92">
        <v>0.07</v>
      </c>
      <c r="N1211" s="573">
        <v>134.74</v>
      </c>
      <c r="O1211" s="556" t="str">
        <f t="shared" ref="O1211:O1219" si="137">IF(N1211=M1211,"OK","DIF")</f>
        <v>DIF</v>
      </c>
      <c r="P1211" s="573"/>
      <c r="Q1211" s="556"/>
      <c r="R1211" s="582"/>
    </row>
    <row r="1212" ht="23.85" customHeight="1" spans="1:18">
      <c r="A1212" s="556" t="str">
        <f t="shared" ref="A1212:A1219" si="138">B1212</f>
        <v>Composição Auxiliar</v>
      </c>
      <c r="B1212" s="557" t="str">
        <f t="shared" ref="B1212:B1219" si="139">B1211</f>
        <v>Composição Auxiliar</v>
      </c>
      <c r="C1212" s="79" t="s">
        <v>2921</v>
      </c>
      <c r="D1212" s="78" t="s">
        <v>3017</v>
      </c>
      <c r="E1212" s="79" t="s">
        <v>139</v>
      </c>
      <c r="F1212" s="79" t="s">
        <v>3018</v>
      </c>
      <c r="G1212" s="79" t="s">
        <v>2928</v>
      </c>
      <c r="H1212" s="79"/>
      <c r="I1212" s="80" t="s">
        <v>2897</v>
      </c>
      <c r="J1212" s="583">
        <v>0.411</v>
      </c>
      <c r="K1212" s="583">
        <v>0</v>
      </c>
      <c r="L1212" s="92">
        <v>36.96</v>
      </c>
      <c r="M1212" s="92">
        <v>15.19</v>
      </c>
      <c r="N1212" s="573">
        <v>1.85</v>
      </c>
      <c r="O1212" s="556" t="str">
        <f t="shared" si="137"/>
        <v>DIF</v>
      </c>
      <c r="P1212" s="573"/>
      <c r="Q1212" s="556"/>
      <c r="R1212" s="582"/>
    </row>
    <row r="1213" ht="35.05" customHeight="1" spans="1:18">
      <c r="A1213" s="556" t="str">
        <f t="shared" si="138"/>
        <v>Composição Auxiliar</v>
      </c>
      <c r="B1213" s="557" t="str">
        <f t="shared" si="139"/>
        <v>Composição Auxiliar</v>
      </c>
      <c r="C1213" s="100" t="s">
        <v>2893</v>
      </c>
      <c r="D1213" s="99" t="s">
        <v>3373</v>
      </c>
      <c r="E1213" s="100" t="s">
        <v>139</v>
      </c>
      <c r="F1213" s="100" t="s">
        <v>3374</v>
      </c>
      <c r="G1213" s="100" t="s">
        <v>2961</v>
      </c>
      <c r="H1213" s="100"/>
      <c r="I1213" s="101" t="s">
        <v>279</v>
      </c>
      <c r="J1213" s="580">
        <v>1.06</v>
      </c>
      <c r="K1213" s="580">
        <v>0</v>
      </c>
      <c r="L1213" s="102">
        <v>562.58</v>
      </c>
      <c r="M1213" s="102">
        <v>596.33</v>
      </c>
      <c r="N1213" s="573">
        <v>8.4</v>
      </c>
      <c r="O1213" s="556" t="str">
        <f t="shared" si="137"/>
        <v>DIF</v>
      </c>
      <c r="P1213" s="573"/>
      <c r="Q1213" s="556"/>
      <c r="R1213" s="582"/>
    </row>
    <row r="1214" ht="25.5" spans="1:18">
      <c r="A1214" s="556" t="str">
        <f t="shared" si="138"/>
        <v>Composição Auxiliar</v>
      </c>
      <c r="B1214" s="557" t="str">
        <f t="shared" si="139"/>
        <v>Composição Auxiliar</v>
      </c>
      <c r="C1214" s="108"/>
      <c r="D1214" s="108"/>
      <c r="E1214" s="108"/>
      <c r="F1214" s="108"/>
      <c r="G1214" s="108"/>
      <c r="H1214" s="108" t="s">
        <v>2898</v>
      </c>
      <c r="I1214" s="581">
        <v>18.96</v>
      </c>
      <c r="J1214" s="108" t="s">
        <v>2899</v>
      </c>
      <c r="K1214" s="581">
        <v>0</v>
      </c>
      <c r="L1214" s="108" t="s">
        <v>2900</v>
      </c>
      <c r="M1214" s="581">
        <v>18.96</v>
      </c>
      <c r="N1214" s="573">
        <v>5.39</v>
      </c>
      <c r="O1214" s="556" t="str">
        <f t="shared" si="137"/>
        <v>DIF</v>
      </c>
      <c r="P1214" s="573"/>
      <c r="Q1214" s="556"/>
      <c r="R1214" s="582"/>
    </row>
    <row r="1215" ht="26.25" spans="1:18">
      <c r="A1215" s="556" t="str">
        <f t="shared" si="138"/>
        <v>Composição Auxiliar</v>
      </c>
      <c r="B1215" s="557" t="str">
        <f t="shared" si="139"/>
        <v>Composição Auxiliar</v>
      </c>
      <c r="C1215" s="108"/>
      <c r="D1215" s="108"/>
      <c r="E1215" s="108"/>
      <c r="F1215" s="108"/>
      <c r="G1215" s="108"/>
      <c r="H1215" s="108" t="s">
        <v>2901</v>
      </c>
      <c r="I1215" s="581">
        <v>158.95</v>
      </c>
      <c r="J1215" s="114"/>
      <c r="K1215" s="114" t="s">
        <v>2902</v>
      </c>
      <c r="L1215" s="108"/>
      <c r="M1215" s="581">
        <v>782.54</v>
      </c>
      <c r="N1215" s="573">
        <v>30.19</v>
      </c>
      <c r="O1215" s="556" t="str">
        <f t="shared" si="137"/>
        <v>DIF</v>
      </c>
      <c r="P1215" s="573"/>
      <c r="Q1215" s="556"/>
      <c r="R1215" s="582"/>
    </row>
    <row r="1216" ht="15" spans="1:18">
      <c r="A1216" s="556" t="str">
        <f t="shared" si="138"/>
        <v>Composição Auxiliar</v>
      </c>
      <c r="B1216" s="557" t="str">
        <f t="shared" si="139"/>
        <v>Composição Auxiliar</v>
      </c>
      <c r="C1216" s="571"/>
      <c r="D1216" s="571"/>
      <c r="E1216" s="571"/>
      <c r="F1216" s="571"/>
      <c r="G1216" s="571"/>
      <c r="H1216" s="571"/>
      <c r="I1216" s="571"/>
      <c r="J1216" s="571"/>
      <c r="K1216" s="571"/>
      <c r="L1216" s="571"/>
      <c r="M1216" s="571"/>
      <c r="N1216" s="573">
        <v>1.39</v>
      </c>
      <c r="O1216" s="556" t="str">
        <f t="shared" si="137"/>
        <v>DIF</v>
      </c>
      <c r="P1216" s="573"/>
      <c r="Q1216" s="556"/>
      <c r="R1216" s="582"/>
    </row>
    <row r="1217" ht="15" customHeight="1" spans="1:18">
      <c r="A1217" s="556" t="str">
        <f t="shared" si="138"/>
        <v>Composição Auxiliar</v>
      </c>
      <c r="B1217" s="557" t="str">
        <f t="shared" si="139"/>
        <v>Composição Auxiliar</v>
      </c>
      <c r="C1217" s="76" t="s">
        <v>485</v>
      </c>
      <c r="D1217" s="75" t="s">
        <v>63</v>
      </c>
      <c r="E1217" s="76" t="s">
        <v>64</v>
      </c>
      <c r="F1217" s="76" t="s">
        <v>65</v>
      </c>
      <c r="G1217" s="76" t="s">
        <v>2889</v>
      </c>
      <c r="H1217" s="76"/>
      <c r="I1217" s="77" t="s">
        <v>66</v>
      </c>
      <c r="J1217" s="75" t="s">
        <v>67</v>
      </c>
      <c r="K1217" s="75" t="s">
        <v>2890</v>
      </c>
      <c r="L1217" s="75" t="s">
        <v>68</v>
      </c>
      <c r="M1217" s="75" t="s">
        <v>70</v>
      </c>
      <c r="N1217" s="573">
        <v>20.36</v>
      </c>
      <c r="O1217" s="556" t="str">
        <f t="shared" si="137"/>
        <v>DIF</v>
      </c>
      <c r="P1217" s="573"/>
      <c r="Q1217" s="556"/>
      <c r="R1217" s="582"/>
    </row>
    <row r="1218" ht="35.05" customHeight="1" spans="1:18">
      <c r="A1218" s="556" t="str">
        <f t="shared" si="138"/>
        <v>Composição Auxiliar</v>
      </c>
      <c r="B1218" s="557" t="str">
        <f t="shared" si="139"/>
        <v>Composição Auxiliar</v>
      </c>
      <c r="C1218" s="569" t="s">
        <v>2891</v>
      </c>
      <c r="D1218" s="570" t="s">
        <v>449</v>
      </c>
      <c r="E1218" s="569" t="s">
        <v>139</v>
      </c>
      <c r="F1218" s="569" t="s">
        <v>450</v>
      </c>
      <c r="G1218" s="569" t="s">
        <v>3375</v>
      </c>
      <c r="H1218" s="569"/>
      <c r="I1218" s="577" t="s">
        <v>141</v>
      </c>
      <c r="J1218" s="578">
        <v>1</v>
      </c>
      <c r="K1218" s="579"/>
      <c r="L1218" s="579">
        <v>4.44</v>
      </c>
      <c r="M1218" s="579">
        <v>4.44</v>
      </c>
      <c r="N1218" s="573">
        <v>64.25</v>
      </c>
      <c r="O1218" s="556" t="str">
        <f t="shared" si="137"/>
        <v>DIF</v>
      </c>
      <c r="P1218" s="573"/>
      <c r="Q1218" s="556"/>
      <c r="R1218" s="582"/>
    </row>
    <row r="1219" ht="23.85" customHeight="1" spans="1:18">
      <c r="A1219" s="556" t="str">
        <f t="shared" si="138"/>
        <v>Composição Auxiliar</v>
      </c>
      <c r="B1219" s="557" t="str">
        <f t="shared" si="139"/>
        <v>Composição Auxiliar</v>
      </c>
      <c r="C1219" s="79" t="s">
        <v>2921</v>
      </c>
      <c r="D1219" s="78" t="s">
        <v>3380</v>
      </c>
      <c r="E1219" s="79" t="s">
        <v>139</v>
      </c>
      <c r="F1219" s="79" t="s">
        <v>3381</v>
      </c>
      <c r="G1219" s="79" t="s">
        <v>2995</v>
      </c>
      <c r="H1219" s="79"/>
      <c r="I1219" s="80" t="s">
        <v>3002</v>
      </c>
      <c r="J1219" s="583">
        <v>0.025</v>
      </c>
      <c r="K1219" s="583">
        <v>0</v>
      </c>
      <c r="L1219" s="92">
        <v>6.46</v>
      </c>
      <c r="M1219" s="92">
        <v>0.16</v>
      </c>
      <c r="N1219" s="573">
        <v>2.91</v>
      </c>
      <c r="O1219" s="556" t="str">
        <f t="shared" si="137"/>
        <v>DIF</v>
      </c>
      <c r="P1219" s="573"/>
      <c r="Q1219" s="556"/>
      <c r="R1219" s="582"/>
    </row>
    <row r="1220" ht="23.85" customHeight="1" spans="1:18">
      <c r="A1220" s="556"/>
      <c r="B1220" s="557"/>
      <c r="C1220" s="79" t="s">
        <v>2921</v>
      </c>
      <c r="D1220" s="78" t="s">
        <v>3017</v>
      </c>
      <c r="E1220" s="79" t="s">
        <v>139</v>
      </c>
      <c r="F1220" s="79" t="s">
        <v>3018</v>
      </c>
      <c r="G1220" s="79" t="s">
        <v>2928</v>
      </c>
      <c r="H1220" s="79"/>
      <c r="I1220" s="80" t="s">
        <v>2897</v>
      </c>
      <c r="J1220" s="583">
        <v>0.045</v>
      </c>
      <c r="K1220" s="583">
        <v>0</v>
      </c>
      <c r="L1220" s="92">
        <v>36.96</v>
      </c>
      <c r="M1220" s="92">
        <v>1.66</v>
      </c>
      <c r="N1220" s="573"/>
      <c r="O1220" s="556"/>
      <c r="P1220" s="573"/>
      <c r="Q1220" s="556"/>
      <c r="R1220" s="582"/>
    </row>
    <row r="1221" ht="23.85" customHeight="1" spans="1:18">
      <c r="A1221" s="556"/>
      <c r="B1221" s="557"/>
      <c r="C1221" s="79" t="s">
        <v>2921</v>
      </c>
      <c r="D1221" s="78" t="s">
        <v>3382</v>
      </c>
      <c r="E1221" s="79" t="s">
        <v>139</v>
      </c>
      <c r="F1221" s="79" t="s">
        <v>3383</v>
      </c>
      <c r="G1221" s="79" t="s">
        <v>2995</v>
      </c>
      <c r="H1221" s="79"/>
      <c r="I1221" s="80" t="s">
        <v>2996</v>
      </c>
      <c r="J1221" s="583">
        <v>0.042</v>
      </c>
      <c r="K1221" s="583">
        <v>0</v>
      </c>
      <c r="L1221" s="92">
        <v>0.87</v>
      </c>
      <c r="M1221" s="92">
        <v>0.03</v>
      </c>
      <c r="N1221" s="573"/>
      <c r="O1221" s="556"/>
      <c r="P1221" s="573"/>
      <c r="Q1221" s="556"/>
      <c r="R1221" s="582"/>
    </row>
    <row r="1222" ht="23.85" customHeight="1" spans="1:18">
      <c r="A1222" s="556"/>
      <c r="B1222" s="557" t="str">
        <f>C1221</f>
        <v>Composição Auxiliar</v>
      </c>
      <c r="C1222" s="79" t="s">
        <v>2921</v>
      </c>
      <c r="D1222" s="78" t="s">
        <v>2952</v>
      </c>
      <c r="E1222" s="79" t="s">
        <v>139</v>
      </c>
      <c r="F1222" s="79" t="s">
        <v>2953</v>
      </c>
      <c r="G1222" s="79" t="s">
        <v>2928</v>
      </c>
      <c r="H1222" s="79"/>
      <c r="I1222" s="80" t="s">
        <v>2897</v>
      </c>
      <c r="J1222" s="583">
        <v>0.089</v>
      </c>
      <c r="K1222" s="583">
        <v>0</v>
      </c>
      <c r="L1222" s="92">
        <v>29.15</v>
      </c>
      <c r="M1222" s="92">
        <v>2.59</v>
      </c>
      <c r="N1222" s="573">
        <v>100.95</v>
      </c>
      <c r="O1222" s="556" t="str">
        <f t="shared" ref="O1222:O1227" si="140">IF(N1222=M1222,"OK","DIF")</f>
        <v>DIF</v>
      </c>
      <c r="P1222" s="573"/>
      <c r="Q1222" s="556"/>
      <c r="R1222" s="582"/>
    </row>
    <row r="1223" ht="25.5" spans="1:18">
      <c r="A1223" s="556" t="str">
        <f>B1223</f>
        <v>Composição Auxiliar</v>
      </c>
      <c r="B1223" s="557" t="str">
        <f>B1222</f>
        <v>Composição Auxiliar</v>
      </c>
      <c r="C1223" s="108"/>
      <c r="D1223" s="108"/>
      <c r="E1223" s="108"/>
      <c r="F1223" s="108"/>
      <c r="G1223" s="108"/>
      <c r="H1223" s="108" t="s">
        <v>2898</v>
      </c>
      <c r="I1223" s="581">
        <v>2.92</v>
      </c>
      <c r="J1223" s="108" t="s">
        <v>2899</v>
      </c>
      <c r="K1223" s="581">
        <v>0</v>
      </c>
      <c r="L1223" s="108" t="s">
        <v>2900</v>
      </c>
      <c r="M1223" s="581">
        <v>2.92</v>
      </c>
      <c r="N1223" s="573">
        <v>0.18</v>
      </c>
      <c r="O1223" s="556" t="str">
        <f t="shared" si="140"/>
        <v>DIF</v>
      </c>
      <c r="P1223" s="573"/>
      <c r="Q1223" s="556"/>
      <c r="R1223" s="582"/>
    </row>
    <row r="1224" ht="26.25" spans="1:18">
      <c r="A1224" s="556" t="str">
        <f>B1224</f>
        <v>Composição Auxiliar</v>
      </c>
      <c r="B1224" s="557" t="str">
        <f>B1223</f>
        <v>Composição Auxiliar</v>
      </c>
      <c r="C1224" s="108"/>
      <c r="D1224" s="108"/>
      <c r="E1224" s="108"/>
      <c r="F1224" s="108"/>
      <c r="G1224" s="108"/>
      <c r="H1224" s="108" t="s">
        <v>2901</v>
      </c>
      <c r="I1224" s="581">
        <v>1.13</v>
      </c>
      <c r="J1224" s="114"/>
      <c r="K1224" s="114" t="s">
        <v>2902</v>
      </c>
      <c r="L1224" s="108"/>
      <c r="M1224" s="581">
        <v>5.57</v>
      </c>
      <c r="N1224" s="573">
        <v>0.78</v>
      </c>
      <c r="O1224" s="556" t="str">
        <f t="shared" si="140"/>
        <v>DIF</v>
      </c>
      <c r="P1224" s="573"/>
      <c r="Q1224" s="556"/>
      <c r="R1224" s="582"/>
    </row>
    <row r="1225" ht="15" spans="1:18">
      <c r="A1225" s="556" t="str">
        <f>B1225</f>
        <v>Composição Auxiliar</v>
      </c>
      <c r="B1225" s="557" t="str">
        <f>B1224</f>
        <v>Composição Auxiliar</v>
      </c>
      <c r="C1225" s="571"/>
      <c r="D1225" s="571"/>
      <c r="E1225" s="571"/>
      <c r="F1225" s="571"/>
      <c r="G1225" s="571"/>
      <c r="H1225" s="571"/>
      <c r="I1225" s="571"/>
      <c r="J1225" s="571"/>
      <c r="K1225" s="571"/>
      <c r="L1225" s="571"/>
      <c r="M1225" s="571"/>
      <c r="N1225" s="573">
        <v>0.13</v>
      </c>
      <c r="O1225" s="556" t="str">
        <f t="shared" si="140"/>
        <v>DIF</v>
      </c>
      <c r="P1225" s="573"/>
      <c r="Q1225" s="556"/>
      <c r="R1225" s="582"/>
    </row>
    <row r="1226" ht="15" customHeight="1" spans="1:18">
      <c r="A1226" s="556" t="str">
        <f>B1226</f>
        <v>Composição Auxiliar</v>
      </c>
      <c r="B1226" s="557" t="str">
        <f>B1225</f>
        <v>Composição Auxiliar</v>
      </c>
      <c r="C1226" s="76" t="s">
        <v>486</v>
      </c>
      <c r="D1226" s="75" t="s">
        <v>63</v>
      </c>
      <c r="E1226" s="76" t="s">
        <v>64</v>
      </c>
      <c r="F1226" s="76" t="s">
        <v>65</v>
      </c>
      <c r="G1226" s="76" t="s">
        <v>2889</v>
      </c>
      <c r="H1226" s="76"/>
      <c r="I1226" s="77" t="s">
        <v>66</v>
      </c>
      <c r="J1226" s="75" t="s">
        <v>67</v>
      </c>
      <c r="K1226" s="75" t="s">
        <v>2890</v>
      </c>
      <c r="L1226" s="75" t="s">
        <v>68</v>
      </c>
      <c r="M1226" s="75" t="s">
        <v>70</v>
      </c>
      <c r="N1226" s="573">
        <v>0.16</v>
      </c>
      <c r="O1226" s="556" t="str">
        <f t="shared" si="140"/>
        <v>DIF</v>
      </c>
      <c r="P1226" s="573"/>
      <c r="Q1226" s="556"/>
      <c r="R1226" s="582"/>
    </row>
    <row r="1227" ht="23.85" customHeight="1" spans="1:18">
      <c r="A1227" s="556" t="str">
        <f>B1227</f>
        <v>Composição Auxiliar</v>
      </c>
      <c r="B1227" s="557" t="str">
        <f>B1226</f>
        <v>Composição Auxiliar</v>
      </c>
      <c r="C1227" s="569" t="s">
        <v>2891</v>
      </c>
      <c r="D1227" s="570" t="s">
        <v>452</v>
      </c>
      <c r="E1227" s="569" t="s">
        <v>139</v>
      </c>
      <c r="F1227" s="569" t="s">
        <v>453</v>
      </c>
      <c r="G1227" s="569" t="s">
        <v>3230</v>
      </c>
      <c r="H1227" s="569"/>
      <c r="I1227" s="577" t="s">
        <v>279</v>
      </c>
      <c r="J1227" s="578">
        <v>1</v>
      </c>
      <c r="K1227" s="579"/>
      <c r="L1227" s="579">
        <v>771.54</v>
      </c>
      <c r="M1227" s="579">
        <v>771.54</v>
      </c>
      <c r="N1227" s="573">
        <v>99.7</v>
      </c>
      <c r="O1227" s="556" t="str">
        <f t="shared" si="140"/>
        <v>DIF</v>
      </c>
      <c r="P1227" s="573"/>
      <c r="Q1227" s="556"/>
      <c r="R1227" s="582"/>
    </row>
    <row r="1228" ht="35.05" customHeight="1" spans="1:18">
      <c r="A1228" s="556"/>
      <c r="B1228" s="557"/>
      <c r="C1228" s="79" t="s">
        <v>2921</v>
      </c>
      <c r="D1228" s="78" t="s">
        <v>3350</v>
      </c>
      <c r="E1228" s="79" t="s">
        <v>139</v>
      </c>
      <c r="F1228" s="79" t="s">
        <v>3351</v>
      </c>
      <c r="G1228" s="79" t="s">
        <v>2999</v>
      </c>
      <c r="H1228" s="79"/>
      <c r="I1228" s="80" t="s">
        <v>279</v>
      </c>
      <c r="J1228" s="583">
        <v>1.38</v>
      </c>
      <c r="K1228" s="583">
        <v>0</v>
      </c>
      <c r="L1228" s="92">
        <v>384.14</v>
      </c>
      <c r="M1228" s="92">
        <v>530.11</v>
      </c>
      <c r="N1228" s="573"/>
      <c r="O1228" s="556"/>
      <c r="P1228" s="573"/>
      <c r="Q1228" s="556"/>
      <c r="R1228" s="582"/>
    </row>
    <row r="1229" ht="23.85" customHeight="1" spans="1:18">
      <c r="A1229" s="556"/>
      <c r="B1229" s="557"/>
      <c r="C1229" s="79" t="s">
        <v>2921</v>
      </c>
      <c r="D1229" s="78" t="s">
        <v>3017</v>
      </c>
      <c r="E1229" s="79" t="s">
        <v>139</v>
      </c>
      <c r="F1229" s="79" t="s">
        <v>3018</v>
      </c>
      <c r="G1229" s="79" t="s">
        <v>2928</v>
      </c>
      <c r="H1229" s="79"/>
      <c r="I1229" s="80" t="s">
        <v>2897</v>
      </c>
      <c r="J1229" s="583">
        <v>5.083</v>
      </c>
      <c r="K1229" s="583">
        <v>0</v>
      </c>
      <c r="L1229" s="92">
        <v>36.96</v>
      </c>
      <c r="M1229" s="92">
        <v>187.86</v>
      </c>
      <c r="N1229" s="573"/>
      <c r="O1229" s="556"/>
      <c r="P1229" s="573"/>
      <c r="Q1229" s="556"/>
      <c r="R1229" s="582"/>
    </row>
    <row r="1230" ht="23.85" customHeight="1" spans="1:18">
      <c r="A1230" s="556"/>
      <c r="B1230" s="557" t="str">
        <f>C1229</f>
        <v>Composição Auxiliar</v>
      </c>
      <c r="C1230" s="79" t="s">
        <v>2921</v>
      </c>
      <c r="D1230" s="78" t="s">
        <v>2952</v>
      </c>
      <c r="E1230" s="79" t="s">
        <v>139</v>
      </c>
      <c r="F1230" s="79" t="s">
        <v>2953</v>
      </c>
      <c r="G1230" s="79" t="s">
        <v>2928</v>
      </c>
      <c r="H1230" s="79"/>
      <c r="I1230" s="80" t="s">
        <v>2897</v>
      </c>
      <c r="J1230" s="583">
        <v>1.838</v>
      </c>
      <c r="K1230" s="583">
        <v>0</v>
      </c>
      <c r="L1230" s="92">
        <v>29.15</v>
      </c>
      <c r="M1230" s="92">
        <v>53.57</v>
      </c>
      <c r="N1230" s="573">
        <v>19.75</v>
      </c>
      <c r="O1230" s="556" t="str">
        <f t="shared" ref="O1230:O1235" si="141">IF(N1230=M1230,"OK","DIF")</f>
        <v>DIF</v>
      </c>
      <c r="P1230" s="573"/>
      <c r="Q1230" s="556"/>
      <c r="R1230" s="582"/>
    </row>
    <row r="1231" ht="25.5" spans="1:18">
      <c r="A1231" s="556" t="str">
        <f>B1231</f>
        <v>Composição Auxiliar</v>
      </c>
      <c r="B1231" s="557" t="str">
        <f>B1230</f>
        <v>Composição Auxiliar</v>
      </c>
      <c r="C1231" s="108"/>
      <c r="D1231" s="108"/>
      <c r="E1231" s="108"/>
      <c r="F1231" s="108"/>
      <c r="G1231" s="108"/>
      <c r="H1231" s="108" t="s">
        <v>2898</v>
      </c>
      <c r="I1231" s="581">
        <v>271.03</v>
      </c>
      <c r="J1231" s="108" t="s">
        <v>2899</v>
      </c>
      <c r="K1231" s="581">
        <v>0</v>
      </c>
      <c r="L1231" s="108" t="s">
        <v>2900</v>
      </c>
      <c r="M1231" s="581">
        <v>271.03</v>
      </c>
      <c r="N1231" s="573">
        <v>4.21</v>
      </c>
      <c r="O1231" s="556" t="str">
        <f t="shared" si="141"/>
        <v>DIF</v>
      </c>
      <c r="P1231" s="573"/>
      <c r="Q1231" s="556"/>
      <c r="R1231" s="582"/>
    </row>
    <row r="1232" ht="26.25" spans="1:18">
      <c r="A1232" s="556" t="str">
        <f>B1232</f>
        <v>Composição Auxiliar</v>
      </c>
      <c r="B1232" s="557" t="str">
        <f>B1231</f>
        <v>Composição Auxiliar</v>
      </c>
      <c r="C1232" s="108"/>
      <c r="D1232" s="108"/>
      <c r="E1232" s="108"/>
      <c r="F1232" s="108"/>
      <c r="G1232" s="108"/>
      <c r="H1232" s="108" t="s">
        <v>2901</v>
      </c>
      <c r="I1232" s="581">
        <v>196.66</v>
      </c>
      <c r="J1232" s="114"/>
      <c r="K1232" s="114" t="s">
        <v>2902</v>
      </c>
      <c r="L1232" s="108"/>
      <c r="M1232" s="581">
        <v>968.2</v>
      </c>
      <c r="N1232" s="573">
        <v>2.4</v>
      </c>
      <c r="O1232" s="556" t="str">
        <f t="shared" si="141"/>
        <v>DIF</v>
      </c>
      <c r="P1232" s="573"/>
      <c r="Q1232" s="556"/>
      <c r="R1232" s="582"/>
    </row>
    <row r="1233" ht="15" spans="1:18">
      <c r="A1233" s="556" t="str">
        <f>B1233</f>
        <v>Composição Auxiliar</v>
      </c>
      <c r="B1233" s="557" t="str">
        <f>B1232</f>
        <v>Composição Auxiliar</v>
      </c>
      <c r="C1233" s="571"/>
      <c r="D1233" s="571"/>
      <c r="E1233" s="571"/>
      <c r="F1233" s="571"/>
      <c r="G1233" s="571"/>
      <c r="H1233" s="571"/>
      <c r="I1233" s="571"/>
      <c r="J1233" s="571"/>
      <c r="K1233" s="571"/>
      <c r="L1233" s="571"/>
      <c r="M1233" s="571"/>
      <c r="N1233" s="573">
        <v>8.86</v>
      </c>
      <c r="O1233" s="556" t="str">
        <f t="shared" si="141"/>
        <v>DIF</v>
      </c>
      <c r="P1233" s="573"/>
      <c r="Q1233" s="556"/>
      <c r="R1233" s="582"/>
    </row>
    <row r="1234" ht="15" customHeight="1" spans="1:18">
      <c r="A1234" s="556" t="str">
        <f>B1234</f>
        <v>Composição Auxiliar</v>
      </c>
      <c r="B1234" s="557" t="str">
        <f>B1233</f>
        <v>Composição Auxiliar</v>
      </c>
      <c r="C1234" s="76" t="s">
        <v>487</v>
      </c>
      <c r="D1234" s="75" t="s">
        <v>63</v>
      </c>
      <c r="E1234" s="76" t="s">
        <v>64</v>
      </c>
      <c r="F1234" s="76" t="s">
        <v>65</v>
      </c>
      <c r="G1234" s="76" t="s">
        <v>2889</v>
      </c>
      <c r="H1234" s="76"/>
      <c r="I1234" s="77" t="s">
        <v>66</v>
      </c>
      <c r="J1234" s="75" t="s">
        <v>67</v>
      </c>
      <c r="K1234" s="75" t="s">
        <v>2890</v>
      </c>
      <c r="L1234" s="75" t="s">
        <v>68</v>
      </c>
      <c r="M1234" s="75" t="s">
        <v>70</v>
      </c>
      <c r="N1234" s="573">
        <v>4.04</v>
      </c>
      <c r="O1234" s="556" t="str">
        <f t="shared" si="141"/>
        <v>DIF</v>
      </c>
      <c r="P1234" s="573"/>
      <c r="Q1234" s="556"/>
      <c r="R1234" s="582"/>
    </row>
    <row r="1235" ht="23.85" customHeight="1" spans="1:18">
      <c r="A1235" s="556" t="str">
        <f>B1235</f>
        <v>Composição Auxiliar</v>
      </c>
      <c r="B1235" s="557" t="str">
        <f>B1234</f>
        <v>Composição Auxiliar</v>
      </c>
      <c r="C1235" s="569" t="s">
        <v>2891</v>
      </c>
      <c r="D1235" s="570" t="s">
        <v>461</v>
      </c>
      <c r="E1235" s="569" t="s">
        <v>139</v>
      </c>
      <c r="F1235" s="569" t="s">
        <v>462</v>
      </c>
      <c r="G1235" s="569" t="s">
        <v>3317</v>
      </c>
      <c r="H1235" s="569"/>
      <c r="I1235" s="577" t="s">
        <v>393</v>
      </c>
      <c r="J1235" s="578">
        <v>1</v>
      </c>
      <c r="K1235" s="579"/>
      <c r="L1235" s="579">
        <v>11.45</v>
      </c>
      <c r="M1235" s="579">
        <v>11.45</v>
      </c>
      <c r="N1235" s="573">
        <v>0.24</v>
      </c>
      <c r="O1235" s="556" t="str">
        <f t="shared" si="141"/>
        <v>DIF</v>
      </c>
      <c r="P1235" s="573"/>
      <c r="Q1235" s="556"/>
      <c r="R1235" s="582"/>
    </row>
    <row r="1236" ht="23.85" customHeight="1" spans="1:18">
      <c r="A1236" s="556"/>
      <c r="B1236" s="557"/>
      <c r="C1236" s="79" t="s">
        <v>2921</v>
      </c>
      <c r="D1236" s="78" t="s">
        <v>3324</v>
      </c>
      <c r="E1236" s="79" t="s">
        <v>139</v>
      </c>
      <c r="F1236" s="79" t="s">
        <v>3325</v>
      </c>
      <c r="G1236" s="79" t="s">
        <v>3317</v>
      </c>
      <c r="H1236" s="79"/>
      <c r="I1236" s="80" t="s">
        <v>393</v>
      </c>
      <c r="J1236" s="583">
        <v>1</v>
      </c>
      <c r="K1236" s="583">
        <v>0</v>
      </c>
      <c r="L1236" s="92">
        <v>9.78</v>
      </c>
      <c r="M1236" s="92">
        <v>9.78</v>
      </c>
      <c r="N1236" s="573"/>
      <c r="O1236" s="556"/>
      <c r="P1236" s="573"/>
      <c r="Q1236" s="556"/>
      <c r="R1236" s="582"/>
    </row>
    <row r="1237" ht="23.85" customHeight="1" spans="1:18">
      <c r="A1237" s="556"/>
      <c r="B1237" s="557"/>
      <c r="C1237" s="79" t="s">
        <v>2921</v>
      </c>
      <c r="D1237" s="78" t="s">
        <v>3313</v>
      </c>
      <c r="E1237" s="79" t="s">
        <v>139</v>
      </c>
      <c r="F1237" s="79" t="s">
        <v>3314</v>
      </c>
      <c r="G1237" s="79" t="s">
        <v>2928</v>
      </c>
      <c r="H1237" s="79"/>
      <c r="I1237" s="80" t="s">
        <v>2897</v>
      </c>
      <c r="J1237" s="583">
        <v>0.0259</v>
      </c>
      <c r="K1237" s="583">
        <v>0</v>
      </c>
      <c r="L1237" s="92">
        <v>35.95</v>
      </c>
      <c r="M1237" s="92">
        <v>0.93</v>
      </c>
      <c r="N1237" s="573"/>
      <c r="O1237" s="556"/>
      <c r="P1237" s="573"/>
      <c r="Q1237" s="556"/>
      <c r="R1237" s="582"/>
    </row>
    <row r="1238" ht="23.85" customHeight="1" spans="1:18">
      <c r="A1238" s="556"/>
      <c r="B1238" s="557"/>
      <c r="C1238" s="79" t="s">
        <v>2921</v>
      </c>
      <c r="D1238" s="78" t="s">
        <v>3311</v>
      </c>
      <c r="E1238" s="79" t="s">
        <v>139</v>
      </c>
      <c r="F1238" s="79" t="s">
        <v>3312</v>
      </c>
      <c r="G1238" s="79" t="s">
        <v>2928</v>
      </c>
      <c r="H1238" s="79"/>
      <c r="I1238" s="80" t="s">
        <v>2897</v>
      </c>
      <c r="J1238" s="583">
        <v>0.0042</v>
      </c>
      <c r="K1238" s="583">
        <v>0</v>
      </c>
      <c r="L1238" s="92">
        <v>30.06</v>
      </c>
      <c r="M1238" s="92">
        <v>0.12</v>
      </c>
      <c r="N1238" s="573"/>
      <c r="O1238" s="556"/>
      <c r="P1238" s="573"/>
      <c r="Q1238" s="556"/>
      <c r="R1238" s="582"/>
    </row>
    <row r="1239" ht="23.85" customHeight="1" spans="1:18">
      <c r="A1239" s="556"/>
      <c r="B1239" s="557" t="str">
        <f>C1238</f>
        <v>Composição Auxiliar</v>
      </c>
      <c r="C1239" s="100" t="s">
        <v>2893</v>
      </c>
      <c r="D1239" s="99" t="s">
        <v>3318</v>
      </c>
      <c r="E1239" s="100" t="s">
        <v>139</v>
      </c>
      <c r="F1239" s="100" t="s">
        <v>3319</v>
      </c>
      <c r="G1239" s="100" t="s">
        <v>2961</v>
      </c>
      <c r="H1239" s="100"/>
      <c r="I1239" s="101" t="s">
        <v>393</v>
      </c>
      <c r="J1239" s="580">
        <v>0.025</v>
      </c>
      <c r="K1239" s="580">
        <v>0</v>
      </c>
      <c r="L1239" s="102">
        <v>22</v>
      </c>
      <c r="M1239" s="102">
        <v>0.55</v>
      </c>
      <c r="N1239" s="573">
        <v>632.51</v>
      </c>
      <c r="O1239" s="556" t="str">
        <f t="shared" ref="O1239:O1245" si="142">IF(N1239=M1239,"OK","DIF")</f>
        <v>DIF</v>
      </c>
      <c r="P1239" s="573"/>
      <c r="Q1239" s="556"/>
      <c r="R1239" s="582"/>
    </row>
    <row r="1240" ht="23.85" customHeight="1" spans="1:18">
      <c r="A1240" s="556" t="str">
        <f t="shared" ref="A1240:A1245" si="143">B1240</f>
        <v>Composição Auxiliar</v>
      </c>
      <c r="B1240" s="557" t="str">
        <f t="shared" ref="B1240:B1245" si="144">B1239</f>
        <v>Composição Auxiliar</v>
      </c>
      <c r="C1240" s="100" t="s">
        <v>2893</v>
      </c>
      <c r="D1240" s="99" t="s">
        <v>3320</v>
      </c>
      <c r="E1240" s="100" t="s">
        <v>139</v>
      </c>
      <c r="F1240" s="100" t="s">
        <v>3321</v>
      </c>
      <c r="G1240" s="100" t="s">
        <v>2961</v>
      </c>
      <c r="H1240" s="100"/>
      <c r="I1240" s="101" t="s">
        <v>134</v>
      </c>
      <c r="J1240" s="580">
        <v>0.357</v>
      </c>
      <c r="K1240" s="580">
        <v>0</v>
      </c>
      <c r="L1240" s="102">
        <v>0.22</v>
      </c>
      <c r="M1240" s="102">
        <v>0.07</v>
      </c>
      <c r="N1240" s="573">
        <v>0.13</v>
      </c>
      <c r="O1240" s="556" t="str">
        <f t="shared" si="142"/>
        <v>DIF</v>
      </c>
      <c r="P1240" s="573"/>
      <c r="Q1240" s="556"/>
      <c r="R1240" s="582"/>
    </row>
    <row r="1241" ht="25.5" spans="1:18">
      <c r="A1241" s="556" t="str">
        <f t="shared" si="143"/>
        <v>Composição Auxiliar</v>
      </c>
      <c r="B1241" s="557" t="str">
        <f t="shared" si="144"/>
        <v>Composição Auxiliar</v>
      </c>
      <c r="C1241" s="108"/>
      <c r="D1241" s="108"/>
      <c r="E1241" s="108"/>
      <c r="F1241" s="108"/>
      <c r="G1241" s="108"/>
      <c r="H1241" s="108" t="s">
        <v>2898</v>
      </c>
      <c r="I1241" s="581">
        <v>0.99</v>
      </c>
      <c r="J1241" s="108" t="s">
        <v>2899</v>
      </c>
      <c r="K1241" s="581">
        <v>0</v>
      </c>
      <c r="L1241" s="108" t="s">
        <v>2900</v>
      </c>
      <c r="M1241" s="581">
        <v>0.99</v>
      </c>
      <c r="N1241" s="573">
        <v>0.06</v>
      </c>
      <c r="O1241" s="556" t="str">
        <f t="shared" si="142"/>
        <v>DIF</v>
      </c>
      <c r="P1241" s="573"/>
      <c r="Q1241" s="556"/>
      <c r="R1241" s="582"/>
    </row>
    <row r="1242" ht="26.25" spans="1:18">
      <c r="A1242" s="556" t="str">
        <f t="shared" si="143"/>
        <v>Composição Auxiliar</v>
      </c>
      <c r="B1242" s="557" t="str">
        <f t="shared" si="144"/>
        <v>Composição Auxiliar</v>
      </c>
      <c r="C1242" s="108"/>
      <c r="D1242" s="108"/>
      <c r="E1242" s="108"/>
      <c r="F1242" s="108"/>
      <c r="G1242" s="108"/>
      <c r="H1242" s="108" t="s">
        <v>2901</v>
      </c>
      <c r="I1242" s="581">
        <v>2.91</v>
      </c>
      <c r="J1242" s="114"/>
      <c r="K1242" s="114" t="s">
        <v>2902</v>
      </c>
      <c r="L1242" s="108"/>
      <c r="M1242" s="581">
        <v>14.36</v>
      </c>
      <c r="N1242" s="573">
        <v>7.47</v>
      </c>
      <c r="O1242" s="556" t="str">
        <f t="shared" si="142"/>
        <v>DIF</v>
      </c>
      <c r="P1242" s="573"/>
      <c r="Q1242" s="556"/>
      <c r="R1242" s="582"/>
    </row>
    <row r="1243" ht="15" spans="1:18">
      <c r="A1243" s="556" t="str">
        <f t="shared" si="143"/>
        <v>Composição Auxiliar</v>
      </c>
      <c r="B1243" s="557" t="str">
        <f t="shared" si="144"/>
        <v>Composição Auxiliar</v>
      </c>
      <c r="C1243" s="571"/>
      <c r="D1243" s="571"/>
      <c r="E1243" s="571"/>
      <c r="F1243" s="571"/>
      <c r="G1243" s="571"/>
      <c r="H1243" s="571"/>
      <c r="I1243" s="571"/>
      <c r="J1243" s="571"/>
      <c r="K1243" s="571"/>
      <c r="L1243" s="571"/>
      <c r="M1243" s="571"/>
      <c r="N1243" s="573">
        <v>34.9</v>
      </c>
      <c r="O1243" s="556" t="str">
        <f t="shared" si="142"/>
        <v>DIF</v>
      </c>
      <c r="P1243" s="573"/>
      <c r="Q1243" s="556"/>
      <c r="R1243" s="582"/>
    </row>
    <row r="1244" ht="15" customHeight="1" spans="1:18">
      <c r="A1244" s="556" t="str">
        <f t="shared" si="143"/>
        <v>Composição Auxiliar</v>
      </c>
      <c r="B1244" s="557" t="str">
        <f t="shared" si="144"/>
        <v>Composição Auxiliar</v>
      </c>
      <c r="C1244" s="76" t="s">
        <v>488</v>
      </c>
      <c r="D1244" s="75" t="s">
        <v>63</v>
      </c>
      <c r="E1244" s="76" t="s">
        <v>64</v>
      </c>
      <c r="F1244" s="76" t="s">
        <v>65</v>
      </c>
      <c r="G1244" s="76" t="s">
        <v>2889</v>
      </c>
      <c r="H1244" s="76"/>
      <c r="I1244" s="77" t="s">
        <v>66</v>
      </c>
      <c r="J1244" s="75" t="s">
        <v>67</v>
      </c>
      <c r="K1244" s="75" t="s">
        <v>2890</v>
      </c>
      <c r="L1244" s="75" t="s">
        <v>68</v>
      </c>
      <c r="M1244" s="75" t="s">
        <v>70</v>
      </c>
      <c r="N1244" s="573">
        <v>7.42</v>
      </c>
      <c r="O1244" s="556" t="str">
        <f t="shared" si="142"/>
        <v>DIF</v>
      </c>
      <c r="P1244" s="573"/>
      <c r="Q1244" s="556"/>
      <c r="R1244" s="582"/>
    </row>
    <row r="1245" ht="23.85" customHeight="1" spans="1:18">
      <c r="A1245" s="556" t="str">
        <f t="shared" si="143"/>
        <v>Composição Auxiliar</v>
      </c>
      <c r="B1245" s="557" t="str">
        <f t="shared" si="144"/>
        <v>Composição Auxiliar</v>
      </c>
      <c r="C1245" s="569" t="s">
        <v>2891</v>
      </c>
      <c r="D1245" s="570" t="s">
        <v>467</v>
      </c>
      <c r="E1245" s="569" t="s">
        <v>139</v>
      </c>
      <c r="F1245" s="569" t="s">
        <v>468</v>
      </c>
      <c r="G1245" s="569" t="s">
        <v>3310</v>
      </c>
      <c r="H1245" s="569"/>
      <c r="I1245" s="577" t="s">
        <v>141</v>
      </c>
      <c r="J1245" s="578">
        <v>1</v>
      </c>
      <c r="K1245" s="579"/>
      <c r="L1245" s="579">
        <v>167.18</v>
      </c>
      <c r="M1245" s="579">
        <v>167.18</v>
      </c>
      <c r="N1245" s="573">
        <v>582.53</v>
      </c>
      <c r="O1245" s="556" t="str">
        <f t="shared" si="142"/>
        <v>DIF</v>
      </c>
      <c r="P1245" s="573"/>
      <c r="Q1245" s="556"/>
      <c r="R1245" s="582"/>
    </row>
    <row r="1246" ht="23.85" customHeight="1" spans="1:18">
      <c r="A1246" s="556"/>
      <c r="B1246" s="557"/>
      <c r="C1246" s="79" t="s">
        <v>2921</v>
      </c>
      <c r="D1246" s="78" t="s">
        <v>2954</v>
      </c>
      <c r="E1246" s="79" t="s">
        <v>139</v>
      </c>
      <c r="F1246" s="79" t="s">
        <v>2955</v>
      </c>
      <c r="G1246" s="79" t="s">
        <v>2928</v>
      </c>
      <c r="H1246" s="79"/>
      <c r="I1246" s="80" t="s">
        <v>2897</v>
      </c>
      <c r="J1246" s="583">
        <v>2.392</v>
      </c>
      <c r="K1246" s="583">
        <v>0</v>
      </c>
      <c r="L1246" s="92">
        <v>37.51</v>
      </c>
      <c r="M1246" s="92">
        <v>89.72</v>
      </c>
      <c r="N1246" s="573"/>
      <c r="O1246" s="556"/>
      <c r="P1246" s="573"/>
      <c r="Q1246" s="556"/>
      <c r="R1246" s="582"/>
    </row>
    <row r="1247" ht="23.85" customHeight="1" spans="1:18">
      <c r="A1247" s="556"/>
      <c r="B1247" s="557"/>
      <c r="C1247" s="79" t="s">
        <v>2921</v>
      </c>
      <c r="D1247" s="78" t="s">
        <v>3000</v>
      </c>
      <c r="E1247" s="79" t="s">
        <v>139</v>
      </c>
      <c r="F1247" s="79" t="s">
        <v>3001</v>
      </c>
      <c r="G1247" s="79" t="s">
        <v>2995</v>
      </c>
      <c r="H1247" s="79"/>
      <c r="I1247" s="80" t="s">
        <v>3002</v>
      </c>
      <c r="J1247" s="583">
        <v>0.07</v>
      </c>
      <c r="K1247" s="583">
        <v>0</v>
      </c>
      <c r="L1247" s="92">
        <v>41.6</v>
      </c>
      <c r="M1247" s="92">
        <v>2.91</v>
      </c>
      <c r="N1247" s="573"/>
      <c r="O1247" s="556"/>
      <c r="P1247" s="573"/>
      <c r="Q1247" s="556"/>
      <c r="R1247" s="582"/>
    </row>
    <row r="1248" ht="23.85" customHeight="1" spans="1:18">
      <c r="A1248" s="556"/>
      <c r="B1248" s="557" t="str">
        <f>C1247</f>
        <v>Composição Auxiliar</v>
      </c>
      <c r="C1248" s="79" t="s">
        <v>2921</v>
      </c>
      <c r="D1248" s="78" t="s">
        <v>3003</v>
      </c>
      <c r="E1248" s="79" t="s">
        <v>139</v>
      </c>
      <c r="F1248" s="79" t="s">
        <v>3004</v>
      </c>
      <c r="G1248" s="79" t="s">
        <v>2928</v>
      </c>
      <c r="H1248" s="79"/>
      <c r="I1248" s="80" t="s">
        <v>2897</v>
      </c>
      <c r="J1248" s="583">
        <v>1.081</v>
      </c>
      <c r="K1248" s="583">
        <v>0</v>
      </c>
      <c r="L1248" s="92">
        <v>29.91</v>
      </c>
      <c r="M1248" s="92">
        <v>32.33</v>
      </c>
      <c r="N1248" s="573">
        <v>633.46</v>
      </c>
      <c r="O1248" s="556" t="str">
        <f t="shared" ref="O1248:O1254" si="145">IF(N1248=M1248,"OK","DIF")</f>
        <v>DIF</v>
      </c>
      <c r="P1248" s="573"/>
      <c r="Q1248" s="556"/>
      <c r="R1248" s="582"/>
    </row>
    <row r="1249" ht="23.85" customHeight="1" spans="1:18">
      <c r="A1249" s="556" t="str">
        <f t="shared" ref="A1249:A1254" si="146">B1249</f>
        <v>Composição Auxiliar</v>
      </c>
      <c r="B1249" s="557" t="str">
        <f t="shared" ref="B1249:B1254" si="147">B1248</f>
        <v>Composição Auxiliar</v>
      </c>
      <c r="C1249" s="79" t="s">
        <v>2921</v>
      </c>
      <c r="D1249" s="78" t="s">
        <v>2993</v>
      </c>
      <c r="E1249" s="79" t="s">
        <v>139</v>
      </c>
      <c r="F1249" s="79" t="s">
        <v>2994</v>
      </c>
      <c r="G1249" s="79" t="s">
        <v>2995</v>
      </c>
      <c r="H1249" s="79"/>
      <c r="I1249" s="80" t="s">
        <v>2996</v>
      </c>
      <c r="J1249" s="583">
        <v>0.282</v>
      </c>
      <c r="K1249" s="583">
        <v>0</v>
      </c>
      <c r="L1249" s="92">
        <v>39.98</v>
      </c>
      <c r="M1249" s="92">
        <v>11.27</v>
      </c>
      <c r="N1249" s="573">
        <v>21.43</v>
      </c>
      <c r="O1249" s="556" t="str">
        <f t="shared" si="145"/>
        <v>DIF</v>
      </c>
      <c r="P1249" s="573"/>
      <c r="Q1249" s="556"/>
      <c r="R1249" s="582"/>
    </row>
    <row r="1250" ht="23.85" customHeight="1" spans="1:18">
      <c r="A1250" s="556" t="str">
        <f t="shared" si="146"/>
        <v>Composição Auxiliar</v>
      </c>
      <c r="B1250" s="557" t="str">
        <f t="shared" si="147"/>
        <v>Composição Auxiliar</v>
      </c>
      <c r="C1250" s="100" t="s">
        <v>2893</v>
      </c>
      <c r="D1250" s="99" t="s">
        <v>3338</v>
      </c>
      <c r="E1250" s="100" t="s">
        <v>139</v>
      </c>
      <c r="F1250" s="100" t="s">
        <v>3339</v>
      </c>
      <c r="G1250" s="100" t="s">
        <v>2961</v>
      </c>
      <c r="H1250" s="100"/>
      <c r="I1250" s="101" t="s">
        <v>204</v>
      </c>
      <c r="J1250" s="580">
        <v>1.227</v>
      </c>
      <c r="K1250" s="580">
        <v>0</v>
      </c>
      <c r="L1250" s="102">
        <v>14.58</v>
      </c>
      <c r="M1250" s="102">
        <v>17.88</v>
      </c>
      <c r="N1250" s="573">
        <v>4.14</v>
      </c>
      <c r="O1250" s="556" t="str">
        <f t="shared" si="145"/>
        <v>DIF</v>
      </c>
      <c r="P1250" s="573"/>
      <c r="Q1250" s="556"/>
      <c r="R1250" s="582"/>
    </row>
    <row r="1251" ht="15" customHeight="1" spans="1:18">
      <c r="A1251" s="556" t="str">
        <f t="shared" si="146"/>
        <v>Composição Auxiliar</v>
      </c>
      <c r="B1251" s="557" t="str">
        <f t="shared" si="147"/>
        <v>Composição Auxiliar</v>
      </c>
      <c r="C1251" s="100" t="s">
        <v>2893</v>
      </c>
      <c r="D1251" s="99" t="s">
        <v>3384</v>
      </c>
      <c r="E1251" s="100" t="s">
        <v>139</v>
      </c>
      <c r="F1251" s="100" t="s">
        <v>3385</v>
      </c>
      <c r="G1251" s="100" t="s">
        <v>2961</v>
      </c>
      <c r="H1251" s="100"/>
      <c r="I1251" s="101" t="s">
        <v>393</v>
      </c>
      <c r="J1251" s="580">
        <v>0.005</v>
      </c>
      <c r="K1251" s="580">
        <v>0</v>
      </c>
      <c r="L1251" s="102">
        <v>20.59</v>
      </c>
      <c r="M1251" s="102">
        <v>0.1</v>
      </c>
      <c r="N1251" s="573">
        <v>25.13</v>
      </c>
      <c r="O1251" s="556" t="str">
        <f t="shared" si="145"/>
        <v>DIF</v>
      </c>
      <c r="P1251" s="573"/>
      <c r="Q1251" s="556"/>
      <c r="R1251" s="582"/>
    </row>
    <row r="1252" ht="23.85" customHeight="1" spans="1:18">
      <c r="A1252" s="556" t="str">
        <f t="shared" si="146"/>
        <v>Composição Auxiliar</v>
      </c>
      <c r="B1252" s="557" t="str">
        <f t="shared" si="147"/>
        <v>Composição Auxiliar</v>
      </c>
      <c r="C1252" s="100" t="s">
        <v>2893</v>
      </c>
      <c r="D1252" s="99" t="s">
        <v>3342</v>
      </c>
      <c r="E1252" s="100" t="s">
        <v>139</v>
      </c>
      <c r="F1252" s="100" t="s">
        <v>3343</v>
      </c>
      <c r="G1252" s="100" t="s">
        <v>2961</v>
      </c>
      <c r="H1252" s="100"/>
      <c r="I1252" s="101" t="s">
        <v>3084</v>
      </c>
      <c r="J1252" s="580">
        <v>0.0167</v>
      </c>
      <c r="K1252" s="580">
        <v>0</v>
      </c>
      <c r="L1252" s="102">
        <v>7.97</v>
      </c>
      <c r="M1252" s="102">
        <v>0.13</v>
      </c>
      <c r="N1252" s="573">
        <v>0.17</v>
      </c>
      <c r="O1252" s="556" t="str">
        <f t="shared" si="145"/>
        <v>DIF</v>
      </c>
      <c r="P1252" s="573"/>
      <c r="Q1252" s="556"/>
      <c r="R1252" s="582"/>
    </row>
    <row r="1253" ht="15" customHeight="1" spans="1:18">
      <c r="A1253" s="556" t="str">
        <f t="shared" si="146"/>
        <v>Composição Auxiliar</v>
      </c>
      <c r="B1253" s="557" t="str">
        <f t="shared" si="147"/>
        <v>Composição Auxiliar</v>
      </c>
      <c r="C1253" s="100" t="s">
        <v>2893</v>
      </c>
      <c r="D1253" s="99" t="s">
        <v>3332</v>
      </c>
      <c r="E1253" s="100" t="s">
        <v>139</v>
      </c>
      <c r="F1253" s="100" t="s">
        <v>3333</v>
      </c>
      <c r="G1253" s="100" t="s">
        <v>2961</v>
      </c>
      <c r="H1253" s="100"/>
      <c r="I1253" s="101" t="s">
        <v>393</v>
      </c>
      <c r="J1253" s="580">
        <v>0.047</v>
      </c>
      <c r="K1253" s="580">
        <v>0</v>
      </c>
      <c r="L1253" s="102">
        <v>22.69</v>
      </c>
      <c r="M1253" s="102">
        <v>1.06</v>
      </c>
      <c r="N1253" s="573">
        <v>0.06</v>
      </c>
      <c r="O1253" s="556" t="str">
        <f t="shared" si="145"/>
        <v>DIF</v>
      </c>
      <c r="P1253" s="573"/>
      <c r="Q1253" s="556"/>
      <c r="R1253" s="582"/>
    </row>
    <row r="1254" ht="23.85" customHeight="1" spans="1:18">
      <c r="A1254" s="556" t="str">
        <f t="shared" si="146"/>
        <v>Composição Auxiliar</v>
      </c>
      <c r="B1254" s="557" t="str">
        <f t="shared" si="147"/>
        <v>Composição Auxiliar</v>
      </c>
      <c r="C1254" s="100" t="s">
        <v>2893</v>
      </c>
      <c r="D1254" s="99" t="s">
        <v>3334</v>
      </c>
      <c r="E1254" s="100" t="s">
        <v>139</v>
      </c>
      <c r="F1254" s="100" t="s">
        <v>3335</v>
      </c>
      <c r="G1254" s="100" t="s">
        <v>2961</v>
      </c>
      <c r="H1254" s="100"/>
      <c r="I1254" s="101" t="s">
        <v>204</v>
      </c>
      <c r="J1254" s="580">
        <v>3.609</v>
      </c>
      <c r="K1254" s="580">
        <v>0</v>
      </c>
      <c r="L1254" s="102">
        <v>3.07</v>
      </c>
      <c r="M1254" s="102">
        <v>11.07</v>
      </c>
      <c r="N1254" s="573">
        <v>582.53</v>
      </c>
      <c r="O1254" s="556" t="str">
        <f t="shared" si="145"/>
        <v>DIF</v>
      </c>
      <c r="P1254" s="573"/>
      <c r="Q1254" s="556"/>
      <c r="R1254" s="582"/>
    </row>
    <row r="1255" ht="15" customHeight="1" spans="1:18">
      <c r="A1255" s="556"/>
      <c r="B1255" s="557"/>
      <c r="C1255" s="100" t="s">
        <v>2893</v>
      </c>
      <c r="D1255" s="99" t="s">
        <v>3336</v>
      </c>
      <c r="E1255" s="100" t="s">
        <v>139</v>
      </c>
      <c r="F1255" s="100" t="s">
        <v>3337</v>
      </c>
      <c r="G1255" s="100" t="s">
        <v>2961</v>
      </c>
      <c r="H1255" s="100"/>
      <c r="I1255" s="101" t="s">
        <v>393</v>
      </c>
      <c r="J1255" s="580">
        <v>0.038</v>
      </c>
      <c r="K1255" s="580">
        <v>0</v>
      </c>
      <c r="L1255" s="102">
        <v>18.73</v>
      </c>
      <c r="M1255" s="102">
        <v>0.71</v>
      </c>
      <c r="N1255" s="573"/>
      <c r="O1255" s="556"/>
      <c r="P1255" s="573"/>
      <c r="Q1255" s="556"/>
      <c r="R1255" s="582"/>
    </row>
    <row r="1256" ht="25.5" spans="1:18">
      <c r="A1256" s="556"/>
      <c r="B1256" s="557"/>
      <c r="C1256" s="108"/>
      <c r="D1256" s="108"/>
      <c r="E1256" s="108"/>
      <c r="F1256" s="108"/>
      <c r="G1256" s="108"/>
      <c r="H1256" s="108" t="s">
        <v>2898</v>
      </c>
      <c r="I1256" s="581">
        <v>98.93</v>
      </c>
      <c r="J1256" s="108" t="s">
        <v>2899</v>
      </c>
      <c r="K1256" s="581">
        <v>0</v>
      </c>
      <c r="L1256" s="108" t="s">
        <v>2900</v>
      </c>
      <c r="M1256" s="581">
        <v>98.93</v>
      </c>
      <c r="N1256" s="573"/>
      <c r="O1256" s="556"/>
      <c r="P1256" s="573"/>
      <c r="Q1256" s="556"/>
      <c r="R1256" s="582"/>
    </row>
    <row r="1257" ht="26.25" spans="1:18">
      <c r="A1257" s="556"/>
      <c r="B1257" s="557">
        <f>C1256</f>
        <v>0</v>
      </c>
      <c r="C1257" s="108"/>
      <c r="D1257" s="108"/>
      <c r="E1257" s="108"/>
      <c r="F1257" s="108"/>
      <c r="G1257" s="108"/>
      <c r="H1257" s="108" t="s">
        <v>2901</v>
      </c>
      <c r="I1257" s="581">
        <v>42.61</v>
      </c>
      <c r="J1257" s="114"/>
      <c r="K1257" s="114" t="s">
        <v>2902</v>
      </c>
      <c r="L1257" s="108"/>
      <c r="M1257" s="581">
        <v>209.79</v>
      </c>
      <c r="N1257" s="573">
        <v>14.69</v>
      </c>
      <c r="O1257" s="556" t="str">
        <f t="shared" ref="O1257:O1262" si="148">IF(N1257=M1257,"OK","DIF")</f>
        <v>DIF</v>
      </c>
      <c r="P1257" s="573"/>
      <c r="Q1257" s="556"/>
      <c r="R1257" s="582"/>
    </row>
    <row r="1258" ht="15" spans="1:18">
      <c r="A1258" s="556">
        <f>B1258</f>
        <v>0</v>
      </c>
      <c r="B1258" s="557">
        <f>B1257</f>
        <v>0</v>
      </c>
      <c r="C1258" s="571"/>
      <c r="D1258" s="571"/>
      <c r="E1258" s="571"/>
      <c r="F1258" s="571"/>
      <c r="G1258" s="571"/>
      <c r="H1258" s="571"/>
      <c r="I1258" s="571"/>
      <c r="J1258" s="571"/>
      <c r="K1258" s="571"/>
      <c r="L1258" s="571"/>
      <c r="M1258" s="571"/>
      <c r="N1258" s="573">
        <v>0.46</v>
      </c>
      <c r="O1258" s="556" t="str">
        <f t="shared" si="148"/>
        <v>DIF</v>
      </c>
      <c r="P1258" s="573"/>
      <c r="Q1258" s="556"/>
      <c r="R1258" s="582"/>
    </row>
    <row r="1259" ht="15" customHeight="1" spans="1:18">
      <c r="A1259" s="556">
        <f>B1259</f>
        <v>0</v>
      </c>
      <c r="B1259" s="557">
        <f>B1258</f>
        <v>0</v>
      </c>
      <c r="C1259" s="76" t="s">
        <v>489</v>
      </c>
      <c r="D1259" s="75" t="s">
        <v>63</v>
      </c>
      <c r="E1259" s="76" t="s">
        <v>64</v>
      </c>
      <c r="F1259" s="76" t="s">
        <v>65</v>
      </c>
      <c r="G1259" s="76" t="s">
        <v>2889</v>
      </c>
      <c r="H1259" s="76"/>
      <c r="I1259" s="77" t="s">
        <v>66</v>
      </c>
      <c r="J1259" s="75" t="s">
        <v>67</v>
      </c>
      <c r="K1259" s="75" t="s">
        <v>2890</v>
      </c>
      <c r="L1259" s="75" t="s">
        <v>68</v>
      </c>
      <c r="M1259" s="75" t="s">
        <v>70</v>
      </c>
      <c r="N1259" s="573">
        <v>3.46</v>
      </c>
      <c r="O1259" s="556" t="str">
        <f t="shared" si="148"/>
        <v>DIF</v>
      </c>
      <c r="P1259" s="573"/>
      <c r="Q1259" s="556"/>
      <c r="R1259" s="582"/>
    </row>
    <row r="1260" ht="35.05" customHeight="1" spans="1:18">
      <c r="A1260" s="556">
        <f>B1260</f>
        <v>0</v>
      </c>
      <c r="B1260" s="557">
        <f>B1259</f>
        <v>0</v>
      </c>
      <c r="C1260" s="569" t="s">
        <v>2891</v>
      </c>
      <c r="D1260" s="570" t="s">
        <v>470</v>
      </c>
      <c r="E1260" s="569" t="s">
        <v>139</v>
      </c>
      <c r="F1260" s="569" t="s">
        <v>471</v>
      </c>
      <c r="G1260" s="569" t="s">
        <v>3310</v>
      </c>
      <c r="H1260" s="569"/>
      <c r="I1260" s="577" t="s">
        <v>141</v>
      </c>
      <c r="J1260" s="578">
        <v>1</v>
      </c>
      <c r="K1260" s="579"/>
      <c r="L1260" s="579">
        <v>83.04</v>
      </c>
      <c r="M1260" s="579">
        <v>83.04</v>
      </c>
      <c r="N1260" s="573">
        <v>9.87</v>
      </c>
      <c r="O1260" s="556" t="str">
        <f t="shared" si="148"/>
        <v>DIF</v>
      </c>
      <c r="P1260" s="573"/>
      <c r="Q1260" s="556"/>
      <c r="R1260" s="582"/>
    </row>
    <row r="1261" ht="23.85" customHeight="1" spans="1:18">
      <c r="A1261" s="556">
        <f>B1261</f>
        <v>0</v>
      </c>
      <c r="B1261" s="557">
        <f>B1260</f>
        <v>0</v>
      </c>
      <c r="C1261" s="79" t="s">
        <v>2921</v>
      </c>
      <c r="D1261" s="78" t="s">
        <v>2993</v>
      </c>
      <c r="E1261" s="79" t="s">
        <v>139</v>
      </c>
      <c r="F1261" s="79" t="s">
        <v>2994</v>
      </c>
      <c r="G1261" s="79" t="s">
        <v>2995</v>
      </c>
      <c r="H1261" s="79"/>
      <c r="I1261" s="80" t="s">
        <v>2996</v>
      </c>
      <c r="J1261" s="583">
        <v>0.053</v>
      </c>
      <c r="K1261" s="583">
        <v>0</v>
      </c>
      <c r="L1261" s="92">
        <v>39.98</v>
      </c>
      <c r="M1261" s="92">
        <v>2.11</v>
      </c>
      <c r="N1261" s="573">
        <v>0.26</v>
      </c>
      <c r="O1261" s="556" t="str">
        <f t="shared" si="148"/>
        <v>DIF</v>
      </c>
      <c r="P1261" s="573"/>
      <c r="Q1261" s="556"/>
      <c r="R1261" s="582"/>
    </row>
    <row r="1262" ht="23.85" customHeight="1" spans="1:18">
      <c r="A1262" s="556">
        <f>B1262</f>
        <v>0</v>
      </c>
      <c r="B1262" s="557">
        <f>B1261</f>
        <v>0</v>
      </c>
      <c r="C1262" s="79" t="s">
        <v>2921</v>
      </c>
      <c r="D1262" s="78" t="s">
        <v>3003</v>
      </c>
      <c r="E1262" s="79" t="s">
        <v>139</v>
      </c>
      <c r="F1262" s="79" t="s">
        <v>3004</v>
      </c>
      <c r="G1262" s="79" t="s">
        <v>2928</v>
      </c>
      <c r="H1262" s="79"/>
      <c r="I1262" s="80" t="s">
        <v>2897</v>
      </c>
      <c r="J1262" s="583">
        <v>0.477</v>
      </c>
      <c r="K1262" s="583">
        <v>0</v>
      </c>
      <c r="L1262" s="92">
        <v>29.91</v>
      </c>
      <c r="M1262" s="92">
        <v>14.26</v>
      </c>
      <c r="N1262" s="573">
        <v>0.64</v>
      </c>
      <c r="O1262" s="556" t="str">
        <f t="shared" si="148"/>
        <v>DIF</v>
      </c>
      <c r="P1262" s="573"/>
      <c r="Q1262" s="556"/>
      <c r="R1262" s="582"/>
    </row>
    <row r="1263" ht="23.85" customHeight="1" spans="1:18">
      <c r="A1263" s="556"/>
      <c r="B1263" s="557"/>
      <c r="C1263" s="79" t="s">
        <v>2921</v>
      </c>
      <c r="D1263" s="78" t="s">
        <v>2954</v>
      </c>
      <c r="E1263" s="79" t="s">
        <v>139</v>
      </c>
      <c r="F1263" s="79" t="s">
        <v>2955</v>
      </c>
      <c r="G1263" s="79" t="s">
        <v>2928</v>
      </c>
      <c r="H1263" s="79"/>
      <c r="I1263" s="80" t="s">
        <v>2897</v>
      </c>
      <c r="J1263" s="583">
        <v>1.088</v>
      </c>
      <c r="K1263" s="583">
        <v>0</v>
      </c>
      <c r="L1263" s="92">
        <v>37.51</v>
      </c>
      <c r="M1263" s="92">
        <v>40.81</v>
      </c>
      <c r="N1263" s="573"/>
      <c r="O1263" s="556"/>
      <c r="P1263" s="573"/>
      <c r="Q1263" s="556"/>
      <c r="R1263" s="582"/>
    </row>
    <row r="1264" ht="23.85" customHeight="1" spans="1:18">
      <c r="A1264" s="556"/>
      <c r="B1264" s="557"/>
      <c r="C1264" s="79" t="s">
        <v>2921</v>
      </c>
      <c r="D1264" s="78" t="s">
        <v>3000</v>
      </c>
      <c r="E1264" s="79" t="s">
        <v>139</v>
      </c>
      <c r="F1264" s="79" t="s">
        <v>3001</v>
      </c>
      <c r="G1264" s="79" t="s">
        <v>2995</v>
      </c>
      <c r="H1264" s="79"/>
      <c r="I1264" s="80" t="s">
        <v>3002</v>
      </c>
      <c r="J1264" s="583">
        <v>0.013</v>
      </c>
      <c r="K1264" s="583">
        <v>0</v>
      </c>
      <c r="L1264" s="92">
        <v>41.6</v>
      </c>
      <c r="M1264" s="92">
        <v>0.54</v>
      </c>
      <c r="N1264" s="573"/>
      <c r="O1264" s="556"/>
      <c r="P1264" s="573"/>
      <c r="Q1264" s="556"/>
      <c r="R1264" s="582"/>
    </row>
    <row r="1265" ht="23.85" customHeight="1" spans="1:18">
      <c r="A1265" s="556"/>
      <c r="B1265" s="557" t="str">
        <f>C1264</f>
        <v>Composição Auxiliar</v>
      </c>
      <c r="C1265" s="100" t="s">
        <v>2893</v>
      </c>
      <c r="D1265" s="99" t="s">
        <v>3342</v>
      </c>
      <c r="E1265" s="100" t="s">
        <v>139</v>
      </c>
      <c r="F1265" s="100" t="s">
        <v>3343</v>
      </c>
      <c r="G1265" s="100" t="s">
        <v>2961</v>
      </c>
      <c r="H1265" s="100"/>
      <c r="I1265" s="101" t="s">
        <v>3084</v>
      </c>
      <c r="J1265" s="580">
        <v>0.0167</v>
      </c>
      <c r="K1265" s="580">
        <v>0</v>
      </c>
      <c r="L1265" s="102">
        <v>7.97</v>
      </c>
      <c r="M1265" s="102">
        <v>0.13</v>
      </c>
      <c r="N1265" s="573">
        <v>12.44</v>
      </c>
      <c r="O1265" s="556" t="str">
        <f t="shared" ref="O1265:O1270" si="149">IF(N1265=M1265,"OK","DIF")</f>
        <v>DIF</v>
      </c>
      <c r="P1265" s="573"/>
      <c r="Q1265" s="556"/>
      <c r="R1265" s="582"/>
    </row>
    <row r="1266" ht="15" customHeight="1" spans="1:18">
      <c r="A1266" s="556" t="str">
        <f>B1266</f>
        <v>Composição Auxiliar</v>
      </c>
      <c r="B1266" s="557" t="str">
        <f>B1265</f>
        <v>Composição Auxiliar</v>
      </c>
      <c r="C1266" s="100" t="s">
        <v>2893</v>
      </c>
      <c r="D1266" s="99" t="s">
        <v>3336</v>
      </c>
      <c r="E1266" s="100" t="s">
        <v>139</v>
      </c>
      <c r="F1266" s="100" t="s">
        <v>3337</v>
      </c>
      <c r="G1266" s="100" t="s">
        <v>2961</v>
      </c>
      <c r="H1266" s="100"/>
      <c r="I1266" s="101" t="s">
        <v>393</v>
      </c>
      <c r="J1266" s="580">
        <v>0.026</v>
      </c>
      <c r="K1266" s="580">
        <v>0</v>
      </c>
      <c r="L1266" s="102">
        <v>18.73</v>
      </c>
      <c r="M1266" s="102">
        <v>0.48</v>
      </c>
      <c r="N1266" s="573">
        <v>9.59</v>
      </c>
      <c r="O1266" s="556" t="str">
        <f t="shared" si="149"/>
        <v>DIF</v>
      </c>
      <c r="P1266" s="573"/>
      <c r="Q1266" s="556"/>
      <c r="R1266" s="582"/>
    </row>
    <row r="1267" ht="23.85" customHeight="1" spans="1:18">
      <c r="A1267" s="556" t="str">
        <f>B1267</f>
        <v>Composição Auxiliar</v>
      </c>
      <c r="B1267" s="557" t="str">
        <f>B1266</f>
        <v>Composição Auxiliar</v>
      </c>
      <c r="C1267" s="100" t="s">
        <v>2893</v>
      </c>
      <c r="D1267" s="99" t="s">
        <v>3338</v>
      </c>
      <c r="E1267" s="100" t="s">
        <v>139</v>
      </c>
      <c r="F1267" s="100" t="s">
        <v>3339</v>
      </c>
      <c r="G1267" s="100" t="s">
        <v>2961</v>
      </c>
      <c r="H1267" s="100"/>
      <c r="I1267" s="101" t="s">
        <v>204</v>
      </c>
      <c r="J1267" s="580">
        <v>1.134</v>
      </c>
      <c r="K1267" s="580">
        <v>0</v>
      </c>
      <c r="L1267" s="102">
        <v>14.58</v>
      </c>
      <c r="M1267" s="102">
        <v>16.53</v>
      </c>
      <c r="N1267" s="573">
        <v>0.24</v>
      </c>
      <c r="O1267" s="556" t="str">
        <f t="shared" si="149"/>
        <v>DIF</v>
      </c>
      <c r="P1267" s="573"/>
      <c r="Q1267" s="556"/>
      <c r="R1267" s="582"/>
    </row>
    <row r="1268" ht="23.85" customHeight="1" spans="1:18">
      <c r="A1268" s="556" t="str">
        <f>B1268</f>
        <v>Composição Auxiliar</v>
      </c>
      <c r="B1268" s="557" t="str">
        <f>B1267</f>
        <v>Composição Auxiliar</v>
      </c>
      <c r="C1268" s="100" t="s">
        <v>2893</v>
      </c>
      <c r="D1268" s="99" t="s">
        <v>3334</v>
      </c>
      <c r="E1268" s="100" t="s">
        <v>139</v>
      </c>
      <c r="F1268" s="100" t="s">
        <v>3335</v>
      </c>
      <c r="G1268" s="100" t="s">
        <v>2961</v>
      </c>
      <c r="H1268" s="100"/>
      <c r="I1268" s="101" t="s">
        <v>204</v>
      </c>
      <c r="J1268" s="580">
        <v>0.547</v>
      </c>
      <c r="K1268" s="580">
        <v>0</v>
      </c>
      <c r="L1268" s="102">
        <v>3.07</v>
      </c>
      <c r="M1268" s="102">
        <v>1.67</v>
      </c>
      <c r="N1268" s="573">
        <v>1.81</v>
      </c>
      <c r="O1268" s="556" t="str">
        <f t="shared" si="149"/>
        <v>DIF</v>
      </c>
      <c r="P1268" s="573"/>
      <c r="Q1268" s="556"/>
      <c r="R1268" s="582"/>
    </row>
    <row r="1269" ht="23.85" customHeight="1" spans="1:18">
      <c r="A1269" s="556" t="str">
        <f>B1269</f>
        <v>Composição Auxiliar</v>
      </c>
      <c r="B1269" s="557" t="str">
        <f>B1268</f>
        <v>Composição Auxiliar</v>
      </c>
      <c r="C1269" s="100" t="s">
        <v>2893</v>
      </c>
      <c r="D1269" s="99" t="s">
        <v>3007</v>
      </c>
      <c r="E1269" s="100" t="s">
        <v>139</v>
      </c>
      <c r="F1269" s="100" t="s">
        <v>3008</v>
      </c>
      <c r="G1269" s="100" t="s">
        <v>2961</v>
      </c>
      <c r="H1269" s="100"/>
      <c r="I1269" s="101" t="s">
        <v>204</v>
      </c>
      <c r="J1269" s="580">
        <v>0.605</v>
      </c>
      <c r="K1269" s="580">
        <v>0</v>
      </c>
      <c r="L1269" s="102">
        <v>8.79</v>
      </c>
      <c r="M1269" s="102">
        <v>5.31</v>
      </c>
      <c r="N1269" s="573">
        <v>0.16</v>
      </c>
      <c r="O1269" s="556" t="str">
        <f t="shared" si="149"/>
        <v>DIF</v>
      </c>
      <c r="P1269" s="573"/>
      <c r="Q1269" s="556"/>
      <c r="R1269" s="582"/>
    </row>
    <row r="1270" ht="15" customHeight="1" spans="1:18">
      <c r="A1270" s="556" t="str">
        <f>B1270</f>
        <v>Composição Auxiliar</v>
      </c>
      <c r="B1270" s="557" t="str">
        <f>B1269</f>
        <v>Composição Auxiliar</v>
      </c>
      <c r="C1270" s="100" t="s">
        <v>2893</v>
      </c>
      <c r="D1270" s="99" t="s">
        <v>3332</v>
      </c>
      <c r="E1270" s="100" t="s">
        <v>139</v>
      </c>
      <c r="F1270" s="100" t="s">
        <v>3333</v>
      </c>
      <c r="G1270" s="100" t="s">
        <v>2961</v>
      </c>
      <c r="H1270" s="100"/>
      <c r="I1270" s="101" t="s">
        <v>393</v>
      </c>
      <c r="J1270" s="580">
        <v>0.053</v>
      </c>
      <c r="K1270" s="580">
        <v>0</v>
      </c>
      <c r="L1270" s="102">
        <v>22.69</v>
      </c>
      <c r="M1270" s="102">
        <v>1.2</v>
      </c>
      <c r="N1270" s="573">
        <v>0.64</v>
      </c>
      <c r="O1270" s="556" t="str">
        <f t="shared" si="149"/>
        <v>DIF</v>
      </c>
      <c r="P1270" s="573"/>
      <c r="Q1270" s="556"/>
      <c r="R1270" s="582"/>
    </row>
    <row r="1271" ht="25.5" spans="1:18">
      <c r="A1271" s="556"/>
      <c r="B1271" s="557"/>
      <c r="C1271" s="108"/>
      <c r="D1271" s="108"/>
      <c r="E1271" s="108"/>
      <c r="F1271" s="108"/>
      <c r="G1271" s="108"/>
      <c r="H1271" s="108" t="s">
        <v>2898</v>
      </c>
      <c r="I1271" s="581">
        <v>41.77</v>
      </c>
      <c r="J1271" s="108" t="s">
        <v>2899</v>
      </c>
      <c r="K1271" s="581">
        <v>0</v>
      </c>
      <c r="L1271" s="108" t="s">
        <v>2900</v>
      </c>
      <c r="M1271" s="581">
        <v>41.77</v>
      </c>
      <c r="N1271" s="573"/>
      <c r="O1271" s="556"/>
      <c r="P1271" s="573"/>
      <c r="Q1271" s="556"/>
      <c r="R1271" s="582"/>
    </row>
    <row r="1272" ht="26.25" spans="1:18">
      <c r="A1272" s="556"/>
      <c r="B1272" s="557"/>
      <c r="C1272" s="108"/>
      <c r="D1272" s="108"/>
      <c r="E1272" s="108"/>
      <c r="F1272" s="108"/>
      <c r="G1272" s="108"/>
      <c r="H1272" s="108" t="s">
        <v>2901</v>
      </c>
      <c r="I1272" s="581">
        <v>21.16</v>
      </c>
      <c r="J1272" s="114"/>
      <c r="K1272" s="114" t="s">
        <v>2902</v>
      </c>
      <c r="L1272" s="108"/>
      <c r="M1272" s="581">
        <v>104.2</v>
      </c>
      <c r="N1272" s="573"/>
      <c r="O1272" s="556"/>
      <c r="P1272" s="573"/>
      <c r="Q1272" s="556"/>
      <c r="R1272" s="582"/>
    </row>
    <row r="1273" ht="15" spans="1:18">
      <c r="A1273" s="556"/>
      <c r="B1273" s="557">
        <f>C1272</f>
        <v>0</v>
      </c>
      <c r="C1273" s="571"/>
      <c r="D1273" s="571"/>
      <c r="E1273" s="571"/>
      <c r="F1273" s="571"/>
      <c r="G1273" s="571"/>
      <c r="H1273" s="571"/>
      <c r="I1273" s="571"/>
      <c r="J1273" s="571"/>
      <c r="K1273" s="571"/>
      <c r="L1273" s="571"/>
      <c r="M1273" s="571"/>
      <c r="N1273" s="573">
        <v>10.99</v>
      </c>
      <c r="O1273" s="556" t="str">
        <f t="shared" ref="O1273:O1278" si="150">IF(N1273=M1273,"OK","DIF")</f>
        <v>DIF</v>
      </c>
      <c r="P1273" s="573"/>
      <c r="Q1273" s="556"/>
      <c r="R1273" s="582"/>
    </row>
    <row r="1274" ht="15" customHeight="1" spans="1:18">
      <c r="A1274" s="556">
        <f>B1274</f>
        <v>0</v>
      </c>
      <c r="B1274" s="557">
        <f>B1273</f>
        <v>0</v>
      </c>
      <c r="C1274" s="76" t="s">
        <v>491</v>
      </c>
      <c r="D1274" s="75" t="s">
        <v>63</v>
      </c>
      <c r="E1274" s="76" t="s">
        <v>64</v>
      </c>
      <c r="F1274" s="76" t="s">
        <v>65</v>
      </c>
      <c r="G1274" s="76" t="s">
        <v>2889</v>
      </c>
      <c r="H1274" s="76"/>
      <c r="I1274" s="77" t="s">
        <v>66</v>
      </c>
      <c r="J1274" s="75" t="s">
        <v>67</v>
      </c>
      <c r="K1274" s="75" t="s">
        <v>2890</v>
      </c>
      <c r="L1274" s="75" t="s">
        <v>68</v>
      </c>
      <c r="M1274" s="75" t="s">
        <v>70</v>
      </c>
      <c r="N1274" s="573">
        <v>0.17</v>
      </c>
      <c r="O1274" s="556" t="str">
        <f t="shared" si="150"/>
        <v>DIF</v>
      </c>
      <c r="P1274" s="573"/>
      <c r="Q1274" s="556"/>
      <c r="R1274" s="582"/>
    </row>
    <row r="1275" ht="35.05" customHeight="1" spans="1:18">
      <c r="A1275" s="556">
        <f>B1275</f>
        <v>0</v>
      </c>
      <c r="B1275" s="557">
        <f>B1274</f>
        <v>0</v>
      </c>
      <c r="C1275" s="569" t="s">
        <v>2891</v>
      </c>
      <c r="D1275" s="570" t="s">
        <v>492</v>
      </c>
      <c r="E1275" s="569" t="s">
        <v>139</v>
      </c>
      <c r="F1275" s="569" t="s">
        <v>493</v>
      </c>
      <c r="G1275" s="569" t="s">
        <v>3317</v>
      </c>
      <c r="H1275" s="569"/>
      <c r="I1275" s="577" t="s">
        <v>393</v>
      </c>
      <c r="J1275" s="578">
        <v>1</v>
      </c>
      <c r="K1275" s="579"/>
      <c r="L1275" s="579">
        <v>16.13</v>
      </c>
      <c r="M1275" s="579">
        <v>16.13</v>
      </c>
      <c r="N1275" s="573">
        <v>1.27</v>
      </c>
      <c r="O1275" s="556" t="str">
        <f t="shared" si="150"/>
        <v>DIF</v>
      </c>
      <c r="P1275" s="573"/>
      <c r="Q1275" s="556"/>
      <c r="R1275" s="582"/>
    </row>
    <row r="1276" ht="23.85" customHeight="1" spans="1:18">
      <c r="A1276" s="556">
        <f>B1276</f>
        <v>0</v>
      </c>
      <c r="B1276" s="557">
        <f>B1275</f>
        <v>0</v>
      </c>
      <c r="C1276" s="79" t="s">
        <v>2921</v>
      </c>
      <c r="D1276" s="78" t="s">
        <v>3311</v>
      </c>
      <c r="E1276" s="79" t="s">
        <v>139</v>
      </c>
      <c r="F1276" s="79" t="s">
        <v>3312</v>
      </c>
      <c r="G1276" s="79" t="s">
        <v>2928</v>
      </c>
      <c r="H1276" s="79"/>
      <c r="I1276" s="80" t="s">
        <v>2897</v>
      </c>
      <c r="J1276" s="583">
        <v>0.0175</v>
      </c>
      <c r="K1276" s="583">
        <v>0</v>
      </c>
      <c r="L1276" s="92">
        <v>30.06</v>
      </c>
      <c r="M1276" s="92">
        <v>0.52</v>
      </c>
      <c r="N1276" s="573">
        <v>8.8</v>
      </c>
      <c r="O1276" s="556" t="str">
        <f t="shared" si="150"/>
        <v>DIF</v>
      </c>
      <c r="P1276" s="573"/>
      <c r="Q1276" s="556"/>
      <c r="R1276" s="582"/>
    </row>
    <row r="1277" ht="23.85" customHeight="1" spans="1:18">
      <c r="A1277" s="556">
        <f>B1277</f>
        <v>0</v>
      </c>
      <c r="B1277" s="557">
        <f>B1276</f>
        <v>0</v>
      </c>
      <c r="C1277" s="79" t="s">
        <v>2921</v>
      </c>
      <c r="D1277" s="78" t="s">
        <v>3313</v>
      </c>
      <c r="E1277" s="79" t="s">
        <v>139</v>
      </c>
      <c r="F1277" s="79" t="s">
        <v>3314</v>
      </c>
      <c r="G1277" s="79" t="s">
        <v>2928</v>
      </c>
      <c r="H1277" s="79"/>
      <c r="I1277" s="80" t="s">
        <v>2897</v>
      </c>
      <c r="J1277" s="583">
        <v>0.1069</v>
      </c>
      <c r="K1277" s="583">
        <v>0</v>
      </c>
      <c r="L1277" s="92">
        <v>35.95</v>
      </c>
      <c r="M1277" s="92">
        <v>3.84</v>
      </c>
      <c r="N1277" s="573">
        <v>0.64</v>
      </c>
      <c r="O1277" s="556" t="str">
        <f t="shared" si="150"/>
        <v>DIF</v>
      </c>
      <c r="P1277" s="573"/>
      <c r="Q1277" s="556"/>
      <c r="R1277" s="582"/>
    </row>
    <row r="1278" ht="23.85" customHeight="1" spans="1:18">
      <c r="A1278" s="556">
        <f>B1278</f>
        <v>0</v>
      </c>
      <c r="B1278" s="557">
        <f>B1277</f>
        <v>0</v>
      </c>
      <c r="C1278" s="79" t="s">
        <v>2921</v>
      </c>
      <c r="D1278" s="78" t="s">
        <v>3378</v>
      </c>
      <c r="E1278" s="79" t="s">
        <v>139</v>
      </c>
      <c r="F1278" s="79" t="s">
        <v>3379</v>
      </c>
      <c r="G1278" s="79" t="s">
        <v>3317</v>
      </c>
      <c r="H1278" s="79"/>
      <c r="I1278" s="80" t="s">
        <v>393</v>
      </c>
      <c r="J1278" s="583">
        <v>1</v>
      </c>
      <c r="K1278" s="583">
        <v>0</v>
      </c>
      <c r="L1278" s="92">
        <v>10.96</v>
      </c>
      <c r="M1278" s="92">
        <v>10.96</v>
      </c>
      <c r="N1278" s="573">
        <v>0.11</v>
      </c>
      <c r="O1278" s="556" t="str">
        <f t="shared" si="150"/>
        <v>DIF</v>
      </c>
      <c r="P1278" s="573"/>
      <c r="Q1278" s="556"/>
      <c r="R1278" s="582"/>
    </row>
    <row r="1279" ht="23.85" customHeight="1" spans="1:18">
      <c r="A1279" s="556"/>
      <c r="B1279" s="557"/>
      <c r="C1279" s="100" t="s">
        <v>2893</v>
      </c>
      <c r="D1279" s="99" t="s">
        <v>3318</v>
      </c>
      <c r="E1279" s="100" t="s">
        <v>139</v>
      </c>
      <c r="F1279" s="100" t="s">
        <v>3319</v>
      </c>
      <c r="G1279" s="100" t="s">
        <v>2961</v>
      </c>
      <c r="H1279" s="100"/>
      <c r="I1279" s="101" t="s">
        <v>393</v>
      </c>
      <c r="J1279" s="580">
        <v>0.025</v>
      </c>
      <c r="K1279" s="580">
        <v>0</v>
      </c>
      <c r="L1279" s="102">
        <v>22</v>
      </c>
      <c r="M1279" s="102">
        <v>0.55</v>
      </c>
      <c r="N1279" s="573"/>
      <c r="O1279" s="556"/>
      <c r="P1279" s="573"/>
      <c r="Q1279" s="556"/>
      <c r="R1279" s="582"/>
    </row>
    <row r="1280" ht="23.85" customHeight="1" spans="1:18">
      <c r="A1280" s="556"/>
      <c r="B1280" s="557"/>
      <c r="C1280" s="100" t="s">
        <v>2893</v>
      </c>
      <c r="D1280" s="99" t="s">
        <v>3320</v>
      </c>
      <c r="E1280" s="100" t="s">
        <v>139</v>
      </c>
      <c r="F1280" s="100" t="s">
        <v>3321</v>
      </c>
      <c r="G1280" s="100" t="s">
        <v>2961</v>
      </c>
      <c r="H1280" s="100"/>
      <c r="I1280" s="101" t="s">
        <v>134</v>
      </c>
      <c r="J1280" s="580">
        <v>1.19</v>
      </c>
      <c r="K1280" s="580">
        <v>0</v>
      </c>
      <c r="L1280" s="102">
        <v>0.22</v>
      </c>
      <c r="M1280" s="102">
        <v>0.26</v>
      </c>
      <c r="N1280" s="573"/>
      <c r="O1280" s="556"/>
      <c r="P1280" s="573"/>
      <c r="Q1280" s="556"/>
      <c r="R1280" s="582"/>
    </row>
    <row r="1281" ht="25.5" spans="1:18">
      <c r="A1281" s="556"/>
      <c r="B1281" s="557" t="str">
        <f>C1280</f>
        <v>Insumo</v>
      </c>
      <c r="C1281" s="108"/>
      <c r="D1281" s="108"/>
      <c r="E1281" s="108"/>
      <c r="F1281" s="108"/>
      <c r="G1281" s="108"/>
      <c r="H1281" s="108" t="s">
        <v>2898</v>
      </c>
      <c r="I1281" s="581">
        <v>4.81</v>
      </c>
      <c r="J1281" s="108" t="s">
        <v>2899</v>
      </c>
      <c r="K1281" s="581">
        <v>0</v>
      </c>
      <c r="L1281" s="108" t="s">
        <v>2900</v>
      </c>
      <c r="M1281" s="581">
        <v>4.81</v>
      </c>
      <c r="N1281" s="573">
        <v>12.88</v>
      </c>
      <c r="O1281" s="556" t="str">
        <f t="shared" ref="O1281:O1286" si="151">IF(N1281=M1281,"OK","DIF")</f>
        <v>DIF</v>
      </c>
      <c r="P1281" s="573"/>
      <c r="Q1281" s="556"/>
      <c r="R1281" s="582"/>
    </row>
    <row r="1282" ht="26.25" spans="1:18">
      <c r="A1282" s="556" t="str">
        <f>B1282</f>
        <v>Insumo</v>
      </c>
      <c r="B1282" s="557" t="str">
        <f>B1281</f>
        <v>Insumo</v>
      </c>
      <c r="C1282" s="108"/>
      <c r="D1282" s="108"/>
      <c r="E1282" s="108"/>
      <c r="F1282" s="108"/>
      <c r="G1282" s="108"/>
      <c r="H1282" s="108" t="s">
        <v>2901</v>
      </c>
      <c r="I1282" s="581">
        <v>4.11</v>
      </c>
      <c r="J1282" s="114"/>
      <c r="K1282" s="114" t="s">
        <v>2902</v>
      </c>
      <c r="L1282" s="108"/>
      <c r="M1282" s="581">
        <v>20.24</v>
      </c>
      <c r="N1282" s="573">
        <v>0.26</v>
      </c>
      <c r="O1282" s="556" t="str">
        <f t="shared" si="151"/>
        <v>DIF</v>
      </c>
      <c r="P1282" s="573"/>
      <c r="Q1282" s="556"/>
      <c r="R1282" s="582"/>
    </row>
    <row r="1283" ht="15" spans="1:18">
      <c r="A1283" s="556" t="str">
        <f>B1283</f>
        <v>Insumo</v>
      </c>
      <c r="B1283" s="557" t="str">
        <f>B1282</f>
        <v>Insumo</v>
      </c>
      <c r="C1283" s="571"/>
      <c r="D1283" s="571"/>
      <c r="E1283" s="571"/>
      <c r="F1283" s="571"/>
      <c r="G1283" s="571"/>
      <c r="H1283" s="571"/>
      <c r="I1283" s="571"/>
      <c r="J1283" s="571"/>
      <c r="K1283" s="571"/>
      <c r="L1283" s="571"/>
      <c r="M1283" s="571"/>
      <c r="N1283" s="573">
        <v>1.93</v>
      </c>
      <c r="O1283" s="556" t="str">
        <f t="shared" si="151"/>
        <v>DIF</v>
      </c>
      <c r="P1283" s="573"/>
      <c r="Q1283" s="556"/>
      <c r="R1283" s="582"/>
    </row>
    <row r="1284" ht="15" customHeight="1" spans="1:18">
      <c r="A1284" s="556" t="str">
        <f>B1284</f>
        <v>Insumo</v>
      </c>
      <c r="B1284" s="557" t="str">
        <f>B1283</f>
        <v>Insumo</v>
      </c>
      <c r="C1284" s="76" t="s">
        <v>494</v>
      </c>
      <c r="D1284" s="75" t="s">
        <v>63</v>
      </c>
      <c r="E1284" s="76" t="s">
        <v>64</v>
      </c>
      <c r="F1284" s="76" t="s">
        <v>65</v>
      </c>
      <c r="G1284" s="76" t="s">
        <v>2889</v>
      </c>
      <c r="H1284" s="76"/>
      <c r="I1284" s="77" t="s">
        <v>66</v>
      </c>
      <c r="J1284" s="75" t="s">
        <v>67</v>
      </c>
      <c r="K1284" s="75" t="s">
        <v>2890</v>
      </c>
      <c r="L1284" s="75" t="s">
        <v>68</v>
      </c>
      <c r="M1284" s="75" t="s">
        <v>70</v>
      </c>
      <c r="N1284" s="573">
        <v>9.76</v>
      </c>
      <c r="O1284" s="556" t="str">
        <f t="shared" si="151"/>
        <v>DIF</v>
      </c>
      <c r="P1284" s="573"/>
      <c r="Q1284" s="556"/>
      <c r="R1284" s="582"/>
    </row>
    <row r="1285" ht="35.05" customHeight="1" spans="1:18">
      <c r="A1285" s="556" t="str">
        <f>B1285</f>
        <v>Insumo</v>
      </c>
      <c r="B1285" s="557" t="str">
        <f>B1284</f>
        <v>Insumo</v>
      </c>
      <c r="C1285" s="569" t="s">
        <v>2891</v>
      </c>
      <c r="D1285" s="570" t="s">
        <v>495</v>
      </c>
      <c r="E1285" s="569" t="s">
        <v>139</v>
      </c>
      <c r="F1285" s="569" t="s">
        <v>496</v>
      </c>
      <c r="G1285" s="569" t="s">
        <v>3317</v>
      </c>
      <c r="H1285" s="569"/>
      <c r="I1285" s="577" t="s">
        <v>393</v>
      </c>
      <c r="J1285" s="578">
        <v>1</v>
      </c>
      <c r="K1285" s="579"/>
      <c r="L1285" s="579">
        <v>14.82</v>
      </c>
      <c r="M1285" s="579">
        <v>14.82</v>
      </c>
      <c r="N1285" s="573">
        <v>0.64</v>
      </c>
      <c r="O1285" s="556" t="str">
        <f t="shared" si="151"/>
        <v>DIF</v>
      </c>
      <c r="P1285" s="573"/>
      <c r="Q1285" s="556"/>
      <c r="R1285" s="582"/>
    </row>
    <row r="1286" ht="23.85" customHeight="1" spans="1:18">
      <c r="A1286" s="556" t="str">
        <f>B1286</f>
        <v>Insumo</v>
      </c>
      <c r="B1286" s="557" t="str">
        <f>B1285</f>
        <v>Insumo</v>
      </c>
      <c r="C1286" s="79" t="s">
        <v>2921</v>
      </c>
      <c r="D1286" s="78" t="s">
        <v>3313</v>
      </c>
      <c r="E1286" s="79" t="s">
        <v>139</v>
      </c>
      <c r="F1286" s="79" t="s">
        <v>3314</v>
      </c>
      <c r="G1286" s="79" t="s">
        <v>2928</v>
      </c>
      <c r="H1286" s="79"/>
      <c r="I1286" s="80" t="s">
        <v>2897</v>
      </c>
      <c r="J1286" s="583">
        <v>0.079</v>
      </c>
      <c r="K1286" s="583">
        <v>0</v>
      </c>
      <c r="L1286" s="92">
        <v>35.95</v>
      </c>
      <c r="M1286" s="92">
        <v>2.84</v>
      </c>
      <c r="N1286" s="573">
        <v>0.29</v>
      </c>
      <c r="O1286" s="556" t="str">
        <f t="shared" si="151"/>
        <v>DIF</v>
      </c>
      <c r="P1286" s="573"/>
      <c r="Q1286" s="556"/>
      <c r="R1286" s="582"/>
    </row>
    <row r="1287" ht="23.85" customHeight="1" spans="1:18">
      <c r="A1287" s="556"/>
      <c r="B1287" s="557"/>
      <c r="C1287" s="79" t="s">
        <v>2921</v>
      </c>
      <c r="D1287" s="78" t="s">
        <v>3311</v>
      </c>
      <c r="E1287" s="79" t="s">
        <v>139</v>
      </c>
      <c r="F1287" s="79" t="s">
        <v>3312</v>
      </c>
      <c r="G1287" s="79" t="s">
        <v>2928</v>
      </c>
      <c r="H1287" s="79"/>
      <c r="I1287" s="80" t="s">
        <v>2897</v>
      </c>
      <c r="J1287" s="583">
        <v>0.0129</v>
      </c>
      <c r="K1287" s="583">
        <v>0</v>
      </c>
      <c r="L1287" s="92">
        <v>30.06</v>
      </c>
      <c r="M1287" s="92">
        <v>0.38</v>
      </c>
      <c r="N1287" s="573"/>
      <c r="O1287" s="556"/>
      <c r="P1287" s="573"/>
      <c r="Q1287" s="556"/>
      <c r="R1287" s="582"/>
    </row>
    <row r="1288" ht="23.85" customHeight="1" spans="1:18">
      <c r="A1288" s="556"/>
      <c r="B1288" s="557"/>
      <c r="C1288" s="79" t="s">
        <v>2921</v>
      </c>
      <c r="D1288" s="78" t="s">
        <v>3315</v>
      </c>
      <c r="E1288" s="79" t="s">
        <v>139</v>
      </c>
      <c r="F1288" s="79" t="s">
        <v>3316</v>
      </c>
      <c r="G1288" s="79" t="s">
        <v>3317</v>
      </c>
      <c r="H1288" s="79"/>
      <c r="I1288" s="80" t="s">
        <v>393</v>
      </c>
      <c r="J1288" s="583">
        <v>1</v>
      </c>
      <c r="K1288" s="583">
        <v>0</v>
      </c>
      <c r="L1288" s="92">
        <v>10.84</v>
      </c>
      <c r="M1288" s="92">
        <v>10.84</v>
      </c>
      <c r="N1288" s="573"/>
      <c r="O1288" s="556"/>
      <c r="P1288" s="573"/>
      <c r="Q1288" s="556"/>
      <c r="R1288" s="582"/>
    </row>
    <row r="1289" ht="23.85" customHeight="1" spans="1:18">
      <c r="A1289" s="556"/>
      <c r="B1289" s="557" t="str">
        <f>C1288</f>
        <v>Composição Auxiliar</v>
      </c>
      <c r="C1289" s="100" t="s">
        <v>2893</v>
      </c>
      <c r="D1289" s="99" t="s">
        <v>3318</v>
      </c>
      <c r="E1289" s="100" t="s">
        <v>139</v>
      </c>
      <c r="F1289" s="100" t="s">
        <v>3319</v>
      </c>
      <c r="G1289" s="100" t="s">
        <v>2961</v>
      </c>
      <c r="H1289" s="100"/>
      <c r="I1289" s="101" t="s">
        <v>393</v>
      </c>
      <c r="J1289" s="580">
        <v>0.025</v>
      </c>
      <c r="K1289" s="580">
        <v>0</v>
      </c>
      <c r="L1289" s="102">
        <v>22</v>
      </c>
      <c r="M1289" s="102">
        <v>0.55</v>
      </c>
      <c r="N1289" s="573">
        <v>70.34</v>
      </c>
      <c r="O1289" s="556" t="str">
        <f t="shared" ref="O1289:O1297" si="152">IF(N1289=M1289,"OK","DIF")</f>
        <v>DIF</v>
      </c>
      <c r="P1289" s="573"/>
      <c r="Q1289" s="556"/>
      <c r="R1289" s="582"/>
    </row>
    <row r="1290" ht="23.85" customHeight="1" spans="1:18">
      <c r="A1290" s="556" t="str">
        <f t="shared" ref="A1290:A1297" si="153">B1290</f>
        <v>Composição Auxiliar</v>
      </c>
      <c r="B1290" s="557" t="str">
        <f t="shared" ref="B1290:B1297" si="154">B1289</f>
        <v>Composição Auxiliar</v>
      </c>
      <c r="C1290" s="100" t="s">
        <v>2893</v>
      </c>
      <c r="D1290" s="99" t="s">
        <v>3320</v>
      </c>
      <c r="E1290" s="100" t="s">
        <v>139</v>
      </c>
      <c r="F1290" s="100" t="s">
        <v>3321</v>
      </c>
      <c r="G1290" s="100" t="s">
        <v>2961</v>
      </c>
      <c r="H1290" s="100"/>
      <c r="I1290" s="101" t="s">
        <v>134</v>
      </c>
      <c r="J1290" s="580">
        <v>0.97</v>
      </c>
      <c r="K1290" s="580">
        <v>0</v>
      </c>
      <c r="L1290" s="102">
        <v>0.22</v>
      </c>
      <c r="M1290" s="102">
        <v>0.21</v>
      </c>
      <c r="N1290" s="573">
        <v>24.59</v>
      </c>
      <c r="O1290" s="556" t="str">
        <f t="shared" si="152"/>
        <v>DIF</v>
      </c>
      <c r="P1290" s="573"/>
      <c r="Q1290" s="556"/>
      <c r="R1290" s="582"/>
    </row>
    <row r="1291" ht="25.5" spans="1:18">
      <c r="A1291" s="556" t="str">
        <f t="shared" si="153"/>
        <v>Composição Auxiliar</v>
      </c>
      <c r="B1291" s="557" t="str">
        <f t="shared" si="154"/>
        <v>Composição Auxiliar</v>
      </c>
      <c r="C1291" s="108"/>
      <c r="D1291" s="108"/>
      <c r="E1291" s="108"/>
      <c r="F1291" s="108"/>
      <c r="G1291" s="108"/>
      <c r="H1291" s="108" t="s">
        <v>2898</v>
      </c>
      <c r="I1291" s="581">
        <v>3.19</v>
      </c>
      <c r="J1291" s="108" t="s">
        <v>2899</v>
      </c>
      <c r="K1291" s="581">
        <v>0</v>
      </c>
      <c r="L1291" s="108" t="s">
        <v>2900</v>
      </c>
      <c r="M1291" s="581">
        <v>3.19</v>
      </c>
      <c r="N1291" s="573">
        <v>3.23</v>
      </c>
      <c r="O1291" s="556" t="str">
        <f t="shared" si="152"/>
        <v>DIF</v>
      </c>
      <c r="P1291" s="573"/>
      <c r="Q1291" s="556"/>
      <c r="R1291" s="582"/>
    </row>
    <row r="1292" ht="26.25" spans="1:18">
      <c r="A1292" s="556" t="str">
        <f t="shared" si="153"/>
        <v>Composição Auxiliar</v>
      </c>
      <c r="B1292" s="557" t="str">
        <f t="shared" si="154"/>
        <v>Composição Auxiliar</v>
      </c>
      <c r="C1292" s="108"/>
      <c r="D1292" s="108"/>
      <c r="E1292" s="108"/>
      <c r="F1292" s="108"/>
      <c r="G1292" s="108"/>
      <c r="H1292" s="108" t="s">
        <v>2901</v>
      </c>
      <c r="I1292" s="581">
        <v>3.77</v>
      </c>
      <c r="J1292" s="114"/>
      <c r="K1292" s="114" t="s">
        <v>2902</v>
      </c>
      <c r="L1292" s="108"/>
      <c r="M1292" s="581">
        <v>18.59</v>
      </c>
      <c r="N1292" s="573">
        <v>21.91</v>
      </c>
      <c r="O1292" s="556" t="str">
        <f t="shared" si="152"/>
        <v>DIF</v>
      </c>
      <c r="P1292" s="573"/>
      <c r="Q1292" s="556"/>
      <c r="R1292" s="582"/>
    </row>
    <row r="1293" ht="15" spans="1:18">
      <c r="A1293" s="556" t="str">
        <f t="shared" si="153"/>
        <v>Composição Auxiliar</v>
      </c>
      <c r="B1293" s="557" t="str">
        <f t="shared" si="154"/>
        <v>Composição Auxiliar</v>
      </c>
      <c r="C1293" s="571"/>
      <c r="D1293" s="571"/>
      <c r="E1293" s="571"/>
      <c r="F1293" s="571"/>
      <c r="G1293" s="571"/>
      <c r="H1293" s="571"/>
      <c r="I1293" s="571"/>
      <c r="J1293" s="571"/>
      <c r="K1293" s="571"/>
      <c r="L1293" s="571"/>
      <c r="M1293" s="571"/>
      <c r="N1293" s="573">
        <v>0.43</v>
      </c>
      <c r="O1293" s="556" t="str">
        <f t="shared" si="152"/>
        <v>DIF</v>
      </c>
      <c r="P1293" s="573"/>
      <c r="Q1293" s="556"/>
      <c r="R1293" s="582"/>
    </row>
    <row r="1294" ht="15" customHeight="1" spans="1:18">
      <c r="A1294" s="556" t="str">
        <f t="shared" si="153"/>
        <v>Composição Auxiliar</v>
      </c>
      <c r="B1294" s="557" t="str">
        <f t="shared" si="154"/>
        <v>Composição Auxiliar</v>
      </c>
      <c r="C1294" s="76" t="s">
        <v>497</v>
      </c>
      <c r="D1294" s="75" t="s">
        <v>63</v>
      </c>
      <c r="E1294" s="76" t="s">
        <v>64</v>
      </c>
      <c r="F1294" s="76" t="s">
        <v>65</v>
      </c>
      <c r="G1294" s="76" t="s">
        <v>2889</v>
      </c>
      <c r="H1294" s="76"/>
      <c r="I1294" s="77" t="s">
        <v>66</v>
      </c>
      <c r="J1294" s="75" t="s">
        <v>67</v>
      </c>
      <c r="K1294" s="75" t="s">
        <v>2890</v>
      </c>
      <c r="L1294" s="75" t="s">
        <v>68</v>
      </c>
      <c r="M1294" s="75" t="s">
        <v>70</v>
      </c>
      <c r="N1294" s="573">
        <v>0.03</v>
      </c>
      <c r="O1294" s="556" t="str">
        <f t="shared" si="152"/>
        <v>DIF</v>
      </c>
      <c r="P1294" s="573"/>
      <c r="Q1294" s="556"/>
      <c r="R1294" s="582"/>
    </row>
    <row r="1295" ht="35.05" customHeight="1" spans="1:18">
      <c r="A1295" s="556" t="str">
        <f t="shared" si="153"/>
        <v>Composição Auxiliar</v>
      </c>
      <c r="B1295" s="557" t="str">
        <f t="shared" si="154"/>
        <v>Composição Auxiliar</v>
      </c>
      <c r="C1295" s="569" t="s">
        <v>2891</v>
      </c>
      <c r="D1295" s="570" t="s">
        <v>498</v>
      </c>
      <c r="E1295" s="569" t="s">
        <v>139</v>
      </c>
      <c r="F1295" s="569" t="s">
        <v>499</v>
      </c>
      <c r="G1295" s="569" t="s">
        <v>3317</v>
      </c>
      <c r="H1295" s="569"/>
      <c r="I1295" s="577" t="s">
        <v>393</v>
      </c>
      <c r="J1295" s="578">
        <v>1</v>
      </c>
      <c r="K1295" s="579"/>
      <c r="L1295" s="579">
        <v>12.03</v>
      </c>
      <c r="M1295" s="579">
        <v>12.03</v>
      </c>
      <c r="N1295" s="573">
        <v>4.34</v>
      </c>
      <c r="O1295" s="556" t="str">
        <f t="shared" si="152"/>
        <v>DIF</v>
      </c>
      <c r="P1295" s="573"/>
      <c r="Q1295" s="556"/>
      <c r="R1295" s="582"/>
    </row>
    <row r="1296" ht="23.85" customHeight="1" spans="1:18">
      <c r="A1296" s="556" t="str">
        <f t="shared" si="153"/>
        <v>Composição Auxiliar</v>
      </c>
      <c r="B1296" s="557" t="str">
        <f t="shared" si="154"/>
        <v>Composição Auxiliar</v>
      </c>
      <c r="C1296" s="79" t="s">
        <v>2921</v>
      </c>
      <c r="D1296" s="78" t="s">
        <v>3313</v>
      </c>
      <c r="E1296" s="79" t="s">
        <v>139</v>
      </c>
      <c r="F1296" s="79" t="s">
        <v>3314</v>
      </c>
      <c r="G1296" s="79" t="s">
        <v>2928</v>
      </c>
      <c r="H1296" s="79"/>
      <c r="I1296" s="80" t="s">
        <v>2897</v>
      </c>
      <c r="J1296" s="583">
        <v>0.0392</v>
      </c>
      <c r="K1296" s="583">
        <v>0</v>
      </c>
      <c r="L1296" s="92">
        <v>35.95</v>
      </c>
      <c r="M1296" s="92">
        <v>1.4</v>
      </c>
      <c r="N1296" s="573">
        <v>6.7</v>
      </c>
      <c r="O1296" s="556" t="str">
        <f t="shared" si="152"/>
        <v>DIF</v>
      </c>
      <c r="P1296" s="573"/>
      <c r="Q1296" s="556"/>
      <c r="R1296" s="582"/>
    </row>
    <row r="1297" ht="23.85" customHeight="1" spans="1:18">
      <c r="A1297" s="556" t="str">
        <f t="shared" si="153"/>
        <v>Composição Auxiliar</v>
      </c>
      <c r="B1297" s="557" t="str">
        <f t="shared" si="154"/>
        <v>Composição Auxiliar</v>
      </c>
      <c r="C1297" s="79" t="s">
        <v>2921</v>
      </c>
      <c r="D1297" s="78" t="s">
        <v>3324</v>
      </c>
      <c r="E1297" s="79" t="s">
        <v>139</v>
      </c>
      <c r="F1297" s="79" t="s">
        <v>3325</v>
      </c>
      <c r="G1297" s="79" t="s">
        <v>3317</v>
      </c>
      <c r="H1297" s="79"/>
      <c r="I1297" s="80" t="s">
        <v>393</v>
      </c>
      <c r="J1297" s="583">
        <v>1</v>
      </c>
      <c r="K1297" s="583">
        <v>0</v>
      </c>
      <c r="L1297" s="92">
        <v>9.78</v>
      </c>
      <c r="M1297" s="92">
        <v>9.78</v>
      </c>
      <c r="N1297" s="573">
        <v>9.11</v>
      </c>
      <c r="O1297" s="556" t="str">
        <f t="shared" si="152"/>
        <v>DIF</v>
      </c>
      <c r="P1297" s="573"/>
      <c r="Q1297" s="556"/>
      <c r="R1297" s="582"/>
    </row>
    <row r="1298" ht="23.85" customHeight="1" spans="1:18">
      <c r="A1298" s="556"/>
      <c r="B1298" s="557"/>
      <c r="C1298" s="79" t="s">
        <v>2921</v>
      </c>
      <c r="D1298" s="78" t="s">
        <v>3311</v>
      </c>
      <c r="E1298" s="79" t="s">
        <v>139</v>
      </c>
      <c r="F1298" s="79" t="s">
        <v>3312</v>
      </c>
      <c r="G1298" s="79" t="s">
        <v>2928</v>
      </c>
      <c r="H1298" s="79"/>
      <c r="I1298" s="80" t="s">
        <v>2897</v>
      </c>
      <c r="J1298" s="583">
        <v>0.0064</v>
      </c>
      <c r="K1298" s="583">
        <v>0</v>
      </c>
      <c r="L1298" s="92">
        <v>30.06</v>
      </c>
      <c r="M1298" s="92">
        <v>0.19</v>
      </c>
      <c r="N1298" s="573"/>
      <c r="O1298" s="556"/>
      <c r="P1298" s="573"/>
      <c r="Q1298" s="556"/>
      <c r="R1298" s="582"/>
    </row>
    <row r="1299" ht="23.85" customHeight="1" spans="1:18">
      <c r="A1299" s="556"/>
      <c r="B1299" s="557"/>
      <c r="C1299" s="100" t="s">
        <v>2893</v>
      </c>
      <c r="D1299" s="99" t="s">
        <v>3320</v>
      </c>
      <c r="E1299" s="100" t="s">
        <v>139</v>
      </c>
      <c r="F1299" s="100" t="s">
        <v>3321</v>
      </c>
      <c r="G1299" s="100" t="s">
        <v>2961</v>
      </c>
      <c r="H1299" s="100"/>
      <c r="I1299" s="101" t="s">
        <v>134</v>
      </c>
      <c r="J1299" s="580">
        <v>0.543</v>
      </c>
      <c r="K1299" s="580">
        <v>0</v>
      </c>
      <c r="L1299" s="102">
        <v>0.22</v>
      </c>
      <c r="M1299" s="102">
        <v>0.11</v>
      </c>
      <c r="N1299" s="573"/>
      <c r="O1299" s="556"/>
      <c r="P1299" s="573"/>
      <c r="Q1299" s="556"/>
      <c r="R1299" s="582"/>
    </row>
    <row r="1300" ht="23.85" customHeight="1" spans="1:18">
      <c r="A1300" s="556"/>
      <c r="B1300" s="557" t="str">
        <f>C1299</f>
        <v>Insumo</v>
      </c>
      <c r="C1300" s="100" t="s">
        <v>2893</v>
      </c>
      <c r="D1300" s="99" t="s">
        <v>3318</v>
      </c>
      <c r="E1300" s="100" t="s">
        <v>139</v>
      </c>
      <c r="F1300" s="100" t="s">
        <v>3319</v>
      </c>
      <c r="G1300" s="100" t="s">
        <v>2961</v>
      </c>
      <c r="H1300" s="100"/>
      <c r="I1300" s="101" t="s">
        <v>393</v>
      </c>
      <c r="J1300" s="580">
        <v>0.025</v>
      </c>
      <c r="K1300" s="580">
        <v>0</v>
      </c>
      <c r="L1300" s="102">
        <v>22</v>
      </c>
      <c r="M1300" s="102">
        <v>0.55</v>
      </c>
      <c r="N1300" s="573">
        <v>134.74</v>
      </c>
      <c r="O1300" s="556" t="str">
        <f t="shared" ref="O1300:O1308" si="155">IF(N1300=M1300,"OK","DIF")</f>
        <v>DIF</v>
      </c>
      <c r="P1300" s="573"/>
      <c r="Q1300" s="556"/>
      <c r="R1300" s="582"/>
    </row>
    <row r="1301" ht="25.5" spans="1:18">
      <c r="A1301" s="556" t="str">
        <f t="shared" ref="A1301:A1308" si="156">B1301</f>
        <v>Insumo</v>
      </c>
      <c r="B1301" s="557" t="str">
        <f t="shared" ref="B1301:B1308" si="157">B1300</f>
        <v>Insumo</v>
      </c>
      <c r="C1301" s="108"/>
      <c r="D1301" s="108"/>
      <c r="E1301" s="108"/>
      <c r="F1301" s="108"/>
      <c r="G1301" s="108"/>
      <c r="H1301" s="108" t="s">
        <v>2898</v>
      </c>
      <c r="I1301" s="581">
        <v>1.37</v>
      </c>
      <c r="J1301" s="108" t="s">
        <v>2899</v>
      </c>
      <c r="K1301" s="581">
        <v>0</v>
      </c>
      <c r="L1301" s="108" t="s">
        <v>2900</v>
      </c>
      <c r="M1301" s="581">
        <v>1.37</v>
      </c>
      <c r="N1301" s="573">
        <v>1.85</v>
      </c>
      <c r="O1301" s="556" t="str">
        <f t="shared" si="155"/>
        <v>DIF</v>
      </c>
      <c r="P1301" s="573"/>
      <c r="Q1301" s="556"/>
      <c r="R1301" s="582"/>
    </row>
    <row r="1302" ht="26.25" spans="1:18">
      <c r="A1302" s="556" t="str">
        <f t="shared" si="156"/>
        <v>Insumo</v>
      </c>
      <c r="B1302" s="557" t="str">
        <f t="shared" si="157"/>
        <v>Insumo</v>
      </c>
      <c r="C1302" s="108"/>
      <c r="D1302" s="108"/>
      <c r="E1302" s="108"/>
      <c r="F1302" s="108"/>
      <c r="G1302" s="108"/>
      <c r="H1302" s="108" t="s">
        <v>2901</v>
      </c>
      <c r="I1302" s="581">
        <v>3.06</v>
      </c>
      <c r="J1302" s="114"/>
      <c r="K1302" s="114" t="s">
        <v>2902</v>
      </c>
      <c r="L1302" s="108"/>
      <c r="M1302" s="581">
        <v>15.09</v>
      </c>
      <c r="N1302" s="573">
        <v>8.4</v>
      </c>
      <c r="O1302" s="556" t="str">
        <f t="shared" si="155"/>
        <v>DIF</v>
      </c>
      <c r="P1302" s="573"/>
      <c r="Q1302" s="556"/>
      <c r="R1302" s="582"/>
    </row>
    <row r="1303" ht="15" spans="1:18">
      <c r="A1303" s="556" t="str">
        <f t="shared" si="156"/>
        <v>Insumo</v>
      </c>
      <c r="B1303" s="557" t="str">
        <f t="shared" si="157"/>
        <v>Insumo</v>
      </c>
      <c r="C1303" s="571"/>
      <c r="D1303" s="571"/>
      <c r="E1303" s="571"/>
      <c r="F1303" s="571"/>
      <c r="G1303" s="571"/>
      <c r="H1303" s="571"/>
      <c r="I1303" s="571"/>
      <c r="J1303" s="571"/>
      <c r="K1303" s="571"/>
      <c r="L1303" s="571"/>
      <c r="M1303" s="571"/>
      <c r="N1303" s="573">
        <v>5.39</v>
      </c>
      <c r="O1303" s="556" t="str">
        <f t="shared" si="155"/>
        <v>DIF</v>
      </c>
      <c r="P1303" s="573"/>
      <c r="Q1303" s="556"/>
      <c r="R1303" s="582"/>
    </row>
    <row r="1304" ht="15" customHeight="1" spans="1:18">
      <c r="A1304" s="556" t="str">
        <f t="shared" si="156"/>
        <v>Insumo</v>
      </c>
      <c r="B1304" s="557" t="str">
        <f t="shared" si="157"/>
        <v>Insumo</v>
      </c>
      <c r="C1304" s="76" t="s">
        <v>500</v>
      </c>
      <c r="D1304" s="75" t="s">
        <v>63</v>
      </c>
      <c r="E1304" s="76" t="s">
        <v>64</v>
      </c>
      <c r="F1304" s="76" t="s">
        <v>65</v>
      </c>
      <c r="G1304" s="76" t="s">
        <v>2889</v>
      </c>
      <c r="H1304" s="76"/>
      <c r="I1304" s="77" t="s">
        <v>66</v>
      </c>
      <c r="J1304" s="75" t="s">
        <v>67</v>
      </c>
      <c r="K1304" s="75" t="s">
        <v>2890</v>
      </c>
      <c r="L1304" s="75" t="s">
        <v>68</v>
      </c>
      <c r="M1304" s="75" t="s">
        <v>70</v>
      </c>
      <c r="N1304" s="573">
        <v>30.19</v>
      </c>
      <c r="O1304" s="556" t="str">
        <f t="shared" si="155"/>
        <v>DIF</v>
      </c>
      <c r="P1304" s="573"/>
      <c r="Q1304" s="556"/>
      <c r="R1304" s="582"/>
    </row>
    <row r="1305" ht="35.05" customHeight="1" spans="1:18">
      <c r="A1305" s="556" t="str">
        <f t="shared" si="156"/>
        <v>Insumo</v>
      </c>
      <c r="B1305" s="557" t="str">
        <f t="shared" si="157"/>
        <v>Insumo</v>
      </c>
      <c r="C1305" s="569" t="s">
        <v>2891</v>
      </c>
      <c r="D1305" s="570" t="s">
        <v>501</v>
      </c>
      <c r="E1305" s="569" t="s">
        <v>139</v>
      </c>
      <c r="F1305" s="569" t="s">
        <v>502</v>
      </c>
      <c r="G1305" s="569" t="s">
        <v>3317</v>
      </c>
      <c r="H1305" s="569"/>
      <c r="I1305" s="577" t="s">
        <v>393</v>
      </c>
      <c r="J1305" s="578">
        <v>1</v>
      </c>
      <c r="K1305" s="579"/>
      <c r="L1305" s="579">
        <v>10.02</v>
      </c>
      <c r="M1305" s="579">
        <v>10.02</v>
      </c>
      <c r="N1305" s="573">
        <v>1.39</v>
      </c>
      <c r="O1305" s="556" t="str">
        <f t="shared" si="155"/>
        <v>DIF</v>
      </c>
      <c r="P1305" s="573"/>
      <c r="Q1305" s="556"/>
      <c r="R1305" s="582"/>
    </row>
    <row r="1306" ht="23.85" customHeight="1" spans="1:18">
      <c r="A1306" s="556" t="str">
        <f t="shared" si="156"/>
        <v>Insumo</v>
      </c>
      <c r="B1306" s="557" t="str">
        <f t="shared" si="157"/>
        <v>Insumo</v>
      </c>
      <c r="C1306" s="79" t="s">
        <v>2921</v>
      </c>
      <c r="D1306" s="78" t="s">
        <v>3311</v>
      </c>
      <c r="E1306" s="79" t="s">
        <v>139</v>
      </c>
      <c r="F1306" s="79" t="s">
        <v>3312</v>
      </c>
      <c r="G1306" s="79" t="s">
        <v>2928</v>
      </c>
      <c r="H1306" s="79"/>
      <c r="I1306" s="80" t="s">
        <v>2897</v>
      </c>
      <c r="J1306" s="583">
        <v>0.0042</v>
      </c>
      <c r="K1306" s="583">
        <v>0</v>
      </c>
      <c r="L1306" s="92">
        <v>30.06</v>
      </c>
      <c r="M1306" s="92">
        <v>0.12</v>
      </c>
      <c r="N1306" s="573">
        <v>20.36</v>
      </c>
      <c r="O1306" s="556" t="str">
        <f t="shared" si="155"/>
        <v>DIF</v>
      </c>
      <c r="P1306" s="573"/>
      <c r="Q1306" s="556"/>
      <c r="R1306" s="582"/>
    </row>
    <row r="1307" ht="23.85" customHeight="1" spans="1:18">
      <c r="A1307" s="556" t="str">
        <f t="shared" si="156"/>
        <v>Insumo</v>
      </c>
      <c r="B1307" s="557" t="str">
        <f t="shared" si="157"/>
        <v>Insumo</v>
      </c>
      <c r="C1307" s="79" t="s">
        <v>2921</v>
      </c>
      <c r="D1307" s="78" t="s">
        <v>3313</v>
      </c>
      <c r="E1307" s="79" t="s">
        <v>139</v>
      </c>
      <c r="F1307" s="79" t="s">
        <v>3314</v>
      </c>
      <c r="G1307" s="79" t="s">
        <v>2928</v>
      </c>
      <c r="H1307" s="79"/>
      <c r="I1307" s="80" t="s">
        <v>2897</v>
      </c>
      <c r="J1307" s="583">
        <v>0.0257</v>
      </c>
      <c r="K1307" s="583">
        <v>0</v>
      </c>
      <c r="L1307" s="92">
        <v>35.95</v>
      </c>
      <c r="M1307" s="92">
        <v>0.92</v>
      </c>
      <c r="N1307" s="573">
        <v>64.25</v>
      </c>
      <c r="O1307" s="556" t="str">
        <f t="shared" si="155"/>
        <v>DIF</v>
      </c>
      <c r="P1307" s="573"/>
      <c r="Q1307" s="556"/>
      <c r="R1307" s="582"/>
    </row>
    <row r="1308" ht="23.85" customHeight="1" spans="1:18">
      <c r="A1308" s="556" t="str">
        <f t="shared" si="156"/>
        <v>Insumo</v>
      </c>
      <c r="B1308" s="557" t="str">
        <f t="shared" si="157"/>
        <v>Insumo</v>
      </c>
      <c r="C1308" s="79" t="s">
        <v>2921</v>
      </c>
      <c r="D1308" s="78" t="s">
        <v>3326</v>
      </c>
      <c r="E1308" s="79" t="s">
        <v>139</v>
      </c>
      <c r="F1308" s="79" t="s">
        <v>3327</v>
      </c>
      <c r="G1308" s="79" t="s">
        <v>3317</v>
      </c>
      <c r="H1308" s="79"/>
      <c r="I1308" s="80" t="s">
        <v>393</v>
      </c>
      <c r="J1308" s="583">
        <v>1</v>
      </c>
      <c r="K1308" s="583">
        <v>0</v>
      </c>
      <c r="L1308" s="92">
        <v>8.35</v>
      </c>
      <c r="M1308" s="92">
        <v>8.35</v>
      </c>
      <c r="N1308" s="573">
        <v>2.91</v>
      </c>
      <c r="O1308" s="556" t="str">
        <f t="shared" si="155"/>
        <v>DIF</v>
      </c>
      <c r="P1308" s="573"/>
      <c r="Q1308" s="556"/>
      <c r="R1308" s="582"/>
    </row>
    <row r="1309" ht="23.85" customHeight="1" spans="1:18">
      <c r="A1309" s="556"/>
      <c r="B1309" s="557"/>
      <c r="C1309" s="100" t="s">
        <v>2893</v>
      </c>
      <c r="D1309" s="99" t="s">
        <v>3320</v>
      </c>
      <c r="E1309" s="100" t="s">
        <v>139</v>
      </c>
      <c r="F1309" s="100" t="s">
        <v>3321</v>
      </c>
      <c r="G1309" s="100" t="s">
        <v>2961</v>
      </c>
      <c r="H1309" s="100"/>
      <c r="I1309" s="101" t="s">
        <v>134</v>
      </c>
      <c r="J1309" s="580">
        <v>0.367</v>
      </c>
      <c r="K1309" s="580">
        <v>0</v>
      </c>
      <c r="L1309" s="102">
        <v>0.22</v>
      </c>
      <c r="M1309" s="102">
        <v>0.08</v>
      </c>
      <c r="N1309" s="573"/>
      <c r="O1309" s="556"/>
      <c r="P1309" s="573"/>
      <c r="Q1309" s="556"/>
      <c r="R1309" s="582"/>
    </row>
    <row r="1310" ht="23.85" customHeight="1" spans="1:18">
      <c r="A1310" s="556"/>
      <c r="B1310" s="557"/>
      <c r="C1310" s="100" t="s">
        <v>2893</v>
      </c>
      <c r="D1310" s="99" t="s">
        <v>3318</v>
      </c>
      <c r="E1310" s="100" t="s">
        <v>139</v>
      </c>
      <c r="F1310" s="100" t="s">
        <v>3319</v>
      </c>
      <c r="G1310" s="100" t="s">
        <v>2961</v>
      </c>
      <c r="H1310" s="100"/>
      <c r="I1310" s="101" t="s">
        <v>393</v>
      </c>
      <c r="J1310" s="580">
        <v>0.025</v>
      </c>
      <c r="K1310" s="580">
        <v>0</v>
      </c>
      <c r="L1310" s="102">
        <v>22</v>
      </c>
      <c r="M1310" s="102">
        <v>0.55</v>
      </c>
      <c r="N1310" s="573"/>
      <c r="O1310" s="556"/>
      <c r="P1310" s="573"/>
      <c r="Q1310" s="556"/>
      <c r="R1310" s="582"/>
    </row>
    <row r="1311" ht="25.5" spans="1:18">
      <c r="A1311" s="556"/>
      <c r="B1311" s="557" t="str">
        <f>C1310</f>
        <v>Insumo</v>
      </c>
      <c r="C1311" s="108"/>
      <c r="D1311" s="108"/>
      <c r="E1311" s="108"/>
      <c r="F1311" s="108"/>
      <c r="G1311" s="108"/>
      <c r="H1311" s="108" t="s">
        <v>2898</v>
      </c>
      <c r="I1311" s="581">
        <v>0.87</v>
      </c>
      <c r="J1311" s="108" t="s">
        <v>2899</v>
      </c>
      <c r="K1311" s="581">
        <v>0</v>
      </c>
      <c r="L1311" s="108" t="s">
        <v>2900</v>
      </c>
      <c r="M1311" s="581">
        <v>0.87</v>
      </c>
      <c r="N1311" s="573">
        <v>100.95</v>
      </c>
      <c r="O1311" s="556" t="str">
        <f t="shared" ref="O1311:O1316" si="158">IF(N1311=M1311,"OK","DIF")</f>
        <v>DIF</v>
      </c>
      <c r="P1311" s="573"/>
      <c r="Q1311" s="556"/>
      <c r="R1311" s="582"/>
    </row>
    <row r="1312" ht="26.25" spans="1:18">
      <c r="A1312" s="556" t="str">
        <f>B1312</f>
        <v>Insumo</v>
      </c>
      <c r="B1312" s="557" t="str">
        <f>B1311</f>
        <v>Insumo</v>
      </c>
      <c r="C1312" s="108"/>
      <c r="D1312" s="108"/>
      <c r="E1312" s="108"/>
      <c r="F1312" s="108"/>
      <c r="G1312" s="108"/>
      <c r="H1312" s="108" t="s">
        <v>2901</v>
      </c>
      <c r="I1312" s="581">
        <v>2.55</v>
      </c>
      <c r="J1312" s="114"/>
      <c r="K1312" s="114" t="s">
        <v>2902</v>
      </c>
      <c r="L1312" s="108"/>
      <c r="M1312" s="581">
        <v>12.57</v>
      </c>
      <c r="N1312" s="573">
        <v>0.18</v>
      </c>
      <c r="O1312" s="556" t="str">
        <f t="shared" si="158"/>
        <v>DIF</v>
      </c>
      <c r="P1312" s="573"/>
      <c r="Q1312" s="556"/>
      <c r="R1312" s="582"/>
    </row>
    <row r="1313" ht="15" spans="1:18">
      <c r="A1313" s="556" t="str">
        <f>B1313</f>
        <v>Insumo</v>
      </c>
      <c r="B1313" s="557" t="str">
        <f>B1312</f>
        <v>Insumo</v>
      </c>
      <c r="C1313" s="571"/>
      <c r="D1313" s="571"/>
      <c r="E1313" s="571"/>
      <c r="F1313" s="571"/>
      <c r="G1313" s="571"/>
      <c r="H1313" s="571"/>
      <c r="I1313" s="571"/>
      <c r="J1313" s="571"/>
      <c r="K1313" s="571"/>
      <c r="L1313" s="571"/>
      <c r="M1313" s="571"/>
      <c r="N1313" s="573">
        <v>0.78</v>
      </c>
      <c r="O1313" s="556" t="str">
        <f t="shared" si="158"/>
        <v>DIF</v>
      </c>
      <c r="P1313" s="573"/>
      <c r="Q1313" s="556"/>
      <c r="R1313" s="582"/>
    </row>
    <row r="1314" ht="15" customHeight="1" spans="1:18">
      <c r="A1314" s="556" t="str">
        <f>B1314</f>
        <v>Insumo</v>
      </c>
      <c r="B1314" s="557" t="str">
        <f>B1313</f>
        <v>Insumo</v>
      </c>
      <c r="C1314" s="76" t="s">
        <v>503</v>
      </c>
      <c r="D1314" s="75" t="s">
        <v>63</v>
      </c>
      <c r="E1314" s="76" t="s">
        <v>64</v>
      </c>
      <c r="F1314" s="76" t="s">
        <v>65</v>
      </c>
      <c r="G1314" s="76" t="s">
        <v>2889</v>
      </c>
      <c r="H1314" s="76"/>
      <c r="I1314" s="77" t="s">
        <v>66</v>
      </c>
      <c r="J1314" s="75" t="s">
        <v>67</v>
      </c>
      <c r="K1314" s="75" t="s">
        <v>2890</v>
      </c>
      <c r="L1314" s="75" t="s">
        <v>68</v>
      </c>
      <c r="M1314" s="75" t="s">
        <v>70</v>
      </c>
      <c r="N1314" s="573">
        <v>0.13</v>
      </c>
      <c r="O1314" s="556" t="str">
        <f t="shared" si="158"/>
        <v>DIF</v>
      </c>
      <c r="P1314" s="573"/>
      <c r="Q1314" s="556"/>
      <c r="R1314" s="582"/>
    </row>
    <row r="1315" ht="35.05" customHeight="1" spans="1:18">
      <c r="A1315" s="556" t="str">
        <f>B1315</f>
        <v>Insumo</v>
      </c>
      <c r="B1315" s="557" t="str">
        <f>B1314</f>
        <v>Insumo</v>
      </c>
      <c r="C1315" s="569" t="s">
        <v>2891</v>
      </c>
      <c r="D1315" s="570" t="s">
        <v>504</v>
      </c>
      <c r="E1315" s="569" t="s">
        <v>139</v>
      </c>
      <c r="F1315" s="569" t="s">
        <v>505</v>
      </c>
      <c r="G1315" s="569" t="s">
        <v>3317</v>
      </c>
      <c r="H1315" s="569"/>
      <c r="I1315" s="577" t="s">
        <v>393</v>
      </c>
      <c r="J1315" s="578">
        <v>1</v>
      </c>
      <c r="K1315" s="579"/>
      <c r="L1315" s="579">
        <v>11.12</v>
      </c>
      <c r="M1315" s="579">
        <v>11.12</v>
      </c>
      <c r="N1315" s="573">
        <v>0.16</v>
      </c>
      <c r="O1315" s="556" t="str">
        <f t="shared" si="158"/>
        <v>DIF</v>
      </c>
      <c r="P1315" s="573"/>
      <c r="Q1315" s="556"/>
      <c r="R1315" s="582"/>
    </row>
    <row r="1316" ht="23.85" customHeight="1" spans="1:18">
      <c r="A1316" s="556" t="str">
        <f>B1316</f>
        <v>Insumo</v>
      </c>
      <c r="B1316" s="557" t="str">
        <f>B1315</f>
        <v>Insumo</v>
      </c>
      <c r="C1316" s="79" t="s">
        <v>2921</v>
      </c>
      <c r="D1316" s="78" t="s">
        <v>3328</v>
      </c>
      <c r="E1316" s="79" t="s">
        <v>139</v>
      </c>
      <c r="F1316" s="79" t="s">
        <v>3329</v>
      </c>
      <c r="G1316" s="79" t="s">
        <v>3317</v>
      </c>
      <c r="H1316" s="79"/>
      <c r="I1316" s="80" t="s">
        <v>393</v>
      </c>
      <c r="J1316" s="583">
        <v>1</v>
      </c>
      <c r="K1316" s="583">
        <v>0</v>
      </c>
      <c r="L1316" s="92">
        <v>8.24</v>
      </c>
      <c r="M1316" s="92">
        <v>8.24</v>
      </c>
      <c r="N1316" s="573">
        <v>99.7</v>
      </c>
      <c r="O1316" s="556" t="str">
        <f t="shared" si="158"/>
        <v>DIF</v>
      </c>
      <c r="P1316" s="573"/>
      <c r="Q1316" s="556"/>
      <c r="R1316" s="582"/>
    </row>
    <row r="1317" ht="23.85" customHeight="1" spans="1:18">
      <c r="A1317" s="556"/>
      <c r="B1317" s="557"/>
      <c r="C1317" s="79" t="s">
        <v>2921</v>
      </c>
      <c r="D1317" s="78" t="s">
        <v>3311</v>
      </c>
      <c r="E1317" s="79" t="s">
        <v>139</v>
      </c>
      <c r="F1317" s="79" t="s">
        <v>3312</v>
      </c>
      <c r="G1317" s="79" t="s">
        <v>2928</v>
      </c>
      <c r="H1317" s="79"/>
      <c r="I1317" s="80" t="s">
        <v>2897</v>
      </c>
      <c r="J1317" s="583">
        <v>0.0092</v>
      </c>
      <c r="K1317" s="583">
        <v>0</v>
      </c>
      <c r="L1317" s="92">
        <v>30.06</v>
      </c>
      <c r="M1317" s="92">
        <v>0.27</v>
      </c>
      <c r="N1317" s="573"/>
      <c r="O1317" s="556"/>
      <c r="P1317" s="573"/>
      <c r="Q1317" s="556"/>
      <c r="R1317" s="582"/>
    </row>
    <row r="1318" ht="23.85" customHeight="1" spans="1:18">
      <c r="A1318" s="556"/>
      <c r="B1318" s="557"/>
      <c r="C1318" s="79" t="s">
        <v>2921</v>
      </c>
      <c r="D1318" s="78" t="s">
        <v>3313</v>
      </c>
      <c r="E1318" s="79" t="s">
        <v>139</v>
      </c>
      <c r="F1318" s="79" t="s">
        <v>3314</v>
      </c>
      <c r="G1318" s="79" t="s">
        <v>2928</v>
      </c>
      <c r="H1318" s="79"/>
      <c r="I1318" s="80" t="s">
        <v>2897</v>
      </c>
      <c r="J1318" s="583">
        <v>0.0562</v>
      </c>
      <c r="K1318" s="583">
        <v>0</v>
      </c>
      <c r="L1318" s="92">
        <v>35.95</v>
      </c>
      <c r="M1318" s="92">
        <v>2.02</v>
      </c>
      <c r="N1318" s="573"/>
      <c r="O1318" s="556"/>
      <c r="P1318" s="573"/>
      <c r="Q1318" s="556"/>
      <c r="R1318" s="582"/>
    </row>
    <row r="1319" ht="23.85" customHeight="1" spans="1:18">
      <c r="A1319" s="556"/>
      <c r="B1319" s="557" t="str">
        <f>C1318</f>
        <v>Composição Auxiliar</v>
      </c>
      <c r="C1319" s="100" t="s">
        <v>2893</v>
      </c>
      <c r="D1319" s="99" t="s">
        <v>3320</v>
      </c>
      <c r="E1319" s="100" t="s">
        <v>139</v>
      </c>
      <c r="F1319" s="100" t="s">
        <v>3321</v>
      </c>
      <c r="G1319" s="100" t="s">
        <v>2961</v>
      </c>
      <c r="H1319" s="100"/>
      <c r="I1319" s="101" t="s">
        <v>134</v>
      </c>
      <c r="J1319" s="580">
        <v>0.212</v>
      </c>
      <c r="K1319" s="580">
        <v>0</v>
      </c>
      <c r="L1319" s="102">
        <v>0.22</v>
      </c>
      <c r="M1319" s="102">
        <v>0.04</v>
      </c>
      <c r="N1319" s="573">
        <v>19.75</v>
      </c>
      <c r="O1319" s="556" t="str">
        <f t="shared" ref="O1319:O1324" si="159">IF(N1319=M1319,"OK","DIF")</f>
        <v>DIF</v>
      </c>
      <c r="P1319" s="573"/>
      <c r="Q1319" s="556"/>
      <c r="R1319" s="582"/>
    </row>
    <row r="1320" ht="23.85" customHeight="1" spans="1:18">
      <c r="A1320" s="556" t="str">
        <f>B1320</f>
        <v>Composição Auxiliar</v>
      </c>
      <c r="B1320" s="557" t="str">
        <f>B1319</f>
        <v>Composição Auxiliar</v>
      </c>
      <c r="C1320" s="100" t="s">
        <v>2893</v>
      </c>
      <c r="D1320" s="99" t="s">
        <v>3318</v>
      </c>
      <c r="E1320" s="100" t="s">
        <v>139</v>
      </c>
      <c r="F1320" s="100" t="s">
        <v>3319</v>
      </c>
      <c r="G1320" s="100" t="s">
        <v>2961</v>
      </c>
      <c r="H1320" s="100"/>
      <c r="I1320" s="101" t="s">
        <v>393</v>
      </c>
      <c r="J1320" s="580">
        <v>0.025</v>
      </c>
      <c r="K1320" s="580">
        <v>0</v>
      </c>
      <c r="L1320" s="102">
        <v>22</v>
      </c>
      <c r="M1320" s="102">
        <v>0.55</v>
      </c>
      <c r="N1320" s="573">
        <v>4.21</v>
      </c>
      <c r="O1320" s="556" t="str">
        <f t="shared" si="159"/>
        <v>DIF</v>
      </c>
      <c r="P1320" s="573"/>
      <c r="Q1320" s="556"/>
      <c r="R1320" s="582"/>
    </row>
    <row r="1321" ht="25.5" spans="1:18">
      <c r="A1321" s="556" t="str">
        <f>B1321</f>
        <v>Composição Auxiliar</v>
      </c>
      <c r="B1321" s="557" t="str">
        <f>B1320</f>
        <v>Composição Auxiliar</v>
      </c>
      <c r="C1321" s="108"/>
      <c r="D1321" s="108"/>
      <c r="E1321" s="108"/>
      <c r="F1321" s="108"/>
      <c r="G1321" s="108"/>
      <c r="H1321" s="108" t="s">
        <v>2898</v>
      </c>
      <c r="I1321" s="581">
        <v>1.69</v>
      </c>
      <c r="J1321" s="108" t="s">
        <v>2899</v>
      </c>
      <c r="K1321" s="581">
        <v>0</v>
      </c>
      <c r="L1321" s="108" t="s">
        <v>2900</v>
      </c>
      <c r="M1321" s="581">
        <v>1.69</v>
      </c>
      <c r="N1321" s="573">
        <v>2.4</v>
      </c>
      <c r="O1321" s="556" t="str">
        <f t="shared" si="159"/>
        <v>DIF</v>
      </c>
      <c r="P1321" s="573"/>
      <c r="Q1321" s="556"/>
      <c r="R1321" s="582"/>
    </row>
    <row r="1322" ht="26.25" spans="1:18">
      <c r="A1322" s="556" t="str">
        <f>B1322</f>
        <v>Composição Auxiliar</v>
      </c>
      <c r="B1322" s="557" t="str">
        <f>B1321</f>
        <v>Composição Auxiliar</v>
      </c>
      <c r="C1322" s="108"/>
      <c r="D1322" s="108"/>
      <c r="E1322" s="108"/>
      <c r="F1322" s="108"/>
      <c r="G1322" s="108"/>
      <c r="H1322" s="108" t="s">
        <v>2901</v>
      </c>
      <c r="I1322" s="581">
        <v>2.83</v>
      </c>
      <c r="J1322" s="114"/>
      <c r="K1322" s="114" t="s">
        <v>2902</v>
      </c>
      <c r="L1322" s="108"/>
      <c r="M1322" s="581">
        <v>13.95</v>
      </c>
      <c r="N1322" s="573">
        <v>8.86</v>
      </c>
      <c r="O1322" s="556" t="str">
        <f t="shared" si="159"/>
        <v>DIF</v>
      </c>
      <c r="P1322" s="573"/>
      <c r="Q1322" s="556"/>
      <c r="R1322" s="582"/>
    </row>
    <row r="1323" ht="15" spans="1:18">
      <c r="A1323" s="556" t="str">
        <f>B1323</f>
        <v>Composição Auxiliar</v>
      </c>
      <c r="B1323" s="557" t="str">
        <f>B1322</f>
        <v>Composição Auxiliar</v>
      </c>
      <c r="C1323" s="571"/>
      <c r="D1323" s="571"/>
      <c r="E1323" s="571"/>
      <c r="F1323" s="571"/>
      <c r="G1323" s="571"/>
      <c r="H1323" s="571"/>
      <c r="I1323" s="571"/>
      <c r="J1323" s="571"/>
      <c r="K1323" s="571"/>
      <c r="L1323" s="571"/>
      <c r="M1323" s="571"/>
      <c r="N1323" s="573">
        <v>4.04</v>
      </c>
      <c r="O1323" s="556" t="str">
        <f t="shared" si="159"/>
        <v>DIF</v>
      </c>
      <c r="P1323" s="573"/>
      <c r="Q1323" s="556"/>
      <c r="R1323" s="582"/>
    </row>
    <row r="1324" ht="15" customHeight="1" spans="1:18">
      <c r="A1324" s="556" t="str">
        <f>B1324</f>
        <v>Composição Auxiliar</v>
      </c>
      <c r="B1324" s="557" t="str">
        <f>B1323</f>
        <v>Composição Auxiliar</v>
      </c>
      <c r="C1324" s="76" t="s">
        <v>506</v>
      </c>
      <c r="D1324" s="75" t="s">
        <v>63</v>
      </c>
      <c r="E1324" s="76" t="s">
        <v>64</v>
      </c>
      <c r="F1324" s="76" t="s">
        <v>65</v>
      </c>
      <c r="G1324" s="76" t="s">
        <v>2889</v>
      </c>
      <c r="H1324" s="76"/>
      <c r="I1324" s="77" t="s">
        <v>66</v>
      </c>
      <c r="J1324" s="75" t="s">
        <v>67</v>
      </c>
      <c r="K1324" s="75" t="s">
        <v>2890</v>
      </c>
      <c r="L1324" s="75" t="s">
        <v>68</v>
      </c>
      <c r="M1324" s="75" t="s">
        <v>70</v>
      </c>
      <c r="N1324" s="573">
        <v>0.24</v>
      </c>
      <c r="O1324" s="556" t="str">
        <f t="shared" si="159"/>
        <v>DIF</v>
      </c>
      <c r="P1324" s="573"/>
      <c r="Q1324" s="556"/>
      <c r="R1324" s="582"/>
    </row>
    <row r="1325" ht="23.85" customHeight="1" spans="1:18">
      <c r="A1325" s="556"/>
      <c r="B1325" s="557"/>
      <c r="C1325" s="569" t="s">
        <v>2891</v>
      </c>
      <c r="D1325" s="570" t="s">
        <v>455</v>
      </c>
      <c r="E1325" s="569" t="s">
        <v>139</v>
      </c>
      <c r="F1325" s="569" t="s">
        <v>456</v>
      </c>
      <c r="G1325" s="569" t="s">
        <v>3317</v>
      </c>
      <c r="H1325" s="569"/>
      <c r="I1325" s="577" t="s">
        <v>393</v>
      </c>
      <c r="J1325" s="578">
        <v>1</v>
      </c>
      <c r="K1325" s="579"/>
      <c r="L1325" s="579">
        <v>14.11</v>
      </c>
      <c r="M1325" s="579">
        <v>14.11</v>
      </c>
      <c r="N1325" s="573"/>
      <c r="O1325" s="556"/>
      <c r="P1325" s="573"/>
      <c r="Q1325" s="556"/>
      <c r="R1325" s="582"/>
    </row>
    <row r="1326" ht="23.85" customHeight="1" spans="1:18">
      <c r="A1326" s="556"/>
      <c r="B1326" s="557"/>
      <c r="C1326" s="79" t="s">
        <v>2921</v>
      </c>
      <c r="D1326" s="78" t="s">
        <v>3313</v>
      </c>
      <c r="E1326" s="79" t="s">
        <v>139</v>
      </c>
      <c r="F1326" s="79" t="s">
        <v>3314</v>
      </c>
      <c r="G1326" s="79" t="s">
        <v>2928</v>
      </c>
      <c r="H1326" s="79"/>
      <c r="I1326" s="80" t="s">
        <v>2897</v>
      </c>
      <c r="J1326" s="583">
        <v>0.0597</v>
      </c>
      <c r="K1326" s="583">
        <v>0</v>
      </c>
      <c r="L1326" s="92">
        <v>35.95</v>
      </c>
      <c r="M1326" s="92">
        <v>2.14</v>
      </c>
      <c r="N1326" s="573"/>
      <c r="O1326" s="556"/>
      <c r="P1326" s="573"/>
      <c r="Q1326" s="556"/>
      <c r="R1326" s="582"/>
    </row>
    <row r="1327" ht="23.85" customHeight="1" spans="1:18">
      <c r="A1327" s="556"/>
      <c r="B1327" s="557"/>
      <c r="C1327" s="79" t="s">
        <v>2921</v>
      </c>
      <c r="D1327" s="78" t="s">
        <v>3315</v>
      </c>
      <c r="E1327" s="79" t="s">
        <v>139</v>
      </c>
      <c r="F1327" s="79" t="s">
        <v>3316</v>
      </c>
      <c r="G1327" s="79" t="s">
        <v>3317</v>
      </c>
      <c r="H1327" s="79"/>
      <c r="I1327" s="80" t="s">
        <v>393</v>
      </c>
      <c r="J1327" s="583">
        <v>1</v>
      </c>
      <c r="K1327" s="583">
        <v>0</v>
      </c>
      <c r="L1327" s="92">
        <v>10.84</v>
      </c>
      <c r="M1327" s="92">
        <v>10.84</v>
      </c>
      <c r="N1327" s="573"/>
      <c r="O1327" s="556"/>
      <c r="P1327" s="573"/>
      <c r="Q1327" s="556"/>
      <c r="R1327" s="582"/>
    </row>
    <row r="1328" ht="23.85" customHeight="1" spans="1:18">
      <c r="A1328" s="556"/>
      <c r="B1328" s="557"/>
      <c r="C1328" s="79" t="s">
        <v>2921</v>
      </c>
      <c r="D1328" s="78" t="s">
        <v>3311</v>
      </c>
      <c r="E1328" s="79" t="s">
        <v>139</v>
      </c>
      <c r="F1328" s="79" t="s">
        <v>3312</v>
      </c>
      <c r="G1328" s="79" t="s">
        <v>2928</v>
      </c>
      <c r="H1328" s="79"/>
      <c r="I1328" s="80" t="s">
        <v>2897</v>
      </c>
      <c r="J1328" s="583">
        <v>0.0098</v>
      </c>
      <c r="K1328" s="583">
        <v>0</v>
      </c>
      <c r="L1328" s="92">
        <v>30.06</v>
      </c>
      <c r="M1328" s="92">
        <v>0.29</v>
      </c>
      <c r="N1328" s="573"/>
      <c r="O1328" s="556"/>
      <c r="P1328" s="573"/>
      <c r="Q1328" s="556"/>
      <c r="R1328" s="582"/>
    </row>
    <row r="1329" ht="23.85" customHeight="1" spans="1:18">
      <c r="A1329" s="556"/>
      <c r="B1329" s="557" t="str">
        <f>C1328</f>
        <v>Composição Auxiliar</v>
      </c>
      <c r="C1329" s="100" t="s">
        <v>2893</v>
      </c>
      <c r="D1329" s="99" t="s">
        <v>3318</v>
      </c>
      <c r="E1329" s="100" t="s">
        <v>139</v>
      </c>
      <c r="F1329" s="100" t="s">
        <v>3319</v>
      </c>
      <c r="G1329" s="100" t="s">
        <v>2961</v>
      </c>
      <c r="H1329" s="100"/>
      <c r="I1329" s="101" t="s">
        <v>393</v>
      </c>
      <c r="J1329" s="580">
        <v>0.025</v>
      </c>
      <c r="K1329" s="580">
        <v>0</v>
      </c>
      <c r="L1329" s="102">
        <v>22</v>
      </c>
      <c r="M1329" s="102">
        <v>0.55</v>
      </c>
      <c r="N1329" s="573">
        <v>82.39</v>
      </c>
      <c r="O1329" s="556" t="str">
        <f t="shared" ref="O1329:O1335" si="160">IF(N1329=M1329,"OK","DIF")</f>
        <v>DIF</v>
      </c>
      <c r="P1329" s="573"/>
      <c r="Q1329" s="556"/>
      <c r="R1329" s="582"/>
    </row>
    <row r="1330" ht="23.85" customHeight="1" spans="1:18">
      <c r="A1330" s="556" t="str">
        <f t="shared" ref="A1330:A1335" si="161">B1330</f>
        <v>Composição Auxiliar</v>
      </c>
      <c r="B1330" s="557" t="str">
        <f t="shared" ref="B1330:B1335" si="162">B1329</f>
        <v>Composição Auxiliar</v>
      </c>
      <c r="C1330" s="100" t="s">
        <v>2893</v>
      </c>
      <c r="D1330" s="99" t="s">
        <v>3320</v>
      </c>
      <c r="E1330" s="100" t="s">
        <v>139</v>
      </c>
      <c r="F1330" s="100" t="s">
        <v>3321</v>
      </c>
      <c r="G1330" s="100" t="s">
        <v>2961</v>
      </c>
      <c r="H1330" s="100"/>
      <c r="I1330" s="101" t="s">
        <v>134</v>
      </c>
      <c r="J1330" s="580">
        <v>1.333</v>
      </c>
      <c r="K1330" s="580">
        <v>0</v>
      </c>
      <c r="L1330" s="102">
        <v>0.22</v>
      </c>
      <c r="M1330" s="102">
        <v>0.29</v>
      </c>
      <c r="N1330" s="573">
        <v>11.15</v>
      </c>
      <c r="O1330" s="556" t="str">
        <f t="shared" si="160"/>
        <v>DIF</v>
      </c>
      <c r="P1330" s="573"/>
      <c r="Q1330" s="556"/>
      <c r="R1330" s="582"/>
    </row>
    <row r="1331" ht="25.5" spans="1:18">
      <c r="A1331" s="556" t="str">
        <f t="shared" si="161"/>
        <v>Composição Auxiliar</v>
      </c>
      <c r="B1331" s="557" t="str">
        <f t="shared" si="162"/>
        <v>Composição Auxiliar</v>
      </c>
      <c r="C1331" s="108"/>
      <c r="D1331" s="108"/>
      <c r="E1331" s="108"/>
      <c r="F1331" s="108"/>
      <c r="G1331" s="108"/>
      <c r="H1331" s="108" t="s">
        <v>2898</v>
      </c>
      <c r="I1331" s="581">
        <v>2.63</v>
      </c>
      <c r="J1331" s="108" t="s">
        <v>2899</v>
      </c>
      <c r="K1331" s="581">
        <v>0</v>
      </c>
      <c r="L1331" s="108" t="s">
        <v>2900</v>
      </c>
      <c r="M1331" s="581">
        <v>2.63</v>
      </c>
      <c r="N1331" s="573">
        <v>6.88</v>
      </c>
      <c r="O1331" s="556" t="str">
        <f t="shared" si="160"/>
        <v>DIF</v>
      </c>
      <c r="P1331" s="573"/>
      <c r="Q1331" s="556"/>
      <c r="R1331" s="582"/>
    </row>
    <row r="1332" ht="26.25" spans="1:18">
      <c r="A1332" s="556" t="str">
        <f t="shared" si="161"/>
        <v>Composição Auxiliar</v>
      </c>
      <c r="B1332" s="557" t="str">
        <f t="shared" si="162"/>
        <v>Composição Auxiliar</v>
      </c>
      <c r="C1332" s="108"/>
      <c r="D1332" s="108"/>
      <c r="E1332" s="108"/>
      <c r="F1332" s="108"/>
      <c r="G1332" s="108"/>
      <c r="H1332" s="108" t="s">
        <v>2901</v>
      </c>
      <c r="I1332" s="581">
        <v>3.59</v>
      </c>
      <c r="J1332" s="114"/>
      <c r="K1332" s="114" t="s">
        <v>2902</v>
      </c>
      <c r="L1332" s="108"/>
      <c r="M1332" s="581">
        <v>17.7</v>
      </c>
      <c r="N1332" s="573">
        <v>28.7</v>
      </c>
      <c r="O1332" s="556" t="str">
        <f t="shared" si="160"/>
        <v>DIF</v>
      </c>
      <c r="P1332" s="573"/>
      <c r="Q1332" s="556"/>
      <c r="R1332" s="582"/>
    </row>
    <row r="1333" ht="15" spans="1:18">
      <c r="A1333" s="556" t="str">
        <f t="shared" si="161"/>
        <v>Composição Auxiliar</v>
      </c>
      <c r="B1333" s="557" t="str">
        <f t="shared" si="162"/>
        <v>Composição Auxiliar</v>
      </c>
      <c r="C1333" s="571"/>
      <c r="D1333" s="571"/>
      <c r="E1333" s="571"/>
      <c r="F1333" s="571"/>
      <c r="G1333" s="571"/>
      <c r="H1333" s="571"/>
      <c r="I1333" s="571"/>
      <c r="J1333" s="571"/>
      <c r="K1333" s="571"/>
      <c r="L1333" s="571"/>
      <c r="M1333" s="571"/>
      <c r="N1333" s="573">
        <v>1.52</v>
      </c>
      <c r="O1333" s="556" t="str">
        <f t="shared" si="160"/>
        <v>DIF</v>
      </c>
      <c r="P1333" s="573"/>
      <c r="Q1333" s="556"/>
      <c r="R1333" s="582"/>
    </row>
    <row r="1334" ht="15" customHeight="1" spans="1:18">
      <c r="A1334" s="556" t="str">
        <f t="shared" si="161"/>
        <v>Composição Auxiliar</v>
      </c>
      <c r="B1334" s="557" t="str">
        <f t="shared" si="162"/>
        <v>Composição Auxiliar</v>
      </c>
      <c r="C1334" s="76" t="s">
        <v>507</v>
      </c>
      <c r="D1334" s="75" t="s">
        <v>63</v>
      </c>
      <c r="E1334" s="76" t="s">
        <v>64</v>
      </c>
      <c r="F1334" s="76" t="s">
        <v>65</v>
      </c>
      <c r="G1334" s="76" t="s">
        <v>2889</v>
      </c>
      <c r="H1334" s="76"/>
      <c r="I1334" s="77" t="s">
        <v>66</v>
      </c>
      <c r="J1334" s="75" t="s">
        <v>67</v>
      </c>
      <c r="K1334" s="75" t="s">
        <v>2890</v>
      </c>
      <c r="L1334" s="75" t="s">
        <v>68</v>
      </c>
      <c r="M1334" s="75" t="s">
        <v>70</v>
      </c>
      <c r="N1334" s="573">
        <v>0.69</v>
      </c>
      <c r="O1334" s="556" t="str">
        <f t="shared" si="160"/>
        <v>DIF</v>
      </c>
      <c r="P1334" s="573"/>
      <c r="Q1334" s="556"/>
      <c r="R1334" s="582"/>
    </row>
    <row r="1335" ht="23.85" customHeight="1" spans="1:18">
      <c r="A1335" s="556" t="str">
        <f t="shared" si="161"/>
        <v>Composição Auxiliar</v>
      </c>
      <c r="B1335" s="557" t="str">
        <f t="shared" si="162"/>
        <v>Composição Auxiliar</v>
      </c>
      <c r="C1335" s="569" t="s">
        <v>2891</v>
      </c>
      <c r="D1335" s="570" t="s">
        <v>458</v>
      </c>
      <c r="E1335" s="569" t="s">
        <v>139</v>
      </c>
      <c r="F1335" s="569" t="s">
        <v>459</v>
      </c>
      <c r="G1335" s="569" t="s">
        <v>3317</v>
      </c>
      <c r="H1335" s="569"/>
      <c r="I1335" s="577" t="s">
        <v>393</v>
      </c>
      <c r="J1335" s="578">
        <v>1</v>
      </c>
      <c r="K1335" s="579"/>
      <c r="L1335" s="579">
        <v>12.99</v>
      </c>
      <c r="M1335" s="579">
        <v>12.99</v>
      </c>
      <c r="N1335" s="573">
        <v>33.45</v>
      </c>
      <c r="O1335" s="556" t="str">
        <f t="shared" si="160"/>
        <v>DIF</v>
      </c>
      <c r="P1335" s="573"/>
      <c r="Q1335" s="556"/>
      <c r="R1335" s="582"/>
    </row>
    <row r="1336" ht="23.85" customHeight="1" spans="1:18">
      <c r="A1336" s="556"/>
      <c r="B1336" s="557"/>
      <c r="C1336" s="79" t="s">
        <v>2921</v>
      </c>
      <c r="D1336" s="78" t="s">
        <v>3311</v>
      </c>
      <c r="E1336" s="79" t="s">
        <v>139</v>
      </c>
      <c r="F1336" s="79" t="s">
        <v>3312</v>
      </c>
      <c r="G1336" s="79" t="s">
        <v>2928</v>
      </c>
      <c r="H1336" s="79"/>
      <c r="I1336" s="80" t="s">
        <v>2897</v>
      </c>
      <c r="J1336" s="583">
        <v>0.0066</v>
      </c>
      <c r="K1336" s="583">
        <v>0</v>
      </c>
      <c r="L1336" s="92">
        <v>30.06</v>
      </c>
      <c r="M1336" s="92">
        <v>0.19</v>
      </c>
      <c r="N1336" s="573"/>
      <c r="O1336" s="556"/>
      <c r="P1336" s="573"/>
      <c r="Q1336" s="556"/>
      <c r="R1336" s="582"/>
    </row>
    <row r="1337" ht="23.85" customHeight="1" spans="1:18">
      <c r="A1337" s="556"/>
      <c r="B1337" s="557"/>
      <c r="C1337" s="79" t="s">
        <v>2921</v>
      </c>
      <c r="D1337" s="78" t="s">
        <v>3322</v>
      </c>
      <c r="E1337" s="79" t="s">
        <v>139</v>
      </c>
      <c r="F1337" s="79" t="s">
        <v>3323</v>
      </c>
      <c r="G1337" s="79" t="s">
        <v>3317</v>
      </c>
      <c r="H1337" s="79"/>
      <c r="I1337" s="80" t="s">
        <v>393</v>
      </c>
      <c r="J1337" s="583">
        <v>1</v>
      </c>
      <c r="K1337" s="583">
        <v>0</v>
      </c>
      <c r="L1337" s="92">
        <v>10.65</v>
      </c>
      <c r="M1337" s="92">
        <v>10.65</v>
      </c>
      <c r="N1337" s="573"/>
      <c r="O1337" s="556"/>
      <c r="P1337" s="573"/>
      <c r="Q1337" s="556"/>
      <c r="R1337" s="582"/>
    </row>
    <row r="1338" ht="23.85" customHeight="1" spans="1:18">
      <c r="A1338" s="556"/>
      <c r="B1338" s="557"/>
      <c r="C1338" s="79" t="s">
        <v>2921</v>
      </c>
      <c r="D1338" s="78" t="s">
        <v>3313</v>
      </c>
      <c r="E1338" s="79" t="s">
        <v>139</v>
      </c>
      <c r="F1338" s="79" t="s">
        <v>3314</v>
      </c>
      <c r="G1338" s="79" t="s">
        <v>2928</v>
      </c>
      <c r="H1338" s="79"/>
      <c r="I1338" s="80" t="s">
        <v>2897</v>
      </c>
      <c r="J1338" s="583">
        <v>0.0403</v>
      </c>
      <c r="K1338" s="583">
        <v>0</v>
      </c>
      <c r="L1338" s="92">
        <v>35.95</v>
      </c>
      <c r="M1338" s="92">
        <v>1.44</v>
      </c>
      <c r="N1338" s="573"/>
      <c r="O1338" s="556"/>
      <c r="P1338" s="573"/>
      <c r="Q1338" s="556"/>
      <c r="R1338" s="582"/>
    </row>
    <row r="1339" ht="23.85" customHeight="1" spans="1:18">
      <c r="A1339" s="556"/>
      <c r="B1339" s="557" t="str">
        <f>C1338</f>
        <v>Composição Auxiliar</v>
      </c>
      <c r="C1339" s="100" t="s">
        <v>2893</v>
      </c>
      <c r="D1339" s="99" t="s">
        <v>3318</v>
      </c>
      <c r="E1339" s="100" t="s">
        <v>139</v>
      </c>
      <c r="F1339" s="100" t="s">
        <v>3319</v>
      </c>
      <c r="G1339" s="100" t="s">
        <v>2961</v>
      </c>
      <c r="H1339" s="100"/>
      <c r="I1339" s="101" t="s">
        <v>393</v>
      </c>
      <c r="J1339" s="580">
        <v>0.025</v>
      </c>
      <c r="K1339" s="580">
        <v>0</v>
      </c>
      <c r="L1339" s="102">
        <v>22</v>
      </c>
      <c r="M1339" s="102">
        <v>0.55</v>
      </c>
      <c r="N1339" s="573">
        <v>98.42</v>
      </c>
      <c r="O1339" s="556" t="str">
        <f t="shared" ref="O1339:O1350" si="163">IF(N1339=M1339,"OK","DIF")</f>
        <v>DIF</v>
      </c>
      <c r="P1339" s="573"/>
      <c r="Q1339" s="556"/>
      <c r="R1339" s="582"/>
    </row>
    <row r="1340" ht="23.85" customHeight="1" spans="1:18">
      <c r="A1340" s="556" t="str">
        <f t="shared" ref="A1340:A1350" si="164">B1340</f>
        <v>Composição Auxiliar</v>
      </c>
      <c r="B1340" s="557" t="str">
        <f t="shared" ref="B1340:B1350" si="165">B1339</f>
        <v>Composição Auxiliar</v>
      </c>
      <c r="C1340" s="100" t="s">
        <v>2893</v>
      </c>
      <c r="D1340" s="99" t="s">
        <v>3320</v>
      </c>
      <c r="E1340" s="100" t="s">
        <v>139</v>
      </c>
      <c r="F1340" s="100" t="s">
        <v>3321</v>
      </c>
      <c r="G1340" s="100" t="s">
        <v>2961</v>
      </c>
      <c r="H1340" s="100"/>
      <c r="I1340" s="101" t="s">
        <v>134</v>
      </c>
      <c r="J1340" s="580">
        <v>0.728</v>
      </c>
      <c r="K1340" s="580">
        <v>0</v>
      </c>
      <c r="L1340" s="102">
        <v>0.22</v>
      </c>
      <c r="M1340" s="102">
        <v>0.16</v>
      </c>
      <c r="N1340" s="573">
        <v>4.43</v>
      </c>
      <c r="O1340" s="556" t="str">
        <f t="shared" si="163"/>
        <v>DIF</v>
      </c>
      <c r="P1340" s="573"/>
      <c r="Q1340" s="556"/>
      <c r="R1340" s="582"/>
    </row>
    <row r="1341" ht="25.5" spans="1:18">
      <c r="A1341" s="556" t="str">
        <f t="shared" si="164"/>
        <v>Composição Auxiliar</v>
      </c>
      <c r="B1341" s="557" t="str">
        <f t="shared" si="165"/>
        <v>Composição Auxiliar</v>
      </c>
      <c r="C1341" s="108"/>
      <c r="D1341" s="108"/>
      <c r="E1341" s="108"/>
      <c r="F1341" s="108"/>
      <c r="G1341" s="108"/>
      <c r="H1341" s="108" t="s">
        <v>2898</v>
      </c>
      <c r="I1341" s="581">
        <v>1.64</v>
      </c>
      <c r="J1341" s="108" t="s">
        <v>2899</v>
      </c>
      <c r="K1341" s="581">
        <v>0</v>
      </c>
      <c r="L1341" s="108" t="s">
        <v>2900</v>
      </c>
      <c r="M1341" s="581">
        <v>1.64</v>
      </c>
      <c r="N1341" s="573">
        <v>18.17</v>
      </c>
      <c r="O1341" s="556" t="str">
        <f t="shared" si="163"/>
        <v>DIF</v>
      </c>
      <c r="P1341" s="573"/>
      <c r="Q1341" s="556"/>
      <c r="R1341" s="582"/>
    </row>
    <row r="1342" ht="26.25" spans="1:18">
      <c r="A1342" s="556" t="str">
        <f t="shared" si="164"/>
        <v>Composição Auxiliar</v>
      </c>
      <c r="B1342" s="557" t="str">
        <f t="shared" si="165"/>
        <v>Composição Auxiliar</v>
      </c>
      <c r="C1342" s="108"/>
      <c r="D1342" s="108"/>
      <c r="E1342" s="108"/>
      <c r="F1342" s="108"/>
      <c r="G1342" s="108"/>
      <c r="H1342" s="108" t="s">
        <v>2901</v>
      </c>
      <c r="I1342" s="581">
        <v>3.31</v>
      </c>
      <c r="J1342" s="114"/>
      <c r="K1342" s="114" t="s">
        <v>2902</v>
      </c>
      <c r="L1342" s="108"/>
      <c r="M1342" s="581">
        <v>16.3</v>
      </c>
      <c r="N1342" s="573">
        <v>16.52</v>
      </c>
      <c r="O1342" s="556" t="str">
        <f t="shared" si="163"/>
        <v>DIF</v>
      </c>
      <c r="P1342" s="573"/>
      <c r="Q1342" s="556"/>
      <c r="R1342" s="582"/>
    </row>
    <row r="1343" ht="15" spans="1:18">
      <c r="A1343" s="556" t="str">
        <f t="shared" si="164"/>
        <v>Composição Auxiliar</v>
      </c>
      <c r="B1343" s="557" t="str">
        <f t="shared" si="165"/>
        <v>Composição Auxiliar</v>
      </c>
      <c r="C1343" s="571"/>
      <c r="D1343" s="571"/>
      <c r="E1343" s="571"/>
      <c r="F1343" s="571"/>
      <c r="G1343" s="571"/>
      <c r="H1343" s="571"/>
      <c r="I1343" s="571"/>
      <c r="J1343" s="571"/>
      <c r="K1343" s="571"/>
      <c r="L1343" s="571"/>
      <c r="M1343" s="571"/>
      <c r="N1343" s="573">
        <v>0.15</v>
      </c>
      <c r="O1343" s="556" t="str">
        <f t="shared" si="163"/>
        <v>DIF</v>
      </c>
      <c r="P1343" s="573"/>
      <c r="Q1343" s="556"/>
      <c r="R1343" s="582"/>
    </row>
    <row r="1344" ht="15" customHeight="1" spans="1:18">
      <c r="A1344" s="556" t="str">
        <f t="shared" si="164"/>
        <v>Composição Auxiliar</v>
      </c>
      <c r="B1344" s="557" t="str">
        <f t="shared" si="165"/>
        <v>Composição Auxiliar</v>
      </c>
      <c r="C1344" s="76" t="s">
        <v>508</v>
      </c>
      <c r="D1344" s="75" t="s">
        <v>63</v>
      </c>
      <c r="E1344" s="76" t="s">
        <v>64</v>
      </c>
      <c r="F1344" s="76" t="s">
        <v>65</v>
      </c>
      <c r="G1344" s="76" t="s">
        <v>2889</v>
      </c>
      <c r="H1344" s="76"/>
      <c r="I1344" s="77" t="s">
        <v>66</v>
      </c>
      <c r="J1344" s="75" t="s">
        <v>67</v>
      </c>
      <c r="K1344" s="75" t="s">
        <v>2890</v>
      </c>
      <c r="L1344" s="75" t="s">
        <v>68</v>
      </c>
      <c r="M1344" s="75" t="s">
        <v>70</v>
      </c>
      <c r="N1344" s="573">
        <v>42.16</v>
      </c>
      <c r="O1344" s="556" t="str">
        <f t="shared" si="163"/>
        <v>DIF</v>
      </c>
      <c r="P1344" s="573"/>
      <c r="Q1344" s="556"/>
      <c r="R1344" s="582"/>
    </row>
    <row r="1345" ht="35.05" customHeight="1" spans="1:18">
      <c r="A1345" s="556" t="str">
        <f t="shared" si="164"/>
        <v>Composição Auxiliar</v>
      </c>
      <c r="B1345" s="557" t="str">
        <f t="shared" si="165"/>
        <v>Composição Auxiliar</v>
      </c>
      <c r="C1345" s="569" t="s">
        <v>2891</v>
      </c>
      <c r="D1345" s="570" t="s">
        <v>509</v>
      </c>
      <c r="E1345" s="569" t="s">
        <v>139</v>
      </c>
      <c r="F1345" s="569" t="s">
        <v>510</v>
      </c>
      <c r="G1345" s="569" t="s">
        <v>3390</v>
      </c>
      <c r="H1345" s="569"/>
      <c r="I1345" s="577" t="s">
        <v>141</v>
      </c>
      <c r="J1345" s="578">
        <v>1</v>
      </c>
      <c r="K1345" s="579"/>
      <c r="L1345" s="579">
        <v>91.26</v>
      </c>
      <c r="M1345" s="579">
        <v>91.26</v>
      </c>
      <c r="N1345" s="573">
        <v>2.05</v>
      </c>
      <c r="O1345" s="556" t="str">
        <f t="shared" si="163"/>
        <v>DIF</v>
      </c>
      <c r="P1345" s="573"/>
      <c r="Q1345" s="556"/>
      <c r="R1345" s="582"/>
    </row>
    <row r="1346" ht="23.85" customHeight="1" spans="1:18">
      <c r="A1346" s="556" t="str">
        <f t="shared" si="164"/>
        <v>Composição Auxiliar</v>
      </c>
      <c r="B1346" s="557" t="str">
        <f t="shared" si="165"/>
        <v>Composição Auxiliar</v>
      </c>
      <c r="C1346" s="79" t="s">
        <v>2921</v>
      </c>
      <c r="D1346" s="78" t="s">
        <v>3003</v>
      </c>
      <c r="E1346" s="79" t="s">
        <v>139</v>
      </c>
      <c r="F1346" s="79" t="s">
        <v>3004</v>
      </c>
      <c r="G1346" s="79" t="s">
        <v>2928</v>
      </c>
      <c r="H1346" s="79"/>
      <c r="I1346" s="80" t="s">
        <v>2897</v>
      </c>
      <c r="J1346" s="583">
        <v>0.199</v>
      </c>
      <c r="K1346" s="583">
        <v>0</v>
      </c>
      <c r="L1346" s="92">
        <v>29.91</v>
      </c>
      <c r="M1346" s="92">
        <v>5.95</v>
      </c>
      <c r="N1346" s="573">
        <v>2.82</v>
      </c>
      <c r="O1346" s="556" t="str">
        <f t="shared" si="163"/>
        <v>DIF</v>
      </c>
      <c r="P1346" s="573"/>
      <c r="Q1346" s="556"/>
      <c r="R1346" s="582"/>
    </row>
    <row r="1347" ht="23.85" customHeight="1" spans="1:18">
      <c r="A1347" s="556" t="str">
        <f t="shared" si="164"/>
        <v>Composição Auxiliar</v>
      </c>
      <c r="B1347" s="557" t="str">
        <f t="shared" si="165"/>
        <v>Composição Auxiliar</v>
      </c>
      <c r="C1347" s="79" t="s">
        <v>2921</v>
      </c>
      <c r="D1347" s="78" t="s">
        <v>3391</v>
      </c>
      <c r="E1347" s="79" t="s">
        <v>139</v>
      </c>
      <c r="F1347" s="79" t="s">
        <v>3392</v>
      </c>
      <c r="G1347" s="79" t="s">
        <v>3390</v>
      </c>
      <c r="H1347" s="79"/>
      <c r="I1347" s="80" t="s">
        <v>141</v>
      </c>
      <c r="J1347" s="583">
        <v>0.105</v>
      </c>
      <c r="K1347" s="583">
        <v>0</v>
      </c>
      <c r="L1347" s="92">
        <v>220.83</v>
      </c>
      <c r="M1347" s="92">
        <v>23.18</v>
      </c>
      <c r="N1347" s="573">
        <v>5.55</v>
      </c>
      <c r="O1347" s="556" t="str">
        <f t="shared" si="163"/>
        <v>DIF</v>
      </c>
      <c r="P1347" s="573"/>
      <c r="Q1347" s="556"/>
      <c r="R1347" s="582"/>
    </row>
    <row r="1348" ht="23.85" customHeight="1" spans="1:18">
      <c r="A1348" s="556" t="str">
        <f t="shared" si="164"/>
        <v>Composição Auxiliar</v>
      </c>
      <c r="B1348" s="557" t="str">
        <f t="shared" si="165"/>
        <v>Composição Auxiliar</v>
      </c>
      <c r="C1348" s="79" t="s">
        <v>2921</v>
      </c>
      <c r="D1348" s="78" t="s">
        <v>2954</v>
      </c>
      <c r="E1348" s="79" t="s">
        <v>139</v>
      </c>
      <c r="F1348" s="79" t="s">
        <v>2955</v>
      </c>
      <c r="G1348" s="79" t="s">
        <v>2928</v>
      </c>
      <c r="H1348" s="79"/>
      <c r="I1348" s="80" t="s">
        <v>2897</v>
      </c>
      <c r="J1348" s="583">
        <v>1.088</v>
      </c>
      <c r="K1348" s="583">
        <v>0</v>
      </c>
      <c r="L1348" s="92">
        <v>37.51</v>
      </c>
      <c r="M1348" s="92">
        <v>40.81</v>
      </c>
      <c r="N1348" s="573">
        <v>0.77</v>
      </c>
      <c r="O1348" s="556" t="str">
        <f t="shared" si="163"/>
        <v>DIF</v>
      </c>
      <c r="P1348" s="573"/>
      <c r="Q1348" s="556"/>
      <c r="R1348" s="582"/>
    </row>
    <row r="1349" ht="23.85" customHeight="1" spans="1:18">
      <c r="A1349" s="556" t="str">
        <f t="shared" si="164"/>
        <v>Composição Auxiliar</v>
      </c>
      <c r="B1349" s="557" t="str">
        <f t="shared" si="165"/>
        <v>Composição Auxiliar</v>
      </c>
      <c r="C1349" s="100" t="s">
        <v>2893</v>
      </c>
      <c r="D1349" s="99" t="s">
        <v>3393</v>
      </c>
      <c r="E1349" s="100" t="s">
        <v>139</v>
      </c>
      <c r="F1349" s="100" t="s">
        <v>3394</v>
      </c>
      <c r="G1349" s="100" t="s">
        <v>3395</v>
      </c>
      <c r="H1349" s="100"/>
      <c r="I1349" s="101" t="s">
        <v>2925</v>
      </c>
      <c r="J1349" s="580">
        <v>0.785</v>
      </c>
      <c r="K1349" s="580">
        <v>0</v>
      </c>
      <c r="L1349" s="102">
        <v>8.84</v>
      </c>
      <c r="M1349" s="102">
        <v>6.93</v>
      </c>
      <c r="N1349" s="573">
        <v>3.8</v>
      </c>
      <c r="O1349" s="556" t="str">
        <f t="shared" si="163"/>
        <v>DIF</v>
      </c>
      <c r="P1349" s="573"/>
      <c r="Q1349" s="556"/>
      <c r="R1349" s="582"/>
    </row>
    <row r="1350" ht="15" customHeight="1" spans="1:18">
      <c r="A1350" s="556" t="str">
        <f t="shared" si="164"/>
        <v>Composição Auxiliar</v>
      </c>
      <c r="B1350" s="557" t="str">
        <f t="shared" si="165"/>
        <v>Composição Auxiliar</v>
      </c>
      <c r="C1350" s="100" t="s">
        <v>2893</v>
      </c>
      <c r="D1350" s="99" t="s">
        <v>3332</v>
      </c>
      <c r="E1350" s="100" t="s">
        <v>139</v>
      </c>
      <c r="F1350" s="100" t="s">
        <v>3333</v>
      </c>
      <c r="G1350" s="100" t="s">
        <v>2961</v>
      </c>
      <c r="H1350" s="100"/>
      <c r="I1350" s="101" t="s">
        <v>393</v>
      </c>
      <c r="J1350" s="580">
        <v>0.019</v>
      </c>
      <c r="K1350" s="580">
        <v>0</v>
      </c>
      <c r="L1350" s="102">
        <v>22.69</v>
      </c>
      <c r="M1350" s="102">
        <v>0.43</v>
      </c>
      <c r="N1350" s="573">
        <v>2</v>
      </c>
      <c r="O1350" s="556" t="str">
        <f t="shared" si="163"/>
        <v>DIF</v>
      </c>
      <c r="P1350" s="573"/>
      <c r="Q1350" s="556"/>
      <c r="R1350" s="582"/>
    </row>
    <row r="1351" ht="23.85" customHeight="1" spans="1:18">
      <c r="A1351" s="556"/>
      <c r="B1351" s="557"/>
      <c r="C1351" s="100" t="s">
        <v>2893</v>
      </c>
      <c r="D1351" s="99" t="s">
        <v>3342</v>
      </c>
      <c r="E1351" s="100" t="s">
        <v>139</v>
      </c>
      <c r="F1351" s="100" t="s">
        <v>3343</v>
      </c>
      <c r="G1351" s="100" t="s">
        <v>2961</v>
      </c>
      <c r="H1351" s="100"/>
      <c r="I1351" s="101" t="s">
        <v>3084</v>
      </c>
      <c r="J1351" s="580">
        <v>0.004</v>
      </c>
      <c r="K1351" s="580">
        <v>0</v>
      </c>
      <c r="L1351" s="102">
        <v>7.97</v>
      </c>
      <c r="M1351" s="102">
        <v>0.03</v>
      </c>
      <c r="N1351" s="573"/>
      <c r="O1351" s="556"/>
      <c r="P1351" s="573"/>
      <c r="Q1351" s="556"/>
      <c r="R1351" s="582"/>
    </row>
    <row r="1352" ht="23.85" customHeight="1" spans="1:18">
      <c r="A1352" s="556"/>
      <c r="B1352" s="557"/>
      <c r="C1352" s="100" t="s">
        <v>2893</v>
      </c>
      <c r="D1352" s="99" t="s">
        <v>3396</v>
      </c>
      <c r="E1352" s="100" t="s">
        <v>139</v>
      </c>
      <c r="F1352" s="100" t="s">
        <v>3397</v>
      </c>
      <c r="G1352" s="100" t="s">
        <v>3395</v>
      </c>
      <c r="H1352" s="100"/>
      <c r="I1352" s="101" t="s">
        <v>3398</v>
      </c>
      <c r="J1352" s="580">
        <v>0.196</v>
      </c>
      <c r="K1352" s="580">
        <v>0</v>
      </c>
      <c r="L1352" s="102">
        <v>22.96</v>
      </c>
      <c r="M1352" s="102">
        <v>4.5</v>
      </c>
      <c r="N1352" s="573"/>
      <c r="O1352" s="556"/>
      <c r="P1352" s="573"/>
      <c r="Q1352" s="556"/>
      <c r="R1352" s="582"/>
    </row>
    <row r="1353" ht="35.05" customHeight="1" spans="1:18">
      <c r="A1353" s="556"/>
      <c r="B1353" s="557" t="str">
        <f>C1352</f>
        <v>Insumo</v>
      </c>
      <c r="C1353" s="100" t="s">
        <v>2893</v>
      </c>
      <c r="D1353" s="99" t="s">
        <v>3399</v>
      </c>
      <c r="E1353" s="100" t="s">
        <v>139</v>
      </c>
      <c r="F1353" s="100" t="s">
        <v>3400</v>
      </c>
      <c r="G1353" s="100" t="s">
        <v>3395</v>
      </c>
      <c r="H1353" s="100"/>
      <c r="I1353" s="101" t="s">
        <v>3398</v>
      </c>
      <c r="J1353" s="580">
        <v>0.393</v>
      </c>
      <c r="K1353" s="580">
        <v>0</v>
      </c>
      <c r="L1353" s="102">
        <v>24</v>
      </c>
      <c r="M1353" s="102">
        <v>9.43</v>
      </c>
      <c r="N1353" s="573">
        <v>36.44</v>
      </c>
      <c r="O1353" s="556" t="str">
        <f>IF(N1353=M1353,"OK","DIF")</f>
        <v>DIF</v>
      </c>
      <c r="P1353" s="573"/>
      <c r="Q1353" s="556"/>
      <c r="R1353" s="582"/>
    </row>
    <row r="1354" ht="25.5" spans="1:18">
      <c r="A1354" s="556" t="str">
        <f>B1354</f>
        <v>Insumo</v>
      </c>
      <c r="B1354" s="557" t="str">
        <f>B1353</f>
        <v>Insumo</v>
      </c>
      <c r="C1354" s="108"/>
      <c r="D1354" s="108"/>
      <c r="E1354" s="108"/>
      <c r="F1354" s="108"/>
      <c r="G1354" s="108"/>
      <c r="H1354" s="108" t="s">
        <v>2898</v>
      </c>
      <c r="I1354" s="581">
        <v>39.13</v>
      </c>
      <c r="J1354" s="108" t="s">
        <v>2899</v>
      </c>
      <c r="K1354" s="581">
        <v>0</v>
      </c>
      <c r="L1354" s="108" t="s">
        <v>2900</v>
      </c>
      <c r="M1354" s="581">
        <v>39.13</v>
      </c>
      <c r="N1354" s="573">
        <v>6</v>
      </c>
      <c r="O1354" s="556" t="str">
        <f>IF(N1354=M1354,"OK","DIF")</f>
        <v>DIF</v>
      </c>
      <c r="P1354" s="573"/>
      <c r="Q1354" s="556"/>
      <c r="R1354" s="582"/>
    </row>
    <row r="1355" ht="26.25" spans="1:18">
      <c r="A1355" s="556" t="str">
        <f>B1355</f>
        <v>Insumo</v>
      </c>
      <c r="B1355" s="557" t="str">
        <f>B1354</f>
        <v>Insumo</v>
      </c>
      <c r="C1355" s="108"/>
      <c r="D1355" s="108"/>
      <c r="E1355" s="108"/>
      <c r="F1355" s="108"/>
      <c r="G1355" s="108"/>
      <c r="H1355" s="108" t="s">
        <v>2901</v>
      </c>
      <c r="I1355" s="581">
        <v>23.26</v>
      </c>
      <c r="J1355" s="114"/>
      <c r="K1355" s="114" t="s">
        <v>2902</v>
      </c>
      <c r="L1355" s="108"/>
      <c r="M1355" s="581">
        <v>114.52</v>
      </c>
      <c r="N1355" s="573">
        <v>5.95</v>
      </c>
      <c r="O1355" s="556" t="str">
        <f>IF(N1355=M1355,"OK","DIF")</f>
        <v>DIF</v>
      </c>
      <c r="P1355" s="573"/>
      <c r="Q1355" s="556"/>
      <c r="R1355" s="582"/>
    </row>
    <row r="1356" ht="15" spans="1:18">
      <c r="A1356" s="556" t="str">
        <f>B1356</f>
        <v>Insumo</v>
      </c>
      <c r="B1356" s="557" t="str">
        <f>B1355</f>
        <v>Insumo</v>
      </c>
      <c r="C1356" s="571"/>
      <c r="D1356" s="571"/>
      <c r="E1356" s="571"/>
      <c r="F1356" s="571"/>
      <c r="G1356" s="571"/>
      <c r="H1356" s="571"/>
      <c r="I1356" s="571"/>
      <c r="J1356" s="571"/>
      <c r="K1356" s="571"/>
      <c r="L1356" s="571"/>
      <c r="M1356" s="571"/>
      <c r="N1356" s="573">
        <v>8.93</v>
      </c>
      <c r="O1356" s="556" t="str">
        <f>IF(N1356=M1356,"OK","DIF")</f>
        <v>DIF</v>
      </c>
      <c r="P1356" s="573"/>
      <c r="Q1356" s="556"/>
      <c r="R1356" s="582"/>
    </row>
    <row r="1357" ht="15" customHeight="1" spans="1:18">
      <c r="A1357" s="556" t="str">
        <f>B1357</f>
        <v>Insumo</v>
      </c>
      <c r="B1357" s="557" t="str">
        <f>B1356</f>
        <v>Insumo</v>
      </c>
      <c r="C1357" s="76" t="s">
        <v>511</v>
      </c>
      <c r="D1357" s="75" t="s">
        <v>63</v>
      </c>
      <c r="E1357" s="76" t="s">
        <v>64</v>
      </c>
      <c r="F1357" s="76" t="s">
        <v>65</v>
      </c>
      <c r="G1357" s="76" t="s">
        <v>2889</v>
      </c>
      <c r="H1357" s="76"/>
      <c r="I1357" s="77" t="s">
        <v>66</v>
      </c>
      <c r="J1357" s="75" t="s">
        <v>67</v>
      </c>
      <c r="K1357" s="75" t="s">
        <v>2890</v>
      </c>
      <c r="L1357" s="75" t="s">
        <v>68</v>
      </c>
      <c r="M1357" s="75" t="s">
        <v>70</v>
      </c>
      <c r="N1357" s="573">
        <v>15.56</v>
      </c>
      <c r="O1357" s="556" t="str">
        <f>IF(N1357=M1357,"OK","DIF")</f>
        <v>DIF</v>
      </c>
      <c r="P1357" s="573"/>
      <c r="Q1357" s="556"/>
      <c r="R1357" s="582"/>
    </row>
    <row r="1358" ht="35.05" customHeight="1" spans="1:18">
      <c r="A1358" s="556"/>
      <c r="B1358" s="557"/>
      <c r="C1358" s="569" t="s">
        <v>2891</v>
      </c>
      <c r="D1358" s="570" t="s">
        <v>512</v>
      </c>
      <c r="E1358" s="569" t="s">
        <v>139</v>
      </c>
      <c r="F1358" s="569" t="s">
        <v>513</v>
      </c>
      <c r="G1358" s="569" t="s">
        <v>3390</v>
      </c>
      <c r="H1358" s="569"/>
      <c r="I1358" s="577" t="s">
        <v>141</v>
      </c>
      <c r="J1358" s="578">
        <v>1</v>
      </c>
      <c r="K1358" s="579"/>
      <c r="L1358" s="579">
        <v>139.4</v>
      </c>
      <c r="M1358" s="579">
        <v>139.4</v>
      </c>
      <c r="N1358" s="573"/>
      <c r="O1358" s="556"/>
      <c r="P1358" s="573"/>
      <c r="Q1358" s="556"/>
      <c r="R1358" s="582"/>
    </row>
    <row r="1359" ht="23.85" customHeight="1" spans="1:18">
      <c r="A1359" s="556"/>
      <c r="B1359" s="557"/>
      <c r="C1359" s="79" t="s">
        <v>2921</v>
      </c>
      <c r="D1359" s="78" t="s">
        <v>3003</v>
      </c>
      <c r="E1359" s="79" t="s">
        <v>139</v>
      </c>
      <c r="F1359" s="79" t="s">
        <v>3004</v>
      </c>
      <c r="G1359" s="79" t="s">
        <v>2928</v>
      </c>
      <c r="H1359" s="79"/>
      <c r="I1359" s="80" t="s">
        <v>2897</v>
      </c>
      <c r="J1359" s="583">
        <v>0.237</v>
      </c>
      <c r="K1359" s="583">
        <v>0</v>
      </c>
      <c r="L1359" s="92">
        <v>29.91</v>
      </c>
      <c r="M1359" s="92">
        <v>7.08</v>
      </c>
      <c r="N1359" s="573"/>
      <c r="O1359" s="556"/>
      <c r="P1359" s="573"/>
      <c r="Q1359" s="556"/>
      <c r="R1359" s="582"/>
    </row>
    <row r="1360" ht="23.85" customHeight="1" spans="1:18">
      <c r="A1360" s="556"/>
      <c r="B1360" s="557"/>
      <c r="C1360" s="79" t="s">
        <v>2921</v>
      </c>
      <c r="D1360" s="78" t="s">
        <v>2954</v>
      </c>
      <c r="E1360" s="79" t="s">
        <v>139</v>
      </c>
      <c r="F1360" s="79" t="s">
        <v>2955</v>
      </c>
      <c r="G1360" s="79" t="s">
        <v>2928</v>
      </c>
      <c r="H1360" s="79"/>
      <c r="I1360" s="80" t="s">
        <v>2897</v>
      </c>
      <c r="J1360" s="583">
        <v>1.291</v>
      </c>
      <c r="K1360" s="583">
        <v>0</v>
      </c>
      <c r="L1360" s="92">
        <v>37.51</v>
      </c>
      <c r="M1360" s="92">
        <v>48.42</v>
      </c>
      <c r="N1360" s="573"/>
      <c r="O1360" s="556"/>
      <c r="P1360" s="573"/>
      <c r="Q1360" s="556"/>
      <c r="R1360" s="582"/>
    </row>
    <row r="1361" ht="23.85" customHeight="1" spans="1:18">
      <c r="A1361" s="556"/>
      <c r="B1361" s="557" t="str">
        <f>C1360</f>
        <v>Composição Auxiliar</v>
      </c>
      <c r="C1361" s="79" t="s">
        <v>2921</v>
      </c>
      <c r="D1361" s="78" t="s">
        <v>3401</v>
      </c>
      <c r="E1361" s="79" t="s">
        <v>139</v>
      </c>
      <c r="F1361" s="79" t="s">
        <v>3402</v>
      </c>
      <c r="G1361" s="79" t="s">
        <v>3390</v>
      </c>
      <c r="H1361" s="79"/>
      <c r="I1361" s="80" t="s">
        <v>141</v>
      </c>
      <c r="J1361" s="583">
        <v>0.165</v>
      </c>
      <c r="K1361" s="583">
        <v>0</v>
      </c>
      <c r="L1361" s="92">
        <v>166.54</v>
      </c>
      <c r="M1361" s="92">
        <v>27.47</v>
      </c>
      <c r="N1361" s="573">
        <v>194.52</v>
      </c>
      <c r="O1361" s="556" t="str">
        <f t="shared" ref="O1361:O1367" si="166">IF(N1361=M1361,"OK","DIF")</f>
        <v>DIF</v>
      </c>
      <c r="P1361" s="573"/>
      <c r="Q1361" s="556"/>
      <c r="R1361" s="582"/>
    </row>
    <row r="1362" ht="23.85" customHeight="1" spans="1:18">
      <c r="A1362" s="556" t="str">
        <f t="shared" ref="A1362:A1367" si="167">B1362</f>
        <v>Composição Auxiliar</v>
      </c>
      <c r="B1362" s="557" t="str">
        <f t="shared" ref="B1362:B1367" si="168">B1361</f>
        <v>Composição Auxiliar</v>
      </c>
      <c r="C1362" s="100" t="s">
        <v>2893</v>
      </c>
      <c r="D1362" s="99" t="s">
        <v>3393</v>
      </c>
      <c r="E1362" s="100" t="s">
        <v>139</v>
      </c>
      <c r="F1362" s="100" t="s">
        <v>3394</v>
      </c>
      <c r="G1362" s="100" t="s">
        <v>3395</v>
      </c>
      <c r="H1362" s="100"/>
      <c r="I1362" s="101" t="s">
        <v>2925</v>
      </c>
      <c r="J1362" s="580">
        <v>0.474</v>
      </c>
      <c r="K1362" s="580">
        <v>0</v>
      </c>
      <c r="L1362" s="102">
        <v>8.84</v>
      </c>
      <c r="M1362" s="102">
        <v>4.19</v>
      </c>
      <c r="N1362" s="573">
        <v>0.02</v>
      </c>
      <c r="O1362" s="556" t="str">
        <f t="shared" si="166"/>
        <v>DIF</v>
      </c>
      <c r="P1362" s="573"/>
      <c r="Q1362" s="556"/>
      <c r="R1362" s="582"/>
    </row>
    <row r="1363" ht="23.85" customHeight="1" spans="1:18">
      <c r="A1363" s="556" t="str">
        <f t="shared" si="167"/>
        <v>Composição Auxiliar</v>
      </c>
      <c r="B1363" s="557" t="str">
        <f t="shared" si="168"/>
        <v>Composição Auxiliar</v>
      </c>
      <c r="C1363" s="100" t="s">
        <v>2893</v>
      </c>
      <c r="D1363" s="99" t="s">
        <v>3342</v>
      </c>
      <c r="E1363" s="100" t="s">
        <v>139</v>
      </c>
      <c r="F1363" s="100" t="s">
        <v>3343</v>
      </c>
      <c r="G1363" s="100" t="s">
        <v>2961</v>
      </c>
      <c r="H1363" s="100"/>
      <c r="I1363" s="101" t="s">
        <v>3084</v>
      </c>
      <c r="J1363" s="580">
        <v>0.004</v>
      </c>
      <c r="K1363" s="580">
        <v>0</v>
      </c>
      <c r="L1363" s="102">
        <v>7.97</v>
      </c>
      <c r="M1363" s="102">
        <v>0.03</v>
      </c>
      <c r="N1363" s="573">
        <v>1.6</v>
      </c>
      <c r="O1363" s="556" t="str">
        <f t="shared" si="166"/>
        <v>DIF</v>
      </c>
      <c r="P1363" s="573"/>
      <c r="Q1363" s="556"/>
      <c r="R1363" s="582"/>
    </row>
    <row r="1364" ht="35.05" customHeight="1" spans="1:18">
      <c r="A1364" s="556" t="str">
        <f t="shared" si="167"/>
        <v>Composição Auxiliar</v>
      </c>
      <c r="B1364" s="557" t="str">
        <f t="shared" si="168"/>
        <v>Composição Auxiliar</v>
      </c>
      <c r="C1364" s="100" t="s">
        <v>2893</v>
      </c>
      <c r="D1364" s="99" t="s">
        <v>3403</v>
      </c>
      <c r="E1364" s="100" t="s">
        <v>139</v>
      </c>
      <c r="F1364" s="100" t="s">
        <v>3404</v>
      </c>
      <c r="G1364" s="100" t="s">
        <v>3395</v>
      </c>
      <c r="H1364" s="100"/>
      <c r="I1364" s="101" t="s">
        <v>3398</v>
      </c>
      <c r="J1364" s="580">
        <v>1.186</v>
      </c>
      <c r="K1364" s="580">
        <v>0</v>
      </c>
      <c r="L1364" s="102">
        <v>26.62</v>
      </c>
      <c r="M1364" s="102">
        <v>31.57</v>
      </c>
      <c r="N1364" s="573">
        <v>0.03</v>
      </c>
      <c r="O1364" s="556" t="str">
        <f t="shared" si="166"/>
        <v>DIF</v>
      </c>
      <c r="P1364" s="573"/>
      <c r="Q1364" s="556"/>
      <c r="R1364" s="582"/>
    </row>
    <row r="1365" ht="35.05" customHeight="1" spans="1:18">
      <c r="A1365" s="556" t="str">
        <f t="shared" si="167"/>
        <v>Composição Auxiliar</v>
      </c>
      <c r="B1365" s="557" t="str">
        <f t="shared" si="168"/>
        <v>Composição Auxiliar</v>
      </c>
      <c r="C1365" s="100" t="s">
        <v>2893</v>
      </c>
      <c r="D1365" s="99" t="s">
        <v>3399</v>
      </c>
      <c r="E1365" s="100" t="s">
        <v>139</v>
      </c>
      <c r="F1365" s="100" t="s">
        <v>3400</v>
      </c>
      <c r="G1365" s="100" t="s">
        <v>3395</v>
      </c>
      <c r="H1365" s="100"/>
      <c r="I1365" s="101" t="s">
        <v>3398</v>
      </c>
      <c r="J1365" s="580">
        <v>0.356</v>
      </c>
      <c r="K1365" s="580">
        <v>0</v>
      </c>
      <c r="L1365" s="102">
        <v>24</v>
      </c>
      <c r="M1365" s="102">
        <v>8.54</v>
      </c>
      <c r="N1365" s="573">
        <v>1.83</v>
      </c>
      <c r="O1365" s="556" t="str">
        <f t="shared" si="166"/>
        <v>DIF</v>
      </c>
      <c r="P1365" s="573"/>
      <c r="Q1365" s="556"/>
      <c r="R1365" s="582"/>
    </row>
    <row r="1366" ht="15" customHeight="1" spans="1:18">
      <c r="A1366" s="556" t="str">
        <f t="shared" si="167"/>
        <v>Composição Auxiliar</v>
      </c>
      <c r="B1366" s="557" t="str">
        <f t="shared" si="168"/>
        <v>Composição Auxiliar</v>
      </c>
      <c r="C1366" s="100" t="s">
        <v>2893</v>
      </c>
      <c r="D1366" s="99" t="s">
        <v>3332</v>
      </c>
      <c r="E1366" s="100" t="s">
        <v>139</v>
      </c>
      <c r="F1366" s="100" t="s">
        <v>3333</v>
      </c>
      <c r="G1366" s="100" t="s">
        <v>2961</v>
      </c>
      <c r="H1366" s="100"/>
      <c r="I1366" s="101" t="s">
        <v>393</v>
      </c>
      <c r="J1366" s="580">
        <v>0.033</v>
      </c>
      <c r="K1366" s="580">
        <v>0</v>
      </c>
      <c r="L1366" s="102">
        <v>22.69</v>
      </c>
      <c r="M1366" s="102">
        <v>0.74</v>
      </c>
      <c r="N1366" s="573">
        <v>180.21</v>
      </c>
      <c r="O1366" s="556" t="str">
        <f t="shared" si="166"/>
        <v>DIF</v>
      </c>
      <c r="P1366" s="573"/>
      <c r="Q1366" s="556"/>
      <c r="R1366" s="582"/>
    </row>
    <row r="1367" ht="35.05" customHeight="1" spans="1:18">
      <c r="A1367" s="556" t="str">
        <f t="shared" si="167"/>
        <v>Composição Auxiliar</v>
      </c>
      <c r="B1367" s="557" t="str">
        <f t="shared" si="168"/>
        <v>Composição Auxiliar</v>
      </c>
      <c r="C1367" s="100" t="s">
        <v>2893</v>
      </c>
      <c r="D1367" s="99" t="s">
        <v>3405</v>
      </c>
      <c r="E1367" s="100" t="s">
        <v>139</v>
      </c>
      <c r="F1367" s="100" t="s">
        <v>3406</v>
      </c>
      <c r="G1367" s="100" t="s">
        <v>3395</v>
      </c>
      <c r="H1367" s="100"/>
      <c r="I1367" s="101" t="s">
        <v>3398</v>
      </c>
      <c r="J1367" s="580">
        <v>1.186</v>
      </c>
      <c r="K1367" s="580">
        <v>0</v>
      </c>
      <c r="L1367" s="102">
        <v>8.05</v>
      </c>
      <c r="M1367" s="102">
        <v>9.54</v>
      </c>
      <c r="N1367" s="573">
        <v>10.83</v>
      </c>
      <c r="O1367" s="556" t="str">
        <f t="shared" si="166"/>
        <v>DIF</v>
      </c>
      <c r="P1367" s="573"/>
      <c r="Q1367" s="556"/>
      <c r="R1367" s="582"/>
    </row>
    <row r="1368" ht="23.85" customHeight="1" spans="1:18">
      <c r="A1368" s="556"/>
      <c r="B1368" s="557"/>
      <c r="C1368" s="100" t="s">
        <v>2893</v>
      </c>
      <c r="D1368" s="99" t="s">
        <v>3007</v>
      </c>
      <c r="E1368" s="100" t="s">
        <v>139</v>
      </c>
      <c r="F1368" s="100" t="s">
        <v>3008</v>
      </c>
      <c r="G1368" s="100" t="s">
        <v>2961</v>
      </c>
      <c r="H1368" s="100"/>
      <c r="I1368" s="101" t="s">
        <v>204</v>
      </c>
      <c r="J1368" s="580">
        <v>0.208</v>
      </c>
      <c r="K1368" s="580">
        <v>0</v>
      </c>
      <c r="L1368" s="102">
        <v>8.79</v>
      </c>
      <c r="M1368" s="102">
        <v>1.82</v>
      </c>
      <c r="N1368" s="573"/>
      <c r="O1368" s="556"/>
      <c r="P1368" s="573"/>
      <c r="Q1368" s="556"/>
      <c r="R1368" s="582"/>
    </row>
    <row r="1369" ht="25.5" spans="1:18">
      <c r="A1369" s="556"/>
      <c r="B1369" s="557"/>
      <c r="C1369" s="108"/>
      <c r="D1369" s="108"/>
      <c r="E1369" s="108"/>
      <c r="F1369" s="108"/>
      <c r="G1369" s="108"/>
      <c r="H1369" s="108" t="s">
        <v>2898</v>
      </c>
      <c r="I1369" s="581">
        <v>46.83</v>
      </c>
      <c r="J1369" s="108" t="s">
        <v>2899</v>
      </c>
      <c r="K1369" s="581">
        <v>0</v>
      </c>
      <c r="L1369" s="108" t="s">
        <v>2900</v>
      </c>
      <c r="M1369" s="581">
        <v>46.83</v>
      </c>
      <c r="N1369" s="573"/>
      <c r="O1369" s="556"/>
      <c r="P1369" s="573"/>
      <c r="Q1369" s="556"/>
      <c r="R1369" s="582"/>
    </row>
    <row r="1370" ht="26.25" spans="1:18">
      <c r="A1370" s="556"/>
      <c r="B1370" s="557">
        <f>C1369</f>
        <v>0</v>
      </c>
      <c r="C1370" s="108"/>
      <c r="D1370" s="108"/>
      <c r="E1370" s="108"/>
      <c r="F1370" s="108"/>
      <c r="G1370" s="108"/>
      <c r="H1370" s="108" t="s">
        <v>2901</v>
      </c>
      <c r="I1370" s="581">
        <v>35.53</v>
      </c>
      <c r="J1370" s="114"/>
      <c r="K1370" s="114" t="s">
        <v>2902</v>
      </c>
      <c r="L1370" s="108"/>
      <c r="M1370" s="581">
        <v>174.93</v>
      </c>
      <c r="N1370" s="573">
        <v>53.57</v>
      </c>
      <c r="O1370" s="556" t="str">
        <f t="shared" ref="O1370:O1376" si="169">IF(N1370=M1370,"OK","DIF")</f>
        <v>DIF</v>
      </c>
      <c r="P1370" s="573"/>
      <c r="Q1370" s="556"/>
      <c r="R1370" s="582"/>
    </row>
    <row r="1371" ht="15" spans="1:18">
      <c r="A1371" s="556">
        <f t="shared" ref="A1371:A1376" si="170">B1371</f>
        <v>0</v>
      </c>
      <c r="B1371" s="557">
        <f t="shared" ref="B1371:B1376" si="171">B1370</f>
        <v>0</v>
      </c>
      <c r="C1371" s="571"/>
      <c r="D1371" s="571"/>
      <c r="E1371" s="571"/>
      <c r="F1371" s="571"/>
      <c r="G1371" s="571"/>
      <c r="H1371" s="571"/>
      <c r="I1371" s="571"/>
      <c r="J1371" s="571"/>
      <c r="K1371" s="571"/>
      <c r="L1371" s="571"/>
      <c r="M1371" s="571"/>
      <c r="N1371" s="573">
        <v>2.75</v>
      </c>
      <c r="O1371" s="556" t="str">
        <f t="shared" si="169"/>
        <v>DIF</v>
      </c>
      <c r="P1371" s="573"/>
      <c r="Q1371" s="556"/>
      <c r="R1371" s="582"/>
    </row>
    <row r="1372" ht="15" customHeight="1" spans="1:18">
      <c r="A1372" s="556">
        <f t="shared" si="170"/>
        <v>0</v>
      </c>
      <c r="B1372" s="557">
        <f t="shared" si="171"/>
        <v>0</v>
      </c>
      <c r="C1372" s="76" t="s">
        <v>514</v>
      </c>
      <c r="D1372" s="75" t="s">
        <v>63</v>
      </c>
      <c r="E1372" s="76" t="s">
        <v>64</v>
      </c>
      <c r="F1372" s="76" t="s">
        <v>65</v>
      </c>
      <c r="G1372" s="76" t="s">
        <v>2889</v>
      </c>
      <c r="H1372" s="76"/>
      <c r="I1372" s="77" t="s">
        <v>66</v>
      </c>
      <c r="J1372" s="75" t="s">
        <v>67</v>
      </c>
      <c r="K1372" s="75" t="s">
        <v>2890</v>
      </c>
      <c r="L1372" s="75" t="s">
        <v>68</v>
      </c>
      <c r="M1372" s="75" t="s">
        <v>70</v>
      </c>
      <c r="N1372" s="573">
        <v>0.26</v>
      </c>
      <c r="O1372" s="556" t="str">
        <f t="shared" si="169"/>
        <v>DIF</v>
      </c>
      <c r="P1372" s="573"/>
      <c r="Q1372" s="556"/>
      <c r="R1372" s="582"/>
    </row>
    <row r="1373" ht="35.05" customHeight="1" spans="1:18">
      <c r="A1373" s="556">
        <f t="shared" si="170"/>
        <v>0</v>
      </c>
      <c r="B1373" s="557">
        <f t="shared" si="171"/>
        <v>0</v>
      </c>
      <c r="C1373" s="569" t="s">
        <v>2891</v>
      </c>
      <c r="D1373" s="570" t="s">
        <v>515</v>
      </c>
      <c r="E1373" s="569" t="s">
        <v>139</v>
      </c>
      <c r="F1373" s="569" t="s">
        <v>516</v>
      </c>
      <c r="G1373" s="569" t="s">
        <v>3390</v>
      </c>
      <c r="H1373" s="569"/>
      <c r="I1373" s="577" t="s">
        <v>141</v>
      </c>
      <c r="J1373" s="578">
        <v>1</v>
      </c>
      <c r="K1373" s="579"/>
      <c r="L1373" s="579">
        <v>91.12</v>
      </c>
      <c r="M1373" s="579">
        <v>91.12</v>
      </c>
      <c r="N1373" s="573">
        <v>0.2</v>
      </c>
      <c r="O1373" s="556" t="str">
        <f t="shared" si="169"/>
        <v>DIF</v>
      </c>
      <c r="P1373" s="573"/>
      <c r="Q1373" s="556"/>
      <c r="R1373" s="582"/>
    </row>
    <row r="1374" ht="23.85" customHeight="1" spans="1:18">
      <c r="A1374" s="556">
        <f t="shared" si="170"/>
        <v>0</v>
      </c>
      <c r="B1374" s="557">
        <f t="shared" si="171"/>
        <v>0</v>
      </c>
      <c r="C1374" s="79" t="s">
        <v>2921</v>
      </c>
      <c r="D1374" s="78" t="s">
        <v>2954</v>
      </c>
      <c r="E1374" s="79" t="s">
        <v>139</v>
      </c>
      <c r="F1374" s="79" t="s">
        <v>2955</v>
      </c>
      <c r="G1374" s="79" t="s">
        <v>2928</v>
      </c>
      <c r="H1374" s="79"/>
      <c r="I1374" s="80" t="s">
        <v>2897</v>
      </c>
      <c r="J1374" s="583">
        <v>0.868</v>
      </c>
      <c r="K1374" s="583">
        <v>0</v>
      </c>
      <c r="L1374" s="92">
        <v>37.51</v>
      </c>
      <c r="M1374" s="92">
        <v>32.55</v>
      </c>
      <c r="N1374" s="573">
        <v>7.41</v>
      </c>
      <c r="O1374" s="556" t="str">
        <f t="shared" si="169"/>
        <v>DIF</v>
      </c>
      <c r="P1374" s="573"/>
      <c r="Q1374" s="556"/>
      <c r="R1374" s="582"/>
    </row>
    <row r="1375" ht="23.85" customHeight="1" spans="1:18">
      <c r="A1375" s="556">
        <f t="shared" si="170"/>
        <v>0</v>
      </c>
      <c r="B1375" s="557">
        <f t="shared" si="171"/>
        <v>0</v>
      </c>
      <c r="C1375" s="79" t="s">
        <v>2921</v>
      </c>
      <c r="D1375" s="78" t="s">
        <v>558</v>
      </c>
      <c r="E1375" s="79" t="s">
        <v>139</v>
      </c>
      <c r="F1375" s="79" t="s">
        <v>559</v>
      </c>
      <c r="G1375" s="79" t="s">
        <v>3390</v>
      </c>
      <c r="H1375" s="79"/>
      <c r="I1375" s="80" t="s">
        <v>141</v>
      </c>
      <c r="J1375" s="583">
        <v>0.136</v>
      </c>
      <c r="K1375" s="583">
        <v>0</v>
      </c>
      <c r="L1375" s="92">
        <v>83</v>
      </c>
      <c r="M1375" s="92">
        <v>11.28</v>
      </c>
      <c r="N1375" s="573">
        <v>1.79</v>
      </c>
      <c r="O1375" s="556" t="str">
        <f t="shared" si="169"/>
        <v>DIF</v>
      </c>
      <c r="P1375" s="573"/>
      <c r="Q1375" s="556"/>
      <c r="R1375" s="582"/>
    </row>
    <row r="1376" ht="23.85" customHeight="1" spans="1:18">
      <c r="A1376" s="556">
        <f t="shared" si="170"/>
        <v>0</v>
      </c>
      <c r="B1376" s="557">
        <f t="shared" si="171"/>
        <v>0</v>
      </c>
      <c r="C1376" s="79" t="s">
        <v>2921</v>
      </c>
      <c r="D1376" s="78" t="s">
        <v>3003</v>
      </c>
      <c r="E1376" s="79" t="s">
        <v>139</v>
      </c>
      <c r="F1376" s="79" t="s">
        <v>3004</v>
      </c>
      <c r="G1376" s="79" t="s">
        <v>2928</v>
      </c>
      <c r="H1376" s="79"/>
      <c r="I1376" s="80" t="s">
        <v>2897</v>
      </c>
      <c r="J1376" s="583">
        <v>0.159</v>
      </c>
      <c r="K1376" s="583">
        <v>0</v>
      </c>
      <c r="L1376" s="92">
        <v>29.91</v>
      </c>
      <c r="M1376" s="92">
        <v>4.75</v>
      </c>
      <c r="N1376" s="573">
        <v>41.16</v>
      </c>
      <c r="O1376" s="556" t="str">
        <f t="shared" si="169"/>
        <v>DIF</v>
      </c>
      <c r="P1376" s="573"/>
      <c r="Q1376" s="556"/>
      <c r="R1376" s="582"/>
    </row>
    <row r="1377" ht="35.05" customHeight="1" spans="1:18">
      <c r="A1377" s="556"/>
      <c r="B1377" s="557"/>
      <c r="C1377" s="100" t="s">
        <v>2893</v>
      </c>
      <c r="D1377" s="99" t="s">
        <v>3407</v>
      </c>
      <c r="E1377" s="100" t="s">
        <v>139</v>
      </c>
      <c r="F1377" s="100" t="s">
        <v>3408</v>
      </c>
      <c r="G1377" s="100" t="s">
        <v>3395</v>
      </c>
      <c r="H1377" s="100"/>
      <c r="I1377" s="101" t="s">
        <v>3398</v>
      </c>
      <c r="J1377" s="580">
        <v>0.05</v>
      </c>
      <c r="K1377" s="580">
        <v>0</v>
      </c>
      <c r="L1377" s="102">
        <v>750</v>
      </c>
      <c r="M1377" s="102">
        <v>37.5</v>
      </c>
      <c r="N1377" s="573"/>
      <c r="O1377" s="556"/>
      <c r="P1377" s="573"/>
      <c r="Q1377" s="556"/>
      <c r="R1377" s="582"/>
    </row>
    <row r="1378" ht="23.85" customHeight="1" spans="1:18">
      <c r="A1378" s="556"/>
      <c r="B1378" s="557"/>
      <c r="C1378" s="100" t="s">
        <v>2893</v>
      </c>
      <c r="D1378" s="99" t="s">
        <v>3342</v>
      </c>
      <c r="E1378" s="100" t="s">
        <v>139</v>
      </c>
      <c r="F1378" s="100" t="s">
        <v>3343</v>
      </c>
      <c r="G1378" s="100" t="s">
        <v>2961</v>
      </c>
      <c r="H1378" s="100"/>
      <c r="I1378" s="101" t="s">
        <v>3084</v>
      </c>
      <c r="J1378" s="580">
        <v>0.004</v>
      </c>
      <c r="K1378" s="580">
        <v>0</v>
      </c>
      <c r="L1378" s="102">
        <v>7.97</v>
      </c>
      <c r="M1378" s="102">
        <v>0.03</v>
      </c>
      <c r="N1378" s="573"/>
      <c r="O1378" s="556"/>
      <c r="P1378" s="573"/>
      <c r="Q1378" s="556"/>
      <c r="R1378" s="582"/>
    </row>
    <row r="1379" ht="23.85" customHeight="1" spans="1:18">
      <c r="A1379" s="556"/>
      <c r="B1379" s="557" t="str">
        <f>C1378</f>
        <v>Insumo</v>
      </c>
      <c r="C1379" s="100" t="s">
        <v>2893</v>
      </c>
      <c r="D1379" s="99" t="s">
        <v>3409</v>
      </c>
      <c r="E1379" s="100" t="s">
        <v>139</v>
      </c>
      <c r="F1379" s="100" t="s">
        <v>3410</v>
      </c>
      <c r="G1379" s="100" t="s">
        <v>2961</v>
      </c>
      <c r="H1379" s="100"/>
      <c r="I1379" s="101" t="s">
        <v>204</v>
      </c>
      <c r="J1379" s="580">
        <v>0.038</v>
      </c>
      <c r="K1379" s="580">
        <v>0</v>
      </c>
      <c r="L1379" s="102">
        <v>132.03</v>
      </c>
      <c r="M1379" s="102">
        <v>5.01</v>
      </c>
      <c r="N1379" s="573">
        <v>12.97</v>
      </c>
      <c r="O1379" s="556" t="str">
        <f>IF(N1379=M1379,"OK","DIF")</f>
        <v>DIF</v>
      </c>
      <c r="P1379" s="573"/>
      <c r="Q1379" s="556"/>
      <c r="R1379" s="582"/>
    </row>
    <row r="1380" ht="25.5" spans="1:18">
      <c r="A1380" s="556" t="str">
        <f>B1380</f>
        <v>Insumo</v>
      </c>
      <c r="B1380" s="557" t="str">
        <f>B1379</f>
        <v>Insumo</v>
      </c>
      <c r="C1380" s="108"/>
      <c r="D1380" s="108"/>
      <c r="E1380" s="108"/>
      <c r="F1380" s="108"/>
      <c r="G1380" s="108"/>
      <c r="H1380" s="108" t="s">
        <v>2898</v>
      </c>
      <c r="I1380" s="581">
        <v>27.38</v>
      </c>
      <c r="J1380" s="108" t="s">
        <v>2899</v>
      </c>
      <c r="K1380" s="581">
        <v>0</v>
      </c>
      <c r="L1380" s="108" t="s">
        <v>2900</v>
      </c>
      <c r="M1380" s="581">
        <v>27.38</v>
      </c>
      <c r="N1380" s="573">
        <v>2.12</v>
      </c>
      <c r="O1380" s="556" t="str">
        <f>IF(N1380=M1380,"OK","DIF")</f>
        <v>DIF</v>
      </c>
      <c r="P1380" s="573"/>
      <c r="Q1380" s="556"/>
      <c r="R1380" s="582"/>
    </row>
    <row r="1381" ht="26.25" spans="1:18">
      <c r="A1381" s="556" t="str">
        <f>B1381</f>
        <v>Insumo</v>
      </c>
      <c r="B1381" s="557" t="str">
        <f>B1380</f>
        <v>Insumo</v>
      </c>
      <c r="C1381" s="108"/>
      <c r="D1381" s="108"/>
      <c r="E1381" s="108"/>
      <c r="F1381" s="108"/>
      <c r="G1381" s="108"/>
      <c r="H1381" s="108" t="s">
        <v>2901</v>
      </c>
      <c r="I1381" s="581">
        <v>23.22</v>
      </c>
      <c r="J1381" s="114"/>
      <c r="K1381" s="114" t="s">
        <v>2902</v>
      </c>
      <c r="L1381" s="108"/>
      <c r="M1381" s="581">
        <v>114.34</v>
      </c>
      <c r="N1381" s="573">
        <v>9.71</v>
      </c>
      <c r="O1381" s="556" t="str">
        <f>IF(N1381=M1381,"OK","DIF")</f>
        <v>DIF</v>
      </c>
      <c r="P1381" s="573"/>
      <c r="Q1381" s="556"/>
      <c r="R1381" s="582"/>
    </row>
    <row r="1382" ht="15" spans="1:18">
      <c r="A1382" s="556" t="str">
        <f>B1382</f>
        <v>Insumo</v>
      </c>
      <c r="B1382" s="557" t="str">
        <f>B1381</f>
        <v>Insumo</v>
      </c>
      <c r="C1382" s="571"/>
      <c r="D1382" s="571"/>
      <c r="E1382" s="571"/>
      <c r="F1382" s="571"/>
      <c r="G1382" s="571"/>
      <c r="H1382" s="571"/>
      <c r="I1382" s="571"/>
      <c r="J1382" s="571"/>
      <c r="K1382" s="571"/>
      <c r="L1382" s="571"/>
      <c r="M1382" s="571"/>
      <c r="N1382" s="573">
        <v>1.14</v>
      </c>
      <c r="O1382" s="556" t="str">
        <f>IF(N1382=M1382,"OK","DIF")</f>
        <v>DIF</v>
      </c>
      <c r="P1382" s="573"/>
      <c r="Q1382" s="556"/>
      <c r="R1382" s="582"/>
    </row>
    <row r="1383" ht="15" customHeight="1" spans="1:18">
      <c r="A1383" s="556"/>
      <c r="B1383" s="557"/>
      <c r="C1383" s="76" t="s">
        <v>517</v>
      </c>
      <c r="D1383" s="75" t="s">
        <v>63</v>
      </c>
      <c r="E1383" s="76" t="s">
        <v>64</v>
      </c>
      <c r="F1383" s="76" t="s">
        <v>65</v>
      </c>
      <c r="G1383" s="76" t="s">
        <v>2889</v>
      </c>
      <c r="H1383" s="76"/>
      <c r="I1383" s="77" t="s">
        <v>66</v>
      </c>
      <c r="J1383" s="75" t="s">
        <v>67</v>
      </c>
      <c r="K1383" s="75" t="s">
        <v>2890</v>
      </c>
      <c r="L1383" s="75" t="s">
        <v>68</v>
      </c>
      <c r="M1383" s="75" t="s">
        <v>70</v>
      </c>
      <c r="N1383" s="573"/>
      <c r="O1383" s="556"/>
      <c r="P1383" s="573"/>
      <c r="Q1383" s="556"/>
      <c r="R1383" s="582"/>
    </row>
    <row r="1384" ht="23.85" customHeight="1" spans="1:18">
      <c r="A1384" s="556"/>
      <c r="B1384" s="557"/>
      <c r="C1384" s="569" t="s">
        <v>2891</v>
      </c>
      <c r="D1384" s="570" t="s">
        <v>518</v>
      </c>
      <c r="E1384" s="569" t="s">
        <v>149</v>
      </c>
      <c r="F1384" s="569" t="s">
        <v>519</v>
      </c>
      <c r="G1384" s="569" t="s">
        <v>3411</v>
      </c>
      <c r="H1384" s="569"/>
      <c r="I1384" s="577" t="s">
        <v>279</v>
      </c>
      <c r="J1384" s="578">
        <v>1</v>
      </c>
      <c r="K1384" s="579"/>
      <c r="L1384" s="579">
        <v>849.64</v>
      </c>
      <c r="M1384" s="579">
        <v>849.64</v>
      </c>
      <c r="N1384" s="573"/>
      <c r="O1384" s="556"/>
      <c r="P1384" s="573"/>
      <c r="Q1384" s="556"/>
      <c r="R1384" s="582"/>
    </row>
    <row r="1385" ht="15" customHeight="1" spans="1:18">
      <c r="A1385" s="556"/>
      <c r="B1385" s="557" t="str">
        <f>C1384</f>
        <v>Composição</v>
      </c>
      <c r="C1385" s="100" t="s">
        <v>2893</v>
      </c>
      <c r="D1385" s="99" t="s">
        <v>3412</v>
      </c>
      <c r="E1385" s="100" t="s">
        <v>149</v>
      </c>
      <c r="F1385" s="100" t="s">
        <v>3413</v>
      </c>
      <c r="G1385" s="100" t="s">
        <v>2896</v>
      </c>
      <c r="H1385" s="100"/>
      <c r="I1385" s="101" t="s">
        <v>2897</v>
      </c>
      <c r="J1385" s="580">
        <v>2.25</v>
      </c>
      <c r="K1385" s="580">
        <v>0</v>
      </c>
      <c r="L1385" s="102">
        <v>28.994744</v>
      </c>
      <c r="M1385" s="102">
        <v>65.23</v>
      </c>
      <c r="N1385" s="573">
        <v>12.76</v>
      </c>
      <c r="O1385" s="556" t="str">
        <f>IF(N1385=M1385,"OK","DIF")</f>
        <v>DIF</v>
      </c>
      <c r="P1385" s="573"/>
      <c r="Q1385" s="556"/>
      <c r="R1385" s="582"/>
    </row>
    <row r="1386" ht="15" customHeight="1" spans="1:18">
      <c r="A1386" s="556" t="str">
        <f>B1386</f>
        <v>Composição</v>
      </c>
      <c r="B1386" s="557" t="str">
        <f>B1385</f>
        <v>Composição</v>
      </c>
      <c r="C1386" s="100" t="s">
        <v>2893</v>
      </c>
      <c r="D1386" s="99" t="s">
        <v>3414</v>
      </c>
      <c r="E1386" s="100" t="s">
        <v>149</v>
      </c>
      <c r="F1386" s="100" t="s">
        <v>3415</v>
      </c>
      <c r="G1386" s="100" t="s">
        <v>2961</v>
      </c>
      <c r="H1386" s="100"/>
      <c r="I1386" s="101" t="s">
        <v>2897</v>
      </c>
      <c r="J1386" s="580">
        <v>1.49</v>
      </c>
      <c r="K1386" s="580">
        <v>0</v>
      </c>
      <c r="L1386" s="102">
        <v>2.37</v>
      </c>
      <c r="M1386" s="102">
        <v>3.53</v>
      </c>
      <c r="N1386" s="573">
        <v>2.12</v>
      </c>
      <c r="O1386" s="556" t="str">
        <f>IF(N1386=M1386,"OK","DIF")</f>
        <v>DIF</v>
      </c>
      <c r="P1386" s="573"/>
      <c r="Q1386" s="556"/>
      <c r="R1386" s="582"/>
    </row>
    <row r="1387" ht="15" customHeight="1" spans="1:18">
      <c r="A1387" s="556" t="str">
        <f>B1387</f>
        <v>Composição</v>
      </c>
      <c r="B1387" s="557" t="str">
        <f>B1386</f>
        <v>Composição</v>
      </c>
      <c r="C1387" s="100" t="s">
        <v>2893</v>
      </c>
      <c r="D1387" s="99" t="s">
        <v>3416</v>
      </c>
      <c r="E1387" s="100" t="s">
        <v>149</v>
      </c>
      <c r="F1387" s="100" t="s">
        <v>3417</v>
      </c>
      <c r="G1387" s="100" t="s">
        <v>2961</v>
      </c>
      <c r="H1387" s="100"/>
      <c r="I1387" s="101" t="s">
        <v>279</v>
      </c>
      <c r="J1387" s="580">
        <v>1.05</v>
      </c>
      <c r="K1387" s="580">
        <v>0</v>
      </c>
      <c r="L1387" s="102">
        <v>579.38</v>
      </c>
      <c r="M1387" s="102">
        <v>608.34</v>
      </c>
      <c r="N1387" s="573">
        <v>1.16</v>
      </c>
      <c r="O1387" s="556" t="str">
        <f>IF(N1387=M1387,"OK","DIF")</f>
        <v>DIF</v>
      </c>
      <c r="P1387" s="573"/>
      <c r="Q1387" s="556"/>
      <c r="R1387" s="582"/>
    </row>
    <row r="1388" ht="15" customHeight="1" spans="1:18">
      <c r="A1388" s="556" t="str">
        <f>B1388</f>
        <v>Composição</v>
      </c>
      <c r="B1388" s="557" t="str">
        <f>B1387</f>
        <v>Composição</v>
      </c>
      <c r="C1388" s="100" t="s">
        <v>2893</v>
      </c>
      <c r="D1388" s="99" t="s">
        <v>3418</v>
      </c>
      <c r="E1388" s="100" t="s">
        <v>149</v>
      </c>
      <c r="F1388" s="100" t="s">
        <v>3419</v>
      </c>
      <c r="G1388" s="100" t="s">
        <v>2896</v>
      </c>
      <c r="H1388" s="100"/>
      <c r="I1388" s="101" t="s">
        <v>2897</v>
      </c>
      <c r="J1388" s="580">
        <v>2.85</v>
      </c>
      <c r="K1388" s="580">
        <v>0</v>
      </c>
      <c r="L1388" s="102">
        <v>26.928256</v>
      </c>
      <c r="M1388" s="102">
        <v>76.74</v>
      </c>
      <c r="N1388" s="573">
        <v>9.48</v>
      </c>
      <c r="O1388" s="556" t="str">
        <f>IF(N1388=M1388,"OK","DIF")</f>
        <v>DIF</v>
      </c>
      <c r="P1388" s="573"/>
      <c r="Q1388" s="556"/>
      <c r="R1388" s="582"/>
    </row>
    <row r="1389" ht="15" customHeight="1" spans="1:18">
      <c r="A1389" s="556"/>
      <c r="B1389" s="557"/>
      <c r="C1389" s="100" t="s">
        <v>2893</v>
      </c>
      <c r="D1389" s="99" t="s">
        <v>3420</v>
      </c>
      <c r="E1389" s="100" t="s">
        <v>149</v>
      </c>
      <c r="F1389" s="100" t="s">
        <v>3421</v>
      </c>
      <c r="G1389" s="100" t="s">
        <v>2896</v>
      </c>
      <c r="H1389" s="100"/>
      <c r="I1389" s="101" t="s">
        <v>2897</v>
      </c>
      <c r="J1389" s="580">
        <v>4.67</v>
      </c>
      <c r="K1389" s="580">
        <v>0</v>
      </c>
      <c r="L1389" s="102">
        <v>20.515752</v>
      </c>
      <c r="M1389" s="102">
        <v>95.8</v>
      </c>
      <c r="N1389" s="573"/>
      <c r="O1389" s="556"/>
      <c r="P1389" s="573"/>
      <c r="Q1389" s="556"/>
      <c r="R1389" s="582"/>
    </row>
    <row r="1390" ht="25.5" spans="1:18">
      <c r="A1390" s="556"/>
      <c r="B1390" s="557"/>
      <c r="C1390" s="108"/>
      <c r="D1390" s="108"/>
      <c r="E1390" s="108"/>
      <c r="F1390" s="108"/>
      <c r="G1390" s="108"/>
      <c r="H1390" s="108" t="s">
        <v>2898</v>
      </c>
      <c r="I1390" s="581">
        <v>237.77</v>
      </c>
      <c r="J1390" s="108" t="s">
        <v>2899</v>
      </c>
      <c r="K1390" s="581">
        <v>0</v>
      </c>
      <c r="L1390" s="108" t="s">
        <v>2900</v>
      </c>
      <c r="M1390" s="581">
        <v>237.77</v>
      </c>
      <c r="N1390" s="573"/>
      <c r="O1390" s="556"/>
      <c r="P1390" s="573"/>
      <c r="Q1390" s="556"/>
      <c r="R1390" s="582"/>
    </row>
    <row r="1391" ht="26.25" spans="1:18">
      <c r="A1391" s="556"/>
      <c r="B1391" s="557">
        <f>C1390</f>
        <v>0</v>
      </c>
      <c r="C1391" s="108"/>
      <c r="D1391" s="108"/>
      <c r="E1391" s="108"/>
      <c r="F1391" s="108"/>
      <c r="G1391" s="108"/>
      <c r="H1391" s="108" t="s">
        <v>2901</v>
      </c>
      <c r="I1391" s="581">
        <v>216.57</v>
      </c>
      <c r="J1391" s="114"/>
      <c r="K1391" s="114" t="s">
        <v>2902</v>
      </c>
      <c r="L1391" s="108"/>
      <c r="M1391" s="581">
        <v>1066.21</v>
      </c>
      <c r="N1391" s="573">
        <v>206.87</v>
      </c>
      <c r="O1391" s="556" t="str">
        <f t="shared" ref="O1391:O1397" si="172">IF(N1391=M1391,"OK","DIF")</f>
        <v>DIF</v>
      </c>
      <c r="P1391" s="573"/>
      <c r="Q1391" s="556"/>
      <c r="R1391" s="582"/>
    </row>
    <row r="1392" ht="15" spans="1:18">
      <c r="A1392" s="556">
        <f t="shared" ref="A1392:A1397" si="173">B1392</f>
        <v>0</v>
      </c>
      <c r="B1392" s="557">
        <f t="shared" ref="B1392:B1397" si="174">B1391</f>
        <v>0</v>
      </c>
      <c r="C1392" s="571"/>
      <c r="D1392" s="571"/>
      <c r="E1392" s="571"/>
      <c r="F1392" s="571"/>
      <c r="G1392" s="571"/>
      <c r="H1392" s="571"/>
      <c r="I1392" s="571"/>
      <c r="J1392" s="571"/>
      <c r="K1392" s="571"/>
      <c r="L1392" s="571"/>
      <c r="M1392" s="571"/>
      <c r="N1392" s="573">
        <v>0.33</v>
      </c>
      <c r="O1392" s="556" t="str">
        <f t="shared" si="172"/>
        <v>DIF</v>
      </c>
      <c r="P1392" s="573"/>
      <c r="Q1392" s="556"/>
      <c r="R1392" s="582"/>
    </row>
    <row r="1393" ht="15" customHeight="1" spans="1:18">
      <c r="A1393" s="556">
        <f t="shared" si="173"/>
        <v>0</v>
      </c>
      <c r="B1393" s="557">
        <f t="shared" si="174"/>
        <v>0</v>
      </c>
      <c r="C1393" s="76" t="s">
        <v>520</v>
      </c>
      <c r="D1393" s="75" t="s">
        <v>63</v>
      </c>
      <c r="E1393" s="76" t="s">
        <v>64</v>
      </c>
      <c r="F1393" s="76" t="s">
        <v>65</v>
      </c>
      <c r="G1393" s="76" t="s">
        <v>2889</v>
      </c>
      <c r="H1393" s="76"/>
      <c r="I1393" s="77" t="s">
        <v>66</v>
      </c>
      <c r="J1393" s="75" t="s">
        <v>67</v>
      </c>
      <c r="K1393" s="75" t="s">
        <v>2890</v>
      </c>
      <c r="L1393" s="75" t="s">
        <v>68</v>
      </c>
      <c r="M1393" s="75" t="s">
        <v>70</v>
      </c>
      <c r="N1393" s="573">
        <v>2.43</v>
      </c>
      <c r="O1393" s="556" t="str">
        <f t="shared" si="172"/>
        <v>DIF</v>
      </c>
      <c r="P1393" s="573"/>
      <c r="Q1393" s="556"/>
      <c r="R1393" s="582"/>
    </row>
    <row r="1394" ht="23.85" customHeight="1" spans="1:18">
      <c r="A1394" s="556">
        <f t="shared" si="173"/>
        <v>0</v>
      </c>
      <c r="B1394" s="557">
        <f t="shared" si="174"/>
        <v>0</v>
      </c>
      <c r="C1394" s="569" t="s">
        <v>2891</v>
      </c>
      <c r="D1394" s="570" t="s">
        <v>521</v>
      </c>
      <c r="E1394" s="569" t="s">
        <v>139</v>
      </c>
      <c r="F1394" s="569" t="s">
        <v>522</v>
      </c>
      <c r="G1394" s="569" t="s">
        <v>3422</v>
      </c>
      <c r="H1394" s="569"/>
      <c r="I1394" s="577" t="s">
        <v>279</v>
      </c>
      <c r="J1394" s="578">
        <v>1</v>
      </c>
      <c r="K1394" s="579"/>
      <c r="L1394" s="579">
        <v>56.06</v>
      </c>
      <c r="M1394" s="579">
        <v>56.06</v>
      </c>
      <c r="N1394" s="573">
        <v>5.24</v>
      </c>
      <c r="O1394" s="556" t="str">
        <f t="shared" si="172"/>
        <v>DIF</v>
      </c>
      <c r="P1394" s="573"/>
      <c r="Q1394" s="556"/>
      <c r="R1394" s="582"/>
    </row>
    <row r="1395" ht="23.85" customHeight="1" spans="1:18">
      <c r="A1395" s="556">
        <f t="shared" si="173"/>
        <v>0</v>
      </c>
      <c r="B1395" s="557">
        <f t="shared" si="174"/>
        <v>0</v>
      </c>
      <c r="C1395" s="79" t="s">
        <v>2921</v>
      </c>
      <c r="D1395" s="78" t="s">
        <v>3348</v>
      </c>
      <c r="E1395" s="79" t="s">
        <v>139</v>
      </c>
      <c r="F1395" s="79" t="s">
        <v>3349</v>
      </c>
      <c r="G1395" s="79" t="s">
        <v>2995</v>
      </c>
      <c r="H1395" s="79"/>
      <c r="I1395" s="80" t="s">
        <v>3002</v>
      </c>
      <c r="J1395" s="583">
        <v>0.094</v>
      </c>
      <c r="K1395" s="583">
        <v>0</v>
      </c>
      <c r="L1395" s="92">
        <v>1.45</v>
      </c>
      <c r="M1395" s="92">
        <v>0.13</v>
      </c>
      <c r="N1395" s="573">
        <v>6.35</v>
      </c>
      <c r="O1395" s="556" t="str">
        <f t="shared" si="172"/>
        <v>DIF</v>
      </c>
      <c r="P1395" s="573"/>
      <c r="Q1395" s="556"/>
      <c r="R1395" s="582"/>
    </row>
    <row r="1396" ht="23.85" customHeight="1" spans="1:18">
      <c r="A1396" s="556">
        <f t="shared" si="173"/>
        <v>0</v>
      </c>
      <c r="B1396" s="557">
        <f t="shared" si="174"/>
        <v>0</v>
      </c>
      <c r="C1396" s="79" t="s">
        <v>2921</v>
      </c>
      <c r="D1396" s="78" t="s">
        <v>3017</v>
      </c>
      <c r="E1396" s="79" t="s">
        <v>139</v>
      </c>
      <c r="F1396" s="79" t="s">
        <v>3018</v>
      </c>
      <c r="G1396" s="79" t="s">
        <v>2928</v>
      </c>
      <c r="H1396" s="79"/>
      <c r="I1396" s="80" t="s">
        <v>2897</v>
      </c>
      <c r="J1396" s="583">
        <v>0.224</v>
      </c>
      <c r="K1396" s="583">
        <v>0</v>
      </c>
      <c r="L1396" s="92">
        <v>36.96</v>
      </c>
      <c r="M1396" s="92">
        <v>8.27</v>
      </c>
      <c r="N1396" s="573">
        <v>2.44</v>
      </c>
      <c r="O1396" s="556" t="str">
        <f t="shared" si="172"/>
        <v>DIF</v>
      </c>
      <c r="P1396" s="573"/>
      <c r="Q1396" s="556"/>
      <c r="R1396" s="582"/>
    </row>
    <row r="1397" ht="23.85" customHeight="1" spans="1:18">
      <c r="A1397" s="556">
        <f t="shared" si="173"/>
        <v>0</v>
      </c>
      <c r="B1397" s="557">
        <f t="shared" si="174"/>
        <v>0</v>
      </c>
      <c r="C1397" s="79" t="s">
        <v>2921</v>
      </c>
      <c r="D1397" s="78" t="s">
        <v>3346</v>
      </c>
      <c r="E1397" s="79" t="s">
        <v>139</v>
      </c>
      <c r="F1397" s="79" t="s">
        <v>3347</v>
      </c>
      <c r="G1397" s="79" t="s">
        <v>2995</v>
      </c>
      <c r="H1397" s="79"/>
      <c r="I1397" s="80" t="s">
        <v>2996</v>
      </c>
      <c r="J1397" s="583">
        <v>0.13</v>
      </c>
      <c r="K1397" s="583">
        <v>0</v>
      </c>
      <c r="L1397" s="92">
        <v>0.53</v>
      </c>
      <c r="M1397" s="92">
        <v>0.06</v>
      </c>
      <c r="N1397" s="573">
        <v>190.08</v>
      </c>
      <c r="O1397" s="556" t="str">
        <f t="shared" si="172"/>
        <v>DIF</v>
      </c>
      <c r="P1397" s="573"/>
      <c r="Q1397" s="556"/>
      <c r="R1397" s="582"/>
    </row>
    <row r="1398" ht="23.85" customHeight="1" spans="1:18">
      <c r="A1398" s="556"/>
      <c r="B1398" s="557"/>
      <c r="C1398" s="79" t="s">
        <v>2921</v>
      </c>
      <c r="D1398" s="78" t="s">
        <v>2952</v>
      </c>
      <c r="E1398" s="79" t="s">
        <v>139</v>
      </c>
      <c r="F1398" s="79" t="s">
        <v>2953</v>
      </c>
      <c r="G1398" s="79" t="s">
        <v>2928</v>
      </c>
      <c r="H1398" s="79"/>
      <c r="I1398" s="80" t="s">
        <v>2897</v>
      </c>
      <c r="J1398" s="583">
        <v>1.345</v>
      </c>
      <c r="K1398" s="583">
        <v>0</v>
      </c>
      <c r="L1398" s="92">
        <v>29.15</v>
      </c>
      <c r="M1398" s="92">
        <v>39.2</v>
      </c>
      <c r="N1398" s="573"/>
      <c r="O1398" s="556"/>
      <c r="P1398" s="573"/>
      <c r="Q1398" s="556"/>
      <c r="R1398" s="582"/>
    </row>
    <row r="1399" ht="23.85" customHeight="1" spans="1:18">
      <c r="A1399" s="556"/>
      <c r="B1399" s="557"/>
      <c r="C1399" s="79" t="s">
        <v>2921</v>
      </c>
      <c r="D1399" s="78" t="s">
        <v>2954</v>
      </c>
      <c r="E1399" s="79" t="s">
        <v>139</v>
      </c>
      <c r="F1399" s="79" t="s">
        <v>2955</v>
      </c>
      <c r="G1399" s="79" t="s">
        <v>2928</v>
      </c>
      <c r="H1399" s="79"/>
      <c r="I1399" s="80" t="s">
        <v>2897</v>
      </c>
      <c r="J1399" s="583">
        <v>0.224</v>
      </c>
      <c r="K1399" s="583">
        <v>0</v>
      </c>
      <c r="L1399" s="92">
        <v>37.51</v>
      </c>
      <c r="M1399" s="92">
        <v>8.4</v>
      </c>
      <c r="N1399" s="573"/>
      <c r="O1399" s="556"/>
      <c r="P1399" s="573"/>
      <c r="Q1399" s="556"/>
      <c r="R1399" s="582"/>
    </row>
    <row r="1400" ht="25.5" spans="1:18">
      <c r="A1400" s="556"/>
      <c r="B1400" s="557"/>
      <c r="C1400" s="108"/>
      <c r="D1400" s="108"/>
      <c r="E1400" s="108"/>
      <c r="F1400" s="108"/>
      <c r="G1400" s="108"/>
      <c r="H1400" s="108" t="s">
        <v>2898</v>
      </c>
      <c r="I1400" s="581">
        <v>38.08</v>
      </c>
      <c r="J1400" s="108" t="s">
        <v>2899</v>
      </c>
      <c r="K1400" s="581">
        <v>0</v>
      </c>
      <c r="L1400" s="108" t="s">
        <v>2900</v>
      </c>
      <c r="M1400" s="581">
        <v>38.08</v>
      </c>
      <c r="N1400" s="573"/>
      <c r="O1400" s="556"/>
      <c r="P1400" s="573"/>
      <c r="Q1400" s="556"/>
      <c r="R1400" s="582"/>
    </row>
    <row r="1401" ht="26.25" spans="1:18">
      <c r="A1401" s="556"/>
      <c r="B1401" s="557"/>
      <c r="C1401" s="108"/>
      <c r="D1401" s="108"/>
      <c r="E1401" s="108"/>
      <c r="F1401" s="108"/>
      <c r="G1401" s="108"/>
      <c r="H1401" s="108" t="s">
        <v>2901</v>
      </c>
      <c r="I1401" s="581">
        <v>14.28</v>
      </c>
      <c r="J1401" s="114"/>
      <c r="K1401" s="114" t="s">
        <v>2902</v>
      </c>
      <c r="L1401" s="108"/>
      <c r="M1401" s="581">
        <v>70.34</v>
      </c>
      <c r="N1401" s="573"/>
      <c r="O1401" s="556"/>
      <c r="P1401" s="573"/>
      <c r="Q1401" s="556"/>
      <c r="R1401" s="582"/>
    </row>
    <row r="1402" ht="15" spans="1:18">
      <c r="A1402" s="556"/>
      <c r="B1402" s="557">
        <f>C1401</f>
        <v>0</v>
      </c>
      <c r="C1402" s="571"/>
      <c r="D1402" s="571"/>
      <c r="E1402" s="571"/>
      <c r="F1402" s="571"/>
      <c r="G1402" s="571"/>
      <c r="H1402" s="571"/>
      <c r="I1402" s="571"/>
      <c r="J1402" s="571"/>
      <c r="K1402" s="571"/>
      <c r="L1402" s="571"/>
      <c r="M1402" s="571"/>
      <c r="N1402" s="573">
        <v>206.7</v>
      </c>
      <c r="O1402" s="556" t="str">
        <f t="shared" ref="O1402:O1408" si="175">IF(N1402=M1402,"OK","DIF")</f>
        <v>DIF</v>
      </c>
      <c r="P1402" s="573"/>
      <c r="Q1402" s="556"/>
      <c r="R1402" s="582"/>
    </row>
    <row r="1403" ht="15" customHeight="1" spans="1:18">
      <c r="A1403" s="556">
        <f t="shared" ref="A1403:A1408" si="176">B1403</f>
        <v>0</v>
      </c>
      <c r="B1403" s="557">
        <f t="shared" ref="B1403:B1408" si="177">B1402</f>
        <v>0</v>
      </c>
      <c r="C1403" s="76" t="s">
        <v>523</v>
      </c>
      <c r="D1403" s="75" t="s">
        <v>63</v>
      </c>
      <c r="E1403" s="76" t="s">
        <v>64</v>
      </c>
      <c r="F1403" s="76" t="s">
        <v>65</v>
      </c>
      <c r="G1403" s="76" t="s">
        <v>2889</v>
      </c>
      <c r="H1403" s="76"/>
      <c r="I1403" s="77" t="s">
        <v>66</v>
      </c>
      <c r="J1403" s="75" t="s">
        <v>67</v>
      </c>
      <c r="K1403" s="75" t="s">
        <v>2890</v>
      </c>
      <c r="L1403" s="75" t="s">
        <v>68</v>
      </c>
      <c r="M1403" s="75" t="s">
        <v>70</v>
      </c>
      <c r="N1403" s="573">
        <v>9.02</v>
      </c>
      <c r="O1403" s="556" t="str">
        <f t="shared" si="175"/>
        <v>DIF</v>
      </c>
      <c r="P1403" s="573"/>
      <c r="Q1403" s="556"/>
      <c r="R1403" s="582"/>
    </row>
    <row r="1404" ht="76.5" spans="1:18">
      <c r="A1404" s="556">
        <f t="shared" si="176"/>
        <v>0</v>
      </c>
      <c r="B1404" s="557">
        <f t="shared" si="177"/>
        <v>0</v>
      </c>
      <c r="C1404" s="569" t="s">
        <v>2891</v>
      </c>
      <c r="D1404" s="570" t="s">
        <v>524</v>
      </c>
      <c r="E1404" s="569" t="s">
        <v>77</v>
      </c>
      <c r="F1404" s="569" t="s">
        <v>525</v>
      </c>
      <c r="G1404" s="569">
        <v>1</v>
      </c>
      <c r="H1404" s="569"/>
      <c r="I1404" s="577" t="s">
        <v>279</v>
      </c>
      <c r="J1404" s="578">
        <v>1</v>
      </c>
      <c r="K1404" s="579"/>
      <c r="L1404" s="579">
        <v>49.75</v>
      </c>
      <c r="M1404" s="579">
        <v>49.75</v>
      </c>
      <c r="N1404" s="573">
        <v>49.69</v>
      </c>
      <c r="O1404" s="556" t="str">
        <f t="shared" si="175"/>
        <v>DIF</v>
      </c>
      <c r="P1404" s="573"/>
      <c r="Q1404" s="556"/>
      <c r="R1404" s="582"/>
    </row>
    <row r="1405" ht="25.5" spans="1:18">
      <c r="A1405" s="556">
        <f t="shared" si="176"/>
        <v>0</v>
      </c>
      <c r="B1405" s="557">
        <f t="shared" si="177"/>
        <v>0</v>
      </c>
      <c r="C1405" s="79" t="s">
        <v>2921</v>
      </c>
      <c r="D1405" s="78" t="s">
        <v>3423</v>
      </c>
      <c r="E1405" s="79" t="s">
        <v>77</v>
      </c>
      <c r="F1405" s="79" t="s">
        <v>3424</v>
      </c>
      <c r="G1405" s="79">
        <v>58</v>
      </c>
      <c r="H1405" s="79"/>
      <c r="I1405" s="80" t="s">
        <v>134</v>
      </c>
      <c r="J1405" s="583">
        <v>0.12</v>
      </c>
      <c r="K1405" s="583">
        <v>0</v>
      </c>
      <c r="L1405" s="92">
        <v>254.06</v>
      </c>
      <c r="M1405" s="92">
        <v>30.48</v>
      </c>
      <c r="N1405" s="573">
        <v>3.71</v>
      </c>
      <c r="O1405" s="556" t="str">
        <f t="shared" si="175"/>
        <v>DIF</v>
      </c>
      <c r="P1405" s="573"/>
      <c r="Q1405" s="556"/>
      <c r="R1405" s="582"/>
    </row>
    <row r="1406" ht="25.5" spans="1:18">
      <c r="A1406" s="556">
        <f t="shared" si="176"/>
        <v>0</v>
      </c>
      <c r="B1406" s="557">
        <f t="shared" si="177"/>
        <v>0</v>
      </c>
      <c r="C1406" s="79" t="s">
        <v>2921</v>
      </c>
      <c r="D1406" s="78" t="s">
        <v>3425</v>
      </c>
      <c r="E1406" s="79" t="s">
        <v>77</v>
      </c>
      <c r="F1406" s="79" t="s">
        <v>3426</v>
      </c>
      <c r="G1406" s="79">
        <v>55</v>
      </c>
      <c r="H1406" s="79"/>
      <c r="I1406" s="80" t="s">
        <v>134</v>
      </c>
      <c r="J1406" s="583">
        <v>0.11</v>
      </c>
      <c r="K1406" s="583">
        <v>0</v>
      </c>
      <c r="L1406" s="92">
        <v>175.19</v>
      </c>
      <c r="M1406" s="92">
        <v>19.27</v>
      </c>
      <c r="N1406" s="573">
        <v>59.4</v>
      </c>
      <c r="O1406" s="556" t="str">
        <f t="shared" si="175"/>
        <v>DIF</v>
      </c>
      <c r="P1406" s="573"/>
      <c r="Q1406" s="556"/>
      <c r="R1406" s="582"/>
    </row>
    <row r="1407" ht="25.5" spans="1:18">
      <c r="A1407" s="556">
        <f t="shared" si="176"/>
        <v>0</v>
      </c>
      <c r="B1407" s="557">
        <f t="shared" si="177"/>
        <v>0</v>
      </c>
      <c r="C1407" s="108"/>
      <c r="D1407" s="108"/>
      <c r="E1407" s="108"/>
      <c r="F1407" s="108"/>
      <c r="G1407" s="108"/>
      <c r="H1407" s="108" t="s">
        <v>2898</v>
      </c>
      <c r="I1407" s="581">
        <v>21.39</v>
      </c>
      <c r="J1407" s="108" t="s">
        <v>2899</v>
      </c>
      <c r="K1407" s="581">
        <v>0</v>
      </c>
      <c r="L1407" s="108" t="s">
        <v>2900</v>
      </c>
      <c r="M1407" s="581">
        <v>21.39</v>
      </c>
      <c r="N1407" s="573">
        <v>11.93</v>
      </c>
      <c r="O1407" s="556" t="str">
        <f t="shared" si="175"/>
        <v>DIF</v>
      </c>
      <c r="P1407" s="573"/>
      <c r="Q1407" s="556"/>
      <c r="R1407" s="582"/>
    </row>
    <row r="1408" ht="26.25" spans="1:18">
      <c r="A1408" s="556">
        <f t="shared" si="176"/>
        <v>0</v>
      </c>
      <c r="B1408" s="557">
        <f t="shared" si="177"/>
        <v>0</v>
      </c>
      <c r="C1408" s="108"/>
      <c r="D1408" s="108"/>
      <c r="E1408" s="108"/>
      <c r="F1408" s="108"/>
      <c r="G1408" s="108"/>
      <c r="H1408" s="108" t="s">
        <v>2901</v>
      </c>
      <c r="I1408" s="581">
        <v>12.68</v>
      </c>
      <c r="J1408" s="114"/>
      <c r="K1408" s="114" t="s">
        <v>2902</v>
      </c>
      <c r="L1408" s="108"/>
      <c r="M1408" s="581">
        <v>62.43</v>
      </c>
      <c r="N1408" s="573">
        <v>72.95</v>
      </c>
      <c r="O1408" s="556" t="str">
        <f t="shared" si="175"/>
        <v>DIF</v>
      </c>
      <c r="P1408" s="573"/>
      <c r="Q1408" s="556"/>
      <c r="R1408" s="582"/>
    </row>
    <row r="1409" ht="15" spans="1:18">
      <c r="A1409" s="556"/>
      <c r="B1409" s="557"/>
      <c r="C1409" s="571"/>
      <c r="D1409" s="571"/>
      <c r="E1409" s="571"/>
      <c r="F1409" s="571"/>
      <c r="G1409" s="571"/>
      <c r="H1409" s="571"/>
      <c r="I1409" s="571"/>
      <c r="J1409" s="571"/>
      <c r="K1409" s="571"/>
      <c r="L1409" s="571"/>
      <c r="M1409" s="571"/>
      <c r="N1409" s="573"/>
      <c r="O1409" s="556"/>
      <c r="P1409" s="573"/>
      <c r="Q1409" s="556"/>
      <c r="R1409" s="582"/>
    </row>
    <row r="1410" ht="15" customHeight="1" spans="1:18">
      <c r="A1410" s="556"/>
      <c r="B1410" s="557"/>
      <c r="C1410" s="76" t="s">
        <v>526</v>
      </c>
      <c r="D1410" s="75" t="s">
        <v>63</v>
      </c>
      <c r="E1410" s="76" t="s">
        <v>64</v>
      </c>
      <c r="F1410" s="76" t="s">
        <v>65</v>
      </c>
      <c r="G1410" s="76" t="s">
        <v>2889</v>
      </c>
      <c r="H1410" s="76"/>
      <c r="I1410" s="77" t="s">
        <v>66</v>
      </c>
      <c r="J1410" s="75" t="s">
        <v>67</v>
      </c>
      <c r="K1410" s="75" t="s">
        <v>2890</v>
      </c>
      <c r="L1410" s="75" t="s">
        <v>68</v>
      </c>
      <c r="M1410" s="75" t="s">
        <v>70</v>
      </c>
      <c r="N1410" s="573"/>
      <c r="O1410" s="556"/>
      <c r="P1410" s="573"/>
      <c r="Q1410" s="556"/>
      <c r="R1410" s="582"/>
    </row>
    <row r="1411" ht="35.05" customHeight="1" spans="1:18">
      <c r="A1411" s="556"/>
      <c r="B1411" s="557" t="str">
        <f>C1410</f>
        <v> 6.1.14 </v>
      </c>
      <c r="C1411" s="569" t="s">
        <v>2891</v>
      </c>
      <c r="D1411" s="570" t="s">
        <v>527</v>
      </c>
      <c r="E1411" s="569" t="s">
        <v>139</v>
      </c>
      <c r="F1411" s="569" t="s">
        <v>528</v>
      </c>
      <c r="G1411" s="569" t="s">
        <v>3427</v>
      </c>
      <c r="H1411" s="569"/>
      <c r="I1411" s="577" t="s">
        <v>393</v>
      </c>
      <c r="J1411" s="578">
        <v>1</v>
      </c>
      <c r="K1411" s="579"/>
      <c r="L1411" s="579">
        <v>23.65</v>
      </c>
      <c r="M1411" s="579">
        <v>23.65</v>
      </c>
      <c r="N1411" s="573">
        <v>201.76</v>
      </c>
      <c r="O1411" s="556" t="str">
        <f>IF(N1411=M1411,"OK","DIF")</f>
        <v>DIF</v>
      </c>
      <c r="P1411" s="573"/>
      <c r="Q1411" s="556"/>
      <c r="R1411" s="582"/>
    </row>
    <row r="1412" ht="23.85" customHeight="1" spans="1:18">
      <c r="A1412" s="556" t="str">
        <f>B1412</f>
        <v> 6.1.14 </v>
      </c>
      <c r="B1412" s="557" t="str">
        <f>B1411</f>
        <v> 6.1.14 </v>
      </c>
      <c r="C1412" s="79" t="s">
        <v>2921</v>
      </c>
      <c r="D1412" s="78" t="s">
        <v>3311</v>
      </c>
      <c r="E1412" s="79" t="s">
        <v>139</v>
      </c>
      <c r="F1412" s="79" t="s">
        <v>3312</v>
      </c>
      <c r="G1412" s="79" t="s">
        <v>2928</v>
      </c>
      <c r="H1412" s="79"/>
      <c r="I1412" s="80" t="s">
        <v>2897</v>
      </c>
      <c r="J1412" s="583">
        <v>0.047</v>
      </c>
      <c r="K1412" s="583">
        <v>0</v>
      </c>
      <c r="L1412" s="92">
        <v>30.06</v>
      </c>
      <c r="M1412" s="92">
        <v>1.41</v>
      </c>
      <c r="N1412" s="573">
        <v>3.03</v>
      </c>
      <c r="O1412" s="556" t="str">
        <f>IF(N1412=M1412,"OK","DIF")</f>
        <v>DIF</v>
      </c>
      <c r="P1412" s="573"/>
      <c r="Q1412" s="556"/>
      <c r="R1412" s="582"/>
    </row>
    <row r="1413" ht="23.85" customHeight="1" spans="1:18">
      <c r="A1413" s="556" t="str">
        <f>B1413</f>
        <v> 6.1.14 </v>
      </c>
      <c r="B1413" s="557" t="str">
        <f>B1412</f>
        <v> 6.1.14 </v>
      </c>
      <c r="C1413" s="79" t="s">
        <v>2921</v>
      </c>
      <c r="D1413" s="78" t="s">
        <v>3315</v>
      </c>
      <c r="E1413" s="79" t="s">
        <v>139</v>
      </c>
      <c r="F1413" s="79" t="s">
        <v>3316</v>
      </c>
      <c r="G1413" s="79" t="s">
        <v>3317</v>
      </c>
      <c r="H1413" s="79"/>
      <c r="I1413" s="80" t="s">
        <v>393</v>
      </c>
      <c r="J1413" s="583">
        <v>1</v>
      </c>
      <c r="K1413" s="583">
        <v>0</v>
      </c>
      <c r="L1413" s="92">
        <v>10.84</v>
      </c>
      <c r="M1413" s="92">
        <v>10.84</v>
      </c>
      <c r="N1413" s="573">
        <v>16.67</v>
      </c>
      <c r="O1413" s="556" t="str">
        <f>IF(N1413=M1413,"OK","DIF")</f>
        <v>DIF</v>
      </c>
      <c r="P1413" s="573"/>
      <c r="Q1413" s="556"/>
      <c r="R1413" s="582"/>
    </row>
    <row r="1414" ht="23.85" customHeight="1" spans="1:18">
      <c r="A1414" s="556" t="str">
        <f>B1414</f>
        <v> 6.1.14 </v>
      </c>
      <c r="B1414" s="557" t="str">
        <f>B1413</f>
        <v> 6.1.14 </v>
      </c>
      <c r="C1414" s="79" t="s">
        <v>2921</v>
      </c>
      <c r="D1414" s="78" t="s">
        <v>3313</v>
      </c>
      <c r="E1414" s="79" t="s">
        <v>139</v>
      </c>
      <c r="F1414" s="79" t="s">
        <v>3314</v>
      </c>
      <c r="G1414" s="79" t="s">
        <v>2928</v>
      </c>
      <c r="H1414" s="79"/>
      <c r="I1414" s="80" t="s">
        <v>2897</v>
      </c>
      <c r="J1414" s="583">
        <v>0.297</v>
      </c>
      <c r="K1414" s="583">
        <v>0</v>
      </c>
      <c r="L1414" s="92">
        <v>35.95</v>
      </c>
      <c r="M1414" s="92">
        <v>10.67</v>
      </c>
      <c r="N1414" s="573">
        <v>43.98</v>
      </c>
      <c r="O1414" s="556" t="str">
        <f>IF(N1414=M1414,"OK","DIF")</f>
        <v>DIF</v>
      </c>
      <c r="P1414" s="573"/>
      <c r="Q1414" s="556"/>
      <c r="R1414" s="582"/>
    </row>
    <row r="1415" ht="23.85" customHeight="1" spans="1:18">
      <c r="A1415" s="556" t="str">
        <f>B1415</f>
        <v> 6.1.14 </v>
      </c>
      <c r="B1415" s="557" t="str">
        <f>B1414</f>
        <v> 6.1.14 </v>
      </c>
      <c r="C1415" s="100" t="s">
        <v>2893</v>
      </c>
      <c r="D1415" s="99" t="s">
        <v>3318</v>
      </c>
      <c r="E1415" s="100" t="s">
        <v>139</v>
      </c>
      <c r="F1415" s="100" t="s">
        <v>3319</v>
      </c>
      <c r="G1415" s="100" t="s">
        <v>2961</v>
      </c>
      <c r="H1415" s="100"/>
      <c r="I1415" s="101" t="s">
        <v>393</v>
      </c>
      <c r="J1415" s="580">
        <v>0.025</v>
      </c>
      <c r="K1415" s="580">
        <v>0</v>
      </c>
      <c r="L1415" s="102">
        <v>22</v>
      </c>
      <c r="M1415" s="102">
        <v>0.55</v>
      </c>
      <c r="N1415" s="573">
        <v>138.08</v>
      </c>
      <c r="O1415" s="556" t="str">
        <f>IF(N1415=M1415,"OK","DIF")</f>
        <v>DIF</v>
      </c>
      <c r="P1415" s="573"/>
      <c r="Q1415" s="556"/>
      <c r="R1415" s="582"/>
    </row>
    <row r="1416" ht="23.85" customHeight="1" spans="1:18">
      <c r="A1416" s="556"/>
      <c r="B1416" s="557"/>
      <c r="C1416" s="100" t="s">
        <v>2893</v>
      </c>
      <c r="D1416" s="99" t="s">
        <v>3320</v>
      </c>
      <c r="E1416" s="100" t="s">
        <v>139</v>
      </c>
      <c r="F1416" s="100" t="s">
        <v>3321</v>
      </c>
      <c r="G1416" s="100" t="s">
        <v>2961</v>
      </c>
      <c r="H1416" s="100"/>
      <c r="I1416" s="101" t="s">
        <v>134</v>
      </c>
      <c r="J1416" s="580">
        <v>0.827</v>
      </c>
      <c r="K1416" s="580">
        <v>0</v>
      </c>
      <c r="L1416" s="102">
        <v>0.22</v>
      </c>
      <c r="M1416" s="102">
        <v>0.18</v>
      </c>
      <c r="N1416" s="573"/>
      <c r="O1416" s="556"/>
      <c r="P1416" s="573"/>
      <c r="Q1416" s="556"/>
      <c r="R1416" s="582"/>
    </row>
    <row r="1417" ht="25.5" spans="1:18">
      <c r="A1417" s="556"/>
      <c r="B1417" s="557"/>
      <c r="C1417" s="108"/>
      <c r="D1417" s="108"/>
      <c r="E1417" s="108"/>
      <c r="F1417" s="108"/>
      <c r="G1417" s="108"/>
      <c r="H1417" s="108" t="s">
        <v>2898</v>
      </c>
      <c r="I1417" s="581">
        <v>9.54</v>
      </c>
      <c r="J1417" s="108" t="s">
        <v>2899</v>
      </c>
      <c r="K1417" s="581">
        <v>0</v>
      </c>
      <c r="L1417" s="108" t="s">
        <v>2900</v>
      </c>
      <c r="M1417" s="581">
        <v>9.54</v>
      </c>
      <c r="N1417" s="573"/>
      <c r="O1417" s="556"/>
      <c r="P1417" s="573"/>
      <c r="Q1417" s="556"/>
      <c r="R1417" s="582"/>
    </row>
    <row r="1418" ht="26.25" spans="1:18">
      <c r="A1418" s="556"/>
      <c r="B1418" s="557"/>
      <c r="C1418" s="108"/>
      <c r="D1418" s="108"/>
      <c r="E1418" s="108"/>
      <c r="F1418" s="108"/>
      <c r="G1418" s="108"/>
      <c r="H1418" s="108" t="s">
        <v>2901</v>
      </c>
      <c r="I1418" s="581">
        <v>6.02</v>
      </c>
      <c r="J1418" s="114"/>
      <c r="K1418" s="114" t="s">
        <v>2902</v>
      </c>
      <c r="L1418" s="108"/>
      <c r="M1418" s="581">
        <v>29.67</v>
      </c>
      <c r="N1418" s="573"/>
      <c r="O1418" s="556"/>
      <c r="P1418" s="573"/>
      <c r="Q1418" s="556"/>
      <c r="R1418" s="582"/>
    </row>
    <row r="1419" ht="15" spans="1:18">
      <c r="A1419" s="556"/>
      <c r="B1419" s="557"/>
      <c r="C1419" s="571"/>
      <c r="D1419" s="571"/>
      <c r="E1419" s="571"/>
      <c r="F1419" s="571"/>
      <c r="G1419" s="571"/>
      <c r="H1419" s="571"/>
      <c r="I1419" s="571"/>
      <c r="J1419" s="571"/>
      <c r="K1419" s="571"/>
      <c r="L1419" s="571"/>
      <c r="M1419" s="571"/>
      <c r="N1419" s="573"/>
      <c r="O1419" s="556"/>
      <c r="P1419" s="573"/>
      <c r="Q1419" s="556"/>
      <c r="R1419" s="582"/>
    </row>
    <row r="1420" ht="15" customHeight="1" spans="1:18">
      <c r="A1420" s="556"/>
      <c r="B1420" s="557">
        <f>C1419</f>
        <v>0</v>
      </c>
      <c r="C1420" s="76" t="s">
        <v>529</v>
      </c>
      <c r="D1420" s="75" t="s">
        <v>63</v>
      </c>
      <c r="E1420" s="76" t="s">
        <v>64</v>
      </c>
      <c r="F1420" s="76" t="s">
        <v>65</v>
      </c>
      <c r="G1420" s="76" t="s">
        <v>2889</v>
      </c>
      <c r="H1420" s="76"/>
      <c r="I1420" s="77" t="s">
        <v>66</v>
      </c>
      <c r="J1420" s="75" t="s">
        <v>67</v>
      </c>
      <c r="K1420" s="75" t="s">
        <v>2890</v>
      </c>
      <c r="L1420" s="75" t="s">
        <v>68</v>
      </c>
      <c r="M1420" s="75" t="s">
        <v>70</v>
      </c>
      <c r="N1420" s="573">
        <v>54.47</v>
      </c>
      <c r="O1420" s="556" t="str">
        <f>IF(N1420=M1420,"OK","DIF")</f>
        <v>DIF</v>
      </c>
      <c r="P1420" s="573"/>
      <c r="Q1420" s="556"/>
      <c r="R1420" s="582"/>
    </row>
    <row r="1421" ht="35.05" customHeight="1" spans="1:18">
      <c r="A1421" s="556">
        <f>B1421</f>
        <v>0</v>
      </c>
      <c r="B1421" s="557">
        <f>B1420</f>
        <v>0</v>
      </c>
      <c r="C1421" s="569" t="s">
        <v>2891</v>
      </c>
      <c r="D1421" s="570" t="s">
        <v>530</v>
      </c>
      <c r="E1421" s="569" t="s">
        <v>139</v>
      </c>
      <c r="F1421" s="569" t="s">
        <v>531</v>
      </c>
      <c r="G1421" s="569" t="s">
        <v>3427</v>
      </c>
      <c r="H1421" s="569"/>
      <c r="I1421" s="577" t="s">
        <v>393</v>
      </c>
      <c r="J1421" s="578">
        <v>1</v>
      </c>
      <c r="K1421" s="579"/>
      <c r="L1421" s="579">
        <v>18.46</v>
      </c>
      <c r="M1421" s="579">
        <v>18.46</v>
      </c>
      <c r="N1421" s="573">
        <v>14.38</v>
      </c>
      <c r="O1421" s="556" t="str">
        <f>IF(N1421=M1421,"OK","DIF")</f>
        <v>DIF</v>
      </c>
      <c r="P1421" s="573"/>
      <c r="Q1421" s="556"/>
      <c r="R1421" s="582"/>
    </row>
    <row r="1422" ht="23.85" customHeight="1" spans="1:18">
      <c r="A1422" s="556">
        <f>B1422</f>
        <v>0</v>
      </c>
      <c r="B1422" s="557">
        <f>B1421</f>
        <v>0</v>
      </c>
      <c r="C1422" s="79" t="s">
        <v>2921</v>
      </c>
      <c r="D1422" s="78" t="s">
        <v>3313</v>
      </c>
      <c r="E1422" s="79" t="s">
        <v>139</v>
      </c>
      <c r="F1422" s="79" t="s">
        <v>3314</v>
      </c>
      <c r="G1422" s="79" t="s">
        <v>2928</v>
      </c>
      <c r="H1422" s="79"/>
      <c r="I1422" s="80" t="s">
        <v>2897</v>
      </c>
      <c r="J1422" s="583">
        <v>0.175</v>
      </c>
      <c r="K1422" s="583">
        <v>0</v>
      </c>
      <c r="L1422" s="92">
        <v>35.95</v>
      </c>
      <c r="M1422" s="92">
        <v>6.29</v>
      </c>
      <c r="N1422" s="573">
        <v>2.61</v>
      </c>
      <c r="O1422" s="556" t="str">
        <f>IF(N1422=M1422,"OK","DIF")</f>
        <v>DIF</v>
      </c>
      <c r="P1422" s="573"/>
      <c r="Q1422" s="556"/>
      <c r="R1422" s="582"/>
    </row>
    <row r="1423" ht="23.85" customHeight="1" spans="1:18">
      <c r="A1423" s="556">
        <f>B1423</f>
        <v>0</v>
      </c>
      <c r="B1423" s="557">
        <f>B1422</f>
        <v>0</v>
      </c>
      <c r="C1423" s="79" t="s">
        <v>2921</v>
      </c>
      <c r="D1423" s="78" t="s">
        <v>3311</v>
      </c>
      <c r="E1423" s="79" t="s">
        <v>139</v>
      </c>
      <c r="F1423" s="79" t="s">
        <v>3312</v>
      </c>
      <c r="G1423" s="79" t="s">
        <v>2928</v>
      </c>
      <c r="H1423" s="79"/>
      <c r="I1423" s="80" t="s">
        <v>2897</v>
      </c>
      <c r="J1423" s="583">
        <v>0.028</v>
      </c>
      <c r="K1423" s="583">
        <v>0</v>
      </c>
      <c r="L1423" s="92">
        <v>30.06</v>
      </c>
      <c r="M1423" s="92">
        <v>0.84</v>
      </c>
      <c r="N1423" s="573">
        <v>37.48</v>
      </c>
      <c r="O1423" s="556" t="str">
        <f>IF(N1423=M1423,"OK","DIF")</f>
        <v>DIF</v>
      </c>
      <c r="P1423" s="573"/>
      <c r="Q1423" s="556"/>
      <c r="R1423" s="582"/>
    </row>
    <row r="1424" ht="23.85" customHeight="1" spans="1:18">
      <c r="A1424" s="556"/>
      <c r="B1424" s="557"/>
      <c r="C1424" s="79" t="s">
        <v>2921</v>
      </c>
      <c r="D1424" s="78" t="s">
        <v>3322</v>
      </c>
      <c r="E1424" s="79" t="s">
        <v>139</v>
      </c>
      <c r="F1424" s="79" t="s">
        <v>3323</v>
      </c>
      <c r="G1424" s="79" t="s">
        <v>3317</v>
      </c>
      <c r="H1424" s="79"/>
      <c r="I1424" s="80" t="s">
        <v>393</v>
      </c>
      <c r="J1424" s="583">
        <v>1</v>
      </c>
      <c r="K1424" s="583">
        <v>0</v>
      </c>
      <c r="L1424" s="92">
        <v>10.65</v>
      </c>
      <c r="M1424" s="92">
        <v>10.65</v>
      </c>
      <c r="N1424" s="573"/>
      <c r="O1424" s="556"/>
      <c r="P1424" s="573"/>
      <c r="Q1424" s="556"/>
      <c r="R1424" s="582"/>
    </row>
    <row r="1425" ht="23.85" customHeight="1" spans="1:18">
      <c r="A1425" s="556"/>
      <c r="B1425" s="557"/>
      <c r="C1425" s="100" t="s">
        <v>2893</v>
      </c>
      <c r="D1425" s="99" t="s">
        <v>3320</v>
      </c>
      <c r="E1425" s="100" t="s">
        <v>139</v>
      </c>
      <c r="F1425" s="100" t="s">
        <v>3321</v>
      </c>
      <c r="G1425" s="100" t="s">
        <v>2961</v>
      </c>
      <c r="H1425" s="100"/>
      <c r="I1425" s="101" t="s">
        <v>134</v>
      </c>
      <c r="J1425" s="580">
        <v>0.613</v>
      </c>
      <c r="K1425" s="580">
        <v>0</v>
      </c>
      <c r="L1425" s="102">
        <v>0.22</v>
      </c>
      <c r="M1425" s="102">
        <v>0.13</v>
      </c>
      <c r="N1425" s="573"/>
      <c r="O1425" s="556"/>
      <c r="P1425" s="573"/>
      <c r="Q1425" s="556"/>
      <c r="R1425" s="582"/>
    </row>
    <row r="1426" ht="23.85" customHeight="1" spans="1:18">
      <c r="A1426" s="556"/>
      <c r="B1426" s="557" t="str">
        <f>C1425</f>
        <v>Insumo</v>
      </c>
      <c r="C1426" s="100" t="s">
        <v>2893</v>
      </c>
      <c r="D1426" s="99" t="s">
        <v>3318</v>
      </c>
      <c r="E1426" s="100" t="s">
        <v>139</v>
      </c>
      <c r="F1426" s="100" t="s">
        <v>3319</v>
      </c>
      <c r="G1426" s="100" t="s">
        <v>2961</v>
      </c>
      <c r="H1426" s="100"/>
      <c r="I1426" s="101" t="s">
        <v>393</v>
      </c>
      <c r="J1426" s="580">
        <v>0.025</v>
      </c>
      <c r="K1426" s="580">
        <v>0</v>
      </c>
      <c r="L1426" s="102">
        <v>22</v>
      </c>
      <c r="M1426" s="102">
        <v>0.55</v>
      </c>
      <c r="N1426" s="573">
        <v>37.03</v>
      </c>
      <c r="O1426" s="556" t="str">
        <f>IF(N1426=M1426,"OK","DIF")</f>
        <v>DIF</v>
      </c>
      <c r="P1426" s="573"/>
      <c r="Q1426" s="556"/>
      <c r="R1426" s="582"/>
    </row>
    <row r="1427" ht="25.5" spans="1:18">
      <c r="A1427" s="556" t="str">
        <f>B1427</f>
        <v>Insumo</v>
      </c>
      <c r="B1427" s="557" t="str">
        <f>B1426</f>
        <v>Insumo</v>
      </c>
      <c r="C1427" s="108"/>
      <c r="D1427" s="108"/>
      <c r="E1427" s="108"/>
      <c r="F1427" s="108"/>
      <c r="G1427" s="108"/>
      <c r="H1427" s="108" t="s">
        <v>2898</v>
      </c>
      <c r="I1427" s="581">
        <v>5.56</v>
      </c>
      <c r="J1427" s="108" t="s">
        <v>2899</v>
      </c>
      <c r="K1427" s="581">
        <v>0</v>
      </c>
      <c r="L1427" s="108" t="s">
        <v>2900</v>
      </c>
      <c r="M1427" s="581">
        <v>5.56</v>
      </c>
      <c r="N1427" s="573">
        <v>20.21</v>
      </c>
      <c r="O1427" s="556" t="str">
        <f>IF(N1427=M1427,"OK","DIF")</f>
        <v>DIF</v>
      </c>
      <c r="P1427" s="573"/>
      <c r="Q1427" s="556"/>
      <c r="R1427" s="582"/>
    </row>
    <row r="1428" ht="26.25" spans="1:18">
      <c r="A1428" s="556" t="str">
        <f>B1428</f>
        <v>Insumo</v>
      </c>
      <c r="B1428" s="557" t="str">
        <f>B1427</f>
        <v>Insumo</v>
      </c>
      <c r="C1428" s="108"/>
      <c r="D1428" s="108"/>
      <c r="E1428" s="108"/>
      <c r="F1428" s="108"/>
      <c r="G1428" s="108"/>
      <c r="H1428" s="108" t="s">
        <v>2901</v>
      </c>
      <c r="I1428" s="581">
        <v>4.7</v>
      </c>
      <c r="J1428" s="114"/>
      <c r="K1428" s="114" t="s">
        <v>2902</v>
      </c>
      <c r="L1428" s="108"/>
      <c r="M1428" s="581">
        <v>23.16</v>
      </c>
      <c r="N1428" s="573">
        <v>3.67</v>
      </c>
      <c r="O1428" s="556" t="str">
        <f>IF(N1428=M1428,"OK","DIF")</f>
        <v>DIF</v>
      </c>
      <c r="P1428" s="573"/>
      <c r="Q1428" s="556"/>
      <c r="R1428" s="582"/>
    </row>
    <row r="1429" ht="15" spans="1:18">
      <c r="A1429" s="556" t="str">
        <f>B1429</f>
        <v>Insumo</v>
      </c>
      <c r="B1429" s="557" t="str">
        <f>B1428</f>
        <v>Insumo</v>
      </c>
      <c r="C1429" s="571"/>
      <c r="D1429" s="571"/>
      <c r="E1429" s="571"/>
      <c r="F1429" s="571"/>
      <c r="G1429" s="571"/>
      <c r="H1429" s="571"/>
      <c r="I1429" s="571"/>
      <c r="J1429" s="571"/>
      <c r="K1429" s="571"/>
      <c r="L1429" s="571"/>
      <c r="M1429" s="571"/>
      <c r="N1429" s="573">
        <v>13.15</v>
      </c>
      <c r="O1429" s="556" t="str">
        <f>IF(N1429=M1429,"OK","DIF")</f>
        <v>DIF</v>
      </c>
      <c r="P1429" s="573"/>
      <c r="Q1429" s="556"/>
      <c r="R1429" s="582"/>
    </row>
    <row r="1430" ht="15" customHeight="1" spans="1:18">
      <c r="A1430" s="556"/>
      <c r="B1430" s="557"/>
      <c r="C1430" s="76" t="s">
        <v>532</v>
      </c>
      <c r="D1430" s="75" t="s">
        <v>63</v>
      </c>
      <c r="E1430" s="76" t="s">
        <v>64</v>
      </c>
      <c r="F1430" s="76" t="s">
        <v>65</v>
      </c>
      <c r="G1430" s="76" t="s">
        <v>2889</v>
      </c>
      <c r="H1430" s="76"/>
      <c r="I1430" s="77" t="s">
        <v>66</v>
      </c>
      <c r="J1430" s="75" t="s">
        <v>67</v>
      </c>
      <c r="K1430" s="75" t="s">
        <v>2890</v>
      </c>
      <c r="L1430" s="75" t="s">
        <v>68</v>
      </c>
      <c r="M1430" s="75" t="s">
        <v>70</v>
      </c>
      <c r="N1430" s="573"/>
      <c r="O1430" s="556"/>
      <c r="P1430" s="573"/>
      <c r="Q1430" s="556"/>
      <c r="R1430" s="582"/>
    </row>
    <row r="1431" ht="35.05" customHeight="1" spans="1:18">
      <c r="A1431" s="556"/>
      <c r="B1431" s="557"/>
      <c r="C1431" s="569" t="s">
        <v>2891</v>
      </c>
      <c r="D1431" s="570" t="s">
        <v>533</v>
      </c>
      <c r="E1431" s="569" t="s">
        <v>139</v>
      </c>
      <c r="F1431" s="569" t="s">
        <v>534</v>
      </c>
      <c r="G1431" s="569" t="s">
        <v>3427</v>
      </c>
      <c r="H1431" s="569"/>
      <c r="I1431" s="577" t="s">
        <v>393</v>
      </c>
      <c r="J1431" s="578">
        <v>1</v>
      </c>
      <c r="K1431" s="579"/>
      <c r="L1431" s="579">
        <v>14.24</v>
      </c>
      <c r="M1431" s="579">
        <v>14.24</v>
      </c>
      <c r="N1431" s="573"/>
      <c r="O1431" s="556"/>
      <c r="P1431" s="573"/>
      <c r="Q1431" s="556"/>
      <c r="R1431" s="582"/>
    </row>
    <row r="1432" ht="23.85" customHeight="1" spans="1:18">
      <c r="A1432" s="556"/>
      <c r="B1432" s="557"/>
      <c r="C1432" s="79" t="s">
        <v>2921</v>
      </c>
      <c r="D1432" s="78" t="s">
        <v>3324</v>
      </c>
      <c r="E1432" s="79" t="s">
        <v>139</v>
      </c>
      <c r="F1432" s="79" t="s">
        <v>3325</v>
      </c>
      <c r="G1432" s="79" t="s">
        <v>3317</v>
      </c>
      <c r="H1432" s="79"/>
      <c r="I1432" s="80" t="s">
        <v>393</v>
      </c>
      <c r="J1432" s="583">
        <v>1</v>
      </c>
      <c r="K1432" s="583">
        <v>0</v>
      </c>
      <c r="L1432" s="92">
        <v>9.78</v>
      </c>
      <c r="M1432" s="92">
        <v>9.78</v>
      </c>
      <c r="N1432" s="573"/>
      <c r="O1432" s="556"/>
      <c r="P1432" s="573"/>
      <c r="Q1432" s="556"/>
      <c r="R1432" s="582"/>
    </row>
    <row r="1433" ht="23.85" customHeight="1" spans="1:18">
      <c r="A1433" s="556"/>
      <c r="B1433" s="557" t="str">
        <f>C1432</f>
        <v>Composição Auxiliar</v>
      </c>
      <c r="C1433" s="79" t="s">
        <v>2921</v>
      </c>
      <c r="D1433" s="78" t="s">
        <v>3313</v>
      </c>
      <c r="E1433" s="79" t="s">
        <v>139</v>
      </c>
      <c r="F1433" s="79" t="s">
        <v>3314</v>
      </c>
      <c r="G1433" s="79" t="s">
        <v>2928</v>
      </c>
      <c r="H1433" s="79"/>
      <c r="I1433" s="80" t="s">
        <v>2897</v>
      </c>
      <c r="J1433" s="583">
        <v>0.094</v>
      </c>
      <c r="K1433" s="583">
        <v>0</v>
      </c>
      <c r="L1433" s="92">
        <v>35.95</v>
      </c>
      <c r="M1433" s="92">
        <v>3.37</v>
      </c>
      <c r="N1433" s="573">
        <v>54.47</v>
      </c>
      <c r="O1433" s="556" t="str">
        <f>IF(N1433=M1433,"OK","DIF")</f>
        <v>DIF</v>
      </c>
      <c r="P1433" s="573"/>
      <c r="Q1433" s="556"/>
      <c r="R1433" s="582"/>
    </row>
    <row r="1434" ht="23.85" customHeight="1" spans="1:18">
      <c r="A1434" s="556" t="str">
        <f>B1434</f>
        <v>Composição Auxiliar</v>
      </c>
      <c r="B1434" s="557" t="str">
        <f>B1433</f>
        <v>Composição Auxiliar</v>
      </c>
      <c r="C1434" s="79" t="s">
        <v>2921</v>
      </c>
      <c r="D1434" s="78" t="s">
        <v>3311</v>
      </c>
      <c r="E1434" s="79" t="s">
        <v>139</v>
      </c>
      <c r="F1434" s="79" t="s">
        <v>3312</v>
      </c>
      <c r="G1434" s="79" t="s">
        <v>2928</v>
      </c>
      <c r="H1434" s="79"/>
      <c r="I1434" s="80" t="s">
        <v>2897</v>
      </c>
      <c r="J1434" s="583">
        <v>0.015</v>
      </c>
      <c r="K1434" s="583">
        <v>0</v>
      </c>
      <c r="L1434" s="92">
        <v>30.06</v>
      </c>
      <c r="M1434" s="92">
        <v>0.45</v>
      </c>
      <c r="N1434" s="573">
        <v>14.38</v>
      </c>
      <c r="O1434" s="556" t="str">
        <f>IF(N1434=M1434,"OK","DIF")</f>
        <v>DIF</v>
      </c>
      <c r="P1434" s="573"/>
      <c r="Q1434" s="556"/>
      <c r="R1434" s="582"/>
    </row>
    <row r="1435" ht="23.85" customHeight="1" spans="1:18">
      <c r="A1435" s="556" t="str">
        <f>B1435</f>
        <v>Composição Auxiliar</v>
      </c>
      <c r="B1435" s="557" t="str">
        <f>B1434</f>
        <v>Composição Auxiliar</v>
      </c>
      <c r="C1435" s="100" t="s">
        <v>2893</v>
      </c>
      <c r="D1435" s="99" t="s">
        <v>3320</v>
      </c>
      <c r="E1435" s="100" t="s">
        <v>139</v>
      </c>
      <c r="F1435" s="100" t="s">
        <v>3321</v>
      </c>
      <c r="G1435" s="100" t="s">
        <v>2961</v>
      </c>
      <c r="H1435" s="100"/>
      <c r="I1435" s="101" t="s">
        <v>134</v>
      </c>
      <c r="J1435" s="580">
        <v>0.431</v>
      </c>
      <c r="K1435" s="580">
        <v>0</v>
      </c>
      <c r="L1435" s="102">
        <v>0.22</v>
      </c>
      <c r="M1435" s="102">
        <v>0.09</v>
      </c>
      <c r="N1435" s="573">
        <v>2.61</v>
      </c>
      <c r="O1435" s="556" t="str">
        <f>IF(N1435=M1435,"OK","DIF")</f>
        <v>DIF</v>
      </c>
      <c r="P1435" s="573"/>
      <c r="Q1435" s="556"/>
      <c r="R1435" s="582"/>
    </row>
    <row r="1436" ht="23.85" customHeight="1" spans="1:18">
      <c r="A1436" s="556" t="str">
        <f>B1436</f>
        <v>Composição Auxiliar</v>
      </c>
      <c r="B1436" s="557" t="str">
        <f>B1435</f>
        <v>Composição Auxiliar</v>
      </c>
      <c r="C1436" s="100" t="s">
        <v>2893</v>
      </c>
      <c r="D1436" s="99" t="s">
        <v>3318</v>
      </c>
      <c r="E1436" s="100" t="s">
        <v>139</v>
      </c>
      <c r="F1436" s="100" t="s">
        <v>3319</v>
      </c>
      <c r="G1436" s="100" t="s">
        <v>2961</v>
      </c>
      <c r="H1436" s="100"/>
      <c r="I1436" s="101" t="s">
        <v>393</v>
      </c>
      <c r="J1436" s="580">
        <v>0.025</v>
      </c>
      <c r="K1436" s="580">
        <v>0</v>
      </c>
      <c r="L1436" s="102">
        <v>22</v>
      </c>
      <c r="M1436" s="102">
        <v>0.55</v>
      </c>
      <c r="N1436" s="573">
        <v>37.48</v>
      </c>
      <c r="O1436" s="556" t="str">
        <f>IF(N1436=M1436,"OK","DIF")</f>
        <v>DIF</v>
      </c>
      <c r="P1436" s="573"/>
      <c r="Q1436" s="556"/>
      <c r="R1436" s="582"/>
    </row>
    <row r="1437" ht="25.5" spans="1:18">
      <c r="A1437" s="556"/>
      <c r="B1437" s="557"/>
      <c r="C1437" s="108"/>
      <c r="D1437" s="108"/>
      <c r="E1437" s="108"/>
      <c r="F1437" s="108"/>
      <c r="G1437" s="108"/>
      <c r="H1437" s="108" t="s">
        <v>2898</v>
      </c>
      <c r="I1437" s="581">
        <v>2.97</v>
      </c>
      <c r="J1437" s="108" t="s">
        <v>2899</v>
      </c>
      <c r="K1437" s="581">
        <v>0</v>
      </c>
      <c r="L1437" s="108" t="s">
        <v>2900</v>
      </c>
      <c r="M1437" s="581">
        <v>2.97</v>
      </c>
      <c r="N1437" s="573"/>
      <c r="O1437" s="556"/>
      <c r="P1437" s="573"/>
      <c r="Q1437" s="556"/>
      <c r="R1437" s="582"/>
    </row>
    <row r="1438" ht="26.25" spans="1:18">
      <c r="A1438" s="556"/>
      <c r="B1438" s="557"/>
      <c r="C1438" s="108"/>
      <c r="D1438" s="108"/>
      <c r="E1438" s="108"/>
      <c r="F1438" s="108"/>
      <c r="G1438" s="108"/>
      <c r="H1438" s="108" t="s">
        <v>2901</v>
      </c>
      <c r="I1438" s="581">
        <v>3.62</v>
      </c>
      <c r="J1438" s="114"/>
      <c r="K1438" s="114" t="s">
        <v>2902</v>
      </c>
      <c r="L1438" s="108"/>
      <c r="M1438" s="581">
        <v>17.86</v>
      </c>
      <c r="N1438" s="573"/>
      <c r="O1438" s="556"/>
      <c r="P1438" s="573"/>
      <c r="Q1438" s="556"/>
      <c r="R1438" s="582"/>
    </row>
    <row r="1439" ht="15" spans="1:18">
      <c r="A1439" s="556"/>
      <c r="B1439" s="557">
        <f>C1438</f>
        <v>0</v>
      </c>
      <c r="C1439" s="571"/>
      <c r="D1439" s="571"/>
      <c r="E1439" s="571"/>
      <c r="F1439" s="571"/>
      <c r="G1439" s="571"/>
      <c r="H1439" s="571"/>
      <c r="I1439" s="571"/>
      <c r="J1439" s="571"/>
      <c r="K1439" s="571"/>
      <c r="L1439" s="571"/>
      <c r="M1439" s="571"/>
      <c r="N1439" s="573">
        <v>37.03</v>
      </c>
      <c r="O1439" s="556" t="str">
        <f>IF(N1439=M1439,"OK","DIF")</f>
        <v>DIF</v>
      </c>
      <c r="P1439" s="573"/>
      <c r="Q1439" s="556"/>
      <c r="R1439" s="582"/>
    </row>
    <row r="1440" ht="15" customHeight="1" spans="1:18">
      <c r="A1440" s="556">
        <f>B1440</f>
        <v>0</v>
      </c>
      <c r="B1440" s="557">
        <f>B1439</f>
        <v>0</v>
      </c>
      <c r="C1440" s="76" t="s">
        <v>536</v>
      </c>
      <c r="D1440" s="75" t="s">
        <v>63</v>
      </c>
      <c r="E1440" s="76" t="s">
        <v>64</v>
      </c>
      <c r="F1440" s="76" t="s">
        <v>65</v>
      </c>
      <c r="G1440" s="76" t="s">
        <v>2889</v>
      </c>
      <c r="H1440" s="76"/>
      <c r="I1440" s="77" t="s">
        <v>66</v>
      </c>
      <c r="J1440" s="75" t="s">
        <v>67</v>
      </c>
      <c r="K1440" s="75" t="s">
        <v>2890</v>
      </c>
      <c r="L1440" s="75" t="s">
        <v>68</v>
      </c>
      <c r="M1440" s="75" t="s">
        <v>70</v>
      </c>
      <c r="N1440" s="573">
        <v>20.21</v>
      </c>
      <c r="O1440" s="556" t="str">
        <f>IF(N1440=M1440,"OK","DIF")</f>
        <v>DIF</v>
      </c>
      <c r="P1440" s="573"/>
      <c r="Q1440" s="556"/>
      <c r="R1440" s="582"/>
    </row>
    <row r="1441" ht="35.05" customHeight="1" spans="1:18">
      <c r="A1441" s="556">
        <f>B1441</f>
        <v>0</v>
      </c>
      <c r="B1441" s="557">
        <f>B1440</f>
        <v>0</v>
      </c>
      <c r="C1441" s="569" t="s">
        <v>2891</v>
      </c>
      <c r="D1441" s="570" t="s">
        <v>537</v>
      </c>
      <c r="E1441" s="569" t="s">
        <v>132</v>
      </c>
      <c r="F1441" s="569" t="s">
        <v>538</v>
      </c>
      <c r="G1441" s="569" t="s">
        <v>3428</v>
      </c>
      <c r="H1441" s="569"/>
      <c r="I1441" s="577" t="s">
        <v>279</v>
      </c>
      <c r="J1441" s="578">
        <v>1</v>
      </c>
      <c r="K1441" s="579"/>
      <c r="L1441" s="579">
        <v>676.58</v>
      </c>
      <c r="M1441" s="579">
        <v>676.58</v>
      </c>
      <c r="N1441" s="573">
        <v>3.67</v>
      </c>
      <c r="O1441" s="556" t="str">
        <f>IF(N1441=M1441,"OK","DIF")</f>
        <v>DIF</v>
      </c>
      <c r="P1441" s="573"/>
      <c r="Q1441" s="556"/>
      <c r="R1441" s="582"/>
    </row>
    <row r="1442" ht="23.85" customHeight="1" spans="1:18">
      <c r="A1442" s="556">
        <f>B1442</f>
        <v>0</v>
      </c>
      <c r="B1442" s="557">
        <f>B1441</f>
        <v>0</v>
      </c>
      <c r="C1442" s="79" t="s">
        <v>2921</v>
      </c>
      <c r="D1442" s="78" t="s">
        <v>3348</v>
      </c>
      <c r="E1442" s="79" t="s">
        <v>139</v>
      </c>
      <c r="F1442" s="79" t="s">
        <v>3349</v>
      </c>
      <c r="G1442" s="79" t="s">
        <v>2995</v>
      </c>
      <c r="H1442" s="79"/>
      <c r="I1442" s="80" t="s">
        <v>3002</v>
      </c>
      <c r="J1442" s="583">
        <v>0.094</v>
      </c>
      <c r="K1442" s="583">
        <v>0</v>
      </c>
      <c r="L1442" s="92">
        <v>1.45</v>
      </c>
      <c r="M1442" s="92">
        <v>0.13</v>
      </c>
      <c r="N1442" s="573">
        <v>13.15</v>
      </c>
      <c r="O1442" s="556" t="str">
        <f>IF(N1442=M1442,"OK","DIF")</f>
        <v>DIF</v>
      </c>
      <c r="P1442" s="573"/>
      <c r="Q1442" s="556"/>
      <c r="R1442" s="582"/>
    </row>
    <row r="1443" ht="23.85" customHeight="1" spans="1:18">
      <c r="A1443" s="556"/>
      <c r="B1443" s="557"/>
      <c r="C1443" s="79" t="s">
        <v>2921</v>
      </c>
      <c r="D1443" s="78" t="s">
        <v>3346</v>
      </c>
      <c r="E1443" s="79" t="s">
        <v>139</v>
      </c>
      <c r="F1443" s="79" t="s">
        <v>3347</v>
      </c>
      <c r="G1443" s="79" t="s">
        <v>2995</v>
      </c>
      <c r="H1443" s="79"/>
      <c r="I1443" s="80" t="s">
        <v>2996</v>
      </c>
      <c r="J1443" s="583">
        <v>0.13</v>
      </c>
      <c r="K1443" s="583">
        <v>0</v>
      </c>
      <c r="L1443" s="92">
        <v>0.53</v>
      </c>
      <c r="M1443" s="92">
        <v>0.06</v>
      </c>
      <c r="N1443" s="573"/>
      <c r="O1443" s="556"/>
      <c r="P1443" s="573"/>
      <c r="Q1443" s="556"/>
      <c r="R1443" s="582"/>
    </row>
    <row r="1444" ht="23.85" customHeight="1" spans="1:18">
      <c r="A1444" s="556"/>
      <c r="B1444" s="557"/>
      <c r="C1444" s="79" t="s">
        <v>2921</v>
      </c>
      <c r="D1444" s="78" t="s">
        <v>3017</v>
      </c>
      <c r="E1444" s="79" t="s">
        <v>139</v>
      </c>
      <c r="F1444" s="79" t="s">
        <v>3018</v>
      </c>
      <c r="G1444" s="79" t="s">
        <v>2928</v>
      </c>
      <c r="H1444" s="79"/>
      <c r="I1444" s="80" t="s">
        <v>2897</v>
      </c>
      <c r="J1444" s="583">
        <v>0.224</v>
      </c>
      <c r="K1444" s="583">
        <v>0</v>
      </c>
      <c r="L1444" s="92">
        <v>36.96</v>
      </c>
      <c r="M1444" s="92">
        <v>8.27</v>
      </c>
      <c r="N1444" s="573"/>
      <c r="O1444" s="556"/>
      <c r="P1444" s="573"/>
      <c r="Q1444" s="556"/>
      <c r="R1444" s="582"/>
    </row>
    <row r="1445" ht="23.85" customHeight="1" spans="1:18">
      <c r="A1445" s="556"/>
      <c r="B1445" s="557"/>
      <c r="C1445" s="79" t="s">
        <v>2921</v>
      </c>
      <c r="D1445" s="78" t="s">
        <v>2952</v>
      </c>
      <c r="E1445" s="79" t="s">
        <v>139</v>
      </c>
      <c r="F1445" s="79" t="s">
        <v>2953</v>
      </c>
      <c r="G1445" s="79" t="s">
        <v>2928</v>
      </c>
      <c r="H1445" s="79"/>
      <c r="I1445" s="80" t="s">
        <v>2897</v>
      </c>
      <c r="J1445" s="583">
        <v>1.345</v>
      </c>
      <c r="K1445" s="583">
        <v>0</v>
      </c>
      <c r="L1445" s="92">
        <v>29.15</v>
      </c>
      <c r="M1445" s="92">
        <v>39.2</v>
      </c>
      <c r="N1445" s="573"/>
      <c r="O1445" s="556"/>
      <c r="P1445" s="573"/>
      <c r="Q1445" s="556"/>
      <c r="R1445" s="582"/>
    </row>
    <row r="1446" ht="23.85" customHeight="1" spans="1:18">
      <c r="A1446" s="556"/>
      <c r="B1446" s="557"/>
      <c r="C1446" s="79" t="s">
        <v>2921</v>
      </c>
      <c r="D1446" s="78" t="s">
        <v>2954</v>
      </c>
      <c r="E1446" s="79" t="s">
        <v>139</v>
      </c>
      <c r="F1446" s="79" t="s">
        <v>2955</v>
      </c>
      <c r="G1446" s="79" t="s">
        <v>2928</v>
      </c>
      <c r="H1446" s="79"/>
      <c r="I1446" s="80" t="s">
        <v>2897</v>
      </c>
      <c r="J1446" s="583">
        <v>0.224</v>
      </c>
      <c r="K1446" s="583">
        <v>0</v>
      </c>
      <c r="L1446" s="92">
        <v>37.51</v>
      </c>
      <c r="M1446" s="92">
        <v>8.4</v>
      </c>
      <c r="N1446" s="573"/>
      <c r="O1446" s="556"/>
      <c r="P1446" s="573"/>
      <c r="Q1446" s="556"/>
      <c r="R1446" s="582"/>
    </row>
    <row r="1447" ht="35.05" customHeight="1" spans="1:18">
      <c r="A1447" s="556"/>
      <c r="B1447" s="557" t="str">
        <f>C1446</f>
        <v>Composição Auxiliar</v>
      </c>
      <c r="C1447" s="100" t="s">
        <v>2893</v>
      </c>
      <c r="D1447" s="99" t="s">
        <v>3373</v>
      </c>
      <c r="E1447" s="100" t="s">
        <v>139</v>
      </c>
      <c r="F1447" s="100" t="s">
        <v>3374</v>
      </c>
      <c r="G1447" s="100" t="s">
        <v>2961</v>
      </c>
      <c r="H1447" s="100"/>
      <c r="I1447" s="101" t="s">
        <v>279</v>
      </c>
      <c r="J1447" s="580">
        <v>1.103</v>
      </c>
      <c r="K1447" s="580">
        <v>0</v>
      </c>
      <c r="L1447" s="102">
        <v>562.58</v>
      </c>
      <c r="M1447" s="102">
        <v>620.52</v>
      </c>
      <c r="N1447" s="573">
        <v>902.26</v>
      </c>
      <c r="O1447" s="556" t="str">
        <f>IF(N1447=M1447,"OK","DIF")</f>
        <v>DIF</v>
      </c>
      <c r="P1447" s="573"/>
      <c r="Q1447" s="556"/>
      <c r="R1447" s="582"/>
    </row>
    <row r="1448" ht="25.5" spans="1:18">
      <c r="A1448" s="556" t="str">
        <f>B1448</f>
        <v>Composição Auxiliar</v>
      </c>
      <c r="B1448" s="557" t="str">
        <f>B1447</f>
        <v>Composição Auxiliar</v>
      </c>
      <c r="C1448" s="108"/>
      <c r="D1448" s="108"/>
      <c r="E1448" s="108"/>
      <c r="F1448" s="108"/>
      <c r="G1448" s="108"/>
      <c r="H1448" s="108" t="s">
        <v>2898</v>
      </c>
      <c r="I1448" s="581">
        <v>38.08</v>
      </c>
      <c r="J1448" s="108" t="s">
        <v>2899</v>
      </c>
      <c r="K1448" s="581">
        <v>0</v>
      </c>
      <c r="L1448" s="108" t="s">
        <v>2900</v>
      </c>
      <c r="M1448" s="581">
        <v>38.08</v>
      </c>
      <c r="N1448" s="573">
        <v>808.06</v>
      </c>
      <c r="O1448" s="556" t="str">
        <f>IF(N1448=M1448,"OK","DIF")</f>
        <v>DIF</v>
      </c>
      <c r="P1448" s="573"/>
      <c r="Q1448" s="556"/>
      <c r="R1448" s="582"/>
    </row>
    <row r="1449" ht="26.25" spans="1:18">
      <c r="A1449" s="556" t="str">
        <f>B1449</f>
        <v>Composição Auxiliar</v>
      </c>
      <c r="B1449" s="557" t="str">
        <f>B1448</f>
        <v>Composição Auxiliar</v>
      </c>
      <c r="C1449" s="108"/>
      <c r="D1449" s="108"/>
      <c r="E1449" s="108"/>
      <c r="F1449" s="108"/>
      <c r="G1449" s="108"/>
      <c r="H1449" s="108" t="s">
        <v>2901</v>
      </c>
      <c r="I1449" s="581">
        <v>172.46</v>
      </c>
      <c r="J1449" s="114"/>
      <c r="K1449" s="114" t="s">
        <v>2902</v>
      </c>
      <c r="L1449" s="108"/>
      <c r="M1449" s="581">
        <v>849.04</v>
      </c>
      <c r="N1449" s="573">
        <v>94.2</v>
      </c>
      <c r="O1449" s="556" t="str">
        <f>IF(N1449=M1449,"OK","DIF")</f>
        <v>DIF</v>
      </c>
      <c r="P1449" s="573"/>
      <c r="Q1449" s="556"/>
      <c r="R1449" s="582"/>
    </row>
    <row r="1450" ht="15" spans="1:18">
      <c r="A1450" s="556"/>
      <c r="B1450" s="557"/>
      <c r="C1450" s="571"/>
      <c r="D1450" s="571"/>
      <c r="E1450" s="571"/>
      <c r="F1450" s="571"/>
      <c r="G1450" s="571"/>
      <c r="H1450" s="571"/>
      <c r="I1450" s="571"/>
      <c r="J1450" s="571"/>
      <c r="K1450" s="571"/>
      <c r="L1450" s="571"/>
      <c r="M1450" s="571"/>
      <c r="N1450" s="573"/>
      <c r="O1450" s="556"/>
      <c r="P1450" s="573"/>
      <c r="Q1450" s="556"/>
      <c r="R1450" s="582"/>
    </row>
    <row r="1451" ht="15" customHeight="1" spans="1:18">
      <c r="A1451" s="556"/>
      <c r="B1451" s="557"/>
      <c r="C1451" s="76" t="s">
        <v>539</v>
      </c>
      <c r="D1451" s="75" t="s">
        <v>63</v>
      </c>
      <c r="E1451" s="76" t="s">
        <v>64</v>
      </c>
      <c r="F1451" s="76" t="s">
        <v>65</v>
      </c>
      <c r="G1451" s="76" t="s">
        <v>2889</v>
      </c>
      <c r="H1451" s="76"/>
      <c r="I1451" s="77" t="s">
        <v>66</v>
      </c>
      <c r="J1451" s="75" t="s">
        <v>67</v>
      </c>
      <c r="K1451" s="75" t="s">
        <v>2890</v>
      </c>
      <c r="L1451" s="75" t="s">
        <v>68</v>
      </c>
      <c r="M1451" s="75" t="s">
        <v>70</v>
      </c>
      <c r="N1451" s="573"/>
      <c r="O1451" s="556"/>
      <c r="P1451" s="573"/>
      <c r="Q1451" s="556"/>
      <c r="R1451" s="582"/>
    </row>
    <row r="1452" ht="35.05" customHeight="1" spans="1:18">
      <c r="A1452" s="556"/>
      <c r="B1452" s="557" t="str">
        <f>C1451</f>
        <v> 6.2.2 </v>
      </c>
      <c r="C1452" s="569" t="s">
        <v>2891</v>
      </c>
      <c r="D1452" s="570" t="s">
        <v>540</v>
      </c>
      <c r="E1452" s="569" t="s">
        <v>132</v>
      </c>
      <c r="F1452" s="569" t="s">
        <v>541</v>
      </c>
      <c r="G1452" s="569" t="s">
        <v>3428</v>
      </c>
      <c r="H1452" s="569"/>
      <c r="I1452" s="577" t="s">
        <v>279</v>
      </c>
      <c r="J1452" s="578">
        <v>1</v>
      </c>
      <c r="K1452" s="579"/>
      <c r="L1452" s="579">
        <v>677.33</v>
      </c>
      <c r="M1452" s="579">
        <v>677.33</v>
      </c>
      <c r="N1452" s="573">
        <v>1314.63</v>
      </c>
      <c r="O1452" s="556" t="str">
        <f>IF(N1452=M1452,"OK","DIF")</f>
        <v>DIF</v>
      </c>
      <c r="P1452" s="573"/>
      <c r="Q1452" s="556"/>
      <c r="R1452" s="582"/>
    </row>
    <row r="1453" ht="23.85" customHeight="1" spans="1:18">
      <c r="A1453" s="556" t="str">
        <f>B1453</f>
        <v> 6.2.2 </v>
      </c>
      <c r="B1453" s="557" t="str">
        <f>B1452</f>
        <v> 6.2.2 </v>
      </c>
      <c r="C1453" s="79" t="s">
        <v>2921</v>
      </c>
      <c r="D1453" s="78" t="s">
        <v>2952</v>
      </c>
      <c r="E1453" s="79" t="s">
        <v>139</v>
      </c>
      <c r="F1453" s="79" t="s">
        <v>2953</v>
      </c>
      <c r="G1453" s="79" t="s">
        <v>2928</v>
      </c>
      <c r="H1453" s="79"/>
      <c r="I1453" s="80" t="s">
        <v>2897</v>
      </c>
      <c r="J1453" s="583">
        <v>0.826</v>
      </c>
      <c r="K1453" s="583">
        <v>0</v>
      </c>
      <c r="L1453" s="92">
        <v>29.15</v>
      </c>
      <c r="M1453" s="92">
        <v>24.07</v>
      </c>
      <c r="N1453" s="573">
        <v>180.12</v>
      </c>
      <c r="O1453" s="556" t="str">
        <f>IF(N1453=M1453,"OK","DIF")</f>
        <v>DIF</v>
      </c>
      <c r="P1453" s="573"/>
      <c r="Q1453" s="556"/>
      <c r="R1453" s="582"/>
    </row>
    <row r="1454" ht="23.85" customHeight="1" spans="1:18">
      <c r="A1454" s="556" t="str">
        <f>B1454</f>
        <v> 6.2.2 </v>
      </c>
      <c r="B1454" s="557" t="str">
        <f>B1453</f>
        <v> 6.2.2 </v>
      </c>
      <c r="C1454" s="79" t="s">
        <v>2921</v>
      </c>
      <c r="D1454" s="78" t="s">
        <v>2954</v>
      </c>
      <c r="E1454" s="79" t="s">
        <v>139</v>
      </c>
      <c r="F1454" s="79" t="s">
        <v>2955</v>
      </c>
      <c r="G1454" s="79" t="s">
        <v>2928</v>
      </c>
      <c r="H1454" s="79"/>
      <c r="I1454" s="80" t="s">
        <v>2897</v>
      </c>
      <c r="J1454" s="583">
        <v>0.125</v>
      </c>
      <c r="K1454" s="583">
        <v>0</v>
      </c>
      <c r="L1454" s="92">
        <v>37.51</v>
      </c>
      <c r="M1454" s="92">
        <v>4.68</v>
      </c>
      <c r="N1454" s="573">
        <v>975.08</v>
      </c>
      <c r="O1454" s="556" t="str">
        <f>IF(N1454=M1454,"OK","DIF")</f>
        <v>DIF</v>
      </c>
      <c r="P1454" s="573"/>
      <c r="Q1454" s="556"/>
      <c r="R1454" s="582"/>
    </row>
    <row r="1455" ht="23.85" customHeight="1" spans="1:18">
      <c r="A1455" s="556" t="str">
        <f>B1455</f>
        <v> 6.2.2 </v>
      </c>
      <c r="B1455" s="557" t="str">
        <f>B1454</f>
        <v> 6.2.2 </v>
      </c>
      <c r="C1455" s="79" t="s">
        <v>2921</v>
      </c>
      <c r="D1455" s="78" t="s">
        <v>3017</v>
      </c>
      <c r="E1455" s="79" t="s">
        <v>139</v>
      </c>
      <c r="F1455" s="79" t="s">
        <v>3018</v>
      </c>
      <c r="G1455" s="79" t="s">
        <v>2928</v>
      </c>
      <c r="H1455" s="79"/>
      <c r="I1455" s="80" t="s">
        <v>2897</v>
      </c>
      <c r="J1455" s="583">
        <v>0.753</v>
      </c>
      <c r="K1455" s="583">
        <v>0</v>
      </c>
      <c r="L1455" s="92">
        <v>36.96</v>
      </c>
      <c r="M1455" s="92">
        <v>27.83</v>
      </c>
      <c r="N1455" s="573">
        <v>110.29</v>
      </c>
      <c r="O1455" s="556" t="str">
        <f>IF(N1455=M1455,"OK","DIF")</f>
        <v>DIF</v>
      </c>
      <c r="P1455" s="573"/>
      <c r="Q1455" s="556"/>
      <c r="R1455" s="582"/>
    </row>
    <row r="1456" ht="23.85" customHeight="1" spans="1:18">
      <c r="A1456" s="556" t="str">
        <f>B1456</f>
        <v> 6.2.2 </v>
      </c>
      <c r="B1456" s="557" t="str">
        <f>B1455</f>
        <v> 6.2.2 </v>
      </c>
      <c r="C1456" s="79" t="s">
        <v>2921</v>
      </c>
      <c r="D1456" s="78" t="s">
        <v>3348</v>
      </c>
      <c r="E1456" s="79" t="s">
        <v>139</v>
      </c>
      <c r="F1456" s="79" t="s">
        <v>3349</v>
      </c>
      <c r="G1456" s="79" t="s">
        <v>2995</v>
      </c>
      <c r="H1456" s="79"/>
      <c r="I1456" s="80" t="s">
        <v>3002</v>
      </c>
      <c r="J1456" s="583">
        <v>0.12</v>
      </c>
      <c r="K1456" s="583">
        <v>0</v>
      </c>
      <c r="L1456" s="92">
        <v>1.45</v>
      </c>
      <c r="M1456" s="92">
        <v>0.17</v>
      </c>
      <c r="N1456" s="573">
        <v>49.14</v>
      </c>
      <c r="O1456" s="556" t="str">
        <f>IF(N1456=M1456,"OK","DIF")</f>
        <v>DIF</v>
      </c>
      <c r="P1456" s="573"/>
      <c r="Q1456" s="556"/>
      <c r="R1456" s="582"/>
    </row>
    <row r="1457" ht="23.85" customHeight="1" spans="1:18">
      <c r="A1457" s="556"/>
      <c r="B1457" s="557"/>
      <c r="C1457" s="79" t="s">
        <v>2921</v>
      </c>
      <c r="D1457" s="78" t="s">
        <v>3346</v>
      </c>
      <c r="E1457" s="79" t="s">
        <v>139</v>
      </c>
      <c r="F1457" s="79" t="s">
        <v>3347</v>
      </c>
      <c r="G1457" s="79" t="s">
        <v>2995</v>
      </c>
      <c r="H1457" s="79"/>
      <c r="I1457" s="80" t="s">
        <v>2996</v>
      </c>
      <c r="J1457" s="583">
        <v>0.131</v>
      </c>
      <c r="K1457" s="583">
        <v>0</v>
      </c>
      <c r="L1457" s="92">
        <v>0.53</v>
      </c>
      <c r="M1457" s="92">
        <v>0.06</v>
      </c>
      <c r="N1457" s="573"/>
      <c r="O1457" s="556"/>
      <c r="P1457" s="573"/>
      <c r="Q1457" s="556"/>
      <c r="R1457" s="582"/>
    </row>
    <row r="1458" ht="35.05" customHeight="1" spans="1:18">
      <c r="A1458" s="556"/>
      <c r="B1458" s="557"/>
      <c r="C1458" s="100" t="s">
        <v>2893</v>
      </c>
      <c r="D1458" s="99" t="s">
        <v>3373</v>
      </c>
      <c r="E1458" s="100" t="s">
        <v>139</v>
      </c>
      <c r="F1458" s="100" t="s">
        <v>3374</v>
      </c>
      <c r="G1458" s="100" t="s">
        <v>2961</v>
      </c>
      <c r="H1458" s="100"/>
      <c r="I1458" s="101" t="s">
        <v>279</v>
      </c>
      <c r="J1458" s="580">
        <v>1.103</v>
      </c>
      <c r="K1458" s="580">
        <v>0</v>
      </c>
      <c r="L1458" s="102">
        <v>562.58</v>
      </c>
      <c r="M1458" s="102">
        <v>620.52</v>
      </c>
      <c r="N1458" s="573"/>
      <c r="O1458" s="556"/>
      <c r="P1458" s="573"/>
      <c r="Q1458" s="556"/>
      <c r="R1458" s="582"/>
    </row>
    <row r="1459" ht="25.5" spans="1:18">
      <c r="A1459" s="556"/>
      <c r="B1459" s="557" t="str">
        <f>C1458</f>
        <v>Insumo</v>
      </c>
      <c r="C1459" s="108"/>
      <c r="D1459" s="108"/>
      <c r="E1459" s="108"/>
      <c r="F1459" s="108"/>
      <c r="G1459" s="108"/>
      <c r="H1459" s="108" t="s">
        <v>2898</v>
      </c>
      <c r="I1459" s="581">
        <v>39.61</v>
      </c>
      <c r="J1459" s="108" t="s">
        <v>2899</v>
      </c>
      <c r="K1459" s="581">
        <v>0</v>
      </c>
      <c r="L1459" s="108" t="s">
        <v>2900</v>
      </c>
      <c r="M1459" s="581">
        <v>39.61</v>
      </c>
      <c r="N1459" s="573">
        <v>1155.2</v>
      </c>
      <c r="O1459" s="556" t="str">
        <f>IF(N1459=M1459,"OK","DIF")</f>
        <v>DIF</v>
      </c>
      <c r="P1459" s="573"/>
      <c r="Q1459" s="556"/>
      <c r="R1459" s="582"/>
    </row>
    <row r="1460" ht="26.25" spans="1:18">
      <c r="A1460" s="556" t="str">
        <f>B1460</f>
        <v>Insumo</v>
      </c>
      <c r="B1460" s="557" t="str">
        <f>B1459</f>
        <v>Insumo</v>
      </c>
      <c r="C1460" s="108"/>
      <c r="D1460" s="108"/>
      <c r="E1460" s="108"/>
      <c r="F1460" s="108"/>
      <c r="G1460" s="108"/>
      <c r="H1460" s="108" t="s">
        <v>2901</v>
      </c>
      <c r="I1460" s="581">
        <v>172.65</v>
      </c>
      <c r="J1460" s="114"/>
      <c r="K1460" s="114" t="s">
        <v>2902</v>
      </c>
      <c r="L1460" s="108"/>
      <c r="M1460" s="581">
        <v>849.98</v>
      </c>
      <c r="N1460" s="573">
        <v>975.08</v>
      </c>
      <c r="O1460" s="556" t="str">
        <f>IF(N1460=M1460,"OK","DIF")</f>
        <v>DIF</v>
      </c>
      <c r="P1460" s="573"/>
      <c r="Q1460" s="556"/>
      <c r="R1460" s="582"/>
    </row>
    <row r="1461" ht="15" spans="1:18">
      <c r="A1461" s="556" t="str">
        <f>B1461</f>
        <v>Insumo</v>
      </c>
      <c r="B1461" s="557" t="str">
        <f>B1460</f>
        <v>Insumo</v>
      </c>
      <c r="C1461" s="571"/>
      <c r="D1461" s="571"/>
      <c r="E1461" s="571"/>
      <c r="F1461" s="571"/>
      <c r="G1461" s="571"/>
      <c r="H1461" s="571"/>
      <c r="I1461" s="571"/>
      <c r="J1461" s="571"/>
      <c r="K1461" s="571"/>
      <c r="L1461" s="571"/>
      <c r="M1461" s="571"/>
      <c r="N1461" s="573">
        <v>180.12</v>
      </c>
      <c r="O1461" s="556" t="str">
        <f>IF(N1461=M1461,"OK","DIF")</f>
        <v>DIF</v>
      </c>
      <c r="P1461" s="573"/>
      <c r="Q1461" s="556"/>
      <c r="R1461" s="582"/>
    </row>
    <row r="1462" ht="15" customHeight="1" spans="1:18">
      <c r="A1462" s="556"/>
      <c r="B1462" s="557"/>
      <c r="C1462" s="76" t="s">
        <v>542</v>
      </c>
      <c r="D1462" s="75" t="s">
        <v>63</v>
      </c>
      <c r="E1462" s="76" t="s">
        <v>64</v>
      </c>
      <c r="F1462" s="76" t="s">
        <v>65</v>
      </c>
      <c r="G1462" s="76" t="s">
        <v>2889</v>
      </c>
      <c r="H1462" s="76"/>
      <c r="I1462" s="77" t="s">
        <v>66</v>
      </c>
      <c r="J1462" s="75" t="s">
        <v>67</v>
      </c>
      <c r="K1462" s="75" t="s">
        <v>2890</v>
      </c>
      <c r="L1462" s="75" t="s">
        <v>68</v>
      </c>
      <c r="M1462" s="75" t="s">
        <v>70</v>
      </c>
      <c r="N1462" s="573"/>
      <c r="O1462" s="556"/>
      <c r="P1462" s="573"/>
      <c r="Q1462" s="556"/>
      <c r="R1462" s="582"/>
    </row>
    <row r="1463" ht="35.05" customHeight="1" spans="1:18">
      <c r="A1463" s="556"/>
      <c r="B1463" s="557"/>
      <c r="C1463" s="569" t="s">
        <v>2891</v>
      </c>
      <c r="D1463" s="570" t="s">
        <v>492</v>
      </c>
      <c r="E1463" s="569" t="s">
        <v>139</v>
      </c>
      <c r="F1463" s="569" t="s">
        <v>493</v>
      </c>
      <c r="G1463" s="569" t="s">
        <v>3317</v>
      </c>
      <c r="H1463" s="569"/>
      <c r="I1463" s="577" t="s">
        <v>393</v>
      </c>
      <c r="J1463" s="578">
        <v>1</v>
      </c>
      <c r="K1463" s="579"/>
      <c r="L1463" s="579">
        <v>16.13</v>
      </c>
      <c r="M1463" s="579">
        <v>16.13</v>
      </c>
      <c r="N1463" s="573"/>
      <c r="O1463" s="556"/>
      <c r="P1463" s="573"/>
      <c r="Q1463" s="556"/>
      <c r="R1463" s="582"/>
    </row>
    <row r="1464" ht="23.85" customHeight="1" spans="1:18">
      <c r="A1464" s="556"/>
      <c r="B1464" s="557" t="str">
        <f>C1463</f>
        <v>Composição</v>
      </c>
      <c r="C1464" s="79" t="s">
        <v>2921</v>
      </c>
      <c r="D1464" s="78" t="s">
        <v>3311</v>
      </c>
      <c r="E1464" s="79" t="s">
        <v>139</v>
      </c>
      <c r="F1464" s="79" t="s">
        <v>3312</v>
      </c>
      <c r="G1464" s="79" t="s">
        <v>2928</v>
      </c>
      <c r="H1464" s="79"/>
      <c r="I1464" s="80" t="s">
        <v>2897</v>
      </c>
      <c r="J1464" s="583">
        <v>0.0175</v>
      </c>
      <c r="K1464" s="583">
        <v>0</v>
      </c>
      <c r="L1464" s="92">
        <v>30.06</v>
      </c>
      <c r="M1464" s="92">
        <v>0.52</v>
      </c>
      <c r="N1464" s="573">
        <v>1640.62</v>
      </c>
      <c r="O1464" s="556" t="str">
        <f t="shared" ref="O1464:O1470" si="178">IF(N1464=M1464,"OK","DIF")</f>
        <v>DIF</v>
      </c>
      <c r="P1464" s="573"/>
      <c r="Q1464" s="556"/>
      <c r="R1464" s="582"/>
    </row>
    <row r="1465" ht="23.85" customHeight="1" spans="1:18">
      <c r="A1465" s="556" t="str">
        <f t="shared" ref="A1465:A1470" si="179">B1465</f>
        <v>Composição</v>
      </c>
      <c r="B1465" s="557" t="str">
        <f t="shared" ref="B1465:B1470" si="180">B1464</f>
        <v>Composição</v>
      </c>
      <c r="C1465" s="79" t="s">
        <v>2921</v>
      </c>
      <c r="D1465" s="78" t="s">
        <v>3313</v>
      </c>
      <c r="E1465" s="79" t="s">
        <v>139</v>
      </c>
      <c r="F1465" s="79" t="s">
        <v>3314</v>
      </c>
      <c r="G1465" s="79" t="s">
        <v>2928</v>
      </c>
      <c r="H1465" s="79"/>
      <c r="I1465" s="80" t="s">
        <v>2897</v>
      </c>
      <c r="J1465" s="583">
        <v>0.1069</v>
      </c>
      <c r="K1465" s="583">
        <v>0</v>
      </c>
      <c r="L1465" s="92">
        <v>35.95</v>
      </c>
      <c r="M1465" s="92">
        <v>3.84</v>
      </c>
      <c r="N1465" s="573">
        <v>52.59</v>
      </c>
      <c r="O1465" s="556" t="str">
        <f t="shared" si="178"/>
        <v>DIF</v>
      </c>
      <c r="P1465" s="573"/>
      <c r="Q1465" s="556"/>
      <c r="R1465" s="582"/>
    </row>
    <row r="1466" ht="23.85" customHeight="1" spans="1:18">
      <c r="A1466" s="556" t="str">
        <f t="shared" si="179"/>
        <v>Composição</v>
      </c>
      <c r="B1466" s="557" t="str">
        <f t="shared" si="180"/>
        <v>Composição</v>
      </c>
      <c r="C1466" s="79" t="s">
        <v>2921</v>
      </c>
      <c r="D1466" s="78" t="s">
        <v>3378</v>
      </c>
      <c r="E1466" s="79" t="s">
        <v>139</v>
      </c>
      <c r="F1466" s="79" t="s">
        <v>3379</v>
      </c>
      <c r="G1466" s="79" t="s">
        <v>3317</v>
      </c>
      <c r="H1466" s="79"/>
      <c r="I1466" s="80" t="s">
        <v>393</v>
      </c>
      <c r="J1466" s="583">
        <v>1</v>
      </c>
      <c r="K1466" s="583">
        <v>0</v>
      </c>
      <c r="L1466" s="92">
        <v>10.96</v>
      </c>
      <c r="M1466" s="92">
        <v>10.96</v>
      </c>
      <c r="N1466" s="573">
        <v>180.12</v>
      </c>
      <c r="O1466" s="556" t="str">
        <f t="shared" si="178"/>
        <v>DIF</v>
      </c>
      <c r="P1466" s="573"/>
      <c r="Q1466" s="556"/>
      <c r="R1466" s="582"/>
    </row>
    <row r="1467" ht="23.85" customHeight="1" spans="1:18">
      <c r="A1467" s="556" t="str">
        <f t="shared" si="179"/>
        <v>Composição</v>
      </c>
      <c r="B1467" s="557" t="str">
        <f t="shared" si="180"/>
        <v>Composição</v>
      </c>
      <c r="C1467" s="100" t="s">
        <v>2893</v>
      </c>
      <c r="D1467" s="99" t="s">
        <v>3318</v>
      </c>
      <c r="E1467" s="100" t="s">
        <v>139</v>
      </c>
      <c r="F1467" s="100" t="s">
        <v>3319</v>
      </c>
      <c r="G1467" s="100" t="s">
        <v>2961</v>
      </c>
      <c r="H1467" s="100"/>
      <c r="I1467" s="101" t="s">
        <v>393</v>
      </c>
      <c r="J1467" s="580">
        <v>0.025</v>
      </c>
      <c r="K1467" s="580">
        <v>0</v>
      </c>
      <c r="L1467" s="102">
        <v>22</v>
      </c>
      <c r="M1467" s="102">
        <v>0.55</v>
      </c>
      <c r="N1467" s="573">
        <v>49.14</v>
      </c>
      <c r="O1467" s="556" t="str">
        <f t="shared" si="178"/>
        <v>DIF</v>
      </c>
      <c r="P1467" s="573"/>
      <c r="Q1467" s="556"/>
      <c r="R1467" s="582"/>
    </row>
    <row r="1468" ht="23.85" customHeight="1" spans="1:18">
      <c r="A1468" s="556" t="str">
        <f t="shared" si="179"/>
        <v>Composição</v>
      </c>
      <c r="B1468" s="557" t="str">
        <f t="shared" si="180"/>
        <v>Composição</v>
      </c>
      <c r="C1468" s="100" t="s">
        <v>2893</v>
      </c>
      <c r="D1468" s="99" t="s">
        <v>3320</v>
      </c>
      <c r="E1468" s="100" t="s">
        <v>139</v>
      </c>
      <c r="F1468" s="100" t="s">
        <v>3321</v>
      </c>
      <c r="G1468" s="100" t="s">
        <v>2961</v>
      </c>
      <c r="H1468" s="100"/>
      <c r="I1468" s="101" t="s">
        <v>134</v>
      </c>
      <c r="J1468" s="580">
        <v>1.19</v>
      </c>
      <c r="K1468" s="580">
        <v>0</v>
      </c>
      <c r="L1468" s="102">
        <v>0.22</v>
      </c>
      <c r="M1468" s="102">
        <v>0.26</v>
      </c>
      <c r="N1468" s="573">
        <v>975.08</v>
      </c>
      <c r="O1468" s="556" t="str">
        <f t="shared" si="178"/>
        <v>DIF</v>
      </c>
      <c r="P1468" s="573"/>
      <c r="Q1468" s="556"/>
      <c r="R1468" s="582"/>
    </row>
    <row r="1469" ht="25.5" spans="1:18">
      <c r="A1469" s="556" t="str">
        <f t="shared" si="179"/>
        <v>Composição</v>
      </c>
      <c r="B1469" s="557" t="str">
        <f t="shared" si="180"/>
        <v>Composição</v>
      </c>
      <c r="C1469" s="108"/>
      <c r="D1469" s="108"/>
      <c r="E1469" s="108"/>
      <c r="F1469" s="108"/>
      <c r="G1469" s="108"/>
      <c r="H1469" s="108" t="s">
        <v>2898</v>
      </c>
      <c r="I1469" s="581">
        <v>4.81</v>
      </c>
      <c r="J1469" s="108" t="s">
        <v>2899</v>
      </c>
      <c r="K1469" s="581">
        <v>0</v>
      </c>
      <c r="L1469" s="108" t="s">
        <v>2900</v>
      </c>
      <c r="M1469" s="581">
        <v>4.81</v>
      </c>
      <c r="N1469" s="573">
        <v>110.29</v>
      </c>
      <c r="O1469" s="556" t="str">
        <f t="shared" si="178"/>
        <v>DIF</v>
      </c>
      <c r="P1469" s="573"/>
      <c r="Q1469" s="556"/>
      <c r="R1469" s="582"/>
    </row>
    <row r="1470" ht="26.25" spans="1:18">
      <c r="A1470" s="556" t="str">
        <f t="shared" si="179"/>
        <v>Composição</v>
      </c>
      <c r="B1470" s="557" t="str">
        <f t="shared" si="180"/>
        <v>Composição</v>
      </c>
      <c r="C1470" s="108"/>
      <c r="D1470" s="108"/>
      <c r="E1470" s="108"/>
      <c r="F1470" s="108"/>
      <c r="G1470" s="108"/>
      <c r="H1470" s="108" t="s">
        <v>2901</v>
      </c>
      <c r="I1470" s="581">
        <v>4.11</v>
      </c>
      <c r="J1470" s="114"/>
      <c r="K1470" s="114" t="s">
        <v>2902</v>
      </c>
      <c r="L1470" s="108"/>
      <c r="M1470" s="581">
        <v>20.24</v>
      </c>
      <c r="N1470" s="573">
        <v>273.4</v>
      </c>
      <c r="O1470" s="556" t="str">
        <f t="shared" si="178"/>
        <v>DIF</v>
      </c>
      <c r="P1470" s="573"/>
      <c r="Q1470" s="556"/>
      <c r="R1470" s="582"/>
    </row>
    <row r="1471" ht="15" spans="1:18">
      <c r="A1471" s="556"/>
      <c r="B1471" s="557"/>
      <c r="C1471" s="571"/>
      <c r="D1471" s="571"/>
      <c r="E1471" s="571"/>
      <c r="F1471" s="571"/>
      <c r="G1471" s="571"/>
      <c r="H1471" s="571"/>
      <c r="I1471" s="571"/>
      <c r="J1471" s="571"/>
      <c r="K1471" s="571"/>
      <c r="L1471" s="571"/>
      <c r="M1471" s="571"/>
      <c r="N1471" s="573"/>
      <c r="O1471" s="556"/>
      <c r="P1471" s="573"/>
      <c r="Q1471" s="556"/>
      <c r="R1471" s="582"/>
    </row>
    <row r="1472" ht="15" customHeight="1" spans="1:18">
      <c r="A1472" s="556"/>
      <c r="B1472" s="557"/>
      <c r="C1472" s="76" t="s">
        <v>543</v>
      </c>
      <c r="D1472" s="75" t="s">
        <v>63</v>
      </c>
      <c r="E1472" s="76" t="s">
        <v>64</v>
      </c>
      <c r="F1472" s="76" t="s">
        <v>65</v>
      </c>
      <c r="G1472" s="76" t="s">
        <v>2889</v>
      </c>
      <c r="H1472" s="76"/>
      <c r="I1472" s="77" t="s">
        <v>66</v>
      </c>
      <c r="J1472" s="75" t="s">
        <v>67</v>
      </c>
      <c r="K1472" s="75" t="s">
        <v>2890</v>
      </c>
      <c r="L1472" s="75" t="s">
        <v>68</v>
      </c>
      <c r="M1472" s="75" t="s">
        <v>70</v>
      </c>
      <c r="N1472" s="573"/>
      <c r="O1472" s="556"/>
      <c r="P1472" s="573"/>
      <c r="Q1472" s="556"/>
      <c r="R1472" s="582"/>
    </row>
    <row r="1473" ht="35.05" customHeight="1" spans="1:18">
      <c r="A1473" s="556"/>
      <c r="B1473" s="557" t="str">
        <f>C1472</f>
        <v> 6.2.4 </v>
      </c>
      <c r="C1473" s="569" t="s">
        <v>2891</v>
      </c>
      <c r="D1473" s="570" t="s">
        <v>544</v>
      </c>
      <c r="E1473" s="569" t="s">
        <v>139</v>
      </c>
      <c r="F1473" s="569" t="s">
        <v>545</v>
      </c>
      <c r="G1473" s="569" t="s">
        <v>3317</v>
      </c>
      <c r="H1473" s="569"/>
      <c r="I1473" s="577" t="s">
        <v>393</v>
      </c>
      <c r="J1473" s="578">
        <v>1</v>
      </c>
      <c r="K1473" s="579"/>
      <c r="L1473" s="579">
        <v>13.64</v>
      </c>
      <c r="M1473" s="579">
        <v>13.64</v>
      </c>
      <c r="N1473" s="573">
        <v>2982.14</v>
      </c>
      <c r="O1473" s="556" t="str">
        <f>IF(N1473=M1473,"OK","DIF")</f>
        <v>DIF</v>
      </c>
      <c r="P1473" s="573"/>
      <c r="Q1473" s="556"/>
      <c r="R1473" s="582"/>
    </row>
    <row r="1474" ht="23.85" customHeight="1" spans="1:18">
      <c r="A1474" s="556" t="str">
        <f>B1474</f>
        <v> 6.2.4 </v>
      </c>
      <c r="B1474" s="557" t="str">
        <f>B1473</f>
        <v> 6.2.4 </v>
      </c>
      <c r="C1474" s="79" t="s">
        <v>2921</v>
      </c>
      <c r="D1474" s="78" t="s">
        <v>3313</v>
      </c>
      <c r="E1474" s="79" t="s">
        <v>139</v>
      </c>
      <c r="F1474" s="79" t="s">
        <v>3314</v>
      </c>
      <c r="G1474" s="79" t="s">
        <v>2928</v>
      </c>
      <c r="H1474" s="79"/>
      <c r="I1474" s="80" t="s">
        <v>2897</v>
      </c>
      <c r="J1474" s="583">
        <v>0.0561</v>
      </c>
      <c r="K1474" s="583">
        <v>0</v>
      </c>
      <c r="L1474" s="92">
        <v>35.95</v>
      </c>
      <c r="M1474" s="92">
        <v>2.01</v>
      </c>
      <c r="N1474" s="573">
        <v>46.34</v>
      </c>
      <c r="O1474" s="556" t="str">
        <f>IF(N1474=M1474,"OK","DIF")</f>
        <v>DIF</v>
      </c>
      <c r="P1474" s="573"/>
      <c r="Q1474" s="556"/>
      <c r="R1474" s="582"/>
    </row>
    <row r="1475" ht="23.85" customHeight="1" spans="1:18">
      <c r="A1475" s="556" t="str">
        <f>B1475</f>
        <v> 6.2.4 </v>
      </c>
      <c r="B1475" s="557" t="str">
        <f>B1474</f>
        <v> 6.2.4 </v>
      </c>
      <c r="C1475" s="79" t="s">
        <v>2921</v>
      </c>
      <c r="D1475" s="78" t="s">
        <v>3322</v>
      </c>
      <c r="E1475" s="79" t="s">
        <v>139</v>
      </c>
      <c r="F1475" s="79" t="s">
        <v>3323</v>
      </c>
      <c r="G1475" s="79" t="s">
        <v>3317</v>
      </c>
      <c r="H1475" s="79"/>
      <c r="I1475" s="80" t="s">
        <v>393</v>
      </c>
      <c r="J1475" s="583">
        <v>1</v>
      </c>
      <c r="K1475" s="583">
        <v>0</v>
      </c>
      <c r="L1475" s="92">
        <v>10.65</v>
      </c>
      <c r="M1475" s="92">
        <v>10.65</v>
      </c>
      <c r="N1475" s="573">
        <v>2935.8</v>
      </c>
      <c r="O1475" s="556" t="str">
        <f>IF(N1475=M1475,"OK","DIF")</f>
        <v>DIF</v>
      </c>
      <c r="P1475" s="573"/>
      <c r="Q1475" s="556"/>
      <c r="R1475" s="582"/>
    </row>
    <row r="1476" ht="23.85" customHeight="1" spans="1:18">
      <c r="A1476" s="556"/>
      <c r="B1476" s="557"/>
      <c r="C1476" s="79" t="s">
        <v>2921</v>
      </c>
      <c r="D1476" s="78" t="s">
        <v>3311</v>
      </c>
      <c r="E1476" s="79" t="s">
        <v>139</v>
      </c>
      <c r="F1476" s="79" t="s">
        <v>3312</v>
      </c>
      <c r="G1476" s="79" t="s">
        <v>2928</v>
      </c>
      <c r="H1476" s="79"/>
      <c r="I1476" s="80" t="s">
        <v>2897</v>
      </c>
      <c r="J1476" s="583">
        <v>0.0092</v>
      </c>
      <c r="K1476" s="583">
        <v>0</v>
      </c>
      <c r="L1476" s="92">
        <v>30.06</v>
      </c>
      <c r="M1476" s="92">
        <v>0.27</v>
      </c>
      <c r="N1476" s="573"/>
      <c r="O1476" s="556"/>
      <c r="P1476" s="573"/>
      <c r="Q1476" s="556"/>
      <c r="R1476" s="582"/>
    </row>
    <row r="1477" ht="23.85" customHeight="1" spans="1:18">
      <c r="A1477" s="556"/>
      <c r="B1477" s="557"/>
      <c r="C1477" s="100" t="s">
        <v>2893</v>
      </c>
      <c r="D1477" s="99" t="s">
        <v>3318</v>
      </c>
      <c r="E1477" s="100" t="s">
        <v>139</v>
      </c>
      <c r="F1477" s="100" t="s">
        <v>3319</v>
      </c>
      <c r="G1477" s="100" t="s">
        <v>2961</v>
      </c>
      <c r="H1477" s="100"/>
      <c r="I1477" s="101" t="s">
        <v>393</v>
      </c>
      <c r="J1477" s="580">
        <v>0.025</v>
      </c>
      <c r="K1477" s="580">
        <v>0</v>
      </c>
      <c r="L1477" s="102">
        <v>22</v>
      </c>
      <c r="M1477" s="102">
        <v>0.55</v>
      </c>
      <c r="N1477" s="573"/>
      <c r="O1477" s="556"/>
      <c r="P1477" s="573"/>
      <c r="Q1477" s="556"/>
      <c r="R1477" s="582"/>
    </row>
    <row r="1478" ht="23.85" customHeight="1" spans="1:18">
      <c r="A1478" s="556"/>
      <c r="B1478" s="557" t="str">
        <f>C1477</f>
        <v>Insumo</v>
      </c>
      <c r="C1478" s="100" t="s">
        <v>2893</v>
      </c>
      <c r="D1478" s="99" t="s">
        <v>3320</v>
      </c>
      <c r="E1478" s="100" t="s">
        <v>139</v>
      </c>
      <c r="F1478" s="100" t="s">
        <v>3321</v>
      </c>
      <c r="G1478" s="100" t="s">
        <v>2961</v>
      </c>
      <c r="H1478" s="100"/>
      <c r="I1478" s="101" t="s">
        <v>134</v>
      </c>
      <c r="J1478" s="580">
        <v>0.743</v>
      </c>
      <c r="K1478" s="580">
        <v>0</v>
      </c>
      <c r="L1478" s="102">
        <v>0.22</v>
      </c>
      <c r="M1478" s="102">
        <v>0.16</v>
      </c>
      <c r="N1478" s="573">
        <v>2512.41</v>
      </c>
      <c r="O1478" s="556" t="str">
        <f>IF(N1478=M1478,"OK","DIF")</f>
        <v>DIF</v>
      </c>
      <c r="P1478" s="573"/>
      <c r="Q1478" s="556"/>
      <c r="R1478" s="582"/>
    </row>
    <row r="1479" ht="25.5" spans="1:18">
      <c r="A1479" s="556" t="str">
        <f>B1479</f>
        <v>Insumo</v>
      </c>
      <c r="B1479" s="557" t="str">
        <f>B1478</f>
        <v>Insumo</v>
      </c>
      <c r="C1479" s="108"/>
      <c r="D1479" s="108"/>
      <c r="E1479" s="108"/>
      <c r="F1479" s="108"/>
      <c r="G1479" s="108"/>
      <c r="H1479" s="108" t="s">
        <v>2898</v>
      </c>
      <c r="I1479" s="581">
        <v>2.1</v>
      </c>
      <c r="J1479" s="108" t="s">
        <v>2899</v>
      </c>
      <c r="K1479" s="581">
        <v>0</v>
      </c>
      <c r="L1479" s="108" t="s">
        <v>2900</v>
      </c>
      <c r="M1479" s="581">
        <v>2.1</v>
      </c>
      <c r="N1479" s="573">
        <v>2466.07</v>
      </c>
      <c r="O1479" s="556" t="str">
        <f>IF(N1479=M1479,"OK","DIF")</f>
        <v>DIF</v>
      </c>
      <c r="P1479" s="573"/>
      <c r="Q1479" s="556"/>
      <c r="R1479" s="582"/>
    </row>
    <row r="1480" ht="26.25" spans="1:18">
      <c r="A1480" s="556" t="str">
        <f>B1480</f>
        <v>Insumo</v>
      </c>
      <c r="B1480" s="557" t="str">
        <f>B1479</f>
        <v>Insumo</v>
      </c>
      <c r="C1480" s="108"/>
      <c r="D1480" s="108"/>
      <c r="E1480" s="108"/>
      <c r="F1480" s="108"/>
      <c r="G1480" s="108"/>
      <c r="H1480" s="108" t="s">
        <v>2901</v>
      </c>
      <c r="I1480" s="581">
        <v>3.47</v>
      </c>
      <c r="J1480" s="114"/>
      <c r="K1480" s="114" t="s">
        <v>2902</v>
      </c>
      <c r="L1480" s="108"/>
      <c r="M1480" s="581">
        <v>17.11</v>
      </c>
      <c r="N1480" s="573">
        <v>46.34</v>
      </c>
      <c r="O1480" s="556" t="str">
        <f>IF(N1480=M1480,"OK","DIF")</f>
        <v>DIF</v>
      </c>
      <c r="P1480" s="573"/>
      <c r="Q1480" s="556"/>
      <c r="R1480" s="582"/>
    </row>
    <row r="1481" ht="15" spans="1:18">
      <c r="A1481" s="556"/>
      <c r="B1481" s="557"/>
      <c r="C1481" s="571"/>
      <c r="D1481" s="571"/>
      <c r="E1481" s="571"/>
      <c r="F1481" s="571"/>
      <c r="G1481" s="571"/>
      <c r="H1481" s="571"/>
      <c r="I1481" s="571"/>
      <c r="J1481" s="571"/>
      <c r="K1481" s="571"/>
      <c r="L1481" s="571"/>
      <c r="M1481" s="571"/>
      <c r="N1481" s="573"/>
      <c r="O1481" s="556"/>
      <c r="P1481" s="573"/>
      <c r="Q1481" s="556"/>
      <c r="R1481" s="582"/>
    </row>
    <row r="1482" ht="15" customHeight="1" spans="1:18">
      <c r="A1482" s="556"/>
      <c r="B1482" s="557"/>
      <c r="C1482" s="76" t="s">
        <v>546</v>
      </c>
      <c r="D1482" s="75" t="s">
        <v>63</v>
      </c>
      <c r="E1482" s="76" t="s">
        <v>64</v>
      </c>
      <c r="F1482" s="76" t="s">
        <v>65</v>
      </c>
      <c r="G1482" s="76" t="s">
        <v>2889</v>
      </c>
      <c r="H1482" s="76"/>
      <c r="I1482" s="77" t="s">
        <v>66</v>
      </c>
      <c r="J1482" s="75" t="s">
        <v>67</v>
      </c>
      <c r="K1482" s="75" t="s">
        <v>2890</v>
      </c>
      <c r="L1482" s="75" t="s">
        <v>68</v>
      </c>
      <c r="M1482" s="75" t="s">
        <v>70</v>
      </c>
      <c r="N1482" s="573"/>
      <c r="O1482" s="556"/>
      <c r="P1482" s="573"/>
      <c r="Q1482" s="556"/>
      <c r="R1482" s="582"/>
    </row>
    <row r="1483" ht="35.05" customHeight="1" spans="1:18">
      <c r="A1483" s="556"/>
      <c r="B1483" s="557" t="str">
        <f>C1482</f>
        <v> 6.2.5 </v>
      </c>
      <c r="C1483" s="569" t="s">
        <v>2891</v>
      </c>
      <c r="D1483" s="570" t="s">
        <v>501</v>
      </c>
      <c r="E1483" s="569" t="s">
        <v>139</v>
      </c>
      <c r="F1483" s="569" t="s">
        <v>502</v>
      </c>
      <c r="G1483" s="569" t="s">
        <v>3317</v>
      </c>
      <c r="H1483" s="569"/>
      <c r="I1483" s="577" t="s">
        <v>393</v>
      </c>
      <c r="J1483" s="578">
        <v>1</v>
      </c>
      <c r="K1483" s="579"/>
      <c r="L1483" s="579">
        <v>10.02</v>
      </c>
      <c r="M1483" s="579">
        <v>10.02</v>
      </c>
      <c r="N1483" s="573">
        <v>1155.2</v>
      </c>
      <c r="O1483" s="556" t="str">
        <f>IF(N1483=M1483,"OK","DIF")</f>
        <v>DIF</v>
      </c>
      <c r="P1483" s="573"/>
      <c r="Q1483" s="556"/>
      <c r="R1483" s="582"/>
    </row>
    <row r="1484" ht="23.85" customHeight="1" spans="1:18">
      <c r="A1484" s="556" t="str">
        <f>B1484</f>
        <v> 6.2.5 </v>
      </c>
      <c r="B1484" s="557" t="str">
        <f>B1483</f>
        <v> 6.2.5 </v>
      </c>
      <c r="C1484" s="79" t="s">
        <v>2921</v>
      </c>
      <c r="D1484" s="78" t="s">
        <v>3311</v>
      </c>
      <c r="E1484" s="79" t="s">
        <v>139</v>
      </c>
      <c r="F1484" s="79" t="s">
        <v>3312</v>
      </c>
      <c r="G1484" s="79" t="s">
        <v>2928</v>
      </c>
      <c r="H1484" s="79"/>
      <c r="I1484" s="80" t="s">
        <v>2897</v>
      </c>
      <c r="J1484" s="583">
        <v>0.0042</v>
      </c>
      <c r="K1484" s="583">
        <v>0</v>
      </c>
      <c r="L1484" s="92">
        <v>30.06</v>
      </c>
      <c r="M1484" s="92">
        <v>0.12</v>
      </c>
      <c r="N1484" s="573">
        <v>180.12</v>
      </c>
      <c r="O1484" s="556" t="str">
        <f>IF(N1484=M1484,"OK","DIF")</f>
        <v>DIF</v>
      </c>
      <c r="P1484" s="573"/>
      <c r="Q1484" s="556"/>
      <c r="R1484" s="582"/>
    </row>
    <row r="1485" ht="23.85" customHeight="1" spans="1:18">
      <c r="A1485" s="556" t="str">
        <f>B1485</f>
        <v> 6.2.5 </v>
      </c>
      <c r="B1485" s="557" t="str">
        <f>B1484</f>
        <v> 6.2.5 </v>
      </c>
      <c r="C1485" s="79" t="s">
        <v>2921</v>
      </c>
      <c r="D1485" s="78" t="s">
        <v>3313</v>
      </c>
      <c r="E1485" s="79" t="s">
        <v>139</v>
      </c>
      <c r="F1485" s="79" t="s">
        <v>3314</v>
      </c>
      <c r="G1485" s="79" t="s">
        <v>2928</v>
      </c>
      <c r="H1485" s="79"/>
      <c r="I1485" s="80" t="s">
        <v>2897</v>
      </c>
      <c r="J1485" s="583">
        <v>0.0257</v>
      </c>
      <c r="K1485" s="583">
        <v>0</v>
      </c>
      <c r="L1485" s="92">
        <v>35.95</v>
      </c>
      <c r="M1485" s="92">
        <v>0.92</v>
      </c>
      <c r="N1485" s="573">
        <v>975.08</v>
      </c>
      <c r="O1485" s="556" t="str">
        <f>IF(N1485=M1485,"OK","DIF")</f>
        <v>DIF</v>
      </c>
      <c r="P1485" s="573"/>
      <c r="Q1485" s="556"/>
      <c r="R1485" s="582"/>
    </row>
    <row r="1486" ht="23.85" customHeight="1" spans="1:18">
      <c r="A1486" s="556"/>
      <c r="B1486" s="557"/>
      <c r="C1486" s="79" t="s">
        <v>2921</v>
      </c>
      <c r="D1486" s="78" t="s">
        <v>3326</v>
      </c>
      <c r="E1486" s="79" t="s">
        <v>139</v>
      </c>
      <c r="F1486" s="79" t="s">
        <v>3327</v>
      </c>
      <c r="G1486" s="79" t="s">
        <v>3317</v>
      </c>
      <c r="H1486" s="79"/>
      <c r="I1486" s="80" t="s">
        <v>393</v>
      </c>
      <c r="J1486" s="583">
        <v>1</v>
      </c>
      <c r="K1486" s="583">
        <v>0</v>
      </c>
      <c r="L1486" s="92">
        <v>8.35</v>
      </c>
      <c r="M1486" s="92">
        <v>8.35</v>
      </c>
      <c r="N1486" s="573"/>
      <c r="O1486" s="556"/>
      <c r="P1486" s="573"/>
      <c r="Q1486" s="556"/>
      <c r="R1486" s="582"/>
    </row>
    <row r="1487" ht="23.85" customHeight="1" spans="1:18">
      <c r="A1487" s="556"/>
      <c r="B1487" s="557"/>
      <c r="C1487" s="100" t="s">
        <v>2893</v>
      </c>
      <c r="D1487" s="99" t="s">
        <v>3320</v>
      </c>
      <c r="E1487" s="100" t="s">
        <v>139</v>
      </c>
      <c r="F1487" s="100" t="s">
        <v>3321</v>
      </c>
      <c r="G1487" s="100" t="s">
        <v>2961</v>
      </c>
      <c r="H1487" s="100"/>
      <c r="I1487" s="101" t="s">
        <v>134</v>
      </c>
      <c r="J1487" s="580">
        <v>0.367</v>
      </c>
      <c r="K1487" s="580">
        <v>0</v>
      </c>
      <c r="L1487" s="102">
        <v>0.22</v>
      </c>
      <c r="M1487" s="102">
        <v>0.08</v>
      </c>
      <c r="N1487" s="573"/>
      <c r="O1487" s="556"/>
      <c r="P1487" s="573"/>
      <c r="Q1487" s="556"/>
      <c r="R1487" s="582"/>
    </row>
    <row r="1488" ht="23.85" customHeight="1" spans="1:18">
      <c r="A1488" s="556"/>
      <c r="B1488" s="557" t="str">
        <f>C1487</f>
        <v>Insumo</v>
      </c>
      <c r="C1488" s="100" t="s">
        <v>2893</v>
      </c>
      <c r="D1488" s="99" t="s">
        <v>3318</v>
      </c>
      <c r="E1488" s="100" t="s">
        <v>139</v>
      </c>
      <c r="F1488" s="100" t="s">
        <v>3319</v>
      </c>
      <c r="G1488" s="100" t="s">
        <v>2961</v>
      </c>
      <c r="H1488" s="100"/>
      <c r="I1488" s="101" t="s">
        <v>393</v>
      </c>
      <c r="J1488" s="580">
        <v>0.025</v>
      </c>
      <c r="K1488" s="580">
        <v>0</v>
      </c>
      <c r="L1488" s="102">
        <v>22</v>
      </c>
      <c r="M1488" s="102">
        <v>0.55</v>
      </c>
      <c r="N1488" s="573">
        <v>1382.38</v>
      </c>
      <c r="O1488" s="556" t="str">
        <f>IF(N1488=M1488,"OK","DIF")</f>
        <v>DIF</v>
      </c>
      <c r="P1488" s="573"/>
      <c r="Q1488" s="556"/>
      <c r="R1488" s="582"/>
    </row>
    <row r="1489" ht="25.5" spans="1:18">
      <c r="A1489" s="556" t="str">
        <f>B1489</f>
        <v>Insumo</v>
      </c>
      <c r="B1489" s="557" t="str">
        <f>B1488</f>
        <v>Insumo</v>
      </c>
      <c r="C1489" s="108"/>
      <c r="D1489" s="108"/>
      <c r="E1489" s="108"/>
      <c r="F1489" s="108"/>
      <c r="G1489" s="108"/>
      <c r="H1489" s="108" t="s">
        <v>2898</v>
      </c>
      <c r="I1489" s="581">
        <v>0.87</v>
      </c>
      <c r="J1489" s="108" t="s">
        <v>2899</v>
      </c>
      <c r="K1489" s="581">
        <v>0</v>
      </c>
      <c r="L1489" s="108" t="s">
        <v>2900</v>
      </c>
      <c r="M1489" s="581">
        <v>0.87</v>
      </c>
      <c r="N1489" s="573">
        <v>180.12</v>
      </c>
      <c r="O1489" s="556" t="str">
        <f>IF(N1489=M1489,"OK","DIF")</f>
        <v>DIF</v>
      </c>
      <c r="P1489" s="573"/>
      <c r="Q1489" s="556"/>
      <c r="R1489" s="582"/>
    </row>
    <row r="1490" ht="26.25" spans="1:18">
      <c r="A1490" s="556" t="str">
        <f>B1490</f>
        <v>Insumo</v>
      </c>
      <c r="B1490" s="557" t="str">
        <f>B1489</f>
        <v>Insumo</v>
      </c>
      <c r="C1490" s="108"/>
      <c r="D1490" s="108"/>
      <c r="E1490" s="108"/>
      <c r="F1490" s="108"/>
      <c r="G1490" s="108"/>
      <c r="H1490" s="108" t="s">
        <v>2901</v>
      </c>
      <c r="I1490" s="581">
        <v>2.55</v>
      </c>
      <c r="J1490" s="114"/>
      <c r="K1490" s="114" t="s">
        <v>2902</v>
      </c>
      <c r="L1490" s="108"/>
      <c r="M1490" s="581">
        <v>12.57</v>
      </c>
      <c r="N1490" s="573">
        <v>975.08</v>
      </c>
      <c r="O1490" s="556" t="str">
        <f>IF(N1490=M1490,"OK","DIF")</f>
        <v>DIF</v>
      </c>
      <c r="P1490" s="573"/>
      <c r="Q1490" s="556"/>
      <c r="R1490" s="582"/>
    </row>
    <row r="1491" ht="15" spans="1:18">
      <c r="A1491" s="556" t="str">
        <f>B1491</f>
        <v>Insumo</v>
      </c>
      <c r="B1491" s="557" t="str">
        <f>B1490</f>
        <v>Insumo</v>
      </c>
      <c r="C1491" s="571"/>
      <c r="D1491" s="571"/>
      <c r="E1491" s="571"/>
      <c r="F1491" s="571"/>
      <c r="G1491" s="571"/>
      <c r="H1491" s="571"/>
      <c r="I1491" s="571"/>
      <c r="J1491" s="571"/>
      <c r="K1491" s="571"/>
      <c r="L1491" s="571"/>
      <c r="M1491" s="571"/>
      <c r="N1491" s="573">
        <v>116.89</v>
      </c>
      <c r="O1491" s="556" t="str">
        <f>IF(N1491=M1491,"OK","DIF")</f>
        <v>DIF</v>
      </c>
      <c r="P1491" s="573"/>
      <c r="Q1491" s="556"/>
      <c r="R1491" s="582"/>
    </row>
    <row r="1492" ht="15" customHeight="1" spans="1:18">
      <c r="A1492" s="556" t="str">
        <f>B1492</f>
        <v>Insumo</v>
      </c>
      <c r="B1492" s="557" t="str">
        <f>B1491</f>
        <v>Insumo</v>
      </c>
      <c r="C1492" s="76" t="s">
        <v>547</v>
      </c>
      <c r="D1492" s="75" t="s">
        <v>63</v>
      </c>
      <c r="E1492" s="76" t="s">
        <v>64</v>
      </c>
      <c r="F1492" s="76" t="s">
        <v>65</v>
      </c>
      <c r="G1492" s="76" t="s">
        <v>2889</v>
      </c>
      <c r="H1492" s="76"/>
      <c r="I1492" s="77" t="s">
        <v>66</v>
      </c>
      <c r="J1492" s="75" t="s">
        <v>67</v>
      </c>
      <c r="K1492" s="75" t="s">
        <v>2890</v>
      </c>
      <c r="L1492" s="75" t="s">
        <v>68</v>
      </c>
      <c r="M1492" s="75" t="s">
        <v>70</v>
      </c>
      <c r="N1492" s="573">
        <v>110.29</v>
      </c>
      <c r="O1492" s="556" t="str">
        <f>IF(N1492=M1492,"OK","DIF")</f>
        <v>DIF</v>
      </c>
      <c r="P1492" s="573"/>
      <c r="Q1492" s="556"/>
      <c r="R1492" s="582"/>
    </row>
    <row r="1493" ht="23.85" customHeight="1" spans="1:18">
      <c r="A1493" s="556"/>
      <c r="B1493" s="557"/>
      <c r="C1493" s="569" t="s">
        <v>2891</v>
      </c>
      <c r="D1493" s="570" t="s">
        <v>548</v>
      </c>
      <c r="E1493" s="569" t="s">
        <v>139</v>
      </c>
      <c r="F1493" s="569" t="s">
        <v>549</v>
      </c>
      <c r="G1493" s="569" t="s">
        <v>3317</v>
      </c>
      <c r="H1493" s="569"/>
      <c r="I1493" s="577" t="s">
        <v>393</v>
      </c>
      <c r="J1493" s="578">
        <v>1</v>
      </c>
      <c r="K1493" s="579"/>
      <c r="L1493" s="579">
        <v>15.37</v>
      </c>
      <c r="M1493" s="579">
        <v>15.37</v>
      </c>
      <c r="N1493" s="573"/>
      <c r="O1493" s="556"/>
      <c r="P1493" s="573"/>
      <c r="Q1493" s="556"/>
      <c r="R1493" s="582"/>
    </row>
    <row r="1494" ht="23.85" customHeight="1" spans="1:18">
      <c r="A1494" s="556"/>
      <c r="B1494" s="557"/>
      <c r="C1494" s="79" t="s">
        <v>2921</v>
      </c>
      <c r="D1494" s="78" t="s">
        <v>3311</v>
      </c>
      <c r="E1494" s="79" t="s">
        <v>139</v>
      </c>
      <c r="F1494" s="79" t="s">
        <v>3312</v>
      </c>
      <c r="G1494" s="79" t="s">
        <v>2928</v>
      </c>
      <c r="H1494" s="79"/>
      <c r="I1494" s="80" t="s">
        <v>2897</v>
      </c>
      <c r="J1494" s="583">
        <v>0.0136</v>
      </c>
      <c r="K1494" s="583">
        <v>0</v>
      </c>
      <c r="L1494" s="92">
        <v>30.06</v>
      </c>
      <c r="M1494" s="92">
        <v>0.4</v>
      </c>
      <c r="N1494" s="573"/>
      <c r="O1494" s="556"/>
      <c r="P1494" s="573"/>
      <c r="Q1494" s="556"/>
      <c r="R1494" s="582"/>
    </row>
    <row r="1495" ht="23.85" customHeight="1" spans="1:18">
      <c r="A1495" s="556"/>
      <c r="B1495" s="557" t="str">
        <f>C1494</f>
        <v>Composição Auxiliar</v>
      </c>
      <c r="C1495" s="79" t="s">
        <v>2921</v>
      </c>
      <c r="D1495" s="78" t="s">
        <v>3313</v>
      </c>
      <c r="E1495" s="79" t="s">
        <v>139</v>
      </c>
      <c r="F1495" s="79" t="s">
        <v>3314</v>
      </c>
      <c r="G1495" s="79" t="s">
        <v>2928</v>
      </c>
      <c r="H1495" s="79"/>
      <c r="I1495" s="80" t="s">
        <v>2897</v>
      </c>
      <c r="J1495" s="583">
        <v>0.0836</v>
      </c>
      <c r="K1495" s="583">
        <v>0</v>
      </c>
      <c r="L1495" s="92">
        <v>35.95</v>
      </c>
      <c r="M1495" s="92">
        <v>3</v>
      </c>
      <c r="N1495" s="573">
        <v>1972.13</v>
      </c>
      <c r="O1495" s="556" t="str">
        <f>IF(N1495=M1495,"OK","DIF")</f>
        <v>DIF</v>
      </c>
      <c r="P1495" s="573"/>
      <c r="Q1495" s="556"/>
      <c r="R1495" s="582"/>
    </row>
    <row r="1496" ht="23.85" customHeight="1" spans="1:18">
      <c r="A1496" s="556" t="str">
        <f>B1496</f>
        <v>Composição Auxiliar</v>
      </c>
      <c r="B1496" s="557" t="str">
        <f>B1495</f>
        <v>Composição Auxiliar</v>
      </c>
      <c r="C1496" s="79" t="s">
        <v>2921</v>
      </c>
      <c r="D1496" s="78" t="s">
        <v>3378</v>
      </c>
      <c r="E1496" s="79" t="s">
        <v>139</v>
      </c>
      <c r="F1496" s="79" t="s">
        <v>3379</v>
      </c>
      <c r="G1496" s="79" t="s">
        <v>3317</v>
      </c>
      <c r="H1496" s="79"/>
      <c r="I1496" s="80" t="s">
        <v>393</v>
      </c>
      <c r="J1496" s="583">
        <v>1</v>
      </c>
      <c r="K1496" s="583">
        <v>0</v>
      </c>
      <c r="L1496" s="92">
        <v>10.96</v>
      </c>
      <c r="M1496" s="92">
        <v>10.96</v>
      </c>
      <c r="N1496" s="573">
        <v>353.72</v>
      </c>
      <c r="O1496" s="556" t="str">
        <f>IF(N1496=M1496,"OK","DIF")</f>
        <v>DIF</v>
      </c>
      <c r="P1496" s="573"/>
      <c r="Q1496" s="556"/>
      <c r="R1496" s="582"/>
    </row>
    <row r="1497" ht="23.85" customHeight="1" spans="1:18">
      <c r="A1497" s="556" t="str">
        <f>B1497</f>
        <v>Composição Auxiliar</v>
      </c>
      <c r="B1497" s="557" t="str">
        <f>B1496</f>
        <v>Composição Auxiliar</v>
      </c>
      <c r="C1497" s="100" t="s">
        <v>2893</v>
      </c>
      <c r="D1497" s="99" t="s">
        <v>3318</v>
      </c>
      <c r="E1497" s="100" t="s">
        <v>139</v>
      </c>
      <c r="F1497" s="100" t="s">
        <v>3319</v>
      </c>
      <c r="G1497" s="100" t="s">
        <v>2961</v>
      </c>
      <c r="H1497" s="100"/>
      <c r="I1497" s="101" t="s">
        <v>393</v>
      </c>
      <c r="J1497" s="580">
        <v>0.025</v>
      </c>
      <c r="K1497" s="580">
        <v>0</v>
      </c>
      <c r="L1497" s="102">
        <v>22</v>
      </c>
      <c r="M1497" s="102">
        <v>0.55</v>
      </c>
      <c r="N1497" s="573">
        <v>1340.73</v>
      </c>
      <c r="O1497" s="556" t="str">
        <f>IF(N1497=M1497,"OK","DIF")</f>
        <v>DIF</v>
      </c>
      <c r="P1497" s="573"/>
      <c r="Q1497" s="556"/>
      <c r="R1497" s="582"/>
    </row>
    <row r="1498" ht="23.85" customHeight="1" spans="1:18">
      <c r="A1498" s="556" t="str">
        <f>B1498</f>
        <v>Composição Auxiliar</v>
      </c>
      <c r="B1498" s="557" t="str">
        <f>B1497</f>
        <v>Composição Auxiliar</v>
      </c>
      <c r="C1498" s="100" t="s">
        <v>2893</v>
      </c>
      <c r="D1498" s="99" t="s">
        <v>3320</v>
      </c>
      <c r="E1498" s="100" t="s">
        <v>139</v>
      </c>
      <c r="F1498" s="100" t="s">
        <v>3321</v>
      </c>
      <c r="G1498" s="100" t="s">
        <v>2961</v>
      </c>
      <c r="H1498" s="100"/>
      <c r="I1498" s="101" t="s">
        <v>134</v>
      </c>
      <c r="J1498" s="580">
        <v>2.118</v>
      </c>
      <c r="K1498" s="580">
        <v>0</v>
      </c>
      <c r="L1498" s="102">
        <v>0.22</v>
      </c>
      <c r="M1498" s="102">
        <v>0.46</v>
      </c>
      <c r="N1498" s="573">
        <v>137.89</v>
      </c>
      <c r="O1498" s="556" t="str">
        <f>IF(N1498=M1498,"OK","DIF")</f>
        <v>DIF</v>
      </c>
      <c r="P1498" s="573"/>
      <c r="Q1498" s="556"/>
      <c r="R1498" s="582"/>
    </row>
    <row r="1499" ht="25.5" spans="1:18">
      <c r="A1499" s="556" t="str">
        <f>B1499</f>
        <v>Composição Auxiliar</v>
      </c>
      <c r="B1499" s="557" t="str">
        <f>B1498</f>
        <v>Composição Auxiliar</v>
      </c>
      <c r="C1499" s="108"/>
      <c r="D1499" s="108"/>
      <c r="E1499" s="108"/>
      <c r="F1499" s="108"/>
      <c r="G1499" s="108"/>
      <c r="H1499" s="108" t="s">
        <v>2898</v>
      </c>
      <c r="I1499" s="581">
        <v>4.12</v>
      </c>
      <c r="J1499" s="108" t="s">
        <v>2899</v>
      </c>
      <c r="K1499" s="581">
        <v>0</v>
      </c>
      <c r="L1499" s="108" t="s">
        <v>2900</v>
      </c>
      <c r="M1499" s="581">
        <v>4.12</v>
      </c>
      <c r="N1499" s="573">
        <v>139.79</v>
      </c>
      <c r="O1499" s="556" t="str">
        <f>IF(N1499=M1499,"OK","DIF")</f>
        <v>DIF</v>
      </c>
      <c r="P1499" s="573"/>
      <c r="Q1499" s="556"/>
      <c r="R1499" s="582"/>
    </row>
    <row r="1500" ht="26.25" spans="1:18">
      <c r="A1500" s="556"/>
      <c r="B1500" s="557"/>
      <c r="C1500" s="108"/>
      <c r="D1500" s="108"/>
      <c r="E1500" s="108"/>
      <c r="F1500" s="108"/>
      <c r="G1500" s="108"/>
      <c r="H1500" s="108" t="s">
        <v>2901</v>
      </c>
      <c r="I1500" s="581">
        <v>3.91</v>
      </c>
      <c r="J1500" s="114"/>
      <c r="K1500" s="114" t="s">
        <v>2902</v>
      </c>
      <c r="L1500" s="108"/>
      <c r="M1500" s="581">
        <v>19.28</v>
      </c>
      <c r="N1500" s="573"/>
      <c r="O1500" s="556"/>
      <c r="P1500" s="573"/>
      <c r="Q1500" s="556"/>
      <c r="R1500" s="582"/>
    </row>
    <row r="1501" ht="15" spans="1:18">
      <c r="A1501" s="556"/>
      <c r="B1501" s="557"/>
      <c r="C1501" s="571"/>
      <c r="D1501" s="571"/>
      <c r="E1501" s="571"/>
      <c r="F1501" s="571"/>
      <c r="G1501" s="571"/>
      <c r="H1501" s="571"/>
      <c r="I1501" s="571"/>
      <c r="J1501" s="571"/>
      <c r="K1501" s="571"/>
      <c r="L1501" s="571"/>
      <c r="M1501" s="571"/>
      <c r="N1501" s="573"/>
      <c r="O1501" s="556"/>
      <c r="P1501" s="573"/>
      <c r="Q1501" s="556"/>
      <c r="R1501" s="582"/>
    </row>
    <row r="1502" ht="15" customHeight="1" spans="1:18">
      <c r="A1502" s="556"/>
      <c r="B1502" s="557">
        <f>C1501</f>
        <v>0</v>
      </c>
      <c r="C1502" s="76" t="s">
        <v>550</v>
      </c>
      <c r="D1502" s="75" t="s">
        <v>63</v>
      </c>
      <c r="E1502" s="76" t="s">
        <v>64</v>
      </c>
      <c r="F1502" s="76" t="s">
        <v>65</v>
      </c>
      <c r="G1502" s="76" t="s">
        <v>2889</v>
      </c>
      <c r="H1502" s="76"/>
      <c r="I1502" s="77" t="s">
        <v>66</v>
      </c>
      <c r="J1502" s="75" t="s">
        <v>67</v>
      </c>
      <c r="K1502" s="75" t="s">
        <v>2890</v>
      </c>
      <c r="L1502" s="75" t="s">
        <v>68</v>
      </c>
      <c r="M1502" s="75" t="s">
        <v>70</v>
      </c>
      <c r="N1502" s="573">
        <v>2092.97</v>
      </c>
      <c r="O1502" s="556" t="str">
        <f>IF(N1502=M1502,"OK","DIF")</f>
        <v>DIF</v>
      </c>
      <c r="P1502" s="573"/>
      <c r="Q1502" s="556"/>
      <c r="R1502" s="582"/>
    </row>
    <row r="1503" ht="23.85" customHeight="1" spans="1:18">
      <c r="A1503" s="556">
        <f>B1503</f>
        <v>0</v>
      </c>
      <c r="B1503" s="557">
        <f>B1502</f>
        <v>0</v>
      </c>
      <c r="C1503" s="569" t="s">
        <v>2891</v>
      </c>
      <c r="D1503" s="570" t="s">
        <v>458</v>
      </c>
      <c r="E1503" s="569" t="s">
        <v>139</v>
      </c>
      <c r="F1503" s="569" t="s">
        <v>459</v>
      </c>
      <c r="G1503" s="569" t="s">
        <v>3317</v>
      </c>
      <c r="H1503" s="569"/>
      <c r="I1503" s="577" t="s">
        <v>393</v>
      </c>
      <c r="J1503" s="578">
        <v>1</v>
      </c>
      <c r="K1503" s="579"/>
      <c r="L1503" s="579">
        <v>12.99</v>
      </c>
      <c r="M1503" s="579">
        <v>12.99</v>
      </c>
      <c r="N1503" s="573">
        <v>353.72</v>
      </c>
      <c r="O1503" s="556" t="str">
        <f>IF(N1503=M1503,"OK","DIF")</f>
        <v>DIF</v>
      </c>
      <c r="P1503" s="573"/>
      <c r="Q1503" s="556"/>
      <c r="R1503" s="582"/>
    </row>
    <row r="1504" ht="23.85" customHeight="1" spans="1:18">
      <c r="A1504" s="556">
        <f>B1504</f>
        <v>0</v>
      </c>
      <c r="B1504" s="557">
        <f>B1503</f>
        <v>0</v>
      </c>
      <c r="C1504" s="79" t="s">
        <v>2921</v>
      </c>
      <c r="D1504" s="78" t="s">
        <v>3311</v>
      </c>
      <c r="E1504" s="79" t="s">
        <v>139</v>
      </c>
      <c r="F1504" s="79" t="s">
        <v>3312</v>
      </c>
      <c r="G1504" s="79" t="s">
        <v>2928</v>
      </c>
      <c r="H1504" s="79"/>
      <c r="I1504" s="80" t="s">
        <v>2897</v>
      </c>
      <c r="J1504" s="583">
        <v>0.0066</v>
      </c>
      <c r="K1504" s="583">
        <v>0</v>
      </c>
      <c r="L1504" s="92">
        <v>30.06</v>
      </c>
      <c r="M1504" s="92">
        <v>0.19</v>
      </c>
      <c r="N1504" s="573">
        <v>129.55</v>
      </c>
      <c r="O1504" s="556" t="str">
        <f>IF(N1504=M1504,"OK","DIF")</f>
        <v>DIF</v>
      </c>
      <c r="P1504" s="573"/>
      <c r="Q1504" s="556"/>
      <c r="R1504" s="582"/>
    </row>
    <row r="1505" ht="23.85" customHeight="1" spans="1:18">
      <c r="A1505" s="556">
        <f>B1505</f>
        <v>0</v>
      </c>
      <c r="B1505" s="557">
        <f>B1504</f>
        <v>0</v>
      </c>
      <c r="C1505" s="79" t="s">
        <v>2921</v>
      </c>
      <c r="D1505" s="78" t="s">
        <v>3322</v>
      </c>
      <c r="E1505" s="79" t="s">
        <v>139</v>
      </c>
      <c r="F1505" s="79" t="s">
        <v>3323</v>
      </c>
      <c r="G1505" s="79" t="s">
        <v>3317</v>
      </c>
      <c r="H1505" s="79"/>
      <c r="I1505" s="80" t="s">
        <v>393</v>
      </c>
      <c r="J1505" s="583">
        <v>1</v>
      </c>
      <c r="K1505" s="583">
        <v>0</v>
      </c>
      <c r="L1505" s="92">
        <v>10.65</v>
      </c>
      <c r="M1505" s="92">
        <v>10.65</v>
      </c>
      <c r="N1505" s="573">
        <v>1462.62</v>
      </c>
      <c r="O1505" s="556" t="str">
        <f>IF(N1505=M1505,"OK","DIF")</f>
        <v>DIF</v>
      </c>
      <c r="P1505" s="573"/>
      <c r="Q1505" s="556"/>
      <c r="R1505" s="582"/>
    </row>
    <row r="1506" ht="23.85" customHeight="1" spans="1:18">
      <c r="A1506" s="556">
        <f>B1506</f>
        <v>0</v>
      </c>
      <c r="B1506" s="557">
        <f>B1505</f>
        <v>0</v>
      </c>
      <c r="C1506" s="79" t="s">
        <v>2921</v>
      </c>
      <c r="D1506" s="78" t="s">
        <v>3313</v>
      </c>
      <c r="E1506" s="79" t="s">
        <v>139</v>
      </c>
      <c r="F1506" s="79" t="s">
        <v>3314</v>
      </c>
      <c r="G1506" s="79" t="s">
        <v>2928</v>
      </c>
      <c r="H1506" s="79"/>
      <c r="I1506" s="80" t="s">
        <v>2897</v>
      </c>
      <c r="J1506" s="583">
        <v>0.0403</v>
      </c>
      <c r="K1506" s="583">
        <v>0</v>
      </c>
      <c r="L1506" s="92">
        <v>35.95</v>
      </c>
      <c r="M1506" s="92">
        <v>1.44</v>
      </c>
      <c r="N1506" s="573">
        <v>147.08</v>
      </c>
      <c r="O1506" s="556" t="str">
        <f>IF(N1506=M1506,"OK","DIF")</f>
        <v>DIF</v>
      </c>
      <c r="P1506" s="573"/>
      <c r="Q1506" s="556"/>
      <c r="R1506" s="582"/>
    </row>
    <row r="1507" ht="23.85" customHeight="1" spans="1:18">
      <c r="A1507" s="556"/>
      <c r="B1507" s="557"/>
      <c r="C1507" s="100" t="s">
        <v>2893</v>
      </c>
      <c r="D1507" s="99" t="s">
        <v>3318</v>
      </c>
      <c r="E1507" s="100" t="s">
        <v>139</v>
      </c>
      <c r="F1507" s="100" t="s">
        <v>3319</v>
      </c>
      <c r="G1507" s="100" t="s">
        <v>2961</v>
      </c>
      <c r="H1507" s="100"/>
      <c r="I1507" s="101" t="s">
        <v>393</v>
      </c>
      <c r="J1507" s="580">
        <v>0.025</v>
      </c>
      <c r="K1507" s="580">
        <v>0</v>
      </c>
      <c r="L1507" s="102">
        <v>22</v>
      </c>
      <c r="M1507" s="102">
        <v>0.55</v>
      </c>
      <c r="N1507" s="573"/>
      <c r="O1507" s="556"/>
      <c r="P1507" s="573"/>
      <c r="Q1507" s="556"/>
      <c r="R1507" s="582"/>
    </row>
    <row r="1508" ht="23.85" customHeight="1" spans="1:18">
      <c r="A1508" s="556"/>
      <c r="B1508" s="557"/>
      <c r="C1508" s="100" t="s">
        <v>2893</v>
      </c>
      <c r="D1508" s="99" t="s">
        <v>3320</v>
      </c>
      <c r="E1508" s="100" t="s">
        <v>139</v>
      </c>
      <c r="F1508" s="100" t="s">
        <v>3321</v>
      </c>
      <c r="G1508" s="100" t="s">
        <v>2961</v>
      </c>
      <c r="H1508" s="100"/>
      <c r="I1508" s="101" t="s">
        <v>134</v>
      </c>
      <c r="J1508" s="580">
        <v>0.728</v>
      </c>
      <c r="K1508" s="580">
        <v>0</v>
      </c>
      <c r="L1508" s="102">
        <v>0.22</v>
      </c>
      <c r="M1508" s="102">
        <v>0.16</v>
      </c>
      <c r="N1508" s="573"/>
      <c r="O1508" s="556"/>
      <c r="P1508" s="573"/>
      <c r="Q1508" s="556"/>
      <c r="R1508" s="582"/>
    </row>
    <row r="1509" ht="25.5" spans="1:18">
      <c r="A1509" s="556"/>
      <c r="B1509" s="557" t="str">
        <f>C1508</f>
        <v>Insumo</v>
      </c>
      <c r="C1509" s="108"/>
      <c r="D1509" s="108"/>
      <c r="E1509" s="108"/>
      <c r="F1509" s="108"/>
      <c r="G1509" s="108"/>
      <c r="H1509" s="108" t="s">
        <v>2898</v>
      </c>
      <c r="I1509" s="581">
        <v>1.64</v>
      </c>
      <c r="J1509" s="108" t="s">
        <v>2899</v>
      </c>
      <c r="K1509" s="581">
        <v>0</v>
      </c>
      <c r="L1509" s="108" t="s">
        <v>2900</v>
      </c>
      <c r="M1509" s="581">
        <v>1.64</v>
      </c>
      <c r="N1509" s="573">
        <v>12384.62</v>
      </c>
      <c r="O1509" s="556" t="str">
        <f>IF(N1509=M1509,"OK","DIF")</f>
        <v>DIF</v>
      </c>
      <c r="P1509" s="573"/>
      <c r="Q1509" s="556"/>
      <c r="R1509" s="582"/>
    </row>
    <row r="1510" ht="26.25" spans="1:18">
      <c r="A1510" s="556" t="str">
        <f>B1510</f>
        <v>Insumo</v>
      </c>
      <c r="B1510" s="557" t="str">
        <f>B1509</f>
        <v>Insumo</v>
      </c>
      <c r="C1510" s="108"/>
      <c r="D1510" s="108"/>
      <c r="E1510" s="108"/>
      <c r="F1510" s="108"/>
      <c r="G1510" s="108"/>
      <c r="H1510" s="108" t="s">
        <v>2901</v>
      </c>
      <c r="I1510" s="581">
        <v>3.31</v>
      </c>
      <c r="J1510" s="114"/>
      <c r="K1510" s="114" t="s">
        <v>2902</v>
      </c>
      <c r="L1510" s="108"/>
      <c r="M1510" s="581">
        <v>16.3</v>
      </c>
      <c r="N1510" s="573">
        <v>2334.02</v>
      </c>
      <c r="O1510" s="556" t="str">
        <f>IF(N1510=M1510,"OK","DIF")</f>
        <v>DIF</v>
      </c>
      <c r="P1510" s="573"/>
      <c r="Q1510" s="556"/>
      <c r="R1510" s="582"/>
    </row>
    <row r="1511" ht="15" spans="1:18">
      <c r="A1511" s="556" t="str">
        <f>B1511</f>
        <v>Insumo</v>
      </c>
      <c r="B1511" s="557" t="str">
        <f>B1510</f>
        <v>Insumo</v>
      </c>
      <c r="C1511" s="571"/>
      <c r="D1511" s="571"/>
      <c r="E1511" s="571"/>
      <c r="F1511" s="571"/>
      <c r="G1511" s="571"/>
      <c r="H1511" s="571"/>
      <c r="I1511" s="571"/>
      <c r="J1511" s="571"/>
      <c r="K1511" s="571"/>
      <c r="L1511" s="571"/>
      <c r="M1511" s="571"/>
      <c r="N1511" s="573">
        <v>10050.6</v>
      </c>
      <c r="O1511" s="556" t="str">
        <f>IF(N1511=M1511,"OK","DIF")</f>
        <v>DIF</v>
      </c>
      <c r="P1511" s="573"/>
      <c r="Q1511" s="556"/>
      <c r="R1511" s="582"/>
    </row>
    <row r="1512" ht="15" customHeight="1" spans="1:18">
      <c r="A1512" s="556"/>
      <c r="B1512" s="557"/>
      <c r="C1512" s="76" t="s">
        <v>551</v>
      </c>
      <c r="D1512" s="75" t="s">
        <v>63</v>
      </c>
      <c r="E1512" s="76" t="s">
        <v>64</v>
      </c>
      <c r="F1512" s="76" t="s">
        <v>65</v>
      </c>
      <c r="G1512" s="76" t="s">
        <v>2889</v>
      </c>
      <c r="H1512" s="76"/>
      <c r="I1512" s="77" t="s">
        <v>66</v>
      </c>
      <c r="J1512" s="75" t="s">
        <v>67</v>
      </c>
      <c r="K1512" s="75" t="s">
        <v>2890</v>
      </c>
      <c r="L1512" s="75" t="s">
        <v>68</v>
      </c>
      <c r="M1512" s="75" t="s">
        <v>70</v>
      </c>
      <c r="N1512" s="573"/>
      <c r="O1512" s="556"/>
      <c r="P1512" s="573"/>
      <c r="Q1512" s="556"/>
      <c r="R1512" s="582"/>
    </row>
    <row r="1513" ht="35.05" customHeight="1" spans="1:18">
      <c r="A1513" s="556"/>
      <c r="B1513" s="557"/>
      <c r="C1513" s="569" t="s">
        <v>2891</v>
      </c>
      <c r="D1513" s="570" t="s">
        <v>552</v>
      </c>
      <c r="E1513" s="569" t="s">
        <v>139</v>
      </c>
      <c r="F1513" s="569" t="s">
        <v>553</v>
      </c>
      <c r="G1513" s="569" t="s">
        <v>3390</v>
      </c>
      <c r="H1513" s="569"/>
      <c r="I1513" s="577" t="s">
        <v>141</v>
      </c>
      <c r="J1513" s="578">
        <v>1</v>
      </c>
      <c r="K1513" s="579"/>
      <c r="L1513" s="579">
        <v>72.9</v>
      </c>
      <c r="M1513" s="579">
        <v>72.9</v>
      </c>
      <c r="N1513" s="573"/>
      <c r="O1513" s="556"/>
      <c r="P1513" s="573"/>
      <c r="Q1513" s="556"/>
      <c r="R1513" s="582"/>
    </row>
    <row r="1514" ht="23.85" customHeight="1" spans="1:18">
      <c r="A1514" s="556"/>
      <c r="B1514" s="557" t="str">
        <f>C1513</f>
        <v>Composição</v>
      </c>
      <c r="C1514" s="79" t="s">
        <v>2921</v>
      </c>
      <c r="D1514" s="78" t="s">
        <v>3391</v>
      </c>
      <c r="E1514" s="79" t="s">
        <v>139</v>
      </c>
      <c r="F1514" s="79" t="s">
        <v>3392</v>
      </c>
      <c r="G1514" s="79" t="s">
        <v>3390</v>
      </c>
      <c r="H1514" s="79"/>
      <c r="I1514" s="80" t="s">
        <v>141</v>
      </c>
      <c r="J1514" s="583">
        <v>0.105</v>
      </c>
      <c r="K1514" s="583">
        <v>0</v>
      </c>
      <c r="L1514" s="92">
        <v>220.83</v>
      </c>
      <c r="M1514" s="92">
        <v>23.18</v>
      </c>
      <c r="N1514" s="573">
        <v>9430.61</v>
      </c>
      <c r="O1514" s="556" t="str">
        <f>IF(N1514=M1514,"OK","DIF")</f>
        <v>DIF</v>
      </c>
      <c r="P1514" s="573"/>
      <c r="Q1514" s="556"/>
      <c r="R1514" s="582"/>
    </row>
    <row r="1515" ht="23.85" customHeight="1" spans="1:18">
      <c r="A1515" s="556" t="str">
        <f>B1515</f>
        <v>Composição</v>
      </c>
      <c r="B1515" s="557" t="str">
        <f>B1514</f>
        <v>Composição</v>
      </c>
      <c r="C1515" s="79" t="s">
        <v>2921</v>
      </c>
      <c r="D1515" s="78" t="s">
        <v>2954</v>
      </c>
      <c r="E1515" s="79" t="s">
        <v>139</v>
      </c>
      <c r="F1515" s="79" t="s">
        <v>2955</v>
      </c>
      <c r="G1515" s="79" t="s">
        <v>2928</v>
      </c>
      <c r="H1515" s="79"/>
      <c r="I1515" s="80" t="s">
        <v>2897</v>
      </c>
      <c r="J1515" s="583">
        <v>0.661</v>
      </c>
      <c r="K1515" s="583">
        <v>0</v>
      </c>
      <c r="L1515" s="92">
        <v>37.51</v>
      </c>
      <c r="M1515" s="92">
        <v>24.79</v>
      </c>
      <c r="N1515" s="573">
        <v>7522.93</v>
      </c>
      <c r="O1515" s="556" t="str">
        <f>IF(N1515=M1515,"OK","DIF")</f>
        <v>DIF</v>
      </c>
      <c r="P1515" s="573"/>
      <c r="Q1515" s="556"/>
      <c r="R1515" s="582"/>
    </row>
    <row r="1516" ht="23.85" customHeight="1" spans="1:18">
      <c r="A1516" s="556" t="str">
        <f>B1516</f>
        <v>Composição</v>
      </c>
      <c r="B1516" s="557" t="str">
        <f>B1515</f>
        <v>Composição</v>
      </c>
      <c r="C1516" s="79" t="s">
        <v>2921</v>
      </c>
      <c r="D1516" s="78" t="s">
        <v>3003</v>
      </c>
      <c r="E1516" s="79" t="s">
        <v>139</v>
      </c>
      <c r="F1516" s="79" t="s">
        <v>3004</v>
      </c>
      <c r="G1516" s="79" t="s">
        <v>2928</v>
      </c>
      <c r="H1516" s="79"/>
      <c r="I1516" s="80" t="s">
        <v>2897</v>
      </c>
      <c r="J1516" s="583">
        <v>0.121</v>
      </c>
      <c r="K1516" s="583">
        <v>0</v>
      </c>
      <c r="L1516" s="92">
        <v>29.91</v>
      </c>
      <c r="M1516" s="92">
        <v>3.61</v>
      </c>
      <c r="N1516" s="573">
        <v>1701.42</v>
      </c>
      <c r="O1516" s="556" t="str">
        <f>IF(N1516=M1516,"OK","DIF")</f>
        <v>DIF</v>
      </c>
      <c r="P1516" s="573"/>
      <c r="Q1516" s="556"/>
      <c r="R1516" s="582"/>
    </row>
    <row r="1517" ht="23.85" customHeight="1" spans="1:18">
      <c r="A1517" s="556" t="str">
        <f>B1517</f>
        <v>Composição</v>
      </c>
      <c r="B1517" s="557" t="str">
        <f>B1516</f>
        <v>Composição</v>
      </c>
      <c r="C1517" s="100" t="s">
        <v>2893</v>
      </c>
      <c r="D1517" s="99" t="s">
        <v>3396</v>
      </c>
      <c r="E1517" s="100" t="s">
        <v>139</v>
      </c>
      <c r="F1517" s="100" t="s">
        <v>3397</v>
      </c>
      <c r="G1517" s="100" t="s">
        <v>3395</v>
      </c>
      <c r="H1517" s="100"/>
      <c r="I1517" s="101" t="s">
        <v>3398</v>
      </c>
      <c r="J1517" s="580">
        <v>0.196</v>
      </c>
      <c r="K1517" s="580">
        <v>0</v>
      </c>
      <c r="L1517" s="102">
        <v>22.96</v>
      </c>
      <c r="M1517" s="102">
        <v>4.5</v>
      </c>
      <c r="N1517" s="573">
        <v>206.26</v>
      </c>
      <c r="O1517" s="556" t="str">
        <f>IF(N1517=M1517,"OK","DIF")</f>
        <v>DIF</v>
      </c>
      <c r="P1517" s="573"/>
      <c r="Q1517" s="556"/>
      <c r="R1517" s="582"/>
    </row>
    <row r="1518" ht="15" customHeight="1" spans="1:18">
      <c r="A1518" s="556"/>
      <c r="B1518" s="557"/>
      <c r="C1518" s="100" t="s">
        <v>2893</v>
      </c>
      <c r="D1518" s="99" t="s">
        <v>3332</v>
      </c>
      <c r="E1518" s="100" t="s">
        <v>139</v>
      </c>
      <c r="F1518" s="100" t="s">
        <v>3333</v>
      </c>
      <c r="G1518" s="100" t="s">
        <v>2961</v>
      </c>
      <c r="H1518" s="100"/>
      <c r="I1518" s="101" t="s">
        <v>393</v>
      </c>
      <c r="J1518" s="580">
        <v>0.019</v>
      </c>
      <c r="K1518" s="580">
        <v>0</v>
      </c>
      <c r="L1518" s="102">
        <v>22.69</v>
      </c>
      <c r="M1518" s="102">
        <v>0.43</v>
      </c>
      <c r="N1518" s="573"/>
      <c r="O1518" s="556"/>
      <c r="P1518" s="573"/>
      <c r="Q1518" s="556"/>
      <c r="R1518" s="582"/>
    </row>
    <row r="1519" ht="23.85" customHeight="1" spans="1:18">
      <c r="A1519" s="556"/>
      <c r="B1519" s="557"/>
      <c r="C1519" s="100" t="s">
        <v>2893</v>
      </c>
      <c r="D1519" s="99" t="s">
        <v>3393</v>
      </c>
      <c r="E1519" s="100" t="s">
        <v>139</v>
      </c>
      <c r="F1519" s="100" t="s">
        <v>3394</v>
      </c>
      <c r="G1519" s="100" t="s">
        <v>3395</v>
      </c>
      <c r="H1519" s="100"/>
      <c r="I1519" s="101" t="s">
        <v>2925</v>
      </c>
      <c r="J1519" s="580">
        <v>0.785</v>
      </c>
      <c r="K1519" s="580">
        <v>0</v>
      </c>
      <c r="L1519" s="102">
        <v>8.84</v>
      </c>
      <c r="M1519" s="102">
        <v>6.93</v>
      </c>
      <c r="N1519" s="573"/>
      <c r="O1519" s="556"/>
      <c r="P1519" s="573"/>
      <c r="Q1519" s="556"/>
      <c r="R1519" s="582"/>
    </row>
    <row r="1520" ht="23.85" customHeight="1" spans="1:18">
      <c r="A1520" s="556"/>
      <c r="B1520" s="557" t="str">
        <f>C1519</f>
        <v>Insumo</v>
      </c>
      <c r="C1520" s="100" t="s">
        <v>2893</v>
      </c>
      <c r="D1520" s="99" t="s">
        <v>3342</v>
      </c>
      <c r="E1520" s="100" t="s">
        <v>139</v>
      </c>
      <c r="F1520" s="100" t="s">
        <v>3343</v>
      </c>
      <c r="G1520" s="100" t="s">
        <v>2961</v>
      </c>
      <c r="H1520" s="100"/>
      <c r="I1520" s="101" t="s">
        <v>3084</v>
      </c>
      <c r="J1520" s="580">
        <v>0.004</v>
      </c>
      <c r="K1520" s="580">
        <v>0</v>
      </c>
      <c r="L1520" s="102">
        <v>7.97</v>
      </c>
      <c r="M1520" s="102">
        <v>0.03</v>
      </c>
      <c r="N1520" s="573">
        <v>6305.13</v>
      </c>
      <c r="O1520" s="556" t="str">
        <f>IF(N1520=M1520,"OK","DIF")</f>
        <v>DIF</v>
      </c>
      <c r="P1520" s="573"/>
      <c r="Q1520" s="556"/>
      <c r="R1520" s="582"/>
    </row>
    <row r="1521" ht="35.05" customHeight="1" spans="1:18">
      <c r="A1521" s="556" t="str">
        <f>B1521</f>
        <v>Insumo</v>
      </c>
      <c r="B1521" s="557" t="str">
        <f>B1520</f>
        <v>Insumo</v>
      </c>
      <c r="C1521" s="100" t="s">
        <v>2893</v>
      </c>
      <c r="D1521" s="99" t="s">
        <v>3399</v>
      </c>
      <c r="E1521" s="100" t="s">
        <v>139</v>
      </c>
      <c r="F1521" s="100" t="s">
        <v>3400</v>
      </c>
      <c r="G1521" s="100" t="s">
        <v>3395</v>
      </c>
      <c r="H1521" s="100"/>
      <c r="I1521" s="101" t="s">
        <v>3398</v>
      </c>
      <c r="J1521" s="580">
        <v>0.393</v>
      </c>
      <c r="K1521" s="580">
        <v>0</v>
      </c>
      <c r="L1521" s="102">
        <v>24</v>
      </c>
      <c r="M1521" s="102">
        <v>9.43</v>
      </c>
      <c r="N1521" s="573">
        <v>591.8</v>
      </c>
      <c r="O1521" s="556" t="str">
        <f>IF(N1521=M1521,"OK","DIF")</f>
        <v>DIF</v>
      </c>
      <c r="P1521" s="573"/>
      <c r="Q1521" s="556"/>
      <c r="R1521" s="582"/>
    </row>
    <row r="1522" ht="25.5" spans="1:18">
      <c r="A1522" s="556" t="str">
        <f>B1522</f>
        <v>Insumo</v>
      </c>
      <c r="B1522" s="557" t="str">
        <f>B1521</f>
        <v>Insumo</v>
      </c>
      <c r="C1522" s="108"/>
      <c r="D1522" s="108"/>
      <c r="E1522" s="108"/>
      <c r="F1522" s="108"/>
      <c r="G1522" s="108"/>
      <c r="H1522" s="108" t="s">
        <v>2898</v>
      </c>
      <c r="I1522" s="581">
        <v>25.73</v>
      </c>
      <c r="J1522" s="108" t="s">
        <v>2899</v>
      </c>
      <c r="K1522" s="581">
        <v>0</v>
      </c>
      <c r="L1522" s="108" t="s">
        <v>2900</v>
      </c>
      <c r="M1522" s="581">
        <v>25.73</v>
      </c>
      <c r="N1522" s="573">
        <v>5233.34</v>
      </c>
      <c r="O1522" s="556" t="str">
        <f>IF(N1522=M1522,"OK","DIF")</f>
        <v>DIF</v>
      </c>
      <c r="P1522" s="573"/>
      <c r="Q1522" s="556"/>
      <c r="R1522" s="582"/>
    </row>
    <row r="1523" ht="26.25" spans="1:18">
      <c r="A1523" s="556" t="str">
        <f>B1523</f>
        <v>Insumo</v>
      </c>
      <c r="B1523" s="557" t="str">
        <f>B1522</f>
        <v>Insumo</v>
      </c>
      <c r="C1523" s="108"/>
      <c r="D1523" s="108"/>
      <c r="E1523" s="108"/>
      <c r="F1523" s="108"/>
      <c r="G1523" s="108"/>
      <c r="H1523" s="108" t="s">
        <v>2901</v>
      </c>
      <c r="I1523" s="581">
        <v>18.58</v>
      </c>
      <c r="J1523" s="114"/>
      <c r="K1523" s="114" t="s">
        <v>2902</v>
      </c>
      <c r="L1523" s="108"/>
      <c r="M1523" s="581">
        <v>91.48</v>
      </c>
      <c r="N1523" s="573">
        <v>206.26</v>
      </c>
      <c r="O1523" s="556" t="str">
        <f>IF(N1523=M1523,"OK","DIF")</f>
        <v>DIF</v>
      </c>
      <c r="P1523" s="573"/>
      <c r="Q1523" s="556"/>
      <c r="R1523" s="582"/>
    </row>
    <row r="1524" ht="15" spans="1:18">
      <c r="A1524" s="556" t="str">
        <f>B1524</f>
        <v>Insumo</v>
      </c>
      <c r="B1524" s="557" t="str">
        <f>B1523</f>
        <v>Insumo</v>
      </c>
      <c r="C1524" s="571"/>
      <c r="D1524" s="571"/>
      <c r="E1524" s="571"/>
      <c r="F1524" s="571"/>
      <c r="G1524" s="571"/>
      <c r="H1524" s="571"/>
      <c r="I1524" s="571"/>
      <c r="J1524" s="571"/>
      <c r="K1524" s="571"/>
      <c r="L1524" s="571"/>
      <c r="M1524" s="571"/>
      <c r="N1524" s="573">
        <v>273.73</v>
      </c>
      <c r="O1524" s="556" t="str">
        <f>IF(N1524=M1524,"OK","DIF")</f>
        <v>DIF</v>
      </c>
      <c r="P1524" s="573"/>
      <c r="Q1524" s="556"/>
      <c r="R1524" s="582"/>
    </row>
    <row r="1525" ht="15" customHeight="1" spans="1:18">
      <c r="A1525" s="556"/>
      <c r="B1525" s="557"/>
      <c r="C1525" s="76" t="s">
        <v>554</v>
      </c>
      <c r="D1525" s="75" t="s">
        <v>63</v>
      </c>
      <c r="E1525" s="76" t="s">
        <v>64</v>
      </c>
      <c r="F1525" s="76" t="s">
        <v>65</v>
      </c>
      <c r="G1525" s="76" t="s">
        <v>2889</v>
      </c>
      <c r="H1525" s="76"/>
      <c r="I1525" s="77" t="s">
        <v>66</v>
      </c>
      <c r="J1525" s="75" t="s">
        <v>67</v>
      </c>
      <c r="K1525" s="75" t="s">
        <v>2890</v>
      </c>
      <c r="L1525" s="75" t="s">
        <v>68</v>
      </c>
      <c r="M1525" s="75" t="s">
        <v>70</v>
      </c>
      <c r="N1525" s="573"/>
      <c r="O1525" s="556"/>
      <c r="P1525" s="573"/>
      <c r="Q1525" s="556"/>
      <c r="R1525" s="582"/>
    </row>
    <row r="1526" ht="23.85" customHeight="1" spans="1:18">
      <c r="A1526" s="556"/>
      <c r="B1526" s="557"/>
      <c r="C1526" s="569" t="s">
        <v>2891</v>
      </c>
      <c r="D1526" s="570" t="s">
        <v>555</v>
      </c>
      <c r="E1526" s="569" t="s">
        <v>139</v>
      </c>
      <c r="F1526" s="569" t="s">
        <v>556</v>
      </c>
      <c r="G1526" s="569" t="s">
        <v>3390</v>
      </c>
      <c r="H1526" s="569"/>
      <c r="I1526" s="577" t="s">
        <v>141</v>
      </c>
      <c r="J1526" s="578">
        <v>1</v>
      </c>
      <c r="K1526" s="579"/>
      <c r="L1526" s="579">
        <v>130.07</v>
      </c>
      <c r="M1526" s="579">
        <v>130.07</v>
      </c>
      <c r="N1526" s="573"/>
      <c r="O1526" s="556"/>
      <c r="P1526" s="573"/>
      <c r="Q1526" s="556"/>
      <c r="R1526" s="582"/>
    </row>
    <row r="1527" ht="23.85" customHeight="1" spans="1:18">
      <c r="A1527" s="556"/>
      <c r="B1527" s="557" t="str">
        <f>C1526</f>
        <v>Composição</v>
      </c>
      <c r="C1527" s="79" t="s">
        <v>2921</v>
      </c>
      <c r="D1527" s="78" t="s">
        <v>2954</v>
      </c>
      <c r="E1527" s="79" t="s">
        <v>139</v>
      </c>
      <c r="F1527" s="79" t="s">
        <v>2955</v>
      </c>
      <c r="G1527" s="79" t="s">
        <v>2928</v>
      </c>
      <c r="H1527" s="79"/>
      <c r="I1527" s="80" t="s">
        <v>2897</v>
      </c>
      <c r="J1527" s="583">
        <v>0.911</v>
      </c>
      <c r="K1527" s="583">
        <v>0</v>
      </c>
      <c r="L1527" s="92">
        <v>37.51</v>
      </c>
      <c r="M1527" s="92">
        <v>34.17</v>
      </c>
      <c r="N1527" s="573">
        <v>4780.41</v>
      </c>
      <c r="O1527" s="556" t="str">
        <f>IF(N1527=M1527,"OK","DIF")</f>
        <v>DIF</v>
      </c>
      <c r="P1527" s="573"/>
      <c r="Q1527" s="556"/>
      <c r="R1527" s="582"/>
    </row>
    <row r="1528" ht="23.85" customHeight="1" spans="1:18">
      <c r="A1528" s="556" t="str">
        <f>B1528</f>
        <v>Composição</v>
      </c>
      <c r="B1528" s="557" t="str">
        <f>B1527</f>
        <v>Composição</v>
      </c>
      <c r="C1528" s="79" t="s">
        <v>2921</v>
      </c>
      <c r="D1528" s="78" t="s">
        <v>3000</v>
      </c>
      <c r="E1528" s="79" t="s">
        <v>139</v>
      </c>
      <c r="F1528" s="79" t="s">
        <v>3001</v>
      </c>
      <c r="G1528" s="79" t="s">
        <v>2995</v>
      </c>
      <c r="H1528" s="79"/>
      <c r="I1528" s="80" t="s">
        <v>3002</v>
      </c>
      <c r="J1528" s="583">
        <v>0.05</v>
      </c>
      <c r="K1528" s="583">
        <v>0</v>
      </c>
      <c r="L1528" s="92">
        <v>41.6</v>
      </c>
      <c r="M1528" s="92">
        <v>2.08</v>
      </c>
      <c r="N1528" s="573">
        <v>443.85</v>
      </c>
      <c r="O1528" s="556" t="str">
        <f>IF(N1528=M1528,"OK","DIF")</f>
        <v>DIF</v>
      </c>
      <c r="P1528" s="573"/>
      <c r="Q1528" s="556"/>
      <c r="R1528" s="582"/>
    </row>
    <row r="1529" ht="23.85" customHeight="1" spans="1:18">
      <c r="A1529" s="556" t="str">
        <f>B1529</f>
        <v>Composição</v>
      </c>
      <c r="B1529" s="557" t="str">
        <f>B1528</f>
        <v>Composição</v>
      </c>
      <c r="C1529" s="79" t="s">
        <v>2921</v>
      </c>
      <c r="D1529" s="78" t="s">
        <v>2993</v>
      </c>
      <c r="E1529" s="79" t="s">
        <v>139</v>
      </c>
      <c r="F1529" s="79" t="s">
        <v>2994</v>
      </c>
      <c r="G1529" s="79" t="s">
        <v>2995</v>
      </c>
      <c r="H1529" s="79"/>
      <c r="I1529" s="80" t="s">
        <v>2996</v>
      </c>
      <c r="J1529" s="583">
        <v>0.237</v>
      </c>
      <c r="K1529" s="583">
        <v>0</v>
      </c>
      <c r="L1529" s="92">
        <v>39.98</v>
      </c>
      <c r="M1529" s="92">
        <v>9.47</v>
      </c>
      <c r="N1529" s="573">
        <v>206.26</v>
      </c>
      <c r="O1529" s="556" t="str">
        <f>IF(N1529=M1529,"OK","DIF")</f>
        <v>DIF</v>
      </c>
      <c r="P1529" s="573"/>
      <c r="Q1529" s="556"/>
      <c r="R1529" s="582"/>
    </row>
    <row r="1530" ht="23.85" customHeight="1" spans="1:18">
      <c r="A1530" s="556" t="str">
        <f>B1530</f>
        <v>Composição</v>
      </c>
      <c r="B1530" s="557" t="str">
        <f>B1529</f>
        <v>Composição</v>
      </c>
      <c r="C1530" s="79" t="s">
        <v>2921</v>
      </c>
      <c r="D1530" s="78" t="s">
        <v>3003</v>
      </c>
      <c r="E1530" s="79" t="s">
        <v>139</v>
      </c>
      <c r="F1530" s="79" t="s">
        <v>3004</v>
      </c>
      <c r="G1530" s="79" t="s">
        <v>2928</v>
      </c>
      <c r="H1530" s="79"/>
      <c r="I1530" s="80" t="s">
        <v>2897</v>
      </c>
      <c r="J1530" s="583">
        <v>0.202</v>
      </c>
      <c r="K1530" s="583">
        <v>0</v>
      </c>
      <c r="L1530" s="92">
        <v>29.91</v>
      </c>
      <c r="M1530" s="92">
        <v>6.04</v>
      </c>
      <c r="N1530" s="573">
        <v>3925</v>
      </c>
      <c r="O1530" s="556" t="str">
        <f>IF(N1530=M1530,"OK","DIF")</f>
        <v>DIF</v>
      </c>
      <c r="P1530" s="573"/>
      <c r="Q1530" s="556"/>
      <c r="R1530" s="582"/>
    </row>
    <row r="1531" ht="23.85" customHeight="1" spans="1:18">
      <c r="A1531" s="556" t="str">
        <f>B1531</f>
        <v>Composição</v>
      </c>
      <c r="B1531" s="557" t="str">
        <f>B1530</f>
        <v>Composição</v>
      </c>
      <c r="C1531" s="100" t="s">
        <v>2893</v>
      </c>
      <c r="D1531" s="99" t="s">
        <v>3007</v>
      </c>
      <c r="E1531" s="100" t="s">
        <v>139</v>
      </c>
      <c r="F1531" s="100" t="s">
        <v>3008</v>
      </c>
      <c r="G1531" s="100" t="s">
        <v>2961</v>
      </c>
      <c r="H1531" s="100"/>
      <c r="I1531" s="101" t="s">
        <v>204</v>
      </c>
      <c r="J1531" s="580">
        <v>0.166</v>
      </c>
      <c r="K1531" s="580">
        <v>0</v>
      </c>
      <c r="L1531" s="102">
        <v>8.79</v>
      </c>
      <c r="M1531" s="102">
        <v>1.45</v>
      </c>
      <c r="N1531" s="573">
        <v>205.3</v>
      </c>
      <c r="O1531" s="556" t="str">
        <f>IF(N1531=M1531,"OK","DIF")</f>
        <v>DIF</v>
      </c>
      <c r="P1531" s="573"/>
      <c r="Q1531" s="556"/>
      <c r="R1531" s="582"/>
    </row>
    <row r="1532" ht="15" customHeight="1" spans="1:18">
      <c r="A1532" s="556"/>
      <c r="B1532" s="557"/>
      <c r="C1532" s="100" t="s">
        <v>2893</v>
      </c>
      <c r="D1532" s="99" t="s">
        <v>3388</v>
      </c>
      <c r="E1532" s="100" t="s">
        <v>139</v>
      </c>
      <c r="F1532" s="100" t="s">
        <v>3389</v>
      </c>
      <c r="G1532" s="100" t="s">
        <v>2961</v>
      </c>
      <c r="H1532" s="100"/>
      <c r="I1532" s="101" t="s">
        <v>393</v>
      </c>
      <c r="J1532" s="580">
        <v>0.159</v>
      </c>
      <c r="K1532" s="580">
        <v>0</v>
      </c>
      <c r="L1532" s="102">
        <v>18.38</v>
      </c>
      <c r="M1532" s="102">
        <v>2.92</v>
      </c>
      <c r="N1532" s="573"/>
      <c r="O1532" s="556"/>
      <c r="P1532" s="573"/>
      <c r="Q1532" s="556"/>
      <c r="R1532" s="582"/>
    </row>
    <row r="1533" ht="35.05" customHeight="1" spans="1:18">
      <c r="A1533" s="556"/>
      <c r="B1533" s="557"/>
      <c r="C1533" s="100" t="s">
        <v>2893</v>
      </c>
      <c r="D1533" s="99" t="s">
        <v>3330</v>
      </c>
      <c r="E1533" s="100" t="s">
        <v>139</v>
      </c>
      <c r="F1533" s="100" t="s">
        <v>3331</v>
      </c>
      <c r="G1533" s="100" t="s">
        <v>2961</v>
      </c>
      <c r="H1533" s="100"/>
      <c r="I1533" s="101" t="s">
        <v>141</v>
      </c>
      <c r="J1533" s="580">
        <v>1.146</v>
      </c>
      <c r="K1533" s="580">
        <v>0</v>
      </c>
      <c r="L1533" s="102">
        <v>45.9</v>
      </c>
      <c r="M1533" s="102">
        <v>52.6</v>
      </c>
      <c r="N1533" s="573"/>
      <c r="O1533" s="556"/>
      <c r="P1533" s="573"/>
      <c r="Q1533" s="556"/>
      <c r="R1533" s="582"/>
    </row>
    <row r="1534" ht="23.85" customHeight="1" spans="1:18">
      <c r="A1534" s="556"/>
      <c r="B1534" s="557" t="str">
        <f>C1533</f>
        <v>Insumo</v>
      </c>
      <c r="C1534" s="100" t="s">
        <v>2893</v>
      </c>
      <c r="D1534" s="99" t="s">
        <v>3334</v>
      </c>
      <c r="E1534" s="100" t="s">
        <v>139</v>
      </c>
      <c r="F1534" s="100" t="s">
        <v>3335</v>
      </c>
      <c r="G1534" s="100" t="s">
        <v>2961</v>
      </c>
      <c r="H1534" s="100"/>
      <c r="I1534" s="101" t="s">
        <v>204</v>
      </c>
      <c r="J1534" s="580">
        <v>6.952</v>
      </c>
      <c r="K1534" s="580">
        <v>0</v>
      </c>
      <c r="L1534" s="102">
        <v>3.07</v>
      </c>
      <c r="M1534" s="102">
        <v>21.34</v>
      </c>
      <c r="N1534" s="573">
        <v>10879.3</v>
      </c>
      <c r="O1534" s="556" t="str">
        <f>IF(N1534=M1534,"OK","DIF")</f>
        <v>DIF</v>
      </c>
      <c r="P1534" s="573"/>
      <c r="Q1534" s="556"/>
      <c r="R1534" s="582"/>
    </row>
    <row r="1535" ht="25.5" spans="1:18">
      <c r="A1535" s="556" t="str">
        <f>B1535</f>
        <v>Insumo</v>
      </c>
      <c r="B1535" s="557" t="str">
        <f>B1534</f>
        <v>Insumo</v>
      </c>
      <c r="C1535" s="108"/>
      <c r="D1535" s="108"/>
      <c r="E1535" s="108"/>
      <c r="F1535" s="108"/>
      <c r="G1535" s="108"/>
      <c r="H1535" s="108" t="s">
        <v>2898</v>
      </c>
      <c r="I1535" s="581">
        <v>38.2</v>
      </c>
      <c r="J1535" s="108" t="s">
        <v>2899</v>
      </c>
      <c r="K1535" s="581">
        <v>0</v>
      </c>
      <c r="L1535" s="108" t="s">
        <v>2900</v>
      </c>
      <c r="M1535" s="581">
        <v>38.2</v>
      </c>
      <c r="N1535" s="573">
        <v>206.26</v>
      </c>
      <c r="O1535" s="556" t="str">
        <f>IF(N1535=M1535,"OK","DIF")</f>
        <v>DIF</v>
      </c>
      <c r="P1535" s="573"/>
      <c r="Q1535" s="556"/>
      <c r="R1535" s="582"/>
    </row>
    <row r="1536" ht="26.25" spans="1:18">
      <c r="A1536" s="556" t="str">
        <f>B1536</f>
        <v>Insumo</v>
      </c>
      <c r="B1536" s="557" t="str">
        <f>B1535</f>
        <v>Insumo</v>
      </c>
      <c r="C1536" s="108"/>
      <c r="D1536" s="108"/>
      <c r="E1536" s="108"/>
      <c r="F1536" s="108"/>
      <c r="G1536" s="108"/>
      <c r="H1536" s="108" t="s">
        <v>2901</v>
      </c>
      <c r="I1536" s="581">
        <v>33.15</v>
      </c>
      <c r="J1536" s="114"/>
      <c r="K1536" s="114" t="s">
        <v>2902</v>
      </c>
      <c r="L1536" s="108"/>
      <c r="M1536" s="581">
        <v>163.22</v>
      </c>
      <c r="N1536" s="573">
        <v>9158.35</v>
      </c>
      <c r="O1536" s="556" t="str">
        <f>IF(N1536=M1536,"OK","DIF")</f>
        <v>DIF</v>
      </c>
      <c r="P1536" s="573"/>
      <c r="Q1536" s="556"/>
      <c r="R1536" s="582"/>
    </row>
    <row r="1537" ht="15" spans="1:18">
      <c r="A1537" s="556" t="str">
        <f>B1537</f>
        <v>Insumo</v>
      </c>
      <c r="B1537" s="557" t="str">
        <f>B1536</f>
        <v>Insumo</v>
      </c>
      <c r="C1537" s="571"/>
      <c r="D1537" s="571"/>
      <c r="E1537" s="571"/>
      <c r="F1537" s="571"/>
      <c r="G1537" s="571"/>
      <c r="H1537" s="571"/>
      <c r="I1537" s="571"/>
      <c r="J1537" s="571"/>
      <c r="K1537" s="571"/>
      <c r="L1537" s="571"/>
      <c r="M1537" s="571"/>
      <c r="N1537" s="573">
        <v>1035.65</v>
      </c>
      <c r="O1537" s="556" t="str">
        <f>IF(N1537=M1537,"OK","DIF")</f>
        <v>DIF</v>
      </c>
      <c r="P1537" s="573"/>
      <c r="Q1537" s="556"/>
      <c r="R1537" s="582"/>
    </row>
    <row r="1538" ht="15" customHeight="1" spans="1:18">
      <c r="A1538" s="556" t="str">
        <f>B1538</f>
        <v>Insumo</v>
      </c>
      <c r="B1538" s="557" t="str">
        <f>B1537</f>
        <v>Insumo</v>
      </c>
      <c r="C1538" s="76" t="s">
        <v>557</v>
      </c>
      <c r="D1538" s="75" t="s">
        <v>63</v>
      </c>
      <c r="E1538" s="76" t="s">
        <v>64</v>
      </c>
      <c r="F1538" s="76" t="s">
        <v>65</v>
      </c>
      <c r="G1538" s="76" t="s">
        <v>2889</v>
      </c>
      <c r="H1538" s="76"/>
      <c r="I1538" s="77" t="s">
        <v>66</v>
      </c>
      <c r="J1538" s="75" t="s">
        <v>67</v>
      </c>
      <c r="K1538" s="75" t="s">
        <v>2890</v>
      </c>
      <c r="L1538" s="75" t="s">
        <v>68</v>
      </c>
      <c r="M1538" s="75" t="s">
        <v>70</v>
      </c>
      <c r="N1538" s="573">
        <v>479.04</v>
      </c>
      <c r="O1538" s="556" t="str">
        <f>IF(N1538=M1538,"OK","DIF")</f>
        <v>DIF</v>
      </c>
      <c r="P1538" s="573"/>
      <c r="Q1538" s="556"/>
      <c r="R1538" s="582"/>
    </row>
    <row r="1539" ht="23.85" customHeight="1" spans="1:18">
      <c r="A1539" s="556"/>
      <c r="B1539" s="557"/>
      <c r="C1539" s="569" t="s">
        <v>2891</v>
      </c>
      <c r="D1539" s="570" t="s">
        <v>558</v>
      </c>
      <c r="E1539" s="569" t="s">
        <v>139</v>
      </c>
      <c r="F1539" s="569" t="s">
        <v>559</v>
      </c>
      <c r="G1539" s="569" t="s">
        <v>3390</v>
      </c>
      <c r="H1539" s="569"/>
      <c r="I1539" s="577" t="s">
        <v>141</v>
      </c>
      <c r="J1539" s="578">
        <v>1</v>
      </c>
      <c r="K1539" s="579"/>
      <c r="L1539" s="579">
        <v>83</v>
      </c>
      <c r="M1539" s="579">
        <v>83</v>
      </c>
      <c r="N1539" s="573"/>
      <c r="O1539" s="556"/>
      <c r="P1539" s="573"/>
      <c r="Q1539" s="556"/>
      <c r="R1539" s="582"/>
    </row>
    <row r="1540" ht="23.85" customHeight="1" spans="1:18">
      <c r="A1540" s="556"/>
      <c r="B1540" s="557"/>
      <c r="C1540" s="79" t="s">
        <v>2921</v>
      </c>
      <c r="D1540" s="78" t="s">
        <v>3000</v>
      </c>
      <c r="E1540" s="79" t="s">
        <v>139</v>
      </c>
      <c r="F1540" s="79" t="s">
        <v>3001</v>
      </c>
      <c r="G1540" s="79" t="s">
        <v>2995</v>
      </c>
      <c r="H1540" s="79"/>
      <c r="I1540" s="80" t="s">
        <v>3002</v>
      </c>
      <c r="J1540" s="583">
        <v>0.005</v>
      </c>
      <c r="K1540" s="583">
        <v>0</v>
      </c>
      <c r="L1540" s="92">
        <v>41.6</v>
      </c>
      <c r="M1540" s="92">
        <v>0.2</v>
      </c>
      <c r="N1540" s="573"/>
      <c r="O1540" s="556"/>
      <c r="P1540" s="573"/>
      <c r="Q1540" s="556"/>
      <c r="R1540" s="582"/>
    </row>
    <row r="1541" ht="23.85" customHeight="1" spans="1:18">
      <c r="A1541" s="556"/>
      <c r="B1541" s="557" t="str">
        <f>C1540</f>
        <v>Composição Auxiliar</v>
      </c>
      <c r="C1541" s="79" t="s">
        <v>2921</v>
      </c>
      <c r="D1541" s="78" t="s">
        <v>3003</v>
      </c>
      <c r="E1541" s="79" t="s">
        <v>139</v>
      </c>
      <c r="F1541" s="79" t="s">
        <v>3004</v>
      </c>
      <c r="G1541" s="79" t="s">
        <v>2928</v>
      </c>
      <c r="H1541" s="79"/>
      <c r="I1541" s="80" t="s">
        <v>2897</v>
      </c>
      <c r="J1541" s="583">
        <v>0.005</v>
      </c>
      <c r="K1541" s="583">
        <v>0</v>
      </c>
      <c r="L1541" s="92">
        <v>29.91</v>
      </c>
      <c r="M1541" s="92">
        <v>0.14</v>
      </c>
      <c r="N1541" s="573">
        <v>5842.99</v>
      </c>
      <c r="O1541" s="556" t="str">
        <f>IF(N1541=M1541,"OK","DIF")</f>
        <v>DIF</v>
      </c>
      <c r="P1541" s="573"/>
      <c r="Q1541" s="556"/>
      <c r="R1541" s="582"/>
    </row>
    <row r="1542" ht="23.85" customHeight="1" spans="1:18">
      <c r="A1542" s="556" t="str">
        <f>B1542</f>
        <v>Composição Auxiliar</v>
      </c>
      <c r="B1542" s="557" t="str">
        <f>B1541</f>
        <v>Composição Auxiliar</v>
      </c>
      <c r="C1542" s="79" t="s">
        <v>2921</v>
      </c>
      <c r="D1542" s="78" t="s">
        <v>2993</v>
      </c>
      <c r="E1542" s="79" t="s">
        <v>139</v>
      </c>
      <c r="F1542" s="79" t="s">
        <v>2994</v>
      </c>
      <c r="G1542" s="79" t="s">
        <v>2995</v>
      </c>
      <c r="H1542" s="79"/>
      <c r="I1542" s="80" t="s">
        <v>2996</v>
      </c>
      <c r="J1542" s="583">
        <v>0.022</v>
      </c>
      <c r="K1542" s="583">
        <v>0</v>
      </c>
      <c r="L1542" s="92">
        <v>39.98</v>
      </c>
      <c r="M1542" s="92">
        <v>0.87</v>
      </c>
      <c r="N1542" s="573">
        <v>206.26</v>
      </c>
      <c r="O1542" s="556" t="str">
        <f>IF(N1542=M1542,"OK","DIF")</f>
        <v>DIF</v>
      </c>
      <c r="P1542" s="573"/>
      <c r="Q1542" s="556"/>
      <c r="R1542" s="582"/>
    </row>
    <row r="1543" ht="23.85" customHeight="1" spans="1:18">
      <c r="A1543" s="556" t="str">
        <f>B1543</f>
        <v>Composição Auxiliar</v>
      </c>
      <c r="B1543" s="557" t="str">
        <f>B1542</f>
        <v>Composição Auxiliar</v>
      </c>
      <c r="C1543" s="79" t="s">
        <v>2921</v>
      </c>
      <c r="D1543" s="78" t="s">
        <v>2954</v>
      </c>
      <c r="E1543" s="79" t="s">
        <v>139</v>
      </c>
      <c r="F1543" s="79" t="s">
        <v>2955</v>
      </c>
      <c r="G1543" s="79" t="s">
        <v>2928</v>
      </c>
      <c r="H1543" s="79"/>
      <c r="I1543" s="80" t="s">
        <v>2897</v>
      </c>
      <c r="J1543" s="583">
        <v>0.005</v>
      </c>
      <c r="K1543" s="583">
        <v>0</v>
      </c>
      <c r="L1543" s="92">
        <v>37.51</v>
      </c>
      <c r="M1543" s="92">
        <v>0.18</v>
      </c>
      <c r="N1543" s="573">
        <v>5636.73</v>
      </c>
      <c r="O1543" s="556" t="str">
        <f>IF(N1543=M1543,"OK","DIF")</f>
        <v>DIF</v>
      </c>
      <c r="P1543" s="573"/>
      <c r="Q1543" s="556"/>
      <c r="R1543" s="582"/>
    </row>
    <row r="1544" ht="35.05" customHeight="1" spans="1:18">
      <c r="A1544" s="556"/>
      <c r="B1544" s="557"/>
      <c r="C1544" s="100" t="s">
        <v>2893</v>
      </c>
      <c r="D1544" s="99" t="s">
        <v>3429</v>
      </c>
      <c r="E1544" s="100" t="s">
        <v>139</v>
      </c>
      <c r="F1544" s="100" t="s">
        <v>3430</v>
      </c>
      <c r="G1544" s="100" t="s">
        <v>2961</v>
      </c>
      <c r="H1544" s="100"/>
      <c r="I1544" s="101" t="s">
        <v>141</v>
      </c>
      <c r="J1544" s="580">
        <v>1.05</v>
      </c>
      <c r="K1544" s="580">
        <v>0</v>
      </c>
      <c r="L1544" s="102">
        <v>77.73</v>
      </c>
      <c r="M1544" s="102">
        <v>81.61</v>
      </c>
      <c r="N1544" s="573"/>
      <c r="O1544" s="556"/>
      <c r="P1544" s="573"/>
      <c r="Q1544" s="556"/>
      <c r="R1544" s="582"/>
    </row>
    <row r="1545" ht="25.5" spans="1:18">
      <c r="A1545" s="556"/>
      <c r="B1545" s="557"/>
      <c r="C1545" s="108"/>
      <c r="D1545" s="108"/>
      <c r="E1545" s="108"/>
      <c r="F1545" s="108"/>
      <c r="G1545" s="108"/>
      <c r="H1545" s="108" t="s">
        <v>2898</v>
      </c>
      <c r="I1545" s="581">
        <v>1.06</v>
      </c>
      <c r="J1545" s="108" t="s">
        <v>2899</v>
      </c>
      <c r="K1545" s="581">
        <v>0</v>
      </c>
      <c r="L1545" s="108" t="s">
        <v>2900</v>
      </c>
      <c r="M1545" s="581">
        <v>1.06</v>
      </c>
      <c r="N1545" s="573"/>
      <c r="O1545" s="556"/>
      <c r="P1545" s="573"/>
      <c r="Q1545" s="556"/>
      <c r="R1545" s="582"/>
    </row>
    <row r="1546" ht="26.25" spans="1:18">
      <c r="A1546" s="556"/>
      <c r="B1546" s="557">
        <f>C1545</f>
        <v>0</v>
      </c>
      <c r="C1546" s="108"/>
      <c r="D1546" s="108"/>
      <c r="E1546" s="108"/>
      <c r="F1546" s="108"/>
      <c r="G1546" s="108"/>
      <c r="H1546" s="108" t="s">
        <v>2901</v>
      </c>
      <c r="I1546" s="581">
        <v>21.15</v>
      </c>
      <c r="J1546" s="114"/>
      <c r="K1546" s="114" t="s">
        <v>2902</v>
      </c>
      <c r="L1546" s="108"/>
      <c r="M1546" s="581">
        <v>104.15</v>
      </c>
      <c r="N1546" s="573">
        <v>1805.34</v>
      </c>
      <c r="O1546" s="556" t="str">
        <f>IF(N1546=M1546,"OK","DIF")</f>
        <v>DIF</v>
      </c>
      <c r="P1546" s="573"/>
      <c r="Q1546" s="556"/>
      <c r="R1546" s="582"/>
    </row>
    <row r="1547" ht="15" spans="1:18">
      <c r="A1547" s="556">
        <f>B1547</f>
        <v>0</v>
      </c>
      <c r="B1547" s="557">
        <f>B1546</f>
        <v>0</v>
      </c>
      <c r="C1547" s="571"/>
      <c r="D1547" s="571"/>
      <c r="E1547" s="571"/>
      <c r="F1547" s="571"/>
      <c r="G1547" s="571"/>
      <c r="H1547" s="571"/>
      <c r="I1547" s="571"/>
      <c r="J1547" s="571"/>
      <c r="K1547" s="571"/>
      <c r="L1547" s="571"/>
      <c r="M1547" s="571"/>
      <c r="N1547" s="573">
        <v>1362.85</v>
      </c>
      <c r="O1547" s="556" t="str">
        <f>IF(N1547=M1547,"OK","DIF")</f>
        <v>DIF</v>
      </c>
      <c r="P1547" s="573"/>
      <c r="Q1547" s="556"/>
      <c r="R1547" s="582"/>
    </row>
    <row r="1548" ht="15" customHeight="1" spans="1:18">
      <c r="A1548" s="556">
        <f>B1548</f>
        <v>0</v>
      </c>
      <c r="B1548" s="557">
        <f>B1547</f>
        <v>0</v>
      </c>
      <c r="C1548" s="76" t="s">
        <v>560</v>
      </c>
      <c r="D1548" s="75" t="s">
        <v>63</v>
      </c>
      <c r="E1548" s="76" t="s">
        <v>64</v>
      </c>
      <c r="F1548" s="76" t="s">
        <v>65</v>
      </c>
      <c r="G1548" s="76" t="s">
        <v>2889</v>
      </c>
      <c r="H1548" s="76"/>
      <c r="I1548" s="77" t="s">
        <v>66</v>
      </c>
      <c r="J1548" s="75" t="s">
        <v>67</v>
      </c>
      <c r="K1548" s="75" t="s">
        <v>2890</v>
      </c>
      <c r="L1548" s="75" t="s">
        <v>68</v>
      </c>
      <c r="M1548" s="75" t="s">
        <v>70</v>
      </c>
      <c r="N1548" s="573">
        <v>419.5</v>
      </c>
      <c r="O1548" s="556" t="str">
        <f>IF(N1548=M1548,"OK","DIF")</f>
        <v>DIF</v>
      </c>
      <c r="P1548" s="573"/>
      <c r="Q1548" s="556"/>
      <c r="R1548" s="582"/>
    </row>
    <row r="1549" ht="35.05" customHeight="1" spans="1:18">
      <c r="A1549" s="556">
        <f>B1549</f>
        <v>0</v>
      </c>
      <c r="B1549" s="557">
        <f>B1548</f>
        <v>0</v>
      </c>
      <c r="C1549" s="569" t="s">
        <v>2891</v>
      </c>
      <c r="D1549" s="570" t="s">
        <v>561</v>
      </c>
      <c r="E1549" s="569" t="s">
        <v>139</v>
      </c>
      <c r="F1549" s="569" t="s">
        <v>562</v>
      </c>
      <c r="G1549" s="569" t="s">
        <v>3390</v>
      </c>
      <c r="H1549" s="569"/>
      <c r="I1549" s="577" t="s">
        <v>279</v>
      </c>
      <c r="J1549" s="578">
        <v>1</v>
      </c>
      <c r="K1549" s="579"/>
      <c r="L1549" s="579">
        <v>20.25</v>
      </c>
      <c r="M1549" s="579">
        <v>20.25</v>
      </c>
      <c r="N1549" s="573">
        <v>22.99</v>
      </c>
      <c r="O1549" s="556" t="str">
        <f>IF(N1549=M1549,"OK","DIF")</f>
        <v>DIF</v>
      </c>
      <c r="P1549" s="573"/>
      <c r="Q1549" s="556"/>
      <c r="R1549" s="582"/>
    </row>
    <row r="1550" ht="23.85" customHeight="1" spans="1:18">
      <c r="A1550" s="556"/>
      <c r="B1550" s="557"/>
      <c r="C1550" s="79" t="s">
        <v>2921</v>
      </c>
      <c r="D1550" s="78" t="s">
        <v>2954</v>
      </c>
      <c r="E1550" s="79" t="s">
        <v>139</v>
      </c>
      <c r="F1550" s="79" t="s">
        <v>2955</v>
      </c>
      <c r="G1550" s="79" t="s">
        <v>2928</v>
      </c>
      <c r="H1550" s="79"/>
      <c r="I1550" s="80" t="s">
        <v>2897</v>
      </c>
      <c r="J1550" s="583">
        <v>0.127</v>
      </c>
      <c r="K1550" s="583">
        <v>0</v>
      </c>
      <c r="L1550" s="92">
        <v>37.51</v>
      </c>
      <c r="M1550" s="92">
        <v>4.76</v>
      </c>
      <c r="N1550" s="573"/>
      <c r="O1550" s="556"/>
      <c r="P1550" s="573"/>
      <c r="Q1550" s="556"/>
      <c r="R1550" s="582"/>
    </row>
    <row r="1551" ht="23.85" customHeight="1" spans="1:18">
      <c r="A1551" s="556"/>
      <c r="B1551" s="557"/>
      <c r="C1551" s="79" t="s">
        <v>2921</v>
      </c>
      <c r="D1551" s="78" t="s">
        <v>3431</v>
      </c>
      <c r="E1551" s="79" t="s">
        <v>139</v>
      </c>
      <c r="F1551" s="79" t="s">
        <v>3432</v>
      </c>
      <c r="G1551" s="79" t="s">
        <v>3390</v>
      </c>
      <c r="H1551" s="79"/>
      <c r="I1551" s="80" t="s">
        <v>204</v>
      </c>
      <c r="J1551" s="583">
        <v>0.545</v>
      </c>
      <c r="K1551" s="583">
        <v>0</v>
      </c>
      <c r="L1551" s="92">
        <v>17.44</v>
      </c>
      <c r="M1551" s="92">
        <v>9.5</v>
      </c>
      <c r="N1551" s="573"/>
      <c r="O1551" s="556"/>
      <c r="P1551" s="573"/>
      <c r="Q1551" s="556"/>
      <c r="R1551" s="582"/>
    </row>
    <row r="1552" ht="23.85" customHeight="1" spans="1:18">
      <c r="A1552" s="556"/>
      <c r="B1552" s="557" t="str">
        <f>C1551</f>
        <v>Composição Auxiliar</v>
      </c>
      <c r="C1552" s="79" t="s">
        <v>2921</v>
      </c>
      <c r="D1552" s="78" t="s">
        <v>3003</v>
      </c>
      <c r="E1552" s="79" t="s">
        <v>139</v>
      </c>
      <c r="F1552" s="79" t="s">
        <v>3004</v>
      </c>
      <c r="G1552" s="79" t="s">
        <v>2928</v>
      </c>
      <c r="H1552" s="79"/>
      <c r="I1552" s="80" t="s">
        <v>2897</v>
      </c>
      <c r="J1552" s="583">
        <v>0.09</v>
      </c>
      <c r="K1552" s="583">
        <v>0</v>
      </c>
      <c r="L1552" s="92">
        <v>29.91</v>
      </c>
      <c r="M1552" s="92">
        <v>2.69</v>
      </c>
      <c r="N1552" s="573">
        <v>1659.36</v>
      </c>
      <c r="O1552" s="556" t="str">
        <f>IF(N1552=M1552,"OK","DIF")</f>
        <v>DIF</v>
      </c>
      <c r="P1552" s="573"/>
      <c r="Q1552" s="556"/>
      <c r="R1552" s="582"/>
    </row>
    <row r="1553" ht="15" customHeight="1" spans="1:18">
      <c r="A1553" s="556" t="str">
        <f>B1553</f>
        <v>Composição Auxiliar</v>
      </c>
      <c r="B1553" s="557" t="str">
        <f>B1552</f>
        <v>Composição Auxiliar</v>
      </c>
      <c r="C1553" s="100" t="s">
        <v>2893</v>
      </c>
      <c r="D1553" s="99" t="s">
        <v>3332</v>
      </c>
      <c r="E1553" s="100" t="s">
        <v>139</v>
      </c>
      <c r="F1553" s="100" t="s">
        <v>3333</v>
      </c>
      <c r="G1553" s="100" t="s">
        <v>2961</v>
      </c>
      <c r="H1553" s="100"/>
      <c r="I1553" s="101" t="s">
        <v>393</v>
      </c>
      <c r="J1553" s="580">
        <v>0.011</v>
      </c>
      <c r="K1553" s="580">
        <v>0</v>
      </c>
      <c r="L1553" s="102">
        <v>22.69</v>
      </c>
      <c r="M1553" s="102">
        <v>0.24</v>
      </c>
      <c r="N1553" s="573">
        <v>206.26</v>
      </c>
      <c r="O1553" s="556" t="str">
        <f>IF(N1553=M1553,"OK","DIF")</f>
        <v>DIF</v>
      </c>
      <c r="P1553" s="573"/>
      <c r="Q1553" s="556"/>
      <c r="R1553" s="582"/>
    </row>
    <row r="1554" ht="35.05" customHeight="1" spans="1:18">
      <c r="A1554" s="556" t="str">
        <f>B1554</f>
        <v>Composição Auxiliar</v>
      </c>
      <c r="B1554" s="557" t="str">
        <f>B1553</f>
        <v>Composição Auxiliar</v>
      </c>
      <c r="C1554" s="100" t="s">
        <v>2893</v>
      </c>
      <c r="D1554" s="99" t="s">
        <v>3386</v>
      </c>
      <c r="E1554" s="100" t="s">
        <v>139</v>
      </c>
      <c r="F1554" s="100" t="s">
        <v>3387</v>
      </c>
      <c r="G1554" s="100" t="s">
        <v>2961</v>
      </c>
      <c r="H1554" s="100"/>
      <c r="I1554" s="101" t="s">
        <v>204</v>
      </c>
      <c r="J1554" s="580">
        <v>0.143</v>
      </c>
      <c r="K1554" s="580">
        <v>0</v>
      </c>
      <c r="L1554" s="102">
        <v>21.41</v>
      </c>
      <c r="M1554" s="102">
        <v>3.06</v>
      </c>
      <c r="N1554" s="573">
        <v>1430.11</v>
      </c>
      <c r="O1554" s="556" t="str">
        <f>IF(N1554=M1554,"OK","DIF")</f>
        <v>DIF</v>
      </c>
      <c r="P1554" s="573"/>
      <c r="Q1554" s="556"/>
      <c r="R1554" s="582"/>
    </row>
    <row r="1555" ht="25.5" spans="1:18">
      <c r="A1555" s="556" t="str">
        <f>B1555</f>
        <v>Composição Auxiliar</v>
      </c>
      <c r="B1555" s="557" t="str">
        <f>B1554</f>
        <v>Composição Auxiliar</v>
      </c>
      <c r="C1555" s="108"/>
      <c r="D1555" s="108"/>
      <c r="E1555" s="108"/>
      <c r="F1555" s="108"/>
      <c r="G1555" s="108"/>
      <c r="H1555" s="108" t="s">
        <v>2898</v>
      </c>
      <c r="I1555" s="581">
        <v>7.53</v>
      </c>
      <c r="J1555" s="108" t="s">
        <v>2899</v>
      </c>
      <c r="K1555" s="581">
        <v>0</v>
      </c>
      <c r="L1555" s="108" t="s">
        <v>2900</v>
      </c>
      <c r="M1555" s="581">
        <v>7.53</v>
      </c>
      <c r="N1555" s="573">
        <v>22.99</v>
      </c>
      <c r="O1555" s="556" t="str">
        <f>IF(N1555=M1555,"OK","DIF")</f>
        <v>DIF</v>
      </c>
      <c r="P1555" s="573"/>
      <c r="Q1555" s="556"/>
      <c r="R1555" s="582"/>
    </row>
    <row r="1556" ht="26.25" spans="1:18">
      <c r="A1556" s="556"/>
      <c r="B1556" s="557"/>
      <c r="C1556" s="108"/>
      <c r="D1556" s="108"/>
      <c r="E1556" s="108"/>
      <c r="F1556" s="108"/>
      <c r="G1556" s="108"/>
      <c r="H1556" s="108" t="s">
        <v>2901</v>
      </c>
      <c r="I1556" s="581">
        <v>5.16</v>
      </c>
      <c r="J1556" s="114"/>
      <c r="K1556" s="114" t="s">
        <v>2902</v>
      </c>
      <c r="L1556" s="108"/>
      <c r="M1556" s="581">
        <v>25.41</v>
      </c>
      <c r="N1556" s="573"/>
      <c r="O1556" s="556"/>
      <c r="P1556" s="573"/>
      <c r="Q1556" s="556"/>
      <c r="R1556" s="582"/>
    </row>
    <row r="1557" ht="15" spans="1:18">
      <c r="A1557" s="556"/>
      <c r="B1557" s="557"/>
      <c r="C1557" s="571"/>
      <c r="D1557" s="571"/>
      <c r="E1557" s="571"/>
      <c r="F1557" s="571"/>
      <c r="G1557" s="571"/>
      <c r="H1557" s="571"/>
      <c r="I1557" s="571"/>
      <c r="J1557" s="571"/>
      <c r="K1557" s="571"/>
      <c r="L1557" s="571"/>
      <c r="M1557" s="571"/>
      <c r="N1557" s="573"/>
      <c r="O1557" s="556"/>
      <c r="P1557" s="573"/>
      <c r="Q1557" s="556"/>
      <c r="R1557" s="582"/>
    </row>
    <row r="1558" ht="15" customHeight="1" spans="1:18">
      <c r="A1558" s="556"/>
      <c r="B1558" s="557">
        <f>C1557</f>
        <v>0</v>
      </c>
      <c r="C1558" s="76" t="s">
        <v>564</v>
      </c>
      <c r="D1558" s="75" t="s">
        <v>63</v>
      </c>
      <c r="E1558" s="76" t="s">
        <v>64</v>
      </c>
      <c r="F1558" s="76" t="s">
        <v>65</v>
      </c>
      <c r="G1558" s="76" t="s">
        <v>2889</v>
      </c>
      <c r="H1558" s="76"/>
      <c r="I1558" s="77" t="s">
        <v>66</v>
      </c>
      <c r="J1558" s="75" t="s">
        <v>67</v>
      </c>
      <c r="K1558" s="75" t="s">
        <v>2890</v>
      </c>
      <c r="L1558" s="75" t="s">
        <v>68</v>
      </c>
      <c r="M1558" s="75" t="s">
        <v>70</v>
      </c>
      <c r="N1558" s="573">
        <v>846.85</v>
      </c>
      <c r="O1558" s="556" t="str">
        <f t="shared" ref="O1558:O1563" si="181">IF(N1558=M1558,"OK","DIF")</f>
        <v>DIF</v>
      </c>
      <c r="P1558" s="573"/>
      <c r="Q1558" s="556"/>
      <c r="R1558" s="582"/>
    </row>
    <row r="1559" ht="35.05" customHeight="1" spans="1:18">
      <c r="A1559" s="556">
        <f>B1559</f>
        <v>0</v>
      </c>
      <c r="B1559" s="557">
        <f>B1558</f>
        <v>0</v>
      </c>
      <c r="C1559" s="569" t="s">
        <v>2891</v>
      </c>
      <c r="D1559" s="570" t="s">
        <v>537</v>
      </c>
      <c r="E1559" s="569" t="s">
        <v>132</v>
      </c>
      <c r="F1559" s="569" t="s">
        <v>538</v>
      </c>
      <c r="G1559" s="569" t="s">
        <v>3428</v>
      </c>
      <c r="H1559" s="569"/>
      <c r="I1559" s="577" t="s">
        <v>279</v>
      </c>
      <c r="J1559" s="578">
        <v>1</v>
      </c>
      <c r="K1559" s="579"/>
      <c r="L1559" s="579">
        <v>676.58</v>
      </c>
      <c r="M1559" s="579">
        <v>676.58</v>
      </c>
      <c r="N1559" s="573">
        <v>127.06</v>
      </c>
      <c r="O1559" s="556" t="str">
        <f t="shared" si="181"/>
        <v>DIF</v>
      </c>
      <c r="P1559" s="573"/>
      <c r="Q1559" s="556"/>
      <c r="R1559" s="582"/>
    </row>
    <row r="1560" ht="23.85" customHeight="1" spans="1:18">
      <c r="A1560" s="556">
        <f>B1560</f>
        <v>0</v>
      </c>
      <c r="B1560" s="557">
        <f>B1559</f>
        <v>0</v>
      </c>
      <c r="C1560" s="79" t="s">
        <v>2921</v>
      </c>
      <c r="D1560" s="78" t="s">
        <v>3348</v>
      </c>
      <c r="E1560" s="79" t="s">
        <v>139</v>
      </c>
      <c r="F1560" s="79" t="s">
        <v>3349</v>
      </c>
      <c r="G1560" s="79" t="s">
        <v>2995</v>
      </c>
      <c r="H1560" s="79"/>
      <c r="I1560" s="80" t="s">
        <v>3002</v>
      </c>
      <c r="J1560" s="583">
        <v>0.094</v>
      </c>
      <c r="K1560" s="583">
        <v>0</v>
      </c>
      <c r="L1560" s="92">
        <v>1.45</v>
      </c>
      <c r="M1560" s="92">
        <v>0.13</v>
      </c>
      <c r="N1560" s="573">
        <v>157.04</v>
      </c>
      <c r="O1560" s="556" t="str">
        <f t="shared" si="181"/>
        <v>DIF</v>
      </c>
      <c r="P1560" s="573"/>
      <c r="Q1560" s="556"/>
      <c r="R1560" s="582"/>
    </row>
    <row r="1561" ht="23.85" customHeight="1" spans="1:18">
      <c r="A1561" s="556">
        <f>B1561</f>
        <v>0</v>
      </c>
      <c r="B1561" s="557">
        <f>B1560</f>
        <v>0</v>
      </c>
      <c r="C1561" s="79" t="s">
        <v>2921</v>
      </c>
      <c r="D1561" s="78" t="s">
        <v>3346</v>
      </c>
      <c r="E1561" s="79" t="s">
        <v>139</v>
      </c>
      <c r="F1561" s="79" t="s">
        <v>3347</v>
      </c>
      <c r="G1561" s="79" t="s">
        <v>2995</v>
      </c>
      <c r="H1561" s="79"/>
      <c r="I1561" s="80" t="s">
        <v>2996</v>
      </c>
      <c r="J1561" s="583">
        <v>0.13</v>
      </c>
      <c r="K1561" s="583">
        <v>0</v>
      </c>
      <c r="L1561" s="92">
        <v>0.53</v>
      </c>
      <c r="M1561" s="92">
        <v>0.06</v>
      </c>
      <c r="N1561" s="573">
        <v>558.52</v>
      </c>
      <c r="O1561" s="556" t="str">
        <f t="shared" si="181"/>
        <v>DIF</v>
      </c>
      <c r="P1561" s="573"/>
      <c r="Q1561" s="556"/>
      <c r="R1561" s="582"/>
    </row>
    <row r="1562" ht="23.85" customHeight="1" spans="1:18">
      <c r="A1562" s="556">
        <f>B1562</f>
        <v>0</v>
      </c>
      <c r="B1562" s="557">
        <f>B1561</f>
        <v>0</v>
      </c>
      <c r="C1562" s="79" t="s">
        <v>2921</v>
      </c>
      <c r="D1562" s="78" t="s">
        <v>3017</v>
      </c>
      <c r="E1562" s="79" t="s">
        <v>139</v>
      </c>
      <c r="F1562" s="79" t="s">
        <v>3018</v>
      </c>
      <c r="G1562" s="79" t="s">
        <v>2928</v>
      </c>
      <c r="H1562" s="79"/>
      <c r="I1562" s="80" t="s">
        <v>2897</v>
      </c>
      <c r="J1562" s="583">
        <v>0.224</v>
      </c>
      <c r="K1562" s="583">
        <v>0</v>
      </c>
      <c r="L1562" s="92">
        <v>36.96</v>
      </c>
      <c r="M1562" s="92">
        <v>8.27</v>
      </c>
      <c r="N1562" s="573">
        <v>0.99</v>
      </c>
      <c r="O1562" s="556" t="str">
        <f t="shared" si="181"/>
        <v>DIF</v>
      </c>
      <c r="P1562" s="573"/>
      <c r="Q1562" s="556"/>
      <c r="R1562" s="582"/>
    </row>
    <row r="1563" ht="23.85" customHeight="1" spans="1:18">
      <c r="A1563" s="556">
        <f>B1563</f>
        <v>0</v>
      </c>
      <c r="B1563" s="557">
        <f>B1562</f>
        <v>0</v>
      </c>
      <c r="C1563" s="79" t="s">
        <v>2921</v>
      </c>
      <c r="D1563" s="78" t="s">
        <v>2952</v>
      </c>
      <c r="E1563" s="79" t="s">
        <v>139</v>
      </c>
      <c r="F1563" s="79" t="s">
        <v>2953</v>
      </c>
      <c r="G1563" s="79" t="s">
        <v>2928</v>
      </c>
      <c r="H1563" s="79"/>
      <c r="I1563" s="80" t="s">
        <v>2897</v>
      </c>
      <c r="J1563" s="583">
        <v>1.345</v>
      </c>
      <c r="K1563" s="583">
        <v>0</v>
      </c>
      <c r="L1563" s="92">
        <v>29.15</v>
      </c>
      <c r="M1563" s="92">
        <v>39.2</v>
      </c>
      <c r="N1563" s="573">
        <v>3.24</v>
      </c>
      <c r="O1563" s="556" t="str">
        <f t="shared" si="181"/>
        <v>DIF</v>
      </c>
      <c r="P1563" s="573"/>
      <c r="Q1563" s="556"/>
      <c r="R1563" s="582"/>
    </row>
    <row r="1564" ht="23.85" customHeight="1" spans="1:18">
      <c r="A1564" s="556"/>
      <c r="B1564" s="557"/>
      <c r="C1564" s="79" t="s">
        <v>2921</v>
      </c>
      <c r="D1564" s="78" t="s">
        <v>2954</v>
      </c>
      <c r="E1564" s="79" t="s">
        <v>139</v>
      </c>
      <c r="F1564" s="79" t="s">
        <v>2955</v>
      </c>
      <c r="G1564" s="79" t="s">
        <v>2928</v>
      </c>
      <c r="H1564" s="79"/>
      <c r="I1564" s="80" t="s">
        <v>2897</v>
      </c>
      <c r="J1564" s="583">
        <v>0.224</v>
      </c>
      <c r="K1564" s="583">
        <v>0</v>
      </c>
      <c r="L1564" s="92">
        <v>37.51</v>
      </c>
      <c r="M1564" s="92">
        <v>8.4</v>
      </c>
      <c r="N1564" s="573"/>
      <c r="O1564" s="556"/>
      <c r="P1564" s="573"/>
      <c r="Q1564" s="556"/>
      <c r="R1564" s="582"/>
    </row>
    <row r="1565" ht="35.05" customHeight="1" spans="1:18">
      <c r="A1565" s="556"/>
      <c r="B1565" s="557"/>
      <c r="C1565" s="100" t="s">
        <v>2893</v>
      </c>
      <c r="D1565" s="99" t="s">
        <v>3373</v>
      </c>
      <c r="E1565" s="100" t="s">
        <v>139</v>
      </c>
      <c r="F1565" s="100" t="s">
        <v>3374</v>
      </c>
      <c r="G1565" s="100" t="s">
        <v>2961</v>
      </c>
      <c r="H1565" s="100"/>
      <c r="I1565" s="101" t="s">
        <v>279</v>
      </c>
      <c r="J1565" s="580">
        <v>1.103</v>
      </c>
      <c r="K1565" s="580">
        <v>0</v>
      </c>
      <c r="L1565" s="102">
        <v>562.58</v>
      </c>
      <c r="M1565" s="102">
        <v>620.52</v>
      </c>
      <c r="N1565" s="573"/>
      <c r="O1565" s="556"/>
      <c r="P1565" s="573"/>
      <c r="Q1565" s="556"/>
      <c r="R1565" s="582"/>
    </row>
    <row r="1566" ht="25.5" spans="1:18">
      <c r="A1566" s="556"/>
      <c r="B1566" s="557" t="str">
        <f>C1565</f>
        <v>Insumo</v>
      </c>
      <c r="C1566" s="108"/>
      <c r="D1566" s="108"/>
      <c r="E1566" s="108"/>
      <c r="F1566" s="108"/>
      <c r="G1566" s="108"/>
      <c r="H1566" s="108" t="s">
        <v>2898</v>
      </c>
      <c r="I1566" s="581">
        <v>38.08</v>
      </c>
      <c r="J1566" s="108" t="s">
        <v>2899</v>
      </c>
      <c r="K1566" s="581">
        <v>0</v>
      </c>
      <c r="L1566" s="108" t="s">
        <v>2900</v>
      </c>
      <c r="M1566" s="581">
        <v>38.08</v>
      </c>
      <c r="N1566" s="573">
        <v>2646.19</v>
      </c>
      <c r="O1566" s="556" t="str">
        <f>IF(N1566=M1566,"OK","DIF")</f>
        <v>DIF</v>
      </c>
      <c r="P1566" s="573"/>
      <c r="Q1566" s="556"/>
      <c r="R1566" s="582"/>
    </row>
    <row r="1567" ht="26.25" spans="1:18">
      <c r="A1567" s="556" t="str">
        <f>B1567</f>
        <v>Insumo</v>
      </c>
      <c r="B1567" s="557" t="str">
        <f>B1566</f>
        <v>Insumo</v>
      </c>
      <c r="C1567" s="108"/>
      <c r="D1567" s="108"/>
      <c r="E1567" s="108"/>
      <c r="F1567" s="108"/>
      <c r="G1567" s="108"/>
      <c r="H1567" s="108" t="s">
        <v>2901</v>
      </c>
      <c r="I1567" s="581">
        <v>172.46</v>
      </c>
      <c r="J1567" s="114"/>
      <c r="K1567" s="114" t="s">
        <v>2902</v>
      </c>
      <c r="L1567" s="108"/>
      <c r="M1567" s="581">
        <v>849.04</v>
      </c>
      <c r="N1567" s="573">
        <v>2466.07</v>
      </c>
      <c r="O1567" s="556" t="str">
        <f>IF(N1567=M1567,"OK","DIF")</f>
        <v>DIF</v>
      </c>
      <c r="P1567" s="573"/>
      <c r="Q1567" s="556"/>
      <c r="R1567" s="582"/>
    </row>
    <row r="1568" ht="15" spans="1:18">
      <c r="A1568" s="556" t="str">
        <f>B1568</f>
        <v>Insumo</v>
      </c>
      <c r="B1568" s="557" t="str">
        <f>B1567</f>
        <v>Insumo</v>
      </c>
      <c r="C1568" s="571"/>
      <c r="D1568" s="571"/>
      <c r="E1568" s="571"/>
      <c r="F1568" s="571"/>
      <c r="G1568" s="571"/>
      <c r="H1568" s="571"/>
      <c r="I1568" s="571"/>
      <c r="J1568" s="571"/>
      <c r="K1568" s="571"/>
      <c r="L1568" s="571"/>
      <c r="M1568" s="571"/>
      <c r="N1568" s="573">
        <v>180.12</v>
      </c>
      <c r="O1568" s="556" t="str">
        <f>IF(N1568=M1568,"OK","DIF")</f>
        <v>DIF</v>
      </c>
      <c r="P1568" s="573"/>
      <c r="Q1568" s="556"/>
      <c r="R1568" s="582"/>
    </row>
    <row r="1569" ht="15" customHeight="1" spans="1:18">
      <c r="A1569" s="556"/>
      <c r="B1569" s="557"/>
      <c r="C1569" s="76" t="s">
        <v>565</v>
      </c>
      <c r="D1569" s="75" t="s">
        <v>63</v>
      </c>
      <c r="E1569" s="76" t="s">
        <v>64</v>
      </c>
      <c r="F1569" s="76" t="s">
        <v>65</v>
      </c>
      <c r="G1569" s="76" t="s">
        <v>2889</v>
      </c>
      <c r="H1569" s="76"/>
      <c r="I1569" s="77" t="s">
        <v>66</v>
      </c>
      <c r="J1569" s="75" t="s">
        <v>67</v>
      </c>
      <c r="K1569" s="75" t="s">
        <v>2890</v>
      </c>
      <c r="L1569" s="75" t="s">
        <v>68</v>
      </c>
      <c r="M1569" s="75" t="s">
        <v>70</v>
      </c>
      <c r="N1569" s="573"/>
      <c r="O1569" s="556"/>
      <c r="P1569" s="573"/>
      <c r="Q1569" s="556"/>
      <c r="R1569" s="582"/>
    </row>
    <row r="1570" ht="35.05" customHeight="1" spans="1:18">
      <c r="A1570" s="556"/>
      <c r="B1570" s="557"/>
      <c r="C1570" s="569" t="s">
        <v>2891</v>
      </c>
      <c r="D1570" s="570" t="s">
        <v>540</v>
      </c>
      <c r="E1570" s="569" t="s">
        <v>132</v>
      </c>
      <c r="F1570" s="569" t="s">
        <v>541</v>
      </c>
      <c r="G1570" s="569" t="s">
        <v>3428</v>
      </c>
      <c r="H1570" s="569"/>
      <c r="I1570" s="577" t="s">
        <v>279</v>
      </c>
      <c r="J1570" s="578">
        <v>1</v>
      </c>
      <c r="K1570" s="579"/>
      <c r="L1570" s="579">
        <v>677.33</v>
      </c>
      <c r="M1570" s="579">
        <v>677.33</v>
      </c>
      <c r="N1570" s="573"/>
      <c r="O1570" s="556"/>
      <c r="P1570" s="573"/>
      <c r="Q1570" s="556"/>
      <c r="R1570" s="582"/>
    </row>
    <row r="1571" ht="23.85" customHeight="1" spans="1:18">
      <c r="A1571" s="556"/>
      <c r="B1571" s="557" t="str">
        <f>C1570</f>
        <v>Composição</v>
      </c>
      <c r="C1571" s="79" t="s">
        <v>2921</v>
      </c>
      <c r="D1571" s="78" t="s">
        <v>2952</v>
      </c>
      <c r="E1571" s="79" t="s">
        <v>139</v>
      </c>
      <c r="F1571" s="79" t="s">
        <v>2953</v>
      </c>
      <c r="G1571" s="79" t="s">
        <v>2928</v>
      </c>
      <c r="H1571" s="79"/>
      <c r="I1571" s="80" t="s">
        <v>2897</v>
      </c>
      <c r="J1571" s="583">
        <v>0.826</v>
      </c>
      <c r="K1571" s="583">
        <v>0</v>
      </c>
      <c r="L1571" s="92">
        <v>29.15</v>
      </c>
      <c r="M1571" s="92">
        <v>24.07</v>
      </c>
      <c r="N1571" s="573">
        <v>1456.4</v>
      </c>
      <c r="O1571" s="556" t="str">
        <f>IF(N1571=M1571,"OK","DIF")</f>
        <v>DIF</v>
      </c>
      <c r="P1571" s="573"/>
      <c r="Q1571" s="556"/>
      <c r="R1571" s="582"/>
    </row>
    <row r="1572" ht="23.85" customHeight="1" spans="1:18">
      <c r="A1572" s="556" t="str">
        <f>B1572</f>
        <v>Composição</v>
      </c>
      <c r="B1572" s="557" t="str">
        <f>B1571</f>
        <v>Composição</v>
      </c>
      <c r="C1572" s="79" t="s">
        <v>2921</v>
      </c>
      <c r="D1572" s="78" t="s">
        <v>2954</v>
      </c>
      <c r="E1572" s="79" t="s">
        <v>139</v>
      </c>
      <c r="F1572" s="79" t="s">
        <v>2955</v>
      </c>
      <c r="G1572" s="79" t="s">
        <v>2928</v>
      </c>
      <c r="H1572" s="79"/>
      <c r="I1572" s="80" t="s">
        <v>2897</v>
      </c>
      <c r="J1572" s="583">
        <v>0.125</v>
      </c>
      <c r="K1572" s="583">
        <v>0</v>
      </c>
      <c r="L1572" s="92">
        <v>37.51</v>
      </c>
      <c r="M1572" s="92">
        <v>4.68</v>
      </c>
      <c r="N1572" s="573">
        <v>25.63</v>
      </c>
      <c r="O1572" s="556" t="str">
        <f>IF(N1572=M1572,"OK","DIF")</f>
        <v>DIF</v>
      </c>
      <c r="P1572" s="573"/>
      <c r="Q1572" s="556"/>
      <c r="R1572" s="582"/>
    </row>
    <row r="1573" ht="23.85" customHeight="1" spans="1:18">
      <c r="A1573" s="556" t="str">
        <f>B1573</f>
        <v>Composição</v>
      </c>
      <c r="B1573" s="557" t="str">
        <f>B1572</f>
        <v>Composição</v>
      </c>
      <c r="C1573" s="79" t="s">
        <v>2921</v>
      </c>
      <c r="D1573" s="78" t="s">
        <v>3017</v>
      </c>
      <c r="E1573" s="79" t="s">
        <v>139</v>
      </c>
      <c r="F1573" s="79" t="s">
        <v>3018</v>
      </c>
      <c r="G1573" s="79" t="s">
        <v>2928</v>
      </c>
      <c r="H1573" s="79"/>
      <c r="I1573" s="80" t="s">
        <v>2897</v>
      </c>
      <c r="J1573" s="583">
        <v>0.753</v>
      </c>
      <c r="K1573" s="583">
        <v>0</v>
      </c>
      <c r="L1573" s="92">
        <v>36.96</v>
      </c>
      <c r="M1573" s="92">
        <v>27.83</v>
      </c>
      <c r="N1573" s="573">
        <v>44.94</v>
      </c>
      <c r="O1573" s="556" t="str">
        <f>IF(N1573=M1573,"OK","DIF")</f>
        <v>DIF</v>
      </c>
      <c r="P1573" s="573"/>
      <c r="Q1573" s="556"/>
      <c r="R1573" s="582"/>
    </row>
    <row r="1574" ht="23.85" customHeight="1" spans="1:18">
      <c r="A1574" s="556" t="str">
        <f>B1574</f>
        <v>Composição</v>
      </c>
      <c r="B1574" s="557" t="str">
        <f>B1573</f>
        <v>Composição</v>
      </c>
      <c r="C1574" s="79" t="s">
        <v>2921</v>
      </c>
      <c r="D1574" s="78" t="s">
        <v>3348</v>
      </c>
      <c r="E1574" s="79" t="s">
        <v>139</v>
      </c>
      <c r="F1574" s="79" t="s">
        <v>3349</v>
      </c>
      <c r="G1574" s="79" t="s">
        <v>2995</v>
      </c>
      <c r="H1574" s="79"/>
      <c r="I1574" s="80" t="s">
        <v>3002</v>
      </c>
      <c r="J1574" s="583">
        <v>0.12</v>
      </c>
      <c r="K1574" s="583">
        <v>0</v>
      </c>
      <c r="L1574" s="92">
        <v>1.45</v>
      </c>
      <c r="M1574" s="92">
        <v>0.17</v>
      </c>
      <c r="N1574" s="573">
        <v>115.62</v>
      </c>
      <c r="O1574" s="556" t="str">
        <f>IF(N1574=M1574,"OK","DIF")</f>
        <v>DIF</v>
      </c>
      <c r="P1574" s="573"/>
      <c r="Q1574" s="556"/>
      <c r="R1574" s="582"/>
    </row>
    <row r="1575" ht="23.85" customHeight="1" spans="1:18">
      <c r="A1575" s="556" t="str">
        <f>B1575</f>
        <v>Composição</v>
      </c>
      <c r="B1575" s="557" t="str">
        <f>B1574</f>
        <v>Composição</v>
      </c>
      <c r="C1575" s="79" t="s">
        <v>2921</v>
      </c>
      <c r="D1575" s="78" t="s">
        <v>3346</v>
      </c>
      <c r="E1575" s="79" t="s">
        <v>139</v>
      </c>
      <c r="F1575" s="79" t="s">
        <v>3347</v>
      </c>
      <c r="G1575" s="79" t="s">
        <v>2995</v>
      </c>
      <c r="H1575" s="79"/>
      <c r="I1575" s="80" t="s">
        <v>2996</v>
      </c>
      <c r="J1575" s="583">
        <v>0.131</v>
      </c>
      <c r="K1575" s="583">
        <v>0</v>
      </c>
      <c r="L1575" s="92">
        <v>0.53</v>
      </c>
      <c r="M1575" s="92">
        <v>0.06</v>
      </c>
      <c r="N1575" s="573">
        <v>1270.21</v>
      </c>
      <c r="O1575" s="556" t="str">
        <f>IF(N1575=M1575,"OK","DIF")</f>
        <v>DIF</v>
      </c>
      <c r="P1575" s="573"/>
      <c r="Q1575" s="556"/>
      <c r="R1575" s="582"/>
    </row>
    <row r="1576" ht="35.05" customHeight="1" spans="1:18">
      <c r="A1576" s="556"/>
      <c r="B1576" s="557"/>
      <c r="C1576" s="100" t="s">
        <v>2893</v>
      </c>
      <c r="D1576" s="99" t="s">
        <v>3373</v>
      </c>
      <c r="E1576" s="100" t="s">
        <v>139</v>
      </c>
      <c r="F1576" s="100" t="s">
        <v>3374</v>
      </c>
      <c r="G1576" s="100" t="s">
        <v>2961</v>
      </c>
      <c r="H1576" s="100"/>
      <c r="I1576" s="101" t="s">
        <v>279</v>
      </c>
      <c r="J1576" s="580">
        <v>1.103</v>
      </c>
      <c r="K1576" s="580">
        <v>0</v>
      </c>
      <c r="L1576" s="102">
        <v>562.58</v>
      </c>
      <c r="M1576" s="102">
        <v>620.52</v>
      </c>
      <c r="N1576" s="573"/>
      <c r="O1576" s="556"/>
      <c r="P1576" s="573"/>
      <c r="Q1576" s="556"/>
      <c r="R1576" s="582"/>
    </row>
    <row r="1577" ht="25.5" spans="1:18">
      <c r="A1577" s="556"/>
      <c r="B1577" s="557"/>
      <c r="C1577" s="108"/>
      <c r="D1577" s="108"/>
      <c r="E1577" s="108"/>
      <c r="F1577" s="108"/>
      <c r="G1577" s="108"/>
      <c r="H1577" s="108" t="s">
        <v>2898</v>
      </c>
      <c r="I1577" s="581">
        <v>39.61</v>
      </c>
      <c r="J1577" s="108" t="s">
        <v>2899</v>
      </c>
      <c r="K1577" s="581">
        <v>0</v>
      </c>
      <c r="L1577" s="108" t="s">
        <v>2900</v>
      </c>
      <c r="M1577" s="581">
        <v>39.61</v>
      </c>
      <c r="N1577" s="573"/>
      <c r="O1577" s="556"/>
      <c r="P1577" s="573"/>
      <c r="Q1577" s="556"/>
      <c r="R1577" s="582"/>
    </row>
    <row r="1578" ht="26.25" spans="1:18">
      <c r="A1578" s="556"/>
      <c r="B1578" s="557">
        <f>C1577</f>
        <v>0</v>
      </c>
      <c r="C1578" s="108"/>
      <c r="D1578" s="108"/>
      <c r="E1578" s="108"/>
      <c r="F1578" s="108"/>
      <c r="G1578" s="108"/>
      <c r="H1578" s="108" t="s">
        <v>2901</v>
      </c>
      <c r="I1578" s="581">
        <v>172.65</v>
      </c>
      <c r="J1578" s="114"/>
      <c r="K1578" s="114" t="s">
        <v>2902</v>
      </c>
      <c r="L1578" s="108"/>
      <c r="M1578" s="581">
        <v>849.98</v>
      </c>
      <c r="N1578" s="573">
        <v>160.56</v>
      </c>
      <c r="O1578" s="556" t="str">
        <f>IF(N1578=M1578,"OK","DIF")</f>
        <v>DIF</v>
      </c>
      <c r="P1578" s="573"/>
      <c r="Q1578" s="556"/>
      <c r="R1578" s="582"/>
    </row>
    <row r="1579" ht="15" spans="1:18">
      <c r="A1579" s="556">
        <f>B1579</f>
        <v>0</v>
      </c>
      <c r="B1579" s="557">
        <f>B1578</f>
        <v>0</v>
      </c>
      <c r="C1579" s="571"/>
      <c r="D1579" s="571"/>
      <c r="E1579" s="571"/>
      <c r="F1579" s="571"/>
      <c r="G1579" s="571"/>
      <c r="H1579" s="571"/>
      <c r="I1579" s="571"/>
      <c r="J1579" s="571"/>
      <c r="K1579" s="571"/>
      <c r="L1579" s="571"/>
      <c r="M1579" s="571"/>
      <c r="N1579" s="573">
        <v>115.62</v>
      </c>
      <c r="O1579" s="556" t="str">
        <f>IF(N1579=M1579,"OK","DIF")</f>
        <v>DIF</v>
      </c>
      <c r="P1579" s="573"/>
      <c r="Q1579" s="556"/>
      <c r="R1579" s="582"/>
    </row>
    <row r="1580" ht="15" customHeight="1" spans="1:18">
      <c r="A1580" s="556">
        <f>B1580</f>
        <v>0</v>
      </c>
      <c r="B1580" s="557">
        <f>B1579</f>
        <v>0</v>
      </c>
      <c r="C1580" s="76" t="s">
        <v>566</v>
      </c>
      <c r="D1580" s="75" t="s">
        <v>63</v>
      </c>
      <c r="E1580" s="76" t="s">
        <v>64</v>
      </c>
      <c r="F1580" s="76" t="s">
        <v>65</v>
      </c>
      <c r="G1580" s="76" t="s">
        <v>2889</v>
      </c>
      <c r="H1580" s="76"/>
      <c r="I1580" s="77" t="s">
        <v>66</v>
      </c>
      <c r="J1580" s="75" t="s">
        <v>67</v>
      </c>
      <c r="K1580" s="75" t="s">
        <v>2890</v>
      </c>
      <c r="L1580" s="75" t="s">
        <v>68</v>
      </c>
      <c r="M1580" s="75" t="s">
        <v>70</v>
      </c>
      <c r="N1580" s="573">
        <v>44.94</v>
      </c>
      <c r="O1580" s="556" t="str">
        <f>IF(N1580=M1580,"OK","DIF")</f>
        <v>DIF</v>
      </c>
      <c r="P1580" s="573"/>
      <c r="Q1580" s="556"/>
      <c r="R1580" s="582"/>
    </row>
    <row r="1581" ht="35.05" customHeight="1" spans="1:18">
      <c r="A1581" s="556"/>
      <c r="B1581" s="557"/>
      <c r="C1581" s="569" t="s">
        <v>2891</v>
      </c>
      <c r="D1581" s="570" t="s">
        <v>492</v>
      </c>
      <c r="E1581" s="569" t="s">
        <v>139</v>
      </c>
      <c r="F1581" s="569" t="s">
        <v>493</v>
      </c>
      <c r="G1581" s="569" t="s">
        <v>3317</v>
      </c>
      <c r="H1581" s="569"/>
      <c r="I1581" s="577" t="s">
        <v>393</v>
      </c>
      <c r="J1581" s="578">
        <v>1</v>
      </c>
      <c r="K1581" s="579"/>
      <c r="L1581" s="579">
        <v>16.13</v>
      </c>
      <c r="M1581" s="579">
        <v>16.13</v>
      </c>
      <c r="N1581" s="573"/>
      <c r="O1581" s="556"/>
      <c r="P1581" s="573"/>
      <c r="Q1581" s="556"/>
      <c r="R1581" s="582"/>
    </row>
    <row r="1582" ht="23.85" customHeight="1" spans="1:18">
      <c r="A1582" s="556"/>
      <c r="B1582" s="557"/>
      <c r="C1582" s="79" t="s">
        <v>2921</v>
      </c>
      <c r="D1582" s="78" t="s">
        <v>3311</v>
      </c>
      <c r="E1582" s="79" t="s">
        <v>139</v>
      </c>
      <c r="F1582" s="79" t="s">
        <v>3312</v>
      </c>
      <c r="G1582" s="79" t="s">
        <v>2928</v>
      </c>
      <c r="H1582" s="79"/>
      <c r="I1582" s="80" t="s">
        <v>2897</v>
      </c>
      <c r="J1582" s="583">
        <v>0.0175</v>
      </c>
      <c r="K1582" s="583">
        <v>0</v>
      </c>
      <c r="L1582" s="92">
        <v>30.06</v>
      </c>
      <c r="M1582" s="92">
        <v>0.52</v>
      </c>
      <c r="N1582" s="573"/>
      <c r="O1582" s="556"/>
      <c r="P1582" s="573"/>
      <c r="Q1582" s="556"/>
      <c r="R1582" s="582"/>
    </row>
    <row r="1583" ht="23.85" customHeight="1" spans="1:18">
      <c r="A1583" s="556"/>
      <c r="B1583" s="557" t="str">
        <f>C1582</f>
        <v>Composição Auxiliar</v>
      </c>
      <c r="C1583" s="79" t="s">
        <v>2921</v>
      </c>
      <c r="D1583" s="78" t="s">
        <v>3313</v>
      </c>
      <c r="E1583" s="79" t="s">
        <v>139</v>
      </c>
      <c r="F1583" s="79" t="s">
        <v>3314</v>
      </c>
      <c r="G1583" s="79" t="s">
        <v>2928</v>
      </c>
      <c r="H1583" s="79"/>
      <c r="I1583" s="80" t="s">
        <v>2897</v>
      </c>
      <c r="J1583" s="583">
        <v>0.1069</v>
      </c>
      <c r="K1583" s="583">
        <v>0</v>
      </c>
      <c r="L1583" s="92">
        <v>35.95</v>
      </c>
      <c r="M1583" s="92">
        <v>3.84</v>
      </c>
      <c r="N1583" s="573">
        <v>738.51</v>
      </c>
      <c r="O1583" s="556" t="str">
        <f>IF(N1583=M1583,"OK","DIF")</f>
        <v>DIF</v>
      </c>
      <c r="P1583" s="573"/>
      <c r="Q1583" s="556"/>
      <c r="R1583" s="582"/>
    </row>
    <row r="1584" ht="23.85" customHeight="1" spans="1:18">
      <c r="A1584" s="556" t="str">
        <f>B1584</f>
        <v>Composição Auxiliar</v>
      </c>
      <c r="B1584" s="557" t="str">
        <f>B1583</f>
        <v>Composição Auxiliar</v>
      </c>
      <c r="C1584" s="79" t="s">
        <v>2921</v>
      </c>
      <c r="D1584" s="78" t="s">
        <v>3378</v>
      </c>
      <c r="E1584" s="79" t="s">
        <v>139</v>
      </c>
      <c r="F1584" s="79" t="s">
        <v>3379</v>
      </c>
      <c r="G1584" s="79" t="s">
        <v>3317</v>
      </c>
      <c r="H1584" s="79"/>
      <c r="I1584" s="80" t="s">
        <v>393</v>
      </c>
      <c r="J1584" s="583">
        <v>1</v>
      </c>
      <c r="K1584" s="583">
        <v>0</v>
      </c>
      <c r="L1584" s="92">
        <v>10.96</v>
      </c>
      <c r="M1584" s="92">
        <v>10.96</v>
      </c>
      <c r="N1584" s="573">
        <v>66.22</v>
      </c>
      <c r="O1584" s="556" t="str">
        <f>IF(N1584=M1584,"OK","DIF")</f>
        <v>DIF</v>
      </c>
      <c r="P1584" s="573"/>
      <c r="Q1584" s="556"/>
      <c r="R1584" s="582"/>
    </row>
    <row r="1585" ht="23.85" customHeight="1" spans="1:18">
      <c r="A1585" s="556" t="str">
        <f>B1585</f>
        <v>Composição Auxiliar</v>
      </c>
      <c r="B1585" s="557" t="str">
        <f>B1584</f>
        <v>Composição Auxiliar</v>
      </c>
      <c r="C1585" s="100" t="s">
        <v>2893</v>
      </c>
      <c r="D1585" s="99" t="s">
        <v>3318</v>
      </c>
      <c r="E1585" s="100" t="s">
        <v>139</v>
      </c>
      <c r="F1585" s="100" t="s">
        <v>3319</v>
      </c>
      <c r="G1585" s="100" t="s">
        <v>2961</v>
      </c>
      <c r="H1585" s="100"/>
      <c r="I1585" s="101" t="s">
        <v>393</v>
      </c>
      <c r="J1585" s="580">
        <v>0.025</v>
      </c>
      <c r="K1585" s="580">
        <v>0</v>
      </c>
      <c r="L1585" s="102">
        <v>22</v>
      </c>
      <c r="M1585" s="102">
        <v>0.55</v>
      </c>
      <c r="N1585" s="573">
        <v>53.58</v>
      </c>
      <c r="O1585" s="556" t="str">
        <f>IF(N1585=M1585,"OK","DIF")</f>
        <v>DIF</v>
      </c>
      <c r="P1585" s="573"/>
      <c r="Q1585" s="556"/>
      <c r="R1585" s="582"/>
    </row>
    <row r="1586" ht="23.85" customHeight="1" spans="1:18">
      <c r="A1586" s="556" t="str">
        <f>B1586</f>
        <v>Composição Auxiliar</v>
      </c>
      <c r="B1586" s="557" t="str">
        <f>B1585</f>
        <v>Composição Auxiliar</v>
      </c>
      <c r="C1586" s="100" t="s">
        <v>2893</v>
      </c>
      <c r="D1586" s="99" t="s">
        <v>3320</v>
      </c>
      <c r="E1586" s="100" t="s">
        <v>139</v>
      </c>
      <c r="F1586" s="100" t="s">
        <v>3321</v>
      </c>
      <c r="G1586" s="100" t="s">
        <v>2961</v>
      </c>
      <c r="H1586" s="100"/>
      <c r="I1586" s="101" t="s">
        <v>134</v>
      </c>
      <c r="J1586" s="580">
        <v>1.19</v>
      </c>
      <c r="K1586" s="580">
        <v>0</v>
      </c>
      <c r="L1586" s="102">
        <v>0.22</v>
      </c>
      <c r="M1586" s="102">
        <v>0.26</v>
      </c>
      <c r="N1586" s="573">
        <v>618.71</v>
      </c>
      <c r="O1586" s="556" t="str">
        <f>IF(N1586=M1586,"OK","DIF")</f>
        <v>DIF</v>
      </c>
      <c r="P1586" s="573"/>
      <c r="Q1586" s="556"/>
      <c r="R1586" s="582"/>
    </row>
    <row r="1587" ht="25.5" spans="1:18">
      <c r="A1587" s="556"/>
      <c r="B1587" s="557"/>
      <c r="C1587" s="108"/>
      <c r="D1587" s="108"/>
      <c r="E1587" s="108"/>
      <c r="F1587" s="108"/>
      <c r="G1587" s="108"/>
      <c r="H1587" s="108" t="s">
        <v>2898</v>
      </c>
      <c r="I1587" s="581">
        <v>4.81</v>
      </c>
      <c r="J1587" s="108" t="s">
        <v>2899</v>
      </c>
      <c r="K1587" s="581">
        <v>0</v>
      </c>
      <c r="L1587" s="108" t="s">
        <v>2900</v>
      </c>
      <c r="M1587" s="581">
        <v>4.81</v>
      </c>
      <c r="N1587" s="573"/>
      <c r="O1587" s="556"/>
      <c r="P1587" s="573"/>
      <c r="Q1587" s="556"/>
      <c r="R1587" s="582"/>
    </row>
    <row r="1588" ht="26.25" spans="1:18">
      <c r="A1588" s="556"/>
      <c r="B1588" s="557"/>
      <c r="C1588" s="108"/>
      <c r="D1588" s="108"/>
      <c r="E1588" s="108"/>
      <c r="F1588" s="108"/>
      <c r="G1588" s="108"/>
      <c r="H1588" s="108" t="s">
        <v>2901</v>
      </c>
      <c r="I1588" s="581">
        <v>4.11</v>
      </c>
      <c r="J1588" s="114"/>
      <c r="K1588" s="114" t="s">
        <v>2902</v>
      </c>
      <c r="L1588" s="108"/>
      <c r="M1588" s="581">
        <v>20.24</v>
      </c>
      <c r="N1588" s="573"/>
      <c r="O1588" s="556"/>
      <c r="P1588" s="573"/>
      <c r="Q1588" s="556"/>
      <c r="R1588" s="582"/>
    </row>
    <row r="1589" ht="15" spans="1:18">
      <c r="A1589" s="556"/>
      <c r="B1589" s="557">
        <f>C1588</f>
        <v>0</v>
      </c>
      <c r="C1589" s="571"/>
      <c r="D1589" s="571"/>
      <c r="E1589" s="571"/>
      <c r="F1589" s="571"/>
      <c r="G1589" s="571"/>
      <c r="H1589" s="571"/>
      <c r="I1589" s="571"/>
      <c r="J1589" s="571"/>
      <c r="K1589" s="571"/>
      <c r="L1589" s="571"/>
      <c r="M1589" s="571"/>
      <c r="N1589" s="573">
        <v>2258.65</v>
      </c>
      <c r="O1589" s="556" t="str">
        <f>IF(N1589=M1589,"OK","DIF")</f>
        <v>DIF</v>
      </c>
      <c r="P1589" s="573"/>
      <c r="Q1589" s="556"/>
      <c r="R1589" s="582"/>
    </row>
    <row r="1590" ht="15" customHeight="1" spans="1:18">
      <c r="A1590" s="556">
        <f>B1590</f>
        <v>0</v>
      </c>
      <c r="B1590" s="557">
        <f>B1589</f>
        <v>0</v>
      </c>
      <c r="C1590" s="76" t="s">
        <v>567</v>
      </c>
      <c r="D1590" s="75" t="s">
        <v>63</v>
      </c>
      <c r="E1590" s="76" t="s">
        <v>64</v>
      </c>
      <c r="F1590" s="76" t="s">
        <v>65</v>
      </c>
      <c r="G1590" s="76" t="s">
        <v>2889</v>
      </c>
      <c r="H1590" s="76"/>
      <c r="I1590" s="77" t="s">
        <v>66</v>
      </c>
      <c r="J1590" s="75" t="s">
        <v>67</v>
      </c>
      <c r="K1590" s="75" t="s">
        <v>2890</v>
      </c>
      <c r="L1590" s="75" t="s">
        <v>68</v>
      </c>
      <c r="M1590" s="75" t="s">
        <v>70</v>
      </c>
      <c r="N1590" s="573">
        <v>69.9</v>
      </c>
      <c r="O1590" s="556" t="str">
        <f>IF(N1590=M1590,"OK","DIF")</f>
        <v>DIF</v>
      </c>
      <c r="P1590" s="573"/>
      <c r="Q1590" s="556"/>
      <c r="R1590" s="582"/>
    </row>
    <row r="1591" ht="35.05" customHeight="1" spans="1:18">
      <c r="A1591" s="556">
        <f>B1591</f>
        <v>0</v>
      </c>
      <c r="B1591" s="557">
        <f>B1590</f>
        <v>0</v>
      </c>
      <c r="C1591" s="569" t="s">
        <v>2891</v>
      </c>
      <c r="D1591" s="570" t="s">
        <v>544</v>
      </c>
      <c r="E1591" s="569" t="s">
        <v>139</v>
      </c>
      <c r="F1591" s="569" t="s">
        <v>545</v>
      </c>
      <c r="G1591" s="569" t="s">
        <v>3317</v>
      </c>
      <c r="H1591" s="569"/>
      <c r="I1591" s="577" t="s">
        <v>393</v>
      </c>
      <c r="J1591" s="578">
        <v>1</v>
      </c>
      <c r="K1591" s="579"/>
      <c r="L1591" s="579">
        <v>13.64</v>
      </c>
      <c r="M1591" s="579">
        <v>13.64</v>
      </c>
      <c r="N1591" s="573">
        <v>179.85</v>
      </c>
      <c r="O1591" s="556" t="str">
        <f>IF(N1591=M1591,"OK","DIF")</f>
        <v>DIF</v>
      </c>
      <c r="P1591" s="573"/>
      <c r="Q1591" s="556"/>
      <c r="R1591" s="582"/>
    </row>
    <row r="1592" ht="23.85" customHeight="1" spans="1:18">
      <c r="A1592" s="556">
        <f>B1592</f>
        <v>0</v>
      </c>
      <c r="B1592" s="557">
        <f>B1591</f>
        <v>0</v>
      </c>
      <c r="C1592" s="79" t="s">
        <v>2921</v>
      </c>
      <c r="D1592" s="78" t="s">
        <v>3313</v>
      </c>
      <c r="E1592" s="79" t="s">
        <v>139</v>
      </c>
      <c r="F1592" s="79" t="s">
        <v>3314</v>
      </c>
      <c r="G1592" s="79" t="s">
        <v>2928</v>
      </c>
      <c r="H1592" s="79"/>
      <c r="I1592" s="80" t="s">
        <v>2897</v>
      </c>
      <c r="J1592" s="583">
        <v>0.0561</v>
      </c>
      <c r="K1592" s="583">
        <v>0</v>
      </c>
      <c r="L1592" s="92">
        <v>35.95</v>
      </c>
      <c r="M1592" s="92">
        <v>2.01</v>
      </c>
      <c r="N1592" s="573">
        <v>40.08</v>
      </c>
      <c r="O1592" s="556" t="str">
        <f>IF(N1592=M1592,"OK","DIF")</f>
        <v>DIF</v>
      </c>
      <c r="P1592" s="573"/>
      <c r="Q1592" s="556"/>
      <c r="R1592" s="582"/>
    </row>
    <row r="1593" ht="23.85" customHeight="1" spans="1:18">
      <c r="A1593" s="556">
        <f>B1593</f>
        <v>0</v>
      </c>
      <c r="B1593" s="557">
        <f>B1592</f>
        <v>0</v>
      </c>
      <c r="C1593" s="79" t="s">
        <v>2921</v>
      </c>
      <c r="D1593" s="78" t="s">
        <v>3322</v>
      </c>
      <c r="E1593" s="79" t="s">
        <v>139</v>
      </c>
      <c r="F1593" s="79" t="s">
        <v>3323</v>
      </c>
      <c r="G1593" s="79" t="s">
        <v>3317</v>
      </c>
      <c r="H1593" s="79"/>
      <c r="I1593" s="80" t="s">
        <v>393</v>
      </c>
      <c r="J1593" s="583">
        <v>1</v>
      </c>
      <c r="K1593" s="583">
        <v>0</v>
      </c>
      <c r="L1593" s="92">
        <v>10.65</v>
      </c>
      <c r="M1593" s="92">
        <v>10.65</v>
      </c>
      <c r="N1593" s="573">
        <v>1968.82</v>
      </c>
      <c r="O1593" s="556" t="str">
        <f>IF(N1593=M1593,"OK","DIF")</f>
        <v>DIF</v>
      </c>
      <c r="P1593" s="573"/>
      <c r="Q1593" s="556"/>
      <c r="R1593" s="582"/>
    </row>
    <row r="1594" ht="23.85" customHeight="1" spans="1:18">
      <c r="A1594" s="556"/>
      <c r="B1594" s="557"/>
      <c r="C1594" s="79" t="s">
        <v>2921</v>
      </c>
      <c r="D1594" s="78" t="s">
        <v>3311</v>
      </c>
      <c r="E1594" s="79" t="s">
        <v>139</v>
      </c>
      <c r="F1594" s="79" t="s">
        <v>3312</v>
      </c>
      <c r="G1594" s="79" t="s">
        <v>2928</v>
      </c>
      <c r="H1594" s="79"/>
      <c r="I1594" s="80" t="s">
        <v>2897</v>
      </c>
      <c r="J1594" s="583">
        <v>0.0092</v>
      </c>
      <c r="K1594" s="583">
        <v>0</v>
      </c>
      <c r="L1594" s="92">
        <v>30.06</v>
      </c>
      <c r="M1594" s="92">
        <v>0.27</v>
      </c>
      <c r="N1594" s="573"/>
      <c r="O1594" s="556"/>
      <c r="P1594" s="573"/>
      <c r="Q1594" s="556"/>
      <c r="R1594" s="582"/>
    </row>
    <row r="1595" ht="23.85" customHeight="1" spans="1:18">
      <c r="A1595" s="556"/>
      <c r="B1595" s="557"/>
      <c r="C1595" s="100" t="s">
        <v>2893</v>
      </c>
      <c r="D1595" s="99" t="s">
        <v>3318</v>
      </c>
      <c r="E1595" s="100" t="s">
        <v>139</v>
      </c>
      <c r="F1595" s="100" t="s">
        <v>3319</v>
      </c>
      <c r="G1595" s="100" t="s">
        <v>2961</v>
      </c>
      <c r="H1595" s="100"/>
      <c r="I1595" s="101" t="s">
        <v>393</v>
      </c>
      <c r="J1595" s="580">
        <v>0.025</v>
      </c>
      <c r="K1595" s="580">
        <v>0</v>
      </c>
      <c r="L1595" s="102">
        <v>22</v>
      </c>
      <c r="M1595" s="102">
        <v>0.55</v>
      </c>
      <c r="N1595" s="573"/>
      <c r="O1595" s="556"/>
      <c r="P1595" s="573"/>
      <c r="Q1595" s="556"/>
      <c r="R1595" s="582"/>
    </row>
    <row r="1596" ht="23.85" customHeight="1" spans="1:18">
      <c r="A1596" s="556"/>
      <c r="B1596" s="557" t="str">
        <f>C1595</f>
        <v>Insumo</v>
      </c>
      <c r="C1596" s="100" t="s">
        <v>2893</v>
      </c>
      <c r="D1596" s="99" t="s">
        <v>3320</v>
      </c>
      <c r="E1596" s="100" t="s">
        <v>139</v>
      </c>
      <c r="F1596" s="100" t="s">
        <v>3321</v>
      </c>
      <c r="G1596" s="100" t="s">
        <v>2961</v>
      </c>
      <c r="H1596" s="100"/>
      <c r="I1596" s="101" t="s">
        <v>134</v>
      </c>
      <c r="J1596" s="580">
        <v>0.743</v>
      </c>
      <c r="K1596" s="580">
        <v>0</v>
      </c>
      <c r="L1596" s="102">
        <v>0.22</v>
      </c>
      <c r="M1596" s="102">
        <v>0.16</v>
      </c>
      <c r="N1596" s="573">
        <v>1627.59</v>
      </c>
      <c r="O1596" s="556" t="str">
        <f>IF(N1596=M1596,"OK","DIF")</f>
        <v>DIF</v>
      </c>
      <c r="P1596" s="573"/>
      <c r="Q1596" s="556"/>
      <c r="R1596" s="582"/>
    </row>
    <row r="1597" ht="25.5" spans="1:18">
      <c r="A1597" s="556" t="str">
        <f>B1597</f>
        <v>Insumo</v>
      </c>
      <c r="B1597" s="557" t="str">
        <f>B1596</f>
        <v>Insumo</v>
      </c>
      <c r="C1597" s="108"/>
      <c r="D1597" s="108"/>
      <c r="E1597" s="108"/>
      <c r="F1597" s="108"/>
      <c r="G1597" s="108"/>
      <c r="H1597" s="108" t="s">
        <v>2898</v>
      </c>
      <c r="I1597" s="581">
        <v>2.1</v>
      </c>
      <c r="J1597" s="108" t="s">
        <v>2899</v>
      </c>
      <c r="K1597" s="581">
        <v>0</v>
      </c>
      <c r="L1597" s="108" t="s">
        <v>2900</v>
      </c>
      <c r="M1597" s="581">
        <v>2.1</v>
      </c>
      <c r="N1597" s="573">
        <v>132.44</v>
      </c>
      <c r="O1597" s="556" t="str">
        <f>IF(N1597=M1597,"OK","DIF")</f>
        <v>DIF</v>
      </c>
      <c r="P1597" s="573"/>
      <c r="Q1597" s="556"/>
      <c r="R1597" s="582"/>
    </row>
    <row r="1598" ht="26.25" spans="1:18">
      <c r="A1598" s="556" t="str">
        <f>B1598</f>
        <v>Insumo</v>
      </c>
      <c r="B1598" s="557" t="str">
        <f>B1597</f>
        <v>Insumo</v>
      </c>
      <c r="C1598" s="108"/>
      <c r="D1598" s="108"/>
      <c r="E1598" s="108"/>
      <c r="F1598" s="108"/>
      <c r="G1598" s="108"/>
      <c r="H1598" s="108" t="s">
        <v>2901</v>
      </c>
      <c r="I1598" s="581">
        <v>3.47</v>
      </c>
      <c r="J1598" s="114"/>
      <c r="K1598" s="114" t="s">
        <v>2902</v>
      </c>
      <c r="L1598" s="108"/>
      <c r="M1598" s="581">
        <v>17.11</v>
      </c>
      <c r="N1598" s="573">
        <v>107.16</v>
      </c>
      <c r="O1598" s="556" t="str">
        <f>IF(N1598=M1598,"OK","DIF")</f>
        <v>DIF</v>
      </c>
      <c r="P1598" s="573"/>
      <c r="Q1598" s="556"/>
      <c r="R1598" s="582"/>
    </row>
    <row r="1599" ht="15" spans="1:18">
      <c r="A1599" s="556" t="str">
        <f>B1599</f>
        <v>Insumo</v>
      </c>
      <c r="B1599" s="557" t="str">
        <f>B1598</f>
        <v>Insumo</v>
      </c>
      <c r="C1599" s="571"/>
      <c r="D1599" s="571"/>
      <c r="E1599" s="571"/>
      <c r="F1599" s="571"/>
      <c r="G1599" s="571"/>
      <c r="H1599" s="571"/>
      <c r="I1599" s="571"/>
      <c r="J1599" s="571"/>
      <c r="K1599" s="571"/>
      <c r="L1599" s="571"/>
      <c r="M1599" s="571"/>
      <c r="N1599" s="573">
        <v>1387.99</v>
      </c>
      <c r="O1599" s="556" t="str">
        <f>IF(N1599=M1599,"OK","DIF")</f>
        <v>DIF</v>
      </c>
      <c r="P1599" s="573"/>
      <c r="Q1599" s="556"/>
      <c r="R1599" s="582"/>
    </row>
    <row r="1600" ht="15" customHeight="1" spans="1:18">
      <c r="A1600" s="556"/>
      <c r="B1600" s="557"/>
      <c r="C1600" s="76" t="s">
        <v>568</v>
      </c>
      <c r="D1600" s="75" t="s">
        <v>63</v>
      </c>
      <c r="E1600" s="76" t="s">
        <v>64</v>
      </c>
      <c r="F1600" s="76" t="s">
        <v>65</v>
      </c>
      <c r="G1600" s="76" t="s">
        <v>2889</v>
      </c>
      <c r="H1600" s="76"/>
      <c r="I1600" s="77" t="s">
        <v>66</v>
      </c>
      <c r="J1600" s="75" t="s">
        <v>67</v>
      </c>
      <c r="K1600" s="75" t="s">
        <v>2890</v>
      </c>
      <c r="L1600" s="75" t="s">
        <v>68</v>
      </c>
      <c r="M1600" s="75" t="s">
        <v>70</v>
      </c>
      <c r="N1600" s="573"/>
      <c r="O1600" s="556"/>
      <c r="P1600" s="573"/>
      <c r="Q1600" s="556"/>
      <c r="R1600" s="582"/>
    </row>
    <row r="1601" ht="35.05" customHeight="1" spans="1:18">
      <c r="A1601" s="556"/>
      <c r="B1601" s="557"/>
      <c r="C1601" s="569" t="s">
        <v>2891</v>
      </c>
      <c r="D1601" s="570" t="s">
        <v>498</v>
      </c>
      <c r="E1601" s="569" t="s">
        <v>139</v>
      </c>
      <c r="F1601" s="569" t="s">
        <v>499</v>
      </c>
      <c r="G1601" s="569" t="s">
        <v>3317</v>
      </c>
      <c r="H1601" s="569"/>
      <c r="I1601" s="577" t="s">
        <v>393</v>
      </c>
      <c r="J1601" s="578">
        <v>1</v>
      </c>
      <c r="K1601" s="579"/>
      <c r="L1601" s="579">
        <v>12.03</v>
      </c>
      <c r="M1601" s="579">
        <v>12.03</v>
      </c>
      <c r="N1601" s="573"/>
      <c r="O1601" s="556"/>
      <c r="P1601" s="573"/>
      <c r="Q1601" s="556"/>
      <c r="R1601" s="582"/>
    </row>
    <row r="1602" ht="23.85" customHeight="1" spans="1:18">
      <c r="A1602" s="556"/>
      <c r="B1602" s="557" t="str">
        <f>C1601</f>
        <v>Composição</v>
      </c>
      <c r="C1602" s="79" t="s">
        <v>2921</v>
      </c>
      <c r="D1602" s="78" t="s">
        <v>3313</v>
      </c>
      <c r="E1602" s="79" t="s">
        <v>139</v>
      </c>
      <c r="F1602" s="79" t="s">
        <v>3314</v>
      </c>
      <c r="G1602" s="79" t="s">
        <v>2928</v>
      </c>
      <c r="H1602" s="79"/>
      <c r="I1602" s="80" t="s">
        <v>2897</v>
      </c>
      <c r="J1602" s="583">
        <v>0.0392</v>
      </c>
      <c r="K1602" s="583">
        <v>0</v>
      </c>
      <c r="L1602" s="92">
        <v>35.95</v>
      </c>
      <c r="M1602" s="92">
        <v>1.4</v>
      </c>
      <c r="N1602" s="573">
        <v>4404.58</v>
      </c>
      <c r="O1602" s="556" t="str">
        <f t="shared" ref="O1602:O1607" si="182">IF(N1602=M1602,"OK","DIF")</f>
        <v>DIF</v>
      </c>
      <c r="P1602" s="573"/>
      <c r="Q1602" s="556"/>
      <c r="R1602" s="582"/>
    </row>
    <row r="1603" ht="23.85" customHeight="1" spans="1:18">
      <c r="A1603" s="556" t="str">
        <f>B1603</f>
        <v>Composição</v>
      </c>
      <c r="B1603" s="557" t="str">
        <f>B1602</f>
        <v>Composição</v>
      </c>
      <c r="C1603" s="79" t="s">
        <v>2921</v>
      </c>
      <c r="D1603" s="78" t="s">
        <v>3324</v>
      </c>
      <c r="E1603" s="79" t="s">
        <v>139</v>
      </c>
      <c r="F1603" s="79" t="s">
        <v>3325</v>
      </c>
      <c r="G1603" s="79" t="s">
        <v>3317</v>
      </c>
      <c r="H1603" s="79"/>
      <c r="I1603" s="80" t="s">
        <v>393</v>
      </c>
      <c r="J1603" s="583">
        <v>1</v>
      </c>
      <c r="K1603" s="583">
        <v>0</v>
      </c>
      <c r="L1603" s="92">
        <v>9.78</v>
      </c>
      <c r="M1603" s="92">
        <v>9.78</v>
      </c>
      <c r="N1603" s="573">
        <v>3.78</v>
      </c>
      <c r="O1603" s="556" t="str">
        <f t="shared" si="182"/>
        <v>DIF</v>
      </c>
      <c r="P1603" s="573"/>
      <c r="Q1603" s="556"/>
      <c r="R1603" s="582"/>
    </row>
    <row r="1604" ht="23.85" customHeight="1" spans="1:18">
      <c r="A1604" s="556" t="str">
        <f>B1604</f>
        <v>Composição</v>
      </c>
      <c r="B1604" s="557" t="str">
        <f>B1603</f>
        <v>Composição</v>
      </c>
      <c r="C1604" s="79" t="s">
        <v>2921</v>
      </c>
      <c r="D1604" s="78" t="s">
        <v>3311</v>
      </c>
      <c r="E1604" s="79" t="s">
        <v>139</v>
      </c>
      <c r="F1604" s="79" t="s">
        <v>3312</v>
      </c>
      <c r="G1604" s="79" t="s">
        <v>2928</v>
      </c>
      <c r="H1604" s="79"/>
      <c r="I1604" s="80" t="s">
        <v>2897</v>
      </c>
      <c r="J1604" s="583">
        <v>0.0064</v>
      </c>
      <c r="K1604" s="583">
        <v>0</v>
      </c>
      <c r="L1604" s="92">
        <v>30.06</v>
      </c>
      <c r="M1604" s="92">
        <v>0.19</v>
      </c>
      <c r="N1604" s="573">
        <v>77.85</v>
      </c>
      <c r="O1604" s="556" t="str">
        <f t="shared" si="182"/>
        <v>DIF</v>
      </c>
      <c r="P1604" s="573"/>
      <c r="Q1604" s="556"/>
      <c r="R1604" s="582"/>
    </row>
    <row r="1605" ht="23.85" customHeight="1" spans="1:18">
      <c r="A1605" s="556" t="str">
        <f>B1605</f>
        <v>Composição</v>
      </c>
      <c r="B1605" s="557" t="str">
        <f>B1604</f>
        <v>Composição</v>
      </c>
      <c r="C1605" s="100" t="s">
        <v>2893</v>
      </c>
      <c r="D1605" s="99" t="s">
        <v>3320</v>
      </c>
      <c r="E1605" s="100" t="s">
        <v>139</v>
      </c>
      <c r="F1605" s="100" t="s">
        <v>3321</v>
      </c>
      <c r="G1605" s="100" t="s">
        <v>2961</v>
      </c>
      <c r="H1605" s="100"/>
      <c r="I1605" s="101" t="s">
        <v>134</v>
      </c>
      <c r="J1605" s="580">
        <v>0.543</v>
      </c>
      <c r="K1605" s="580">
        <v>0</v>
      </c>
      <c r="L1605" s="102">
        <v>0.22</v>
      </c>
      <c r="M1605" s="102">
        <v>0.11</v>
      </c>
      <c r="N1605" s="573">
        <v>26.7</v>
      </c>
      <c r="O1605" s="556" t="str">
        <f t="shared" si="182"/>
        <v>DIF</v>
      </c>
      <c r="P1605" s="573"/>
      <c r="Q1605" s="556"/>
      <c r="R1605" s="582"/>
    </row>
    <row r="1606" ht="23.85" customHeight="1" spans="1:18">
      <c r="A1606" s="556" t="str">
        <f>B1606</f>
        <v>Composição</v>
      </c>
      <c r="B1606" s="557" t="str">
        <f>B1605</f>
        <v>Composição</v>
      </c>
      <c r="C1606" s="100" t="s">
        <v>2893</v>
      </c>
      <c r="D1606" s="99" t="s">
        <v>3318</v>
      </c>
      <c r="E1606" s="100" t="s">
        <v>139</v>
      </c>
      <c r="F1606" s="100" t="s">
        <v>3319</v>
      </c>
      <c r="G1606" s="100" t="s">
        <v>2961</v>
      </c>
      <c r="H1606" s="100"/>
      <c r="I1606" s="101" t="s">
        <v>393</v>
      </c>
      <c r="J1606" s="580">
        <v>0.025</v>
      </c>
      <c r="K1606" s="580">
        <v>0</v>
      </c>
      <c r="L1606" s="102">
        <v>22</v>
      </c>
      <c r="M1606" s="102">
        <v>0.55</v>
      </c>
      <c r="N1606" s="573">
        <v>59.59</v>
      </c>
      <c r="O1606" s="556" t="str">
        <f t="shared" si="182"/>
        <v>DIF</v>
      </c>
      <c r="P1606" s="573"/>
      <c r="Q1606" s="556"/>
      <c r="R1606" s="582"/>
    </row>
    <row r="1607" ht="25.5" spans="1:18">
      <c r="A1607" s="556" t="str">
        <f>B1607</f>
        <v>Composição</v>
      </c>
      <c r="B1607" s="557" t="str">
        <f>B1606</f>
        <v>Composição</v>
      </c>
      <c r="C1607" s="108"/>
      <c r="D1607" s="108"/>
      <c r="E1607" s="108"/>
      <c r="F1607" s="108"/>
      <c r="G1607" s="108"/>
      <c r="H1607" s="108" t="s">
        <v>2898</v>
      </c>
      <c r="I1607" s="581">
        <v>1.37</v>
      </c>
      <c r="J1607" s="108" t="s">
        <v>2899</v>
      </c>
      <c r="K1607" s="581">
        <v>0</v>
      </c>
      <c r="L1607" s="108" t="s">
        <v>2900</v>
      </c>
      <c r="M1607" s="581">
        <v>1.37</v>
      </c>
      <c r="N1607" s="573">
        <v>4236.66</v>
      </c>
      <c r="O1607" s="556" t="str">
        <f t="shared" si="182"/>
        <v>DIF</v>
      </c>
      <c r="P1607" s="573"/>
      <c r="Q1607" s="556"/>
      <c r="R1607" s="582"/>
    </row>
    <row r="1608" ht="26.25" spans="1:18">
      <c r="A1608" s="556"/>
      <c r="B1608" s="557"/>
      <c r="C1608" s="108"/>
      <c r="D1608" s="108"/>
      <c r="E1608" s="108"/>
      <c r="F1608" s="108"/>
      <c r="G1608" s="108"/>
      <c r="H1608" s="108" t="s">
        <v>2901</v>
      </c>
      <c r="I1608" s="581">
        <v>3.06</v>
      </c>
      <c r="J1608" s="114"/>
      <c r="K1608" s="114" t="s">
        <v>2902</v>
      </c>
      <c r="L1608" s="108"/>
      <c r="M1608" s="581">
        <v>15.09</v>
      </c>
      <c r="N1608" s="573"/>
      <c r="O1608" s="556"/>
      <c r="P1608" s="573"/>
      <c r="Q1608" s="556"/>
      <c r="R1608" s="582"/>
    </row>
    <row r="1609" ht="15" spans="1:18">
      <c r="A1609" s="556"/>
      <c r="B1609" s="557"/>
      <c r="C1609" s="571"/>
      <c r="D1609" s="571"/>
      <c r="E1609" s="571"/>
      <c r="F1609" s="571"/>
      <c r="G1609" s="571"/>
      <c r="H1609" s="571"/>
      <c r="I1609" s="571"/>
      <c r="J1609" s="571"/>
      <c r="K1609" s="571"/>
      <c r="L1609" s="571"/>
      <c r="M1609" s="571"/>
      <c r="N1609" s="573"/>
      <c r="O1609" s="556"/>
      <c r="P1609" s="573"/>
      <c r="Q1609" s="556"/>
      <c r="R1609" s="582"/>
    </row>
    <row r="1610" ht="15" customHeight="1" spans="1:18">
      <c r="A1610" s="556"/>
      <c r="B1610" s="557">
        <f>C1609</f>
        <v>0</v>
      </c>
      <c r="C1610" s="76" t="s">
        <v>569</v>
      </c>
      <c r="D1610" s="75" t="s">
        <v>63</v>
      </c>
      <c r="E1610" s="76" t="s">
        <v>64</v>
      </c>
      <c r="F1610" s="76" t="s">
        <v>65</v>
      </c>
      <c r="G1610" s="76" t="s">
        <v>2889</v>
      </c>
      <c r="H1610" s="76"/>
      <c r="I1610" s="77" t="s">
        <v>66</v>
      </c>
      <c r="J1610" s="75" t="s">
        <v>67</v>
      </c>
      <c r="K1610" s="75" t="s">
        <v>2890</v>
      </c>
      <c r="L1610" s="75" t="s">
        <v>68</v>
      </c>
      <c r="M1610" s="75" t="s">
        <v>70</v>
      </c>
      <c r="N1610" s="573">
        <v>180.12</v>
      </c>
      <c r="O1610" s="556" t="str">
        <f>IF(N1610=M1610,"OK","DIF")</f>
        <v>DIF</v>
      </c>
      <c r="P1610" s="573"/>
      <c r="Q1610" s="556"/>
      <c r="R1610" s="582"/>
    </row>
    <row r="1611" ht="23.85" customHeight="1" spans="1:18">
      <c r="A1611" s="556">
        <f>B1611</f>
        <v>0</v>
      </c>
      <c r="B1611" s="557">
        <f>B1610</f>
        <v>0</v>
      </c>
      <c r="C1611" s="569" t="s">
        <v>2891</v>
      </c>
      <c r="D1611" s="570" t="s">
        <v>455</v>
      </c>
      <c r="E1611" s="569" t="s">
        <v>139</v>
      </c>
      <c r="F1611" s="569" t="s">
        <v>456</v>
      </c>
      <c r="G1611" s="569" t="s">
        <v>3317</v>
      </c>
      <c r="H1611" s="569"/>
      <c r="I1611" s="577" t="s">
        <v>393</v>
      </c>
      <c r="J1611" s="578">
        <v>1</v>
      </c>
      <c r="K1611" s="579"/>
      <c r="L1611" s="579">
        <v>14.11</v>
      </c>
      <c r="M1611" s="579">
        <v>14.11</v>
      </c>
      <c r="N1611" s="573">
        <v>26.92</v>
      </c>
      <c r="O1611" s="556" t="str">
        <f>IF(N1611=M1611,"OK","DIF")</f>
        <v>DIF</v>
      </c>
      <c r="P1611" s="573"/>
      <c r="Q1611" s="556"/>
      <c r="R1611" s="582"/>
    </row>
    <row r="1612" ht="23.85" customHeight="1" spans="1:18">
      <c r="A1612" s="556">
        <f>B1612</f>
        <v>0</v>
      </c>
      <c r="B1612" s="557">
        <f>B1611</f>
        <v>0</v>
      </c>
      <c r="C1612" s="79" t="s">
        <v>2921</v>
      </c>
      <c r="D1612" s="78" t="s">
        <v>3313</v>
      </c>
      <c r="E1612" s="79" t="s">
        <v>139</v>
      </c>
      <c r="F1612" s="79" t="s">
        <v>3314</v>
      </c>
      <c r="G1612" s="79" t="s">
        <v>2928</v>
      </c>
      <c r="H1612" s="79"/>
      <c r="I1612" s="80" t="s">
        <v>2897</v>
      </c>
      <c r="J1612" s="583">
        <v>0.0597</v>
      </c>
      <c r="K1612" s="583">
        <v>0</v>
      </c>
      <c r="L1612" s="92">
        <v>35.95</v>
      </c>
      <c r="M1612" s="92">
        <v>2.14</v>
      </c>
      <c r="N1612" s="573">
        <v>9.96</v>
      </c>
      <c r="O1612" s="556" t="str">
        <f>IF(N1612=M1612,"OK","DIF")</f>
        <v>DIF</v>
      </c>
      <c r="P1612" s="573"/>
      <c r="Q1612" s="556"/>
      <c r="R1612" s="582"/>
    </row>
    <row r="1613" ht="23.85" customHeight="1" spans="1:18">
      <c r="A1613" s="556">
        <f>B1613</f>
        <v>0</v>
      </c>
      <c r="B1613" s="557">
        <f>B1612</f>
        <v>0</v>
      </c>
      <c r="C1613" s="79" t="s">
        <v>2921</v>
      </c>
      <c r="D1613" s="78" t="s">
        <v>3315</v>
      </c>
      <c r="E1613" s="79" t="s">
        <v>139</v>
      </c>
      <c r="F1613" s="79" t="s">
        <v>3316</v>
      </c>
      <c r="G1613" s="79" t="s">
        <v>3317</v>
      </c>
      <c r="H1613" s="79"/>
      <c r="I1613" s="80" t="s">
        <v>393</v>
      </c>
      <c r="J1613" s="583">
        <v>1</v>
      </c>
      <c r="K1613" s="583">
        <v>0</v>
      </c>
      <c r="L1613" s="92">
        <v>10.84</v>
      </c>
      <c r="M1613" s="92">
        <v>10.84</v>
      </c>
      <c r="N1613" s="573">
        <v>143.24</v>
      </c>
      <c r="O1613" s="556" t="str">
        <f>IF(N1613=M1613,"OK","DIF")</f>
        <v>DIF</v>
      </c>
      <c r="P1613" s="573"/>
      <c r="Q1613" s="556"/>
      <c r="R1613" s="582"/>
    </row>
    <row r="1614" ht="23.85" customHeight="1" spans="1:18">
      <c r="A1614" s="556"/>
      <c r="B1614" s="557"/>
      <c r="C1614" s="79" t="s">
        <v>2921</v>
      </c>
      <c r="D1614" s="78" t="s">
        <v>3311</v>
      </c>
      <c r="E1614" s="79" t="s">
        <v>139</v>
      </c>
      <c r="F1614" s="79" t="s">
        <v>3312</v>
      </c>
      <c r="G1614" s="79" t="s">
        <v>2928</v>
      </c>
      <c r="H1614" s="79"/>
      <c r="I1614" s="80" t="s">
        <v>2897</v>
      </c>
      <c r="J1614" s="583">
        <v>0.0098</v>
      </c>
      <c r="K1614" s="583">
        <v>0</v>
      </c>
      <c r="L1614" s="92">
        <v>30.06</v>
      </c>
      <c r="M1614" s="92">
        <v>0.29</v>
      </c>
      <c r="N1614" s="573"/>
      <c r="O1614" s="556"/>
      <c r="P1614" s="573"/>
      <c r="Q1614" s="556"/>
      <c r="R1614" s="582"/>
    </row>
    <row r="1615" ht="23.85" customHeight="1" spans="1:18">
      <c r="A1615" s="556"/>
      <c r="B1615" s="557"/>
      <c r="C1615" s="100" t="s">
        <v>2893</v>
      </c>
      <c r="D1615" s="99" t="s">
        <v>3318</v>
      </c>
      <c r="E1615" s="100" t="s">
        <v>139</v>
      </c>
      <c r="F1615" s="100" t="s">
        <v>3319</v>
      </c>
      <c r="G1615" s="100" t="s">
        <v>2961</v>
      </c>
      <c r="H1615" s="100"/>
      <c r="I1615" s="101" t="s">
        <v>393</v>
      </c>
      <c r="J1615" s="580">
        <v>0.025</v>
      </c>
      <c r="K1615" s="580">
        <v>0</v>
      </c>
      <c r="L1615" s="102">
        <v>22</v>
      </c>
      <c r="M1615" s="102">
        <v>0.55</v>
      </c>
      <c r="N1615" s="573"/>
      <c r="O1615" s="556"/>
      <c r="P1615" s="573"/>
      <c r="Q1615" s="556"/>
      <c r="R1615" s="582"/>
    </row>
    <row r="1616" ht="23.85" customHeight="1" spans="1:18">
      <c r="A1616" s="556"/>
      <c r="B1616" s="557"/>
      <c r="C1616" s="100" t="s">
        <v>2893</v>
      </c>
      <c r="D1616" s="99" t="s">
        <v>3320</v>
      </c>
      <c r="E1616" s="100" t="s">
        <v>139</v>
      </c>
      <c r="F1616" s="100" t="s">
        <v>3321</v>
      </c>
      <c r="G1616" s="100" t="s">
        <v>2961</v>
      </c>
      <c r="H1616" s="100"/>
      <c r="I1616" s="101" t="s">
        <v>134</v>
      </c>
      <c r="J1616" s="580">
        <v>1.333</v>
      </c>
      <c r="K1616" s="580">
        <v>0</v>
      </c>
      <c r="L1616" s="102">
        <v>0.22</v>
      </c>
      <c r="M1616" s="102">
        <v>0.29</v>
      </c>
      <c r="N1616" s="573"/>
      <c r="O1616" s="556"/>
      <c r="P1616" s="573"/>
      <c r="Q1616" s="556"/>
      <c r="R1616" s="582"/>
    </row>
    <row r="1617" ht="25.5" spans="1:18">
      <c r="A1617" s="556"/>
      <c r="B1617" s="557" t="str">
        <f>C1616</f>
        <v>Insumo</v>
      </c>
      <c r="C1617" s="108"/>
      <c r="D1617" s="108"/>
      <c r="E1617" s="108"/>
      <c r="F1617" s="108"/>
      <c r="G1617" s="108"/>
      <c r="H1617" s="108" t="s">
        <v>2898</v>
      </c>
      <c r="I1617" s="581">
        <v>2.63</v>
      </c>
      <c r="J1617" s="108" t="s">
        <v>2899</v>
      </c>
      <c r="K1617" s="581">
        <v>0</v>
      </c>
      <c r="L1617" s="108" t="s">
        <v>2900</v>
      </c>
      <c r="M1617" s="581">
        <v>2.63</v>
      </c>
      <c r="N1617" s="573">
        <v>1328.33</v>
      </c>
      <c r="O1617" s="556" t="str">
        <f t="shared" ref="O1617:O1625" si="183">IF(N1617=M1617,"OK","DIF")</f>
        <v>DIF</v>
      </c>
      <c r="P1617" s="573"/>
      <c r="Q1617" s="556"/>
      <c r="R1617" s="582"/>
    </row>
    <row r="1618" ht="26.25" spans="1:18">
      <c r="A1618" s="556" t="str">
        <f t="shared" ref="A1618:A1625" si="184">B1618</f>
        <v>Insumo</v>
      </c>
      <c r="B1618" s="557" t="str">
        <f t="shared" ref="B1618:B1625" si="185">B1617</f>
        <v>Insumo</v>
      </c>
      <c r="C1618" s="108"/>
      <c r="D1618" s="108"/>
      <c r="E1618" s="108"/>
      <c r="F1618" s="108"/>
      <c r="G1618" s="108"/>
      <c r="H1618" s="108" t="s">
        <v>2901</v>
      </c>
      <c r="I1618" s="581">
        <v>3.59</v>
      </c>
      <c r="J1618" s="114"/>
      <c r="K1618" s="114" t="s">
        <v>2902</v>
      </c>
      <c r="L1618" s="108"/>
      <c r="M1618" s="581">
        <v>17.7</v>
      </c>
      <c r="N1618" s="573">
        <v>0.74</v>
      </c>
      <c r="O1618" s="556" t="str">
        <f t="shared" si="183"/>
        <v>DIF</v>
      </c>
      <c r="P1618" s="573"/>
      <c r="Q1618" s="556"/>
      <c r="R1618" s="582"/>
    </row>
    <row r="1619" ht="15" spans="1:18">
      <c r="A1619" s="556" t="str">
        <f t="shared" si="184"/>
        <v>Insumo</v>
      </c>
      <c r="B1619" s="557" t="str">
        <f t="shared" si="185"/>
        <v>Insumo</v>
      </c>
      <c r="C1619" s="571"/>
      <c r="D1619" s="571"/>
      <c r="E1619" s="571"/>
      <c r="F1619" s="571"/>
      <c r="G1619" s="571"/>
      <c r="H1619" s="571"/>
      <c r="I1619" s="571"/>
      <c r="J1619" s="571"/>
      <c r="K1619" s="571"/>
      <c r="L1619" s="571"/>
      <c r="M1619" s="571"/>
      <c r="N1619" s="573">
        <v>23.09</v>
      </c>
      <c r="O1619" s="556" t="str">
        <f t="shared" si="183"/>
        <v>DIF</v>
      </c>
      <c r="P1619" s="573"/>
      <c r="Q1619" s="556"/>
      <c r="R1619" s="582"/>
    </row>
    <row r="1620" ht="15" customHeight="1" spans="1:18">
      <c r="A1620" s="556" t="str">
        <f t="shared" si="184"/>
        <v>Insumo</v>
      </c>
      <c r="B1620" s="557" t="str">
        <f t="shared" si="185"/>
        <v>Insumo</v>
      </c>
      <c r="C1620" s="76" t="s">
        <v>570</v>
      </c>
      <c r="D1620" s="75" t="s">
        <v>63</v>
      </c>
      <c r="E1620" s="76" t="s">
        <v>64</v>
      </c>
      <c r="F1620" s="76" t="s">
        <v>65</v>
      </c>
      <c r="G1620" s="76" t="s">
        <v>2889</v>
      </c>
      <c r="H1620" s="76"/>
      <c r="I1620" s="77" t="s">
        <v>66</v>
      </c>
      <c r="J1620" s="75" t="s">
        <v>67</v>
      </c>
      <c r="K1620" s="75" t="s">
        <v>2890</v>
      </c>
      <c r="L1620" s="75" t="s">
        <v>68</v>
      </c>
      <c r="M1620" s="75" t="s">
        <v>70</v>
      </c>
      <c r="N1620" s="573">
        <v>1235.4</v>
      </c>
      <c r="O1620" s="556" t="str">
        <f t="shared" si="183"/>
        <v>DIF</v>
      </c>
      <c r="P1620" s="573"/>
      <c r="Q1620" s="556"/>
      <c r="R1620" s="582"/>
    </row>
    <row r="1621" ht="35.05" customHeight="1" spans="1:18">
      <c r="A1621" s="556" t="str">
        <f t="shared" si="184"/>
        <v>Insumo</v>
      </c>
      <c r="B1621" s="557" t="str">
        <f t="shared" si="185"/>
        <v>Insumo</v>
      </c>
      <c r="C1621" s="569" t="s">
        <v>2891</v>
      </c>
      <c r="D1621" s="570" t="s">
        <v>552</v>
      </c>
      <c r="E1621" s="569" t="s">
        <v>139</v>
      </c>
      <c r="F1621" s="569" t="s">
        <v>553</v>
      </c>
      <c r="G1621" s="569" t="s">
        <v>3390</v>
      </c>
      <c r="H1621" s="569"/>
      <c r="I1621" s="577" t="s">
        <v>141</v>
      </c>
      <c r="J1621" s="578">
        <v>1</v>
      </c>
      <c r="K1621" s="579"/>
      <c r="L1621" s="579">
        <v>72.9</v>
      </c>
      <c r="M1621" s="579">
        <v>72.9</v>
      </c>
      <c r="N1621" s="573">
        <v>8.22</v>
      </c>
      <c r="O1621" s="556" t="str">
        <f t="shared" si="183"/>
        <v>DIF</v>
      </c>
      <c r="P1621" s="573"/>
      <c r="Q1621" s="556"/>
      <c r="R1621" s="582"/>
    </row>
    <row r="1622" ht="23.85" customHeight="1" spans="1:18">
      <c r="A1622" s="556" t="str">
        <f t="shared" si="184"/>
        <v>Insumo</v>
      </c>
      <c r="B1622" s="557" t="str">
        <f t="shared" si="185"/>
        <v>Insumo</v>
      </c>
      <c r="C1622" s="79" t="s">
        <v>2921</v>
      </c>
      <c r="D1622" s="78" t="s">
        <v>3391</v>
      </c>
      <c r="E1622" s="79" t="s">
        <v>139</v>
      </c>
      <c r="F1622" s="79" t="s">
        <v>3392</v>
      </c>
      <c r="G1622" s="79" t="s">
        <v>3390</v>
      </c>
      <c r="H1622" s="79"/>
      <c r="I1622" s="80" t="s">
        <v>141</v>
      </c>
      <c r="J1622" s="583">
        <v>0.105</v>
      </c>
      <c r="K1622" s="583">
        <v>0</v>
      </c>
      <c r="L1622" s="92">
        <v>220.83</v>
      </c>
      <c r="M1622" s="92">
        <v>23.18</v>
      </c>
      <c r="N1622" s="573">
        <v>0.24</v>
      </c>
      <c r="O1622" s="556" t="str">
        <f t="shared" si="183"/>
        <v>DIF</v>
      </c>
      <c r="P1622" s="573"/>
      <c r="Q1622" s="556"/>
      <c r="R1622" s="582"/>
    </row>
    <row r="1623" ht="23.85" customHeight="1" spans="1:18">
      <c r="A1623" s="556" t="str">
        <f t="shared" si="184"/>
        <v>Insumo</v>
      </c>
      <c r="B1623" s="557" t="str">
        <f t="shared" si="185"/>
        <v>Insumo</v>
      </c>
      <c r="C1623" s="79" t="s">
        <v>2921</v>
      </c>
      <c r="D1623" s="78" t="s">
        <v>2954</v>
      </c>
      <c r="E1623" s="79" t="s">
        <v>139</v>
      </c>
      <c r="F1623" s="79" t="s">
        <v>2955</v>
      </c>
      <c r="G1623" s="79" t="s">
        <v>2928</v>
      </c>
      <c r="H1623" s="79"/>
      <c r="I1623" s="80" t="s">
        <v>2897</v>
      </c>
      <c r="J1623" s="583">
        <v>0.661</v>
      </c>
      <c r="K1623" s="583">
        <v>0</v>
      </c>
      <c r="L1623" s="92">
        <v>37.51</v>
      </c>
      <c r="M1623" s="92">
        <v>24.79</v>
      </c>
      <c r="N1623" s="573">
        <v>23.62</v>
      </c>
      <c r="O1623" s="556" t="str">
        <f t="shared" si="183"/>
        <v>DIF</v>
      </c>
      <c r="P1623" s="573"/>
      <c r="Q1623" s="556"/>
      <c r="R1623" s="582"/>
    </row>
    <row r="1624" ht="23.85" customHeight="1" spans="1:18">
      <c r="A1624" s="556" t="str">
        <f t="shared" si="184"/>
        <v>Insumo</v>
      </c>
      <c r="B1624" s="557" t="str">
        <f t="shared" si="185"/>
        <v>Insumo</v>
      </c>
      <c r="C1624" s="79" t="s">
        <v>2921</v>
      </c>
      <c r="D1624" s="78" t="s">
        <v>3003</v>
      </c>
      <c r="E1624" s="79" t="s">
        <v>139</v>
      </c>
      <c r="F1624" s="79" t="s">
        <v>3004</v>
      </c>
      <c r="G1624" s="79" t="s">
        <v>2928</v>
      </c>
      <c r="H1624" s="79"/>
      <c r="I1624" s="80" t="s">
        <v>2897</v>
      </c>
      <c r="J1624" s="583">
        <v>0.121</v>
      </c>
      <c r="K1624" s="583">
        <v>0</v>
      </c>
      <c r="L1624" s="92">
        <v>29.91</v>
      </c>
      <c r="M1624" s="92">
        <v>3.61</v>
      </c>
      <c r="N1624" s="573">
        <v>33.36</v>
      </c>
      <c r="O1624" s="556" t="str">
        <f t="shared" si="183"/>
        <v>DIF</v>
      </c>
      <c r="P1624" s="573"/>
      <c r="Q1624" s="556"/>
      <c r="R1624" s="582"/>
    </row>
    <row r="1625" ht="23.85" customHeight="1" spans="1:18">
      <c r="A1625" s="556" t="str">
        <f t="shared" si="184"/>
        <v>Insumo</v>
      </c>
      <c r="B1625" s="557" t="str">
        <f t="shared" si="185"/>
        <v>Insumo</v>
      </c>
      <c r="C1625" s="100" t="s">
        <v>2893</v>
      </c>
      <c r="D1625" s="99" t="s">
        <v>3396</v>
      </c>
      <c r="E1625" s="100" t="s">
        <v>139</v>
      </c>
      <c r="F1625" s="100" t="s">
        <v>3397</v>
      </c>
      <c r="G1625" s="100" t="s">
        <v>3395</v>
      </c>
      <c r="H1625" s="100"/>
      <c r="I1625" s="101" t="s">
        <v>3398</v>
      </c>
      <c r="J1625" s="580">
        <v>0.196</v>
      </c>
      <c r="K1625" s="580">
        <v>0</v>
      </c>
      <c r="L1625" s="102">
        <v>22.96</v>
      </c>
      <c r="M1625" s="102">
        <v>4.5</v>
      </c>
      <c r="N1625" s="573">
        <v>3.66</v>
      </c>
      <c r="O1625" s="556" t="str">
        <f t="shared" si="183"/>
        <v>DIF</v>
      </c>
      <c r="P1625" s="573"/>
      <c r="Q1625" s="556"/>
      <c r="R1625" s="582"/>
    </row>
    <row r="1626" ht="15" customHeight="1" spans="1:18">
      <c r="A1626" s="556"/>
      <c r="B1626" s="557"/>
      <c r="C1626" s="100" t="s">
        <v>2893</v>
      </c>
      <c r="D1626" s="99" t="s">
        <v>3332</v>
      </c>
      <c r="E1626" s="100" t="s">
        <v>139</v>
      </c>
      <c r="F1626" s="100" t="s">
        <v>3333</v>
      </c>
      <c r="G1626" s="100" t="s">
        <v>2961</v>
      </c>
      <c r="H1626" s="100"/>
      <c r="I1626" s="101" t="s">
        <v>393</v>
      </c>
      <c r="J1626" s="580">
        <v>0.019</v>
      </c>
      <c r="K1626" s="580">
        <v>0</v>
      </c>
      <c r="L1626" s="102">
        <v>22.69</v>
      </c>
      <c r="M1626" s="102">
        <v>0.43</v>
      </c>
      <c r="N1626" s="573"/>
      <c r="O1626" s="556"/>
      <c r="P1626" s="573"/>
      <c r="Q1626" s="556"/>
      <c r="R1626" s="582"/>
    </row>
    <row r="1627" ht="23.85" customHeight="1" spans="1:18">
      <c r="A1627" s="556"/>
      <c r="B1627" s="557"/>
      <c r="C1627" s="100" t="s">
        <v>2893</v>
      </c>
      <c r="D1627" s="99" t="s">
        <v>3393</v>
      </c>
      <c r="E1627" s="100" t="s">
        <v>139</v>
      </c>
      <c r="F1627" s="100" t="s">
        <v>3394</v>
      </c>
      <c r="G1627" s="100" t="s">
        <v>3395</v>
      </c>
      <c r="H1627" s="100"/>
      <c r="I1627" s="101" t="s">
        <v>2925</v>
      </c>
      <c r="J1627" s="580">
        <v>0.785</v>
      </c>
      <c r="K1627" s="580">
        <v>0</v>
      </c>
      <c r="L1627" s="102">
        <v>8.84</v>
      </c>
      <c r="M1627" s="102">
        <v>6.93</v>
      </c>
      <c r="N1627" s="573"/>
      <c r="O1627" s="556"/>
      <c r="P1627" s="573"/>
      <c r="Q1627" s="556"/>
      <c r="R1627" s="582"/>
    </row>
    <row r="1628" ht="23.85" customHeight="1" spans="1:18">
      <c r="A1628" s="556"/>
      <c r="B1628" s="557" t="str">
        <f>C1627</f>
        <v>Insumo</v>
      </c>
      <c r="C1628" s="100" t="s">
        <v>2893</v>
      </c>
      <c r="D1628" s="99" t="s">
        <v>3342</v>
      </c>
      <c r="E1628" s="100" t="s">
        <v>139</v>
      </c>
      <c r="F1628" s="100" t="s">
        <v>3343</v>
      </c>
      <c r="G1628" s="100" t="s">
        <v>2961</v>
      </c>
      <c r="H1628" s="100"/>
      <c r="I1628" s="101" t="s">
        <v>3084</v>
      </c>
      <c r="J1628" s="580">
        <v>0.004</v>
      </c>
      <c r="K1628" s="580">
        <v>0</v>
      </c>
      <c r="L1628" s="102">
        <v>7.97</v>
      </c>
      <c r="M1628" s="102">
        <v>0.03</v>
      </c>
      <c r="N1628" s="573">
        <v>621.52</v>
      </c>
      <c r="O1628" s="556" t="str">
        <f>IF(N1628=M1628,"OK","DIF")</f>
        <v>DIF</v>
      </c>
      <c r="P1628" s="573"/>
      <c r="Q1628" s="556"/>
      <c r="R1628" s="582"/>
    </row>
    <row r="1629" ht="35.05" customHeight="1" spans="1:18">
      <c r="A1629" s="556" t="str">
        <f>B1629</f>
        <v>Insumo</v>
      </c>
      <c r="B1629" s="557" t="str">
        <f>B1628</f>
        <v>Insumo</v>
      </c>
      <c r="C1629" s="100" t="s">
        <v>2893</v>
      </c>
      <c r="D1629" s="99" t="s">
        <v>3399</v>
      </c>
      <c r="E1629" s="100" t="s">
        <v>139</v>
      </c>
      <c r="F1629" s="100" t="s">
        <v>3400</v>
      </c>
      <c r="G1629" s="100" t="s">
        <v>3395</v>
      </c>
      <c r="H1629" s="100"/>
      <c r="I1629" s="101" t="s">
        <v>3398</v>
      </c>
      <c r="J1629" s="580">
        <v>0.393</v>
      </c>
      <c r="K1629" s="580">
        <v>0</v>
      </c>
      <c r="L1629" s="102">
        <v>24</v>
      </c>
      <c r="M1629" s="102">
        <v>9.43</v>
      </c>
      <c r="N1629" s="573">
        <v>0.74</v>
      </c>
      <c r="O1629" s="556" t="str">
        <f>IF(N1629=M1629,"OK","DIF")</f>
        <v>DIF</v>
      </c>
      <c r="P1629" s="573"/>
      <c r="Q1629" s="556"/>
      <c r="R1629" s="582"/>
    </row>
    <row r="1630" ht="25.5" spans="1:18">
      <c r="A1630" s="556" t="str">
        <f>B1630</f>
        <v>Insumo</v>
      </c>
      <c r="B1630" s="557" t="str">
        <f>B1629</f>
        <v>Insumo</v>
      </c>
      <c r="C1630" s="108"/>
      <c r="D1630" s="108"/>
      <c r="E1630" s="108"/>
      <c r="F1630" s="108"/>
      <c r="G1630" s="108"/>
      <c r="H1630" s="108" t="s">
        <v>2898</v>
      </c>
      <c r="I1630" s="581">
        <v>25.73</v>
      </c>
      <c r="J1630" s="108" t="s">
        <v>2899</v>
      </c>
      <c r="K1630" s="581">
        <v>0</v>
      </c>
      <c r="L1630" s="108" t="s">
        <v>2900</v>
      </c>
      <c r="M1630" s="581">
        <v>25.73</v>
      </c>
      <c r="N1630" s="573">
        <v>0.24</v>
      </c>
      <c r="O1630" s="556" t="str">
        <f>IF(N1630=M1630,"OK","DIF")</f>
        <v>DIF</v>
      </c>
      <c r="P1630" s="573"/>
      <c r="Q1630" s="556"/>
      <c r="R1630" s="582"/>
    </row>
    <row r="1631" ht="26.25" spans="1:18">
      <c r="A1631" s="556" t="str">
        <f>B1631</f>
        <v>Insumo</v>
      </c>
      <c r="B1631" s="557" t="str">
        <f>B1630</f>
        <v>Insumo</v>
      </c>
      <c r="C1631" s="108"/>
      <c r="D1631" s="108"/>
      <c r="E1631" s="108"/>
      <c r="F1631" s="108"/>
      <c r="G1631" s="108"/>
      <c r="H1631" s="108" t="s">
        <v>2901</v>
      </c>
      <c r="I1631" s="581">
        <v>18.58</v>
      </c>
      <c r="J1631" s="114"/>
      <c r="K1631" s="114" t="s">
        <v>2902</v>
      </c>
      <c r="L1631" s="108"/>
      <c r="M1631" s="581">
        <v>91.48</v>
      </c>
      <c r="N1631" s="573">
        <v>581.04</v>
      </c>
      <c r="O1631" s="556" t="str">
        <f>IF(N1631=M1631,"OK","DIF")</f>
        <v>DIF</v>
      </c>
      <c r="P1631" s="573"/>
      <c r="Q1631" s="556"/>
      <c r="R1631" s="582"/>
    </row>
    <row r="1632" ht="15" spans="1:18">
      <c r="A1632" s="556" t="str">
        <f>B1632</f>
        <v>Insumo</v>
      </c>
      <c r="B1632" s="557" t="str">
        <f>B1631</f>
        <v>Insumo</v>
      </c>
      <c r="C1632" s="571"/>
      <c r="D1632" s="571"/>
      <c r="E1632" s="571"/>
      <c r="F1632" s="571"/>
      <c r="G1632" s="571"/>
      <c r="H1632" s="571"/>
      <c r="I1632" s="571"/>
      <c r="J1632" s="571"/>
      <c r="K1632" s="571"/>
      <c r="L1632" s="571"/>
      <c r="M1632" s="571"/>
      <c r="N1632" s="573">
        <v>39.5</v>
      </c>
      <c r="O1632" s="556" t="str">
        <f>IF(N1632=M1632,"OK","DIF")</f>
        <v>DIF</v>
      </c>
      <c r="P1632" s="573"/>
      <c r="Q1632" s="556"/>
      <c r="R1632" s="582"/>
    </row>
    <row r="1633" ht="15" customHeight="1" spans="1:18">
      <c r="A1633" s="556"/>
      <c r="B1633" s="557"/>
      <c r="C1633" s="76" t="s">
        <v>571</v>
      </c>
      <c r="D1633" s="75" t="s">
        <v>63</v>
      </c>
      <c r="E1633" s="76" t="s">
        <v>64</v>
      </c>
      <c r="F1633" s="76" t="s">
        <v>65</v>
      </c>
      <c r="G1633" s="76" t="s">
        <v>2889</v>
      </c>
      <c r="H1633" s="76"/>
      <c r="I1633" s="77" t="s">
        <v>66</v>
      </c>
      <c r="J1633" s="75" t="s">
        <v>67</v>
      </c>
      <c r="K1633" s="75" t="s">
        <v>2890</v>
      </c>
      <c r="L1633" s="75" t="s">
        <v>68</v>
      </c>
      <c r="M1633" s="75" t="s">
        <v>70</v>
      </c>
      <c r="N1633" s="573"/>
      <c r="O1633" s="556"/>
      <c r="P1633" s="573"/>
      <c r="Q1633" s="556"/>
      <c r="R1633" s="582"/>
    </row>
    <row r="1634" ht="23.85" customHeight="1" spans="1:18">
      <c r="A1634" s="556"/>
      <c r="B1634" s="557"/>
      <c r="C1634" s="569" t="s">
        <v>2891</v>
      </c>
      <c r="D1634" s="570" t="s">
        <v>555</v>
      </c>
      <c r="E1634" s="569" t="s">
        <v>139</v>
      </c>
      <c r="F1634" s="569" t="s">
        <v>556</v>
      </c>
      <c r="G1634" s="569" t="s">
        <v>3390</v>
      </c>
      <c r="H1634" s="569"/>
      <c r="I1634" s="577" t="s">
        <v>141</v>
      </c>
      <c r="J1634" s="578">
        <v>1</v>
      </c>
      <c r="K1634" s="579"/>
      <c r="L1634" s="579">
        <v>130.07</v>
      </c>
      <c r="M1634" s="579">
        <v>130.07</v>
      </c>
      <c r="N1634" s="573"/>
      <c r="O1634" s="556"/>
      <c r="P1634" s="573"/>
      <c r="Q1634" s="556"/>
      <c r="R1634" s="582"/>
    </row>
    <row r="1635" ht="23.85" customHeight="1" spans="1:18">
      <c r="A1635" s="556"/>
      <c r="B1635" s="557"/>
      <c r="C1635" s="79" t="s">
        <v>2921</v>
      </c>
      <c r="D1635" s="78" t="s">
        <v>2954</v>
      </c>
      <c r="E1635" s="79" t="s">
        <v>139</v>
      </c>
      <c r="F1635" s="79" t="s">
        <v>2955</v>
      </c>
      <c r="G1635" s="79" t="s">
        <v>2928</v>
      </c>
      <c r="H1635" s="79"/>
      <c r="I1635" s="80" t="s">
        <v>2897</v>
      </c>
      <c r="J1635" s="583">
        <v>0.911</v>
      </c>
      <c r="K1635" s="583">
        <v>0</v>
      </c>
      <c r="L1635" s="92">
        <v>37.51</v>
      </c>
      <c r="M1635" s="92">
        <v>34.17</v>
      </c>
      <c r="N1635" s="573"/>
      <c r="O1635" s="556"/>
      <c r="P1635" s="573"/>
      <c r="Q1635" s="556"/>
      <c r="R1635" s="582"/>
    </row>
    <row r="1636" ht="23.85" customHeight="1" spans="1:18">
      <c r="A1636" s="556"/>
      <c r="B1636" s="557" t="str">
        <f>C1635</f>
        <v>Composição Auxiliar</v>
      </c>
      <c r="C1636" s="79" t="s">
        <v>2921</v>
      </c>
      <c r="D1636" s="78" t="s">
        <v>3000</v>
      </c>
      <c r="E1636" s="79" t="s">
        <v>139</v>
      </c>
      <c r="F1636" s="79" t="s">
        <v>3001</v>
      </c>
      <c r="G1636" s="79" t="s">
        <v>2995</v>
      </c>
      <c r="H1636" s="79"/>
      <c r="I1636" s="80" t="s">
        <v>3002</v>
      </c>
      <c r="J1636" s="583">
        <v>0.05</v>
      </c>
      <c r="K1636" s="583">
        <v>0</v>
      </c>
      <c r="L1636" s="92">
        <v>41.6</v>
      </c>
      <c r="M1636" s="92">
        <v>2.08</v>
      </c>
      <c r="N1636" s="573">
        <v>706.5</v>
      </c>
      <c r="O1636" s="556" t="str">
        <f>IF(N1636=M1636,"OK","DIF")</f>
        <v>DIF</v>
      </c>
      <c r="P1636" s="573"/>
      <c r="Q1636" s="556"/>
      <c r="R1636" s="582"/>
    </row>
    <row r="1637" ht="23.85" customHeight="1" spans="1:18">
      <c r="A1637" s="556" t="str">
        <f>B1637</f>
        <v>Composição Auxiliar</v>
      </c>
      <c r="B1637" s="557" t="str">
        <f>B1636</f>
        <v>Composição Auxiliar</v>
      </c>
      <c r="C1637" s="79" t="s">
        <v>2921</v>
      </c>
      <c r="D1637" s="78" t="s">
        <v>2993</v>
      </c>
      <c r="E1637" s="79" t="s">
        <v>139</v>
      </c>
      <c r="F1637" s="79" t="s">
        <v>2994</v>
      </c>
      <c r="G1637" s="79" t="s">
        <v>2995</v>
      </c>
      <c r="H1637" s="79"/>
      <c r="I1637" s="80" t="s">
        <v>2996</v>
      </c>
      <c r="J1637" s="583">
        <v>0.237</v>
      </c>
      <c r="K1637" s="583">
        <v>0</v>
      </c>
      <c r="L1637" s="92">
        <v>39.98</v>
      </c>
      <c r="M1637" s="92">
        <v>9.47</v>
      </c>
      <c r="N1637" s="573">
        <v>89.1</v>
      </c>
      <c r="O1637" s="556" t="str">
        <f>IF(N1637=M1637,"OK","DIF")</f>
        <v>DIF</v>
      </c>
      <c r="P1637" s="573"/>
      <c r="Q1637" s="556"/>
      <c r="R1637" s="582"/>
    </row>
    <row r="1638" ht="23.85" customHeight="1" spans="1:18">
      <c r="A1638" s="556" t="str">
        <f>B1638</f>
        <v>Composição Auxiliar</v>
      </c>
      <c r="B1638" s="557" t="str">
        <f>B1637</f>
        <v>Composição Auxiliar</v>
      </c>
      <c r="C1638" s="79" t="s">
        <v>2921</v>
      </c>
      <c r="D1638" s="78" t="s">
        <v>3003</v>
      </c>
      <c r="E1638" s="79" t="s">
        <v>139</v>
      </c>
      <c r="F1638" s="79" t="s">
        <v>3004</v>
      </c>
      <c r="G1638" s="79" t="s">
        <v>2928</v>
      </c>
      <c r="H1638" s="79"/>
      <c r="I1638" s="80" t="s">
        <v>2897</v>
      </c>
      <c r="J1638" s="583">
        <v>0.202</v>
      </c>
      <c r="K1638" s="583">
        <v>0</v>
      </c>
      <c r="L1638" s="92">
        <v>29.91</v>
      </c>
      <c r="M1638" s="92">
        <v>6.04</v>
      </c>
      <c r="N1638" s="573">
        <v>145.01</v>
      </c>
      <c r="O1638" s="556" t="str">
        <f>IF(N1638=M1638,"OK","DIF")</f>
        <v>DIF</v>
      </c>
      <c r="P1638" s="573"/>
      <c r="Q1638" s="556"/>
      <c r="R1638" s="582"/>
    </row>
    <row r="1639" ht="23.85" customHeight="1" spans="1:18">
      <c r="A1639" s="556" t="str">
        <f>B1639</f>
        <v>Composição Auxiliar</v>
      </c>
      <c r="B1639" s="557" t="str">
        <f>B1638</f>
        <v>Composição Auxiliar</v>
      </c>
      <c r="C1639" s="100" t="s">
        <v>2893</v>
      </c>
      <c r="D1639" s="99" t="s">
        <v>3007</v>
      </c>
      <c r="E1639" s="100" t="s">
        <v>139</v>
      </c>
      <c r="F1639" s="100" t="s">
        <v>3008</v>
      </c>
      <c r="G1639" s="100" t="s">
        <v>2961</v>
      </c>
      <c r="H1639" s="100"/>
      <c r="I1639" s="101" t="s">
        <v>204</v>
      </c>
      <c r="J1639" s="580">
        <v>0.166</v>
      </c>
      <c r="K1639" s="580">
        <v>0</v>
      </c>
      <c r="L1639" s="102">
        <v>8.79</v>
      </c>
      <c r="M1639" s="102">
        <v>1.45</v>
      </c>
      <c r="N1639" s="573">
        <v>153.18</v>
      </c>
      <c r="O1639" s="556" t="str">
        <f>IF(N1639=M1639,"OK","DIF")</f>
        <v>DIF</v>
      </c>
      <c r="P1639" s="573"/>
      <c r="Q1639" s="556"/>
      <c r="R1639" s="582"/>
    </row>
    <row r="1640" ht="15" customHeight="1" spans="1:18">
      <c r="A1640" s="556" t="str">
        <f>B1640</f>
        <v>Composição Auxiliar</v>
      </c>
      <c r="B1640" s="557" t="str">
        <f>B1639</f>
        <v>Composição Auxiliar</v>
      </c>
      <c r="C1640" s="100" t="s">
        <v>2893</v>
      </c>
      <c r="D1640" s="99" t="s">
        <v>3388</v>
      </c>
      <c r="E1640" s="100" t="s">
        <v>139</v>
      </c>
      <c r="F1640" s="100" t="s">
        <v>3389</v>
      </c>
      <c r="G1640" s="100" t="s">
        <v>2961</v>
      </c>
      <c r="H1640" s="100"/>
      <c r="I1640" s="101" t="s">
        <v>393</v>
      </c>
      <c r="J1640" s="580">
        <v>0.159</v>
      </c>
      <c r="K1640" s="580">
        <v>0</v>
      </c>
      <c r="L1640" s="102">
        <v>18.38</v>
      </c>
      <c r="M1640" s="102">
        <v>2.92</v>
      </c>
      <c r="N1640" s="573">
        <v>319.21</v>
      </c>
      <c r="O1640" s="556" t="str">
        <f>IF(N1640=M1640,"OK","DIF")</f>
        <v>DIF</v>
      </c>
      <c r="P1640" s="573"/>
      <c r="Q1640" s="556"/>
      <c r="R1640" s="582"/>
    </row>
    <row r="1641" ht="35.05" customHeight="1" spans="1:18">
      <c r="A1641" s="556"/>
      <c r="B1641" s="557"/>
      <c r="C1641" s="100" t="s">
        <v>2893</v>
      </c>
      <c r="D1641" s="99" t="s">
        <v>3330</v>
      </c>
      <c r="E1641" s="100" t="s">
        <v>139</v>
      </c>
      <c r="F1641" s="100" t="s">
        <v>3331</v>
      </c>
      <c r="G1641" s="100" t="s">
        <v>2961</v>
      </c>
      <c r="H1641" s="100"/>
      <c r="I1641" s="101" t="s">
        <v>141</v>
      </c>
      <c r="J1641" s="580">
        <v>1.146</v>
      </c>
      <c r="K1641" s="580">
        <v>0</v>
      </c>
      <c r="L1641" s="102">
        <v>45.9</v>
      </c>
      <c r="M1641" s="102">
        <v>52.6</v>
      </c>
      <c r="N1641" s="573"/>
      <c r="O1641" s="556"/>
      <c r="P1641" s="573"/>
      <c r="Q1641" s="556"/>
      <c r="R1641" s="582"/>
    </row>
    <row r="1642" ht="23.85" customHeight="1" spans="1:18">
      <c r="A1642" s="556"/>
      <c r="B1642" s="557"/>
      <c r="C1642" s="100" t="s">
        <v>2893</v>
      </c>
      <c r="D1642" s="99" t="s">
        <v>3334</v>
      </c>
      <c r="E1642" s="100" t="s">
        <v>139</v>
      </c>
      <c r="F1642" s="100" t="s">
        <v>3335</v>
      </c>
      <c r="G1642" s="100" t="s">
        <v>2961</v>
      </c>
      <c r="H1642" s="100"/>
      <c r="I1642" s="101" t="s">
        <v>204</v>
      </c>
      <c r="J1642" s="580">
        <v>6.952</v>
      </c>
      <c r="K1642" s="580">
        <v>0</v>
      </c>
      <c r="L1642" s="102">
        <v>3.07</v>
      </c>
      <c r="M1642" s="102">
        <v>21.34</v>
      </c>
      <c r="N1642" s="573"/>
      <c r="O1642" s="556"/>
      <c r="P1642" s="573"/>
      <c r="Q1642" s="556"/>
      <c r="R1642" s="582"/>
    </row>
    <row r="1643" ht="25.5" spans="1:18">
      <c r="A1643" s="556"/>
      <c r="B1643" s="557" t="str">
        <f>C1642</f>
        <v>Insumo</v>
      </c>
      <c r="C1643" s="108"/>
      <c r="D1643" s="108"/>
      <c r="E1643" s="108"/>
      <c r="F1643" s="108"/>
      <c r="G1643" s="108"/>
      <c r="H1643" s="108" t="s">
        <v>2898</v>
      </c>
      <c r="I1643" s="581">
        <v>38.2</v>
      </c>
      <c r="J1643" s="108" t="s">
        <v>2899</v>
      </c>
      <c r="K1643" s="581">
        <v>0</v>
      </c>
      <c r="L1643" s="108" t="s">
        <v>2900</v>
      </c>
      <c r="M1643" s="581">
        <v>38.2</v>
      </c>
      <c r="N1643" s="573">
        <v>295.53</v>
      </c>
      <c r="O1643" s="556" t="str">
        <f>IF(N1643=M1643,"OK","DIF")</f>
        <v>DIF</v>
      </c>
      <c r="P1643" s="573"/>
      <c r="Q1643" s="556"/>
      <c r="R1643" s="582"/>
    </row>
    <row r="1644" ht="26.25" spans="1:18">
      <c r="A1644" s="556" t="str">
        <f>B1644</f>
        <v>Insumo</v>
      </c>
      <c r="B1644" s="557" t="str">
        <f>B1643</f>
        <v>Insumo</v>
      </c>
      <c r="C1644" s="108"/>
      <c r="D1644" s="108"/>
      <c r="E1644" s="108"/>
      <c r="F1644" s="108"/>
      <c r="G1644" s="108"/>
      <c r="H1644" s="108" t="s">
        <v>2901</v>
      </c>
      <c r="I1644" s="581">
        <v>33.15</v>
      </c>
      <c r="J1644" s="114"/>
      <c r="K1644" s="114" t="s">
        <v>2902</v>
      </c>
      <c r="L1644" s="108"/>
      <c r="M1644" s="581">
        <v>163.22</v>
      </c>
      <c r="N1644" s="573">
        <v>169.65</v>
      </c>
      <c r="O1644" s="556" t="str">
        <f>IF(N1644=M1644,"OK","DIF")</f>
        <v>DIF</v>
      </c>
      <c r="P1644" s="573"/>
      <c r="Q1644" s="556"/>
      <c r="R1644" s="582"/>
    </row>
    <row r="1645" ht="15" spans="1:18">
      <c r="A1645" s="556" t="str">
        <f>B1645</f>
        <v>Insumo</v>
      </c>
      <c r="B1645" s="557" t="str">
        <f>B1644</f>
        <v>Insumo</v>
      </c>
      <c r="C1645" s="571"/>
      <c r="D1645" s="571"/>
      <c r="E1645" s="571"/>
      <c r="F1645" s="571"/>
      <c r="G1645" s="571"/>
      <c r="H1645" s="571"/>
      <c r="I1645" s="571"/>
      <c r="J1645" s="571"/>
      <c r="K1645" s="571"/>
      <c r="L1645" s="571"/>
      <c r="M1645" s="571"/>
      <c r="N1645" s="573">
        <v>59.48</v>
      </c>
      <c r="O1645" s="556" t="str">
        <f>IF(N1645=M1645,"OK","DIF")</f>
        <v>DIF</v>
      </c>
      <c r="P1645" s="573"/>
      <c r="Q1645" s="556"/>
      <c r="R1645" s="582"/>
    </row>
    <row r="1646" ht="15" customHeight="1" spans="1:18">
      <c r="A1646" s="556" t="str">
        <f>B1646</f>
        <v>Insumo</v>
      </c>
      <c r="B1646" s="557" t="str">
        <f>B1645</f>
        <v>Insumo</v>
      </c>
      <c r="C1646" s="76" t="s">
        <v>572</v>
      </c>
      <c r="D1646" s="75" t="s">
        <v>63</v>
      </c>
      <c r="E1646" s="76" t="s">
        <v>64</v>
      </c>
      <c r="F1646" s="76" t="s">
        <v>65</v>
      </c>
      <c r="G1646" s="76" t="s">
        <v>2889</v>
      </c>
      <c r="H1646" s="76"/>
      <c r="I1646" s="77" t="s">
        <v>66</v>
      </c>
      <c r="J1646" s="75" t="s">
        <v>67</v>
      </c>
      <c r="K1646" s="75" t="s">
        <v>2890</v>
      </c>
      <c r="L1646" s="75" t="s">
        <v>68</v>
      </c>
      <c r="M1646" s="75" t="s">
        <v>70</v>
      </c>
      <c r="N1646" s="573">
        <v>66.4</v>
      </c>
      <c r="O1646" s="556" t="str">
        <f>IF(N1646=M1646,"OK","DIF")</f>
        <v>DIF</v>
      </c>
      <c r="P1646" s="573"/>
      <c r="Q1646" s="556"/>
      <c r="R1646" s="582"/>
    </row>
    <row r="1647" ht="23.85" customHeight="1" spans="1:18">
      <c r="A1647" s="556"/>
      <c r="B1647" s="557"/>
      <c r="C1647" s="569" t="s">
        <v>2891</v>
      </c>
      <c r="D1647" s="570" t="s">
        <v>558</v>
      </c>
      <c r="E1647" s="569" t="s">
        <v>139</v>
      </c>
      <c r="F1647" s="569" t="s">
        <v>559</v>
      </c>
      <c r="G1647" s="569" t="s">
        <v>3390</v>
      </c>
      <c r="H1647" s="569"/>
      <c r="I1647" s="577" t="s">
        <v>141</v>
      </c>
      <c r="J1647" s="578">
        <v>1</v>
      </c>
      <c r="K1647" s="579"/>
      <c r="L1647" s="579">
        <v>83</v>
      </c>
      <c r="M1647" s="579">
        <v>83</v>
      </c>
      <c r="N1647" s="573"/>
      <c r="O1647" s="556"/>
      <c r="P1647" s="573"/>
      <c r="Q1647" s="556"/>
      <c r="R1647" s="582"/>
    </row>
    <row r="1648" ht="23.85" customHeight="1" spans="1:18">
      <c r="A1648" s="556"/>
      <c r="B1648" s="557"/>
      <c r="C1648" s="79" t="s">
        <v>2921</v>
      </c>
      <c r="D1648" s="78" t="s">
        <v>3000</v>
      </c>
      <c r="E1648" s="79" t="s">
        <v>139</v>
      </c>
      <c r="F1648" s="79" t="s">
        <v>3001</v>
      </c>
      <c r="G1648" s="79" t="s">
        <v>2995</v>
      </c>
      <c r="H1648" s="79"/>
      <c r="I1648" s="80" t="s">
        <v>3002</v>
      </c>
      <c r="J1648" s="583">
        <v>0.005</v>
      </c>
      <c r="K1648" s="583">
        <v>0</v>
      </c>
      <c r="L1648" s="92">
        <v>41.6</v>
      </c>
      <c r="M1648" s="92">
        <v>0.2</v>
      </c>
      <c r="N1648" s="573"/>
      <c r="O1648" s="556"/>
      <c r="P1648" s="573"/>
      <c r="Q1648" s="556"/>
      <c r="R1648" s="582"/>
    </row>
    <row r="1649" ht="23.85" customHeight="1" spans="1:18">
      <c r="A1649" s="556"/>
      <c r="B1649" s="557" t="str">
        <f>C1648</f>
        <v>Composição Auxiliar</v>
      </c>
      <c r="C1649" s="79" t="s">
        <v>2921</v>
      </c>
      <c r="D1649" s="78" t="s">
        <v>3003</v>
      </c>
      <c r="E1649" s="79" t="s">
        <v>139</v>
      </c>
      <c r="F1649" s="79" t="s">
        <v>3004</v>
      </c>
      <c r="G1649" s="79" t="s">
        <v>2928</v>
      </c>
      <c r="H1649" s="79"/>
      <c r="I1649" s="80" t="s">
        <v>2897</v>
      </c>
      <c r="J1649" s="583">
        <v>0.005</v>
      </c>
      <c r="K1649" s="583">
        <v>0</v>
      </c>
      <c r="L1649" s="92">
        <v>29.91</v>
      </c>
      <c r="M1649" s="92">
        <v>0.14</v>
      </c>
      <c r="N1649" s="573">
        <v>240.03</v>
      </c>
      <c r="O1649" s="556" t="str">
        <f>IF(N1649=M1649,"OK","DIF")</f>
        <v>DIF</v>
      </c>
      <c r="P1649" s="573"/>
      <c r="Q1649" s="556"/>
      <c r="R1649" s="582"/>
    </row>
    <row r="1650" ht="23.85" customHeight="1" spans="1:18">
      <c r="A1650" s="556" t="str">
        <f>B1650</f>
        <v>Composição Auxiliar</v>
      </c>
      <c r="B1650" s="557" t="str">
        <f>B1649</f>
        <v>Composição Auxiliar</v>
      </c>
      <c r="C1650" s="79" t="s">
        <v>2921</v>
      </c>
      <c r="D1650" s="78" t="s">
        <v>2993</v>
      </c>
      <c r="E1650" s="79" t="s">
        <v>139</v>
      </c>
      <c r="F1650" s="79" t="s">
        <v>2994</v>
      </c>
      <c r="G1650" s="79" t="s">
        <v>2995</v>
      </c>
      <c r="H1650" s="79"/>
      <c r="I1650" s="80" t="s">
        <v>2996</v>
      </c>
      <c r="J1650" s="583">
        <v>0.022</v>
      </c>
      <c r="K1650" s="583">
        <v>0</v>
      </c>
      <c r="L1650" s="92">
        <v>39.98</v>
      </c>
      <c r="M1650" s="92">
        <v>0.87</v>
      </c>
      <c r="N1650" s="573">
        <v>18.69</v>
      </c>
      <c r="O1650" s="556" t="str">
        <f>IF(N1650=M1650,"OK","DIF")</f>
        <v>DIF</v>
      </c>
      <c r="P1650" s="573"/>
      <c r="Q1650" s="556"/>
      <c r="R1650" s="582"/>
    </row>
    <row r="1651" ht="23.85" customHeight="1" spans="1:18">
      <c r="A1651" s="556" t="str">
        <f>B1651</f>
        <v>Composição Auxiliar</v>
      </c>
      <c r="B1651" s="557" t="str">
        <f>B1650</f>
        <v>Composição Auxiliar</v>
      </c>
      <c r="C1651" s="79" t="s">
        <v>2921</v>
      </c>
      <c r="D1651" s="78" t="s">
        <v>2954</v>
      </c>
      <c r="E1651" s="79" t="s">
        <v>139</v>
      </c>
      <c r="F1651" s="79" t="s">
        <v>2955</v>
      </c>
      <c r="G1651" s="79" t="s">
        <v>2928</v>
      </c>
      <c r="H1651" s="79"/>
      <c r="I1651" s="80" t="s">
        <v>2897</v>
      </c>
      <c r="J1651" s="583">
        <v>0.005</v>
      </c>
      <c r="K1651" s="583">
        <v>0</v>
      </c>
      <c r="L1651" s="92">
        <v>37.51</v>
      </c>
      <c r="M1651" s="92">
        <v>0.18</v>
      </c>
      <c r="N1651" s="573">
        <v>106.9</v>
      </c>
      <c r="O1651" s="556" t="str">
        <f>IF(N1651=M1651,"OK","DIF")</f>
        <v>DIF</v>
      </c>
      <c r="P1651" s="573"/>
      <c r="Q1651" s="556"/>
      <c r="R1651" s="582"/>
    </row>
    <row r="1652" ht="35.05" customHeight="1" spans="1:18">
      <c r="A1652" s="556" t="str">
        <f>B1652</f>
        <v>Composição Auxiliar</v>
      </c>
      <c r="B1652" s="557" t="str">
        <f>B1651</f>
        <v>Composição Auxiliar</v>
      </c>
      <c r="C1652" s="100" t="s">
        <v>2893</v>
      </c>
      <c r="D1652" s="99" t="s">
        <v>3429</v>
      </c>
      <c r="E1652" s="100" t="s">
        <v>139</v>
      </c>
      <c r="F1652" s="100" t="s">
        <v>3430</v>
      </c>
      <c r="G1652" s="100" t="s">
        <v>2961</v>
      </c>
      <c r="H1652" s="100"/>
      <c r="I1652" s="101" t="s">
        <v>141</v>
      </c>
      <c r="J1652" s="580">
        <v>1.05</v>
      </c>
      <c r="K1652" s="580">
        <v>0</v>
      </c>
      <c r="L1652" s="102">
        <v>77.73</v>
      </c>
      <c r="M1652" s="102">
        <v>81.61</v>
      </c>
      <c r="N1652" s="573">
        <v>60.37</v>
      </c>
      <c r="O1652" s="556" t="str">
        <f>IF(N1652=M1652,"OK","DIF")</f>
        <v>DIF</v>
      </c>
      <c r="P1652" s="573"/>
      <c r="Q1652" s="556"/>
      <c r="R1652" s="582"/>
    </row>
    <row r="1653" ht="25.5" spans="1:18">
      <c r="A1653" s="556" t="str">
        <f>B1653</f>
        <v>Composição Auxiliar</v>
      </c>
      <c r="B1653" s="557" t="str">
        <f>B1652</f>
        <v>Composição Auxiliar</v>
      </c>
      <c r="C1653" s="108"/>
      <c r="D1653" s="108"/>
      <c r="E1653" s="108"/>
      <c r="F1653" s="108"/>
      <c r="G1653" s="108"/>
      <c r="H1653" s="108" t="s">
        <v>2898</v>
      </c>
      <c r="I1653" s="581">
        <v>1.06</v>
      </c>
      <c r="J1653" s="108" t="s">
        <v>2899</v>
      </c>
      <c r="K1653" s="581">
        <v>0</v>
      </c>
      <c r="L1653" s="108" t="s">
        <v>2900</v>
      </c>
      <c r="M1653" s="581">
        <v>1.06</v>
      </c>
      <c r="N1653" s="573">
        <v>54.07</v>
      </c>
      <c r="O1653" s="556" t="str">
        <f>IF(N1653=M1653,"OK","DIF")</f>
        <v>DIF</v>
      </c>
      <c r="P1653" s="573"/>
      <c r="Q1653" s="556"/>
      <c r="R1653" s="582"/>
    </row>
    <row r="1654" ht="26.25" spans="1:18">
      <c r="A1654" s="556"/>
      <c r="B1654" s="557"/>
      <c r="C1654" s="108"/>
      <c r="D1654" s="108"/>
      <c r="E1654" s="108"/>
      <c r="F1654" s="108"/>
      <c r="G1654" s="108"/>
      <c r="H1654" s="108" t="s">
        <v>2901</v>
      </c>
      <c r="I1654" s="581">
        <v>21.15</v>
      </c>
      <c r="J1654" s="114"/>
      <c r="K1654" s="114" t="s">
        <v>2902</v>
      </c>
      <c r="L1654" s="108"/>
      <c r="M1654" s="581">
        <v>104.15</v>
      </c>
      <c r="N1654" s="573"/>
      <c r="O1654" s="556"/>
      <c r="P1654" s="573"/>
      <c r="Q1654" s="556"/>
      <c r="R1654" s="582"/>
    </row>
    <row r="1655" ht="15" spans="1:18">
      <c r="A1655" s="556"/>
      <c r="B1655" s="557"/>
      <c r="C1655" s="571"/>
      <c r="D1655" s="571"/>
      <c r="E1655" s="571"/>
      <c r="F1655" s="571"/>
      <c r="G1655" s="571"/>
      <c r="H1655" s="571"/>
      <c r="I1655" s="571"/>
      <c r="J1655" s="571"/>
      <c r="K1655" s="571"/>
      <c r="L1655" s="571"/>
      <c r="M1655" s="571"/>
      <c r="N1655" s="573"/>
      <c r="O1655" s="556"/>
      <c r="P1655" s="573"/>
      <c r="Q1655" s="556"/>
      <c r="R1655" s="582"/>
    </row>
    <row r="1656" ht="15" customHeight="1" spans="1:18">
      <c r="A1656" s="556"/>
      <c r="B1656" s="557">
        <f>C1655</f>
        <v>0</v>
      </c>
      <c r="C1656" s="76" t="s">
        <v>573</v>
      </c>
      <c r="D1656" s="75" t="s">
        <v>63</v>
      </c>
      <c r="E1656" s="76" t="s">
        <v>64</v>
      </c>
      <c r="F1656" s="76" t="s">
        <v>65</v>
      </c>
      <c r="G1656" s="76" t="s">
        <v>2889</v>
      </c>
      <c r="H1656" s="76"/>
      <c r="I1656" s="77" t="s">
        <v>66</v>
      </c>
      <c r="J1656" s="75" t="s">
        <v>67</v>
      </c>
      <c r="K1656" s="75" t="s">
        <v>2890</v>
      </c>
      <c r="L1656" s="75" t="s">
        <v>68</v>
      </c>
      <c r="M1656" s="75" t="s">
        <v>70</v>
      </c>
      <c r="N1656" s="573">
        <v>5.77</v>
      </c>
      <c r="O1656" s="556" t="str">
        <f>IF(N1656=M1656,"OK","DIF")</f>
        <v>DIF</v>
      </c>
      <c r="P1656" s="573"/>
      <c r="Q1656" s="556"/>
      <c r="R1656" s="582"/>
    </row>
    <row r="1657" ht="35.05" customHeight="1" spans="1:18">
      <c r="A1657" s="556">
        <f>B1657</f>
        <v>0</v>
      </c>
      <c r="B1657" s="557">
        <f>B1656</f>
        <v>0</v>
      </c>
      <c r="C1657" s="569" t="s">
        <v>2891</v>
      </c>
      <c r="D1657" s="570" t="s">
        <v>561</v>
      </c>
      <c r="E1657" s="569" t="s">
        <v>139</v>
      </c>
      <c r="F1657" s="569" t="s">
        <v>562</v>
      </c>
      <c r="G1657" s="569" t="s">
        <v>3390</v>
      </c>
      <c r="H1657" s="569"/>
      <c r="I1657" s="577" t="s">
        <v>279</v>
      </c>
      <c r="J1657" s="578">
        <v>1</v>
      </c>
      <c r="K1657" s="579"/>
      <c r="L1657" s="579">
        <v>20.25</v>
      </c>
      <c r="M1657" s="579">
        <v>20.25</v>
      </c>
      <c r="N1657" s="573">
        <v>3.58</v>
      </c>
      <c r="O1657" s="556" t="str">
        <f>IF(N1657=M1657,"OK","DIF")</f>
        <v>DIF</v>
      </c>
      <c r="P1657" s="573"/>
      <c r="Q1657" s="556"/>
      <c r="R1657" s="582"/>
    </row>
    <row r="1658" ht="23.85" customHeight="1" spans="1:18">
      <c r="A1658" s="556">
        <f>B1658</f>
        <v>0</v>
      </c>
      <c r="B1658" s="557">
        <f>B1657</f>
        <v>0</v>
      </c>
      <c r="C1658" s="79" t="s">
        <v>2921</v>
      </c>
      <c r="D1658" s="78" t="s">
        <v>2954</v>
      </c>
      <c r="E1658" s="79" t="s">
        <v>139</v>
      </c>
      <c r="F1658" s="79" t="s">
        <v>2955</v>
      </c>
      <c r="G1658" s="79" t="s">
        <v>2928</v>
      </c>
      <c r="H1658" s="79"/>
      <c r="I1658" s="80" t="s">
        <v>2897</v>
      </c>
      <c r="J1658" s="583">
        <v>0.127</v>
      </c>
      <c r="K1658" s="583">
        <v>0</v>
      </c>
      <c r="L1658" s="92">
        <v>37.51</v>
      </c>
      <c r="M1658" s="92">
        <v>4.76</v>
      </c>
      <c r="N1658" s="573">
        <v>2.19</v>
      </c>
      <c r="O1658" s="556" t="str">
        <f>IF(N1658=M1658,"OK","DIF")</f>
        <v>DIF</v>
      </c>
      <c r="P1658" s="573"/>
      <c r="Q1658" s="556"/>
      <c r="R1658" s="582"/>
    </row>
    <row r="1659" ht="23.85" customHeight="1" spans="1:18">
      <c r="A1659" s="556"/>
      <c r="B1659" s="557"/>
      <c r="C1659" s="79" t="s">
        <v>2921</v>
      </c>
      <c r="D1659" s="78" t="s">
        <v>3431</v>
      </c>
      <c r="E1659" s="79" t="s">
        <v>139</v>
      </c>
      <c r="F1659" s="79" t="s">
        <v>3432</v>
      </c>
      <c r="G1659" s="79" t="s">
        <v>3390</v>
      </c>
      <c r="H1659" s="79"/>
      <c r="I1659" s="80" t="s">
        <v>204</v>
      </c>
      <c r="J1659" s="583">
        <v>0.545</v>
      </c>
      <c r="K1659" s="583">
        <v>0</v>
      </c>
      <c r="L1659" s="92">
        <v>17.44</v>
      </c>
      <c r="M1659" s="92">
        <v>9.5</v>
      </c>
      <c r="N1659" s="573"/>
      <c r="O1659" s="556"/>
      <c r="P1659" s="573"/>
      <c r="Q1659" s="556"/>
      <c r="R1659" s="582"/>
    </row>
    <row r="1660" ht="23.85" customHeight="1" spans="1:18">
      <c r="A1660" s="556"/>
      <c r="B1660" s="557"/>
      <c r="C1660" s="79" t="s">
        <v>2921</v>
      </c>
      <c r="D1660" s="78" t="s">
        <v>3003</v>
      </c>
      <c r="E1660" s="79" t="s">
        <v>139</v>
      </c>
      <c r="F1660" s="79" t="s">
        <v>3004</v>
      </c>
      <c r="G1660" s="79" t="s">
        <v>2928</v>
      </c>
      <c r="H1660" s="79"/>
      <c r="I1660" s="80" t="s">
        <v>2897</v>
      </c>
      <c r="J1660" s="583">
        <v>0.09</v>
      </c>
      <c r="K1660" s="583">
        <v>0</v>
      </c>
      <c r="L1660" s="92">
        <v>29.91</v>
      </c>
      <c r="M1660" s="92">
        <v>2.69</v>
      </c>
      <c r="N1660" s="573"/>
      <c r="O1660" s="556"/>
      <c r="P1660" s="573"/>
      <c r="Q1660" s="556"/>
      <c r="R1660" s="582"/>
    </row>
    <row r="1661" ht="15" customHeight="1" spans="1:18">
      <c r="A1661" s="556"/>
      <c r="B1661" s="557" t="str">
        <f>C1660</f>
        <v>Composição Auxiliar</v>
      </c>
      <c r="C1661" s="100" t="s">
        <v>2893</v>
      </c>
      <c r="D1661" s="99" t="s">
        <v>3332</v>
      </c>
      <c r="E1661" s="100" t="s">
        <v>139</v>
      </c>
      <c r="F1661" s="100" t="s">
        <v>3333</v>
      </c>
      <c r="G1661" s="100" t="s">
        <v>2961</v>
      </c>
      <c r="H1661" s="100"/>
      <c r="I1661" s="101" t="s">
        <v>393</v>
      </c>
      <c r="J1661" s="580">
        <v>0.011</v>
      </c>
      <c r="K1661" s="580">
        <v>0</v>
      </c>
      <c r="L1661" s="102">
        <v>22.69</v>
      </c>
      <c r="M1661" s="102">
        <v>0.24</v>
      </c>
      <c r="N1661" s="573">
        <v>11.43</v>
      </c>
      <c r="O1661" s="556" t="str">
        <f t="shared" ref="O1661:O1667" si="186">IF(N1661=M1661,"OK","DIF")</f>
        <v>DIF</v>
      </c>
      <c r="P1661" s="573"/>
      <c r="Q1661" s="556"/>
      <c r="R1661" s="582"/>
    </row>
    <row r="1662" ht="35.05" customHeight="1" spans="1:18">
      <c r="A1662" s="556" t="str">
        <f t="shared" ref="A1662:A1667" si="187">B1662</f>
        <v>Composição Auxiliar</v>
      </c>
      <c r="B1662" s="557" t="str">
        <f t="shared" ref="B1662:B1667" si="188">B1661</f>
        <v>Composição Auxiliar</v>
      </c>
      <c r="C1662" s="100" t="s">
        <v>2893</v>
      </c>
      <c r="D1662" s="99" t="s">
        <v>3386</v>
      </c>
      <c r="E1662" s="100" t="s">
        <v>139</v>
      </c>
      <c r="F1662" s="100" t="s">
        <v>3387</v>
      </c>
      <c r="G1662" s="100" t="s">
        <v>2961</v>
      </c>
      <c r="H1662" s="100"/>
      <c r="I1662" s="101" t="s">
        <v>204</v>
      </c>
      <c r="J1662" s="580">
        <v>0.143</v>
      </c>
      <c r="K1662" s="580">
        <v>0</v>
      </c>
      <c r="L1662" s="102">
        <v>21.41</v>
      </c>
      <c r="M1662" s="102">
        <v>3.06</v>
      </c>
      <c r="N1662" s="573">
        <v>4.59</v>
      </c>
      <c r="O1662" s="556" t="str">
        <f t="shared" si="186"/>
        <v>DIF</v>
      </c>
      <c r="P1662" s="573"/>
      <c r="Q1662" s="556"/>
      <c r="R1662" s="582"/>
    </row>
    <row r="1663" ht="25.5" spans="1:18">
      <c r="A1663" s="556" t="str">
        <f t="shared" si="187"/>
        <v>Composição Auxiliar</v>
      </c>
      <c r="B1663" s="557" t="str">
        <f t="shared" si="188"/>
        <v>Composição Auxiliar</v>
      </c>
      <c r="C1663" s="108"/>
      <c r="D1663" s="108"/>
      <c r="E1663" s="108"/>
      <c r="F1663" s="108"/>
      <c r="G1663" s="108"/>
      <c r="H1663" s="108" t="s">
        <v>2898</v>
      </c>
      <c r="I1663" s="581">
        <v>7.53</v>
      </c>
      <c r="J1663" s="108" t="s">
        <v>2899</v>
      </c>
      <c r="K1663" s="581">
        <v>0</v>
      </c>
      <c r="L1663" s="108" t="s">
        <v>2900</v>
      </c>
      <c r="M1663" s="581">
        <v>7.53</v>
      </c>
      <c r="N1663" s="573">
        <v>2.99</v>
      </c>
      <c r="O1663" s="556" t="str">
        <f t="shared" si="186"/>
        <v>DIF</v>
      </c>
      <c r="P1663" s="573"/>
      <c r="Q1663" s="556"/>
      <c r="R1663" s="582"/>
    </row>
    <row r="1664" ht="26.25" spans="1:18">
      <c r="A1664" s="556" t="str">
        <f t="shared" si="187"/>
        <v>Composição Auxiliar</v>
      </c>
      <c r="B1664" s="557" t="str">
        <f t="shared" si="188"/>
        <v>Composição Auxiliar</v>
      </c>
      <c r="C1664" s="108"/>
      <c r="D1664" s="108"/>
      <c r="E1664" s="108"/>
      <c r="F1664" s="108"/>
      <c r="G1664" s="108"/>
      <c r="H1664" s="108" t="s">
        <v>2901</v>
      </c>
      <c r="I1664" s="581">
        <v>5.16</v>
      </c>
      <c r="J1664" s="114"/>
      <c r="K1664" s="114" t="s">
        <v>2902</v>
      </c>
      <c r="L1664" s="108"/>
      <c r="M1664" s="581">
        <v>25.41</v>
      </c>
      <c r="N1664" s="573">
        <v>0.77</v>
      </c>
      <c r="O1664" s="556" t="str">
        <f t="shared" si="186"/>
        <v>DIF</v>
      </c>
      <c r="P1664" s="573"/>
      <c r="Q1664" s="556"/>
      <c r="R1664" s="582"/>
    </row>
    <row r="1665" ht="15" spans="1:18">
      <c r="A1665" s="556" t="str">
        <f t="shared" si="187"/>
        <v>Composição Auxiliar</v>
      </c>
      <c r="B1665" s="557" t="str">
        <f t="shared" si="188"/>
        <v>Composição Auxiliar</v>
      </c>
      <c r="C1665" s="571"/>
      <c r="D1665" s="571"/>
      <c r="E1665" s="571"/>
      <c r="F1665" s="571"/>
      <c r="G1665" s="571"/>
      <c r="H1665" s="571"/>
      <c r="I1665" s="571"/>
      <c r="J1665" s="571"/>
      <c r="K1665" s="571"/>
      <c r="L1665" s="571"/>
      <c r="M1665" s="571"/>
      <c r="N1665" s="573">
        <v>0.98</v>
      </c>
      <c r="O1665" s="556" t="str">
        <f t="shared" si="186"/>
        <v>DIF</v>
      </c>
      <c r="P1665" s="573"/>
      <c r="Q1665" s="556"/>
      <c r="R1665" s="582"/>
    </row>
    <row r="1666" ht="15" customHeight="1" spans="1:18">
      <c r="A1666" s="556" t="str">
        <f t="shared" si="187"/>
        <v>Composição Auxiliar</v>
      </c>
      <c r="B1666" s="557" t="str">
        <f t="shared" si="188"/>
        <v>Composição Auxiliar</v>
      </c>
      <c r="C1666" s="76" t="s">
        <v>576</v>
      </c>
      <c r="D1666" s="75" t="s">
        <v>63</v>
      </c>
      <c r="E1666" s="76" t="s">
        <v>64</v>
      </c>
      <c r="F1666" s="76" t="s">
        <v>65</v>
      </c>
      <c r="G1666" s="76" t="s">
        <v>2889</v>
      </c>
      <c r="H1666" s="76"/>
      <c r="I1666" s="77" t="s">
        <v>66</v>
      </c>
      <c r="J1666" s="75" t="s">
        <v>67</v>
      </c>
      <c r="K1666" s="75" t="s">
        <v>2890</v>
      </c>
      <c r="L1666" s="75" t="s">
        <v>68</v>
      </c>
      <c r="M1666" s="75" t="s">
        <v>70</v>
      </c>
      <c r="N1666" s="573">
        <v>1.47</v>
      </c>
      <c r="O1666" s="556" t="str">
        <f t="shared" si="186"/>
        <v>DIF</v>
      </c>
      <c r="P1666" s="573"/>
      <c r="Q1666" s="556"/>
      <c r="R1666" s="582"/>
    </row>
    <row r="1667" ht="35.05" customHeight="1" spans="1:18">
      <c r="A1667" s="556" t="str">
        <f t="shared" si="187"/>
        <v>Composição Auxiliar</v>
      </c>
      <c r="B1667" s="557" t="str">
        <f t="shared" si="188"/>
        <v>Composição Auxiliar</v>
      </c>
      <c r="C1667" s="569" t="s">
        <v>2891</v>
      </c>
      <c r="D1667" s="570" t="s">
        <v>577</v>
      </c>
      <c r="E1667" s="569" t="s">
        <v>139</v>
      </c>
      <c r="F1667" s="569" t="s">
        <v>578</v>
      </c>
      <c r="G1667" s="569" t="s">
        <v>3062</v>
      </c>
      <c r="H1667" s="569"/>
      <c r="I1667" s="577" t="s">
        <v>141</v>
      </c>
      <c r="J1667" s="578">
        <v>1</v>
      </c>
      <c r="K1667" s="579"/>
      <c r="L1667" s="579">
        <v>88.74</v>
      </c>
      <c r="M1667" s="579">
        <v>88.74</v>
      </c>
      <c r="N1667" s="573">
        <v>0.63</v>
      </c>
      <c r="O1667" s="556" t="str">
        <f t="shared" si="186"/>
        <v>DIF</v>
      </c>
      <c r="P1667" s="573"/>
      <c r="Q1667" s="556"/>
      <c r="R1667" s="582"/>
    </row>
    <row r="1668" ht="23.85" customHeight="1" spans="1:18">
      <c r="A1668" s="556"/>
      <c r="B1668" s="557"/>
      <c r="C1668" s="79" t="s">
        <v>2921</v>
      </c>
      <c r="D1668" s="78" t="s">
        <v>3017</v>
      </c>
      <c r="E1668" s="79" t="s">
        <v>139</v>
      </c>
      <c r="F1668" s="79" t="s">
        <v>3018</v>
      </c>
      <c r="G1668" s="79" t="s">
        <v>2928</v>
      </c>
      <c r="H1668" s="79"/>
      <c r="I1668" s="80" t="s">
        <v>2897</v>
      </c>
      <c r="J1668" s="583">
        <v>0.86</v>
      </c>
      <c r="K1668" s="583">
        <v>0</v>
      </c>
      <c r="L1668" s="92">
        <v>36.96</v>
      </c>
      <c r="M1668" s="92">
        <v>31.78</v>
      </c>
      <c r="N1668" s="573"/>
      <c r="O1668" s="556"/>
      <c r="P1668" s="573"/>
      <c r="Q1668" s="556"/>
      <c r="R1668" s="582"/>
    </row>
    <row r="1669" ht="23.85" customHeight="1" spans="1:18">
      <c r="A1669" s="556"/>
      <c r="B1669" s="557"/>
      <c r="C1669" s="79" t="s">
        <v>2921</v>
      </c>
      <c r="D1669" s="78" t="s">
        <v>2952</v>
      </c>
      <c r="E1669" s="79" t="s">
        <v>139</v>
      </c>
      <c r="F1669" s="79" t="s">
        <v>2953</v>
      </c>
      <c r="G1669" s="79" t="s">
        <v>2928</v>
      </c>
      <c r="H1669" s="79"/>
      <c r="I1669" s="80" t="s">
        <v>2897</v>
      </c>
      <c r="J1669" s="583">
        <v>0.43</v>
      </c>
      <c r="K1669" s="583">
        <v>0</v>
      </c>
      <c r="L1669" s="92">
        <v>29.15</v>
      </c>
      <c r="M1669" s="92">
        <v>12.53</v>
      </c>
      <c r="N1669" s="573"/>
      <c r="O1669" s="556"/>
      <c r="P1669" s="573"/>
      <c r="Q1669" s="556"/>
      <c r="R1669" s="582"/>
    </row>
    <row r="1670" ht="35.05" customHeight="1" spans="1:18">
      <c r="A1670" s="556"/>
      <c r="B1670" s="557"/>
      <c r="C1670" s="79" t="s">
        <v>2921</v>
      </c>
      <c r="D1670" s="78" t="s">
        <v>3063</v>
      </c>
      <c r="E1670" s="79" t="s">
        <v>139</v>
      </c>
      <c r="F1670" s="79" t="s">
        <v>3064</v>
      </c>
      <c r="G1670" s="79" t="s">
        <v>3016</v>
      </c>
      <c r="H1670" s="79"/>
      <c r="I1670" s="80" t="s">
        <v>279</v>
      </c>
      <c r="J1670" s="583">
        <v>0.0118</v>
      </c>
      <c r="K1670" s="583">
        <v>0</v>
      </c>
      <c r="L1670" s="92">
        <v>639.63</v>
      </c>
      <c r="M1670" s="92">
        <v>7.54</v>
      </c>
      <c r="N1670" s="573"/>
      <c r="O1670" s="556"/>
      <c r="P1670" s="573"/>
      <c r="Q1670" s="556"/>
      <c r="R1670" s="582"/>
    </row>
    <row r="1671" ht="15" customHeight="1" spans="1:18">
      <c r="A1671" s="556"/>
      <c r="B1671" s="557" t="str">
        <f>C1670</f>
        <v>Composição Auxiliar</v>
      </c>
      <c r="C1671" s="100" t="s">
        <v>2893</v>
      </c>
      <c r="D1671" s="99" t="s">
        <v>3067</v>
      </c>
      <c r="E1671" s="100" t="s">
        <v>139</v>
      </c>
      <c r="F1671" s="100" t="s">
        <v>3068</v>
      </c>
      <c r="G1671" s="100" t="s">
        <v>2961</v>
      </c>
      <c r="H1671" s="100"/>
      <c r="I1671" s="101" t="s">
        <v>3069</v>
      </c>
      <c r="J1671" s="580">
        <v>0.01</v>
      </c>
      <c r="K1671" s="580">
        <v>0</v>
      </c>
      <c r="L1671" s="102">
        <v>70.87</v>
      </c>
      <c r="M1671" s="102">
        <v>0.7</v>
      </c>
      <c r="N1671" s="573">
        <v>137.91</v>
      </c>
      <c r="O1671" s="556" t="str">
        <f>IF(N1671=M1671,"OK","DIF")</f>
        <v>DIF</v>
      </c>
      <c r="P1671" s="573"/>
      <c r="Q1671" s="556"/>
      <c r="R1671" s="582"/>
    </row>
    <row r="1672" ht="23.85" customHeight="1" spans="1:18">
      <c r="A1672" s="556" t="str">
        <f>B1672</f>
        <v>Composição Auxiliar</v>
      </c>
      <c r="B1672" s="557" t="str">
        <f>B1671</f>
        <v>Composição Auxiliar</v>
      </c>
      <c r="C1672" s="100" t="s">
        <v>2893</v>
      </c>
      <c r="D1672" s="99" t="s">
        <v>3433</v>
      </c>
      <c r="E1672" s="100" t="s">
        <v>139</v>
      </c>
      <c r="F1672" s="100" t="s">
        <v>3434</v>
      </c>
      <c r="G1672" s="100" t="s">
        <v>2961</v>
      </c>
      <c r="H1672" s="100"/>
      <c r="I1672" s="101" t="s">
        <v>134</v>
      </c>
      <c r="J1672" s="580">
        <v>13.6</v>
      </c>
      <c r="K1672" s="580">
        <v>0</v>
      </c>
      <c r="L1672" s="102">
        <v>2.56</v>
      </c>
      <c r="M1672" s="102">
        <v>34.81</v>
      </c>
      <c r="N1672" s="573">
        <v>11.21</v>
      </c>
      <c r="O1672" s="556" t="str">
        <f>IF(N1672=M1672,"OK","DIF")</f>
        <v>DIF</v>
      </c>
      <c r="P1672" s="573"/>
      <c r="Q1672" s="556"/>
      <c r="R1672" s="582"/>
    </row>
    <row r="1673" ht="23.85" customHeight="1" spans="1:18">
      <c r="A1673" s="556" t="str">
        <f>B1673</f>
        <v>Composição Auxiliar</v>
      </c>
      <c r="B1673" s="557" t="str">
        <f>B1672</f>
        <v>Composição Auxiliar</v>
      </c>
      <c r="C1673" s="100" t="s">
        <v>2893</v>
      </c>
      <c r="D1673" s="99" t="s">
        <v>3435</v>
      </c>
      <c r="E1673" s="100" t="s">
        <v>139</v>
      </c>
      <c r="F1673" s="100" t="s">
        <v>3436</v>
      </c>
      <c r="G1673" s="100" t="s">
        <v>2961</v>
      </c>
      <c r="H1673" s="100"/>
      <c r="I1673" s="101" t="s">
        <v>204</v>
      </c>
      <c r="J1673" s="580">
        <v>0.42</v>
      </c>
      <c r="K1673" s="580">
        <v>0</v>
      </c>
      <c r="L1673" s="102">
        <v>3.29</v>
      </c>
      <c r="M1673" s="102">
        <v>1.38</v>
      </c>
      <c r="N1673" s="573">
        <v>8.11</v>
      </c>
      <c r="O1673" s="556" t="str">
        <f>IF(N1673=M1673,"OK","DIF")</f>
        <v>DIF</v>
      </c>
      <c r="P1673" s="573"/>
      <c r="Q1673" s="556"/>
      <c r="R1673" s="582"/>
    </row>
    <row r="1674" ht="25.5" spans="1:18">
      <c r="A1674" s="556" t="str">
        <f>B1674</f>
        <v>Composição Auxiliar</v>
      </c>
      <c r="B1674" s="557" t="str">
        <f>B1673</f>
        <v>Composição Auxiliar</v>
      </c>
      <c r="C1674" s="108"/>
      <c r="D1674" s="108"/>
      <c r="E1674" s="108"/>
      <c r="F1674" s="108"/>
      <c r="G1674" s="108"/>
      <c r="H1674" s="108" t="s">
        <v>2898</v>
      </c>
      <c r="I1674" s="581">
        <v>32.66</v>
      </c>
      <c r="J1674" s="108" t="s">
        <v>2899</v>
      </c>
      <c r="K1674" s="581">
        <v>0</v>
      </c>
      <c r="L1674" s="108" t="s">
        <v>2900</v>
      </c>
      <c r="M1674" s="581">
        <v>32.66</v>
      </c>
      <c r="N1674" s="573">
        <v>118.59</v>
      </c>
      <c r="O1674" s="556" t="str">
        <f>IF(N1674=M1674,"OK","DIF")</f>
        <v>DIF</v>
      </c>
      <c r="P1674" s="573"/>
      <c r="Q1674" s="556"/>
      <c r="R1674" s="582"/>
    </row>
    <row r="1675" ht="26.25" spans="1:18">
      <c r="A1675" s="556"/>
      <c r="B1675" s="557"/>
      <c r="C1675" s="108"/>
      <c r="D1675" s="108"/>
      <c r="E1675" s="108"/>
      <c r="F1675" s="108"/>
      <c r="G1675" s="108"/>
      <c r="H1675" s="108" t="s">
        <v>2901</v>
      </c>
      <c r="I1675" s="581">
        <v>22.61</v>
      </c>
      <c r="J1675" s="114"/>
      <c r="K1675" s="114" t="s">
        <v>2902</v>
      </c>
      <c r="L1675" s="108"/>
      <c r="M1675" s="581">
        <v>111.35</v>
      </c>
      <c r="N1675" s="573"/>
      <c r="O1675" s="556"/>
      <c r="P1675" s="573"/>
      <c r="Q1675" s="556"/>
      <c r="R1675" s="582"/>
    </row>
    <row r="1676" ht="15" spans="1:18">
      <c r="A1676" s="556"/>
      <c r="B1676" s="557"/>
      <c r="C1676" s="571"/>
      <c r="D1676" s="571"/>
      <c r="E1676" s="571"/>
      <c r="F1676" s="571"/>
      <c r="G1676" s="571"/>
      <c r="H1676" s="571"/>
      <c r="I1676" s="571"/>
      <c r="J1676" s="571"/>
      <c r="K1676" s="571"/>
      <c r="L1676" s="571"/>
      <c r="M1676" s="571"/>
      <c r="N1676" s="573"/>
      <c r="O1676" s="556"/>
      <c r="P1676" s="573"/>
      <c r="Q1676" s="556"/>
      <c r="R1676" s="582"/>
    </row>
    <row r="1677" ht="15" customHeight="1" spans="1:18">
      <c r="A1677" s="556"/>
      <c r="B1677" s="557">
        <f>C1676</f>
        <v>0</v>
      </c>
      <c r="C1677" s="76" t="s">
        <v>581</v>
      </c>
      <c r="D1677" s="75" t="s">
        <v>63</v>
      </c>
      <c r="E1677" s="76" t="s">
        <v>64</v>
      </c>
      <c r="F1677" s="76" t="s">
        <v>65</v>
      </c>
      <c r="G1677" s="76" t="s">
        <v>2889</v>
      </c>
      <c r="H1677" s="76"/>
      <c r="I1677" s="77" t="s">
        <v>66</v>
      </c>
      <c r="J1677" s="75" t="s">
        <v>67</v>
      </c>
      <c r="K1677" s="75" t="s">
        <v>2890</v>
      </c>
      <c r="L1677" s="75" t="s">
        <v>68</v>
      </c>
      <c r="M1677" s="75" t="s">
        <v>70</v>
      </c>
      <c r="N1677" s="573">
        <v>449.49</v>
      </c>
      <c r="O1677" s="556" t="str">
        <f>IF(N1677=M1677,"OK","DIF")</f>
        <v>DIF</v>
      </c>
      <c r="P1677" s="573"/>
      <c r="Q1677" s="556"/>
      <c r="R1677" s="582"/>
    </row>
    <row r="1678" ht="35.05" customHeight="1" spans="1:18">
      <c r="A1678" s="556">
        <f>B1678</f>
        <v>0</v>
      </c>
      <c r="B1678" s="557">
        <f>B1677</f>
        <v>0</v>
      </c>
      <c r="C1678" s="569" t="s">
        <v>2891</v>
      </c>
      <c r="D1678" s="570" t="s">
        <v>582</v>
      </c>
      <c r="E1678" s="569" t="s">
        <v>139</v>
      </c>
      <c r="F1678" s="569" t="s">
        <v>583</v>
      </c>
      <c r="G1678" s="569" t="s">
        <v>3437</v>
      </c>
      <c r="H1678" s="569"/>
      <c r="I1678" s="577" t="s">
        <v>141</v>
      </c>
      <c r="J1678" s="578">
        <v>1</v>
      </c>
      <c r="K1678" s="579"/>
      <c r="L1678" s="579">
        <v>98.86</v>
      </c>
      <c r="M1678" s="579">
        <v>98.86</v>
      </c>
      <c r="N1678" s="573">
        <v>92.56</v>
      </c>
      <c r="O1678" s="556" t="str">
        <f>IF(N1678=M1678,"OK","DIF")</f>
        <v>DIF</v>
      </c>
      <c r="P1678" s="573"/>
      <c r="Q1678" s="556"/>
      <c r="R1678" s="582"/>
    </row>
    <row r="1679" ht="23.85" customHeight="1" spans="1:18">
      <c r="A1679" s="556">
        <f>B1679</f>
        <v>0</v>
      </c>
      <c r="B1679" s="557">
        <f>B1678</f>
        <v>0</v>
      </c>
      <c r="C1679" s="79" t="s">
        <v>2921</v>
      </c>
      <c r="D1679" s="78" t="s">
        <v>2952</v>
      </c>
      <c r="E1679" s="79" t="s">
        <v>139</v>
      </c>
      <c r="F1679" s="79" t="s">
        <v>2953</v>
      </c>
      <c r="G1679" s="79" t="s">
        <v>2928</v>
      </c>
      <c r="H1679" s="79"/>
      <c r="I1679" s="80" t="s">
        <v>2897</v>
      </c>
      <c r="J1679" s="583">
        <v>0.171</v>
      </c>
      <c r="K1679" s="583">
        <v>0</v>
      </c>
      <c r="L1679" s="92">
        <v>29.15</v>
      </c>
      <c r="M1679" s="92">
        <v>4.98</v>
      </c>
      <c r="N1679" s="573">
        <v>294.75</v>
      </c>
      <c r="O1679" s="556" t="str">
        <f>IF(N1679=M1679,"OK","DIF")</f>
        <v>DIF</v>
      </c>
      <c r="P1679" s="573"/>
      <c r="Q1679" s="556"/>
      <c r="R1679" s="582"/>
    </row>
    <row r="1680" ht="23.85" customHeight="1" spans="1:18">
      <c r="A1680" s="556">
        <f>B1680</f>
        <v>0</v>
      </c>
      <c r="B1680" s="557">
        <f>B1679</f>
        <v>0</v>
      </c>
      <c r="C1680" s="79" t="s">
        <v>2921</v>
      </c>
      <c r="D1680" s="78" t="s">
        <v>3113</v>
      </c>
      <c r="E1680" s="79" t="s">
        <v>139</v>
      </c>
      <c r="F1680" s="79" t="s">
        <v>3114</v>
      </c>
      <c r="G1680" s="79" t="s">
        <v>2928</v>
      </c>
      <c r="H1680" s="79"/>
      <c r="I1680" s="80" t="s">
        <v>2897</v>
      </c>
      <c r="J1680" s="583">
        <v>0.522</v>
      </c>
      <c r="K1680" s="583">
        <v>0</v>
      </c>
      <c r="L1680" s="92">
        <v>39.26</v>
      </c>
      <c r="M1680" s="92">
        <v>20.49</v>
      </c>
      <c r="N1680" s="573">
        <v>62.18</v>
      </c>
      <c r="O1680" s="556" t="str">
        <f>IF(N1680=M1680,"OK","DIF")</f>
        <v>DIF</v>
      </c>
      <c r="P1680" s="573"/>
      <c r="Q1680" s="556"/>
      <c r="R1680" s="582"/>
    </row>
    <row r="1681" ht="23.85" customHeight="1" spans="1:18">
      <c r="A1681" s="556"/>
      <c r="B1681" s="557"/>
      <c r="C1681" s="100" t="s">
        <v>2893</v>
      </c>
      <c r="D1681" s="99" t="s">
        <v>3115</v>
      </c>
      <c r="E1681" s="100" t="s">
        <v>139</v>
      </c>
      <c r="F1681" s="100" t="s">
        <v>3116</v>
      </c>
      <c r="G1681" s="100" t="s">
        <v>2961</v>
      </c>
      <c r="H1681" s="100"/>
      <c r="I1681" s="101" t="s">
        <v>134</v>
      </c>
      <c r="J1681" s="580">
        <v>0.4803</v>
      </c>
      <c r="K1681" s="580">
        <v>0</v>
      </c>
      <c r="L1681" s="102">
        <v>0.32</v>
      </c>
      <c r="M1681" s="102">
        <v>0.15</v>
      </c>
      <c r="N1681" s="573"/>
      <c r="O1681" s="556"/>
      <c r="P1681" s="573"/>
      <c r="Q1681" s="556"/>
      <c r="R1681" s="582"/>
    </row>
    <row r="1682" ht="23.85" customHeight="1" spans="1:18">
      <c r="A1682" s="556"/>
      <c r="B1682" s="557"/>
      <c r="C1682" s="100" t="s">
        <v>2893</v>
      </c>
      <c r="D1682" s="99" t="s">
        <v>3438</v>
      </c>
      <c r="E1682" s="100" t="s">
        <v>139</v>
      </c>
      <c r="F1682" s="100" t="s">
        <v>3439</v>
      </c>
      <c r="G1682" s="100" t="s">
        <v>2961</v>
      </c>
      <c r="H1682" s="100"/>
      <c r="I1682" s="101" t="s">
        <v>134</v>
      </c>
      <c r="J1682" s="580">
        <v>20.1868</v>
      </c>
      <c r="K1682" s="580">
        <v>0</v>
      </c>
      <c r="L1682" s="102">
        <v>0.14</v>
      </c>
      <c r="M1682" s="102">
        <v>2.82</v>
      </c>
      <c r="N1682" s="573"/>
      <c r="O1682" s="556"/>
      <c r="P1682" s="573"/>
      <c r="Q1682" s="556"/>
      <c r="R1682" s="582"/>
    </row>
    <row r="1683" ht="23.85" customHeight="1" spans="1:18">
      <c r="A1683" s="556"/>
      <c r="B1683" s="557"/>
      <c r="C1683" s="100" t="s">
        <v>2893</v>
      </c>
      <c r="D1683" s="99" t="s">
        <v>3440</v>
      </c>
      <c r="E1683" s="100" t="s">
        <v>139</v>
      </c>
      <c r="F1683" s="100" t="s">
        <v>3441</v>
      </c>
      <c r="G1683" s="100" t="s">
        <v>2961</v>
      </c>
      <c r="H1683" s="100"/>
      <c r="I1683" s="101" t="s">
        <v>141</v>
      </c>
      <c r="J1683" s="580">
        <v>2.106</v>
      </c>
      <c r="K1683" s="580">
        <v>0</v>
      </c>
      <c r="L1683" s="102">
        <v>20.51</v>
      </c>
      <c r="M1683" s="102">
        <v>43.19</v>
      </c>
      <c r="N1683" s="573"/>
      <c r="O1683" s="556"/>
      <c r="P1683" s="573"/>
      <c r="Q1683" s="556"/>
      <c r="R1683" s="582"/>
    </row>
    <row r="1684" ht="23.85" customHeight="1" spans="1:18">
      <c r="A1684" s="556"/>
      <c r="B1684" s="557"/>
      <c r="C1684" s="100" t="s">
        <v>2893</v>
      </c>
      <c r="D1684" s="99" t="s">
        <v>3442</v>
      </c>
      <c r="E1684" s="100" t="s">
        <v>139</v>
      </c>
      <c r="F1684" s="100" t="s">
        <v>3443</v>
      </c>
      <c r="G1684" s="100" t="s">
        <v>2961</v>
      </c>
      <c r="H1684" s="100"/>
      <c r="I1684" s="101" t="s">
        <v>204</v>
      </c>
      <c r="J1684" s="580">
        <v>0.7624</v>
      </c>
      <c r="K1684" s="580">
        <v>0</v>
      </c>
      <c r="L1684" s="102">
        <v>6.07</v>
      </c>
      <c r="M1684" s="102">
        <v>4.62</v>
      </c>
      <c r="N1684" s="573"/>
      <c r="O1684" s="556"/>
      <c r="P1684" s="573"/>
      <c r="Q1684" s="556"/>
      <c r="R1684" s="582"/>
    </row>
    <row r="1685" ht="23.85" customHeight="1" spans="1:18">
      <c r="A1685" s="556"/>
      <c r="B1685" s="557" t="str">
        <f>C1684</f>
        <v>Insumo</v>
      </c>
      <c r="C1685" s="100" t="s">
        <v>2893</v>
      </c>
      <c r="D1685" s="99" t="s">
        <v>3444</v>
      </c>
      <c r="E1685" s="100" t="s">
        <v>139</v>
      </c>
      <c r="F1685" s="100" t="s">
        <v>3445</v>
      </c>
      <c r="G1685" s="100" t="s">
        <v>2961</v>
      </c>
      <c r="H1685" s="100"/>
      <c r="I1685" s="101" t="s">
        <v>204</v>
      </c>
      <c r="J1685" s="580">
        <v>2.0006</v>
      </c>
      <c r="K1685" s="580">
        <v>0</v>
      </c>
      <c r="L1685" s="102">
        <v>6.89</v>
      </c>
      <c r="M1685" s="102">
        <v>13.78</v>
      </c>
      <c r="N1685" s="573">
        <v>13.91</v>
      </c>
      <c r="O1685" s="556" t="str">
        <f>IF(N1685=M1685,"OK","DIF")</f>
        <v>DIF</v>
      </c>
      <c r="P1685" s="573"/>
      <c r="Q1685" s="556"/>
      <c r="R1685" s="582"/>
    </row>
    <row r="1686" ht="35.05" customHeight="1" spans="1:18">
      <c r="A1686" s="556" t="str">
        <f>B1686</f>
        <v>Insumo</v>
      </c>
      <c r="B1686" s="557" t="str">
        <f>B1685</f>
        <v>Insumo</v>
      </c>
      <c r="C1686" s="100" t="s">
        <v>2893</v>
      </c>
      <c r="D1686" s="99" t="s">
        <v>3446</v>
      </c>
      <c r="E1686" s="100" t="s">
        <v>139</v>
      </c>
      <c r="F1686" s="100" t="s">
        <v>3447</v>
      </c>
      <c r="G1686" s="100" t="s">
        <v>2961</v>
      </c>
      <c r="H1686" s="100"/>
      <c r="I1686" s="101" t="s">
        <v>393</v>
      </c>
      <c r="J1686" s="580">
        <v>1.0978</v>
      </c>
      <c r="K1686" s="580">
        <v>0</v>
      </c>
      <c r="L1686" s="102">
        <v>3.55</v>
      </c>
      <c r="M1686" s="102">
        <v>3.89</v>
      </c>
      <c r="N1686" s="573">
        <v>4.16</v>
      </c>
      <c r="O1686" s="556" t="str">
        <f>IF(N1686=M1686,"OK","DIF")</f>
        <v>DIF</v>
      </c>
      <c r="P1686" s="573"/>
      <c r="Q1686" s="556"/>
      <c r="R1686" s="582"/>
    </row>
    <row r="1687" ht="23.85" customHeight="1" spans="1:18">
      <c r="A1687" s="556" t="str">
        <f>B1687</f>
        <v>Insumo</v>
      </c>
      <c r="B1687" s="557" t="str">
        <f>B1686</f>
        <v>Insumo</v>
      </c>
      <c r="C1687" s="100" t="s">
        <v>2893</v>
      </c>
      <c r="D1687" s="99" t="s">
        <v>3448</v>
      </c>
      <c r="E1687" s="100" t="s">
        <v>139</v>
      </c>
      <c r="F1687" s="100" t="s">
        <v>3449</v>
      </c>
      <c r="G1687" s="100" t="s">
        <v>2961</v>
      </c>
      <c r="H1687" s="100"/>
      <c r="I1687" s="101" t="s">
        <v>3069</v>
      </c>
      <c r="J1687" s="580">
        <v>0.0248</v>
      </c>
      <c r="K1687" s="580">
        <v>0</v>
      </c>
      <c r="L1687" s="102">
        <v>82.42</v>
      </c>
      <c r="M1687" s="102">
        <v>2.04</v>
      </c>
      <c r="N1687" s="573">
        <v>5.13</v>
      </c>
      <c r="O1687" s="556" t="str">
        <f>IF(N1687=M1687,"OK","DIF")</f>
        <v>DIF</v>
      </c>
      <c r="P1687" s="573"/>
      <c r="Q1687" s="556"/>
      <c r="R1687" s="582"/>
    </row>
    <row r="1688" ht="23.85" customHeight="1" spans="1:18">
      <c r="A1688" s="556" t="str">
        <f>B1688</f>
        <v>Insumo</v>
      </c>
      <c r="B1688" s="557" t="str">
        <f>B1687</f>
        <v>Insumo</v>
      </c>
      <c r="C1688" s="100" t="s">
        <v>2893</v>
      </c>
      <c r="D1688" s="99" t="s">
        <v>3450</v>
      </c>
      <c r="E1688" s="100" t="s">
        <v>139</v>
      </c>
      <c r="F1688" s="100" t="s">
        <v>3451</v>
      </c>
      <c r="G1688" s="100" t="s">
        <v>2961</v>
      </c>
      <c r="H1688" s="100"/>
      <c r="I1688" s="101" t="s">
        <v>204</v>
      </c>
      <c r="J1688" s="580">
        <v>0.7407</v>
      </c>
      <c r="K1688" s="580">
        <v>0</v>
      </c>
      <c r="L1688" s="102">
        <v>2.84</v>
      </c>
      <c r="M1688" s="102">
        <v>2.1</v>
      </c>
      <c r="N1688" s="573">
        <v>4.54</v>
      </c>
      <c r="O1688" s="556" t="str">
        <f>IF(N1688=M1688,"OK","DIF")</f>
        <v>DIF</v>
      </c>
      <c r="P1688" s="573"/>
      <c r="Q1688" s="556"/>
      <c r="R1688" s="582"/>
    </row>
    <row r="1689" ht="23.85" customHeight="1" spans="1:18">
      <c r="A1689" s="556" t="str">
        <f>B1689</f>
        <v>Insumo</v>
      </c>
      <c r="B1689" s="557" t="str">
        <f>B1688</f>
        <v>Insumo</v>
      </c>
      <c r="C1689" s="100" t="s">
        <v>2893</v>
      </c>
      <c r="D1689" s="99" t="s">
        <v>3452</v>
      </c>
      <c r="E1689" s="100" t="s">
        <v>139</v>
      </c>
      <c r="F1689" s="100" t="s">
        <v>3453</v>
      </c>
      <c r="G1689" s="100" t="s">
        <v>2961</v>
      </c>
      <c r="H1689" s="100"/>
      <c r="I1689" s="101" t="s">
        <v>204</v>
      </c>
      <c r="J1689" s="580">
        <v>2.5027</v>
      </c>
      <c r="K1689" s="580">
        <v>0</v>
      </c>
      <c r="L1689" s="102">
        <v>0.32</v>
      </c>
      <c r="M1689" s="102">
        <v>0.8</v>
      </c>
      <c r="N1689" s="573">
        <v>0.08</v>
      </c>
      <c r="O1689" s="556" t="str">
        <f>IF(N1689=M1689,"OK","DIF")</f>
        <v>DIF</v>
      </c>
      <c r="P1689" s="573"/>
      <c r="Q1689" s="556"/>
      <c r="R1689" s="582"/>
    </row>
    <row r="1690" ht="25.5" spans="1:18">
      <c r="A1690" s="556"/>
      <c r="B1690" s="557"/>
      <c r="C1690" s="108"/>
      <c r="D1690" s="108"/>
      <c r="E1690" s="108"/>
      <c r="F1690" s="108"/>
      <c r="G1690" s="108"/>
      <c r="H1690" s="108" t="s">
        <v>2898</v>
      </c>
      <c r="I1690" s="581">
        <v>19.16</v>
      </c>
      <c r="J1690" s="108" t="s">
        <v>2899</v>
      </c>
      <c r="K1690" s="581">
        <v>0</v>
      </c>
      <c r="L1690" s="108" t="s">
        <v>2900</v>
      </c>
      <c r="M1690" s="581">
        <v>19.16</v>
      </c>
      <c r="N1690" s="573"/>
      <c r="O1690" s="556"/>
      <c r="P1690" s="573"/>
      <c r="Q1690" s="556"/>
      <c r="R1690" s="582"/>
    </row>
    <row r="1691" ht="26.25" spans="1:18">
      <c r="A1691" s="556"/>
      <c r="B1691" s="557"/>
      <c r="C1691" s="108"/>
      <c r="D1691" s="108"/>
      <c r="E1691" s="108"/>
      <c r="F1691" s="108"/>
      <c r="G1691" s="108"/>
      <c r="H1691" s="108" t="s">
        <v>2901</v>
      </c>
      <c r="I1691" s="581">
        <v>25.19</v>
      </c>
      <c r="J1691" s="114"/>
      <c r="K1691" s="114" t="s">
        <v>2902</v>
      </c>
      <c r="L1691" s="108"/>
      <c r="M1691" s="581">
        <v>124.05</v>
      </c>
      <c r="N1691" s="573"/>
      <c r="O1691" s="556"/>
      <c r="P1691" s="573"/>
      <c r="Q1691" s="556"/>
      <c r="R1691" s="582"/>
    </row>
    <row r="1692" ht="15" spans="1:18">
      <c r="A1692" s="556"/>
      <c r="B1692" s="557">
        <f>C1691</f>
        <v>0</v>
      </c>
      <c r="C1692" s="571"/>
      <c r="D1692" s="571"/>
      <c r="E1692" s="571"/>
      <c r="F1692" s="571"/>
      <c r="G1692" s="571"/>
      <c r="H1692" s="571"/>
      <c r="I1692" s="571"/>
      <c r="J1692" s="571"/>
      <c r="K1692" s="571"/>
      <c r="L1692" s="571"/>
      <c r="M1692" s="571"/>
      <c r="N1692" s="573">
        <v>32.64</v>
      </c>
      <c r="O1692" s="556" t="str">
        <f>IF(N1692=M1692,"OK","DIF")</f>
        <v>DIF</v>
      </c>
      <c r="P1692" s="573"/>
      <c r="Q1692" s="556"/>
      <c r="R1692" s="582"/>
    </row>
    <row r="1693" ht="15" customHeight="1" spans="1:18">
      <c r="A1693" s="556">
        <f>B1693</f>
        <v>0</v>
      </c>
      <c r="B1693" s="557">
        <f>B1692</f>
        <v>0</v>
      </c>
      <c r="C1693" s="76" t="s">
        <v>584</v>
      </c>
      <c r="D1693" s="75" t="s">
        <v>63</v>
      </c>
      <c r="E1693" s="76" t="s">
        <v>64</v>
      </c>
      <c r="F1693" s="76" t="s">
        <v>65</v>
      </c>
      <c r="G1693" s="76" t="s">
        <v>2889</v>
      </c>
      <c r="H1693" s="76"/>
      <c r="I1693" s="77" t="s">
        <v>66</v>
      </c>
      <c r="J1693" s="75" t="s">
        <v>67</v>
      </c>
      <c r="K1693" s="75" t="s">
        <v>2890</v>
      </c>
      <c r="L1693" s="75" t="s">
        <v>68</v>
      </c>
      <c r="M1693" s="75" t="s">
        <v>70</v>
      </c>
      <c r="N1693" s="573">
        <v>8.67</v>
      </c>
      <c r="O1693" s="556" t="str">
        <f>IF(N1693=M1693,"OK","DIF")</f>
        <v>DIF</v>
      </c>
      <c r="P1693" s="573"/>
      <c r="Q1693" s="556"/>
      <c r="R1693" s="582"/>
    </row>
    <row r="1694" ht="38.25" spans="1:18">
      <c r="A1694" s="556">
        <f>B1694</f>
        <v>0</v>
      </c>
      <c r="B1694" s="557">
        <f>B1693</f>
        <v>0</v>
      </c>
      <c r="C1694" s="569" t="s">
        <v>2891</v>
      </c>
      <c r="D1694" s="570" t="s">
        <v>585</v>
      </c>
      <c r="E1694" s="569" t="s">
        <v>77</v>
      </c>
      <c r="F1694" s="569" t="s">
        <v>3454</v>
      </c>
      <c r="G1694" s="569">
        <v>13</v>
      </c>
      <c r="H1694" s="569"/>
      <c r="I1694" s="577" t="s">
        <v>141</v>
      </c>
      <c r="J1694" s="578">
        <v>1</v>
      </c>
      <c r="K1694" s="579"/>
      <c r="L1694" s="579">
        <v>43.84</v>
      </c>
      <c r="M1694" s="579">
        <v>43.84</v>
      </c>
      <c r="N1694" s="573">
        <v>7.02</v>
      </c>
      <c r="O1694" s="556" t="str">
        <f>IF(N1694=M1694,"OK","DIF")</f>
        <v>DIF</v>
      </c>
      <c r="P1694" s="573"/>
      <c r="Q1694" s="556"/>
      <c r="R1694" s="582"/>
    </row>
    <row r="1695" ht="23.85" customHeight="1" spans="1:18">
      <c r="A1695" s="556">
        <f>B1695</f>
        <v>0</v>
      </c>
      <c r="B1695" s="557">
        <f>B1694</f>
        <v>0</v>
      </c>
      <c r="C1695" s="100" t="s">
        <v>2893</v>
      </c>
      <c r="D1695" s="99" t="s">
        <v>3455</v>
      </c>
      <c r="E1695" s="100" t="s">
        <v>77</v>
      </c>
      <c r="F1695" s="100" t="s">
        <v>3456</v>
      </c>
      <c r="G1695" s="100" t="s">
        <v>2961</v>
      </c>
      <c r="H1695" s="100"/>
      <c r="I1695" s="101" t="s">
        <v>141</v>
      </c>
      <c r="J1695" s="580">
        <v>1.1</v>
      </c>
      <c r="K1695" s="580">
        <v>0</v>
      </c>
      <c r="L1695" s="102">
        <v>19.47</v>
      </c>
      <c r="M1695" s="102">
        <v>21.41</v>
      </c>
      <c r="N1695" s="573">
        <v>16.88</v>
      </c>
      <c r="O1695" s="556" t="str">
        <f>IF(N1695=M1695,"OK","DIF")</f>
        <v>DIF</v>
      </c>
      <c r="P1695" s="573"/>
      <c r="Q1695" s="556"/>
      <c r="R1695" s="582"/>
    </row>
    <row r="1696" ht="23.85" customHeight="1" spans="1:18">
      <c r="A1696" s="556">
        <f>B1696</f>
        <v>0</v>
      </c>
      <c r="B1696" s="557">
        <f>B1695</f>
        <v>0</v>
      </c>
      <c r="C1696" s="100" t="s">
        <v>2893</v>
      </c>
      <c r="D1696" s="99" t="s">
        <v>3108</v>
      </c>
      <c r="E1696" s="100" t="s">
        <v>77</v>
      </c>
      <c r="F1696" s="100" t="s">
        <v>3109</v>
      </c>
      <c r="G1696" s="100" t="s">
        <v>2896</v>
      </c>
      <c r="H1696" s="100"/>
      <c r="I1696" s="101" t="s">
        <v>2897</v>
      </c>
      <c r="J1696" s="580">
        <v>0.333</v>
      </c>
      <c r="K1696" s="580">
        <v>3</v>
      </c>
      <c r="L1696" s="102">
        <v>19.16</v>
      </c>
      <c r="M1696" s="102">
        <v>6.57</v>
      </c>
      <c r="N1696" s="573">
        <v>0.07</v>
      </c>
      <c r="O1696" s="556" t="str">
        <f>IF(N1696=M1696,"OK","DIF")</f>
        <v>DIF</v>
      </c>
      <c r="P1696" s="573"/>
      <c r="Q1696" s="556"/>
      <c r="R1696" s="582"/>
    </row>
    <row r="1697" ht="23.85" customHeight="1" spans="1:18">
      <c r="A1697" s="556"/>
      <c r="B1697" s="557"/>
      <c r="C1697" s="100" t="s">
        <v>2893</v>
      </c>
      <c r="D1697" s="99" t="s">
        <v>3457</v>
      </c>
      <c r="E1697" s="100" t="s">
        <v>77</v>
      </c>
      <c r="F1697" s="100" t="s">
        <v>3458</v>
      </c>
      <c r="G1697" s="100" t="s">
        <v>2961</v>
      </c>
      <c r="H1697" s="100"/>
      <c r="I1697" s="101" t="s">
        <v>3459</v>
      </c>
      <c r="J1697" s="580">
        <v>0.067</v>
      </c>
      <c r="K1697" s="580">
        <v>0</v>
      </c>
      <c r="L1697" s="102">
        <v>90.64</v>
      </c>
      <c r="M1697" s="102">
        <v>6.07</v>
      </c>
      <c r="N1697" s="573"/>
      <c r="O1697" s="556"/>
      <c r="P1697" s="573"/>
      <c r="Q1697" s="556"/>
      <c r="R1697" s="582"/>
    </row>
    <row r="1698" ht="23.85" customHeight="1" spans="1:18">
      <c r="A1698" s="556"/>
      <c r="B1698" s="557"/>
      <c r="C1698" s="100" t="s">
        <v>2893</v>
      </c>
      <c r="D1698" s="99" t="s">
        <v>3460</v>
      </c>
      <c r="E1698" s="100" t="s">
        <v>77</v>
      </c>
      <c r="F1698" s="100" t="s">
        <v>3461</v>
      </c>
      <c r="G1698" s="100" t="s">
        <v>2896</v>
      </c>
      <c r="H1698" s="100"/>
      <c r="I1698" s="101" t="s">
        <v>2897</v>
      </c>
      <c r="J1698" s="580">
        <v>0.333</v>
      </c>
      <c r="K1698" s="580">
        <v>3</v>
      </c>
      <c r="L1698" s="102">
        <v>28.55</v>
      </c>
      <c r="M1698" s="102">
        <v>9.79</v>
      </c>
      <c r="N1698" s="573"/>
      <c r="O1698" s="556"/>
      <c r="P1698" s="573"/>
      <c r="Q1698" s="556"/>
      <c r="R1698" s="582"/>
    </row>
    <row r="1699" ht="25.5" spans="1:18">
      <c r="A1699" s="556"/>
      <c r="B1699" s="557" t="str">
        <f>C1698</f>
        <v>Insumo</v>
      </c>
      <c r="C1699" s="108"/>
      <c r="D1699" s="108"/>
      <c r="E1699" s="108"/>
      <c r="F1699" s="108"/>
      <c r="G1699" s="108"/>
      <c r="H1699" s="108" t="s">
        <v>2898</v>
      </c>
      <c r="I1699" s="581">
        <v>16.36</v>
      </c>
      <c r="J1699" s="108" t="s">
        <v>2899</v>
      </c>
      <c r="K1699" s="581">
        <v>0</v>
      </c>
      <c r="L1699" s="108" t="s">
        <v>2900</v>
      </c>
      <c r="M1699" s="581">
        <v>16.36</v>
      </c>
      <c r="N1699" s="573">
        <v>9.81</v>
      </c>
      <c r="O1699" s="556" t="str">
        <f t="shared" ref="O1699:O1705" si="189">IF(N1699=M1699,"OK","DIF")</f>
        <v>DIF</v>
      </c>
      <c r="P1699" s="573"/>
      <c r="Q1699" s="556"/>
      <c r="R1699" s="582"/>
    </row>
    <row r="1700" ht="26.25" spans="1:18">
      <c r="A1700" s="556" t="str">
        <f t="shared" ref="A1700:A1705" si="190">B1700</f>
        <v>Insumo</v>
      </c>
      <c r="B1700" s="557" t="str">
        <f t="shared" ref="B1700:B1705" si="191">B1699</f>
        <v>Insumo</v>
      </c>
      <c r="C1700" s="108"/>
      <c r="D1700" s="108"/>
      <c r="E1700" s="108"/>
      <c r="F1700" s="108"/>
      <c r="G1700" s="108"/>
      <c r="H1700" s="108" t="s">
        <v>2901</v>
      </c>
      <c r="I1700" s="581">
        <v>11.17</v>
      </c>
      <c r="J1700" s="114"/>
      <c r="K1700" s="114" t="s">
        <v>2902</v>
      </c>
      <c r="L1700" s="108"/>
      <c r="M1700" s="581">
        <v>55.01</v>
      </c>
      <c r="N1700" s="573">
        <v>3.56</v>
      </c>
      <c r="O1700" s="556" t="str">
        <f t="shared" si="189"/>
        <v>DIF</v>
      </c>
      <c r="P1700" s="573"/>
      <c r="Q1700" s="556"/>
      <c r="R1700" s="582"/>
    </row>
    <row r="1701" ht="15" spans="1:18">
      <c r="A1701" s="556" t="str">
        <f t="shared" si="190"/>
        <v>Insumo</v>
      </c>
      <c r="B1701" s="557" t="str">
        <f t="shared" si="191"/>
        <v>Insumo</v>
      </c>
      <c r="C1701" s="571"/>
      <c r="D1701" s="571"/>
      <c r="E1701" s="571"/>
      <c r="F1701" s="571"/>
      <c r="G1701" s="571"/>
      <c r="H1701" s="571"/>
      <c r="I1701" s="571"/>
      <c r="J1701" s="571"/>
      <c r="K1701" s="571"/>
      <c r="L1701" s="571"/>
      <c r="M1701" s="571"/>
      <c r="N1701" s="573">
        <v>4.4</v>
      </c>
      <c r="O1701" s="556" t="str">
        <f t="shared" si="189"/>
        <v>DIF</v>
      </c>
      <c r="P1701" s="573"/>
      <c r="Q1701" s="556"/>
      <c r="R1701" s="582"/>
    </row>
    <row r="1702" ht="15" customHeight="1" spans="1:18">
      <c r="A1702" s="556" t="str">
        <f t="shared" si="190"/>
        <v>Insumo</v>
      </c>
      <c r="B1702" s="557" t="str">
        <f t="shared" si="191"/>
        <v>Insumo</v>
      </c>
      <c r="C1702" s="76" t="s">
        <v>587</v>
      </c>
      <c r="D1702" s="75" t="s">
        <v>63</v>
      </c>
      <c r="E1702" s="76" t="s">
        <v>64</v>
      </c>
      <c r="F1702" s="76" t="s">
        <v>65</v>
      </c>
      <c r="G1702" s="76" t="s">
        <v>2889</v>
      </c>
      <c r="H1702" s="76"/>
      <c r="I1702" s="77" t="s">
        <v>66</v>
      </c>
      <c r="J1702" s="75" t="s">
        <v>67</v>
      </c>
      <c r="K1702" s="75" t="s">
        <v>2890</v>
      </c>
      <c r="L1702" s="75" t="s">
        <v>68</v>
      </c>
      <c r="M1702" s="75" t="s">
        <v>70</v>
      </c>
      <c r="N1702" s="573">
        <v>0.57</v>
      </c>
      <c r="O1702" s="556" t="str">
        <f t="shared" si="189"/>
        <v>DIF</v>
      </c>
      <c r="P1702" s="573"/>
      <c r="Q1702" s="556"/>
      <c r="R1702" s="582"/>
    </row>
    <row r="1703" ht="23.85" customHeight="1" spans="1:18">
      <c r="A1703" s="556" t="str">
        <f t="shared" si="190"/>
        <v>Insumo</v>
      </c>
      <c r="B1703" s="557" t="str">
        <f t="shared" si="191"/>
        <v>Insumo</v>
      </c>
      <c r="C1703" s="569" t="s">
        <v>2891</v>
      </c>
      <c r="D1703" s="570" t="s">
        <v>588</v>
      </c>
      <c r="E1703" s="569" t="s">
        <v>139</v>
      </c>
      <c r="F1703" s="569" t="s">
        <v>589</v>
      </c>
      <c r="G1703" s="569" t="s">
        <v>3094</v>
      </c>
      <c r="H1703" s="569"/>
      <c r="I1703" s="577" t="s">
        <v>141</v>
      </c>
      <c r="J1703" s="578">
        <v>1</v>
      </c>
      <c r="K1703" s="579"/>
      <c r="L1703" s="579">
        <v>237.37</v>
      </c>
      <c r="M1703" s="579">
        <v>237.37</v>
      </c>
      <c r="N1703" s="573">
        <v>0.45</v>
      </c>
      <c r="O1703" s="556" t="str">
        <f t="shared" si="189"/>
        <v>DIF</v>
      </c>
      <c r="P1703" s="573"/>
      <c r="Q1703" s="556"/>
      <c r="R1703" s="582"/>
    </row>
    <row r="1704" ht="23.85" customHeight="1" spans="1:18">
      <c r="A1704" s="556" t="str">
        <f t="shared" si="190"/>
        <v>Insumo</v>
      </c>
      <c r="B1704" s="557" t="str">
        <f t="shared" si="191"/>
        <v>Insumo</v>
      </c>
      <c r="C1704" s="79" t="s">
        <v>2921</v>
      </c>
      <c r="D1704" s="78" t="s">
        <v>2952</v>
      </c>
      <c r="E1704" s="79" t="s">
        <v>139</v>
      </c>
      <c r="F1704" s="79" t="s">
        <v>2953</v>
      </c>
      <c r="G1704" s="79" t="s">
        <v>2928</v>
      </c>
      <c r="H1704" s="79"/>
      <c r="I1704" s="80" t="s">
        <v>2897</v>
      </c>
      <c r="J1704" s="583">
        <v>0.062</v>
      </c>
      <c r="K1704" s="583">
        <v>0</v>
      </c>
      <c r="L1704" s="92">
        <v>29.15</v>
      </c>
      <c r="M1704" s="92">
        <v>1.8</v>
      </c>
      <c r="N1704" s="573">
        <v>0.07</v>
      </c>
      <c r="O1704" s="556" t="str">
        <f t="shared" si="189"/>
        <v>DIF</v>
      </c>
      <c r="P1704" s="573"/>
      <c r="Q1704" s="556"/>
      <c r="R1704" s="582"/>
    </row>
    <row r="1705" ht="23.85" customHeight="1" spans="1:18">
      <c r="A1705" s="556" t="str">
        <f t="shared" si="190"/>
        <v>Insumo</v>
      </c>
      <c r="B1705" s="557" t="str">
        <f t="shared" si="191"/>
        <v>Insumo</v>
      </c>
      <c r="C1705" s="79" t="s">
        <v>2921</v>
      </c>
      <c r="D1705" s="78" t="s">
        <v>3086</v>
      </c>
      <c r="E1705" s="79" t="s">
        <v>139</v>
      </c>
      <c r="F1705" s="79" t="s">
        <v>3087</v>
      </c>
      <c r="G1705" s="79" t="s">
        <v>2995</v>
      </c>
      <c r="H1705" s="79"/>
      <c r="I1705" s="80" t="s">
        <v>3002</v>
      </c>
      <c r="J1705" s="583">
        <v>0.0009</v>
      </c>
      <c r="K1705" s="583">
        <v>0</v>
      </c>
      <c r="L1705" s="92">
        <v>33.46</v>
      </c>
      <c r="M1705" s="92">
        <v>0.03</v>
      </c>
      <c r="N1705" s="573">
        <v>0.76</v>
      </c>
      <c r="O1705" s="556" t="str">
        <f t="shared" si="189"/>
        <v>DIF</v>
      </c>
      <c r="P1705" s="573"/>
      <c r="Q1705" s="556"/>
      <c r="R1705" s="582"/>
    </row>
    <row r="1706" ht="23.85" customHeight="1" spans="1:18">
      <c r="A1706" s="556"/>
      <c r="B1706" s="557"/>
      <c r="C1706" s="79" t="s">
        <v>2921</v>
      </c>
      <c r="D1706" s="78" t="s">
        <v>3088</v>
      </c>
      <c r="E1706" s="79" t="s">
        <v>139</v>
      </c>
      <c r="F1706" s="79" t="s">
        <v>3089</v>
      </c>
      <c r="G1706" s="79" t="s">
        <v>2995</v>
      </c>
      <c r="H1706" s="79"/>
      <c r="I1706" s="80" t="s">
        <v>2996</v>
      </c>
      <c r="J1706" s="583">
        <v>0.0012</v>
      </c>
      <c r="K1706" s="583">
        <v>0</v>
      </c>
      <c r="L1706" s="92">
        <v>32.28</v>
      </c>
      <c r="M1706" s="92">
        <v>0.03</v>
      </c>
      <c r="N1706" s="573"/>
      <c r="O1706" s="556"/>
      <c r="P1706" s="573"/>
      <c r="Q1706" s="556"/>
      <c r="R1706" s="582"/>
    </row>
    <row r="1707" ht="23.85" customHeight="1" spans="1:18">
      <c r="A1707" s="556"/>
      <c r="B1707" s="557"/>
      <c r="C1707" s="79" t="s">
        <v>2921</v>
      </c>
      <c r="D1707" s="78" t="s">
        <v>3095</v>
      </c>
      <c r="E1707" s="79" t="s">
        <v>139</v>
      </c>
      <c r="F1707" s="79" t="s">
        <v>3096</v>
      </c>
      <c r="G1707" s="79" t="s">
        <v>2928</v>
      </c>
      <c r="H1707" s="79"/>
      <c r="I1707" s="80" t="s">
        <v>2897</v>
      </c>
      <c r="J1707" s="583">
        <v>0.056</v>
      </c>
      <c r="K1707" s="583">
        <v>0</v>
      </c>
      <c r="L1707" s="92">
        <v>37.16</v>
      </c>
      <c r="M1707" s="92">
        <v>2.08</v>
      </c>
      <c r="N1707" s="573"/>
      <c r="O1707" s="556"/>
      <c r="P1707" s="573"/>
      <c r="Q1707" s="556"/>
      <c r="R1707" s="582"/>
    </row>
    <row r="1708" ht="35.05" customHeight="1" spans="1:18">
      <c r="A1708" s="556"/>
      <c r="B1708" s="557" t="str">
        <f>C1707</f>
        <v>Composição Auxiliar</v>
      </c>
      <c r="C1708" s="100" t="s">
        <v>2893</v>
      </c>
      <c r="D1708" s="99" t="s">
        <v>3462</v>
      </c>
      <c r="E1708" s="100" t="s">
        <v>139</v>
      </c>
      <c r="F1708" s="100" t="s">
        <v>3463</v>
      </c>
      <c r="G1708" s="100" t="s">
        <v>2961</v>
      </c>
      <c r="H1708" s="100"/>
      <c r="I1708" s="101" t="s">
        <v>1491</v>
      </c>
      <c r="J1708" s="580">
        <v>4.15</v>
      </c>
      <c r="K1708" s="580">
        <v>0</v>
      </c>
      <c r="L1708" s="102">
        <v>2.4</v>
      </c>
      <c r="M1708" s="102">
        <v>9.96</v>
      </c>
      <c r="N1708" s="573">
        <v>21.39</v>
      </c>
      <c r="O1708" s="556" t="str">
        <f t="shared" ref="O1708:O1714" si="192">IF(N1708=M1708,"OK","DIF")</f>
        <v>DIF</v>
      </c>
      <c r="P1708" s="573"/>
      <c r="Q1708" s="556"/>
      <c r="R1708" s="582"/>
    </row>
    <row r="1709" ht="57.45" customHeight="1" spans="1:18">
      <c r="A1709" s="556" t="str">
        <f t="shared" ref="A1709:A1714" si="193">B1709</f>
        <v>Composição Auxiliar</v>
      </c>
      <c r="B1709" s="557" t="str">
        <f t="shared" ref="B1709:B1714" si="194">B1708</f>
        <v>Composição Auxiliar</v>
      </c>
      <c r="C1709" s="100" t="s">
        <v>2893</v>
      </c>
      <c r="D1709" s="99" t="s">
        <v>3464</v>
      </c>
      <c r="E1709" s="100" t="s">
        <v>139</v>
      </c>
      <c r="F1709" s="100" t="s">
        <v>3465</v>
      </c>
      <c r="G1709" s="100" t="s">
        <v>2961</v>
      </c>
      <c r="H1709" s="100"/>
      <c r="I1709" s="101" t="s">
        <v>141</v>
      </c>
      <c r="J1709" s="580">
        <v>1.146</v>
      </c>
      <c r="K1709" s="580">
        <v>0</v>
      </c>
      <c r="L1709" s="102">
        <v>195</v>
      </c>
      <c r="M1709" s="102">
        <v>223.47</v>
      </c>
      <c r="N1709" s="573">
        <v>6.01</v>
      </c>
      <c r="O1709" s="556" t="str">
        <f t="shared" si="192"/>
        <v>DIF</v>
      </c>
      <c r="P1709" s="573"/>
      <c r="Q1709" s="556"/>
      <c r="R1709" s="582"/>
    </row>
    <row r="1710" ht="25.5" spans="1:18">
      <c r="A1710" s="556" t="str">
        <f t="shared" si="193"/>
        <v>Composição Auxiliar</v>
      </c>
      <c r="B1710" s="557" t="str">
        <f t="shared" si="194"/>
        <v>Composição Auxiliar</v>
      </c>
      <c r="C1710" s="108"/>
      <c r="D1710" s="108"/>
      <c r="E1710" s="108"/>
      <c r="F1710" s="108"/>
      <c r="G1710" s="108"/>
      <c r="H1710" s="108" t="s">
        <v>2898</v>
      </c>
      <c r="I1710" s="581">
        <v>2.76</v>
      </c>
      <c r="J1710" s="108" t="s">
        <v>2899</v>
      </c>
      <c r="K1710" s="581">
        <v>0</v>
      </c>
      <c r="L1710" s="108" t="s">
        <v>2900</v>
      </c>
      <c r="M1710" s="581">
        <v>2.76</v>
      </c>
      <c r="N1710" s="573">
        <v>7.43</v>
      </c>
      <c r="O1710" s="556" t="str">
        <f t="shared" si="192"/>
        <v>DIF</v>
      </c>
      <c r="P1710" s="573"/>
      <c r="Q1710" s="556"/>
      <c r="R1710" s="582"/>
    </row>
    <row r="1711" ht="26.25" spans="1:18">
      <c r="A1711" s="556" t="str">
        <f t="shared" si="193"/>
        <v>Composição Auxiliar</v>
      </c>
      <c r="B1711" s="557" t="str">
        <f t="shared" si="194"/>
        <v>Composição Auxiliar</v>
      </c>
      <c r="C1711" s="108"/>
      <c r="D1711" s="108"/>
      <c r="E1711" s="108"/>
      <c r="F1711" s="108"/>
      <c r="G1711" s="108"/>
      <c r="H1711" s="108" t="s">
        <v>2901</v>
      </c>
      <c r="I1711" s="581">
        <v>60.5</v>
      </c>
      <c r="J1711" s="114"/>
      <c r="K1711" s="114" t="s">
        <v>2902</v>
      </c>
      <c r="L1711" s="108"/>
      <c r="M1711" s="581">
        <v>297.87</v>
      </c>
      <c r="N1711" s="573">
        <v>1.04</v>
      </c>
      <c r="O1711" s="556" t="str">
        <f t="shared" si="192"/>
        <v>DIF</v>
      </c>
      <c r="P1711" s="573"/>
      <c r="Q1711" s="556"/>
      <c r="R1711" s="582"/>
    </row>
    <row r="1712" ht="15" spans="1:18">
      <c r="A1712" s="556" t="str">
        <f t="shared" si="193"/>
        <v>Composição Auxiliar</v>
      </c>
      <c r="B1712" s="557" t="str">
        <f t="shared" si="194"/>
        <v>Composição Auxiliar</v>
      </c>
      <c r="C1712" s="571"/>
      <c r="D1712" s="571"/>
      <c r="E1712" s="571"/>
      <c r="F1712" s="571"/>
      <c r="G1712" s="571"/>
      <c r="H1712" s="571"/>
      <c r="I1712" s="571"/>
      <c r="J1712" s="571"/>
      <c r="K1712" s="571"/>
      <c r="L1712" s="571"/>
      <c r="M1712" s="571"/>
      <c r="N1712" s="573">
        <v>1.58</v>
      </c>
      <c r="O1712" s="556" t="str">
        <f t="shared" si="192"/>
        <v>DIF</v>
      </c>
      <c r="P1712" s="573"/>
      <c r="Q1712" s="556"/>
      <c r="R1712" s="582"/>
    </row>
    <row r="1713" ht="15" customHeight="1" spans="1:18">
      <c r="A1713" s="556" t="str">
        <f t="shared" si="193"/>
        <v>Composição Auxiliar</v>
      </c>
      <c r="B1713" s="557" t="str">
        <f t="shared" si="194"/>
        <v>Composição Auxiliar</v>
      </c>
      <c r="C1713" s="76" t="s">
        <v>590</v>
      </c>
      <c r="D1713" s="75" t="s">
        <v>63</v>
      </c>
      <c r="E1713" s="76" t="s">
        <v>64</v>
      </c>
      <c r="F1713" s="76" t="s">
        <v>65</v>
      </c>
      <c r="G1713" s="76" t="s">
        <v>2889</v>
      </c>
      <c r="H1713" s="76"/>
      <c r="I1713" s="77" t="s">
        <v>66</v>
      </c>
      <c r="J1713" s="75" t="s">
        <v>67</v>
      </c>
      <c r="K1713" s="75" t="s">
        <v>2890</v>
      </c>
      <c r="L1713" s="75" t="s">
        <v>68</v>
      </c>
      <c r="M1713" s="75" t="s">
        <v>70</v>
      </c>
      <c r="N1713" s="573">
        <v>0.12</v>
      </c>
      <c r="O1713" s="556" t="str">
        <f t="shared" si="192"/>
        <v>DIF</v>
      </c>
      <c r="P1713" s="573"/>
      <c r="Q1713" s="556"/>
      <c r="R1713" s="582"/>
    </row>
    <row r="1714" ht="46.25" customHeight="1" spans="1:18">
      <c r="A1714" s="556" t="str">
        <f t="shared" si="193"/>
        <v>Composição Auxiliar</v>
      </c>
      <c r="B1714" s="557" t="str">
        <f t="shared" si="194"/>
        <v>Composição Auxiliar</v>
      </c>
      <c r="C1714" s="569" t="s">
        <v>2891</v>
      </c>
      <c r="D1714" s="570" t="s">
        <v>591</v>
      </c>
      <c r="E1714" s="569" t="s">
        <v>139</v>
      </c>
      <c r="F1714" s="569" t="s">
        <v>592</v>
      </c>
      <c r="G1714" s="569" t="s">
        <v>3085</v>
      </c>
      <c r="H1714" s="569"/>
      <c r="I1714" s="577" t="s">
        <v>141</v>
      </c>
      <c r="J1714" s="578">
        <v>1</v>
      </c>
      <c r="K1714" s="579"/>
      <c r="L1714" s="579">
        <v>51.21</v>
      </c>
      <c r="M1714" s="579">
        <v>51.21</v>
      </c>
      <c r="N1714" s="573">
        <v>5.21</v>
      </c>
      <c r="O1714" s="556" t="str">
        <f t="shared" si="192"/>
        <v>DIF</v>
      </c>
      <c r="P1714" s="573"/>
      <c r="Q1714" s="556"/>
      <c r="R1714" s="582"/>
    </row>
    <row r="1715" ht="23.85" customHeight="1" spans="1:18">
      <c r="A1715" s="556"/>
      <c r="B1715" s="557"/>
      <c r="C1715" s="79" t="s">
        <v>2921</v>
      </c>
      <c r="D1715" s="78" t="s">
        <v>3113</v>
      </c>
      <c r="E1715" s="79" t="s">
        <v>139</v>
      </c>
      <c r="F1715" s="79" t="s">
        <v>3114</v>
      </c>
      <c r="G1715" s="79" t="s">
        <v>2928</v>
      </c>
      <c r="H1715" s="79"/>
      <c r="I1715" s="80" t="s">
        <v>2897</v>
      </c>
      <c r="J1715" s="583">
        <v>0.213</v>
      </c>
      <c r="K1715" s="583">
        <v>0</v>
      </c>
      <c r="L1715" s="92">
        <v>39.26</v>
      </c>
      <c r="M1715" s="92">
        <v>8.36</v>
      </c>
      <c r="N1715" s="573"/>
      <c r="O1715" s="556"/>
      <c r="P1715" s="573"/>
      <c r="Q1715" s="556"/>
      <c r="R1715" s="582"/>
    </row>
    <row r="1716" ht="23.85" customHeight="1" spans="1:18">
      <c r="A1716" s="556"/>
      <c r="B1716" s="557"/>
      <c r="C1716" s="79" t="s">
        <v>2921</v>
      </c>
      <c r="D1716" s="78" t="s">
        <v>3086</v>
      </c>
      <c r="E1716" s="79" t="s">
        <v>139</v>
      </c>
      <c r="F1716" s="79" t="s">
        <v>3087</v>
      </c>
      <c r="G1716" s="79" t="s">
        <v>2995</v>
      </c>
      <c r="H1716" s="79"/>
      <c r="I1716" s="80" t="s">
        <v>3002</v>
      </c>
      <c r="J1716" s="583">
        <v>0.0068</v>
      </c>
      <c r="K1716" s="583">
        <v>0</v>
      </c>
      <c r="L1716" s="92">
        <v>33.46</v>
      </c>
      <c r="M1716" s="92">
        <v>0.22</v>
      </c>
      <c r="N1716" s="573"/>
      <c r="O1716" s="556"/>
      <c r="P1716" s="573"/>
      <c r="Q1716" s="556"/>
      <c r="R1716" s="582"/>
    </row>
    <row r="1717" ht="23.85" customHeight="1" spans="1:18">
      <c r="A1717" s="556"/>
      <c r="B1717" s="557" t="str">
        <f>C1716</f>
        <v>Composição Auxiliar</v>
      </c>
      <c r="C1717" s="79" t="s">
        <v>2921</v>
      </c>
      <c r="D1717" s="78" t="s">
        <v>2952</v>
      </c>
      <c r="E1717" s="79" t="s">
        <v>139</v>
      </c>
      <c r="F1717" s="79" t="s">
        <v>2953</v>
      </c>
      <c r="G1717" s="79" t="s">
        <v>2928</v>
      </c>
      <c r="H1717" s="79"/>
      <c r="I1717" s="80" t="s">
        <v>2897</v>
      </c>
      <c r="J1717" s="583">
        <v>0.106</v>
      </c>
      <c r="K1717" s="583">
        <v>0</v>
      </c>
      <c r="L1717" s="92">
        <v>29.15</v>
      </c>
      <c r="M1717" s="92">
        <v>3.08</v>
      </c>
      <c r="N1717" s="573">
        <v>32.08</v>
      </c>
      <c r="O1717" s="556" t="str">
        <f t="shared" ref="O1717:O1723" si="195">IF(N1717=M1717,"OK","DIF")</f>
        <v>DIF</v>
      </c>
      <c r="P1717" s="573"/>
      <c r="Q1717" s="556"/>
      <c r="R1717" s="582"/>
    </row>
    <row r="1718" ht="23.85" customHeight="1" spans="1:18">
      <c r="A1718" s="556" t="str">
        <f t="shared" ref="A1718:A1723" si="196">B1718</f>
        <v>Composição Auxiliar</v>
      </c>
      <c r="B1718" s="557" t="str">
        <f t="shared" ref="B1718:B1723" si="197">B1717</f>
        <v>Composição Auxiliar</v>
      </c>
      <c r="C1718" s="79" t="s">
        <v>2921</v>
      </c>
      <c r="D1718" s="78" t="s">
        <v>3088</v>
      </c>
      <c r="E1718" s="79" t="s">
        <v>139</v>
      </c>
      <c r="F1718" s="79" t="s">
        <v>3089</v>
      </c>
      <c r="G1718" s="79" t="s">
        <v>2995</v>
      </c>
      <c r="H1718" s="79"/>
      <c r="I1718" s="80" t="s">
        <v>2996</v>
      </c>
      <c r="J1718" s="583">
        <v>0.0094</v>
      </c>
      <c r="K1718" s="583">
        <v>0</v>
      </c>
      <c r="L1718" s="92">
        <v>32.28</v>
      </c>
      <c r="M1718" s="92">
        <v>0.3</v>
      </c>
      <c r="N1718" s="573">
        <v>9.9</v>
      </c>
      <c r="O1718" s="556" t="str">
        <f t="shared" si="195"/>
        <v>DIF</v>
      </c>
      <c r="P1718" s="573"/>
      <c r="Q1718" s="556"/>
      <c r="R1718" s="582"/>
    </row>
    <row r="1719" ht="23.85" customHeight="1" spans="1:18">
      <c r="A1719" s="556" t="str">
        <f t="shared" si="196"/>
        <v>Composição Auxiliar</v>
      </c>
      <c r="B1719" s="557" t="str">
        <f t="shared" si="197"/>
        <v>Composição Auxiliar</v>
      </c>
      <c r="C1719" s="100" t="s">
        <v>2893</v>
      </c>
      <c r="D1719" s="99" t="s">
        <v>3466</v>
      </c>
      <c r="E1719" s="100" t="s">
        <v>139</v>
      </c>
      <c r="F1719" s="100" t="s">
        <v>3467</v>
      </c>
      <c r="G1719" s="100" t="s">
        <v>2961</v>
      </c>
      <c r="H1719" s="100"/>
      <c r="I1719" s="101" t="s">
        <v>393</v>
      </c>
      <c r="J1719" s="580">
        <v>4.333</v>
      </c>
      <c r="K1719" s="580">
        <v>0</v>
      </c>
      <c r="L1719" s="102">
        <v>8.66</v>
      </c>
      <c r="M1719" s="102">
        <v>37.52</v>
      </c>
      <c r="N1719" s="573">
        <v>8.02</v>
      </c>
      <c r="O1719" s="556" t="str">
        <f t="shared" si="195"/>
        <v>DIF</v>
      </c>
      <c r="P1719" s="573"/>
      <c r="Q1719" s="556"/>
      <c r="R1719" s="582"/>
    </row>
    <row r="1720" ht="23.85" customHeight="1" spans="1:18">
      <c r="A1720" s="556" t="str">
        <f t="shared" si="196"/>
        <v>Composição Auxiliar</v>
      </c>
      <c r="B1720" s="557" t="str">
        <f t="shared" si="197"/>
        <v>Composição Auxiliar</v>
      </c>
      <c r="C1720" s="100" t="s">
        <v>2893</v>
      </c>
      <c r="D1720" s="99" t="s">
        <v>3468</v>
      </c>
      <c r="E1720" s="100" t="s">
        <v>139</v>
      </c>
      <c r="F1720" s="100" t="s">
        <v>3469</v>
      </c>
      <c r="G1720" s="100" t="s">
        <v>2961</v>
      </c>
      <c r="H1720" s="100"/>
      <c r="I1720" s="101" t="s">
        <v>3069</v>
      </c>
      <c r="J1720" s="580">
        <v>0.007</v>
      </c>
      <c r="K1720" s="580">
        <v>0</v>
      </c>
      <c r="L1720" s="102">
        <v>248.46</v>
      </c>
      <c r="M1720" s="102">
        <v>1.73</v>
      </c>
      <c r="N1720" s="573">
        <v>1.56</v>
      </c>
      <c r="O1720" s="556" t="str">
        <f t="shared" si="195"/>
        <v>DIF</v>
      </c>
      <c r="P1720" s="573"/>
      <c r="Q1720" s="556"/>
      <c r="R1720" s="582"/>
    </row>
    <row r="1721" ht="25.5" spans="1:18">
      <c r="A1721" s="556" t="str">
        <f t="shared" si="196"/>
        <v>Composição Auxiliar</v>
      </c>
      <c r="B1721" s="557" t="str">
        <f t="shared" si="197"/>
        <v>Composição Auxiliar</v>
      </c>
      <c r="C1721" s="108"/>
      <c r="D1721" s="108"/>
      <c r="E1721" s="108"/>
      <c r="F1721" s="108"/>
      <c r="G1721" s="108"/>
      <c r="H1721" s="108" t="s">
        <v>2898</v>
      </c>
      <c r="I1721" s="581">
        <v>8.87</v>
      </c>
      <c r="J1721" s="108" t="s">
        <v>2899</v>
      </c>
      <c r="K1721" s="581">
        <v>0</v>
      </c>
      <c r="L1721" s="108" t="s">
        <v>2900</v>
      </c>
      <c r="M1721" s="581">
        <v>8.87</v>
      </c>
      <c r="N1721" s="573">
        <v>10.05</v>
      </c>
      <c r="O1721" s="556" t="str">
        <f t="shared" si="195"/>
        <v>DIF</v>
      </c>
      <c r="P1721" s="573"/>
      <c r="Q1721" s="556"/>
      <c r="R1721" s="582"/>
    </row>
    <row r="1722" ht="26.25" spans="1:18">
      <c r="A1722" s="556" t="str">
        <f t="shared" si="196"/>
        <v>Composição Auxiliar</v>
      </c>
      <c r="B1722" s="557" t="str">
        <f t="shared" si="197"/>
        <v>Composição Auxiliar</v>
      </c>
      <c r="C1722" s="108"/>
      <c r="D1722" s="108"/>
      <c r="E1722" s="108"/>
      <c r="F1722" s="108"/>
      <c r="G1722" s="108"/>
      <c r="H1722" s="108" t="s">
        <v>2901</v>
      </c>
      <c r="I1722" s="581">
        <v>13.05</v>
      </c>
      <c r="J1722" s="114"/>
      <c r="K1722" s="114" t="s">
        <v>2902</v>
      </c>
      <c r="L1722" s="108"/>
      <c r="M1722" s="581">
        <v>64.26</v>
      </c>
      <c r="N1722" s="573">
        <v>0.18</v>
      </c>
      <c r="O1722" s="556" t="str">
        <f t="shared" si="195"/>
        <v>DIF</v>
      </c>
      <c r="P1722" s="573"/>
      <c r="Q1722" s="556"/>
      <c r="R1722" s="582"/>
    </row>
    <row r="1723" ht="15" spans="1:18">
      <c r="A1723" s="556" t="str">
        <f t="shared" si="196"/>
        <v>Composição Auxiliar</v>
      </c>
      <c r="B1723" s="557" t="str">
        <f t="shared" si="197"/>
        <v>Composição Auxiliar</v>
      </c>
      <c r="C1723" s="571"/>
      <c r="D1723" s="571"/>
      <c r="E1723" s="571"/>
      <c r="F1723" s="571"/>
      <c r="G1723" s="571"/>
      <c r="H1723" s="571"/>
      <c r="I1723" s="571"/>
      <c r="J1723" s="571"/>
      <c r="K1723" s="571"/>
      <c r="L1723" s="571"/>
      <c r="M1723" s="571"/>
      <c r="N1723" s="573">
        <v>2.37</v>
      </c>
      <c r="O1723" s="556" t="str">
        <f t="shared" si="195"/>
        <v>DIF</v>
      </c>
      <c r="P1723" s="573"/>
      <c r="Q1723" s="556"/>
      <c r="R1723" s="582"/>
    </row>
    <row r="1724" ht="15" customHeight="1" spans="1:18">
      <c r="A1724" s="556"/>
      <c r="B1724" s="557"/>
      <c r="C1724" s="76" t="s">
        <v>593</v>
      </c>
      <c r="D1724" s="75" t="s">
        <v>63</v>
      </c>
      <c r="E1724" s="76" t="s">
        <v>64</v>
      </c>
      <c r="F1724" s="76" t="s">
        <v>65</v>
      </c>
      <c r="G1724" s="76" t="s">
        <v>2889</v>
      </c>
      <c r="H1724" s="76"/>
      <c r="I1724" s="77" t="s">
        <v>66</v>
      </c>
      <c r="J1724" s="75" t="s">
        <v>67</v>
      </c>
      <c r="K1724" s="75" t="s">
        <v>2890</v>
      </c>
      <c r="L1724" s="75" t="s">
        <v>68</v>
      </c>
      <c r="M1724" s="75" t="s">
        <v>70</v>
      </c>
      <c r="N1724" s="573"/>
      <c r="O1724" s="556"/>
      <c r="P1724" s="573"/>
      <c r="Q1724" s="556"/>
      <c r="R1724" s="582"/>
    </row>
    <row r="1725" ht="35.05" customHeight="1" spans="1:18">
      <c r="A1725" s="556"/>
      <c r="B1725" s="557"/>
      <c r="C1725" s="569" t="s">
        <v>2891</v>
      </c>
      <c r="D1725" s="570" t="s">
        <v>594</v>
      </c>
      <c r="E1725" s="569" t="s">
        <v>139</v>
      </c>
      <c r="F1725" s="569" t="s">
        <v>595</v>
      </c>
      <c r="G1725" s="569" t="s">
        <v>3470</v>
      </c>
      <c r="H1725" s="569"/>
      <c r="I1725" s="577" t="s">
        <v>141</v>
      </c>
      <c r="J1725" s="578">
        <v>1</v>
      </c>
      <c r="K1725" s="579"/>
      <c r="L1725" s="579">
        <v>14.31</v>
      </c>
      <c r="M1725" s="579">
        <v>14.31</v>
      </c>
      <c r="N1725" s="573"/>
      <c r="O1725" s="556"/>
      <c r="P1725" s="573"/>
      <c r="Q1725" s="556"/>
      <c r="R1725" s="582"/>
    </row>
    <row r="1726" ht="23.85" customHeight="1" spans="1:18">
      <c r="A1726" s="556"/>
      <c r="B1726" s="557" t="str">
        <f>C1725</f>
        <v>Composição</v>
      </c>
      <c r="C1726" s="79" t="s">
        <v>2921</v>
      </c>
      <c r="D1726" s="78" t="s">
        <v>3080</v>
      </c>
      <c r="E1726" s="79" t="s">
        <v>139</v>
      </c>
      <c r="F1726" s="79" t="s">
        <v>3081</v>
      </c>
      <c r="G1726" s="79" t="s">
        <v>2928</v>
      </c>
      <c r="H1726" s="79"/>
      <c r="I1726" s="80" t="s">
        <v>2897</v>
      </c>
      <c r="J1726" s="583">
        <v>0.0635</v>
      </c>
      <c r="K1726" s="583">
        <v>0</v>
      </c>
      <c r="L1726" s="92">
        <v>38.02</v>
      </c>
      <c r="M1726" s="92">
        <v>2.41</v>
      </c>
      <c r="N1726" s="573">
        <v>45.45</v>
      </c>
      <c r="O1726" s="556" t="str">
        <f>IF(N1726=M1726,"OK","DIF")</f>
        <v>DIF</v>
      </c>
      <c r="P1726" s="573"/>
      <c r="Q1726" s="556"/>
      <c r="R1726" s="582"/>
    </row>
    <row r="1727" ht="15" customHeight="1" spans="1:18">
      <c r="A1727" s="556" t="str">
        <f>B1727</f>
        <v>Composição</v>
      </c>
      <c r="B1727" s="557" t="str">
        <f>B1726</f>
        <v>Composição</v>
      </c>
      <c r="C1727" s="100" t="s">
        <v>2893</v>
      </c>
      <c r="D1727" s="99" t="s">
        <v>3471</v>
      </c>
      <c r="E1727" s="100" t="s">
        <v>139</v>
      </c>
      <c r="F1727" s="100" t="s">
        <v>3472</v>
      </c>
      <c r="G1727" s="100" t="s">
        <v>2961</v>
      </c>
      <c r="H1727" s="100"/>
      <c r="I1727" s="101" t="s">
        <v>3084</v>
      </c>
      <c r="J1727" s="580">
        <v>0.0575</v>
      </c>
      <c r="K1727" s="580">
        <v>0</v>
      </c>
      <c r="L1727" s="102">
        <v>23.23</v>
      </c>
      <c r="M1727" s="102">
        <v>1.33</v>
      </c>
      <c r="N1727" s="573">
        <v>4.48</v>
      </c>
      <c r="O1727" s="556" t="str">
        <f>IF(N1727=M1727,"OK","DIF")</f>
        <v>DIF</v>
      </c>
      <c r="P1727" s="573"/>
      <c r="Q1727" s="556"/>
      <c r="R1727" s="582"/>
    </row>
    <row r="1728" ht="15" customHeight="1" spans="1:18">
      <c r="A1728" s="556" t="str">
        <f>B1728</f>
        <v>Composição</v>
      </c>
      <c r="B1728" s="557" t="str">
        <f>B1727</f>
        <v>Composição</v>
      </c>
      <c r="C1728" s="100" t="s">
        <v>2893</v>
      </c>
      <c r="D1728" s="99" t="s">
        <v>3473</v>
      </c>
      <c r="E1728" s="100" t="s">
        <v>139</v>
      </c>
      <c r="F1728" s="100" t="s">
        <v>3474</v>
      </c>
      <c r="G1728" s="100" t="s">
        <v>2961</v>
      </c>
      <c r="H1728" s="100"/>
      <c r="I1728" s="101" t="s">
        <v>3084</v>
      </c>
      <c r="J1728" s="580">
        <v>0.1908</v>
      </c>
      <c r="K1728" s="580">
        <v>0</v>
      </c>
      <c r="L1728" s="102">
        <v>55.41</v>
      </c>
      <c r="M1728" s="102">
        <v>10.57</v>
      </c>
      <c r="N1728" s="573">
        <v>37.73</v>
      </c>
      <c r="O1728" s="556" t="str">
        <f>IF(N1728=M1728,"OK","DIF")</f>
        <v>DIF</v>
      </c>
      <c r="P1728" s="573"/>
      <c r="Q1728" s="556"/>
      <c r="R1728" s="582"/>
    </row>
    <row r="1729" ht="25.5" spans="1:18">
      <c r="A1729" s="556" t="str">
        <f>B1729</f>
        <v>Composição</v>
      </c>
      <c r="B1729" s="557" t="str">
        <f>B1728</f>
        <v>Composição</v>
      </c>
      <c r="C1729" s="108"/>
      <c r="D1729" s="108"/>
      <c r="E1729" s="108"/>
      <c r="F1729" s="108"/>
      <c r="G1729" s="108"/>
      <c r="H1729" s="108" t="s">
        <v>2898</v>
      </c>
      <c r="I1729" s="581">
        <v>1.66</v>
      </c>
      <c r="J1729" s="108" t="s">
        <v>2899</v>
      </c>
      <c r="K1729" s="581">
        <v>0</v>
      </c>
      <c r="L1729" s="108" t="s">
        <v>2900</v>
      </c>
      <c r="M1729" s="581">
        <v>1.66</v>
      </c>
      <c r="N1729" s="573">
        <v>3.24</v>
      </c>
      <c r="O1729" s="556" t="str">
        <f>IF(N1729=M1729,"OK","DIF")</f>
        <v>DIF</v>
      </c>
      <c r="P1729" s="573"/>
      <c r="Q1729" s="556"/>
      <c r="R1729" s="582"/>
    </row>
    <row r="1730" ht="26.25" spans="1:18">
      <c r="A1730" s="556"/>
      <c r="B1730" s="557"/>
      <c r="C1730" s="108"/>
      <c r="D1730" s="108"/>
      <c r="E1730" s="108"/>
      <c r="F1730" s="108"/>
      <c r="G1730" s="108"/>
      <c r="H1730" s="108" t="s">
        <v>2901</v>
      </c>
      <c r="I1730" s="581">
        <v>3.64</v>
      </c>
      <c r="J1730" s="114"/>
      <c r="K1730" s="114" t="s">
        <v>2902</v>
      </c>
      <c r="L1730" s="108"/>
      <c r="M1730" s="581">
        <v>17.95</v>
      </c>
      <c r="N1730" s="573"/>
      <c r="O1730" s="556"/>
      <c r="P1730" s="573"/>
      <c r="Q1730" s="556"/>
      <c r="R1730" s="582"/>
    </row>
    <row r="1731" ht="15" spans="1:18">
      <c r="A1731" s="556"/>
      <c r="B1731" s="557"/>
      <c r="C1731" s="571"/>
      <c r="D1731" s="571"/>
      <c r="E1731" s="571"/>
      <c r="F1731" s="571"/>
      <c r="G1731" s="571"/>
      <c r="H1731" s="571"/>
      <c r="I1731" s="571"/>
      <c r="J1731" s="571"/>
      <c r="K1731" s="571"/>
      <c r="L1731" s="571"/>
      <c r="M1731" s="571"/>
      <c r="N1731" s="573"/>
      <c r="O1731" s="556"/>
      <c r="P1731" s="573"/>
      <c r="Q1731" s="556"/>
      <c r="R1731" s="582"/>
    </row>
    <row r="1732" ht="15" customHeight="1" spans="1:18">
      <c r="A1732" s="556"/>
      <c r="B1732" s="557">
        <f>C1731</f>
        <v>0</v>
      </c>
      <c r="C1732" s="76" t="s">
        <v>596</v>
      </c>
      <c r="D1732" s="75" t="s">
        <v>63</v>
      </c>
      <c r="E1732" s="76" t="s">
        <v>64</v>
      </c>
      <c r="F1732" s="76" t="s">
        <v>65</v>
      </c>
      <c r="G1732" s="76" t="s">
        <v>2889</v>
      </c>
      <c r="H1732" s="76"/>
      <c r="I1732" s="77" t="s">
        <v>66</v>
      </c>
      <c r="J1732" s="75" t="s">
        <v>67</v>
      </c>
      <c r="K1732" s="75" t="s">
        <v>2890</v>
      </c>
      <c r="L1732" s="75" t="s">
        <v>68</v>
      </c>
      <c r="M1732" s="75" t="s">
        <v>70</v>
      </c>
      <c r="N1732" s="573">
        <v>63.43</v>
      </c>
      <c r="O1732" s="556" t="str">
        <f>IF(N1732=M1732,"OK","DIF")</f>
        <v>DIF</v>
      </c>
      <c r="P1732" s="573"/>
      <c r="Q1732" s="556"/>
      <c r="R1732" s="582"/>
    </row>
    <row r="1733" ht="35.05" customHeight="1" spans="1:18">
      <c r="A1733" s="556">
        <f>B1733</f>
        <v>0</v>
      </c>
      <c r="B1733" s="557">
        <f>B1732</f>
        <v>0</v>
      </c>
      <c r="C1733" s="569" t="s">
        <v>2891</v>
      </c>
      <c r="D1733" s="570" t="s">
        <v>597</v>
      </c>
      <c r="E1733" s="569" t="s">
        <v>139</v>
      </c>
      <c r="F1733" s="569" t="s">
        <v>598</v>
      </c>
      <c r="G1733" s="569" t="s">
        <v>3470</v>
      </c>
      <c r="H1733" s="569"/>
      <c r="I1733" s="577" t="s">
        <v>141</v>
      </c>
      <c r="J1733" s="578">
        <v>1</v>
      </c>
      <c r="K1733" s="579"/>
      <c r="L1733" s="579">
        <v>14.08</v>
      </c>
      <c r="M1733" s="579">
        <v>14.08</v>
      </c>
      <c r="N1733" s="573">
        <v>3.96</v>
      </c>
      <c r="O1733" s="556" t="str">
        <f>IF(N1733=M1733,"OK","DIF")</f>
        <v>DIF</v>
      </c>
      <c r="P1733" s="573"/>
      <c r="Q1733" s="556"/>
      <c r="R1733" s="582"/>
    </row>
    <row r="1734" ht="23.85" customHeight="1" spans="1:18">
      <c r="A1734" s="556">
        <f>B1734</f>
        <v>0</v>
      </c>
      <c r="B1734" s="557">
        <f>B1733</f>
        <v>0</v>
      </c>
      <c r="C1734" s="79" t="s">
        <v>2921</v>
      </c>
      <c r="D1734" s="78" t="s">
        <v>3080</v>
      </c>
      <c r="E1734" s="79" t="s">
        <v>139</v>
      </c>
      <c r="F1734" s="79" t="s">
        <v>3081</v>
      </c>
      <c r="G1734" s="79" t="s">
        <v>2928</v>
      </c>
      <c r="H1734" s="79"/>
      <c r="I1734" s="80" t="s">
        <v>2897</v>
      </c>
      <c r="J1734" s="583">
        <v>0.0635</v>
      </c>
      <c r="K1734" s="583">
        <v>0</v>
      </c>
      <c r="L1734" s="92">
        <v>38.02</v>
      </c>
      <c r="M1734" s="92">
        <v>2.41</v>
      </c>
      <c r="N1734" s="573">
        <v>53.99</v>
      </c>
      <c r="O1734" s="556" t="str">
        <f>IF(N1734=M1734,"OK","DIF")</f>
        <v>DIF</v>
      </c>
      <c r="P1734" s="573"/>
      <c r="Q1734" s="556"/>
      <c r="R1734" s="582"/>
    </row>
    <row r="1735" ht="15" customHeight="1" spans="1:18">
      <c r="A1735" s="556">
        <f>B1735</f>
        <v>0</v>
      </c>
      <c r="B1735" s="557">
        <f>B1734</f>
        <v>0</v>
      </c>
      <c r="C1735" s="100" t="s">
        <v>2893</v>
      </c>
      <c r="D1735" s="99" t="s">
        <v>3471</v>
      </c>
      <c r="E1735" s="100" t="s">
        <v>139</v>
      </c>
      <c r="F1735" s="100" t="s">
        <v>3472</v>
      </c>
      <c r="G1735" s="100" t="s">
        <v>2961</v>
      </c>
      <c r="H1735" s="100"/>
      <c r="I1735" s="101" t="s">
        <v>3084</v>
      </c>
      <c r="J1735" s="580">
        <v>0.0584</v>
      </c>
      <c r="K1735" s="580">
        <v>0</v>
      </c>
      <c r="L1735" s="102">
        <v>23.23</v>
      </c>
      <c r="M1735" s="102">
        <v>1.35</v>
      </c>
      <c r="N1735" s="573">
        <v>5.48</v>
      </c>
      <c r="O1735" s="556" t="str">
        <f>IF(N1735=M1735,"OK","DIF")</f>
        <v>DIF</v>
      </c>
      <c r="P1735" s="573"/>
      <c r="Q1735" s="556"/>
      <c r="R1735" s="582"/>
    </row>
    <row r="1736" ht="15" customHeight="1" spans="1:18">
      <c r="A1736" s="556"/>
      <c r="B1736" s="557"/>
      <c r="C1736" s="100" t="s">
        <v>2893</v>
      </c>
      <c r="D1736" s="99" t="s">
        <v>3475</v>
      </c>
      <c r="E1736" s="100" t="s">
        <v>139</v>
      </c>
      <c r="F1736" s="100" t="s">
        <v>3476</v>
      </c>
      <c r="G1736" s="100" t="s">
        <v>2961</v>
      </c>
      <c r="H1736" s="100"/>
      <c r="I1736" s="101" t="s">
        <v>3084</v>
      </c>
      <c r="J1736" s="580">
        <v>0.1945</v>
      </c>
      <c r="K1736" s="580">
        <v>0</v>
      </c>
      <c r="L1736" s="102">
        <v>53.06</v>
      </c>
      <c r="M1736" s="102">
        <v>10.32</v>
      </c>
      <c r="N1736" s="573"/>
      <c r="O1736" s="556"/>
      <c r="P1736" s="573"/>
      <c r="Q1736" s="556"/>
      <c r="R1736" s="582"/>
    </row>
    <row r="1737" ht="25.5" spans="1:18">
      <c r="A1737" s="556"/>
      <c r="B1737" s="557"/>
      <c r="C1737" s="108"/>
      <c r="D1737" s="108"/>
      <c r="E1737" s="108"/>
      <c r="F1737" s="108"/>
      <c r="G1737" s="108"/>
      <c r="H1737" s="108" t="s">
        <v>2898</v>
      </c>
      <c r="I1737" s="581">
        <v>1.66</v>
      </c>
      <c r="J1737" s="108" t="s">
        <v>2899</v>
      </c>
      <c r="K1737" s="581">
        <v>0</v>
      </c>
      <c r="L1737" s="108" t="s">
        <v>2900</v>
      </c>
      <c r="M1737" s="581">
        <v>1.66</v>
      </c>
      <c r="N1737" s="573"/>
      <c r="O1737" s="556"/>
      <c r="P1737" s="573"/>
      <c r="Q1737" s="556"/>
      <c r="R1737" s="582"/>
    </row>
    <row r="1738" ht="26.25" spans="1:18">
      <c r="A1738" s="556"/>
      <c r="B1738" s="557">
        <f>C1737</f>
        <v>0</v>
      </c>
      <c r="C1738" s="108"/>
      <c r="D1738" s="108"/>
      <c r="E1738" s="108"/>
      <c r="F1738" s="108"/>
      <c r="G1738" s="108"/>
      <c r="H1738" s="108" t="s">
        <v>2901</v>
      </c>
      <c r="I1738" s="581">
        <v>3.58</v>
      </c>
      <c r="J1738" s="114"/>
      <c r="K1738" s="114" t="s">
        <v>2902</v>
      </c>
      <c r="L1738" s="108"/>
      <c r="M1738" s="581">
        <v>17.66</v>
      </c>
      <c r="N1738" s="573">
        <v>362.45</v>
      </c>
      <c r="O1738" s="556" t="str">
        <f>IF(N1738=M1738,"OK","DIF")</f>
        <v>DIF</v>
      </c>
      <c r="P1738" s="573"/>
      <c r="Q1738" s="556"/>
      <c r="R1738" s="582"/>
    </row>
    <row r="1739" ht="15" spans="1:18">
      <c r="A1739" s="556">
        <f>B1739</f>
        <v>0</v>
      </c>
      <c r="B1739" s="557">
        <f>B1738</f>
        <v>0</v>
      </c>
      <c r="C1739" s="571"/>
      <c r="D1739" s="571"/>
      <c r="E1739" s="571"/>
      <c r="F1739" s="571"/>
      <c r="G1739" s="571"/>
      <c r="H1739" s="571"/>
      <c r="I1739" s="571"/>
      <c r="J1739" s="571"/>
      <c r="K1739" s="571"/>
      <c r="L1739" s="571"/>
      <c r="M1739" s="571"/>
      <c r="N1739" s="573">
        <v>5.83</v>
      </c>
      <c r="O1739" s="556" t="str">
        <f>IF(N1739=M1739,"OK","DIF")</f>
        <v>DIF</v>
      </c>
      <c r="P1739" s="573"/>
      <c r="Q1739" s="556"/>
      <c r="R1739" s="582"/>
    </row>
    <row r="1740" ht="15" customHeight="1" spans="1:18">
      <c r="A1740" s="556">
        <f>B1740</f>
        <v>0</v>
      </c>
      <c r="B1740" s="557">
        <f>B1739</f>
        <v>0</v>
      </c>
      <c r="C1740" s="76" t="s">
        <v>599</v>
      </c>
      <c r="D1740" s="75" t="s">
        <v>63</v>
      </c>
      <c r="E1740" s="76" t="s">
        <v>64</v>
      </c>
      <c r="F1740" s="76" t="s">
        <v>65</v>
      </c>
      <c r="G1740" s="76" t="s">
        <v>2889</v>
      </c>
      <c r="H1740" s="76"/>
      <c r="I1740" s="77" t="s">
        <v>66</v>
      </c>
      <c r="J1740" s="75" t="s">
        <v>67</v>
      </c>
      <c r="K1740" s="75" t="s">
        <v>2890</v>
      </c>
      <c r="L1740" s="75" t="s">
        <v>68</v>
      </c>
      <c r="M1740" s="75" t="s">
        <v>70</v>
      </c>
      <c r="N1740" s="573">
        <v>4.72</v>
      </c>
      <c r="O1740" s="556" t="str">
        <f>IF(N1740=M1740,"OK","DIF")</f>
        <v>DIF</v>
      </c>
      <c r="P1740" s="573"/>
      <c r="Q1740" s="556"/>
      <c r="R1740" s="582"/>
    </row>
    <row r="1741" ht="23.85" customHeight="1" spans="1:18">
      <c r="A1741" s="556">
        <f>B1741</f>
        <v>0</v>
      </c>
      <c r="B1741" s="557">
        <f>B1740</f>
        <v>0</v>
      </c>
      <c r="C1741" s="569" t="s">
        <v>2891</v>
      </c>
      <c r="D1741" s="570" t="s">
        <v>600</v>
      </c>
      <c r="E1741" s="569" t="s">
        <v>139</v>
      </c>
      <c r="F1741" s="569" t="s">
        <v>601</v>
      </c>
      <c r="G1741" s="569" t="s">
        <v>3477</v>
      </c>
      <c r="H1741" s="569"/>
      <c r="I1741" s="577" t="s">
        <v>204</v>
      </c>
      <c r="J1741" s="578">
        <v>1</v>
      </c>
      <c r="K1741" s="579"/>
      <c r="L1741" s="579">
        <v>201.48</v>
      </c>
      <c r="M1741" s="579">
        <v>201.48</v>
      </c>
      <c r="N1741" s="573">
        <v>6.62</v>
      </c>
      <c r="O1741" s="556" t="str">
        <f>IF(N1741=M1741,"OK","DIF")</f>
        <v>DIF</v>
      </c>
      <c r="P1741" s="573"/>
      <c r="Q1741" s="556"/>
      <c r="R1741" s="582"/>
    </row>
    <row r="1742" ht="46.25" customHeight="1" spans="1:18">
      <c r="A1742" s="556">
        <f>B1742</f>
        <v>0</v>
      </c>
      <c r="B1742" s="557">
        <f>B1741</f>
        <v>0</v>
      </c>
      <c r="C1742" s="79" t="s">
        <v>2921</v>
      </c>
      <c r="D1742" s="78" t="s">
        <v>3478</v>
      </c>
      <c r="E1742" s="79" t="s">
        <v>139</v>
      </c>
      <c r="F1742" s="79" t="s">
        <v>3479</v>
      </c>
      <c r="G1742" s="79" t="s">
        <v>3016</v>
      </c>
      <c r="H1742" s="79"/>
      <c r="I1742" s="80" t="s">
        <v>279</v>
      </c>
      <c r="J1742" s="583">
        <v>0.006</v>
      </c>
      <c r="K1742" s="583">
        <v>0</v>
      </c>
      <c r="L1742" s="92">
        <v>442.35</v>
      </c>
      <c r="M1742" s="92">
        <v>2.65</v>
      </c>
      <c r="N1742" s="573">
        <v>345.28</v>
      </c>
      <c r="O1742" s="556" t="str">
        <f>IF(N1742=M1742,"OK","DIF")</f>
        <v>DIF</v>
      </c>
      <c r="P1742" s="573"/>
      <c r="Q1742" s="556"/>
      <c r="R1742" s="582"/>
    </row>
    <row r="1743" ht="23.85" customHeight="1" spans="1:18">
      <c r="A1743" s="556"/>
      <c r="B1743" s="557"/>
      <c r="C1743" s="79" t="s">
        <v>2921</v>
      </c>
      <c r="D1743" s="78" t="s">
        <v>3000</v>
      </c>
      <c r="E1743" s="79" t="s">
        <v>139</v>
      </c>
      <c r="F1743" s="79" t="s">
        <v>3001</v>
      </c>
      <c r="G1743" s="79" t="s">
        <v>2995</v>
      </c>
      <c r="H1743" s="79"/>
      <c r="I1743" s="80" t="s">
        <v>3002</v>
      </c>
      <c r="J1743" s="583">
        <v>0.009</v>
      </c>
      <c r="K1743" s="583">
        <v>0</v>
      </c>
      <c r="L1743" s="92">
        <v>41.6</v>
      </c>
      <c r="M1743" s="92">
        <v>0.37</v>
      </c>
      <c r="N1743" s="573"/>
      <c r="O1743" s="556"/>
      <c r="P1743" s="573"/>
      <c r="Q1743" s="556"/>
      <c r="R1743" s="582"/>
    </row>
    <row r="1744" ht="23.85" customHeight="1" spans="1:18">
      <c r="A1744" s="556"/>
      <c r="B1744" s="557"/>
      <c r="C1744" s="79" t="s">
        <v>2921</v>
      </c>
      <c r="D1744" s="78" t="s">
        <v>3480</v>
      </c>
      <c r="E1744" s="79" t="s">
        <v>139</v>
      </c>
      <c r="F1744" s="79" t="s">
        <v>3481</v>
      </c>
      <c r="G1744" s="79" t="s">
        <v>2928</v>
      </c>
      <c r="H1744" s="79"/>
      <c r="I1744" s="80" t="s">
        <v>2897</v>
      </c>
      <c r="J1744" s="583">
        <v>0.189</v>
      </c>
      <c r="K1744" s="583">
        <v>0</v>
      </c>
      <c r="L1744" s="92">
        <v>30.79</v>
      </c>
      <c r="M1744" s="92">
        <v>5.81</v>
      </c>
      <c r="N1744" s="573"/>
      <c r="O1744" s="556"/>
      <c r="P1744" s="573"/>
      <c r="Q1744" s="556"/>
      <c r="R1744" s="582"/>
    </row>
    <row r="1745" ht="23.85" customHeight="1" spans="1:18">
      <c r="A1745" s="556"/>
      <c r="B1745" s="557" t="str">
        <f>C1744</f>
        <v>Composição Auxiliar</v>
      </c>
      <c r="C1745" s="79" t="s">
        <v>2921</v>
      </c>
      <c r="D1745" s="78" t="s">
        <v>2993</v>
      </c>
      <c r="E1745" s="79" t="s">
        <v>139</v>
      </c>
      <c r="F1745" s="79" t="s">
        <v>2994</v>
      </c>
      <c r="G1745" s="79" t="s">
        <v>2995</v>
      </c>
      <c r="H1745" s="79"/>
      <c r="I1745" s="80" t="s">
        <v>2996</v>
      </c>
      <c r="J1745" s="583">
        <v>0.179</v>
      </c>
      <c r="K1745" s="583">
        <v>0</v>
      </c>
      <c r="L1745" s="92">
        <v>39.98</v>
      </c>
      <c r="M1745" s="92">
        <v>7.15</v>
      </c>
      <c r="N1745" s="573">
        <v>172.86</v>
      </c>
      <c r="O1745" s="556" t="str">
        <f t="shared" ref="O1745:O1750" si="198">IF(N1745=M1745,"OK","DIF")</f>
        <v>DIF</v>
      </c>
      <c r="P1745" s="573"/>
      <c r="Q1745" s="556"/>
      <c r="R1745" s="582"/>
    </row>
    <row r="1746" ht="23.85" customHeight="1" spans="1:18">
      <c r="A1746" s="556" t="str">
        <f>B1746</f>
        <v>Composição Auxiliar</v>
      </c>
      <c r="B1746" s="557" t="str">
        <f>B1745</f>
        <v>Composição Auxiliar</v>
      </c>
      <c r="C1746" s="79" t="s">
        <v>2921</v>
      </c>
      <c r="D1746" s="78" t="s">
        <v>2952</v>
      </c>
      <c r="E1746" s="79" t="s">
        <v>139</v>
      </c>
      <c r="F1746" s="79" t="s">
        <v>2953</v>
      </c>
      <c r="G1746" s="79" t="s">
        <v>2928</v>
      </c>
      <c r="H1746" s="79"/>
      <c r="I1746" s="80" t="s">
        <v>2897</v>
      </c>
      <c r="J1746" s="583">
        <v>0.094</v>
      </c>
      <c r="K1746" s="583">
        <v>0</v>
      </c>
      <c r="L1746" s="92">
        <v>29.15</v>
      </c>
      <c r="M1746" s="92">
        <v>2.74</v>
      </c>
      <c r="N1746" s="573">
        <v>34.25</v>
      </c>
      <c r="O1746" s="556" t="str">
        <f t="shared" si="198"/>
        <v>DIF</v>
      </c>
      <c r="P1746" s="573"/>
      <c r="Q1746" s="556"/>
      <c r="R1746" s="582"/>
    </row>
    <row r="1747" ht="23.85" customHeight="1" spans="1:18">
      <c r="A1747" s="556" t="str">
        <f>B1747</f>
        <v>Composição Auxiliar</v>
      </c>
      <c r="B1747" s="557" t="str">
        <f>B1746</f>
        <v>Composição Auxiliar</v>
      </c>
      <c r="C1747" s="100" t="s">
        <v>2893</v>
      </c>
      <c r="D1747" s="99" t="s">
        <v>3482</v>
      </c>
      <c r="E1747" s="100" t="s">
        <v>139</v>
      </c>
      <c r="F1747" s="100" t="s">
        <v>3483</v>
      </c>
      <c r="G1747" s="100" t="s">
        <v>2961</v>
      </c>
      <c r="H1747" s="100"/>
      <c r="I1747" s="101" t="s">
        <v>204</v>
      </c>
      <c r="J1747" s="580">
        <v>1.04</v>
      </c>
      <c r="K1747" s="580">
        <v>0</v>
      </c>
      <c r="L1747" s="102">
        <v>175.74</v>
      </c>
      <c r="M1747" s="102">
        <v>182.76</v>
      </c>
      <c r="N1747" s="573">
        <v>24.39</v>
      </c>
      <c r="O1747" s="556" t="str">
        <f t="shared" si="198"/>
        <v>DIF</v>
      </c>
      <c r="P1747" s="573"/>
      <c r="Q1747" s="556"/>
      <c r="R1747" s="582"/>
    </row>
    <row r="1748" ht="25.5" spans="1:18">
      <c r="A1748" s="556" t="str">
        <f>B1748</f>
        <v>Composição Auxiliar</v>
      </c>
      <c r="B1748" s="557" t="str">
        <f>B1747</f>
        <v>Composição Auxiliar</v>
      </c>
      <c r="C1748" s="108"/>
      <c r="D1748" s="108"/>
      <c r="E1748" s="108"/>
      <c r="F1748" s="108"/>
      <c r="G1748" s="108"/>
      <c r="H1748" s="108" t="s">
        <v>2898</v>
      </c>
      <c r="I1748" s="581">
        <v>12.14</v>
      </c>
      <c r="J1748" s="108" t="s">
        <v>2899</v>
      </c>
      <c r="K1748" s="581">
        <v>0</v>
      </c>
      <c r="L1748" s="108" t="s">
        <v>2900</v>
      </c>
      <c r="M1748" s="581">
        <v>12.14</v>
      </c>
      <c r="N1748" s="573">
        <v>30.12</v>
      </c>
      <c r="O1748" s="556" t="str">
        <f t="shared" si="198"/>
        <v>DIF</v>
      </c>
      <c r="P1748" s="573"/>
      <c r="Q1748" s="556"/>
      <c r="R1748" s="582"/>
    </row>
    <row r="1749" ht="26.25" spans="1:18">
      <c r="A1749" s="556" t="str">
        <f>B1749</f>
        <v>Composição Auxiliar</v>
      </c>
      <c r="B1749" s="557" t="str">
        <f>B1748</f>
        <v>Composição Auxiliar</v>
      </c>
      <c r="C1749" s="108"/>
      <c r="D1749" s="108"/>
      <c r="E1749" s="108"/>
      <c r="F1749" s="108"/>
      <c r="G1749" s="108"/>
      <c r="H1749" s="108" t="s">
        <v>2901</v>
      </c>
      <c r="I1749" s="581">
        <v>51.35</v>
      </c>
      <c r="J1749" s="114"/>
      <c r="K1749" s="114" t="s">
        <v>2902</v>
      </c>
      <c r="L1749" s="108"/>
      <c r="M1749" s="581">
        <v>252.83</v>
      </c>
      <c r="N1749" s="573">
        <v>3.4</v>
      </c>
      <c r="O1749" s="556" t="str">
        <f t="shared" si="198"/>
        <v>DIF</v>
      </c>
      <c r="P1749" s="573"/>
      <c r="Q1749" s="556"/>
      <c r="R1749" s="582"/>
    </row>
    <row r="1750" ht="15" spans="1:18">
      <c r="A1750" s="556" t="str">
        <f>B1750</f>
        <v>Composição Auxiliar</v>
      </c>
      <c r="B1750" s="557" t="str">
        <f>B1749</f>
        <v>Composição Auxiliar</v>
      </c>
      <c r="C1750" s="571"/>
      <c r="D1750" s="571"/>
      <c r="E1750" s="571"/>
      <c r="F1750" s="571"/>
      <c r="G1750" s="571"/>
      <c r="H1750" s="571"/>
      <c r="I1750" s="571"/>
      <c r="J1750" s="571"/>
      <c r="K1750" s="571"/>
      <c r="L1750" s="571"/>
      <c r="M1750" s="571"/>
      <c r="N1750" s="573">
        <v>80.7</v>
      </c>
      <c r="O1750" s="556" t="str">
        <f t="shared" si="198"/>
        <v>DIF</v>
      </c>
      <c r="P1750" s="573"/>
      <c r="Q1750" s="556"/>
      <c r="R1750" s="582"/>
    </row>
    <row r="1751" ht="15" customHeight="1" spans="1:18">
      <c r="A1751" s="556"/>
      <c r="B1751" s="557"/>
      <c r="C1751" s="76" t="s">
        <v>604</v>
      </c>
      <c r="D1751" s="75" t="s">
        <v>63</v>
      </c>
      <c r="E1751" s="76" t="s">
        <v>64</v>
      </c>
      <c r="F1751" s="76" t="s">
        <v>65</v>
      </c>
      <c r="G1751" s="76" t="s">
        <v>2889</v>
      </c>
      <c r="H1751" s="76"/>
      <c r="I1751" s="77" t="s">
        <v>66</v>
      </c>
      <c r="J1751" s="75" t="s">
        <v>67</v>
      </c>
      <c r="K1751" s="75" t="s">
        <v>2890</v>
      </c>
      <c r="L1751" s="75" t="s">
        <v>68</v>
      </c>
      <c r="M1751" s="75" t="s">
        <v>70</v>
      </c>
      <c r="N1751" s="573"/>
      <c r="O1751" s="556"/>
      <c r="P1751" s="573"/>
      <c r="Q1751" s="556"/>
      <c r="R1751" s="582"/>
    </row>
    <row r="1752" ht="35.05" customHeight="1" spans="1:18">
      <c r="A1752" s="556"/>
      <c r="B1752" s="557"/>
      <c r="C1752" s="569" t="s">
        <v>2891</v>
      </c>
      <c r="D1752" s="570" t="s">
        <v>605</v>
      </c>
      <c r="E1752" s="569" t="s">
        <v>139</v>
      </c>
      <c r="F1752" s="569" t="s">
        <v>606</v>
      </c>
      <c r="G1752" s="569" t="s">
        <v>3484</v>
      </c>
      <c r="H1752" s="569"/>
      <c r="I1752" s="577" t="s">
        <v>141</v>
      </c>
      <c r="J1752" s="578">
        <v>1</v>
      </c>
      <c r="K1752" s="579"/>
      <c r="L1752" s="579">
        <v>246.08</v>
      </c>
      <c r="M1752" s="579">
        <v>246.08</v>
      </c>
      <c r="N1752" s="573"/>
      <c r="O1752" s="556"/>
      <c r="P1752" s="573"/>
      <c r="Q1752" s="556"/>
      <c r="R1752" s="582"/>
    </row>
    <row r="1753" ht="23.85" customHeight="1" spans="1:18">
      <c r="A1753" s="556"/>
      <c r="B1753" s="557" t="str">
        <f>C1752</f>
        <v>Composição</v>
      </c>
      <c r="C1753" s="79" t="s">
        <v>2921</v>
      </c>
      <c r="D1753" s="78" t="s">
        <v>3485</v>
      </c>
      <c r="E1753" s="79" t="s">
        <v>139</v>
      </c>
      <c r="F1753" s="79" t="s">
        <v>3486</v>
      </c>
      <c r="G1753" s="79" t="s">
        <v>2928</v>
      </c>
      <c r="H1753" s="79"/>
      <c r="I1753" s="80" t="s">
        <v>2897</v>
      </c>
      <c r="J1753" s="583">
        <v>1.4849</v>
      </c>
      <c r="K1753" s="583">
        <v>0</v>
      </c>
      <c r="L1753" s="92">
        <v>37.08</v>
      </c>
      <c r="M1753" s="92">
        <v>55.06</v>
      </c>
      <c r="N1753" s="573">
        <v>23.1</v>
      </c>
      <c r="O1753" s="556" t="str">
        <f t="shared" ref="O1753:O1758" si="199">IF(N1753=M1753,"OK","DIF")</f>
        <v>DIF</v>
      </c>
      <c r="P1753" s="573"/>
      <c r="Q1753" s="556"/>
      <c r="R1753" s="582"/>
    </row>
    <row r="1754" ht="23.85" customHeight="1" spans="1:18">
      <c r="A1754" s="556" t="str">
        <f>B1754</f>
        <v>Composição</v>
      </c>
      <c r="B1754" s="557" t="str">
        <f>B1753</f>
        <v>Composição</v>
      </c>
      <c r="C1754" s="79" t="s">
        <v>2921</v>
      </c>
      <c r="D1754" s="78" t="s">
        <v>3487</v>
      </c>
      <c r="E1754" s="79" t="s">
        <v>139</v>
      </c>
      <c r="F1754" s="79" t="s">
        <v>3488</v>
      </c>
      <c r="G1754" s="79" t="s">
        <v>2928</v>
      </c>
      <c r="H1754" s="79"/>
      <c r="I1754" s="80" t="s">
        <v>2897</v>
      </c>
      <c r="J1754" s="583">
        <v>0.3348</v>
      </c>
      <c r="K1754" s="583">
        <v>0</v>
      </c>
      <c r="L1754" s="92">
        <v>30.31</v>
      </c>
      <c r="M1754" s="92">
        <v>10.14</v>
      </c>
      <c r="N1754" s="573">
        <v>6.79</v>
      </c>
      <c r="O1754" s="556" t="str">
        <f t="shared" si="199"/>
        <v>DIF</v>
      </c>
      <c r="P1754" s="573"/>
      <c r="Q1754" s="556"/>
      <c r="R1754" s="582"/>
    </row>
    <row r="1755" ht="23.85" customHeight="1" spans="1:18">
      <c r="A1755" s="556" t="str">
        <f>B1755</f>
        <v>Composição</v>
      </c>
      <c r="B1755" s="557" t="str">
        <f>B1754</f>
        <v>Composição</v>
      </c>
      <c r="C1755" s="100" t="s">
        <v>2893</v>
      </c>
      <c r="D1755" s="99" t="s">
        <v>3489</v>
      </c>
      <c r="E1755" s="100" t="s">
        <v>139</v>
      </c>
      <c r="F1755" s="100" t="s">
        <v>3490</v>
      </c>
      <c r="G1755" s="100" t="s">
        <v>2961</v>
      </c>
      <c r="H1755" s="100"/>
      <c r="I1755" s="101" t="s">
        <v>141</v>
      </c>
      <c r="J1755" s="580">
        <v>1.1319</v>
      </c>
      <c r="K1755" s="580">
        <v>0</v>
      </c>
      <c r="L1755" s="102">
        <v>65.17</v>
      </c>
      <c r="M1755" s="102">
        <v>73.76</v>
      </c>
      <c r="N1755" s="573">
        <v>8.38</v>
      </c>
      <c r="O1755" s="556" t="str">
        <f t="shared" si="199"/>
        <v>DIF</v>
      </c>
      <c r="P1755" s="573"/>
      <c r="Q1755" s="556"/>
      <c r="R1755" s="582"/>
    </row>
    <row r="1756" ht="23.85" customHeight="1" spans="1:18">
      <c r="A1756" s="556" t="str">
        <f>B1756</f>
        <v>Composição</v>
      </c>
      <c r="B1756" s="557" t="str">
        <f>B1755</f>
        <v>Composição</v>
      </c>
      <c r="C1756" s="100" t="s">
        <v>2893</v>
      </c>
      <c r="D1756" s="99" t="s">
        <v>3491</v>
      </c>
      <c r="E1756" s="100" t="s">
        <v>139</v>
      </c>
      <c r="F1756" s="100" t="s">
        <v>3492</v>
      </c>
      <c r="G1756" s="100" t="s">
        <v>2961</v>
      </c>
      <c r="H1756" s="100"/>
      <c r="I1756" s="101" t="s">
        <v>141</v>
      </c>
      <c r="J1756" s="580">
        <v>1.1319</v>
      </c>
      <c r="K1756" s="580">
        <v>0</v>
      </c>
      <c r="L1756" s="102">
        <v>80.02</v>
      </c>
      <c r="M1756" s="102">
        <v>90.57</v>
      </c>
      <c r="N1756" s="573">
        <v>7.74</v>
      </c>
      <c r="O1756" s="556" t="str">
        <f t="shared" si="199"/>
        <v>DIF</v>
      </c>
      <c r="P1756" s="573"/>
      <c r="Q1756" s="556"/>
      <c r="R1756" s="582"/>
    </row>
    <row r="1757" ht="15" customHeight="1" spans="1:18">
      <c r="A1757" s="556" t="str">
        <f>B1757</f>
        <v>Composição</v>
      </c>
      <c r="B1757" s="557" t="str">
        <f>B1756</f>
        <v>Composição</v>
      </c>
      <c r="C1757" s="100" t="s">
        <v>2893</v>
      </c>
      <c r="D1757" s="99" t="s">
        <v>3493</v>
      </c>
      <c r="E1757" s="100" t="s">
        <v>139</v>
      </c>
      <c r="F1757" s="100" t="s">
        <v>3494</v>
      </c>
      <c r="G1757" s="100" t="s">
        <v>2961</v>
      </c>
      <c r="H1757" s="100"/>
      <c r="I1757" s="101" t="s">
        <v>393</v>
      </c>
      <c r="J1757" s="580">
        <v>0.52</v>
      </c>
      <c r="K1757" s="580">
        <v>0</v>
      </c>
      <c r="L1757" s="102">
        <v>7.41</v>
      </c>
      <c r="M1757" s="102">
        <v>3.85</v>
      </c>
      <c r="N1757" s="573">
        <v>0.09</v>
      </c>
      <c r="O1757" s="556" t="str">
        <f t="shared" si="199"/>
        <v>DIF</v>
      </c>
      <c r="P1757" s="573"/>
      <c r="Q1757" s="556"/>
      <c r="R1757" s="582"/>
    </row>
    <row r="1758" ht="23.85" customHeight="1" spans="1:18">
      <c r="A1758" s="556" t="str">
        <f>B1758</f>
        <v>Composição</v>
      </c>
      <c r="B1758" s="557" t="str">
        <f>B1757</f>
        <v>Composição</v>
      </c>
      <c r="C1758" s="100" t="s">
        <v>2893</v>
      </c>
      <c r="D1758" s="99" t="s">
        <v>3495</v>
      </c>
      <c r="E1758" s="100" t="s">
        <v>139</v>
      </c>
      <c r="F1758" s="100" t="s">
        <v>3496</v>
      </c>
      <c r="G1758" s="100" t="s">
        <v>2961</v>
      </c>
      <c r="H1758" s="100"/>
      <c r="I1758" s="101" t="s">
        <v>3084</v>
      </c>
      <c r="J1758" s="580">
        <v>0.5872</v>
      </c>
      <c r="K1758" s="580">
        <v>0</v>
      </c>
      <c r="L1758" s="102">
        <v>21.63</v>
      </c>
      <c r="M1758" s="102">
        <v>12.7</v>
      </c>
      <c r="N1758" s="573">
        <v>0.1</v>
      </c>
      <c r="O1758" s="556" t="str">
        <f t="shared" si="199"/>
        <v>DIF</v>
      </c>
      <c r="P1758" s="573"/>
      <c r="Q1758" s="556"/>
      <c r="R1758" s="582"/>
    </row>
    <row r="1759" ht="25.5" spans="1:18">
      <c r="A1759" s="556"/>
      <c r="B1759" s="557"/>
      <c r="C1759" s="108"/>
      <c r="D1759" s="108"/>
      <c r="E1759" s="108"/>
      <c r="F1759" s="108"/>
      <c r="G1759" s="108"/>
      <c r="H1759" s="108" t="s">
        <v>2898</v>
      </c>
      <c r="I1759" s="581">
        <v>47</v>
      </c>
      <c r="J1759" s="108" t="s">
        <v>2899</v>
      </c>
      <c r="K1759" s="581">
        <v>0</v>
      </c>
      <c r="L1759" s="108" t="s">
        <v>2900</v>
      </c>
      <c r="M1759" s="581">
        <v>47</v>
      </c>
      <c r="N1759" s="573"/>
      <c r="O1759" s="556"/>
      <c r="P1759" s="573"/>
      <c r="Q1759" s="556"/>
      <c r="R1759" s="582"/>
    </row>
    <row r="1760" ht="26.25" spans="1:18">
      <c r="A1760" s="556"/>
      <c r="B1760" s="557"/>
      <c r="C1760" s="108"/>
      <c r="D1760" s="108"/>
      <c r="E1760" s="108"/>
      <c r="F1760" s="108"/>
      <c r="G1760" s="108"/>
      <c r="H1760" s="108" t="s">
        <v>2901</v>
      </c>
      <c r="I1760" s="581">
        <v>62.72</v>
      </c>
      <c r="J1760" s="114"/>
      <c r="K1760" s="114" t="s">
        <v>2902</v>
      </c>
      <c r="L1760" s="108"/>
      <c r="M1760" s="581">
        <v>308.8</v>
      </c>
      <c r="N1760" s="573"/>
      <c r="O1760" s="556"/>
      <c r="P1760" s="573"/>
      <c r="Q1760" s="556"/>
      <c r="R1760" s="582"/>
    </row>
    <row r="1761" ht="15" spans="1:18">
      <c r="A1761" s="556"/>
      <c r="B1761" s="557">
        <f>C1760</f>
        <v>0</v>
      </c>
      <c r="C1761" s="571"/>
      <c r="D1761" s="571"/>
      <c r="E1761" s="571"/>
      <c r="F1761" s="571"/>
      <c r="G1761" s="571"/>
      <c r="H1761" s="571"/>
      <c r="I1761" s="571"/>
      <c r="J1761" s="571"/>
      <c r="K1761" s="571"/>
      <c r="L1761" s="571"/>
      <c r="M1761" s="571"/>
      <c r="N1761" s="573">
        <v>87.86</v>
      </c>
      <c r="O1761" s="556" t="str">
        <f t="shared" ref="O1761:O1766" si="200">IF(N1761=M1761,"OK","DIF")</f>
        <v>DIF</v>
      </c>
      <c r="P1761" s="573"/>
      <c r="Q1761" s="556"/>
      <c r="R1761" s="582"/>
    </row>
    <row r="1762" ht="15" customHeight="1" spans="1:18">
      <c r="A1762" s="556">
        <f>B1762</f>
        <v>0</v>
      </c>
      <c r="B1762" s="557">
        <f>B1761</f>
        <v>0</v>
      </c>
      <c r="C1762" s="76" t="s">
        <v>607</v>
      </c>
      <c r="D1762" s="75" t="s">
        <v>63</v>
      </c>
      <c r="E1762" s="76" t="s">
        <v>64</v>
      </c>
      <c r="F1762" s="76" t="s">
        <v>65</v>
      </c>
      <c r="G1762" s="76" t="s">
        <v>2889</v>
      </c>
      <c r="H1762" s="76"/>
      <c r="I1762" s="77" t="s">
        <v>66</v>
      </c>
      <c r="J1762" s="75" t="s">
        <v>67</v>
      </c>
      <c r="K1762" s="75" t="s">
        <v>2890</v>
      </c>
      <c r="L1762" s="75" t="s">
        <v>68</v>
      </c>
      <c r="M1762" s="75" t="s">
        <v>70</v>
      </c>
      <c r="N1762" s="573">
        <v>22.89</v>
      </c>
      <c r="O1762" s="556" t="str">
        <f t="shared" si="200"/>
        <v>DIF</v>
      </c>
      <c r="P1762" s="573"/>
      <c r="Q1762" s="556"/>
      <c r="R1762" s="582"/>
    </row>
    <row r="1763" ht="23.85" customHeight="1" spans="1:18">
      <c r="A1763" s="556">
        <f>B1763</f>
        <v>0</v>
      </c>
      <c r="B1763" s="557">
        <f>B1762</f>
        <v>0</v>
      </c>
      <c r="C1763" s="569" t="s">
        <v>2891</v>
      </c>
      <c r="D1763" s="570" t="s">
        <v>608</v>
      </c>
      <c r="E1763" s="569" t="s">
        <v>139</v>
      </c>
      <c r="F1763" s="569" t="s">
        <v>609</v>
      </c>
      <c r="G1763" s="569" t="s">
        <v>3484</v>
      </c>
      <c r="H1763" s="569"/>
      <c r="I1763" s="577" t="s">
        <v>141</v>
      </c>
      <c r="J1763" s="578">
        <v>1</v>
      </c>
      <c r="K1763" s="579"/>
      <c r="L1763" s="579">
        <v>207.82</v>
      </c>
      <c r="M1763" s="579">
        <v>207.82</v>
      </c>
      <c r="N1763" s="573">
        <v>28.27</v>
      </c>
      <c r="O1763" s="556" t="str">
        <f t="shared" si="200"/>
        <v>DIF</v>
      </c>
      <c r="P1763" s="573"/>
      <c r="Q1763" s="556"/>
      <c r="R1763" s="582"/>
    </row>
    <row r="1764" ht="23.85" customHeight="1" spans="1:18">
      <c r="A1764" s="556">
        <f>B1764</f>
        <v>0</v>
      </c>
      <c r="B1764" s="557">
        <f>B1763</f>
        <v>0</v>
      </c>
      <c r="C1764" s="79" t="s">
        <v>2921</v>
      </c>
      <c r="D1764" s="78" t="s">
        <v>3485</v>
      </c>
      <c r="E1764" s="79" t="s">
        <v>139</v>
      </c>
      <c r="F1764" s="79" t="s">
        <v>3486</v>
      </c>
      <c r="G1764" s="79" t="s">
        <v>2928</v>
      </c>
      <c r="H1764" s="79"/>
      <c r="I1764" s="80" t="s">
        <v>2897</v>
      </c>
      <c r="J1764" s="583">
        <v>0.4983</v>
      </c>
      <c r="K1764" s="583">
        <v>0</v>
      </c>
      <c r="L1764" s="92">
        <v>37.08</v>
      </c>
      <c r="M1764" s="92">
        <v>18.47</v>
      </c>
      <c r="N1764" s="573">
        <v>0.2</v>
      </c>
      <c r="O1764" s="556" t="str">
        <f t="shared" si="200"/>
        <v>DIF</v>
      </c>
      <c r="P1764" s="573"/>
      <c r="Q1764" s="556"/>
      <c r="R1764" s="582"/>
    </row>
    <row r="1765" ht="23.85" customHeight="1" spans="1:18">
      <c r="A1765" s="556">
        <f>B1765</f>
        <v>0</v>
      </c>
      <c r="B1765" s="557">
        <f>B1764</f>
        <v>0</v>
      </c>
      <c r="C1765" s="79" t="s">
        <v>2921</v>
      </c>
      <c r="D1765" s="78" t="s">
        <v>3487</v>
      </c>
      <c r="E1765" s="79" t="s">
        <v>139</v>
      </c>
      <c r="F1765" s="79" t="s">
        <v>3488</v>
      </c>
      <c r="G1765" s="79" t="s">
        <v>2928</v>
      </c>
      <c r="H1765" s="79"/>
      <c r="I1765" s="80" t="s">
        <v>2897</v>
      </c>
      <c r="J1765" s="583">
        <v>0.1124</v>
      </c>
      <c r="K1765" s="583">
        <v>0</v>
      </c>
      <c r="L1765" s="92">
        <v>30.31</v>
      </c>
      <c r="M1765" s="92">
        <v>3.4</v>
      </c>
      <c r="N1765" s="573">
        <v>0.2</v>
      </c>
      <c r="O1765" s="556" t="str">
        <f t="shared" si="200"/>
        <v>DIF</v>
      </c>
      <c r="P1765" s="573"/>
      <c r="Q1765" s="556"/>
      <c r="R1765" s="582"/>
    </row>
    <row r="1766" ht="15" customHeight="1" spans="1:18">
      <c r="A1766" s="556">
        <f>B1766</f>
        <v>0</v>
      </c>
      <c r="B1766" s="557">
        <f>B1765</f>
        <v>0</v>
      </c>
      <c r="C1766" s="100" t="s">
        <v>2893</v>
      </c>
      <c r="D1766" s="99" t="s">
        <v>3497</v>
      </c>
      <c r="E1766" s="100" t="s">
        <v>139</v>
      </c>
      <c r="F1766" s="100" t="s">
        <v>3498</v>
      </c>
      <c r="G1766" s="100" t="s">
        <v>2961</v>
      </c>
      <c r="H1766" s="100"/>
      <c r="I1766" s="101" t="s">
        <v>393</v>
      </c>
      <c r="J1766" s="580">
        <v>2</v>
      </c>
      <c r="K1766" s="580">
        <v>0</v>
      </c>
      <c r="L1766" s="102">
        <v>69.04</v>
      </c>
      <c r="M1766" s="102">
        <v>138.08</v>
      </c>
      <c r="N1766" s="573">
        <v>36.3</v>
      </c>
      <c r="O1766" s="556" t="str">
        <f t="shared" si="200"/>
        <v>DIF</v>
      </c>
      <c r="P1766" s="573"/>
      <c r="Q1766" s="556"/>
      <c r="R1766" s="582"/>
    </row>
    <row r="1767" ht="15" customHeight="1" spans="1:18">
      <c r="A1767" s="556"/>
      <c r="B1767" s="557"/>
      <c r="C1767" s="100" t="s">
        <v>2893</v>
      </c>
      <c r="D1767" s="99" t="s">
        <v>3499</v>
      </c>
      <c r="E1767" s="100" t="s">
        <v>139</v>
      </c>
      <c r="F1767" s="100" t="s">
        <v>3500</v>
      </c>
      <c r="G1767" s="100" t="s">
        <v>2961</v>
      </c>
      <c r="H1767" s="100"/>
      <c r="I1767" s="101" t="s">
        <v>3084</v>
      </c>
      <c r="J1767" s="580">
        <v>0.3</v>
      </c>
      <c r="K1767" s="580">
        <v>0</v>
      </c>
      <c r="L1767" s="102">
        <v>159.57</v>
      </c>
      <c r="M1767" s="102">
        <v>47.87</v>
      </c>
      <c r="N1767" s="573"/>
      <c r="O1767" s="556"/>
      <c r="P1767" s="573"/>
      <c r="Q1767" s="556"/>
      <c r="R1767" s="582"/>
    </row>
    <row r="1768" ht="25.5" spans="1:18">
      <c r="A1768" s="556"/>
      <c r="B1768" s="557"/>
      <c r="C1768" s="108"/>
      <c r="D1768" s="108"/>
      <c r="E1768" s="108"/>
      <c r="F1768" s="108"/>
      <c r="G1768" s="108"/>
      <c r="H1768" s="108" t="s">
        <v>2898</v>
      </c>
      <c r="I1768" s="581">
        <v>15.77</v>
      </c>
      <c r="J1768" s="108" t="s">
        <v>2899</v>
      </c>
      <c r="K1768" s="581">
        <v>0</v>
      </c>
      <c r="L1768" s="108" t="s">
        <v>2900</v>
      </c>
      <c r="M1768" s="581">
        <v>15.77</v>
      </c>
      <c r="N1768" s="573"/>
      <c r="O1768" s="556"/>
      <c r="P1768" s="573"/>
      <c r="Q1768" s="556"/>
      <c r="R1768" s="582"/>
    </row>
    <row r="1769" ht="26.25" spans="1:18">
      <c r="A1769" s="556"/>
      <c r="B1769" s="557">
        <f>C1768</f>
        <v>0</v>
      </c>
      <c r="C1769" s="108"/>
      <c r="D1769" s="108"/>
      <c r="E1769" s="108"/>
      <c r="F1769" s="108"/>
      <c r="G1769" s="108"/>
      <c r="H1769" s="108" t="s">
        <v>2901</v>
      </c>
      <c r="I1769" s="581">
        <v>52.97</v>
      </c>
      <c r="J1769" s="114"/>
      <c r="K1769" s="114" t="s">
        <v>2902</v>
      </c>
      <c r="L1769" s="108"/>
      <c r="M1769" s="581">
        <v>260.79</v>
      </c>
      <c r="N1769" s="573">
        <v>112.84</v>
      </c>
      <c r="O1769" s="556" t="str">
        <f t="shared" ref="O1769:O1774" si="201">IF(N1769=M1769,"OK","DIF")</f>
        <v>DIF</v>
      </c>
      <c r="P1769" s="573"/>
      <c r="Q1769" s="556"/>
      <c r="R1769" s="582"/>
    </row>
    <row r="1770" ht="15" spans="1:18">
      <c r="A1770" s="556">
        <f>B1770</f>
        <v>0</v>
      </c>
      <c r="B1770" s="557">
        <f>B1769</f>
        <v>0</v>
      </c>
      <c r="C1770" s="571"/>
      <c r="D1770" s="571"/>
      <c r="E1770" s="571"/>
      <c r="F1770" s="571"/>
      <c r="G1770" s="571"/>
      <c r="H1770" s="571"/>
      <c r="I1770" s="571"/>
      <c r="J1770" s="571"/>
      <c r="K1770" s="571"/>
      <c r="L1770" s="571"/>
      <c r="M1770" s="571"/>
      <c r="N1770" s="573">
        <v>25.31</v>
      </c>
      <c r="O1770" s="556" t="str">
        <f t="shared" si="201"/>
        <v>DIF</v>
      </c>
      <c r="P1770" s="573"/>
      <c r="Q1770" s="556"/>
      <c r="R1770" s="582"/>
    </row>
    <row r="1771" ht="15" customHeight="1" spans="1:18">
      <c r="A1771" s="556">
        <f>B1771</f>
        <v>0</v>
      </c>
      <c r="B1771" s="557">
        <f>B1770</f>
        <v>0</v>
      </c>
      <c r="C1771" s="76" t="s">
        <v>613</v>
      </c>
      <c r="D1771" s="75" t="s">
        <v>63</v>
      </c>
      <c r="E1771" s="76" t="s">
        <v>64</v>
      </c>
      <c r="F1771" s="76" t="s">
        <v>65</v>
      </c>
      <c r="G1771" s="76" t="s">
        <v>2889</v>
      </c>
      <c r="H1771" s="76"/>
      <c r="I1771" s="77" t="s">
        <v>66</v>
      </c>
      <c r="J1771" s="75" t="s">
        <v>67</v>
      </c>
      <c r="K1771" s="75" t="s">
        <v>2890</v>
      </c>
      <c r="L1771" s="75" t="s">
        <v>68</v>
      </c>
      <c r="M1771" s="75" t="s">
        <v>70</v>
      </c>
      <c r="N1771" s="573">
        <v>31.25</v>
      </c>
      <c r="O1771" s="556" t="str">
        <f t="shared" si="201"/>
        <v>DIF</v>
      </c>
      <c r="P1771" s="573"/>
      <c r="Q1771" s="556"/>
      <c r="R1771" s="582"/>
    </row>
    <row r="1772" ht="23.85" customHeight="1" spans="1:18">
      <c r="A1772" s="556">
        <f>B1772</f>
        <v>0</v>
      </c>
      <c r="B1772" s="557">
        <f>B1771</f>
        <v>0</v>
      </c>
      <c r="C1772" s="569" t="s">
        <v>2891</v>
      </c>
      <c r="D1772" s="570" t="s">
        <v>614</v>
      </c>
      <c r="E1772" s="569" t="s">
        <v>139</v>
      </c>
      <c r="F1772" s="569" t="s">
        <v>615</v>
      </c>
      <c r="G1772" s="569" t="s">
        <v>3484</v>
      </c>
      <c r="H1772" s="569"/>
      <c r="I1772" s="577" t="s">
        <v>141</v>
      </c>
      <c r="J1772" s="578">
        <v>1</v>
      </c>
      <c r="K1772" s="579"/>
      <c r="L1772" s="579">
        <v>56.43</v>
      </c>
      <c r="M1772" s="579">
        <v>56.43</v>
      </c>
      <c r="N1772" s="573">
        <v>55.7</v>
      </c>
      <c r="O1772" s="556" t="str">
        <f t="shared" si="201"/>
        <v>DIF</v>
      </c>
      <c r="P1772" s="573"/>
      <c r="Q1772" s="556"/>
      <c r="R1772" s="582"/>
    </row>
    <row r="1773" ht="23.85" customHeight="1" spans="1:18">
      <c r="A1773" s="556">
        <f>B1773</f>
        <v>0</v>
      </c>
      <c r="B1773" s="557">
        <f>B1772</f>
        <v>0</v>
      </c>
      <c r="C1773" s="79" t="s">
        <v>2921</v>
      </c>
      <c r="D1773" s="78" t="s">
        <v>3487</v>
      </c>
      <c r="E1773" s="79" t="s">
        <v>139</v>
      </c>
      <c r="F1773" s="79" t="s">
        <v>3488</v>
      </c>
      <c r="G1773" s="79" t="s">
        <v>2928</v>
      </c>
      <c r="H1773" s="79"/>
      <c r="I1773" s="80" t="s">
        <v>2897</v>
      </c>
      <c r="J1773" s="583">
        <v>0.0969</v>
      </c>
      <c r="K1773" s="583">
        <v>0</v>
      </c>
      <c r="L1773" s="92">
        <v>30.31</v>
      </c>
      <c r="M1773" s="92">
        <v>2.93</v>
      </c>
      <c r="N1773" s="573">
        <v>0.3</v>
      </c>
      <c r="O1773" s="556" t="str">
        <f t="shared" si="201"/>
        <v>DIF</v>
      </c>
      <c r="P1773" s="573"/>
      <c r="Q1773" s="556"/>
      <c r="R1773" s="582"/>
    </row>
    <row r="1774" ht="23.85" customHeight="1" spans="1:18">
      <c r="A1774" s="556">
        <f>B1774</f>
        <v>0</v>
      </c>
      <c r="B1774" s="557">
        <f>B1773</f>
        <v>0</v>
      </c>
      <c r="C1774" s="79" t="s">
        <v>2921</v>
      </c>
      <c r="D1774" s="78" t="s">
        <v>3485</v>
      </c>
      <c r="E1774" s="79" t="s">
        <v>139</v>
      </c>
      <c r="F1774" s="79" t="s">
        <v>3486</v>
      </c>
      <c r="G1774" s="79" t="s">
        <v>2928</v>
      </c>
      <c r="H1774" s="79"/>
      <c r="I1774" s="80" t="s">
        <v>2897</v>
      </c>
      <c r="J1774" s="583">
        <v>0.4299</v>
      </c>
      <c r="K1774" s="583">
        <v>0</v>
      </c>
      <c r="L1774" s="92">
        <v>37.08</v>
      </c>
      <c r="M1774" s="92">
        <v>15.94</v>
      </c>
      <c r="N1774" s="573">
        <v>0.28</v>
      </c>
      <c r="O1774" s="556" t="str">
        <f t="shared" si="201"/>
        <v>DIF</v>
      </c>
      <c r="P1774" s="573"/>
      <c r="Q1774" s="556"/>
      <c r="R1774" s="582"/>
    </row>
    <row r="1775" ht="46.25" customHeight="1" spans="1:18">
      <c r="A1775" s="556"/>
      <c r="B1775" s="557"/>
      <c r="C1775" s="100" t="s">
        <v>2893</v>
      </c>
      <c r="D1775" s="99" t="s">
        <v>3501</v>
      </c>
      <c r="E1775" s="100" t="s">
        <v>139</v>
      </c>
      <c r="F1775" s="100" t="s">
        <v>3502</v>
      </c>
      <c r="G1775" s="100" t="s">
        <v>2961</v>
      </c>
      <c r="H1775" s="100"/>
      <c r="I1775" s="101" t="s">
        <v>393</v>
      </c>
      <c r="J1775" s="580">
        <v>1.5</v>
      </c>
      <c r="K1775" s="580">
        <v>0</v>
      </c>
      <c r="L1775" s="102">
        <v>25.04</v>
      </c>
      <c r="M1775" s="102">
        <v>37.56</v>
      </c>
      <c r="N1775" s="573"/>
      <c r="O1775" s="556"/>
      <c r="P1775" s="573"/>
      <c r="Q1775" s="556"/>
      <c r="R1775" s="582"/>
    </row>
    <row r="1776" ht="25.5" spans="1:18">
      <c r="A1776" s="556"/>
      <c r="B1776" s="557"/>
      <c r="C1776" s="108"/>
      <c r="D1776" s="108"/>
      <c r="E1776" s="108"/>
      <c r="F1776" s="108"/>
      <c r="G1776" s="108"/>
      <c r="H1776" s="108" t="s">
        <v>2898</v>
      </c>
      <c r="I1776" s="581">
        <v>13.6</v>
      </c>
      <c r="J1776" s="108" t="s">
        <v>2899</v>
      </c>
      <c r="K1776" s="581">
        <v>0</v>
      </c>
      <c r="L1776" s="108" t="s">
        <v>2900</v>
      </c>
      <c r="M1776" s="581">
        <v>13.6</v>
      </c>
      <c r="N1776" s="573"/>
      <c r="O1776" s="556"/>
      <c r="P1776" s="573"/>
      <c r="Q1776" s="556"/>
      <c r="R1776" s="582"/>
    </row>
    <row r="1777" ht="26.25" spans="1:18">
      <c r="A1777" s="556"/>
      <c r="B1777" s="557">
        <f>C1776</f>
        <v>0</v>
      </c>
      <c r="C1777" s="108"/>
      <c r="D1777" s="108"/>
      <c r="E1777" s="108"/>
      <c r="F1777" s="108"/>
      <c r="G1777" s="108"/>
      <c r="H1777" s="108" t="s">
        <v>2901</v>
      </c>
      <c r="I1777" s="581">
        <v>14.38</v>
      </c>
      <c r="J1777" s="114"/>
      <c r="K1777" s="114" t="s">
        <v>2902</v>
      </c>
      <c r="L1777" s="108"/>
      <c r="M1777" s="581">
        <v>70.81</v>
      </c>
      <c r="N1777" s="573">
        <v>115.67</v>
      </c>
      <c r="O1777" s="556" t="str">
        <f t="shared" ref="O1777:O1782" si="202">IF(N1777=M1777,"OK","DIF")</f>
        <v>DIF</v>
      </c>
      <c r="P1777" s="573"/>
      <c r="Q1777" s="556"/>
      <c r="R1777" s="582"/>
    </row>
    <row r="1778" ht="15" spans="1:18">
      <c r="A1778" s="556">
        <f>B1778</f>
        <v>0</v>
      </c>
      <c r="B1778" s="557">
        <f>B1777</f>
        <v>0</v>
      </c>
      <c r="C1778" s="571"/>
      <c r="D1778" s="571"/>
      <c r="E1778" s="571"/>
      <c r="F1778" s="571"/>
      <c r="G1778" s="571"/>
      <c r="H1778" s="571"/>
      <c r="I1778" s="571"/>
      <c r="J1778" s="571"/>
      <c r="K1778" s="571"/>
      <c r="L1778" s="571"/>
      <c r="M1778" s="571"/>
      <c r="N1778" s="573">
        <v>37.7</v>
      </c>
      <c r="O1778" s="556" t="str">
        <f t="shared" si="202"/>
        <v>DIF</v>
      </c>
      <c r="P1778" s="573"/>
      <c r="Q1778" s="556"/>
      <c r="R1778" s="582"/>
    </row>
    <row r="1779" ht="15" customHeight="1" spans="1:18">
      <c r="A1779" s="556">
        <f>B1779</f>
        <v>0</v>
      </c>
      <c r="B1779" s="557">
        <f>B1778</f>
        <v>0</v>
      </c>
      <c r="C1779" s="76" t="s">
        <v>616</v>
      </c>
      <c r="D1779" s="75" t="s">
        <v>63</v>
      </c>
      <c r="E1779" s="76" t="s">
        <v>64</v>
      </c>
      <c r="F1779" s="76" t="s">
        <v>65</v>
      </c>
      <c r="G1779" s="76" t="s">
        <v>2889</v>
      </c>
      <c r="H1779" s="76"/>
      <c r="I1779" s="77" t="s">
        <v>66</v>
      </c>
      <c r="J1779" s="75" t="s">
        <v>67</v>
      </c>
      <c r="K1779" s="75" t="s">
        <v>2890</v>
      </c>
      <c r="L1779" s="75" t="s">
        <v>68</v>
      </c>
      <c r="M1779" s="75" t="s">
        <v>70</v>
      </c>
      <c r="N1779" s="573">
        <v>30.53</v>
      </c>
      <c r="O1779" s="556" t="str">
        <f t="shared" si="202"/>
        <v>DIF</v>
      </c>
      <c r="P1779" s="573"/>
      <c r="Q1779" s="556"/>
      <c r="R1779" s="582"/>
    </row>
    <row r="1780" ht="23.85" customHeight="1" spans="1:18">
      <c r="A1780" s="556">
        <f>B1780</f>
        <v>0</v>
      </c>
      <c r="B1780" s="557">
        <f>B1779</f>
        <v>0</v>
      </c>
      <c r="C1780" s="569" t="s">
        <v>2891</v>
      </c>
      <c r="D1780" s="570" t="s">
        <v>617</v>
      </c>
      <c r="E1780" s="569" t="s">
        <v>139</v>
      </c>
      <c r="F1780" s="569" t="s">
        <v>618</v>
      </c>
      <c r="G1780" s="569" t="s">
        <v>3484</v>
      </c>
      <c r="H1780" s="569"/>
      <c r="I1780" s="577" t="s">
        <v>141</v>
      </c>
      <c r="J1780" s="578">
        <v>1</v>
      </c>
      <c r="K1780" s="579"/>
      <c r="L1780" s="579">
        <v>39.66</v>
      </c>
      <c r="M1780" s="579">
        <v>39.66</v>
      </c>
      <c r="N1780" s="573">
        <v>46.75</v>
      </c>
      <c r="O1780" s="556" t="str">
        <f t="shared" si="202"/>
        <v>DIF</v>
      </c>
      <c r="P1780" s="573"/>
      <c r="Q1780" s="556"/>
      <c r="R1780" s="582"/>
    </row>
    <row r="1781" ht="23.85" customHeight="1" spans="1:18">
      <c r="A1781" s="556">
        <f>B1781</f>
        <v>0</v>
      </c>
      <c r="B1781" s="557">
        <f>B1780</f>
        <v>0</v>
      </c>
      <c r="C1781" s="79" t="s">
        <v>2921</v>
      </c>
      <c r="D1781" s="78" t="s">
        <v>3487</v>
      </c>
      <c r="E1781" s="79" t="s">
        <v>139</v>
      </c>
      <c r="F1781" s="79" t="s">
        <v>3488</v>
      </c>
      <c r="G1781" s="79" t="s">
        <v>2928</v>
      </c>
      <c r="H1781" s="79"/>
      <c r="I1781" s="80" t="s">
        <v>2897</v>
      </c>
      <c r="J1781" s="583">
        <v>0.1362</v>
      </c>
      <c r="K1781" s="583">
        <v>0</v>
      </c>
      <c r="L1781" s="92">
        <v>30.31</v>
      </c>
      <c r="M1781" s="92">
        <v>4.12</v>
      </c>
      <c r="N1781" s="573">
        <v>0.35</v>
      </c>
      <c r="O1781" s="556" t="str">
        <f t="shared" si="202"/>
        <v>DIF</v>
      </c>
      <c r="P1781" s="573"/>
      <c r="Q1781" s="556"/>
      <c r="R1781" s="582"/>
    </row>
    <row r="1782" ht="23.85" customHeight="1" spans="1:18">
      <c r="A1782" s="556">
        <f>B1782</f>
        <v>0</v>
      </c>
      <c r="B1782" s="557">
        <f>B1781</f>
        <v>0</v>
      </c>
      <c r="C1782" s="79" t="s">
        <v>2921</v>
      </c>
      <c r="D1782" s="78" t="s">
        <v>3485</v>
      </c>
      <c r="E1782" s="79" t="s">
        <v>139</v>
      </c>
      <c r="F1782" s="79" t="s">
        <v>3486</v>
      </c>
      <c r="G1782" s="79" t="s">
        <v>2928</v>
      </c>
      <c r="H1782" s="79"/>
      <c r="I1782" s="80" t="s">
        <v>2897</v>
      </c>
      <c r="J1782" s="583">
        <v>0.6039</v>
      </c>
      <c r="K1782" s="583">
        <v>0</v>
      </c>
      <c r="L1782" s="92">
        <v>37.08</v>
      </c>
      <c r="M1782" s="92">
        <v>22.39</v>
      </c>
      <c r="N1782" s="573">
        <v>0.34</v>
      </c>
      <c r="O1782" s="556" t="str">
        <f t="shared" si="202"/>
        <v>DIF</v>
      </c>
      <c r="P1782" s="573"/>
      <c r="Q1782" s="556"/>
      <c r="R1782" s="582"/>
    </row>
    <row r="1783" ht="23.85" customHeight="1" spans="1:18">
      <c r="A1783" s="556"/>
      <c r="B1783" s="557"/>
      <c r="C1783" s="100" t="s">
        <v>2893</v>
      </c>
      <c r="D1783" s="99" t="s">
        <v>3503</v>
      </c>
      <c r="E1783" s="100" t="s">
        <v>139</v>
      </c>
      <c r="F1783" s="100" t="s">
        <v>3504</v>
      </c>
      <c r="G1783" s="100" t="s">
        <v>2961</v>
      </c>
      <c r="H1783" s="100"/>
      <c r="I1783" s="101" t="s">
        <v>393</v>
      </c>
      <c r="J1783" s="580">
        <v>3.4615</v>
      </c>
      <c r="K1783" s="580">
        <v>0</v>
      </c>
      <c r="L1783" s="102">
        <v>3.8</v>
      </c>
      <c r="M1783" s="102">
        <v>13.15</v>
      </c>
      <c r="N1783" s="573"/>
      <c r="O1783" s="556"/>
      <c r="P1783" s="573"/>
      <c r="Q1783" s="556"/>
      <c r="R1783" s="582"/>
    </row>
    <row r="1784" ht="25.5" spans="1:18">
      <c r="A1784" s="556"/>
      <c r="B1784" s="557"/>
      <c r="C1784" s="108"/>
      <c r="D1784" s="108"/>
      <c r="E1784" s="108"/>
      <c r="F1784" s="108"/>
      <c r="G1784" s="108"/>
      <c r="H1784" s="108" t="s">
        <v>2898</v>
      </c>
      <c r="I1784" s="581">
        <v>19.11</v>
      </c>
      <c r="J1784" s="108" t="s">
        <v>2899</v>
      </c>
      <c r="K1784" s="581">
        <v>0</v>
      </c>
      <c r="L1784" s="108" t="s">
        <v>2900</v>
      </c>
      <c r="M1784" s="581">
        <v>19.11</v>
      </c>
      <c r="N1784" s="573"/>
      <c r="O1784" s="556"/>
      <c r="P1784" s="573"/>
      <c r="Q1784" s="556"/>
      <c r="R1784" s="582"/>
    </row>
    <row r="1785" ht="26.25" spans="1:18">
      <c r="A1785" s="556"/>
      <c r="B1785" s="557">
        <f>C1784</f>
        <v>0</v>
      </c>
      <c r="C1785" s="108"/>
      <c r="D1785" s="108"/>
      <c r="E1785" s="108"/>
      <c r="F1785" s="108"/>
      <c r="G1785" s="108"/>
      <c r="H1785" s="108" t="s">
        <v>2901</v>
      </c>
      <c r="I1785" s="581">
        <v>10.1</v>
      </c>
      <c r="J1785" s="114"/>
      <c r="K1785" s="114" t="s">
        <v>2902</v>
      </c>
      <c r="L1785" s="108"/>
      <c r="M1785" s="581">
        <v>49.76</v>
      </c>
      <c r="N1785" s="573">
        <v>150.36</v>
      </c>
      <c r="O1785" s="556" t="str">
        <f t="shared" ref="O1785:O1790" si="203">IF(N1785=M1785,"OK","DIF")</f>
        <v>DIF</v>
      </c>
      <c r="P1785" s="573"/>
      <c r="Q1785" s="556"/>
      <c r="R1785" s="582"/>
    </row>
    <row r="1786" ht="15" spans="1:18">
      <c r="A1786" s="556">
        <f>B1786</f>
        <v>0</v>
      </c>
      <c r="B1786" s="557">
        <f>B1785</f>
        <v>0</v>
      </c>
      <c r="C1786" s="571"/>
      <c r="D1786" s="571"/>
      <c r="E1786" s="571"/>
      <c r="F1786" s="571"/>
      <c r="G1786" s="571"/>
      <c r="H1786" s="571"/>
      <c r="I1786" s="571"/>
      <c r="J1786" s="571"/>
      <c r="K1786" s="571"/>
      <c r="L1786" s="571"/>
      <c r="M1786" s="571"/>
      <c r="N1786" s="573">
        <v>33.75</v>
      </c>
      <c r="O1786" s="556" t="str">
        <f t="shared" si="203"/>
        <v>DIF</v>
      </c>
      <c r="P1786" s="573"/>
      <c r="Q1786" s="556"/>
      <c r="R1786" s="582"/>
    </row>
    <row r="1787" ht="15" customHeight="1" spans="1:18">
      <c r="A1787" s="556">
        <f>B1787</f>
        <v>0</v>
      </c>
      <c r="B1787" s="557">
        <f>B1786</f>
        <v>0</v>
      </c>
      <c r="C1787" s="76" t="s">
        <v>620</v>
      </c>
      <c r="D1787" s="75" t="s">
        <v>63</v>
      </c>
      <c r="E1787" s="76" t="s">
        <v>64</v>
      </c>
      <c r="F1787" s="76" t="s">
        <v>65</v>
      </c>
      <c r="G1787" s="76" t="s">
        <v>2889</v>
      </c>
      <c r="H1787" s="76"/>
      <c r="I1787" s="77" t="s">
        <v>66</v>
      </c>
      <c r="J1787" s="75" t="s">
        <v>67</v>
      </c>
      <c r="K1787" s="75" t="s">
        <v>2890</v>
      </c>
      <c r="L1787" s="75" t="s">
        <v>68</v>
      </c>
      <c r="M1787" s="75" t="s">
        <v>70</v>
      </c>
      <c r="N1787" s="573">
        <v>41.68</v>
      </c>
      <c r="O1787" s="556" t="str">
        <f t="shared" si="203"/>
        <v>DIF</v>
      </c>
      <c r="P1787" s="573"/>
      <c r="Q1787" s="556"/>
      <c r="R1787" s="582"/>
    </row>
    <row r="1788" ht="23.85" customHeight="1" spans="1:18">
      <c r="A1788" s="556">
        <f>B1788</f>
        <v>0</v>
      </c>
      <c r="B1788" s="557">
        <f>B1787</f>
        <v>0</v>
      </c>
      <c r="C1788" s="569" t="s">
        <v>2891</v>
      </c>
      <c r="D1788" s="570" t="s">
        <v>614</v>
      </c>
      <c r="E1788" s="569" t="s">
        <v>139</v>
      </c>
      <c r="F1788" s="569" t="s">
        <v>615</v>
      </c>
      <c r="G1788" s="569" t="s">
        <v>3484</v>
      </c>
      <c r="H1788" s="569"/>
      <c r="I1788" s="577" t="s">
        <v>141</v>
      </c>
      <c r="J1788" s="578">
        <v>1</v>
      </c>
      <c r="K1788" s="579"/>
      <c r="L1788" s="579">
        <v>56.43</v>
      </c>
      <c r="M1788" s="579">
        <v>56.43</v>
      </c>
      <c r="N1788" s="573">
        <v>0.42</v>
      </c>
      <c r="O1788" s="556" t="str">
        <f t="shared" si="203"/>
        <v>DIF</v>
      </c>
      <c r="P1788" s="573"/>
      <c r="Q1788" s="556"/>
      <c r="R1788" s="582"/>
    </row>
    <row r="1789" ht="23.85" customHeight="1" spans="1:18">
      <c r="A1789" s="556">
        <f>B1789</f>
        <v>0</v>
      </c>
      <c r="B1789" s="557">
        <f>B1788</f>
        <v>0</v>
      </c>
      <c r="C1789" s="79" t="s">
        <v>2921</v>
      </c>
      <c r="D1789" s="78" t="s">
        <v>3487</v>
      </c>
      <c r="E1789" s="79" t="s">
        <v>139</v>
      </c>
      <c r="F1789" s="79" t="s">
        <v>3488</v>
      </c>
      <c r="G1789" s="79" t="s">
        <v>2928</v>
      </c>
      <c r="H1789" s="79"/>
      <c r="I1789" s="80" t="s">
        <v>2897</v>
      </c>
      <c r="J1789" s="583">
        <v>0.0969</v>
      </c>
      <c r="K1789" s="583">
        <v>0</v>
      </c>
      <c r="L1789" s="92">
        <v>30.31</v>
      </c>
      <c r="M1789" s="92">
        <v>2.93</v>
      </c>
      <c r="N1789" s="573">
        <v>74.06</v>
      </c>
      <c r="O1789" s="556" t="str">
        <f t="shared" si="203"/>
        <v>DIF</v>
      </c>
      <c r="P1789" s="573"/>
      <c r="Q1789" s="556"/>
      <c r="R1789" s="582"/>
    </row>
    <row r="1790" ht="23.85" customHeight="1" spans="1:18">
      <c r="A1790" s="556">
        <f>B1790</f>
        <v>0</v>
      </c>
      <c r="B1790" s="557">
        <f>B1789</f>
        <v>0</v>
      </c>
      <c r="C1790" s="79" t="s">
        <v>2921</v>
      </c>
      <c r="D1790" s="78" t="s">
        <v>3485</v>
      </c>
      <c r="E1790" s="79" t="s">
        <v>139</v>
      </c>
      <c r="F1790" s="79" t="s">
        <v>3486</v>
      </c>
      <c r="G1790" s="79" t="s">
        <v>2928</v>
      </c>
      <c r="H1790" s="79"/>
      <c r="I1790" s="80" t="s">
        <v>2897</v>
      </c>
      <c r="J1790" s="583">
        <v>0.4299</v>
      </c>
      <c r="K1790" s="583">
        <v>0</v>
      </c>
      <c r="L1790" s="92">
        <v>37.08</v>
      </c>
      <c r="M1790" s="92">
        <v>15.94</v>
      </c>
      <c r="N1790" s="573">
        <v>0.45</v>
      </c>
      <c r="O1790" s="556" t="str">
        <f t="shared" si="203"/>
        <v>DIF</v>
      </c>
      <c r="P1790" s="573"/>
      <c r="Q1790" s="556"/>
      <c r="R1790" s="582"/>
    </row>
    <row r="1791" ht="46.25" customHeight="1" spans="1:18">
      <c r="A1791" s="556"/>
      <c r="B1791" s="557"/>
      <c r="C1791" s="100" t="s">
        <v>2893</v>
      </c>
      <c r="D1791" s="99" t="s">
        <v>3501</v>
      </c>
      <c r="E1791" s="100" t="s">
        <v>139</v>
      </c>
      <c r="F1791" s="100" t="s">
        <v>3502</v>
      </c>
      <c r="G1791" s="100" t="s">
        <v>2961</v>
      </c>
      <c r="H1791" s="100"/>
      <c r="I1791" s="101" t="s">
        <v>393</v>
      </c>
      <c r="J1791" s="580">
        <v>1.5</v>
      </c>
      <c r="K1791" s="580">
        <v>0</v>
      </c>
      <c r="L1791" s="102">
        <v>25.04</v>
      </c>
      <c r="M1791" s="102">
        <v>37.56</v>
      </c>
      <c r="N1791" s="573"/>
      <c r="O1791" s="556"/>
      <c r="P1791" s="573"/>
      <c r="Q1791" s="556"/>
      <c r="R1791" s="582"/>
    </row>
    <row r="1792" ht="25.5" spans="1:18">
      <c r="A1792" s="556"/>
      <c r="B1792" s="557"/>
      <c r="C1792" s="108"/>
      <c r="D1792" s="108"/>
      <c r="E1792" s="108"/>
      <c r="F1792" s="108"/>
      <c r="G1792" s="108"/>
      <c r="H1792" s="108" t="s">
        <v>2898</v>
      </c>
      <c r="I1792" s="581">
        <v>13.6</v>
      </c>
      <c r="J1792" s="108" t="s">
        <v>2899</v>
      </c>
      <c r="K1792" s="581">
        <v>0</v>
      </c>
      <c r="L1792" s="108" t="s">
        <v>2900</v>
      </c>
      <c r="M1792" s="581">
        <v>13.6</v>
      </c>
      <c r="N1792" s="573"/>
      <c r="O1792" s="556"/>
      <c r="P1792" s="573"/>
      <c r="Q1792" s="556"/>
      <c r="R1792" s="582"/>
    </row>
    <row r="1793" ht="26.25" spans="1:18">
      <c r="A1793" s="556"/>
      <c r="B1793" s="557">
        <f>C1792</f>
        <v>0</v>
      </c>
      <c r="C1793" s="108"/>
      <c r="D1793" s="108"/>
      <c r="E1793" s="108"/>
      <c r="F1793" s="108"/>
      <c r="G1793" s="108"/>
      <c r="H1793" s="108" t="s">
        <v>2901</v>
      </c>
      <c r="I1793" s="581">
        <v>14.38</v>
      </c>
      <c r="J1793" s="114"/>
      <c r="K1793" s="114" t="s">
        <v>2902</v>
      </c>
      <c r="L1793" s="108"/>
      <c r="M1793" s="581">
        <v>70.81</v>
      </c>
      <c r="N1793" s="573">
        <v>63.11</v>
      </c>
      <c r="O1793" s="556" t="str">
        <f t="shared" ref="O1793:O1798" si="204">IF(N1793=M1793,"OK","DIF")</f>
        <v>DIF</v>
      </c>
      <c r="P1793" s="573"/>
      <c r="Q1793" s="556"/>
      <c r="R1793" s="582"/>
    </row>
    <row r="1794" ht="15" spans="1:18">
      <c r="A1794" s="556">
        <f>B1794</f>
        <v>0</v>
      </c>
      <c r="B1794" s="557">
        <f>B1793</f>
        <v>0</v>
      </c>
      <c r="C1794" s="571"/>
      <c r="D1794" s="571"/>
      <c r="E1794" s="571"/>
      <c r="F1794" s="571"/>
      <c r="G1794" s="571"/>
      <c r="H1794" s="571"/>
      <c r="I1794" s="571"/>
      <c r="J1794" s="571"/>
      <c r="K1794" s="571"/>
      <c r="L1794" s="571"/>
      <c r="M1794" s="571"/>
      <c r="N1794" s="573">
        <v>25.41</v>
      </c>
      <c r="O1794" s="556" t="str">
        <f t="shared" si="204"/>
        <v>DIF</v>
      </c>
      <c r="P1794" s="573"/>
      <c r="Q1794" s="556"/>
      <c r="R1794" s="582"/>
    </row>
    <row r="1795" ht="15" customHeight="1" spans="1:18">
      <c r="A1795" s="556">
        <f>B1795</f>
        <v>0</v>
      </c>
      <c r="B1795" s="557">
        <f>B1794</f>
        <v>0</v>
      </c>
      <c r="C1795" s="76" t="s">
        <v>621</v>
      </c>
      <c r="D1795" s="75" t="s">
        <v>63</v>
      </c>
      <c r="E1795" s="76" t="s">
        <v>64</v>
      </c>
      <c r="F1795" s="76" t="s">
        <v>65</v>
      </c>
      <c r="G1795" s="76" t="s">
        <v>2889</v>
      </c>
      <c r="H1795" s="76"/>
      <c r="I1795" s="77" t="s">
        <v>66</v>
      </c>
      <c r="J1795" s="75" t="s">
        <v>67</v>
      </c>
      <c r="K1795" s="75" t="s">
        <v>2890</v>
      </c>
      <c r="L1795" s="75" t="s">
        <v>68</v>
      </c>
      <c r="M1795" s="75" t="s">
        <v>70</v>
      </c>
      <c r="N1795" s="573">
        <v>20.58</v>
      </c>
      <c r="O1795" s="556" t="str">
        <f t="shared" si="204"/>
        <v>DIF</v>
      </c>
      <c r="P1795" s="573"/>
      <c r="Q1795" s="556"/>
      <c r="R1795" s="582"/>
    </row>
    <row r="1796" ht="23.85" customHeight="1" spans="1:18">
      <c r="A1796" s="556">
        <f>B1796</f>
        <v>0</v>
      </c>
      <c r="B1796" s="557">
        <f>B1795</f>
        <v>0</v>
      </c>
      <c r="C1796" s="569" t="s">
        <v>2891</v>
      </c>
      <c r="D1796" s="570" t="s">
        <v>617</v>
      </c>
      <c r="E1796" s="569" t="s">
        <v>139</v>
      </c>
      <c r="F1796" s="569" t="s">
        <v>618</v>
      </c>
      <c r="G1796" s="569" t="s">
        <v>3484</v>
      </c>
      <c r="H1796" s="569"/>
      <c r="I1796" s="577" t="s">
        <v>141</v>
      </c>
      <c r="J1796" s="578">
        <v>1</v>
      </c>
      <c r="K1796" s="579"/>
      <c r="L1796" s="579">
        <v>39.66</v>
      </c>
      <c r="M1796" s="579">
        <v>39.66</v>
      </c>
      <c r="N1796" s="573">
        <v>0.56</v>
      </c>
      <c r="O1796" s="556" t="str">
        <f t="shared" si="204"/>
        <v>DIF</v>
      </c>
      <c r="P1796" s="573"/>
      <c r="Q1796" s="556"/>
      <c r="R1796" s="582"/>
    </row>
    <row r="1797" ht="23.85" customHeight="1" spans="1:18">
      <c r="A1797" s="556">
        <f>B1797</f>
        <v>0</v>
      </c>
      <c r="B1797" s="557">
        <f>B1796</f>
        <v>0</v>
      </c>
      <c r="C1797" s="79" t="s">
        <v>2921</v>
      </c>
      <c r="D1797" s="78" t="s">
        <v>3487</v>
      </c>
      <c r="E1797" s="79" t="s">
        <v>139</v>
      </c>
      <c r="F1797" s="79" t="s">
        <v>3488</v>
      </c>
      <c r="G1797" s="79" t="s">
        <v>2928</v>
      </c>
      <c r="H1797" s="79"/>
      <c r="I1797" s="80" t="s">
        <v>2897</v>
      </c>
      <c r="J1797" s="583">
        <v>0.1362</v>
      </c>
      <c r="K1797" s="583">
        <v>0</v>
      </c>
      <c r="L1797" s="92">
        <v>30.31</v>
      </c>
      <c r="M1797" s="92">
        <v>4.12</v>
      </c>
      <c r="N1797" s="573">
        <v>0.57</v>
      </c>
      <c r="O1797" s="556" t="str">
        <f t="shared" si="204"/>
        <v>DIF</v>
      </c>
      <c r="P1797" s="573"/>
      <c r="Q1797" s="556"/>
      <c r="R1797" s="582"/>
    </row>
    <row r="1798" ht="23.85" customHeight="1" spans="1:18">
      <c r="A1798" s="556">
        <f>B1798</f>
        <v>0</v>
      </c>
      <c r="B1798" s="557">
        <f>B1797</f>
        <v>0</v>
      </c>
      <c r="C1798" s="79" t="s">
        <v>2921</v>
      </c>
      <c r="D1798" s="78" t="s">
        <v>3485</v>
      </c>
      <c r="E1798" s="79" t="s">
        <v>139</v>
      </c>
      <c r="F1798" s="79" t="s">
        <v>3486</v>
      </c>
      <c r="G1798" s="79" t="s">
        <v>2928</v>
      </c>
      <c r="H1798" s="79"/>
      <c r="I1798" s="80" t="s">
        <v>2897</v>
      </c>
      <c r="J1798" s="583">
        <v>0.6039</v>
      </c>
      <c r="K1798" s="583">
        <v>0</v>
      </c>
      <c r="L1798" s="92">
        <v>37.08</v>
      </c>
      <c r="M1798" s="92">
        <v>22.39</v>
      </c>
      <c r="N1798" s="573">
        <v>15.99</v>
      </c>
      <c r="O1798" s="556" t="str">
        <f t="shared" si="204"/>
        <v>DIF</v>
      </c>
      <c r="P1798" s="573"/>
      <c r="Q1798" s="556"/>
      <c r="R1798" s="582"/>
    </row>
    <row r="1799" ht="23.85" customHeight="1" spans="1:18">
      <c r="A1799" s="556"/>
      <c r="B1799" s="557"/>
      <c r="C1799" s="100" t="s">
        <v>2893</v>
      </c>
      <c r="D1799" s="99" t="s">
        <v>3503</v>
      </c>
      <c r="E1799" s="100" t="s">
        <v>139</v>
      </c>
      <c r="F1799" s="100" t="s">
        <v>3504</v>
      </c>
      <c r="G1799" s="100" t="s">
        <v>2961</v>
      </c>
      <c r="H1799" s="100"/>
      <c r="I1799" s="101" t="s">
        <v>393</v>
      </c>
      <c r="J1799" s="580">
        <v>3.4615</v>
      </c>
      <c r="K1799" s="580">
        <v>0</v>
      </c>
      <c r="L1799" s="102">
        <v>3.8</v>
      </c>
      <c r="M1799" s="102">
        <v>13.15</v>
      </c>
      <c r="N1799" s="573"/>
      <c r="O1799" s="556"/>
      <c r="P1799" s="573"/>
      <c r="Q1799" s="556"/>
      <c r="R1799" s="582"/>
    </row>
    <row r="1800" ht="25.5" spans="1:18">
      <c r="A1800" s="556"/>
      <c r="B1800" s="557"/>
      <c r="C1800" s="108"/>
      <c r="D1800" s="108"/>
      <c r="E1800" s="108"/>
      <c r="F1800" s="108"/>
      <c r="G1800" s="108"/>
      <c r="H1800" s="108" t="s">
        <v>2898</v>
      </c>
      <c r="I1800" s="581">
        <v>19.11</v>
      </c>
      <c r="J1800" s="108" t="s">
        <v>2899</v>
      </c>
      <c r="K1800" s="581">
        <v>0</v>
      </c>
      <c r="L1800" s="108" t="s">
        <v>2900</v>
      </c>
      <c r="M1800" s="581">
        <v>19.11</v>
      </c>
      <c r="N1800" s="573"/>
      <c r="O1800" s="556"/>
      <c r="P1800" s="573"/>
      <c r="Q1800" s="556"/>
      <c r="R1800" s="582"/>
    </row>
    <row r="1801" ht="26.25" spans="1:18">
      <c r="A1801" s="556"/>
      <c r="B1801" s="557">
        <f>C1800</f>
        <v>0</v>
      </c>
      <c r="C1801" s="108"/>
      <c r="D1801" s="108"/>
      <c r="E1801" s="108"/>
      <c r="F1801" s="108"/>
      <c r="G1801" s="108"/>
      <c r="H1801" s="108" t="s">
        <v>2901</v>
      </c>
      <c r="I1801" s="581">
        <v>10.1</v>
      </c>
      <c r="J1801" s="114"/>
      <c r="K1801" s="114" t="s">
        <v>2902</v>
      </c>
      <c r="L1801" s="108"/>
      <c r="M1801" s="581">
        <v>49.76</v>
      </c>
      <c r="N1801" s="573">
        <v>52.7</v>
      </c>
      <c r="O1801" s="556" t="str">
        <f>IF(N1801=M1801,"OK","DIF")</f>
        <v>DIF</v>
      </c>
      <c r="P1801" s="573"/>
      <c r="Q1801" s="556"/>
      <c r="R1801" s="582"/>
    </row>
    <row r="1802" ht="15" spans="1:18">
      <c r="A1802" s="556">
        <f>B1802</f>
        <v>0</v>
      </c>
      <c r="B1802" s="557">
        <f>B1801</f>
        <v>0</v>
      </c>
      <c r="C1802" s="571"/>
      <c r="D1802" s="571"/>
      <c r="E1802" s="571"/>
      <c r="F1802" s="571"/>
      <c r="G1802" s="571"/>
      <c r="H1802" s="571"/>
      <c r="I1802" s="571"/>
      <c r="J1802" s="571"/>
      <c r="K1802" s="571"/>
      <c r="L1802" s="571"/>
      <c r="M1802" s="571"/>
      <c r="N1802" s="573">
        <v>14.64</v>
      </c>
      <c r="O1802" s="556" t="str">
        <f>IF(N1802=M1802,"OK","DIF")</f>
        <v>DIF</v>
      </c>
      <c r="P1802" s="573"/>
      <c r="Q1802" s="556"/>
      <c r="R1802" s="582"/>
    </row>
    <row r="1803" ht="15" customHeight="1" spans="1:18">
      <c r="A1803" s="556">
        <f>B1803</f>
        <v>0</v>
      </c>
      <c r="B1803" s="557">
        <f>B1802</f>
        <v>0</v>
      </c>
      <c r="C1803" s="76" t="s">
        <v>624</v>
      </c>
      <c r="D1803" s="75" t="s">
        <v>63</v>
      </c>
      <c r="E1803" s="76" t="s">
        <v>64</v>
      </c>
      <c r="F1803" s="76" t="s">
        <v>65</v>
      </c>
      <c r="G1803" s="76" t="s">
        <v>2889</v>
      </c>
      <c r="H1803" s="76"/>
      <c r="I1803" s="77" t="s">
        <v>66</v>
      </c>
      <c r="J1803" s="75" t="s">
        <v>67</v>
      </c>
      <c r="K1803" s="75" t="s">
        <v>2890</v>
      </c>
      <c r="L1803" s="75" t="s">
        <v>68</v>
      </c>
      <c r="M1803" s="75" t="s">
        <v>70</v>
      </c>
      <c r="N1803" s="573">
        <v>11.16</v>
      </c>
      <c r="O1803" s="556" t="str">
        <f>IF(N1803=M1803,"OK","DIF")</f>
        <v>DIF</v>
      </c>
      <c r="P1803" s="573"/>
      <c r="Q1803" s="556"/>
      <c r="R1803" s="582"/>
    </row>
    <row r="1804" ht="68.65" customHeight="1" spans="1:18">
      <c r="A1804" s="556">
        <f>B1804</f>
        <v>0</v>
      </c>
      <c r="B1804" s="557">
        <f>B1803</f>
        <v>0</v>
      </c>
      <c r="C1804" s="569" t="s">
        <v>2891</v>
      </c>
      <c r="D1804" s="570" t="s">
        <v>625</v>
      </c>
      <c r="E1804" s="569" t="s">
        <v>132</v>
      </c>
      <c r="F1804" s="569" t="s">
        <v>626</v>
      </c>
      <c r="G1804" s="569" t="s">
        <v>3505</v>
      </c>
      <c r="H1804" s="569"/>
      <c r="I1804" s="577" t="s">
        <v>134</v>
      </c>
      <c r="J1804" s="578">
        <v>1</v>
      </c>
      <c r="K1804" s="579"/>
      <c r="L1804" s="579">
        <v>994.76</v>
      </c>
      <c r="M1804" s="579">
        <v>994.76</v>
      </c>
      <c r="N1804" s="573">
        <v>26.74</v>
      </c>
      <c r="O1804" s="556" t="str">
        <f>IF(N1804=M1804,"OK","DIF")</f>
        <v>DIF</v>
      </c>
      <c r="P1804" s="573"/>
      <c r="Q1804" s="556"/>
      <c r="R1804" s="582"/>
    </row>
    <row r="1805" ht="46.25" customHeight="1" spans="1:18">
      <c r="A1805" s="556">
        <f>B1805</f>
        <v>0</v>
      </c>
      <c r="B1805" s="557">
        <f>B1804</f>
        <v>0</v>
      </c>
      <c r="C1805" s="79" t="s">
        <v>2921</v>
      </c>
      <c r="D1805" s="78" t="s">
        <v>3506</v>
      </c>
      <c r="E1805" s="79" t="s">
        <v>139</v>
      </c>
      <c r="F1805" s="79" t="s">
        <v>3507</v>
      </c>
      <c r="G1805" s="79" t="s">
        <v>3025</v>
      </c>
      <c r="H1805" s="79"/>
      <c r="I1805" s="80" t="s">
        <v>134</v>
      </c>
      <c r="J1805" s="583">
        <v>0.8571</v>
      </c>
      <c r="K1805" s="583">
        <v>0</v>
      </c>
      <c r="L1805" s="92">
        <v>1044.24</v>
      </c>
      <c r="M1805" s="92">
        <v>895.01</v>
      </c>
      <c r="N1805" s="573">
        <v>0.16</v>
      </c>
      <c r="O1805" s="556" t="str">
        <f>IF(N1805=M1805,"OK","DIF")</f>
        <v>DIF</v>
      </c>
      <c r="P1805" s="573"/>
      <c r="Q1805" s="556"/>
      <c r="R1805" s="582"/>
    </row>
    <row r="1806" ht="15" customHeight="1" spans="1:18">
      <c r="A1806" s="556"/>
      <c r="B1806" s="557"/>
      <c r="C1806" s="79" t="s">
        <v>2921</v>
      </c>
      <c r="D1806" s="78" t="s">
        <v>3508</v>
      </c>
      <c r="E1806" s="79" t="s">
        <v>139</v>
      </c>
      <c r="F1806" s="79" t="s">
        <v>3509</v>
      </c>
      <c r="G1806" s="79" t="s">
        <v>3025</v>
      </c>
      <c r="H1806" s="79"/>
      <c r="I1806" s="80" t="s">
        <v>134</v>
      </c>
      <c r="J1806" s="583">
        <v>1</v>
      </c>
      <c r="K1806" s="583">
        <v>0</v>
      </c>
      <c r="L1806" s="92">
        <v>99.75</v>
      </c>
      <c r="M1806" s="92">
        <v>99.75</v>
      </c>
      <c r="N1806" s="573"/>
      <c r="O1806" s="556"/>
      <c r="P1806" s="573"/>
      <c r="Q1806" s="556"/>
      <c r="R1806" s="582"/>
    </row>
    <row r="1807" ht="25.5" spans="1:18">
      <c r="A1807" s="556"/>
      <c r="B1807" s="557"/>
      <c r="C1807" s="108"/>
      <c r="D1807" s="108"/>
      <c r="E1807" s="108"/>
      <c r="F1807" s="108"/>
      <c r="G1807" s="108"/>
      <c r="H1807" s="108" t="s">
        <v>2898</v>
      </c>
      <c r="I1807" s="581">
        <v>51.68</v>
      </c>
      <c r="J1807" s="108" t="s">
        <v>2899</v>
      </c>
      <c r="K1807" s="581">
        <v>0</v>
      </c>
      <c r="L1807" s="108" t="s">
        <v>2900</v>
      </c>
      <c r="M1807" s="581">
        <v>51.68</v>
      </c>
      <c r="N1807" s="573"/>
      <c r="O1807" s="556"/>
      <c r="P1807" s="573"/>
      <c r="Q1807" s="556"/>
      <c r="R1807" s="582"/>
    </row>
    <row r="1808" ht="26.25" spans="1:18">
      <c r="A1808" s="556"/>
      <c r="B1808" s="557">
        <f>C1807</f>
        <v>0</v>
      </c>
      <c r="C1808" s="108"/>
      <c r="D1808" s="108"/>
      <c r="E1808" s="108"/>
      <c r="F1808" s="108"/>
      <c r="G1808" s="108"/>
      <c r="H1808" s="108" t="s">
        <v>2901</v>
      </c>
      <c r="I1808" s="581">
        <v>253.56</v>
      </c>
      <c r="J1808" s="114"/>
      <c r="K1808" s="114" t="s">
        <v>2902</v>
      </c>
      <c r="L1808" s="108"/>
      <c r="M1808" s="581">
        <v>1248.32</v>
      </c>
      <c r="N1808" s="573">
        <v>180.14</v>
      </c>
      <c r="O1808" s="556" t="str">
        <f>IF(N1808=M1808,"OK","DIF")</f>
        <v>DIF</v>
      </c>
      <c r="P1808" s="573"/>
      <c r="Q1808" s="556"/>
      <c r="R1808" s="582"/>
    </row>
    <row r="1809" ht="15" spans="1:18">
      <c r="A1809" s="556">
        <f>B1809</f>
        <v>0</v>
      </c>
      <c r="B1809" s="557">
        <f>B1808</f>
        <v>0</v>
      </c>
      <c r="C1809" s="571"/>
      <c r="D1809" s="571"/>
      <c r="E1809" s="571"/>
      <c r="F1809" s="571"/>
      <c r="G1809" s="571"/>
      <c r="H1809" s="571"/>
      <c r="I1809" s="571"/>
      <c r="J1809" s="571"/>
      <c r="K1809" s="571"/>
      <c r="L1809" s="571"/>
      <c r="M1809" s="571"/>
      <c r="N1809" s="573">
        <v>6.76</v>
      </c>
      <c r="O1809" s="556" t="str">
        <f>IF(N1809=M1809,"OK","DIF")</f>
        <v>DIF</v>
      </c>
      <c r="P1809" s="573"/>
      <c r="Q1809" s="556"/>
      <c r="R1809" s="582"/>
    </row>
    <row r="1810" ht="15" customHeight="1" spans="1:18">
      <c r="A1810" s="556">
        <f>B1810</f>
        <v>0</v>
      </c>
      <c r="B1810" s="557">
        <f>B1809</f>
        <v>0</v>
      </c>
      <c r="C1810" s="76" t="s">
        <v>627</v>
      </c>
      <c r="D1810" s="75" t="s">
        <v>63</v>
      </c>
      <c r="E1810" s="76" t="s">
        <v>64</v>
      </c>
      <c r="F1810" s="76" t="s">
        <v>65</v>
      </c>
      <c r="G1810" s="76" t="s">
        <v>2889</v>
      </c>
      <c r="H1810" s="76"/>
      <c r="I1810" s="77" t="s">
        <v>66</v>
      </c>
      <c r="J1810" s="75" t="s">
        <v>67</v>
      </c>
      <c r="K1810" s="75" t="s">
        <v>2890</v>
      </c>
      <c r="L1810" s="75" t="s">
        <v>68</v>
      </c>
      <c r="M1810" s="75" t="s">
        <v>70</v>
      </c>
      <c r="N1810" s="573">
        <v>8.35</v>
      </c>
      <c r="O1810" s="556" t="str">
        <f>IF(N1810=M1810,"OK","DIF")</f>
        <v>DIF</v>
      </c>
      <c r="P1810" s="573"/>
      <c r="Q1810" s="556"/>
      <c r="R1810" s="582"/>
    </row>
    <row r="1811" ht="68.65" customHeight="1" spans="1:18">
      <c r="A1811" s="556">
        <f>B1811</f>
        <v>0</v>
      </c>
      <c r="B1811" s="557">
        <f>B1810</f>
        <v>0</v>
      </c>
      <c r="C1811" s="569" t="s">
        <v>2891</v>
      </c>
      <c r="D1811" s="570" t="s">
        <v>628</v>
      </c>
      <c r="E1811" s="569" t="s">
        <v>132</v>
      </c>
      <c r="F1811" s="569" t="s">
        <v>629</v>
      </c>
      <c r="G1811" s="569" t="s">
        <v>3505</v>
      </c>
      <c r="H1811" s="569"/>
      <c r="I1811" s="577" t="s">
        <v>134</v>
      </c>
      <c r="J1811" s="578">
        <v>1</v>
      </c>
      <c r="K1811" s="579"/>
      <c r="L1811" s="579">
        <v>1441.92</v>
      </c>
      <c r="M1811" s="579">
        <v>1441.92</v>
      </c>
      <c r="N1811" s="573">
        <v>0.05</v>
      </c>
      <c r="O1811" s="556" t="str">
        <f>IF(N1811=M1811,"OK","DIF")</f>
        <v>DIF</v>
      </c>
      <c r="P1811" s="573"/>
      <c r="Q1811" s="556"/>
      <c r="R1811" s="582"/>
    </row>
    <row r="1812" ht="35.05" customHeight="1" spans="1:18">
      <c r="A1812" s="556">
        <f>B1812</f>
        <v>0</v>
      </c>
      <c r="B1812" s="557">
        <f>B1811</f>
        <v>0</v>
      </c>
      <c r="C1812" s="79" t="s">
        <v>2921</v>
      </c>
      <c r="D1812" s="78" t="s">
        <v>703</v>
      </c>
      <c r="E1812" s="79" t="s">
        <v>139</v>
      </c>
      <c r="F1812" s="79" t="s">
        <v>704</v>
      </c>
      <c r="G1812" s="79" t="s">
        <v>3025</v>
      </c>
      <c r="H1812" s="79"/>
      <c r="I1812" s="80" t="s">
        <v>134</v>
      </c>
      <c r="J1812" s="583">
        <v>1</v>
      </c>
      <c r="K1812" s="583">
        <v>0</v>
      </c>
      <c r="L1812" s="92">
        <v>193.94</v>
      </c>
      <c r="M1812" s="92">
        <v>193.94</v>
      </c>
      <c r="N1812" s="573">
        <v>164.98</v>
      </c>
      <c r="O1812" s="556" t="str">
        <f>IF(N1812=M1812,"OK","DIF")</f>
        <v>DIF</v>
      </c>
      <c r="P1812" s="573"/>
      <c r="Q1812" s="556"/>
      <c r="R1812" s="582"/>
    </row>
    <row r="1813" ht="46.25" customHeight="1" spans="1:18">
      <c r="A1813" s="556"/>
      <c r="B1813" s="557"/>
      <c r="C1813" s="79" t="s">
        <v>2921</v>
      </c>
      <c r="D1813" s="78" t="s">
        <v>3510</v>
      </c>
      <c r="E1813" s="79" t="s">
        <v>139</v>
      </c>
      <c r="F1813" s="79" t="s">
        <v>3511</v>
      </c>
      <c r="G1813" s="79" t="s">
        <v>3025</v>
      </c>
      <c r="H1813" s="79"/>
      <c r="I1813" s="80" t="s">
        <v>134</v>
      </c>
      <c r="J1813" s="583">
        <v>1</v>
      </c>
      <c r="K1813" s="583">
        <v>0</v>
      </c>
      <c r="L1813" s="92">
        <v>1080.14</v>
      </c>
      <c r="M1813" s="92">
        <v>1080.14</v>
      </c>
      <c r="N1813" s="573"/>
      <c r="O1813" s="556"/>
      <c r="P1813" s="573"/>
      <c r="Q1813" s="556"/>
      <c r="R1813" s="582"/>
    </row>
    <row r="1814" ht="23.85" customHeight="1" spans="1:18">
      <c r="A1814" s="556"/>
      <c r="B1814" s="557"/>
      <c r="C1814" s="79" t="s">
        <v>2921</v>
      </c>
      <c r="D1814" s="78" t="s">
        <v>3512</v>
      </c>
      <c r="E1814" s="79" t="s">
        <v>139</v>
      </c>
      <c r="F1814" s="79" t="s">
        <v>3513</v>
      </c>
      <c r="G1814" s="79" t="s">
        <v>3025</v>
      </c>
      <c r="H1814" s="79"/>
      <c r="I1814" s="80" t="s">
        <v>134</v>
      </c>
      <c r="J1814" s="583">
        <v>0.4705</v>
      </c>
      <c r="K1814" s="583">
        <v>0</v>
      </c>
      <c r="L1814" s="92">
        <v>242.98</v>
      </c>
      <c r="M1814" s="92">
        <v>114.32</v>
      </c>
      <c r="N1814" s="573"/>
      <c r="O1814" s="556"/>
      <c r="P1814" s="573"/>
      <c r="Q1814" s="556"/>
      <c r="R1814" s="582"/>
    </row>
    <row r="1815" ht="23.85" customHeight="1" spans="1:18">
      <c r="A1815" s="556"/>
      <c r="B1815" s="557" t="str">
        <f>C1814</f>
        <v>Composição Auxiliar</v>
      </c>
      <c r="C1815" s="79" t="s">
        <v>2921</v>
      </c>
      <c r="D1815" s="78" t="s">
        <v>181</v>
      </c>
      <c r="E1815" s="79" t="s">
        <v>139</v>
      </c>
      <c r="F1815" s="79" t="s">
        <v>182</v>
      </c>
      <c r="G1815" s="79" t="s">
        <v>3055</v>
      </c>
      <c r="H1815" s="79"/>
      <c r="I1815" s="80" t="s">
        <v>141</v>
      </c>
      <c r="J1815" s="583">
        <v>0.264</v>
      </c>
      <c r="K1815" s="583">
        <v>0</v>
      </c>
      <c r="L1815" s="92">
        <v>202.75</v>
      </c>
      <c r="M1815" s="92">
        <v>53.52</v>
      </c>
      <c r="N1815" s="573">
        <v>242.63</v>
      </c>
      <c r="O1815" s="556" t="str">
        <f>IF(N1815=M1815,"OK","DIF")</f>
        <v>DIF</v>
      </c>
      <c r="P1815" s="573"/>
      <c r="Q1815" s="556"/>
      <c r="R1815" s="582"/>
    </row>
    <row r="1816" ht="25.5" spans="1:18">
      <c r="A1816" s="556" t="str">
        <f>B1816</f>
        <v>Composição Auxiliar</v>
      </c>
      <c r="B1816" s="557" t="str">
        <f>B1815</f>
        <v>Composição Auxiliar</v>
      </c>
      <c r="C1816" s="108"/>
      <c r="D1816" s="108"/>
      <c r="E1816" s="108"/>
      <c r="F1816" s="108"/>
      <c r="G1816" s="108"/>
      <c r="H1816" s="108" t="s">
        <v>2898</v>
      </c>
      <c r="I1816" s="581">
        <v>99.87</v>
      </c>
      <c r="J1816" s="108" t="s">
        <v>2899</v>
      </c>
      <c r="K1816" s="581">
        <v>0</v>
      </c>
      <c r="L1816" s="108" t="s">
        <v>2900</v>
      </c>
      <c r="M1816" s="581">
        <v>99.87</v>
      </c>
      <c r="N1816" s="573">
        <v>8.35</v>
      </c>
      <c r="O1816" s="556" t="str">
        <f>IF(N1816=M1816,"OK","DIF")</f>
        <v>DIF</v>
      </c>
      <c r="P1816" s="573"/>
      <c r="Q1816" s="556"/>
      <c r="R1816" s="582"/>
    </row>
    <row r="1817" ht="26.25" spans="1:18">
      <c r="A1817" s="556" t="str">
        <f>B1817</f>
        <v>Composição Auxiliar</v>
      </c>
      <c r="B1817" s="557" t="str">
        <f>B1816</f>
        <v>Composição Auxiliar</v>
      </c>
      <c r="C1817" s="108"/>
      <c r="D1817" s="108"/>
      <c r="E1817" s="108"/>
      <c r="F1817" s="108"/>
      <c r="G1817" s="108"/>
      <c r="H1817" s="108" t="s">
        <v>2901</v>
      </c>
      <c r="I1817" s="581">
        <v>367.54</v>
      </c>
      <c r="J1817" s="114"/>
      <c r="K1817" s="114" t="s">
        <v>2902</v>
      </c>
      <c r="L1817" s="108"/>
      <c r="M1817" s="581">
        <v>1809.46</v>
      </c>
      <c r="N1817" s="573">
        <v>6.76</v>
      </c>
      <c r="O1817" s="556" t="str">
        <f>IF(N1817=M1817,"OK","DIF")</f>
        <v>DIF</v>
      </c>
      <c r="P1817" s="573"/>
      <c r="Q1817" s="556"/>
      <c r="R1817" s="582"/>
    </row>
    <row r="1818" ht="15" spans="1:18">
      <c r="A1818" s="556" t="str">
        <f>B1818</f>
        <v>Composição Auxiliar</v>
      </c>
      <c r="B1818" s="557" t="str">
        <f>B1817</f>
        <v>Composição Auxiliar</v>
      </c>
      <c r="C1818" s="571"/>
      <c r="D1818" s="571"/>
      <c r="E1818" s="571"/>
      <c r="F1818" s="571"/>
      <c r="G1818" s="571"/>
      <c r="H1818" s="571"/>
      <c r="I1818" s="571"/>
      <c r="J1818" s="571"/>
      <c r="K1818" s="571"/>
      <c r="L1818" s="571"/>
      <c r="M1818" s="571"/>
      <c r="N1818" s="573">
        <v>0.05</v>
      </c>
      <c r="O1818" s="556" t="str">
        <f>IF(N1818=M1818,"OK","DIF")</f>
        <v>DIF</v>
      </c>
      <c r="P1818" s="573"/>
      <c r="Q1818" s="556"/>
      <c r="R1818" s="582"/>
    </row>
    <row r="1819" ht="15" customHeight="1" spans="1:18">
      <c r="A1819" s="556" t="str">
        <f>B1819</f>
        <v>Composição Auxiliar</v>
      </c>
      <c r="B1819" s="557" t="str">
        <f>B1818</f>
        <v>Composição Auxiliar</v>
      </c>
      <c r="C1819" s="76" t="s">
        <v>630</v>
      </c>
      <c r="D1819" s="75" t="s">
        <v>63</v>
      </c>
      <c r="E1819" s="76" t="s">
        <v>64</v>
      </c>
      <c r="F1819" s="76" t="s">
        <v>65</v>
      </c>
      <c r="G1819" s="76" t="s">
        <v>2889</v>
      </c>
      <c r="H1819" s="76"/>
      <c r="I1819" s="77" t="s">
        <v>66</v>
      </c>
      <c r="J1819" s="75" t="s">
        <v>67</v>
      </c>
      <c r="K1819" s="75" t="s">
        <v>2890</v>
      </c>
      <c r="L1819" s="75" t="s">
        <v>68</v>
      </c>
      <c r="M1819" s="75" t="s">
        <v>70</v>
      </c>
      <c r="N1819" s="573">
        <v>227.47</v>
      </c>
      <c r="O1819" s="556" t="str">
        <f>IF(N1819=M1819,"OK","DIF")</f>
        <v>DIF</v>
      </c>
      <c r="P1819" s="573"/>
      <c r="Q1819" s="556"/>
      <c r="R1819" s="582"/>
    </row>
    <row r="1820" ht="57.45" customHeight="1" spans="1:18">
      <c r="A1820" s="556"/>
      <c r="B1820" s="557"/>
      <c r="C1820" s="569" t="s">
        <v>2891</v>
      </c>
      <c r="D1820" s="570" t="s">
        <v>631</v>
      </c>
      <c r="E1820" s="569" t="s">
        <v>132</v>
      </c>
      <c r="F1820" s="569" t="s">
        <v>632</v>
      </c>
      <c r="G1820" s="569" t="s">
        <v>3505</v>
      </c>
      <c r="H1820" s="569"/>
      <c r="I1820" s="577" t="s">
        <v>134</v>
      </c>
      <c r="J1820" s="578">
        <v>1</v>
      </c>
      <c r="K1820" s="579"/>
      <c r="L1820" s="579">
        <v>1274.08</v>
      </c>
      <c r="M1820" s="579">
        <v>1274.08</v>
      </c>
      <c r="N1820" s="573"/>
      <c r="O1820" s="556"/>
      <c r="P1820" s="573"/>
      <c r="Q1820" s="556"/>
      <c r="R1820" s="582"/>
    </row>
    <row r="1821" ht="46.25" customHeight="1" spans="1:18">
      <c r="A1821" s="556"/>
      <c r="B1821" s="557"/>
      <c r="C1821" s="79" t="s">
        <v>2921</v>
      </c>
      <c r="D1821" s="78" t="s">
        <v>3510</v>
      </c>
      <c r="E1821" s="79" t="s">
        <v>139</v>
      </c>
      <c r="F1821" s="79" t="s">
        <v>3511</v>
      </c>
      <c r="G1821" s="79" t="s">
        <v>3025</v>
      </c>
      <c r="H1821" s="79"/>
      <c r="I1821" s="80" t="s">
        <v>134</v>
      </c>
      <c r="J1821" s="583">
        <v>1</v>
      </c>
      <c r="K1821" s="583">
        <v>0</v>
      </c>
      <c r="L1821" s="92">
        <v>1080.14</v>
      </c>
      <c r="M1821" s="92">
        <v>1080.14</v>
      </c>
      <c r="N1821" s="573"/>
      <c r="O1821" s="556"/>
      <c r="P1821" s="573"/>
      <c r="Q1821" s="556"/>
      <c r="R1821" s="582"/>
    </row>
    <row r="1822" ht="35.05" customHeight="1" spans="1:18">
      <c r="A1822" s="556"/>
      <c r="B1822" s="557" t="str">
        <f>C1821</f>
        <v>Composição Auxiliar</v>
      </c>
      <c r="C1822" s="79" t="s">
        <v>2921</v>
      </c>
      <c r="D1822" s="78" t="s">
        <v>703</v>
      </c>
      <c r="E1822" s="79" t="s">
        <v>139</v>
      </c>
      <c r="F1822" s="79" t="s">
        <v>704</v>
      </c>
      <c r="G1822" s="79" t="s">
        <v>3025</v>
      </c>
      <c r="H1822" s="79"/>
      <c r="I1822" s="80" t="s">
        <v>134</v>
      </c>
      <c r="J1822" s="583">
        <v>1</v>
      </c>
      <c r="K1822" s="583">
        <v>0</v>
      </c>
      <c r="L1822" s="92">
        <v>193.94</v>
      </c>
      <c r="M1822" s="92">
        <v>193.94</v>
      </c>
      <c r="N1822" s="573">
        <v>2165.01</v>
      </c>
      <c r="O1822" s="556" t="str">
        <f>IF(N1822=M1822,"OK","DIF")</f>
        <v>DIF</v>
      </c>
      <c r="P1822" s="573"/>
      <c r="Q1822" s="556"/>
      <c r="R1822" s="582"/>
    </row>
    <row r="1823" ht="25.5" spans="1:18">
      <c r="A1823" s="556" t="str">
        <f>B1823</f>
        <v>Composição Auxiliar</v>
      </c>
      <c r="B1823" s="557" t="str">
        <f>B1822</f>
        <v>Composição Auxiliar</v>
      </c>
      <c r="C1823" s="108"/>
      <c r="D1823" s="108"/>
      <c r="E1823" s="108"/>
      <c r="F1823" s="108"/>
      <c r="G1823" s="108"/>
      <c r="H1823" s="108" t="s">
        <v>2898</v>
      </c>
      <c r="I1823" s="581">
        <v>52.26</v>
      </c>
      <c r="J1823" s="108" t="s">
        <v>2899</v>
      </c>
      <c r="K1823" s="581">
        <v>0</v>
      </c>
      <c r="L1823" s="108" t="s">
        <v>2900</v>
      </c>
      <c r="M1823" s="581">
        <v>52.26</v>
      </c>
      <c r="N1823" s="573">
        <v>2165.01</v>
      </c>
      <c r="O1823" s="556" t="str">
        <f>IF(N1823=M1823,"OK","DIF")</f>
        <v>DIF</v>
      </c>
      <c r="P1823" s="573"/>
      <c r="Q1823" s="556"/>
      <c r="R1823" s="582"/>
    </row>
    <row r="1824" ht="26.25" spans="1:18">
      <c r="A1824" s="556"/>
      <c r="B1824" s="557"/>
      <c r="C1824" s="108"/>
      <c r="D1824" s="108"/>
      <c r="E1824" s="108"/>
      <c r="F1824" s="108"/>
      <c r="G1824" s="108"/>
      <c r="H1824" s="108" t="s">
        <v>2901</v>
      </c>
      <c r="I1824" s="581">
        <v>324.76</v>
      </c>
      <c r="J1824" s="114"/>
      <c r="K1824" s="114" t="s">
        <v>2902</v>
      </c>
      <c r="L1824" s="108"/>
      <c r="M1824" s="581">
        <v>1598.84</v>
      </c>
      <c r="N1824" s="573"/>
      <c r="O1824" s="556"/>
      <c r="P1824" s="573"/>
      <c r="Q1824" s="556"/>
      <c r="R1824" s="582"/>
    </row>
    <row r="1825" ht="15" spans="1:18">
      <c r="A1825" s="556"/>
      <c r="B1825" s="557"/>
      <c r="C1825" s="571"/>
      <c r="D1825" s="571"/>
      <c r="E1825" s="571"/>
      <c r="F1825" s="571"/>
      <c r="G1825" s="571"/>
      <c r="H1825" s="571"/>
      <c r="I1825" s="571"/>
      <c r="J1825" s="571"/>
      <c r="K1825" s="571"/>
      <c r="L1825" s="571"/>
      <c r="M1825" s="571"/>
      <c r="N1825" s="573"/>
      <c r="O1825" s="556"/>
      <c r="P1825" s="573"/>
      <c r="Q1825" s="556"/>
      <c r="R1825" s="582"/>
    </row>
    <row r="1826" ht="15" customHeight="1" spans="1:18">
      <c r="A1826" s="556"/>
      <c r="B1826" s="557">
        <f>C1825</f>
        <v>0</v>
      </c>
      <c r="C1826" s="76" t="s">
        <v>633</v>
      </c>
      <c r="D1826" s="75" t="s">
        <v>63</v>
      </c>
      <c r="E1826" s="76" t="s">
        <v>64</v>
      </c>
      <c r="F1826" s="76" t="s">
        <v>65</v>
      </c>
      <c r="G1826" s="76" t="s">
        <v>2889</v>
      </c>
      <c r="H1826" s="76"/>
      <c r="I1826" s="77" t="s">
        <v>66</v>
      </c>
      <c r="J1826" s="75" t="s">
        <v>67</v>
      </c>
      <c r="K1826" s="75" t="s">
        <v>2890</v>
      </c>
      <c r="L1826" s="75" t="s">
        <v>68</v>
      </c>
      <c r="M1826" s="75" t="s">
        <v>70</v>
      </c>
      <c r="N1826" s="573">
        <v>2007.04</v>
      </c>
      <c r="O1826" s="556" t="str">
        <f t="shared" ref="O1826:O1834" si="205">IF(N1826=M1826,"OK","DIF")</f>
        <v>DIF</v>
      </c>
      <c r="P1826" s="573"/>
      <c r="Q1826" s="556"/>
      <c r="R1826" s="582"/>
    </row>
    <row r="1827" ht="68.65" customHeight="1" spans="1:18">
      <c r="A1827" s="556">
        <f t="shared" ref="A1827:A1834" si="206">B1827</f>
        <v>0</v>
      </c>
      <c r="B1827" s="557">
        <f t="shared" ref="B1827:B1834" si="207">B1826</f>
        <v>0</v>
      </c>
      <c r="C1827" s="569" t="s">
        <v>2891</v>
      </c>
      <c r="D1827" s="570" t="s">
        <v>634</v>
      </c>
      <c r="E1827" s="569" t="s">
        <v>132</v>
      </c>
      <c r="F1827" s="569" t="s">
        <v>635</v>
      </c>
      <c r="G1827" s="569" t="s">
        <v>3505</v>
      </c>
      <c r="H1827" s="569"/>
      <c r="I1827" s="577" t="s">
        <v>134</v>
      </c>
      <c r="J1827" s="578">
        <v>1</v>
      </c>
      <c r="K1827" s="579"/>
      <c r="L1827" s="579">
        <v>1786.23</v>
      </c>
      <c r="M1827" s="579">
        <v>1786.23</v>
      </c>
      <c r="N1827" s="573">
        <v>20.93</v>
      </c>
      <c r="O1827" s="556" t="str">
        <f t="shared" si="205"/>
        <v>DIF</v>
      </c>
      <c r="P1827" s="573"/>
      <c r="Q1827" s="556"/>
      <c r="R1827" s="582"/>
    </row>
    <row r="1828" ht="35.05" customHeight="1" spans="1:18">
      <c r="A1828" s="556">
        <f t="shared" si="206"/>
        <v>0</v>
      </c>
      <c r="B1828" s="557">
        <f t="shared" si="207"/>
        <v>0</v>
      </c>
      <c r="C1828" s="79" t="s">
        <v>2921</v>
      </c>
      <c r="D1828" s="78" t="s">
        <v>3514</v>
      </c>
      <c r="E1828" s="79" t="s">
        <v>132</v>
      </c>
      <c r="F1828" s="79" t="s">
        <v>3515</v>
      </c>
      <c r="G1828" s="79" t="s">
        <v>3505</v>
      </c>
      <c r="H1828" s="79"/>
      <c r="I1828" s="80" t="s">
        <v>134</v>
      </c>
      <c r="J1828" s="583">
        <v>1</v>
      </c>
      <c r="K1828" s="583">
        <v>0</v>
      </c>
      <c r="L1828" s="92">
        <v>56.38</v>
      </c>
      <c r="M1828" s="92">
        <v>56.38</v>
      </c>
      <c r="N1828" s="573">
        <v>73.76</v>
      </c>
      <c r="O1828" s="556" t="str">
        <f t="shared" si="205"/>
        <v>DIF</v>
      </c>
      <c r="P1828" s="573"/>
      <c r="Q1828" s="556"/>
      <c r="R1828" s="582"/>
    </row>
    <row r="1829" ht="35.05" customHeight="1" spans="1:18">
      <c r="A1829" s="556">
        <f t="shared" si="206"/>
        <v>0</v>
      </c>
      <c r="B1829" s="557">
        <f t="shared" si="207"/>
        <v>0</v>
      </c>
      <c r="C1829" s="79" t="s">
        <v>2921</v>
      </c>
      <c r="D1829" s="78" t="s">
        <v>703</v>
      </c>
      <c r="E1829" s="79" t="s">
        <v>139</v>
      </c>
      <c r="F1829" s="79" t="s">
        <v>704</v>
      </c>
      <c r="G1829" s="79" t="s">
        <v>3025</v>
      </c>
      <c r="H1829" s="79"/>
      <c r="I1829" s="80" t="s">
        <v>134</v>
      </c>
      <c r="J1829" s="583">
        <v>1</v>
      </c>
      <c r="K1829" s="583">
        <v>0</v>
      </c>
      <c r="L1829" s="92">
        <v>193.94</v>
      </c>
      <c r="M1829" s="92">
        <v>193.94</v>
      </c>
      <c r="N1829" s="573">
        <v>59.73</v>
      </c>
      <c r="O1829" s="556" t="str">
        <f t="shared" si="205"/>
        <v>DIF</v>
      </c>
      <c r="P1829" s="573"/>
      <c r="Q1829" s="556"/>
      <c r="R1829" s="582"/>
    </row>
    <row r="1830" ht="23.85" customHeight="1" spans="1:18">
      <c r="A1830" s="556">
        <f t="shared" si="206"/>
        <v>0</v>
      </c>
      <c r="B1830" s="557">
        <f t="shared" si="207"/>
        <v>0</v>
      </c>
      <c r="C1830" s="79" t="s">
        <v>2921</v>
      </c>
      <c r="D1830" s="78" t="s">
        <v>181</v>
      </c>
      <c r="E1830" s="79" t="s">
        <v>139</v>
      </c>
      <c r="F1830" s="79" t="s">
        <v>182</v>
      </c>
      <c r="G1830" s="79" t="s">
        <v>3055</v>
      </c>
      <c r="H1830" s="79"/>
      <c r="I1830" s="80" t="s">
        <v>141</v>
      </c>
      <c r="J1830" s="583">
        <v>0.264</v>
      </c>
      <c r="K1830" s="583">
        <v>0</v>
      </c>
      <c r="L1830" s="92">
        <v>202.75</v>
      </c>
      <c r="M1830" s="92">
        <v>53.52</v>
      </c>
      <c r="N1830" s="573">
        <v>17.28</v>
      </c>
      <c r="O1830" s="556" t="str">
        <f t="shared" si="205"/>
        <v>DIF</v>
      </c>
      <c r="P1830" s="573"/>
      <c r="Q1830" s="556"/>
      <c r="R1830" s="582"/>
    </row>
    <row r="1831" ht="46.25" customHeight="1" spans="1:18">
      <c r="A1831" s="556">
        <f t="shared" si="206"/>
        <v>0</v>
      </c>
      <c r="B1831" s="557">
        <f t="shared" si="207"/>
        <v>0</v>
      </c>
      <c r="C1831" s="79" t="s">
        <v>2921</v>
      </c>
      <c r="D1831" s="78" t="s">
        <v>3510</v>
      </c>
      <c r="E1831" s="79" t="s">
        <v>139</v>
      </c>
      <c r="F1831" s="79" t="s">
        <v>3511</v>
      </c>
      <c r="G1831" s="79" t="s">
        <v>3025</v>
      </c>
      <c r="H1831" s="79"/>
      <c r="I1831" s="80" t="s">
        <v>134</v>
      </c>
      <c r="J1831" s="583">
        <v>1</v>
      </c>
      <c r="K1831" s="583">
        <v>0</v>
      </c>
      <c r="L1831" s="92">
        <v>1080.14</v>
      </c>
      <c r="M1831" s="92">
        <v>1080.14</v>
      </c>
      <c r="N1831" s="573">
        <v>1826.82</v>
      </c>
      <c r="O1831" s="556" t="str">
        <f t="shared" si="205"/>
        <v>DIF</v>
      </c>
      <c r="P1831" s="573"/>
      <c r="Q1831" s="556"/>
      <c r="R1831" s="582"/>
    </row>
    <row r="1832" ht="23.85" customHeight="1" spans="1:18">
      <c r="A1832" s="556">
        <f t="shared" si="206"/>
        <v>0</v>
      </c>
      <c r="B1832" s="557">
        <f t="shared" si="207"/>
        <v>0</v>
      </c>
      <c r="C1832" s="79" t="s">
        <v>2921</v>
      </c>
      <c r="D1832" s="78" t="s">
        <v>3512</v>
      </c>
      <c r="E1832" s="79" t="s">
        <v>139</v>
      </c>
      <c r="F1832" s="79" t="s">
        <v>3513</v>
      </c>
      <c r="G1832" s="79" t="s">
        <v>3025</v>
      </c>
      <c r="H1832" s="79"/>
      <c r="I1832" s="80" t="s">
        <v>134</v>
      </c>
      <c r="J1832" s="583">
        <v>0.4705</v>
      </c>
      <c r="K1832" s="583">
        <v>0</v>
      </c>
      <c r="L1832" s="92">
        <v>242.98</v>
      </c>
      <c r="M1832" s="92">
        <v>114.32</v>
      </c>
      <c r="N1832" s="573">
        <v>6.16</v>
      </c>
      <c r="O1832" s="556" t="str">
        <f t="shared" si="205"/>
        <v>DIF</v>
      </c>
      <c r="P1832" s="573"/>
      <c r="Q1832" s="556"/>
      <c r="R1832" s="582"/>
    </row>
    <row r="1833" ht="23.85" customHeight="1" spans="1:18">
      <c r="A1833" s="556">
        <f t="shared" si="206"/>
        <v>0</v>
      </c>
      <c r="B1833" s="557">
        <f t="shared" si="207"/>
        <v>0</v>
      </c>
      <c r="C1833" s="79" t="s">
        <v>2921</v>
      </c>
      <c r="D1833" s="78" t="s">
        <v>947</v>
      </c>
      <c r="E1833" s="79" t="s">
        <v>139</v>
      </c>
      <c r="F1833" s="79" t="s">
        <v>948</v>
      </c>
      <c r="G1833" s="79" t="s">
        <v>3516</v>
      </c>
      <c r="H1833" s="79"/>
      <c r="I1833" s="80" t="s">
        <v>134</v>
      </c>
      <c r="J1833" s="583">
        <v>1</v>
      </c>
      <c r="K1833" s="583">
        <v>0</v>
      </c>
      <c r="L1833" s="92">
        <v>287.93</v>
      </c>
      <c r="M1833" s="92">
        <v>287.93</v>
      </c>
      <c r="N1833" s="573">
        <v>0.68</v>
      </c>
      <c r="O1833" s="556" t="str">
        <f t="shared" si="205"/>
        <v>DIF</v>
      </c>
      <c r="P1833" s="573"/>
      <c r="Q1833" s="556"/>
      <c r="R1833" s="582"/>
    </row>
    <row r="1834" ht="25.5" spans="1:18">
      <c r="A1834" s="556">
        <f t="shared" si="206"/>
        <v>0</v>
      </c>
      <c r="B1834" s="557">
        <f t="shared" si="207"/>
        <v>0</v>
      </c>
      <c r="C1834" s="108"/>
      <c r="D1834" s="108"/>
      <c r="E1834" s="108"/>
      <c r="F1834" s="108"/>
      <c r="G1834" s="108"/>
      <c r="H1834" s="108" t="s">
        <v>2898</v>
      </c>
      <c r="I1834" s="581">
        <v>155.93</v>
      </c>
      <c r="J1834" s="108" t="s">
        <v>2899</v>
      </c>
      <c r="K1834" s="581">
        <v>0</v>
      </c>
      <c r="L1834" s="108" t="s">
        <v>2900</v>
      </c>
      <c r="M1834" s="581">
        <v>155.93</v>
      </c>
      <c r="N1834" s="573">
        <v>1.68</v>
      </c>
      <c r="O1834" s="556" t="str">
        <f t="shared" si="205"/>
        <v>DIF</v>
      </c>
      <c r="P1834" s="573"/>
      <c r="Q1834" s="556"/>
      <c r="R1834" s="582"/>
    </row>
    <row r="1835" ht="26.25" spans="1:18">
      <c r="A1835" s="556"/>
      <c r="B1835" s="557"/>
      <c r="C1835" s="108"/>
      <c r="D1835" s="108"/>
      <c r="E1835" s="108"/>
      <c r="F1835" s="108"/>
      <c r="G1835" s="108"/>
      <c r="H1835" s="108" t="s">
        <v>2901</v>
      </c>
      <c r="I1835" s="581">
        <v>455.31</v>
      </c>
      <c r="J1835" s="114"/>
      <c r="K1835" s="114" t="s">
        <v>2902</v>
      </c>
      <c r="L1835" s="108"/>
      <c r="M1835" s="581">
        <v>2241.54</v>
      </c>
      <c r="N1835" s="573"/>
      <c r="O1835" s="556"/>
      <c r="P1835" s="573"/>
      <c r="Q1835" s="556"/>
      <c r="R1835" s="582"/>
    </row>
    <row r="1836" ht="15" spans="1:18">
      <c r="A1836" s="556"/>
      <c r="B1836" s="557"/>
      <c r="C1836" s="571"/>
      <c r="D1836" s="571"/>
      <c r="E1836" s="571"/>
      <c r="F1836" s="571"/>
      <c r="G1836" s="571"/>
      <c r="H1836" s="571"/>
      <c r="I1836" s="571"/>
      <c r="J1836" s="571"/>
      <c r="K1836" s="571"/>
      <c r="L1836" s="571"/>
      <c r="M1836" s="571"/>
      <c r="N1836" s="573"/>
      <c r="O1836" s="556"/>
      <c r="P1836" s="573"/>
      <c r="Q1836" s="556"/>
      <c r="R1836" s="582"/>
    </row>
    <row r="1837" ht="15" customHeight="1" spans="1:18">
      <c r="A1837" s="556"/>
      <c r="B1837" s="557">
        <f>C1836</f>
        <v>0</v>
      </c>
      <c r="C1837" s="76" t="s">
        <v>636</v>
      </c>
      <c r="D1837" s="75" t="s">
        <v>63</v>
      </c>
      <c r="E1837" s="76" t="s">
        <v>64</v>
      </c>
      <c r="F1837" s="76" t="s">
        <v>65</v>
      </c>
      <c r="G1837" s="76" t="s">
        <v>2889</v>
      </c>
      <c r="H1837" s="76"/>
      <c r="I1837" s="77" t="s">
        <v>66</v>
      </c>
      <c r="J1837" s="75" t="s">
        <v>67</v>
      </c>
      <c r="K1837" s="75" t="s">
        <v>2890</v>
      </c>
      <c r="L1837" s="75" t="s">
        <v>68</v>
      </c>
      <c r="M1837" s="75" t="s">
        <v>70</v>
      </c>
      <c r="N1837" s="573">
        <v>48266</v>
      </c>
      <c r="O1837" s="556" t="str">
        <f>IF(N1837=M1837,"OK","DIF")</f>
        <v>DIF</v>
      </c>
      <c r="P1837" s="573"/>
      <c r="Q1837" s="556"/>
      <c r="R1837" s="582"/>
    </row>
    <row r="1838" ht="35.05" customHeight="1" spans="1:18">
      <c r="A1838" s="556">
        <f>B1838</f>
        <v>0</v>
      </c>
      <c r="B1838" s="557">
        <f>B1837</f>
        <v>0</v>
      </c>
      <c r="C1838" s="569" t="s">
        <v>2891</v>
      </c>
      <c r="D1838" s="570" t="s">
        <v>637</v>
      </c>
      <c r="E1838" s="569" t="s">
        <v>132</v>
      </c>
      <c r="F1838" s="569" t="s">
        <v>638</v>
      </c>
      <c r="G1838" s="569" t="s">
        <v>3505</v>
      </c>
      <c r="H1838" s="569"/>
      <c r="I1838" s="577" t="s">
        <v>134</v>
      </c>
      <c r="J1838" s="578">
        <v>1</v>
      </c>
      <c r="K1838" s="579"/>
      <c r="L1838" s="579">
        <v>3181.52</v>
      </c>
      <c r="M1838" s="579">
        <v>3181.52</v>
      </c>
      <c r="N1838" s="573">
        <v>4176</v>
      </c>
      <c r="O1838" s="556" t="str">
        <f>IF(N1838=M1838,"OK","DIF")</f>
        <v>DIF</v>
      </c>
      <c r="P1838" s="573"/>
      <c r="Q1838" s="556"/>
      <c r="R1838" s="582"/>
    </row>
    <row r="1839" ht="76.5" spans="1:18">
      <c r="A1839" s="556">
        <f>B1839</f>
        <v>0</v>
      </c>
      <c r="B1839" s="557">
        <f>B1838</f>
        <v>0</v>
      </c>
      <c r="C1839" s="79" t="s">
        <v>2921</v>
      </c>
      <c r="D1839" s="78" t="s">
        <v>3517</v>
      </c>
      <c r="E1839" s="79" t="s">
        <v>77</v>
      </c>
      <c r="F1839" s="79" t="s">
        <v>3518</v>
      </c>
      <c r="G1839" s="79">
        <v>14</v>
      </c>
      <c r="H1839" s="79"/>
      <c r="I1839" s="80" t="s">
        <v>134</v>
      </c>
      <c r="J1839" s="583">
        <v>1</v>
      </c>
      <c r="K1839" s="583">
        <v>0</v>
      </c>
      <c r="L1839" s="92">
        <v>51.48</v>
      </c>
      <c r="M1839" s="92">
        <v>51.48</v>
      </c>
      <c r="N1839" s="573">
        <v>43346</v>
      </c>
      <c r="O1839" s="556" t="str">
        <f>IF(N1839=M1839,"OK","DIF")</f>
        <v>DIF</v>
      </c>
      <c r="P1839" s="573"/>
      <c r="Q1839" s="556"/>
      <c r="R1839" s="582"/>
    </row>
    <row r="1840" ht="51" spans="1:18">
      <c r="A1840" s="556">
        <f>B1840</f>
        <v>0</v>
      </c>
      <c r="B1840" s="557">
        <f>B1839</f>
        <v>0</v>
      </c>
      <c r="C1840" s="79" t="s">
        <v>2921</v>
      </c>
      <c r="D1840" s="78" t="s">
        <v>3519</v>
      </c>
      <c r="E1840" s="79" t="s">
        <v>77</v>
      </c>
      <c r="F1840" s="79" t="s">
        <v>3520</v>
      </c>
      <c r="G1840" s="79">
        <v>14</v>
      </c>
      <c r="H1840" s="79"/>
      <c r="I1840" s="80" t="s">
        <v>141</v>
      </c>
      <c r="J1840" s="583">
        <v>2</v>
      </c>
      <c r="K1840" s="583">
        <v>0</v>
      </c>
      <c r="L1840" s="92">
        <v>1565.02</v>
      </c>
      <c r="M1840" s="92">
        <v>3130.04</v>
      </c>
      <c r="N1840" s="573">
        <v>744</v>
      </c>
      <c r="O1840" s="556" t="str">
        <f>IF(N1840=M1840,"OK","DIF")</f>
        <v>DIF</v>
      </c>
      <c r="P1840" s="573"/>
      <c r="Q1840" s="556"/>
      <c r="R1840" s="582"/>
    </row>
    <row r="1841" ht="25.5" spans="1:18">
      <c r="A1841" s="556"/>
      <c r="B1841" s="557"/>
      <c r="C1841" s="108"/>
      <c r="D1841" s="108"/>
      <c r="E1841" s="108"/>
      <c r="F1841" s="108"/>
      <c r="G1841" s="108"/>
      <c r="H1841" s="108" t="s">
        <v>2898</v>
      </c>
      <c r="I1841" s="581">
        <v>339.06</v>
      </c>
      <c r="J1841" s="108" t="s">
        <v>2899</v>
      </c>
      <c r="K1841" s="581">
        <v>0</v>
      </c>
      <c r="L1841" s="108" t="s">
        <v>2900</v>
      </c>
      <c r="M1841" s="581">
        <v>339.06</v>
      </c>
      <c r="N1841" s="573"/>
      <c r="O1841" s="556"/>
      <c r="P1841" s="573"/>
      <c r="Q1841" s="556"/>
      <c r="R1841" s="582"/>
    </row>
    <row r="1842" ht="26.25" spans="1:18">
      <c r="A1842" s="556"/>
      <c r="B1842" s="557"/>
      <c r="C1842" s="108"/>
      <c r="D1842" s="108"/>
      <c r="E1842" s="108"/>
      <c r="F1842" s="108"/>
      <c r="G1842" s="108"/>
      <c r="H1842" s="108" t="s">
        <v>2901</v>
      </c>
      <c r="I1842" s="581">
        <v>810.96</v>
      </c>
      <c r="J1842" s="114"/>
      <c r="K1842" s="114" t="s">
        <v>2902</v>
      </c>
      <c r="L1842" s="108"/>
      <c r="M1842" s="581">
        <v>3992.48</v>
      </c>
      <c r="N1842" s="573"/>
      <c r="O1842" s="556"/>
      <c r="P1842" s="573"/>
      <c r="Q1842" s="556"/>
      <c r="R1842" s="582"/>
    </row>
    <row r="1843" ht="15" spans="1:18">
      <c r="A1843" s="556"/>
      <c r="B1843" s="557">
        <f>C1842</f>
        <v>0</v>
      </c>
      <c r="C1843" s="571"/>
      <c r="D1843" s="571"/>
      <c r="E1843" s="571"/>
      <c r="F1843" s="571"/>
      <c r="G1843" s="571"/>
      <c r="H1843" s="571"/>
      <c r="I1843" s="571"/>
      <c r="J1843" s="571"/>
      <c r="K1843" s="571"/>
      <c r="L1843" s="571"/>
      <c r="M1843" s="571"/>
      <c r="N1843" s="573">
        <v>193.12</v>
      </c>
      <c r="O1843" s="556" t="str">
        <f t="shared" ref="O1843:O1853" si="208">IF(N1843=M1843,"OK","DIF")</f>
        <v>DIF</v>
      </c>
      <c r="P1843" s="573"/>
      <c r="Q1843" s="556"/>
      <c r="R1843" s="582"/>
    </row>
    <row r="1844" ht="15" customHeight="1" spans="1:18">
      <c r="A1844" s="556">
        <f t="shared" ref="A1844:A1853" si="209">B1844</f>
        <v>0</v>
      </c>
      <c r="B1844" s="557">
        <f t="shared" ref="B1844:B1853" si="210">B1843</f>
        <v>0</v>
      </c>
      <c r="C1844" s="76" t="s">
        <v>639</v>
      </c>
      <c r="D1844" s="75" t="s">
        <v>63</v>
      </c>
      <c r="E1844" s="76" t="s">
        <v>64</v>
      </c>
      <c r="F1844" s="76" t="s">
        <v>65</v>
      </c>
      <c r="G1844" s="76" t="s">
        <v>2889</v>
      </c>
      <c r="H1844" s="76"/>
      <c r="I1844" s="77" t="s">
        <v>66</v>
      </c>
      <c r="J1844" s="75" t="s">
        <v>67</v>
      </c>
      <c r="K1844" s="75" t="s">
        <v>2890</v>
      </c>
      <c r="L1844" s="75" t="s">
        <v>68</v>
      </c>
      <c r="M1844" s="75" t="s">
        <v>70</v>
      </c>
      <c r="N1844" s="573">
        <v>2.98</v>
      </c>
      <c r="O1844" s="556" t="str">
        <f t="shared" si="208"/>
        <v>DIF</v>
      </c>
      <c r="P1844" s="573"/>
      <c r="Q1844" s="556"/>
      <c r="R1844" s="582"/>
    </row>
    <row r="1845" ht="35.05" customHeight="1" spans="1:18">
      <c r="A1845" s="556">
        <f t="shared" si="209"/>
        <v>0</v>
      </c>
      <c r="B1845" s="557">
        <f t="shared" si="210"/>
        <v>0</v>
      </c>
      <c r="C1845" s="569" t="s">
        <v>2891</v>
      </c>
      <c r="D1845" s="570" t="s">
        <v>640</v>
      </c>
      <c r="E1845" s="569" t="s">
        <v>132</v>
      </c>
      <c r="F1845" s="569" t="s">
        <v>641</v>
      </c>
      <c r="G1845" s="569" t="s">
        <v>3505</v>
      </c>
      <c r="H1845" s="569"/>
      <c r="I1845" s="577" t="s">
        <v>134</v>
      </c>
      <c r="J1845" s="578">
        <v>1</v>
      </c>
      <c r="K1845" s="579"/>
      <c r="L1845" s="579">
        <v>2680.71</v>
      </c>
      <c r="M1845" s="579">
        <v>2680.71</v>
      </c>
      <c r="N1845" s="573">
        <v>15.28</v>
      </c>
      <c r="O1845" s="556" t="str">
        <f t="shared" si="208"/>
        <v>DIF</v>
      </c>
      <c r="P1845" s="573"/>
      <c r="Q1845" s="556"/>
      <c r="R1845" s="582"/>
    </row>
    <row r="1846" ht="51" spans="1:18">
      <c r="A1846" s="556">
        <f t="shared" si="209"/>
        <v>0</v>
      </c>
      <c r="B1846" s="557">
        <f t="shared" si="210"/>
        <v>0</v>
      </c>
      <c r="C1846" s="79" t="s">
        <v>2921</v>
      </c>
      <c r="D1846" s="78" t="s">
        <v>3519</v>
      </c>
      <c r="E1846" s="79" t="s">
        <v>77</v>
      </c>
      <c r="F1846" s="79" t="s">
        <v>3520</v>
      </c>
      <c r="G1846" s="79">
        <v>14</v>
      </c>
      <c r="H1846" s="79"/>
      <c r="I1846" s="80" t="s">
        <v>141</v>
      </c>
      <c r="J1846" s="583">
        <v>1.68</v>
      </c>
      <c r="K1846" s="583">
        <v>0</v>
      </c>
      <c r="L1846" s="92">
        <v>1565.02</v>
      </c>
      <c r="M1846" s="92">
        <v>2629.23</v>
      </c>
      <c r="N1846" s="573">
        <v>1.76</v>
      </c>
      <c r="O1846" s="556" t="str">
        <f t="shared" si="208"/>
        <v>DIF</v>
      </c>
      <c r="P1846" s="573"/>
      <c r="Q1846" s="556"/>
      <c r="R1846" s="582"/>
    </row>
    <row r="1847" ht="76.5" spans="1:18">
      <c r="A1847" s="556">
        <f t="shared" si="209"/>
        <v>0</v>
      </c>
      <c r="B1847" s="557">
        <f t="shared" si="210"/>
        <v>0</v>
      </c>
      <c r="C1847" s="79" t="s">
        <v>2921</v>
      </c>
      <c r="D1847" s="78" t="s">
        <v>3517</v>
      </c>
      <c r="E1847" s="79" t="s">
        <v>77</v>
      </c>
      <c r="F1847" s="79" t="s">
        <v>3518</v>
      </c>
      <c r="G1847" s="79">
        <v>14</v>
      </c>
      <c r="H1847" s="79"/>
      <c r="I1847" s="80" t="s">
        <v>134</v>
      </c>
      <c r="J1847" s="583">
        <v>1</v>
      </c>
      <c r="K1847" s="583">
        <v>0</v>
      </c>
      <c r="L1847" s="92">
        <v>51.48</v>
      </c>
      <c r="M1847" s="92">
        <v>51.48</v>
      </c>
      <c r="N1847" s="573">
        <v>3.12</v>
      </c>
      <c r="O1847" s="556" t="str">
        <f t="shared" si="208"/>
        <v>DIF</v>
      </c>
      <c r="P1847" s="573"/>
      <c r="Q1847" s="556"/>
      <c r="R1847" s="582"/>
    </row>
    <row r="1848" ht="25.5" spans="1:18">
      <c r="A1848" s="556">
        <f t="shared" si="209"/>
        <v>0</v>
      </c>
      <c r="B1848" s="557">
        <f t="shared" si="210"/>
        <v>0</v>
      </c>
      <c r="C1848" s="108"/>
      <c r="D1848" s="108"/>
      <c r="E1848" s="108"/>
      <c r="F1848" s="108"/>
      <c r="G1848" s="108"/>
      <c r="H1848" s="108" t="s">
        <v>2898</v>
      </c>
      <c r="I1848" s="581">
        <v>284.81</v>
      </c>
      <c r="J1848" s="108" t="s">
        <v>2899</v>
      </c>
      <c r="K1848" s="581">
        <v>0</v>
      </c>
      <c r="L1848" s="108" t="s">
        <v>2900</v>
      </c>
      <c r="M1848" s="581">
        <v>284.81</v>
      </c>
      <c r="N1848" s="573">
        <v>2.42</v>
      </c>
      <c r="O1848" s="556" t="str">
        <f t="shared" si="208"/>
        <v>DIF</v>
      </c>
      <c r="P1848" s="573"/>
      <c r="Q1848" s="556"/>
      <c r="R1848" s="582"/>
    </row>
    <row r="1849" ht="26.25" spans="1:18">
      <c r="A1849" s="556">
        <f t="shared" si="209"/>
        <v>0</v>
      </c>
      <c r="B1849" s="557">
        <f t="shared" si="210"/>
        <v>0</v>
      </c>
      <c r="C1849" s="108"/>
      <c r="D1849" s="108"/>
      <c r="E1849" s="108"/>
      <c r="F1849" s="108"/>
      <c r="G1849" s="108"/>
      <c r="H1849" s="108" t="s">
        <v>2901</v>
      </c>
      <c r="I1849" s="581">
        <v>683.31</v>
      </c>
      <c r="J1849" s="114"/>
      <c r="K1849" s="114" t="s">
        <v>2902</v>
      </c>
      <c r="L1849" s="108"/>
      <c r="M1849" s="581">
        <v>3364.02</v>
      </c>
      <c r="N1849" s="573">
        <v>2.8</v>
      </c>
      <c r="O1849" s="556" t="str">
        <f t="shared" si="208"/>
        <v>DIF</v>
      </c>
      <c r="P1849" s="573"/>
      <c r="Q1849" s="556"/>
      <c r="R1849" s="582"/>
    </row>
    <row r="1850" ht="15" spans="1:18">
      <c r="A1850" s="556">
        <f t="shared" si="209"/>
        <v>0</v>
      </c>
      <c r="B1850" s="557">
        <f t="shared" si="210"/>
        <v>0</v>
      </c>
      <c r="C1850" s="571"/>
      <c r="D1850" s="571"/>
      <c r="E1850" s="571"/>
      <c r="F1850" s="571"/>
      <c r="G1850" s="571"/>
      <c r="H1850" s="571"/>
      <c r="I1850" s="571"/>
      <c r="J1850" s="571"/>
      <c r="K1850" s="571"/>
      <c r="L1850" s="571"/>
      <c r="M1850" s="571"/>
      <c r="N1850" s="573">
        <v>3.29</v>
      </c>
      <c r="O1850" s="556" t="str">
        <f t="shared" si="208"/>
        <v>DIF</v>
      </c>
      <c r="P1850" s="573"/>
      <c r="Q1850" s="556"/>
      <c r="R1850" s="582"/>
    </row>
    <row r="1851" ht="15" customHeight="1" spans="1:18">
      <c r="A1851" s="556">
        <f t="shared" si="209"/>
        <v>0</v>
      </c>
      <c r="B1851" s="557">
        <f t="shared" si="210"/>
        <v>0</v>
      </c>
      <c r="C1851" s="76" t="s">
        <v>642</v>
      </c>
      <c r="D1851" s="75" t="s">
        <v>63</v>
      </c>
      <c r="E1851" s="76" t="s">
        <v>64</v>
      </c>
      <c r="F1851" s="76" t="s">
        <v>65</v>
      </c>
      <c r="G1851" s="76" t="s">
        <v>2889</v>
      </c>
      <c r="H1851" s="76"/>
      <c r="I1851" s="77" t="s">
        <v>66</v>
      </c>
      <c r="J1851" s="75" t="s">
        <v>67</v>
      </c>
      <c r="K1851" s="75" t="s">
        <v>2890</v>
      </c>
      <c r="L1851" s="75" t="s">
        <v>68</v>
      </c>
      <c r="M1851" s="75" t="s">
        <v>70</v>
      </c>
      <c r="N1851" s="573">
        <v>36.05</v>
      </c>
      <c r="O1851" s="556" t="str">
        <f t="shared" si="208"/>
        <v>DIF</v>
      </c>
      <c r="P1851" s="573"/>
      <c r="Q1851" s="556"/>
      <c r="R1851" s="582"/>
    </row>
    <row r="1852" ht="57.45" customHeight="1" spans="1:18">
      <c r="A1852" s="556">
        <f t="shared" si="209"/>
        <v>0</v>
      </c>
      <c r="B1852" s="557">
        <f t="shared" si="210"/>
        <v>0</v>
      </c>
      <c r="C1852" s="569" t="s">
        <v>2891</v>
      </c>
      <c r="D1852" s="570" t="s">
        <v>643</v>
      </c>
      <c r="E1852" s="569" t="s">
        <v>132</v>
      </c>
      <c r="F1852" s="569" t="s">
        <v>644</v>
      </c>
      <c r="G1852" s="569" t="s">
        <v>3505</v>
      </c>
      <c r="H1852" s="569"/>
      <c r="I1852" s="577" t="s">
        <v>134</v>
      </c>
      <c r="J1852" s="578">
        <v>1</v>
      </c>
      <c r="K1852" s="579"/>
      <c r="L1852" s="579">
        <v>1274.08</v>
      </c>
      <c r="M1852" s="579">
        <v>1274.08</v>
      </c>
      <c r="N1852" s="573">
        <v>124.63</v>
      </c>
      <c r="O1852" s="556" t="str">
        <f t="shared" si="208"/>
        <v>DIF</v>
      </c>
      <c r="P1852" s="573"/>
      <c r="Q1852" s="556"/>
      <c r="R1852" s="582"/>
    </row>
    <row r="1853" ht="35.05" customHeight="1" spans="1:18">
      <c r="A1853" s="556">
        <f t="shared" si="209"/>
        <v>0</v>
      </c>
      <c r="B1853" s="557">
        <f t="shared" si="210"/>
        <v>0</v>
      </c>
      <c r="C1853" s="79" t="s">
        <v>2921</v>
      </c>
      <c r="D1853" s="78" t="s">
        <v>703</v>
      </c>
      <c r="E1853" s="79" t="s">
        <v>139</v>
      </c>
      <c r="F1853" s="79" t="s">
        <v>704</v>
      </c>
      <c r="G1853" s="79" t="s">
        <v>3025</v>
      </c>
      <c r="H1853" s="79"/>
      <c r="I1853" s="80" t="s">
        <v>134</v>
      </c>
      <c r="J1853" s="583">
        <v>1</v>
      </c>
      <c r="K1853" s="583">
        <v>0</v>
      </c>
      <c r="L1853" s="92">
        <v>193.94</v>
      </c>
      <c r="M1853" s="92">
        <v>193.94</v>
      </c>
      <c r="N1853" s="573">
        <v>0.79</v>
      </c>
      <c r="O1853" s="556" t="str">
        <f t="shared" si="208"/>
        <v>DIF</v>
      </c>
      <c r="P1853" s="573"/>
      <c r="Q1853" s="556"/>
      <c r="R1853" s="582"/>
    </row>
    <row r="1854" ht="46.25" customHeight="1" spans="1:18">
      <c r="A1854" s="556"/>
      <c r="B1854" s="557"/>
      <c r="C1854" s="79" t="s">
        <v>2921</v>
      </c>
      <c r="D1854" s="78" t="s">
        <v>3510</v>
      </c>
      <c r="E1854" s="79" t="s">
        <v>139</v>
      </c>
      <c r="F1854" s="79" t="s">
        <v>3511</v>
      </c>
      <c r="G1854" s="79" t="s">
        <v>3025</v>
      </c>
      <c r="H1854" s="79"/>
      <c r="I1854" s="80" t="s">
        <v>134</v>
      </c>
      <c r="J1854" s="583">
        <v>1</v>
      </c>
      <c r="K1854" s="583">
        <v>0</v>
      </c>
      <c r="L1854" s="92">
        <v>1080.14</v>
      </c>
      <c r="M1854" s="92">
        <v>1080.14</v>
      </c>
      <c r="N1854" s="573"/>
      <c r="O1854" s="556"/>
      <c r="P1854" s="573"/>
      <c r="Q1854" s="556"/>
      <c r="R1854" s="582"/>
    </row>
    <row r="1855" ht="25.5" spans="1:18">
      <c r="A1855" s="556"/>
      <c r="B1855" s="557"/>
      <c r="C1855" s="108"/>
      <c r="D1855" s="108"/>
      <c r="E1855" s="108"/>
      <c r="F1855" s="108"/>
      <c r="G1855" s="108"/>
      <c r="H1855" s="108" t="s">
        <v>2898</v>
      </c>
      <c r="I1855" s="581">
        <v>52.26</v>
      </c>
      <c r="J1855" s="108" t="s">
        <v>2899</v>
      </c>
      <c r="K1855" s="581">
        <v>0</v>
      </c>
      <c r="L1855" s="108" t="s">
        <v>2900</v>
      </c>
      <c r="M1855" s="581">
        <v>52.26</v>
      </c>
      <c r="N1855" s="573"/>
      <c r="O1855" s="556"/>
      <c r="P1855" s="573"/>
      <c r="Q1855" s="556"/>
      <c r="R1855" s="582"/>
    </row>
    <row r="1856" ht="26.25" spans="1:18">
      <c r="A1856" s="556"/>
      <c r="B1856" s="557">
        <f>C1855</f>
        <v>0</v>
      </c>
      <c r="C1856" s="108"/>
      <c r="D1856" s="108"/>
      <c r="E1856" s="108"/>
      <c r="F1856" s="108"/>
      <c r="G1856" s="108"/>
      <c r="H1856" s="108" t="s">
        <v>2901</v>
      </c>
      <c r="I1856" s="581">
        <v>324.76</v>
      </c>
      <c r="J1856" s="114"/>
      <c r="K1856" s="114" t="s">
        <v>2902</v>
      </c>
      <c r="L1856" s="108"/>
      <c r="M1856" s="581">
        <v>1598.84</v>
      </c>
      <c r="N1856" s="573">
        <v>74.1</v>
      </c>
      <c r="O1856" s="556" t="str">
        <f t="shared" ref="O1856:O1861" si="211">IF(N1856=M1856,"OK","DIF")</f>
        <v>DIF</v>
      </c>
      <c r="P1856" s="573"/>
      <c r="Q1856" s="556"/>
      <c r="R1856" s="582"/>
    </row>
    <row r="1857" ht="15" spans="1:18">
      <c r="A1857" s="556">
        <f>B1857</f>
        <v>0</v>
      </c>
      <c r="B1857" s="557">
        <f>B1856</f>
        <v>0</v>
      </c>
      <c r="C1857" s="571"/>
      <c r="D1857" s="571"/>
      <c r="E1857" s="571"/>
      <c r="F1857" s="571"/>
      <c r="G1857" s="571"/>
      <c r="H1857" s="571"/>
      <c r="I1857" s="571"/>
      <c r="J1857" s="571"/>
      <c r="K1857" s="571"/>
      <c r="L1857" s="571"/>
      <c r="M1857" s="571"/>
      <c r="N1857" s="573">
        <v>50.35</v>
      </c>
      <c r="O1857" s="556" t="str">
        <f t="shared" si="211"/>
        <v>DIF</v>
      </c>
      <c r="P1857" s="573"/>
      <c r="Q1857" s="556"/>
      <c r="R1857" s="582"/>
    </row>
    <row r="1858" ht="15" customHeight="1" spans="1:18">
      <c r="A1858" s="556">
        <f>B1858</f>
        <v>0</v>
      </c>
      <c r="B1858" s="557">
        <f>B1857</f>
        <v>0</v>
      </c>
      <c r="C1858" s="76" t="s">
        <v>645</v>
      </c>
      <c r="D1858" s="75" t="s">
        <v>63</v>
      </c>
      <c r="E1858" s="76" t="s">
        <v>64</v>
      </c>
      <c r="F1858" s="76" t="s">
        <v>65</v>
      </c>
      <c r="G1858" s="76" t="s">
        <v>2889</v>
      </c>
      <c r="H1858" s="76"/>
      <c r="I1858" s="77" t="s">
        <v>66</v>
      </c>
      <c r="J1858" s="75" t="s">
        <v>67</v>
      </c>
      <c r="K1858" s="75" t="s">
        <v>2890</v>
      </c>
      <c r="L1858" s="75" t="s">
        <v>68</v>
      </c>
      <c r="M1858" s="75" t="s">
        <v>70</v>
      </c>
      <c r="N1858" s="573">
        <v>9.61</v>
      </c>
      <c r="O1858" s="556" t="str">
        <f t="shared" si="211"/>
        <v>DIF</v>
      </c>
      <c r="P1858" s="573"/>
      <c r="Q1858" s="556"/>
      <c r="R1858" s="582"/>
    </row>
    <row r="1859" ht="68.65" customHeight="1" spans="1:18">
      <c r="A1859" s="556">
        <f>B1859</f>
        <v>0</v>
      </c>
      <c r="B1859" s="557">
        <f>B1858</f>
        <v>0</v>
      </c>
      <c r="C1859" s="569" t="s">
        <v>2891</v>
      </c>
      <c r="D1859" s="570" t="s">
        <v>646</v>
      </c>
      <c r="E1859" s="569" t="s">
        <v>132</v>
      </c>
      <c r="F1859" s="569" t="s">
        <v>647</v>
      </c>
      <c r="G1859" s="569" t="s">
        <v>3505</v>
      </c>
      <c r="H1859" s="569"/>
      <c r="I1859" s="577" t="s">
        <v>134</v>
      </c>
      <c r="J1859" s="578">
        <v>1</v>
      </c>
      <c r="K1859" s="579"/>
      <c r="L1859" s="579">
        <v>1515.72</v>
      </c>
      <c r="M1859" s="579">
        <v>1515.72</v>
      </c>
      <c r="N1859" s="573">
        <v>13.3</v>
      </c>
      <c r="O1859" s="556" t="str">
        <f t="shared" si="211"/>
        <v>DIF</v>
      </c>
      <c r="P1859" s="573"/>
      <c r="Q1859" s="556"/>
      <c r="R1859" s="582"/>
    </row>
    <row r="1860" ht="35.05" customHeight="1" spans="1:18">
      <c r="A1860" s="556">
        <f>B1860</f>
        <v>0</v>
      </c>
      <c r="B1860" s="557">
        <f>B1859</f>
        <v>0</v>
      </c>
      <c r="C1860" s="79" t="s">
        <v>2921</v>
      </c>
      <c r="D1860" s="78" t="s">
        <v>703</v>
      </c>
      <c r="E1860" s="79" t="s">
        <v>139</v>
      </c>
      <c r="F1860" s="79" t="s">
        <v>704</v>
      </c>
      <c r="G1860" s="79" t="s">
        <v>3025</v>
      </c>
      <c r="H1860" s="79"/>
      <c r="I1860" s="80" t="s">
        <v>134</v>
      </c>
      <c r="J1860" s="583">
        <v>1</v>
      </c>
      <c r="K1860" s="583">
        <v>0</v>
      </c>
      <c r="L1860" s="92">
        <v>193.94</v>
      </c>
      <c r="M1860" s="92">
        <v>193.94</v>
      </c>
      <c r="N1860" s="573">
        <v>0.68</v>
      </c>
      <c r="O1860" s="556" t="str">
        <f t="shared" si="211"/>
        <v>DIF</v>
      </c>
      <c r="P1860" s="573" t="s">
        <v>3521</v>
      </c>
      <c r="Q1860" s="556"/>
      <c r="R1860" s="582"/>
    </row>
    <row r="1861" ht="46.25" customHeight="1" spans="1:18">
      <c r="A1861" s="556">
        <f>B1861</f>
        <v>0</v>
      </c>
      <c r="B1861" s="557">
        <f>B1860</f>
        <v>0</v>
      </c>
      <c r="C1861" s="79" t="s">
        <v>2921</v>
      </c>
      <c r="D1861" s="78" t="s">
        <v>3510</v>
      </c>
      <c r="E1861" s="79" t="s">
        <v>139</v>
      </c>
      <c r="F1861" s="79" t="s">
        <v>3511</v>
      </c>
      <c r="G1861" s="79" t="s">
        <v>3025</v>
      </c>
      <c r="H1861" s="79"/>
      <c r="I1861" s="80" t="s">
        <v>134</v>
      </c>
      <c r="J1861" s="583">
        <v>1</v>
      </c>
      <c r="K1861" s="583">
        <v>0</v>
      </c>
      <c r="L1861" s="92">
        <v>1080.14</v>
      </c>
      <c r="M1861" s="92">
        <v>1080.14</v>
      </c>
      <c r="N1861" s="573">
        <v>0.16</v>
      </c>
      <c r="O1861" s="556" t="str">
        <f t="shared" si="211"/>
        <v>DIF</v>
      </c>
      <c r="P1861" s="573"/>
      <c r="Q1861" s="556"/>
      <c r="R1861" s="582"/>
    </row>
    <row r="1862" ht="23.85" customHeight="1" spans="1:18">
      <c r="A1862" s="556"/>
      <c r="B1862" s="557"/>
      <c r="C1862" s="79" t="s">
        <v>2921</v>
      </c>
      <c r="D1862" s="78" t="s">
        <v>181</v>
      </c>
      <c r="E1862" s="79" t="s">
        <v>139</v>
      </c>
      <c r="F1862" s="79" t="s">
        <v>182</v>
      </c>
      <c r="G1862" s="79" t="s">
        <v>3055</v>
      </c>
      <c r="H1862" s="79"/>
      <c r="I1862" s="80" t="s">
        <v>141</v>
      </c>
      <c r="J1862" s="583">
        <v>0.628</v>
      </c>
      <c r="K1862" s="583">
        <v>0</v>
      </c>
      <c r="L1862" s="92">
        <v>202.75</v>
      </c>
      <c r="M1862" s="92">
        <v>127.32</v>
      </c>
      <c r="N1862" s="573"/>
      <c r="O1862" s="556"/>
      <c r="P1862" s="573"/>
      <c r="Q1862" s="556"/>
      <c r="R1862" s="582"/>
    </row>
    <row r="1863" ht="23.85" customHeight="1" spans="1:18">
      <c r="A1863" s="556"/>
      <c r="B1863" s="557"/>
      <c r="C1863" s="79" t="s">
        <v>2921</v>
      </c>
      <c r="D1863" s="78" t="s">
        <v>3512</v>
      </c>
      <c r="E1863" s="79" t="s">
        <v>139</v>
      </c>
      <c r="F1863" s="79" t="s">
        <v>3513</v>
      </c>
      <c r="G1863" s="79" t="s">
        <v>3025</v>
      </c>
      <c r="H1863" s="79"/>
      <c r="I1863" s="80" t="s">
        <v>134</v>
      </c>
      <c r="J1863" s="583">
        <v>0.4705</v>
      </c>
      <c r="K1863" s="583">
        <v>0</v>
      </c>
      <c r="L1863" s="92">
        <v>242.98</v>
      </c>
      <c r="M1863" s="92">
        <v>114.32</v>
      </c>
      <c r="N1863" s="573"/>
      <c r="O1863" s="556"/>
      <c r="P1863" s="573"/>
      <c r="Q1863" s="556"/>
      <c r="R1863" s="582"/>
    </row>
    <row r="1864" ht="25.5" spans="1:18">
      <c r="A1864" s="556"/>
      <c r="B1864" s="557" t="str">
        <f>C1863</f>
        <v>Composição Auxiliar</v>
      </c>
      <c r="C1864" s="108"/>
      <c r="D1864" s="108"/>
      <c r="E1864" s="108"/>
      <c r="F1864" s="108"/>
      <c r="G1864" s="108"/>
      <c r="H1864" s="108" t="s">
        <v>2898</v>
      </c>
      <c r="I1864" s="581">
        <v>109.7</v>
      </c>
      <c r="J1864" s="108" t="s">
        <v>2899</v>
      </c>
      <c r="K1864" s="581">
        <v>0</v>
      </c>
      <c r="L1864" s="108" t="s">
        <v>2900</v>
      </c>
      <c r="M1864" s="581">
        <v>109.7</v>
      </c>
      <c r="N1864" s="573">
        <v>168.45</v>
      </c>
      <c r="O1864" s="556" t="str">
        <f t="shared" ref="O1864:O1869" si="212">IF(N1864=M1864,"OK","DIF")</f>
        <v>DIF</v>
      </c>
      <c r="P1864" s="573"/>
      <c r="Q1864" s="556"/>
      <c r="R1864" s="582"/>
    </row>
    <row r="1865" ht="26.25" spans="1:18">
      <c r="A1865" s="556" t="str">
        <f>B1865</f>
        <v>Composição Auxiliar</v>
      </c>
      <c r="B1865" s="557" t="str">
        <f>B1864</f>
        <v>Composição Auxiliar</v>
      </c>
      <c r="C1865" s="108"/>
      <c r="D1865" s="108"/>
      <c r="E1865" s="108"/>
      <c r="F1865" s="108"/>
      <c r="G1865" s="108"/>
      <c r="H1865" s="108" t="s">
        <v>2901</v>
      </c>
      <c r="I1865" s="581">
        <v>386.35</v>
      </c>
      <c r="J1865" s="114"/>
      <c r="K1865" s="114" t="s">
        <v>2902</v>
      </c>
      <c r="L1865" s="108"/>
      <c r="M1865" s="581">
        <v>1902.07</v>
      </c>
      <c r="N1865" s="573">
        <v>0.55</v>
      </c>
      <c r="O1865" s="556" t="str">
        <f t="shared" si="212"/>
        <v>DIF</v>
      </c>
      <c r="P1865" s="573"/>
      <c r="Q1865" s="556"/>
      <c r="R1865" s="582"/>
    </row>
    <row r="1866" ht="15" spans="1:18">
      <c r="A1866" s="556" t="str">
        <f>B1866</f>
        <v>Composição Auxiliar</v>
      </c>
      <c r="B1866" s="557" t="str">
        <f>B1865</f>
        <v>Composição Auxiliar</v>
      </c>
      <c r="C1866" s="571"/>
      <c r="D1866" s="571"/>
      <c r="E1866" s="571"/>
      <c r="F1866" s="571"/>
      <c r="G1866" s="571"/>
      <c r="H1866" s="571"/>
      <c r="I1866" s="571"/>
      <c r="J1866" s="571"/>
      <c r="K1866" s="571"/>
      <c r="L1866" s="571"/>
      <c r="M1866" s="571"/>
      <c r="N1866" s="573">
        <v>140.37</v>
      </c>
      <c r="O1866" s="556" t="str">
        <f t="shared" si="212"/>
        <v>DIF</v>
      </c>
      <c r="P1866" s="573"/>
      <c r="Q1866" s="556"/>
      <c r="R1866" s="582"/>
    </row>
    <row r="1867" ht="15" customHeight="1" spans="1:18">
      <c r="A1867" s="556" t="str">
        <f>B1867</f>
        <v>Composição Auxiliar</v>
      </c>
      <c r="B1867" s="557" t="str">
        <f>B1866</f>
        <v>Composição Auxiliar</v>
      </c>
      <c r="C1867" s="76" t="s">
        <v>648</v>
      </c>
      <c r="D1867" s="75" t="s">
        <v>63</v>
      </c>
      <c r="E1867" s="76" t="s">
        <v>64</v>
      </c>
      <c r="F1867" s="76" t="s">
        <v>65</v>
      </c>
      <c r="G1867" s="76" t="s">
        <v>2889</v>
      </c>
      <c r="H1867" s="76"/>
      <c r="I1867" s="77" t="s">
        <v>66</v>
      </c>
      <c r="J1867" s="75" t="s">
        <v>67</v>
      </c>
      <c r="K1867" s="75" t="s">
        <v>2890</v>
      </c>
      <c r="L1867" s="75" t="s">
        <v>68</v>
      </c>
      <c r="M1867" s="75" t="s">
        <v>70</v>
      </c>
      <c r="N1867" s="573">
        <v>0.8</v>
      </c>
      <c r="O1867" s="556" t="str">
        <f t="shared" si="212"/>
        <v>DIF</v>
      </c>
      <c r="P1867" s="573" t="s">
        <v>3521</v>
      </c>
      <c r="Q1867" s="556"/>
      <c r="R1867" s="582"/>
    </row>
    <row r="1868" ht="68.65" customHeight="1" spans="1:18">
      <c r="A1868" s="556" t="str">
        <f>B1868</f>
        <v>Composição Auxiliar</v>
      </c>
      <c r="B1868" s="557" t="str">
        <f>B1867</f>
        <v>Composição Auxiliar</v>
      </c>
      <c r="C1868" s="569" t="s">
        <v>2891</v>
      </c>
      <c r="D1868" s="570" t="s">
        <v>649</v>
      </c>
      <c r="E1868" s="569" t="s">
        <v>132</v>
      </c>
      <c r="F1868" s="569" t="s">
        <v>650</v>
      </c>
      <c r="G1868" s="569" t="s">
        <v>3505</v>
      </c>
      <c r="H1868" s="569"/>
      <c r="I1868" s="577" t="s">
        <v>134</v>
      </c>
      <c r="J1868" s="578">
        <v>1</v>
      </c>
      <c r="K1868" s="579"/>
      <c r="L1868" s="579">
        <v>2210.8</v>
      </c>
      <c r="M1868" s="579">
        <v>2210.8</v>
      </c>
      <c r="N1868" s="573">
        <v>11.22</v>
      </c>
      <c r="O1868" s="556" t="str">
        <f t="shared" si="212"/>
        <v>DIF</v>
      </c>
      <c r="P1868" s="573"/>
      <c r="Q1868" s="556"/>
      <c r="R1868" s="582"/>
    </row>
    <row r="1869" ht="89.25" spans="1:18">
      <c r="A1869" s="556" t="str">
        <f>B1869</f>
        <v>Composição Auxiliar</v>
      </c>
      <c r="B1869" s="557" t="str">
        <f>B1868</f>
        <v>Composição Auxiliar</v>
      </c>
      <c r="C1869" s="79" t="s">
        <v>2921</v>
      </c>
      <c r="D1869" s="78" t="s">
        <v>3522</v>
      </c>
      <c r="E1869" s="79" t="s">
        <v>77</v>
      </c>
      <c r="F1869" s="79" t="s">
        <v>3523</v>
      </c>
      <c r="G1869" s="79">
        <v>14</v>
      </c>
      <c r="H1869" s="79"/>
      <c r="I1869" s="80" t="s">
        <v>134</v>
      </c>
      <c r="J1869" s="583">
        <v>1</v>
      </c>
      <c r="K1869" s="583">
        <v>0</v>
      </c>
      <c r="L1869" s="92">
        <v>430.43</v>
      </c>
      <c r="M1869" s="92">
        <v>430.43</v>
      </c>
      <c r="N1869" s="573">
        <v>15.51</v>
      </c>
      <c r="O1869" s="556" t="str">
        <f t="shared" si="212"/>
        <v>DIF</v>
      </c>
      <c r="P1869" s="573"/>
      <c r="Q1869" s="556"/>
      <c r="R1869" s="582"/>
    </row>
    <row r="1870" ht="46.25" customHeight="1" spans="1:18">
      <c r="A1870" s="556"/>
      <c r="B1870" s="557"/>
      <c r="C1870" s="79" t="s">
        <v>2921</v>
      </c>
      <c r="D1870" s="78" t="s">
        <v>3510</v>
      </c>
      <c r="E1870" s="79" t="s">
        <v>139</v>
      </c>
      <c r="F1870" s="79" t="s">
        <v>3511</v>
      </c>
      <c r="G1870" s="79" t="s">
        <v>3025</v>
      </c>
      <c r="H1870" s="79"/>
      <c r="I1870" s="80" t="s">
        <v>134</v>
      </c>
      <c r="J1870" s="583">
        <v>1.375</v>
      </c>
      <c r="K1870" s="583">
        <v>0</v>
      </c>
      <c r="L1870" s="92">
        <v>1080.14</v>
      </c>
      <c r="M1870" s="92">
        <v>1485.19</v>
      </c>
      <c r="N1870" s="573"/>
      <c r="O1870" s="556"/>
      <c r="P1870" s="573"/>
      <c r="Q1870" s="556"/>
      <c r="R1870" s="582"/>
    </row>
    <row r="1871" ht="23.85" customHeight="1" spans="1:18">
      <c r="A1871" s="556"/>
      <c r="B1871" s="557"/>
      <c r="C1871" s="79" t="s">
        <v>2921</v>
      </c>
      <c r="D1871" s="78" t="s">
        <v>3512</v>
      </c>
      <c r="E1871" s="79" t="s">
        <v>139</v>
      </c>
      <c r="F1871" s="79" t="s">
        <v>3513</v>
      </c>
      <c r="G1871" s="79" t="s">
        <v>3025</v>
      </c>
      <c r="H1871" s="79"/>
      <c r="I1871" s="80" t="s">
        <v>134</v>
      </c>
      <c r="J1871" s="583">
        <v>0.5882</v>
      </c>
      <c r="K1871" s="583">
        <v>0</v>
      </c>
      <c r="L1871" s="92">
        <v>242.98</v>
      </c>
      <c r="M1871" s="92">
        <v>142.92</v>
      </c>
      <c r="N1871" s="573"/>
      <c r="O1871" s="556"/>
      <c r="P1871" s="573"/>
      <c r="Q1871" s="556"/>
      <c r="R1871" s="582"/>
    </row>
    <row r="1872" ht="23.85" customHeight="1" spans="1:18">
      <c r="A1872" s="556"/>
      <c r="B1872" s="557" t="str">
        <f>C1871</f>
        <v>Composição Auxiliar</v>
      </c>
      <c r="C1872" s="79" t="s">
        <v>2921</v>
      </c>
      <c r="D1872" s="78" t="s">
        <v>181</v>
      </c>
      <c r="E1872" s="79" t="s">
        <v>139</v>
      </c>
      <c r="F1872" s="79" t="s">
        <v>182</v>
      </c>
      <c r="G1872" s="79" t="s">
        <v>3055</v>
      </c>
      <c r="H1872" s="79"/>
      <c r="I1872" s="80" t="s">
        <v>141</v>
      </c>
      <c r="J1872" s="583">
        <v>0.751</v>
      </c>
      <c r="K1872" s="583">
        <v>0</v>
      </c>
      <c r="L1872" s="92">
        <v>202.75</v>
      </c>
      <c r="M1872" s="92">
        <v>152.26</v>
      </c>
      <c r="N1872" s="573">
        <v>209.59</v>
      </c>
      <c r="O1872" s="556" t="str">
        <f t="shared" ref="O1872:O1877" si="213">IF(N1872=M1872,"OK","DIF")</f>
        <v>DIF</v>
      </c>
      <c r="P1872" s="573"/>
      <c r="Q1872" s="556"/>
      <c r="R1872" s="582"/>
    </row>
    <row r="1873" ht="25.5" spans="1:18">
      <c r="A1873" s="556" t="str">
        <f>B1873</f>
        <v>Composição Auxiliar</v>
      </c>
      <c r="B1873" s="557" t="str">
        <f>B1872</f>
        <v>Composição Auxiliar</v>
      </c>
      <c r="C1873" s="108"/>
      <c r="D1873" s="108"/>
      <c r="E1873" s="108"/>
      <c r="F1873" s="108"/>
      <c r="G1873" s="108"/>
      <c r="H1873" s="108" t="s">
        <v>2898</v>
      </c>
      <c r="I1873" s="581">
        <v>101.05</v>
      </c>
      <c r="J1873" s="108" t="s">
        <v>2899</v>
      </c>
      <c r="K1873" s="581">
        <v>0</v>
      </c>
      <c r="L1873" s="108" t="s">
        <v>2900</v>
      </c>
      <c r="M1873" s="581">
        <v>101.05</v>
      </c>
      <c r="N1873" s="573">
        <v>11.22</v>
      </c>
      <c r="O1873" s="556" t="str">
        <f t="shared" si="213"/>
        <v>DIF</v>
      </c>
      <c r="P1873" s="573"/>
      <c r="Q1873" s="556"/>
      <c r="R1873" s="582"/>
    </row>
    <row r="1874" ht="26.25" spans="1:18">
      <c r="A1874" s="556" t="str">
        <f>B1874</f>
        <v>Composição Auxiliar</v>
      </c>
      <c r="B1874" s="557" t="str">
        <f>B1873</f>
        <v>Composição Auxiliar</v>
      </c>
      <c r="C1874" s="108"/>
      <c r="D1874" s="108"/>
      <c r="E1874" s="108"/>
      <c r="F1874" s="108"/>
      <c r="G1874" s="108"/>
      <c r="H1874" s="108" t="s">
        <v>2901</v>
      </c>
      <c r="I1874" s="581">
        <v>563.53</v>
      </c>
      <c r="J1874" s="114"/>
      <c r="K1874" s="114" t="s">
        <v>2902</v>
      </c>
      <c r="L1874" s="108"/>
      <c r="M1874" s="581">
        <v>2774.33</v>
      </c>
      <c r="N1874" s="573">
        <v>181.51</v>
      </c>
      <c r="O1874" s="556" t="str">
        <f t="shared" si="213"/>
        <v>DIF</v>
      </c>
      <c r="P1874" s="58"/>
      <c r="Q1874" s="586"/>
      <c r="R1874" s="582"/>
    </row>
    <row r="1875" ht="15" spans="1:18">
      <c r="A1875" s="556" t="str">
        <f>B1875</f>
        <v>Composição Auxiliar</v>
      </c>
      <c r="B1875" s="557" t="str">
        <f>B1874</f>
        <v>Composição Auxiliar</v>
      </c>
      <c r="C1875" s="571"/>
      <c r="D1875" s="571"/>
      <c r="E1875" s="571"/>
      <c r="F1875" s="571"/>
      <c r="G1875" s="571"/>
      <c r="H1875" s="571"/>
      <c r="I1875" s="571"/>
      <c r="J1875" s="571"/>
      <c r="K1875" s="571"/>
      <c r="L1875" s="571"/>
      <c r="M1875" s="571"/>
      <c r="N1875" s="573">
        <v>0.55</v>
      </c>
      <c r="O1875" s="556" t="str">
        <f t="shared" si="213"/>
        <v>DIF</v>
      </c>
      <c r="P1875" s="573"/>
      <c r="Q1875" s="556"/>
      <c r="R1875" s="582"/>
    </row>
    <row r="1876" ht="15" customHeight="1" spans="1:18">
      <c r="A1876" s="556" t="str">
        <f>B1876</f>
        <v>Composição Auxiliar</v>
      </c>
      <c r="B1876" s="557" t="str">
        <f>B1875</f>
        <v>Composição Auxiliar</v>
      </c>
      <c r="C1876" s="76" t="s">
        <v>651</v>
      </c>
      <c r="D1876" s="75" t="s">
        <v>63</v>
      </c>
      <c r="E1876" s="76" t="s">
        <v>64</v>
      </c>
      <c r="F1876" s="76" t="s">
        <v>65</v>
      </c>
      <c r="G1876" s="76" t="s">
        <v>2889</v>
      </c>
      <c r="H1876" s="76"/>
      <c r="I1876" s="77" t="s">
        <v>66</v>
      </c>
      <c r="J1876" s="75" t="s">
        <v>67</v>
      </c>
      <c r="K1876" s="75" t="s">
        <v>2890</v>
      </c>
      <c r="L1876" s="75" t="s">
        <v>68</v>
      </c>
      <c r="M1876" s="75" t="s">
        <v>70</v>
      </c>
      <c r="N1876" s="573">
        <v>15.51</v>
      </c>
      <c r="O1876" s="556" t="str">
        <f t="shared" si="213"/>
        <v>DIF</v>
      </c>
      <c r="P1876" s="573"/>
      <c r="Q1876" s="556"/>
      <c r="R1876" s="582"/>
    </row>
    <row r="1877" ht="79.85" customHeight="1" spans="1:18">
      <c r="A1877" s="556" t="str">
        <f>B1877</f>
        <v>Composição Auxiliar</v>
      </c>
      <c r="B1877" s="557" t="str">
        <f>B1876</f>
        <v>Composição Auxiliar</v>
      </c>
      <c r="C1877" s="569" t="s">
        <v>2891</v>
      </c>
      <c r="D1877" s="570" t="s">
        <v>652</v>
      </c>
      <c r="E1877" s="569" t="s">
        <v>132</v>
      </c>
      <c r="F1877" s="569" t="s">
        <v>653</v>
      </c>
      <c r="G1877" s="569" t="s">
        <v>3505</v>
      </c>
      <c r="H1877" s="569"/>
      <c r="I1877" s="577" t="s">
        <v>134</v>
      </c>
      <c r="J1877" s="578">
        <v>1</v>
      </c>
      <c r="K1877" s="579"/>
      <c r="L1877" s="579">
        <v>2344.19</v>
      </c>
      <c r="M1877" s="579">
        <v>2344.19</v>
      </c>
      <c r="N1877" s="573">
        <v>0.8</v>
      </c>
      <c r="O1877" s="556" t="str">
        <f t="shared" si="213"/>
        <v>DIF</v>
      </c>
      <c r="P1877" s="573" t="s">
        <v>3521</v>
      </c>
      <c r="Q1877" s="556"/>
      <c r="R1877" s="582"/>
    </row>
    <row r="1878" ht="89.25" spans="1:18">
      <c r="A1878" s="556"/>
      <c r="B1878" s="557"/>
      <c r="C1878" s="79" t="s">
        <v>2921</v>
      </c>
      <c r="D1878" s="78" t="s">
        <v>3522</v>
      </c>
      <c r="E1878" s="79" t="s">
        <v>77</v>
      </c>
      <c r="F1878" s="79" t="s">
        <v>3523</v>
      </c>
      <c r="G1878" s="79">
        <v>14</v>
      </c>
      <c r="H1878" s="79"/>
      <c r="I1878" s="80" t="s">
        <v>134</v>
      </c>
      <c r="J1878" s="583">
        <v>1</v>
      </c>
      <c r="K1878" s="583">
        <v>0</v>
      </c>
      <c r="L1878" s="92">
        <v>430.43</v>
      </c>
      <c r="M1878" s="92">
        <v>430.43</v>
      </c>
      <c r="N1878" s="573"/>
      <c r="O1878" s="556"/>
      <c r="P1878" s="573"/>
      <c r="Q1878" s="556"/>
      <c r="R1878" s="582"/>
    </row>
    <row r="1879" ht="23.85" customHeight="1" spans="1:18">
      <c r="A1879" s="556"/>
      <c r="B1879" s="557"/>
      <c r="C1879" s="79" t="s">
        <v>2921</v>
      </c>
      <c r="D1879" s="78" t="s">
        <v>181</v>
      </c>
      <c r="E1879" s="79" t="s">
        <v>139</v>
      </c>
      <c r="F1879" s="79" t="s">
        <v>182</v>
      </c>
      <c r="G1879" s="79" t="s">
        <v>3055</v>
      </c>
      <c r="H1879" s="79"/>
      <c r="I1879" s="80" t="s">
        <v>141</v>
      </c>
      <c r="J1879" s="583">
        <v>0.696</v>
      </c>
      <c r="K1879" s="583">
        <v>0</v>
      </c>
      <c r="L1879" s="92">
        <v>202.75</v>
      </c>
      <c r="M1879" s="92">
        <v>141.11</v>
      </c>
      <c r="N1879" s="573"/>
      <c r="O1879" s="556"/>
      <c r="P1879" s="573"/>
      <c r="Q1879" s="556"/>
      <c r="R1879" s="582"/>
    </row>
    <row r="1880" ht="46.25" customHeight="1" spans="1:18">
      <c r="A1880" s="556"/>
      <c r="B1880" s="557" t="str">
        <f>C1879</f>
        <v>Composição Auxiliar</v>
      </c>
      <c r="C1880" s="79" t="s">
        <v>2921</v>
      </c>
      <c r="D1880" s="78" t="s">
        <v>3510</v>
      </c>
      <c r="E1880" s="79" t="s">
        <v>139</v>
      </c>
      <c r="F1880" s="79" t="s">
        <v>3511</v>
      </c>
      <c r="G1880" s="79" t="s">
        <v>3025</v>
      </c>
      <c r="H1880" s="79"/>
      <c r="I1880" s="80" t="s">
        <v>134</v>
      </c>
      <c r="J1880" s="583">
        <v>1.5</v>
      </c>
      <c r="K1880" s="583">
        <v>0</v>
      </c>
      <c r="L1880" s="92">
        <v>1080.14</v>
      </c>
      <c r="M1880" s="92">
        <v>1620.21</v>
      </c>
      <c r="N1880" s="573">
        <v>152.34</v>
      </c>
      <c r="O1880" s="556" t="str">
        <f>IF(N1880=M1880,"OK","DIF")</f>
        <v>DIF</v>
      </c>
      <c r="P1880" s="573"/>
      <c r="Q1880" s="556"/>
      <c r="R1880" s="582"/>
    </row>
    <row r="1881" ht="23.85" customHeight="1" spans="1:18">
      <c r="A1881" s="556" t="str">
        <f>B1881</f>
        <v>Composição Auxiliar</v>
      </c>
      <c r="B1881" s="557" t="str">
        <f>B1880</f>
        <v>Composição Auxiliar</v>
      </c>
      <c r="C1881" s="79" t="s">
        <v>2921</v>
      </c>
      <c r="D1881" s="78" t="s">
        <v>3512</v>
      </c>
      <c r="E1881" s="79" t="s">
        <v>139</v>
      </c>
      <c r="F1881" s="79" t="s">
        <v>3513</v>
      </c>
      <c r="G1881" s="79" t="s">
        <v>3025</v>
      </c>
      <c r="H1881" s="79"/>
      <c r="I1881" s="80" t="s">
        <v>134</v>
      </c>
      <c r="J1881" s="583">
        <v>0.6274</v>
      </c>
      <c r="K1881" s="583">
        <v>0</v>
      </c>
      <c r="L1881" s="92">
        <v>242.98</v>
      </c>
      <c r="M1881" s="92">
        <v>152.44</v>
      </c>
      <c r="N1881" s="573">
        <v>8.52</v>
      </c>
      <c r="O1881" s="556" t="str">
        <f>IF(N1881=M1881,"OK","DIF")</f>
        <v>DIF</v>
      </c>
      <c r="P1881" s="573"/>
      <c r="Q1881" s="556"/>
      <c r="R1881" s="582"/>
    </row>
    <row r="1882" ht="25.5" spans="1:18">
      <c r="A1882" s="556" t="str">
        <f>B1882</f>
        <v>Composição Auxiliar</v>
      </c>
      <c r="B1882" s="557" t="str">
        <f>B1881</f>
        <v>Composição Auxiliar</v>
      </c>
      <c r="C1882" s="108"/>
      <c r="D1882" s="108"/>
      <c r="E1882" s="108"/>
      <c r="F1882" s="108"/>
      <c r="G1882" s="108"/>
      <c r="H1882" s="108" t="s">
        <v>2898</v>
      </c>
      <c r="I1882" s="581">
        <v>105.69</v>
      </c>
      <c r="J1882" s="108" t="s">
        <v>2899</v>
      </c>
      <c r="K1882" s="581">
        <v>0</v>
      </c>
      <c r="L1882" s="108" t="s">
        <v>2900</v>
      </c>
      <c r="M1882" s="581">
        <v>105.69</v>
      </c>
      <c r="N1882" s="573">
        <v>6.9</v>
      </c>
      <c r="O1882" s="556" t="str">
        <f>IF(N1882=M1882,"OK","DIF")</f>
        <v>DIF</v>
      </c>
      <c r="P1882" s="573"/>
      <c r="Q1882" s="556"/>
      <c r="R1882" s="582"/>
    </row>
    <row r="1883" ht="26.25" spans="1:18">
      <c r="A1883" s="556" t="str">
        <f>B1883</f>
        <v>Composição Auxiliar</v>
      </c>
      <c r="B1883" s="557" t="str">
        <f>B1882</f>
        <v>Composição Auxiliar</v>
      </c>
      <c r="C1883" s="108"/>
      <c r="D1883" s="108"/>
      <c r="E1883" s="108"/>
      <c r="F1883" s="108"/>
      <c r="G1883" s="108"/>
      <c r="H1883" s="108" t="s">
        <v>2901</v>
      </c>
      <c r="I1883" s="581">
        <v>597.53</v>
      </c>
      <c r="J1883" s="114"/>
      <c r="K1883" s="114" t="s">
        <v>2902</v>
      </c>
      <c r="L1883" s="108"/>
      <c r="M1883" s="581">
        <v>2941.72</v>
      </c>
      <c r="N1883" s="573">
        <v>0.22</v>
      </c>
      <c r="O1883" s="556" t="str">
        <f>IF(N1883=M1883,"OK","DIF")</f>
        <v>DIF</v>
      </c>
      <c r="P1883" s="573"/>
      <c r="Q1883" s="556"/>
      <c r="R1883" s="582"/>
    </row>
    <row r="1884" ht="15" spans="1:18">
      <c r="A1884" s="556" t="str">
        <f>B1884</f>
        <v>Composição Auxiliar</v>
      </c>
      <c r="B1884" s="557" t="str">
        <f>B1883</f>
        <v>Composição Auxiliar</v>
      </c>
      <c r="C1884" s="571"/>
      <c r="D1884" s="571"/>
      <c r="E1884" s="571"/>
      <c r="F1884" s="571"/>
      <c r="G1884" s="571"/>
      <c r="H1884" s="571"/>
      <c r="I1884" s="571"/>
      <c r="J1884" s="571"/>
      <c r="K1884" s="571"/>
      <c r="L1884" s="571"/>
      <c r="M1884" s="571"/>
      <c r="N1884" s="573">
        <v>136.7</v>
      </c>
      <c r="O1884" s="556" t="str">
        <f>IF(N1884=M1884,"OK","DIF")</f>
        <v>DIF</v>
      </c>
      <c r="P1884" s="573"/>
      <c r="Q1884" s="556"/>
      <c r="R1884" s="582"/>
    </row>
    <row r="1885" ht="15" customHeight="1" spans="1:18">
      <c r="A1885" s="556"/>
      <c r="B1885" s="557"/>
      <c r="C1885" s="76" t="s">
        <v>654</v>
      </c>
      <c r="D1885" s="75" t="s">
        <v>63</v>
      </c>
      <c r="E1885" s="76" t="s">
        <v>64</v>
      </c>
      <c r="F1885" s="76" t="s">
        <v>65</v>
      </c>
      <c r="G1885" s="76" t="s">
        <v>2889</v>
      </c>
      <c r="H1885" s="76"/>
      <c r="I1885" s="77" t="s">
        <v>66</v>
      </c>
      <c r="J1885" s="75" t="s">
        <v>67</v>
      </c>
      <c r="K1885" s="75" t="s">
        <v>2890</v>
      </c>
      <c r="L1885" s="75" t="s">
        <v>68</v>
      </c>
      <c r="M1885" s="75" t="s">
        <v>70</v>
      </c>
      <c r="N1885" s="573"/>
      <c r="O1885" s="556"/>
      <c r="P1885" s="573"/>
      <c r="Q1885" s="556"/>
      <c r="R1885" s="582"/>
    </row>
    <row r="1886" ht="68.65" customHeight="1" spans="1:18">
      <c r="A1886" s="556"/>
      <c r="B1886" s="557"/>
      <c r="C1886" s="569" t="s">
        <v>2891</v>
      </c>
      <c r="D1886" s="570" t="s">
        <v>655</v>
      </c>
      <c r="E1886" s="569" t="s">
        <v>132</v>
      </c>
      <c r="F1886" s="569" t="s">
        <v>656</v>
      </c>
      <c r="G1886" s="569" t="s">
        <v>3505</v>
      </c>
      <c r="H1886" s="569"/>
      <c r="I1886" s="577" t="s">
        <v>134</v>
      </c>
      <c r="J1886" s="578">
        <v>1</v>
      </c>
      <c r="K1886" s="579"/>
      <c r="L1886" s="579">
        <v>12765.89</v>
      </c>
      <c r="M1886" s="579">
        <v>12765.89</v>
      </c>
      <c r="N1886" s="573"/>
      <c r="O1886" s="556"/>
      <c r="P1886" s="573"/>
      <c r="Q1886" s="556"/>
      <c r="R1886" s="582"/>
    </row>
    <row r="1887" ht="35.05" customHeight="1" spans="1:18">
      <c r="A1887" s="556"/>
      <c r="B1887" s="557" t="str">
        <f>C1886</f>
        <v>Composição</v>
      </c>
      <c r="C1887" s="79" t="s">
        <v>2921</v>
      </c>
      <c r="D1887" s="78" t="s">
        <v>3524</v>
      </c>
      <c r="E1887" s="79" t="s">
        <v>132</v>
      </c>
      <c r="F1887" s="79" t="s">
        <v>3525</v>
      </c>
      <c r="G1887" s="79" t="s">
        <v>3505</v>
      </c>
      <c r="H1887" s="79"/>
      <c r="I1887" s="80" t="s">
        <v>141</v>
      </c>
      <c r="J1887" s="583">
        <v>2.52</v>
      </c>
      <c r="K1887" s="583">
        <v>0</v>
      </c>
      <c r="L1887" s="92">
        <v>965.99</v>
      </c>
      <c r="M1887" s="92">
        <v>2434.29</v>
      </c>
      <c r="N1887" s="573">
        <v>34.61</v>
      </c>
      <c r="O1887" s="556" t="str">
        <f>IF(N1887=M1887,"OK","DIF")</f>
        <v>DIF</v>
      </c>
      <c r="P1887" s="573"/>
      <c r="Q1887" s="556"/>
      <c r="R1887" s="582"/>
    </row>
    <row r="1888" ht="35.05" customHeight="1" spans="1:18">
      <c r="A1888" s="556" t="str">
        <f>B1888</f>
        <v>Composição</v>
      </c>
      <c r="B1888" s="557" t="str">
        <f>B1887</f>
        <v>Composição</v>
      </c>
      <c r="C1888" s="79" t="s">
        <v>2921</v>
      </c>
      <c r="D1888" s="78" t="s">
        <v>3526</v>
      </c>
      <c r="E1888" s="79" t="s">
        <v>132</v>
      </c>
      <c r="F1888" s="79" t="s">
        <v>3527</v>
      </c>
      <c r="G1888" s="79" t="s">
        <v>3505</v>
      </c>
      <c r="H1888" s="79"/>
      <c r="I1888" s="80" t="s">
        <v>134</v>
      </c>
      <c r="J1888" s="583">
        <v>5</v>
      </c>
      <c r="K1888" s="583">
        <v>0</v>
      </c>
      <c r="L1888" s="92">
        <v>2066.32</v>
      </c>
      <c r="M1888" s="92">
        <v>10331.6</v>
      </c>
      <c r="N1888" s="573">
        <v>2.32</v>
      </c>
      <c r="O1888" s="556" t="str">
        <f>IF(N1888=M1888,"OK","DIF")</f>
        <v>DIF</v>
      </c>
      <c r="P1888" s="573"/>
      <c r="Q1888" s="556"/>
      <c r="R1888" s="582"/>
    </row>
    <row r="1889" ht="25.5" spans="1:18">
      <c r="A1889" s="556" t="str">
        <f>B1889</f>
        <v>Composição</v>
      </c>
      <c r="B1889" s="557" t="str">
        <f>B1888</f>
        <v>Composição</v>
      </c>
      <c r="C1889" s="108"/>
      <c r="D1889" s="108"/>
      <c r="E1889" s="108"/>
      <c r="F1889" s="108"/>
      <c r="G1889" s="108"/>
      <c r="H1889" s="108" t="s">
        <v>2898</v>
      </c>
      <c r="I1889" s="581">
        <v>985.69</v>
      </c>
      <c r="J1889" s="108" t="s">
        <v>2899</v>
      </c>
      <c r="K1889" s="581">
        <v>0</v>
      </c>
      <c r="L1889" s="108" t="s">
        <v>2900</v>
      </c>
      <c r="M1889" s="581">
        <v>985.69</v>
      </c>
      <c r="N1889" s="573">
        <v>1.88</v>
      </c>
      <c r="O1889" s="556" t="str">
        <f>IF(N1889=M1889,"OK","DIF")</f>
        <v>DIF</v>
      </c>
      <c r="P1889" s="573"/>
      <c r="Q1889" s="556"/>
      <c r="R1889" s="582"/>
    </row>
    <row r="1890" ht="26.25" spans="1:18">
      <c r="A1890" s="556" t="str">
        <f>B1890</f>
        <v>Composição</v>
      </c>
      <c r="B1890" s="557" t="str">
        <f>B1889</f>
        <v>Composição</v>
      </c>
      <c r="C1890" s="108"/>
      <c r="D1890" s="108"/>
      <c r="E1890" s="108"/>
      <c r="F1890" s="108"/>
      <c r="G1890" s="108"/>
      <c r="H1890" s="108" t="s">
        <v>2901</v>
      </c>
      <c r="I1890" s="581">
        <v>3254.02</v>
      </c>
      <c r="J1890" s="114"/>
      <c r="K1890" s="114" t="s">
        <v>2902</v>
      </c>
      <c r="L1890" s="108"/>
      <c r="M1890" s="581">
        <v>16019.91</v>
      </c>
      <c r="N1890" s="573">
        <v>0.09</v>
      </c>
      <c r="O1890" s="556" t="str">
        <f>IF(N1890=M1890,"OK","DIF")</f>
        <v>DIF</v>
      </c>
      <c r="P1890" s="573"/>
      <c r="Q1890" s="556"/>
      <c r="R1890" s="582"/>
    </row>
    <row r="1891" ht="15" spans="1:18">
      <c r="A1891" s="556" t="str">
        <f>B1891</f>
        <v>Composição</v>
      </c>
      <c r="B1891" s="557" t="str">
        <f>B1890</f>
        <v>Composição</v>
      </c>
      <c r="C1891" s="571"/>
      <c r="D1891" s="571"/>
      <c r="E1891" s="571"/>
      <c r="F1891" s="571"/>
      <c r="G1891" s="571"/>
      <c r="H1891" s="571"/>
      <c r="I1891" s="571"/>
      <c r="J1891" s="571"/>
      <c r="K1891" s="571"/>
      <c r="L1891" s="571"/>
      <c r="M1891" s="571"/>
      <c r="N1891" s="573">
        <v>30.32</v>
      </c>
      <c r="O1891" s="556" t="str">
        <f>IF(N1891=M1891,"OK","DIF")</f>
        <v>DIF</v>
      </c>
      <c r="P1891" s="573"/>
      <c r="Q1891" s="556"/>
      <c r="R1891" s="582"/>
    </row>
    <row r="1892" ht="15" customHeight="1" spans="1:18">
      <c r="A1892" s="556"/>
      <c r="B1892" s="557"/>
      <c r="C1892" s="76" t="s">
        <v>657</v>
      </c>
      <c r="D1892" s="75" t="s">
        <v>63</v>
      </c>
      <c r="E1892" s="76" t="s">
        <v>64</v>
      </c>
      <c r="F1892" s="76" t="s">
        <v>65</v>
      </c>
      <c r="G1892" s="76" t="s">
        <v>2889</v>
      </c>
      <c r="H1892" s="76"/>
      <c r="I1892" s="77" t="s">
        <v>66</v>
      </c>
      <c r="J1892" s="75" t="s">
        <v>67</v>
      </c>
      <c r="K1892" s="75" t="s">
        <v>2890</v>
      </c>
      <c r="L1892" s="75" t="s">
        <v>68</v>
      </c>
      <c r="M1892" s="75" t="s">
        <v>70</v>
      </c>
      <c r="N1892" s="573"/>
      <c r="O1892" s="556"/>
      <c r="P1892" s="573"/>
      <c r="Q1892" s="556"/>
      <c r="R1892" s="582"/>
    </row>
    <row r="1893" ht="46.25" customHeight="1" spans="1:18">
      <c r="A1893" s="556"/>
      <c r="B1893" s="557"/>
      <c r="C1893" s="569" t="s">
        <v>2891</v>
      </c>
      <c r="D1893" s="570" t="s">
        <v>658</v>
      </c>
      <c r="E1893" s="569" t="s">
        <v>132</v>
      </c>
      <c r="F1893" s="569" t="s">
        <v>659</v>
      </c>
      <c r="G1893" s="569" t="s">
        <v>3505</v>
      </c>
      <c r="H1893" s="569"/>
      <c r="I1893" s="577" t="s">
        <v>134</v>
      </c>
      <c r="J1893" s="578">
        <v>1</v>
      </c>
      <c r="K1893" s="579"/>
      <c r="L1893" s="579">
        <v>10121.34</v>
      </c>
      <c r="M1893" s="579">
        <v>10121.34</v>
      </c>
      <c r="N1893" s="573"/>
      <c r="O1893" s="556"/>
      <c r="P1893" s="573"/>
      <c r="Q1893" s="556"/>
      <c r="R1893" s="582"/>
    </row>
    <row r="1894" ht="76.5" spans="1:18">
      <c r="A1894" s="556"/>
      <c r="B1894" s="557" t="str">
        <f>C1893</f>
        <v>Composição</v>
      </c>
      <c r="C1894" s="79" t="s">
        <v>2921</v>
      </c>
      <c r="D1894" s="78" t="s">
        <v>3528</v>
      </c>
      <c r="E1894" s="79" t="s">
        <v>77</v>
      </c>
      <c r="F1894" s="79" t="s">
        <v>3529</v>
      </c>
      <c r="G1894" s="79">
        <v>14</v>
      </c>
      <c r="H1894" s="79"/>
      <c r="I1894" s="80" t="s">
        <v>141</v>
      </c>
      <c r="J1894" s="583">
        <v>5.52</v>
      </c>
      <c r="K1894" s="583">
        <v>0</v>
      </c>
      <c r="L1894" s="92">
        <v>1453.38</v>
      </c>
      <c r="M1894" s="92">
        <v>8022.65</v>
      </c>
      <c r="N1894" s="573">
        <v>64.58</v>
      </c>
      <c r="O1894" s="556" t="str">
        <f>IF(N1894=M1894,"OK","DIF")</f>
        <v>DIF</v>
      </c>
      <c r="P1894" s="573"/>
      <c r="Q1894" s="556"/>
      <c r="R1894" s="582"/>
    </row>
    <row r="1895" ht="25.5" spans="1:18">
      <c r="A1895" s="556" t="str">
        <f>B1895</f>
        <v>Composição</v>
      </c>
      <c r="B1895" s="557" t="str">
        <f>B1894</f>
        <v>Composição</v>
      </c>
      <c r="C1895" s="79" t="s">
        <v>2921</v>
      </c>
      <c r="D1895" s="78" t="s">
        <v>3530</v>
      </c>
      <c r="E1895" s="79" t="s">
        <v>77</v>
      </c>
      <c r="F1895" s="79" t="s">
        <v>3531</v>
      </c>
      <c r="G1895" s="79">
        <v>14</v>
      </c>
      <c r="H1895" s="79"/>
      <c r="I1895" s="80" t="s">
        <v>141</v>
      </c>
      <c r="J1895" s="583">
        <v>5.52</v>
      </c>
      <c r="K1895" s="583">
        <v>0</v>
      </c>
      <c r="L1895" s="92">
        <v>339.9</v>
      </c>
      <c r="M1895" s="92">
        <v>1876.24</v>
      </c>
      <c r="N1895" s="573">
        <v>3.09</v>
      </c>
      <c r="O1895" s="556" t="str">
        <f>IF(N1895=M1895,"OK","DIF")</f>
        <v>DIF</v>
      </c>
      <c r="P1895" s="573"/>
      <c r="Q1895" s="556"/>
      <c r="R1895" s="582"/>
    </row>
    <row r="1896" ht="35.05" customHeight="1" spans="1:18">
      <c r="A1896" s="556" t="str">
        <f>B1896</f>
        <v>Composição</v>
      </c>
      <c r="B1896" s="557" t="str">
        <f>B1895</f>
        <v>Composição</v>
      </c>
      <c r="C1896" s="79" t="s">
        <v>2921</v>
      </c>
      <c r="D1896" s="78" t="s">
        <v>3532</v>
      </c>
      <c r="E1896" s="79" t="s">
        <v>139</v>
      </c>
      <c r="F1896" s="79" t="s">
        <v>3533</v>
      </c>
      <c r="G1896" s="79" t="s">
        <v>3025</v>
      </c>
      <c r="H1896" s="79"/>
      <c r="I1896" s="80" t="s">
        <v>134</v>
      </c>
      <c r="J1896" s="583">
        <v>1</v>
      </c>
      <c r="K1896" s="583">
        <v>0</v>
      </c>
      <c r="L1896" s="92">
        <v>222.45</v>
      </c>
      <c r="M1896" s="92">
        <v>222.45</v>
      </c>
      <c r="N1896" s="573">
        <v>2.59</v>
      </c>
      <c r="O1896" s="556" t="str">
        <f>IF(N1896=M1896,"OK","DIF")</f>
        <v>DIF</v>
      </c>
      <c r="P1896" s="573"/>
      <c r="Q1896" s="556"/>
      <c r="R1896" s="582"/>
    </row>
    <row r="1897" ht="25.5" spans="1:18">
      <c r="A1897" s="556" t="str">
        <f>B1897</f>
        <v>Composição</v>
      </c>
      <c r="B1897" s="557" t="str">
        <f>B1896</f>
        <v>Composição</v>
      </c>
      <c r="C1897" s="108"/>
      <c r="D1897" s="108"/>
      <c r="E1897" s="108"/>
      <c r="F1897" s="108"/>
      <c r="G1897" s="108"/>
      <c r="H1897" s="108" t="s">
        <v>2898</v>
      </c>
      <c r="I1897" s="581">
        <v>975.38</v>
      </c>
      <c r="J1897" s="108" t="s">
        <v>2899</v>
      </c>
      <c r="K1897" s="581">
        <v>0</v>
      </c>
      <c r="L1897" s="108" t="s">
        <v>2900</v>
      </c>
      <c r="M1897" s="581">
        <v>975.38</v>
      </c>
      <c r="N1897" s="573">
        <v>58.9</v>
      </c>
      <c r="O1897" s="556" t="str">
        <f>IF(N1897=M1897,"OK","DIF")</f>
        <v>DIF</v>
      </c>
      <c r="P1897" s="573"/>
      <c r="Q1897" s="556"/>
      <c r="R1897" s="582"/>
    </row>
    <row r="1898" ht="26.25" spans="1:18">
      <c r="A1898" s="556"/>
      <c r="B1898" s="557"/>
      <c r="C1898" s="108"/>
      <c r="D1898" s="108"/>
      <c r="E1898" s="108"/>
      <c r="F1898" s="108"/>
      <c r="G1898" s="108"/>
      <c r="H1898" s="108" t="s">
        <v>2901</v>
      </c>
      <c r="I1898" s="581">
        <v>2579.92</v>
      </c>
      <c r="J1898" s="114"/>
      <c r="K1898" s="114" t="s">
        <v>2902</v>
      </c>
      <c r="L1898" s="108"/>
      <c r="M1898" s="581">
        <v>12701.26</v>
      </c>
      <c r="N1898" s="573"/>
      <c r="O1898" s="556"/>
      <c r="P1898" s="573"/>
      <c r="Q1898" s="556"/>
      <c r="R1898" s="582"/>
    </row>
    <row r="1899" ht="15" spans="1:18">
      <c r="A1899" s="556"/>
      <c r="B1899" s="557"/>
      <c r="C1899" s="571"/>
      <c r="D1899" s="571"/>
      <c r="E1899" s="571"/>
      <c r="F1899" s="571"/>
      <c r="G1899" s="571"/>
      <c r="H1899" s="571"/>
      <c r="I1899" s="571"/>
      <c r="J1899" s="571"/>
      <c r="K1899" s="571"/>
      <c r="L1899" s="571"/>
      <c r="M1899" s="571"/>
      <c r="N1899" s="573"/>
      <c r="O1899" s="556"/>
      <c r="P1899" s="573"/>
      <c r="Q1899" s="556"/>
      <c r="R1899" s="582"/>
    </row>
    <row r="1900" ht="15" customHeight="1" spans="1:18">
      <c r="A1900" s="556"/>
      <c r="B1900" s="557">
        <f>C1899</f>
        <v>0</v>
      </c>
      <c r="C1900" s="76" t="s">
        <v>660</v>
      </c>
      <c r="D1900" s="75" t="s">
        <v>63</v>
      </c>
      <c r="E1900" s="76" t="s">
        <v>64</v>
      </c>
      <c r="F1900" s="76" t="s">
        <v>65</v>
      </c>
      <c r="G1900" s="76" t="s">
        <v>2889</v>
      </c>
      <c r="H1900" s="76"/>
      <c r="I1900" s="77" t="s">
        <v>66</v>
      </c>
      <c r="J1900" s="75" t="s">
        <v>67</v>
      </c>
      <c r="K1900" s="75" t="s">
        <v>2890</v>
      </c>
      <c r="L1900" s="75" t="s">
        <v>68</v>
      </c>
      <c r="M1900" s="75" t="s">
        <v>70</v>
      </c>
      <c r="N1900" s="573">
        <v>82.38</v>
      </c>
      <c r="O1900" s="556" t="str">
        <f>IF(N1900=M1900,"OK","DIF")</f>
        <v>DIF</v>
      </c>
      <c r="P1900" s="573"/>
      <c r="Q1900" s="556"/>
      <c r="R1900" s="582"/>
    </row>
    <row r="1901" ht="35.05" customHeight="1" spans="1:18">
      <c r="A1901" s="556">
        <f>B1901</f>
        <v>0</v>
      </c>
      <c r="B1901" s="557">
        <f>B1900</f>
        <v>0</v>
      </c>
      <c r="C1901" s="569" t="s">
        <v>2891</v>
      </c>
      <c r="D1901" s="570" t="s">
        <v>661</v>
      </c>
      <c r="E1901" s="569" t="s">
        <v>132</v>
      </c>
      <c r="F1901" s="569" t="s">
        <v>662</v>
      </c>
      <c r="G1901" s="569" t="s">
        <v>3505</v>
      </c>
      <c r="H1901" s="569"/>
      <c r="I1901" s="577" t="s">
        <v>134</v>
      </c>
      <c r="J1901" s="578">
        <v>1</v>
      </c>
      <c r="K1901" s="579"/>
      <c r="L1901" s="579">
        <v>6755.4</v>
      </c>
      <c r="M1901" s="579">
        <v>6755.4</v>
      </c>
      <c r="N1901" s="573">
        <v>3.09</v>
      </c>
      <c r="O1901" s="556" t="str">
        <f>IF(N1901=M1901,"OK","DIF")</f>
        <v>DIF</v>
      </c>
      <c r="P1901" s="573"/>
      <c r="Q1901" s="556"/>
      <c r="R1901" s="582"/>
    </row>
    <row r="1902" ht="25.5" spans="1:18">
      <c r="A1902" s="556">
        <f>B1902</f>
        <v>0</v>
      </c>
      <c r="B1902" s="557">
        <f>B1901</f>
        <v>0</v>
      </c>
      <c r="C1902" s="79" t="s">
        <v>2921</v>
      </c>
      <c r="D1902" s="78" t="s">
        <v>3530</v>
      </c>
      <c r="E1902" s="79" t="s">
        <v>77</v>
      </c>
      <c r="F1902" s="79" t="s">
        <v>3531</v>
      </c>
      <c r="G1902" s="79">
        <v>14</v>
      </c>
      <c r="H1902" s="79"/>
      <c r="I1902" s="80" t="s">
        <v>141</v>
      </c>
      <c r="J1902" s="583">
        <v>1.92</v>
      </c>
      <c r="K1902" s="583">
        <v>0</v>
      </c>
      <c r="L1902" s="92">
        <v>339.9</v>
      </c>
      <c r="M1902" s="92">
        <v>652.6</v>
      </c>
      <c r="N1902" s="573">
        <v>2.59</v>
      </c>
      <c r="O1902" s="556" t="str">
        <f>IF(N1902=M1902,"OK","DIF")</f>
        <v>DIF</v>
      </c>
      <c r="P1902" s="573"/>
      <c r="Q1902" s="556"/>
      <c r="R1902" s="582"/>
    </row>
    <row r="1903" ht="76.5" spans="1:18">
      <c r="A1903" s="556">
        <f>B1903</f>
        <v>0</v>
      </c>
      <c r="B1903" s="557">
        <f>B1902</f>
        <v>0</v>
      </c>
      <c r="C1903" s="79" t="s">
        <v>2921</v>
      </c>
      <c r="D1903" s="78" t="s">
        <v>3528</v>
      </c>
      <c r="E1903" s="79" t="s">
        <v>77</v>
      </c>
      <c r="F1903" s="79" t="s">
        <v>3529</v>
      </c>
      <c r="G1903" s="79">
        <v>14</v>
      </c>
      <c r="H1903" s="79"/>
      <c r="I1903" s="80" t="s">
        <v>141</v>
      </c>
      <c r="J1903" s="583">
        <v>3.84</v>
      </c>
      <c r="K1903" s="583">
        <v>0</v>
      </c>
      <c r="L1903" s="92">
        <v>1453.38</v>
      </c>
      <c r="M1903" s="92">
        <v>5580.97</v>
      </c>
      <c r="N1903" s="573">
        <v>76.7</v>
      </c>
      <c r="O1903" s="556" t="str">
        <f>IF(N1903=M1903,"OK","DIF")</f>
        <v>DIF</v>
      </c>
      <c r="P1903" s="573"/>
      <c r="Q1903" s="556"/>
      <c r="R1903" s="582"/>
    </row>
    <row r="1904" ht="35.05" customHeight="1" spans="1:18">
      <c r="A1904" s="556"/>
      <c r="B1904" s="557"/>
      <c r="C1904" s="79" t="s">
        <v>2921</v>
      </c>
      <c r="D1904" s="78" t="s">
        <v>3532</v>
      </c>
      <c r="E1904" s="79" t="s">
        <v>139</v>
      </c>
      <c r="F1904" s="79" t="s">
        <v>3533</v>
      </c>
      <c r="G1904" s="79" t="s">
        <v>3025</v>
      </c>
      <c r="H1904" s="79"/>
      <c r="I1904" s="80" t="s">
        <v>134</v>
      </c>
      <c r="J1904" s="583">
        <v>1</v>
      </c>
      <c r="K1904" s="583">
        <v>0</v>
      </c>
      <c r="L1904" s="92">
        <v>222.45</v>
      </c>
      <c r="M1904" s="92">
        <v>222.45</v>
      </c>
      <c r="N1904" s="573"/>
      <c r="O1904" s="556"/>
      <c r="P1904" s="573"/>
      <c r="Q1904" s="556"/>
      <c r="R1904" s="582"/>
    </row>
    <row r="1905" ht="35.05" customHeight="1" spans="1:18">
      <c r="A1905" s="556"/>
      <c r="B1905" s="557"/>
      <c r="C1905" s="100" t="s">
        <v>2893</v>
      </c>
      <c r="D1905" s="99" t="s">
        <v>3534</v>
      </c>
      <c r="E1905" s="100" t="s">
        <v>139</v>
      </c>
      <c r="F1905" s="100" t="s">
        <v>3535</v>
      </c>
      <c r="G1905" s="100" t="s">
        <v>2961</v>
      </c>
      <c r="H1905" s="100"/>
      <c r="I1905" s="101" t="s">
        <v>393</v>
      </c>
      <c r="J1905" s="580">
        <v>6.85714</v>
      </c>
      <c r="K1905" s="580">
        <v>0</v>
      </c>
      <c r="L1905" s="102">
        <v>43.66</v>
      </c>
      <c r="M1905" s="102">
        <v>299.38</v>
      </c>
      <c r="N1905" s="573"/>
      <c r="O1905" s="556"/>
      <c r="P1905" s="573"/>
      <c r="Q1905" s="556"/>
      <c r="R1905" s="582"/>
    </row>
    <row r="1906" ht="25.5" spans="1:18">
      <c r="A1906" s="556"/>
      <c r="B1906" s="557" t="str">
        <f>C1905</f>
        <v>Insumo</v>
      </c>
      <c r="C1906" s="108"/>
      <c r="D1906" s="108"/>
      <c r="E1906" s="108"/>
      <c r="F1906" s="108"/>
      <c r="G1906" s="108"/>
      <c r="H1906" s="108" t="s">
        <v>2898</v>
      </c>
      <c r="I1906" s="581">
        <v>690.57</v>
      </c>
      <c r="J1906" s="108" t="s">
        <v>2899</v>
      </c>
      <c r="K1906" s="581">
        <v>0</v>
      </c>
      <c r="L1906" s="108" t="s">
        <v>2900</v>
      </c>
      <c r="M1906" s="581">
        <v>690.57</v>
      </c>
      <c r="N1906" s="573">
        <v>64.9</v>
      </c>
      <c r="O1906" s="556" t="str">
        <f>IF(N1906=M1906,"OK","DIF")</f>
        <v>DIF</v>
      </c>
      <c r="P1906" s="573"/>
      <c r="Q1906" s="556"/>
      <c r="R1906" s="582"/>
    </row>
    <row r="1907" ht="26.25" spans="1:18">
      <c r="A1907" s="556" t="str">
        <f>B1907</f>
        <v>Insumo</v>
      </c>
      <c r="B1907" s="557" t="str">
        <f>B1906</f>
        <v>Insumo</v>
      </c>
      <c r="C1907" s="108"/>
      <c r="D1907" s="108"/>
      <c r="E1907" s="108"/>
      <c r="F1907" s="108"/>
      <c r="G1907" s="108"/>
      <c r="H1907" s="108" t="s">
        <v>2901</v>
      </c>
      <c r="I1907" s="581">
        <v>1721.95</v>
      </c>
      <c r="J1907" s="114"/>
      <c r="K1907" s="114" t="s">
        <v>2902</v>
      </c>
      <c r="L1907" s="108"/>
      <c r="M1907" s="581">
        <v>8477.35</v>
      </c>
      <c r="N1907" s="573">
        <v>3.09</v>
      </c>
      <c r="O1907" s="556" t="str">
        <f>IF(N1907=M1907,"OK","DIF")</f>
        <v>DIF</v>
      </c>
      <c r="P1907" s="573"/>
      <c r="Q1907" s="556"/>
      <c r="R1907" s="582"/>
    </row>
    <row r="1908" ht="15" spans="1:18">
      <c r="A1908" s="556" t="str">
        <f>B1908</f>
        <v>Insumo</v>
      </c>
      <c r="B1908" s="557" t="str">
        <f>B1907</f>
        <v>Insumo</v>
      </c>
      <c r="C1908" s="571"/>
      <c r="D1908" s="571"/>
      <c r="E1908" s="571"/>
      <c r="F1908" s="571"/>
      <c r="G1908" s="571"/>
      <c r="H1908" s="571"/>
      <c r="I1908" s="571"/>
      <c r="J1908" s="571"/>
      <c r="K1908" s="571"/>
      <c r="L1908" s="571"/>
      <c r="M1908" s="571"/>
      <c r="N1908" s="573">
        <v>2.59</v>
      </c>
      <c r="O1908" s="556" t="str">
        <f>IF(N1908=M1908,"OK","DIF")</f>
        <v>DIF</v>
      </c>
      <c r="P1908" s="573"/>
      <c r="Q1908" s="556"/>
      <c r="R1908" s="582"/>
    </row>
    <row r="1909" ht="15" customHeight="1" spans="1:18">
      <c r="A1909" s="556" t="str">
        <f>B1909</f>
        <v>Insumo</v>
      </c>
      <c r="B1909" s="557" t="str">
        <f>B1908</f>
        <v>Insumo</v>
      </c>
      <c r="C1909" s="76" t="s">
        <v>663</v>
      </c>
      <c r="D1909" s="75" t="s">
        <v>63</v>
      </c>
      <c r="E1909" s="76" t="s">
        <v>64</v>
      </c>
      <c r="F1909" s="76" t="s">
        <v>65</v>
      </c>
      <c r="G1909" s="76" t="s">
        <v>2889</v>
      </c>
      <c r="H1909" s="76"/>
      <c r="I1909" s="77" t="s">
        <v>66</v>
      </c>
      <c r="J1909" s="75" t="s">
        <v>67</v>
      </c>
      <c r="K1909" s="75" t="s">
        <v>2890</v>
      </c>
      <c r="L1909" s="75" t="s">
        <v>68</v>
      </c>
      <c r="M1909" s="75" t="s">
        <v>70</v>
      </c>
      <c r="N1909" s="573">
        <v>59.22</v>
      </c>
      <c r="O1909" s="556" t="str">
        <f>IF(N1909=M1909,"OK","DIF")</f>
        <v>DIF</v>
      </c>
      <c r="P1909" s="573"/>
      <c r="Q1909" s="556"/>
      <c r="R1909" s="582"/>
    </row>
    <row r="1910" ht="46.25" customHeight="1" spans="1:18">
      <c r="A1910" s="556"/>
      <c r="B1910" s="557"/>
      <c r="C1910" s="569" t="s">
        <v>2891</v>
      </c>
      <c r="D1910" s="570" t="s">
        <v>664</v>
      </c>
      <c r="E1910" s="569" t="s">
        <v>132</v>
      </c>
      <c r="F1910" s="569" t="s">
        <v>665</v>
      </c>
      <c r="G1910" s="569" t="s">
        <v>3505</v>
      </c>
      <c r="H1910" s="569"/>
      <c r="I1910" s="577" t="s">
        <v>134</v>
      </c>
      <c r="J1910" s="578">
        <v>1</v>
      </c>
      <c r="K1910" s="579"/>
      <c r="L1910" s="579">
        <v>5122.16</v>
      </c>
      <c r="M1910" s="579">
        <v>5122.16</v>
      </c>
      <c r="N1910" s="573"/>
      <c r="O1910" s="556"/>
      <c r="P1910" s="573"/>
      <c r="Q1910" s="556"/>
      <c r="R1910" s="582"/>
    </row>
    <row r="1911" ht="25.5" spans="1:18">
      <c r="A1911" s="556"/>
      <c r="B1911" s="557"/>
      <c r="C1911" s="79" t="s">
        <v>2921</v>
      </c>
      <c r="D1911" s="78" t="s">
        <v>3536</v>
      </c>
      <c r="E1911" s="79" t="s">
        <v>77</v>
      </c>
      <c r="F1911" s="79" t="s">
        <v>3531</v>
      </c>
      <c r="G1911" s="79">
        <v>14</v>
      </c>
      <c r="H1911" s="79"/>
      <c r="I1911" s="80" t="s">
        <v>141</v>
      </c>
      <c r="J1911" s="583">
        <v>1.44</v>
      </c>
      <c r="K1911" s="583">
        <v>0</v>
      </c>
      <c r="L1911" s="92">
        <v>339.9</v>
      </c>
      <c r="M1911" s="92">
        <v>489.45</v>
      </c>
      <c r="N1911" s="573"/>
      <c r="O1911" s="556"/>
      <c r="P1911" s="573"/>
      <c r="Q1911" s="556"/>
      <c r="R1911" s="582"/>
    </row>
    <row r="1912" ht="35.05" customHeight="1" spans="1:18">
      <c r="A1912" s="556"/>
      <c r="B1912" s="557" t="str">
        <f>C1911</f>
        <v>Composição Auxiliar</v>
      </c>
      <c r="C1912" s="79" t="s">
        <v>2921</v>
      </c>
      <c r="D1912" s="78" t="s">
        <v>3532</v>
      </c>
      <c r="E1912" s="79" t="s">
        <v>139</v>
      </c>
      <c r="F1912" s="79" t="s">
        <v>3533</v>
      </c>
      <c r="G1912" s="79" t="s">
        <v>3025</v>
      </c>
      <c r="H1912" s="79"/>
      <c r="I1912" s="80" t="s">
        <v>134</v>
      </c>
      <c r="J1912" s="583">
        <v>1</v>
      </c>
      <c r="K1912" s="583">
        <v>0</v>
      </c>
      <c r="L1912" s="92">
        <v>222.45</v>
      </c>
      <c r="M1912" s="92">
        <v>222.45</v>
      </c>
      <c r="N1912" s="573">
        <v>154.33</v>
      </c>
      <c r="O1912" s="556" t="str">
        <f>IF(N1912=M1912,"OK","DIF")</f>
        <v>DIF</v>
      </c>
      <c r="P1912" s="573"/>
      <c r="Q1912" s="556"/>
      <c r="R1912" s="582"/>
    </row>
    <row r="1913" ht="76.5" spans="1:18">
      <c r="A1913" s="556" t="str">
        <f>B1913</f>
        <v>Composição Auxiliar</v>
      </c>
      <c r="B1913" s="557" t="str">
        <f>B1912</f>
        <v>Composição Auxiliar</v>
      </c>
      <c r="C1913" s="79" t="s">
        <v>2921</v>
      </c>
      <c r="D1913" s="78" t="s">
        <v>3528</v>
      </c>
      <c r="E1913" s="79" t="s">
        <v>77</v>
      </c>
      <c r="F1913" s="79" t="s">
        <v>3529</v>
      </c>
      <c r="G1913" s="79">
        <v>14</v>
      </c>
      <c r="H1913" s="79"/>
      <c r="I1913" s="80" t="s">
        <v>141</v>
      </c>
      <c r="J1913" s="583">
        <v>2.88</v>
      </c>
      <c r="K1913" s="583">
        <v>0</v>
      </c>
      <c r="L1913" s="92">
        <v>1453.38</v>
      </c>
      <c r="M1913" s="92">
        <v>4185.73</v>
      </c>
      <c r="N1913" s="573">
        <v>27.3</v>
      </c>
      <c r="O1913" s="556" t="str">
        <f>IF(N1913=M1913,"OK","DIF")</f>
        <v>DIF</v>
      </c>
      <c r="P1913" s="573"/>
      <c r="Q1913" s="556"/>
      <c r="R1913" s="582"/>
    </row>
    <row r="1914" ht="35.05" customHeight="1" spans="1:18">
      <c r="A1914" s="556" t="str">
        <f>B1914</f>
        <v>Composição Auxiliar</v>
      </c>
      <c r="B1914" s="557" t="str">
        <f>B1913</f>
        <v>Composição Auxiliar</v>
      </c>
      <c r="C1914" s="100" t="s">
        <v>2893</v>
      </c>
      <c r="D1914" s="99" t="s">
        <v>3534</v>
      </c>
      <c r="E1914" s="100" t="s">
        <v>139</v>
      </c>
      <c r="F1914" s="100" t="s">
        <v>3535</v>
      </c>
      <c r="G1914" s="100" t="s">
        <v>2961</v>
      </c>
      <c r="H1914" s="100"/>
      <c r="I1914" s="101" t="s">
        <v>393</v>
      </c>
      <c r="J1914" s="580">
        <v>5.14285</v>
      </c>
      <c r="K1914" s="580">
        <v>0</v>
      </c>
      <c r="L1914" s="102">
        <v>43.66</v>
      </c>
      <c r="M1914" s="102">
        <v>224.53</v>
      </c>
      <c r="N1914" s="573">
        <v>22.11</v>
      </c>
      <c r="O1914" s="556" t="str">
        <f>IF(N1914=M1914,"OK","DIF")</f>
        <v>DIF</v>
      </c>
      <c r="P1914" s="573"/>
      <c r="Q1914" s="556"/>
      <c r="R1914" s="582"/>
    </row>
    <row r="1915" ht="25.5" spans="1:18">
      <c r="A1915" s="556" t="str">
        <f>B1915</f>
        <v>Composição Auxiliar</v>
      </c>
      <c r="B1915" s="557" t="str">
        <f>B1914</f>
        <v>Composição Auxiliar</v>
      </c>
      <c r="C1915" s="108"/>
      <c r="D1915" s="108"/>
      <c r="E1915" s="108"/>
      <c r="F1915" s="108"/>
      <c r="G1915" s="108"/>
      <c r="H1915" s="108" t="s">
        <v>2898</v>
      </c>
      <c r="I1915" s="581">
        <v>527.82</v>
      </c>
      <c r="J1915" s="108" t="s">
        <v>2899</v>
      </c>
      <c r="K1915" s="581">
        <v>0</v>
      </c>
      <c r="L1915" s="108" t="s">
        <v>2900</v>
      </c>
      <c r="M1915" s="581">
        <v>527.82</v>
      </c>
      <c r="N1915" s="573">
        <v>0.03</v>
      </c>
      <c r="O1915" s="556" t="str">
        <f>IF(N1915=M1915,"OK","DIF")</f>
        <v>DIF</v>
      </c>
      <c r="P1915" s="573"/>
      <c r="Q1915" s="556"/>
      <c r="R1915" s="582"/>
    </row>
    <row r="1916" ht="26.25" spans="1:18">
      <c r="A1916" s="556" t="str">
        <f>B1916</f>
        <v>Composição Auxiliar</v>
      </c>
      <c r="B1916" s="557" t="str">
        <f>B1915</f>
        <v>Composição Auxiliar</v>
      </c>
      <c r="C1916" s="108"/>
      <c r="D1916" s="108"/>
      <c r="E1916" s="108"/>
      <c r="F1916" s="108"/>
      <c r="G1916" s="108"/>
      <c r="H1916" s="108" t="s">
        <v>2901</v>
      </c>
      <c r="I1916" s="581">
        <v>1305.63</v>
      </c>
      <c r="J1916" s="114"/>
      <c r="K1916" s="114" t="s">
        <v>2902</v>
      </c>
      <c r="L1916" s="108"/>
      <c r="M1916" s="581">
        <v>6427.79</v>
      </c>
      <c r="N1916" s="573">
        <v>104.89</v>
      </c>
      <c r="O1916" s="556" t="str">
        <f>IF(N1916=M1916,"OK","DIF")</f>
        <v>DIF</v>
      </c>
      <c r="P1916" s="573"/>
      <c r="Q1916" s="556"/>
      <c r="R1916" s="582"/>
    </row>
    <row r="1917" ht="15" spans="1:18">
      <c r="A1917" s="556"/>
      <c r="B1917" s="557"/>
      <c r="C1917" s="571"/>
      <c r="D1917" s="571"/>
      <c r="E1917" s="571"/>
      <c r="F1917" s="571"/>
      <c r="G1917" s="571"/>
      <c r="H1917" s="571"/>
      <c r="I1917" s="571"/>
      <c r="J1917" s="571"/>
      <c r="K1917" s="571"/>
      <c r="L1917" s="571"/>
      <c r="M1917" s="571"/>
      <c r="N1917" s="573"/>
      <c r="O1917" s="556"/>
      <c r="P1917" s="573"/>
      <c r="Q1917" s="556"/>
      <c r="R1917" s="582"/>
    </row>
    <row r="1918" ht="15" customHeight="1" spans="1:18">
      <c r="A1918" s="556"/>
      <c r="B1918" s="557"/>
      <c r="C1918" s="76" t="s">
        <v>666</v>
      </c>
      <c r="D1918" s="75" t="s">
        <v>63</v>
      </c>
      <c r="E1918" s="76" t="s">
        <v>64</v>
      </c>
      <c r="F1918" s="76" t="s">
        <v>65</v>
      </c>
      <c r="G1918" s="76" t="s">
        <v>2889</v>
      </c>
      <c r="H1918" s="76"/>
      <c r="I1918" s="77" t="s">
        <v>66</v>
      </c>
      <c r="J1918" s="75" t="s">
        <v>67</v>
      </c>
      <c r="K1918" s="75" t="s">
        <v>2890</v>
      </c>
      <c r="L1918" s="75" t="s">
        <v>68</v>
      </c>
      <c r="M1918" s="75" t="s">
        <v>70</v>
      </c>
      <c r="N1918" s="573"/>
      <c r="O1918" s="556"/>
      <c r="P1918" s="573"/>
      <c r="Q1918" s="556"/>
      <c r="R1918" s="582"/>
    </row>
    <row r="1919" ht="46.25" customHeight="1" spans="1:18">
      <c r="A1919" s="556"/>
      <c r="B1919" s="557" t="str">
        <f>C1918</f>
        <v> 10.1.15 </v>
      </c>
      <c r="C1919" s="569" t="s">
        <v>2891</v>
      </c>
      <c r="D1919" s="570" t="s">
        <v>667</v>
      </c>
      <c r="E1919" s="569" t="s">
        <v>132</v>
      </c>
      <c r="F1919" s="569" t="s">
        <v>668</v>
      </c>
      <c r="G1919" s="569" t="s">
        <v>3505</v>
      </c>
      <c r="H1919" s="569"/>
      <c r="I1919" s="577" t="s">
        <v>134</v>
      </c>
      <c r="J1919" s="578">
        <v>1</v>
      </c>
      <c r="K1919" s="579"/>
      <c r="L1919" s="579">
        <v>11655.14</v>
      </c>
      <c r="M1919" s="579">
        <v>11655.14</v>
      </c>
      <c r="N1919" s="573">
        <v>29.25</v>
      </c>
      <c r="O1919" s="556" t="str">
        <f>IF(N1919=M1919,"OK","DIF")</f>
        <v>DIF</v>
      </c>
      <c r="P1919" s="573"/>
      <c r="Q1919" s="556"/>
      <c r="R1919" s="582"/>
    </row>
    <row r="1920" ht="35.05" customHeight="1" spans="1:18">
      <c r="A1920" s="556" t="str">
        <f>B1920</f>
        <v> 10.1.15 </v>
      </c>
      <c r="B1920" s="557" t="str">
        <f>B1919</f>
        <v> 10.1.15 </v>
      </c>
      <c r="C1920" s="79" t="s">
        <v>2921</v>
      </c>
      <c r="D1920" s="78" t="s">
        <v>3532</v>
      </c>
      <c r="E1920" s="79" t="s">
        <v>139</v>
      </c>
      <c r="F1920" s="79" t="s">
        <v>3533</v>
      </c>
      <c r="G1920" s="79" t="s">
        <v>3025</v>
      </c>
      <c r="H1920" s="79"/>
      <c r="I1920" s="80" t="s">
        <v>134</v>
      </c>
      <c r="J1920" s="583">
        <v>1</v>
      </c>
      <c r="K1920" s="583">
        <v>0</v>
      </c>
      <c r="L1920" s="92">
        <v>222.45</v>
      </c>
      <c r="M1920" s="92">
        <v>222.45</v>
      </c>
      <c r="N1920" s="573">
        <v>29.25</v>
      </c>
      <c r="O1920" s="556" t="str">
        <f>IF(N1920=M1920,"OK","DIF")</f>
        <v>DIF</v>
      </c>
      <c r="P1920" s="573"/>
      <c r="Q1920" s="556"/>
      <c r="R1920" s="582"/>
    </row>
    <row r="1921" ht="76.5" spans="1:18">
      <c r="A1921" s="556"/>
      <c r="B1921" s="557"/>
      <c r="C1921" s="79" t="s">
        <v>2921</v>
      </c>
      <c r="D1921" s="78" t="s">
        <v>3528</v>
      </c>
      <c r="E1921" s="79" t="s">
        <v>77</v>
      </c>
      <c r="F1921" s="79" t="s">
        <v>3529</v>
      </c>
      <c r="G1921" s="79">
        <v>14</v>
      </c>
      <c r="H1921" s="79"/>
      <c r="I1921" s="80" t="s">
        <v>141</v>
      </c>
      <c r="J1921" s="583">
        <v>6.72</v>
      </c>
      <c r="K1921" s="583">
        <v>0</v>
      </c>
      <c r="L1921" s="92">
        <v>1453.38</v>
      </c>
      <c r="M1921" s="92">
        <v>9766.71</v>
      </c>
      <c r="N1921" s="573"/>
      <c r="O1921" s="556"/>
      <c r="P1921" s="573"/>
      <c r="Q1921" s="556"/>
      <c r="R1921" s="582"/>
    </row>
    <row r="1922" ht="25.5" spans="1:18">
      <c r="A1922" s="556"/>
      <c r="B1922" s="557"/>
      <c r="C1922" s="79" t="s">
        <v>2921</v>
      </c>
      <c r="D1922" s="78" t="s">
        <v>3530</v>
      </c>
      <c r="E1922" s="79" t="s">
        <v>77</v>
      </c>
      <c r="F1922" s="79" t="s">
        <v>3531</v>
      </c>
      <c r="G1922" s="79">
        <v>14</v>
      </c>
      <c r="H1922" s="79"/>
      <c r="I1922" s="80" t="s">
        <v>141</v>
      </c>
      <c r="J1922" s="583">
        <v>3.36</v>
      </c>
      <c r="K1922" s="583">
        <v>0</v>
      </c>
      <c r="L1922" s="92">
        <v>339.9</v>
      </c>
      <c r="M1922" s="92">
        <v>1142.06</v>
      </c>
      <c r="N1922" s="573"/>
      <c r="O1922" s="556"/>
      <c r="P1922" s="573"/>
      <c r="Q1922" s="556"/>
      <c r="R1922" s="582"/>
    </row>
    <row r="1923" ht="35.05" customHeight="1" spans="1:18">
      <c r="A1923" s="556"/>
      <c r="B1923" s="557" t="str">
        <f>C1922</f>
        <v>Composição Auxiliar</v>
      </c>
      <c r="C1923" s="100" t="s">
        <v>2893</v>
      </c>
      <c r="D1923" s="99" t="s">
        <v>3534</v>
      </c>
      <c r="E1923" s="100" t="s">
        <v>139</v>
      </c>
      <c r="F1923" s="100" t="s">
        <v>3535</v>
      </c>
      <c r="G1923" s="100" t="s">
        <v>2961</v>
      </c>
      <c r="H1923" s="100"/>
      <c r="I1923" s="101" t="s">
        <v>393</v>
      </c>
      <c r="J1923" s="580">
        <v>12</v>
      </c>
      <c r="K1923" s="580">
        <v>0</v>
      </c>
      <c r="L1923" s="102">
        <v>43.66</v>
      </c>
      <c r="M1923" s="102">
        <v>523.92</v>
      </c>
      <c r="N1923" s="573">
        <v>173.64</v>
      </c>
      <c r="O1923" s="556" t="str">
        <f t="shared" ref="O1923:O1931" si="214">IF(N1923=M1923,"OK","DIF")</f>
        <v>DIF</v>
      </c>
      <c r="P1923" s="573"/>
      <c r="Q1923" s="556"/>
      <c r="R1923" s="582"/>
    </row>
    <row r="1924" ht="25.5" spans="1:18">
      <c r="A1924" s="556" t="str">
        <f t="shared" ref="A1924:A1931" si="215">B1924</f>
        <v>Composição Auxiliar</v>
      </c>
      <c r="B1924" s="557" t="str">
        <f t="shared" ref="B1924:B1931" si="216">B1923</f>
        <v>Composição Auxiliar</v>
      </c>
      <c r="C1924" s="108"/>
      <c r="D1924" s="108"/>
      <c r="E1924" s="108"/>
      <c r="F1924" s="108"/>
      <c r="G1924" s="108"/>
      <c r="H1924" s="108" t="s">
        <v>2898</v>
      </c>
      <c r="I1924" s="581">
        <v>1178.82</v>
      </c>
      <c r="J1924" s="108" t="s">
        <v>2899</v>
      </c>
      <c r="K1924" s="581">
        <v>0</v>
      </c>
      <c r="L1924" s="108" t="s">
        <v>2900</v>
      </c>
      <c r="M1924" s="581">
        <v>1178.82</v>
      </c>
      <c r="N1924" s="573">
        <v>6.11</v>
      </c>
      <c r="O1924" s="556" t="str">
        <f t="shared" si="214"/>
        <v>DIF</v>
      </c>
      <c r="P1924" s="573"/>
      <c r="Q1924" s="556"/>
      <c r="R1924" s="582"/>
    </row>
    <row r="1925" ht="26.25" spans="1:18">
      <c r="A1925" s="556" t="str">
        <f t="shared" si="215"/>
        <v>Composição Auxiliar</v>
      </c>
      <c r="B1925" s="557" t="str">
        <f t="shared" si="216"/>
        <v>Composição Auxiliar</v>
      </c>
      <c r="C1925" s="108"/>
      <c r="D1925" s="108"/>
      <c r="E1925" s="108"/>
      <c r="F1925" s="108"/>
      <c r="G1925" s="108"/>
      <c r="H1925" s="108" t="s">
        <v>2901</v>
      </c>
      <c r="I1925" s="581">
        <v>2970.89</v>
      </c>
      <c r="J1925" s="114"/>
      <c r="K1925" s="114" t="s">
        <v>2902</v>
      </c>
      <c r="L1925" s="108"/>
      <c r="M1925" s="581">
        <v>14626.03</v>
      </c>
      <c r="N1925" s="573">
        <v>63.08</v>
      </c>
      <c r="O1925" s="556" t="str">
        <f t="shared" si="214"/>
        <v>DIF</v>
      </c>
      <c r="P1925" s="573"/>
      <c r="Q1925" s="556"/>
      <c r="R1925" s="582"/>
    </row>
    <row r="1926" ht="15" spans="1:18">
      <c r="A1926" s="556" t="str">
        <f t="shared" si="215"/>
        <v>Composição Auxiliar</v>
      </c>
      <c r="B1926" s="557" t="str">
        <f t="shared" si="216"/>
        <v>Composição Auxiliar</v>
      </c>
      <c r="C1926" s="571"/>
      <c r="D1926" s="571"/>
      <c r="E1926" s="571"/>
      <c r="F1926" s="571"/>
      <c r="G1926" s="571"/>
      <c r="H1926" s="571"/>
      <c r="I1926" s="571"/>
      <c r="J1926" s="571"/>
      <c r="K1926" s="571"/>
      <c r="L1926" s="571"/>
      <c r="M1926" s="571"/>
      <c r="N1926" s="573">
        <v>3.89</v>
      </c>
      <c r="O1926" s="556" t="str">
        <f t="shared" si="214"/>
        <v>DIF</v>
      </c>
      <c r="P1926" s="573"/>
      <c r="Q1926" s="556"/>
      <c r="R1926" s="582"/>
    </row>
    <row r="1927" ht="15" customHeight="1" spans="1:18">
      <c r="A1927" s="556" t="str">
        <f t="shared" si="215"/>
        <v>Composição Auxiliar</v>
      </c>
      <c r="B1927" s="557" t="str">
        <f t="shared" si="216"/>
        <v>Composição Auxiliar</v>
      </c>
      <c r="C1927" s="76" t="s">
        <v>669</v>
      </c>
      <c r="D1927" s="75" t="s">
        <v>63</v>
      </c>
      <c r="E1927" s="76" t="s">
        <v>64</v>
      </c>
      <c r="F1927" s="76" t="s">
        <v>65</v>
      </c>
      <c r="G1927" s="76" t="s">
        <v>2889</v>
      </c>
      <c r="H1927" s="76"/>
      <c r="I1927" s="77" t="s">
        <v>66</v>
      </c>
      <c r="J1927" s="75" t="s">
        <v>67</v>
      </c>
      <c r="K1927" s="75" t="s">
        <v>2890</v>
      </c>
      <c r="L1927" s="75" t="s">
        <v>68</v>
      </c>
      <c r="M1927" s="75" t="s">
        <v>70</v>
      </c>
      <c r="N1927" s="573">
        <v>87.24</v>
      </c>
      <c r="O1927" s="556" t="str">
        <f t="shared" si="214"/>
        <v>DIF</v>
      </c>
      <c r="P1927" s="573"/>
      <c r="Q1927" s="556"/>
      <c r="R1927" s="582"/>
    </row>
    <row r="1928" ht="35.05" customHeight="1" spans="1:18">
      <c r="A1928" s="556" t="str">
        <f t="shared" si="215"/>
        <v>Composição Auxiliar</v>
      </c>
      <c r="B1928" s="557" t="str">
        <f t="shared" si="216"/>
        <v>Composição Auxiliar</v>
      </c>
      <c r="C1928" s="569" t="s">
        <v>2891</v>
      </c>
      <c r="D1928" s="570" t="s">
        <v>670</v>
      </c>
      <c r="E1928" s="569" t="s">
        <v>132</v>
      </c>
      <c r="F1928" s="569" t="s">
        <v>671</v>
      </c>
      <c r="G1928" s="569" t="s">
        <v>3505</v>
      </c>
      <c r="H1928" s="569"/>
      <c r="I1928" s="577" t="s">
        <v>134</v>
      </c>
      <c r="J1928" s="578">
        <v>1</v>
      </c>
      <c r="K1928" s="579"/>
      <c r="L1928" s="579">
        <v>6232.12</v>
      </c>
      <c r="M1928" s="579">
        <v>6232.12</v>
      </c>
      <c r="N1928" s="573">
        <v>1.12</v>
      </c>
      <c r="O1928" s="556" t="str">
        <f t="shared" si="214"/>
        <v>DIF</v>
      </c>
      <c r="P1928" s="573"/>
      <c r="Q1928" s="556"/>
      <c r="R1928" s="582"/>
    </row>
    <row r="1929" ht="35.05" customHeight="1" spans="1:18">
      <c r="A1929" s="556" t="str">
        <f t="shared" si="215"/>
        <v>Composição Auxiliar</v>
      </c>
      <c r="B1929" s="557" t="str">
        <f t="shared" si="216"/>
        <v>Composição Auxiliar</v>
      </c>
      <c r="C1929" s="79" t="s">
        <v>2921</v>
      </c>
      <c r="D1929" s="78" t="s">
        <v>3532</v>
      </c>
      <c r="E1929" s="79" t="s">
        <v>139</v>
      </c>
      <c r="F1929" s="79" t="s">
        <v>3533</v>
      </c>
      <c r="G1929" s="79" t="s">
        <v>3025</v>
      </c>
      <c r="H1929" s="79"/>
      <c r="I1929" s="80" t="s">
        <v>134</v>
      </c>
      <c r="J1929" s="583">
        <v>1</v>
      </c>
      <c r="K1929" s="583">
        <v>0</v>
      </c>
      <c r="L1929" s="92">
        <v>222.45</v>
      </c>
      <c r="M1929" s="92">
        <v>222.45</v>
      </c>
      <c r="N1929" s="573">
        <v>9.52</v>
      </c>
      <c r="O1929" s="556" t="str">
        <f t="shared" si="214"/>
        <v>DIF</v>
      </c>
      <c r="P1929" s="573"/>
      <c r="Q1929" s="556"/>
      <c r="R1929" s="582"/>
    </row>
    <row r="1930" ht="51" spans="1:18">
      <c r="A1930" s="556" t="str">
        <f t="shared" si="215"/>
        <v>Composição Auxiliar</v>
      </c>
      <c r="B1930" s="557" t="str">
        <f t="shared" si="216"/>
        <v>Composição Auxiliar</v>
      </c>
      <c r="C1930" s="79" t="s">
        <v>2921</v>
      </c>
      <c r="D1930" s="78" t="s">
        <v>3519</v>
      </c>
      <c r="E1930" s="79" t="s">
        <v>77</v>
      </c>
      <c r="F1930" s="79" t="s">
        <v>3520</v>
      </c>
      <c r="G1930" s="79">
        <v>14</v>
      </c>
      <c r="H1930" s="79"/>
      <c r="I1930" s="80" t="s">
        <v>141</v>
      </c>
      <c r="J1930" s="583">
        <v>3.84</v>
      </c>
      <c r="K1930" s="583">
        <v>0</v>
      </c>
      <c r="L1930" s="92">
        <v>1565.02</v>
      </c>
      <c r="M1930" s="92">
        <v>6009.67</v>
      </c>
      <c r="N1930" s="573">
        <v>2.06</v>
      </c>
      <c r="O1930" s="556" t="str">
        <f t="shared" si="214"/>
        <v>DIF</v>
      </c>
      <c r="P1930" s="573"/>
      <c r="Q1930" s="556"/>
      <c r="R1930" s="582"/>
    </row>
    <row r="1931" ht="25.5" spans="1:18">
      <c r="A1931" s="556" t="str">
        <f t="shared" si="215"/>
        <v>Composição Auxiliar</v>
      </c>
      <c r="B1931" s="557" t="str">
        <f t="shared" si="216"/>
        <v>Composição Auxiliar</v>
      </c>
      <c r="C1931" s="108"/>
      <c r="D1931" s="108"/>
      <c r="E1931" s="108"/>
      <c r="F1931" s="108"/>
      <c r="G1931" s="108"/>
      <c r="H1931" s="108" t="s">
        <v>2898</v>
      </c>
      <c r="I1931" s="581">
        <v>690.57</v>
      </c>
      <c r="J1931" s="108" t="s">
        <v>2899</v>
      </c>
      <c r="K1931" s="581">
        <v>0</v>
      </c>
      <c r="L1931" s="108" t="s">
        <v>2900</v>
      </c>
      <c r="M1931" s="581">
        <v>690.57</v>
      </c>
      <c r="N1931" s="573">
        <v>0.62</v>
      </c>
      <c r="O1931" s="556" t="str">
        <f t="shared" si="214"/>
        <v>DIF</v>
      </c>
      <c r="P1931" s="573"/>
      <c r="Q1931" s="556"/>
      <c r="R1931" s="582"/>
    </row>
    <row r="1932" ht="26.25" spans="1:18">
      <c r="A1932" s="556"/>
      <c r="B1932" s="557"/>
      <c r="C1932" s="108"/>
      <c r="D1932" s="108"/>
      <c r="E1932" s="108"/>
      <c r="F1932" s="108"/>
      <c r="G1932" s="108"/>
      <c r="H1932" s="108" t="s">
        <v>2901</v>
      </c>
      <c r="I1932" s="581">
        <v>1588.56</v>
      </c>
      <c r="J1932" s="114"/>
      <c r="K1932" s="114" t="s">
        <v>2902</v>
      </c>
      <c r="L1932" s="108"/>
      <c r="M1932" s="581">
        <v>7820.68</v>
      </c>
      <c r="N1932" s="573"/>
      <c r="O1932" s="556"/>
      <c r="P1932" s="573"/>
      <c r="Q1932" s="556"/>
      <c r="R1932" s="582"/>
    </row>
    <row r="1933" ht="15" spans="1:18">
      <c r="A1933" s="556"/>
      <c r="B1933" s="557"/>
      <c r="C1933" s="571"/>
      <c r="D1933" s="571"/>
      <c r="E1933" s="571"/>
      <c r="F1933" s="571"/>
      <c r="G1933" s="571"/>
      <c r="H1933" s="571"/>
      <c r="I1933" s="571"/>
      <c r="J1933" s="571"/>
      <c r="K1933" s="571"/>
      <c r="L1933" s="571"/>
      <c r="M1933" s="571"/>
      <c r="N1933" s="573"/>
      <c r="O1933" s="556"/>
      <c r="P1933" s="573"/>
      <c r="Q1933" s="556"/>
      <c r="R1933" s="582"/>
    </row>
    <row r="1934" ht="15" customHeight="1" spans="1:18">
      <c r="A1934" s="556"/>
      <c r="B1934" s="557">
        <f>C1933</f>
        <v>0</v>
      </c>
      <c r="C1934" s="76" t="s">
        <v>672</v>
      </c>
      <c r="D1934" s="75" t="s">
        <v>63</v>
      </c>
      <c r="E1934" s="76" t="s">
        <v>64</v>
      </c>
      <c r="F1934" s="76" t="s">
        <v>65</v>
      </c>
      <c r="G1934" s="76" t="s">
        <v>2889</v>
      </c>
      <c r="H1934" s="76"/>
      <c r="I1934" s="77" t="s">
        <v>66</v>
      </c>
      <c r="J1934" s="75" t="s">
        <v>67</v>
      </c>
      <c r="K1934" s="75" t="s">
        <v>2890</v>
      </c>
      <c r="L1934" s="75" t="s">
        <v>68</v>
      </c>
      <c r="M1934" s="75" t="s">
        <v>70</v>
      </c>
      <c r="N1934" s="573">
        <v>438.27</v>
      </c>
      <c r="O1934" s="556" t="str">
        <f>IF(N1934=M1934,"OK","DIF")</f>
        <v>DIF</v>
      </c>
      <c r="P1934" s="573"/>
      <c r="Q1934" s="556"/>
      <c r="R1934" s="582"/>
    </row>
    <row r="1935" ht="35.05" customHeight="1" spans="1:18">
      <c r="A1935" s="556">
        <f>B1935</f>
        <v>0</v>
      </c>
      <c r="B1935" s="557">
        <f>B1934</f>
        <v>0</v>
      </c>
      <c r="C1935" s="569" t="s">
        <v>2891</v>
      </c>
      <c r="D1935" s="570" t="s">
        <v>673</v>
      </c>
      <c r="E1935" s="569" t="s">
        <v>132</v>
      </c>
      <c r="F1935" s="569" t="s">
        <v>674</v>
      </c>
      <c r="G1935" s="569" t="s">
        <v>3505</v>
      </c>
      <c r="H1935" s="569"/>
      <c r="I1935" s="577" t="s">
        <v>141</v>
      </c>
      <c r="J1935" s="578">
        <v>1</v>
      </c>
      <c r="K1935" s="579"/>
      <c r="L1935" s="579">
        <v>1923.02</v>
      </c>
      <c r="M1935" s="579">
        <v>1923.02</v>
      </c>
      <c r="N1935" s="573">
        <v>15.39</v>
      </c>
      <c r="O1935" s="556" t="str">
        <f>IF(N1935=M1935,"OK","DIF")</f>
        <v>DIF</v>
      </c>
      <c r="P1935" s="573"/>
      <c r="Q1935" s="556"/>
      <c r="R1935" s="582"/>
    </row>
    <row r="1936" ht="76.5" spans="1:18">
      <c r="A1936" s="556">
        <f>B1936</f>
        <v>0</v>
      </c>
      <c r="B1936" s="557">
        <f>B1935</f>
        <v>0</v>
      </c>
      <c r="C1936" s="79" t="s">
        <v>2921</v>
      </c>
      <c r="D1936" s="78" t="s">
        <v>3528</v>
      </c>
      <c r="E1936" s="79" t="s">
        <v>77</v>
      </c>
      <c r="F1936" s="79" t="s">
        <v>3529</v>
      </c>
      <c r="G1936" s="79">
        <v>14</v>
      </c>
      <c r="H1936" s="79"/>
      <c r="I1936" s="80" t="s">
        <v>141</v>
      </c>
      <c r="J1936" s="583">
        <v>1</v>
      </c>
      <c r="K1936" s="583">
        <v>0</v>
      </c>
      <c r="L1936" s="92">
        <v>1453.38</v>
      </c>
      <c r="M1936" s="92">
        <v>1453.38</v>
      </c>
      <c r="N1936" s="573">
        <v>19.01</v>
      </c>
      <c r="O1936" s="556" t="str">
        <f>IF(N1936=M1936,"OK","DIF")</f>
        <v>DIF</v>
      </c>
      <c r="P1936" s="573"/>
      <c r="Q1936" s="556"/>
      <c r="R1936" s="582"/>
    </row>
    <row r="1937" ht="35.05" customHeight="1" spans="1:18">
      <c r="A1937" s="556">
        <f>B1937</f>
        <v>0</v>
      </c>
      <c r="B1937" s="557">
        <f>B1936</f>
        <v>0</v>
      </c>
      <c r="C1937" s="79" t="s">
        <v>2921</v>
      </c>
      <c r="D1937" s="78" t="s">
        <v>3537</v>
      </c>
      <c r="E1937" s="79" t="s">
        <v>139</v>
      </c>
      <c r="F1937" s="79" t="s">
        <v>3538</v>
      </c>
      <c r="G1937" s="79" t="s">
        <v>3505</v>
      </c>
      <c r="H1937" s="79"/>
      <c r="I1937" s="80" t="s">
        <v>134</v>
      </c>
      <c r="J1937" s="583">
        <v>1</v>
      </c>
      <c r="K1937" s="583">
        <v>0</v>
      </c>
      <c r="L1937" s="92">
        <v>438.05</v>
      </c>
      <c r="M1937" s="92">
        <v>438.05</v>
      </c>
      <c r="N1937" s="573">
        <v>0.14</v>
      </c>
      <c r="O1937" s="556" t="str">
        <f>IF(N1937=M1937,"OK","DIF")</f>
        <v>DIF</v>
      </c>
      <c r="P1937" s="573"/>
      <c r="Q1937" s="556"/>
      <c r="R1937" s="582"/>
    </row>
    <row r="1938" ht="23.85" customHeight="1" spans="1:18">
      <c r="A1938" s="556">
        <f>B1938</f>
        <v>0</v>
      </c>
      <c r="B1938" s="557">
        <f>B1937</f>
        <v>0</v>
      </c>
      <c r="C1938" s="100" t="s">
        <v>2893</v>
      </c>
      <c r="D1938" s="99" t="s">
        <v>3539</v>
      </c>
      <c r="E1938" s="100" t="s">
        <v>139</v>
      </c>
      <c r="F1938" s="100" t="s">
        <v>3540</v>
      </c>
      <c r="G1938" s="100" t="s">
        <v>2961</v>
      </c>
      <c r="H1938" s="100"/>
      <c r="I1938" s="101" t="s">
        <v>141</v>
      </c>
      <c r="J1938" s="580">
        <v>1</v>
      </c>
      <c r="K1938" s="580">
        <v>0</v>
      </c>
      <c r="L1938" s="102">
        <v>31.59</v>
      </c>
      <c r="M1938" s="102">
        <v>31.59</v>
      </c>
      <c r="N1938" s="573">
        <v>403.73</v>
      </c>
      <c r="O1938" s="556" t="str">
        <f>IF(N1938=M1938,"OK","DIF")</f>
        <v>DIF</v>
      </c>
      <c r="P1938" s="573"/>
      <c r="Q1938" s="556"/>
      <c r="R1938" s="582"/>
    </row>
    <row r="1939" ht="25.5" spans="1:18">
      <c r="A1939" s="556"/>
      <c r="B1939" s="557"/>
      <c r="C1939" s="108"/>
      <c r="D1939" s="108"/>
      <c r="E1939" s="108"/>
      <c r="F1939" s="108"/>
      <c r="G1939" s="108"/>
      <c r="H1939" s="108" t="s">
        <v>2898</v>
      </c>
      <c r="I1939" s="581">
        <v>259.55</v>
      </c>
      <c r="J1939" s="108" t="s">
        <v>2899</v>
      </c>
      <c r="K1939" s="581">
        <v>0</v>
      </c>
      <c r="L1939" s="108" t="s">
        <v>2900</v>
      </c>
      <c r="M1939" s="581">
        <v>259.55</v>
      </c>
      <c r="N1939" s="573"/>
      <c r="O1939" s="556"/>
      <c r="P1939" s="573"/>
      <c r="Q1939" s="556"/>
      <c r="R1939" s="582"/>
    </row>
    <row r="1940" ht="26.25" spans="1:18">
      <c r="A1940" s="556"/>
      <c r="B1940" s="557"/>
      <c r="C1940" s="108"/>
      <c r="D1940" s="108"/>
      <c r="E1940" s="108"/>
      <c r="F1940" s="108"/>
      <c r="G1940" s="108"/>
      <c r="H1940" s="108" t="s">
        <v>2901</v>
      </c>
      <c r="I1940" s="581">
        <v>490.17</v>
      </c>
      <c r="J1940" s="114"/>
      <c r="K1940" s="114" t="s">
        <v>2902</v>
      </c>
      <c r="L1940" s="108"/>
      <c r="M1940" s="581">
        <v>2413.19</v>
      </c>
      <c r="N1940" s="573"/>
      <c r="O1940" s="556"/>
      <c r="P1940" s="573"/>
      <c r="Q1940" s="556"/>
      <c r="R1940" s="582"/>
    </row>
    <row r="1941" ht="15" spans="1:18">
      <c r="A1941" s="556"/>
      <c r="B1941" s="557">
        <f>C1940</f>
        <v>0</v>
      </c>
      <c r="C1941" s="571"/>
      <c r="D1941" s="571"/>
      <c r="E1941" s="571"/>
      <c r="F1941" s="571"/>
      <c r="G1941" s="571"/>
      <c r="H1941" s="571"/>
      <c r="I1941" s="571"/>
      <c r="J1941" s="571"/>
      <c r="K1941" s="571"/>
      <c r="L1941" s="571"/>
      <c r="M1941" s="571"/>
      <c r="N1941" s="573">
        <v>127.05</v>
      </c>
      <c r="O1941" s="556" t="str">
        <f>IF(N1941=M1941,"OK","DIF")</f>
        <v>DIF</v>
      </c>
      <c r="P1941" s="573"/>
      <c r="Q1941" s="556"/>
      <c r="R1941" s="582"/>
    </row>
    <row r="1942" ht="15" customHeight="1" spans="1:18">
      <c r="A1942" s="556">
        <f>B1942</f>
        <v>0</v>
      </c>
      <c r="B1942" s="557">
        <f>B1941</f>
        <v>0</v>
      </c>
      <c r="C1942" s="76" t="s">
        <v>675</v>
      </c>
      <c r="D1942" s="75" t="s">
        <v>63</v>
      </c>
      <c r="E1942" s="76" t="s">
        <v>64</v>
      </c>
      <c r="F1942" s="76" t="s">
        <v>65</v>
      </c>
      <c r="G1942" s="76" t="s">
        <v>2889</v>
      </c>
      <c r="H1942" s="76"/>
      <c r="I1942" s="77" t="s">
        <v>66</v>
      </c>
      <c r="J1942" s="75" t="s">
        <v>67</v>
      </c>
      <c r="K1942" s="75" t="s">
        <v>2890</v>
      </c>
      <c r="L1942" s="75" t="s">
        <v>68</v>
      </c>
      <c r="M1942" s="75" t="s">
        <v>70</v>
      </c>
      <c r="N1942" s="573">
        <v>34.59</v>
      </c>
      <c r="O1942" s="556" t="str">
        <f>IF(N1942=M1942,"OK","DIF")</f>
        <v>DIF</v>
      </c>
      <c r="P1942" s="573"/>
      <c r="Q1942" s="556"/>
      <c r="R1942" s="582"/>
    </row>
    <row r="1943" ht="35.05" customHeight="1" spans="1:18">
      <c r="A1943" s="556">
        <f>B1943</f>
        <v>0</v>
      </c>
      <c r="B1943" s="557">
        <f>B1942</f>
        <v>0</v>
      </c>
      <c r="C1943" s="569" t="s">
        <v>2891</v>
      </c>
      <c r="D1943" s="570" t="s">
        <v>676</v>
      </c>
      <c r="E1943" s="569" t="s">
        <v>132</v>
      </c>
      <c r="F1943" s="569" t="s">
        <v>677</v>
      </c>
      <c r="G1943" s="569" t="s">
        <v>3505</v>
      </c>
      <c r="H1943" s="569"/>
      <c r="I1943" s="577" t="s">
        <v>141</v>
      </c>
      <c r="J1943" s="578">
        <v>1</v>
      </c>
      <c r="K1943" s="579"/>
      <c r="L1943" s="579">
        <v>1778.9</v>
      </c>
      <c r="M1943" s="579">
        <v>1778.9</v>
      </c>
      <c r="N1943" s="573">
        <v>27.2</v>
      </c>
      <c r="O1943" s="556" t="str">
        <f>IF(N1943=M1943,"OK","DIF")</f>
        <v>DIF</v>
      </c>
      <c r="P1943" s="573"/>
      <c r="Q1943" s="556"/>
      <c r="R1943" s="582"/>
    </row>
    <row r="1944" ht="35.05" customHeight="1" spans="1:18">
      <c r="A1944" s="556">
        <f>B1944</f>
        <v>0</v>
      </c>
      <c r="B1944" s="557">
        <f>B1943</f>
        <v>0</v>
      </c>
      <c r="C1944" s="79" t="s">
        <v>2921</v>
      </c>
      <c r="D1944" s="78" t="s">
        <v>3532</v>
      </c>
      <c r="E1944" s="79" t="s">
        <v>139</v>
      </c>
      <c r="F1944" s="79" t="s">
        <v>3533</v>
      </c>
      <c r="G1944" s="79" t="s">
        <v>3025</v>
      </c>
      <c r="H1944" s="79"/>
      <c r="I1944" s="80" t="s">
        <v>134</v>
      </c>
      <c r="J1944" s="583">
        <v>1</v>
      </c>
      <c r="K1944" s="583">
        <v>0</v>
      </c>
      <c r="L1944" s="92">
        <v>222.45</v>
      </c>
      <c r="M1944" s="92">
        <v>222.45</v>
      </c>
      <c r="N1944" s="573">
        <v>0.06</v>
      </c>
      <c r="O1944" s="556" t="str">
        <f>IF(N1944=M1944,"OK","DIF")</f>
        <v>DIF</v>
      </c>
      <c r="P1944" s="573"/>
      <c r="Q1944" s="556"/>
      <c r="R1944" s="582"/>
    </row>
    <row r="1945" ht="76.5" spans="1:18">
      <c r="A1945" s="556">
        <f>B1945</f>
        <v>0</v>
      </c>
      <c r="B1945" s="557">
        <f>B1944</f>
        <v>0</v>
      </c>
      <c r="C1945" s="79" t="s">
        <v>2921</v>
      </c>
      <c r="D1945" s="78" t="s">
        <v>3541</v>
      </c>
      <c r="E1945" s="79" t="s">
        <v>77</v>
      </c>
      <c r="F1945" s="79" t="s">
        <v>3542</v>
      </c>
      <c r="G1945" s="79">
        <v>14</v>
      </c>
      <c r="H1945" s="79"/>
      <c r="I1945" s="80" t="s">
        <v>141</v>
      </c>
      <c r="J1945" s="583">
        <v>1</v>
      </c>
      <c r="K1945" s="583">
        <v>0</v>
      </c>
      <c r="L1945" s="92">
        <v>1524.86</v>
      </c>
      <c r="M1945" s="92">
        <v>1524.86</v>
      </c>
      <c r="N1945" s="573">
        <v>65.2</v>
      </c>
      <c r="O1945" s="556" t="str">
        <f>IF(N1945=M1945,"OK","DIF")</f>
        <v>DIF</v>
      </c>
      <c r="P1945" s="573"/>
      <c r="Q1945" s="556"/>
      <c r="R1945" s="582"/>
    </row>
    <row r="1946" ht="23.85" customHeight="1" spans="1:18">
      <c r="A1946" s="556"/>
      <c r="B1946" s="557"/>
      <c r="C1946" s="100" t="s">
        <v>2893</v>
      </c>
      <c r="D1946" s="99" t="s">
        <v>3539</v>
      </c>
      <c r="E1946" s="100" t="s">
        <v>139</v>
      </c>
      <c r="F1946" s="100" t="s">
        <v>3540</v>
      </c>
      <c r="G1946" s="100" t="s">
        <v>2961</v>
      </c>
      <c r="H1946" s="100"/>
      <c r="I1946" s="101" t="s">
        <v>141</v>
      </c>
      <c r="J1946" s="580">
        <v>1</v>
      </c>
      <c r="K1946" s="580">
        <v>0</v>
      </c>
      <c r="L1946" s="102">
        <v>31.59</v>
      </c>
      <c r="M1946" s="102">
        <v>31.59</v>
      </c>
      <c r="N1946" s="573"/>
      <c r="O1946" s="556"/>
      <c r="P1946" s="573"/>
      <c r="Q1946" s="556"/>
      <c r="R1946" s="582"/>
    </row>
    <row r="1947" ht="25.5" spans="1:18">
      <c r="A1947" s="556"/>
      <c r="B1947" s="557"/>
      <c r="C1947" s="108"/>
      <c r="D1947" s="108"/>
      <c r="E1947" s="108"/>
      <c r="F1947" s="108"/>
      <c r="G1947" s="108"/>
      <c r="H1947" s="108" t="s">
        <v>2898</v>
      </c>
      <c r="I1947" s="581">
        <v>209.11</v>
      </c>
      <c r="J1947" s="108" t="s">
        <v>2899</v>
      </c>
      <c r="K1947" s="581">
        <v>0</v>
      </c>
      <c r="L1947" s="108" t="s">
        <v>2900</v>
      </c>
      <c r="M1947" s="581">
        <v>209.11</v>
      </c>
      <c r="N1947" s="573"/>
      <c r="O1947" s="556"/>
      <c r="P1947" s="573"/>
      <c r="Q1947" s="556"/>
      <c r="R1947" s="582"/>
    </row>
    <row r="1948" ht="26.25" spans="1:18">
      <c r="A1948" s="556"/>
      <c r="B1948" s="557">
        <f>C1947</f>
        <v>0</v>
      </c>
      <c r="C1948" s="108"/>
      <c r="D1948" s="108"/>
      <c r="E1948" s="108"/>
      <c r="F1948" s="108"/>
      <c r="G1948" s="108"/>
      <c r="H1948" s="108" t="s">
        <v>2901</v>
      </c>
      <c r="I1948" s="581">
        <v>453.44</v>
      </c>
      <c r="J1948" s="114"/>
      <c r="K1948" s="114" t="s">
        <v>2902</v>
      </c>
      <c r="L1948" s="108"/>
      <c r="M1948" s="581">
        <v>2232.34</v>
      </c>
      <c r="N1948" s="573">
        <v>20.72</v>
      </c>
      <c r="O1948" s="556" t="str">
        <f>IF(N1948=M1948,"OK","DIF")</f>
        <v>DIF</v>
      </c>
      <c r="P1948" s="573"/>
      <c r="Q1948" s="556"/>
      <c r="R1948" s="582"/>
    </row>
    <row r="1949" ht="15" spans="1:18">
      <c r="A1949" s="556">
        <f>B1949</f>
        <v>0</v>
      </c>
      <c r="B1949" s="557">
        <f>B1948</f>
        <v>0</v>
      </c>
      <c r="C1949" s="571"/>
      <c r="D1949" s="571"/>
      <c r="E1949" s="571"/>
      <c r="F1949" s="571"/>
      <c r="G1949" s="571"/>
      <c r="H1949" s="571"/>
      <c r="I1949" s="571"/>
      <c r="J1949" s="571"/>
      <c r="K1949" s="571"/>
      <c r="L1949" s="571"/>
      <c r="M1949" s="571"/>
      <c r="N1949" s="573">
        <v>1.65</v>
      </c>
      <c r="O1949" s="556" t="str">
        <f>IF(N1949=M1949,"OK","DIF")</f>
        <v>DIF</v>
      </c>
      <c r="P1949" s="573"/>
      <c r="Q1949" s="556"/>
      <c r="R1949" s="582"/>
    </row>
    <row r="1950" ht="15" customHeight="1" spans="1:18">
      <c r="A1950" s="556">
        <f>B1950</f>
        <v>0</v>
      </c>
      <c r="B1950" s="557">
        <f>B1949</f>
        <v>0</v>
      </c>
      <c r="C1950" s="76" t="s">
        <v>678</v>
      </c>
      <c r="D1950" s="75" t="s">
        <v>63</v>
      </c>
      <c r="E1950" s="76" t="s">
        <v>64</v>
      </c>
      <c r="F1950" s="76" t="s">
        <v>65</v>
      </c>
      <c r="G1950" s="76" t="s">
        <v>2889</v>
      </c>
      <c r="H1950" s="76"/>
      <c r="I1950" s="77" t="s">
        <v>66</v>
      </c>
      <c r="J1950" s="75" t="s">
        <v>67</v>
      </c>
      <c r="K1950" s="75" t="s">
        <v>2890</v>
      </c>
      <c r="L1950" s="75" t="s">
        <v>68</v>
      </c>
      <c r="M1950" s="75" t="s">
        <v>70</v>
      </c>
      <c r="N1950" s="573">
        <v>9</v>
      </c>
      <c r="O1950" s="556" t="str">
        <f>IF(N1950=M1950,"OK","DIF")</f>
        <v>DIF</v>
      </c>
      <c r="P1950" s="573"/>
      <c r="Q1950" s="556"/>
      <c r="R1950" s="582"/>
    </row>
    <row r="1951" ht="46.25" customHeight="1" spans="1:18">
      <c r="A1951" s="556">
        <f>B1951</f>
        <v>0</v>
      </c>
      <c r="B1951" s="557">
        <f>B1950</f>
        <v>0</v>
      </c>
      <c r="C1951" s="569" t="s">
        <v>2891</v>
      </c>
      <c r="D1951" s="570" t="s">
        <v>679</v>
      </c>
      <c r="E1951" s="569" t="s">
        <v>132</v>
      </c>
      <c r="F1951" s="569" t="s">
        <v>680</v>
      </c>
      <c r="G1951" s="569" t="s">
        <v>3505</v>
      </c>
      <c r="H1951" s="569"/>
      <c r="I1951" s="577" t="s">
        <v>141</v>
      </c>
      <c r="J1951" s="578">
        <v>1</v>
      </c>
      <c r="K1951" s="579"/>
      <c r="L1951" s="579">
        <v>931.17</v>
      </c>
      <c r="M1951" s="579">
        <v>931.17</v>
      </c>
      <c r="N1951" s="573">
        <v>1.65</v>
      </c>
      <c r="O1951" s="556" t="str">
        <f>IF(N1951=M1951,"OK","DIF")</f>
        <v>DIF</v>
      </c>
      <c r="P1951" s="573"/>
      <c r="Q1951" s="556"/>
      <c r="R1951" s="582"/>
    </row>
    <row r="1952" ht="23.85" customHeight="1" spans="1:18">
      <c r="A1952" s="556">
        <f>B1952</f>
        <v>0</v>
      </c>
      <c r="B1952" s="557">
        <f>B1951</f>
        <v>0</v>
      </c>
      <c r="C1952" s="79" t="s">
        <v>2921</v>
      </c>
      <c r="D1952" s="78" t="s">
        <v>3543</v>
      </c>
      <c r="E1952" s="79" t="s">
        <v>139</v>
      </c>
      <c r="F1952" s="79" t="s">
        <v>3544</v>
      </c>
      <c r="G1952" s="79" t="s">
        <v>2928</v>
      </c>
      <c r="H1952" s="79"/>
      <c r="I1952" s="80" t="s">
        <v>2897</v>
      </c>
      <c r="J1952" s="583">
        <v>4.743</v>
      </c>
      <c r="K1952" s="583">
        <v>0</v>
      </c>
      <c r="L1952" s="92">
        <v>30.06</v>
      </c>
      <c r="M1952" s="92">
        <v>142.57</v>
      </c>
      <c r="N1952" s="573">
        <v>8.42</v>
      </c>
      <c r="O1952" s="556" t="str">
        <f>IF(N1952=M1952,"OK","DIF")</f>
        <v>DIF</v>
      </c>
      <c r="P1952" s="573"/>
      <c r="Q1952" s="556"/>
      <c r="R1952" s="582"/>
    </row>
    <row r="1953" ht="23.85" customHeight="1" spans="1:18">
      <c r="A1953" s="556"/>
      <c r="B1953" s="557"/>
      <c r="C1953" s="79" t="s">
        <v>2921</v>
      </c>
      <c r="D1953" s="78" t="s">
        <v>3545</v>
      </c>
      <c r="E1953" s="79" t="s">
        <v>139</v>
      </c>
      <c r="F1953" s="79" t="s">
        <v>3546</v>
      </c>
      <c r="G1953" s="79" t="s">
        <v>2928</v>
      </c>
      <c r="H1953" s="79"/>
      <c r="I1953" s="80" t="s">
        <v>2897</v>
      </c>
      <c r="J1953" s="583">
        <v>4.743</v>
      </c>
      <c r="K1953" s="583">
        <v>0</v>
      </c>
      <c r="L1953" s="92">
        <v>36.71</v>
      </c>
      <c r="M1953" s="92">
        <v>174.11</v>
      </c>
      <c r="N1953" s="573"/>
      <c r="O1953" s="556"/>
      <c r="P1953" s="573"/>
      <c r="Q1953" s="556"/>
      <c r="R1953" s="582"/>
    </row>
    <row r="1954" ht="15" customHeight="1" spans="1:18">
      <c r="A1954" s="556"/>
      <c r="B1954" s="557"/>
      <c r="C1954" s="100" t="s">
        <v>2893</v>
      </c>
      <c r="D1954" s="99" t="s">
        <v>3547</v>
      </c>
      <c r="E1954" s="100" t="s">
        <v>132</v>
      </c>
      <c r="F1954" s="100" t="s">
        <v>3548</v>
      </c>
      <c r="G1954" s="100" t="s">
        <v>2961</v>
      </c>
      <c r="H1954" s="100"/>
      <c r="I1954" s="101" t="s">
        <v>141</v>
      </c>
      <c r="J1954" s="580">
        <v>1</v>
      </c>
      <c r="K1954" s="580">
        <v>0</v>
      </c>
      <c r="L1954" s="102">
        <v>609.83</v>
      </c>
      <c r="M1954" s="102">
        <v>609.83</v>
      </c>
      <c r="N1954" s="573"/>
      <c r="O1954" s="556"/>
      <c r="P1954" s="573"/>
      <c r="Q1954" s="556"/>
      <c r="R1954" s="582"/>
    </row>
    <row r="1955" ht="15" customHeight="1" spans="1:18">
      <c r="A1955" s="556"/>
      <c r="B1955" s="557" t="str">
        <f>C1954</f>
        <v>Insumo</v>
      </c>
      <c r="C1955" s="100" t="s">
        <v>2893</v>
      </c>
      <c r="D1955" s="99" t="s">
        <v>3021</v>
      </c>
      <c r="E1955" s="100" t="s">
        <v>139</v>
      </c>
      <c r="F1955" s="100" t="s">
        <v>3022</v>
      </c>
      <c r="G1955" s="100" t="s">
        <v>2961</v>
      </c>
      <c r="H1955" s="100"/>
      <c r="I1955" s="101" t="s">
        <v>393</v>
      </c>
      <c r="J1955" s="580">
        <v>1.6</v>
      </c>
      <c r="K1955" s="580">
        <v>0</v>
      </c>
      <c r="L1955" s="102">
        <v>0.64</v>
      </c>
      <c r="M1955" s="102">
        <v>1.02</v>
      </c>
      <c r="N1955" s="573">
        <v>27.67</v>
      </c>
      <c r="O1955" s="556" t="str">
        <f>IF(N1955=M1955,"OK","DIF")</f>
        <v>DIF</v>
      </c>
      <c r="P1955" s="573"/>
      <c r="Q1955" s="556"/>
      <c r="R1955" s="582"/>
    </row>
    <row r="1956" ht="23.85" customHeight="1" spans="1:18">
      <c r="A1956" s="556" t="str">
        <f>B1956</f>
        <v>Insumo</v>
      </c>
      <c r="B1956" s="557" t="str">
        <f>B1955</f>
        <v>Insumo</v>
      </c>
      <c r="C1956" s="100" t="s">
        <v>2893</v>
      </c>
      <c r="D1956" s="99" t="s">
        <v>2715</v>
      </c>
      <c r="E1956" s="100" t="s">
        <v>139</v>
      </c>
      <c r="F1956" s="100" t="s">
        <v>2716</v>
      </c>
      <c r="G1956" s="100" t="s">
        <v>2961</v>
      </c>
      <c r="H1956" s="100"/>
      <c r="I1956" s="101" t="s">
        <v>279</v>
      </c>
      <c r="J1956" s="580">
        <v>0.04</v>
      </c>
      <c r="K1956" s="580">
        <v>0</v>
      </c>
      <c r="L1956" s="102">
        <v>91.17</v>
      </c>
      <c r="M1956" s="102">
        <v>3.64</v>
      </c>
      <c r="N1956" s="573">
        <v>12.18</v>
      </c>
      <c r="O1956" s="556" t="str">
        <f>IF(N1956=M1956,"OK","DIF")</f>
        <v>DIF</v>
      </c>
      <c r="P1956" s="573"/>
      <c r="Q1956" s="556"/>
      <c r="R1956" s="582"/>
    </row>
    <row r="1957" ht="25.5" spans="1:18">
      <c r="A1957" s="556" t="str">
        <f>B1957</f>
        <v>Insumo</v>
      </c>
      <c r="B1957" s="557" t="str">
        <f>B1956</f>
        <v>Insumo</v>
      </c>
      <c r="C1957" s="108"/>
      <c r="D1957" s="108"/>
      <c r="E1957" s="108"/>
      <c r="F1957" s="108"/>
      <c r="G1957" s="108"/>
      <c r="H1957" s="108" t="s">
        <v>2898</v>
      </c>
      <c r="I1957" s="581">
        <v>221.63</v>
      </c>
      <c r="J1957" s="108" t="s">
        <v>2899</v>
      </c>
      <c r="K1957" s="581">
        <v>0</v>
      </c>
      <c r="L1957" s="108" t="s">
        <v>2900</v>
      </c>
      <c r="M1957" s="581">
        <v>221.63</v>
      </c>
      <c r="N1957" s="573">
        <v>2.24</v>
      </c>
      <c r="O1957" s="556" t="str">
        <f>IF(N1957=M1957,"OK","DIF")</f>
        <v>DIF</v>
      </c>
      <c r="P1957" s="573"/>
      <c r="Q1957" s="556"/>
      <c r="R1957" s="582"/>
    </row>
    <row r="1958" ht="26.25" spans="1:18">
      <c r="A1958" s="556" t="str">
        <f>B1958</f>
        <v>Insumo</v>
      </c>
      <c r="B1958" s="557" t="str">
        <f>B1957</f>
        <v>Insumo</v>
      </c>
      <c r="C1958" s="108"/>
      <c r="D1958" s="108"/>
      <c r="E1958" s="108"/>
      <c r="F1958" s="108"/>
      <c r="G1958" s="108"/>
      <c r="H1958" s="108" t="s">
        <v>2901</v>
      </c>
      <c r="I1958" s="581">
        <v>237.35</v>
      </c>
      <c r="J1958" s="114"/>
      <c r="K1958" s="114" t="s">
        <v>2902</v>
      </c>
      <c r="L1958" s="108"/>
      <c r="M1958" s="581">
        <v>1168.52</v>
      </c>
      <c r="N1958" s="573">
        <v>1.54</v>
      </c>
      <c r="O1958" s="556" t="str">
        <f>IF(N1958=M1958,"OK","DIF")</f>
        <v>DIF</v>
      </c>
      <c r="P1958" s="573"/>
      <c r="Q1958" s="556"/>
      <c r="R1958" s="582"/>
    </row>
    <row r="1959" ht="15" spans="1:18">
      <c r="A1959" s="556" t="str">
        <f>B1959</f>
        <v>Insumo</v>
      </c>
      <c r="B1959" s="557" t="str">
        <f>B1958</f>
        <v>Insumo</v>
      </c>
      <c r="C1959" s="571"/>
      <c r="D1959" s="571"/>
      <c r="E1959" s="571"/>
      <c r="F1959" s="571"/>
      <c r="G1959" s="571"/>
      <c r="H1959" s="571"/>
      <c r="I1959" s="571"/>
      <c r="J1959" s="571"/>
      <c r="K1959" s="571"/>
      <c r="L1959" s="571"/>
      <c r="M1959" s="571"/>
      <c r="N1959" s="573">
        <v>11.71</v>
      </c>
      <c r="O1959" s="556" t="str">
        <f>IF(N1959=M1959,"OK","DIF")</f>
        <v>DIF</v>
      </c>
      <c r="P1959" s="573"/>
      <c r="Q1959" s="556"/>
      <c r="R1959" s="582"/>
    </row>
    <row r="1960" ht="15" customHeight="1" spans="1:18">
      <c r="A1960" s="556"/>
      <c r="B1960" s="557"/>
      <c r="C1960" s="76" t="s">
        <v>681</v>
      </c>
      <c r="D1960" s="75" t="s">
        <v>63</v>
      </c>
      <c r="E1960" s="76" t="s">
        <v>64</v>
      </c>
      <c r="F1960" s="76" t="s">
        <v>65</v>
      </c>
      <c r="G1960" s="76" t="s">
        <v>2889</v>
      </c>
      <c r="H1960" s="76"/>
      <c r="I1960" s="77" t="s">
        <v>66</v>
      </c>
      <c r="J1960" s="75" t="s">
        <v>67</v>
      </c>
      <c r="K1960" s="75" t="s">
        <v>2890</v>
      </c>
      <c r="L1960" s="75" t="s">
        <v>68</v>
      </c>
      <c r="M1960" s="75" t="s">
        <v>70</v>
      </c>
      <c r="N1960" s="573"/>
      <c r="O1960" s="556"/>
      <c r="P1960" s="573"/>
      <c r="Q1960" s="556"/>
      <c r="R1960" s="582"/>
    </row>
    <row r="1961" ht="35.05" customHeight="1" spans="1:18">
      <c r="A1961" s="556"/>
      <c r="B1961" s="557"/>
      <c r="C1961" s="569" t="s">
        <v>2891</v>
      </c>
      <c r="D1961" s="570" t="s">
        <v>682</v>
      </c>
      <c r="E1961" s="569" t="s">
        <v>132</v>
      </c>
      <c r="F1961" s="569" t="s">
        <v>683</v>
      </c>
      <c r="G1961" s="569" t="s">
        <v>3505</v>
      </c>
      <c r="H1961" s="569"/>
      <c r="I1961" s="577" t="s">
        <v>134</v>
      </c>
      <c r="J1961" s="578">
        <v>1</v>
      </c>
      <c r="K1961" s="579"/>
      <c r="L1961" s="579">
        <v>2823.17</v>
      </c>
      <c r="M1961" s="579">
        <v>2823.17</v>
      </c>
      <c r="N1961" s="573"/>
      <c r="O1961" s="556"/>
      <c r="P1961" s="573"/>
      <c r="Q1961" s="556"/>
      <c r="R1961" s="582"/>
    </row>
    <row r="1962" ht="51" spans="1:18">
      <c r="A1962" s="556"/>
      <c r="B1962" s="557" t="str">
        <f>C1961</f>
        <v>Composição</v>
      </c>
      <c r="C1962" s="79" t="s">
        <v>2921</v>
      </c>
      <c r="D1962" s="78" t="s">
        <v>3549</v>
      </c>
      <c r="E1962" s="79" t="s">
        <v>77</v>
      </c>
      <c r="F1962" s="79" t="s">
        <v>3550</v>
      </c>
      <c r="G1962" s="79">
        <v>14</v>
      </c>
      <c r="H1962" s="79"/>
      <c r="I1962" s="80" t="s">
        <v>141</v>
      </c>
      <c r="J1962" s="583">
        <v>1.68</v>
      </c>
      <c r="K1962" s="583">
        <v>0</v>
      </c>
      <c r="L1962" s="92">
        <v>1565.02</v>
      </c>
      <c r="M1962" s="92">
        <v>2629.23</v>
      </c>
      <c r="N1962" s="573">
        <v>20.22</v>
      </c>
      <c r="O1962" s="556" t="str">
        <f>IF(N1962=M1962,"OK","DIF")</f>
        <v>DIF</v>
      </c>
      <c r="P1962" s="573"/>
      <c r="Q1962" s="556"/>
      <c r="R1962" s="582"/>
    </row>
    <row r="1963" ht="35.05" customHeight="1" spans="1:18">
      <c r="A1963" s="556" t="str">
        <f>B1963</f>
        <v>Composição</v>
      </c>
      <c r="B1963" s="557" t="str">
        <f>B1962</f>
        <v>Composição</v>
      </c>
      <c r="C1963" s="79" t="s">
        <v>2921</v>
      </c>
      <c r="D1963" s="78" t="s">
        <v>703</v>
      </c>
      <c r="E1963" s="79" t="s">
        <v>139</v>
      </c>
      <c r="F1963" s="79" t="s">
        <v>704</v>
      </c>
      <c r="G1963" s="79" t="s">
        <v>3025</v>
      </c>
      <c r="H1963" s="79"/>
      <c r="I1963" s="80" t="s">
        <v>134</v>
      </c>
      <c r="J1963" s="583">
        <v>1</v>
      </c>
      <c r="K1963" s="583">
        <v>0</v>
      </c>
      <c r="L1963" s="92">
        <v>193.94</v>
      </c>
      <c r="M1963" s="92">
        <v>193.94</v>
      </c>
      <c r="N1963" s="573">
        <v>10.17</v>
      </c>
      <c r="O1963" s="556" t="str">
        <f>IF(N1963=M1963,"OK","DIF")</f>
        <v>DIF</v>
      </c>
      <c r="P1963" s="573"/>
      <c r="Q1963" s="556"/>
      <c r="R1963" s="582"/>
    </row>
    <row r="1964" ht="25.5" spans="1:18">
      <c r="A1964" s="556" t="str">
        <f>B1964</f>
        <v>Composição</v>
      </c>
      <c r="B1964" s="557" t="str">
        <f>B1963</f>
        <v>Composição</v>
      </c>
      <c r="C1964" s="108"/>
      <c r="D1964" s="108"/>
      <c r="E1964" s="108"/>
      <c r="F1964" s="108"/>
      <c r="G1964" s="108"/>
      <c r="H1964" s="108" t="s">
        <v>2898</v>
      </c>
      <c r="I1964" s="581">
        <v>315.13</v>
      </c>
      <c r="J1964" s="108" t="s">
        <v>2899</v>
      </c>
      <c r="K1964" s="581">
        <v>0</v>
      </c>
      <c r="L1964" s="108" t="s">
        <v>2900</v>
      </c>
      <c r="M1964" s="581">
        <v>315.13</v>
      </c>
      <c r="N1964" s="573">
        <v>1.87</v>
      </c>
      <c r="O1964" s="556" t="str">
        <f>IF(N1964=M1964,"OK","DIF")</f>
        <v>DIF</v>
      </c>
      <c r="P1964" s="573"/>
      <c r="Q1964" s="556"/>
      <c r="R1964" s="582"/>
    </row>
    <row r="1965" ht="26.25" spans="1:18">
      <c r="A1965" s="556" t="str">
        <f>B1965</f>
        <v>Composição</v>
      </c>
      <c r="B1965" s="557" t="str">
        <f>B1964</f>
        <v>Composição</v>
      </c>
      <c r="C1965" s="108"/>
      <c r="D1965" s="108"/>
      <c r="E1965" s="108"/>
      <c r="F1965" s="108"/>
      <c r="G1965" s="108"/>
      <c r="H1965" s="108" t="s">
        <v>2901</v>
      </c>
      <c r="I1965" s="581">
        <v>719.62</v>
      </c>
      <c r="J1965" s="114"/>
      <c r="K1965" s="114" t="s">
        <v>2902</v>
      </c>
      <c r="L1965" s="108"/>
      <c r="M1965" s="581">
        <v>3542.79</v>
      </c>
      <c r="N1965" s="573">
        <v>8.18</v>
      </c>
      <c r="O1965" s="556" t="str">
        <f>IF(N1965=M1965,"OK","DIF")</f>
        <v>DIF</v>
      </c>
      <c r="P1965" s="573"/>
      <c r="Q1965" s="556"/>
      <c r="R1965" s="582"/>
    </row>
    <row r="1966" ht="15" spans="1:18">
      <c r="A1966" s="556"/>
      <c r="B1966" s="557"/>
      <c r="C1966" s="571"/>
      <c r="D1966" s="571"/>
      <c r="E1966" s="571"/>
      <c r="F1966" s="571"/>
      <c r="G1966" s="571"/>
      <c r="H1966" s="571"/>
      <c r="I1966" s="571"/>
      <c r="J1966" s="571"/>
      <c r="K1966" s="571"/>
      <c r="L1966" s="571"/>
      <c r="M1966" s="571"/>
      <c r="N1966" s="573"/>
      <c r="O1966" s="556"/>
      <c r="P1966" s="573"/>
      <c r="Q1966" s="556"/>
      <c r="R1966" s="582"/>
    </row>
    <row r="1967" ht="15" customHeight="1" spans="1:18">
      <c r="A1967" s="556"/>
      <c r="B1967" s="557"/>
      <c r="C1967" s="76" t="s">
        <v>684</v>
      </c>
      <c r="D1967" s="75" t="s">
        <v>63</v>
      </c>
      <c r="E1967" s="76" t="s">
        <v>64</v>
      </c>
      <c r="F1967" s="76" t="s">
        <v>65</v>
      </c>
      <c r="G1967" s="76" t="s">
        <v>2889</v>
      </c>
      <c r="H1967" s="76"/>
      <c r="I1967" s="77" t="s">
        <v>66</v>
      </c>
      <c r="J1967" s="75" t="s">
        <v>67</v>
      </c>
      <c r="K1967" s="75" t="s">
        <v>2890</v>
      </c>
      <c r="L1967" s="75" t="s">
        <v>68</v>
      </c>
      <c r="M1967" s="75" t="s">
        <v>70</v>
      </c>
      <c r="N1967" s="573"/>
      <c r="O1967" s="556"/>
      <c r="P1967" s="573"/>
      <c r="Q1967" s="556"/>
      <c r="R1967" s="582"/>
    </row>
    <row r="1968" ht="23.85" customHeight="1" spans="1:18">
      <c r="A1968" s="556"/>
      <c r="B1968" s="557" t="str">
        <f>C1967</f>
        <v> 10.1.21 </v>
      </c>
      <c r="C1968" s="569" t="s">
        <v>2891</v>
      </c>
      <c r="D1968" s="570" t="s">
        <v>685</v>
      </c>
      <c r="E1968" s="569" t="s">
        <v>139</v>
      </c>
      <c r="F1968" s="569" t="s">
        <v>686</v>
      </c>
      <c r="G1968" s="569" t="s">
        <v>3025</v>
      </c>
      <c r="H1968" s="569"/>
      <c r="I1968" s="577" t="s">
        <v>134</v>
      </c>
      <c r="J1968" s="578">
        <v>1</v>
      </c>
      <c r="K1968" s="579"/>
      <c r="L1968" s="579">
        <v>1792.42</v>
      </c>
      <c r="M1968" s="579">
        <v>1792.42</v>
      </c>
      <c r="N1968" s="573">
        <v>23.31</v>
      </c>
      <c r="O1968" s="556" t="str">
        <f>IF(N1968=M1968,"OK","DIF")</f>
        <v>DIF</v>
      </c>
      <c r="P1968" s="573"/>
      <c r="Q1968" s="556"/>
      <c r="R1968" s="582"/>
    </row>
    <row r="1969" ht="23.85" customHeight="1" spans="1:18">
      <c r="A1969" s="556" t="str">
        <f>B1969</f>
        <v> 10.1.21 </v>
      </c>
      <c r="B1969" s="557" t="str">
        <f>B1968</f>
        <v> 10.1.21 </v>
      </c>
      <c r="C1969" s="79" t="s">
        <v>2921</v>
      </c>
      <c r="D1969" s="78" t="s">
        <v>3017</v>
      </c>
      <c r="E1969" s="79" t="s">
        <v>139</v>
      </c>
      <c r="F1969" s="79" t="s">
        <v>3018</v>
      </c>
      <c r="G1969" s="79" t="s">
        <v>2928</v>
      </c>
      <c r="H1969" s="79"/>
      <c r="I1969" s="80" t="s">
        <v>2897</v>
      </c>
      <c r="J1969" s="583">
        <v>3.464</v>
      </c>
      <c r="K1969" s="583">
        <v>0</v>
      </c>
      <c r="L1969" s="92">
        <v>36.96</v>
      </c>
      <c r="M1969" s="92">
        <v>128.02</v>
      </c>
      <c r="N1969" s="573">
        <v>11.54</v>
      </c>
      <c r="O1969" s="556" t="str">
        <f>IF(N1969=M1969,"OK","DIF")</f>
        <v>DIF</v>
      </c>
      <c r="P1969" s="573"/>
      <c r="Q1969" s="556"/>
      <c r="R1969" s="582"/>
    </row>
    <row r="1970" ht="23.85" customHeight="1" spans="1:18">
      <c r="A1970" s="556" t="str">
        <f>B1970</f>
        <v> 10.1.21 </v>
      </c>
      <c r="B1970" s="557" t="str">
        <f>B1969</f>
        <v> 10.1.21 </v>
      </c>
      <c r="C1970" s="79" t="s">
        <v>2921</v>
      </c>
      <c r="D1970" s="78" t="s">
        <v>2952</v>
      </c>
      <c r="E1970" s="79" t="s">
        <v>139</v>
      </c>
      <c r="F1970" s="79" t="s">
        <v>2953</v>
      </c>
      <c r="G1970" s="79" t="s">
        <v>2928</v>
      </c>
      <c r="H1970" s="79"/>
      <c r="I1970" s="80" t="s">
        <v>2897</v>
      </c>
      <c r="J1970" s="583">
        <v>1.732</v>
      </c>
      <c r="K1970" s="583">
        <v>0</v>
      </c>
      <c r="L1970" s="92">
        <v>29.15</v>
      </c>
      <c r="M1970" s="92">
        <v>50.48</v>
      </c>
      <c r="N1970" s="573">
        <v>2.12</v>
      </c>
      <c r="O1970" s="556" t="str">
        <f>IF(N1970=M1970,"OK","DIF")</f>
        <v>DIF</v>
      </c>
      <c r="P1970" s="573"/>
      <c r="Q1970" s="556"/>
      <c r="R1970" s="582"/>
    </row>
    <row r="1971" ht="23.85" customHeight="1" spans="1:18">
      <c r="A1971" s="556" t="str">
        <f>B1971</f>
        <v> 10.1.21 </v>
      </c>
      <c r="B1971" s="557" t="str">
        <f>B1970</f>
        <v> 10.1.21 </v>
      </c>
      <c r="C1971" s="79" t="s">
        <v>2921</v>
      </c>
      <c r="D1971" s="78" t="s">
        <v>3165</v>
      </c>
      <c r="E1971" s="79" t="s">
        <v>139</v>
      </c>
      <c r="F1971" s="79" t="s">
        <v>3166</v>
      </c>
      <c r="G1971" s="79" t="s">
        <v>3016</v>
      </c>
      <c r="H1971" s="79"/>
      <c r="I1971" s="80" t="s">
        <v>279</v>
      </c>
      <c r="J1971" s="583">
        <v>0.0422</v>
      </c>
      <c r="K1971" s="583">
        <v>0</v>
      </c>
      <c r="L1971" s="92">
        <v>655.2</v>
      </c>
      <c r="M1971" s="92">
        <v>27.64</v>
      </c>
      <c r="N1971" s="573">
        <v>9.65</v>
      </c>
      <c r="O1971" s="556" t="str">
        <f>IF(N1971=M1971,"OK","DIF")</f>
        <v>DIF</v>
      </c>
      <c r="P1971" s="573"/>
      <c r="Q1971" s="556"/>
      <c r="R1971" s="582"/>
    </row>
    <row r="1972" ht="46.25" customHeight="1" spans="1:18">
      <c r="A1972" s="556"/>
      <c r="B1972" s="557"/>
      <c r="C1972" s="100" t="s">
        <v>2893</v>
      </c>
      <c r="D1972" s="99" t="s">
        <v>3551</v>
      </c>
      <c r="E1972" s="100" t="s">
        <v>139</v>
      </c>
      <c r="F1972" s="100" t="s">
        <v>3552</v>
      </c>
      <c r="G1972" s="100" t="s">
        <v>2961</v>
      </c>
      <c r="H1972" s="100"/>
      <c r="I1972" s="101" t="s">
        <v>134</v>
      </c>
      <c r="J1972" s="580">
        <v>1</v>
      </c>
      <c r="K1972" s="580">
        <v>0</v>
      </c>
      <c r="L1972" s="102">
        <v>1586.28</v>
      </c>
      <c r="M1972" s="102">
        <v>1586.28</v>
      </c>
      <c r="N1972" s="573"/>
      <c r="O1972" s="556"/>
      <c r="P1972" s="573"/>
      <c r="Q1972" s="556"/>
      <c r="R1972" s="582"/>
    </row>
    <row r="1973" ht="25.5" spans="1:18">
      <c r="A1973" s="556"/>
      <c r="B1973" s="557"/>
      <c r="C1973" s="108"/>
      <c r="D1973" s="108"/>
      <c r="E1973" s="108"/>
      <c r="F1973" s="108"/>
      <c r="G1973" s="108"/>
      <c r="H1973" s="108" t="s">
        <v>2898</v>
      </c>
      <c r="I1973" s="581">
        <v>133.55</v>
      </c>
      <c r="J1973" s="108" t="s">
        <v>2899</v>
      </c>
      <c r="K1973" s="581">
        <v>0</v>
      </c>
      <c r="L1973" s="108" t="s">
        <v>2900</v>
      </c>
      <c r="M1973" s="581">
        <v>133.55</v>
      </c>
      <c r="N1973" s="573"/>
      <c r="O1973" s="556"/>
      <c r="P1973" s="573"/>
      <c r="Q1973" s="556"/>
      <c r="R1973" s="582"/>
    </row>
    <row r="1974" ht="26.25" spans="1:18">
      <c r="A1974" s="556"/>
      <c r="B1974" s="557">
        <f>C1973</f>
        <v>0</v>
      </c>
      <c r="C1974" s="108"/>
      <c r="D1974" s="108"/>
      <c r="E1974" s="108"/>
      <c r="F1974" s="108"/>
      <c r="G1974" s="108"/>
      <c r="H1974" s="108" t="s">
        <v>2901</v>
      </c>
      <c r="I1974" s="581">
        <v>456.88</v>
      </c>
      <c r="J1974" s="114"/>
      <c r="K1974" s="114" t="s">
        <v>2902</v>
      </c>
      <c r="L1974" s="108"/>
      <c r="M1974" s="581">
        <v>2249.3</v>
      </c>
      <c r="N1974" s="573">
        <v>23.18</v>
      </c>
      <c r="O1974" s="556" t="str">
        <f t="shared" ref="O1974:O1979" si="217">IF(N1974=M1974,"OK","DIF")</f>
        <v>DIF</v>
      </c>
      <c r="P1974" s="573"/>
      <c r="Q1974" s="556"/>
      <c r="R1974" s="582"/>
    </row>
    <row r="1975" ht="15" spans="1:18">
      <c r="A1975" s="556">
        <f>B1975</f>
        <v>0</v>
      </c>
      <c r="B1975" s="557">
        <f>B1974</f>
        <v>0</v>
      </c>
      <c r="C1975" s="571"/>
      <c r="D1975" s="571"/>
      <c r="E1975" s="571"/>
      <c r="F1975" s="571"/>
      <c r="G1975" s="571"/>
      <c r="H1975" s="571"/>
      <c r="I1975" s="571"/>
      <c r="J1975" s="571"/>
      <c r="K1975" s="571"/>
      <c r="L1975" s="571"/>
      <c r="M1975" s="571"/>
      <c r="N1975" s="573">
        <v>9.92</v>
      </c>
      <c r="O1975" s="556" t="str">
        <f t="shared" si="217"/>
        <v>DIF</v>
      </c>
      <c r="P1975" s="573"/>
      <c r="Q1975" s="556"/>
      <c r="R1975" s="582"/>
    </row>
    <row r="1976" ht="15" customHeight="1" spans="1:18">
      <c r="A1976" s="556">
        <f>B1976</f>
        <v>0</v>
      </c>
      <c r="B1976" s="557">
        <f>B1975</f>
        <v>0</v>
      </c>
      <c r="C1976" s="76" t="s">
        <v>687</v>
      </c>
      <c r="D1976" s="75" t="s">
        <v>63</v>
      </c>
      <c r="E1976" s="76" t="s">
        <v>64</v>
      </c>
      <c r="F1976" s="76" t="s">
        <v>65</v>
      </c>
      <c r="G1976" s="76" t="s">
        <v>2889</v>
      </c>
      <c r="H1976" s="76"/>
      <c r="I1976" s="77" t="s">
        <v>66</v>
      </c>
      <c r="J1976" s="75" t="s">
        <v>67</v>
      </c>
      <c r="K1976" s="75" t="s">
        <v>2890</v>
      </c>
      <c r="L1976" s="75" t="s">
        <v>68</v>
      </c>
      <c r="M1976" s="75" t="s">
        <v>70</v>
      </c>
      <c r="N1976" s="573">
        <v>7.78</v>
      </c>
      <c r="O1976" s="556" t="str">
        <f t="shared" si="217"/>
        <v>DIF</v>
      </c>
      <c r="P1976" s="573"/>
      <c r="Q1976" s="556"/>
      <c r="R1976" s="582"/>
    </row>
    <row r="1977" ht="35.05" customHeight="1" spans="1:18">
      <c r="A1977" s="556">
        <f>B1977</f>
        <v>0</v>
      </c>
      <c r="B1977" s="557">
        <f>B1976</f>
        <v>0</v>
      </c>
      <c r="C1977" s="569" t="s">
        <v>2891</v>
      </c>
      <c r="D1977" s="570" t="s">
        <v>688</v>
      </c>
      <c r="E1977" s="569" t="s">
        <v>132</v>
      </c>
      <c r="F1977" s="569" t="s">
        <v>689</v>
      </c>
      <c r="G1977" s="569" t="s">
        <v>3505</v>
      </c>
      <c r="H1977" s="569"/>
      <c r="I1977" s="577" t="s">
        <v>134</v>
      </c>
      <c r="J1977" s="578">
        <v>1</v>
      </c>
      <c r="K1977" s="579"/>
      <c r="L1977" s="579">
        <v>178.5</v>
      </c>
      <c r="M1977" s="579">
        <v>178.5</v>
      </c>
      <c r="N1977" s="573">
        <v>0.42</v>
      </c>
      <c r="O1977" s="556" t="str">
        <f t="shared" si="217"/>
        <v>DIF</v>
      </c>
      <c r="P1977" s="573"/>
      <c r="Q1977" s="556"/>
      <c r="R1977" s="582"/>
    </row>
    <row r="1978" ht="23.85" customHeight="1" spans="1:18">
      <c r="A1978" s="556">
        <f>B1978</f>
        <v>0</v>
      </c>
      <c r="B1978" s="557">
        <f>B1977</f>
        <v>0</v>
      </c>
      <c r="C1978" s="79" t="s">
        <v>2921</v>
      </c>
      <c r="D1978" s="78" t="s">
        <v>3017</v>
      </c>
      <c r="E1978" s="79" t="s">
        <v>139</v>
      </c>
      <c r="F1978" s="79" t="s">
        <v>3018</v>
      </c>
      <c r="G1978" s="79" t="s">
        <v>2928</v>
      </c>
      <c r="H1978" s="79"/>
      <c r="I1978" s="80" t="s">
        <v>2897</v>
      </c>
      <c r="J1978" s="583">
        <v>3.464</v>
      </c>
      <c r="K1978" s="583">
        <v>0</v>
      </c>
      <c r="L1978" s="92">
        <v>36.96</v>
      </c>
      <c r="M1978" s="92">
        <v>128.02</v>
      </c>
      <c r="N1978" s="573">
        <v>1.66</v>
      </c>
      <c r="O1978" s="556" t="str">
        <f t="shared" si="217"/>
        <v>DIF</v>
      </c>
      <c r="P1978" s="573"/>
      <c r="Q1978" s="556"/>
      <c r="R1978" s="582"/>
    </row>
    <row r="1979" ht="23.85" customHeight="1" spans="1:18">
      <c r="A1979" s="556">
        <f>B1979</f>
        <v>0</v>
      </c>
      <c r="B1979" s="557">
        <f>B1978</f>
        <v>0</v>
      </c>
      <c r="C1979" s="79" t="s">
        <v>2921</v>
      </c>
      <c r="D1979" s="78" t="s">
        <v>2952</v>
      </c>
      <c r="E1979" s="79" t="s">
        <v>139</v>
      </c>
      <c r="F1979" s="79" t="s">
        <v>2953</v>
      </c>
      <c r="G1979" s="79" t="s">
        <v>2928</v>
      </c>
      <c r="H1979" s="79"/>
      <c r="I1979" s="80" t="s">
        <v>2897</v>
      </c>
      <c r="J1979" s="583">
        <v>1.732</v>
      </c>
      <c r="K1979" s="583">
        <v>0</v>
      </c>
      <c r="L1979" s="92">
        <v>29.15</v>
      </c>
      <c r="M1979" s="92">
        <v>50.48</v>
      </c>
      <c r="N1979" s="573">
        <v>3.4</v>
      </c>
      <c r="O1979" s="556" t="str">
        <f t="shared" si="217"/>
        <v>DIF</v>
      </c>
      <c r="P1979" s="573"/>
      <c r="Q1979" s="556"/>
      <c r="R1979" s="582"/>
    </row>
    <row r="1980" ht="25.5" spans="1:18">
      <c r="A1980" s="556"/>
      <c r="B1980" s="557"/>
      <c r="C1980" s="108"/>
      <c r="D1980" s="108"/>
      <c r="E1980" s="108"/>
      <c r="F1980" s="108"/>
      <c r="G1980" s="108"/>
      <c r="H1980" s="108" t="s">
        <v>2898</v>
      </c>
      <c r="I1980" s="581">
        <v>126.6</v>
      </c>
      <c r="J1980" s="108" t="s">
        <v>2899</v>
      </c>
      <c r="K1980" s="581">
        <v>0</v>
      </c>
      <c r="L1980" s="108" t="s">
        <v>2900</v>
      </c>
      <c r="M1980" s="581">
        <v>126.6</v>
      </c>
      <c r="N1980" s="573"/>
      <c r="O1980" s="556"/>
      <c r="P1980" s="573"/>
      <c r="Q1980" s="556"/>
      <c r="R1980" s="582"/>
    </row>
    <row r="1981" ht="26.25" spans="1:18">
      <c r="A1981" s="556"/>
      <c r="B1981" s="557"/>
      <c r="C1981" s="108"/>
      <c r="D1981" s="108"/>
      <c r="E1981" s="108"/>
      <c r="F1981" s="108"/>
      <c r="G1981" s="108"/>
      <c r="H1981" s="108" t="s">
        <v>2901</v>
      </c>
      <c r="I1981" s="581">
        <v>45.49</v>
      </c>
      <c r="J1981" s="114"/>
      <c r="K1981" s="114" t="s">
        <v>2902</v>
      </c>
      <c r="L1981" s="108"/>
      <c r="M1981" s="581">
        <v>223.99</v>
      </c>
      <c r="N1981" s="573"/>
      <c r="O1981" s="556"/>
      <c r="P1981" s="573"/>
      <c r="Q1981" s="556"/>
      <c r="R1981" s="582"/>
    </row>
    <row r="1982" ht="15" spans="1:18">
      <c r="A1982" s="556"/>
      <c r="B1982" s="557">
        <f>C1981</f>
        <v>0</v>
      </c>
      <c r="C1982" s="571"/>
      <c r="D1982" s="571"/>
      <c r="E1982" s="571"/>
      <c r="F1982" s="571"/>
      <c r="G1982" s="571"/>
      <c r="H1982" s="571"/>
      <c r="I1982" s="571"/>
      <c r="J1982" s="571"/>
      <c r="K1982" s="571"/>
      <c r="L1982" s="571"/>
      <c r="M1982" s="571"/>
      <c r="N1982" s="573">
        <v>0.06</v>
      </c>
      <c r="O1982" s="556" t="str">
        <f>IF(N1982=M1982,"OK","DIF")</f>
        <v>DIF</v>
      </c>
      <c r="P1982" s="573"/>
      <c r="Q1982" s="556"/>
      <c r="R1982" s="582"/>
    </row>
    <row r="1983" ht="15" customHeight="1" spans="1:18">
      <c r="A1983" s="556"/>
      <c r="B1983" s="557"/>
      <c r="C1983" s="76" t="s">
        <v>690</v>
      </c>
      <c r="D1983" s="75" t="s">
        <v>63</v>
      </c>
      <c r="E1983" s="76" t="s">
        <v>64</v>
      </c>
      <c r="F1983" s="76" t="s">
        <v>65</v>
      </c>
      <c r="G1983" s="76" t="s">
        <v>2889</v>
      </c>
      <c r="H1983" s="76"/>
      <c r="I1983" s="77" t="s">
        <v>66</v>
      </c>
      <c r="J1983" s="75" t="s">
        <v>67</v>
      </c>
      <c r="K1983" s="75" t="s">
        <v>2890</v>
      </c>
      <c r="L1983" s="75" t="s">
        <v>68</v>
      </c>
      <c r="M1983" s="75" t="s">
        <v>70</v>
      </c>
      <c r="N1983" s="573"/>
      <c r="O1983" s="556"/>
      <c r="P1983" s="573"/>
      <c r="Q1983" s="556"/>
      <c r="R1983" s="582"/>
    </row>
    <row r="1984" ht="35.05" customHeight="1" spans="1:18">
      <c r="A1984" s="556"/>
      <c r="B1984" s="557"/>
      <c r="C1984" s="569" t="s">
        <v>2891</v>
      </c>
      <c r="D1984" s="570" t="s">
        <v>691</v>
      </c>
      <c r="E1984" s="569" t="s">
        <v>132</v>
      </c>
      <c r="F1984" s="569" t="s">
        <v>692</v>
      </c>
      <c r="G1984" s="569" t="s">
        <v>3505</v>
      </c>
      <c r="H1984" s="569"/>
      <c r="I1984" s="577" t="s">
        <v>134</v>
      </c>
      <c r="J1984" s="578">
        <v>1</v>
      </c>
      <c r="K1984" s="579"/>
      <c r="L1984" s="579">
        <v>791.35</v>
      </c>
      <c r="M1984" s="579">
        <v>791.35</v>
      </c>
      <c r="N1984" s="573"/>
      <c r="O1984" s="556"/>
      <c r="P1984" s="573"/>
      <c r="Q1984" s="556"/>
      <c r="R1984" s="582"/>
    </row>
    <row r="1985" ht="23.85" customHeight="1" spans="1:18">
      <c r="A1985" s="556"/>
      <c r="B1985" s="557" t="str">
        <f>C1984</f>
        <v>Composição</v>
      </c>
      <c r="C1985" s="79" t="s">
        <v>2921</v>
      </c>
      <c r="D1985" s="78" t="s">
        <v>3545</v>
      </c>
      <c r="E1985" s="79" t="s">
        <v>139</v>
      </c>
      <c r="F1985" s="79" t="s">
        <v>3546</v>
      </c>
      <c r="G1985" s="79" t="s">
        <v>2928</v>
      </c>
      <c r="H1985" s="79"/>
      <c r="I1985" s="80" t="s">
        <v>2897</v>
      </c>
      <c r="J1985" s="583">
        <v>2</v>
      </c>
      <c r="K1985" s="583">
        <v>0</v>
      </c>
      <c r="L1985" s="92">
        <v>36.71</v>
      </c>
      <c r="M1985" s="92">
        <v>73.42</v>
      </c>
      <c r="N1985" s="573">
        <v>0.12</v>
      </c>
      <c r="O1985" s="556" t="str">
        <f>IF(N1985=M1985,"OK","DIF")</f>
        <v>DIF</v>
      </c>
      <c r="P1985" s="573"/>
      <c r="Q1985" s="556"/>
      <c r="R1985" s="582"/>
    </row>
    <row r="1986" ht="23.85" customHeight="1" spans="1:18">
      <c r="A1986" s="556" t="str">
        <f>B1986</f>
        <v>Composição</v>
      </c>
      <c r="B1986" s="557" t="str">
        <f>B1985</f>
        <v>Composição</v>
      </c>
      <c r="C1986" s="79" t="s">
        <v>2921</v>
      </c>
      <c r="D1986" s="78" t="s">
        <v>3543</v>
      </c>
      <c r="E1986" s="79" t="s">
        <v>139</v>
      </c>
      <c r="F1986" s="79" t="s">
        <v>3544</v>
      </c>
      <c r="G1986" s="79" t="s">
        <v>2928</v>
      </c>
      <c r="H1986" s="79"/>
      <c r="I1986" s="80" t="s">
        <v>2897</v>
      </c>
      <c r="J1986" s="583">
        <v>2</v>
      </c>
      <c r="K1986" s="583">
        <v>0</v>
      </c>
      <c r="L1986" s="92">
        <v>30.06</v>
      </c>
      <c r="M1986" s="92">
        <v>60.12</v>
      </c>
      <c r="N1986" s="573">
        <v>0.12</v>
      </c>
      <c r="O1986" s="556" t="str">
        <f>IF(N1986=M1986,"OK","DIF")</f>
        <v>DIF</v>
      </c>
      <c r="P1986" s="573"/>
      <c r="Q1986" s="556"/>
      <c r="R1986" s="582"/>
    </row>
    <row r="1987" ht="15" customHeight="1" spans="1:18">
      <c r="A1987" s="556"/>
      <c r="B1987" s="557"/>
      <c r="C1987" s="100" t="s">
        <v>2893</v>
      </c>
      <c r="D1987" s="99" t="s">
        <v>3553</v>
      </c>
      <c r="E1987" s="100" t="s">
        <v>139</v>
      </c>
      <c r="F1987" s="100" t="s">
        <v>3554</v>
      </c>
      <c r="G1987" s="100" t="s">
        <v>2961</v>
      </c>
      <c r="H1987" s="100"/>
      <c r="I1987" s="101" t="s">
        <v>134</v>
      </c>
      <c r="J1987" s="580">
        <v>1</v>
      </c>
      <c r="K1987" s="580">
        <v>0</v>
      </c>
      <c r="L1987" s="102">
        <v>657.81</v>
      </c>
      <c r="M1987" s="102">
        <v>657.81</v>
      </c>
      <c r="N1987" s="573"/>
      <c r="O1987" s="556"/>
      <c r="P1987" s="573"/>
      <c r="Q1987" s="556"/>
      <c r="R1987" s="582"/>
    </row>
    <row r="1988" ht="25.5" spans="1:18">
      <c r="A1988" s="556"/>
      <c r="B1988" s="557"/>
      <c r="C1988" s="108"/>
      <c r="D1988" s="108"/>
      <c r="E1988" s="108"/>
      <c r="F1988" s="108"/>
      <c r="G1988" s="108"/>
      <c r="H1988" s="108" t="s">
        <v>2898</v>
      </c>
      <c r="I1988" s="581">
        <v>93.46</v>
      </c>
      <c r="J1988" s="108" t="s">
        <v>2899</v>
      </c>
      <c r="K1988" s="581">
        <v>0</v>
      </c>
      <c r="L1988" s="108" t="s">
        <v>2900</v>
      </c>
      <c r="M1988" s="581">
        <v>93.46</v>
      </c>
      <c r="N1988" s="573"/>
      <c r="O1988" s="556"/>
      <c r="P1988" s="573"/>
      <c r="Q1988" s="556"/>
      <c r="R1988" s="582"/>
    </row>
    <row r="1989" ht="26.25" spans="1:18">
      <c r="A1989" s="556"/>
      <c r="B1989" s="557"/>
      <c r="C1989" s="108"/>
      <c r="D1989" s="108"/>
      <c r="E1989" s="108"/>
      <c r="F1989" s="108"/>
      <c r="G1989" s="108"/>
      <c r="H1989" s="108" t="s">
        <v>2901</v>
      </c>
      <c r="I1989" s="581">
        <v>201.71</v>
      </c>
      <c r="J1989" s="114"/>
      <c r="K1989" s="114" t="s">
        <v>2902</v>
      </c>
      <c r="L1989" s="108"/>
      <c r="M1989" s="581">
        <v>993.06</v>
      </c>
      <c r="N1989" s="573"/>
      <c r="O1989" s="556"/>
      <c r="P1989" s="573"/>
      <c r="Q1989" s="556"/>
      <c r="R1989" s="582"/>
    </row>
    <row r="1990" ht="15" spans="1:18">
      <c r="A1990" s="556"/>
      <c r="B1990" s="557">
        <f>C1989</f>
        <v>0</v>
      </c>
      <c r="C1990" s="571"/>
      <c r="D1990" s="571"/>
      <c r="E1990" s="571"/>
      <c r="F1990" s="571"/>
      <c r="G1990" s="571"/>
      <c r="H1990" s="571"/>
      <c r="I1990" s="571"/>
      <c r="J1990" s="571"/>
      <c r="K1990" s="571"/>
      <c r="L1990" s="571"/>
      <c r="M1990" s="571"/>
      <c r="N1990" s="573">
        <v>96.43</v>
      </c>
      <c r="O1990" s="556" t="str">
        <f>IF(N1990=M1990,"OK","DIF")</f>
        <v>DIF</v>
      </c>
      <c r="P1990" s="573"/>
      <c r="Q1990" s="556"/>
      <c r="R1990" s="582"/>
    </row>
    <row r="1991" ht="15" customHeight="1" spans="1:18">
      <c r="A1991" s="556">
        <f>B1991</f>
        <v>0</v>
      </c>
      <c r="B1991" s="557">
        <f>B1990</f>
        <v>0</v>
      </c>
      <c r="C1991" s="76" t="s">
        <v>693</v>
      </c>
      <c r="D1991" s="75" t="s">
        <v>63</v>
      </c>
      <c r="E1991" s="76" t="s">
        <v>64</v>
      </c>
      <c r="F1991" s="76" t="s">
        <v>65</v>
      </c>
      <c r="G1991" s="76" t="s">
        <v>2889</v>
      </c>
      <c r="H1991" s="76"/>
      <c r="I1991" s="77" t="s">
        <v>66</v>
      </c>
      <c r="J1991" s="75" t="s">
        <v>67</v>
      </c>
      <c r="K1991" s="75" t="s">
        <v>2890</v>
      </c>
      <c r="L1991" s="75" t="s">
        <v>68</v>
      </c>
      <c r="M1991" s="75" t="s">
        <v>70</v>
      </c>
      <c r="N1991" s="573">
        <v>4.48</v>
      </c>
      <c r="O1991" s="556" t="str">
        <f>IF(N1991=M1991,"OK","DIF")</f>
        <v>DIF</v>
      </c>
      <c r="P1991" s="573"/>
      <c r="Q1991" s="556"/>
      <c r="R1991" s="582"/>
    </row>
    <row r="1992" ht="35.05" customHeight="1" spans="1:18">
      <c r="A1992" s="556">
        <f>B1992</f>
        <v>0</v>
      </c>
      <c r="B1992" s="557">
        <f>B1991</f>
        <v>0</v>
      </c>
      <c r="C1992" s="569" t="s">
        <v>2891</v>
      </c>
      <c r="D1992" s="570" t="s">
        <v>694</v>
      </c>
      <c r="E1992" s="569" t="s">
        <v>132</v>
      </c>
      <c r="F1992" s="569" t="s">
        <v>695</v>
      </c>
      <c r="G1992" s="569" t="s">
        <v>3505</v>
      </c>
      <c r="H1992" s="569"/>
      <c r="I1992" s="577" t="s">
        <v>134</v>
      </c>
      <c r="J1992" s="578">
        <v>1</v>
      </c>
      <c r="K1992" s="579"/>
      <c r="L1992" s="579">
        <v>2779.64</v>
      </c>
      <c r="M1992" s="579">
        <v>2779.64</v>
      </c>
      <c r="N1992" s="573">
        <v>1.68</v>
      </c>
      <c r="O1992" s="556" t="str">
        <f>IF(N1992=M1992,"OK","DIF")</f>
        <v>DIF</v>
      </c>
      <c r="P1992" s="573"/>
      <c r="Q1992" s="556"/>
      <c r="R1992" s="582"/>
    </row>
    <row r="1993" ht="23.85" customHeight="1" spans="1:18">
      <c r="A1993" s="556">
        <f>B1993</f>
        <v>0</v>
      </c>
      <c r="B1993" s="557">
        <f>B1992</f>
        <v>0</v>
      </c>
      <c r="C1993" s="79" t="s">
        <v>2921</v>
      </c>
      <c r="D1993" s="78" t="s">
        <v>2952</v>
      </c>
      <c r="E1993" s="79" t="s">
        <v>139</v>
      </c>
      <c r="F1993" s="79" t="s">
        <v>2953</v>
      </c>
      <c r="G1993" s="79" t="s">
        <v>2928</v>
      </c>
      <c r="H1993" s="79"/>
      <c r="I1993" s="80" t="s">
        <v>2897</v>
      </c>
      <c r="J1993" s="583">
        <v>2.694</v>
      </c>
      <c r="K1993" s="583">
        <v>0</v>
      </c>
      <c r="L1993" s="92">
        <v>29.15</v>
      </c>
      <c r="M1993" s="92">
        <v>78.53</v>
      </c>
      <c r="N1993" s="573">
        <v>87.03</v>
      </c>
      <c r="O1993" s="556" t="str">
        <f>IF(N1993=M1993,"OK","DIF")</f>
        <v>DIF</v>
      </c>
      <c r="P1993" s="573"/>
      <c r="Q1993" s="556"/>
      <c r="R1993" s="582"/>
    </row>
    <row r="1994" ht="23.85" customHeight="1" spans="1:18">
      <c r="A1994" s="556">
        <f>B1994</f>
        <v>0</v>
      </c>
      <c r="B1994" s="557">
        <f>B1993</f>
        <v>0</v>
      </c>
      <c r="C1994" s="79" t="s">
        <v>2921</v>
      </c>
      <c r="D1994" s="78" t="s">
        <v>3017</v>
      </c>
      <c r="E1994" s="79" t="s">
        <v>139</v>
      </c>
      <c r="F1994" s="79" t="s">
        <v>3018</v>
      </c>
      <c r="G1994" s="79" t="s">
        <v>2928</v>
      </c>
      <c r="H1994" s="79"/>
      <c r="I1994" s="80" t="s">
        <v>2897</v>
      </c>
      <c r="J1994" s="583">
        <v>5.388</v>
      </c>
      <c r="K1994" s="583">
        <v>0</v>
      </c>
      <c r="L1994" s="92">
        <v>36.96</v>
      </c>
      <c r="M1994" s="92">
        <v>199.14</v>
      </c>
      <c r="N1994" s="573">
        <v>3.24</v>
      </c>
      <c r="O1994" s="556" t="str">
        <f>IF(N1994=M1994,"OK","DIF")</f>
        <v>DIF</v>
      </c>
      <c r="P1994" s="573"/>
      <c r="Q1994" s="556"/>
      <c r="R1994" s="582"/>
    </row>
    <row r="1995" ht="23.85" customHeight="1" spans="1:18">
      <c r="A1995" s="556"/>
      <c r="B1995" s="557"/>
      <c r="C1995" s="79" t="s">
        <v>2921</v>
      </c>
      <c r="D1995" s="78" t="s">
        <v>3165</v>
      </c>
      <c r="E1995" s="79" t="s">
        <v>139</v>
      </c>
      <c r="F1995" s="79" t="s">
        <v>3166</v>
      </c>
      <c r="G1995" s="79" t="s">
        <v>3016</v>
      </c>
      <c r="H1995" s="79"/>
      <c r="I1995" s="80" t="s">
        <v>279</v>
      </c>
      <c r="J1995" s="583">
        <v>0.066</v>
      </c>
      <c r="K1995" s="583">
        <v>0</v>
      </c>
      <c r="L1995" s="92">
        <v>655.2</v>
      </c>
      <c r="M1995" s="92">
        <v>43.24</v>
      </c>
      <c r="N1995" s="573"/>
      <c r="O1995" s="556"/>
      <c r="P1995" s="573"/>
      <c r="Q1995" s="556"/>
      <c r="R1995" s="582"/>
    </row>
    <row r="1996" ht="46.25" customHeight="1" spans="1:18">
      <c r="A1996" s="556"/>
      <c r="B1996" s="557"/>
      <c r="C1996" s="100" t="s">
        <v>2893</v>
      </c>
      <c r="D1996" s="99" t="s">
        <v>3551</v>
      </c>
      <c r="E1996" s="100" t="s">
        <v>139</v>
      </c>
      <c r="F1996" s="100" t="s">
        <v>3552</v>
      </c>
      <c r="G1996" s="100" t="s">
        <v>2961</v>
      </c>
      <c r="H1996" s="100"/>
      <c r="I1996" s="101" t="s">
        <v>134</v>
      </c>
      <c r="J1996" s="580">
        <v>1.55</v>
      </c>
      <c r="K1996" s="580">
        <v>0</v>
      </c>
      <c r="L1996" s="102">
        <v>1586.28</v>
      </c>
      <c r="M1996" s="102">
        <v>2458.73</v>
      </c>
      <c r="N1996" s="573"/>
      <c r="O1996" s="556"/>
      <c r="P1996" s="573"/>
      <c r="Q1996" s="556"/>
      <c r="R1996" s="582"/>
    </row>
    <row r="1997" ht="25.5" spans="1:18">
      <c r="A1997" s="556"/>
      <c r="B1997" s="557" t="str">
        <f>C1996</f>
        <v>Insumo</v>
      </c>
      <c r="C1997" s="108"/>
      <c r="D1997" s="108"/>
      <c r="E1997" s="108"/>
      <c r="F1997" s="108"/>
      <c r="G1997" s="108"/>
      <c r="H1997" s="108" t="s">
        <v>2898</v>
      </c>
      <c r="I1997" s="581">
        <v>207.79</v>
      </c>
      <c r="J1997" s="108" t="s">
        <v>2899</v>
      </c>
      <c r="K1997" s="581">
        <v>0</v>
      </c>
      <c r="L1997" s="108" t="s">
        <v>2900</v>
      </c>
      <c r="M1997" s="581">
        <v>207.79</v>
      </c>
      <c r="N1997" s="573">
        <v>414.59</v>
      </c>
      <c r="O1997" s="556" t="str">
        <f>IF(N1997=M1997,"OK","DIF")</f>
        <v>DIF</v>
      </c>
      <c r="P1997" s="573"/>
      <c r="Q1997" s="556"/>
      <c r="R1997" s="582"/>
    </row>
    <row r="1998" ht="26.25" spans="1:18">
      <c r="A1998" s="556" t="str">
        <f>B1998</f>
        <v>Insumo</v>
      </c>
      <c r="B1998" s="557" t="str">
        <f>B1997</f>
        <v>Insumo</v>
      </c>
      <c r="C1998" s="108"/>
      <c r="D1998" s="108"/>
      <c r="E1998" s="108"/>
      <c r="F1998" s="108"/>
      <c r="G1998" s="108"/>
      <c r="H1998" s="108" t="s">
        <v>2901</v>
      </c>
      <c r="I1998" s="581">
        <v>708.53</v>
      </c>
      <c r="J1998" s="114"/>
      <c r="K1998" s="114" t="s">
        <v>2902</v>
      </c>
      <c r="L1998" s="108"/>
      <c r="M1998" s="581">
        <v>3488.17</v>
      </c>
      <c r="N1998" s="573">
        <v>1.75</v>
      </c>
      <c r="O1998" s="556" t="str">
        <f>IF(N1998=M1998,"OK","DIF")</f>
        <v>DIF</v>
      </c>
      <c r="P1998" s="573"/>
      <c r="Q1998" s="556"/>
      <c r="R1998" s="582"/>
    </row>
    <row r="1999" ht="15" spans="1:18">
      <c r="A1999" s="556" t="str">
        <f>B1999</f>
        <v>Insumo</v>
      </c>
      <c r="B1999" s="557" t="str">
        <f>B1998</f>
        <v>Insumo</v>
      </c>
      <c r="C1999" s="571"/>
      <c r="D1999" s="571"/>
      <c r="E1999" s="571"/>
      <c r="F1999" s="571"/>
      <c r="G1999" s="571"/>
      <c r="H1999" s="571"/>
      <c r="I1999" s="571"/>
      <c r="J1999" s="571"/>
      <c r="K1999" s="571"/>
      <c r="L1999" s="571"/>
      <c r="M1999" s="571"/>
      <c r="N1999" s="573">
        <v>1.04</v>
      </c>
      <c r="O1999" s="556" t="str">
        <f>IF(N1999=M1999,"OK","DIF")</f>
        <v>DIF</v>
      </c>
      <c r="P1999" s="573"/>
      <c r="Q1999" s="556"/>
      <c r="R1999" s="582"/>
    </row>
    <row r="2000" ht="15" customHeight="1" spans="1:18">
      <c r="A2000" s="556" t="str">
        <f>B2000</f>
        <v>Insumo</v>
      </c>
      <c r="B2000" s="557" t="str">
        <f>B1999</f>
        <v>Insumo</v>
      </c>
      <c r="C2000" s="76" t="s">
        <v>696</v>
      </c>
      <c r="D2000" s="75" t="s">
        <v>63</v>
      </c>
      <c r="E2000" s="76" t="s">
        <v>64</v>
      </c>
      <c r="F2000" s="76" t="s">
        <v>65</v>
      </c>
      <c r="G2000" s="76" t="s">
        <v>2889</v>
      </c>
      <c r="H2000" s="76"/>
      <c r="I2000" s="77" t="s">
        <v>66</v>
      </c>
      <c r="J2000" s="75" t="s">
        <v>67</v>
      </c>
      <c r="K2000" s="75" t="s">
        <v>2890</v>
      </c>
      <c r="L2000" s="75" t="s">
        <v>68</v>
      </c>
      <c r="M2000" s="75" t="s">
        <v>70</v>
      </c>
      <c r="N2000" s="573">
        <v>411.8</v>
      </c>
      <c r="O2000" s="556" t="str">
        <f>IF(N2000=M2000,"OK","DIF")</f>
        <v>DIF</v>
      </c>
      <c r="P2000" s="573"/>
      <c r="Q2000" s="556"/>
      <c r="R2000" s="582"/>
    </row>
    <row r="2001" ht="35.05" customHeight="1" spans="1:18">
      <c r="A2001" s="556"/>
      <c r="B2001" s="557"/>
      <c r="C2001" s="569" t="s">
        <v>2891</v>
      </c>
      <c r="D2001" s="570" t="s">
        <v>697</v>
      </c>
      <c r="E2001" s="569" t="s">
        <v>132</v>
      </c>
      <c r="F2001" s="569" t="s">
        <v>698</v>
      </c>
      <c r="G2001" s="569" t="s">
        <v>3505</v>
      </c>
      <c r="H2001" s="569"/>
      <c r="I2001" s="577" t="s">
        <v>134</v>
      </c>
      <c r="J2001" s="578">
        <v>1</v>
      </c>
      <c r="K2001" s="579"/>
      <c r="L2001" s="579">
        <v>1742.79</v>
      </c>
      <c r="M2001" s="579">
        <v>1742.79</v>
      </c>
      <c r="N2001" s="573"/>
      <c r="O2001" s="556"/>
      <c r="P2001" s="573"/>
      <c r="Q2001" s="556"/>
      <c r="R2001" s="582"/>
    </row>
    <row r="2002" ht="23.85" customHeight="1" spans="1:18">
      <c r="A2002" s="556"/>
      <c r="B2002" s="557"/>
      <c r="C2002" s="79" t="s">
        <v>2921</v>
      </c>
      <c r="D2002" s="78" t="s">
        <v>3545</v>
      </c>
      <c r="E2002" s="79" t="s">
        <v>139</v>
      </c>
      <c r="F2002" s="79" t="s">
        <v>3546</v>
      </c>
      <c r="G2002" s="79" t="s">
        <v>2928</v>
      </c>
      <c r="H2002" s="79"/>
      <c r="I2002" s="80" t="s">
        <v>2897</v>
      </c>
      <c r="J2002" s="583">
        <v>4</v>
      </c>
      <c r="K2002" s="583">
        <v>0</v>
      </c>
      <c r="L2002" s="92">
        <v>36.71</v>
      </c>
      <c r="M2002" s="92">
        <v>146.84</v>
      </c>
      <c r="N2002" s="573"/>
      <c r="O2002" s="556"/>
      <c r="P2002" s="573"/>
      <c r="Q2002" s="556"/>
      <c r="R2002" s="582"/>
    </row>
    <row r="2003" ht="23.85" customHeight="1" spans="1:18">
      <c r="A2003" s="556"/>
      <c r="B2003" s="557" t="str">
        <f>C2002</f>
        <v>Composição Auxiliar</v>
      </c>
      <c r="C2003" s="79" t="s">
        <v>2921</v>
      </c>
      <c r="D2003" s="78" t="s">
        <v>3543</v>
      </c>
      <c r="E2003" s="79" t="s">
        <v>139</v>
      </c>
      <c r="F2003" s="79" t="s">
        <v>3544</v>
      </c>
      <c r="G2003" s="79" t="s">
        <v>2928</v>
      </c>
      <c r="H2003" s="79"/>
      <c r="I2003" s="80" t="s">
        <v>2897</v>
      </c>
      <c r="J2003" s="583">
        <v>4</v>
      </c>
      <c r="K2003" s="583">
        <v>0</v>
      </c>
      <c r="L2003" s="92">
        <v>30.06</v>
      </c>
      <c r="M2003" s="92">
        <v>120.24</v>
      </c>
      <c r="N2003" s="573">
        <v>124.6</v>
      </c>
      <c r="O2003" s="556" t="str">
        <f>IF(N2003=M2003,"OK","DIF")</f>
        <v>DIF</v>
      </c>
      <c r="P2003" s="573"/>
      <c r="Q2003" s="556"/>
      <c r="R2003" s="582"/>
    </row>
    <row r="2004" ht="15" customHeight="1" spans="1:18">
      <c r="A2004" s="556" t="str">
        <f>B2004</f>
        <v>Composição Auxiliar</v>
      </c>
      <c r="B2004" s="557" t="str">
        <f>B2003</f>
        <v>Composição Auxiliar</v>
      </c>
      <c r="C2004" s="100" t="s">
        <v>2893</v>
      </c>
      <c r="D2004" s="99" t="s">
        <v>3555</v>
      </c>
      <c r="E2004" s="100" t="s">
        <v>139</v>
      </c>
      <c r="F2004" s="100" t="s">
        <v>3556</v>
      </c>
      <c r="G2004" s="100" t="s">
        <v>2961</v>
      </c>
      <c r="H2004" s="100"/>
      <c r="I2004" s="101" t="s">
        <v>3557</v>
      </c>
      <c r="J2004" s="580">
        <v>1</v>
      </c>
      <c r="K2004" s="580">
        <v>0</v>
      </c>
      <c r="L2004" s="102">
        <v>1475.71</v>
      </c>
      <c r="M2004" s="102">
        <v>1475.71</v>
      </c>
      <c r="N2004" s="573">
        <v>0.96</v>
      </c>
      <c r="O2004" s="556" t="str">
        <f>IF(N2004=M2004,"OK","DIF")</f>
        <v>DIF</v>
      </c>
      <c r="P2004" s="573"/>
      <c r="Q2004" s="556"/>
      <c r="R2004" s="582"/>
    </row>
    <row r="2005" ht="25.5" spans="1:18">
      <c r="A2005" s="556" t="str">
        <f>B2005</f>
        <v>Composição Auxiliar</v>
      </c>
      <c r="B2005" s="557" t="str">
        <f>B2004</f>
        <v>Composição Auxiliar</v>
      </c>
      <c r="C2005" s="108"/>
      <c r="D2005" s="108"/>
      <c r="E2005" s="108"/>
      <c r="F2005" s="108"/>
      <c r="G2005" s="108"/>
      <c r="H2005" s="108" t="s">
        <v>2898</v>
      </c>
      <c r="I2005" s="581">
        <v>186.92</v>
      </c>
      <c r="J2005" s="108" t="s">
        <v>2899</v>
      </c>
      <c r="K2005" s="581">
        <v>0</v>
      </c>
      <c r="L2005" s="108" t="s">
        <v>2900</v>
      </c>
      <c r="M2005" s="581">
        <v>186.92</v>
      </c>
      <c r="N2005" s="573">
        <v>0.57</v>
      </c>
      <c r="O2005" s="556" t="str">
        <f>IF(N2005=M2005,"OK","DIF")</f>
        <v>DIF</v>
      </c>
      <c r="P2005" s="573"/>
      <c r="Q2005" s="556"/>
      <c r="R2005" s="582"/>
    </row>
    <row r="2006" ht="26.25" spans="1:18">
      <c r="A2006" s="556" t="str">
        <f>B2006</f>
        <v>Composição Auxiliar</v>
      </c>
      <c r="B2006" s="557" t="str">
        <f>B2005</f>
        <v>Composição Auxiliar</v>
      </c>
      <c r="C2006" s="108"/>
      <c r="D2006" s="108"/>
      <c r="E2006" s="108"/>
      <c r="F2006" s="108"/>
      <c r="G2006" s="108"/>
      <c r="H2006" s="108" t="s">
        <v>2901</v>
      </c>
      <c r="I2006" s="581">
        <v>444.23</v>
      </c>
      <c r="J2006" s="114"/>
      <c r="K2006" s="114" t="s">
        <v>2902</v>
      </c>
      <c r="L2006" s="108"/>
      <c r="M2006" s="581">
        <v>2187.02</v>
      </c>
      <c r="N2006" s="573">
        <v>123.07</v>
      </c>
      <c r="O2006" s="556" t="str">
        <f>IF(N2006=M2006,"OK","DIF")</f>
        <v>DIF</v>
      </c>
      <c r="P2006" s="573"/>
      <c r="Q2006" s="556"/>
      <c r="R2006" s="582"/>
    </row>
    <row r="2007" ht="15" spans="1:18">
      <c r="A2007" s="556"/>
      <c r="B2007" s="557"/>
      <c r="C2007" s="571"/>
      <c r="D2007" s="571"/>
      <c r="E2007" s="571"/>
      <c r="F2007" s="571"/>
      <c r="G2007" s="571"/>
      <c r="H2007" s="571"/>
      <c r="I2007" s="571"/>
      <c r="J2007" s="571"/>
      <c r="K2007" s="571"/>
      <c r="L2007" s="571"/>
      <c r="M2007" s="571"/>
      <c r="N2007" s="573"/>
      <c r="O2007" s="556"/>
      <c r="P2007" s="573"/>
      <c r="Q2007" s="556"/>
      <c r="R2007" s="582"/>
    </row>
    <row r="2008" ht="15" customHeight="1" spans="1:18">
      <c r="A2008" s="556"/>
      <c r="B2008" s="557"/>
      <c r="C2008" s="76" t="s">
        <v>699</v>
      </c>
      <c r="D2008" s="75" t="s">
        <v>63</v>
      </c>
      <c r="E2008" s="76" t="s">
        <v>64</v>
      </c>
      <c r="F2008" s="76" t="s">
        <v>65</v>
      </c>
      <c r="G2008" s="76" t="s">
        <v>2889</v>
      </c>
      <c r="H2008" s="76"/>
      <c r="I2008" s="77" t="s">
        <v>66</v>
      </c>
      <c r="J2008" s="75" t="s">
        <v>67</v>
      </c>
      <c r="K2008" s="75" t="s">
        <v>2890</v>
      </c>
      <c r="L2008" s="75" t="s">
        <v>68</v>
      </c>
      <c r="M2008" s="75" t="s">
        <v>70</v>
      </c>
      <c r="N2008" s="573"/>
      <c r="O2008" s="556"/>
      <c r="P2008" s="573"/>
      <c r="Q2008" s="556"/>
      <c r="R2008" s="582"/>
    </row>
    <row r="2009" ht="35.05" customHeight="1" spans="1:18">
      <c r="A2009" s="556"/>
      <c r="B2009" s="557" t="str">
        <f>C2008</f>
        <v> 10.1.26 </v>
      </c>
      <c r="C2009" s="569" t="s">
        <v>2891</v>
      </c>
      <c r="D2009" s="570" t="s">
        <v>700</v>
      </c>
      <c r="E2009" s="569" t="s">
        <v>132</v>
      </c>
      <c r="F2009" s="569" t="s">
        <v>701</v>
      </c>
      <c r="G2009" s="569" t="s">
        <v>3505</v>
      </c>
      <c r="H2009" s="569"/>
      <c r="I2009" s="577" t="s">
        <v>134</v>
      </c>
      <c r="J2009" s="578">
        <v>1</v>
      </c>
      <c r="K2009" s="579"/>
      <c r="L2009" s="579">
        <v>4534.58</v>
      </c>
      <c r="M2009" s="579">
        <v>4534.58</v>
      </c>
      <c r="N2009" s="573">
        <v>188.63</v>
      </c>
      <c r="O2009" s="556" t="str">
        <f>IF(N2009=M2009,"OK","DIF")</f>
        <v>DIF</v>
      </c>
      <c r="P2009" s="573"/>
      <c r="Q2009" s="556"/>
      <c r="R2009" s="582"/>
    </row>
    <row r="2010" ht="35.05" customHeight="1" spans="1:18">
      <c r="A2010" s="556" t="str">
        <f>B2010</f>
        <v> 10.1.26 </v>
      </c>
      <c r="B2010" s="557" t="str">
        <f>B2009</f>
        <v> 10.1.26 </v>
      </c>
      <c r="C2010" s="79" t="s">
        <v>2921</v>
      </c>
      <c r="D2010" s="78" t="s">
        <v>3558</v>
      </c>
      <c r="E2010" s="79" t="s">
        <v>139</v>
      </c>
      <c r="F2010" s="79" t="s">
        <v>3559</v>
      </c>
      <c r="G2010" s="79" t="s">
        <v>3016</v>
      </c>
      <c r="H2010" s="79"/>
      <c r="I2010" s="80" t="s">
        <v>279</v>
      </c>
      <c r="J2010" s="583">
        <v>0.006</v>
      </c>
      <c r="K2010" s="583">
        <v>0</v>
      </c>
      <c r="L2010" s="92">
        <v>688.18</v>
      </c>
      <c r="M2010" s="92">
        <v>4.12</v>
      </c>
      <c r="N2010" s="573">
        <v>10.49</v>
      </c>
      <c r="O2010" s="556" t="str">
        <f>IF(N2010=M2010,"OK","DIF")</f>
        <v>DIF</v>
      </c>
      <c r="P2010" s="573"/>
      <c r="Q2010" s="556"/>
      <c r="R2010" s="582"/>
    </row>
    <row r="2011" ht="23.85" customHeight="1" spans="1:18">
      <c r="A2011" s="556" t="str">
        <f>B2011</f>
        <v> 10.1.26 </v>
      </c>
      <c r="B2011" s="557" t="str">
        <f>B2010</f>
        <v> 10.1.26 </v>
      </c>
      <c r="C2011" s="79" t="s">
        <v>2921</v>
      </c>
      <c r="D2011" s="78" t="s">
        <v>2952</v>
      </c>
      <c r="E2011" s="79" t="s">
        <v>139</v>
      </c>
      <c r="F2011" s="79" t="s">
        <v>2953</v>
      </c>
      <c r="G2011" s="79" t="s">
        <v>2928</v>
      </c>
      <c r="H2011" s="79"/>
      <c r="I2011" s="80" t="s">
        <v>2897</v>
      </c>
      <c r="J2011" s="583">
        <v>3</v>
      </c>
      <c r="K2011" s="583">
        <v>0</v>
      </c>
      <c r="L2011" s="92">
        <v>29.15</v>
      </c>
      <c r="M2011" s="92">
        <v>87.45</v>
      </c>
      <c r="N2011" s="573">
        <v>12.95</v>
      </c>
      <c r="O2011" s="556" t="str">
        <f>IF(N2011=M2011,"OK","DIF")</f>
        <v>DIF</v>
      </c>
      <c r="P2011" s="573"/>
      <c r="Q2011" s="556"/>
      <c r="R2011" s="582"/>
    </row>
    <row r="2012" ht="23.85" customHeight="1" spans="1:18">
      <c r="A2012" s="556" t="str">
        <f>B2012</f>
        <v> 10.1.26 </v>
      </c>
      <c r="B2012" s="557" t="str">
        <f>B2011</f>
        <v> 10.1.26 </v>
      </c>
      <c r="C2012" s="79" t="s">
        <v>2921</v>
      </c>
      <c r="D2012" s="78" t="s">
        <v>3017</v>
      </c>
      <c r="E2012" s="79" t="s">
        <v>139</v>
      </c>
      <c r="F2012" s="79" t="s">
        <v>3018</v>
      </c>
      <c r="G2012" s="79" t="s">
        <v>2928</v>
      </c>
      <c r="H2012" s="79"/>
      <c r="I2012" s="80" t="s">
        <v>2897</v>
      </c>
      <c r="J2012" s="583">
        <v>0.8</v>
      </c>
      <c r="K2012" s="583">
        <v>0</v>
      </c>
      <c r="L2012" s="92">
        <v>36.96</v>
      </c>
      <c r="M2012" s="92">
        <v>29.56</v>
      </c>
      <c r="N2012" s="573">
        <v>165.19</v>
      </c>
      <c r="O2012" s="556" t="str">
        <f>IF(N2012=M2012,"OK","DIF")</f>
        <v>DIF</v>
      </c>
      <c r="P2012" s="573"/>
      <c r="Q2012" s="556"/>
      <c r="R2012" s="582"/>
    </row>
    <row r="2013" ht="23.85" customHeight="1" spans="1:18">
      <c r="A2013" s="556"/>
      <c r="B2013" s="557"/>
      <c r="C2013" s="79" t="s">
        <v>2921</v>
      </c>
      <c r="D2013" s="78" t="s">
        <v>3545</v>
      </c>
      <c r="E2013" s="79" t="s">
        <v>139</v>
      </c>
      <c r="F2013" s="79" t="s">
        <v>3546</v>
      </c>
      <c r="G2013" s="79" t="s">
        <v>2928</v>
      </c>
      <c r="H2013" s="79"/>
      <c r="I2013" s="80" t="s">
        <v>2897</v>
      </c>
      <c r="J2013" s="583">
        <v>1.8</v>
      </c>
      <c r="K2013" s="583">
        <v>0</v>
      </c>
      <c r="L2013" s="92">
        <v>36.71</v>
      </c>
      <c r="M2013" s="92">
        <v>66.07</v>
      </c>
      <c r="N2013" s="573"/>
      <c r="O2013" s="556"/>
      <c r="P2013" s="573"/>
      <c r="Q2013" s="556"/>
      <c r="R2013" s="582"/>
    </row>
    <row r="2014" ht="23.85" customHeight="1" spans="1:18">
      <c r="A2014" s="556"/>
      <c r="B2014" s="557"/>
      <c r="C2014" s="100" t="s">
        <v>2893</v>
      </c>
      <c r="D2014" s="99" t="s">
        <v>3560</v>
      </c>
      <c r="E2014" s="100" t="s">
        <v>139</v>
      </c>
      <c r="F2014" s="100" t="s">
        <v>3561</v>
      </c>
      <c r="G2014" s="100" t="s">
        <v>2961</v>
      </c>
      <c r="H2014" s="100"/>
      <c r="I2014" s="101" t="s">
        <v>141</v>
      </c>
      <c r="J2014" s="580">
        <v>4.32</v>
      </c>
      <c r="K2014" s="580">
        <v>0</v>
      </c>
      <c r="L2014" s="102">
        <v>1006.34</v>
      </c>
      <c r="M2014" s="102">
        <v>4347.38</v>
      </c>
      <c r="N2014" s="573"/>
      <c r="O2014" s="556"/>
      <c r="P2014" s="573"/>
      <c r="Q2014" s="556"/>
      <c r="R2014" s="582"/>
    </row>
    <row r="2015" ht="25.5" spans="1:18">
      <c r="A2015" s="556"/>
      <c r="B2015" s="557" t="str">
        <f>C2014</f>
        <v>Insumo</v>
      </c>
      <c r="C2015" s="108"/>
      <c r="D2015" s="108"/>
      <c r="E2015" s="108"/>
      <c r="F2015" s="108"/>
      <c r="G2015" s="108"/>
      <c r="H2015" s="108" t="s">
        <v>2898</v>
      </c>
      <c r="I2015" s="581">
        <v>128.26</v>
      </c>
      <c r="J2015" s="108" t="s">
        <v>2899</v>
      </c>
      <c r="K2015" s="581">
        <v>0</v>
      </c>
      <c r="L2015" s="108" t="s">
        <v>2900</v>
      </c>
      <c r="M2015" s="581">
        <v>128.26</v>
      </c>
      <c r="N2015" s="573">
        <v>2620.72</v>
      </c>
      <c r="O2015" s="556" t="str">
        <f>IF(N2015=M2015,"OK","DIF")</f>
        <v>DIF</v>
      </c>
      <c r="P2015" s="573"/>
      <c r="Q2015" s="556"/>
      <c r="R2015" s="582"/>
    </row>
    <row r="2016" ht="26.25" spans="1:18">
      <c r="A2016" s="556" t="str">
        <f>B2016</f>
        <v>Insumo</v>
      </c>
      <c r="B2016" s="557" t="str">
        <f>B2015</f>
        <v>Insumo</v>
      </c>
      <c r="C2016" s="108"/>
      <c r="D2016" s="108"/>
      <c r="E2016" s="108"/>
      <c r="F2016" s="108"/>
      <c r="G2016" s="108"/>
      <c r="H2016" s="108" t="s">
        <v>2901</v>
      </c>
      <c r="I2016" s="581">
        <v>1155.86</v>
      </c>
      <c r="J2016" s="114"/>
      <c r="K2016" s="114" t="s">
        <v>2902</v>
      </c>
      <c r="L2016" s="108"/>
      <c r="M2016" s="581">
        <v>5690.44</v>
      </c>
      <c r="N2016" s="573">
        <v>15.57</v>
      </c>
      <c r="O2016" s="556" t="str">
        <f>IF(N2016=M2016,"OK","DIF")</f>
        <v>DIF</v>
      </c>
      <c r="P2016" s="573"/>
      <c r="Q2016" s="556"/>
      <c r="R2016" s="582"/>
    </row>
    <row r="2017" ht="15" spans="1:18">
      <c r="A2017" s="556" t="str">
        <f>B2017</f>
        <v>Insumo</v>
      </c>
      <c r="B2017" s="557" t="str">
        <f>B2016</f>
        <v>Insumo</v>
      </c>
      <c r="C2017" s="571"/>
      <c r="D2017" s="571"/>
      <c r="E2017" s="571"/>
      <c r="F2017" s="571"/>
      <c r="G2017" s="571"/>
      <c r="H2017" s="571"/>
      <c r="I2017" s="571"/>
      <c r="J2017" s="571"/>
      <c r="K2017" s="571"/>
      <c r="L2017" s="571"/>
      <c r="M2017" s="571"/>
      <c r="N2017" s="573">
        <v>19.43</v>
      </c>
      <c r="O2017" s="556" t="str">
        <f>IF(N2017=M2017,"OK","DIF")</f>
        <v>DIF</v>
      </c>
      <c r="P2017" s="573"/>
      <c r="Q2017" s="556"/>
      <c r="R2017" s="582"/>
    </row>
    <row r="2018" ht="15" customHeight="1" spans="1:18">
      <c r="A2018" s="556" t="str">
        <f>B2018</f>
        <v>Insumo</v>
      </c>
      <c r="B2018" s="557" t="str">
        <f>B2017</f>
        <v>Insumo</v>
      </c>
      <c r="C2018" s="76" t="s">
        <v>702</v>
      </c>
      <c r="D2018" s="75" t="s">
        <v>63</v>
      </c>
      <c r="E2018" s="76" t="s">
        <v>64</v>
      </c>
      <c r="F2018" s="76" t="s">
        <v>65</v>
      </c>
      <c r="G2018" s="76" t="s">
        <v>2889</v>
      </c>
      <c r="H2018" s="76"/>
      <c r="I2018" s="77" t="s">
        <v>66</v>
      </c>
      <c r="J2018" s="75" t="s">
        <v>67</v>
      </c>
      <c r="K2018" s="75" t="s">
        <v>2890</v>
      </c>
      <c r="L2018" s="75" t="s">
        <v>68</v>
      </c>
      <c r="M2018" s="75" t="s">
        <v>70</v>
      </c>
      <c r="N2018" s="573">
        <v>2585.72</v>
      </c>
      <c r="O2018" s="556" t="str">
        <f>IF(N2018=M2018,"OK","DIF")</f>
        <v>DIF</v>
      </c>
      <c r="P2018" s="573"/>
      <c r="Q2018" s="556"/>
      <c r="R2018" s="582"/>
    </row>
    <row r="2019" ht="35.05" customHeight="1" spans="1:18">
      <c r="A2019" s="556"/>
      <c r="B2019" s="557"/>
      <c r="C2019" s="569" t="s">
        <v>2891</v>
      </c>
      <c r="D2019" s="570" t="s">
        <v>703</v>
      </c>
      <c r="E2019" s="569" t="s">
        <v>139</v>
      </c>
      <c r="F2019" s="569" t="s">
        <v>704</v>
      </c>
      <c r="G2019" s="569" t="s">
        <v>3025</v>
      </c>
      <c r="H2019" s="569"/>
      <c r="I2019" s="577" t="s">
        <v>134</v>
      </c>
      <c r="J2019" s="578">
        <v>1</v>
      </c>
      <c r="K2019" s="579"/>
      <c r="L2019" s="579">
        <v>193.94</v>
      </c>
      <c r="M2019" s="579">
        <v>193.94</v>
      </c>
      <c r="N2019" s="573"/>
      <c r="O2019" s="556"/>
      <c r="P2019" s="573"/>
      <c r="Q2019" s="556"/>
      <c r="R2019" s="582"/>
    </row>
    <row r="2020" ht="23.85" customHeight="1" spans="1:18">
      <c r="A2020" s="556"/>
      <c r="B2020" s="557"/>
      <c r="C2020" s="79" t="s">
        <v>2921</v>
      </c>
      <c r="D2020" s="78" t="s">
        <v>3026</v>
      </c>
      <c r="E2020" s="79" t="s">
        <v>139</v>
      </c>
      <c r="F2020" s="79" t="s">
        <v>3027</v>
      </c>
      <c r="G2020" s="79" t="s">
        <v>2928</v>
      </c>
      <c r="H2020" s="79"/>
      <c r="I2020" s="80" t="s">
        <v>2897</v>
      </c>
      <c r="J2020" s="583">
        <v>0.767</v>
      </c>
      <c r="K2020" s="583">
        <v>0</v>
      </c>
      <c r="L2020" s="92">
        <v>39.71</v>
      </c>
      <c r="M2020" s="92">
        <v>30.45</v>
      </c>
      <c r="N2020" s="573"/>
      <c r="O2020" s="556"/>
      <c r="P2020" s="573"/>
      <c r="Q2020" s="556"/>
      <c r="R2020" s="582"/>
    </row>
    <row r="2021" ht="23.85" customHeight="1" spans="1:18">
      <c r="A2021" s="556"/>
      <c r="B2021" s="557"/>
      <c r="C2021" s="79" t="s">
        <v>2921</v>
      </c>
      <c r="D2021" s="78" t="s">
        <v>2952</v>
      </c>
      <c r="E2021" s="79" t="s">
        <v>139</v>
      </c>
      <c r="F2021" s="79" t="s">
        <v>2953</v>
      </c>
      <c r="G2021" s="79" t="s">
        <v>2928</v>
      </c>
      <c r="H2021" s="79"/>
      <c r="I2021" s="80" t="s">
        <v>2897</v>
      </c>
      <c r="J2021" s="583">
        <v>0.384</v>
      </c>
      <c r="K2021" s="583">
        <v>0</v>
      </c>
      <c r="L2021" s="92">
        <v>29.15</v>
      </c>
      <c r="M2021" s="92">
        <v>11.19</v>
      </c>
      <c r="N2021" s="573"/>
      <c r="O2021" s="556"/>
      <c r="P2021" s="573"/>
      <c r="Q2021" s="556"/>
      <c r="R2021" s="582"/>
    </row>
    <row r="2022" ht="46.25" customHeight="1" spans="1:18">
      <c r="A2022" s="556"/>
      <c r="B2022" s="557" t="str">
        <f>C2021</f>
        <v>Composição Auxiliar</v>
      </c>
      <c r="C2022" s="100" t="s">
        <v>2893</v>
      </c>
      <c r="D2022" s="99" t="s">
        <v>3562</v>
      </c>
      <c r="E2022" s="100" t="s">
        <v>139</v>
      </c>
      <c r="F2022" s="100" t="s">
        <v>3563</v>
      </c>
      <c r="G2022" s="100" t="s">
        <v>2961</v>
      </c>
      <c r="H2022" s="100"/>
      <c r="I2022" s="101" t="s">
        <v>1491</v>
      </c>
      <c r="J2022" s="580">
        <v>1</v>
      </c>
      <c r="K2022" s="580">
        <v>0</v>
      </c>
      <c r="L2022" s="102">
        <v>152.3</v>
      </c>
      <c r="M2022" s="102">
        <v>152.3</v>
      </c>
      <c r="N2022" s="573">
        <v>1428.91</v>
      </c>
      <c r="O2022" s="556" t="str">
        <f t="shared" ref="O2022:O2031" si="218">IF(N2022=M2022,"OK","DIF")</f>
        <v>DIF</v>
      </c>
      <c r="P2022" s="573"/>
      <c r="Q2022" s="556"/>
      <c r="R2022" s="582"/>
    </row>
    <row r="2023" ht="25.5" spans="1:18">
      <c r="A2023" s="556" t="str">
        <f t="shared" ref="A2023:A2031" si="219">B2023</f>
        <v>Composição Auxiliar</v>
      </c>
      <c r="B2023" s="557" t="str">
        <f t="shared" ref="B2023:B2031" si="220">B2022</f>
        <v>Composição Auxiliar</v>
      </c>
      <c r="C2023" s="108"/>
      <c r="D2023" s="108"/>
      <c r="E2023" s="108"/>
      <c r="F2023" s="108"/>
      <c r="G2023" s="108"/>
      <c r="H2023" s="108" t="s">
        <v>2898</v>
      </c>
      <c r="I2023" s="581">
        <v>30.32</v>
      </c>
      <c r="J2023" s="108" t="s">
        <v>2899</v>
      </c>
      <c r="K2023" s="581">
        <v>0</v>
      </c>
      <c r="L2023" s="108" t="s">
        <v>2900</v>
      </c>
      <c r="M2023" s="581">
        <v>30.32</v>
      </c>
      <c r="N2023" s="573">
        <v>11.9</v>
      </c>
      <c r="O2023" s="556" t="str">
        <f t="shared" si="218"/>
        <v>DIF</v>
      </c>
      <c r="P2023" s="573"/>
      <c r="Q2023" s="556"/>
      <c r="R2023" s="582"/>
    </row>
    <row r="2024" ht="26.25" spans="1:18">
      <c r="A2024" s="556" t="str">
        <f t="shared" si="219"/>
        <v>Composição Auxiliar</v>
      </c>
      <c r="B2024" s="557" t="str">
        <f t="shared" si="220"/>
        <v>Composição Auxiliar</v>
      </c>
      <c r="C2024" s="108"/>
      <c r="D2024" s="108"/>
      <c r="E2024" s="108"/>
      <c r="F2024" s="108"/>
      <c r="G2024" s="108"/>
      <c r="H2024" s="108" t="s">
        <v>2901</v>
      </c>
      <c r="I2024" s="581">
        <v>49.43</v>
      </c>
      <c r="J2024" s="114"/>
      <c r="K2024" s="114" t="s">
        <v>2902</v>
      </c>
      <c r="L2024" s="108"/>
      <c r="M2024" s="581">
        <v>243.37</v>
      </c>
      <c r="N2024" s="573">
        <v>289</v>
      </c>
      <c r="O2024" s="556" t="str">
        <f t="shared" si="218"/>
        <v>DIF</v>
      </c>
      <c r="P2024" s="573"/>
      <c r="Q2024" s="556"/>
      <c r="R2024" s="582"/>
    </row>
    <row r="2025" ht="15" spans="1:18">
      <c r="A2025" s="556" t="str">
        <f t="shared" si="219"/>
        <v>Composição Auxiliar</v>
      </c>
      <c r="B2025" s="557" t="str">
        <f t="shared" si="220"/>
        <v>Composição Auxiliar</v>
      </c>
      <c r="C2025" s="571"/>
      <c r="D2025" s="571"/>
      <c r="E2025" s="571"/>
      <c r="F2025" s="571"/>
      <c r="G2025" s="571"/>
      <c r="H2025" s="571"/>
      <c r="I2025" s="571"/>
      <c r="J2025" s="571"/>
      <c r="K2025" s="571"/>
      <c r="L2025" s="571"/>
      <c r="M2025" s="571"/>
      <c r="N2025" s="573">
        <v>166.9</v>
      </c>
      <c r="O2025" s="556" t="str">
        <f t="shared" si="218"/>
        <v>DIF</v>
      </c>
      <c r="P2025" s="573"/>
      <c r="Q2025" s="556"/>
      <c r="R2025" s="582"/>
    </row>
    <row r="2026" ht="15" customHeight="1" spans="1:18">
      <c r="A2026" s="556" t="str">
        <f t="shared" si="219"/>
        <v>Composição Auxiliar</v>
      </c>
      <c r="B2026" s="557" t="str">
        <f t="shared" si="220"/>
        <v>Composição Auxiliar</v>
      </c>
      <c r="C2026" s="76" t="s">
        <v>707</v>
      </c>
      <c r="D2026" s="75" t="s">
        <v>63</v>
      </c>
      <c r="E2026" s="76" t="s">
        <v>64</v>
      </c>
      <c r="F2026" s="76" t="s">
        <v>65</v>
      </c>
      <c r="G2026" s="76" t="s">
        <v>2889</v>
      </c>
      <c r="H2026" s="76"/>
      <c r="I2026" s="77" t="s">
        <v>66</v>
      </c>
      <c r="J2026" s="75" t="s">
        <v>67</v>
      </c>
      <c r="K2026" s="75" t="s">
        <v>2890</v>
      </c>
      <c r="L2026" s="75" t="s">
        <v>68</v>
      </c>
      <c r="M2026" s="75" t="s">
        <v>70</v>
      </c>
      <c r="N2026" s="573">
        <v>98.18</v>
      </c>
      <c r="O2026" s="556" t="str">
        <f t="shared" si="218"/>
        <v>DIF</v>
      </c>
      <c r="P2026" s="573"/>
      <c r="Q2026" s="556"/>
      <c r="R2026" s="582"/>
    </row>
    <row r="2027" ht="15" customHeight="1" spans="1:18">
      <c r="A2027" s="556" t="str">
        <f t="shared" si="219"/>
        <v>Composição Auxiliar</v>
      </c>
      <c r="B2027" s="557" t="str">
        <f t="shared" si="220"/>
        <v>Composição Auxiliar</v>
      </c>
      <c r="C2027" s="569" t="s">
        <v>2891</v>
      </c>
      <c r="D2027" s="570" t="s">
        <v>708</v>
      </c>
      <c r="E2027" s="569" t="s">
        <v>149</v>
      </c>
      <c r="F2027" s="569" t="s">
        <v>709</v>
      </c>
      <c r="G2027" s="569" t="s">
        <v>3564</v>
      </c>
      <c r="H2027" s="569"/>
      <c r="I2027" s="577" t="s">
        <v>141</v>
      </c>
      <c r="J2027" s="578">
        <v>1</v>
      </c>
      <c r="K2027" s="579"/>
      <c r="L2027" s="579">
        <v>1010.76</v>
      </c>
      <c r="M2027" s="579">
        <v>1010.76</v>
      </c>
      <c r="N2027" s="573">
        <v>82.68</v>
      </c>
      <c r="O2027" s="556" t="str">
        <f t="shared" si="218"/>
        <v>DIF</v>
      </c>
      <c r="P2027" s="573"/>
      <c r="Q2027" s="556"/>
      <c r="R2027" s="582"/>
    </row>
    <row r="2028" ht="15" customHeight="1" spans="1:18">
      <c r="A2028" s="556" t="str">
        <f t="shared" si="219"/>
        <v>Composição Auxiliar</v>
      </c>
      <c r="B2028" s="557" t="str">
        <f t="shared" si="220"/>
        <v>Composição Auxiliar</v>
      </c>
      <c r="C2028" s="100" t="s">
        <v>2893</v>
      </c>
      <c r="D2028" s="99" t="s">
        <v>3283</v>
      </c>
      <c r="E2028" s="100" t="s">
        <v>149</v>
      </c>
      <c r="F2028" s="100" t="s">
        <v>3284</v>
      </c>
      <c r="G2028" s="100" t="s">
        <v>2896</v>
      </c>
      <c r="H2028" s="100"/>
      <c r="I2028" s="101" t="s">
        <v>2897</v>
      </c>
      <c r="J2028" s="580">
        <v>0.894</v>
      </c>
      <c r="K2028" s="580">
        <v>0</v>
      </c>
      <c r="L2028" s="102">
        <v>28.994744</v>
      </c>
      <c r="M2028" s="102">
        <v>25.92</v>
      </c>
      <c r="N2028" s="573">
        <v>2.3</v>
      </c>
      <c r="O2028" s="556" t="str">
        <f t="shared" si="218"/>
        <v>DIF</v>
      </c>
      <c r="P2028" s="573"/>
      <c r="Q2028" s="556"/>
      <c r="R2028" s="582"/>
    </row>
    <row r="2029" ht="15" customHeight="1" spans="1:18">
      <c r="A2029" s="556" t="str">
        <f t="shared" si="219"/>
        <v>Composição Auxiliar</v>
      </c>
      <c r="B2029" s="557" t="str">
        <f t="shared" si="220"/>
        <v>Composição Auxiliar</v>
      </c>
      <c r="C2029" s="100" t="s">
        <v>2893</v>
      </c>
      <c r="D2029" s="99" t="s">
        <v>2974</v>
      </c>
      <c r="E2029" s="100" t="s">
        <v>149</v>
      </c>
      <c r="F2029" s="100" t="s">
        <v>2975</v>
      </c>
      <c r="G2029" s="100" t="s">
        <v>2896</v>
      </c>
      <c r="H2029" s="100"/>
      <c r="I2029" s="101" t="s">
        <v>2897</v>
      </c>
      <c r="J2029" s="580">
        <v>0.44</v>
      </c>
      <c r="K2029" s="580">
        <v>0</v>
      </c>
      <c r="L2029" s="102">
        <v>19.471856</v>
      </c>
      <c r="M2029" s="102">
        <v>8.56</v>
      </c>
      <c r="N2029" s="573">
        <v>746.56</v>
      </c>
      <c r="O2029" s="556" t="str">
        <f t="shared" si="218"/>
        <v>DIF</v>
      </c>
      <c r="P2029" s="573"/>
      <c r="Q2029" s="556"/>
      <c r="R2029" s="582"/>
    </row>
    <row r="2030" ht="15" customHeight="1" spans="1:18">
      <c r="A2030" s="556" t="str">
        <f t="shared" si="219"/>
        <v>Composição Auxiliar</v>
      </c>
      <c r="B2030" s="557" t="str">
        <f t="shared" si="220"/>
        <v>Composição Auxiliar</v>
      </c>
      <c r="C2030" s="100" t="s">
        <v>2893</v>
      </c>
      <c r="D2030" s="99" t="s">
        <v>3565</v>
      </c>
      <c r="E2030" s="100" t="s">
        <v>149</v>
      </c>
      <c r="F2030" s="100" t="s">
        <v>3566</v>
      </c>
      <c r="G2030" s="100" t="s">
        <v>2961</v>
      </c>
      <c r="H2030" s="100"/>
      <c r="I2030" s="101" t="s">
        <v>204</v>
      </c>
      <c r="J2030" s="580">
        <v>1.2</v>
      </c>
      <c r="K2030" s="580">
        <v>0</v>
      </c>
      <c r="L2030" s="102">
        <v>2.07</v>
      </c>
      <c r="M2030" s="102">
        <v>2.48</v>
      </c>
      <c r="N2030" s="573">
        <v>2.49</v>
      </c>
      <c r="O2030" s="556" t="str">
        <f t="shared" si="218"/>
        <v>DIF</v>
      </c>
      <c r="P2030" s="573"/>
      <c r="Q2030" s="556"/>
      <c r="R2030" s="582"/>
    </row>
    <row r="2031" ht="15" customHeight="1" spans="1:18">
      <c r="A2031" s="556" t="str">
        <f t="shared" si="219"/>
        <v>Composição Auxiliar</v>
      </c>
      <c r="B2031" s="557" t="str">
        <f t="shared" si="220"/>
        <v>Composição Auxiliar</v>
      </c>
      <c r="C2031" s="100" t="s">
        <v>2893</v>
      </c>
      <c r="D2031" s="99" t="s">
        <v>3567</v>
      </c>
      <c r="E2031" s="100" t="s">
        <v>149</v>
      </c>
      <c r="F2031" s="100" t="s">
        <v>3568</v>
      </c>
      <c r="G2031" s="100" t="s">
        <v>2961</v>
      </c>
      <c r="H2031" s="100"/>
      <c r="I2031" s="101" t="s">
        <v>141</v>
      </c>
      <c r="J2031" s="580">
        <v>1.2</v>
      </c>
      <c r="K2031" s="580">
        <v>0</v>
      </c>
      <c r="L2031" s="102">
        <v>761.11</v>
      </c>
      <c r="M2031" s="102">
        <v>913.33</v>
      </c>
      <c r="N2031" s="573">
        <v>28.9</v>
      </c>
      <c r="O2031" s="556" t="str">
        <f t="shared" si="218"/>
        <v>DIF</v>
      </c>
      <c r="P2031" s="573"/>
      <c r="Q2031" s="556"/>
      <c r="R2031" s="582"/>
    </row>
    <row r="2032" ht="15" customHeight="1" spans="1:18">
      <c r="A2032" s="556"/>
      <c r="B2032" s="557"/>
      <c r="C2032" s="100" t="s">
        <v>2893</v>
      </c>
      <c r="D2032" s="99" t="s">
        <v>3569</v>
      </c>
      <c r="E2032" s="100" t="s">
        <v>149</v>
      </c>
      <c r="F2032" s="100" t="s">
        <v>3570</v>
      </c>
      <c r="G2032" s="100" t="s">
        <v>2961</v>
      </c>
      <c r="H2032" s="100"/>
      <c r="I2032" s="101" t="s">
        <v>279</v>
      </c>
      <c r="J2032" s="580">
        <v>0.003</v>
      </c>
      <c r="K2032" s="580">
        <v>0</v>
      </c>
      <c r="L2032" s="102">
        <v>88.64</v>
      </c>
      <c r="M2032" s="102">
        <v>0.26</v>
      </c>
      <c r="N2032" s="573"/>
      <c r="O2032" s="556"/>
      <c r="P2032" s="573"/>
      <c r="Q2032" s="556"/>
      <c r="R2032" s="582"/>
    </row>
    <row r="2033" ht="15" customHeight="1" spans="1:18">
      <c r="A2033" s="556"/>
      <c r="B2033" s="557"/>
      <c r="C2033" s="100" t="s">
        <v>2893</v>
      </c>
      <c r="D2033" s="99" t="s">
        <v>3571</v>
      </c>
      <c r="E2033" s="100" t="s">
        <v>149</v>
      </c>
      <c r="F2033" s="100" t="s">
        <v>3572</v>
      </c>
      <c r="G2033" s="100" t="s">
        <v>2896</v>
      </c>
      <c r="H2033" s="100"/>
      <c r="I2033" s="101" t="s">
        <v>2897</v>
      </c>
      <c r="J2033" s="580">
        <v>1.2</v>
      </c>
      <c r="K2033" s="580">
        <v>0</v>
      </c>
      <c r="L2033" s="102">
        <v>28.994744</v>
      </c>
      <c r="M2033" s="102">
        <v>34.79</v>
      </c>
      <c r="N2033" s="573"/>
      <c r="O2033" s="556"/>
      <c r="P2033" s="573"/>
      <c r="Q2033" s="556"/>
      <c r="R2033" s="582"/>
    </row>
    <row r="2034" ht="15" customHeight="1" spans="1:18">
      <c r="A2034" s="556"/>
      <c r="B2034" s="557" t="str">
        <f>C2033</f>
        <v>Insumo</v>
      </c>
      <c r="C2034" s="100" t="s">
        <v>2893</v>
      </c>
      <c r="D2034" s="99" t="s">
        <v>3573</v>
      </c>
      <c r="E2034" s="100" t="s">
        <v>149</v>
      </c>
      <c r="F2034" s="100" t="s">
        <v>3574</v>
      </c>
      <c r="G2034" s="100" t="s">
        <v>2896</v>
      </c>
      <c r="H2034" s="100"/>
      <c r="I2034" s="101" t="s">
        <v>2897</v>
      </c>
      <c r="J2034" s="580">
        <v>1.2</v>
      </c>
      <c r="K2034" s="580">
        <v>0</v>
      </c>
      <c r="L2034" s="102">
        <v>20.515752</v>
      </c>
      <c r="M2034" s="102">
        <v>24.61</v>
      </c>
      <c r="N2034" s="573">
        <v>296.86</v>
      </c>
      <c r="O2034" s="556" t="str">
        <f>IF(N2034=M2034,"OK","DIF")</f>
        <v>DIF</v>
      </c>
      <c r="P2034" s="573"/>
      <c r="Q2034" s="556"/>
      <c r="R2034" s="582"/>
    </row>
    <row r="2035" ht="15" customHeight="1" spans="1:18">
      <c r="A2035" s="556" t="str">
        <f>B2035</f>
        <v>Insumo</v>
      </c>
      <c r="B2035" s="557" t="str">
        <f>B2034</f>
        <v>Insumo</v>
      </c>
      <c r="C2035" s="100" t="s">
        <v>2893</v>
      </c>
      <c r="D2035" s="99" t="s">
        <v>3575</v>
      </c>
      <c r="E2035" s="100" t="s">
        <v>149</v>
      </c>
      <c r="F2035" s="100" t="s">
        <v>3576</v>
      </c>
      <c r="G2035" s="100" t="s">
        <v>2961</v>
      </c>
      <c r="H2035" s="100"/>
      <c r="I2035" s="101" t="s">
        <v>393</v>
      </c>
      <c r="J2035" s="580">
        <v>1.2</v>
      </c>
      <c r="K2035" s="580">
        <v>0</v>
      </c>
      <c r="L2035" s="102">
        <v>0.68</v>
      </c>
      <c r="M2035" s="102">
        <v>0.81</v>
      </c>
      <c r="N2035" s="573">
        <v>7.86</v>
      </c>
      <c r="O2035" s="556" t="str">
        <f>IF(N2035=M2035,"OK","DIF")</f>
        <v>DIF</v>
      </c>
      <c r="P2035" s="573"/>
      <c r="Q2035" s="556"/>
      <c r="R2035" s="582"/>
    </row>
    <row r="2036" ht="25.5" spans="1:18">
      <c r="A2036" s="556" t="str">
        <f>B2036</f>
        <v>Insumo</v>
      </c>
      <c r="B2036" s="557" t="str">
        <f>B2035</f>
        <v>Insumo</v>
      </c>
      <c r="C2036" s="108"/>
      <c r="D2036" s="108"/>
      <c r="E2036" s="108"/>
      <c r="F2036" s="108"/>
      <c r="G2036" s="108"/>
      <c r="H2036" s="108" t="s">
        <v>2898</v>
      </c>
      <c r="I2036" s="581">
        <v>93.88</v>
      </c>
      <c r="J2036" s="108" t="s">
        <v>2899</v>
      </c>
      <c r="K2036" s="581">
        <v>0</v>
      </c>
      <c r="L2036" s="108" t="s">
        <v>2900</v>
      </c>
      <c r="M2036" s="581">
        <v>93.88</v>
      </c>
      <c r="N2036" s="573">
        <v>289</v>
      </c>
      <c r="O2036" s="556" t="str">
        <f>IF(N2036=M2036,"OK","DIF")</f>
        <v>DIF</v>
      </c>
      <c r="P2036" s="573"/>
      <c r="Q2036" s="556"/>
      <c r="R2036" s="582"/>
    </row>
    <row r="2037" ht="26.25" spans="1:18">
      <c r="A2037" s="556"/>
      <c r="B2037" s="557"/>
      <c r="C2037" s="108"/>
      <c r="D2037" s="108"/>
      <c r="E2037" s="108"/>
      <c r="F2037" s="108"/>
      <c r="G2037" s="108"/>
      <c r="H2037" s="108" t="s">
        <v>2901</v>
      </c>
      <c r="I2037" s="581">
        <v>257.64</v>
      </c>
      <c r="J2037" s="114"/>
      <c r="K2037" s="114" t="s">
        <v>2902</v>
      </c>
      <c r="L2037" s="108"/>
      <c r="M2037" s="581">
        <v>1268.4</v>
      </c>
      <c r="N2037" s="573"/>
      <c r="O2037" s="556"/>
      <c r="P2037" s="573"/>
      <c r="Q2037" s="556"/>
      <c r="R2037" s="582"/>
    </row>
    <row r="2038" ht="15" spans="1:18">
      <c r="A2038" s="556"/>
      <c r="B2038" s="557"/>
      <c r="C2038" s="571"/>
      <c r="D2038" s="571"/>
      <c r="E2038" s="571"/>
      <c r="F2038" s="571"/>
      <c r="G2038" s="571"/>
      <c r="H2038" s="571"/>
      <c r="I2038" s="571"/>
      <c r="J2038" s="571"/>
      <c r="K2038" s="571"/>
      <c r="L2038" s="571"/>
      <c r="M2038" s="571"/>
      <c r="N2038" s="573"/>
      <c r="O2038" s="556"/>
      <c r="P2038" s="573"/>
      <c r="Q2038" s="556"/>
      <c r="R2038" s="582"/>
    </row>
    <row r="2039" ht="15" customHeight="1" spans="1:18">
      <c r="A2039" s="556"/>
      <c r="B2039" s="557">
        <f>C2038</f>
        <v>0</v>
      </c>
      <c r="C2039" s="76" t="s">
        <v>710</v>
      </c>
      <c r="D2039" s="75" t="s">
        <v>63</v>
      </c>
      <c r="E2039" s="76" t="s">
        <v>64</v>
      </c>
      <c r="F2039" s="76" t="s">
        <v>65</v>
      </c>
      <c r="G2039" s="76" t="s">
        <v>2889</v>
      </c>
      <c r="H2039" s="76"/>
      <c r="I2039" s="77" t="s">
        <v>66</v>
      </c>
      <c r="J2039" s="75" t="s">
        <v>67</v>
      </c>
      <c r="K2039" s="75" t="s">
        <v>2890</v>
      </c>
      <c r="L2039" s="75" t="s">
        <v>68</v>
      </c>
      <c r="M2039" s="75" t="s">
        <v>70</v>
      </c>
      <c r="N2039" s="573">
        <v>807.08</v>
      </c>
      <c r="O2039" s="556" t="str">
        <f>IF(N2039=M2039,"OK","DIF")</f>
        <v>DIF</v>
      </c>
      <c r="P2039" s="573"/>
      <c r="Q2039" s="556"/>
      <c r="R2039" s="582"/>
    </row>
    <row r="2040" ht="15" customHeight="1" spans="1:18">
      <c r="A2040" s="556">
        <f>B2040</f>
        <v>0</v>
      </c>
      <c r="B2040" s="557">
        <f>B2039</f>
        <v>0</v>
      </c>
      <c r="C2040" s="569" t="s">
        <v>2891</v>
      </c>
      <c r="D2040" s="570" t="s">
        <v>711</v>
      </c>
      <c r="E2040" s="569" t="s">
        <v>149</v>
      </c>
      <c r="F2040" s="569" t="s">
        <v>712</v>
      </c>
      <c r="G2040" s="569" t="s">
        <v>3564</v>
      </c>
      <c r="H2040" s="569"/>
      <c r="I2040" s="577" t="s">
        <v>141</v>
      </c>
      <c r="J2040" s="578">
        <v>1</v>
      </c>
      <c r="K2040" s="579"/>
      <c r="L2040" s="579">
        <v>899.65</v>
      </c>
      <c r="M2040" s="579">
        <v>899.65</v>
      </c>
      <c r="N2040" s="573">
        <v>798.4</v>
      </c>
      <c r="O2040" s="556" t="str">
        <f>IF(N2040=M2040,"OK","DIF")</f>
        <v>DIF</v>
      </c>
      <c r="P2040" s="573"/>
      <c r="Q2040" s="556"/>
      <c r="R2040" s="582"/>
    </row>
    <row r="2041" ht="15" customHeight="1" spans="1:18">
      <c r="A2041" s="556">
        <f>B2041</f>
        <v>0</v>
      </c>
      <c r="B2041" s="557">
        <f>B2040</f>
        <v>0</v>
      </c>
      <c r="C2041" s="100" t="s">
        <v>2893</v>
      </c>
      <c r="D2041" s="99" t="s">
        <v>3569</v>
      </c>
      <c r="E2041" s="100" t="s">
        <v>149</v>
      </c>
      <c r="F2041" s="100" t="s">
        <v>3570</v>
      </c>
      <c r="G2041" s="100" t="s">
        <v>2961</v>
      </c>
      <c r="H2041" s="100"/>
      <c r="I2041" s="101" t="s">
        <v>279</v>
      </c>
      <c r="J2041" s="580">
        <v>0.003</v>
      </c>
      <c r="K2041" s="580">
        <v>0</v>
      </c>
      <c r="L2041" s="102">
        <v>88.64</v>
      </c>
      <c r="M2041" s="102">
        <v>0.26</v>
      </c>
      <c r="N2041" s="573">
        <v>8.68</v>
      </c>
      <c r="O2041" s="556" t="str">
        <f>IF(N2041=M2041,"OK","DIF")</f>
        <v>DIF</v>
      </c>
      <c r="P2041" s="573"/>
      <c r="Q2041" s="556"/>
      <c r="R2041" s="582"/>
    </row>
    <row r="2042" ht="15" customHeight="1" spans="1:18">
      <c r="A2042" s="556"/>
      <c r="B2042" s="557"/>
      <c r="C2042" s="100" t="s">
        <v>2893</v>
      </c>
      <c r="D2042" s="99" t="s">
        <v>3575</v>
      </c>
      <c r="E2042" s="100" t="s">
        <v>149</v>
      </c>
      <c r="F2042" s="100" t="s">
        <v>3576</v>
      </c>
      <c r="G2042" s="100" t="s">
        <v>2961</v>
      </c>
      <c r="H2042" s="100"/>
      <c r="I2042" s="101" t="s">
        <v>393</v>
      </c>
      <c r="J2042" s="580">
        <v>1.2</v>
      </c>
      <c r="K2042" s="580">
        <v>0</v>
      </c>
      <c r="L2042" s="102">
        <v>0.68</v>
      </c>
      <c r="M2042" s="102">
        <v>0.81</v>
      </c>
      <c r="N2042" s="573"/>
      <c r="O2042" s="556"/>
      <c r="P2042" s="573"/>
      <c r="Q2042" s="556"/>
      <c r="R2042" s="582"/>
    </row>
    <row r="2043" ht="15" customHeight="1" spans="1:18">
      <c r="A2043" s="556"/>
      <c r="B2043" s="557"/>
      <c r="C2043" s="100" t="s">
        <v>2893</v>
      </c>
      <c r="D2043" s="99" t="s">
        <v>3577</v>
      </c>
      <c r="E2043" s="100" t="s">
        <v>149</v>
      </c>
      <c r="F2043" s="100" t="s">
        <v>3578</v>
      </c>
      <c r="G2043" s="100" t="s">
        <v>2961</v>
      </c>
      <c r="H2043" s="100"/>
      <c r="I2043" s="101" t="s">
        <v>141</v>
      </c>
      <c r="J2043" s="580">
        <v>1.05</v>
      </c>
      <c r="K2043" s="580">
        <v>0</v>
      </c>
      <c r="L2043" s="102">
        <v>816.56</v>
      </c>
      <c r="M2043" s="102">
        <v>857.38</v>
      </c>
      <c r="N2043" s="573"/>
      <c r="O2043" s="556"/>
      <c r="P2043" s="573"/>
      <c r="Q2043" s="556"/>
      <c r="R2043" s="582"/>
    </row>
    <row r="2044" ht="15" customHeight="1" spans="1:18">
      <c r="A2044" s="556"/>
      <c r="B2044" s="557" t="str">
        <f>C2043</f>
        <v>Insumo</v>
      </c>
      <c r="C2044" s="100" t="s">
        <v>2893</v>
      </c>
      <c r="D2044" s="99" t="s">
        <v>3571</v>
      </c>
      <c r="E2044" s="100" t="s">
        <v>149</v>
      </c>
      <c r="F2044" s="100" t="s">
        <v>3572</v>
      </c>
      <c r="G2044" s="100" t="s">
        <v>2896</v>
      </c>
      <c r="H2044" s="100"/>
      <c r="I2044" s="101" t="s">
        <v>2897</v>
      </c>
      <c r="J2044" s="580">
        <v>1.421</v>
      </c>
      <c r="K2044" s="580">
        <v>0</v>
      </c>
      <c r="L2044" s="102">
        <v>28.994744</v>
      </c>
      <c r="M2044" s="102">
        <v>41.2</v>
      </c>
      <c r="N2044" s="573">
        <v>42.17</v>
      </c>
      <c r="O2044" s="556" t="str">
        <f>IF(N2044=M2044,"OK","DIF")</f>
        <v>DIF</v>
      </c>
      <c r="P2044" s="573"/>
      <c r="Q2044" s="556"/>
      <c r="R2044" s="582"/>
    </row>
    <row r="2045" ht="25.5" spans="1:18">
      <c r="A2045" s="556" t="str">
        <f>B2045</f>
        <v>Insumo</v>
      </c>
      <c r="B2045" s="557" t="str">
        <f>B2044</f>
        <v>Insumo</v>
      </c>
      <c r="C2045" s="108"/>
      <c r="D2045" s="108"/>
      <c r="E2045" s="108"/>
      <c r="F2045" s="108"/>
      <c r="G2045" s="108"/>
      <c r="H2045" s="108" t="s">
        <v>2898</v>
      </c>
      <c r="I2045" s="581">
        <v>41.2</v>
      </c>
      <c r="J2045" s="108" t="s">
        <v>2899</v>
      </c>
      <c r="K2045" s="581">
        <v>0</v>
      </c>
      <c r="L2045" s="108" t="s">
        <v>2900</v>
      </c>
      <c r="M2045" s="581">
        <v>41.2</v>
      </c>
      <c r="N2045" s="573">
        <v>1.25</v>
      </c>
      <c r="O2045" s="556" t="str">
        <f>IF(N2045=M2045,"OK","DIF")</f>
        <v>DIF</v>
      </c>
      <c r="P2045" s="573"/>
      <c r="Q2045" s="556"/>
      <c r="R2045" s="582"/>
    </row>
    <row r="2046" ht="26.25" spans="1:18">
      <c r="A2046" s="556" t="str">
        <f>B2046</f>
        <v>Insumo</v>
      </c>
      <c r="B2046" s="557" t="str">
        <f>B2045</f>
        <v>Insumo</v>
      </c>
      <c r="C2046" s="108"/>
      <c r="D2046" s="108"/>
      <c r="E2046" s="108"/>
      <c r="F2046" s="108"/>
      <c r="G2046" s="108"/>
      <c r="H2046" s="108" t="s">
        <v>2901</v>
      </c>
      <c r="I2046" s="581">
        <v>229.32</v>
      </c>
      <c r="J2046" s="114"/>
      <c r="K2046" s="114" t="s">
        <v>2902</v>
      </c>
      <c r="L2046" s="108"/>
      <c r="M2046" s="581">
        <v>1128.97</v>
      </c>
      <c r="N2046" s="573">
        <v>4.97</v>
      </c>
      <c r="O2046" s="556" t="str">
        <f>IF(N2046=M2046,"OK","DIF")</f>
        <v>DIF</v>
      </c>
      <c r="P2046" s="573"/>
      <c r="Q2046" s="556"/>
      <c r="R2046" s="582"/>
    </row>
    <row r="2047" ht="15" spans="1:18">
      <c r="A2047" s="556" t="str">
        <f>B2047</f>
        <v>Insumo</v>
      </c>
      <c r="B2047" s="557" t="str">
        <f>B2046</f>
        <v>Insumo</v>
      </c>
      <c r="C2047" s="571"/>
      <c r="D2047" s="571"/>
      <c r="E2047" s="571"/>
      <c r="F2047" s="571"/>
      <c r="G2047" s="571"/>
      <c r="H2047" s="571"/>
      <c r="I2047" s="571"/>
      <c r="J2047" s="571"/>
      <c r="K2047" s="571"/>
      <c r="L2047" s="571"/>
      <c r="M2047" s="571"/>
      <c r="N2047" s="573">
        <v>35.95</v>
      </c>
      <c r="O2047" s="556" t="str">
        <f>IF(N2047=M2047,"OK","DIF")</f>
        <v>DIF</v>
      </c>
      <c r="P2047" s="573"/>
      <c r="Q2047" s="556"/>
      <c r="R2047" s="582"/>
    </row>
    <row r="2048" ht="15" customHeight="1" spans="1:18">
      <c r="A2048" s="556"/>
      <c r="B2048" s="557"/>
      <c r="C2048" s="76" t="s">
        <v>715</v>
      </c>
      <c r="D2048" s="75" t="s">
        <v>63</v>
      </c>
      <c r="E2048" s="76" t="s">
        <v>64</v>
      </c>
      <c r="F2048" s="76" t="s">
        <v>65</v>
      </c>
      <c r="G2048" s="76" t="s">
        <v>2889</v>
      </c>
      <c r="H2048" s="76"/>
      <c r="I2048" s="77" t="s">
        <v>66</v>
      </c>
      <c r="J2048" s="75" t="s">
        <v>67</v>
      </c>
      <c r="K2048" s="75" t="s">
        <v>2890</v>
      </c>
      <c r="L2048" s="75" t="s">
        <v>68</v>
      </c>
      <c r="M2048" s="75" t="s">
        <v>70</v>
      </c>
      <c r="N2048" s="573"/>
      <c r="O2048" s="556"/>
      <c r="P2048" s="573"/>
      <c r="Q2048" s="556"/>
      <c r="R2048" s="582"/>
    </row>
    <row r="2049" ht="15" customHeight="1" spans="1:18">
      <c r="A2049" s="556"/>
      <c r="B2049" s="557"/>
      <c r="C2049" s="569" t="s">
        <v>2891</v>
      </c>
      <c r="D2049" s="570" t="s">
        <v>716</v>
      </c>
      <c r="E2049" s="569" t="s">
        <v>149</v>
      </c>
      <c r="F2049" s="569" t="s">
        <v>717</v>
      </c>
      <c r="G2049" s="569" t="s">
        <v>3564</v>
      </c>
      <c r="H2049" s="569"/>
      <c r="I2049" s="577" t="s">
        <v>204</v>
      </c>
      <c r="J2049" s="578">
        <v>1</v>
      </c>
      <c r="K2049" s="579"/>
      <c r="L2049" s="579">
        <v>854.54</v>
      </c>
      <c r="M2049" s="579">
        <v>854.54</v>
      </c>
      <c r="N2049" s="573"/>
      <c r="O2049" s="556"/>
      <c r="P2049" s="573"/>
      <c r="Q2049" s="556"/>
      <c r="R2049" s="582"/>
    </row>
    <row r="2050" ht="15" customHeight="1" spans="1:18">
      <c r="A2050" s="556"/>
      <c r="B2050" s="557" t="str">
        <f>C2049</f>
        <v>Composição</v>
      </c>
      <c r="C2050" s="100" t="s">
        <v>2893</v>
      </c>
      <c r="D2050" s="99" t="s">
        <v>3571</v>
      </c>
      <c r="E2050" s="100" t="s">
        <v>149</v>
      </c>
      <c r="F2050" s="100" t="s">
        <v>3572</v>
      </c>
      <c r="G2050" s="100" t="s">
        <v>2896</v>
      </c>
      <c r="H2050" s="100"/>
      <c r="I2050" s="101" t="s">
        <v>2897</v>
      </c>
      <c r="J2050" s="580">
        <v>5.51</v>
      </c>
      <c r="K2050" s="580">
        <v>0</v>
      </c>
      <c r="L2050" s="102">
        <v>28.994744</v>
      </c>
      <c r="M2050" s="102">
        <v>159.76</v>
      </c>
      <c r="N2050" s="573">
        <v>643.59</v>
      </c>
      <c r="O2050" s="556" t="str">
        <f>IF(N2050=M2050,"OK","DIF")</f>
        <v>DIF</v>
      </c>
      <c r="P2050" s="573"/>
      <c r="Q2050" s="556"/>
      <c r="R2050" s="582"/>
    </row>
    <row r="2051" ht="23.85" customHeight="1" spans="1:18">
      <c r="A2051" s="556" t="str">
        <f>B2051</f>
        <v>Composição</v>
      </c>
      <c r="B2051" s="557" t="str">
        <f>B2050</f>
        <v>Composição</v>
      </c>
      <c r="C2051" s="100" t="s">
        <v>2893</v>
      </c>
      <c r="D2051" s="99" t="s">
        <v>3579</v>
      </c>
      <c r="E2051" s="100" t="s">
        <v>149</v>
      </c>
      <c r="F2051" s="100" t="s">
        <v>3580</v>
      </c>
      <c r="G2051" s="100" t="s">
        <v>2961</v>
      </c>
      <c r="H2051" s="100"/>
      <c r="I2051" s="101" t="s">
        <v>204</v>
      </c>
      <c r="J2051" s="580">
        <v>9.679</v>
      </c>
      <c r="K2051" s="580">
        <v>0</v>
      </c>
      <c r="L2051" s="102">
        <v>39.17</v>
      </c>
      <c r="M2051" s="102">
        <v>379.12</v>
      </c>
      <c r="N2051" s="573">
        <v>586.96</v>
      </c>
      <c r="O2051" s="556" t="str">
        <f>IF(N2051=M2051,"OK","DIF")</f>
        <v>DIF</v>
      </c>
      <c r="P2051" s="573"/>
      <c r="Q2051" s="556"/>
      <c r="R2051" s="582"/>
    </row>
    <row r="2052" ht="23.85" customHeight="1" spans="1:18">
      <c r="A2052" s="556" t="str">
        <f>B2052</f>
        <v>Composição</v>
      </c>
      <c r="B2052" s="557" t="str">
        <f>B2051</f>
        <v>Composição</v>
      </c>
      <c r="C2052" s="100" t="s">
        <v>2893</v>
      </c>
      <c r="D2052" s="99" t="s">
        <v>3581</v>
      </c>
      <c r="E2052" s="100" t="s">
        <v>149</v>
      </c>
      <c r="F2052" s="100" t="s">
        <v>3582</v>
      </c>
      <c r="G2052" s="100" t="s">
        <v>2961</v>
      </c>
      <c r="H2052" s="100"/>
      <c r="I2052" s="101" t="s">
        <v>204</v>
      </c>
      <c r="J2052" s="580">
        <v>2.875</v>
      </c>
      <c r="K2052" s="580">
        <v>0</v>
      </c>
      <c r="L2052" s="102">
        <v>77.5</v>
      </c>
      <c r="M2052" s="102">
        <v>222.81</v>
      </c>
      <c r="N2052" s="573">
        <v>0.32</v>
      </c>
      <c r="O2052" s="556" t="str">
        <f>IF(N2052=M2052,"OK","DIF")</f>
        <v>DIF</v>
      </c>
      <c r="P2052" s="573"/>
      <c r="Q2052" s="556"/>
      <c r="R2052" s="582"/>
    </row>
    <row r="2053" ht="15" customHeight="1" spans="1:18">
      <c r="A2053" s="556" t="str">
        <f>B2053</f>
        <v>Composição</v>
      </c>
      <c r="B2053" s="557" t="str">
        <f>B2052</f>
        <v>Composição</v>
      </c>
      <c r="C2053" s="100" t="s">
        <v>2893</v>
      </c>
      <c r="D2053" s="99" t="s">
        <v>3573</v>
      </c>
      <c r="E2053" s="100" t="s">
        <v>149</v>
      </c>
      <c r="F2053" s="100" t="s">
        <v>3574</v>
      </c>
      <c r="G2053" s="100" t="s">
        <v>2896</v>
      </c>
      <c r="H2053" s="100"/>
      <c r="I2053" s="101" t="s">
        <v>2897</v>
      </c>
      <c r="J2053" s="580">
        <v>4.526</v>
      </c>
      <c r="K2053" s="580">
        <v>0</v>
      </c>
      <c r="L2053" s="102">
        <v>20.515752</v>
      </c>
      <c r="M2053" s="102">
        <v>92.85</v>
      </c>
      <c r="N2053" s="573">
        <v>31.96</v>
      </c>
      <c r="O2053" s="556" t="str">
        <f>IF(N2053=M2053,"OK","DIF")</f>
        <v>DIF</v>
      </c>
      <c r="P2053" s="573"/>
      <c r="Q2053" s="556"/>
      <c r="R2053" s="582"/>
    </row>
    <row r="2054" ht="25.5" spans="1:18">
      <c r="A2054" s="556" t="str">
        <f>B2054</f>
        <v>Composição</v>
      </c>
      <c r="B2054" s="557" t="str">
        <f>B2053</f>
        <v>Composição</v>
      </c>
      <c r="C2054" s="108"/>
      <c r="D2054" s="108"/>
      <c r="E2054" s="108"/>
      <c r="F2054" s="108"/>
      <c r="G2054" s="108"/>
      <c r="H2054" s="108" t="s">
        <v>2898</v>
      </c>
      <c r="I2054" s="581">
        <v>252.61</v>
      </c>
      <c r="J2054" s="108" t="s">
        <v>2899</v>
      </c>
      <c r="K2054" s="581">
        <v>0</v>
      </c>
      <c r="L2054" s="108" t="s">
        <v>2900</v>
      </c>
      <c r="M2054" s="581">
        <v>252.61</v>
      </c>
      <c r="N2054" s="573">
        <v>24.35</v>
      </c>
      <c r="O2054" s="556" t="str">
        <f>IF(N2054=M2054,"OK","DIF")</f>
        <v>DIF</v>
      </c>
      <c r="P2054" s="573"/>
      <c r="Q2054" s="556"/>
      <c r="R2054" s="582"/>
    </row>
    <row r="2055" ht="26.25" spans="1:18">
      <c r="A2055" s="556"/>
      <c r="B2055" s="557"/>
      <c r="C2055" s="108"/>
      <c r="D2055" s="108"/>
      <c r="E2055" s="108"/>
      <c r="F2055" s="108"/>
      <c r="G2055" s="108"/>
      <c r="H2055" s="108" t="s">
        <v>2901</v>
      </c>
      <c r="I2055" s="581">
        <v>217.82</v>
      </c>
      <c r="J2055" s="114"/>
      <c r="K2055" s="114" t="s">
        <v>2902</v>
      </c>
      <c r="L2055" s="108"/>
      <c r="M2055" s="581">
        <v>1072.36</v>
      </c>
      <c r="N2055" s="573"/>
      <c r="O2055" s="556"/>
      <c r="P2055" s="573"/>
      <c r="Q2055" s="556"/>
      <c r="R2055" s="582"/>
    </row>
    <row r="2056" ht="15" spans="1:18">
      <c r="A2056" s="556"/>
      <c r="B2056" s="557"/>
      <c r="C2056" s="571"/>
      <c r="D2056" s="571"/>
      <c r="E2056" s="571"/>
      <c r="F2056" s="571"/>
      <c r="G2056" s="571"/>
      <c r="H2056" s="571"/>
      <c r="I2056" s="571"/>
      <c r="J2056" s="571"/>
      <c r="K2056" s="571"/>
      <c r="L2056" s="571"/>
      <c r="M2056" s="571"/>
      <c r="N2056" s="573"/>
      <c r="O2056" s="556"/>
      <c r="P2056" s="573"/>
      <c r="Q2056" s="556"/>
      <c r="R2056" s="582"/>
    </row>
    <row r="2057" ht="15" customHeight="1" spans="1:18">
      <c r="A2057" s="556"/>
      <c r="B2057" s="557">
        <f>C2056</f>
        <v>0</v>
      </c>
      <c r="C2057" s="76" t="s">
        <v>718</v>
      </c>
      <c r="D2057" s="75" t="s">
        <v>63</v>
      </c>
      <c r="E2057" s="76" t="s">
        <v>64</v>
      </c>
      <c r="F2057" s="76" t="s">
        <v>65</v>
      </c>
      <c r="G2057" s="76" t="s">
        <v>2889</v>
      </c>
      <c r="H2057" s="76"/>
      <c r="I2057" s="77" t="s">
        <v>66</v>
      </c>
      <c r="J2057" s="75" t="s">
        <v>67</v>
      </c>
      <c r="K2057" s="75" t="s">
        <v>2890</v>
      </c>
      <c r="L2057" s="75" t="s">
        <v>68</v>
      </c>
      <c r="M2057" s="75" t="s">
        <v>70</v>
      </c>
      <c r="N2057" s="573">
        <v>300.36</v>
      </c>
      <c r="O2057" s="556" t="str">
        <f>IF(N2057=M2057,"OK","DIF")</f>
        <v>DIF</v>
      </c>
      <c r="P2057" s="573"/>
      <c r="Q2057" s="556"/>
      <c r="R2057" s="582"/>
    </row>
    <row r="2058" ht="76.5" spans="1:18">
      <c r="A2058" s="556">
        <f>B2058</f>
        <v>0</v>
      </c>
      <c r="B2058" s="557">
        <f>B2057</f>
        <v>0</v>
      </c>
      <c r="C2058" s="569" t="s">
        <v>2891</v>
      </c>
      <c r="D2058" s="570" t="s">
        <v>719</v>
      </c>
      <c r="E2058" s="569" t="s">
        <v>77</v>
      </c>
      <c r="F2058" s="569" t="s">
        <v>3583</v>
      </c>
      <c r="G2058" s="569">
        <v>14</v>
      </c>
      <c r="H2058" s="569"/>
      <c r="I2058" s="577" t="s">
        <v>204</v>
      </c>
      <c r="J2058" s="578">
        <v>1</v>
      </c>
      <c r="K2058" s="579"/>
      <c r="L2058" s="579">
        <v>307.55</v>
      </c>
      <c r="M2058" s="579">
        <v>307.55</v>
      </c>
      <c r="N2058" s="573">
        <v>32.44</v>
      </c>
      <c r="O2058" s="556" t="str">
        <f>IF(N2058=M2058,"OK","DIF")</f>
        <v>DIF</v>
      </c>
      <c r="P2058" s="573"/>
      <c r="Q2058" s="556"/>
      <c r="R2058" s="582"/>
    </row>
    <row r="2059" ht="23.85" customHeight="1" spans="1:18">
      <c r="A2059" s="556">
        <f>B2059</f>
        <v>0</v>
      </c>
      <c r="B2059" s="557">
        <f>B2058</f>
        <v>0</v>
      </c>
      <c r="C2059" s="100" t="s">
        <v>2893</v>
      </c>
      <c r="D2059" s="99" t="s">
        <v>3584</v>
      </c>
      <c r="E2059" s="100" t="s">
        <v>77</v>
      </c>
      <c r="F2059" s="100" t="s">
        <v>3585</v>
      </c>
      <c r="G2059" s="100" t="s">
        <v>2961</v>
      </c>
      <c r="H2059" s="100"/>
      <c r="I2059" s="101" t="s">
        <v>204</v>
      </c>
      <c r="J2059" s="580">
        <v>3.4449</v>
      </c>
      <c r="K2059" s="580">
        <v>20</v>
      </c>
      <c r="L2059" s="102">
        <v>41.04</v>
      </c>
      <c r="M2059" s="102">
        <v>169.65</v>
      </c>
      <c r="N2059" s="573">
        <v>40.06</v>
      </c>
      <c r="O2059" s="556" t="str">
        <f>IF(N2059=M2059,"OK","DIF")</f>
        <v>DIF</v>
      </c>
      <c r="P2059" s="573"/>
      <c r="Q2059" s="556"/>
      <c r="R2059" s="582"/>
    </row>
    <row r="2060" ht="23.85" customHeight="1" spans="1:18">
      <c r="A2060" s="556">
        <f>B2060</f>
        <v>0</v>
      </c>
      <c r="B2060" s="557">
        <f>B2059</f>
        <v>0</v>
      </c>
      <c r="C2060" s="100" t="s">
        <v>2893</v>
      </c>
      <c r="D2060" s="99" t="s">
        <v>3586</v>
      </c>
      <c r="E2060" s="100" t="s">
        <v>77</v>
      </c>
      <c r="F2060" s="100" t="s">
        <v>3587</v>
      </c>
      <c r="G2060" s="100" t="s">
        <v>2896</v>
      </c>
      <c r="H2060" s="100"/>
      <c r="I2060" s="101" t="s">
        <v>2897</v>
      </c>
      <c r="J2060" s="580">
        <v>2.475</v>
      </c>
      <c r="K2060" s="580">
        <v>3</v>
      </c>
      <c r="L2060" s="102">
        <v>28.55</v>
      </c>
      <c r="M2060" s="102">
        <v>72.78</v>
      </c>
      <c r="N2060" s="573">
        <v>0.32</v>
      </c>
      <c r="O2060" s="556" t="str">
        <f>IF(N2060=M2060,"OK","DIF")</f>
        <v>DIF</v>
      </c>
      <c r="P2060" s="573"/>
      <c r="Q2060" s="556"/>
      <c r="R2060" s="582"/>
    </row>
    <row r="2061" ht="23.85" customHeight="1" spans="1:18">
      <c r="A2061" s="556">
        <f>B2061</f>
        <v>0</v>
      </c>
      <c r="B2061" s="557">
        <f>B2060</f>
        <v>0</v>
      </c>
      <c r="C2061" s="100" t="s">
        <v>2893</v>
      </c>
      <c r="D2061" s="99" t="s">
        <v>3108</v>
      </c>
      <c r="E2061" s="100" t="s">
        <v>77</v>
      </c>
      <c r="F2061" s="100" t="s">
        <v>3109</v>
      </c>
      <c r="G2061" s="100" t="s">
        <v>2896</v>
      </c>
      <c r="H2061" s="100"/>
      <c r="I2061" s="101" t="s">
        <v>2897</v>
      </c>
      <c r="J2061" s="580">
        <v>3.3</v>
      </c>
      <c r="K2061" s="580">
        <v>3</v>
      </c>
      <c r="L2061" s="102">
        <v>19.16</v>
      </c>
      <c r="M2061" s="102">
        <v>65.12</v>
      </c>
      <c r="N2061" s="573">
        <v>227.54</v>
      </c>
      <c r="O2061" s="556" t="str">
        <f>IF(N2061=M2061,"OK","DIF")</f>
        <v>DIF</v>
      </c>
      <c r="P2061" s="573"/>
      <c r="Q2061" s="556"/>
      <c r="R2061" s="582"/>
    </row>
    <row r="2062" ht="25.5" spans="1:18">
      <c r="A2062" s="556"/>
      <c r="B2062" s="557"/>
      <c r="C2062" s="108"/>
      <c r="D2062" s="108"/>
      <c r="E2062" s="108"/>
      <c r="F2062" s="108"/>
      <c r="G2062" s="108"/>
      <c r="H2062" s="108" t="s">
        <v>2898</v>
      </c>
      <c r="I2062" s="581">
        <v>137.9</v>
      </c>
      <c r="J2062" s="108" t="s">
        <v>2899</v>
      </c>
      <c r="K2062" s="581">
        <v>0</v>
      </c>
      <c r="L2062" s="108" t="s">
        <v>2900</v>
      </c>
      <c r="M2062" s="581">
        <v>137.9</v>
      </c>
      <c r="N2062" s="573"/>
      <c r="O2062" s="556"/>
      <c r="P2062" s="573"/>
      <c r="Q2062" s="556"/>
      <c r="R2062" s="582"/>
    </row>
    <row r="2063" ht="26.25" spans="1:18">
      <c r="A2063" s="556"/>
      <c r="B2063" s="557"/>
      <c r="C2063" s="108"/>
      <c r="D2063" s="108"/>
      <c r="E2063" s="108"/>
      <c r="F2063" s="108"/>
      <c r="G2063" s="108"/>
      <c r="H2063" s="108" t="s">
        <v>2901</v>
      </c>
      <c r="I2063" s="581">
        <v>78.39</v>
      </c>
      <c r="J2063" s="114"/>
      <c r="K2063" s="114" t="s">
        <v>2902</v>
      </c>
      <c r="L2063" s="108"/>
      <c r="M2063" s="581">
        <v>385.94</v>
      </c>
      <c r="N2063" s="573"/>
      <c r="O2063" s="556"/>
      <c r="P2063" s="573"/>
      <c r="Q2063" s="556"/>
      <c r="R2063" s="582"/>
    </row>
    <row r="2064" ht="15" spans="1:18">
      <c r="A2064" s="556"/>
      <c r="B2064" s="557">
        <f>C2063</f>
        <v>0</v>
      </c>
      <c r="C2064" s="571"/>
      <c r="D2064" s="571"/>
      <c r="E2064" s="571"/>
      <c r="F2064" s="571"/>
      <c r="G2064" s="571"/>
      <c r="H2064" s="571"/>
      <c r="I2064" s="571"/>
      <c r="J2064" s="571"/>
      <c r="K2064" s="571"/>
      <c r="L2064" s="571"/>
      <c r="M2064" s="571"/>
      <c r="N2064" s="573">
        <v>150.59</v>
      </c>
      <c r="O2064" s="556" t="str">
        <f>IF(N2064=M2064,"OK","DIF")</f>
        <v>DIF</v>
      </c>
      <c r="P2064" s="573"/>
      <c r="Q2064" s="556"/>
      <c r="R2064" s="582"/>
    </row>
    <row r="2065" ht="15" customHeight="1" spans="1:18">
      <c r="A2065" s="556">
        <f>B2065</f>
        <v>0</v>
      </c>
      <c r="B2065" s="557">
        <f>B2064</f>
        <v>0</v>
      </c>
      <c r="C2065" s="76" t="s">
        <v>721</v>
      </c>
      <c r="D2065" s="75" t="s">
        <v>63</v>
      </c>
      <c r="E2065" s="76" t="s">
        <v>64</v>
      </c>
      <c r="F2065" s="76" t="s">
        <v>65</v>
      </c>
      <c r="G2065" s="76" t="s">
        <v>2889</v>
      </c>
      <c r="H2065" s="76"/>
      <c r="I2065" s="77" t="s">
        <v>66</v>
      </c>
      <c r="J2065" s="75" t="s">
        <v>67</v>
      </c>
      <c r="K2065" s="75" t="s">
        <v>2890</v>
      </c>
      <c r="L2065" s="75" t="s">
        <v>68</v>
      </c>
      <c r="M2065" s="75" t="s">
        <v>70</v>
      </c>
      <c r="N2065" s="573">
        <v>6.91</v>
      </c>
      <c r="O2065" s="556" t="str">
        <f>IF(N2065=M2065,"OK","DIF")</f>
        <v>DIF</v>
      </c>
      <c r="P2065" s="573"/>
      <c r="Q2065" s="556"/>
      <c r="R2065" s="582"/>
    </row>
    <row r="2066" ht="76.5" spans="1:18">
      <c r="A2066" s="556">
        <f>B2066</f>
        <v>0</v>
      </c>
      <c r="B2066" s="557">
        <f>B2065</f>
        <v>0</v>
      </c>
      <c r="C2066" s="569" t="s">
        <v>2891</v>
      </c>
      <c r="D2066" s="570" t="s">
        <v>722</v>
      </c>
      <c r="E2066" s="569" t="s">
        <v>77</v>
      </c>
      <c r="F2066" s="569" t="s">
        <v>3588</v>
      </c>
      <c r="G2066" s="569">
        <v>14</v>
      </c>
      <c r="H2066" s="569"/>
      <c r="I2066" s="577" t="s">
        <v>204</v>
      </c>
      <c r="J2066" s="578">
        <v>1</v>
      </c>
      <c r="K2066" s="579"/>
      <c r="L2066" s="579">
        <v>252.74</v>
      </c>
      <c r="M2066" s="579">
        <v>252.74</v>
      </c>
      <c r="N2066" s="573">
        <v>23.46</v>
      </c>
      <c r="O2066" s="556" t="str">
        <f>IF(N2066=M2066,"OK","DIF")</f>
        <v>DIF</v>
      </c>
      <c r="P2066" s="573"/>
      <c r="Q2066" s="556"/>
      <c r="R2066" s="582"/>
    </row>
    <row r="2067" ht="23.85" customHeight="1" spans="1:18">
      <c r="A2067" s="556">
        <f>B2067</f>
        <v>0</v>
      </c>
      <c r="B2067" s="557">
        <f>B2066</f>
        <v>0</v>
      </c>
      <c r="C2067" s="100" t="s">
        <v>2893</v>
      </c>
      <c r="D2067" s="99" t="s">
        <v>3589</v>
      </c>
      <c r="E2067" s="100" t="s">
        <v>77</v>
      </c>
      <c r="F2067" s="100" t="s">
        <v>3590</v>
      </c>
      <c r="G2067" s="100" t="s">
        <v>2896</v>
      </c>
      <c r="H2067" s="100"/>
      <c r="I2067" s="101" t="s">
        <v>2897</v>
      </c>
      <c r="J2067" s="580">
        <v>0.75</v>
      </c>
      <c r="K2067" s="580">
        <v>3</v>
      </c>
      <c r="L2067" s="102">
        <v>26.52</v>
      </c>
      <c r="M2067" s="102">
        <v>20.48</v>
      </c>
      <c r="N2067" s="573">
        <v>21.47</v>
      </c>
      <c r="O2067" s="556" t="str">
        <f>IF(N2067=M2067,"OK","DIF")</f>
        <v>DIF</v>
      </c>
      <c r="P2067" s="573"/>
      <c r="Q2067" s="556"/>
      <c r="R2067" s="582"/>
    </row>
    <row r="2068" ht="23.85" customHeight="1" spans="1:18">
      <c r="A2068" s="556">
        <f>B2068</f>
        <v>0</v>
      </c>
      <c r="B2068" s="557">
        <f>B2067</f>
        <v>0</v>
      </c>
      <c r="C2068" s="100" t="s">
        <v>2893</v>
      </c>
      <c r="D2068" s="99" t="s">
        <v>3586</v>
      </c>
      <c r="E2068" s="100" t="s">
        <v>77</v>
      </c>
      <c r="F2068" s="100" t="s">
        <v>3587</v>
      </c>
      <c r="G2068" s="100" t="s">
        <v>2896</v>
      </c>
      <c r="H2068" s="100"/>
      <c r="I2068" s="101" t="s">
        <v>2897</v>
      </c>
      <c r="J2068" s="580">
        <v>2.25</v>
      </c>
      <c r="K2068" s="580">
        <v>3</v>
      </c>
      <c r="L2068" s="102">
        <v>28.55</v>
      </c>
      <c r="M2068" s="102">
        <v>66.16</v>
      </c>
      <c r="N2068" s="573">
        <v>98.75</v>
      </c>
      <c r="O2068" s="556" t="str">
        <f>IF(N2068=M2068,"OK","DIF")</f>
        <v>DIF</v>
      </c>
      <c r="P2068" s="573"/>
      <c r="Q2068" s="556"/>
      <c r="R2068" s="582"/>
    </row>
    <row r="2069" ht="23.85" customHeight="1" spans="1:18">
      <c r="A2069" s="556"/>
      <c r="B2069" s="557"/>
      <c r="C2069" s="100" t="s">
        <v>2893</v>
      </c>
      <c r="D2069" s="99" t="s">
        <v>3108</v>
      </c>
      <c r="E2069" s="100" t="s">
        <v>77</v>
      </c>
      <c r="F2069" s="100" t="s">
        <v>3109</v>
      </c>
      <c r="G2069" s="100" t="s">
        <v>2896</v>
      </c>
      <c r="H2069" s="100"/>
      <c r="I2069" s="101" t="s">
        <v>2897</v>
      </c>
      <c r="J2069" s="580">
        <v>3</v>
      </c>
      <c r="K2069" s="580">
        <v>3</v>
      </c>
      <c r="L2069" s="102">
        <v>19.16</v>
      </c>
      <c r="M2069" s="102">
        <v>59.2</v>
      </c>
      <c r="N2069" s="573"/>
      <c r="O2069" s="556"/>
      <c r="P2069" s="573"/>
      <c r="Q2069" s="556"/>
      <c r="R2069" s="582"/>
    </row>
    <row r="2070" ht="23.85" customHeight="1" spans="1:18">
      <c r="A2070" s="556"/>
      <c r="B2070" s="557"/>
      <c r="C2070" s="100" t="s">
        <v>2893</v>
      </c>
      <c r="D2070" s="99" t="s">
        <v>3584</v>
      </c>
      <c r="E2070" s="100" t="s">
        <v>77</v>
      </c>
      <c r="F2070" s="100" t="s">
        <v>3585</v>
      </c>
      <c r="G2070" s="100" t="s">
        <v>2961</v>
      </c>
      <c r="H2070" s="100"/>
      <c r="I2070" s="101" t="s">
        <v>204</v>
      </c>
      <c r="J2070" s="580">
        <v>2.1708</v>
      </c>
      <c r="K2070" s="580">
        <v>20</v>
      </c>
      <c r="L2070" s="102">
        <v>41.04</v>
      </c>
      <c r="M2070" s="102">
        <v>106.9</v>
      </c>
      <c r="N2070" s="573"/>
      <c r="O2070" s="556"/>
      <c r="P2070" s="573"/>
      <c r="Q2070" s="556"/>
      <c r="R2070" s="582"/>
    </row>
    <row r="2071" ht="25.5" spans="1:18">
      <c r="A2071" s="556"/>
      <c r="B2071" s="557" t="str">
        <f>C2070</f>
        <v>Insumo</v>
      </c>
      <c r="C2071" s="108"/>
      <c r="D2071" s="108"/>
      <c r="E2071" s="108"/>
      <c r="F2071" s="108"/>
      <c r="G2071" s="108"/>
      <c r="H2071" s="108" t="s">
        <v>2898</v>
      </c>
      <c r="I2071" s="581">
        <v>145.84</v>
      </c>
      <c r="J2071" s="108" t="s">
        <v>2899</v>
      </c>
      <c r="K2071" s="581">
        <v>0</v>
      </c>
      <c r="L2071" s="108" t="s">
        <v>2900</v>
      </c>
      <c r="M2071" s="581">
        <v>145.84</v>
      </c>
      <c r="N2071" s="573">
        <v>1386.2</v>
      </c>
      <c r="O2071" s="556" t="str">
        <f>IF(N2071=M2071,"OK","DIF")</f>
        <v>DIF</v>
      </c>
      <c r="P2071" s="573"/>
      <c r="Q2071" s="556"/>
      <c r="R2071" s="582"/>
    </row>
    <row r="2072" ht="26.25" spans="1:18">
      <c r="A2072" s="556" t="str">
        <f>B2072</f>
        <v>Insumo</v>
      </c>
      <c r="B2072" s="557" t="str">
        <f>B2071</f>
        <v>Insumo</v>
      </c>
      <c r="C2072" s="108"/>
      <c r="D2072" s="108"/>
      <c r="E2072" s="108"/>
      <c r="F2072" s="108"/>
      <c r="G2072" s="108"/>
      <c r="H2072" s="108" t="s">
        <v>2901</v>
      </c>
      <c r="I2072" s="581">
        <v>64.42</v>
      </c>
      <c r="J2072" s="114"/>
      <c r="K2072" s="114" t="s">
        <v>2902</v>
      </c>
      <c r="L2072" s="108"/>
      <c r="M2072" s="581">
        <v>317.16</v>
      </c>
      <c r="N2072" s="573">
        <v>16.75</v>
      </c>
      <c r="O2072" s="556" t="str">
        <f>IF(N2072=M2072,"OK","DIF")</f>
        <v>DIF</v>
      </c>
      <c r="P2072" s="573"/>
      <c r="Q2072" s="556"/>
      <c r="R2072" s="582"/>
    </row>
    <row r="2073" ht="15" spans="1:18">
      <c r="A2073" s="556" t="str">
        <f>B2073</f>
        <v>Insumo</v>
      </c>
      <c r="B2073" s="557" t="str">
        <f>B2072</f>
        <v>Insumo</v>
      </c>
      <c r="C2073" s="571"/>
      <c r="D2073" s="571"/>
      <c r="E2073" s="571"/>
      <c r="F2073" s="571"/>
      <c r="G2073" s="571"/>
      <c r="H2073" s="571"/>
      <c r="I2073" s="571"/>
      <c r="J2073" s="571"/>
      <c r="K2073" s="571"/>
      <c r="L2073" s="571"/>
      <c r="M2073" s="571"/>
      <c r="N2073" s="573">
        <v>1347.47</v>
      </c>
      <c r="O2073" s="556" t="str">
        <f>IF(N2073=M2073,"OK","DIF")</f>
        <v>DIF</v>
      </c>
      <c r="P2073" s="573"/>
      <c r="Q2073" s="556"/>
      <c r="R2073" s="582"/>
    </row>
    <row r="2074" ht="15" customHeight="1" spans="1:18">
      <c r="A2074" s="556" t="str">
        <f>B2074</f>
        <v>Insumo</v>
      </c>
      <c r="B2074" s="557" t="str">
        <f>B2073</f>
        <v>Insumo</v>
      </c>
      <c r="C2074" s="76" t="s">
        <v>724</v>
      </c>
      <c r="D2074" s="75" t="s">
        <v>63</v>
      </c>
      <c r="E2074" s="76" t="s">
        <v>64</v>
      </c>
      <c r="F2074" s="76" t="s">
        <v>65</v>
      </c>
      <c r="G2074" s="76" t="s">
        <v>2889</v>
      </c>
      <c r="H2074" s="76"/>
      <c r="I2074" s="77" t="s">
        <v>66</v>
      </c>
      <c r="J2074" s="75" t="s">
        <v>67</v>
      </c>
      <c r="K2074" s="75" t="s">
        <v>2890</v>
      </c>
      <c r="L2074" s="75" t="s">
        <v>68</v>
      </c>
      <c r="M2074" s="75" t="s">
        <v>70</v>
      </c>
      <c r="N2074" s="573">
        <v>21.98</v>
      </c>
      <c r="O2074" s="556" t="str">
        <f>IF(N2074=M2074,"OK","DIF")</f>
        <v>DIF</v>
      </c>
      <c r="P2074" s="573"/>
      <c r="Q2074" s="556"/>
      <c r="R2074" s="582"/>
    </row>
    <row r="2075" ht="15" customHeight="1" spans="1:18">
      <c r="A2075" s="556"/>
      <c r="B2075" s="557"/>
      <c r="C2075" s="569" t="s">
        <v>2891</v>
      </c>
      <c r="D2075" s="570" t="s">
        <v>725</v>
      </c>
      <c r="E2075" s="569" t="s">
        <v>149</v>
      </c>
      <c r="F2075" s="569" t="s">
        <v>726</v>
      </c>
      <c r="G2075" s="569" t="s">
        <v>3276</v>
      </c>
      <c r="H2075" s="569"/>
      <c r="I2075" s="577" t="s">
        <v>204</v>
      </c>
      <c r="J2075" s="578">
        <v>1</v>
      </c>
      <c r="K2075" s="579"/>
      <c r="L2075" s="579">
        <v>6.01</v>
      </c>
      <c r="M2075" s="579">
        <v>6.01</v>
      </c>
      <c r="N2075" s="573"/>
      <c r="O2075" s="556"/>
      <c r="P2075" s="573"/>
      <c r="Q2075" s="556"/>
      <c r="R2075" s="582"/>
    </row>
    <row r="2076" ht="15" customHeight="1" spans="1:18">
      <c r="A2076" s="556"/>
      <c r="B2076" s="557"/>
      <c r="C2076" s="100" t="s">
        <v>2893</v>
      </c>
      <c r="D2076" s="99" t="s">
        <v>2974</v>
      </c>
      <c r="E2076" s="100" t="s">
        <v>149</v>
      </c>
      <c r="F2076" s="100" t="s">
        <v>2975</v>
      </c>
      <c r="G2076" s="100" t="s">
        <v>2896</v>
      </c>
      <c r="H2076" s="100"/>
      <c r="I2076" s="101" t="s">
        <v>2897</v>
      </c>
      <c r="J2076" s="580">
        <v>0.192</v>
      </c>
      <c r="K2076" s="580">
        <v>0</v>
      </c>
      <c r="L2076" s="102">
        <v>19.471856</v>
      </c>
      <c r="M2076" s="102">
        <v>3.73</v>
      </c>
      <c r="N2076" s="573"/>
      <c r="O2076" s="556"/>
      <c r="P2076" s="573"/>
      <c r="Q2076" s="556"/>
      <c r="R2076" s="582"/>
    </row>
    <row r="2077" ht="15" customHeight="1" spans="1:18">
      <c r="A2077" s="556"/>
      <c r="B2077" s="557" t="str">
        <f>C2076</f>
        <v>Insumo</v>
      </c>
      <c r="C2077" s="100" t="s">
        <v>2893</v>
      </c>
      <c r="D2077" s="99" t="s">
        <v>2988</v>
      </c>
      <c r="E2077" s="100" t="s">
        <v>149</v>
      </c>
      <c r="F2077" s="100" t="s">
        <v>2989</v>
      </c>
      <c r="G2077" s="100" t="s">
        <v>2896</v>
      </c>
      <c r="H2077" s="100"/>
      <c r="I2077" s="101" t="s">
        <v>2897</v>
      </c>
      <c r="J2077" s="580">
        <v>0.085</v>
      </c>
      <c r="K2077" s="580">
        <v>0</v>
      </c>
      <c r="L2077" s="102">
        <v>26.928256</v>
      </c>
      <c r="M2077" s="102">
        <v>2.28</v>
      </c>
      <c r="N2077" s="573">
        <v>62.25</v>
      </c>
      <c r="O2077" s="556" t="str">
        <f>IF(N2077=M2077,"OK","DIF")</f>
        <v>DIF</v>
      </c>
      <c r="P2077" s="573"/>
      <c r="Q2077" s="556"/>
      <c r="R2077" s="582"/>
    </row>
    <row r="2078" ht="25.5" spans="1:18">
      <c r="A2078" s="556" t="str">
        <f>B2078</f>
        <v>Insumo</v>
      </c>
      <c r="B2078" s="557" t="str">
        <f>B2077</f>
        <v>Insumo</v>
      </c>
      <c r="C2078" s="108"/>
      <c r="D2078" s="108"/>
      <c r="E2078" s="108"/>
      <c r="F2078" s="108"/>
      <c r="G2078" s="108"/>
      <c r="H2078" s="108" t="s">
        <v>2898</v>
      </c>
      <c r="I2078" s="581">
        <v>6.01</v>
      </c>
      <c r="J2078" s="108" t="s">
        <v>2899</v>
      </c>
      <c r="K2078" s="581">
        <v>0</v>
      </c>
      <c r="L2078" s="108" t="s">
        <v>2900</v>
      </c>
      <c r="M2078" s="581">
        <v>6.01</v>
      </c>
      <c r="N2078" s="573">
        <v>5.63</v>
      </c>
      <c r="O2078" s="556" t="str">
        <f>IF(N2078=M2078,"OK","DIF")</f>
        <v>DIF</v>
      </c>
      <c r="P2078" s="573"/>
      <c r="Q2078" s="556"/>
      <c r="R2078" s="582"/>
    </row>
    <row r="2079" ht="26.25" spans="1:18">
      <c r="A2079" s="556" t="str">
        <f>B2079</f>
        <v>Insumo</v>
      </c>
      <c r="B2079" s="557" t="str">
        <f>B2078</f>
        <v>Insumo</v>
      </c>
      <c r="C2079" s="108"/>
      <c r="D2079" s="108"/>
      <c r="E2079" s="108"/>
      <c r="F2079" s="108"/>
      <c r="G2079" s="108"/>
      <c r="H2079" s="108" t="s">
        <v>2901</v>
      </c>
      <c r="I2079" s="581">
        <v>1.53</v>
      </c>
      <c r="J2079" s="114"/>
      <c r="K2079" s="114" t="s">
        <v>2902</v>
      </c>
      <c r="L2079" s="108"/>
      <c r="M2079" s="581">
        <v>7.54</v>
      </c>
      <c r="N2079" s="573">
        <v>1.42</v>
      </c>
      <c r="O2079" s="556" t="str">
        <f>IF(N2079=M2079,"OK","DIF")</f>
        <v>DIF</v>
      </c>
      <c r="P2079" s="573"/>
      <c r="Q2079" s="556"/>
      <c r="R2079" s="582"/>
    </row>
    <row r="2080" ht="15" spans="1:18">
      <c r="A2080" s="556" t="str">
        <f>B2080</f>
        <v>Insumo</v>
      </c>
      <c r="B2080" s="557" t="str">
        <f>B2079</f>
        <v>Insumo</v>
      </c>
      <c r="C2080" s="571"/>
      <c r="D2080" s="571"/>
      <c r="E2080" s="571"/>
      <c r="F2080" s="571"/>
      <c r="G2080" s="571"/>
      <c r="H2080" s="571"/>
      <c r="I2080" s="571"/>
      <c r="J2080" s="571"/>
      <c r="K2080" s="571"/>
      <c r="L2080" s="571"/>
      <c r="M2080" s="571"/>
      <c r="N2080" s="573">
        <v>0.15</v>
      </c>
      <c r="O2080" s="556" t="str">
        <f>IF(N2080=M2080,"OK","DIF")</f>
        <v>DIF</v>
      </c>
      <c r="P2080" s="573"/>
      <c r="Q2080" s="556"/>
      <c r="R2080" s="582"/>
    </row>
    <row r="2081" ht="15" customHeight="1" spans="1:18">
      <c r="A2081" s="556" t="str">
        <f>B2081</f>
        <v>Insumo</v>
      </c>
      <c r="B2081" s="557" t="str">
        <f>B2080</f>
        <v>Insumo</v>
      </c>
      <c r="C2081" s="76" t="s">
        <v>727</v>
      </c>
      <c r="D2081" s="75" t="s">
        <v>63</v>
      </c>
      <c r="E2081" s="76" t="s">
        <v>64</v>
      </c>
      <c r="F2081" s="76" t="s">
        <v>65</v>
      </c>
      <c r="G2081" s="76" t="s">
        <v>2889</v>
      </c>
      <c r="H2081" s="76"/>
      <c r="I2081" s="77" t="s">
        <v>66</v>
      </c>
      <c r="J2081" s="75" t="s">
        <v>67</v>
      </c>
      <c r="K2081" s="75" t="s">
        <v>2890</v>
      </c>
      <c r="L2081" s="75" t="s">
        <v>68</v>
      </c>
      <c r="M2081" s="75" t="s">
        <v>70</v>
      </c>
      <c r="N2081" s="573">
        <v>55.05</v>
      </c>
      <c r="O2081" s="556" t="str">
        <f>IF(N2081=M2081,"OK","DIF")</f>
        <v>DIF</v>
      </c>
      <c r="P2081" s="573"/>
      <c r="Q2081" s="556"/>
      <c r="R2081" s="582"/>
    </row>
    <row r="2082" ht="15.65" customHeight="1" spans="1:18">
      <c r="A2082" s="556"/>
      <c r="B2082" s="557"/>
      <c r="C2082" s="569" t="s">
        <v>2891</v>
      </c>
      <c r="D2082" s="570" t="s">
        <v>728</v>
      </c>
      <c r="E2082" s="569" t="s">
        <v>149</v>
      </c>
      <c r="F2082" s="569" t="s">
        <v>729</v>
      </c>
      <c r="G2082" s="569" t="s">
        <v>3591</v>
      </c>
      <c r="H2082" s="569"/>
      <c r="I2082" s="577" t="s">
        <v>204</v>
      </c>
      <c r="J2082" s="578">
        <v>1</v>
      </c>
      <c r="K2082" s="579"/>
      <c r="L2082" s="579">
        <v>13.52</v>
      </c>
      <c r="M2082" s="579">
        <v>13.52</v>
      </c>
      <c r="N2082" s="573"/>
      <c r="O2082" s="556"/>
      <c r="P2082" s="573"/>
      <c r="Q2082" s="556"/>
      <c r="R2082" s="582"/>
    </row>
    <row r="2083" ht="15" customHeight="1" spans="1:18">
      <c r="A2083" s="556"/>
      <c r="B2083" s="557"/>
      <c r="C2083" s="100" t="s">
        <v>2893</v>
      </c>
      <c r="D2083" s="99" t="s">
        <v>3592</v>
      </c>
      <c r="E2083" s="100" t="s">
        <v>149</v>
      </c>
      <c r="F2083" s="100" t="s">
        <v>3593</v>
      </c>
      <c r="G2083" s="100" t="s">
        <v>2961</v>
      </c>
      <c r="H2083" s="100"/>
      <c r="I2083" s="101" t="s">
        <v>3084</v>
      </c>
      <c r="J2083" s="580">
        <v>0.018</v>
      </c>
      <c r="K2083" s="580">
        <v>0</v>
      </c>
      <c r="L2083" s="102">
        <v>49.97</v>
      </c>
      <c r="M2083" s="102">
        <v>0.89</v>
      </c>
      <c r="N2083" s="573"/>
      <c r="O2083" s="556"/>
      <c r="P2083" s="573"/>
      <c r="Q2083" s="556"/>
      <c r="R2083" s="582"/>
    </row>
    <row r="2084" ht="15" customHeight="1" spans="1:18">
      <c r="A2084" s="556"/>
      <c r="B2084" s="557" t="str">
        <f>C2083</f>
        <v>Insumo</v>
      </c>
      <c r="C2084" s="100" t="s">
        <v>2893</v>
      </c>
      <c r="D2084" s="99" t="s">
        <v>3594</v>
      </c>
      <c r="E2084" s="100" t="s">
        <v>149</v>
      </c>
      <c r="F2084" s="100" t="s">
        <v>3595</v>
      </c>
      <c r="G2084" s="100" t="s">
        <v>2961</v>
      </c>
      <c r="H2084" s="100"/>
      <c r="I2084" s="101" t="s">
        <v>3084</v>
      </c>
      <c r="J2084" s="580">
        <v>0.018</v>
      </c>
      <c r="K2084" s="580">
        <v>0</v>
      </c>
      <c r="L2084" s="102">
        <v>66.63</v>
      </c>
      <c r="M2084" s="102">
        <v>1.19</v>
      </c>
      <c r="N2084" s="573">
        <v>141.35</v>
      </c>
      <c r="O2084" s="556" t="str">
        <f>IF(N2084=M2084,"OK","DIF")</f>
        <v>DIF</v>
      </c>
      <c r="P2084" s="573"/>
      <c r="Q2084" s="556"/>
      <c r="R2084" s="582"/>
    </row>
    <row r="2085" ht="15" customHeight="1" spans="1:18">
      <c r="A2085" s="556" t="str">
        <f>B2085</f>
        <v>Insumo</v>
      </c>
      <c r="B2085" s="557" t="str">
        <f>B2084</f>
        <v>Insumo</v>
      </c>
      <c r="C2085" s="100" t="s">
        <v>2893</v>
      </c>
      <c r="D2085" s="99" t="s">
        <v>3596</v>
      </c>
      <c r="E2085" s="100" t="s">
        <v>149</v>
      </c>
      <c r="F2085" s="100" t="s">
        <v>3597</v>
      </c>
      <c r="G2085" s="100" t="s">
        <v>2961</v>
      </c>
      <c r="H2085" s="100"/>
      <c r="I2085" s="101" t="s">
        <v>3084</v>
      </c>
      <c r="J2085" s="580">
        <v>0.02</v>
      </c>
      <c r="K2085" s="580">
        <v>0</v>
      </c>
      <c r="L2085" s="102">
        <v>81.1</v>
      </c>
      <c r="M2085" s="102">
        <v>1.62</v>
      </c>
      <c r="N2085" s="573">
        <v>2.23</v>
      </c>
      <c r="O2085" s="556" t="str">
        <f>IF(N2085=M2085,"OK","DIF")</f>
        <v>DIF</v>
      </c>
      <c r="P2085" s="573"/>
      <c r="Q2085" s="556"/>
      <c r="R2085" s="582"/>
    </row>
    <row r="2086" ht="15" customHeight="1" spans="1:18">
      <c r="A2086" s="556" t="str">
        <f>B2086</f>
        <v>Insumo</v>
      </c>
      <c r="B2086" s="557" t="str">
        <f>B2085</f>
        <v>Insumo</v>
      </c>
      <c r="C2086" s="100" t="s">
        <v>2893</v>
      </c>
      <c r="D2086" s="99" t="s">
        <v>2974</v>
      </c>
      <c r="E2086" s="100" t="s">
        <v>149</v>
      </c>
      <c r="F2086" s="100" t="s">
        <v>2975</v>
      </c>
      <c r="G2086" s="100" t="s">
        <v>2896</v>
      </c>
      <c r="H2086" s="100"/>
      <c r="I2086" s="101" t="s">
        <v>2897</v>
      </c>
      <c r="J2086" s="580">
        <v>0.079</v>
      </c>
      <c r="K2086" s="580">
        <v>0</v>
      </c>
      <c r="L2086" s="102">
        <v>19.471856</v>
      </c>
      <c r="M2086" s="102">
        <v>1.53</v>
      </c>
      <c r="N2086" s="573">
        <v>8.85</v>
      </c>
      <c r="O2086" s="556" t="str">
        <f>IF(N2086=M2086,"OK","DIF")</f>
        <v>DIF</v>
      </c>
      <c r="P2086" s="573"/>
      <c r="Q2086" s="556"/>
      <c r="R2086" s="582"/>
    </row>
    <row r="2087" ht="15" customHeight="1" spans="1:18">
      <c r="A2087" s="556" t="str">
        <f>B2087</f>
        <v>Insumo</v>
      </c>
      <c r="B2087" s="557" t="str">
        <f>B2086</f>
        <v>Insumo</v>
      </c>
      <c r="C2087" s="100" t="s">
        <v>2893</v>
      </c>
      <c r="D2087" s="99" t="s">
        <v>3598</v>
      </c>
      <c r="E2087" s="100" t="s">
        <v>149</v>
      </c>
      <c r="F2087" s="100" t="s">
        <v>3599</v>
      </c>
      <c r="G2087" s="100" t="s">
        <v>2961</v>
      </c>
      <c r="H2087" s="100"/>
      <c r="I2087" s="101" t="s">
        <v>134</v>
      </c>
      <c r="J2087" s="580">
        <v>1</v>
      </c>
      <c r="K2087" s="580">
        <v>0</v>
      </c>
      <c r="L2087" s="102">
        <v>3.5</v>
      </c>
      <c r="M2087" s="102">
        <v>3.5</v>
      </c>
      <c r="N2087" s="573">
        <v>0.1</v>
      </c>
      <c r="O2087" s="556" t="str">
        <f>IF(N2087=M2087,"OK","DIF")</f>
        <v>DIF</v>
      </c>
      <c r="P2087" s="573"/>
      <c r="Q2087" s="556"/>
      <c r="R2087" s="582"/>
    </row>
    <row r="2088" ht="15" customHeight="1" spans="1:18">
      <c r="A2088" s="556" t="str">
        <f>B2088</f>
        <v>Insumo</v>
      </c>
      <c r="B2088" s="557" t="str">
        <f>B2087</f>
        <v>Insumo</v>
      </c>
      <c r="C2088" s="100" t="s">
        <v>2893</v>
      </c>
      <c r="D2088" s="99" t="s">
        <v>2990</v>
      </c>
      <c r="E2088" s="100" t="s">
        <v>149</v>
      </c>
      <c r="F2088" s="100" t="s">
        <v>2991</v>
      </c>
      <c r="G2088" s="100" t="s">
        <v>2896</v>
      </c>
      <c r="H2088" s="100"/>
      <c r="I2088" s="101" t="s">
        <v>2897</v>
      </c>
      <c r="J2088" s="580">
        <v>0.178</v>
      </c>
      <c r="K2088" s="580">
        <v>0</v>
      </c>
      <c r="L2088" s="102">
        <v>26.928256</v>
      </c>
      <c r="M2088" s="102">
        <v>4.79</v>
      </c>
      <c r="N2088" s="573">
        <v>130.17</v>
      </c>
      <c r="O2088" s="556" t="str">
        <f>IF(N2088=M2088,"OK","DIF")</f>
        <v>DIF</v>
      </c>
      <c r="P2088" s="573"/>
      <c r="Q2088" s="556"/>
      <c r="R2088" s="582"/>
    </row>
    <row r="2089" ht="25.5" spans="1:18">
      <c r="A2089" s="556"/>
      <c r="B2089" s="557"/>
      <c r="C2089" s="108"/>
      <c r="D2089" s="108"/>
      <c r="E2089" s="108"/>
      <c r="F2089" s="108"/>
      <c r="G2089" s="108"/>
      <c r="H2089" s="108" t="s">
        <v>2898</v>
      </c>
      <c r="I2089" s="581">
        <v>6.32</v>
      </c>
      <c r="J2089" s="108" t="s">
        <v>2899</v>
      </c>
      <c r="K2089" s="581">
        <v>0</v>
      </c>
      <c r="L2089" s="108" t="s">
        <v>2900</v>
      </c>
      <c r="M2089" s="581">
        <v>6.32</v>
      </c>
      <c r="N2089" s="573"/>
      <c r="O2089" s="556"/>
      <c r="P2089" s="573"/>
      <c r="Q2089" s="556"/>
      <c r="R2089" s="582"/>
    </row>
    <row r="2090" ht="26.25" spans="1:18">
      <c r="A2090" s="556"/>
      <c r="B2090" s="557"/>
      <c r="C2090" s="108"/>
      <c r="D2090" s="108"/>
      <c r="E2090" s="108"/>
      <c r="F2090" s="108"/>
      <c r="G2090" s="108"/>
      <c r="H2090" s="108" t="s">
        <v>2901</v>
      </c>
      <c r="I2090" s="581">
        <v>3.44</v>
      </c>
      <c r="J2090" s="114"/>
      <c r="K2090" s="114" t="s">
        <v>2902</v>
      </c>
      <c r="L2090" s="108"/>
      <c r="M2090" s="581">
        <v>16.96</v>
      </c>
      <c r="N2090" s="573"/>
      <c r="O2090" s="556"/>
      <c r="P2090" s="573"/>
      <c r="Q2090" s="556"/>
      <c r="R2090" s="582"/>
    </row>
    <row r="2091" ht="15" spans="1:18">
      <c r="A2091" s="556"/>
      <c r="B2091" s="557">
        <f>C2090</f>
        <v>0</v>
      </c>
      <c r="C2091" s="571"/>
      <c r="D2091" s="571"/>
      <c r="E2091" s="571"/>
      <c r="F2091" s="571"/>
      <c r="G2091" s="571"/>
      <c r="H2091" s="571"/>
      <c r="I2091" s="571"/>
      <c r="J2091" s="571"/>
      <c r="K2091" s="571"/>
      <c r="L2091" s="571"/>
      <c r="M2091" s="571"/>
      <c r="N2091" s="573">
        <v>590.14</v>
      </c>
      <c r="O2091" s="556" t="str">
        <f>IF(N2091=M2091,"OK","DIF")</f>
        <v>DIF</v>
      </c>
      <c r="P2091" s="573"/>
      <c r="Q2091" s="556"/>
      <c r="R2091" s="582"/>
    </row>
    <row r="2092" ht="15" customHeight="1" spans="1:18">
      <c r="A2092" s="556">
        <f>B2092</f>
        <v>0</v>
      </c>
      <c r="B2092" s="557">
        <f>B2091</f>
        <v>0</v>
      </c>
      <c r="C2092" s="76" t="s">
        <v>732</v>
      </c>
      <c r="D2092" s="75" t="s">
        <v>63</v>
      </c>
      <c r="E2092" s="76" t="s">
        <v>64</v>
      </c>
      <c r="F2092" s="76" t="s">
        <v>65</v>
      </c>
      <c r="G2092" s="76" t="s">
        <v>2889</v>
      </c>
      <c r="H2092" s="76"/>
      <c r="I2092" s="77" t="s">
        <v>66</v>
      </c>
      <c r="J2092" s="75" t="s">
        <v>67</v>
      </c>
      <c r="K2092" s="75" t="s">
        <v>2890</v>
      </c>
      <c r="L2092" s="75" t="s">
        <v>68</v>
      </c>
      <c r="M2092" s="75" t="s">
        <v>70</v>
      </c>
      <c r="N2092" s="573">
        <v>13.6</v>
      </c>
      <c r="O2092" s="556" t="str">
        <f>IF(N2092=M2092,"OK","DIF")</f>
        <v>DIF</v>
      </c>
      <c r="P2092" s="573"/>
      <c r="Q2092" s="556"/>
      <c r="R2092" s="582"/>
    </row>
    <row r="2093" ht="38.25" spans="1:18">
      <c r="A2093" s="556">
        <f>B2093</f>
        <v>0</v>
      </c>
      <c r="B2093" s="557">
        <f>B2092</f>
        <v>0</v>
      </c>
      <c r="C2093" s="569" t="s">
        <v>2891</v>
      </c>
      <c r="D2093" s="570" t="s">
        <v>733</v>
      </c>
      <c r="E2093" s="569" t="s">
        <v>77</v>
      </c>
      <c r="F2093" s="569" t="s">
        <v>3600</v>
      </c>
      <c r="G2093" s="569">
        <v>14</v>
      </c>
      <c r="H2093" s="569"/>
      <c r="I2093" s="577" t="s">
        <v>141</v>
      </c>
      <c r="J2093" s="578">
        <v>1</v>
      </c>
      <c r="K2093" s="579"/>
      <c r="L2093" s="579">
        <v>140.13</v>
      </c>
      <c r="M2093" s="579">
        <v>140.13</v>
      </c>
      <c r="N2093" s="573">
        <v>11.01</v>
      </c>
      <c r="O2093" s="556" t="str">
        <f>IF(N2093=M2093,"OK","DIF")</f>
        <v>DIF</v>
      </c>
      <c r="P2093" s="573"/>
      <c r="Q2093" s="556"/>
      <c r="R2093" s="582"/>
    </row>
    <row r="2094" ht="23.85" customHeight="1" spans="1:18">
      <c r="A2094" s="556">
        <f>B2094</f>
        <v>0</v>
      </c>
      <c r="B2094" s="557">
        <f>B2093</f>
        <v>0</v>
      </c>
      <c r="C2094" s="100" t="s">
        <v>2893</v>
      </c>
      <c r="D2094" s="99" t="s">
        <v>3601</v>
      </c>
      <c r="E2094" s="100" t="s">
        <v>77</v>
      </c>
      <c r="F2094" s="100" t="s">
        <v>3602</v>
      </c>
      <c r="G2094" s="100" t="s">
        <v>2896</v>
      </c>
      <c r="H2094" s="100"/>
      <c r="I2094" s="101" t="s">
        <v>2897</v>
      </c>
      <c r="J2094" s="580">
        <v>0.45</v>
      </c>
      <c r="K2094" s="580">
        <v>3</v>
      </c>
      <c r="L2094" s="102">
        <v>26.52</v>
      </c>
      <c r="M2094" s="102">
        <v>12.29</v>
      </c>
      <c r="N2094" s="573">
        <v>0.06</v>
      </c>
      <c r="O2094" s="556" t="str">
        <f>IF(N2094=M2094,"OK","DIF")</f>
        <v>DIF</v>
      </c>
      <c r="P2094" s="573"/>
      <c r="Q2094" s="556"/>
      <c r="R2094" s="582"/>
    </row>
    <row r="2095" ht="23.85" customHeight="1" spans="1:18">
      <c r="A2095" s="556">
        <f>B2095</f>
        <v>0</v>
      </c>
      <c r="B2095" s="557">
        <f>B2094</f>
        <v>0</v>
      </c>
      <c r="C2095" s="100" t="s">
        <v>2893</v>
      </c>
      <c r="D2095" s="99" t="s">
        <v>3108</v>
      </c>
      <c r="E2095" s="100" t="s">
        <v>77</v>
      </c>
      <c r="F2095" s="100" t="s">
        <v>3109</v>
      </c>
      <c r="G2095" s="100" t="s">
        <v>2896</v>
      </c>
      <c r="H2095" s="100"/>
      <c r="I2095" s="101" t="s">
        <v>2897</v>
      </c>
      <c r="J2095" s="580">
        <v>0.45</v>
      </c>
      <c r="K2095" s="580">
        <v>3</v>
      </c>
      <c r="L2095" s="102">
        <v>19.16</v>
      </c>
      <c r="M2095" s="102">
        <v>8.88</v>
      </c>
      <c r="N2095" s="573">
        <v>565.47</v>
      </c>
      <c r="O2095" s="556" t="str">
        <f>IF(N2095=M2095,"OK","DIF")</f>
        <v>DIF</v>
      </c>
      <c r="P2095" s="573"/>
      <c r="Q2095" s="556"/>
      <c r="R2095" s="582"/>
    </row>
    <row r="2096" ht="15" customHeight="1" spans="1:18">
      <c r="A2096" s="556"/>
      <c r="B2096" s="557"/>
      <c r="C2096" s="100" t="s">
        <v>2893</v>
      </c>
      <c r="D2096" s="99" t="s">
        <v>3603</v>
      </c>
      <c r="E2096" s="100" t="s">
        <v>77</v>
      </c>
      <c r="F2096" s="100" t="s">
        <v>3604</v>
      </c>
      <c r="G2096" s="100" t="s">
        <v>2961</v>
      </c>
      <c r="H2096" s="100"/>
      <c r="I2096" s="101" t="s">
        <v>141</v>
      </c>
      <c r="J2096" s="580">
        <v>1</v>
      </c>
      <c r="K2096" s="580">
        <v>10</v>
      </c>
      <c r="L2096" s="102">
        <v>108.15</v>
      </c>
      <c r="M2096" s="102">
        <v>118.96</v>
      </c>
      <c r="N2096" s="573"/>
      <c r="O2096" s="556"/>
      <c r="P2096" s="573"/>
      <c r="Q2096" s="556"/>
      <c r="R2096" s="582"/>
    </row>
    <row r="2097" ht="25.5" spans="1:18">
      <c r="A2097" s="556"/>
      <c r="B2097" s="557"/>
      <c r="C2097" s="108"/>
      <c r="D2097" s="108"/>
      <c r="E2097" s="108"/>
      <c r="F2097" s="108"/>
      <c r="G2097" s="108"/>
      <c r="H2097" s="108" t="s">
        <v>2898</v>
      </c>
      <c r="I2097" s="581">
        <v>21.17</v>
      </c>
      <c r="J2097" s="108" t="s">
        <v>2899</v>
      </c>
      <c r="K2097" s="581">
        <v>0</v>
      </c>
      <c r="L2097" s="108" t="s">
        <v>2900</v>
      </c>
      <c r="M2097" s="581">
        <v>21.17</v>
      </c>
      <c r="N2097" s="573"/>
      <c r="O2097" s="556"/>
      <c r="P2097" s="573"/>
      <c r="Q2097" s="556"/>
      <c r="R2097" s="582"/>
    </row>
    <row r="2098" ht="26.25" spans="1:18">
      <c r="A2098" s="556"/>
      <c r="B2098" s="557">
        <f>C2097</f>
        <v>0</v>
      </c>
      <c r="C2098" s="108"/>
      <c r="D2098" s="108"/>
      <c r="E2098" s="108"/>
      <c r="F2098" s="108"/>
      <c r="G2098" s="108"/>
      <c r="H2098" s="108" t="s">
        <v>2901</v>
      </c>
      <c r="I2098" s="581">
        <v>35.71</v>
      </c>
      <c r="J2098" s="114"/>
      <c r="K2098" s="114" t="s">
        <v>2902</v>
      </c>
      <c r="L2098" s="108"/>
      <c r="M2098" s="581">
        <v>175.84</v>
      </c>
      <c r="N2098" s="573">
        <v>99.52</v>
      </c>
      <c r="O2098" s="556" t="str">
        <f t="shared" ref="O2098:O2104" si="221">IF(N2098=M2098,"OK","DIF")</f>
        <v>DIF</v>
      </c>
      <c r="P2098" s="573"/>
      <c r="Q2098" s="556"/>
      <c r="R2098" s="582"/>
    </row>
    <row r="2099" ht="15" spans="1:18">
      <c r="A2099" s="556">
        <f t="shared" ref="A2099:A2104" si="222">B2099</f>
        <v>0</v>
      </c>
      <c r="B2099" s="557">
        <f t="shared" ref="B2099:B2104" si="223">B2098</f>
        <v>0</v>
      </c>
      <c r="C2099" s="571"/>
      <c r="D2099" s="571"/>
      <c r="E2099" s="571"/>
      <c r="F2099" s="571"/>
      <c r="G2099" s="571"/>
      <c r="H2099" s="571"/>
      <c r="I2099" s="571"/>
      <c r="J2099" s="571"/>
      <c r="K2099" s="571"/>
      <c r="L2099" s="571"/>
      <c r="M2099" s="571"/>
      <c r="N2099" s="573">
        <v>5.56</v>
      </c>
      <c r="O2099" s="556" t="str">
        <f t="shared" si="221"/>
        <v>DIF</v>
      </c>
      <c r="P2099" s="573"/>
      <c r="Q2099" s="556"/>
      <c r="R2099" s="582"/>
    </row>
    <row r="2100" ht="15" customHeight="1" spans="1:18">
      <c r="A2100" s="556">
        <f t="shared" si="222"/>
        <v>0</v>
      </c>
      <c r="B2100" s="557">
        <f t="shared" si="223"/>
        <v>0</v>
      </c>
      <c r="C2100" s="76" t="s">
        <v>735</v>
      </c>
      <c r="D2100" s="75" t="s">
        <v>63</v>
      </c>
      <c r="E2100" s="76" t="s">
        <v>64</v>
      </c>
      <c r="F2100" s="76" t="s">
        <v>65</v>
      </c>
      <c r="G2100" s="76" t="s">
        <v>2889</v>
      </c>
      <c r="H2100" s="76"/>
      <c r="I2100" s="77" t="s">
        <v>66</v>
      </c>
      <c r="J2100" s="75" t="s">
        <v>67</v>
      </c>
      <c r="K2100" s="75" t="s">
        <v>2890</v>
      </c>
      <c r="L2100" s="75" t="s">
        <v>68</v>
      </c>
      <c r="M2100" s="75" t="s">
        <v>70</v>
      </c>
      <c r="N2100" s="573">
        <v>0.2</v>
      </c>
      <c r="O2100" s="556" t="str">
        <f t="shared" si="221"/>
        <v>DIF</v>
      </c>
      <c r="P2100" s="573"/>
      <c r="Q2100" s="556"/>
      <c r="R2100" s="582"/>
    </row>
    <row r="2101" ht="63.75" spans="1:18">
      <c r="A2101" s="556">
        <f t="shared" si="222"/>
        <v>0</v>
      </c>
      <c r="B2101" s="557">
        <f t="shared" si="223"/>
        <v>0</v>
      </c>
      <c r="C2101" s="569" t="s">
        <v>2891</v>
      </c>
      <c r="D2101" s="570" t="s">
        <v>736</v>
      </c>
      <c r="E2101" s="569" t="s">
        <v>77</v>
      </c>
      <c r="F2101" s="569" t="s">
        <v>3605</v>
      </c>
      <c r="G2101" s="569">
        <v>14</v>
      </c>
      <c r="H2101" s="569"/>
      <c r="I2101" s="577" t="s">
        <v>141</v>
      </c>
      <c r="J2101" s="578">
        <v>1</v>
      </c>
      <c r="K2101" s="579"/>
      <c r="L2101" s="579">
        <v>482.76</v>
      </c>
      <c r="M2101" s="579">
        <v>482.76</v>
      </c>
      <c r="N2101" s="573">
        <v>13.74</v>
      </c>
      <c r="O2101" s="556" t="str">
        <f t="shared" si="221"/>
        <v>DIF</v>
      </c>
      <c r="P2101" s="573"/>
      <c r="Q2101" s="556"/>
      <c r="R2101" s="582"/>
    </row>
    <row r="2102" ht="23.85" customHeight="1" spans="1:18">
      <c r="A2102" s="556">
        <f t="shared" si="222"/>
        <v>0</v>
      </c>
      <c r="B2102" s="557">
        <f t="shared" si="223"/>
        <v>0</v>
      </c>
      <c r="C2102" s="100" t="s">
        <v>2893</v>
      </c>
      <c r="D2102" s="99" t="s">
        <v>3108</v>
      </c>
      <c r="E2102" s="100" t="s">
        <v>77</v>
      </c>
      <c r="F2102" s="100" t="s">
        <v>3109</v>
      </c>
      <c r="G2102" s="100" t="s">
        <v>2896</v>
      </c>
      <c r="H2102" s="100"/>
      <c r="I2102" s="101" t="s">
        <v>2897</v>
      </c>
      <c r="J2102" s="580">
        <v>3</v>
      </c>
      <c r="K2102" s="580">
        <v>18.45</v>
      </c>
      <c r="L2102" s="102">
        <v>19.16</v>
      </c>
      <c r="M2102" s="102">
        <v>68.08</v>
      </c>
      <c r="N2102" s="573">
        <v>0.08</v>
      </c>
      <c r="O2102" s="556" t="str">
        <f t="shared" si="221"/>
        <v>DIF</v>
      </c>
      <c r="P2102" s="573"/>
      <c r="Q2102" s="556"/>
      <c r="R2102" s="582"/>
    </row>
    <row r="2103" ht="23.85" customHeight="1" spans="1:18">
      <c r="A2103" s="556">
        <f t="shared" si="222"/>
        <v>0</v>
      </c>
      <c r="B2103" s="557">
        <f t="shared" si="223"/>
        <v>0</v>
      </c>
      <c r="C2103" s="100" t="s">
        <v>2893</v>
      </c>
      <c r="D2103" s="99" t="s">
        <v>3586</v>
      </c>
      <c r="E2103" s="100" t="s">
        <v>77</v>
      </c>
      <c r="F2103" s="100" t="s">
        <v>3587</v>
      </c>
      <c r="G2103" s="100" t="s">
        <v>2896</v>
      </c>
      <c r="H2103" s="100"/>
      <c r="I2103" s="101" t="s">
        <v>2897</v>
      </c>
      <c r="J2103" s="580">
        <v>3</v>
      </c>
      <c r="K2103" s="580">
        <v>18.45</v>
      </c>
      <c r="L2103" s="102">
        <v>28.55</v>
      </c>
      <c r="M2103" s="102">
        <v>101.45</v>
      </c>
      <c r="N2103" s="573">
        <v>79.88</v>
      </c>
      <c r="O2103" s="556" t="str">
        <f t="shared" si="221"/>
        <v>DIF</v>
      </c>
      <c r="P2103" s="573"/>
      <c r="Q2103" s="556"/>
      <c r="R2103" s="582"/>
    </row>
    <row r="2104" ht="15" customHeight="1" spans="1:18">
      <c r="A2104" s="556">
        <f t="shared" si="222"/>
        <v>0</v>
      </c>
      <c r="B2104" s="557">
        <f t="shared" si="223"/>
        <v>0</v>
      </c>
      <c r="C2104" s="100" t="s">
        <v>2893</v>
      </c>
      <c r="D2104" s="99" t="s">
        <v>3606</v>
      </c>
      <c r="E2104" s="100" t="s">
        <v>77</v>
      </c>
      <c r="F2104" s="100" t="s">
        <v>3607</v>
      </c>
      <c r="G2104" s="100" t="s">
        <v>2961</v>
      </c>
      <c r="H2104" s="100"/>
      <c r="I2104" s="101" t="s">
        <v>393</v>
      </c>
      <c r="J2104" s="580">
        <v>6.5</v>
      </c>
      <c r="K2104" s="580">
        <v>38</v>
      </c>
      <c r="L2104" s="102">
        <v>34.92</v>
      </c>
      <c r="M2104" s="102">
        <v>313.23</v>
      </c>
      <c r="N2104" s="573">
        <v>0.06</v>
      </c>
      <c r="O2104" s="556" t="str">
        <f t="shared" si="221"/>
        <v>DIF</v>
      </c>
      <c r="P2104" s="573"/>
      <c r="Q2104" s="556"/>
      <c r="R2104" s="582"/>
    </row>
    <row r="2105" ht="25.5" spans="1:18">
      <c r="A2105" s="556"/>
      <c r="B2105" s="557"/>
      <c r="C2105" s="108"/>
      <c r="D2105" s="108"/>
      <c r="E2105" s="108"/>
      <c r="F2105" s="108"/>
      <c r="G2105" s="108"/>
      <c r="H2105" s="108" t="s">
        <v>2898</v>
      </c>
      <c r="I2105" s="581">
        <v>169.53</v>
      </c>
      <c r="J2105" s="108" t="s">
        <v>2899</v>
      </c>
      <c r="K2105" s="581">
        <v>0</v>
      </c>
      <c r="L2105" s="108" t="s">
        <v>2900</v>
      </c>
      <c r="M2105" s="581">
        <v>169.53</v>
      </c>
      <c r="N2105" s="573"/>
      <c r="O2105" s="556"/>
      <c r="P2105" s="573"/>
      <c r="Q2105" s="556"/>
      <c r="R2105" s="582"/>
    </row>
    <row r="2106" ht="26.25" spans="1:18">
      <c r="A2106" s="556"/>
      <c r="B2106" s="557"/>
      <c r="C2106" s="108"/>
      <c r="D2106" s="108"/>
      <c r="E2106" s="108"/>
      <c r="F2106" s="108"/>
      <c r="G2106" s="108"/>
      <c r="H2106" s="108" t="s">
        <v>2901</v>
      </c>
      <c r="I2106" s="581">
        <v>123.05</v>
      </c>
      <c r="J2106" s="114"/>
      <c r="K2106" s="114" t="s">
        <v>2902</v>
      </c>
      <c r="L2106" s="108"/>
      <c r="M2106" s="581">
        <v>605.81</v>
      </c>
      <c r="N2106" s="573"/>
      <c r="O2106" s="556"/>
      <c r="P2106" s="573"/>
      <c r="Q2106" s="556"/>
      <c r="R2106" s="582"/>
    </row>
    <row r="2107" ht="15" spans="1:18">
      <c r="A2107" s="556"/>
      <c r="B2107" s="557">
        <f>C2106</f>
        <v>0</v>
      </c>
      <c r="C2107" s="571"/>
      <c r="D2107" s="571"/>
      <c r="E2107" s="571"/>
      <c r="F2107" s="571"/>
      <c r="G2107" s="571"/>
      <c r="H2107" s="571"/>
      <c r="I2107" s="571"/>
      <c r="J2107" s="571"/>
      <c r="K2107" s="571"/>
      <c r="L2107" s="571"/>
      <c r="M2107" s="571"/>
      <c r="N2107" s="573">
        <v>42.22</v>
      </c>
      <c r="O2107" s="556" t="str">
        <f>IF(N2107=M2107,"OK","DIF")</f>
        <v>DIF</v>
      </c>
      <c r="P2107" s="573"/>
      <c r="Q2107" s="556"/>
      <c r="R2107" s="582"/>
    </row>
    <row r="2108" ht="15" customHeight="1" spans="1:18">
      <c r="A2108" s="556">
        <f>B2108</f>
        <v>0</v>
      </c>
      <c r="B2108" s="557">
        <f>B2107</f>
        <v>0</v>
      </c>
      <c r="C2108" s="76" t="s">
        <v>740</v>
      </c>
      <c r="D2108" s="75" t="s">
        <v>63</v>
      </c>
      <c r="E2108" s="76" t="s">
        <v>64</v>
      </c>
      <c r="F2108" s="76" t="s">
        <v>65</v>
      </c>
      <c r="G2108" s="76" t="s">
        <v>2889</v>
      </c>
      <c r="H2108" s="76"/>
      <c r="I2108" s="77" t="s">
        <v>66</v>
      </c>
      <c r="J2108" s="75" t="s">
        <v>67</v>
      </c>
      <c r="K2108" s="75" t="s">
        <v>2890</v>
      </c>
      <c r="L2108" s="75" t="s">
        <v>68</v>
      </c>
      <c r="M2108" s="75" t="s">
        <v>70</v>
      </c>
      <c r="N2108" s="573">
        <v>13.41</v>
      </c>
      <c r="O2108" s="556" t="str">
        <f>IF(N2108=M2108,"OK","DIF")</f>
        <v>DIF</v>
      </c>
      <c r="P2108" s="573"/>
      <c r="Q2108" s="556"/>
      <c r="R2108" s="582"/>
    </row>
    <row r="2109" ht="23.85" customHeight="1" spans="1:18">
      <c r="A2109" s="556">
        <f>B2109</f>
        <v>0</v>
      </c>
      <c r="B2109" s="557">
        <f>B2108</f>
        <v>0</v>
      </c>
      <c r="C2109" s="569" t="s">
        <v>2891</v>
      </c>
      <c r="D2109" s="570" t="s">
        <v>741</v>
      </c>
      <c r="E2109" s="569" t="s">
        <v>139</v>
      </c>
      <c r="F2109" s="569" t="s">
        <v>3608</v>
      </c>
      <c r="G2109" s="569" t="s">
        <v>3135</v>
      </c>
      <c r="H2109" s="569"/>
      <c r="I2109" s="577" t="s">
        <v>204</v>
      </c>
      <c r="J2109" s="578">
        <v>1</v>
      </c>
      <c r="K2109" s="579"/>
      <c r="L2109" s="579">
        <v>14.92</v>
      </c>
      <c r="M2109" s="579">
        <v>14.92</v>
      </c>
      <c r="N2109" s="573">
        <v>28.81</v>
      </c>
      <c r="O2109" s="556" t="str">
        <f>IF(N2109=M2109,"OK","DIF")</f>
        <v>DIF</v>
      </c>
      <c r="P2109" s="573"/>
      <c r="Q2109" s="556"/>
      <c r="R2109" s="582"/>
    </row>
    <row r="2110" ht="23.85" customHeight="1" spans="1:18">
      <c r="A2110" s="556"/>
      <c r="B2110" s="557"/>
      <c r="C2110" s="79" t="s">
        <v>2921</v>
      </c>
      <c r="D2110" s="78" t="s">
        <v>3146</v>
      </c>
      <c r="E2110" s="79" t="s">
        <v>139</v>
      </c>
      <c r="F2110" s="79" t="s">
        <v>3147</v>
      </c>
      <c r="G2110" s="79" t="s">
        <v>2928</v>
      </c>
      <c r="H2110" s="79"/>
      <c r="I2110" s="80" t="s">
        <v>2897</v>
      </c>
      <c r="J2110" s="583">
        <v>0.1586</v>
      </c>
      <c r="K2110" s="583">
        <v>0</v>
      </c>
      <c r="L2110" s="92">
        <v>29.54</v>
      </c>
      <c r="M2110" s="92">
        <v>4.68</v>
      </c>
      <c r="N2110" s="573"/>
      <c r="O2110" s="556"/>
      <c r="P2110" s="573"/>
      <c r="Q2110" s="556"/>
      <c r="R2110" s="582"/>
    </row>
    <row r="2111" ht="23.85" customHeight="1" spans="1:18">
      <c r="A2111" s="556"/>
      <c r="B2111" s="557"/>
      <c r="C2111" s="79" t="s">
        <v>2921</v>
      </c>
      <c r="D2111" s="78" t="s">
        <v>3144</v>
      </c>
      <c r="E2111" s="79" t="s">
        <v>139</v>
      </c>
      <c r="F2111" s="79" t="s">
        <v>3145</v>
      </c>
      <c r="G2111" s="79" t="s">
        <v>2928</v>
      </c>
      <c r="H2111" s="79"/>
      <c r="I2111" s="80" t="s">
        <v>2897</v>
      </c>
      <c r="J2111" s="583">
        <v>0.1586</v>
      </c>
      <c r="K2111" s="583">
        <v>0</v>
      </c>
      <c r="L2111" s="92">
        <v>35.55</v>
      </c>
      <c r="M2111" s="92">
        <v>5.63</v>
      </c>
      <c r="N2111" s="573"/>
      <c r="O2111" s="556"/>
      <c r="P2111" s="573"/>
      <c r="Q2111" s="556"/>
      <c r="R2111" s="582"/>
    </row>
    <row r="2112" ht="15" customHeight="1" spans="1:18">
      <c r="A2112" s="556"/>
      <c r="B2112" s="557" t="str">
        <f>C2111</f>
        <v>Composição Auxiliar</v>
      </c>
      <c r="C2112" s="100" t="s">
        <v>2893</v>
      </c>
      <c r="D2112" s="99" t="s">
        <v>3609</v>
      </c>
      <c r="E2112" s="100" t="s">
        <v>139</v>
      </c>
      <c r="F2112" s="100" t="s">
        <v>3610</v>
      </c>
      <c r="G2112" s="100" t="s">
        <v>2961</v>
      </c>
      <c r="H2112" s="100"/>
      <c r="I2112" s="101" t="s">
        <v>134</v>
      </c>
      <c r="J2112" s="580">
        <v>0.037</v>
      </c>
      <c r="K2112" s="580">
        <v>0</v>
      </c>
      <c r="L2112" s="102">
        <v>2.08</v>
      </c>
      <c r="M2112" s="102">
        <v>0.07</v>
      </c>
      <c r="N2112" s="573">
        <v>62.72</v>
      </c>
      <c r="O2112" s="556" t="str">
        <f>IF(N2112=M2112,"OK","DIF")</f>
        <v>DIF</v>
      </c>
      <c r="P2112" s="573"/>
      <c r="Q2112" s="556"/>
      <c r="R2112" s="582"/>
    </row>
    <row r="2113" ht="15" customHeight="1" spans="1:18">
      <c r="A2113" s="556" t="str">
        <f>B2113</f>
        <v>Composição Auxiliar</v>
      </c>
      <c r="B2113" s="557" t="str">
        <f>B2112</f>
        <v>Composição Auxiliar</v>
      </c>
      <c r="C2113" s="100" t="s">
        <v>2893</v>
      </c>
      <c r="D2113" s="99" t="s">
        <v>3611</v>
      </c>
      <c r="E2113" s="100" t="s">
        <v>139</v>
      </c>
      <c r="F2113" s="100" t="s">
        <v>3612</v>
      </c>
      <c r="G2113" s="100" t="s">
        <v>2961</v>
      </c>
      <c r="H2113" s="100"/>
      <c r="I2113" s="101" t="s">
        <v>204</v>
      </c>
      <c r="J2113" s="580">
        <v>1.0493</v>
      </c>
      <c r="K2113" s="580">
        <v>0</v>
      </c>
      <c r="L2113" s="102">
        <v>4.33</v>
      </c>
      <c r="M2113" s="102">
        <v>4.54</v>
      </c>
      <c r="N2113" s="573">
        <v>2.58</v>
      </c>
      <c r="O2113" s="556" t="str">
        <f>IF(N2113=M2113,"OK","DIF")</f>
        <v>DIF</v>
      </c>
      <c r="P2113" s="573"/>
      <c r="Q2113" s="556"/>
      <c r="R2113" s="582"/>
    </row>
    <row r="2114" ht="25.5" spans="1:18">
      <c r="A2114" s="556" t="str">
        <f>B2114</f>
        <v>Composição Auxiliar</v>
      </c>
      <c r="B2114" s="557" t="str">
        <f>B2113</f>
        <v>Composição Auxiliar</v>
      </c>
      <c r="C2114" s="108"/>
      <c r="D2114" s="108"/>
      <c r="E2114" s="108"/>
      <c r="F2114" s="108"/>
      <c r="G2114" s="108"/>
      <c r="H2114" s="108" t="s">
        <v>2898</v>
      </c>
      <c r="I2114" s="581">
        <v>7.34</v>
      </c>
      <c r="J2114" s="108" t="s">
        <v>2899</v>
      </c>
      <c r="K2114" s="581">
        <v>0</v>
      </c>
      <c r="L2114" s="108" t="s">
        <v>2900</v>
      </c>
      <c r="M2114" s="581">
        <v>7.34</v>
      </c>
      <c r="N2114" s="573">
        <v>10.24</v>
      </c>
      <c r="O2114" s="556" t="str">
        <f>IF(N2114=M2114,"OK","DIF")</f>
        <v>DIF</v>
      </c>
      <c r="P2114" s="573"/>
      <c r="Q2114" s="556"/>
      <c r="R2114" s="582"/>
    </row>
    <row r="2115" ht="26.25" spans="1:18">
      <c r="A2115" s="556" t="str">
        <f>B2115</f>
        <v>Composição Auxiliar</v>
      </c>
      <c r="B2115" s="557" t="str">
        <f>B2114</f>
        <v>Composição Auxiliar</v>
      </c>
      <c r="C2115" s="108"/>
      <c r="D2115" s="108"/>
      <c r="E2115" s="108"/>
      <c r="F2115" s="108"/>
      <c r="G2115" s="108"/>
      <c r="H2115" s="108" t="s">
        <v>2901</v>
      </c>
      <c r="I2115" s="581">
        <v>3.8</v>
      </c>
      <c r="J2115" s="114"/>
      <c r="K2115" s="114" t="s">
        <v>2902</v>
      </c>
      <c r="L2115" s="108"/>
      <c r="M2115" s="581">
        <v>18.72</v>
      </c>
      <c r="N2115" s="573">
        <v>49.9</v>
      </c>
      <c r="O2115" s="556" t="str">
        <f>IF(N2115=M2115,"OK","DIF")</f>
        <v>DIF</v>
      </c>
      <c r="P2115" s="573"/>
      <c r="Q2115" s="556"/>
      <c r="R2115" s="582"/>
    </row>
    <row r="2116" ht="15" spans="1:18">
      <c r="A2116" s="556"/>
      <c r="B2116" s="557"/>
      <c r="C2116" s="571"/>
      <c r="D2116" s="571"/>
      <c r="E2116" s="571"/>
      <c r="F2116" s="571"/>
      <c r="G2116" s="571"/>
      <c r="H2116" s="571"/>
      <c r="I2116" s="571"/>
      <c r="J2116" s="571"/>
      <c r="K2116" s="571"/>
      <c r="L2116" s="571"/>
      <c r="M2116" s="571"/>
      <c r="N2116" s="573"/>
      <c r="O2116" s="556"/>
      <c r="P2116" s="573"/>
      <c r="Q2116" s="556"/>
      <c r="R2116" s="582"/>
    </row>
    <row r="2117" ht="15" customHeight="1" spans="1:18">
      <c r="A2117" s="556"/>
      <c r="B2117" s="557"/>
      <c r="C2117" s="76" t="s">
        <v>743</v>
      </c>
      <c r="D2117" s="75" t="s">
        <v>63</v>
      </c>
      <c r="E2117" s="76" t="s">
        <v>64</v>
      </c>
      <c r="F2117" s="76" t="s">
        <v>65</v>
      </c>
      <c r="G2117" s="76" t="s">
        <v>2889</v>
      </c>
      <c r="H2117" s="76"/>
      <c r="I2117" s="77" t="s">
        <v>66</v>
      </c>
      <c r="J2117" s="75" t="s">
        <v>67</v>
      </c>
      <c r="K2117" s="75" t="s">
        <v>2890</v>
      </c>
      <c r="L2117" s="75" t="s">
        <v>68</v>
      </c>
      <c r="M2117" s="75" t="s">
        <v>70</v>
      </c>
      <c r="N2117" s="573"/>
      <c r="O2117" s="556"/>
      <c r="P2117" s="573"/>
      <c r="Q2117" s="556"/>
      <c r="R2117" s="582"/>
    </row>
    <row r="2118" ht="23.85" customHeight="1" spans="1:18">
      <c r="A2118" s="556"/>
      <c r="B2118" s="557" t="str">
        <f>C2117</f>
        <v> 11.1.2 </v>
      </c>
      <c r="C2118" s="569" t="s">
        <v>2891</v>
      </c>
      <c r="D2118" s="570" t="s">
        <v>744</v>
      </c>
      <c r="E2118" s="569" t="s">
        <v>139</v>
      </c>
      <c r="F2118" s="569" t="s">
        <v>3613</v>
      </c>
      <c r="G2118" s="569" t="s">
        <v>3135</v>
      </c>
      <c r="H2118" s="569"/>
      <c r="I2118" s="577" t="s">
        <v>204</v>
      </c>
      <c r="J2118" s="578">
        <v>1</v>
      </c>
      <c r="K2118" s="579"/>
      <c r="L2118" s="579">
        <v>34.35</v>
      </c>
      <c r="M2118" s="579">
        <v>34.35</v>
      </c>
      <c r="N2118" s="573">
        <v>80.55</v>
      </c>
      <c r="O2118" s="556" t="str">
        <f t="shared" ref="O2118:O2123" si="224">IF(N2118=M2118,"OK","DIF")</f>
        <v>DIF</v>
      </c>
      <c r="P2118" s="573"/>
      <c r="Q2118" s="556"/>
      <c r="R2118" s="582"/>
    </row>
    <row r="2119" ht="23.85" customHeight="1" spans="1:18">
      <c r="A2119" s="556" t="str">
        <f>B2119</f>
        <v> 11.1.2 </v>
      </c>
      <c r="B2119" s="557" t="str">
        <f>B2118</f>
        <v> 11.1.2 </v>
      </c>
      <c r="C2119" s="79" t="s">
        <v>2921</v>
      </c>
      <c r="D2119" s="78" t="s">
        <v>3146</v>
      </c>
      <c r="E2119" s="79" t="s">
        <v>139</v>
      </c>
      <c r="F2119" s="79" t="s">
        <v>3147</v>
      </c>
      <c r="G2119" s="79" t="s">
        <v>2928</v>
      </c>
      <c r="H2119" s="79"/>
      <c r="I2119" s="80" t="s">
        <v>2897</v>
      </c>
      <c r="J2119" s="583">
        <v>0.2677</v>
      </c>
      <c r="K2119" s="583">
        <v>0</v>
      </c>
      <c r="L2119" s="92">
        <v>29.54</v>
      </c>
      <c r="M2119" s="92">
        <v>7.9</v>
      </c>
      <c r="N2119" s="573">
        <v>0.09</v>
      </c>
      <c r="O2119" s="556" t="str">
        <f t="shared" si="224"/>
        <v>DIF</v>
      </c>
      <c r="P2119" s="573"/>
      <c r="Q2119" s="556"/>
      <c r="R2119" s="582"/>
    </row>
    <row r="2120" ht="23.85" customHeight="1" spans="1:18">
      <c r="A2120" s="556" t="str">
        <f>B2120</f>
        <v> 11.1.2 </v>
      </c>
      <c r="B2120" s="557" t="str">
        <f>B2119</f>
        <v> 11.1.2 </v>
      </c>
      <c r="C2120" s="79" t="s">
        <v>2921</v>
      </c>
      <c r="D2120" s="78" t="s">
        <v>3144</v>
      </c>
      <c r="E2120" s="79" t="s">
        <v>139</v>
      </c>
      <c r="F2120" s="79" t="s">
        <v>3145</v>
      </c>
      <c r="G2120" s="79" t="s">
        <v>2928</v>
      </c>
      <c r="H2120" s="79"/>
      <c r="I2120" s="80" t="s">
        <v>2897</v>
      </c>
      <c r="J2120" s="583">
        <v>0.2677</v>
      </c>
      <c r="K2120" s="583">
        <v>0</v>
      </c>
      <c r="L2120" s="92">
        <v>35.55</v>
      </c>
      <c r="M2120" s="92">
        <v>9.51</v>
      </c>
      <c r="N2120" s="573">
        <v>68.9</v>
      </c>
      <c r="O2120" s="556" t="str">
        <f t="shared" si="224"/>
        <v>DIF</v>
      </c>
      <c r="P2120" s="573"/>
      <c r="Q2120" s="556"/>
      <c r="R2120" s="582"/>
    </row>
    <row r="2121" ht="15" customHeight="1" spans="1:18">
      <c r="A2121" s="556" t="str">
        <f>B2121</f>
        <v> 11.1.2 </v>
      </c>
      <c r="B2121" s="557" t="str">
        <f>B2120</f>
        <v> 11.1.2 </v>
      </c>
      <c r="C2121" s="100" t="s">
        <v>2893</v>
      </c>
      <c r="D2121" s="99" t="s">
        <v>3614</v>
      </c>
      <c r="E2121" s="100" t="s">
        <v>139</v>
      </c>
      <c r="F2121" s="100" t="s">
        <v>3615</v>
      </c>
      <c r="G2121" s="100" t="s">
        <v>2961</v>
      </c>
      <c r="H2121" s="100"/>
      <c r="I2121" s="101" t="s">
        <v>204</v>
      </c>
      <c r="J2121" s="580">
        <v>1.0493</v>
      </c>
      <c r="K2121" s="580">
        <v>0</v>
      </c>
      <c r="L2121" s="102">
        <v>16.09</v>
      </c>
      <c r="M2121" s="102">
        <v>16.88</v>
      </c>
      <c r="N2121" s="573">
        <v>7.75</v>
      </c>
      <c r="O2121" s="556" t="str">
        <f t="shared" si="224"/>
        <v>DIF</v>
      </c>
      <c r="P2121" s="573"/>
      <c r="Q2121" s="556"/>
      <c r="R2121" s="582"/>
    </row>
    <row r="2122" ht="15" customHeight="1" spans="1:18">
      <c r="A2122" s="556" t="str">
        <f>B2122</f>
        <v> 11.1.2 </v>
      </c>
      <c r="B2122" s="557" t="str">
        <f>B2121</f>
        <v> 11.1.2 </v>
      </c>
      <c r="C2122" s="100" t="s">
        <v>2893</v>
      </c>
      <c r="D2122" s="99" t="s">
        <v>3609</v>
      </c>
      <c r="E2122" s="100" t="s">
        <v>139</v>
      </c>
      <c r="F2122" s="100" t="s">
        <v>3610</v>
      </c>
      <c r="G2122" s="100" t="s">
        <v>2961</v>
      </c>
      <c r="H2122" s="100"/>
      <c r="I2122" s="101" t="s">
        <v>134</v>
      </c>
      <c r="J2122" s="580">
        <v>0.0312</v>
      </c>
      <c r="K2122" s="580">
        <v>0</v>
      </c>
      <c r="L2122" s="102">
        <v>2.08</v>
      </c>
      <c r="M2122" s="102">
        <v>0.06</v>
      </c>
      <c r="N2122" s="573">
        <v>0.08</v>
      </c>
      <c r="O2122" s="556" t="str">
        <f t="shared" si="224"/>
        <v>DIF</v>
      </c>
      <c r="P2122" s="573"/>
      <c r="Q2122" s="556"/>
      <c r="R2122" s="582"/>
    </row>
    <row r="2123" ht="25.5" spans="1:18">
      <c r="A2123" s="556" t="str">
        <f>B2123</f>
        <v> 11.1.2 </v>
      </c>
      <c r="B2123" s="557" t="str">
        <f>B2122</f>
        <v> 11.1.2 </v>
      </c>
      <c r="C2123" s="108"/>
      <c r="D2123" s="108"/>
      <c r="E2123" s="108"/>
      <c r="F2123" s="108"/>
      <c r="G2123" s="108"/>
      <c r="H2123" s="108" t="s">
        <v>2898</v>
      </c>
      <c r="I2123" s="581">
        <v>12.39</v>
      </c>
      <c r="J2123" s="108" t="s">
        <v>2899</v>
      </c>
      <c r="K2123" s="581">
        <v>0</v>
      </c>
      <c r="L2123" s="108" t="s">
        <v>2900</v>
      </c>
      <c r="M2123" s="581">
        <v>12.39</v>
      </c>
      <c r="N2123" s="573">
        <v>3.73</v>
      </c>
      <c r="O2123" s="556" t="str">
        <f t="shared" si="224"/>
        <v>DIF</v>
      </c>
      <c r="P2123" s="573"/>
      <c r="Q2123" s="556"/>
      <c r="R2123" s="582"/>
    </row>
    <row r="2124" ht="26.25" spans="1:18">
      <c r="A2124" s="556"/>
      <c r="B2124" s="557"/>
      <c r="C2124" s="108"/>
      <c r="D2124" s="108"/>
      <c r="E2124" s="108"/>
      <c r="F2124" s="108"/>
      <c r="G2124" s="108"/>
      <c r="H2124" s="108" t="s">
        <v>2901</v>
      </c>
      <c r="I2124" s="581">
        <v>8.75</v>
      </c>
      <c r="J2124" s="114"/>
      <c r="K2124" s="114" t="s">
        <v>2902</v>
      </c>
      <c r="L2124" s="108"/>
      <c r="M2124" s="581">
        <v>43.1</v>
      </c>
      <c r="N2124" s="573"/>
      <c r="O2124" s="556"/>
      <c r="P2124" s="573"/>
      <c r="Q2124" s="556"/>
      <c r="R2124" s="582"/>
    </row>
    <row r="2125" ht="15" spans="1:18">
      <c r="A2125" s="556"/>
      <c r="B2125" s="557"/>
      <c r="C2125" s="571"/>
      <c r="D2125" s="571"/>
      <c r="E2125" s="571"/>
      <c r="F2125" s="571"/>
      <c r="G2125" s="571"/>
      <c r="H2125" s="571"/>
      <c r="I2125" s="571"/>
      <c r="J2125" s="571"/>
      <c r="K2125" s="571"/>
      <c r="L2125" s="571"/>
      <c r="M2125" s="571"/>
      <c r="N2125" s="573"/>
      <c r="O2125" s="556"/>
      <c r="P2125" s="573"/>
      <c r="Q2125" s="556"/>
      <c r="R2125" s="582"/>
    </row>
    <row r="2126" ht="15" customHeight="1" spans="1:18">
      <c r="A2126" s="556"/>
      <c r="B2126" s="557">
        <f>C2125</f>
        <v>0</v>
      </c>
      <c r="C2126" s="76" t="s">
        <v>746</v>
      </c>
      <c r="D2126" s="75" t="s">
        <v>63</v>
      </c>
      <c r="E2126" s="76" t="s">
        <v>64</v>
      </c>
      <c r="F2126" s="76" t="s">
        <v>65</v>
      </c>
      <c r="G2126" s="76" t="s">
        <v>2889</v>
      </c>
      <c r="H2126" s="76"/>
      <c r="I2126" s="77" t="s">
        <v>66</v>
      </c>
      <c r="J2126" s="75" t="s">
        <v>67</v>
      </c>
      <c r="K2126" s="75" t="s">
        <v>2890</v>
      </c>
      <c r="L2126" s="75" t="s">
        <v>68</v>
      </c>
      <c r="M2126" s="75" t="s">
        <v>70</v>
      </c>
      <c r="N2126" s="573">
        <v>415.29</v>
      </c>
      <c r="O2126" s="556" t="str">
        <f t="shared" ref="O2126:O2131" si="225">IF(N2126=M2126,"OK","DIF")</f>
        <v>DIF</v>
      </c>
      <c r="P2126" s="573"/>
      <c r="Q2126" s="556"/>
      <c r="R2126" s="582"/>
    </row>
    <row r="2127" ht="23.85" customHeight="1" spans="1:18">
      <c r="A2127" s="556">
        <f>B2127</f>
        <v>0</v>
      </c>
      <c r="B2127" s="557">
        <f>B2126</f>
        <v>0</v>
      </c>
      <c r="C2127" s="569" t="s">
        <v>2891</v>
      </c>
      <c r="D2127" s="570" t="s">
        <v>747</v>
      </c>
      <c r="E2127" s="569" t="s">
        <v>139</v>
      </c>
      <c r="F2127" s="569" t="s">
        <v>748</v>
      </c>
      <c r="G2127" s="569" t="s">
        <v>3135</v>
      </c>
      <c r="H2127" s="569"/>
      <c r="I2127" s="577" t="s">
        <v>134</v>
      </c>
      <c r="J2127" s="578">
        <v>1</v>
      </c>
      <c r="K2127" s="579"/>
      <c r="L2127" s="579">
        <v>10.82</v>
      </c>
      <c r="M2127" s="579">
        <v>10.82</v>
      </c>
      <c r="N2127" s="573">
        <v>53.92</v>
      </c>
      <c r="O2127" s="556" t="str">
        <f t="shared" si="225"/>
        <v>DIF</v>
      </c>
      <c r="P2127" s="573"/>
      <c r="Q2127" s="556"/>
      <c r="R2127" s="582"/>
    </row>
    <row r="2128" ht="23.85" customHeight="1" spans="1:18">
      <c r="A2128" s="556">
        <f>B2128</f>
        <v>0</v>
      </c>
      <c r="B2128" s="557">
        <f>B2127</f>
        <v>0</v>
      </c>
      <c r="C2128" s="79" t="s">
        <v>2921</v>
      </c>
      <c r="D2128" s="78" t="s">
        <v>3146</v>
      </c>
      <c r="E2128" s="79" t="s">
        <v>139</v>
      </c>
      <c r="F2128" s="79" t="s">
        <v>3147</v>
      </c>
      <c r="G2128" s="79" t="s">
        <v>2928</v>
      </c>
      <c r="H2128" s="79"/>
      <c r="I2128" s="80" t="s">
        <v>2897</v>
      </c>
      <c r="J2128" s="583">
        <v>0.1359</v>
      </c>
      <c r="K2128" s="583">
        <v>0</v>
      </c>
      <c r="L2128" s="92">
        <v>29.54</v>
      </c>
      <c r="M2128" s="92">
        <v>4.01</v>
      </c>
      <c r="N2128" s="573">
        <v>13.78</v>
      </c>
      <c r="O2128" s="556" t="str">
        <f t="shared" si="225"/>
        <v>DIF</v>
      </c>
      <c r="P2128" s="573"/>
      <c r="Q2128" s="556"/>
      <c r="R2128" s="582"/>
    </row>
    <row r="2129" ht="23.85" customHeight="1" spans="1:18">
      <c r="A2129" s="556">
        <f>B2129</f>
        <v>0</v>
      </c>
      <c r="B2129" s="557">
        <f>B2128</f>
        <v>0</v>
      </c>
      <c r="C2129" s="79" t="s">
        <v>2921</v>
      </c>
      <c r="D2129" s="78" t="s">
        <v>3144</v>
      </c>
      <c r="E2129" s="79" t="s">
        <v>139</v>
      </c>
      <c r="F2129" s="79" t="s">
        <v>3145</v>
      </c>
      <c r="G2129" s="79" t="s">
        <v>2928</v>
      </c>
      <c r="H2129" s="79"/>
      <c r="I2129" s="80" t="s">
        <v>2897</v>
      </c>
      <c r="J2129" s="583">
        <v>0.1359</v>
      </c>
      <c r="K2129" s="583">
        <v>0</v>
      </c>
      <c r="L2129" s="92">
        <v>35.55</v>
      </c>
      <c r="M2129" s="92">
        <v>4.83</v>
      </c>
      <c r="N2129" s="573">
        <v>310</v>
      </c>
      <c r="O2129" s="556" t="str">
        <f t="shared" si="225"/>
        <v>DIF</v>
      </c>
      <c r="P2129" s="573"/>
      <c r="Q2129" s="556"/>
      <c r="R2129" s="582"/>
    </row>
    <row r="2130" ht="23.85" customHeight="1" spans="1:18">
      <c r="A2130" s="556">
        <f>B2130</f>
        <v>0</v>
      </c>
      <c r="B2130" s="557">
        <f>B2129</f>
        <v>0</v>
      </c>
      <c r="C2130" s="100" t="s">
        <v>2893</v>
      </c>
      <c r="D2130" s="99" t="s">
        <v>3616</v>
      </c>
      <c r="E2130" s="100" t="s">
        <v>139</v>
      </c>
      <c r="F2130" s="100" t="s">
        <v>3617</v>
      </c>
      <c r="G2130" s="100" t="s">
        <v>2961</v>
      </c>
      <c r="H2130" s="100"/>
      <c r="I2130" s="101" t="s">
        <v>134</v>
      </c>
      <c r="J2130" s="580">
        <v>0.008</v>
      </c>
      <c r="K2130" s="580">
        <v>0</v>
      </c>
      <c r="L2130" s="102">
        <v>82.38</v>
      </c>
      <c r="M2130" s="102">
        <v>0.65</v>
      </c>
      <c r="N2130" s="573">
        <v>19.51</v>
      </c>
      <c r="O2130" s="556" t="str">
        <f t="shared" si="225"/>
        <v>DIF</v>
      </c>
      <c r="P2130" s="573"/>
      <c r="Q2130" s="556"/>
      <c r="R2130" s="582"/>
    </row>
    <row r="2131" ht="15" customHeight="1" spans="1:18">
      <c r="A2131" s="556">
        <f>B2131</f>
        <v>0</v>
      </c>
      <c r="B2131" s="557">
        <f>B2130</f>
        <v>0</v>
      </c>
      <c r="C2131" s="100" t="s">
        <v>2893</v>
      </c>
      <c r="D2131" s="99" t="s">
        <v>3618</v>
      </c>
      <c r="E2131" s="100" t="s">
        <v>139</v>
      </c>
      <c r="F2131" s="100" t="s">
        <v>3619</v>
      </c>
      <c r="G2131" s="100" t="s">
        <v>2961</v>
      </c>
      <c r="H2131" s="100"/>
      <c r="I2131" s="101" t="s">
        <v>134</v>
      </c>
      <c r="J2131" s="580">
        <v>0.0071</v>
      </c>
      <c r="K2131" s="580">
        <v>0</v>
      </c>
      <c r="L2131" s="102">
        <v>72.71</v>
      </c>
      <c r="M2131" s="102">
        <v>0.51</v>
      </c>
      <c r="N2131" s="573">
        <v>18.08</v>
      </c>
      <c r="O2131" s="556" t="str">
        <f t="shared" si="225"/>
        <v>DIF</v>
      </c>
      <c r="P2131" s="573"/>
      <c r="Q2131" s="556"/>
      <c r="R2131" s="582"/>
    </row>
    <row r="2132" ht="15" customHeight="1" spans="1:18">
      <c r="A2132" s="556"/>
      <c r="B2132" s="557"/>
      <c r="C2132" s="100" t="s">
        <v>2893</v>
      </c>
      <c r="D2132" s="99" t="s">
        <v>3609</v>
      </c>
      <c r="E2132" s="100" t="s">
        <v>139</v>
      </c>
      <c r="F2132" s="100" t="s">
        <v>3610</v>
      </c>
      <c r="G2132" s="100" t="s">
        <v>2961</v>
      </c>
      <c r="H2132" s="100"/>
      <c r="I2132" s="101" t="s">
        <v>134</v>
      </c>
      <c r="J2132" s="580">
        <v>0.0302</v>
      </c>
      <c r="K2132" s="580">
        <v>0</v>
      </c>
      <c r="L2132" s="102">
        <v>2.08</v>
      </c>
      <c r="M2132" s="102">
        <v>0.06</v>
      </c>
      <c r="N2132" s="573"/>
      <c r="O2132" s="556"/>
      <c r="P2132" s="573"/>
      <c r="Q2132" s="556"/>
      <c r="R2132" s="582"/>
    </row>
    <row r="2133" ht="23.85" customHeight="1" spans="1:18">
      <c r="A2133" s="556"/>
      <c r="B2133" s="557"/>
      <c r="C2133" s="100" t="s">
        <v>2893</v>
      </c>
      <c r="D2133" s="99" t="s">
        <v>3620</v>
      </c>
      <c r="E2133" s="100" t="s">
        <v>139</v>
      </c>
      <c r="F2133" s="100" t="s">
        <v>3621</v>
      </c>
      <c r="G2133" s="100" t="s">
        <v>2961</v>
      </c>
      <c r="H2133" s="100"/>
      <c r="I2133" s="101" t="s">
        <v>134</v>
      </c>
      <c r="J2133" s="580">
        <v>1</v>
      </c>
      <c r="K2133" s="580">
        <v>0</v>
      </c>
      <c r="L2133" s="102">
        <v>0.76</v>
      </c>
      <c r="M2133" s="102">
        <v>0.76</v>
      </c>
      <c r="N2133" s="573"/>
      <c r="O2133" s="556"/>
      <c r="P2133" s="573"/>
      <c r="Q2133" s="556"/>
      <c r="R2133" s="582"/>
    </row>
    <row r="2134" ht="25.5" spans="1:18">
      <c r="A2134" s="556"/>
      <c r="B2134" s="557" t="str">
        <f>C2133</f>
        <v>Insumo</v>
      </c>
      <c r="C2134" s="108"/>
      <c r="D2134" s="108"/>
      <c r="E2134" s="108"/>
      <c r="F2134" s="108"/>
      <c r="G2134" s="108"/>
      <c r="H2134" s="108" t="s">
        <v>2898</v>
      </c>
      <c r="I2134" s="581">
        <v>6.29</v>
      </c>
      <c r="J2134" s="108" t="s">
        <v>2899</v>
      </c>
      <c r="K2134" s="581">
        <v>0</v>
      </c>
      <c r="L2134" s="108" t="s">
        <v>2900</v>
      </c>
      <c r="M2134" s="581">
        <v>6.29</v>
      </c>
      <c r="N2134" s="573">
        <v>105.17</v>
      </c>
      <c r="O2134" s="556" t="str">
        <f>IF(N2134=M2134,"OK","DIF")</f>
        <v>DIF</v>
      </c>
      <c r="P2134" s="573"/>
      <c r="Q2134" s="556"/>
      <c r="R2134" s="582"/>
    </row>
    <row r="2135" ht="26.25" spans="1:18">
      <c r="A2135" s="556" t="str">
        <f>B2135</f>
        <v>Insumo</v>
      </c>
      <c r="B2135" s="557" t="str">
        <f>B2134</f>
        <v>Insumo</v>
      </c>
      <c r="C2135" s="108"/>
      <c r="D2135" s="108"/>
      <c r="E2135" s="108"/>
      <c r="F2135" s="108"/>
      <c r="G2135" s="108"/>
      <c r="H2135" s="108" t="s">
        <v>2901</v>
      </c>
      <c r="I2135" s="581">
        <v>2.75</v>
      </c>
      <c r="J2135" s="114"/>
      <c r="K2135" s="114" t="s">
        <v>2902</v>
      </c>
      <c r="L2135" s="108"/>
      <c r="M2135" s="581">
        <v>13.57</v>
      </c>
      <c r="N2135" s="573">
        <v>14.46</v>
      </c>
      <c r="O2135" s="556" t="str">
        <f>IF(N2135=M2135,"OK","DIF")</f>
        <v>DIF</v>
      </c>
      <c r="P2135" s="573"/>
      <c r="Q2135" s="556"/>
      <c r="R2135" s="582"/>
    </row>
    <row r="2136" ht="15" spans="1:18">
      <c r="A2136" s="556" t="str">
        <f>B2136</f>
        <v>Insumo</v>
      </c>
      <c r="B2136" s="557" t="str">
        <f>B2135</f>
        <v>Insumo</v>
      </c>
      <c r="C2136" s="571"/>
      <c r="D2136" s="571"/>
      <c r="E2136" s="571"/>
      <c r="F2136" s="571"/>
      <c r="G2136" s="571"/>
      <c r="H2136" s="571"/>
      <c r="I2136" s="571"/>
      <c r="J2136" s="571"/>
      <c r="K2136" s="571"/>
      <c r="L2136" s="571"/>
      <c r="M2136" s="571"/>
      <c r="N2136" s="573">
        <v>3.65</v>
      </c>
      <c r="O2136" s="556" t="str">
        <f>IF(N2136=M2136,"OK","DIF")</f>
        <v>DIF</v>
      </c>
      <c r="P2136" s="573"/>
      <c r="Q2136" s="556"/>
      <c r="R2136" s="582"/>
    </row>
    <row r="2137" ht="15" customHeight="1" spans="1:18">
      <c r="A2137" s="556" t="str">
        <f>B2137</f>
        <v>Insumo</v>
      </c>
      <c r="B2137" s="557" t="str">
        <f>B2136</f>
        <v>Insumo</v>
      </c>
      <c r="C2137" s="76" t="s">
        <v>749</v>
      </c>
      <c r="D2137" s="75" t="s">
        <v>63</v>
      </c>
      <c r="E2137" s="76" t="s">
        <v>64</v>
      </c>
      <c r="F2137" s="76" t="s">
        <v>65</v>
      </c>
      <c r="G2137" s="76" t="s">
        <v>2889</v>
      </c>
      <c r="H2137" s="76"/>
      <c r="I2137" s="77" t="s">
        <v>66</v>
      </c>
      <c r="J2137" s="75" t="s">
        <v>67</v>
      </c>
      <c r="K2137" s="75" t="s">
        <v>2890</v>
      </c>
      <c r="L2137" s="75" t="s">
        <v>68</v>
      </c>
      <c r="M2137" s="75" t="s">
        <v>70</v>
      </c>
      <c r="N2137" s="573">
        <v>0.06</v>
      </c>
      <c r="O2137" s="556" t="str">
        <f>IF(N2137=M2137,"OK","DIF")</f>
        <v>DIF</v>
      </c>
      <c r="P2137" s="573"/>
      <c r="Q2137" s="556"/>
      <c r="R2137" s="582"/>
    </row>
    <row r="2138" ht="23.85" customHeight="1" spans="1:18">
      <c r="A2138" s="556" t="str">
        <f>B2138</f>
        <v>Insumo</v>
      </c>
      <c r="B2138" s="557" t="str">
        <f>B2137</f>
        <v>Insumo</v>
      </c>
      <c r="C2138" s="569" t="s">
        <v>2891</v>
      </c>
      <c r="D2138" s="570" t="s">
        <v>750</v>
      </c>
      <c r="E2138" s="569" t="s">
        <v>139</v>
      </c>
      <c r="F2138" s="569" t="s">
        <v>751</v>
      </c>
      <c r="G2138" s="569" t="s">
        <v>3135</v>
      </c>
      <c r="H2138" s="569"/>
      <c r="I2138" s="577" t="s">
        <v>134</v>
      </c>
      <c r="J2138" s="578">
        <v>1</v>
      </c>
      <c r="K2138" s="579"/>
      <c r="L2138" s="579">
        <v>23.23</v>
      </c>
      <c r="M2138" s="579">
        <v>23.23</v>
      </c>
      <c r="N2138" s="573">
        <v>87</v>
      </c>
      <c r="O2138" s="556" t="str">
        <f>IF(N2138=M2138,"OK","DIF")</f>
        <v>DIF</v>
      </c>
      <c r="P2138" s="573"/>
      <c r="Q2138" s="556"/>
      <c r="R2138" s="582"/>
    </row>
    <row r="2139" ht="23.85" customHeight="1" spans="1:18">
      <c r="A2139" s="556"/>
      <c r="B2139" s="557"/>
      <c r="C2139" s="79" t="s">
        <v>2921</v>
      </c>
      <c r="D2139" s="78" t="s">
        <v>3146</v>
      </c>
      <c r="E2139" s="79" t="s">
        <v>139</v>
      </c>
      <c r="F2139" s="79" t="s">
        <v>3147</v>
      </c>
      <c r="G2139" s="79" t="s">
        <v>2928</v>
      </c>
      <c r="H2139" s="79"/>
      <c r="I2139" s="80" t="s">
        <v>2897</v>
      </c>
      <c r="J2139" s="583">
        <v>0.2294</v>
      </c>
      <c r="K2139" s="583">
        <v>0</v>
      </c>
      <c r="L2139" s="92">
        <v>29.54</v>
      </c>
      <c r="M2139" s="92">
        <v>6.77</v>
      </c>
      <c r="N2139" s="573"/>
      <c r="O2139" s="556"/>
      <c r="P2139" s="573"/>
      <c r="Q2139" s="556"/>
      <c r="R2139" s="582"/>
    </row>
    <row r="2140" ht="23.85" customHeight="1" spans="1:18">
      <c r="A2140" s="556"/>
      <c r="B2140" s="557"/>
      <c r="C2140" s="79" t="s">
        <v>2921</v>
      </c>
      <c r="D2140" s="78" t="s">
        <v>3144</v>
      </c>
      <c r="E2140" s="79" t="s">
        <v>139</v>
      </c>
      <c r="F2140" s="79" t="s">
        <v>3145</v>
      </c>
      <c r="G2140" s="79" t="s">
        <v>2928</v>
      </c>
      <c r="H2140" s="79"/>
      <c r="I2140" s="80" t="s">
        <v>2897</v>
      </c>
      <c r="J2140" s="583">
        <v>0.2294</v>
      </c>
      <c r="K2140" s="583">
        <v>0</v>
      </c>
      <c r="L2140" s="92">
        <v>35.55</v>
      </c>
      <c r="M2140" s="92">
        <v>8.15</v>
      </c>
      <c r="N2140" s="573"/>
      <c r="O2140" s="556"/>
      <c r="P2140" s="573"/>
      <c r="Q2140" s="556"/>
      <c r="R2140" s="582"/>
    </row>
    <row r="2141" ht="15" customHeight="1" spans="1:18">
      <c r="A2141" s="556"/>
      <c r="B2141" s="557" t="str">
        <f>C2140</f>
        <v>Composição Auxiliar</v>
      </c>
      <c r="C2141" s="100" t="s">
        <v>2893</v>
      </c>
      <c r="D2141" s="99" t="s">
        <v>3609</v>
      </c>
      <c r="E2141" s="100" t="s">
        <v>139</v>
      </c>
      <c r="F2141" s="100" t="s">
        <v>3610</v>
      </c>
      <c r="G2141" s="100" t="s">
        <v>2961</v>
      </c>
      <c r="H2141" s="100"/>
      <c r="I2141" s="101" t="s">
        <v>134</v>
      </c>
      <c r="J2141" s="580">
        <v>0.051</v>
      </c>
      <c r="K2141" s="580">
        <v>0</v>
      </c>
      <c r="L2141" s="102">
        <v>2.08</v>
      </c>
      <c r="M2141" s="102">
        <v>0.1</v>
      </c>
      <c r="N2141" s="573">
        <v>665.78</v>
      </c>
      <c r="O2141" s="556" t="str">
        <f t="shared" ref="O2141:O2148" si="226">IF(N2141=M2141,"OK","DIF")</f>
        <v>DIF</v>
      </c>
      <c r="P2141" s="573"/>
      <c r="Q2141" s="556"/>
      <c r="R2141" s="582"/>
    </row>
    <row r="2142" ht="23.85" customHeight="1" spans="1:18">
      <c r="A2142" s="556" t="str">
        <f t="shared" ref="A2142:A2148" si="227">B2142</f>
        <v>Composição Auxiliar</v>
      </c>
      <c r="B2142" s="557" t="str">
        <f t="shared" ref="B2142:B2148" si="228">B2141</f>
        <v>Composição Auxiliar</v>
      </c>
      <c r="C2142" s="100" t="s">
        <v>2893</v>
      </c>
      <c r="D2142" s="99" t="s">
        <v>3616</v>
      </c>
      <c r="E2142" s="100" t="s">
        <v>139</v>
      </c>
      <c r="F2142" s="100" t="s">
        <v>3617</v>
      </c>
      <c r="G2142" s="100" t="s">
        <v>2961</v>
      </c>
      <c r="H2142" s="100"/>
      <c r="I2142" s="101" t="s">
        <v>134</v>
      </c>
      <c r="J2142" s="580">
        <v>0.022</v>
      </c>
      <c r="K2142" s="580">
        <v>0</v>
      </c>
      <c r="L2142" s="102">
        <v>82.38</v>
      </c>
      <c r="M2142" s="102">
        <v>1.81</v>
      </c>
      <c r="N2142" s="573">
        <v>32.68</v>
      </c>
      <c r="O2142" s="556" t="str">
        <f t="shared" si="226"/>
        <v>DIF</v>
      </c>
      <c r="P2142" s="573"/>
      <c r="Q2142" s="556"/>
      <c r="R2142" s="582"/>
    </row>
    <row r="2143" ht="23.85" customHeight="1" spans="1:18">
      <c r="A2143" s="556" t="str">
        <f t="shared" si="227"/>
        <v>Composição Auxiliar</v>
      </c>
      <c r="B2143" s="557" t="str">
        <f t="shared" si="228"/>
        <v>Composição Auxiliar</v>
      </c>
      <c r="C2143" s="100" t="s">
        <v>2893</v>
      </c>
      <c r="D2143" s="99" t="s">
        <v>3622</v>
      </c>
      <c r="E2143" s="100" t="s">
        <v>139</v>
      </c>
      <c r="F2143" s="100" t="s">
        <v>3623</v>
      </c>
      <c r="G2143" s="100" t="s">
        <v>2961</v>
      </c>
      <c r="H2143" s="100"/>
      <c r="I2143" s="101" t="s">
        <v>134</v>
      </c>
      <c r="J2143" s="580">
        <v>1</v>
      </c>
      <c r="K2143" s="580">
        <v>0</v>
      </c>
      <c r="L2143" s="102">
        <v>5.21</v>
      </c>
      <c r="M2143" s="102">
        <v>5.21</v>
      </c>
      <c r="N2143" s="573">
        <v>8.24</v>
      </c>
      <c r="O2143" s="556" t="str">
        <f t="shared" si="226"/>
        <v>DIF</v>
      </c>
      <c r="P2143" s="573"/>
      <c r="Q2143" s="556"/>
      <c r="R2143" s="582"/>
    </row>
    <row r="2144" ht="15" customHeight="1" spans="1:18">
      <c r="A2144" s="556" t="str">
        <f t="shared" si="227"/>
        <v>Composição Auxiliar</v>
      </c>
      <c r="B2144" s="557" t="str">
        <f t="shared" si="228"/>
        <v>Composição Auxiliar</v>
      </c>
      <c r="C2144" s="100" t="s">
        <v>2893</v>
      </c>
      <c r="D2144" s="99" t="s">
        <v>3618</v>
      </c>
      <c r="E2144" s="100" t="s">
        <v>139</v>
      </c>
      <c r="F2144" s="100" t="s">
        <v>3619</v>
      </c>
      <c r="G2144" s="100" t="s">
        <v>2961</v>
      </c>
      <c r="H2144" s="100"/>
      <c r="I2144" s="101" t="s">
        <v>134</v>
      </c>
      <c r="J2144" s="580">
        <v>0.0165</v>
      </c>
      <c r="K2144" s="580">
        <v>0</v>
      </c>
      <c r="L2144" s="102">
        <v>72.71</v>
      </c>
      <c r="M2144" s="102">
        <v>1.19</v>
      </c>
      <c r="N2144" s="573">
        <v>0.11</v>
      </c>
      <c r="O2144" s="556" t="str">
        <f t="shared" si="226"/>
        <v>DIF</v>
      </c>
      <c r="P2144" s="573"/>
      <c r="Q2144" s="556"/>
      <c r="R2144" s="582"/>
    </row>
    <row r="2145" ht="25.5" spans="1:18">
      <c r="A2145" s="556" t="str">
        <f t="shared" si="227"/>
        <v>Composição Auxiliar</v>
      </c>
      <c r="B2145" s="557" t="str">
        <f t="shared" si="228"/>
        <v>Composição Auxiliar</v>
      </c>
      <c r="C2145" s="108"/>
      <c r="D2145" s="108"/>
      <c r="E2145" s="108"/>
      <c r="F2145" s="108"/>
      <c r="G2145" s="108"/>
      <c r="H2145" s="108" t="s">
        <v>2898</v>
      </c>
      <c r="I2145" s="581">
        <v>10.62</v>
      </c>
      <c r="J2145" s="108" t="s">
        <v>2899</v>
      </c>
      <c r="K2145" s="581">
        <v>0</v>
      </c>
      <c r="L2145" s="108" t="s">
        <v>2900</v>
      </c>
      <c r="M2145" s="581">
        <v>10.62</v>
      </c>
      <c r="N2145" s="573">
        <v>8.68</v>
      </c>
      <c r="O2145" s="556" t="str">
        <f t="shared" si="226"/>
        <v>DIF</v>
      </c>
      <c r="P2145" s="573"/>
      <c r="Q2145" s="556"/>
      <c r="R2145" s="582"/>
    </row>
    <row r="2146" ht="26.25" spans="1:18">
      <c r="A2146" s="556" t="str">
        <f t="shared" si="227"/>
        <v>Composição Auxiliar</v>
      </c>
      <c r="B2146" s="557" t="str">
        <f t="shared" si="228"/>
        <v>Composição Auxiliar</v>
      </c>
      <c r="C2146" s="108"/>
      <c r="D2146" s="108"/>
      <c r="E2146" s="108"/>
      <c r="F2146" s="108"/>
      <c r="G2146" s="108"/>
      <c r="H2146" s="108" t="s">
        <v>2901</v>
      </c>
      <c r="I2146" s="581">
        <v>5.92</v>
      </c>
      <c r="J2146" s="114"/>
      <c r="K2146" s="114" t="s">
        <v>2902</v>
      </c>
      <c r="L2146" s="108"/>
      <c r="M2146" s="581">
        <v>29.15</v>
      </c>
      <c r="N2146" s="573">
        <v>46.22</v>
      </c>
      <c r="O2146" s="556" t="str">
        <f t="shared" si="226"/>
        <v>DIF</v>
      </c>
      <c r="P2146" s="573"/>
      <c r="Q2146" s="556"/>
      <c r="R2146" s="582"/>
    </row>
    <row r="2147" ht="15" spans="1:18">
      <c r="A2147" s="556" t="str">
        <f t="shared" si="227"/>
        <v>Composição Auxiliar</v>
      </c>
      <c r="B2147" s="557" t="str">
        <f t="shared" si="228"/>
        <v>Composição Auxiliar</v>
      </c>
      <c r="C2147" s="571"/>
      <c r="D2147" s="571"/>
      <c r="E2147" s="571"/>
      <c r="F2147" s="571"/>
      <c r="G2147" s="571"/>
      <c r="H2147" s="571"/>
      <c r="I2147" s="571"/>
      <c r="J2147" s="571"/>
      <c r="K2147" s="571"/>
      <c r="L2147" s="571"/>
      <c r="M2147" s="571"/>
      <c r="N2147" s="573">
        <v>365.45</v>
      </c>
      <c r="O2147" s="556" t="str">
        <f t="shared" si="226"/>
        <v>DIF</v>
      </c>
      <c r="P2147" s="573"/>
      <c r="Q2147" s="556"/>
      <c r="R2147" s="582"/>
    </row>
    <row r="2148" ht="15" customHeight="1" spans="1:18">
      <c r="A2148" s="556" t="str">
        <f t="shared" si="227"/>
        <v>Composição Auxiliar</v>
      </c>
      <c r="B2148" s="557" t="str">
        <f t="shared" si="228"/>
        <v>Composição Auxiliar</v>
      </c>
      <c r="C2148" s="76" t="s">
        <v>752</v>
      </c>
      <c r="D2148" s="75" t="s">
        <v>63</v>
      </c>
      <c r="E2148" s="76" t="s">
        <v>64</v>
      </c>
      <c r="F2148" s="76" t="s">
        <v>65</v>
      </c>
      <c r="G2148" s="76" t="s">
        <v>2889</v>
      </c>
      <c r="H2148" s="76"/>
      <c r="I2148" s="77" t="s">
        <v>66</v>
      </c>
      <c r="J2148" s="75" t="s">
        <v>67</v>
      </c>
      <c r="K2148" s="75" t="s">
        <v>2890</v>
      </c>
      <c r="L2148" s="75" t="s">
        <v>68</v>
      </c>
      <c r="M2148" s="75" t="s">
        <v>70</v>
      </c>
      <c r="N2148" s="573">
        <v>204.4</v>
      </c>
      <c r="O2148" s="556" t="str">
        <f t="shared" si="226"/>
        <v>DIF</v>
      </c>
      <c r="P2148" s="573"/>
      <c r="Q2148" s="556"/>
      <c r="R2148" s="582"/>
    </row>
    <row r="2149" ht="23.85" customHeight="1" spans="1:18">
      <c r="A2149" s="556"/>
      <c r="B2149" s="557"/>
      <c r="C2149" s="569" t="s">
        <v>2891</v>
      </c>
      <c r="D2149" s="570" t="s">
        <v>753</v>
      </c>
      <c r="E2149" s="569" t="s">
        <v>139</v>
      </c>
      <c r="F2149" s="569" t="s">
        <v>754</v>
      </c>
      <c r="G2149" s="569" t="s">
        <v>3135</v>
      </c>
      <c r="H2149" s="569"/>
      <c r="I2149" s="577" t="s">
        <v>134</v>
      </c>
      <c r="J2149" s="578">
        <v>1</v>
      </c>
      <c r="K2149" s="579"/>
      <c r="L2149" s="579">
        <v>34.6</v>
      </c>
      <c r="M2149" s="579">
        <v>34.6</v>
      </c>
      <c r="N2149" s="573"/>
      <c r="O2149" s="556"/>
      <c r="P2149" s="573"/>
      <c r="Q2149" s="556"/>
      <c r="R2149" s="582"/>
    </row>
    <row r="2150" ht="23.85" customHeight="1" spans="1:18">
      <c r="A2150" s="556"/>
      <c r="B2150" s="557"/>
      <c r="C2150" s="79" t="s">
        <v>2921</v>
      </c>
      <c r="D2150" s="78" t="s">
        <v>3144</v>
      </c>
      <c r="E2150" s="79" t="s">
        <v>139</v>
      </c>
      <c r="F2150" s="79" t="s">
        <v>3145</v>
      </c>
      <c r="G2150" s="79" t="s">
        <v>2928</v>
      </c>
      <c r="H2150" s="79"/>
      <c r="I2150" s="80" t="s">
        <v>2897</v>
      </c>
      <c r="J2150" s="583">
        <v>0.3059</v>
      </c>
      <c r="K2150" s="583">
        <v>0</v>
      </c>
      <c r="L2150" s="92">
        <v>35.55</v>
      </c>
      <c r="M2150" s="92">
        <v>10.87</v>
      </c>
      <c r="N2150" s="573"/>
      <c r="O2150" s="556"/>
      <c r="P2150" s="573"/>
      <c r="Q2150" s="556"/>
      <c r="R2150" s="582"/>
    </row>
    <row r="2151" ht="23.85" customHeight="1" spans="1:18">
      <c r="A2151" s="556"/>
      <c r="B2151" s="557" t="str">
        <f>C2150</f>
        <v>Composição Auxiliar</v>
      </c>
      <c r="C2151" s="79" t="s">
        <v>2921</v>
      </c>
      <c r="D2151" s="78" t="s">
        <v>3146</v>
      </c>
      <c r="E2151" s="79" t="s">
        <v>139</v>
      </c>
      <c r="F2151" s="79" t="s">
        <v>3147</v>
      </c>
      <c r="G2151" s="79" t="s">
        <v>2928</v>
      </c>
      <c r="H2151" s="79"/>
      <c r="I2151" s="80" t="s">
        <v>2897</v>
      </c>
      <c r="J2151" s="583">
        <v>0.3059</v>
      </c>
      <c r="K2151" s="583">
        <v>0</v>
      </c>
      <c r="L2151" s="92">
        <v>29.54</v>
      </c>
      <c r="M2151" s="92">
        <v>9.03</v>
      </c>
      <c r="N2151" s="573">
        <v>296.56</v>
      </c>
      <c r="O2151" s="556" t="str">
        <f>IF(N2151=M2151,"OK","DIF")</f>
        <v>DIF</v>
      </c>
      <c r="P2151" s="573"/>
      <c r="Q2151" s="556"/>
      <c r="R2151" s="582"/>
    </row>
    <row r="2152" ht="15" customHeight="1" spans="1:18">
      <c r="A2152" s="556" t="str">
        <f>B2152</f>
        <v>Composição Auxiliar</v>
      </c>
      <c r="B2152" s="557" t="str">
        <f>B2151</f>
        <v>Composição Auxiliar</v>
      </c>
      <c r="C2152" s="100" t="s">
        <v>2893</v>
      </c>
      <c r="D2152" s="99" t="s">
        <v>3618</v>
      </c>
      <c r="E2152" s="100" t="s">
        <v>139</v>
      </c>
      <c r="F2152" s="100" t="s">
        <v>3619</v>
      </c>
      <c r="G2152" s="100" t="s">
        <v>2961</v>
      </c>
      <c r="H2152" s="100"/>
      <c r="I2152" s="101" t="s">
        <v>134</v>
      </c>
      <c r="J2152" s="580">
        <v>0.0247</v>
      </c>
      <c r="K2152" s="580">
        <v>0</v>
      </c>
      <c r="L2152" s="102">
        <v>72.71</v>
      </c>
      <c r="M2152" s="102">
        <v>1.79</v>
      </c>
      <c r="N2152" s="573">
        <v>7.75</v>
      </c>
      <c r="O2152" s="556" t="str">
        <f>IF(N2152=M2152,"OK","DIF")</f>
        <v>DIF</v>
      </c>
      <c r="P2152" s="573"/>
      <c r="Q2152" s="556"/>
      <c r="R2152" s="582"/>
    </row>
    <row r="2153" ht="15" customHeight="1" spans="1:18">
      <c r="A2153" s="556" t="str">
        <f>B2153</f>
        <v>Composição Auxiliar</v>
      </c>
      <c r="B2153" s="557" t="str">
        <f>B2152</f>
        <v>Composição Auxiliar</v>
      </c>
      <c r="C2153" s="100" t="s">
        <v>2893</v>
      </c>
      <c r="D2153" s="99" t="s">
        <v>3609</v>
      </c>
      <c r="E2153" s="100" t="s">
        <v>139</v>
      </c>
      <c r="F2153" s="100" t="s">
        <v>3610</v>
      </c>
      <c r="G2153" s="100" t="s">
        <v>2961</v>
      </c>
      <c r="H2153" s="100"/>
      <c r="I2153" s="101" t="s">
        <v>134</v>
      </c>
      <c r="J2153" s="580">
        <v>0.0765</v>
      </c>
      <c r="K2153" s="580">
        <v>0</v>
      </c>
      <c r="L2153" s="102">
        <v>2.08</v>
      </c>
      <c r="M2153" s="102">
        <v>0.15</v>
      </c>
      <c r="N2153" s="573">
        <v>30.72</v>
      </c>
      <c r="O2153" s="556" t="str">
        <f>IF(N2153=M2153,"OK","DIF")</f>
        <v>DIF</v>
      </c>
      <c r="P2153" s="573"/>
      <c r="Q2153" s="556"/>
      <c r="R2153" s="582"/>
    </row>
    <row r="2154" ht="23.85" customHeight="1" spans="1:18">
      <c r="A2154" s="556" t="str">
        <f>B2154</f>
        <v>Composição Auxiliar</v>
      </c>
      <c r="B2154" s="557" t="str">
        <f>B2153</f>
        <v>Composição Auxiliar</v>
      </c>
      <c r="C2154" s="100" t="s">
        <v>2893</v>
      </c>
      <c r="D2154" s="99" t="s">
        <v>3624</v>
      </c>
      <c r="E2154" s="100" t="s">
        <v>139</v>
      </c>
      <c r="F2154" s="100" t="s">
        <v>3625</v>
      </c>
      <c r="G2154" s="100" t="s">
        <v>2961</v>
      </c>
      <c r="H2154" s="100"/>
      <c r="I2154" s="101" t="s">
        <v>134</v>
      </c>
      <c r="J2154" s="580">
        <v>1</v>
      </c>
      <c r="K2154" s="580">
        <v>0</v>
      </c>
      <c r="L2154" s="102">
        <v>10.05</v>
      </c>
      <c r="M2154" s="102">
        <v>10.05</v>
      </c>
      <c r="N2154" s="573">
        <v>119.43</v>
      </c>
      <c r="O2154" s="556" t="str">
        <f>IF(N2154=M2154,"OK","DIF")</f>
        <v>DIF</v>
      </c>
      <c r="P2154" s="573"/>
      <c r="Q2154" s="556"/>
      <c r="R2154" s="582"/>
    </row>
    <row r="2155" ht="23.85" customHeight="1" spans="1:18">
      <c r="A2155" s="556" t="str">
        <f>B2155</f>
        <v>Composição Auxiliar</v>
      </c>
      <c r="B2155" s="557" t="str">
        <f>B2154</f>
        <v>Composição Auxiliar</v>
      </c>
      <c r="C2155" s="100" t="s">
        <v>2893</v>
      </c>
      <c r="D2155" s="99" t="s">
        <v>3616</v>
      </c>
      <c r="E2155" s="100" t="s">
        <v>139</v>
      </c>
      <c r="F2155" s="100" t="s">
        <v>3617</v>
      </c>
      <c r="G2155" s="100" t="s">
        <v>2961</v>
      </c>
      <c r="H2155" s="100"/>
      <c r="I2155" s="101" t="s">
        <v>134</v>
      </c>
      <c r="J2155" s="580">
        <v>0.033</v>
      </c>
      <c r="K2155" s="580">
        <v>0</v>
      </c>
      <c r="L2155" s="102">
        <v>82.38</v>
      </c>
      <c r="M2155" s="102">
        <v>2.71</v>
      </c>
      <c r="N2155" s="573">
        <v>138.66</v>
      </c>
      <c r="O2155" s="556" t="str">
        <f>IF(N2155=M2155,"OK","DIF")</f>
        <v>DIF</v>
      </c>
      <c r="P2155" s="573"/>
      <c r="Q2155" s="556"/>
      <c r="R2155" s="582"/>
    </row>
    <row r="2156" ht="25.5" spans="1:18">
      <c r="A2156" s="556"/>
      <c r="B2156" s="557"/>
      <c r="C2156" s="108"/>
      <c r="D2156" s="108"/>
      <c r="E2156" s="108"/>
      <c r="F2156" s="108"/>
      <c r="G2156" s="108"/>
      <c r="H2156" s="108" t="s">
        <v>2898</v>
      </c>
      <c r="I2156" s="581">
        <v>14.17</v>
      </c>
      <c r="J2156" s="108" t="s">
        <v>2899</v>
      </c>
      <c r="K2156" s="581">
        <v>0</v>
      </c>
      <c r="L2156" s="108" t="s">
        <v>2900</v>
      </c>
      <c r="M2156" s="581">
        <v>14.17</v>
      </c>
      <c r="N2156" s="573"/>
      <c r="O2156" s="556"/>
      <c r="P2156" s="573"/>
      <c r="Q2156" s="556"/>
      <c r="R2156" s="582"/>
    </row>
    <row r="2157" ht="26.25" spans="1:18">
      <c r="A2157" s="556"/>
      <c r="B2157" s="557"/>
      <c r="C2157" s="108"/>
      <c r="D2157" s="108"/>
      <c r="E2157" s="108"/>
      <c r="F2157" s="108"/>
      <c r="G2157" s="108"/>
      <c r="H2157" s="108" t="s">
        <v>2901</v>
      </c>
      <c r="I2157" s="581">
        <v>8.81</v>
      </c>
      <c r="J2157" s="114"/>
      <c r="K2157" s="114" t="s">
        <v>2902</v>
      </c>
      <c r="L2157" s="108"/>
      <c r="M2157" s="581">
        <v>43.41</v>
      </c>
      <c r="N2157" s="573"/>
      <c r="O2157" s="556"/>
      <c r="P2157" s="573"/>
      <c r="Q2157" s="556"/>
      <c r="R2157" s="582"/>
    </row>
    <row r="2158" ht="15" spans="1:18">
      <c r="A2158" s="556"/>
      <c r="B2158" s="557">
        <f>C2157</f>
        <v>0</v>
      </c>
      <c r="C2158" s="571"/>
      <c r="D2158" s="571"/>
      <c r="E2158" s="571"/>
      <c r="F2158" s="571"/>
      <c r="G2158" s="571"/>
      <c r="H2158" s="571"/>
      <c r="I2158" s="571"/>
      <c r="J2158" s="571"/>
      <c r="K2158" s="571"/>
      <c r="L2158" s="571"/>
      <c r="M2158" s="571"/>
      <c r="N2158" s="573">
        <v>484.36</v>
      </c>
      <c r="O2158" s="556" t="str">
        <f>IF(N2158=M2158,"OK","DIF")</f>
        <v>DIF</v>
      </c>
      <c r="P2158" s="573"/>
      <c r="Q2158" s="556"/>
      <c r="R2158" s="582"/>
    </row>
    <row r="2159" ht="15" customHeight="1" spans="1:18">
      <c r="A2159" s="556">
        <f>B2159</f>
        <v>0</v>
      </c>
      <c r="B2159" s="557">
        <f>B2158</f>
        <v>0</v>
      </c>
      <c r="C2159" s="76" t="s">
        <v>755</v>
      </c>
      <c r="D2159" s="75" t="s">
        <v>63</v>
      </c>
      <c r="E2159" s="76" t="s">
        <v>64</v>
      </c>
      <c r="F2159" s="76" t="s">
        <v>65</v>
      </c>
      <c r="G2159" s="76" t="s">
        <v>2889</v>
      </c>
      <c r="H2159" s="76"/>
      <c r="I2159" s="77" t="s">
        <v>66</v>
      </c>
      <c r="J2159" s="75" t="s">
        <v>67</v>
      </c>
      <c r="K2159" s="75" t="s">
        <v>2890</v>
      </c>
      <c r="L2159" s="75" t="s">
        <v>68</v>
      </c>
      <c r="M2159" s="75" t="s">
        <v>70</v>
      </c>
      <c r="N2159" s="573">
        <v>11.63</v>
      </c>
      <c r="O2159" s="556" t="str">
        <f>IF(N2159=M2159,"OK","DIF")</f>
        <v>DIF</v>
      </c>
      <c r="P2159" s="573"/>
      <c r="Q2159" s="556"/>
      <c r="R2159" s="582"/>
    </row>
    <row r="2160" ht="51" spans="1:18">
      <c r="A2160" s="556">
        <f>B2160</f>
        <v>0</v>
      </c>
      <c r="B2160" s="557">
        <f>B2159</f>
        <v>0</v>
      </c>
      <c r="C2160" s="569" t="s">
        <v>2891</v>
      </c>
      <c r="D2160" s="570" t="s">
        <v>756</v>
      </c>
      <c r="E2160" s="569" t="s">
        <v>77</v>
      </c>
      <c r="F2160" s="569" t="s">
        <v>3626</v>
      </c>
      <c r="G2160" s="569">
        <v>15</v>
      </c>
      <c r="H2160" s="569"/>
      <c r="I2160" s="577" t="s">
        <v>204</v>
      </c>
      <c r="J2160" s="578">
        <v>1</v>
      </c>
      <c r="K2160" s="579"/>
      <c r="L2160" s="579">
        <v>41.35</v>
      </c>
      <c r="M2160" s="579">
        <v>41.35</v>
      </c>
      <c r="N2160" s="573">
        <v>46.08</v>
      </c>
      <c r="O2160" s="556" t="str">
        <f>IF(N2160=M2160,"OK","DIF")</f>
        <v>DIF</v>
      </c>
      <c r="P2160" s="573"/>
      <c r="Q2160" s="556"/>
      <c r="R2160" s="582"/>
    </row>
    <row r="2161" ht="23.85" customHeight="1" spans="1:18">
      <c r="A2161" s="556">
        <f>B2161</f>
        <v>0</v>
      </c>
      <c r="B2161" s="557">
        <f>B2160</f>
        <v>0</v>
      </c>
      <c r="C2161" s="100" t="s">
        <v>2893</v>
      </c>
      <c r="D2161" s="99" t="s">
        <v>3627</v>
      </c>
      <c r="E2161" s="100" t="s">
        <v>77</v>
      </c>
      <c r="F2161" s="100" t="s">
        <v>3628</v>
      </c>
      <c r="G2161" s="100" t="s">
        <v>2961</v>
      </c>
      <c r="H2161" s="100"/>
      <c r="I2161" s="101" t="s">
        <v>134</v>
      </c>
      <c r="J2161" s="580">
        <v>0.175</v>
      </c>
      <c r="K2161" s="580">
        <v>10</v>
      </c>
      <c r="L2161" s="102">
        <v>170.89</v>
      </c>
      <c r="M2161" s="102">
        <v>32.89</v>
      </c>
      <c r="N2161" s="573">
        <v>218.66</v>
      </c>
      <c r="O2161" s="556" t="str">
        <f>IF(N2161=M2161,"OK","DIF")</f>
        <v>DIF</v>
      </c>
      <c r="P2161" s="573"/>
      <c r="Q2161" s="556"/>
      <c r="R2161" s="582"/>
    </row>
    <row r="2162" ht="23.85" customHeight="1" spans="1:18">
      <c r="A2162" s="556">
        <f>B2162</f>
        <v>0</v>
      </c>
      <c r="B2162" s="557">
        <f>B2161</f>
        <v>0</v>
      </c>
      <c r="C2162" s="100" t="s">
        <v>2893</v>
      </c>
      <c r="D2162" s="99" t="s">
        <v>3629</v>
      </c>
      <c r="E2162" s="100" t="s">
        <v>77</v>
      </c>
      <c r="F2162" s="100" t="s">
        <v>3630</v>
      </c>
      <c r="G2162" s="100" t="s">
        <v>2896</v>
      </c>
      <c r="H2162" s="100"/>
      <c r="I2162" s="101" t="s">
        <v>2897</v>
      </c>
      <c r="J2162" s="580">
        <v>0.18</v>
      </c>
      <c r="K2162" s="580">
        <v>3</v>
      </c>
      <c r="L2162" s="102">
        <v>26.52</v>
      </c>
      <c r="M2162" s="102">
        <v>4.91</v>
      </c>
      <c r="N2162" s="573">
        <v>207.99</v>
      </c>
      <c r="O2162" s="556" t="str">
        <f>IF(N2162=M2162,"OK","DIF")</f>
        <v>DIF</v>
      </c>
      <c r="P2162" s="573"/>
      <c r="Q2162" s="556"/>
      <c r="R2162" s="582"/>
    </row>
    <row r="2163" ht="23.85" customHeight="1" spans="1:18">
      <c r="A2163" s="556"/>
      <c r="B2163" s="557"/>
      <c r="C2163" s="100" t="s">
        <v>2893</v>
      </c>
      <c r="D2163" s="99" t="s">
        <v>3108</v>
      </c>
      <c r="E2163" s="100" t="s">
        <v>77</v>
      </c>
      <c r="F2163" s="100" t="s">
        <v>3109</v>
      </c>
      <c r="G2163" s="100" t="s">
        <v>2896</v>
      </c>
      <c r="H2163" s="100"/>
      <c r="I2163" s="101" t="s">
        <v>2897</v>
      </c>
      <c r="J2163" s="580">
        <v>0.18</v>
      </c>
      <c r="K2163" s="580">
        <v>3</v>
      </c>
      <c r="L2163" s="102">
        <v>19.16</v>
      </c>
      <c r="M2163" s="102">
        <v>3.55</v>
      </c>
      <c r="N2163" s="573"/>
      <c r="O2163" s="556"/>
      <c r="P2163" s="573"/>
      <c r="Q2163" s="556"/>
      <c r="R2163" s="582"/>
    </row>
    <row r="2164" ht="25.5" spans="1:18">
      <c r="A2164" s="556"/>
      <c r="B2164" s="557"/>
      <c r="C2164" s="108"/>
      <c r="D2164" s="108"/>
      <c r="E2164" s="108"/>
      <c r="F2164" s="108"/>
      <c r="G2164" s="108"/>
      <c r="H2164" s="108" t="s">
        <v>2898</v>
      </c>
      <c r="I2164" s="581">
        <v>8.46</v>
      </c>
      <c r="J2164" s="108" t="s">
        <v>2899</v>
      </c>
      <c r="K2164" s="581">
        <v>0</v>
      </c>
      <c r="L2164" s="108" t="s">
        <v>2900</v>
      </c>
      <c r="M2164" s="581">
        <v>8.46</v>
      </c>
      <c r="N2164" s="573"/>
      <c r="O2164" s="556"/>
      <c r="P2164" s="573"/>
      <c r="Q2164" s="556"/>
      <c r="R2164" s="582"/>
    </row>
    <row r="2165" ht="26.25" spans="1:18">
      <c r="A2165" s="556"/>
      <c r="B2165" s="557">
        <f>C2164</f>
        <v>0</v>
      </c>
      <c r="C2165" s="108"/>
      <c r="D2165" s="108"/>
      <c r="E2165" s="108"/>
      <c r="F2165" s="108"/>
      <c r="G2165" s="108"/>
      <c r="H2165" s="108" t="s">
        <v>2901</v>
      </c>
      <c r="I2165" s="581">
        <v>10.54</v>
      </c>
      <c r="J2165" s="114"/>
      <c r="K2165" s="114" t="s">
        <v>2902</v>
      </c>
      <c r="L2165" s="108"/>
      <c r="M2165" s="581">
        <v>51.89</v>
      </c>
      <c r="N2165" s="573">
        <v>273.4</v>
      </c>
      <c r="O2165" s="556" t="str">
        <f>IF(N2165=M2165,"OK","DIF")</f>
        <v>DIF</v>
      </c>
      <c r="P2165" s="573"/>
      <c r="Q2165" s="556"/>
      <c r="R2165" s="582"/>
    </row>
    <row r="2166" ht="15" spans="1:18">
      <c r="A2166" s="556">
        <f>B2166</f>
        <v>0</v>
      </c>
      <c r="B2166" s="557">
        <f>B2165</f>
        <v>0</v>
      </c>
      <c r="C2166" s="571"/>
      <c r="D2166" s="571"/>
      <c r="E2166" s="571"/>
      <c r="F2166" s="571"/>
      <c r="G2166" s="571"/>
      <c r="H2166" s="571"/>
      <c r="I2166" s="571"/>
      <c r="J2166" s="571"/>
      <c r="K2166" s="571"/>
      <c r="L2166" s="571"/>
      <c r="M2166" s="571"/>
      <c r="N2166" s="573">
        <v>30.72</v>
      </c>
      <c r="O2166" s="556" t="str">
        <f>IF(N2166=M2166,"OK","DIF")</f>
        <v>DIF</v>
      </c>
      <c r="P2166" s="573"/>
      <c r="Q2166" s="556"/>
      <c r="R2166" s="582"/>
    </row>
    <row r="2167" ht="15" customHeight="1" spans="1:18">
      <c r="A2167" s="556">
        <f>B2167</f>
        <v>0</v>
      </c>
      <c r="B2167" s="557">
        <f>B2166</f>
        <v>0</v>
      </c>
      <c r="C2167" s="76" t="s">
        <v>758</v>
      </c>
      <c r="D2167" s="75" t="s">
        <v>63</v>
      </c>
      <c r="E2167" s="76" t="s">
        <v>64</v>
      </c>
      <c r="F2167" s="76" t="s">
        <v>65</v>
      </c>
      <c r="G2167" s="76" t="s">
        <v>2889</v>
      </c>
      <c r="H2167" s="76"/>
      <c r="I2167" s="77" t="s">
        <v>66</v>
      </c>
      <c r="J2167" s="75" t="s">
        <v>67</v>
      </c>
      <c r="K2167" s="75" t="s">
        <v>2890</v>
      </c>
      <c r="L2167" s="75" t="s">
        <v>68</v>
      </c>
      <c r="M2167" s="75" t="s">
        <v>70</v>
      </c>
      <c r="N2167" s="573">
        <v>7.75</v>
      </c>
      <c r="O2167" s="556" t="str">
        <f>IF(N2167=M2167,"OK","DIF")</f>
        <v>DIF</v>
      </c>
      <c r="P2167" s="573"/>
      <c r="Q2167" s="556"/>
      <c r="R2167" s="582"/>
    </row>
    <row r="2168" ht="51" spans="1:18">
      <c r="A2168" s="556">
        <f>B2168</f>
        <v>0</v>
      </c>
      <c r="B2168" s="557">
        <f>B2167</f>
        <v>0</v>
      </c>
      <c r="C2168" s="569" t="s">
        <v>2891</v>
      </c>
      <c r="D2168" s="570" t="s">
        <v>759</v>
      </c>
      <c r="E2168" s="569" t="s">
        <v>77</v>
      </c>
      <c r="F2168" s="569" t="s">
        <v>3631</v>
      </c>
      <c r="G2168" s="569">
        <v>15</v>
      </c>
      <c r="H2168" s="569"/>
      <c r="I2168" s="577" t="s">
        <v>204</v>
      </c>
      <c r="J2168" s="578">
        <v>1</v>
      </c>
      <c r="K2168" s="579"/>
      <c r="L2168" s="579">
        <v>67.77</v>
      </c>
      <c r="M2168" s="579">
        <v>67.77</v>
      </c>
      <c r="N2168" s="573">
        <v>138.66</v>
      </c>
      <c r="O2168" s="556" t="str">
        <f>IF(N2168=M2168,"OK","DIF")</f>
        <v>DIF</v>
      </c>
      <c r="P2168" s="573"/>
      <c r="Q2168" s="556"/>
      <c r="R2168" s="582"/>
    </row>
    <row r="2169" ht="23.85" customHeight="1" spans="1:18">
      <c r="A2169" s="556">
        <f>B2169</f>
        <v>0</v>
      </c>
      <c r="B2169" s="557">
        <f>B2168</f>
        <v>0</v>
      </c>
      <c r="C2169" s="100" t="s">
        <v>2893</v>
      </c>
      <c r="D2169" s="99" t="s">
        <v>3632</v>
      </c>
      <c r="E2169" s="100" t="s">
        <v>77</v>
      </c>
      <c r="F2169" s="100" t="s">
        <v>3633</v>
      </c>
      <c r="G2169" s="100" t="s">
        <v>2961</v>
      </c>
      <c r="H2169" s="100"/>
      <c r="I2169" s="101" t="s">
        <v>134</v>
      </c>
      <c r="J2169" s="580">
        <v>0.175</v>
      </c>
      <c r="K2169" s="580">
        <v>10</v>
      </c>
      <c r="L2169" s="102">
        <v>298.35</v>
      </c>
      <c r="M2169" s="102">
        <v>57.43</v>
      </c>
      <c r="N2169" s="573">
        <v>96.27</v>
      </c>
      <c r="O2169" s="556" t="str">
        <f>IF(N2169=M2169,"OK","DIF")</f>
        <v>DIF</v>
      </c>
      <c r="P2169" s="573"/>
      <c r="Q2169" s="556"/>
      <c r="R2169" s="582"/>
    </row>
    <row r="2170" ht="23.85" customHeight="1" spans="1:18">
      <c r="A2170" s="556"/>
      <c r="B2170" s="557"/>
      <c r="C2170" s="100" t="s">
        <v>2893</v>
      </c>
      <c r="D2170" s="99" t="s">
        <v>3629</v>
      </c>
      <c r="E2170" s="100" t="s">
        <v>77</v>
      </c>
      <c r="F2170" s="100" t="s">
        <v>3630</v>
      </c>
      <c r="G2170" s="100" t="s">
        <v>2896</v>
      </c>
      <c r="H2170" s="100"/>
      <c r="I2170" s="101" t="s">
        <v>2897</v>
      </c>
      <c r="J2170" s="580">
        <v>0.22</v>
      </c>
      <c r="K2170" s="580">
        <v>3</v>
      </c>
      <c r="L2170" s="102">
        <v>26.52</v>
      </c>
      <c r="M2170" s="102">
        <v>6</v>
      </c>
      <c r="N2170" s="573"/>
      <c r="O2170" s="556"/>
      <c r="P2170" s="573"/>
      <c r="Q2170" s="556"/>
      <c r="R2170" s="582"/>
    </row>
    <row r="2171" ht="23.85" customHeight="1" spans="1:18">
      <c r="A2171" s="556"/>
      <c r="B2171" s="557"/>
      <c r="C2171" s="100" t="s">
        <v>2893</v>
      </c>
      <c r="D2171" s="99" t="s">
        <v>3108</v>
      </c>
      <c r="E2171" s="100" t="s">
        <v>77</v>
      </c>
      <c r="F2171" s="100" t="s">
        <v>3109</v>
      </c>
      <c r="G2171" s="100" t="s">
        <v>2896</v>
      </c>
      <c r="H2171" s="100"/>
      <c r="I2171" s="101" t="s">
        <v>2897</v>
      </c>
      <c r="J2171" s="580">
        <v>0.22</v>
      </c>
      <c r="K2171" s="580">
        <v>3</v>
      </c>
      <c r="L2171" s="102">
        <v>19.16</v>
      </c>
      <c r="M2171" s="102">
        <v>4.34</v>
      </c>
      <c r="N2171" s="573"/>
      <c r="O2171" s="556"/>
      <c r="P2171" s="573"/>
      <c r="Q2171" s="556"/>
      <c r="R2171" s="582"/>
    </row>
    <row r="2172" ht="25.5" spans="1:18">
      <c r="A2172" s="556"/>
      <c r="B2172" s="557" t="str">
        <f>C2171</f>
        <v>Insumo</v>
      </c>
      <c r="C2172" s="108"/>
      <c r="D2172" s="108"/>
      <c r="E2172" s="108"/>
      <c r="F2172" s="108"/>
      <c r="G2172" s="108"/>
      <c r="H2172" s="108" t="s">
        <v>2898</v>
      </c>
      <c r="I2172" s="581">
        <v>10.34</v>
      </c>
      <c r="J2172" s="108" t="s">
        <v>2899</v>
      </c>
      <c r="K2172" s="581">
        <v>0</v>
      </c>
      <c r="L2172" s="108" t="s">
        <v>2900</v>
      </c>
      <c r="M2172" s="581">
        <v>10.34</v>
      </c>
      <c r="N2172" s="573">
        <v>125.44</v>
      </c>
      <c r="O2172" s="556" t="str">
        <f>IF(N2172=M2172,"OK","DIF")</f>
        <v>DIF</v>
      </c>
      <c r="P2172" s="573"/>
      <c r="Q2172" s="556"/>
      <c r="R2172" s="582"/>
    </row>
    <row r="2173" ht="26.25" spans="1:18">
      <c r="A2173" s="556" t="str">
        <f>B2173</f>
        <v>Insumo</v>
      </c>
      <c r="B2173" s="557" t="str">
        <f>B2172</f>
        <v>Insumo</v>
      </c>
      <c r="C2173" s="108"/>
      <c r="D2173" s="108"/>
      <c r="E2173" s="108"/>
      <c r="F2173" s="108"/>
      <c r="G2173" s="108"/>
      <c r="H2173" s="108" t="s">
        <v>2901</v>
      </c>
      <c r="I2173" s="581">
        <v>17.27</v>
      </c>
      <c r="J2173" s="114"/>
      <c r="K2173" s="114" t="s">
        <v>2902</v>
      </c>
      <c r="L2173" s="108"/>
      <c r="M2173" s="581">
        <v>85.04</v>
      </c>
      <c r="N2173" s="573">
        <v>7.69</v>
      </c>
      <c r="O2173" s="556" t="str">
        <f>IF(N2173=M2173,"OK","DIF")</f>
        <v>DIF</v>
      </c>
      <c r="P2173" s="573"/>
      <c r="Q2173" s="556"/>
      <c r="R2173" s="582"/>
    </row>
    <row r="2174" ht="15" spans="1:18">
      <c r="A2174" s="556" t="str">
        <f>B2174</f>
        <v>Insumo</v>
      </c>
      <c r="B2174" s="557" t="str">
        <f>B2173</f>
        <v>Insumo</v>
      </c>
      <c r="C2174" s="571"/>
      <c r="D2174" s="571"/>
      <c r="E2174" s="571"/>
      <c r="F2174" s="571"/>
      <c r="G2174" s="571"/>
      <c r="H2174" s="571"/>
      <c r="I2174" s="571"/>
      <c r="J2174" s="571"/>
      <c r="K2174" s="571"/>
      <c r="L2174" s="571"/>
      <c r="M2174" s="571"/>
      <c r="N2174" s="573">
        <v>17.85</v>
      </c>
      <c r="O2174" s="556" t="str">
        <f>IF(N2174=M2174,"OK","DIF")</f>
        <v>DIF</v>
      </c>
      <c r="P2174" s="573"/>
      <c r="Q2174" s="556"/>
      <c r="R2174" s="582"/>
    </row>
    <row r="2175" ht="15" customHeight="1" spans="1:18">
      <c r="A2175" s="556" t="str">
        <f>B2175</f>
        <v>Insumo</v>
      </c>
      <c r="B2175" s="557" t="str">
        <f>B2174</f>
        <v>Insumo</v>
      </c>
      <c r="C2175" s="76" t="s">
        <v>761</v>
      </c>
      <c r="D2175" s="75" t="s">
        <v>63</v>
      </c>
      <c r="E2175" s="76" t="s">
        <v>64</v>
      </c>
      <c r="F2175" s="76" t="s">
        <v>65</v>
      </c>
      <c r="G2175" s="76" t="s">
        <v>2889</v>
      </c>
      <c r="H2175" s="76"/>
      <c r="I2175" s="77" t="s">
        <v>66</v>
      </c>
      <c r="J2175" s="75" t="s">
        <v>67</v>
      </c>
      <c r="K2175" s="75" t="s">
        <v>2890</v>
      </c>
      <c r="L2175" s="75" t="s">
        <v>68</v>
      </c>
      <c r="M2175" s="75" t="s">
        <v>70</v>
      </c>
      <c r="N2175" s="573">
        <v>99.9</v>
      </c>
      <c r="O2175" s="556" t="str">
        <f>IF(N2175=M2175,"OK","DIF")</f>
        <v>DIF</v>
      </c>
      <c r="P2175" s="573"/>
      <c r="Q2175" s="556"/>
      <c r="R2175" s="582"/>
    </row>
    <row r="2176" ht="35.05" customHeight="1" spans="1:18">
      <c r="A2176" s="556"/>
      <c r="B2176" s="557"/>
      <c r="C2176" s="569" t="s">
        <v>2891</v>
      </c>
      <c r="D2176" s="570" t="s">
        <v>762</v>
      </c>
      <c r="E2176" s="569" t="s">
        <v>132</v>
      </c>
      <c r="F2176" s="569" t="s">
        <v>763</v>
      </c>
      <c r="G2176" s="569" t="s">
        <v>3129</v>
      </c>
      <c r="H2176" s="569"/>
      <c r="I2176" s="577" t="s">
        <v>204</v>
      </c>
      <c r="J2176" s="578">
        <v>1</v>
      </c>
      <c r="K2176" s="579"/>
      <c r="L2176" s="579">
        <v>373.26</v>
      </c>
      <c r="M2176" s="579">
        <v>373.26</v>
      </c>
      <c r="N2176" s="573"/>
      <c r="O2176" s="556"/>
      <c r="P2176" s="573"/>
      <c r="Q2176" s="556"/>
      <c r="R2176" s="582"/>
    </row>
    <row r="2177" ht="23.85" customHeight="1" spans="1:18">
      <c r="A2177" s="556"/>
      <c r="B2177" s="557"/>
      <c r="C2177" s="79" t="s">
        <v>2921</v>
      </c>
      <c r="D2177" s="78" t="s">
        <v>3144</v>
      </c>
      <c r="E2177" s="79" t="s">
        <v>139</v>
      </c>
      <c r="F2177" s="79" t="s">
        <v>3145</v>
      </c>
      <c r="G2177" s="79" t="s">
        <v>2928</v>
      </c>
      <c r="H2177" s="79"/>
      <c r="I2177" s="80" t="s">
        <v>2897</v>
      </c>
      <c r="J2177" s="583">
        <v>0.18</v>
      </c>
      <c r="K2177" s="583">
        <v>0</v>
      </c>
      <c r="L2177" s="92">
        <v>35.55</v>
      </c>
      <c r="M2177" s="92">
        <v>6.39</v>
      </c>
      <c r="N2177" s="573"/>
      <c r="O2177" s="556"/>
      <c r="P2177" s="573"/>
      <c r="Q2177" s="556"/>
      <c r="R2177" s="582"/>
    </row>
    <row r="2178" ht="23.85" customHeight="1" spans="1:18">
      <c r="A2178" s="556"/>
      <c r="B2178" s="557" t="str">
        <f>C2177</f>
        <v>Composição Auxiliar</v>
      </c>
      <c r="C2178" s="79" t="s">
        <v>2921</v>
      </c>
      <c r="D2178" s="78" t="s">
        <v>3146</v>
      </c>
      <c r="E2178" s="79" t="s">
        <v>139</v>
      </c>
      <c r="F2178" s="79" t="s">
        <v>3147</v>
      </c>
      <c r="G2178" s="79" t="s">
        <v>2928</v>
      </c>
      <c r="H2178" s="79"/>
      <c r="I2178" s="80" t="s">
        <v>2897</v>
      </c>
      <c r="J2178" s="583">
        <v>0.18</v>
      </c>
      <c r="K2178" s="583">
        <v>0</v>
      </c>
      <c r="L2178" s="92">
        <v>29.54</v>
      </c>
      <c r="M2178" s="92">
        <v>5.31</v>
      </c>
      <c r="N2178" s="573">
        <v>391.69</v>
      </c>
      <c r="O2178" s="556" t="str">
        <f t="shared" ref="O2178:O2185" si="229">IF(N2178=M2178,"OK","DIF")</f>
        <v>DIF</v>
      </c>
      <c r="P2178" s="573"/>
      <c r="Q2178" s="556"/>
      <c r="R2178" s="582"/>
    </row>
    <row r="2179" ht="23.85" customHeight="1" spans="1:18">
      <c r="A2179" s="556" t="str">
        <f t="shared" ref="A2179:A2185" si="230">B2179</f>
        <v>Composição Auxiliar</v>
      </c>
      <c r="B2179" s="557" t="str">
        <f t="shared" ref="B2179:B2185" si="231">B2178</f>
        <v>Composição Auxiliar</v>
      </c>
      <c r="C2179" s="79" t="s">
        <v>2921</v>
      </c>
      <c r="D2179" s="78" t="s">
        <v>3634</v>
      </c>
      <c r="E2179" s="79" t="s">
        <v>139</v>
      </c>
      <c r="F2179" s="79" t="s">
        <v>3635</v>
      </c>
      <c r="G2179" s="79" t="s">
        <v>2928</v>
      </c>
      <c r="H2179" s="79"/>
      <c r="I2179" s="80" t="s">
        <v>2897</v>
      </c>
      <c r="J2179" s="583">
        <v>0.18</v>
      </c>
      <c r="K2179" s="583">
        <v>0</v>
      </c>
      <c r="L2179" s="92">
        <v>44.92</v>
      </c>
      <c r="M2179" s="92">
        <v>8.08</v>
      </c>
      <c r="N2179" s="573">
        <v>25.45</v>
      </c>
      <c r="O2179" s="556" t="str">
        <f t="shared" si="229"/>
        <v>DIF</v>
      </c>
      <c r="P2179" s="573"/>
      <c r="Q2179" s="556"/>
      <c r="R2179" s="582"/>
    </row>
    <row r="2180" ht="23.85" customHeight="1" spans="1:18">
      <c r="A2180" s="556" t="str">
        <f t="shared" si="230"/>
        <v>Composição Auxiliar</v>
      </c>
      <c r="B2180" s="557" t="str">
        <f t="shared" si="231"/>
        <v>Composição Auxiliar</v>
      </c>
      <c r="C2180" s="100" t="s">
        <v>2893</v>
      </c>
      <c r="D2180" s="99" t="s">
        <v>3636</v>
      </c>
      <c r="E2180" s="100" t="s">
        <v>139</v>
      </c>
      <c r="F2180" s="100" t="s">
        <v>3637</v>
      </c>
      <c r="G2180" s="100" t="s">
        <v>2961</v>
      </c>
      <c r="H2180" s="100"/>
      <c r="I2180" s="101" t="s">
        <v>204</v>
      </c>
      <c r="J2180" s="580">
        <v>1.039</v>
      </c>
      <c r="K2180" s="580">
        <v>0</v>
      </c>
      <c r="L2180" s="102">
        <v>340.22</v>
      </c>
      <c r="M2180" s="102">
        <v>353.48</v>
      </c>
      <c r="N2180" s="573">
        <v>53.28</v>
      </c>
      <c r="O2180" s="556" t="str">
        <f t="shared" si="229"/>
        <v>DIF</v>
      </c>
      <c r="P2180" s="573"/>
      <c r="Q2180" s="556"/>
      <c r="R2180" s="582"/>
    </row>
    <row r="2181" ht="25.5" spans="1:18">
      <c r="A2181" s="556" t="str">
        <f t="shared" si="230"/>
        <v>Composição Auxiliar</v>
      </c>
      <c r="B2181" s="557" t="str">
        <f t="shared" si="231"/>
        <v>Composição Auxiliar</v>
      </c>
      <c r="C2181" s="108"/>
      <c r="D2181" s="108"/>
      <c r="E2181" s="108"/>
      <c r="F2181" s="108"/>
      <c r="G2181" s="108"/>
      <c r="H2181" s="108" t="s">
        <v>2898</v>
      </c>
      <c r="I2181" s="581">
        <v>14.45</v>
      </c>
      <c r="J2181" s="108" t="s">
        <v>2899</v>
      </c>
      <c r="K2181" s="581">
        <v>0</v>
      </c>
      <c r="L2181" s="108" t="s">
        <v>2900</v>
      </c>
      <c r="M2181" s="581">
        <v>14.45</v>
      </c>
      <c r="N2181" s="573">
        <v>5.52</v>
      </c>
      <c r="O2181" s="556" t="str">
        <f t="shared" si="229"/>
        <v>DIF</v>
      </c>
      <c r="P2181" s="573"/>
      <c r="Q2181" s="556"/>
      <c r="R2181" s="582"/>
    </row>
    <row r="2182" ht="26.25" spans="1:18">
      <c r="A2182" s="556" t="str">
        <f t="shared" si="230"/>
        <v>Composição Auxiliar</v>
      </c>
      <c r="B2182" s="557" t="str">
        <f t="shared" si="231"/>
        <v>Composição Auxiliar</v>
      </c>
      <c r="C2182" s="108"/>
      <c r="D2182" s="108"/>
      <c r="E2182" s="108"/>
      <c r="F2182" s="108"/>
      <c r="G2182" s="108"/>
      <c r="H2182" s="108" t="s">
        <v>2901</v>
      </c>
      <c r="I2182" s="581">
        <v>95.14</v>
      </c>
      <c r="J2182" s="114"/>
      <c r="K2182" s="114" t="s">
        <v>2902</v>
      </c>
      <c r="L2182" s="108"/>
      <c r="M2182" s="581">
        <v>468.4</v>
      </c>
      <c r="N2182" s="573">
        <v>15.66</v>
      </c>
      <c r="O2182" s="556" t="str">
        <f t="shared" si="229"/>
        <v>DIF</v>
      </c>
      <c r="P2182" s="573"/>
      <c r="Q2182" s="556"/>
      <c r="R2182" s="582"/>
    </row>
    <row r="2183" ht="15" spans="1:18">
      <c r="A2183" s="556" t="str">
        <f t="shared" si="230"/>
        <v>Composição Auxiliar</v>
      </c>
      <c r="B2183" s="557" t="str">
        <f t="shared" si="231"/>
        <v>Composição Auxiliar</v>
      </c>
      <c r="C2183" s="571"/>
      <c r="D2183" s="571"/>
      <c r="E2183" s="571"/>
      <c r="F2183" s="571"/>
      <c r="G2183" s="571"/>
      <c r="H2183" s="571"/>
      <c r="I2183" s="571"/>
      <c r="J2183" s="571"/>
      <c r="K2183" s="571"/>
      <c r="L2183" s="571"/>
      <c r="M2183" s="571"/>
      <c r="N2183" s="573">
        <v>1.56</v>
      </c>
      <c r="O2183" s="556" t="str">
        <f t="shared" si="229"/>
        <v>DIF</v>
      </c>
      <c r="P2183" s="573"/>
      <c r="Q2183" s="556"/>
      <c r="R2183" s="582"/>
    </row>
    <row r="2184" ht="15" customHeight="1" spans="1:18">
      <c r="A2184" s="556" t="str">
        <f t="shared" si="230"/>
        <v>Composição Auxiliar</v>
      </c>
      <c r="B2184" s="557" t="str">
        <f t="shared" si="231"/>
        <v>Composição Auxiliar</v>
      </c>
      <c r="C2184" s="76" t="s">
        <v>764</v>
      </c>
      <c r="D2184" s="75" t="s">
        <v>63</v>
      </c>
      <c r="E2184" s="76" t="s">
        <v>64</v>
      </c>
      <c r="F2184" s="76" t="s">
        <v>65</v>
      </c>
      <c r="G2184" s="76" t="s">
        <v>2889</v>
      </c>
      <c r="H2184" s="76"/>
      <c r="I2184" s="77" t="s">
        <v>66</v>
      </c>
      <c r="J2184" s="75" t="s">
        <v>67</v>
      </c>
      <c r="K2184" s="75" t="s">
        <v>2890</v>
      </c>
      <c r="L2184" s="75" t="s">
        <v>68</v>
      </c>
      <c r="M2184" s="75" t="s">
        <v>70</v>
      </c>
      <c r="N2184" s="573">
        <v>37</v>
      </c>
      <c r="O2184" s="556" t="str">
        <f t="shared" si="229"/>
        <v>DIF</v>
      </c>
      <c r="P2184" s="573"/>
      <c r="Q2184" s="556"/>
      <c r="R2184" s="582"/>
    </row>
    <row r="2185" ht="35.05" customHeight="1" spans="1:18">
      <c r="A2185" s="556" t="str">
        <f t="shared" si="230"/>
        <v>Composição Auxiliar</v>
      </c>
      <c r="B2185" s="557" t="str">
        <f t="shared" si="231"/>
        <v>Composição Auxiliar</v>
      </c>
      <c r="C2185" s="569" t="s">
        <v>2891</v>
      </c>
      <c r="D2185" s="570" t="s">
        <v>765</v>
      </c>
      <c r="E2185" s="569" t="s">
        <v>132</v>
      </c>
      <c r="F2185" s="569" t="s">
        <v>766</v>
      </c>
      <c r="G2185" s="569" t="s">
        <v>3129</v>
      </c>
      <c r="H2185" s="569"/>
      <c r="I2185" s="577" t="s">
        <v>134</v>
      </c>
      <c r="J2185" s="578">
        <v>1</v>
      </c>
      <c r="K2185" s="579"/>
      <c r="L2185" s="579">
        <v>170.56</v>
      </c>
      <c r="M2185" s="579">
        <v>170.56</v>
      </c>
      <c r="N2185" s="573">
        <v>253.22</v>
      </c>
      <c r="O2185" s="556" t="str">
        <f t="shared" si="229"/>
        <v>DIF</v>
      </c>
      <c r="P2185" s="573"/>
      <c r="Q2185" s="556"/>
      <c r="R2185" s="582"/>
    </row>
    <row r="2186" ht="23.85" customHeight="1" spans="1:18">
      <c r="A2186" s="556"/>
      <c r="B2186" s="557"/>
      <c r="C2186" s="79" t="s">
        <v>2921</v>
      </c>
      <c r="D2186" s="78" t="s">
        <v>3634</v>
      </c>
      <c r="E2186" s="79" t="s">
        <v>139</v>
      </c>
      <c r="F2186" s="79" t="s">
        <v>3635</v>
      </c>
      <c r="G2186" s="79" t="s">
        <v>2928</v>
      </c>
      <c r="H2186" s="79"/>
      <c r="I2186" s="80" t="s">
        <v>2897</v>
      </c>
      <c r="J2186" s="583">
        <v>0.93</v>
      </c>
      <c r="K2186" s="583">
        <v>0</v>
      </c>
      <c r="L2186" s="92">
        <v>44.92</v>
      </c>
      <c r="M2186" s="92">
        <v>41.77</v>
      </c>
      <c r="N2186" s="573"/>
      <c r="O2186" s="556"/>
      <c r="P2186" s="573"/>
      <c r="Q2186" s="556"/>
      <c r="R2186" s="582"/>
    </row>
    <row r="2187" ht="23.85" customHeight="1" spans="1:18">
      <c r="A2187" s="556"/>
      <c r="B2187" s="557"/>
      <c r="C2187" s="79" t="s">
        <v>2921</v>
      </c>
      <c r="D2187" s="78" t="s">
        <v>3146</v>
      </c>
      <c r="E2187" s="79" t="s">
        <v>139</v>
      </c>
      <c r="F2187" s="79" t="s">
        <v>3147</v>
      </c>
      <c r="G2187" s="79" t="s">
        <v>2928</v>
      </c>
      <c r="H2187" s="79"/>
      <c r="I2187" s="80" t="s">
        <v>2897</v>
      </c>
      <c r="J2187" s="583">
        <v>0.93</v>
      </c>
      <c r="K2187" s="583">
        <v>0</v>
      </c>
      <c r="L2187" s="92">
        <v>29.54</v>
      </c>
      <c r="M2187" s="92">
        <v>27.47</v>
      </c>
      <c r="N2187" s="573"/>
      <c r="O2187" s="556"/>
      <c r="P2187" s="573"/>
      <c r="Q2187" s="556"/>
      <c r="R2187" s="582"/>
    </row>
    <row r="2188" ht="23.85" customHeight="1" spans="1:18">
      <c r="A2188" s="556"/>
      <c r="B2188" s="557" t="str">
        <f>C2187</f>
        <v>Composição Auxiliar</v>
      </c>
      <c r="C2188" s="79" t="s">
        <v>2921</v>
      </c>
      <c r="D2188" s="78" t="s">
        <v>3144</v>
      </c>
      <c r="E2188" s="79" t="s">
        <v>139</v>
      </c>
      <c r="F2188" s="79" t="s">
        <v>3145</v>
      </c>
      <c r="G2188" s="79" t="s">
        <v>2928</v>
      </c>
      <c r="H2188" s="79"/>
      <c r="I2188" s="80" t="s">
        <v>2897</v>
      </c>
      <c r="J2188" s="583">
        <v>0.93</v>
      </c>
      <c r="K2188" s="583">
        <v>0</v>
      </c>
      <c r="L2188" s="92">
        <v>35.55</v>
      </c>
      <c r="M2188" s="92">
        <v>33.06</v>
      </c>
      <c r="N2188" s="573">
        <v>515.83</v>
      </c>
      <c r="O2188" s="556" t="str">
        <f>IF(N2188=M2188,"OK","DIF")</f>
        <v>DIF</v>
      </c>
      <c r="P2188" s="573"/>
      <c r="Q2188" s="556"/>
      <c r="R2188" s="582"/>
    </row>
    <row r="2189" ht="15" customHeight="1" spans="1:18">
      <c r="A2189" s="556" t="str">
        <f>B2189</f>
        <v>Composição Auxiliar</v>
      </c>
      <c r="B2189" s="557" t="str">
        <f>B2188</f>
        <v>Composição Auxiliar</v>
      </c>
      <c r="C2189" s="100" t="s">
        <v>2893</v>
      </c>
      <c r="D2189" s="99" t="s">
        <v>3638</v>
      </c>
      <c r="E2189" s="100" t="s">
        <v>139</v>
      </c>
      <c r="F2189" s="100" t="s">
        <v>3639</v>
      </c>
      <c r="G2189" s="100" t="s">
        <v>2961</v>
      </c>
      <c r="H2189" s="100"/>
      <c r="I2189" s="101" t="s">
        <v>393</v>
      </c>
      <c r="J2189" s="580">
        <v>0.089</v>
      </c>
      <c r="K2189" s="580">
        <v>0</v>
      </c>
      <c r="L2189" s="102">
        <v>49.41</v>
      </c>
      <c r="M2189" s="102">
        <v>4.39</v>
      </c>
      <c r="N2189" s="573">
        <v>29.29</v>
      </c>
      <c r="O2189" s="556" t="str">
        <f>IF(N2189=M2189,"OK","DIF")</f>
        <v>DIF</v>
      </c>
      <c r="P2189" s="573"/>
      <c r="Q2189" s="556"/>
      <c r="R2189" s="582"/>
    </row>
    <row r="2190" ht="15" customHeight="1" spans="1:18">
      <c r="A2190" s="556" t="str">
        <f>B2190</f>
        <v>Composição Auxiliar</v>
      </c>
      <c r="B2190" s="557" t="str">
        <f>B2189</f>
        <v>Composição Auxiliar</v>
      </c>
      <c r="C2190" s="100" t="s">
        <v>2893</v>
      </c>
      <c r="D2190" s="99" t="s">
        <v>3640</v>
      </c>
      <c r="E2190" s="100" t="s">
        <v>132</v>
      </c>
      <c r="F2190" s="100" t="s">
        <v>3641</v>
      </c>
      <c r="G2190" s="100" t="s">
        <v>2961</v>
      </c>
      <c r="H2190" s="100"/>
      <c r="I2190" s="101" t="s">
        <v>134</v>
      </c>
      <c r="J2190" s="580">
        <v>1</v>
      </c>
      <c r="K2190" s="580">
        <v>0</v>
      </c>
      <c r="L2190" s="102">
        <v>63.87</v>
      </c>
      <c r="M2190" s="102">
        <v>63.87</v>
      </c>
      <c r="N2190" s="573">
        <v>26.38</v>
      </c>
      <c r="O2190" s="556" t="str">
        <f>IF(N2190=M2190,"OK","DIF")</f>
        <v>DIF</v>
      </c>
      <c r="P2190" s="573"/>
      <c r="Q2190" s="556"/>
      <c r="R2190" s="582"/>
    </row>
    <row r="2191" ht="25.5" spans="1:18">
      <c r="A2191" s="556" t="str">
        <f>B2191</f>
        <v>Composição Auxiliar</v>
      </c>
      <c r="B2191" s="557" t="str">
        <f>B2190</f>
        <v>Composição Auxiliar</v>
      </c>
      <c r="C2191" s="108"/>
      <c r="D2191" s="108"/>
      <c r="E2191" s="108"/>
      <c r="F2191" s="108"/>
      <c r="G2191" s="108"/>
      <c r="H2191" s="108" t="s">
        <v>2898</v>
      </c>
      <c r="I2191" s="581">
        <v>74.67</v>
      </c>
      <c r="J2191" s="108" t="s">
        <v>2899</v>
      </c>
      <c r="K2191" s="581">
        <v>0</v>
      </c>
      <c r="L2191" s="108" t="s">
        <v>2900</v>
      </c>
      <c r="M2191" s="581">
        <v>74.67</v>
      </c>
      <c r="N2191" s="573">
        <v>445.77</v>
      </c>
      <c r="O2191" s="556" t="str">
        <f>IF(N2191=M2191,"OK","DIF")</f>
        <v>DIF</v>
      </c>
      <c r="P2191" s="573"/>
      <c r="Q2191" s="556"/>
      <c r="R2191" s="582"/>
    </row>
    <row r="2192" ht="26.25" spans="1:18">
      <c r="A2192" s="556" t="str">
        <f>B2192</f>
        <v>Composição Auxiliar</v>
      </c>
      <c r="B2192" s="557" t="str">
        <f>B2191</f>
        <v>Composição Auxiliar</v>
      </c>
      <c r="C2192" s="108"/>
      <c r="D2192" s="108"/>
      <c r="E2192" s="108"/>
      <c r="F2192" s="108"/>
      <c r="G2192" s="108"/>
      <c r="H2192" s="108" t="s">
        <v>2901</v>
      </c>
      <c r="I2192" s="581">
        <v>43.47</v>
      </c>
      <c r="J2192" s="114"/>
      <c r="K2192" s="114" t="s">
        <v>2902</v>
      </c>
      <c r="L2192" s="108"/>
      <c r="M2192" s="581">
        <v>214.03</v>
      </c>
      <c r="N2192" s="573">
        <v>14.39</v>
      </c>
      <c r="O2192" s="556" t="str">
        <f>IF(N2192=M2192,"OK","DIF")</f>
        <v>DIF</v>
      </c>
      <c r="P2192" s="573"/>
      <c r="Q2192" s="556"/>
      <c r="R2192" s="582"/>
    </row>
    <row r="2193" ht="15" spans="1:18">
      <c r="A2193" s="556"/>
      <c r="B2193" s="557"/>
      <c r="C2193" s="571"/>
      <c r="D2193" s="571"/>
      <c r="E2193" s="571"/>
      <c r="F2193" s="571"/>
      <c r="G2193" s="571"/>
      <c r="H2193" s="571"/>
      <c r="I2193" s="571"/>
      <c r="J2193" s="571"/>
      <c r="K2193" s="571"/>
      <c r="L2193" s="571"/>
      <c r="M2193" s="571"/>
      <c r="N2193" s="573"/>
      <c r="O2193" s="556"/>
      <c r="P2193" s="573"/>
      <c r="Q2193" s="556"/>
      <c r="R2193" s="582"/>
    </row>
    <row r="2194" ht="15" customHeight="1" spans="1:18">
      <c r="A2194" s="556"/>
      <c r="B2194" s="557"/>
      <c r="C2194" s="76" t="s">
        <v>767</v>
      </c>
      <c r="D2194" s="75" t="s">
        <v>63</v>
      </c>
      <c r="E2194" s="76" t="s">
        <v>64</v>
      </c>
      <c r="F2194" s="76" t="s">
        <v>65</v>
      </c>
      <c r="G2194" s="76" t="s">
        <v>2889</v>
      </c>
      <c r="H2194" s="76"/>
      <c r="I2194" s="77" t="s">
        <v>66</v>
      </c>
      <c r="J2194" s="75" t="s">
        <v>67</v>
      </c>
      <c r="K2194" s="75" t="s">
        <v>2890</v>
      </c>
      <c r="L2194" s="75" t="s">
        <v>68</v>
      </c>
      <c r="M2194" s="75" t="s">
        <v>70</v>
      </c>
      <c r="N2194" s="573"/>
      <c r="O2194" s="556"/>
      <c r="P2194" s="573"/>
      <c r="Q2194" s="556"/>
      <c r="R2194" s="582"/>
    </row>
    <row r="2195" ht="35.05" customHeight="1" spans="1:18">
      <c r="A2195" s="556"/>
      <c r="B2195" s="557"/>
      <c r="C2195" s="569" t="s">
        <v>2891</v>
      </c>
      <c r="D2195" s="570" t="s">
        <v>768</v>
      </c>
      <c r="E2195" s="569" t="s">
        <v>139</v>
      </c>
      <c r="F2195" s="569" t="s">
        <v>769</v>
      </c>
      <c r="G2195" s="569" t="s">
        <v>3642</v>
      </c>
      <c r="H2195" s="569"/>
      <c r="I2195" s="577" t="s">
        <v>134</v>
      </c>
      <c r="J2195" s="578">
        <v>1</v>
      </c>
      <c r="K2195" s="579"/>
      <c r="L2195" s="579">
        <v>24.29</v>
      </c>
      <c r="M2195" s="579">
        <v>24.29</v>
      </c>
      <c r="N2195" s="573"/>
      <c r="O2195" s="556"/>
      <c r="P2195" s="573"/>
      <c r="Q2195" s="556"/>
      <c r="R2195" s="582"/>
    </row>
    <row r="2196" ht="23.85" customHeight="1" spans="1:18">
      <c r="A2196" s="556"/>
      <c r="B2196" s="557" t="str">
        <f>C2195</f>
        <v>Composição</v>
      </c>
      <c r="C2196" s="79" t="s">
        <v>2921</v>
      </c>
      <c r="D2196" s="78" t="s">
        <v>3146</v>
      </c>
      <c r="E2196" s="79" t="s">
        <v>139</v>
      </c>
      <c r="F2196" s="79" t="s">
        <v>3147</v>
      </c>
      <c r="G2196" s="79" t="s">
        <v>2928</v>
      </c>
      <c r="H2196" s="79"/>
      <c r="I2196" s="80" t="s">
        <v>2897</v>
      </c>
      <c r="J2196" s="583">
        <v>0.259</v>
      </c>
      <c r="K2196" s="583">
        <v>0</v>
      </c>
      <c r="L2196" s="92">
        <v>29.54</v>
      </c>
      <c r="M2196" s="92">
        <v>7.65</v>
      </c>
      <c r="N2196" s="573">
        <v>70.78</v>
      </c>
      <c r="O2196" s="556" t="str">
        <f>IF(N2196=M2196,"OK","DIF")</f>
        <v>DIF</v>
      </c>
      <c r="P2196" s="573"/>
      <c r="Q2196" s="556"/>
      <c r="R2196" s="582"/>
    </row>
    <row r="2197" ht="23.85" customHeight="1" spans="1:18">
      <c r="A2197" s="556" t="str">
        <f>B2197</f>
        <v>Composição</v>
      </c>
      <c r="B2197" s="557" t="str">
        <f>B2196</f>
        <v>Composição</v>
      </c>
      <c r="C2197" s="79" t="s">
        <v>2921</v>
      </c>
      <c r="D2197" s="78" t="s">
        <v>3144</v>
      </c>
      <c r="E2197" s="79" t="s">
        <v>139</v>
      </c>
      <c r="F2197" s="79" t="s">
        <v>3145</v>
      </c>
      <c r="G2197" s="79" t="s">
        <v>2928</v>
      </c>
      <c r="H2197" s="79"/>
      <c r="I2197" s="80" t="s">
        <v>2897</v>
      </c>
      <c r="J2197" s="583">
        <v>0.259</v>
      </c>
      <c r="K2197" s="583">
        <v>0</v>
      </c>
      <c r="L2197" s="92">
        <v>35.55</v>
      </c>
      <c r="M2197" s="92">
        <v>9.2</v>
      </c>
      <c r="N2197" s="573">
        <v>1.84</v>
      </c>
      <c r="O2197" s="556" t="str">
        <f>IF(N2197=M2197,"OK","DIF")</f>
        <v>DIF</v>
      </c>
      <c r="P2197" s="573"/>
      <c r="Q2197" s="556"/>
      <c r="R2197" s="582"/>
    </row>
    <row r="2198" ht="15" customHeight="1" spans="1:18">
      <c r="A2198" s="556" t="str">
        <f>B2198</f>
        <v>Composição</v>
      </c>
      <c r="B2198" s="557" t="str">
        <f>B2197</f>
        <v>Composição</v>
      </c>
      <c r="C2198" s="100" t="s">
        <v>2893</v>
      </c>
      <c r="D2198" s="99" t="s">
        <v>3473</v>
      </c>
      <c r="E2198" s="100" t="s">
        <v>139</v>
      </c>
      <c r="F2198" s="100" t="s">
        <v>3474</v>
      </c>
      <c r="G2198" s="100" t="s">
        <v>2961</v>
      </c>
      <c r="H2198" s="100"/>
      <c r="I2198" s="101" t="s">
        <v>3084</v>
      </c>
      <c r="J2198" s="580">
        <v>0.002</v>
      </c>
      <c r="K2198" s="580">
        <v>0</v>
      </c>
      <c r="L2198" s="102">
        <v>55.41</v>
      </c>
      <c r="M2198" s="102">
        <v>0.11</v>
      </c>
      <c r="N2198" s="573">
        <v>4.48</v>
      </c>
      <c r="O2198" s="556" t="str">
        <f>IF(N2198=M2198,"OK","DIF")</f>
        <v>DIF</v>
      </c>
      <c r="P2198" s="573"/>
      <c r="Q2198" s="556"/>
      <c r="R2198" s="582"/>
    </row>
    <row r="2199" ht="15" customHeight="1" spans="1:18">
      <c r="A2199" s="556" t="str">
        <f>B2199</f>
        <v>Composição</v>
      </c>
      <c r="B2199" s="557" t="str">
        <f>B2198</f>
        <v>Composição</v>
      </c>
      <c r="C2199" s="100" t="s">
        <v>2893</v>
      </c>
      <c r="D2199" s="99" t="s">
        <v>3643</v>
      </c>
      <c r="E2199" s="100" t="s">
        <v>139</v>
      </c>
      <c r="F2199" s="100" t="s">
        <v>3644</v>
      </c>
      <c r="G2199" s="100" t="s">
        <v>2961</v>
      </c>
      <c r="H2199" s="100"/>
      <c r="I2199" s="101" t="s">
        <v>134</v>
      </c>
      <c r="J2199" s="580">
        <v>0.008</v>
      </c>
      <c r="K2199" s="580">
        <v>0</v>
      </c>
      <c r="L2199" s="102">
        <v>13.46</v>
      </c>
      <c r="M2199" s="102">
        <v>0.1</v>
      </c>
      <c r="N2199" s="573">
        <v>61.22</v>
      </c>
      <c r="O2199" s="556" t="str">
        <f>IF(N2199=M2199,"OK","DIF")</f>
        <v>DIF</v>
      </c>
      <c r="P2199" s="573"/>
      <c r="Q2199" s="556"/>
      <c r="R2199" s="582"/>
    </row>
    <row r="2200" ht="23.85" customHeight="1" spans="1:18">
      <c r="A2200" s="556" t="str">
        <f>B2200</f>
        <v>Composição</v>
      </c>
      <c r="B2200" s="557" t="str">
        <f>B2199</f>
        <v>Composição</v>
      </c>
      <c r="C2200" s="100" t="s">
        <v>2893</v>
      </c>
      <c r="D2200" s="99" t="s">
        <v>3645</v>
      </c>
      <c r="E2200" s="100" t="s">
        <v>139</v>
      </c>
      <c r="F2200" s="100" t="s">
        <v>3646</v>
      </c>
      <c r="G2200" s="100" t="s">
        <v>2961</v>
      </c>
      <c r="H2200" s="100"/>
      <c r="I2200" s="101" t="s">
        <v>134</v>
      </c>
      <c r="J2200" s="580">
        <v>1</v>
      </c>
      <c r="K2200" s="580">
        <v>0</v>
      </c>
      <c r="L2200" s="102">
        <v>7.23</v>
      </c>
      <c r="M2200" s="102">
        <v>7.23</v>
      </c>
      <c r="N2200" s="573">
        <v>3.24</v>
      </c>
      <c r="O2200" s="556" t="str">
        <f>IF(N2200=M2200,"OK","DIF")</f>
        <v>DIF</v>
      </c>
      <c r="P2200" s="573"/>
      <c r="Q2200" s="556"/>
      <c r="R2200" s="582"/>
    </row>
    <row r="2201" ht="25.5" spans="1:18">
      <c r="A2201" s="556"/>
      <c r="B2201" s="557"/>
      <c r="C2201" s="108"/>
      <c r="D2201" s="108"/>
      <c r="E2201" s="108"/>
      <c r="F2201" s="108"/>
      <c r="G2201" s="108"/>
      <c r="H2201" s="108" t="s">
        <v>2898</v>
      </c>
      <c r="I2201" s="581">
        <v>12</v>
      </c>
      <c r="J2201" s="108" t="s">
        <v>2899</v>
      </c>
      <c r="K2201" s="581">
        <v>0</v>
      </c>
      <c r="L2201" s="108" t="s">
        <v>2900</v>
      </c>
      <c r="M2201" s="581">
        <v>12</v>
      </c>
      <c r="N2201" s="573"/>
      <c r="O2201" s="556"/>
      <c r="P2201" s="573"/>
      <c r="Q2201" s="556"/>
      <c r="R2201" s="582"/>
    </row>
    <row r="2202" ht="26.25" spans="1:18">
      <c r="A2202" s="556"/>
      <c r="B2202" s="557"/>
      <c r="C2202" s="108"/>
      <c r="D2202" s="108"/>
      <c r="E2202" s="108"/>
      <c r="F2202" s="108"/>
      <c r="G2202" s="108"/>
      <c r="H2202" s="108" t="s">
        <v>2901</v>
      </c>
      <c r="I2202" s="581">
        <v>6.19</v>
      </c>
      <c r="J2202" s="114"/>
      <c r="K2202" s="114" t="s">
        <v>2902</v>
      </c>
      <c r="L2202" s="108"/>
      <c r="M2202" s="581">
        <v>30.48</v>
      </c>
      <c r="N2202" s="573"/>
      <c r="O2202" s="556"/>
      <c r="P2202" s="573"/>
      <c r="Q2202" s="556"/>
      <c r="R2202" s="582"/>
    </row>
    <row r="2203" ht="15" spans="1:18">
      <c r="A2203" s="556"/>
      <c r="B2203" s="557">
        <f>C2202</f>
        <v>0</v>
      </c>
      <c r="C2203" s="571"/>
      <c r="D2203" s="571"/>
      <c r="E2203" s="571"/>
      <c r="F2203" s="571"/>
      <c r="G2203" s="571"/>
      <c r="H2203" s="571"/>
      <c r="I2203" s="571"/>
      <c r="J2203" s="571"/>
      <c r="K2203" s="571"/>
      <c r="L2203" s="571"/>
      <c r="M2203" s="571"/>
      <c r="N2203" s="573">
        <v>96.43</v>
      </c>
      <c r="O2203" s="556" t="str">
        <f>IF(N2203=M2203,"OK","DIF")</f>
        <v>DIF</v>
      </c>
      <c r="P2203" s="573"/>
      <c r="Q2203" s="556"/>
      <c r="R2203" s="582"/>
    </row>
    <row r="2204" ht="15" customHeight="1" spans="1:18">
      <c r="A2204" s="556">
        <f>B2204</f>
        <v>0</v>
      </c>
      <c r="B2204" s="557">
        <f>B2203</f>
        <v>0</v>
      </c>
      <c r="C2204" s="76" t="s">
        <v>770</v>
      </c>
      <c r="D2204" s="75" t="s">
        <v>63</v>
      </c>
      <c r="E2204" s="76" t="s">
        <v>64</v>
      </c>
      <c r="F2204" s="76" t="s">
        <v>65</v>
      </c>
      <c r="G2204" s="76" t="s">
        <v>2889</v>
      </c>
      <c r="H2204" s="76"/>
      <c r="I2204" s="77" t="s">
        <v>66</v>
      </c>
      <c r="J2204" s="75" t="s">
        <v>67</v>
      </c>
      <c r="K2204" s="75" t="s">
        <v>2890</v>
      </c>
      <c r="L2204" s="75" t="s">
        <v>68</v>
      </c>
      <c r="M2204" s="75" t="s">
        <v>70</v>
      </c>
      <c r="N2204" s="573">
        <v>4.48</v>
      </c>
      <c r="O2204" s="556" t="str">
        <f>IF(N2204=M2204,"OK","DIF")</f>
        <v>DIF</v>
      </c>
      <c r="P2204" s="573"/>
      <c r="Q2204" s="556"/>
      <c r="R2204" s="582"/>
    </row>
    <row r="2205" ht="35.05" customHeight="1" spans="1:18">
      <c r="A2205" s="556">
        <f>B2205</f>
        <v>0</v>
      </c>
      <c r="B2205" s="557">
        <f>B2204</f>
        <v>0</v>
      </c>
      <c r="C2205" s="569" t="s">
        <v>2891</v>
      </c>
      <c r="D2205" s="570" t="s">
        <v>771</v>
      </c>
      <c r="E2205" s="569" t="s">
        <v>139</v>
      </c>
      <c r="F2205" s="569" t="s">
        <v>772</v>
      </c>
      <c r="G2205" s="569" t="s">
        <v>3642</v>
      </c>
      <c r="H2205" s="569"/>
      <c r="I2205" s="577" t="s">
        <v>134</v>
      </c>
      <c r="J2205" s="578">
        <v>1</v>
      </c>
      <c r="K2205" s="579"/>
      <c r="L2205" s="579">
        <v>91.15</v>
      </c>
      <c r="M2205" s="579">
        <v>91.15</v>
      </c>
      <c r="N2205" s="573">
        <v>1.68</v>
      </c>
      <c r="O2205" s="556" t="str">
        <f>IF(N2205=M2205,"OK","DIF")</f>
        <v>DIF</v>
      </c>
      <c r="P2205" s="573"/>
      <c r="Q2205" s="556"/>
      <c r="R2205" s="582"/>
    </row>
    <row r="2206" ht="23.85" customHeight="1" spans="1:18">
      <c r="A2206" s="556">
        <f>B2206</f>
        <v>0</v>
      </c>
      <c r="B2206" s="557">
        <f>B2205</f>
        <v>0</v>
      </c>
      <c r="C2206" s="79" t="s">
        <v>2921</v>
      </c>
      <c r="D2206" s="78" t="s">
        <v>3146</v>
      </c>
      <c r="E2206" s="79" t="s">
        <v>139</v>
      </c>
      <c r="F2206" s="79" t="s">
        <v>3147</v>
      </c>
      <c r="G2206" s="79" t="s">
        <v>2928</v>
      </c>
      <c r="H2206" s="79"/>
      <c r="I2206" s="80" t="s">
        <v>2897</v>
      </c>
      <c r="J2206" s="583">
        <v>0.873</v>
      </c>
      <c r="K2206" s="583">
        <v>0</v>
      </c>
      <c r="L2206" s="92">
        <v>29.54</v>
      </c>
      <c r="M2206" s="92">
        <v>25.78</v>
      </c>
      <c r="N2206" s="573">
        <v>87.03</v>
      </c>
      <c r="O2206" s="556" t="str">
        <f>IF(N2206=M2206,"OK","DIF")</f>
        <v>DIF</v>
      </c>
      <c r="P2206" s="573"/>
      <c r="Q2206" s="556"/>
      <c r="R2206" s="582"/>
    </row>
    <row r="2207" ht="23.85" customHeight="1" spans="1:18">
      <c r="A2207" s="556">
        <f>B2207</f>
        <v>0</v>
      </c>
      <c r="B2207" s="557">
        <f>B2206</f>
        <v>0</v>
      </c>
      <c r="C2207" s="79" t="s">
        <v>2921</v>
      </c>
      <c r="D2207" s="78" t="s">
        <v>3144</v>
      </c>
      <c r="E2207" s="79" t="s">
        <v>139</v>
      </c>
      <c r="F2207" s="79" t="s">
        <v>3145</v>
      </c>
      <c r="G2207" s="79" t="s">
        <v>2928</v>
      </c>
      <c r="H2207" s="79"/>
      <c r="I2207" s="80" t="s">
        <v>2897</v>
      </c>
      <c r="J2207" s="583">
        <v>0.873</v>
      </c>
      <c r="K2207" s="583">
        <v>0</v>
      </c>
      <c r="L2207" s="92">
        <v>35.55</v>
      </c>
      <c r="M2207" s="92">
        <v>31.03</v>
      </c>
      <c r="N2207" s="573">
        <v>3.24</v>
      </c>
      <c r="O2207" s="556" t="str">
        <f>IF(N2207=M2207,"OK","DIF")</f>
        <v>DIF</v>
      </c>
      <c r="P2207" s="573"/>
      <c r="Q2207" s="556"/>
      <c r="R2207" s="582"/>
    </row>
    <row r="2208" ht="23.85" customHeight="1" spans="1:18">
      <c r="A2208" s="556"/>
      <c r="B2208" s="557"/>
      <c r="C2208" s="100" t="s">
        <v>2893</v>
      </c>
      <c r="D2208" s="99" t="s">
        <v>3647</v>
      </c>
      <c r="E2208" s="100" t="s">
        <v>139</v>
      </c>
      <c r="F2208" s="100" t="s">
        <v>3648</v>
      </c>
      <c r="G2208" s="100" t="s">
        <v>2961</v>
      </c>
      <c r="H2208" s="100"/>
      <c r="I2208" s="101" t="s">
        <v>134</v>
      </c>
      <c r="J2208" s="580">
        <v>1</v>
      </c>
      <c r="K2208" s="580">
        <v>0</v>
      </c>
      <c r="L2208" s="102">
        <v>33.9</v>
      </c>
      <c r="M2208" s="102">
        <v>33.9</v>
      </c>
      <c r="N2208" s="573"/>
      <c r="O2208" s="556"/>
      <c r="P2208" s="573"/>
      <c r="Q2208" s="556"/>
      <c r="R2208" s="582"/>
    </row>
    <row r="2209" ht="15" customHeight="1" spans="1:18">
      <c r="A2209" s="556"/>
      <c r="B2209" s="557"/>
      <c r="C2209" s="100" t="s">
        <v>2893</v>
      </c>
      <c r="D2209" s="99" t="s">
        <v>3473</v>
      </c>
      <c r="E2209" s="100" t="s">
        <v>139</v>
      </c>
      <c r="F2209" s="100" t="s">
        <v>3474</v>
      </c>
      <c r="G2209" s="100" t="s">
        <v>2961</v>
      </c>
      <c r="H2209" s="100"/>
      <c r="I2209" s="101" t="s">
        <v>3084</v>
      </c>
      <c r="J2209" s="580">
        <v>0.004</v>
      </c>
      <c r="K2209" s="580">
        <v>0</v>
      </c>
      <c r="L2209" s="102">
        <v>55.41</v>
      </c>
      <c r="M2209" s="102">
        <v>0.22</v>
      </c>
      <c r="N2209" s="573"/>
      <c r="O2209" s="556"/>
      <c r="P2209" s="573"/>
      <c r="Q2209" s="556"/>
      <c r="R2209" s="582"/>
    </row>
    <row r="2210" ht="15" customHeight="1" spans="1:18">
      <c r="A2210" s="556"/>
      <c r="B2210" s="557" t="str">
        <f>C2209</f>
        <v>Insumo</v>
      </c>
      <c r="C2210" s="100" t="s">
        <v>2893</v>
      </c>
      <c r="D2210" s="99" t="s">
        <v>3643</v>
      </c>
      <c r="E2210" s="100" t="s">
        <v>139</v>
      </c>
      <c r="F2210" s="100" t="s">
        <v>3644</v>
      </c>
      <c r="G2210" s="100" t="s">
        <v>2961</v>
      </c>
      <c r="H2210" s="100"/>
      <c r="I2210" s="101" t="s">
        <v>134</v>
      </c>
      <c r="J2210" s="580">
        <v>0.017</v>
      </c>
      <c r="K2210" s="580">
        <v>0</v>
      </c>
      <c r="L2210" s="102">
        <v>13.46</v>
      </c>
      <c r="M2210" s="102">
        <v>0.22</v>
      </c>
      <c r="N2210" s="573">
        <v>162.66</v>
      </c>
      <c r="O2210" s="556" t="str">
        <f>IF(N2210=M2210,"OK","DIF")</f>
        <v>DIF</v>
      </c>
      <c r="P2210" s="573"/>
      <c r="Q2210" s="556"/>
      <c r="R2210" s="582"/>
    </row>
    <row r="2211" ht="25.5" spans="1:18">
      <c r="A2211" s="556" t="str">
        <f>B2211</f>
        <v>Insumo</v>
      </c>
      <c r="B2211" s="557" t="str">
        <f>B2210</f>
        <v>Insumo</v>
      </c>
      <c r="C2211" s="108"/>
      <c r="D2211" s="108"/>
      <c r="E2211" s="108"/>
      <c r="F2211" s="108"/>
      <c r="G2211" s="108"/>
      <c r="H2211" s="108" t="s">
        <v>2898</v>
      </c>
      <c r="I2211" s="581">
        <v>40.45</v>
      </c>
      <c r="J2211" s="108" t="s">
        <v>2899</v>
      </c>
      <c r="K2211" s="581">
        <v>0</v>
      </c>
      <c r="L2211" s="108" t="s">
        <v>2900</v>
      </c>
      <c r="M2211" s="581">
        <v>40.45</v>
      </c>
      <c r="N2211" s="573">
        <v>4.67</v>
      </c>
      <c r="O2211" s="556" t="str">
        <f>IF(N2211=M2211,"OK","DIF")</f>
        <v>DIF</v>
      </c>
      <c r="P2211" s="573"/>
      <c r="Q2211" s="556"/>
      <c r="R2211" s="582"/>
    </row>
    <row r="2212" ht="26.25" spans="1:18">
      <c r="A2212" s="556" t="str">
        <f>B2212</f>
        <v>Insumo</v>
      </c>
      <c r="B2212" s="557" t="str">
        <f>B2211</f>
        <v>Insumo</v>
      </c>
      <c r="C2212" s="108"/>
      <c r="D2212" s="108"/>
      <c r="E2212" s="108"/>
      <c r="F2212" s="108"/>
      <c r="G2212" s="108"/>
      <c r="H2212" s="108" t="s">
        <v>2901</v>
      </c>
      <c r="I2212" s="581">
        <v>23.23</v>
      </c>
      <c r="J2212" s="114"/>
      <c r="K2212" s="114" t="s">
        <v>2902</v>
      </c>
      <c r="L2212" s="108"/>
      <c r="M2212" s="581">
        <v>114.38</v>
      </c>
      <c r="N2212" s="573">
        <v>5.83</v>
      </c>
      <c r="O2212" s="556" t="str">
        <f>IF(N2212=M2212,"OK","DIF")</f>
        <v>DIF</v>
      </c>
      <c r="P2212" s="573"/>
      <c r="Q2212" s="556"/>
      <c r="R2212" s="582"/>
    </row>
    <row r="2213" ht="15" spans="1:18">
      <c r="A2213" s="556" t="str">
        <f>B2213</f>
        <v>Insumo</v>
      </c>
      <c r="B2213" s="557" t="str">
        <f>B2212</f>
        <v>Insumo</v>
      </c>
      <c r="C2213" s="571"/>
      <c r="D2213" s="571"/>
      <c r="E2213" s="571"/>
      <c r="F2213" s="571"/>
      <c r="G2213" s="571"/>
      <c r="H2213" s="571"/>
      <c r="I2213" s="571"/>
      <c r="J2213" s="571"/>
      <c r="K2213" s="571"/>
      <c r="L2213" s="571"/>
      <c r="M2213" s="571"/>
      <c r="N2213" s="573">
        <v>150.48</v>
      </c>
      <c r="O2213" s="556" t="str">
        <f>IF(N2213=M2213,"OK","DIF")</f>
        <v>DIF</v>
      </c>
      <c r="P2213" s="573"/>
      <c r="Q2213" s="556"/>
      <c r="R2213" s="582"/>
    </row>
    <row r="2214" ht="15" customHeight="1" spans="1:18">
      <c r="A2214" s="556" t="str">
        <f>B2214</f>
        <v>Insumo</v>
      </c>
      <c r="B2214" s="557" t="str">
        <f>B2213</f>
        <v>Insumo</v>
      </c>
      <c r="C2214" s="76" t="s">
        <v>773</v>
      </c>
      <c r="D2214" s="75" t="s">
        <v>63</v>
      </c>
      <c r="E2214" s="76" t="s">
        <v>64</v>
      </c>
      <c r="F2214" s="76" t="s">
        <v>65</v>
      </c>
      <c r="G2214" s="76" t="s">
        <v>2889</v>
      </c>
      <c r="H2214" s="76"/>
      <c r="I2214" s="77" t="s">
        <v>66</v>
      </c>
      <c r="J2214" s="75" t="s">
        <v>67</v>
      </c>
      <c r="K2214" s="75" t="s">
        <v>2890</v>
      </c>
      <c r="L2214" s="75" t="s">
        <v>68</v>
      </c>
      <c r="M2214" s="75" t="s">
        <v>70</v>
      </c>
      <c r="N2214" s="573">
        <v>1.68</v>
      </c>
      <c r="O2214" s="556" t="str">
        <f>IF(N2214=M2214,"OK","DIF")</f>
        <v>DIF</v>
      </c>
      <c r="P2214" s="573"/>
      <c r="Q2214" s="556"/>
      <c r="R2214" s="582"/>
    </row>
    <row r="2215" ht="35.05" customHeight="1" spans="1:18">
      <c r="A2215" s="556"/>
      <c r="B2215" s="557"/>
      <c r="C2215" s="569" t="s">
        <v>2891</v>
      </c>
      <c r="D2215" s="570" t="s">
        <v>774</v>
      </c>
      <c r="E2215" s="569" t="s">
        <v>139</v>
      </c>
      <c r="F2215" s="569" t="s">
        <v>775</v>
      </c>
      <c r="G2215" s="569" t="s">
        <v>3642</v>
      </c>
      <c r="H2215" s="569"/>
      <c r="I2215" s="577" t="s">
        <v>134</v>
      </c>
      <c r="J2215" s="578">
        <v>1</v>
      </c>
      <c r="K2215" s="579"/>
      <c r="L2215" s="579">
        <v>115.46</v>
      </c>
      <c r="M2215" s="579">
        <v>115.46</v>
      </c>
      <c r="N2215" s="573"/>
      <c r="O2215" s="556"/>
      <c r="P2215" s="573"/>
      <c r="Q2215" s="556"/>
      <c r="R2215" s="582"/>
    </row>
    <row r="2216" ht="23.85" customHeight="1" spans="1:18">
      <c r="A2216" s="556"/>
      <c r="B2216" s="557"/>
      <c r="C2216" s="79" t="s">
        <v>2921</v>
      </c>
      <c r="D2216" s="78" t="s">
        <v>3146</v>
      </c>
      <c r="E2216" s="79" t="s">
        <v>139</v>
      </c>
      <c r="F2216" s="79" t="s">
        <v>3147</v>
      </c>
      <c r="G2216" s="79" t="s">
        <v>2928</v>
      </c>
      <c r="H2216" s="79"/>
      <c r="I2216" s="80" t="s">
        <v>2897</v>
      </c>
      <c r="J2216" s="583">
        <v>0.965</v>
      </c>
      <c r="K2216" s="583">
        <v>0</v>
      </c>
      <c r="L2216" s="92">
        <v>29.54</v>
      </c>
      <c r="M2216" s="92">
        <v>28.5</v>
      </c>
      <c r="N2216" s="573"/>
      <c r="O2216" s="556"/>
      <c r="P2216" s="573"/>
      <c r="Q2216" s="556"/>
      <c r="R2216" s="582"/>
    </row>
    <row r="2217" ht="23.85" customHeight="1" spans="1:18">
      <c r="A2217" s="556"/>
      <c r="B2217" s="557" t="str">
        <f>C2216</f>
        <v>Composição Auxiliar</v>
      </c>
      <c r="C2217" s="79" t="s">
        <v>2921</v>
      </c>
      <c r="D2217" s="78" t="s">
        <v>3144</v>
      </c>
      <c r="E2217" s="79" t="s">
        <v>139</v>
      </c>
      <c r="F2217" s="79" t="s">
        <v>3145</v>
      </c>
      <c r="G2217" s="79" t="s">
        <v>2928</v>
      </c>
      <c r="H2217" s="79"/>
      <c r="I2217" s="80" t="s">
        <v>2897</v>
      </c>
      <c r="J2217" s="583">
        <v>0.965</v>
      </c>
      <c r="K2217" s="583">
        <v>0</v>
      </c>
      <c r="L2217" s="92">
        <v>35.55</v>
      </c>
      <c r="M2217" s="92">
        <v>34.3</v>
      </c>
      <c r="N2217" s="573">
        <v>235.99</v>
      </c>
      <c r="O2217" s="556" t="str">
        <f>IF(N2217=M2217,"OK","DIF")</f>
        <v>DIF</v>
      </c>
      <c r="P2217" s="573"/>
      <c r="Q2217" s="556"/>
      <c r="R2217" s="582"/>
    </row>
    <row r="2218" ht="15" customHeight="1" spans="1:18">
      <c r="A2218" s="556" t="str">
        <f>B2218</f>
        <v>Composição Auxiliar</v>
      </c>
      <c r="B2218" s="557" t="str">
        <f>B2217</f>
        <v>Composição Auxiliar</v>
      </c>
      <c r="C2218" s="100" t="s">
        <v>2893</v>
      </c>
      <c r="D2218" s="99" t="s">
        <v>3473</v>
      </c>
      <c r="E2218" s="100" t="s">
        <v>139</v>
      </c>
      <c r="F2218" s="100" t="s">
        <v>3474</v>
      </c>
      <c r="G2218" s="100" t="s">
        <v>2961</v>
      </c>
      <c r="H2218" s="100"/>
      <c r="I2218" s="101" t="s">
        <v>3084</v>
      </c>
      <c r="J2218" s="580">
        <v>0.006</v>
      </c>
      <c r="K2218" s="580">
        <v>0</v>
      </c>
      <c r="L2218" s="102">
        <v>55.41</v>
      </c>
      <c r="M2218" s="102">
        <v>0.33</v>
      </c>
      <c r="N2218" s="573">
        <v>4.67</v>
      </c>
      <c r="O2218" s="556" t="str">
        <f>IF(N2218=M2218,"OK","DIF")</f>
        <v>DIF</v>
      </c>
      <c r="P2218" s="573"/>
      <c r="Q2218" s="556"/>
      <c r="R2218" s="582"/>
    </row>
    <row r="2219" ht="15" customHeight="1" spans="1:18">
      <c r="A2219" s="556" t="str">
        <f>B2219</f>
        <v>Composição Auxiliar</v>
      </c>
      <c r="B2219" s="557" t="str">
        <f>B2218</f>
        <v>Composição Auxiliar</v>
      </c>
      <c r="C2219" s="100" t="s">
        <v>2893</v>
      </c>
      <c r="D2219" s="99" t="s">
        <v>3643</v>
      </c>
      <c r="E2219" s="100" t="s">
        <v>139</v>
      </c>
      <c r="F2219" s="100" t="s">
        <v>3644</v>
      </c>
      <c r="G2219" s="100" t="s">
        <v>2961</v>
      </c>
      <c r="H2219" s="100"/>
      <c r="I2219" s="101" t="s">
        <v>134</v>
      </c>
      <c r="J2219" s="580">
        <v>0.024</v>
      </c>
      <c r="K2219" s="580">
        <v>0</v>
      </c>
      <c r="L2219" s="102">
        <v>13.46</v>
      </c>
      <c r="M2219" s="102">
        <v>0.32</v>
      </c>
      <c r="N2219" s="573">
        <v>5.83</v>
      </c>
      <c r="O2219" s="556" t="str">
        <f>IF(N2219=M2219,"OK","DIF")</f>
        <v>DIF</v>
      </c>
      <c r="P2219" s="573"/>
      <c r="Q2219" s="556"/>
      <c r="R2219" s="582"/>
    </row>
    <row r="2220" ht="15" customHeight="1" spans="1:18">
      <c r="A2220" s="556" t="str">
        <f>B2220</f>
        <v>Composição Auxiliar</v>
      </c>
      <c r="B2220" s="557" t="str">
        <f>B2219</f>
        <v>Composição Auxiliar</v>
      </c>
      <c r="C2220" s="100" t="s">
        <v>2893</v>
      </c>
      <c r="D2220" s="99" t="s">
        <v>3649</v>
      </c>
      <c r="E2220" s="100" t="s">
        <v>139</v>
      </c>
      <c r="F2220" s="100" t="s">
        <v>3650</v>
      </c>
      <c r="G2220" s="100" t="s">
        <v>2961</v>
      </c>
      <c r="H2220" s="100"/>
      <c r="I2220" s="101" t="s">
        <v>134</v>
      </c>
      <c r="J2220" s="580">
        <v>1</v>
      </c>
      <c r="K2220" s="580">
        <v>0</v>
      </c>
      <c r="L2220" s="102">
        <v>52.01</v>
      </c>
      <c r="M2220" s="102">
        <v>52.01</v>
      </c>
      <c r="N2220" s="573">
        <v>223.81</v>
      </c>
      <c r="O2220" s="556" t="str">
        <f>IF(N2220=M2220,"OK","DIF")</f>
        <v>DIF</v>
      </c>
      <c r="P2220" s="573"/>
      <c r="Q2220" s="556"/>
      <c r="R2220" s="582"/>
    </row>
    <row r="2221" ht="25.5" spans="1:18">
      <c r="A2221" s="556" t="str">
        <f>B2221</f>
        <v>Composição Auxiliar</v>
      </c>
      <c r="B2221" s="557" t="str">
        <f>B2220</f>
        <v>Composição Auxiliar</v>
      </c>
      <c r="C2221" s="108"/>
      <c r="D2221" s="108"/>
      <c r="E2221" s="108"/>
      <c r="F2221" s="108"/>
      <c r="G2221" s="108"/>
      <c r="H2221" s="108" t="s">
        <v>2898</v>
      </c>
      <c r="I2221" s="581">
        <v>44.72</v>
      </c>
      <c r="J2221" s="108" t="s">
        <v>2899</v>
      </c>
      <c r="K2221" s="581">
        <v>0</v>
      </c>
      <c r="L2221" s="108" t="s">
        <v>2900</v>
      </c>
      <c r="M2221" s="581">
        <v>44.72</v>
      </c>
      <c r="N2221" s="573">
        <v>1.68</v>
      </c>
      <c r="O2221" s="556" t="str">
        <f>IF(N2221=M2221,"OK","DIF")</f>
        <v>DIF</v>
      </c>
      <c r="P2221" s="573"/>
      <c r="Q2221" s="556"/>
      <c r="R2221" s="582"/>
    </row>
    <row r="2222" ht="26.25" spans="1:18">
      <c r="A2222" s="556"/>
      <c r="B2222" s="557"/>
      <c r="C2222" s="108"/>
      <c r="D2222" s="108"/>
      <c r="E2222" s="108"/>
      <c r="F2222" s="108"/>
      <c r="G2222" s="108"/>
      <c r="H2222" s="108" t="s">
        <v>2901</v>
      </c>
      <c r="I2222" s="581">
        <v>29.43</v>
      </c>
      <c r="J2222" s="114"/>
      <c r="K2222" s="114" t="s">
        <v>2902</v>
      </c>
      <c r="L2222" s="108"/>
      <c r="M2222" s="581">
        <v>144.89</v>
      </c>
      <c r="N2222" s="573"/>
      <c r="O2222" s="556"/>
      <c r="P2222" s="573"/>
      <c r="Q2222" s="556"/>
      <c r="R2222" s="582"/>
    </row>
    <row r="2223" ht="15" spans="1:18">
      <c r="A2223" s="556"/>
      <c r="B2223" s="557"/>
      <c r="C2223" s="571"/>
      <c r="D2223" s="571"/>
      <c r="E2223" s="571"/>
      <c r="F2223" s="571"/>
      <c r="G2223" s="571"/>
      <c r="H2223" s="571"/>
      <c r="I2223" s="571"/>
      <c r="J2223" s="571"/>
      <c r="K2223" s="571"/>
      <c r="L2223" s="571"/>
      <c r="M2223" s="571"/>
      <c r="N2223" s="573"/>
      <c r="O2223" s="556"/>
      <c r="P2223" s="573"/>
      <c r="Q2223" s="556"/>
      <c r="R2223" s="582"/>
    </row>
    <row r="2224" ht="15" customHeight="1" spans="1:18">
      <c r="A2224" s="556"/>
      <c r="B2224" s="557">
        <f>C2223</f>
        <v>0</v>
      </c>
      <c r="C2224" s="76" t="s">
        <v>776</v>
      </c>
      <c r="D2224" s="75" t="s">
        <v>63</v>
      </c>
      <c r="E2224" s="76" t="s">
        <v>64</v>
      </c>
      <c r="F2224" s="76" t="s">
        <v>65</v>
      </c>
      <c r="G2224" s="76" t="s">
        <v>2889</v>
      </c>
      <c r="H2224" s="76"/>
      <c r="I2224" s="77" t="s">
        <v>66</v>
      </c>
      <c r="J2224" s="75" t="s">
        <v>67</v>
      </c>
      <c r="K2224" s="75" t="s">
        <v>2890</v>
      </c>
      <c r="L2224" s="75" t="s">
        <v>68</v>
      </c>
      <c r="M2224" s="75" t="s">
        <v>70</v>
      </c>
      <c r="N2224" s="573">
        <v>2219.25</v>
      </c>
      <c r="O2224" s="556" t="str">
        <f t="shared" ref="O2224:O2235" si="232">IF(N2224=M2224,"OK","DIF")</f>
        <v>DIF</v>
      </c>
      <c r="P2224" s="573"/>
      <c r="Q2224" s="556"/>
      <c r="R2224" s="582"/>
    </row>
    <row r="2225" ht="35.05" customHeight="1" spans="1:18">
      <c r="A2225" s="556">
        <f t="shared" ref="A2225:A2235" si="233">B2225</f>
        <v>0</v>
      </c>
      <c r="B2225" s="557">
        <f t="shared" ref="B2225:B2235" si="234">B2224</f>
        <v>0</v>
      </c>
      <c r="C2225" s="569" t="s">
        <v>2891</v>
      </c>
      <c r="D2225" s="570" t="s">
        <v>777</v>
      </c>
      <c r="E2225" s="569" t="s">
        <v>139</v>
      </c>
      <c r="F2225" s="569" t="s">
        <v>778</v>
      </c>
      <c r="G2225" s="569" t="s">
        <v>3642</v>
      </c>
      <c r="H2225" s="569"/>
      <c r="I2225" s="577" t="s">
        <v>134</v>
      </c>
      <c r="J2225" s="578">
        <v>1</v>
      </c>
      <c r="K2225" s="579"/>
      <c r="L2225" s="579">
        <v>120.19</v>
      </c>
      <c r="M2225" s="579">
        <v>120.19</v>
      </c>
      <c r="N2225" s="573">
        <v>114.55</v>
      </c>
      <c r="O2225" s="556" t="str">
        <f t="shared" si="232"/>
        <v>DIF</v>
      </c>
      <c r="P2225" s="573"/>
      <c r="Q2225" s="556"/>
      <c r="R2225" s="582"/>
    </row>
    <row r="2226" ht="23.85" customHeight="1" spans="1:18">
      <c r="A2226" s="556">
        <f t="shared" si="233"/>
        <v>0</v>
      </c>
      <c r="B2226" s="557">
        <f t="shared" si="234"/>
        <v>0</v>
      </c>
      <c r="C2226" s="79" t="s">
        <v>2921</v>
      </c>
      <c r="D2226" s="78" t="s">
        <v>3144</v>
      </c>
      <c r="E2226" s="79" t="s">
        <v>139</v>
      </c>
      <c r="F2226" s="79" t="s">
        <v>3145</v>
      </c>
      <c r="G2226" s="79" t="s">
        <v>2928</v>
      </c>
      <c r="H2226" s="79"/>
      <c r="I2226" s="80" t="s">
        <v>2897</v>
      </c>
      <c r="J2226" s="583">
        <v>1.164</v>
      </c>
      <c r="K2226" s="583">
        <v>0</v>
      </c>
      <c r="L2226" s="92">
        <v>35.55</v>
      </c>
      <c r="M2226" s="92">
        <v>41.38</v>
      </c>
      <c r="N2226" s="573">
        <v>8.93</v>
      </c>
      <c r="O2226" s="556" t="str">
        <f t="shared" si="232"/>
        <v>DIF</v>
      </c>
      <c r="P2226" s="573"/>
      <c r="Q2226" s="556"/>
      <c r="R2226" s="582"/>
    </row>
    <row r="2227" ht="23.85" customHeight="1" spans="1:18">
      <c r="A2227" s="556">
        <f t="shared" si="233"/>
        <v>0</v>
      </c>
      <c r="B2227" s="557">
        <f t="shared" si="234"/>
        <v>0</v>
      </c>
      <c r="C2227" s="79" t="s">
        <v>2921</v>
      </c>
      <c r="D2227" s="78" t="s">
        <v>3146</v>
      </c>
      <c r="E2227" s="79" t="s">
        <v>139</v>
      </c>
      <c r="F2227" s="79" t="s">
        <v>3147</v>
      </c>
      <c r="G2227" s="79" t="s">
        <v>2928</v>
      </c>
      <c r="H2227" s="79"/>
      <c r="I2227" s="80" t="s">
        <v>2897</v>
      </c>
      <c r="J2227" s="583">
        <v>1.164</v>
      </c>
      <c r="K2227" s="583">
        <v>0</v>
      </c>
      <c r="L2227" s="92">
        <v>29.54</v>
      </c>
      <c r="M2227" s="92">
        <v>34.38</v>
      </c>
      <c r="N2227" s="573">
        <v>420</v>
      </c>
      <c r="O2227" s="556" t="str">
        <f t="shared" si="232"/>
        <v>DIF</v>
      </c>
      <c r="P2227" s="573"/>
      <c r="Q2227" s="556"/>
      <c r="R2227" s="582"/>
    </row>
    <row r="2228" ht="15" customHeight="1" spans="1:18">
      <c r="A2228" s="556">
        <f t="shared" si="233"/>
        <v>0</v>
      </c>
      <c r="B2228" s="557">
        <f t="shared" si="234"/>
        <v>0</v>
      </c>
      <c r="C2228" s="100" t="s">
        <v>2893</v>
      </c>
      <c r="D2228" s="99" t="s">
        <v>3643</v>
      </c>
      <c r="E2228" s="100" t="s">
        <v>139</v>
      </c>
      <c r="F2228" s="100" t="s">
        <v>3644</v>
      </c>
      <c r="G2228" s="100" t="s">
        <v>2961</v>
      </c>
      <c r="H2228" s="100"/>
      <c r="I2228" s="101" t="s">
        <v>134</v>
      </c>
      <c r="J2228" s="580">
        <v>0.029</v>
      </c>
      <c r="K2228" s="580">
        <v>0</v>
      </c>
      <c r="L2228" s="102">
        <v>13.46</v>
      </c>
      <c r="M2228" s="102">
        <v>0.39</v>
      </c>
      <c r="N2228" s="573">
        <v>80.93</v>
      </c>
      <c r="O2228" s="556" t="str">
        <f t="shared" si="232"/>
        <v>DIF</v>
      </c>
      <c r="P2228" s="573"/>
      <c r="Q2228" s="556"/>
      <c r="R2228" s="582"/>
    </row>
    <row r="2229" ht="15" customHeight="1" spans="1:18">
      <c r="A2229" s="556">
        <f t="shared" si="233"/>
        <v>0</v>
      </c>
      <c r="B2229" s="557">
        <f t="shared" si="234"/>
        <v>0</v>
      </c>
      <c r="C2229" s="100" t="s">
        <v>2893</v>
      </c>
      <c r="D2229" s="99" t="s">
        <v>3473</v>
      </c>
      <c r="E2229" s="100" t="s">
        <v>139</v>
      </c>
      <c r="F2229" s="100" t="s">
        <v>3474</v>
      </c>
      <c r="G2229" s="100" t="s">
        <v>2961</v>
      </c>
      <c r="H2229" s="100"/>
      <c r="I2229" s="101" t="s">
        <v>3084</v>
      </c>
      <c r="J2229" s="580">
        <v>0.007</v>
      </c>
      <c r="K2229" s="580">
        <v>0</v>
      </c>
      <c r="L2229" s="102">
        <v>55.41</v>
      </c>
      <c r="M2229" s="102">
        <v>0.38</v>
      </c>
      <c r="N2229" s="573">
        <v>63.45</v>
      </c>
      <c r="O2229" s="556" t="str">
        <f t="shared" si="232"/>
        <v>DIF</v>
      </c>
      <c r="P2229" s="573"/>
      <c r="Q2229" s="556"/>
      <c r="R2229" s="582"/>
    </row>
    <row r="2230" ht="15" customHeight="1" spans="1:18">
      <c r="A2230" s="556">
        <f t="shared" si="233"/>
        <v>0</v>
      </c>
      <c r="B2230" s="557">
        <f t="shared" si="234"/>
        <v>0</v>
      </c>
      <c r="C2230" s="100" t="s">
        <v>2893</v>
      </c>
      <c r="D2230" s="99" t="s">
        <v>3651</v>
      </c>
      <c r="E2230" s="100" t="s">
        <v>139</v>
      </c>
      <c r="F2230" s="100" t="s">
        <v>3652</v>
      </c>
      <c r="G2230" s="100" t="s">
        <v>2961</v>
      </c>
      <c r="H2230" s="100"/>
      <c r="I2230" s="101" t="s">
        <v>134</v>
      </c>
      <c r="J2230" s="580">
        <v>1</v>
      </c>
      <c r="K2230" s="580">
        <v>0</v>
      </c>
      <c r="L2230" s="102">
        <v>43.66</v>
      </c>
      <c r="M2230" s="102">
        <v>43.66</v>
      </c>
      <c r="N2230" s="573">
        <v>260</v>
      </c>
      <c r="O2230" s="556" t="str">
        <f t="shared" si="232"/>
        <v>DIF</v>
      </c>
      <c r="P2230" s="573"/>
      <c r="Q2230" s="556"/>
      <c r="R2230" s="582"/>
    </row>
    <row r="2231" ht="25.5" spans="1:18">
      <c r="A2231" s="556">
        <f t="shared" si="233"/>
        <v>0</v>
      </c>
      <c r="B2231" s="557">
        <f t="shared" si="234"/>
        <v>0</v>
      </c>
      <c r="C2231" s="108"/>
      <c r="D2231" s="108"/>
      <c r="E2231" s="108"/>
      <c r="F2231" s="108"/>
      <c r="G2231" s="108"/>
      <c r="H2231" s="108" t="s">
        <v>2898</v>
      </c>
      <c r="I2231" s="581">
        <v>53.94</v>
      </c>
      <c r="J2231" s="108" t="s">
        <v>2899</v>
      </c>
      <c r="K2231" s="581">
        <v>0</v>
      </c>
      <c r="L2231" s="108" t="s">
        <v>2900</v>
      </c>
      <c r="M2231" s="581">
        <v>53.94</v>
      </c>
      <c r="N2231" s="573">
        <v>112.92</v>
      </c>
      <c r="O2231" s="556" t="str">
        <f t="shared" si="232"/>
        <v>DIF</v>
      </c>
      <c r="P2231" s="573"/>
      <c r="Q2231" s="556"/>
      <c r="R2231" s="582"/>
    </row>
    <row r="2232" ht="26.25" spans="1:18">
      <c r="A2232" s="556">
        <f t="shared" si="233"/>
        <v>0</v>
      </c>
      <c r="B2232" s="557">
        <f t="shared" si="234"/>
        <v>0</v>
      </c>
      <c r="C2232" s="108"/>
      <c r="D2232" s="108"/>
      <c r="E2232" s="108"/>
      <c r="F2232" s="108"/>
      <c r="G2232" s="108"/>
      <c r="H2232" s="108" t="s">
        <v>2901</v>
      </c>
      <c r="I2232" s="581">
        <v>30.63</v>
      </c>
      <c r="J2232" s="114"/>
      <c r="K2232" s="114" t="s">
        <v>2902</v>
      </c>
      <c r="L2232" s="108"/>
      <c r="M2232" s="581">
        <v>150.82</v>
      </c>
      <c r="N2232" s="573">
        <v>52</v>
      </c>
      <c r="O2232" s="556" t="str">
        <f t="shared" si="232"/>
        <v>DIF</v>
      </c>
      <c r="P2232" s="573"/>
      <c r="Q2232" s="556"/>
      <c r="R2232" s="582"/>
    </row>
    <row r="2233" ht="15" spans="1:18">
      <c r="A2233" s="556">
        <f t="shared" si="233"/>
        <v>0</v>
      </c>
      <c r="B2233" s="557">
        <f t="shared" si="234"/>
        <v>0</v>
      </c>
      <c r="C2233" s="571"/>
      <c r="D2233" s="571"/>
      <c r="E2233" s="571"/>
      <c r="F2233" s="571"/>
      <c r="G2233" s="571"/>
      <c r="H2233" s="571"/>
      <c r="I2233" s="571"/>
      <c r="J2233" s="571"/>
      <c r="K2233" s="571"/>
      <c r="L2233" s="571"/>
      <c r="M2233" s="571"/>
      <c r="N2233" s="573">
        <v>67.54</v>
      </c>
      <c r="O2233" s="556" t="str">
        <f t="shared" si="232"/>
        <v>DIF</v>
      </c>
      <c r="P2233" s="573"/>
      <c r="Q2233" s="556"/>
      <c r="R2233" s="582"/>
    </row>
    <row r="2234" ht="15" customHeight="1" spans="1:18">
      <c r="A2234" s="556">
        <f t="shared" si="233"/>
        <v>0</v>
      </c>
      <c r="B2234" s="557">
        <f t="shared" si="234"/>
        <v>0</v>
      </c>
      <c r="C2234" s="76" t="s">
        <v>779</v>
      </c>
      <c r="D2234" s="75" t="s">
        <v>63</v>
      </c>
      <c r="E2234" s="76" t="s">
        <v>64</v>
      </c>
      <c r="F2234" s="76" t="s">
        <v>65</v>
      </c>
      <c r="G2234" s="76" t="s">
        <v>2889</v>
      </c>
      <c r="H2234" s="76"/>
      <c r="I2234" s="77" t="s">
        <v>66</v>
      </c>
      <c r="J2234" s="75" t="s">
        <v>67</v>
      </c>
      <c r="K2234" s="75" t="s">
        <v>2890</v>
      </c>
      <c r="L2234" s="75" t="s">
        <v>68</v>
      </c>
      <c r="M2234" s="75" t="s">
        <v>70</v>
      </c>
      <c r="N2234" s="573">
        <v>1038.24</v>
      </c>
      <c r="O2234" s="556" t="str">
        <f t="shared" si="232"/>
        <v>DIF</v>
      </c>
      <c r="P2234" s="573"/>
      <c r="Q2234" s="556"/>
      <c r="R2234" s="582"/>
    </row>
    <row r="2235" ht="35.05" customHeight="1" spans="1:18">
      <c r="A2235" s="556">
        <f t="shared" si="233"/>
        <v>0</v>
      </c>
      <c r="B2235" s="557">
        <f t="shared" si="234"/>
        <v>0</v>
      </c>
      <c r="C2235" s="569" t="s">
        <v>2891</v>
      </c>
      <c r="D2235" s="570" t="s">
        <v>780</v>
      </c>
      <c r="E2235" s="569" t="s">
        <v>139</v>
      </c>
      <c r="F2235" s="569" t="s">
        <v>781</v>
      </c>
      <c r="G2235" s="569" t="s">
        <v>3642</v>
      </c>
      <c r="H2235" s="569"/>
      <c r="I2235" s="577" t="s">
        <v>134</v>
      </c>
      <c r="J2235" s="578">
        <v>1</v>
      </c>
      <c r="K2235" s="579"/>
      <c r="L2235" s="579">
        <v>153.88</v>
      </c>
      <c r="M2235" s="579">
        <v>153.88</v>
      </c>
      <c r="N2235" s="573">
        <v>0.69</v>
      </c>
      <c r="O2235" s="556" t="str">
        <f t="shared" si="232"/>
        <v>DIF</v>
      </c>
      <c r="P2235" s="573"/>
      <c r="Q2235" s="556"/>
      <c r="R2235" s="582"/>
    </row>
    <row r="2236" ht="23.85" customHeight="1" spans="1:18">
      <c r="A2236" s="556"/>
      <c r="B2236" s="557"/>
      <c r="C2236" s="79" t="s">
        <v>2921</v>
      </c>
      <c r="D2236" s="78" t="s">
        <v>3144</v>
      </c>
      <c r="E2236" s="79" t="s">
        <v>139</v>
      </c>
      <c r="F2236" s="79" t="s">
        <v>3145</v>
      </c>
      <c r="G2236" s="79" t="s">
        <v>2928</v>
      </c>
      <c r="H2236" s="79"/>
      <c r="I2236" s="80" t="s">
        <v>2897</v>
      </c>
      <c r="J2236" s="583">
        <v>1.287</v>
      </c>
      <c r="K2236" s="583">
        <v>0</v>
      </c>
      <c r="L2236" s="92">
        <v>35.55</v>
      </c>
      <c r="M2236" s="92">
        <v>45.75</v>
      </c>
      <c r="N2236" s="573"/>
      <c r="O2236" s="556"/>
      <c r="P2236" s="573"/>
      <c r="Q2236" s="556"/>
      <c r="R2236" s="582"/>
    </row>
    <row r="2237" ht="23.85" customHeight="1" spans="1:18">
      <c r="A2237" s="556"/>
      <c r="B2237" s="557"/>
      <c r="C2237" s="79" t="s">
        <v>2921</v>
      </c>
      <c r="D2237" s="78" t="s">
        <v>3146</v>
      </c>
      <c r="E2237" s="79" t="s">
        <v>139</v>
      </c>
      <c r="F2237" s="79" t="s">
        <v>3147</v>
      </c>
      <c r="G2237" s="79" t="s">
        <v>2928</v>
      </c>
      <c r="H2237" s="79"/>
      <c r="I2237" s="80" t="s">
        <v>2897</v>
      </c>
      <c r="J2237" s="583">
        <v>1.287</v>
      </c>
      <c r="K2237" s="583">
        <v>0</v>
      </c>
      <c r="L2237" s="92">
        <v>29.54</v>
      </c>
      <c r="M2237" s="92">
        <v>38.01</v>
      </c>
      <c r="N2237" s="573"/>
      <c r="O2237" s="556"/>
      <c r="P2237" s="573"/>
      <c r="Q2237" s="556"/>
      <c r="R2237" s="582"/>
    </row>
    <row r="2238" ht="15" customHeight="1" spans="1:18">
      <c r="A2238" s="556"/>
      <c r="B2238" s="557" t="str">
        <f>C2237</f>
        <v>Composição Auxiliar</v>
      </c>
      <c r="C2238" s="100" t="s">
        <v>2893</v>
      </c>
      <c r="D2238" s="99" t="s">
        <v>3473</v>
      </c>
      <c r="E2238" s="100" t="s">
        <v>139</v>
      </c>
      <c r="F2238" s="100" t="s">
        <v>3474</v>
      </c>
      <c r="G2238" s="100" t="s">
        <v>2961</v>
      </c>
      <c r="H2238" s="100"/>
      <c r="I2238" s="101" t="s">
        <v>3084</v>
      </c>
      <c r="J2238" s="580">
        <v>0.009</v>
      </c>
      <c r="K2238" s="580">
        <v>0</v>
      </c>
      <c r="L2238" s="102">
        <v>55.41</v>
      </c>
      <c r="M2238" s="102">
        <v>0.49</v>
      </c>
      <c r="N2238" s="573">
        <v>712.01</v>
      </c>
      <c r="O2238" s="556" t="str">
        <f>IF(N2238=M2238,"OK","DIF")</f>
        <v>DIF</v>
      </c>
      <c r="P2238" s="573"/>
      <c r="Q2238" s="556"/>
      <c r="R2238" s="582"/>
    </row>
    <row r="2239" ht="15" customHeight="1" spans="1:18">
      <c r="A2239" s="556" t="str">
        <f>B2239</f>
        <v>Composição Auxiliar</v>
      </c>
      <c r="B2239" s="557" t="str">
        <f>B2238</f>
        <v>Composição Auxiliar</v>
      </c>
      <c r="C2239" s="100" t="s">
        <v>2893</v>
      </c>
      <c r="D2239" s="99" t="s">
        <v>3643</v>
      </c>
      <c r="E2239" s="100" t="s">
        <v>139</v>
      </c>
      <c r="F2239" s="100" t="s">
        <v>3644</v>
      </c>
      <c r="G2239" s="100" t="s">
        <v>2961</v>
      </c>
      <c r="H2239" s="100"/>
      <c r="I2239" s="101" t="s">
        <v>134</v>
      </c>
      <c r="J2239" s="580">
        <v>0.036</v>
      </c>
      <c r="K2239" s="580">
        <v>0</v>
      </c>
      <c r="L2239" s="102">
        <v>13.46</v>
      </c>
      <c r="M2239" s="102">
        <v>0.48</v>
      </c>
      <c r="N2239" s="573">
        <v>23.41</v>
      </c>
      <c r="O2239" s="556" t="str">
        <f>IF(N2239=M2239,"OK","DIF")</f>
        <v>DIF</v>
      </c>
      <c r="P2239" s="573"/>
      <c r="Q2239" s="556"/>
      <c r="R2239" s="582"/>
    </row>
    <row r="2240" ht="15" customHeight="1" spans="1:18">
      <c r="A2240" s="556" t="str">
        <f>B2240</f>
        <v>Composição Auxiliar</v>
      </c>
      <c r="B2240" s="557" t="str">
        <f>B2239</f>
        <v>Composição Auxiliar</v>
      </c>
      <c r="C2240" s="100" t="s">
        <v>2893</v>
      </c>
      <c r="D2240" s="99" t="s">
        <v>3653</v>
      </c>
      <c r="E2240" s="100" t="s">
        <v>139</v>
      </c>
      <c r="F2240" s="100" t="s">
        <v>3654</v>
      </c>
      <c r="G2240" s="100" t="s">
        <v>2961</v>
      </c>
      <c r="H2240" s="100"/>
      <c r="I2240" s="101" t="s">
        <v>134</v>
      </c>
      <c r="J2240" s="580">
        <v>1</v>
      </c>
      <c r="K2240" s="580">
        <v>0</v>
      </c>
      <c r="L2240" s="102">
        <v>69.15</v>
      </c>
      <c r="M2240" s="102">
        <v>69.15</v>
      </c>
      <c r="N2240" s="573">
        <v>11.83</v>
      </c>
      <c r="O2240" s="556" t="str">
        <f>IF(N2240=M2240,"OK","DIF")</f>
        <v>DIF</v>
      </c>
      <c r="P2240" s="573"/>
      <c r="Q2240" s="556"/>
      <c r="R2240" s="582"/>
    </row>
    <row r="2241" ht="25.5" spans="1:18">
      <c r="A2241" s="556" t="str">
        <f>B2241</f>
        <v>Composição Auxiliar</v>
      </c>
      <c r="B2241" s="557" t="str">
        <f>B2240</f>
        <v>Composição Auxiliar</v>
      </c>
      <c r="C2241" s="108"/>
      <c r="D2241" s="108"/>
      <c r="E2241" s="108"/>
      <c r="F2241" s="108"/>
      <c r="G2241" s="108"/>
      <c r="H2241" s="108" t="s">
        <v>2898</v>
      </c>
      <c r="I2241" s="581">
        <v>59.64</v>
      </c>
      <c r="J2241" s="108" t="s">
        <v>2899</v>
      </c>
      <c r="K2241" s="581">
        <v>0</v>
      </c>
      <c r="L2241" s="108" t="s">
        <v>2900</v>
      </c>
      <c r="M2241" s="581">
        <v>59.64</v>
      </c>
      <c r="N2241" s="573">
        <v>38.33</v>
      </c>
      <c r="O2241" s="556" t="str">
        <f>IF(N2241=M2241,"OK","DIF")</f>
        <v>DIF</v>
      </c>
      <c r="P2241" s="573"/>
      <c r="Q2241" s="556"/>
      <c r="R2241" s="582"/>
    </row>
    <row r="2242" ht="26.25" spans="1:18">
      <c r="A2242" s="556" t="str">
        <f>B2242</f>
        <v>Composição Auxiliar</v>
      </c>
      <c r="B2242" s="557" t="str">
        <f>B2241</f>
        <v>Composição Auxiliar</v>
      </c>
      <c r="C2242" s="108"/>
      <c r="D2242" s="108"/>
      <c r="E2242" s="108"/>
      <c r="F2242" s="108"/>
      <c r="G2242" s="108"/>
      <c r="H2242" s="108" t="s">
        <v>2901</v>
      </c>
      <c r="I2242" s="581">
        <v>39.22</v>
      </c>
      <c r="J2242" s="114"/>
      <c r="K2242" s="114" t="s">
        <v>2902</v>
      </c>
      <c r="L2242" s="108"/>
      <c r="M2242" s="581">
        <v>193.1</v>
      </c>
      <c r="N2242" s="573">
        <v>638.44</v>
      </c>
      <c r="O2242" s="556" t="str">
        <f>IF(N2242=M2242,"OK","DIF")</f>
        <v>DIF</v>
      </c>
      <c r="P2242" s="573"/>
      <c r="Q2242" s="556"/>
      <c r="R2242" s="582"/>
    </row>
    <row r="2243" ht="15" spans="1:18">
      <c r="A2243" s="556"/>
      <c r="B2243" s="557"/>
      <c r="C2243" s="571"/>
      <c r="D2243" s="571"/>
      <c r="E2243" s="571"/>
      <c r="F2243" s="571"/>
      <c r="G2243" s="571"/>
      <c r="H2243" s="571"/>
      <c r="I2243" s="571"/>
      <c r="J2243" s="571"/>
      <c r="K2243" s="571"/>
      <c r="L2243" s="571"/>
      <c r="M2243" s="571"/>
      <c r="N2243" s="573"/>
      <c r="O2243" s="556"/>
      <c r="P2243" s="573"/>
      <c r="Q2243" s="556"/>
      <c r="R2243" s="582"/>
    </row>
    <row r="2244" ht="15" customHeight="1" spans="1:18">
      <c r="A2244" s="556"/>
      <c r="B2244" s="557"/>
      <c r="C2244" s="76" t="s">
        <v>782</v>
      </c>
      <c r="D2244" s="75" t="s">
        <v>63</v>
      </c>
      <c r="E2244" s="76" t="s">
        <v>64</v>
      </c>
      <c r="F2244" s="76" t="s">
        <v>65</v>
      </c>
      <c r="G2244" s="76" t="s">
        <v>2889</v>
      </c>
      <c r="H2244" s="76"/>
      <c r="I2244" s="77" t="s">
        <v>66</v>
      </c>
      <c r="J2244" s="75" t="s">
        <v>67</v>
      </c>
      <c r="K2244" s="75" t="s">
        <v>2890</v>
      </c>
      <c r="L2244" s="75" t="s">
        <v>68</v>
      </c>
      <c r="M2244" s="75" t="s">
        <v>70</v>
      </c>
      <c r="N2244" s="573"/>
      <c r="O2244" s="556"/>
      <c r="P2244" s="573"/>
      <c r="Q2244" s="556"/>
      <c r="R2244" s="582"/>
    </row>
    <row r="2245" ht="35.05" customHeight="1" spans="1:18">
      <c r="A2245" s="556"/>
      <c r="B2245" s="557" t="str">
        <f>C2244</f>
        <v> 11.1.15 </v>
      </c>
      <c r="C2245" s="569" t="s">
        <v>2891</v>
      </c>
      <c r="D2245" s="570" t="s">
        <v>783</v>
      </c>
      <c r="E2245" s="569" t="s">
        <v>132</v>
      </c>
      <c r="F2245" s="569" t="s">
        <v>784</v>
      </c>
      <c r="G2245" s="569" t="s">
        <v>3129</v>
      </c>
      <c r="H2245" s="569"/>
      <c r="I2245" s="577" t="s">
        <v>134</v>
      </c>
      <c r="J2245" s="578">
        <v>1</v>
      </c>
      <c r="K2245" s="579"/>
      <c r="L2245" s="579">
        <v>68.3</v>
      </c>
      <c r="M2245" s="579">
        <v>68.3</v>
      </c>
      <c r="N2245" s="573">
        <v>245.96</v>
      </c>
      <c r="O2245" s="556" t="str">
        <f>IF(N2245=M2245,"OK","DIF")</f>
        <v>DIF</v>
      </c>
      <c r="P2245" s="573"/>
      <c r="Q2245" s="556"/>
      <c r="R2245" s="582"/>
    </row>
    <row r="2246" ht="23.85" customHeight="1" spans="1:18">
      <c r="A2246" s="556" t="str">
        <f>B2246</f>
        <v> 11.1.15 </v>
      </c>
      <c r="B2246" s="557" t="str">
        <f>B2245</f>
        <v> 11.1.15 </v>
      </c>
      <c r="C2246" s="79" t="s">
        <v>2921</v>
      </c>
      <c r="D2246" s="78" t="s">
        <v>3144</v>
      </c>
      <c r="E2246" s="79" t="s">
        <v>139</v>
      </c>
      <c r="F2246" s="79" t="s">
        <v>3145</v>
      </c>
      <c r="G2246" s="79" t="s">
        <v>2928</v>
      </c>
      <c r="H2246" s="79"/>
      <c r="I2246" s="80" t="s">
        <v>2897</v>
      </c>
      <c r="J2246" s="583">
        <v>0.7846</v>
      </c>
      <c r="K2246" s="583">
        <v>0</v>
      </c>
      <c r="L2246" s="92">
        <v>35.55</v>
      </c>
      <c r="M2246" s="92">
        <v>27.89</v>
      </c>
      <c r="N2246" s="573">
        <v>3.28</v>
      </c>
      <c r="O2246" s="556" t="str">
        <f>IF(N2246=M2246,"OK","DIF")</f>
        <v>DIF</v>
      </c>
      <c r="P2246" s="573"/>
      <c r="Q2246" s="556"/>
      <c r="R2246" s="582"/>
    </row>
    <row r="2247" ht="23.85" customHeight="1" spans="1:18">
      <c r="A2247" s="556" t="str">
        <f>B2247</f>
        <v> 11.1.15 </v>
      </c>
      <c r="B2247" s="557" t="str">
        <f>B2246</f>
        <v> 11.1.15 </v>
      </c>
      <c r="C2247" s="79" t="s">
        <v>2921</v>
      </c>
      <c r="D2247" s="78" t="s">
        <v>3146</v>
      </c>
      <c r="E2247" s="79" t="s">
        <v>139</v>
      </c>
      <c r="F2247" s="79" t="s">
        <v>3147</v>
      </c>
      <c r="G2247" s="79" t="s">
        <v>2928</v>
      </c>
      <c r="H2247" s="79"/>
      <c r="I2247" s="80" t="s">
        <v>2897</v>
      </c>
      <c r="J2247" s="583">
        <v>0.7846</v>
      </c>
      <c r="K2247" s="583">
        <v>0</v>
      </c>
      <c r="L2247" s="92">
        <v>29.54</v>
      </c>
      <c r="M2247" s="92">
        <v>23.17</v>
      </c>
      <c r="N2247" s="573">
        <v>11.75</v>
      </c>
      <c r="O2247" s="556" t="str">
        <f>IF(N2247=M2247,"OK","DIF")</f>
        <v>DIF</v>
      </c>
      <c r="P2247" s="573"/>
      <c r="Q2247" s="556"/>
      <c r="R2247" s="582"/>
    </row>
    <row r="2248" ht="15" customHeight="1" spans="1:18">
      <c r="A2248" s="556" t="str">
        <f>B2248</f>
        <v> 11.1.15 </v>
      </c>
      <c r="B2248" s="557" t="str">
        <f>B2247</f>
        <v> 11.1.15 </v>
      </c>
      <c r="C2248" s="100" t="s">
        <v>2893</v>
      </c>
      <c r="D2248" s="99" t="s">
        <v>3643</v>
      </c>
      <c r="E2248" s="100" t="s">
        <v>139</v>
      </c>
      <c r="F2248" s="100" t="s">
        <v>3644</v>
      </c>
      <c r="G2248" s="100" t="s">
        <v>2961</v>
      </c>
      <c r="H2248" s="100"/>
      <c r="I2248" s="101" t="s">
        <v>134</v>
      </c>
      <c r="J2248" s="580">
        <v>0.0474</v>
      </c>
      <c r="K2248" s="580">
        <v>0</v>
      </c>
      <c r="L2248" s="102">
        <v>13.46</v>
      </c>
      <c r="M2248" s="102">
        <v>0.63</v>
      </c>
      <c r="N2248" s="573">
        <v>15.12</v>
      </c>
      <c r="O2248" s="556" t="str">
        <f>IF(N2248=M2248,"OK","DIF")</f>
        <v>DIF</v>
      </c>
      <c r="P2248" s="573"/>
      <c r="Q2248" s="556"/>
      <c r="R2248" s="582"/>
    </row>
    <row r="2249" ht="15" customHeight="1" spans="1:18">
      <c r="A2249" s="556" t="str">
        <f>B2249</f>
        <v> 11.1.15 </v>
      </c>
      <c r="B2249" s="557" t="str">
        <f>B2248</f>
        <v> 11.1.15 </v>
      </c>
      <c r="C2249" s="100" t="s">
        <v>2893</v>
      </c>
      <c r="D2249" s="99" t="s">
        <v>3473</v>
      </c>
      <c r="E2249" s="100" t="s">
        <v>139</v>
      </c>
      <c r="F2249" s="100" t="s">
        <v>3474</v>
      </c>
      <c r="G2249" s="100" t="s">
        <v>2961</v>
      </c>
      <c r="H2249" s="100"/>
      <c r="I2249" s="101" t="s">
        <v>3084</v>
      </c>
      <c r="J2249" s="580">
        <v>0.0112</v>
      </c>
      <c r="K2249" s="580">
        <v>0</v>
      </c>
      <c r="L2249" s="102">
        <v>55.41</v>
      </c>
      <c r="M2249" s="102">
        <v>0.62</v>
      </c>
      <c r="N2249" s="573">
        <v>215.81</v>
      </c>
      <c r="O2249" s="556" t="str">
        <f>IF(N2249=M2249,"OK","DIF")</f>
        <v>DIF</v>
      </c>
      <c r="P2249" s="573"/>
      <c r="Q2249" s="556"/>
      <c r="R2249" s="582"/>
    </row>
    <row r="2250" ht="15" customHeight="1" spans="1:18">
      <c r="A2250" s="556"/>
      <c r="B2250" s="557"/>
      <c r="C2250" s="100" t="s">
        <v>2893</v>
      </c>
      <c r="D2250" s="99" t="s">
        <v>3655</v>
      </c>
      <c r="E2250" s="100" t="s">
        <v>149</v>
      </c>
      <c r="F2250" s="100" t="s">
        <v>3656</v>
      </c>
      <c r="G2250" s="100" t="s">
        <v>2961</v>
      </c>
      <c r="H2250" s="100"/>
      <c r="I2250" s="101" t="s">
        <v>134</v>
      </c>
      <c r="J2250" s="580">
        <v>1</v>
      </c>
      <c r="K2250" s="580">
        <v>0</v>
      </c>
      <c r="L2250" s="102">
        <v>15.99</v>
      </c>
      <c r="M2250" s="102">
        <v>15.99</v>
      </c>
      <c r="N2250" s="573"/>
      <c r="O2250" s="556"/>
      <c r="P2250" s="573"/>
      <c r="Q2250" s="556"/>
      <c r="R2250" s="582"/>
    </row>
    <row r="2251" ht="25.5" spans="1:18">
      <c r="A2251" s="556"/>
      <c r="B2251" s="557"/>
      <c r="C2251" s="108"/>
      <c r="D2251" s="108"/>
      <c r="E2251" s="108"/>
      <c r="F2251" s="108"/>
      <c r="G2251" s="108"/>
      <c r="H2251" s="108" t="s">
        <v>2898</v>
      </c>
      <c r="I2251" s="581">
        <v>36.36</v>
      </c>
      <c r="J2251" s="108" t="s">
        <v>2899</v>
      </c>
      <c r="K2251" s="581">
        <v>0</v>
      </c>
      <c r="L2251" s="108" t="s">
        <v>2900</v>
      </c>
      <c r="M2251" s="581">
        <v>36.36</v>
      </c>
      <c r="N2251" s="573"/>
      <c r="O2251" s="556"/>
      <c r="P2251" s="573"/>
      <c r="Q2251" s="556"/>
      <c r="R2251" s="582"/>
    </row>
    <row r="2252" ht="26.25" spans="1:18">
      <c r="A2252" s="556"/>
      <c r="B2252" s="557">
        <f>C2251</f>
        <v>0</v>
      </c>
      <c r="C2252" s="108"/>
      <c r="D2252" s="108"/>
      <c r="E2252" s="108"/>
      <c r="F2252" s="108"/>
      <c r="G2252" s="108"/>
      <c r="H2252" s="108" t="s">
        <v>2901</v>
      </c>
      <c r="I2252" s="581">
        <v>17.4</v>
      </c>
      <c r="J2252" s="114"/>
      <c r="K2252" s="114" t="s">
        <v>2902</v>
      </c>
      <c r="L2252" s="108"/>
      <c r="M2252" s="581">
        <v>85.7</v>
      </c>
      <c r="N2252" s="573">
        <v>2570.42</v>
      </c>
      <c r="O2252" s="556" t="str">
        <f t="shared" ref="O2252:O2274" si="235">IF(N2252=M2252,"OK","DIF")</f>
        <v>DIF</v>
      </c>
      <c r="P2252" s="573"/>
      <c r="Q2252" s="556"/>
      <c r="R2252" s="582"/>
    </row>
    <row r="2253" ht="15" spans="1:18">
      <c r="A2253" s="556">
        <f t="shared" ref="A2253:A2274" si="236">B2253</f>
        <v>0</v>
      </c>
      <c r="B2253" s="557">
        <f t="shared" ref="B2253:B2274" si="237">B2252</f>
        <v>0</v>
      </c>
      <c r="C2253" s="571"/>
      <c r="D2253" s="571"/>
      <c r="E2253" s="571"/>
      <c r="F2253" s="571"/>
      <c r="G2253" s="571"/>
      <c r="H2253" s="571"/>
      <c r="I2253" s="571"/>
      <c r="J2253" s="571"/>
      <c r="K2253" s="571"/>
      <c r="L2253" s="571"/>
      <c r="M2253" s="571"/>
      <c r="N2253" s="573">
        <v>282.47</v>
      </c>
      <c r="O2253" s="556" t="str">
        <f t="shared" si="235"/>
        <v>DIF</v>
      </c>
      <c r="P2253" s="573"/>
      <c r="Q2253" s="556"/>
      <c r="R2253" s="582"/>
    </row>
    <row r="2254" ht="15" customHeight="1" spans="1:18">
      <c r="A2254" s="556">
        <f t="shared" si="236"/>
        <v>0</v>
      </c>
      <c r="B2254" s="557">
        <f t="shared" si="237"/>
        <v>0</v>
      </c>
      <c r="C2254" s="76" t="s">
        <v>785</v>
      </c>
      <c r="D2254" s="75" t="s">
        <v>63</v>
      </c>
      <c r="E2254" s="76" t="s">
        <v>64</v>
      </c>
      <c r="F2254" s="76" t="s">
        <v>65</v>
      </c>
      <c r="G2254" s="76" t="s">
        <v>2889</v>
      </c>
      <c r="H2254" s="76"/>
      <c r="I2254" s="77" t="s">
        <v>66</v>
      </c>
      <c r="J2254" s="75" t="s">
        <v>67</v>
      </c>
      <c r="K2254" s="75" t="s">
        <v>2890</v>
      </c>
      <c r="L2254" s="75" t="s">
        <v>68</v>
      </c>
      <c r="M2254" s="75" t="s">
        <v>70</v>
      </c>
      <c r="N2254" s="573">
        <v>31.31</v>
      </c>
      <c r="O2254" s="556" t="str">
        <f t="shared" si="235"/>
        <v>DIF</v>
      </c>
      <c r="P2254" s="573"/>
      <c r="Q2254" s="556"/>
      <c r="R2254" s="582"/>
    </row>
    <row r="2255" ht="23.85" customHeight="1" spans="1:18">
      <c r="A2255" s="556">
        <f t="shared" si="236"/>
        <v>0</v>
      </c>
      <c r="B2255" s="557">
        <f t="shared" si="237"/>
        <v>0</v>
      </c>
      <c r="C2255" s="569" t="s">
        <v>2891</v>
      </c>
      <c r="D2255" s="570" t="s">
        <v>786</v>
      </c>
      <c r="E2255" s="569" t="s">
        <v>149</v>
      </c>
      <c r="F2255" s="569" t="s">
        <v>787</v>
      </c>
      <c r="G2255" s="569" t="s">
        <v>3657</v>
      </c>
      <c r="H2255" s="569"/>
      <c r="I2255" s="577" t="s">
        <v>134</v>
      </c>
      <c r="J2255" s="578">
        <v>1</v>
      </c>
      <c r="K2255" s="579"/>
      <c r="L2255" s="579">
        <v>42.15</v>
      </c>
      <c r="M2255" s="579">
        <v>42.15</v>
      </c>
      <c r="N2255" s="573">
        <v>462.45</v>
      </c>
      <c r="O2255" s="556" t="str">
        <f t="shared" si="235"/>
        <v>DIF</v>
      </c>
      <c r="P2255" s="573"/>
      <c r="Q2255" s="556"/>
      <c r="R2255" s="582"/>
    </row>
    <row r="2256" ht="15" customHeight="1" spans="1:18">
      <c r="A2256" s="556">
        <f t="shared" si="236"/>
        <v>0</v>
      </c>
      <c r="B2256" s="557">
        <f t="shared" si="237"/>
        <v>0</v>
      </c>
      <c r="C2256" s="100" t="s">
        <v>2893</v>
      </c>
      <c r="D2256" s="99" t="s">
        <v>3658</v>
      </c>
      <c r="E2256" s="100" t="s">
        <v>149</v>
      </c>
      <c r="F2256" s="100" t="s">
        <v>3659</v>
      </c>
      <c r="G2256" s="100" t="s">
        <v>2961</v>
      </c>
      <c r="H2256" s="100"/>
      <c r="I2256" s="101" t="s">
        <v>134</v>
      </c>
      <c r="J2256" s="580">
        <v>1</v>
      </c>
      <c r="K2256" s="580">
        <v>0</v>
      </c>
      <c r="L2256" s="102">
        <v>14.93</v>
      </c>
      <c r="M2256" s="102">
        <v>14.93</v>
      </c>
      <c r="N2256" s="573">
        <v>162.24</v>
      </c>
      <c r="O2256" s="556" t="str">
        <f t="shared" si="235"/>
        <v>DIF</v>
      </c>
      <c r="P2256" s="573"/>
      <c r="Q2256" s="556"/>
      <c r="R2256" s="582"/>
    </row>
    <row r="2257" ht="15" customHeight="1" spans="1:18">
      <c r="A2257" s="556">
        <f t="shared" si="236"/>
        <v>0</v>
      </c>
      <c r="B2257" s="557">
        <f t="shared" si="237"/>
        <v>0</v>
      </c>
      <c r="C2257" s="100" t="s">
        <v>2893</v>
      </c>
      <c r="D2257" s="99" t="s">
        <v>3660</v>
      </c>
      <c r="E2257" s="100" t="s">
        <v>149</v>
      </c>
      <c r="F2257" s="100" t="s">
        <v>3661</v>
      </c>
      <c r="G2257" s="100" t="s">
        <v>2896</v>
      </c>
      <c r="H2257" s="100"/>
      <c r="I2257" s="101" t="s">
        <v>2897</v>
      </c>
      <c r="J2257" s="580">
        <v>0.567</v>
      </c>
      <c r="K2257" s="580">
        <v>0</v>
      </c>
      <c r="L2257" s="102">
        <v>20.515752</v>
      </c>
      <c r="M2257" s="102">
        <v>11.63</v>
      </c>
      <c r="N2257" s="573">
        <v>25.38</v>
      </c>
      <c r="O2257" s="556" t="str">
        <f t="shared" si="235"/>
        <v>DIF</v>
      </c>
      <c r="P2257" s="573"/>
      <c r="Q2257" s="556"/>
      <c r="R2257" s="582"/>
    </row>
    <row r="2258" ht="15" customHeight="1" spans="1:18">
      <c r="A2258" s="556">
        <f t="shared" si="236"/>
        <v>0</v>
      </c>
      <c r="B2258" s="557">
        <f t="shared" si="237"/>
        <v>0</v>
      </c>
      <c r="C2258" s="100" t="s">
        <v>2893</v>
      </c>
      <c r="D2258" s="99" t="s">
        <v>2988</v>
      </c>
      <c r="E2258" s="100" t="s">
        <v>149</v>
      </c>
      <c r="F2258" s="100" t="s">
        <v>2989</v>
      </c>
      <c r="G2258" s="100" t="s">
        <v>2896</v>
      </c>
      <c r="H2258" s="100"/>
      <c r="I2258" s="101" t="s">
        <v>2897</v>
      </c>
      <c r="J2258" s="580">
        <v>0.567</v>
      </c>
      <c r="K2258" s="580">
        <v>0</v>
      </c>
      <c r="L2258" s="102">
        <v>26.928256</v>
      </c>
      <c r="M2258" s="102">
        <v>15.26</v>
      </c>
      <c r="N2258" s="573">
        <v>83.31</v>
      </c>
      <c r="O2258" s="556" t="str">
        <f t="shared" si="235"/>
        <v>DIF</v>
      </c>
      <c r="P2258" s="573"/>
      <c r="Q2258" s="556"/>
      <c r="R2258" s="582"/>
    </row>
    <row r="2259" ht="15" customHeight="1" spans="1:18">
      <c r="A2259" s="556">
        <f t="shared" si="236"/>
        <v>0</v>
      </c>
      <c r="B2259" s="557">
        <f t="shared" si="237"/>
        <v>0</v>
      </c>
      <c r="C2259" s="100" t="s">
        <v>2893</v>
      </c>
      <c r="D2259" s="99" t="s">
        <v>3662</v>
      </c>
      <c r="E2259" s="100" t="s">
        <v>149</v>
      </c>
      <c r="F2259" s="100" t="s">
        <v>3663</v>
      </c>
      <c r="G2259" s="100" t="s">
        <v>2961</v>
      </c>
      <c r="H2259" s="100"/>
      <c r="I2259" s="101" t="s">
        <v>204</v>
      </c>
      <c r="J2259" s="580">
        <v>0.958</v>
      </c>
      <c r="K2259" s="580">
        <v>0</v>
      </c>
      <c r="L2259" s="102">
        <v>0.35</v>
      </c>
      <c r="M2259" s="102">
        <v>0.33</v>
      </c>
      <c r="N2259" s="573">
        <v>7.72</v>
      </c>
      <c r="O2259" s="556" t="str">
        <f t="shared" si="235"/>
        <v>DIF</v>
      </c>
      <c r="P2259" s="573"/>
      <c r="Q2259" s="556"/>
      <c r="R2259" s="582"/>
    </row>
    <row r="2260" ht="25.5" spans="1:18">
      <c r="A2260" s="556">
        <f t="shared" si="236"/>
        <v>0</v>
      </c>
      <c r="B2260" s="557">
        <f t="shared" si="237"/>
        <v>0</v>
      </c>
      <c r="C2260" s="108"/>
      <c r="D2260" s="108"/>
      <c r="E2260" s="108"/>
      <c r="F2260" s="108"/>
      <c r="G2260" s="108"/>
      <c r="H2260" s="108" t="s">
        <v>2898</v>
      </c>
      <c r="I2260" s="581">
        <v>26.89</v>
      </c>
      <c r="J2260" s="108" t="s">
        <v>2899</v>
      </c>
      <c r="K2260" s="581">
        <v>0</v>
      </c>
      <c r="L2260" s="108" t="s">
        <v>2900</v>
      </c>
      <c r="M2260" s="581">
        <v>26.89</v>
      </c>
      <c r="N2260" s="573">
        <v>290.14</v>
      </c>
      <c r="O2260" s="556" t="str">
        <f t="shared" si="235"/>
        <v>DIF</v>
      </c>
      <c r="P2260" s="573"/>
      <c r="Q2260" s="556"/>
      <c r="R2260" s="582"/>
    </row>
    <row r="2261" ht="26.25" spans="1:18">
      <c r="A2261" s="556">
        <f t="shared" si="236"/>
        <v>0</v>
      </c>
      <c r="B2261" s="557">
        <f t="shared" si="237"/>
        <v>0</v>
      </c>
      <c r="C2261" s="108"/>
      <c r="D2261" s="108"/>
      <c r="E2261" s="108"/>
      <c r="F2261" s="108"/>
      <c r="G2261" s="108"/>
      <c r="H2261" s="108" t="s">
        <v>2901</v>
      </c>
      <c r="I2261" s="581">
        <v>10.74</v>
      </c>
      <c r="J2261" s="114"/>
      <c r="K2261" s="114" t="s">
        <v>2902</v>
      </c>
      <c r="L2261" s="108"/>
      <c r="M2261" s="581">
        <v>52.89</v>
      </c>
      <c r="N2261" s="573">
        <v>33.65</v>
      </c>
      <c r="O2261" s="556" t="str">
        <f t="shared" si="235"/>
        <v>DIF</v>
      </c>
      <c r="P2261" s="573"/>
      <c r="Q2261" s="556"/>
      <c r="R2261" s="582"/>
    </row>
    <row r="2262" ht="15" spans="1:18">
      <c r="A2262" s="556">
        <f t="shared" si="236"/>
        <v>0</v>
      </c>
      <c r="B2262" s="557">
        <f t="shared" si="237"/>
        <v>0</v>
      </c>
      <c r="C2262" s="571"/>
      <c r="D2262" s="571"/>
      <c r="E2262" s="571"/>
      <c r="F2262" s="571"/>
      <c r="G2262" s="571"/>
      <c r="H2262" s="571"/>
      <c r="I2262" s="571"/>
      <c r="J2262" s="571"/>
      <c r="K2262" s="571"/>
      <c r="L2262" s="571"/>
      <c r="M2262" s="571"/>
      <c r="N2262" s="573">
        <v>116.57</v>
      </c>
      <c r="O2262" s="556" t="str">
        <f t="shared" si="235"/>
        <v>DIF</v>
      </c>
      <c r="P2262" s="573"/>
      <c r="Q2262" s="556"/>
      <c r="R2262" s="582"/>
    </row>
    <row r="2263" ht="15" customHeight="1" spans="1:18">
      <c r="A2263" s="556">
        <f t="shared" si="236"/>
        <v>0</v>
      </c>
      <c r="B2263" s="557">
        <f t="shared" si="237"/>
        <v>0</v>
      </c>
      <c r="C2263" s="76" t="s">
        <v>788</v>
      </c>
      <c r="D2263" s="75" t="s">
        <v>63</v>
      </c>
      <c r="E2263" s="76" t="s">
        <v>64</v>
      </c>
      <c r="F2263" s="76" t="s">
        <v>65</v>
      </c>
      <c r="G2263" s="76" t="s">
        <v>2889</v>
      </c>
      <c r="H2263" s="76"/>
      <c r="I2263" s="77" t="s">
        <v>66</v>
      </c>
      <c r="J2263" s="75" t="s">
        <v>67</v>
      </c>
      <c r="K2263" s="75" t="s">
        <v>2890</v>
      </c>
      <c r="L2263" s="75" t="s">
        <v>68</v>
      </c>
      <c r="M2263" s="75" t="s">
        <v>70</v>
      </c>
      <c r="N2263" s="573">
        <v>8.37</v>
      </c>
      <c r="O2263" s="556" t="str">
        <f t="shared" si="235"/>
        <v>DIF</v>
      </c>
      <c r="P2263" s="573"/>
      <c r="Q2263" s="556"/>
      <c r="R2263" s="582"/>
    </row>
    <row r="2264" ht="38.25" spans="1:18">
      <c r="A2264" s="556">
        <f t="shared" si="236"/>
        <v>0</v>
      </c>
      <c r="B2264" s="557">
        <f t="shared" si="237"/>
        <v>0</v>
      </c>
      <c r="C2264" s="569" t="s">
        <v>2891</v>
      </c>
      <c r="D2264" s="570" t="s">
        <v>789</v>
      </c>
      <c r="E2264" s="569" t="s">
        <v>132</v>
      </c>
      <c r="F2264" s="569" t="s">
        <v>790</v>
      </c>
      <c r="G2264" s="569">
        <v>55</v>
      </c>
      <c r="H2264" s="569"/>
      <c r="I2264" s="577" t="s">
        <v>134</v>
      </c>
      <c r="J2264" s="578">
        <v>1</v>
      </c>
      <c r="K2264" s="579"/>
      <c r="L2264" s="579">
        <v>89.76</v>
      </c>
      <c r="M2264" s="579">
        <v>89.76</v>
      </c>
      <c r="N2264" s="573">
        <v>10.59</v>
      </c>
      <c r="O2264" s="556" t="str">
        <f t="shared" si="235"/>
        <v>DIF</v>
      </c>
      <c r="P2264" s="573"/>
      <c r="Q2264" s="556"/>
      <c r="R2264" s="582"/>
    </row>
    <row r="2265" ht="23.85" customHeight="1" spans="1:18">
      <c r="A2265" s="556">
        <f t="shared" si="236"/>
        <v>0</v>
      </c>
      <c r="B2265" s="557">
        <f t="shared" si="237"/>
        <v>0</v>
      </c>
      <c r="C2265" s="79" t="s">
        <v>2921</v>
      </c>
      <c r="D2265" s="78" t="s">
        <v>3146</v>
      </c>
      <c r="E2265" s="79" t="s">
        <v>139</v>
      </c>
      <c r="F2265" s="79" t="s">
        <v>3147</v>
      </c>
      <c r="G2265" s="79" t="s">
        <v>2928</v>
      </c>
      <c r="H2265" s="79"/>
      <c r="I2265" s="80" t="s">
        <v>2897</v>
      </c>
      <c r="J2265" s="583">
        <v>0.258</v>
      </c>
      <c r="K2265" s="583">
        <v>0</v>
      </c>
      <c r="L2265" s="92">
        <v>29.54</v>
      </c>
      <c r="M2265" s="92">
        <v>7.62</v>
      </c>
      <c r="N2265" s="573">
        <v>7.84</v>
      </c>
      <c r="O2265" s="556" t="str">
        <f t="shared" si="235"/>
        <v>DIF</v>
      </c>
      <c r="P2265" s="573"/>
      <c r="Q2265" s="556"/>
      <c r="R2265" s="582"/>
    </row>
    <row r="2266" ht="23.85" customHeight="1" spans="1:18">
      <c r="A2266" s="556">
        <f t="shared" si="236"/>
        <v>0</v>
      </c>
      <c r="B2266" s="557">
        <f t="shared" si="237"/>
        <v>0</v>
      </c>
      <c r="C2266" s="79" t="s">
        <v>2921</v>
      </c>
      <c r="D2266" s="78" t="s">
        <v>3144</v>
      </c>
      <c r="E2266" s="79" t="s">
        <v>139</v>
      </c>
      <c r="F2266" s="79" t="s">
        <v>3145</v>
      </c>
      <c r="G2266" s="79" t="s">
        <v>2928</v>
      </c>
      <c r="H2266" s="79"/>
      <c r="I2266" s="80" t="s">
        <v>2897</v>
      </c>
      <c r="J2266" s="583">
        <v>0.258</v>
      </c>
      <c r="K2266" s="583">
        <v>0</v>
      </c>
      <c r="L2266" s="92">
        <v>35.55</v>
      </c>
      <c r="M2266" s="92">
        <v>9.17</v>
      </c>
      <c r="N2266" s="573">
        <v>0.79</v>
      </c>
      <c r="O2266" s="556" t="str">
        <f t="shared" si="235"/>
        <v>DIF</v>
      </c>
      <c r="P2266" s="573"/>
      <c r="Q2266" s="556"/>
      <c r="R2266" s="582"/>
    </row>
    <row r="2267" ht="15" customHeight="1" spans="1:18">
      <c r="A2267" s="556">
        <f t="shared" si="236"/>
        <v>0</v>
      </c>
      <c r="B2267" s="557">
        <f t="shared" si="237"/>
        <v>0</v>
      </c>
      <c r="C2267" s="100" t="s">
        <v>2893</v>
      </c>
      <c r="D2267" s="99" t="s">
        <v>3662</v>
      </c>
      <c r="E2267" s="100" t="s">
        <v>149</v>
      </c>
      <c r="F2267" s="100" t="s">
        <v>3663</v>
      </c>
      <c r="G2267" s="100" t="s">
        <v>2961</v>
      </c>
      <c r="H2267" s="100"/>
      <c r="I2267" s="101" t="s">
        <v>204</v>
      </c>
      <c r="J2267" s="580">
        <v>0.319</v>
      </c>
      <c r="K2267" s="580">
        <v>0</v>
      </c>
      <c r="L2267" s="102">
        <v>0.35</v>
      </c>
      <c r="M2267" s="102">
        <v>0.11</v>
      </c>
      <c r="N2267" s="573">
        <v>24.17</v>
      </c>
      <c r="O2267" s="556" t="str">
        <f t="shared" si="235"/>
        <v>DIF</v>
      </c>
      <c r="P2267" s="573"/>
      <c r="Q2267" s="556"/>
      <c r="R2267" s="582"/>
    </row>
    <row r="2268" ht="15" customHeight="1" spans="1:18">
      <c r="A2268" s="556">
        <f t="shared" si="236"/>
        <v>0</v>
      </c>
      <c r="B2268" s="557">
        <f t="shared" si="237"/>
        <v>0</v>
      </c>
      <c r="C2268" s="100" t="s">
        <v>2893</v>
      </c>
      <c r="D2268" s="99" t="s">
        <v>3664</v>
      </c>
      <c r="E2268" s="100" t="s">
        <v>149</v>
      </c>
      <c r="F2268" s="100" t="s">
        <v>3665</v>
      </c>
      <c r="G2268" s="100" t="s">
        <v>2961</v>
      </c>
      <c r="H2268" s="100"/>
      <c r="I2268" s="101" t="s">
        <v>134</v>
      </c>
      <c r="J2268" s="580">
        <v>1</v>
      </c>
      <c r="K2268" s="580">
        <v>0</v>
      </c>
      <c r="L2268" s="102">
        <v>72.86</v>
      </c>
      <c r="M2268" s="102">
        <v>72.86</v>
      </c>
      <c r="N2268" s="573">
        <v>298.24</v>
      </c>
      <c r="O2268" s="556" t="str">
        <f t="shared" si="235"/>
        <v>DIF</v>
      </c>
      <c r="P2268" s="573"/>
      <c r="Q2268" s="556"/>
      <c r="R2268" s="582"/>
    </row>
    <row r="2269" ht="25.5" spans="1:18">
      <c r="A2269" s="556">
        <f t="shared" si="236"/>
        <v>0</v>
      </c>
      <c r="B2269" s="557">
        <f t="shared" si="237"/>
        <v>0</v>
      </c>
      <c r="C2269" s="108"/>
      <c r="D2269" s="108"/>
      <c r="E2269" s="108"/>
      <c r="F2269" s="108"/>
      <c r="G2269" s="108"/>
      <c r="H2269" s="108" t="s">
        <v>2898</v>
      </c>
      <c r="I2269" s="581">
        <v>11.95</v>
      </c>
      <c r="J2269" s="108" t="s">
        <v>2899</v>
      </c>
      <c r="K2269" s="581">
        <v>0</v>
      </c>
      <c r="L2269" s="108" t="s">
        <v>2900</v>
      </c>
      <c r="M2269" s="581">
        <v>11.95</v>
      </c>
      <c r="N2269" s="573">
        <v>84.76</v>
      </c>
      <c r="O2269" s="556" t="str">
        <f t="shared" si="235"/>
        <v>DIF</v>
      </c>
      <c r="P2269" s="573"/>
      <c r="Q2269" s="556"/>
      <c r="R2269" s="582"/>
    </row>
    <row r="2270" ht="26.25" spans="1:18">
      <c r="A2270" s="556">
        <f t="shared" si="236"/>
        <v>0</v>
      </c>
      <c r="B2270" s="557">
        <f t="shared" si="237"/>
        <v>0</v>
      </c>
      <c r="C2270" s="108"/>
      <c r="D2270" s="108"/>
      <c r="E2270" s="108"/>
      <c r="F2270" s="108"/>
      <c r="G2270" s="108"/>
      <c r="H2270" s="108" t="s">
        <v>2901</v>
      </c>
      <c r="I2270" s="581">
        <v>22.87</v>
      </c>
      <c r="J2270" s="114"/>
      <c r="K2270" s="114" t="s">
        <v>2902</v>
      </c>
      <c r="L2270" s="108"/>
      <c r="M2270" s="581">
        <v>112.63</v>
      </c>
      <c r="N2270" s="573">
        <v>0.45</v>
      </c>
      <c r="O2270" s="556" t="str">
        <f t="shared" si="235"/>
        <v>DIF</v>
      </c>
      <c r="P2270" s="573"/>
      <c r="Q2270" s="556"/>
      <c r="R2270" s="582"/>
    </row>
    <row r="2271" ht="15" spans="1:18">
      <c r="A2271" s="556">
        <f t="shared" si="236"/>
        <v>0</v>
      </c>
      <c r="B2271" s="557">
        <f t="shared" si="237"/>
        <v>0</v>
      </c>
      <c r="C2271" s="571"/>
      <c r="D2271" s="571"/>
      <c r="E2271" s="571"/>
      <c r="F2271" s="571"/>
      <c r="G2271" s="571"/>
      <c r="H2271" s="571"/>
      <c r="I2271" s="571"/>
      <c r="J2271" s="571"/>
      <c r="K2271" s="571"/>
      <c r="L2271" s="571"/>
      <c r="M2271" s="571"/>
      <c r="N2271" s="573">
        <v>53.5</v>
      </c>
      <c r="O2271" s="556" t="str">
        <f t="shared" si="235"/>
        <v>DIF</v>
      </c>
      <c r="P2271" s="573"/>
      <c r="Q2271" s="556"/>
      <c r="R2271" s="582"/>
    </row>
    <row r="2272" ht="15" customHeight="1" spans="1:18">
      <c r="A2272" s="556">
        <f t="shared" si="236"/>
        <v>0</v>
      </c>
      <c r="B2272" s="557">
        <f t="shared" si="237"/>
        <v>0</v>
      </c>
      <c r="C2272" s="76" t="s">
        <v>791</v>
      </c>
      <c r="D2272" s="75" t="s">
        <v>63</v>
      </c>
      <c r="E2272" s="76" t="s">
        <v>64</v>
      </c>
      <c r="F2272" s="76" t="s">
        <v>65</v>
      </c>
      <c r="G2272" s="76" t="s">
        <v>2889</v>
      </c>
      <c r="H2272" s="76"/>
      <c r="I2272" s="77" t="s">
        <v>66</v>
      </c>
      <c r="J2272" s="75" t="s">
        <v>67</v>
      </c>
      <c r="K2272" s="75" t="s">
        <v>2890</v>
      </c>
      <c r="L2272" s="75" t="s">
        <v>68</v>
      </c>
      <c r="M2272" s="75" t="s">
        <v>70</v>
      </c>
      <c r="N2272" s="573">
        <v>0.08</v>
      </c>
      <c r="O2272" s="556" t="str">
        <f t="shared" si="235"/>
        <v>DIF</v>
      </c>
      <c r="P2272" s="573"/>
      <c r="Q2272" s="556"/>
      <c r="R2272" s="582"/>
    </row>
    <row r="2273" ht="38.25" spans="1:18">
      <c r="A2273" s="556">
        <f t="shared" si="236"/>
        <v>0</v>
      </c>
      <c r="B2273" s="557">
        <f t="shared" si="237"/>
        <v>0</v>
      </c>
      <c r="C2273" s="569" t="s">
        <v>2891</v>
      </c>
      <c r="D2273" s="570" t="s">
        <v>792</v>
      </c>
      <c r="E2273" s="569" t="s">
        <v>132</v>
      </c>
      <c r="F2273" s="569" t="s">
        <v>793</v>
      </c>
      <c r="G2273" s="569">
        <v>55</v>
      </c>
      <c r="H2273" s="569"/>
      <c r="I2273" s="577" t="s">
        <v>134</v>
      </c>
      <c r="J2273" s="578">
        <v>1</v>
      </c>
      <c r="K2273" s="579"/>
      <c r="L2273" s="579">
        <v>110.56</v>
      </c>
      <c r="M2273" s="579">
        <v>110.56</v>
      </c>
      <c r="N2273" s="573">
        <v>584.47</v>
      </c>
      <c r="O2273" s="556" t="str">
        <f t="shared" si="235"/>
        <v>DIF</v>
      </c>
      <c r="P2273" s="573"/>
      <c r="Q2273" s="556"/>
      <c r="R2273" s="582"/>
    </row>
    <row r="2274" ht="23.85" customHeight="1" spans="1:18">
      <c r="A2274" s="556">
        <f t="shared" si="236"/>
        <v>0</v>
      </c>
      <c r="B2274" s="557">
        <f t="shared" si="237"/>
        <v>0</v>
      </c>
      <c r="C2274" s="79" t="s">
        <v>2921</v>
      </c>
      <c r="D2274" s="78" t="s">
        <v>3144</v>
      </c>
      <c r="E2274" s="79" t="s">
        <v>139</v>
      </c>
      <c r="F2274" s="79" t="s">
        <v>3145</v>
      </c>
      <c r="G2274" s="79" t="s">
        <v>2928</v>
      </c>
      <c r="H2274" s="79"/>
      <c r="I2274" s="80" t="s">
        <v>2897</v>
      </c>
      <c r="J2274" s="583">
        <v>0.258</v>
      </c>
      <c r="K2274" s="583">
        <v>0</v>
      </c>
      <c r="L2274" s="92">
        <v>35.55</v>
      </c>
      <c r="M2274" s="92">
        <v>9.17</v>
      </c>
      <c r="N2274" s="573">
        <v>1.92</v>
      </c>
      <c r="O2274" s="556" t="str">
        <f t="shared" si="235"/>
        <v>DIF</v>
      </c>
      <c r="P2274" s="573"/>
      <c r="Q2274" s="556"/>
      <c r="R2274" s="582"/>
    </row>
    <row r="2275" ht="23.85" customHeight="1" spans="1:18">
      <c r="A2275" s="556"/>
      <c r="B2275" s="557"/>
      <c r="C2275" s="79" t="s">
        <v>2921</v>
      </c>
      <c r="D2275" s="78" t="s">
        <v>3146</v>
      </c>
      <c r="E2275" s="79" t="s">
        <v>139</v>
      </c>
      <c r="F2275" s="79" t="s">
        <v>3147</v>
      </c>
      <c r="G2275" s="79" t="s">
        <v>2928</v>
      </c>
      <c r="H2275" s="79"/>
      <c r="I2275" s="80" t="s">
        <v>2897</v>
      </c>
      <c r="J2275" s="583">
        <v>0.258</v>
      </c>
      <c r="K2275" s="583">
        <v>0</v>
      </c>
      <c r="L2275" s="92">
        <v>29.54</v>
      </c>
      <c r="M2275" s="92">
        <v>7.62</v>
      </c>
      <c r="N2275" s="573"/>
      <c r="O2275" s="556"/>
      <c r="P2275" s="573"/>
      <c r="Q2275" s="556"/>
      <c r="R2275" s="582"/>
    </row>
    <row r="2276" ht="15" customHeight="1" spans="1:18">
      <c r="A2276" s="556"/>
      <c r="B2276" s="557"/>
      <c r="C2276" s="100" t="s">
        <v>2893</v>
      </c>
      <c r="D2276" s="99" t="s">
        <v>3662</v>
      </c>
      <c r="E2276" s="100" t="s">
        <v>149</v>
      </c>
      <c r="F2276" s="100" t="s">
        <v>3663</v>
      </c>
      <c r="G2276" s="100" t="s">
        <v>2961</v>
      </c>
      <c r="H2276" s="100"/>
      <c r="I2276" s="101" t="s">
        <v>204</v>
      </c>
      <c r="J2276" s="580">
        <v>0.319</v>
      </c>
      <c r="K2276" s="580">
        <v>0</v>
      </c>
      <c r="L2276" s="102">
        <v>0.35</v>
      </c>
      <c r="M2276" s="102">
        <v>0.11</v>
      </c>
      <c r="N2276" s="573"/>
      <c r="O2276" s="556"/>
      <c r="P2276" s="573"/>
      <c r="Q2276" s="556"/>
      <c r="R2276" s="582"/>
    </row>
    <row r="2277" ht="15" customHeight="1" spans="1:18">
      <c r="A2277" s="556"/>
      <c r="B2277" s="557"/>
      <c r="C2277" s="100" t="s">
        <v>2893</v>
      </c>
      <c r="D2277" s="99" t="s">
        <v>3666</v>
      </c>
      <c r="E2277" s="100" t="s">
        <v>149</v>
      </c>
      <c r="F2277" s="100" t="s">
        <v>3667</v>
      </c>
      <c r="G2277" s="100" t="s">
        <v>2961</v>
      </c>
      <c r="H2277" s="100"/>
      <c r="I2277" s="101" t="s">
        <v>134</v>
      </c>
      <c r="J2277" s="580">
        <v>1</v>
      </c>
      <c r="K2277" s="580">
        <v>0</v>
      </c>
      <c r="L2277" s="102">
        <v>93.66</v>
      </c>
      <c r="M2277" s="102">
        <v>93.66</v>
      </c>
      <c r="N2277" s="573"/>
      <c r="O2277" s="556"/>
      <c r="P2277" s="573"/>
      <c r="Q2277" s="556"/>
      <c r="R2277" s="582"/>
    </row>
    <row r="2278" ht="25.5" spans="1:18">
      <c r="A2278" s="556"/>
      <c r="B2278" s="557"/>
      <c r="C2278" s="108"/>
      <c r="D2278" s="108"/>
      <c r="E2278" s="108"/>
      <c r="F2278" s="108"/>
      <c r="G2278" s="108"/>
      <c r="H2278" s="108" t="s">
        <v>2898</v>
      </c>
      <c r="I2278" s="581">
        <v>11.95</v>
      </c>
      <c r="J2278" s="108" t="s">
        <v>2899</v>
      </c>
      <c r="K2278" s="581">
        <v>0</v>
      </c>
      <c r="L2278" s="108" t="s">
        <v>2900</v>
      </c>
      <c r="M2278" s="581">
        <v>11.95</v>
      </c>
      <c r="N2278" s="573"/>
      <c r="O2278" s="556"/>
      <c r="P2278" s="573"/>
      <c r="Q2278" s="556"/>
      <c r="R2278" s="582"/>
    </row>
    <row r="2279" ht="26.25" spans="1:18">
      <c r="A2279" s="556"/>
      <c r="B2279" s="557"/>
      <c r="C2279" s="108"/>
      <c r="D2279" s="108"/>
      <c r="E2279" s="108"/>
      <c r="F2279" s="108"/>
      <c r="G2279" s="108"/>
      <c r="H2279" s="108" t="s">
        <v>2901</v>
      </c>
      <c r="I2279" s="581">
        <v>28.18</v>
      </c>
      <c r="J2279" s="114"/>
      <c r="K2279" s="114" t="s">
        <v>2902</v>
      </c>
      <c r="L2279" s="108"/>
      <c r="M2279" s="581">
        <v>138.74</v>
      </c>
      <c r="N2279" s="573"/>
      <c r="O2279" s="556"/>
      <c r="P2279" s="573"/>
      <c r="Q2279" s="556"/>
      <c r="R2279" s="582"/>
    </row>
    <row r="2280" ht="15" spans="1:18">
      <c r="A2280" s="556"/>
      <c r="B2280" s="557">
        <f>C2279</f>
        <v>0</v>
      </c>
      <c r="C2280" s="571"/>
      <c r="D2280" s="571"/>
      <c r="E2280" s="571"/>
      <c r="F2280" s="571"/>
      <c r="G2280" s="571"/>
      <c r="H2280" s="571"/>
      <c r="I2280" s="571"/>
      <c r="J2280" s="571"/>
      <c r="K2280" s="571"/>
      <c r="L2280" s="571"/>
      <c r="M2280" s="571"/>
      <c r="N2280" s="573">
        <v>24.14</v>
      </c>
      <c r="O2280" s="556" t="str">
        <f>IF(N2280=M2280,"OK","DIF")</f>
        <v>DIF</v>
      </c>
      <c r="P2280" s="573"/>
      <c r="Q2280" s="556"/>
      <c r="R2280" s="582"/>
    </row>
    <row r="2281" ht="15" customHeight="1" spans="1:18">
      <c r="A2281" s="556">
        <f>B2281</f>
        <v>0</v>
      </c>
      <c r="B2281" s="557">
        <f>B2280</f>
        <v>0</v>
      </c>
      <c r="C2281" s="76" t="s">
        <v>794</v>
      </c>
      <c r="D2281" s="75" t="s">
        <v>63</v>
      </c>
      <c r="E2281" s="76" t="s">
        <v>64</v>
      </c>
      <c r="F2281" s="76" t="s">
        <v>65</v>
      </c>
      <c r="G2281" s="76" t="s">
        <v>2889</v>
      </c>
      <c r="H2281" s="76"/>
      <c r="I2281" s="77" t="s">
        <v>66</v>
      </c>
      <c r="J2281" s="75" t="s">
        <v>67</v>
      </c>
      <c r="K2281" s="75" t="s">
        <v>2890</v>
      </c>
      <c r="L2281" s="75" t="s">
        <v>68</v>
      </c>
      <c r="M2281" s="75" t="s">
        <v>70</v>
      </c>
      <c r="N2281" s="573">
        <v>13.22</v>
      </c>
      <c r="O2281" s="556" t="str">
        <f>IF(N2281=M2281,"OK","DIF")</f>
        <v>DIF</v>
      </c>
      <c r="P2281" s="573"/>
      <c r="Q2281" s="556"/>
      <c r="R2281" s="582"/>
    </row>
    <row r="2282" ht="35.05" customHeight="1" spans="1:18">
      <c r="A2282" s="556">
        <f>B2282</f>
        <v>0</v>
      </c>
      <c r="B2282" s="557">
        <f>B2281</f>
        <v>0</v>
      </c>
      <c r="C2282" s="569" t="s">
        <v>2891</v>
      </c>
      <c r="D2282" s="570" t="s">
        <v>795</v>
      </c>
      <c r="E2282" s="569" t="s">
        <v>796</v>
      </c>
      <c r="F2282" s="569" t="s">
        <v>797</v>
      </c>
      <c r="G2282" s="569" t="s">
        <v>3668</v>
      </c>
      <c r="H2282" s="569"/>
      <c r="I2282" s="577" t="s">
        <v>334</v>
      </c>
      <c r="J2282" s="578">
        <v>1</v>
      </c>
      <c r="K2282" s="579"/>
      <c r="L2282" s="579">
        <v>2165.01</v>
      </c>
      <c r="M2282" s="579">
        <v>2165.01</v>
      </c>
      <c r="N2282" s="573">
        <v>10.92</v>
      </c>
      <c r="O2282" s="556" t="str">
        <f>IF(N2282=M2282,"OK","DIF")</f>
        <v>DIF</v>
      </c>
      <c r="P2282" s="573"/>
      <c r="Q2282" s="556"/>
      <c r="R2282" s="582"/>
    </row>
    <row r="2283" ht="35.05" customHeight="1" spans="1:18">
      <c r="A2283" s="556"/>
      <c r="B2283" s="557"/>
      <c r="C2283" s="100" t="s">
        <v>2893</v>
      </c>
      <c r="D2283" s="99" t="s">
        <v>3669</v>
      </c>
      <c r="E2283" s="100" t="s">
        <v>796</v>
      </c>
      <c r="F2283" s="100" t="s">
        <v>3670</v>
      </c>
      <c r="G2283" s="100" t="s">
        <v>3395</v>
      </c>
      <c r="H2283" s="100"/>
      <c r="I2283" s="101" t="s">
        <v>334</v>
      </c>
      <c r="J2283" s="580">
        <v>1</v>
      </c>
      <c r="K2283" s="580">
        <v>0</v>
      </c>
      <c r="L2283" s="102">
        <v>2165.01</v>
      </c>
      <c r="M2283" s="102">
        <v>2165.01</v>
      </c>
      <c r="N2283" s="573"/>
      <c r="O2283" s="556"/>
      <c r="P2283" s="573"/>
      <c r="Q2283" s="556"/>
      <c r="R2283" s="582"/>
    </row>
    <row r="2284" ht="25.5" spans="1:18">
      <c r="A2284" s="556"/>
      <c r="B2284" s="557"/>
      <c r="C2284" s="108"/>
      <c r="D2284" s="108"/>
      <c r="E2284" s="108"/>
      <c r="F2284" s="108"/>
      <c r="G2284" s="108"/>
      <c r="H2284" s="108" t="s">
        <v>2898</v>
      </c>
      <c r="I2284" s="581">
        <v>0</v>
      </c>
      <c r="J2284" s="108" t="s">
        <v>2899</v>
      </c>
      <c r="K2284" s="581">
        <v>0</v>
      </c>
      <c r="L2284" s="108" t="s">
        <v>2900</v>
      </c>
      <c r="M2284" s="581">
        <v>0</v>
      </c>
      <c r="N2284" s="573"/>
      <c r="O2284" s="556"/>
      <c r="P2284" s="573"/>
      <c r="Q2284" s="556"/>
      <c r="R2284" s="582"/>
    </row>
    <row r="2285" ht="26.25" spans="1:18">
      <c r="A2285" s="556"/>
      <c r="B2285" s="557">
        <f>C2284</f>
        <v>0</v>
      </c>
      <c r="C2285" s="108"/>
      <c r="D2285" s="108"/>
      <c r="E2285" s="108"/>
      <c r="F2285" s="108"/>
      <c r="G2285" s="108"/>
      <c r="H2285" s="108" t="s">
        <v>2901</v>
      </c>
      <c r="I2285" s="581">
        <v>551.86</v>
      </c>
      <c r="J2285" s="114"/>
      <c r="K2285" s="114" t="s">
        <v>2902</v>
      </c>
      <c r="L2285" s="108"/>
      <c r="M2285" s="581">
        <v>2716.87</v>
      </c>
      <c r="N2285" s="573">
        <v>24.14</v>
      </c>
      <c r="O2285" s="556" t="str">
        <f>IF(N2285=M2285,"OK","DIF")</f>
        <v>DIF</v>
      </c>
      <c r="P2285" s="573"/>
      <c r="Q2285" s="556"/>
      <c r="R2285" s="582"/>
    </row>
    <row r="2286" ht="15" spans="1:18">
      <c r="A2286" s="556">
        <f>B2286</f>
        <v>0</v>
      </c>
      <c r="B2286" s="557">
        <f>B2285</f>
        <v>0</v>
      </c>
      <c r="C2286" s="571"/>
      <c r="D2286" s="571"/>
      <c r="E2286" s="571"/>
      <c r="F2286" s="571"/>
      <c r="G2286" s="571"/>
      <c r="H2286" s="571"/>
      <c r="I2286" s="571"/>
      <c r="J2286" s="571"/>
      <c r="K2286" s="571"/>
      <c r="L2286" s="571"/>
      <c r="M2286" s="571"/>
      <c r="N2286" s="573">
        <v>10.92</v>
      </c>
      <c r="O2286" s="556" t="str">
        <f>IF(N2286=M2286,"OK","DIF")</f>
        <v>DIF</v>
      </c>
      <c r="P2286" s="573"/>
      <c r="Q2286" s="556"/>
      <c r="R2286" s="582"/>
    </row>
    <row r="2287" ht="15" customHeight="1" spans="1:18">
      <c r="A2287" s="556">
        <f>B2287</f>
        <v>0</v>
      </c>
      <c r="B2287" s="557">
        <f>B2286</f>
        <v>0</v>
      </c>
      <c r="C2287" s="76" t="s">
        <v>798</v>
      </c>
      <c r="D2287" s="75" t="s">
        <v>63</v>
      </c>
      <c r="E2287" s="76" t="s">
        <v>64</v>
      </c>
      <c r="F2287" s="76" t="s">
        <v>65</v>
      </c>
      <c r="G2287" s="76" t="s">
        <v>2889</v>
      </c>
      <c r="H2287" s="76"/>
      <c r="I2287" s="77" t="s">
        <v>66</v>
      </c>
      <c r="J2287" s="75" t="s">
        <v>67</v>
      </c>
      <c r="K2287" s="75" t="s">
        <v>2890</v>
      </c>
      <c r="L2287" s="75" t="s">
        <v>68</v>
      </c>
      <c r="M2287" s="75" t="s">
        <v>70</v>
      </c>
      <c r="N2287" s="573">
        <v>13.22</v>
      </c>
      <c r="O2287" s="556" t="str">
        <f>IF(N2287=M2287,"OK","DIF")</f>
        <v>DIF</v>
      </c>
      <c r="P2287" s="573"/>
      <c r="Q2287" s="556"/>
      <c r="R2287" s="582"/>
    </row>
    <row r="2288" ht="35.05" customHeight="1" spans="1:18">
      <c r="A2288" s="556"/>
      <c r="B2288" s="557"/>
      <c r="C2288" s="569" t="s">
        <v>2891</v>
      </c>
      <c r="D2288" s="570" t="s">
        <v>799</v>
      </c>
      <c r="E2288" s="569" t="s">
        <v>139</v>
      </c>
      <c r="F2288" s="569" t="s">
        <v>800</v>
      </c>
      <c r="G2288" s="569" t="s">
        <v>3671</v>
      </c>
      <c r="H2288" s="569"/>
      <c r="I2288" s="577" t="s">
        <v>134</v>
      </c>
      <c r="J2288" s="578">
        <v>1</v>
      </c>
      <c r="K2288" s="579"/>
      <c r="L2288" s="579">
        <v>2088.14</v>
      </c>
      <c r="M2288" s="579">
        <v>2088.14</v>
      </c>
      <c r="N2288" s="573"/>
      <c r="O2288" s="556"/>
      <c r="P2288" s="573"/>
      <c r="Q2288" s="556"/>
      <c r="R2288" s="582"/>
    </row>
    <row r="2289" ht="23.85" customHeight="1" spans="1:18">
      <c r="A2289" s="556"/>
      <c r="B2289" s="557"/>
      <c r="C2289" s="79" t="s">
        <v>2921</v>
      </c>
      <c r="D2289" s="78" t="s">
        <v>3153</v>
      </c>
      <c r="E2289" s="79" t="s">
        <v>139</v>
      </c>
      <c r="F2289" s="79" t="s">
        <v>3154</v>
      </c>
      <c r="G2289" s="79" t="s">
        <v>2928</v>
      </c>
      <c r="H2289" s="79"/>
      <c r="I2289" s="80" t="s">
        <v>2897</v>
      </c>
      <c r="J2289" s="583">
        <v>0.633</v>
      </c>
      <c r="K2289" s="583">
        <v>0</v>
      </c>
      <c r="L2289" s="92">
        <v>30.6</v>
      </c>
      <c r="M2289" s="92">
        <v>19.36</v>
      </c>
      <c r="N2289" s="573"/>
      <c r="O2289" s="556"/>
      <c r="P2289" s="573"/>
      <c r="Q2289" s="556"/>
      <c r="R2289" s="582"/>
    </row>
    <row r="2290" ht="23.85" customHeight="1" spans="1:18">
      <c r="A2290" s="556"/>
      <c r="B2290" s="557" t="str">
        <f>C2289</f>
        <v>Composição Auxiliar</v>
      </c>
      <c r="C2290" s="79" t="s">
        <v>2921</v>
      </c>
      <c r="D2290" s="78" t="s">
        <v>3144</v>
      </c>
      <c r="E2290" s="79" t="s">
        <v>139</v>
      </c>
      <c r="F2290" s="79" t="s">
        <v>3145</v>
      </c>
      <c r="G2290" s="79" t="s">
        <v>2928</v>
      </c>
      <c r="H2290" s="79"/>
      <c r="I2290" s="80" t="s">
        <v>2897</v>
      </c>
      <c r="J2290" s="583">
        <v>2.2774</v>
      </c>
      <c r="K2290" s="583">
        <v>0</v>
      </c>
      <c r="L2290" s="92">
        <v>35.55</v>
      </c>
      <c r="M2290" s="92">
        <v>80.96</v>
      </c>
      <c r="N2290" s="573">
        <v>24.14</v>
      </c>
      <c r="O2290" s="556" t="str">
        <f>IF(N2290=M2290,"OK","DIF")</f>
        <v>DIF</v>
      </c>
      <c r="P2290" s="573"/>
      <c r="Q2290" s="556"/>
      <c r="R2290" s="582"/>
    </row>
    <row r="2291" ht="23.85" customHeight="1" spans="1:18">
      <c r="A2291" s="556" t="str">
        <f>B2291</f>
        <v>Composição Auxiliar</v>
      </c>
      <c r="B2291" s="557" t="str">
        <f>B2290</f>
        <v>Composição Auxiliar</v>
      </c>
      <c r="C2291" s="79" t="s">
        <v>2921</v>
      </c>
      <c r="D2291" s="78" t="s">
        <v>3151</v>
      </c>
      <c r="E2291" s="79" t="s">
        <v>139</v>
      </c>
      <c r="F2291" s="79" t="s">
        <v>3152</v>
      </c>
      <c r="G2291" s="79" t="s">
        <v>2928</v>
      </c>
      <c r="H2291" s="79"/>
      <c r="I2291" s="80" t="s">
        <v>2897</v>
      </c>
      <c r="J2291" s="583">
        <v>0.633</v>
      </c>
      <c r="K2291" s="583">
        <v>0</v>
      </c>
      <c r="L2291" s="92">
        <v>36.82</v>
      </c>
      <c r="M2291" s="92">
        <v>23.3</v>
      </c>
      <c r="N2291" s="573">
        <v>10.92</v>
      </c>
      <c r="O2291" s="556" t="str">
        <f>IF(N2291=M2291,"OK","DIF")</f>
        <v>DIF</v>
      </c>
      <c r="P2291" s="573"/>
      <c r="Q2291" s="556"/>
      <c r="R2291" s="582"/>
    </row>
    <row r="2292" ht="23.85" customHeight="1" spans="1:18">
      <c r="A2292" s="556" t="str">
        <f>B2292</f>
        <v>Composição Auxiliar</v>
      </c>
      <c r="B2292" s="557" t="str">
        <f>B2291</f>
        <v>Composição Auxiliar</v>
      </c>
      <c r="C2292" s="79" t="s">
        <v>2921</v>
      </c>
      <c r="D2292" s="78" t="s">
        <v>3146</v>
      </c>
      <c r="E2292" s="79" t="s">
        <v>139</v>
      </c>
      <c r="F2292" s="79" t="s">
        <v>3147</v>
      </c>
      <c r="G2292" s="79" t="s">
        <v>2928</v>
      </c>
      <c r="H2292" s="79"/>
      <c r="I2292" s="80" t="s">
        <v>2897</v>
      </c>
      <c r="J2292" s="583">
        <v>2.2774</v>
      </c>
      <c r="K2292" s="583">
        <v>0</v>
      </c>
      <c r="L2292" s="92">
        <v>29.54</v>
      </c>
      <c r="M2292" s="92">
        <v>67.27</v>
      </c>
      <c r="N2292" s="573">
        <v>13.22</v>
      </c>
      <c r="O2292" s="556" t="str">
        <f>IF(N2292=M2292,"OK","DIF")</f>
        <v>DIF</v>
      </c>
      <c r="P2292" s="573"/>
      <c r="Q2292" s="556"/>
      <c r="R2292" s="582"/>
    </row>
    <row r="2293" ht="35.05" customHeight="1" spans="1:18">
      <c r="A2293" s="556"/>
      <c r="B2293" s="557"/>
      <c r="C2293" s="100" t="s">
        <v>2893</v>
      </c>
      <c r="D2293" s="99" t="s">
        <v>3672</v>
      </c>
      <c r="E2293" s="100" t="s">
        <v>139</v>
      </c>
      <c r="F2293" s="100" t="s">
        <v>3673</v>
      </c>
      <c r="G2293" s="100" t="s">
        <v>2961</v>
      </c>
      <c r="H2293" s="100"/>
      <c r="I2293" s="101" t="s">
        <v>134</v>
      </c>
      <c r="J2293" s="580">
        <v>4</v>
      </c>
      <c r="K2293" s="580">
        <v>0</v>
      </c>
      <c r="L2293" s="102">
        <v>1.42</v>
      </c>
      <c r="M2293" s="102">
        <v>5.68</v>
      </c>
      <c r="N2293" s="573"/>
      <c r="O2293" s="556"/>
      <c r="P2293" s="573"/>
      <c r="Q2293" s="556"/>
      <c r="R2293" s="582"/>
    </row>
    <row r="2294" ht="15" customHeight="1" spans="1:18">
      <c r="A2294" s="556"/>
      <c r="B2294" s="557"/>
      <c r="C2294" s="100" t="s">
        <v>2893</v>
      </c>
      <c r="D2294" s="99" t="s">
        <v>3674</v>
      </c>
      <c r="E2294" s="100" t="s">
        <v>139</v>
      </c>
      <c r="F2294" s="100" t="s">
        <v>3675</v>
      </c>
      <c r="G2294" s="100" t="s">
        <v>2961</v>
      </c>
      <c r="H2294" s="100"/>
      <c r="I2294" s="101" t="s">
        <v>134</v>
      </c>
      <c r="J2294" s="580">
        <v>4</v>
      </c>
      <c r="K2294" s="580">
        <v>0</v>
      </c>
      <c r="L2294" s="102">
        <v>0.4</v>
      </c>
      <c r="M2294" s="102">
        <v>1.6</v>
      </c>
      <c r="N2294" s="573"/>
      <c r="O2294" s="556"/>
      <c r="P2294" s="573"/>
      <c r="Q2294" s="556"/>
      <c r="R2294" s="582"/>
    </row>
    <row r="2295" ht="15" customHeight="1" spans="1:18">
      <c r="A2295" s="556"/>
      <c r="B2295" s="557" t="str">
        <f>C2294</f>
        <v>Insumo</v>
      </c>
      <c r="C2295" s="100" t="s">
        <v>2893</v>
      </c>
      <c r="D2295" s="99" t="s">
        <v>3676</v>
      </c>
      <c r="E2295" s="100" t="s">
        <v>139</v>
      </c>
      <c r="F2295" s="100" t="s">
        <v>3677</v>
      </c>
      <c r="G2295" s="100" t="s">
        <v>2961</v>
      </c>
      <c r="H2295" s="100"/>
      <c r="I2295" s="101" t="s">
        <v>204</v>
      </c>
      <c r="J2295" s="580">
        <v>0.2</v>
      </c>
      <c r="K2295" s="580">
        <v>0</v>
      </c>
      <c r="L2295" s="102">
        <v>3.52</v>
      </c>
      <c r="M2295" s="102">
        <v>0.7</v>
      </c>
      <c r="N2295" s="573">
        <v>71.02</v>
      </c>
      <c r="O2295" s="556" t="str">
        <f t="shared" ref="O2295:O2303" si="238">IF(N2295=M2295,"OK","DIF")</f>
        <v>DIF</v>
      </c>
      <c r="P2295" s="573"/>
      <c r="Q2295" s="556"/>
      <c r="R2295" s="582"/>
    </row>
    <row r="2296" ht="35.05" customHeight="1" spans="1:18">
      <c r="A2296" s="556" t="str">
        <f t="shared" ref="A2296:A2303" si="239">B2296</f>
        <v>Insumo</v>
      </c>
      <c r="B2296" s="557" t="str">
        <f t="shared" ref="B2296:B2303" si="240">B2295</f>
        <v>Insumo</v>
      </c>
      <c r="C2296" s="100" t="s">
        <v>2893</v>
      </c>
      <c r="D2296" s="99" t="s">
        <v>3678</v>
      </c>
      <c r="E2296" s="100" t="s">
        <v>139</v>
      </c>
      <c r="F2296" s="100" t="s">
        <v>3679</v>
      </c>
      <c r="G2296" s="100" t="s">
        <v>3680</v>
      </c>
      <c r="H2296" s="100"/>
      <c r="I2296" s="101" t="s">
        <v>134</v>
      </c>
      <c r="J2296" s="580">
        <v>1</v>
      </c>
      <c r="K2296" s="580">
        <v>0</v>
      </c>
      <c r="L2296" s="102">
        <v>1889.27</v>
      </c>
      <c r="M2296" s="102">
        <v>1889.27</v>
      </c>
      <c r="N2296" s="573">
        <v>27.3</v>
      </c>
      <c r="O2296" s="556" t="str">
        <f t="shared" si="238"/>
        <v>DIF</v>
      </c>
      <c r="P2296" s="573"/>
      <c r="Q2296" s="556"/>
      <c r="R2296" s="582"/>
    </row>
    <row r="2297" ht="25.5" spans="1:18">
      <c r="A2297" s="556" t="str">
        <f t="shared" si="239"/>
        <v>Insumo</v>
      </c>
      <c r="B2297" s="557" t="str">
        <f t="shared" si="240"/>
        <v>Insumo</v>
      </c>
      <c r="C2297" s="108"/>
      <c r="D2297" s="108"/>
      <c r="E2297" s="108"/>
      <c r="F2297" s="108"/>
      <c r="G2297" s="108"/>
      <c r="H2297" s="108" t="s">
        <v>2898</v>
      </c>
      <c r="I2297" s="581">
        <v>135.49</v>
      </c>
      <c r="J2297" s="108" t="s">
        <v>2899</v>
      </c>
      <c r="K2297" s="581">
        <v>0</v>
      </c>
      <c r="L2297" s="108" t="s">
        <v>2900</v>
      </c>
      <c r="M2297" s="581">
        <v>135.49</v>
      </c>
      <c r="N2297" s="573">
        <v>33.07</v>
      </c>
      <c r="O2297" s="556" t="str">
        <f t="shared" si="238"/>
        <v>DIF</v>
      </c>
      <c r="P2297" s="573"/>
      <c r="Q2297" s="556"/>
      <c r="R2297" s="582"/>
    </row>
    <row r="2298" ht="26.25" spans="1:18">
      <c r="A2298" s="556" t="str">
        <f t="shared" si="239"/>
        <v>Insumo</v>
      </c>
      <c r="B2298" s="557" t="str">
        <f t="shared" si="240"/>
        <v>Insumo</v>
      </c>
      <c r="C2298" s="108"/>
      <c r="D2298" s="108"/>
      <c r="E2298" s="108"/>
      <c r="F2298" s="108"/>
      <c r="G2298" s="108"/>
      <c r="H2298" s="108" t="s">
        <v>2901</v>
      </c>
      <c r="I2298" s="581">
        <v>532.26</v>
      </c>
      <c r="J2298" s="114"/>
      <c r="K2298" s="114" t="s">
        <v>2902</v>
      </c>
      <c r="L2298" s="108"/>
      <c r="M2298" s="581">
        <v>2620.4</v>
      </c>
      <c r="N2298" s="573">
        <v>1.84</v>
      </c>
      <c r="O2298" s="556" t="str">
        <f t="shared" si="238"/>
        <v>DIF</v>
      </c>
      <c r="P2298" s="573"/>
      <c r="Q2298" s="556"/>
      <c r="R2298" s="582"/>
    </row>
    <row r="2299" ht="15" spans="1:18">
      <c r="A2299" s="556" t="str">
        <f t="shared" si="239"/>
        <v>Insumo</v>
      </c>
      <c r="B2299" s="557" t="str">
        <f t="shared" si="240"/>
        <v>Insumo</v>
      </c>
      <c r="C2299" s="571"/>
      <c r="D2299" s="571"/>
      <c r="E2299" s="571"/>
      <c r="F2299" s="571"/>
      <c r="G2299" s="571"/>
      <c r="H2299" s="571"/>
      <c r="I2299" s="571"/>
      <c r="J2299" s="571"/>
      <c r="K2299" s="571"/>
      <c r="L2299" s="571"/>
      <c r="M2299" s="571"/>
      <c r="N2299" s="573">
        <v>5.91</v>
      </c>
      <c r="O2299" s="556" t="str">
        <f t="shared" si="238"/>
        <v>DIF</v>
      </c>
      <c r="P2299" s="573"/>
      <c r="Q2299" s="556"/>
      <c r="R2299" s="582"/>
    </row>
    <row r="2300" ht="15" customHeight="1" spans="1:18">
      <c r="A2300" s="556" t="str">
        <f t="shared" si="239"/>
        <v>Insumo</v>
      </c>
      <c r="B2300" s="557" t="str">
        <f t="shared" si="240"/>
        <v>Insumo</v>
      </c>
      <c r="C2300" s="76" t="s">
        <v>801</v>
      </c>
      <c r="D2300" s="75" t="s">
        <v>63</v>
      </c>
      <c r="E2300" s="76" t="s">
        <v>64</v>
      </c>
      <c r="F2300" s="76" t="s">
        <v>65</v>
      </c>
      <c r="G2300" s="76" t="s">
        <v>2889</v>
      </c>
      <c r="H2300" s="76"/>
      <c r="I2300" s="77" t="s">
        <v>66</v>
      </c>
      <c r="J2300" s="75" t="s">
        <v>67</v>
      </c>
      <c r="K2300" s="75" t="s">
        <v>2890</v>
      </c>
      <c r="L2300" s="75" t="s">
        <v>68</v>
      </c>
      <c r="M2300" s="75" t="s">
        <v>70</v>
      </c>
      <c r="N2300" s="573">
        <v>0.52</v>
      </c>
      <c r="O2300" s="556" t="str">
        <f t="shared" si="238"/>
        <v>DIF</v>
      </c>
      <c r="P2300" s="573"/>
      <c r="Q2300" s="556"/>
      <c r="R2300" s="582"/>
    </row>
    <row r="2301" ht="51" spans="1:18">
      <c r="A2301" s="556" t="str">
        <f t="shared" si="239"/>
        <v>Insumo</v>
      </c>
      <c r="B2301" s="557" t="str">
        <f t="shared" si="240"/>
        <v>Insumo</v>
      </c>
      <c r="C2301" s="569" t="s">
        <v>2891</v>
      </c>
      <c r="D2301" s="570" t="s">
        <v>802</v>
      </c>
      <c r="E2301" s="569" t="s">
        <v>132</v>
      </c>
      <c r="F2301" s="569" t="s">
        <v>803</v>
      </c>
      <c r="G2301" s="569">
        <v>18</v>
      </c>
      <c r="H2301" s="569"/>
      <c r="I2301" s="577" t="s">
        <v>134</v>
      </c>
      <c r="J2301" s="578">
        <v>1</v>
      </c>
      <c r="K2301" s="579"/>
      <c r="L2301" s="579">
        <v>51663</v>
      </c>
      <c r="M2301" s="579">
        <v>51663</v>
      </c>
      <c r="N2301" s="573">
        <v>0.21</v>
      </c>
      <c r="O2301" s="556" t="str">
        <f t="shared" si="238"/>
        <v>DIF</v>
      </c>
      <c r="P2301" s="573"/>
      <c r="Q2301" s="556"/>
      <c r="R2301" s="582"/>
    </row>
    <row r="2302" ht="46.25" customHeight="1" spans="1:18">
      <c r="A2302" s="556" t="str">
        <f t="shared" si="239"/>
        <v>Insumo</v>
      </c>
      <c r="B2302" s="557" t="str">
        <f t="shared" si="240"/>
        <v>Insumo</v>
      </c>
      <c r="C2302" s="100" t="s">
        <v>2893</v>
      </c>
      <c r="D2302" s="99" t="s">
        <v>3681</v>
      </c>
      <c r="E2302" s="100" t="s">
        <v>132</v>
      </c>
      <c r="F2302" s="100" t="s">
        <v>3682</v>
      </c>
      <c r="G2302" s="100" t="s">
        <v>2961</v>
      </c>
      <c r="H2302" s="100"/>
      <c r="I2302" s="101" t="s">
        <v>134</v>
      </c>
      <c r="J2302" s="580">
        <v>1</v>
      </c>
      <c r="K2302" s="580">
        <v>0</v>
      </c>
      <c r="L2302" s="102">
        <v>4199</v>
      </c>
      <c r="M2302" s="102">
        <v>4199</v>
      </c>
      <c r="N2302" s="573">
        <v>1.96</v>
      </c>
      <c r="O2302" s="556" t="str">
        <f t="shared" si="238"/>
        <v>DIF</v>
      </c>
      <c r="P2302" s="573"/>
      <c r="Q2302" s="556"/>
      <c r="R2302" s="582"/>
    </row>
    <row r="2303" ht="46.25" customHeight="1" spans="1:18">
      <c r="A2303" s="556" t="str">
        <f t="shared" si="239"/>
        <v>Insumo</v>
      </c>
      <c r="B2303" s="557" t="str">
        <f t="shared" si="240"/>
        <v>Insumo</v>
      </c>
      <c r="C2303" s="100" t="s">
        <v>2893</v>
      </c>
      <c r="D2303" s="99" t="s">
        <v>3683</v>
      </c>
      <c r="E2303" s="100" t="s">
        <v>132</v>
      </c>
      <c r="F2303" s="100" t="s">
        <v>3684</v>
      </c>
      <c r="G2303" s="100" t="s">
        <v>2961</v>
      </c>
      <c r="H2303" s="100"/>
      <c r="I2303" s="101" t="s">
        <v>134</v>
      </c>
      <c r="J2303" s="580">
        <v>1</v>
      </c>
      <c r="K2303" s="580">
        <v>0</v>
      </c>
      <c r="L2303" s="102">
        <v>46620</v>
      </c>
      <c r="M2303" s="102">
        <v>46620</v>
      </c>
      <c r="N2303" s="573">
        <v>0.21</v>
      </c>
      <c r="O2303" s="556" t="str">
        <f t="shared" si="238"/>
        <v>DIF</v>
      </c>
      <c r="P2303" s="573"/>
      <c r="Q2303" s="556"/>
      <c r="R2303" s="582"/>
    </row>
    <row r="2304" ht="46.25" customHeight="1" spans="1:18">
      <c r="A2304" s="556"/>
      <c r="B2304" s="557"/>
      <c r="C2304" s="100" t="s">
        <v>2893</v>
      </c>
      <c r="D2304" s="99" t="s">
        <v>3685</v>
      </c>
      <c r="E2304" s="100" t="s">
        <v>132</v>
      </c>
      <c r="F2304" s="100" t="s">
        <v>3686</v>
      </c>
      <c r="G2304" s="100" t="s">
        <v>2961</v>
      </c>
      <c r="H2304" s="100"/>
      <c r="I2304" s="101" t="s">
        <v>134</v>
      </c>
      <c r="J2304" s="580">
        <v>1</v>
      </c>
      <c r="K2304" s="580">
        <v>0</v>
      </c>
      <c r="L2304" s="102">
        <v>844</v>
      </c>
      <c r="M2304" s="102">
        <v>844</v>
      </c>
      <c r="N2304" s="573"/>
      <c r="O2304" s="556"/>
      <c r="P2304" s="573"/>
      <c r="Q2304" s="556"/>
      <c r="R2304" s="582"/>
    </row>
    <row r="2305" ht="25.5" spans="1:18">
      <c r="A2305" s="556"/>
      <c r="B2305" s="557"/>
      <c r="C2305" s="108"/>
      <c r="D2305" s="108"/>
      <c r="E2305" s="108"/>
      <c r="F2305" s="108"/>
      <c r="G2305" s="108"/>
      <c r="H2305" s="108" t="s">
        <v>2898</v>
      </c>
      <c r="I2305" s="581">
        <v>0</v>
      </c>
      <c r="J2305" s="108" t="s">
        <v>2899</v>
      </c>
      <c r="K2305" s="581">
        <v>0</v>
      </c>
      <c r="L2305" s="108" t="s">
        <v>2900</v>
      </c>
      <c r="M2305" s="581">
        <v>0</v>
      </c>
      <c r="N2305" s="573"/>
      <c r="O2305" s="556"/>
      <c r="P2305" s="573"/>
      <c r="Q2305" s="556"/>
      <c r="R2305" s="582"/>
    </row>
    <row r="2306" ht="26.25" spans="1:18">
      <c r="A2306" s="556"/>
      <c r="B2306" s="557">
        <f>C2305</f>
        <v>0</v>
      </c>
      <c r="C2306" s="108"/>
      <c r="D2306" s="108"/>
      <c r="E2306" s="108"/>
      <c r="F2306" s="108"/>
      <c r="G2306" s="108"/>
      <c r="H2306" s="108" t="s">
        <v>2901</v>
      </c>
      <c r="I2306" s="581">
        <v>13168.89</v>
      </c>
      <c r="J2306" s="114"/>
      <c r="K2306" s="114" t="s">
        <v>2902</v>
      </c>
      <c r="L2306" s="108"/>
      <c r="M2306" s="581">
        <v>64831.89</v>
      </c>
      <c r="N2306" s="573">
        <v>71.95</v>
      </c>
      <c r="O2306" s="556" t="str">
        <f t="shared" ref="O2306:O2314" si="241">IF(N2306=M2306,"OK","DIF")</f>
        <v>DIF</v>
      </c>
      <c r="P2306" s="573"/>
      <c r="Q2306" s="556"/>
      <c r="R2306" s="582"/>
    </row>
    <row r="2307" ht="15" spans="1:18">
      <c r="A2307" s="556">
        <f t="shared" ref="A2307:A2314" si="242">B2307</f>
        <v>0</v>
      </c>
      <c r="B2307" s="557">
        <f t="shared" ref="B2307:B2314" si="243">B2306</f>
        <v>0</v>
      </c>
      <c r="C2307" s="571"/>
      <c r="D2307" s="571"/>
      <c r="E2307" s="571"/>
      <c r="F2307" s="571"/>
      <c r="G2307" s="571"/>
      <c r="H2307" s="571"/>
      <c r="I2307" s="571"/>
      <c r="J2307" s="571"/>
      <c r="K2307" s="571"/>
      <c r="L2307" s="571"/>
      <c r="M2307" s="571"/>
      <c r="N2307" s="573">
        <v>27.3</v>
      </c>
      <c r="O2307" s="556" t="str">
        <f t="shared" si="241"/>
        <v>DIF</v>
      </c>
      <c r="P2307" s="573"/>
      <c r="Q2307" s="556"/>
      <c r="R2307" s="582"/>
    </row>
    <row r="2308" ht="15" customHeight="1" spans="1:18">
      <c r="A2308" s="556">
        <f t="shared" si="242"/>
        <v>0</v>
      </c>
      <c r="B2308" s="557">
        <f t="shared" si="243"/>
        <v>0</v>
      </c>
      <c r="C2308" s="76" t="s">
        <v>804</v>
      </c>
      <c r="D2308" s="75" t="s">
        <v>63</v>
      </c>
      <c r="E2308" s="76" t="s">
        <v>64</v>
      </c>
      <c r="F2308" s="76" t="s">
        <v>65</v>
      </c>
      <c r="G2308" s="76" t="s">
        <v>2889</v>
      </c>
      <c r="H2308" s="76"/>
      <c r="I2308" s="77" t="s">
        <v>66</v>
      </c>
      <c r="J2308" s="75" t="s">
        <v>67</v>
      </c>
      <c r="K2308" s="75" t="s">
        <v>2890</v>
      </c>
      <c r="L2308" s="75" t="s">
        <v>68</v>
      </c>
      <c r="M2308" s="75" t="s">
        <v>70</v>
      </c>
      <c r="N2308" s="573">
        <v>33.07</v>
      </c>
      <c r="O2308" s="556" t="str">
        <f t="shared" si="241"/>
        <v>DIF</v>
      </c>
      <c r="P2308" s="573"/>
      <c r="Q2308" s="556"/>
      <c r="R2308" s="582"/>
    </row>
    <row r="2309" ht="51" spans="1:18">
      <c r="A2309" s="556">
        <f t="shared" si="242"/>
        <v>0</v>
      </c>
      <c r="B2309" s="557">
        <f t="shared" si="243"/>
        <v>0</v>
      </c>
      <c r="C2309" s="569" t="s">
        <v>2891</v>
      </c>
      <c r="D2309" s="570" t="s">
        <v>805</v>
      </c>
      <c r="E2309" s="569" t="s">
        <v>77</v>
      </c>
      <c r="F2309" s="569" t="s">
        <v>3687</v>
      </c>
      <c r="G2309" s="569">
        <v>15</v>
      </c>
      <c r="H2309" s="569"/>
      <c r="I2309" s="577" t="s">
        <v>134</v>
      </c>
      <c r="J2309" s="578">
        <v>1</v>
      </c>
      <c r="K2309" s="579"/>
      <c r="L2309" s="579">
        <v>207.31</v>
      </c>
      <c r="M2309" s="579">
        <v>207.31</v>
      </c>
      <c r="N2309" s="573">
        <v>2.89</v>
      </c>
      <c r="O2309" s="556" t="str">
        <f t="shared" si="241"/>
        <v>DIF</v>
      </c>
      <c r="P2309" s="573"/>
      <c r="Q2309" s="556"/>
      <c r="R2309" s="582"/>
    </row>
    <row r="2310" ht="23.85" customHeight="1" spans="1:18">
      <c r="A2310" s="556">
        <f t="shared" si="242"/>
        <v>0</v>
      </c>
      <c r="B2310" s="557">
        <f t="shared" si="243"/>
        <v>0</v>
      </c>
      <c r="C2310" s="100" t="s">
        <v>2893</v>
      </c>
      <c r="D2310" s="99" t="s">
        <v>3688</v>
      </c>
      <c r="E2310" s="100" t="s">
        <v>77</v>
      </c>
      <c r="F2310" s="100" t="s">
        <v>3689</v>
      </c>
      <c r="G2310" s="100" t="s">
        <v>2961</v>
      </c>
      <c r="H2310" s="100"/>
      <c r="I2310" s="101" t="s">
        <v>134</v>
      </c>
      <c r="J2310" s="580">
        <v>0.334</v>
      </c>
      <c r="K2310" s="580">
        <v>0</v>
      </c>
      <c r="L2310" s="102">
        <v>43.93</v>
      </c>
      <c r="M2310" s="102">
        <v>14.67</v>
      </c>
      <c r="N2310" s="573">
        <v>1.84</v>
      </c>
      <c r="O2310" s="556" t="str">
        <f t="shared" si="241"/>
        <v>DIF</v>
      </c>
      <c r="P2310" s="573"/>
      <c r="Q2310" s="556"/>
      <c r="R2310" s="582"/>
    </row>
    <row r="2311" ht="23.85" customHeight="1" spans="1:18">
      <c r="A2311" s="556">
        <f t="shared" si="242"/>
        <v>0</v>
      </c>
      <c r="B2311" s="557">
        <f t="shared" si="243"/>
        <v>0</v>
      </c>
      <c r="C2311" s="100" t="s">
        <v>2893</v>
      </c>
      <c r="D2311" s="99" t="s">
        <v>3629</v>
      </c>
      <c r="E2311" s="100" t="s">
        <v>77</v>
      </c>
      <c r="F2311" s="100" t="s">
        <v>3630</v>
      </c>
      <c r="G2311" s="100" t="s">
        <v>2896</v>
      </c>
      <c r="H2311" s="100"/>
      <c r="I2311" s="101" t="s">
        <v>2897</v>
      </c>
      <c r="J2311" s="580">
        <v>5</v>
      </c>
      <c r="K2311" s="580">
        <v>3</v>
      </c>
      <c r="L2311" s="102">
        <v>26.52</v>
      </c>
      <c r="M2311" s="102">
        <v>136.57</v>
      </c>
      <c r="N2311" s="573">
        <v>0.52</v>
      </c>
      <c r="O2311" s="556" t="str">
        <f t="shared" si="241"/>
        <v>DIF</v>
      </c>
      <c r="P2311" s="573"/>
      <c r="Q2311" s="556"/>
      <c r="R2311" s="582"/>
    </row>
    <row r="2312" ht="23.85" customHeight="1" spans="1:18">
      <c r="A2312" s="556">
        <f t="shared" si="242"/>
        <v>0</v>
      </c>
      <c r="B2312" s="557">
        <f t="shared" si="243"/>
        <v>0</v>
      </c>
      <c r="C2312" s="100" t="s">
        <v>2893</v>
      </c>
      <c r="D2312" s="99" t="s">
        <v>3108</v>
      </c>
      <c r="E2312" s="100" t="s">
        <v>77</v>
      </c>
      <c r="F2312" s="100" t="s">
        <v>3109</v>
      </c>
      <c r="G2312" s="100" t="s">
        <v>2896</v>
      </c>
      <c r="H2312" s="100"/>
      <c r="I2312" s="101" t="s">
        <v>2897</v>
      </c>
      <c r="J2312" s="580">
        <v>2</v>
      </c>
      <c r="K2312" s="580">
        <v>3</v>
      </c>
      <c r="L2312" s="102">
        <v>19.16</v>
      </c>
      <c r="M2312" s="102">
        <v>39.46</v>
      </c>
      <c r="N2312" s="573">
        <v>0.21</v>
      </c>
      <c r="O2312" s="556" t="str">
        <f t="shared" si="241"/>
        <v>DIF</v>
      </c>
      <c r="P2312" s="573"/>
      <c r="Q2312" s="556"/>
      <c r="R2312" s="582"/>
    </row>
    <row r="2313" ht="15" customHeight="1" spans="1:18">
      <c r="A2313" s="556">
        <f t="shared" si="242"/>
        <v>0</v>
      </c>
      <c r="B2313" s="557">
        <f t="shared" si="243"/>
        <v>0</v>
      </c>
      <c r="C2313" s="100" t="s">
        <v>2893</v>
      </c>
      <c r="D2313" s="99" t="s">
        <v>3690</v>
      </c>
      <c r="E2313" s="100" t="s">
        <v>77</v>
      </c>
      <c r="F2313" s="100" t="s">
        <v>3691</v>
      </c>
      <c r="G2313" s="100" t="s">
        <v>2961</v>
      </c>
      <c r="H2313" s="100"/>
      <c r="I2313" s="101" t="s">
        <v>134</v>
      </c>
      <c r="J2313" s="580">
        <v>1</v>
      </c>
      <c r="K2313" s="580">
        <v>0</v>
      </c>
      <c r="L2313" s="102">
        <v>3.41</v>
      </c>
      <c r="M2313" s="102">
        <v>3.41</v>
      </c>
      <c r="N2313" s="573">
        <v>5.91</v>
      </c>
      <c r="O2313" s="556" t="str">
        <f t="shared" si="241"/>
        <v>DIF</v>
      </c>
      <c r="P2313" s="573"/>
      <c r="Q2313" s="556"/>
      <c r="R2313" s="582"/>
    </row>
    <row r="2314" ht="23.85" customHeight="1" spans="1:18">
      <c r="A2314" s="556">
        <f t="shared" si="242"/>
        <v>0</v>
      </c>
      <c r="B2314" s="557">
        <f t="shared" si="243"/>
        <v>0</v>
      </c>
      <c r="C2314" s="100" t="s">
        <v>2893</v>
      </c>
      <c r="D2314" s="99" t="s">
        <v>3692</v>
      </c>
      <c r="E2314" s="100" t="s">
        <v>77</v>
      </c>
      <c r="F2314" s="100" t="s">
        <v>3693</v>
      </c>
      <c r="G2314" s="100" t="s">
        <v>2961</v>
      </c>
      <c r="H2314" s="100"/>
      <c r="I2314" s="101" t="s">
        <v>134</v>
      </c>
      <c r="J2314" s="580">
        <v>0.07</v>
      </c>
      <c r="K2314" s="580">
        <v>0</v>
      </c>
      <c r="L2314" s="102">
        <v>45.32</v>
      </c>
      <c r="M2314" s="102">
        <v>3.17</v>
      </c>
      <c r="N2314" s="573">
        <v>0.21</v>
      </c>
      <c r="O2314" s="556" t="str">
        <f t="shared" si="241"/>
        <v>DIF</v>
      </c>
      <c r="P2314" s="573"/>
      <c r="Q2314" s="556"/>
      <c r="R2314" s="582"/>
    </row>
    <row r="2315" ht="15" customHeight="1" spans="1:18">
      <c r="A2315" s="556"/>
      <c r="B2315" s="557"/>
      <c r="C2315" s="100" t="s">
        <v>2893</v>
      </c>
      <c r="D2315" s="99" t="s">
        <v>3694</v>
      </c>
      <c r="E2315" s="100" t="s">
        <v>77</v>
      </c>
      <c r="F2315" s="100" t="s">
        <v>3695</v>
      </c>
      <c r="G2315" s="100" t="s">
        <v>2961</v>
      </c>
      <c r="H2315" s="100"/>
      <c r="I2315" s="101" t="s">
        <v>134</v>
      </c>
      <c r="J2315" s="580">
        <v>0.5</v>
      </c>
      <c r="K2315" s="580">
        <v>0</v>
      </c>
      <c r="L2315" s="102">
        <v>1.57</v>
      </c>
      <c r="M2315" s="102">
        <v>0.78</v>
      </c>
      <c r="N2315" s="573"/>
      <c r="O2315" s="556"/>
      <c r="P2315" s="573"/>
      <c r="Q2315" s="556"/>
      <c r="R2315" s="582"/>
    </row>
    <row r="2316" ht="15" customHeight="1" spans="1:18">
      <c r="A2316" s="556"/>
      <c r="B2316" s="557"/>
      <c r="C2316" s="100" t="s">
        <v>2893</v>
      </c>
      <c r="D2316" s="99" t="s">
        <v>3696</v>
      </c>
      <c r="E2316" s="100" t="s">
        <v>77</v>
      </c>
      <c r="F2316" s="100" t="s">
        <v>3697</v>
      </c>
      <c r="G2316" s="100" t="s">
        <v>2961</v>
      </c>
      <c r="H2316" s="100"/>
      <c r="I2316" s="101" t="s">
        <v>134</v>
      </c>
      <c r="J2316" s="580">
        <v>0.5</v>
      </c>
      <c r="K2316" s="580">
        <v>0</v>
      </c>
      <c r="L2316" s="102">
        <v>4.7</v>
      </c>
      <c r="M2316" s="102">
        <v>2.35</v>
      </c>
      <c r="N2316" s="573"/>
      <c r="O2316" s="556"/>
      <c r="P2316" s="573"/>
      <c r="Q2316" s="556"/>
      <c r="R2316" s="582"/>
    </row>
    <row r="2317" ht="15" customHeight="1" spans="1:18">
      <c r="A2317" s="556"/>
      <c r="B2317" s="557" t="str">
        <f>C2316</f>
        <v>Insumo</v>
      </c>
      <c r="C2317" s="100" t="s">
        <v>2893</v>
      </c>
      <c r="D2317" s="99" t="s">
        <v>3698</v>
      </c>
      <c r="E2317" s="100" t="s">
        <v>77</v>
      </c>
      <c r="F2317" s="100" t="s">
        <v>3699</v>
      </c>
      <c r="G2317" s="100" t="s">
        <v>2961</v>
      </c>
      <c r="H2317" s="100"/>
      <c r="I2317" s="101" t="s">
        <v>134</v>
      </c>
      <c r="J2317" s="580">
        <v>1</v>
      </c>
      <c r="K2317" s="580">
        <v>0</v>
      </c>
      <c r="L2317" s="102">
        <v>2.27</v>
      </c>
      <c r="M2317" s="102">
        <v>2.27</v>
      </c>
      <c r="N2317" s="573">
        <v>72.91</v>
      </c>
      <c r="O2317" s="556" t="str">
        <f t="shared" ref="O2317:O2325" si="244">IF(N2317=M2317,"OK","DIF")</f>
        <v>DIF</v>
      </c>
      <c r="P2317" s="573"/>
      <c r="Q2317" s="556"/>
      <c r="R2317" s="582"/>
    </row>
    <row r="2318" ht="15" customHeight="1" spans="1:18">
      <c r="A2318" s="556" t="str">
        <f t="shared" ref="A2318:A2325" si="245">B2318</f>
        <v>Insumo</v>
      </c>
      <c r="B2318" s="557" t="str">
        <f t="shared" ref="B2318:B2325" si="246">B2317</f>
        <v>Insumo</v>
      </c>
      <c r="C2318" s="100" t="s">
        <v>2893</v>
      </c>
      <c r="D2318" s="99" t="s">
        <v>3700</v>
      </c>
      <c r="E2318" s="100" t="s">
        <v>77</v>
      </c>
      <c r="F2318" s="100" t="s">
        <v>3701</v>
      </c>
      <c r="G2318" s="100" t="s">
        <v>2961</v>
      </c>
      <c r="H2318" s="100"/>
      <c r="I2318" s="101" t="s">
        <v>134</v>
      </c>
      <c r="J2318" s="580">
        <v>2</v>
      </c>
      <c r="K2318" s="580">
        <v>0</v>
      </c>
      <c r="L2318" s="102">
        <v>1.16</v>
      </c>
      <c r="M2318" s="102">
        <v>2.32</v>
      </c>
      <c r="N2318" s="573">
        <v>27.3</v>
      </c>
      <c r="O2318" s="556" t="str">
        <f t="shared" si="244"/>
        <v>DIF</v>
      </c>
      <c r="P2318" s="573"/>
      <c r="Q2318" s="556"/>
      <c r="R2318" s="582"/>
    </row>
    <row r="2319" ht="15" customHeight="1" spans="1:18">
      <c r="A2319" s="556" t="str">
        <f t="shared" si="245"/>
        <v>Insumo</v>
      </c>
      <c r="B2319" s="557" t="str">
        <f t="shared" si="246"/>
        <v>Insumo</v>
      </c>
      <c r="C2319" s="100" t="s">
        <v>2893</v>
      </c>
      <c r="D2319" s="99" t="s">
        <v>3702</v>
      </c>
      <c r="E2319" s="100" t="s">
        <v>77</v>
      </c>
      <c r="F2319" s="100" t="s">
        <v>3703</v>
      </c>
      <c r="G2319" s="100" t="s">
        <v>2961</v>
      </c>
      <c r="H2319" s="100"/>
      <c r="I2319" s="101" t="s">
        <v>134</v>
      </c>
      <c r="J2319" s="580">
        <v>1</v>
      </c>
      <c r="K2319" s="580">
        <v>0</v>
      </c>
      <c r="L2319" s="102">
        <v>2.31</v>
      </c>
      <c r="M2319" s="102">
        <v>2.31</v>
      </c>
      <c r="N2319" s="573">
        <v>33.07</v>
      </c>
      <c r="O2319" s="556" t="str">
        <f t="shared" si="244"/>
        <v>DIF</v>
      </c>
      <c r="P2319" s="573"/>
      <c r="Q2319" s="556"/>
      <c r="R2319" s="582"/>
    </row>
    <row r="2320" ht="25.5" spans="1:18">
      <c r="A2320" s="556" t="str">
        <f t="shared" si="245"/>
        <v>Insumo</v>
      </c>
      <c r="B2320" s="557" t="str">
        <f t="shared" si="246"/>
        <v>Insumo</v>
      </c>
      <c r="C2320" s="108"/>
      <c r="D2320" s="108"/>
      <c r="E2320" s="108"/>
      <c r="F2320" s="108"/>
      <c r="G2320" s="108"/>
      <c r="H2320" s="108" t="s">
        <v>2898</v>
      </c>
      <c r="I2320" s="581">
        <v>176.03</v>
      </c>
      <c r="J2320" s="108" t="s">
        <v>2899</v>
      </c>
      <c r="K2320" s="581">
        <v>0</v>
      </c>
      <c r="L2320" s="108" t="s">
        <v>2900</v>
      </c>
      <c r="M2320" s="581">
        <v>176.03</v>
      </c>
      <c r="N2320" s="573">
        <v>3.85</v>
      </c>
      <c r="O2320" s="556" t="str">
        <f t="shared" si="244"/>
        <v>DIF</v>
      </c>
      <c r="P2320" s="573"/>
      <c r="Q2320" s="556"/>
      <c r="R2320" s="582"/>
    </row>
    <row r="2321" ht="26.25" spans="1:18">
      <c r="A2321" s="556" t="str">
        <f t="shared" si="245"/>
        <v>Insumo</v>
      </c>
      <c r="B2321" s="557" t="str">
        <f t="shared" si="246"/>
        <v>Insumo</v>
      </c>
      <c r="C2321" s="108"/>
      <c r="D2321" s="108"/>
      <c r="E2321" s="108"/>
      <c r="F2321" s="108"/>
      <c r="G2321" s="108"/>
      <c r="H2321" s="108" t="s">
        <v>2901</v>
      </c>
      <c r="I2321" s="581">
        <v>52.84</v>
      </c>
      <c r="J2321" s="114"/>
      <c r="K2321" s="114" t="s">
        <v>2902</v>
      </c>
      <c r="L2321" s="108"/>
      <c r="M2321" s="581">
        <v>260.15</v>
      </c>
      <c r="N2321" s="573">
        <v>5.91</v>
      </c>
      <c r="O2321" s="556" t="str">
        <f t="shared" si="244"/>
        <v>DIF</v>
      </c>
      <c r="P2321" s="573"/>
      <c r="Q2321" s="556"/>
      <c r="R2321" s="582"/>
    </row>
    <row r="2322" ht="15" spans="1:18">
      <c r="A2322" s="556" t="str">
        <f t="shared" si="245"/>
        <v>Insumo</v>
      </c>
      <c r="B2322" s="557" t="str">
        <f t="shared" si="246"/>
        <v>Insumo</v>
      </c>
      <c r="C2322" s="571"/>
      <c r="D2322" s="571"/>
      <c r="E2322" s="571"/>
      <c r="F2322" s="571"/>
      <c r="G2322" s="571"/>
      <c r="H2322" s="571"/>
      <c r="I2322" s="571"/>
      <c r="J2322" s="571"/>
      <c r="K2322" s="571"/>
      <c r="L2322" s="571"/>
      <c r="M2322" s="571"/>
      <c r="N2322" s="573">
        <v>1.84</v>
      </c>
      <c r="O2322" s="556" t="str">
        <f t="shared" si="244"/>
        <v>DIF</v>
      </c>
      <c r="P2322" s="573"/>
      <c r="Q2322" s="556"/>
      <c r="R2322" s="582"/>
    </row>
    <row r="2323" ht="15" customHeight="1" spans="1:18">
      <c r="A2323" s="556" t="str">
        <f t="shared" si="245"/>
        <v>Insumo</v>
      </c>
      <c r="B2323" s="557" t="str">
        <f t="shared" si="246"/>
        <v>Insumo</v>
      </c>
      <c r="C2323" s="76" t="s">
        <v>807</v>
      </c>
      <c r="D2323" s="75" t="s">
        <v>63</v>
      </c>
      <c r="E2323" s="76" t="s">
        <v>64</v>
      </c>
      <c r="F2323" s="76" t="s">
        <v>65</v>
      </c>
      <c r="G2323" s="76" t="s">
        <v>2889</v>
      </c>
      <c r="H2323" s="76"/>
      <c r="I2323" s="77" t="s">
        <v>66</v>
      </c>
      <c r="J2323" s="75" t="s">
        <v>67</v>
      </c>
      <c r="K2323" s="75" t="s">
        <v>2890</v>
      </c>
      <c r="L2323" s="75" t="s">
        <v>68</v>
      </c>
      <c r="M2323" s="75" t="s">
        <v>70</v>
      </c>
      <c r="N2323" s="573">
        <v>0.21</v>
      </c>
      <c r="O2323" s="556" t="str">
        <f t="shared" si="244"/>
        <v>DIF</v>
      </c>
      <c r="P2323" s="573"/>
      <c r="Q2323" s="556"/>
      <c r="R2323" s="582"/>
    </row>
    <row r="2324" ht="23.85" customHeight="1" spans="1:18">
      <c r="A2324" s="556" t="str">
        <f t="shared" si="245"/>
        <v>Insumo</v>
      </c>
      <c r="B2324" s="557" t="str">
        <f t="shared" si="246"/>
        <v>Insumo</v>
      </c>
      <c r="C2324" s="569" t="s">
        <v>2891</v>
      </c>
      <c r="D2324" s="570" t="s">
        <v>808</v>
      </c>
      <c r="E2324" s="569" t="s">
        <v>796</v>
      </c>
      <c r="F2324" s="569" t="s">
        <v>809</v>
      </c>
      <c r="G2324" s="569" t="s">
        <v>3704</v>
      </c>
      <c r="H2324" s="569"/>
      <c r="I2324" s="577" t="s">
        <v>334</v>
      </c>
      <c r="J2324" s="578">
        <v>1</v>
      </c>
      <c r="K2324" s="579"/>
      <c r="L2324" s="579">
        <v>84.16</v>
      </c>
      <c r="M2324" s="579">
        <v>84.16</v>
      </c>
      <c r="N2324" s="573">
        <v>0.52</v>
      </c>
      <c r="O2324" s="556" t="str">
        <f t="shared" si="244"/>
        <v>DIF</v>
      </c>
      <c r="P2324" s="573"/>
      <c r="Q2324" s="556"/>
      <c r="R2324" s="582"/>
    </row>
    <row r="2325" ht="15" customHeight="1" spans="1:18">
      <c r="A2325" s="556" t="str">
        <f t="shared" si="245"/>
        <v>Insumo</v>
      </c>
      <c r="B2325" s="557" t="str">
        <f t="shared" si="246"/>
        <v>Insumo</v>
      </c>
      <c r="C2325" s="100" t="s">
        <v>2893</v>
      </c>
      <c r="D2325" s="99" t="s">
        <v>3705</v>
      </c>
      <c r="E2325" s="100" t="s">
        <v>796</v>
      </c>
      <c r="F2325" s="100" t="s">
        <v>3706</v>
      </c>
      <c r="G2325" s="100" t="s">
        <v>2896</v>
      </c>
      <c r="H2325" s="100"/>
      <c r="I2325" s="101" t="s">
        <v>3707</v>
      </c>
      <c r="J2325" s="580">
        <v>0.6</v>
      </c>
      <c r="K2325" s="580">
        <v>0</v>
      </c>
      <c r="L2325" s="102">
        <v>30.57</v>
      </c>
      <c r="M2325" s="102">
        <v>18.34</v>
      </c>
      <c r="N2325" s="573">
        <v>0.21</v>
      </c>
      <c r="O2325" s="556" t="str">
        <f t="shared" si="244"/>
        <v>DIF</v>
      </c>
      <c r="P2325" s="573"/>
      <c r="Q2325" s="556"/>
      <c r="R2325" s="582"/>
    </row>
    <row r="2326" ht="15" customHeight="1" spans="1:18">
      <c r="A2326" s="556"/>
      <c r="B2326" s="557"/>
      <c r="C2326" s="100" t="s">
        <v>2893</v>
      </c>
      <c r="D2326" s="99" t="s">
        <v>3708</v>
      </c>
      <c r="E2326" s="100" t="s">
        <v>796</v>
      </c>
      <c r="F2326" s="100" t="s">
        <v>3709</v>
      </c>
      <c r="G2326" s="100" t="s">
        <v>2961</v>
      </c>
      <c r="H2326" s="100"/>
      <c r="I2326" s="101" t="s">
        <v>334</v>
      </c>
      <c r="J2326" s="580">
        <v>1</v>
      </c>
      <c r="K2326" s="580">
        <v>0</v>
      </c>
      <c r="L2326" s="102">
        <v>50.35</v>
      </c>
      <c r="M2326" s="102">
        <v>50.35</v>
      </c>
      <c r="N2326" s="573"/>
      <c r="O2326" s="556"/>
      <c r="P2326" s="573"/>
      <c r="Q2326" s="556"/>
      <c r="R2326" s="582"/>
    </row>
    <row r="2327" ht="15" customHeight="1" spans="1:18">
      <c r="A2327" s="556"/>
      <c r="B2327" s="557"/>
      <c r="C2327" s="100" t="s">
        <v>2893</v>
      </c>
      <c r="D2327" s="99" t="s">
        <v>3710</v>
      </c>
      <c r="E2327" s="100" t="s">
        <v>796</v>
      </c>
      <c r="F2327" s="100" t="s">
        <v>3711</v>
      </c>
      <c r="G2327" s="100" t="s">
        <v>2961</v>
      </c>
      <c r="H2327" s="100"/>
      <c r="I2327" s="101" t="s">
        <v>3712</v>
      </c>
      <c r="J2327" s="580">
        <v>0.015</v>
      </c>
      <c r="K2327" s="580">
        <v>0</v>
      </c>
      <c r="L2327" s="102">
        <v>11</v>
      </c>
      <c r="M2327" s="102">
        <v>0.16</v>
      </c>
      <c r="N2327" s="573"/>
      <c r="O2327" s="556"/>
      <c r="P2327" s="573"/>
      <c r="Q2327" s="556"/>
      <c r="R2327" s="582"/>
    </row>
    <row r="2328" ht="35.05" customHeight="1" spans="1:18">
      <c r="A2328" s="556"/>
      <c r="B2328" s="557" t="str">
        <f>C2327</f>
        <v>Insumo</v>
      </c>
      <c r="C2328" s="100" t="s">
        <v>2893</v>
      </c>
      <c r="D2328" s="99" t="s">
        <v>3713</v>
      </c>
      <c r="E2328" s="100" t="s">
        <v>796</v>
      </c>
      <c r="F2328" s="100" t="s">
        <v>3714</v>
      </c>
      <c r="G2328" s="100" t="s">
        <v>3715</v>
      </c>
      <c r="H2328" s="100"/>
      <c r="I2328" s="101" t="s">
        <v>3716</v>
      </c>
      <c r="J2328" s="580">
        <v>32.67</v>
      </c>
      <c r="K2328" s="580">
        <v>3</v>
      </c>
      <c r="L2328" s="102">
        <v>1</v>
      </c>
      <c r="M2328" s="102">
        <v>0.98</v>
      </c>
      <c r="N2328" s="573">
        <v>135.25</v>
      </c>
      <c r="O2328" s="556" t="str">
        <f>IF(N2328=M2328,"OK","DIF")</f>
        <v>DIF</v>
      </c>
      <c r="P2328" s="573"/>
      <c r="Q2328" s="556"/>
      <c r="R2328" s="582"/>
    </row>
    <row r="2329" ht="15" customHeight="1" spans="1:18">
      <c r="A2329" s="556" t="str">
        <f>B2329</f>
        <v>Insumo</v>
      </c>
      <c r="B2329" s="557" t="str">
        <f>B2328</f>
        <v>Insumo</v>
      </c>
      <c r="C2329" s="100" t="s">
        <v>2893</v>
      </c>
      <c r="D2329" s="99" t="s">
        <v>3717</v>
      </c>
      <c r="E2329" s="100" t="s">
        <v>796</v>
      </c>
      <c r="F2329" s="100" t="s">
        <v>3718</v>
      </c>
      <c r="G2329" s="100" t="s">
        <v>2896</v>
      </c>
      <c r="H2329" s="100"/>
      <c r="I2329" s="101" t="s">
        <v>3707</v>
      </c>
      <c r="J2329" s="580">
        <v>0.6</v>
      </c>
      <c r="K2329" s="580">
        <v>0</v>
      </c>
      <c r="L2329" s="102">
        <v>23.89</v>
      </c>
      <c r="M2329" s="102">
        <v>14.33</v>
      </c>
      <c r="N2329" s="573">
        <v>121.6</v>
      </c>
      <c r="O2329" s="556" t="str">
        <f>IF(N2329=M2329,"OK","DIF")</f>
        <v>DIF</v>
      </c>
      <c r="P2329" s="573"/>
      <c r="Q2329" s="556"/>
      <c r="R2329" s="582"/>
    </row>
    <row r="2330" ht="25.5" spans="1:18">
      <c r="A2330" s="556" t="str">
        <f>B2330</f>
        <v>Insumo</v>
      </c>
      <c r="B2330" s="557" t="str">
        <f>B2329</f>
        <v>Insumo</v>
      </c>
      <c r="C2330" s="108"/>
      <c r="D2330" s="108"/>
      <c r="E2330" s="108"/>
      <c r="F2330" s="108"/>
      <c r="G2330" s="108"/>
      <c r="H2330" s="108" t="s">
        <v>2898</v>
      </c>
      <c r="I2330" s="581">
        <v>32.67</v>
      </c>
      <c r="J2330" s="108" t="s">
        <v>2899</v>
      </c>
      <c r="K2330" s="581">
        <v>0</v>
      </c>
      <c r="L2330" s="108" t="s">
        <v>2900</v>
      </c>
      <c r="M2330" s="581">
        <v>32.67</v>
      </c>
      <c r="N2330" s="573">
        <v>7.75</v>
      </c>
      <c r="O2330" s="556" t="str">
        <f>IF(N2330=M2330,"OK","DIF")</f>
        <v>DIF</v>
      </c>
      <c r="P2330" s="573"/>
      <c r="Q2330" s="556"/>
      <c r="R2330" s="582"/>
    </row>
    <row r="2331" ht="26.25" spans="1:18">
      <c r="A2331" s="556" t="str">
        <f>B2331</f>
        <v>Insumo</v>
      </c>
      <c r="B2331" s="557" t="str">
        <f>B2330</f>
        <v>Insumo</v>
      </c>
      <c r="C2331" s="108"/>
      <c r="D2331" s="108"/>
      <c r="E2331" s="108"/>
      <c r="F2331" s="108"/>
      <c r="G2331" s="108"/>
      <c r="H2331" s="108" t="s">
        <v>2901</v>
      </c>
      <c r="I2331" s="581">
        <v>21.45</v>
      </c>
      <c r="J2331" s="114"/>
      <c r="K2331" s="114" t="s">
        <v>2902</v>
      </c>
      <c r="L2331" s="108"/>
      <c r="M2331" s="581">
        <v>105.61</v>
      </c>
      <c r="N2331" s="573">
        <v>5.9</v>
      </c>
      <c r="O2331" s="556" t="str">
        <f>IF(N2331=M2331,"OK","DIF")</f>
        <v>DIF</v>
      </c>
      <c r="P2331" s="573"/>
      <c r="Q2331" s="556"/>
      <c r="R2331" s="582"/>
    </row>
    <row r="2332" ht="15" spans="1:18">
      <c r="A2332" s="556"/>
      <c r="B2332" s="557"/>
      <c r="C2332" s="571"/>
      <c r="D2332" s="571"/>
      <c r="E2332" s="571"/>
      <c r="F2332" s="571"/>
      <c r="G2332" s="571"/>
      <c r="H2332" s="571"/>
      <c r="I2332" s="571"/>
      <c r="J2332" s="571"/>
      <c r="K2332" s="571"/>
      <c r="L2332" s="571"/>
      <c r="M2332" s="571"/>
      <c r="N2332" s="573"/>
      <c r="O2332" s="556"/>
      <c r="P2332" s="573"/>
      <c r="Q2332" s="556"/>
      <c r="R2332" s="582"/>
    </row>
    <row r="2333" ht="15" customHeight="1" spans="1:18">
      <c r="A2333" s="556"/>
      <c r="B2333" s="557"/>
      <c r="C2333" s="76" t="s">
        <v>810</v>
      </c>
      <c r="D2333" s="75" t="s">
        <v>63</v>
      </c>
      <c r="E2333" s="76" t="s">
        <v>64</v>
      </c>
      <c r="F2333" s="76" t="s">
        <v>65</v>
      </c>
      <c r="G2333" s="76" t="s">
        <v>2889</v>
      </c>
      <c r="H2333" s="76"/>
      <c r="I2333" s="77" t="s">
        <v>66</v>
      </c>
      <c r="J2333" s="75" t="s">
        <v>67</v>
      </c>
      <c r="K2333" s="75" t="s">
        <v>2890</v>
      </c>
      <c r="L2333" s="75" t="s">
        <v>68</v>
      </c>
      <c r="M2333" s="75" t="s">
        <v>70</v>
      </c>
      <c r="N2333" s="573"/>
      <c r="O2333" s="556"/>
      <c r="P2333" s="573"/>
      <c r="Q2333" s="556"/>
      <c r="R2333" s="582"/>
    </row>
    <row r="2334" ht="23.85" customHeight="1" spans="1:18">
      <c r="A2334" s="556"/>
      <c r="B2334" s="557" t="str">
        <f>C2333</f>
        <v> 11.1.24 </v>
      </c>
      <c r="C2334" s="569" t="s">
        <v>2891</v>
      </c>
      <c r="D2334" s="570" t="s">
        <v>811</v>
      </c>
      <c r="E2334" s="569" t="s">
        <v>796</v>
      </c>
      <c r="F2334" s="569" t="s">
        <v>812</v>
      </c>
      <c r="G2334" s="569" t="s">
        <v>3704</v>
      </c>
      <c r="H2334" s="569"/>
      <c r="I2334" s="577" t="s">
        <v>334</v>
      </c>
      <c r="J2334" s="578">
        <v>1</v>
      </c>
      <c r="K2334" s="579"/>
      <c r="L2334" s="579">
        <v>187.19</v>
      </c>
      <c r="M2334" s="579">
        <v>187.19</v>
      </c>
      <c r="N2334" s="573">
        <v>142.04</v>
      </c>
      <c r="O2334" s="556" t="str">
        <f>IF(N2334=M2334,"OK","DIF")</f>
        <v>DIF</v>
      </c>
      <c r="P2334" s="573"/>
      <c r="Q2334" s="556"/>
      <c r="R2334" s="582"/>
    </row>
    <row r="2335" ht="15" customHeight="1" spans="1:18">
      <c r="A2335" s="556" t="str">
        <f>B2335</f>
        <v> 11.1.24 </v>
      </c>
      <c r="B2335" s="557" t="str">
        <f>B2334</f>
        <v> 11.1.24 </v>
      </c>
      <c r="C2335" s="100" t="s">
        <v>2893</v>
      </c>
      <c r="D2335" s="99" t="s">
        <v>3719</v>
      </c>
      <c r="E2335" s="100" t="s">
        <v>796</v>
      </c>
      <c r="F2335" s="100" t="s">
        <v>3720</v>
      </c>
      <c r="G2335" s="100" t="s">
        <v>2961</v>
      </c>
      <c r="H2335" s="100"/>
      <c r="I2335" s="101" t="s">
        <v>334</v>
      </c>
      <c r="J2335" s="580">
        <v>1</v>
      </c>
      <c r="K2335" s="580">
        <v>0</v>
      </c>
      <c r="L2335" s="102">
        <v>147.39</v>
      </c>
      <c r="M2335" s="102">
        <v>147.39</v>
      </c>
      <c r="N2335" s="573">
        <v>7.75</v>
      </c>
      <c r="O2335" s="556" t="str">
        <f>IF(N2335=M2335,"OK","DIF")</f>
        <v>DIF</v>
      </c>
      <c r="P2335" s="573"/>
      <c r="Q2335" s="556"/>
      <c r="R2335" s="582"/>
    </row>
    <row r="2336" ht="35.05" customHeight="1" spans="1:18">
      <c r="A2336" s="556" t="str">
        <f>B2336</f>
        <v> 11.1.24 </v>
      </c>
      <c r="B2336" s="557" t="str">
        <f>B2335</f>
        <v> 11.1.24 </v>
      </c>
      <c r="C2336" s="100" t="s">
        <v>2893</v>
      </c>
      <c r="D2336" s="99" t="s">
        <v>3713</v>
      </c>
      <c r="E2336" s="100" t="s">
        <v>796</v>
      </c>
      <c r="F2336" s="100" t="s">
        <v>3714</v>
      </c>
      <c r="G2336" s="100" t="s">
        <v>3715</v>
      </c>
      <c r="H2336" s="100"/>
      <c r="I2336" s="101" t="s">
        <v>3716</v>
      </c>
      <c r="J2336" s="580">
        <v>38.11</v>
      </c>
      <c r="K2336" s="580">
        <v>3</v>
      </c>
      <c r="L2336" s="102">
        <v>1</v>
      </c>
      <c r="M2336" s="102">
        <v>1.14</v>
      </c>
      <c r="N2336" s="573">
        <v>5.9</v>
      </c>
      <c r="O2336" s="556" t="str">
        <f>IF(N2336=M2336,"OK","DIF")</f>
        <v>DIF</v>
      </c>
      <c r="P2336" s="573"/>
      <c r="Q2336" s="556"/>
      <c r="R2336" s="582"/>
    </row>
    <row r="2337" ht="15" customHeight="1" spans="1:18">
      <c r="A2337" s="556" t="str">
        <f>B2337</f>
        <v> 11.1.24 </v>
      </c>
      <c r="B2337" s="557" t="str">
        <f>B2336</f>
        <v> 11.1.24 </v>
      </c>
      <c r="C2337" s="100" t="s">
        <v>2893</v>
      </c>
      <c r="D2337" s="99" t="s">
        <v>3705</v>
      </c>
      <c r="E2337" s="100" t="s">
        <v>796</v>
      </c>
      <c r="F2337" s="100" t="s">
        <v>3706</v>
      </c>
      <c r="G2337" s="100" t="s">
        <v>2896</v>
      </c>
      <c r="H2337" s="100"/>
      <c r="I2337" s="101" t="s">
        <v>3707</v>
      </c>
      <c r="J2337" s="580">
        <v>0.7</v>
      </c>
      <c r="K2337" s="580">
        <v>0</v>
      </c>
      <c r="L2337" s="102">
        <v>30.57</v>
      </c>
      <c r="M2337" s="102">
        <v>21.39</v>
      </c>
      <c r="N2337" s="573">
        <v>128.39</v>
      </c>
      <c r="O2337" s="556" t="str">
        <f>IF(N2337=M2337,"OK","DIF")</f>
        <v>DIF</v>
      </c>
      <c r="P2337" s="573"/>
      <c r="Q2337" s="556"/>
      <c r="R2337" s="582"/>
    </row>
    <row r="2338" ht="15" customHeight="1" spans="1:18">
      <c r="A2338" s="556"/>
      <c r="B2338" s="557"/>
      <c r="C2338" s="100" t="s">
        <v>2893</v>
      </c>
      <c r="D2338" s="99" t="s">
        <v>3717</v>
      </c>
      <c r="E2338" s="100" t="s">
        <v>796</v>
      </c>
      <c r="F2338" s="100" t="s">
        <v>3718</v>
      </c>
      <c r="G2338" s="100" t="s">
        <v>2896</v>
      </c>
      <c r="H2338" s="100"/>
      <c r="I2338" s="101" t="s">
        <v>3707</v>
      </c>
      <c r="J2338" s="580">
        <v>0.7</v>
      </c>
      <c r="K2338" s="580">
        <v>0</v>
      </c>
      <c r="L2338" s="102">
        <v>23.89</v>
      </c>
      <c r="M2338" s="102">
        <v>16.72</v>
      </c>
      <c r="N2338" s="573"/>
      <c r="O2338" s="556"/>
      <c r="P2338" s="573"/>
      <c r="Q2338" s="556"/>
      <c r="R2338" s="582"/>
    </row>
    <row r="2339" ht="15" customHeight="1" spans="1:18">
      <c r="A2339" s="556"/>
      <c r="B2339" s="557"/>
      <c r="C2339" s="100" t="s">
        <v>2893</v>
      </c>
      <c r="D2339" s="99" t="s">
        <v>3710</v>
      </c>
      <c r="E2339" s="100" t="s">
        <v>796</v>
      </c>
      <c r="F2339" s="100" t="s">
        <v>3711</v>
      </c>
      <c r="G2339" s="100" t="s">
        <v>2961</v>
      </c>
      <c r="H2339" s="100"/>
      <c r="I2339" s="101" t="s">
        <v>3712</v>
      </c>
      <c r="J2339" s="580">
        <v>0.05</v>
      </c>
      <c r="K2339" s="580">
        <v>0</v>
      </c>
      <c r="L2339" s="102">
        <v>11</v>
      </c>
      <c r="M2339" s="102">
        <v>0.55</v>
      </c>
      <c r="N2339" s="573"/>
      <c r="O2339" s="556"/>
      <c r="P2339" s="573"/>
      <c r="Q2339" s="556"/>
      <c r="R2339" s="582"/>
    </row>
    <row r="2340" ht="25.5" spans="1:18">
      <c r="A2340" s="556"/>
      <c r="B2340" s="557" t="str">
        <f>C2339</f>
        <v>Insumo</v>
      </c>
      <c r="C2340" s="108"/>
      <c r="D2340" s="108"/>
      <c r="E2340" s="108"/>
      <c r="F2340" s="108"/>
      <c r="G2340" s="108"/>
      <c r="H2340" s="108" t="s">
        <v>2898</v>
      </c>
      <c r="I2340" s="581">
        <v>38.11</v>
      </c>
      <c r="J2340" s="108" t="s">
        <v>2899</v>
      </c>
      <c r="K2340" s="581">
        <v>0</v>
      </c>
      <c r="L2340" s="108" t="s">
        <v>2900</v>
      </c>
      <c r="M2340" s="581">
        <v>38.11</v>
      </c>
      <c r="N2340" s="573">
        <v>161.86</v>
      </c>
      <c r="O2340" s="556" t="str">
        <f>IF(N2340=M2340,"OK","DIF")</f>
        <v>DIF</v>
      </c>
      <c r="P2340" s="573"/>
      <c r="Q2340" s="556"/>
      <c r="R2340" s="582"/>
    </row>
    <row r="2341" ht="26.25" spans="1:18">
      <c r="A2341" s="556" t="str">
        <f>B2341</f>
        <v>Insumo</v>
      </c>
      <c r="B2341" s="557" t="str">
        <f>B2340</f>
        <v>Insumo</v>
      </c>
      <c r="C2341" s="108"/>
      <c r="D2341" s="108"/>
      <c r="E2341" s="108"/>
      <c r="F2341" s="108"/>
      <c r="G2341" s="108"/>
      <c r="H2341" s="108" t="s">
        <v>2901</v>
      </c>
      <c r="I2341" s="581">
        <v>47.71</v>
      </c>
      <c r="J2341" s="114"/>
      <c r="K2341" s="114" t="s">
        <v>2902</v>
      </c>
      <c r="L2341" s="108"/>
      <c r="M2341" s="581">
        <v>234.9</v>
      </c>
      <c r="N2341" s="573">
        <v>148.21</v>
      </c>
      <c r="O2341" s="556" t="str">
        <f>IF(N2341=M2341,"OK","DIF")</f>
        <v>DIF</v>
      </c>
      <c r="P2341" s="573"/>
      <c r="Q2341" s="556"/>
      <c r="R2341" s="582"/>
    </row>
    <row r="2342" ht="15" spans="1:18">
      <c r="A2342" s="556" t="str">
        <f>B2342</f>
        <v>Insumo</v>
      </c>
      <c r="B2342" s="557" t="str">
        <f>B2341</f>
        <v>Insumo</v>
      </c>
      <c r="C2342" s="571"/>
      <c r="D2342" s="571"/>
      <c r="E2342" s="571"/>
      <c r="F2342" s="571"/>
      <c r="G2342" s="571"/>
      <c r="H2342" s="571"/>
      <c r="I2342" s="571"/>
      <c r="J2342" s="571"/>
      <c r="K2342" s="571"/>
      <c r="L2342" s="571"/>
      <c r="M2342" s="571"/>
      <c r="N2342" s="573">
        <v>5.9</v>
      </c>
      <c r="O2342" s="556" t="str">
        <f>IF(N2342=M2342,"OK","DIF")</f>
        <v>DIF</v>
      </c>
      <c r="P2342" s="573"/>
      <c r="Q2342" s="556"/>
      <c r="R2342" s="582"/>
    </row>
    <row r="2343" ht="15" customHeight="1" spans="1:18">
      <c r="A2343" s="556" t="str">
        <f>B2343</f>
        <v>Insumo</v>
      </c>
      <c r="B2343" s="557" t="str">
        <f>B2342</f>
        <v>Insumo</v>
      </c>
      <c r="C2343" s="76" t="s">
        <v>813</v>
      </c>
      <c r="D2343" s="75" t="s">
        <v>63</v>
      </c>
      <c r="E2343" s="76" t="s">
        <v>64</v>
      </c>
      <c r="F2343" s="76" t="s">
        <v>65</v>
      </c>
      <c r="G2343" s="76" t="s">
        <v>2889</v>
      </c>
      <c r="H2343" s="76"/>
      <c r="I2343" s="77" t="s">
        <v>66</v>
      </c>
      <c r="J2343" s="75" t="s">
        <v>67</v>
      </c>
      <c r="K2343" s="75" t="s">
        <v>2890</v>
      </c>
      <c r="L2343" s="75" t="s">
        <v>68</v>
      </c>
      <c r="M2343" s="75" t="s">
        <v>70</v>
      </c>
      <c r="N2343" s="573">
        <v>7.75</v>
      </c>
      <c r="O2343" s="556" t="str">
        <f>IF(N2343=M2343,"OK","DIF")</f>
        <v>DIF</v>
      </c>
      <c r="P2343" s="573"/>
      <c r="Q2343" s="556"/>
      <c r="R2343" s="582"/>
    </row>
    <row r="2344" ht="23.85" customHeight="1" spans="1:18">
      <c r="A2344" s="556"/>
      <c r="B2344" s="557"/>
      <c r="C2344" s="569" t="s">
        <v>2891</v>
      </c>
      <c r="D2344" s="570" t="s">
        <v>814</v>
      </c>
      <c r="E2344" s="569" t="s">
        <v>796</v>
      </c>
      <c r="F2344" s="569" t="s">
        <v>815</v>
      </c>
      <c r="G2344" s="569" t="s">
        <v>3704</v>
      </c>
      <c r="H2344" s="569"/>
      <c r="I2344" s="577" t="s">
        <v>334</v>
      </c>
      <c r="J2344" s="578">
        <v>1</v>
      </c>
      <c r="K2344" s="579"/>
      <c r="L2344" s="579">
        <v>200.37</v>
      </c>
      <c r="M2344" s="579">
        <v>200.37</v>
      </c>
      <c r="N2344" s="573"/>
      <c r="O2344" s="556"/>
      <c r="P2344" s="573"/>
      <c r="Q2344" s="556"/>
      <c r="R2344" s="582"/>
    </row>
    <row r="2345" ht="15" customHeight="1" spans="1:18">
      <c r="A2345" s="556"/>
      <c r="B2345" s="557"/>
      <c r="C2345" s="100" t="s">
        <v>2893</v>
      </c>
      <c r="D2345" s="99" t="s">
        <v>3717</v>
      </c>
      <c r="E2345" s="100" t="s">
        <v>796</v>
      </c>
      <c r="F2345" s="100" t="s">
        <v>3718</v>
      </c>
      <c r="G2345" s="100" t="s">
        <v>2896</v>
      </c>
      <c r="H2345" s="100"/>
      <c r="I2345" s="101" t="s">
        <v>3707</v>
      </c>
      <c r="J2345" s="580">
        <v>0.7</v>
      </c>
      <c r="K2345" s="580">
        <v>0</v>
      </c>
      <c r="L2345" s="102">
        <v>23.89</v>
      </c>
      <c r="M2345" s="102">
        <v>16.72</v>
      </c>
      <c r="N2345" s="573"/>
      <c r="O2345" s="556"/>
      <c r="P2345" s="573"/>
      <c r="Q2345" s="556"/>
      <c r="R2345" s="582"/>
    </row>
    <row r="2346" ht="15" customHeight="1" spans="1:18">
      <c r="A2346" s="556"/>
      <c r="B2346" s="557" t="str">
        <f>C2345</f>
        <v>Insumo</v>
      </c>
      <c r="C2346" s="100" t="s">
        <v>2893</v>
      </c>
      <c r="D2346" s="99" t="s">
        <v>3710</v>
      </c>
      <c r="E2346" s="100" t="s">
        <v>796</v>
      </c>
      <c r="F2346" s="100" t="s">
        <v>3711</v>
      </c>
      <c r="G2346" s="100" t="s">
        <v>2961</v>
      </c>
      <c r="H2346" s="100"/>
      <c r="I2346" s="101" t="s">
        <v>3712</v>
      </c>
      <c r="J2346" s="580">
        <v>0.05</v>
      </c>
      <c r="K2346" s="580">
        <v>0</v>
      </c>
      <c r="L2346" s="102">
        <v>11</v>
      </c>
      <c r="M2346" s="102">
        <v>0.55</v>
      </c>
      <c r="N2346" s="573">
        <v>114.66</v>
      </c>
      <c r="O2346" s="556" t="str">
        <f>IF(N2346=M2346,"OK","DIF")</f>
        <v>DIF</v>
      </c>
      <c r="P2346" s="573"/>
      <c r="Q2346" s="556"/>
      <c r="R2346" s="582"/>
    </row>
    <row r="2347" ht="15" customHeight="1" spans="1:18">
      <c r="A2347" s="556" t="str">
        <f>B2347</f>
        <v>Insumo</v>
      </c>
      <c r="B2347" s="557" t="str">
        <f>B2346</f>
        <v>Insumo</v>
      </c>
      <c r="C2347" s="100" t="s">
        <v>2893</v>
      </c>
      <c r="D2347" s="99" t="s">
        <v>3705</v>
      </c>
      <c r="E2347" s="100" t="s">
        <v>796</v>
      </c>
      <c r="F2347" s="100" t="s">
        <v>3706</v>
      </c>
      <c r="G2347" s="100" t="s">
        <v>2896</v>
      </c>
      <c r="H2347" s="100"/>
      <c r="I2347" s="101" t="s">
        <v>3707</v>
      </c>
      <c r="J2347" s="580">
        <v>0.7</v>
      </c>
      <c r="K2347" s="580">
        <v>0</v>
      </c>
      <c r="L2347" s="102">
        <v>30.57</v>
      </c>
      <c r="M2347" s="102">
        <v>21.39</v>
      </c>
      <c r="N2347" s="573">
        <v>14.19</v>
      </c>
      <c r="O2347" s="556" t="str">
        <f>IF(N2347=M2347,"OK","DIF")</f>
        <v>DIF</v>
      </c>
      <c r="P2347" s="573"/>
      <c r="Q2347" s="556"/>
      <c r="R2347" s="582"/>
    </row>
    <row r="2348" ht="35.05" customHeight="1" spans="1:18">
      <c r="A2348" s="556" t="str">
        <f>B2348</f>
        <v>Insumo</v>
      </c>
      <c r="B2348" s="557" t="str">
        <f>B2347</f>
        <v>Insumo</v>
      </c>
      <c r="C2348" s="100" t="s">
        <v>2893</v>
      </c>
      <c r="D2348" s="99" t="s">
        <v>3713</v>
      </c>
      <c r="E2348" s="100" t="s">
        <v>796</v>
      </c>
      <c r="F2348" s="100" t="s">
        <v>3714</v>
      </c>
      <c r="G2348" s="100" t="s">
        <v>3715</v>
      </c>
      <c r="H2348" s="100"/>
      <c r="I2348" s="101" t="s">
        <v>3716</v>
      </c>
      <c r="J2348" s="580">
        <v>38.11</v>
      </c>
      <c r="K2348" s="580">
        <v>3</v>
      </c>
      <c r="L2348" s="102">
        <v>1</v>
      </c>
      <c r="M2348" s="102">
        <v>1.14</v>
      </c>
      <c r="N2348" s="573">
        <v>17.19</v>
      </c>
      <c r="O2348" s="556" t="str">
        <f>IF(N2348=M2348,"OK","DIF")</f>
        <v>DIF</v>
      </c>
      <c r="P2348" s="573"/>
      <c r="Q2348" s="556"/>
      <c r="R2348" s="582"/>
    </row>
    <row r="2349" ht="15" customHeight="1" spans="1:18">
      <c r="A2349" s="556" t="str">
        <f>B2349</f>
        <v>Insumo</v>
      </c>
      <c r="B2349" s="557" t="str">
        <f>B2348</f>
        <v>Insumo</v>
      </c>
      <c r="C2349" s="100" t="s">
        <v>2893</v>
      </c>
      <c r="D2349" s="99" t="s">
        <v>3721</v>
      </c>
      <c r="E2349" s="100" t="s">
        <v>796</v>
      </c>
      <c r="F2349" s="100" t="s">
        <v>3722</v>
      </c>
      <c r="G2349" s="100" t="s">
        <v>2961</v>
      </c>
      <c r="H2349" s="100"/>
      <c r="I2349" s="101" t="s">
        <v>334</v>
      </c>
      <c r="J2349" s="580">
        <v>1</v>
      </c>
      <c r="K2349" s="580">
        <v>0</v>
      </c>
      <c r="L2349" s="102">
        <v>160.57</v>
      </c>
      <c r="M2349" s="102">
        <v>160.57</v>
      </c>
      <c r="N2349" s="573">
        <v>83.28</v>
      </c>
      <c r="O2349" s="556" t="str">
        <f>IF(N2349=M2349,"OK","DIF")</f>
        <v>DIF</v>
      </c>
      <c r="P2349" s="573"/>
      <c r="Q2349" s="556"/>
      <c r="R2349" s="582"/>
    </row>
    <row r="2350" ht="25.5" spans="1:18">
      <c r="A2350" s="556"/>
      <c r="B2350" s="557"/>
      <c r="C2350" s="108"/>
      <c r="D2350" s="108"/>
      <c r="E2350" s="108"/>
      <c r="F2350" s="108"/>
      <c r="G2350" s="108"/>
      <c r="H2350" s="108" t="s">
        <v>2898</v>
      </c>
      <c r="I2350" s="581">
        <v>38.11</v>
      </c>
      <c r="J2350" s="108" t="s">
        <v>2899</v>
      </c>
      <c r="K2350" s="581">
        <v>0</v>
      </c>
      <c r="L2350" s="108" t="s">
        <v>2900</v>
      </c>
      <c r="M2350" s="581">
        <v>38.11</v>
      </c>
      <c r="N2350" s="573"/>
      <c r="O2350" s="556"/>
      <c r="P2350" s="573"/>
      <c r="Q2350" s="556"/>
      <c r="R2350" s="582"/>
    </row>
    <row r="2351" ht="26.25" spans="1:18">
      <c r="A2351" s="556"/>
      <c r="B2351" s="557"/>
      <c r="C2351" s="108"/>
      <c r="D2351" s="108"/>
      <c r="E2351" s="108"/>
      <c r="F2351" s="108"/>
      <c r="G2351" s="108"/>
      <c r="H2351" s="108" t="s">
        <v>2901</v>
      </c>
      <c r="I2351" s="581">
        <v>51.07</v>
      </c>
      <c r="J2351" s="114"/>
      <c r="K2351" s="114" t="s">
        <v>2902</v>
      </c>
      <c r="L2351" s="108"/>
      <c r="M2351" s="581">
        <v>251.44</v>
      </c>
      <c r="N2351" s="573"/>
      <c r="O2351" s="556"/>
      <c r="P2351" s="573"/>
      <c r="Q2351" s="556"/>
      <c r="R2351" s="582"/>
    </row>
    <row r="2352" ht="15" spans="1:18">
      <c r="A2352" s="556"/>
      <c r="B2352" s="557">
        <f>C2351</f>
        <v>0</v>
      </c>
      <c r="C2352" s="571"/>
      <c r="D2352" s="571"/>
      <c r="E2352" s="571"/>
      <c r="F2352" s="571"/>
      <c r="G2352" s="571"/>
      <c r="H2352" s="571"/>
      <c r="I2352" s="571"/>
      <c r="J2352" s="571"/>
      <c r="K2352" s="571"/>
      <c r="L2352" s="571"/>
      <c r="M2352" s="571"/>
      <c r="N2352" s="573">
        <v>255.91</v>
      </c>
      <c r="O2352" s="556" t="str">
        <f>IF(N2352=M2352,"OK","DIF")</f>
        <v>DIF</v>
      </c>
      <c r="P2352" s="573"/>
      <c r="Q2352" s="556"/>
      <c r="R2352" s="582"/>
    </row>
    <row r="2353" ht="15" customHeight="1" spans="1:18">
      <c r="A2353" s="556">
        <f>B2353</f>
        <v>0</v>
      </c>
      <c r="B2353" s="557">
        <f>B2352</f>
        <v>0</v>
      </c>
      <c r="C2353" s="76" t="s">
        <v>816</v>
      </c>
      <c r="D2353" s="75" t="s">
        <v>63</v>
      </c>
      <c r="E2353" s="76" t="s">
        <v>64</v>
      </c>
      <c r="F2353" s="76" t="s">
        <v>65</v>
      </c>
      <c r="G2353" s="76" t="s">
        <v>2889</v>
      </c>
      <c r="H2353" s="76"/>
      <c r="I2353" s="77" t="s">
        <v>66</v>
      </c>
      <c r="J2353" s="75" t="s">
        <v>67</v>
      </c>
      <c r="K2353" s="75" t="s">
        <v>2890</v>
      </c>
      <c r="L2353" s="75" t="s">
        <v>68</v>
      </c>
      <c r="M2353" s="75" t="s">
        <v>70</v>
      </c>
      <c r="N2353" s="573">
        <v>7.87</v>
      </c>
      <c r="O2353" s="556" t="str">
        <f>IF(N2353=M2353,"OK","DIF")</f>
        <v>DIF</v>
      </c>
      <c r="P2353" s="573"/>
      <c r="Q2353" s="556"/>
      <c r="R2353" s="582"/>
    </row>
    <row r="2354" ht="23.85" customHeight="1" spans="1:18">
      <c r="A2354" s="556">
        <f>B2354</f>
        <v>0</v>
      </c>
      <c r="B2354" s="557">
        <f>B2353</f>
        <v>0</v>
      </c>
      <c r="C2354" s="569" t="s">
        <v>2891</v>
      </c>
      <c r="D2354" s="570" t="s">
        <v>817</v>
      </c>
      <c r="E2354" s="569" t="s">
        <v>139</v>
      </c>
      <c r="F2354" s="569" t="s">
        <v>818</v>
      </c>
      <c r="G2354" s="569" t="s">
        <v>3198</v>
      </c>
      <c r="H2354" s="569"/>
      <c r="I2354" s="577" t="s">
        <v>134</v>
      </c>
      <c r="J2354" s="578">
        <v>1</v>
      </c>
      <c r="K2354" s="579"/>
      <c r="L2354" s="579">
        <v>182.29</v>
      </c>
      <c r="M2354" s="579">
        <v>182.29</v>
      </c>
      <c r="N2354" s="573">
        <v>237.71</v>
      </c>
      <c r="O2354" s="556" t="str">
        <f>IF(N2354=M2354,"OK","DIF")</f>
        <v>DIF</v>
      </c>
      <c r="P2354" s="573"/>
      <c r="Q2354" s="556"/>
      <c r="R2354" s="582"/>
    </row>
    <row r="2355" ht="23.85" customHeight="1" spans="1:18">
      <c r="A2355" s="556">
        <f>B2355</f>
        <v>0</v>
      </c>
      <c r="B2355" s="557">
        <f>B2354</f>
        <v>0</v>
      </c>
      <c r="C2355" s="79" t="s">
        <v>2921</v>
      </c>
      <c r="D2355" s="78" t="s">
        <v>3144</v>
      </c>
      <c r="E2355" s="79" t="s">
        <v>139</v>
      </c>
      <c r="F2355" s="79" t="s">
        <v>3145</v>
      </c>
      <c r="G2355" s="79" t="s">
        <v>2928</v>
      </c>
      <c r="H2355" s="79"/>
      <c r="I2355" s="80" t="s">
        <v>2897</v>
      </c>
      <c r="J2355" s="583">
        <v>0.2633</v>
      </c>
      <c r="K2355" s="583">
        <v>0</v>
      </c>
      <c r="L2355" s="92">
        <v>35.55</v>
      </c>
      <c r="M2355" s="92">
        <v>9.36</v>
      </c>
      <c r="N2355" s="573">
        <v>10.33</v>
      </c>
      <c r="O2355" s="556" t="str">
        <f>IF(N2355=M2355,"OK","DIF")</f>
        <v>DIF</v>
      </c>
      <c r="P2355" s="573"/>
      <c r="Q2355" s="556"/>
      <c r="R2355" s="582"/>
    </row>
    <row r="2356" ht="23.85" customHeight="1" spans="1:18">
      <c r="A2356" s="556"/>
      <c r="B2356" s="557"/>
      <c r="C2356" s="79" t="s">
        <v>2921</v>
      </c>
      <c r="D2356" s="78" t="s">
        <v>3146</v>
      </c>
      <c r="E2356" s="79" t="s">
        <v>139</v>
      </c>
      <c r="F2356" s="79" t="s">
        <v>3147</v>
      </c>
      <c r="G2356" s="79" t="s">
        <v>2928</v>
      </c>
      <c r="H2356" s="79"/>
      <c r="I2356" s="80" t="s">
        <v>2897</v>
      </c>
      <c r="J2356" s="583">
        <v>0.2633</v>
      </c>
      <c r="K2356" s="583">
        <v>0</v>
      </c>
      <c r="L2356" s="92">
        <v>29.54</v>
      </c>
      <c r="M2356" s="92">
        <v>7.77</v>
      </c>
      <c r="N2356" s="573"/>
      <c r="O2356" s="556"/>
      <c r="P2356" s="573"/>
      <c r="Q2356" s="556"/>
      <c r="R2356" s="582"/>
    </row>
    <row r="2357" ht="15" customHeight="1" spans="1:18">
      <c r="A2357" s="556"/>
      <c r="B2357" s="557"/>
      <c r="C2357" s="100" t="s">
        <v>2893</v>
      </c>
      <c r="D2357" s="99" t="s">
        <v>3643</v>
      </c>
      <c r="E2357" s="100" t="s">
        <v>139</v>
      </c>
      <c r="F2357" s="100" t="s">
        <v>3644</v>
      </c>
      <c r="G2357" s="100" t="s">
        <v>2961</v>
      </c>
      <c r="H2357" s="100"/>
      <c r="I2357" s="101" t="s">
        <v>134</v>
      </c>
      <c r="J2357" s="580">
        <v>0.0192</v>
      </c>
      <c r="K2357" s="580">
        <v>0</v>
      </c>
      <c r="L2357" s="102">
        <v>13.46</v>
      </c>
      <c r="M2357" s="102">
        <v>0.25</v>
      </c>
      <c r="N2357" s="573"/>
      <c r="O2357" s="556"/>
      <c r="P2357" s="573"/>
      <c r="Q2357" s="556"/>
      <c r="R2357" s="582"/>
    </row>
    <row r="2358" ht="23.85" customHeight="1" spans="1:18">
      <c r="A2358" s="556"/>
      <c r="B2358" s="557" t="str">
        <f>C2357</f>
        <v>Insumo</v>
      </c>
      <c r="C2358" s="100" t="s">
        <v>2893</v>
      </c>
      <c r="D2358" s="99" t="s">
        <v>3723</v>
      </c>
      <c r="E2358" s="100" t="s">
        <v>139</v>
      </c>
      <c r="F2358" s="100" t="s">
        <v>3724</v>
      </c>
      <c r="G2358" s="100" t="s">
        <v>2961</v>
      </c>
      <c r="H2358" s="100"/>
      <c r="I2358" s="101" t="s">
        <v>134</v>
      </c>
      <c r="J2358" s="580">
        <v>1</v>
      </c>
      <c r="K2358" s="580">
        <v>0</v>
      </c>
      <c r="L2358" s="102">
        <v>164.91</v>
      </c>
      <c r="M2358" s="102">
        <v>164.91</v>
      </c>
      <c r="N2358" s="573">
        <v>212.92</v>
      </c>
      <c r="O2358" s="556" t="str">
        <f>IF(N2358=M2358,"OK","DIF")</f>
        <v>DIF</v>
      </c>
      <c r="P2358" s="573"/>
      <c r="Q2358" s="556"/>
      <c r="R2358" s="582"/>
    </row>
    <row r="2359" ht="25.5" spans="1:18">
      <c r="A2359" s="556" t="str">
        <f>B2359</f>
        <v>Insumo</v>
      </c>
      <c r="B2359" s="557" t="str">
        <f>B2358</f>
        <v>Insumo</v>
      </c>
      <c r="C2359" s="108"/>
      <c r="D2359" s="108"/>
      <c r="E2359" s="108"/>
      <c r="F2359" s="108"/>
      <c r="G2359" s="108"/>
      <c r="H2359" s="108" t="s">
        <v>2898</v>
      </c>
      <c r="I2359" s="581">
        <v>12.2</v>
      </c>
      <c r="J2359" s="108" t="s">
        <v>2899</v>
      </c>
      <c r="K2359" s="581">
        <v>0</v>
      </c>
      <c r="L2359" s="108" t="s">
        <v>2900</v>
      </c>
      <c r="M2359" s="581">
        <v>12.2</v>
      </c>
      <c r="N2359" s="573">
        <v>13.22</v>
      </c>
      <c r="O2359" s="556" t="str">
        <f>IF(N2359=M2359,"OK","DIF")</f>
        <v>DIF</v>
      </c>
      <c r="P2359" s="573"/>
      <c r="Q2359" s="556"/>
      <c r="R2359" s="582"/>
    </row>
    <row r="2360" ht="26.25" spans="1:18">
      <c r="A2360" s="556" t="str">
        <f>B2360</f>
        <v>Insumo</v>
      </c>
      <c r="B2360" s="557" t="str">
        <f>B2359</f>
        <v>Insumo</v>
      </c>
      <c r="C2360" s="108"/>
      <c r="D2360" s="108"/>
      <c r="E2360" s="108"/>
      <c r="F2360" s="108"/>
      <c r="G2360" s="108"/>
      <c r="H2360" s="108" t="s">
        <v>2901</v>
      </c>
      <c r="I2360" s="581">
        <v>46.46</v>
      </c>
      <c r="J2360" s="114"/>
      <c r="K2360" s="114" t="s">
        <v>2902</v>
      </c>
      <c r="L2360" s="108"/>
      <c r="M2360" s="581">
        <v>228.75</v>
      </c>
      <c r="N2360" s="573">
        <v>10.92</v>
      </c>
      <c r="O2360" s="556" t="str">
        <f>IF(N2360=M2360,"OK","DIF")</f>
        <v>DIF</v>
      </c>
      <c r="P2360" s="573"/>
      <c r="Q2360" s="556"/>
      <c r="R2360" s="582"/>
    </row>
    <row r="2361" ht="15" spans="1:18">
      <c r="A2361" s="556" t="str">
        <f>B2361</f>
        <v>Insumo</v>
      </c>
      <c r="B2361" s="557" t="str">
        <f>B2360</f>
        <v>Insumo</v>
      </c>
      <c r="C2361" s="571"/>
      <c r="D2361" s="571"/>
      <c r="E2361" s="571"/>
      <c r="F2361" s="571"/>
      <c r="G2361" s="571"/>
      <c r="H2361" s="571"/>
      <c r="I2361" s="571"/>
      <c r="J2361" s="571"/>
      <c r="K2361" s="571"/>
      <c r="L2361" s="571"/>
      <c r="M2361" s="571"/>
      <c r="N2361" s="573">
        <v>188.78</v>
      </c>
      <c r="O2361" s="556" t="str">
        <f>IF(N2361=M2361,"OK","DIF")</f>
        <v>DIF</v>
      </c>
      <c r="P2361" s="573"/>
      <c r="Q2361" s="556"/>
      <c r="R2361" s="582"/>
    </row>
    <row r="2362" ht="15" customHeight="1" spans="1:18">
      <c r="A2362" s="556"/>
      <c r="B2362" s="557"/>
      <c r="C2362" s="76" t="s">
        <v>819</v>
      </c>
      <c r="D2362" s="75" t="s">
        <v>63</v>
      </c>
      <c r="E2362" s="76" t="s">
        <v>64</v>
      </c>
      <c r="F2362" s="76" t="s">
        <v>65</v>
      </c>
      <c r="G2362" s="76" t="s">
        <v>2889</v>
      </c>
      <c r="H2362" s="76"/>
      <c r="I2362" s="77" t="s">
        <v>66</v>
      </c>
      <c r="J2362" s="75" t="s">
        <v>67</v>
      </c>
      <c r="K2362" s="75" t="s">
        <v>2890</v>
      </c>
      <c r="L2362" s="75" t="s">
        <v>68</v>
      </c>
      <c r="M2362" s="75" t="s">
        <v>70</v>
      </c>
      <c r="N2362" s="573"/>
      <c r="O2362" s="556"/>
      <c r="P2362" s="573"/>
      <c r="Q2362" s="556"/>
      <c r="R2362" s="582"/>
    </row>
    <row r="2363" ht="23.85" customHeight="1" spans="1:18">
      <c r="A2363" s="556"/>
      <c r="B2363" s="557"/>
      <c r="C2363" s="569" t="s">
        <v>2891</v>
      </c>
      <c r="D2363" s="570" t="s">
        <v>820</v>
      </c>
      <c r="E2363" s="569" t="s">
        <v>139</v>
      </c>
      <c r="F2363" s="569" t="s">
        <v>821</v>
      </c>
      <c r="G2363" s="569" t="s">
        <v>3198</v>
      </c>
      <c r="H2363" s="569"/>
      <c r="I2363" s="577" t="s">
        <v>134</v>
      </c>
      <c r="J2363" s="578">
        <v>1</v>
      </c>
      <c r="K2363" s="579"/>
      <c r="L2363" s="579">
        <v>42.03</v>
      </c>
      <c r="M2363" s="579">
        <v>42.03</v>
      </c>
      <c r="N2363" s="573"/>
      <c r="O2363" s="556"/>
      <c r="P2363" s="573"/>
      <c r="Q2363" s="556"/>
      <c r="R2363" s="582"/>
    </row>
    <row r="2364" ht="23.85" customHeight="1" spans="1:18">
      <c r="A2364" s="556"/>
      <c r="B2364" s="557" t="str">
        <f>C2363</f>
        <v>Composição</v>
      </c>
      <c r="C2364" s="79" t="s">
        <v>2921</v>
      </c>
      <c r="D2364" s="78" t="s">
        <v>3146</v>
      </c>
      <c r="E2364" s="79" t="s">
        <v>139</v>
      </c>
      <c r="F2364" s="79" t="s">
        <v>3147</v>
      </c>
      <c r="G2364" s="79" t="s">
        <v>2928</v>
      </c>
      <c r="H2364" s="79"/>
      <c r="I2364" s="80" t="s">
        <v>2897</v>
      </c>
      <c r="J2364" s="583">
        <v>0.0719</v>
      </c>
      <c r="K2364" s="583">
        <v>0</v>
      </c>
      <c r="L2364" s="92">
        <v>29.54</v>
      </c>
      <c r="M2364" s="92">
        <v>2.12</v>
      </c>
      <c r="N2364" s="573">
        <v>28.68</v>
      </c>
      <c r="O2364" s="556" t="str">
        <f t="shared" ref="O2364:O2371" si="247">IF(N2364=M2364,"OK","DIF")</f>
        <v>DIF</v>
      </c>
      <c r="P2364" s="573"/>
      <c r="Q2364" s="556"/>
      <c r="R2364" s="582"/>
    </row>
    <row r="2365" ht="23.85" customHeight="1" spans="1:18">
      <c r="A2365" s="556" t="str">
        <f t="shared" ref="A2365:A2371" si="248">B2365</f>
        <v>Composição</v>
      </c>
      <c r="B2365" s="557" t="str">
        <f t="shared" ref="B2365:B2371" si="249">B2364</f>
        <v>Composição</v>
      </c>
      <c r="C2365" s="79" t="s">
        <v>2921</v>
      </c>
      <c r="D2365" s="78" t="s">
        <v>3144</v>
      </c>
      <c r="E2365" s="79" t="s">
        <v>139</v>
      </c>
      <c r="F2365" s="79" t="s">
        <v>3145</v>
      </c>
      <c r="G2365" s="79" t="s">
        <v>2928</v>
      </c>
      <c r="H2365" s="79"/>
      <c r="I2365" s="80" t="s">
        <v>2897</v>
      </c>
      <c r="J2365" s="583">
        <v>0.0719</v>
      </c>
      <c r="K2365" s="583">
        <v>0</v>
      </c>
      <c r="L2365" s="92">
        <v>35.55</v>
      </c>
      <c r="M2365" s="92">
        <v>2.55</v>
      </c>
      <c r="N2365" s="573">
        <v>6.61</v>
      </c>
      <c r="O2365" s="556" t="str">
        <f t="shared" si="247"/>
        <v>DIF</v>
      </c>
      <c r="P2365" s="573"/>
      <c r="Q2365" s="556"/>
      <c r="R2365" s="582"/>
    </row>
    <row r="2366" ht="15" customHeight="1" spans="1:18">
      <c r="A2366" s="556" t="str">
        <f t="shared" si="248"/>
        <v>Composição</v>
      </c>
      <c r="B2366" s="557" t="str">
        <f t="shared" si="249"/>
        <v>Composição</v>
      </c>
      <c r="C2366" s="100" t="s">
        <v>2893</v>
      </c>
      <c r="D2366" s="99" t="s">
        <v>3643</v>
      </c>
      <c r="E2366" s="100" t="s">
        <v>139</v>
      </c>
      <c r="F2366" s="100" t="s">
        <v>3644</v>
      </c>
      <c r="G2366" s="100" t="s">
        <v>2961</v>
      </c>
      <c r="H2366" s="100"/>
      <c r="I2366" s="101" t="s">
        <v>134</v>
      </c>
      <c r="J2366" s="580">
        <v>0.0084</v>
      </c>
      <c r="K2366" s="580">
        <v>0</v>
      </c>
      <c r="L2366" s="102">
        <v>13.46</v>
      </c>
      <c r="M2366" s="102">
        <v>0.11</v>
      </c>
      <c r="N2366" s="573">
        <v>5.46</v>
      </c>
      <c r="O2366" s="556" t="str">
        <f t="shared" si="247"/>
        <v>DIF</v>
      </c>
      <c r="P2366" s="573"/>
      <c r="Q2366" s="556"/>
      <c r="R2366" s="582"/>
    </row>
    <row r="2367" ht="15" customHeight="1" spans="1:18">
      <c r="A2367" s="556" t="str">
        <f t="shared" si="248"/>
        <v>Composição</v>
      </c>
      <c r="B2367" s="557" t="str">
        <f t="shared" si="249"/>
        <v>Composição</v>
      </c>
      <c r="C2367" s="100" t="s">
        <v>2893</v>
      </c>
      <c r="D2367" s="99" t="s">
        <v>3725</v>
      </c>
      <c r="E2367" s="100" t="s">
        <v>139</v>
      </c>
      <c r="F2367" s="100" t="s">
        <v>3726</v>
      </c>
      <c r="G2367" s="100" t="s">
        <v>2961</v>
      </c>
      <c r="H2367" s="100"/>
      <c r="I2367" s="101" t="s">
        <v>134</v>
      </c>
      <c r="J2367" s="580">
        <v>1</v>
      </c>
      <c r="K2367" s="580">
        <v>0</v>
      </c>
      <c r="L2367" s="102">
        <v>37.25</v>
      </c>
      <c r="M2367" s="102">
        <v>37.25</v>
      </c>
      <c r="N2367" s="573">
        <v>5.73</v>
      </c>
      <c r="O2367" s="556" t="str">
        <f t="shared" si="247"/>
        <v>DIF</v>
      </c>
      <c r="P2367" s="573"/>
      <c r="Q2367" s="556"/>
      <c r="R2367" s="582"/>
    </row>
    <row r="2368" ht="25.5" spans="1:18">
      <c r="A2368" s="556" t="str">
        <f t="shared" si="248"/>
        <v>Composição</v>
      </c>
      <c r="B2368" s="557" t="str">
        <f t="shared" si="249"/>
        <v>Composição</v>
      </c>
      <c r="C2368" s="108"/>
      <c r="D2368" s="108"/>
      <c r="E2368" s="108"/>
      <c r="F2368" s="108"/>
      <c r="G2368" s="108"/>
      <c r="H2368" s="108" t="s">
        <v>2898</v>
      </c>
      <c r="I2368" s="581">
        <v>3.33</v>
      </c>
      <c r="J2368" s="108" t="s">
        <v>2899</v>
      </c>
      <c r="K2368" s="581">
        <v>0</v>
      </c>
      <c r="L2368" s="108" t="s">
        <v>2900</v>
      </c>
      <c r="M2368" s="581">
        <v>3.33</v>
      </c>
      <c r="N2368" s="573">
        <v>7.52</v>
      </c>
      <c r="O2368" s="556" t="str">
        <f t="shared" si="247"/>
        <v>DIF</v>
      </c>
      <c r="P2368" s="573"/>
      <c r="Q2368" s="556"/>
      <c r="R2368" s="582"/>
    </row>
    <row r="2369" ht="26.25" spans="1:18">
      <c r="A2369" s="556" t="str">
        <f t="shared" si="248"/>
        <v>Composição</v>
      </c>
      <c r="B2369" s="557" t="str">
        <f t="shared" si="249"/>
        <v>Composição</v>
      </c>
      <c r="C2369" s="108"/>
      <c r="D2369" s="108"/>
      <c r="E2369" s="108"/>
      <c r="F2369" s="108"/>
      <c r="G2369" s="108"/>
      <c r="H2369" s="108" t="s">
        <v>2901</v>
      </c>
      <c r="I2369" s="581">
        <v>10.71</v>
      </c>
      <c r="J2369" s="114"/>
      <c r="K2369" s="114" t="s">
        <v>2902</v>
      </c>
      <c r="L2369" s="108"/>
      <c r="M2369" s="581">
        <v>52.74</v>
      </c>
      <c r="N2369" s="573">
        <v>1.6</v>
      </c>
      <c r="O2369" s="556" t="str">
        <f t="shared" si="247"/>
        <v>DIF</v>
      </c>
      <c r="P2369" s="573"/>
      <c r="Q2369" s="556"/>
      <c r="R2369" s="582"/>
    </row>
    <row r="2370" ht="15" spans="1:18">
      <c r="A2370" s="556" t="str">
        <f t="shared" si="248"/>
        <v>Composição</v>
      </c>
      <c r="B2370" s="557" t="str">
        <f t="shared" si="249"/>
        <v>Composição</v>
      </c>
      <c r="C2370" s="571"/>
      <c r="D2370" s="571"/>
      <c r="E2370" s="571"/>
      <c r="F2370" s="571"/>
      <c r="G2370" s="571"/>
      <c r="H2370" s="571"/>
      <c r="I2370" s="571"/>
      <c r="J2370" s="571"/>
      <c r="K2370" s="571"/>
      <c r="L2370" s="571"/>
      <c r="M2370" s="571"/>
      <c r="N2370" s="573">
        <v>0.96</v>
      </c>
      <c r="O2370" s="556" t="str">
        <f t="shared" si="247"/>
        <v>DIF</v>
      </c>
      <c r="P2370" s="573"/>
      <c r="Q2370" s="556"/>
      <c r="R2370" s="582"/>
    </row>
    <row r="2371" ht="15" customHeight="1" spans="1:18">
      <c r="A2371" s="556" t="str">
        <f t="shared" si="248"/>
        <v>Composição</v>
      </c>
      <c r="B2371" s="557" t="str">
        <f t="shared" si="249"/>
        <v>Composição</v>
      </c>
      <c r="C2371" s="76" t="s">
        <v>822</v>
      </c>
      <c r="D2371" s="75" t="s">
        <v>63</v>
      </c>
      <c r="E2371" s="76" t="s">
        <v>64</v>
      </c>
      <c r="F2371" s="76" t="s">
        <v>65</v>
      </c>
      <c r="G2371" s="76" t="s">
        <v>2889</v>
      </c>
      <c r="H2371" s="76"/>
      <c r="I2371" s="77" t="s">
        <v>66</v>
      </c>
      <c r="J2371" s="75" t="s">
        <v>67</v>
      </c>
      <c r="K2371" s="75" t="s">
        <v>2890</v>
      </c>
      <c r="L2371" s="75" t="s">
        <v>68</v>
      </c>
      <c r="M2371" s="75" t="s">
        <v>70</v>
      </c>
      <c r="N2371" s="573">
        <v>0.8</v>
      </c>
      <c r="O2371" s="556" t="str">
        <f t="shared" si="247"/>
        <v>DIF</v>
      </c>
      <c r="P2371" s="573"/>
      <c r="Q2371" s="556"/>
      <c r="R2371" s="582"/>
    </row>
    <row r="2372" ht="35.05" customHeight="1" spans="1:18">
      <c r="A2372" s="556"/>
      <c r="B2372" s="557"/>
      <c r="C2372" s="569" t="s">
        <v>2891</v>
      </c>
      <c r="D2372" s="570" t="s">
        <v>823</v>
      </c>
      <c r="E2372" s="569" t="s">
        <v>132</v>
      </c>
      <c r="F2372" s="569" t="s">
        <v>824</v>
      </c>
      <c r="G2372" s="569" t="s">
        <v>3727</v>
      </c>
      <c r="H2372" s="569"/>
      <c r="I2372" s="577" t="s">
        <v>134</v>
      </c>
      <c r="J2372" s="578">
        <v>1</v>
      </c>
      <c r="K2372" s="579"/>
      <c r="L2372" s="579">
        <v>66.3</v>
      </c>
      <c r="M2372" s="579">
        <v>66.3</v>
      </c>
      <c r="N2372" s="573"/>
      <c r="O2372" s="556"/>
      <c r="P2372" s="573"/>
      <c r="Q2372" s="556"/>
      <c r="R2372" s="582"/>
    </row>
    <row r="2373" ht="23.85" customHeight="1" spans="1:18">
      <c r="A2373" s="556"/>
      <c r="B2373" s="557"/>
      <c r="C2373" s="79" t="s">
        <v>2921</v>
      </c>
      <c r="D2373" s="78" t="s">
        <v>3728</v>
      </c>
      <c r="E2373" s="79" t="s">
        <v>139</v>
      </c>
      <c r="F2373" s="79" t="s">
        <v>3729</v>
      </c>
      <c r="G2373" s="79" t="s">
        <v>2928</v>
      </c>
      <c r="H2373" s="79"/>
      <c r="I2373" s="80" t="s">
        <v>2897</v>
      </c>
      <c r="J2373" s="583">
        <v>0.1</v>
      </c>
      <c r="K2373" s="583">
        <v>0</v>
      </c>
      <c r="L2373" s="92">
        <v>34.94</v>
      </c>
      <c r="M2373" s="92">
        <v>3.49</v>
      </c>
      <c r="N2373" s="573"/>
      <c r="O2373" s="556"/>
      <c r="P2373" s="573"/>
      <c r="Q2373" s="556"/>
      <c r="R2373" s="582"/>
    </row>
    <row r="2374" ht="23.85" customHeight="1" spans="1:18">
      <c r="A2374" s="556"/>
      <c r="B2374" s="557" t="str">
        <f>C2373</f>
        <v>Composição Auxiliar</v>
      </c>
      <c r="C2374" s="79" t="s">
        <v>2921</v>
      </c>
      <c r="D2374" s="78" t="s">
        <v>2952</v>
      </c>
      <c r="E2374" s="79" t="s">
        <v>139</v>
      </c>
      <c r="F2374" s="79" t="s">
        <v>2953</v>
      </c>
      <c r="G2374" s="79" t="s">
        <v>2928</v>
      </c>
      <c r="H2374" s="79"/>
      <c r="I2374" s="80" t="s">
        <v>2897</v>
      </c>
      <c r="J2374" s="583">
        <v>0.1</v>
      </c>
      <c r="K2374" s="583">
        <v>0</v>
      </c>
      <c r="L2374" s="92">
        <v>29.15</v>
      </c>
      <c r="M2374" s="92">
        <v>2.91</v>
      </c>
      <c r="N2374" s="573">
        <v>23.07</v>
      </c>
      <c r="O2374" s="556" t="str">
        <f>IF(N2374=M2374,"OK","DIF")</f>
        <v>DIF</v>
      </c>
      <c r="P2374" s="573"/>
      <c r="Q2374" s="556"/>
      <c r="R2374" s="582"/>
    </row>
    <row r="2375" ht="15" customHeight="1" spans="1:18">
      <c r="A2375" s="556" t="str">
        <f>B2375</f>
        <v>Composição Auxiliar</v>
      </c>
      <c r="B2375" s="557" t="str">
        <f>B2374</f>
        <v>Composição Auxiliar</v>
      </c>
      <c r="C2375" s="100" t="s">
        <v>2893</v>
      </c>
      <c r="D2375" s="99" t="s">
        <v>3730</v>
      </c>
      <c r="E2375" s="100" t="s">
        <v>132</v>
      </c>
      <c r="F2375" s="100" t="s">
        <v>3731</v>
      </c>
      <c r="G2375" s="100" t="s">
        <v>2961</v>
      </c>
      <c r="H2375" s="100"/>
      <c r="I2375" s="101" t="s">
        <v>134</v>
      </c>
      <c r="J2375" s="580">
        <v>1</v>
      </c>
      <c r="K2375" s="580">
        <v>0</v>
      </c>
      <c r="L2375" s="102">
        <v>59.9</v>
      </c>
      <c r="M2375" s="102">
        <v>59.9</v>
      </c>
      <c r="N2375" s="573">
        <v>3.6</v>
      </c>
      <c r="O2375" s="556" t="str">
        <f>IF(N2375=M2375,"OK","DIF")</f>
        <v>DIF</v>
      </c>
      <c r="P2375" s="573"/>
      <c r="Q2375" s="556"/>
      <c r="R2375" s="582"/>
    </row>
    <row r="2376" ht="25.5" spans="1:18">
      <c r="A2376" s="556" t="str">
        <f>B2376</f>
        <v>Composição Auxiliar</v>
      </c>
      <c r="B2376" s="557" t="str">
        <f>B2375</f>
        <v>Composição Auxiliar</v>
      </c>
      <c r="C2376" s="108"/>
      <c r="D2376" s="108"/>
      <c r="E2376" s="108"/>
      <c r="F2376" s="108"/>
      <c r="G2376" s="108"/>
      <c r="H2376" s="108" t="s">
        <v>2898</v>
      </c>
      <c r="I2376" s="581">
        <v>4.53</v>
      </c>
      <c r="J2376" s="108" t="s">
        <v>2899</v>
      </c>
      <c r="K2376" s="581">
        <v>0</v>
      </c>
      <c r="L2376" s="108" t="s">
        <v>2900</v>
      </c>
      <c r="M2376" s="581">
        <v>4.53</v>
      </c>
      <c r="N2376" s="573">
        <v>2.97</v>
      </c>
      <c r="O2376" s="556" t="str">
        <f>IF(N2376=M2376,"OK","DIF")</f>
        <v>DIF</v>
      </c>
      <c r="P2376" s="573"/>
      <c r="Q2376" s="556"/>
      <c r="R2376" s="582"/>
    </row>
    <row r="2377" ht="26.25" spans="1:18">
      <c r="A2377" s="556" t="str">
        <f>B2377</f>
        <v>Composição Auxiliar</v>
      </c>
      <c r="B2377" s="557" t="str">
        <f>B2376</f>
        <v>Composição Auxiliar</v>
      </c>
      <c r="C2377" s="108"/>
      <c r="D2377" s="108"/>
      <c r="E2377" s="108"/>
      <c r="F2377" s="108"/>
      <c r="G2377" s="108"/>
      <c r="H2377" s="108" t="s">
        <v>2901</v>
      </c>
      <c r="I2377" s="581">
        <v>16.89</v>
      </c>
      <c r="J2377" s="114"/>
      <c r="K2377" s="114" t="s">
        <v>2902</v>
      </c>
      <c r="L2377" s="108"/>
      <c r="M2377" s="581">
        <v>83.19</v>
      </c>
      <c r="N2377" s="573">
        <v>16.5</v>
      </c>
      <c r="O2377" s="556" t="str">
        <f>IF(N2377=M2377,"OK","DIF")</f>
        <v>DIF</v>
      </c>
      <c r="P2377" s="573"/>
      <c r="Q2377" s="556"/>
      <c r="R2377" s="582"/>
    </row>
    <row r="2378" ht="15" spans="1:18">
      <c r="A2378" s="556"/>
      <c r="B2378" s="557"/>
      <c r="C2378" s="571"/>
      <c r="D2378" s="571"/>
      <c r="E2378" s="571"/>
      <c r="F2378" s="571"/>
      <c r="G2378" s="571"/>
      <c r="H2378" s="571"/>
      <c r="I2378" s="571"/>
      <c r="J2378" s="571"/>
      <c r="K2378" s="571"/>
      <c r="L2378" s="571"/>
      <c r="M2378" s="571"/>
      <c r="N2378" s="573"/>
      <c r="O2378" s="556"/>
      <c r="P2378" s="573"/>
      <c r="Q2378" s="556"/>
      <c r="R2378" s="582"/>
    </row>
    <row r="2379" ht="15" customHeight="1" spans="1:18">
      <c r="A2379" s="556"/>
      <c r="B2379" s="557"/>
      <c r="C2379" s="76" t="s">
        <v>825</v>
      </c>
      <c r="D2379" s="75" t="s">
        <v>63</v>
      </c>
      <c r="E2379" s="76" t="s">
        <v>64</v>
      </c>
      <c r="F2379" s="76" t="s">
        <v>65</v>
      </c>
      <c r="G2379" s="76" t="s">
        <v>2889</v>
      </c>
      <c r="H2379" s="76"/>
      <c r="I2379" s="77" t="s">
        <v>66</v>
      </c>
      <c r="J2379" s="75" t="s">
        <v>67</v>
      </c>
      <c r="K2379" s="75" t="s">
        <v>2890</v>
      </c>
      <c r="L2379" s="75" t="s">
        <v>68</v>
      </c>
      <c r="M2379" s="75" t="s">
        <v>70</v>
      </c>
      <c r="N2379" s="573"/>
      <c r="O2379" s="556"/>
      <c r="P2379" s="573"/>
      <c r="Q2379" s="556"/>
      <c r="R2379" s="582"/>
    </row>
    <row r="2380" ht="35.05" customHeight="1" spans="1:18">
      <c r="A2380" s="556"/>
      <c r="B2380" s="557" t="str">
        <f>C2379</f>
        <v> 11.1.29 </v>
      </c>
      <c r="C2380" s="569" t="s">
        <v>2891</v>
      </c>
      <c r="D2380" s="570" t="s">
        <v>826</v>
      </c>
      <c r="E2380" s="569" t="s">
        <v>132</v>
      </c>
      <c r="F2380" s="569" t="s">
        <v>827</v>
      </c>
      <c r="G2380" s="569" t="s">
        <v>3727</v>
      </c>
      <c r="H2380" s="569"/>
      <c r="I2380" s="577" t="s">
        <v>134</v>
      </c>
      <c r="J2380" s="578">
        <v>1</v>
      </c>
      <c r="K2380" s="579"/>
      <c r="L2380" s="579">
        <v>84.1</v>
      </c>
      <c r="M2380" s="579">
        <v>84.1</v>
      </c>
      <c r="N2380" s="573">
        <v>21.19</v>
      </c>
      <c r="O2380" s="556" t="str">
        <f>IF(N2380=M2380,"OK","DIF")</f>
        <v>DIF</v>
      </c>
      <c r="P2380" s="573"/>
      <c r="Q2380" s="556"/>
      <c r="R2380" s="582"/>
    </row>
    <row r="2381" ht="23.85" customHeight="1" spans="1:18">
      <c r="A2381" s="556" t="str">
        <f>B2381</f>
        <v> 11.1.29 </v>
      </c>
      <c r="B2381" s="557" t="str">
        <f>B2380</f>
        <v> 11.1.29 </v>
      </c>
      <c r="C2381" s="79" t="s">
        <v>2921</v>
      </c>
      <c r="D2381" s="78" t="s">
        <v>3728</v>
      </c>
      <c r="E2381" s="79" t="s">
        <v>139</v>
      </c>
      <c r="F2381" s="79" t="s">
        <v>3729</v>
      </c>
      <c r="G2381" s="79" t="s">
        <v>2928</v>
      </c>
      <c r="H2381" s="79"/>
      <c r="I2381" s="80" t="s">
        <v>2897</v>
      </c>
      <c r="J2381" s="583">
        <v>0.1</v>
      </c>
      <c r="K2381" s="583">
        <v>0</v>
      </c>
      <c r="L2381" s="92">
        <v>34.94</v>
      </c>
      <c r="M2381" s="92">
        <v>3.49</v>
      </c>
      <c r="N2381" s="573">
        <v>3.6</v>
      </c>
      <c r="O2381" s="556" t="str">
        <f>IF(N2381=M2381,"OK","DIF")</f>
        <v>DIF</v>
      </c>
      <c r="P2381" s="573"/>
      <c r="Q2381" s="556"/>
      <c r="R2381" s="582"/>
    </row>
    <row r="2382" ht="23.85" customHeight="1" spans="1:18">
      <c r="A2382" s="556" t="str">
        <f>B2382</f>
        <v> 11.1.29 </v>
      </c>
      <c r="B2382" s="557" t="str">
        <f>B2381</f>
        <v> 11.1.29 </v>
      </c>
      <c r="C2382" s="79" t="s">
        <v>2921</v>
      </c>
      <c r="D2382" s="78" t="s">
        <v>2952</v>
      </c>
      <c r="E2382" s="79" t="s">
        <v>139</v>
      </c>
      <c r="F2382" s="79" t="s">
        <v>2953</v>
      </c>
      <c r="G2382" s="79" t="s">
        <v>2928</v>
      </c>
      <c r="H2382" s="79"/>
      <c r="I2382" s="80" t="s">
        <v>2897</v>
      </c>
      <c r="J2382" s="583">
        <v>0.1</v>
      </c>
      <c r="K2382" s="583">
        <v>0</v>
      </c>
      <c r="L2382" s="92">
        <v>29.15</v>
      </c>
      <c r="M2382" s="92">
        <v>2.91</v>
      </c>
      <c r="N2382" s="573">
        <v>2.97</v>
      </c>
      <c r="O2382" s="556" t="str">
        <f>IF(N2382=M2382,"OK","DIF")</f>
        <v>DIF</v>
      </c>
      <c r="P2382" s="573"/>
      <c r="Q2382" s="556"/>
      <c r="R2382" s="582"/>
    </row>
    <row r="2383" ht="15" customHeight="1" spans="1:18">
      <c r="A2383" s="556" t="str">
        <f>B2383</f>
        <v> 11.1.29 </v>
      </c>
      <c r="B2383" s="557" t="str">
        <f>B2382</f>
        <v> 11.1.29 </v>
      </c>
      <c r="C2383" s="100" t="s">
        <v>2893</v>
      </c>
      <c r="D2383" s="99" t="s">
        <v>3732</v>
      </c>
      <c r="E2383" s="100" t="s">
        <v>132</v>
      </c>
      <c r="F2383" s="100" t="s">
        <v>3733</v>
      </c>
      <c r="G2383" s="100" t="s">
        <v>2961</v>
      </c>
      <c r="H2383" s="100"/>
      <c r="I2383" s="101" t="s">
        <v>134</v>
      </c>
      <c r="J2383" s="580">
        <v>1</v>
      </c>
      <c r="K2383" s="580">
        <v>0</v>
      </c>
      <c r="L2383" s="102">
        <v>77.7</v>
      </c>
      <c r="M2383" s="102">
        <v>77.7</v>
      </c>
      <c r="N2383" s="573">
        <v>14.62</v>
      </c>
      <c r="O2383" s="556" t="str">
        <f>IF(N2383=M2383,"OK","DIF")</f>
        <v>DIF</v>
      </c>
      <c r="P2383" s="573"/>
      <c r="Q2383" s="556"/>
      <c r="R2383" s="582"/>
    </row>
    <row r="2384" ht="25.5" spans="1:18">
      <c r="A2384" s="556"/>
      <c r="B2384" s="557"/>
      <c r="C2384" s="108"/>
      <c r="D2384" s="108"/>
      <c r="E2384" s="108"/>
      <c r="F2384" s="108"/>
      <c r="G2384" s="108"/>
      <c r="H2384" s="108" t="s">
        <v>2898</v>
      </c>
      <c r="I2384" s="581">
        <v>4.53</v>
      </c>
      <c r="J2384" s="108" t="s">
        <v>2899</v>
      </c>
      <c r="K2384" s="581">
        <v>0</v>
      </c>
      <c r="L2384" s="108" t="s">
        <v>2900</v>
      </c>
      <c r="M2384" s="581">
        <v>4.53</v>
      </c>
      <c r="N2384" s="573"/>
      <c r="O2384" s="556"/>
      <c r="P2384" s="573"/>
      <c r="Q2384" s="556"/>
      <c r="R2384" s="582"/>
    </row>
    <row r="2385" ht="26.25" spans="1:18">
      <c r="A2385" s="556"/>
      <c r="B2385" s="557"/>
      <c r="C2385" s="108"/>
      <c r="D2385" s="108"/>
      <c r="E2385" s="108"/>
      <c r="F2385" s="108"/>
      <c r="G2385" s="108"/>
      <c r="H2385" s="108" t="s">
        <v>2901</v>
      </c>
      <c r="I2385" s="581">
        <v>21.43</v>
      </c>
      <c r="J2385" s="114"/>
      <c r="K2385" s="114" t="s">
        <v>2902</v>
      </c>
      <c r="L2385" s="108"/>
      <c r="M2385" s="581">
        <v>105.53</v>
      </c>
      <c r="N2385" s="573"/>
      <c r="O2385" s="556"/>
      <c r="P2385" s="573"/>
      <c r="Q2385" s="556"/>
      <c r="R2385" s="582"/>
    </row>
    <row r="2386" ht="15" spans="1:18">
      <c r="A2386" s="556"/>
      <c r="B2386" s="557">
        <f>C2385</f>
        <v>0</v>
      </c>
      <c r="C2386" s="571"/>
      <c r="D2386" s="571"/>
      <c r="E2386" s="571"/>
      <c r="F2386" s="571"/>
      <c r="G2386" s="571"/>
      <c r="H2386" s="571"/>
      <c r="I2386" s="571"/>
      <c r="J2386" s="571"/>
      <c r="K2386" s="571"/>
      <c r="L2386" s="571"/>
      <c r="M2386" s="571"/>
      <c r="N2386" s="573">
        <v>18.43</v>
      </c>
      <c r="O2386" s="556" t="str">
        <f>IF(N2386=M2386,"OK","DIF")</f>
        <v>DIF</v>
      </c>
      <c r="P2386" s="573"/>
      <c r="Q2386" s="556"/>
      <c r="R2386" s="582"/>
    </row>
    <row r="2387" ht="15" customHeight="1" spans="1:18">
      <c r="A2387" s="556">
        <f>B2387</f>
        <v>0</v>
      </c>
      <c r="B2387" s="557">
        <f>B2386</f>
        <v>0</v>
      </c>
      <c r="C2387" s="76" t="s">
        <v>828</v>
      </c>
      <c r="D2387" s="75" t="s">
        <v>63</v>
      </c>
      <c r="E2387" s="76" t="s">
        <v>64</v>
      </c>
      <c r="F2387" s="76" t="s">
        <v>65</v>
      </c>
      <c r="G2387" s="76" t="s">
        <v>2889</v>
      </c>
      <c r="H2387" s="76"/>
      <c r="I2387" s="77" t="s">
        <v>66</v>
      </c>
      <c r="J2387" s="75" t="s">
        <v>67</v>
      </c>
      <c r="K2387" s="75" t="s">
        <v>2890</v>
      </c>
      <c r="L2387" s="75" t="s">
        <v>68</v>
      </c>
      <c r="M2387" s="75" t="s">
        <v>70</v>
      </c>
      <c r="N2387" s="573">
        <v>2.97</v>
      </c>
      <c r="O2387" s="556" t="str">
        <f>IF(N2387=M2387,"OK","DIF")</f>
        <v>DIF</v>
      </c>
      <c r="P2387" s="573"/>
      <c r="Q2387" s="556"/>
      <c r="R2387" s="582"/>
    </row>
    <row r="2388" ht="35.05" customHeight="1" spans="1:18">
      <c r="A2388" s="556">
        <f>B2388</f>
        <v>0</v>
      </c>
      <c r="B2388" s="557">
        <f>B2387</f>
        <v>0</v>
      </c>
      <c r="C2388" s="569" t="s">
        <v>2891</v>
      </c>
      <c r="D2388" s="570" t="s">
        <v>829</v>
      </c>
      <c r="E2388" s="569" t="s">
        <v>132</v>
      </c>
      <c r="F2388" s="569" t="s">
        <v>830</v>
      </c>
      <c r="G2388" s="569" t="s">
        <v>3727</v>
      </c>
      <c r="H2388" s="569"/>
      <c r="I2388" s="577" t="s">
        <v>134</v>
      </c>
      <c r="J2388" s="578">
        <v>1</v>
      </c>
      <c r="K2388" s="579"/>
      <c r="L2388" s="579">
        <v>65.62</v>
      </c>
      <c r="M2388" s="579">
        <v>65.62</v>
      </c>
      <c r="N2388" s="573">
        <v>3.6</v>
      </c>
      <c r="O2388" s="556" t="str">
        <f>IF(N2388=M2388,"OK","DIF")</f>
        <v>DIF</v>
      </c>
      <c r="P2388" s="573"/>
      <c r="Q2388" s="556"/>
      <c r="R2388" s="582"/>
    </row>
    <row r="2389" ht="23.85" customHeight="1" spans="1:18">
      <c r="A2389" s="556">
        <f>B2389</f>
        <v>0</v>
      </c>
      <c r="B2389" s="557">
        <f>B2388</f>
        <v>0</v>
      </c>
      <c r="C2389" s="79" t="s">
        <v>2921</v>
      </c>
      <c r="D2389" s="78" t="s">
        <v>3728</v>
      </c>
      <c r="E2389" s="79" t="s">
        <v>139</v>
      </c>
      <c r="F2389" s="79" t="s">
        <v>3729</v>
      </c>
      <c r="G2389" s="79" t="s">
        <v>2928</v>
      </c>
      <c r="H2389" s="79"/>
      <c r="I2389" s="80" t="s">
        <v>2897</v>
      </c>
      <c r="J2389" s="583">
        <v>0.1</v>
      </c>
      <c r="K2389" s="583">
        <v>0</v>
      </c>
      <c r="L2389" s="92">
        <v>34.94</v>
      </c>
      <c r="M2389" s="92">
        <v>3.49</v>
      </c>
      <c r="N2389" s="573">
        <v>11.86</v>
      </c>
      <c r="O2389" s="556" t="str">
        <f>IF(N2389=M2389,"OK","DIF")</f>
        <v>DIF</v>
      </c>
      <c r="P2389" s="573"/>
      <c r="Q2389" s="556"/>
      <c r="R2389" s="582"/>
    </row>
    <row r="2390" ht="23.85" customHeight="1" spans="1:18">
      <c r="A2390" s="556"/>
      <c r="B2390" s="557"/>
      <c r="C2390" s="79" t="s">
        <v>2921</v>
      </c>
      <c r="D2390" s="78" t="s">
        <v>2952</v>
      </c>
      <c r="E2390" s="79" t="s">
        <v>139</v>
      </c>
      <c r="F2390" s="79" t="s">
        <v>2953</v>
      </c>
      <c r="G2390" s="79" t="s">
        <v>2928</v>
      </c>
      <c r="H2390" s="79"/>
      <c r="I2390" s="80" t="s">
        <v>2897</v>
      </c>
      <c r="J2390" s="583">
        <v>0.1</v>
      </c>
      <c r="K2390" s="583">
        <v>0</v>
      </c>
      <c r="L2390" s="92">
        <v>29.15</v>
      </c>
      <c r="M2390" s="92">
        <v>2.91</v>
      </c>
      <c r="N2390" s="573"/>
      <c r="O2390" s="556"/>
      <c r="P2390" s="573"/>
      <c r="Q2390" s="556"/>
      <c r="R2390" s="582"/>
    </row>
    <row r="2391" ht="15" customHeight="1" spans="1:18">
      <c r="A2391" s="556"/>
      <c r="B2391" s="557"/>
      <c r="C2391" s="100" t="s">
        <v>2893</v>
      </c>
      <c r="D2391" s="99" t="s">
        <v>3734</v>
      </c>
      <c r="E2391" s="100" t="s">
        <v>132</v>
      </c>
      <c r="F2391" s="100" t="s">
        <v>3735</v>
      </c>
      <c r="G2391" s="100" t="s">
        <v>2961</v>
      </c>
      <c r="H2391" s="100"/>
      <c r="I2391" s="101" t="s">
        <v>134</v>
      </c>
      <c r="J2391" s="580">
        <v>1</v>
      </c>
      <c r="K2391" s="580">
        <v>0</v>
      </c>
      <c r="L2391" s="102">
        <v>59.22</v>
      </c>
      <c r="M2391" s="102">
        <v>59.22</v>
      </c>
      <c r="N2391" s="573"/>
      <c r="O2391" s="556"/>
      <c r="P2391" s="573"/>
      <c r="Q2391" s="556"/>
      <c r="R2391" s="582"/>
    </row>
    <row r="2392" ht="25.5" spans="1:18">
      <c r="A2392" s="556"/>
      <c r="B2392" s="557" t="str">
        <f>C2391</f>
        <v>Insumo</v>
      </c>
      <c r="C2392" s="108"/>
      <c r="D2392" s="108"/>
      <c r="E2392" s="108"/>
      <c r="F2392" s="108"/>
      <c r="G2392" s="108"/>
      <c r="H2392" s="108" t="s">
        <v>2898</v>
      </c>
      <c r="I2392" s="581">
        <v>4.53</v>
      </c>
      <c r="J2392" s="108" t="s">
        <v>2899</v>
      </c>
      <c r="K2392" s="581">
        <v>0</v>
      </c>
      <c r="L2392" s="108" t="s">
        <v>2900</v>
      </c>
      <c r="M2392" s="581">
        <v>4.53</v>
      </c>
      <c r="N2392" s="573">
        <v>113.46</v>
      </c>
      <c r="O2392" s="556" t="str">
        <f>IF(N2392=M2392,"OK","DIF")</f>
        <v>DIF</v>
      </c>
      <c r="P2392" s="573"/>
      <c r="Q2392" s="556"/>
      <c r="R2392" s="582"/>
    </row>
    <row r="2393" ht="26.25" spans="1:18">
      <c r="A2393" s="556" t="str">
        <f>B2393</f>
        <v>Insumo</v>
      </c>
      <c r="B2393" s="557" t="str">
        <f>B2392</f>
        <v>Insumo</v>
      </c>
      <c r="C2393" s="108"/>
      <c r="D2393" s="108"/>
      <c r="E2393" s="108"/>
      <c r="F2393" s="108"/>
      <c r="G2393" s="108"/>
      <c r="H2393" s="108" t="s">
        <v>2901</v>
      </c>
      <c r="I2393" s="581">
        <v>16.72</v>
      </c>
      <c r="J2393" s="114"/>
      <c r="K2393" s="114" t="s">
        <v>2902</v>
      </c>
      <c r="L2393" s="108"/>
      <c r="M2393" s="581">
        <v>82.34</v>
      </c>
      <c r="N2393" s="573">
        <v>16.53</v>
      </c>
      <c r="O2393" s="556" t="str">
        <f>IF(N2393=M2393,"OK","DIF")</f>
        <v>DIF</v>
      </c>
      <c r="P2393" s="573"/>
      <c r="Q2393" s="556"/>
      <c r="R2393" s="582"/>
    </row>
    <row r="2394" ht="15" spans="1:18">
      <c r="A2394" s="556" t="str">
        <f>B2394</f>
        <v>Insumo</v>
      </c>
      <c r="B2394" s="557" t="str">
        <f>B2393</f>
        <v>Insumo</v>
      </c>
      <c r="C2394" s="571"/>
      <c r="D2394" s="571"/>
      <c r="E2394" s="571"/>
      <c r="F2394" s="571"/>
      <c r="G2394" s="571"/>
      <c r="H2394" s="571"/>
      <c r="I2394" s="571"/>
      <c r="J2394" s="571"/>
      <c r="K2394" s="571"/>
      <c r="L2394" s="571"/>
      <c r="M2394" s="571"/>
      <c r="N2394" s="573">
        <v>13.65</v>
      </c>
      <c r="O2394" s="556" t="str">
        <f>IF(N2394=M2394,"OK","DIF")</f>
        <v>DIF</v>
      </c>
      <c r="P2394" s="573"/>
      <c r="Q2394" s="556"/>
      <c r="R2394" s="582"/>
    </row>
    <row r="2395" ht="15" customHeight="1" spans="1:18">
      <c r="A2395" s="556" t="str">
        <f>B2395</f>
        <v>Insumo</v>
      </c>
      <c r="B2395" s="557" t="str">
        <f>B2394</f>
        <v>Insumo</v>
      </c>
      <c r="C2395" s="76" t="s">
        <v>831</v>
      </c>
      <c r="D2395" s="75" t="s">
        <v>63</v>
      </c>
      <c r="E2395" s="76" t="s">
        <v>64</v>
      </c>
      <c r="F2395" s="76" t="s">
        <v>65</v>
      </c>
      <c r="G2395" s="76" t="s">
        <v>2889</v>
      </c>
      <c r="H2395" s="76"/>
      <c r="I2395" s="77" t="s">
        <v>66</v>
      </c>
      <c r="J2395" s="75" t="s">
        <v>67</v>
      </c>
      <c r="K2395" s="75" t="s">
        <v>2890</v>
      </c>
      <c r="L2395" s="75" t="s">
        <v>68</v>
      </c>
      <c r="M2395" s="75" t="s">
        <v>70</v>
      </c>
      <c r="N2395" s="573">
        <v>83.28</v>
      </c>
      <c r="O2395" s="556" t="str">
        <f>IF(N2395=M2395,"OK","DIF")</f>
        <v>DIF</v>
      </c>
      <c r="P2395" s="573"/>
      <c r="Q2395" s="556"/>
      <c r="R2395" s="582"/>
    </row>
    <row r="2396" ht="23.85" customHeight="1" spans="1:18">
      <c r="A2396" s="556"/>
      <c r="B2396" s="557"/>
      <c r="C2396" s="569" t="s">
        <v>2891</v>
      </c>
      <c r="D2396" s="570" t="s">
        <v>832</v>
      </c>
      <c r="E2396" s="569" t="s">
        <v>139</v>
      </c>
      <c r="F2396" s="569" t="s">
        <v>833</v>
      </c>
      <c r="G2396" s="569" t="s">
        <v>3642</v>
      </c>
      <c r="H2396" s="569"/>
      <c r="I2396" s="577" t="s">
        <v>134</v>
      </c>
      <c r="J2396" s="578">
        <v>1</v>
      </c>
      <c r="K2396" s="579"/>
      <c r="L2396" s="579">
        <v>187.29</v>
      </c>
      <c r="M2396" s="579">
        <v>187.29</v>
      </c>
      <c r="N2396" s="573"/>
      <c r="O2396" s="556"/>
      <c r="P2396" s="573"/>
      <c r="Q2396" s="556"/>
      <c r="R2396" s="582"/>
    </row>
    <row r="2397" ht="23.85" customHeight="1" spans="1:18">
      <c r="A2397" s="556"/>
      <c r="B2397" s="557"/>
      <c r="C2397" s="79" t="s">
        <v>2921</v>
      </c>
      <c r="D2397" s="78" t="s">
        <v>3146</v>
      </c>
      <c r="E2397" s="79" t="s">
        <v>139</v>
      </c>
      <c r="F2397" s="79" t="s">
        <v>3147</v>
      </c>
      <c r="G2397" s="79" t="s">
        <v>2928</v>
      </c>
      <c r="H2397" s="79"/>
      <c r="I2397" s="80" t="s">
        <v>2897</v>
      </c>
      <c r="J2397" s="583">
        <v>0.843</v>
      </c>
      <c r="K2397" s="583">
        <v>0</v>
      </c>
      <c r="L2397" s="92">
        <v>29.54</v>
      </c>
      <c r="M2397" s="92">
        <v>24.9</v>
      </c>
      <c r="N2397" s="573"/>
      <c r="O2397" s="556"/>
      <c r="P2397" s="573"/>
      <c r="Q2397" s="556"/>
      <c r="R2397" s="582"/>
    </row>
    <row r="2398" ht="23.85" customHeight="1" spans="1:18">
      <c r="A2398" s="556"/>
      <c r="B2398" s="557" t="str">
        <f>C2397</f>
        <v>Composição Auxiliar</v>
      </c>
      <c r="C2398" s="79" t="s">
        <v>2921</v>
      </c>
      <c r="D2398" s="78" t="s">
        <v>3144</v>
      </c>
      <c r="E2398" s="79" t="s">
        <v>139</v>
      </c>
      <c r="F2398" s="79" t="s">
        <v>3145</v>
      </c>
      <c r="G2398" s="79" t="s">
        <v>2928</v>
      </c>
      <c r="H2398" s="79"/>
      <c r="I2398" s="80" t="s">
        <v>2897</v>
      </c>
      <c r="J2398" s="583">
        <v>0.843</v>
      </c>
      <c r="K2398" s="583">
        <v>0</v>
      </c>
      <c r="L2398" s="92">
        <v>35.55</v>
      </c>
      <c r="M2398" s="92">
        <v>29.96</v>
      </c>
      <c r="N2398" s="573">
        <v>107.72</v>
      </c>
      <c r="O2398" s="556" t="str">
        <f>IF(N2398=M2398,"OK","DIF")</f>
        <v>DIF</v>
      </c>
      <c r="P2398" s="573"/>
      <c r="Q2398" s="556"/>
      <c r="R2398" s="582"/>
    </row>
    <row r="2399" ht="23.85" customHeight="1" spans="1:18">
      <c r="A2399" s="556" t="str">
        <f>B2399</f>
        <v>Composição Auxiliar</v>
      </c>
      <c r="B2399" s="557" t="str">
        <f>B2398</f>
        <v>Composição Auxiliar</v>
      </c>
      <c r="C2399" s="100" t="s">
        <v>2893</v>
      </c>
      <c r="D2399" s="99" t="s">
        <v>3736</v>
      </c>
      <c r="E2399" s="100" t="s">
        <v>139</v>
      </c>
      <c r="F2399" s="100" t="s">
        <v>3737</v>
      </c>
      <c r="G2399" s="100" t="s">
        <v>2961</v>
      </c>
      <c r="H2399" s="100"/>
      <c r="I2399" s="101" t="s">
        <v>134</v>
      </c>
      <c r="J2399" s="580">
        <v>1</v>
      </c>
      <c r="K2399" s="580">
        <v>0</v>
      </c>
      <c r="L2399" s="102">
        <v>132.39</v>
      </c>
      <c r="M2399" s="102">
        <v>132.39</v>
      </c>
      <c r="N2399" s="573">
        <v>13.65</v>
      </c>
      <c r="O2399" s="556" t="str">
        <f>IF(N2399=M2399,"OK","DIF")</f>
        <v>DIF</v>
      </c>
      <c r="P2399" s="573"/>
      <c r="Q2399" s="556"/>
      <c r="R2399" s="582"/>
    </row>
    <row r="2400" ht="15" customHeight="1" spans="1:18">
      <c r="A2400" s="556" t="str">
        <f>B2400</f>
        <v>Composição Auxiliar</v>
      </c>
      <c r="B2400" s="557" t="str">
        <f>B2399</f>
        <v>Composição Auxiliar</v>
      </c>
      <c r="C2400" s="100" t="s">
        <v>2893</v>
      </c>
      <c r="D2400" s="99" t="s">
        <v>3738</v>
      </c>
      <c r="E2400" s="100" t="s">
        <v>139</v>
      </c>
      <c r="F2400" s="100" t="s">
        <v>3739</v>
      </c>
      <c r="G2400" s="100" t="s">
        <v>2961</v>
      </c>
      <c r="H2400" s="100"/>
      <c r="I2400" s="101" t="s">
        <v>134</v>
      </c>
      <c r="J2400" s="580">
        <v>0.012</v>
      </c>
      <c r="K2400" s="580">
        <v>0</v>
      </c>
      <c r="L2400" s="102">
        <v>3.65</v>
      </c>
      <c r="M2400" s="102">
        <v>0.04</v>
      </c>
      <c r="N2400" s="573">
        <v>16.53</v>
      </c>
      <c r="O2400" s="556" t="str">
        <f>IF(N2400=M2400,"OK","DIF")</f>
        <v>DIF</v>
      </c>
      <c r="P2400" s="573"/>
      <c r="Q2400" s="556"/>
      <c r="R2400" s="582"/>
    </row>
    <row r="2401" ht="25.5" spans="1:18">
      <c r="A2401" s="556" t="str">
        <f>B2401</f>
        <v>Composição Auxiliar</v>
      </c>
      <c r="B2401" s="557" t="str">
        <f>B2400</f>
        <v>Composição Auxiliar</v>
      </c>
      <c r="C2401" s="108"/>
      <c r="D2401" s="108"/>
      <c r="E2401" s="108"/>
      <c r="F2401" s="108"/>
      <c r="G2401" s="108"/>
      <c r="H2401" s="108" t="s">
        <v>2898</v>
      </c>
      <c r="I2401" s="581">
        <v>39.06</v>
      </c>
      <c r="J2401" s="108" t="s">
        <v>2899</v>
      </c>
      <c r="K2401" s="581">
        <v>0</v>
      </c>
      <c r="L2401" s="108" t="s">
        <v>2900</v>
      </c>
      <c r="M2401" s="581">
        <v>39.06</v>
      </c>
      <c r="N2401" s="573">
        <v>77.54</v>
      </c>
      <c r="O2401" s="556" t="str">
        <f>IF(N2401=M2401,"OK","DIF")</f>
        <v>DIF</v>
      </c>
      <c r="P2401" s="573"/>
      <c r="Q2401" s="556"/>
      <c r="R2401" s="582"/>
    </row>
    <row r="2402" ht="26.25" spans="1:18">
      <c r="A2402" s="556"/>
      <c r="B2402" s="557"/>
      <c r="C2402" s="108"/>
      <c r="D2402" s="108"/>
      <c r="E2402" s="108"/>
      <c r="F2402" s="108"/>
      <c r="G2402" s="108"/>
      <c r="H2402" s="108" t="s">
        <v>2901</v>
      </c>
      <c r="I2402" s="581">
        <v>47.74</v>
      </c>
      <c r="J2402" s="114"/>
      <c r="K2402" s="114" t="s">
        <v>2902</v>
      </c>
      <c r="L2402" s="108"/>
      <c r="M2402" s="581">
        <v>235.03</v>
      </c>
      <c r="N2402" s="573"/>
      <c r="O2402" s="556"/>
      <c r="P2402" s="573"/>
      <c r="Q2402" s="556"/>
      <c r="R2402" s="582"/>
    </row>
    <row r="2403" ht="15" spans="1:18">
      <c r="A2403" s="556"/>
      <c r="B2403" s="557"/>
      <c r="C2403" s="571"/>
      <c r="D2403" s="571"/>
      <c r="E2403" s="571"/>
      <c r="F2403" s="571"/>
      <c r="G2403" s="571"/>
      <c r="H2403" s="571"/>
      <c r="I2403" s="571"/>
      <c r="J2403" s="571"/>
      <c r="K2403" s="571"/>
      <c r="L2403" s="571"/>
      <c r="M2403" s="571"/>
      <c r="N2403" s="573"/>
      <c r="O2403" s="556"/>
      <c r="P2403" s="573"/>
      <c r="Q2403" s="556"/>
      <c r="R2403" s="582"/>
    </row>
    <row r="2404" ht="15" customHeight="1" spans="1:18">
      <c r="A2404" s="556"/>
      <c r="B2404" s="557">
        <f>C2403</f>
        <v>0</v>
      </c>
      <c r="C2404" s="76" t="s">
        <v>834</v>
      </c>
      <c r="D2404" s="75" t="s">
        <v>63</v>
      </c>
      <c r="E2404" s="76" t="s">
        <v>64</v>
      </c>
      <c r="F2404" s="76" t="s">
        <v>65</v>
      </c>
      <c r="G2404" s="76" t="s">
        <v>2889</v>
      </c>
      <c r="H2404" s="76"/>
      <c r="I2404" s="77" t="s">
        <v>66</v>
      </c>
      <c r="J2404" s="75" t="s">
        <v>67</v>
      </c>
      <c r="K2404" s="75" t="s">
        <v>2890</v>
      </c>
      <c r="L2404" s="75" t="s">
        <v>68</v>
      </c>
      <c r="M2404" s="75" t="s">
        <v>70</v>
      </c>
      <c r="N2404" s="573">
        <v>101.98</v>
      </c>
      <c r="O2404" s="556" t="str">
        <f>IF(N2404=M2404,"OK","DIF")</f>
        <v>DIF</v>
      </c>
      <c r="P2404" s="573"/>
      <c r="Q2404" s="556"/>
      <c r="R2404" s="582"/>
    </row>
    <row r="2405" ht="25.5" spans="1:18">
      <c r="A2405" s="556">
        <f>B2405</f>
        <v>0</v>
      </c>
      <c r="B2405" s="557">
        <f>B2404</f>
        <v>0</v>
      </c>
      <c r="C2405" s="569" t="s">
        <v>2891</v>
      </c>
      <c r="D2405" s="570" t="s">
        <v>835</v>
      </c>
      <c r="E2405" s="569" t="s">
        <v>77</v>
      </c>
      <c r="F2405" s="569" t="s">
        <v>836</v>
      </c>
      <c r="G2405" s="569">
        <v>18</v>
      </c>
      <c r="H2405" s="569"/>
      <c r="I2405" s="577" t="s">
        <v>134</v>
      </c>
      <c r="J2405" s="578">
        <v>1</v>
      </c>
      <c r="K2405" s="579"/>
      <c r="L2405" s="579">
        <v>28.08</v>
      </c>
      <c r="M2405" s="579">
        <v>28.08</v>
      </c>
      <c r="N2405" s="573">
        <v>13.65</v>
      </c>
      <c r="O2405" s="556" t="str">
        <f>IF(N2405=M2405,"OK","DIF")</f>
        <v>DIF</v>
      </c>
      <c r="P2405" s="573"/>
      <c r="Q2405" s="556"/>
      <c r="R2405" s="582"/>
    </row>
    <row r="2406" ht="23.85" customHeight="1" spans="1:18">
      <c r="A2406" s="556">
        <f>B2406</f>
        <v>0</v>
      </c>
      <c r="B2406" s="557">
        <f>B2405</f>
        <v>0</v>
      </c>
      <c r="C2406" s="100" t="s">
        <v>2893</v>
      </c>
      <c r="D2406" s="99" t="s">
        <v>3740</v>
      </c>
      <c r="E2406" s="100" t="s">
        <v>77</v>
      </c>
      <c r="F2406" s="100" t="s">
        <v>3741</v>
      </c>
      <c r="G2406" s="100" t="s">
        <v>2961</v>
      </c>
      <c r="H2406" s="100"/>
      <c r="I2406" s="101" t="s">
        <v>134</v>
      </c>
      <c r="J2406" s="580">
        <v>1</v>
      </c>
      <c r="K2406" s="580">
        <v>0</v>
      </c>
      <c r="L2406" s="102">
        <v>28.08</v>
      </c>
      <c r="M2406" s="102">
        <v>28.08</v>
      </c>
      <c r="N2406" s="573">
        <v>16.53</v>
      </c>
      <c r="O2406" s="556" t="str">
        <f>IF(N2406=M2406,"OK","DIF")</f>
        <v>DIF</v>
      </c>
      <c r="P2406" s="573"/>
      <c r="Q2406" s="556"/>
      <c r="R2406" s="582"/>
    </row>
    <row r="2407" ht="25.5" spans="1:18">
      <c r="A2407" s="556">
        <f>B2407</f>
        <v>0</v>
      </c>
      <c r="B2407" s="557">
        <f>B2406</f>
        <v>0</v>
      </c>
      <c r="C2407" s="108"/>
      <c r="D2407" s="108"/>
      <c r="E2407" s="108"/>
      <c r="F2407" s="108"/>
      <c r="G2407" s="108"/>
      <c r="H2407" s="108" t="s">
        <v>2898</v>
      </c>
      <c r="I2407" s="581">
        <v>0</v>
      </c>
      <c r="J2407" s="108" t="s">
        <v>2899</v>
      </c>
      <c r="K2407" s="581">
        <v>0</v>
      </c>
      <c r="L2407" s="108" t="s">
        <v>2900</v>
      </c>
      <c r="M2407" s="581">
        <v>0</v>
      </c>
      <c r="N2407" s="573">
        <v>71.8</v>
      </c>
      <c r="O2407" s="556" t="str">
        <f>IF(N2407=M2407,"OK","DIF")</f>
        <v>DIF</v>
      </c>
      <c r="P2407" s="573"/>
      <c r="Q2407" s="556"/>
      <c r="R2407" s="582"/>
    </row>
    <row r="2408" ht="26.25" spans="1:18">
      <c r="A2408" s="556"/>
      <c r="B2408" s="557"/>
      <c r="C2408" s="108"/>
      <c r="D2408" s="108"/>
      <c r="E2408" s="108"/>
      <c r="F2408" s="108"/>
      <c r="G2408" s="108"/>
      <c r="H2408" s="108" t="s">
        <v>2901</v>
      </c>
      <c r="I2408" s="581">
        <v>7.15</v>
      </c>
      <c r="J2408" s="114"/>
      <c r="K2408" s="114" t="s">
        <v>2902</v>
      </c>
      <c r="L2408" s="108"/>
      <c r="M2408" s="581">
        <v>35.23</v>
      </c>
      <c r="N2408" s="573"/>
      <c r="O2408" s="556"/>
      <c r="P2408" s="573"/>
      <c r="Q2408" s="556"/>
      <c r="R2408" s="582"/>
    </row>
    <row r="2409" ht="15" spans="1:18">
      <c r="A2409" s="556"/>
      <c r="B2409" s="557"/>
      <c r="C2409" s="571"/>
      <c r="D2409" s="571"/>
      <c r="E2409" s="571"/>
      <c r="F2409" s="571"/>
      <c r="G2409" s="571"/>
      <c r="H2409" s="571"/>
      <c r="I2409" s="571"/>
      <c r="J2409" s="571"/>
      <c r="K2409" s="571"/>
      <c r="L2409" s="571"/>
      <c r="M2409" s="571"/>
      <c r="N2409" s="573"/>
      <c r="O2409" s="556"/>
      <c r="P2409" s="573"/>
      <c r="Q2409" s="556"/>
      <c r="R2409" s="582"/>
    </row>
    <row r="2410" ht="15" customHeight="1" spans="1:18">
      <c r="A2410" s="556"/>
      <c r="B2410" s="557">
        <f>C2409</f>
        <v>0</v>
      </c>
      <c r="C2410" s="76" t="s">
        <v>837</v>
      </c>
      <c r="D2410" s="75" t="s">
        <v>63</v>
      </c>
      <c r="E2410" s="76" t="s">
        <v>64</v>
      </c>
      <c r="F2410" s="76" t="s">
        <v>65</v>
      </c>
      <c r="G2410" s="76" t="s">
        <v>2889</v>
      </c>
      <c r="H2410" s="76"/>
      <c r="I2410" s="77" t="s">
        <v>66</v>
      </c>
      <c r="J2410" s="75" t="s">
        <v>67</v>
      </c>
      <c r="K2410" s="75" t="s">
        <v>2890</v>
      </c>
      <c r="L2410" s="75" t="s">
        <v>68</v>
      </c>
      <c r="M2410" s="75" t="s">
        <v>70</v>
      </c>
      <c r="N2410" s="573">
        <v>210.69</v>
      </c>
      <c r="O2410" s="556" t="str">
        <f>IF(N2410=M2410,"OK","DIF")</f>
        <v>DIF</v>
      </c>
      <c r="P2410" s="573"/>
      <c r="Q2410" s="556"/>
      <c r="R2410" s="582"/>
    </row>
    <row r="2411" ht="51" spans="1:18">
      <c r="A2411" s="556">
        <f>B2411</f>
        <v>0</v>
      </c>
      <c r="B2411" s="557">
        <f>B2410</f>
        <v>0</v>
      </c>
      <c r="C2411" s="569" t="s">
        <v>2891</v>
      </c>
      <c r="D2411" s="570" t="s">
        <v>838</v>
      </c>
      <c r="E2411" s="569" t="s">
        <v>77</v>
      </c>
      <c r="F2411" s="569" t="s">
        <v>3742</v>
      </c>
      <c r="G2411" s="569">
        <v>15</v>
      </c>
      <c r="H2411" s="569"/>
      <c r="I2411" s="577" t="s">
        <v>134</v>
      </c>
      <c r="J2411" s="578">
        <v>1</v>
      </c>
      <c r="K2411" s="579"/>
      <c r="L2411" s="579">
        <v>186.62</v>
      </c>
      <c r="M2411" s="579">
        <v>186.62</v>
      </c>
      <c r="N2411" s="573">
        <v>187.94</v>
      </c>
      <c r="O2411" s="556" t="str">
        <f>IF(N2411=M2411,"OK","DIF")</f>
        <v>DIF</v>
      </c>
      <c r="P2411" s="573"/>
      <c r="Q2411" s="556"/>
      <c r="R2411" s="582"/>
    </row>
    <row r="2412" ht="15" customHeight="1" spans="1:18">
      <c r="A2412" s="556">
        <f>B2412</f>
        <v>0</v>
      </c>
      <c r="B2412" s="557">
        <f>B2411</f>
        <v>0</v>
      </c>
      <c r="C2412" s="100" t="s">
        <v>2893</v>
      </c>
      <c r="D2412" s="99" t="s">
        <v>3743</v>
      </c>
      <c r="E2412" s="100" t="s">
        <v>77</v>
      </c>
      <c r="F2412" s="100" t="s">
        <v>3744</v>
      </c>
      <c r="G2412" s="100" t="s">
        <v>2961</v>
      </c>
      <c r="H2412" s="100"/>
      <c r="I2412" s="101" t="s">
        <v>134</v>
      </c>
      <c r="J2412" s="580">
        <v>1</v>
      </c>
      <c r="K2412" s="580">
        <v>0</v>
      </c>
      <c r="L2412" s="102">
        <v>4.14</v>
      </c>
      <c r="M2412" s="102">
        <v>4.14</v>
      </c>
      <c r="N2412" s="573">
        <v>12.91</v>
      </c>
      <c r="O2412" s="556" t="str">
        <f>IF(N2412=M2412,"OK","DIF")</f>
        <v>DIF</v>
      </c>
      <c r="P2412" s="573"/>
      <c r="Q2412" s="556"/>
      <c r="R2412" s="582"/>
    </row>
    <row r="2413" ht="15" customHeight="1" spans="1:18">
      <c r="A2413" s="556">
        <f>B2413</f>
        <v>0</v>
      </c>
      <c r="B2413" s="557">
        <f>B2412</f>
        <v>0</v>
      </c>
      <c r="C2413" s="100" t="s">
        <v>2893</v>
      </c>
      <c r="D2413" s="99" t="s">
        <v>3745</v>
      </c>
      <c r="E2413" s="100" t="s">
        <v>77</v>
      </c>
      <c r="F2413" s="100" t="s">
        <v>3746</v>
      </c>
      <c r="G2413" s="100" t="s">
        <v>2961</v>
      </c>
      <c r="H2413" s="100"/>
      <c r="I2413" s="101" t="s">
        <v>134</v>
      </c>
      <c r="J2413" s="580">
        <v>1</v>
      </c>
      <c r="K2413" s="580">
        <v>0</v>
      </c>
      <c r="L2413" s="102">
        <v>9.15</v>
      </c>
      <c r="M2413" s="102">
        <v>9.15</v>
      </c>
      <c r="N2413" s="573">
        <v>9.84</v>
      </c>
      <c r="O2413" s="556" t="str">
        <f>IF(N2413=M2413,"OK","DIF")</f>
        <v>DIF</v>
      </c>
      <c r="P2413" s="573"/>
      <c r="Q2413" s="556"/>
      <c r="R2413" s="582"/>
    </row>
    <row r="2414" ht="23.85" customHeight="1" spans="1:18">
      <c r="A2414" s="556"/>
      <c r="B2414" s="557"/>
      <c r="C2414" s="100" t="s">
        <v>2893</v>
      </c>
      <c r="D2414" s="99" t="s">
        <v>3747</v>
      </c>
      <c r="E2414" s="100" t="s">
        <v>77</v>
      </c>
      <c r="F2414" s="100" t="s">
        <v>3748</v>
      </c>
      <c r="G2414" s="100" t="s">
        <v>2961</v>
      </c>
      <c r="H2414" s="100"/>
      <c r="I2414" s="101" t="s">
        <v>134</v>
      </c>
      <c r="J2414" s="580">
        <v>0.33</v>
      </c>
      <c r="K2414" s="580">
        <v>0</v>
      </c>
      <c r="L2414" s="102">
        <v>15.9</v>
      </c>
      <c r="M2414" s="102">
        <v>5.24</v>
      </c>
      <c r="N2414" s="573"/>
      <c r="O2414" s="556"/>
      <c r="P2414" s="573"/>
      <c r="Q2414" s="556"/>
      <c r="R2414" s="582"/>
    </row>
    <row r="2415" ht="15" customHeight="1" spans="1:18">
      <c r="A2415" s="556"/>
      <c r="B2415" s="557"/>
      <c r="C2415" s="100" t="s">
        <v>2893</v>
      </c>
      <c r="D2415" s="99" t="s">
        <v>3749</v>
      </c>
      <c r="E2415" s="100" t="s">
        <v>77</v>
      </c>
      <c r="F2415" s="100" t="s">
        <v>3750</v>
      </c>
      <c r="G2415" s="100" t="s">
        <v>2961</v>
      </c>
      <c r="H2415" s="100"/>
      <c r="I2415" s="101" t="s">
        <v>134</v>
      </c>
      <c r="J2415" s="580">
        <v>1</v>
      </c>
      <c r="K2415" s="580">
        <v>0</v>
      </c>
      <c r="L2415" s="102">
        <v>0.55</v>
      </c>
      <c r="M2415" s="102">
        <v>0.55</v>
      </c>
      <c r="N2415" s="573"/>
      <c r="O2415" s="556"/>
      <c r="P2415" s="573"/>
      <c r="Q2415" s="556"/>
      <c r="R2415" s="582"/>
    </row>
    <row r="2416" ht="15" customHeight="1" spans="1:18">
      <c r="A2416" s="556"/>
      <c r="B2416" s="557" t="str">
        <f>C2415</f>
        <v>Insumo</v>
      </c>
      <c r="C2416" s="100" t="s">
        <v>2893</v>
      </c>
      <c r="D2416" s="99" t="s">
        <v>3751</v>
      </c>
      <c r="E2416" s="100" t="s">
        <v>77</v>
      </c>
      <c r="F2416" s="100" t="s">
        <v>3752</v>
      </c>
      <c r="G2416" s="100" t="s">
        <v>2961</v>
      </c>
      <c r="H2416" s="100"/>
      <c r="I2416" s="101" t="s">
        <v>134</v>
      </c>
      <c r="J2416" s="580">
        <v>1</v>
      </c>
      <c r="K2416" s="580">
        <v>0</v>
      </c>
      <c r="L2416" s="102">
        <v>1.93</v>
      </c>
      <c r="M2416" s="102">
        <v>1.93</v>
      </c>
      <c r="N2416" s="573">
        <v>22.75</v>
      </c>
      <c r="O2416" s="556" t="str">
        <f>IF(N2416=M2416,"OK","DIF")</f>
        <v>DIF</v>
      </c>
      <c r="P2416" s="573"/>
      <c r="Q2416" s="556"/>
      <c r="R2416" s="582"/>
    </row>
    <row r="2417" ht="23.85" customHeight="1" spans="1:18">
      <c r="A2417" s="556" t="str">
        <f>B2417</f>
        <v>Insumo</v>
      </c>
      <c r="B2417" s="557" t="str">
        <f>B2416</f>
        <v>Insumo</v>
      </c>
      <c r="C2417" s="100" t="s">
        <v>2893</v>
      </c>
      <c r="D2417" s="99" t="s">
        <v>3108</v>
      </c>
      <c r="E2417" s="100" t="s">
        <v>77</v>
      </c>
      <c r="F2417" s="100" t="s">
        <v>3109</v>
      </c>
      <c r="G2417" s="100" t="s">
        <v>2896</v>
      </c>
      <c r="H2417" s="100"/>
      <c r="I2417" s="101" t="s">
        <v>2897</v>
      </c>
      <c r="J2417" s="580">
        <v>3.5</v>
      </c>
      <c r="K2417" s="580">
        <v>3</v>
      </c>
      <c r="L2417" s="102">
        <v>19.16</v>
      </c>
      <c r="M2417" s="102">
        <v>69.07</v>
      </c>
      <c r="N2417" s="573">
        <v>9.84</v>
      </c>
      <c r="O2417" s="556" t="str">
        <f>IF(N2417=M2417,"OK","DIF")</f>
        <v>DIF</v>
      </c>
      <c r="P2417" s="573"/>
      <c r="Q2417" s="556"/>
      <c r="R2417" s="582"/>
    </row>
    <row r="2418" ht="23.85" customHeight="1" spans="1:18">
      <c r="A2418" s="556" t="str">
        <f>B2418</f>
        <v>Insumo</v>
      </c>
      <c r="B2418" s="557" t="str">
        <f>B2417</f>
        <v>Insumo</v>
      </c>
      <c r="C2418" s="100" t="s">
        <v>2893</v>
      </c>
      <c r="D2418" s="99" t="s">
        <v>3629</v>
      </c>
      <c r="E2418" s="100" t="s">
        <v>77</v>
      </c>
      <c r="F2418" s="100" t="s">
        <v>3630</v>
      </c>
      <c r="G2418" s="100" t="s">
        <v>2896</v>
      </c>
      <c r="H2418" s="100"/>
      <c r="I2418" s="101" t="s">
        <v>2897</v>
      </c>
      <c r="J2418" s="580">
        <v>3.5</v>
      </c>
      <c r="K2418" s="580">
        <v>3</v>
      </c>
      <c r="L2418" s="102">
        <v>26.52</v>
      </c>
      <c r="M2418" s="102">
        <v>95.6</v>
      </c>
      <c r="N2418" s="573">
        <v>12.91</v>
      </c>
      <c r="O2418" s="556" t="str">
        <f>IF(N2418=M2418,"OK","DIF")</f>
        <v>DIF</v>
      </c>
      <c r="P2418" s="573"/>
      <c r="Q2418" s="556"/>
      <c r="R2418" s="582"/>
    </row>
    <row r="2419" ht="15" customHeight="1" spans="1:18">
      <c r="A2419" s="556"/>
      <c r="B2419" s="557"/>
      <c r="C2419" s="100" t="s">
        <v>2893</v>
      </c>
      <c r="D2419" s="99" t="s">
        <v>3696</v>
      </c>
      <c r="E2419" s="100" t="s">
        <v>77</v>
      </c>
      <c r="F2419" s="100" t="s">
        <v>3697</v>
      </c>
      <c r="G2419" s="100" t="s">
        <v>2961</v>
      </c>
      <c r="H2419" s="100"/>
      <c r="I2419" s="101" t="s">
        <v>134</v>
      </c>
      <c r="J2419" s="580">
        <v>0.2</v>
      </c>
      <c r="K2419" s="580">
        <v>0</v>
      </c>
      <c r="L2419" s="102">
        <v>4.7</v>
      </c>
      <c r="M2419" s="102">
        <v>0.94</v>
      </c>
      <c r="N2419" s="573"/>
      <c r="O2419" s="556"/>
      <c r="P2419" s="573"/>
      <c r="Q2419" s="556"/>
      <c r="R2419" s="582"/>
    </row>
    <row r="2420" ht="25.5" spans="1:18">
      <c r="A2420" s="556"/>
      <c r="B2420" s="557"/>
      <c r="C2420" s="108"/>
      <c r="D2420" s="108"/>
      <c r="E2420" s="108"/>
      <c r="F2420" s="108"/>
      <c r="G2420" s="108"/>
      <c r="H2420" s="108" t="s">
        <v>2898</v>
      </c>
      <c r="I2420" s="581">
        <v>164.67</v>
      </c>
      <c r="J2420" s="108" t="s">
        <v>2899</v>
      </c>
      <c r="K2420" s="581">
        <v>0</v>
      </c>
      <c r="L2420" s="108" t="s">
        <v>2900</v>
      </c>
      <c r="M2420" s="581">
        <v>164.67</v>
      </c>
      <c r="N2420" s="573"/>
      <c r="O2420" s="556"/>
      <c r="P2420" s="573"/>
      <c r="Q2420" s="556"/>
      <c r="R2420" s="582"/>
    </row>
    <row r="2421" ht="26.25" spans="1:18">
      <c r="A2421" s="556"/>
      <c r="B2421" s="557">
        <f>C2420</f>
        <v>0</v>
      </c>
      <c r="C2421" s="108"/>
      <c r="D2421" s="108"/>
      <c r="E2421" s="108"/>
      <c r="F2421" s="108"/>
      <c r="G2421" s="108"/>
      <c r="H2421" s="108" t="s">
        <v>2901</v>
      </c>
      <c r="I2421" s="581">
        <v>47.56</v>
      </c>
      <c r="J2421" s="114"/>
      <c r="K2421" s="114" t="s">
        <v>2902</v>
      </c>
      <c r="L2421" s="108"/>
      <c r="M2421" s="581">
        <v>234.18</v>
      </c>
      <c r="N2421" s="573">
        <v>164.51</v>
      </c>
      <c r="O2421" s="556" t="str">
        <f>IF(N2421=M2421,"OK","DIF")</f>
        <v>DIF</v>
      </c>
      <c r="P2421" s="573"/>
      <c r="Q2421" s="556"/>
      <c r="R2421" s="582"/>
    </row>
    <row r="2422" ht="15" spans="1:18">
      <c r="A2422" s="556">
        <f>B2422</f>
        <v>0</v>
      </c>
      <c r="B2422" s="557">
        <f>B2421</f>
        <v>0</v>
      </c>
      <c r="C2422" s="571"/>
      <c r="D2422" s="571"/>
      <c r="E2422" s="571"/>
      <c r="F2422" s="571"/>
      <c r="G2422" s="571"/>
      <c r="H2422" s="571"/>
      <c r="I2422" s="571"/>
      <c r="J2422" s="571"/>
      <c r="K2422" s="571"/>
      <c r="L2422" s="571"/>
      <c r="M2422" s="571"/>
      <c r="N2422" s="573">
        <v>9.84</v>
      </c>
      <c r="O2422" s="556" t="str">
        <f>IF(N2422=M2422,"OK","DIF")</f>
        <v>DIF</v>
      </c>
      <c r="P2422" s="573"/>
      <c r="Q2422" s="556"/>
      <c r="R2422" s="582"/>
    </row>
    <row r="2423" ht="15" customHeight="1" spans="1:18">
      <c r="A2423" s="556">
        <f>B2423</f>
        <v>0</v>
      </c>
      <c r="B2423" s="557">
        <f>B2422</f>
        <v>0</v>
      </c>
      <c r="C2423" s="76" t="s">
        <v>840</v>
      </c>
      <c r="D2423" s="75" t="s">
        <v>63</v>
      </c>
      <c r="E2423" s="76" t="s">
        <v>64</v>
      </c>
      <c r="F2423" s="76" t="s">
        <v>65</v>
      </c>
      <c r="G2423" s="76" t="s">
        <v>2889</v>
      </c>
      <c r="H2423" s="76"/>
      <c r="I2423" s="77" t="s">
        <v>66</v>
      </c>
      <c r="J2423" s="75" t="s">
        <v>67</v>
      </c>
      <c r="K2423" s="75" t="s">
        <v>2890</v>
      </c>
      <c r="L2423" s="75" t="s">
        <v>68</v>
      </c>
      <c r="M2423" s="75" t="s">
        <v>70</v>
      </c>
      <c r="N2423" s="573">
        <v>12.91</v>
      </c>
      <c r="O2423" s="556" t="str">
        <f>IF(N2423=M2423,"OK","DIF")</f>
        <v>DIF</v>
      </c>
      <c r="P2423" s="573"/>
      <c r="Q2423" s="556"/>
      <c r="R2423" s="582"/>
    </row>
    <row r="2424" ht="23.85" customHeight="1" spans="1:18">
      <c r="A2424" s="556">
        <f>B2424</f>
        <v>0</v>
      </c>
      <c r="B2424" s="557">
        <f>B2423</f>
        <v>0</v>
      </c>
      <c r="C2424" s="569" t="s">
        <v>2891</v>
      </c>
      <c r="D2424" s="570" t="s">
        <v>841</v>
      </c>
      <c r="E2424" s="569" t="s">
        <v>139</v>
      </c>
      <c r="F2424" s="569" t="s">
        <v>842</v>
      </c>
      <c r="G2424" s="569" t="s">
        <v>3198</v>
      </c>
      <c r="H2424" s="569"/>
      <c r="I2424" s="577" t="s">
        <v>134</v>
      </c>
      <c r="J2424" s="578">
        <v>1</v>
      </c>
      <c r="K2424" s="579"/>
      <c r="L2424" s="579">
        <v>399.74</v>
      </c>
      <c r="M2424" s="579">
        <v>399.74</v>
      </c>
      <c r="N2424" s="573">
        <v>141.76</v>
      </c>
      <c r="O2424" s="556" t="str">
        <f>IF(N2424=M2424,"OK","DIF")</f>
        <v>DIF</v>
      </c>
      <c r="P2424" s="573"/>
      <c r="Q2424" s="556"/>
      <c r="R2424" s="582"/>
    </row>
    <row r="2425" ht="23.85" customHeight="1" spans="1:18">
      <c r="A2425" s="556"/>
      <c r="B2425" s="557"/>
      <c r="C2425" s="79" t="s">
        <v>2921</v>
      </c>
      <c r="D2425" s="78" t="s">
        <v>3146</v>
      </c>
      <c r="E2425" s="79" t="s">
        <v>139</v>
      </c>
      <c r="F2425" s="79" t="s">
        <v>3147</v>
      </c>
      <c r="G2425" s="79" t="s">
        <v>2928</v>
      </c>
      <c r="H2425" s="79"/>
      <c r="I2425" s="80" t="s">
        <v>2897</v>
      </c>
      <c r="J2425" s="583">
        <v>0.587</v>
      </c>
      <c r="K2425" s="583">
        <v>0</v>
      </c>
      <c r="L2425" s="92">
        <v>29.54</v>
      </c>
      <c r="M2425" s="92">
        <v>17.33</v>
      </c>
      <c r="N2425" s="573"/>
      <c r="O2425" s="556"/>
      <c r="P2425" s="573"/>
      <c r="Q2425" s="556"/>
      <c r="R2425" s="582"/>
    </row>
    <row r="2426" ht="23.85" customHeight="1" spans="1:18">
      <c r="A2426" s="556"/>
      <c r="B2426" s="557"/>
      <c r="C2426" s="79" t="s">
        <v>2921</v>
      </c>
      <c r="D2426" s="78" t="s">
        <v>3144</v>
      </c>
      <c r="E2426" s="79" t="s">
        <v>139</v>
      </c>
      <c r="F2426" s="79" t="s">
        <v>3145</v>
      </c>
      <c r="G2426" s="79" t="s">
        <v>2928</v>
      </c>
      <c r="H2426" s="79"/>
      <c r="I2426" s="80" t="s">
        <v>2897</v>
      </c>
      <c r="J2426" s="583">
        <v>0.587</v>
      </c>
      <c r="K2426" s="583">
        <v>0</v>
      </c>
      <c r="L2426" s="92">
        <v>35.55</v>
      </c>
      <c r="M2426" s="92">
        <v>20.86</v>
      </c>
      <c r="N2426" s="573"/>
      <c r="O2426" s="556"/>
      <c r="P2426" s="573"/>
      <c r="Q2426" s="556"/>
      <c r="R2426" s="582"/>
    </row>
    <row r="2427" ht="15" customHeight="1" spans="1:18">
      <c r="A2427" s="556"/>
      <c r="B2427" s="557" t="str">
        <f>C2426</f>
        <v>Composição Auxiliar</v>
      </c>
      <c r="C2427" s="100" t="s">
        <v>2893</v>
      </c>
      <c r="D2427" s="99" t="s">
        <v>3643</v>
      </c>
      <c r="E2427" s="100" t="s">
        <v>139</v>
      </c>
      <c r="F2427" s="100" t="s">
        <v>3644</v>
      </c>
      <c r="G2427" s="100" t="s">
        <v>2961</v>
      </c>
      <c r="H2427" s="100"/>
      <c r="I2427" s="101" t="s">
        <v>134</v>
      </c>
      <c r="J2427" s="580">
        <v>0.012</v>
      </c>
      <c r="K2427" s="580">
        <v>0</v>
      </c>
      <c r="L2427" s="102">
        <v>13.46</v>
      </c>
      <c r="M2427" s="102">
        <v>0.16</v>
      </c>
      <c r="N2427" s="573">
        <v>102.35</v>
      </c>
      <c r="O2427" s="556" t="str">
        <f>IF(N2427=M2427,"OK","DIF")</f>
        <v>DIF</v>
      </c>
      <c r="P2427" s="573"/>
      <c r="Q2427" s="556"/>
      <c r="R2427" s="582"/>
    </row>
    <row r="2428" ht="23.85" customHeight="1" spans="1:18">
      <c r="A2428" s="556" t="str">
        <f>B2428</f>
        <v>Composição Auxiliar</v>
      </c>
      <c r="B2428" s="557" t="str">
        <f>B2427</f>
        <v>Composição Auxiliar</v>
      </c>
      <c r="C2428" s="100" t="s">
        <v>2893</v>
      </c>
      <c r="D2428" s="99" t="s">
        <v>3753</v>
      </c>
      <c r="E2428" s="100" t="s">
        <v>139</v>
      </c>
      <c r="F2428" s="100" t="s">
        <v>3754</v>
      </c>
      <c r="G2428" s="100" t="s">
        <v>2961</v>
      </c>
      <c r="H2428" s="100"/>
      <c r="I2428" s="101" t="s">
        <v>134</v>
      </c>
      <c r="J2428" s="580">
        <v>1</v>
      </c>
      <c r="K2428" s="580">
        <v>0</v>
      </c>
      <c r="L2428" s="102">
        <v>361.39</v>
      </c>
      <c r="M2428" s="102">
        <v>361.39</v>
      </c>
      <c r="N2428" s="573">
        <v>79.6</v>
      </c>
      <c r="O2428" s="556" t="str">
        <f>IF(N2428=M2428,"OK","DIF")</f>
        <v>DIF</v>
      </c>
      <c r="P2428" s="573"/>
      <c r="Q2428" s="556"/>
      <c r="R2428" s="582"/>
    </row>
    <row r="2429" ht="25.5" spans="1:18">
      <c r="A2429" s="556" t="str">
        <f>B2429</f>
        <v>Composição Auxiliar</v>
      </c>
      <c r="B2429" s="557" t="str">
        <f>B2428</f>
        <v>Composição Auxiliar</v>
      </c>
      <c r="C2429" s="108"/>
      <c r="D2429" s="108"/>
      <c r="E2429" s="108"/>
      <c r="F2429" s="108"/>
      <c r="G2429" s="108"/>
      <c r="H2429" s="108" t="s">
        <v>2898</v>
      </c>
      <c r="I2429" s="581">
        <v>27.19</v>
      </c>
      <c r="J2429" s="108" t="s">
        <v>2899</v>
      </c>
      <c r="K2429" s="581">
        <v>0</v>
      </c>
      <c r="L2429" s="108" t="s">
        <v>2900</v>
      </c>
      <c r="M2429" s="581">
        <v>27.19</v>
      </c>
      <c r="N2429" s="573">
        <v>9.84</v>
      </c>
      <c r="O2429" s="556" t="str">
        <f>IF(N2429=M2429,"OK","DIF")</f>
        <v>DIF</v>
      </c>
      <c r="P2429" s="573"/>
      <c r="Q2429" s="556"/>
      <c r="R2429" s="582"/>
    </row>
    <row r="2430" ht="26.25" spans="1:18">
      <c r="A2430" s="556" t="str">
        <f>B2430</f>
        <v>Composição Auxiliar</v>
      </c>
      <c r="B2430" s="557" t="str">
        <f>B2429</f>
        <v>Composição Auxiliar</v>
      </c>
      <c r="C2430" s="108"/>
      <c r="D2430" s="108"/>
      <c r="E2430" s="108"/>
      <c r="F2430" s="108"/>
      <c r="G2430" s="108"/>
      <c r="H2430" s="108" t="s">
        <v>2901</v>
      </c>
      <c r="I2430" s="581">
        <v>101.89</v>
      </c>
      <c r="J2430" s="114"/>
      <c r="K2430" s="114" t="s">
        <v>2902</v>
      </c>
      <c r="L2430" s="108"/>
      <c r="M2430" s="581">
        <v>501.63</v>
      </c>
      <c r="N2430" s="573">
        <v>12.91</v>
      </c>
      <c r="O2430" s="556" t="str">
        <f>IF(N2430=M2430,"OK","DIF")</f>
        <v>DIF</v>
      </c>
      <c r="P2430" s="573"/>
      <c r="Q2430" s="556"/>
      <c r="R2430" s="582"/>
    </row>
    <row r="2431" ht="15" spans="1:18">
      <c r="A2431" s="556"/>
      <c r="B2431" s="557"/>
      <c r="C2431" s="571"/>
      <c r="D2431" s="571"/>
      <c r="E2431" s="571"/>
      <c r="F2431" s="571"/>
      <c r="G2431" s="571"/>
      <c r="H2431" s="571"/>
      <c r="I2431" s="571"/>
      <c r="J2431" s="571"/>
      <c r="K2431" s="571"/>
      <c r="L2431" s="571"/>
      <c r="M2431" s="571"/>
      <c r="N2431" s="573"/>
      <c r="O2431" s="556"/>
      <c r="P2431" s="573"/>
      <c r="Q2431" s="556"/>
      <c r="R2431" s="582"/>
    </row>
    <row r="2432" ht="15" customHeight="1" spans="1:18">
      <c r="A2432" s="556"/>
      <c r="B2432" s="557"/>
      <c r="C2432" s="76" t="s">
        <v>843</v>
      </c>
      <c r="D2432" s="75" t="s">
        <v>63</v>
      </c>
      <c r="E2432" s="76" t="s">
        <v>64</v>
      </c>
      <c r="F2432" s="76" t="s">
        <v>65</v>
      </c>
      <c r="G2432" s="76" t="s">
        <v>2889</v>
      </c>
      <c r="H2432" s="76"/>
      <c r="I2432" s="77" t="s">
        <v>66</v>
      </c>
      <c r="J2432" s="75" t="s">
        <v>67</v>
      </c>
      <c r="K2432" s="75" t="s">
        <v>2890</v>
      </c>
      <c r="L2432" s="75" t="s">
        <v>68</v>
      </c>
      <c r="M2432" s="75" t="s">
        <v>70</v>
      </c>
      <c r="N2432" s="573"/>
      <c r="O2432" s="556"/>
      <c r="P2432" s="573"/>
      <c r="Q2432" s="556"/>
      <c r="R2432" s="582"/>
    </row>
    <row r="2433" ht="23.85" customHeight="1" spans="1:18">
      <c r="A2433" s="556"/>
      <c r="B2433" s="557" t="str">
        <f>C2432</f>
        <v> 11.1.35 </v>
      </c>
      <c r="C2433" s="569" t="s">
        <v>2891</v>
      </c>
      <c r="D2433" s="570" t="s">
        <v>844</v>
      </c>
      <c r="E2433" s="569" t="s">
        <v>149</v>
      </c>
      <c r="F2433" s="569" t="s">
        <v>845</v>
      </c>
      <c r="G2433" s="569" t="s">
        <v>3755</v>
      </c>
      <c r="H2433" s="569"/>
      <c r="I2433" s="577" t="s">
        <v>134</v>
      </c>
      <c r="J2433" s="578">
        <v>1</v>
      </c>
      <c r="K2433" s="579"/>
      <c r="L2433" s="579">
        <v>132.96</v>
      </c>
      <c r="M2433" s="579">
        <v>132.96</v>
      </c>
      <c r="N2433" s="573">
        <v>113.46</v>
      </c>
      <c r="O2433" s="556" t="str">
        <f>IF(N2433=M2433,"OK","DIF")</f>
        <v>DIF</v>
      </c>
      <c r="P2433" s="573"/>
      <c r="Q2433" s="556"/>
      <c r="R2433" s="582"/>
    </row>
    <row r="2434" ht="15" customHeight="1" spans="1:18">
      <c r="A2434" s="556" t="str">
        <f>B2434</f>
        <v> 11.1.35 </v>
      </c>
      <c r="B2434" s="557" t="str">
        <f>B2433</f>
        <v> 11.1.35 </v>
      </c>
      <c r="C2434" s="100" t="s">
        <v>2893</v>
      </c>
      <c r="D2434" s="99" t="s">
        <v>3756</v>
      </c>
      <c r="E2434" s="100" t="s">
        <v>149</v>
      </c>
      <c r="F2434" s="100" t="s">
        <v>3757</v>
      </c>
      <c r="G2434" s="100" t="s">
        <v>2961</v>
      </c>
      <c r="H2434" s="100"/>
      <c r="I2434" s="101" t="s">
        <v>204</v>
      </c>
      <c r="J2434" s="580">
        <v>0.04</v>
      </c>
      <c r="K2434" s="580">
        <v>0</v>
      </c>
      <c r="L2434" s="102">
        <v>1.72</v>
      </c>
      <c r="M2434" s="102">
        <v>0.06</v>
      </c>
      <c r="N2434" s="573">
        <v>13.65</v>
      </c>
      <c r="O2434" s="556" t="str">
        <f>IF(N2434=M2434,"OK","DIF")</f>
        <v>DIF</v>
      </c>
      <c r="P2434" s="573"/>
      <c r="Q2434" s="556"/>
      <c r="R2434" s="582"/>
    </row>
    <row r="2435" ht="15" customHeight="1" spans="1:18">
      <c r="A2435" s="556" t="str">
        <f>B2435</f>
        <v> 11.1.35 </v>
      </c>
      <c r="B2435" s="557" t="str">
        <f>B2434</f>
        <v> 11.1.35 </v>
      </c>
      <c r="C2435" s="100" t="s">
        <v>2893</v>
      </c>
      <c r="D2435" s="99" t="s">
        <v>2986</v>
      </c>
      <c r="E2435" s="100" t="s">
        <v>149</v>
      </c>
      <c r="F2435" s="100" t="s">
        <v>2987</v>
      </c>
      <c r="G2435" s="100" t="s">
        <v>2896</v>
      </c>
      <c r="H2435" s="100"/>
      <c r="I2435" s="101" t="s">
        <v>2897</v>
      </c>
      <c r="J2435" s="580">
        <v>1.339</v>
      </c>
      <c r="K2435" s="580">
        <v>0</v>
      </c>
      <c r="L2435" s="102">
        <v>26.928256</v>
      </c>
      <c r="M2435" s="102">
        <v>36.05</v>
      </c>
      <c r="N2435" s="573">
        <v>16.53</v>
      </c>
      <c r="O2435" s="556" t="str">
        <f>IF(N2435=M2435,"OK","DIF")</f>
        <v>DIF</v>
      </c>
      <c r="P2435" s="573"/>
      <c r="Q2435" s="556"/>
      <c r="R2435" s="582"/>
    </row>
    <row r="2436" ht="15" customHeight="1" spans="1:18">
      <c r="A2436" s="556" t="str">
        <f>B2436</f>
        <v> 11.1.35 </v>
      </c>
      <c r="B2436" s="557" t="str">
        <f>B2435</f>
        <v> 11.1.35 </v>
      </c>
      <c r="C2436" s="100" t="s">
        <v>2893</v>
      </c>
      <c r="D2436" s="99" t="s">
        <v>3758</v>
      </c>
      <c r="E2436" s="100" t="s">
        <v>149</v>
      </c>
      <c r="F2436" s="100" t="s">
        <v>3759</v>
      </c>
      <c r="G2436" s="100" t="s">
        <v>2961</v>
      </c>
      <c r="H2436" s="100"/>
      <c r="I2436" s="101" t="s">
        <v>134</v>
      </c>
      <c r="J2436" s="580">
        <v>1</v>
      </c>
      <c r="K2436" s="580">
        <v>0</v>
      </c>
      <c r="L2436" s="102">
        <v>68.5</v>
      </c>
      <c r="M2436" s="102">
        <v>68.5</v>
      </c>
      <c r="N2436" s="573">
        <v>83.28</v>
      </c>
      <c r="O2436" s="556" t="str">
        <f>IF(N2436=M2436,"OK","DIF")</f>
        <v>DIF</v>
      </c>
      <c r="P2436" s="573"/>
      <c r="Q2436" s="556"/>
      <c r="R2436" s="582"/>
    </row>
    <row r="2437" ht="15" customHeight="1" spans="1:18">
      <c r="A2437" s="556"/>
      <c r="B2437" s="557"/>
      <c r="C2437" s="100" t="s">
        <v>2893</v>
      </c>
      <c r="D2437" s="99" t="s">
        <v>2976</v>
      </c>
      <c r="E2437" s="100" t="s">
        <v>149</v>
      </c>
      <c r="F2437" s="100" t="s">
        <v>2977</v>
      </c>
      <c r="G2437" s="100" t="s">
        <v>2896</v>
      </c>
      <c r="H2437" s="100"/>
      <c r="I2437" s="101" t="s">
        <v>2897</v>
      </c>
      <c r="J2437" s="580">
        <v>1.382</v>
      </c>
      <c r="K2437" s="580">
        <v>0</v>
      </c>
      <c r="L2437" s="102">
        <v>20.515752</v>
      </c>
      <c r="M2437" s="102">
        <v>28.35</v>
      </c>
      <c r="N2437" s="573"/>
      <c r="O2437" s="556"/>
      <c r="P2437" s="573"/>
      <c r="Q2437" s="556"/>
      <c r="R2437" s="582"/>
    </row>
    <row r="2438" ht="25.5" spans="1:18">
      <c r="A2438" s="556"/>
      <c r="B2438" s="557"/>
      <c r="C2438" s="108"/>
      <c r="D2438" s="108"/>
      <c r="E2438" s="108"/>
      <c r="F2438" s="108"/>
      <c r="G2438" s="108"/>
      <c r="H2438" s="108" t="s">
        <v>2898</v>
      </c>
      <c r="I2438" s="581">
        <v>64.4</v>
      </c>
      <c r="J2438" s="108" t="s">
        <v>2899</v>
      </c>
      <c r="K2438" s="581">
        <v>0</v>
      </c>
      <c r="L2438" s="108" t="s">
        <v>2900</v>
      </c>
      <c r="M2438" s="581">
        <v>64.4</v>
      </c>
      <c r="N2438" s="573"/>
      <c r="O2438" s="556"/>
      <c r="P2438" s="573"/>
      <c r="Q2438" s="556"/>
      <c r="R2438" s="582"/>
    </row>
    <row r="2439" ht="26.25" spans="1:18">
      <c r="A2439" s="556"/>
      <c r="B2439" s="557">
        <f>C2438</f>
        <v>0</v>
      </c>
      <c r="C2439" s="108"/>
      <c r="D2439" s="108"/>
      <c r="E2439" s="108"/>
      <c r="F2439" s="108"/>
      <c r="G2439" s="108"/>
      <c r="H2439" s="108" t="s">
        <v>2901</v>
      </c>
      <c r="I2439" s="581">
        <v>33.89</v>
      </c>
      <c r="J2439" s="114"/>
      <c r="K2439" s="114" t="s">
        <v>2902</v>
      </c>
      <c r="L2439" s="108"/>
      <c r="M2439" s="581">
        <v>166.85</v>
      </c>
      <c r="N2439" s="573">
        <v>16.46</v>
      </c>
      <c r="O2439" s="556" t="str">
        <f t="shared" ref="O2439:O2447" si="250">IF(N2439=M2439,"OK","DIF")</f>
        <v>DIF</v>
      </c>
      <c r="P2439" s="573"/>
      <c r="Q2439" s="556"/>
      <c r="R2439" s="582"/>
    </row>
    <row r="2440" ht="15" spans="1:18">
      <c r="A2440" s="556">
        <f t="shared" ref="A2440:A2447" si="251">B2440</f>
        <v>0</v>
      </c>
      <c r="B2440" s="557">
        <f t="shared" ref="B2440:B2447" si="252">B2439</f>
        <v>0</v>
      </c>
      <c r="C2440" s="571"/>
      <c r="D2440" s="571"/>
      <c r="E2440" s="571"/>
      <c r="F2440" s="571"/>
      <c r="G2440" s="571"/>
      <c r="H2440" s="571"/>
      <c r="I2440" s="571"/>
      <c r="J2440" s="571"/>
      <c r="K2440" s="571"/>
      <c r="L2440" s="571"/>
      <c r="M2440" s="571"/>
      <c r="N2440" s="573">
        <v>0.6</v>
      </c>
      <c r="O2440" s="556" t="str">
        <f t="shared" si="250"/>
        <v>DIF</v>
      </c>
      <c r="P2440" s="573"/>
      <c r="Q2440" s="556"/>
      <c r="R2440" s="582"/>
    </row>
    <row r="2441" ht="15" customHeight="1" spans="1:18">
      <c r="A2441" s="556">
        <f t="shared" si="251"/>
        <v>0</v>
      </c>
      <c r="B2441" s="557">
        <f t="shared" si="252"/>
        <v>0</v>
      </c>
      <c r="C2441" s="76" t="s">
        <v>846</v>
      </c>
      <c r="D2441" s="75" t="s">
        <v>63</v>
      </c>
      <c r="E2441" s="76" t="s">
        <v>64</v>
      </c>
      <c r="F2441" s="76" t="s">
        <v>65</v>
      </c>
      <c r="G2441" s="76" t="s">
        <v>2889</v>
      </c>
      <c r="H2441" s="76"/>
      <c r="I2441" s="77" t="s">
        <v>66</v>
      </c>
      <c r="J2441" s="75" t="s">
        <v>67</v>
      </c>
      <c r="K2441" s="75" t="s">
        <v>2890</v>
      </c>
      <c r="L2441" s="75" t="s">
        <v>68</v>
      </c>
      <c r="M2441" s="75" t="s">
        <v>70</v>
      </c>
      <c r="N2441" s="573">
        <v>2</v>
      </c>
      <c r="O2441" s="556" t="str">
        <f t="shared" si="250"/>
        <v>DIF</v>
      </c>
      <c r="P2441" s="573"/>
      <c r="Q2441" s="556"/>
      <c r="R2441" s="582"/>
    </row>
    <row r="2442" ht="46.25" customHeight="1" spans="1:18">
      <c r="A2442" s="556">
        <f t="shared" si="251"/>
        <v>0</v>
      </c>
      <c r="B2442" s="557">
        <f t="shared" si="252"/>
        <v>0</v>
      </c>
      <c r="C2442" s="569" t="s">
        <v>2891</v>
      </c>
      <c r="D2442" s="570" t="s">
        <v>847</v>
      </c>
      <c r="E2442" s="569" t="s">
        <v>139</v>
      </c>
      <c r="F2442" s="569" t="s">
        <v>3760</v>
      </c>
      <c r="G2442" s="569" t="s">
        <v>3132</v>
      </c>
      <c r="H2442" s="569"/>
      <c r="I2442" s="577" t="s">
        <v>204</v>
      </c>
      <c r="J2442" s="578">
        <v>1</v>
      </c>
      <c r="K2442" s="579"/>
      <c r="L2442" s="579">
        <v>20.97</v>
      </c>
      <c r="M2442" s="579">
        <v>20.97</v>
      </c>
      <c r="N2442" s="573">
        <v>1.42</v>
      </c>
      <c r="O2442" s="556" t="str">
        <f t="shared" si="250"/>
        <v>DIF</v>
      </c>
      <c r="P2442" s="573"/>
      <c r="Q2442" s="556"/>
      <c r="R2442" s="582"/>
    </row>
    <row r="2443" ht="23.85" customHeight="1" spans="1:18">
      <c r="A2443" s="556">
        <f t="shared" si="251"/>
        <v>0</v>
      </c>
      <c r="B2443" s="557">
        <f t="shared" si="252"/>
        <v>0</v>
      </c>
      <c r="C2443" s="79" t="s">
        <v>2921</v>
      </c>
      <c r="D2443" s="78" t="s">
        <v>3146</v>
      </c>
      <c r="E2443" s="79" t="s">
        <v>139</v>
      </c>
      <c r="F2443" s="79" t="s">
        <v>3147</v>
      </c>
      <c r="G2443" s="79" t="s">
        <v>2928</v>
      </c>
      <c r="H2443" s="79"/>
      <c r="I2443" s="80" t="s">
        <v>2897</v>
      </c>
      <c r="J2443" s="583">
        <v>0.0632</v>
      </c>
      <c r="K2443" s="583">
        <v>0</v>
      </c>
      <c r="L2443" s="92">
        <v>29.54</v>
      </c>
      <c r="M2443" s="92">
        <v>1.86</v>
      </c>
      <c r="N2443" s="573">
        <v>1.34</v>
      </c>
      <c r="O2443" s="556" t="str">
        <f t="shared" si="250"/>
        <v>DIF</v>
      </c>
      <c r="P2443" s="573"/>
      <c r="Q2443" s="556"/>
      <c r="R2443" s="582"/>
    </row>
    <row r="2444" ht="23.85" customHeight="1" spans="1:18">
      <c r="A2444" s="556">
        <f t="shared" si="251"/>
        <v>0</v>
      </c>
      <c r="B2444" s="557">
        <f t="shared" si="252"/>
        <v>0</v>
      </c>
      <c r="C2444" s="79" t="s">
        <v>2921</v>
      </c>
      <c r="D2444" s="78" t="s">
        <v>3144</v>
      </c>
      <c r="E2444" s="79" t="s">
        <v>139</v>
      </c>
      <c r="F2444" s="79" t="s">
        <v>3145</v>
      </c>
      <c r="G2444" s="79" t="s">
        <v>2928</v>
      </c>
      <c r="H2444" s="79"/>
      <c r="I2444" s="80" t="s">
        <v>2897</v>
      </c>
      <c r="J2444" s="583">
        <v>0.278</v>
      </c>
      <c r="K2444" s="583">
        <v>0</v>
      </c>
      <c r="L2444" s="92">
        <v>35.55</v>
      </c>
      <c r="M2444" s="92">
        <v>9.88</v>
      </c>
      <c r="N2444" s="573">
        <v>2.45</v>
      </c>
      <c r="O2444" s="556" t="str">
        <f t="shared" si="250"/>
        <v>DIF</v>
      </c>
      <c r="P2444" s="573"/>
      <c r="Q2444" s="556"/>
      <c r="R2444" s="582"/>
    </row>
    <row r="2445" ht="35.05" customHeight="1" spans="1:18">
      <c r="A2445" s="556">
        <f t="shared" si="251"/>
        <v>0</v>
      </c>
      <c r="B2445" s="557">
        <f t="shared" si="252"/>
        <v>0</v>
      </c>
      <c r="C2445" s="100" t="s">
        <v>2893</v>
      </c>
      <c r="D2445" s="99" t="s">
        <v>3761</v>
      </c>
      <c r="E2445" s="100" t="s">
        <v>139</v>
      </c>
      <c r="F2445" s="100" t="s">
        <v>3762</v>
      </c>
      <c r="G2445" s="100" t="s">
        <v>2961</v>
      </c>
      <c r="H2445" s="100"/>
      <c r="I2445" s="101" t="s">
        <v>134</v>
      </c>
      <c r="J2445" s="580">
        <v>1.875</v>
      </c>
      <c r="K2445" s="580">
        <v>0</v>
      </c>
      <c r="L2445" s="102">
        <v>0.85</v>
      </c>
      <c r="M2445" s="102">
        <v>1.59</v>
      </c>
      <c r="N2445" s="573">
        <v>2.56</v>
      </c>
      <c r="O2445" s="556" t="str">
        <f t="shared" si="250"/>
        <v>DIF</v>
      </c>
      <c r="P2445" s="573"/>
      <c r="Q2445" s="556"/>
      <c r="R2445" s="582"/>
    </row>
    <row r="2446" ht="23.85" customHeight="1" spans="1:18">
      <c r="A2446" s="556">
        <f t="shared" si="251"/>
        <v>0</v>
      </c>
      <c r="B2446" s="557">
        <f t="shared" si="252"/>
        <v>0</v>
      </c>
      <c r="C2446" s="100" t="s">
        <v>2893</v>
      </c>
      <c r="D2446" s="99" t="s">
        <v>3763</v>
      </c>
      <c r="E2446" s="100" t="s">
        <v>139</v>
      </c>
      <c r="F2446" s="100" t="s">
        <v>3764</v>
      </c>
      <c r="G2446" s="100" t="s">
        <v>2961</v>
      </c>
      <c r="H2446" s="100"/>
      <c r="I2446" s="101" t="s">
        <v>134</v>
      </c>
      <c r="J2446" s="580">
        <v>1.7857</v>
      </c>
      <c r="K2446" s="580">
        <v>0</v>
      </c>
      <c r="L2446" s="102">
        <v>4.28</v>
      </c>
      <c r="M2446" s="102">
        <v>7.64</v>
      </c>
      <c r="N2446" s="573">
        <v>4.85</v>
      </c>
      <c r="O2446" s="556" t="str">
        <f t="shared" si="250"/>
        <v>DIF</v>
      </c>
      <c r="P2446" s="573"/>
      <c r="Q2446" s="556"/>
      <c r="R2446" s="582"/>
    </row>
    <row r="2447" ht="25.5" spans="1:18">
      <c r="A2447" s="556">
        <f t="shared" si="251"/>
        <v>0</v>
      </c>
      <c r="B2447" s="557">
        <f t="shared" si="252"/>
        <v>0</v>
      </c>
      <c r="C2447" s="108"/>
      <c r="D2447" s="108"/>
      <c r="E2447" s="108"/>
      <c r="F2447" s="108"/>
      <c r="G2447" s="108"/>
      <c r="H2447" s="108" t="s">
        <v>2898</v>
      </c>
      <c r="I2447" s="581">
        <v>8.54</v>
      </c>
      <c r="J2447" s="108" t="s">
        <v>2899</v>
      </c>
      <c r="K2447" s="581">
        <v>0</v>
      </c>
      <c r="L2447" s="108" t="s">
        <v>2900</v>
      </c>
      <c r="M2447" s="581">
        <v>8.54</v>
      </c>
      <c r="N2447" s="573">
        <v>1.24</v>
      </c>
      <c r="O2447" s="556" t="str">
        <f t="shared" si="250"/>
        <v>DIF</v>
      </c>
      <c r="P2447" s="573"/>
      <c r="Q2447" s="556"/>
      <c r="R2447" s="582"/>
    </row>
    <row r="2448" ht="26.25" spans="1:18">
      <c r="A2448" s="556"/>
      <c r="B2448" s="557"/>
      <c r="C2448" s="108"/>
      <c r="D2448" s="108"/>
      <c r="E2448" s="108"/>
      <c r="F2448" s="108"/>
      <c r="G2448" s="108"/>
      <c r="H2448" s="108" t="s">
        <v>2901</v>
      </c>
      <c r="I2448" s="581">
        <v>5.34</v>
      </c>
      <c r="J2448" s="114"/>
      <c r="K2448" s="114" t="s">
        <v>2902</v>
      </c>
      <c r="L2448" s="108"/>
      <c r="M2448" s="581">
        <v>26.31</v>
      </c>
      <c r="N2448" s="573"/>
      <c r="O2448" s="556"/>
      <c r="P2448" s="573"/>
      <c r="Q2448" s="556"/>
      <c r="R2448" s="582"/>
    </row>
    <row r="2449" ht="15" spans="1:18">
      <c r="A2449" s="556"/>
      <c r="B2449" s="557"/>
      <c r="C2449" s="571"/>
      <c r="D2449" s="571"/>
      <c r="E2449" s="571"/>
      <c r="F2449" s="571"/>
      <c r="G2449" s="571"/>
      <c r="H2449" s="571"/>
      <c r="I2449" s="571"/>
      <c r="J2449" s="571"/>
      <c r="K2449" s="571"/>
      <c r="L2449" s="571"/>
      <c r="M2449" s="571"/>
      <c r="N2449" s="573"/>
      <c r="O2449" s="556"/>
      <c r="P2449" s="573"/>
      <c r="Q2449" s="556"/>
      <c r="R2449" s="582"/>
    </row>
    <row r="2450" ht="15" customHeight="1" spans="1:18">
      <c r="A2450" s="556"/>
      <c r="B2450" s="557">
        <f>C2449</f>
        <v>0</v>
      </c>
      <c r="C2450" s="76" t="s">
        <v>849</v>
      </c>
      <c r="D2450" s="75" t="s">
        <v>63</v>
      </c>
      <c r="E2450" s="76" t="s">
        <v>64</v>
      </c>
      <c r="F2450" s="76" t="s">
        <v>65</v>
      </c>
      <c r="G2450" s="76" t="s">
        <v>2889</v>
      </c>
      <c r="H2450" s="76"/>
      <c r="I2450" s="77" t="s">
        <v>66</v>
      </c>
      <c r="J2450" s="75" t="s">
        <v>67</v>
      </c>
      <c r="K2450" s="75" t="s">
        <v>2890</v>
      </c>
      <c r="L2450" s="75" t="s">
        <v>68</v>
      </c>
      <c r="M2450" s="75" t="s">
        <v>70</v>
      </c>
      <c r="N2450" s="573">
        <v>16.72</v>
      </c>
      <c r="O2450" s="556" t="str">
        <f>IF(N2450=M2450,"OK","DIF")</f>
        <v>DIF</v>
      </c>
      <c r="P2450" s="573"/>
      <c r="Q2450" s="556"/>
      <c r="R2450" s="582"/>
    </row>
    <row r="2451" ht="57.45" customHeight="1" spans="1:18">
      <c r="A2451" s="556">
        <f>B2451</f>
        <v>0</v>
      </c>
      <c r="B2451" s="557">
        <f>B2450</f>
        <v>0</v>
      </c>
      <c r="C2451" s="569" t="s">
        <v>2891</v>
      </c>
      <c r="D2451" s="570" t="s">
        <v>850</v>
      </c>
      <c r="E2451" s="569" t="s">
        <v>139</v>
      </c>
      <c r="F2451" s="569" t="s">
        <v>3765</v>
      </c>
      <c r="G2451" s="569" t="s">
        <v>3132</v>
      </c>
      <c r="H2451" s="569"/>
      <c r="I2451" s="577" t="s">
        <v>204</v>
      </c>
      <c r="J2451" s="578">
        <v>1</v>
      </c>
      <c r="K2451" s="579"/>
      <c r="L2451" s="579">
        <v>27.97</v>
      </c>
      <c r="M2451" s="579">
        <v>27.97</v>
      </c>
      <c r="N2451" s="573">
        <v>1.96</v>
      </c>
      <c r="O2451" s="556" t="str">
        <f>IF(N2451=M2451,"OK","DIF")</f>
        <v>DIF</v>
      </c>
      <c r="P2451" s="573"/>
      <c r="Q2451" s="556"/>
      <c r="R2451" s="582"/>
    </row>
    <row r="2452" ht="23.85" customHeight="1" spans="1:18">
      <c r="A2452" s="556">
        <f>B2452</f>
        <v>0</v>
      </c>
      <c r="B2452" s="557">
        <f>B2451</f>
        <v>0</v>
      </c>
      <c r="C2452" s="79" t="s">
        <v>2921</v>
      </c>
      <c r="D2452" s="78" t="s">
        <v>3146</v>
      </c>
      <c r="E2452" s="79" t="s">
        <v>139</v>
      </c>
      <c r="F2452" s="79" t="s">
        <v>3147</v>
      </c>
      <c r="G2452" s="79" t="s">
        <v>2928</v>
      </c>
      <c r="H2452" s="79"/>
      <c r="I2452" s="80" t="s">
        <v>2897</v>
      </c>
      <c r="J2452" s="583">
        <v>0.0855</v>
      </c>
      <c r="K2452" s="583">
        <v>0</v>
      </c>
      <c r="L2452" s="92">
        <v>29.54</v>
      </c>
      <c r="M2452" s="92">
        <v>2.52</v>
      </c>
      <c r="N2452" s="573">
        <v>5.16</v>
      </c>
      <c r="O2452" s="556" t="str">
        <f>IF(N2452=M2452,"OK","DIF")</f>
        <v>DIF</v>
      </c>
      <c r="P2452" s="573"/>
      <c r="Q2452" s="556"/>
      <c r="R2452" s="582"/>
    </row>
    <row r="2453" ht="23.85" customHeight="1" spans="1:18">
      <c r="A2453" s="556">
        <f>B2453</f>
        <v>0</v>
      </c>
      <c r="B2453" s="557">
        <f>B2452</f>
        <v>0</v>
      </c>
      <c r="C2453" s="79" t="s">
        <v>2921</v>
      </c>
      <c r="D2453" s="78" t="s">
        <v>3144</v>
      </c>
      <c r="E2453" s="79" t="s">
        <v>139</v>
      </c>
      <c r="F2453" s="79" t="s">
        <v>3145</v>
      </c>
      <c r="G2453" s="79" t="s">
        <v>2928</v>
      </c>
      <c r="H2453" s="79"/>
      <c r="I2453" s="80" t="s">
        <v>2897</v>
      </c>
      <c r="J2453" s="583">
        <v>0.3763</v>
      </c>
      <c r="K2453" s="583">
        <v>0</v>
      </c>
      <c r="L2453" s="92">
        <v>35.55</v>
      </c>
      <c r="M2453" s="92">
        <v>13.37</v>
      </c>
      <c r="N2453" s="573">
        <v>3.6</v>
      </c>
      <c r="O2453" s="556" t="str">
        <f>IF(N2453=M2453,"OK","DIF")</f>
        <v>DIF</v>
      </c>
      <c r="P2453" s="573"/>
      <c r="Q2453" s="556"/>
      <c r="R2453" s="582"/>
    </row>
    <row r="2454" ht="35.05" customHeight="1" spans="1:18">
      <c r="A2454" s="556">
        <f>B2454</f>
        <v>0</v>
      </c>
      <c r="B2454" s="557">
        <f>B2453</f>
        <v>0</v>
      </c>
      <c r="C2454" s="100" t="s">
        <v>2893</v>
      </c>
      <c r="D2454" s="99" t="s">
        <v>3761</v>
      </c>
      <c r="E2454" s="100" t="s">
        <v>139</v>
      </c>
      <c r="F2454" s="100" t="s">
        <v>3762</v>
      </c>
      <c r="G2454" s="100" t="s">
        <v>2961</v>
      </c>
      <c r="H2454" s="100"/>
      <c r="I2454" s="101" t="s">
        <v>134</v>
      </c>
      <c r="J2454" s="580">
        <v>1.75</v>
      </c>
      <c r="K2454" s="580">
        <v>0</v>
      </c>
      <c r="L2454" s="102">
        <v>0.85</v>
      </c>
      <c r="M2454" s="102">
        <v>1.48</v>
      </c>
      <c r="N2454" s="573">
        <v>6</v>
      </c>
      <c r="O2454" s="556" t="str">
        <f>IF(N2454=M2454,"OK","DIF")</f>
        <v>DIF</v>
      </c>
      <c r="P2454" s="573"/>
      <c r="Q2454" s="556"/>
      <c r="R2454" s="582"/>
    </row>
    <row r="2455" ht="23.85" customHeight="1" spans="1:18">
      <c r="A2455" s="556"/>
      <c r="B2455" s="557"/>
      <c r="C2455" s="100" t="s">
        <v>2893</v>
      </c>
      <c r="D2455" s="99" t="s">
        <v>3766</v>
      </c>
      <c r="E2455" s="100" t="s">
        <v>139</v>
      </c>
      <c r="F2455" s="100" t="s">
        <v>3767</v>
      </c>
      <c r="G2455" s="100" t="s">
        <v>2961</v>
      </c>
      <c r="H2455" s="100"/>
      <c r="I2455" s="101" t="s">
        <v>134</v>
      </c>
      <c r="J2455" s="580">
        <v>1.6667</v>
      </c>
      <c r="K2455" s="580">
        <v>0</v>
      </c>
      <c r="L2455" s="102">
        <v>6.36</v>
      </c>
      <c r="M2455" s="102">
        <v>10.6</v>
      </c>
      <c r="N2455" s="573"/>
      <c r="O2455" s="556"/>
      <c r="P2455" s="573"/>
      <c r="Q2455" s="556"/>
      <c r="R2455" s="582"/>
    </row>
    <row r="2456" ht="25.5" spans="1:18">
      <c r="A2456" s="556"/>
      <c r="B2456" s="557"/>
      <c r="C2456" s="108"/>
      <c r="D2456" s="108"/>
      <c r="E2456" s="108"/>
      <c r="F2456" s="108"/>
      <c r="G2456" s="108"/>
      <c r="H2456" s="108" t="s">
        <v>2898</v>
      </c>
      <c r="I2456" s="581">
        <v>11.57</v>
      </c>
      <c r="J2456" s="108" t="s">
        <v>2899</v>
      </c>
      <c r="K2456" s="581">
        <v>0</v>
      </c>
      <c r="L2456" s="108" t="s">
        <v>2900</v>
      </c>
      <c r="M2456" s="581">
        <v>11.57</v>
      </c>
      <c r="N2456" s="573"/>
      <c r="O2456" s="556"/>
      <c r="P2456" s="573"/>
      <c r="Q2456" s="556"/>
      <c r="R2456" s="582"/>
    </row>
    <row r="2457" ht="26.25" spans="1:18">
      <c r="A2457" s="556"/>
      <c r="B2457" s="557">
        <f>C2456</f>
        <v>0</v>
      </c>
      <c r="C2457" s="108"/>
      <c r="D2457" s="108"/>
      <c r="E2457" s="108"/>
      <c r="F2457" s="108"/>
      <c r="G2457" s="108"/>
      <c r="H2457" s="108" t="s">
        <v>2901</v>
      </c>
      <c r="I2457" s="581">
        <v>7.12</v>
      </c>
      <c r="J2457" s="114"/>
      <c r="K2457" s="114" t="s">
        <v>2902</v>
      </c>
      <c r="L2457" s="108"/>
      <c r="M2457" s="581">
        <v>35.09</v>
      </c>
      <c r="N2457" s="573">
        <v>60.37</v>
      </c>
      <c r="O2457" s="556" t="str">
        <f>IF(N2457=M2457,"OK","DIF")</f>
        <v>DIF</v>
      </c>
      <c r="P2457" s="573"/>
      <c r="Q2457" s="556"/>
      <c r="R2457" s="582"/>
    </row>
    <row r="2458" ht="15" spans="1:18">
      <c r="A2458" s="556">
        <f>B2458</f>
        <v>0</v>
      </c>
      <c r="B2458" s="557">
        <f>B2457</f>
        <v>0</v>
      </c>
      <c r="C2458" s="571"/>
      <c r="D2458" s="571"/>
      <c r="E2458" s="571"/>
      <c r="F2458" s="571"/>
      <c r="G2458" s="571"/>
      <c r="H2458" s="571"/>
      <c r="I2458" s="571"/>
      <c r="J2458" s="571"/>
      <c r="K2458" s="571"/>
      <c r="L2458" s="571"/>
      <c r="M2458" s="571"/>
      <c r="N2458" s="573">
        <v>33.07</v>
      </c>
      <c r="O2458" s="556" t="str">
        <f>IF(N2458=M2458,"OK","DIF")</f>
        <v>DIF</v>
      </c>
      <c r="P2458" s="573"/>
      <c r="Q2458" s="556"/>
      <c r="R2458" s="582"/>
    </row>
    <row r="2459" ht="15" customHeight="1" spans="1:18">
      <c r="A2459" s="556">
        <f>B2459</f>
        <v>0</v>
      </c>
      <c r="B2459" s="557">
        <f>B2458</f>
        <v>0</v>
      </c>
      <c r="C2459" s="76" t="s">
        <v>852</v>
      </c>
      <c r="D2459" s="75" t="s">
        <v>63</v>
      </c>
      <c r="E2459" s="76" t="s">
        <v>64</v>
      </c>
      <c r="F2459" s="76" t="s">
        <v>65</v>
      </c>
      <c r="G2459" s="76" t="s">
        <v>2889</v>
      </c>
      <c r="H2459" s="76"/>
      <c r="I2459" s="77" t="s">
        <v>66</v>
      </c>
      <c r="J2459" s="75" t="s">
        <v>67</v>
      </c>
      <c r="K2459" s="75" t="s">
        <v>2890</v>
      </c>
      <c r="L2459" s="75" t="s">
        <v>68</v>
      </c>
      <c r="M2459" s="75" t="s">
        <v>70</v>
      </c>
      <c r="N2459" s="573">
        <v>27.3</v>
      </c>
      <c r="O2459" s="556" t="str">
        <f>IF(N2459=M2459,"OK","DIF")</f>
        <v>DIF</v>
      </c>
      <c r="P2459" s="573"/>
      <c r="Q2459" s="556"/>
      <c r="R2459" s="582"/>
    </row>
    <row r="2460" ht="57.45" customHeight="1" spans="1:18">
      <c r="A2460" s="556"/>
      <c r="B2460" s="557"/>
      <c r="C2460" s="569" t="s">
        <v>2891</v>
      </c>
      <c r="D2460" s="570" t="s">
        <v>853</v>
      </c>
      <c r="E2460" s="569" t="s">
        <v>139</v>
      </c>
      <c r="F2460" s="569" t="s">
        <v>854</v>
      </c>
      <c r="G2460" s="569" t="s">
        <v>3132</v>
      </c>
      <c r="H2460" s="569"/>
      <c r="I2460" s="577" t="s">
        <v>204</v>
      </c>
      <c r="J2460" s="578">
        <v>1</v>
      </c>
      <c r="K2460" s="579"/>
      <c r="L2460" s="579">
        <v>20.66</v>
      </c>
      <c r="M2460" s="579">
        <v>20.66</v>
      </c>
      <c r="N2460" s="573"/>
      <c r="O2460" s="556"/>
      <c r="P2460" s="573"/>
      <c r="Q2460" s="556"/>
      <c r="R2460" s="582"/>
    </row>
    <row r="2461" ht="23.85" customHeight="1" spans="1:18">
      <c r="A2461" s="556"/>
      <c r="B2461" s="557"/>
      <c r="C2461" s="79" t="s">
        <v>2921</v>
      </c>
      <c r="D2461" s="78" t="s">
        <v>3144</v>
      </c>
      <c r="E2461" s="79" t="s">
        <v>139</v>
      </c>
      <c r="F2461" s="79" t="s">
        <v>3145</v>
      </c>
      <c r="G2461" s="79" t="s">
        <v>2928</v>
      </c>
      <c r="H2461" s="79"/>
      <c r="I2461" s="80" t="s">
        <v>2897</v>
      </c>
      <c r="J2461" s="583">
        <v>0.3141</v>
      </c>
      <c r="K2461" s="583">
        <v>0</v>
      </c>
      <c r="L2461" s="92">
        <v>35.55</v>
      </c>
      <c r="M2461" s="92">
        <v>11.16</v>
      </c>
      <c r="N2461" s="573"/>
      <c r="O2461" s="556"/>
      <c r="P2461" s="573"/>
      <c r="Q2461" s="556"/>
      <c r="R2461" s="582"/>
    </row>
    <row r="2462" ht="23.85" customHeight="1" spans="1:18">
      <c r="A2462" s="556"/>
      <c r="B2462" s="557" t="str">
        <f>C2461</f>
        <v>Composição Auxiliar</v>
      </c>
      <c r="C2462" s="79" t="s">
        <v>2921</v>
      </c>
      <c r="D2462" s="78" t="s">
        <v>3146</v>
      </c>
      <c r="E2462" s="79" t="s">
        <v>139</v>
      </c>
      <c r="F2462" s="79" t="s">
        <v>3147</v>
      </c>
      <c r="G2462" s="79" t="s">
        <v>2928</v>
      </c>
      <c r="H2462" s="79"/>
      <c r="I2462" s="80" t="s">
        <v>2897</v>
      </c>
      <c r="J2462" s="583">
        <v>0.0714</v>
      </c>
      <c r="K2462" s="583">
        <v>0</v>
      </c>
      <c r="L2462" s="92">
        <v>29.54</v>
      </c>
      <c r="M2462" s="92">
        <v>2.1</v>
      </c>
      <c r="N2462" s="573">
        <v>24.14</v>
      </c>
      <c r="O2462" s="556" t="str">
        <f>IF(N2462=M2462,"OK","DIF")</f>
        <v>DIF</v>
      </c>
      <c r="P2462" s="573"/>
      <c r="Q2462" s="556"/>
      <c r="R2462" s="582"/>
    </row>
    <row r="2463" ht="23.85" customHeight="1" spans="1:18">
      <c r="A2463" s="556" t="str">
        <f>B2463</f>
        <v>Composição Auxiliar</v>
      </c>
      <c r="B2463" s="557" t="str">
        <f>B2462</f>
        <v>Composição Auxiliar</v>
      </c>
      <c r="C2463" s="100" t="s">
        <v>2893</v>
      </c>
      <c r="D2463" s="99" t="s">
        <v>3768</v>
      </c>
      <c r="E2463" s="100" t="s">
        <v>139</v>
      </c>
      <c r="F2463" s="100" t="s">
        <v>3769</v>
      </c>
      <c r="G2463" s="100" t="s">
        <v>2961</v>
      </c>
      <c r="H2463" s="100"/>
      <c r="I2463" s="101" t="s">
        <v>134</v>
      </c>
      <c r="J2463" s="580">
        <v>1.6667</v>
      </c>
      <c r="K2463" s="580">
        <v>0</v>
      </c>
      <c r="L2463" s="102">
        <v>4.44</v>
      </c>
      <c r="M2463" s="102">
        <v>7.4</v>
      </c>
      <c r="N2463" s="573">
        <v>13.22</v>
      </c>
      <c r="O2463" s="556" t="str">
        <f>IF(N2463=M2463,"OK","DIF")</f>
        <v>DIF</v>
      </c>
      <c r="P2463" s="573"/>
      <c r="Q2463" s="556"/>
      <c r="R2463" s="582"/>
    </row>
    <row r="2464" ht="25.5" spans="1:18">
      <c r="A2464" s="556" t="str">
        <f>B2464</f>
        <v>Composição Auxiliar</v>
      </c>
      <c r="B2464" s="557" t="str">
        <f>B2463</f>
        <v>Composição Auxiliar</v>
      </c>
      <c r="C2464" s="108"/>
      <c r="D2464" s="108"/>
      <c r="E2464" s="108"/>
      <c r="F2464" s="108"/>
      <c r="G2464" s="108"/>
      <c r="H2464" s="108" t="s">
        <v>2898</v>
      </c>
      <c r="I2464" s="581">
        <v>9.66</v>
      </c>
      <c r="J2464" s="108" t="s">
        <v>2899</v>
      </c>
      <c r="K2464" s="581">
        <v>0</v>
      </c>
      <c r="L2464" s="108" t="s">
        <v>2900</v>
      </c>
      <c r="M2464" s="581">
        <v>9.66</v>
      </c>
      <c r="N2464" s="573">
        <v>10.92</v>
      </c>
      <c r="O2464" s="556" t="str">
        <f>IF(N2464=M2464,"OK","DIF")</f>
        <v>DIF</v>
      </c>
      <c r="P2464" s="573"/>
      <c r="Q2464" s="556"/>
      <c r="R2464" s="582"/>
    </row>
    <row r="2465" ht="26.25" spans="1:18">
      <c r="A2465" s="556"/>
      <c r="B2465" s="557"/>
      <c r="C2465" s="108"/>
      <c r="D2465" s="108"/>
      <c r="E2465" s="108"/>
      <c r="F2465" s="108"/>
      <c r="G2465" s="108"/>
      <c r="H2465" s="108" t="s">
        <v>2901</v>
      </c>
      <c r="I2465" s="581">
        <v>5.26</v>
      </c>
      <c r="J2465" s="114"/>
      <c r="K2465" s="114" t="s">
        <v>2902</v>
      </c>
      <c r="L2465" s="108"/>
      <c r="M2465" s="581">
        <v>25.92</v>
      </c>
      <c r="N2465" s="573"/>
      <c r="O2465" s="556"/>
      <c r="P2465" s="573"/>
      <c r="Q2465" s="556"/>
      <c r="R2465" s="582"/>
    </row>
    <row r="2466" ht="15" spans="1:18">
      <c r="A2466" s="556"/>
      <c r="B2466" s="557"/>
      <c r="C2466" s="571"/>
      <c r="D2466" s="571"/>
      <c r="E2466" s="571"/>
      <c r="F2466" s="571"/>
      <c r="G2466" s="571"/>
      <c r="H2466" s="571"/>
      <c r="I2466" s="571"/>
      <c r="J2466" s="571"/>
      <c r="K2466" s="571"/>
      <c r="L2466" s="571"/>
      <c r="M2466" s="571"/>
      <c r="N2466" s="573"/>
      <c r="O2466" s="556"/>
      <c r="P2466" s="573"/>
      <c r="Q2466" s="556"/>
      <c r="R2466" s="582"/>
    </row>
    <row r="2467" ht="15" customHeight="1" spans="1:18">
      <c r="A2467" s="556"/>
      <c r="B2467" s="557">
        <f>C2466</f>
        <v>0</v>
      </c>
      <c r="C2467" s="76" t="s">
        <v>855</v>
      </c>
      <c r="D2467" s="75" t="s">
        <v>63</v>
      </c>
      <c r="E2467" s="76" t="s">
        <v>64</v>
      </c>
      <c r="F2467" s="76" t="s">
        <v>65</v>
      </c>
      <c r="G2467" s="76" t="s">
        <v>2889</v>
      </c>
      <c r="H2467" s="76"/>
      <c r="I2467" s="77" t="s">
        <v>66</v>
      </c>
      <c r="J2467" s="75" t="s">
        <v>67</v>
      </c>
      <c r="K2467" s="75" t="s">
        <v>2890</v>
      </c>
      <c r="L2467" s="75" t="s">
        <v>68</v>
      </c>
      <c r="M2467" s="75" t="s">
        <v>70</v>
      </c>
      <c r="N2467" s="573">
        <v>15.57</v>
      </c>
      <c r="O2467" s="556" t="str">
        <f>IF(N2467=M2467,"OK","DIF")</f>
        <v>DIF</v>
      </c>
      <c r="P2467" s="573"/>
      <c r="Q2467" s="556"/>
      <c r="R2467" s="582"/>
    </row>
    <row r="2468" ht="57.45" customHeight="1" spans="1:18">
      <c r="A2468" s="556">
        <f>B2468</f>
        <v>0</v>
      </c>
      <c r="B2468" s="557">
        <f>B2467</f>
        <v>0</v>
      </c>
      <c r="C2468" s="569" t="s">
        <v>2891</v>
      </c>
      <c r="D2468" s="570" t="s">
        <v>856</v>
      </c>
      <c r="E2468" s="569" t="s">
        <v>139</v>
      </c>
      <c r="F2468" s="569" t="s">
        <v>857</v>
      </c>
      <c r="G2468" s="569" t="s">
        <v>3132</v>
      </c>
      <c r="H2468" s="569"/>
      <c r="I2468" s="577" t="s">
        <v>204</v>
      </c>
      <c r="J2468" s="578">
        <v>1</v>
      </c>
      <c r="K2468" s="579"/>
      <c r="L2468" s="579">
        <v>23.79</v>
      </c>
      <c r="M2468" s="579">
        <v>23.79</v>
      </c>
      <c r="N2468" s="573">
        <v>3.48</v>
      </c>
      <c r="O2468" s="556" t="str">
        <f>IF(N2468=M2468,"OK","DIF")</f>
        <v>DIF</v>
      </c>
      <c r="P2468" s="573"/>
      <c r="Q2468" s="556"/>
      <c r="R2468" s="582"/>
    </row>
    <row r="2469" ht="23.85" customHeight="1" spans="1:18">
      <c r="A2469" s="556">
        <f>B2469</f>
        <v>0</v>
      </c>
      <c r="B2469" s="557">
        <f>B2468</f>
        <v>0</v>
      </c>
      <c r="C2469" s="79" t="s">
        <v>2921</v>
      </c>
      <c r="D2469" s="78" t="s">
        <v>3146</v>
      </c>
      <c r="E2469" s="79" t="s">
        <v>139</v>
      </c>
      <c r="F2469" s="79" t="s">
        <v>3147</v>
      </c>
      <c r="G2469" s="79" t="s">
        <v>2928</v>
      </c>
      <c r="H2469" s="79"/>
      <c r="I2469" s="80" t="s">
        <v>2897</v>
      </c>
      <c r="J2469" s="583">
        <v>0.081</v>
      </c>
      <c r="K2469" s="583">
        <v>0</v>
      </c>
      <c r="L2469" s="92">
        <v>29.54</v>
      </c>
      <c r="M2469" s="92">
        <v>2.39</v>
      </c>
      <c r="N2469" s="573">
        <v>2.52</v>
      </c>
      <c r="O2469" s="556" t="str">
        <f>IF(N2469=M2469,"OK","DIF")</f>
        <v>DIF</v>
      </c>
      <c r="P2469" s="573"/>
      <c r="Q2469" s="556"/>
      <c r="R2469" s="582"/>
    </row>
    <row r="2470" ht="23.85" customHeight="1" spans="1:18">
      <c r="A2470" s="556">
        <f>B2470</f>
        <v>0</v>
      </c>
      <c r="B2470" s="557">
        <f>B2469</f>
        <v>0</v>
      </c>
      <c r="C2470" s="79" t="s">
        <v>2921</v>
      </c>
      <c r="D2470" s="78" t="s">
        <v>3144</v>
      </c>
      <c r="E2470" s="79" t="s">
        <v>139</v>
      </c>
      <c r="F2470" s="79" t="s">
        <v>3145</v>
      </c>
      <c r="G2470" s="79" t="s">
        <v>2928</v>
      </c>
      <c r="H2470" s="79"/>
      <c r="I2470" s="80" t="s">
        <v>2897</v>
      </c>
      <c r="J2470" s="583">
        <v>0.3563</v>
      </c>
      <c r="K2470" s="583">
        <v>0</v>
      </c>
      <c r="L2470" s="92">
        <v>35.55</v>
      </c>
      <c r="M2470" s="92">
        <v>12.66</v>
      </c>
      <c r="N2470" s="573">
        <v>9.57</v>
      </c>
      <c r="O2470" s="556" t="str">
        <f>IF(N2470=M2470,"OK","DIF")</f>
        <v>DIF</v>
      </c>
      <c r="P2470" s="573"/>
      <c r="Q2470" s="556"/>
      <c r="R2470" s="582"/>
    </row>
    <row r="2471" ht="23.85" customHeight="1" spans="1:18">
      <c r="A2471" s="556"/>
      <c r="B2471" s="557"/>
      <c r="C2471" s="100" t="s">
        <v>2893</v>
      </c>
      <c r="D2471" s="99" t="s">
        <v>3770</v>
      </c>
      <c r="E2471" s="100" t="s">
        <v>139</v>
      </c>
      <c r="F2471" s="100" t="s">
        <v>3771</v>
      </c>
      <c r="G2471" s="100" t="s">
        <v>2961</v>
      </c>
      <c r="H2471" s="100"/>
      <c r="I2471" s="101" t="s">
        <v>134</v>
      </c>
      <c r="J2471" s="580">
        <v>1.2346</v>
      </c>
      <c r="K2471" s="580">
        <v>0</v>
      </c>
      <c r="L2471" s="102">
        <v>7.08</v>
      </c>
      <c r="M2471" s="102">
        <v>8.74</v>
      </c>
      <c r="N2471" s="573"/>
      <c r="O2471" s="556"/>
      <c r="P2471" s="573"/>
      <c r="Q2471" s="556"/>
      <c r="R2471" s="582"/>
    </row>
    <row r="2472" ht="25.5" spans="1:18">
      <c r="A2472" s="556"/>
      <c r="B2472" s="557"/>
      <c r="C2472" s="108"/>
      <c r="D2472" s="108"/>
      <c r="E2472" s="108"/>
      <c r="F2472" s="108"/>
      <c r="G2472" s="108"/>
      <c r="H2472" s="108" t="s">
        <v>2898</v>
      </c>
      <c r="I2472" s="581">
        <v>10.95</v>
      </c>
      <c r="J2472" s="108" t="s">
        <v>2899</v>
      </c>
      <c r="K2472" s="581">
        <v>0</v>
      </c>
      <c r="L2472" s="108" t="s">
        <v>2900</v>
      </c>
      <c r="M2472" s="581">
        <v>10.95</v>
      </c>
      <c r="N2472" s="573"/>
      <c r="O2472" s="556"/>
      <c r="P2472" s="573"/>
      <c r="Q2472" s="556"/>
      <c r="R2472" s="582"/>
    </row>
    <row r="2473" ht="26.25" spans="1:18">
      <c r="A2473" s="556"/>
      <c r="B2473" s="557">
        <f>C2472</f>
        <v>0</v>
      </c>
      <c r="C2473" s="108"/>
      <c r="D2473" s="108"/>
      <c r="E2473" s="108"/>
      <c r="F2473" s="108"/>
      <c r="G2473" s="108"/>
      <c r="H2473" s="108" t="s">
        <v>2901</v>
      </c>
      <c r="I2473" s="581">
        <v>6.06</v>
      </c>
      <c r="J2473" s="114"/>
      <c r="K2473" s="114" t="s">
        <v>2902</v>
      </c>
      <c r="L2473" s="108"/>
      <c r="M2473" s="581">
        <v>29.85</v>
      </c>
      <c r="N2473" s="573">
        <v>18.94</v>
      </c>
      <c r="O2473" s="556" t="str">
        <f>IF(N2473=M2473,"OK","DIF")</f>
        <v>DIF</v>
      </c>
      <c r="P2473" s="573"/>
      <c r="Q2473" s="556"/>
      <c r="R2473" s="582"/>
    </row>
    <row r="2474" ht="15" spans="1:18">
      <c r="A2474" s="556">
        <f>B2474</f>
        <v>0</v>
      </c>
      <c r="B2474" s="557">
        <f>B2473</f>
        <v>0</v>
      </c>
      <c r="C2474" s="571"/>
      <c r="D2474" s="571"/>
      <c r="E2474" s="571"/>
      <c r="F2474" s="571"/>
      <c r="G2474" s="571"/>
      <c r="H2474" s="571"/>
      <c r="I2474" s="571"/>
      <c r="J2474" s="571"/>
      <c r="K2474" s="571"/>
      <c r="L2474" s="571"/>
      <c r="M2474" s="571"/>
      <c r="N2474" s="573">
        <v>2.88</v>
      </c>
      <c r="O2474" s="556" t="str">
        <f>IF(N2474=M2474,"OK","DIF")</f>
        <v>DIF</v>
      </c>
      <c r="P2474" s="573"/>
      <c r="Q2474" s="556"/>
      <c r="R2474" s="582"/>
    </row>
    <row r="2475" ht="15" customHeight="1" spans="1:18">
      <c r="A2475" s="556">
        <f>B2475</f>
        <v>0</v>
      </c>
      <c r="B2475" s="557">
        <f>B2474</f>
        <v>0</v>
      </c>
      <c r="C2475" s="76" t="s">
        <v>858</v>
      </c>
      <c r="D2475" s="75" t="s">
        <v>63</v>
      </c>
      <c r="E2475" s="76" t="s">
        <v>64</v>
      </c>
      <c r="F2475" s="76" t="s">
        <v>65</v>
      </c>
      <c r="G2475" s="76" t="s">
        <v>2889</v>
      </c>
      <c r="H2475" s="76"/>
      <c r="I2475" s="77" t="s">
        <v>66</v>
      </c>
      <c r="J2475" s="75" t="s">
        <v>67</v>
      </c>
      <c r="K2475" s="75" t="s">
        <v>2890</v>
      </c>
      <c r="L2475" s="75" t="s">
        <v>68</v>
      </c>
      <c r="M2475" s="75" t="s">
        <v>70</v>
      </c>
      <c r="N2475" s="573">
        <v>3.98</v>
      </c>
      <c r="O2475" s="556" t="str">
        <f>IF(N2475=M2475,"OK","DIF")</f>
        <v>DIF</v>
      </c>
      <c r="P2475" s="573"/>
      <c r="Q2475" s="556"/>
      <c r="R2475" s="582"/>
    </row>
    <row r="2476" ht="35.05" customHeight="1" spans="1:18">
      <c r="A2476" s="556">
        <f>B2476</f>
        <v>0</v>
      </c>
      <c r="B2476" s="557">
        <f>B2475</f>
        <v>0</v>
      </c>
      <c r="C2476" s="569" t="s">
        <v>2891</v>
      </c>
      <c r="D2476" s="570" t="s">
        <v>859</v>
      </c>
      <c r="E2476" s="569" t="s">
        <v>132</v>
      </c>
      <c r="F2476" s="569" t="s">
        <v>860</v>
      </c>
      <c r="G2476" s="569" t="s">
        <v>3177</v>
      </c>
      <c r="H2476" s="569"/>
      <c r="I2476" s="577" t="s">
        <v>134</v>
      </c>
      <c r="J2476" s="578">
        <v>1</v>
      </c>
      <c r="K2476" s="579"/>
      <c r="L2476" s="579">
        <v>25.31</v>
      </c>
      <c r="M2476" s="579">
        <v>25.31</v>
      </c>
      <c r="N2476" s="573">
        <v>12.08</v>
      </c>
      <c r="O2476" s="556" t="str">
        <f>IF(N2476=M2476,"OK","DIF")</f>
        <v>DIF</v>
      </c>
      <c r="P2476" s="573"/>
      <c r="Q2476" s="556"/>
      <c r="R2476" s="582"/>
    </row>
    <row r="2477" ht="23.85" customHeight="1" spans="1:18">
      <c r="A2477" s="556"/>
      <c r="B2477" s="557"/>
      <c r="C2477" s="79" t="s">
        <v>2921</v>
      </c>
      <c r="D2477" s="78" t="s">
        <v>3151</v>
      </c>
      <c r="E2477" s="79" t="s">
        <v>139</v>
      </c>
      <c r="F2477" s="79" t="s">
        <v>3152</v>
      </c>
      <c r="G2477" s="79" t="s">
        <v>2928</v>
      </c>
      <c r="H2477" s="79"/>
      <c r="I2477" s="80" t="s">
        <v>2897</v>
      </c>
      <c r="J2477" s="583">
        <v>0.3</v>
      </c>
      <c r="K2477" s="583">
        <v>0</v>
      </c>
      <c r="L2477" s="92">
        <v>36.82</v>
      </c>
      <c r="M2477" s="92">
        <v>11.04</v>
      </c>
      <c r="N2477" s="573"/>
      <c r="O2477" s="556"/>
      <c r="P2477" s="573"/>
      <c r="Q2477" s="556"/>
      <c r="R2477" s="582"/>
    </row>
    <row r="2478" ht="23.85" customHeight="1" spans="1:18">
      <c r="A2478" s="556"/>
      <c r="B2478" s="557"/>
      <c r="C2478" s="79" t="s">
        <v>2921</v>
      </c>
      <c r="D2478" s="78" t="s">
        <v>2952</v>
      </c>
      <c r="E2478" s="79" t="s">
        <v>139</v>
      </c>
      <c r="F2478" s="79" t="s">
        <v>2953</v>
      </c>
      <c r="G2478" s="79" t="s">
        <v>2928</v>
      </c>
      <c r="H2478" s="79"/>
      <c r="I2478" s="80" t="s">
        <v>2897</v>
      </c>
      <c r="J2478" s="583">
        <v>0.3</v>
      </c>
      <c r="K2478" s="583">
        <v>0</v>
      </c>
      <c r="L2478" s="92">
        <v>29.15</v>
      </c>
      <c r="M2478" s="92">
        <v>8.74</v>
      </c>
      <c r="N2478" s="573"/>
      <c r="O2478" s="556"/>
      <c r="P2478" s="573"/>
      <c r="Q2478" s="556"/>
      <c r="R2478" s="582"/>
    </row>
    <row r="2479" ht="15" customHeight="1" spans="1:18">
      <c r="A2479" s="556"/>
      <c r="B2479" s="557" t="str">
        <f>C2478</f>
        <v>Composição Auxiliar</v>
      </c>
      <c r="C2479" s="100" t="s">
        <v>2893</v>
      </c>
      <c r="D2479" s="99" t="s">
        <v>3674</v>
      </c>
      <c r="E2479" s="100" t="s">
        <v>139</v>
      </c>
      <c r="F2479" s="100" t="s">
        <v>3675</v>
      </c>
      <c r="G2479" s="100" t="s">
        <v>2961</v>
      </c>
      <c r="H2479" s="100"/>
      <c r="I2479" s="101" t="s">
        <v>134</v>
      </c>
      <c r="J2479" s="580">
        <v>1</v>
      </c>
      <c r="K2479" s="580">
        <v>0</v>
      </c>
      <c r="L2479" s="102">
        <v>0.4</v>
      </c>
      <c r="M2479" s="102">
        <v>0.4</v>
      </c>
      <c r="N2479" s="573">
        <v>28.42</v>
      </c>
      <c r="O2479" s="556" t="str">
        <f>IF(N2479=M2479,"OK","DIF")</f>
        <v>DIF</v>
      </c>
      <c r="P2479" s="573"/>
      <c r="Q2479" s="556"/>
      <c r="R2479" s="582"/>
    </row>
    <row r="2480" ht="23.85" customHeight="1" spans="1:18">
      <c r="A2480" s="556" t="str">
        <f>B2480</f>
        <v>Composição Auxiliar</v>
      </c>
      <c r="B2480" s="557" t="str">
        <f>B2479</f>
        <v>Composição Auxiliar</v>
      </c>
      <c r="C2480" s="100" t="s">
        <v>2893</v>
      </c>
      <c r="D2480" s="99" t="s">
        <v>3772</v>
      </c>
      <c r="E2480" s="100" t="s">
        <v>139</v>
      </c>
      <c r="F2480" s="100" t="s">
        <v>3773</v>
      </c>
      <c r="G2480" s="100" t="s">
        <v>2961</v>
      </c>
      <c r="H2480" s="100"/>
      <c r="I2480" s="101" t="s">
        <v>134</v>
      </c>
      <c r="J2480" s="580">
        <v>1</v>
      </c>
      <c r="K2480" s="580">
        <v>0</v>
      </c>
      <c r="L2480" s="102">
        <v>1.61</v>
      </c>
      <c r="M2480" s="102">
        <v>1.61</v>
      </c>
      <c r="N2480" s="573">
        <v>19.41</v>
      </c>
      <c r="O2480" s="556" t="str">
        <f>IF(N2480=M2480,"OK","DIF")</f>
        <v>DIF</v>
      </c>
      <c r="P2480" s="573"/>
      <c r="Q2480" s="556"/>
      <c r="R2480" s="582"/>
    </row>
    <row r="2481" ht="15" customHeight="1" spans="1:18">
      <c r="A2481" s="556" t="str">
        <f>B2481</f>
        <v>Composição Auxiliar</v>
      </c>
      <c r="B2481" s="557" t="str">
        <f>B2480</f>
        <v>Composição Auxiliar</v>
      </c>
      <c r="C2481" s="100" t="s">
        <v>2893</v>
      </c>
      <c r="D2481" s="99" t="s">
        <v>3676</v>
      </c>
      <c r="E2481" s="100" t="s">
        <v>139</v>
      </c>
      <c r="F2481" s="100" t="s">
        <v>3677</v>
      </c>
      <c r="G2481" s="100" t="s">
        <v>2961</v>
      </c>
      <c r="H2481" s="100"/>
      <c r="I2481" s="101" t="s">
        <v>204</v>
      </c>
      <c r="J2481" s="580">
        <v>1</v>
      </c>
      <c r="K2481" s="580">
        <v>0</v>
      </c>
      <c r="L2481" s="102">
        <v>3.52</v>
      </c>
      <c r="M2481" s="102">
        <v>3.52</v>
      </c>
      <c r="N2481" s="573">
        <v>5.23</v>
      </c>
      <c r="O2481" s="556" t="str">
        <f>IF(N2481=M2481,"OK","DIF")</f>
        <v>DIF</v>
      </c>
      <c r="P2481" s="573"/>
      <c r="Q2481" s="556"/>
      <c r="R2481" s="582"/>
    </row>
    <row r="2482" ht="25.5" spans="1:18">
      <c r="A2482" s="556" t="str">
        <f>B2482</f>
        <v>Composição Auxiliar</v>
      </c>
      <c r="B2482" s="557" t="str">
        <f>B2481</f>
        <v>Composição Auxiliar</v>
      </c>
      <c r="C2482" s="108"/>
      <c r="D2482" s="108"/>
      <c r="E2482" s="108"/>
      <c r="F2482" s="108"/>
      <c r="G2482" s="108"/>
      <c r="H2482" s="108" t="s">
        <v>2898</v>
      </c>
      <c r="I2482" s="581">
        <v>13.79</v>
      </c>
      <c r="J2482" s="108" t="s">
        <v>2899</v>
      </c>
      <c r="K2482" s="581">
        <v>0</v>
      </c>
      <c r="L2482" s="108" t="s">
        <v>2900</v>
      </c>
      <c r="M2482" s="581">
        <v>13.79</v>
      </c>
      <c r="N2482" s="573">
        <v>3.78</v>
      </c>
      <c r="O2482" s="556" t="str">
        <f>IF(N2482=M2482,"OK","DIF")</f>
        <v>DIF</v>
      </c>
      <c r="P2482" s="573"/>
      <c r="Q2482" s="556"/>
      <c r="R2482" s="582"/>
    </row>
    <row r="2483" ht="26.25" spans="1:18">
      <c r="A2483" s="556"/>
      <c r="B2483" s="557"/>
      <c r="C2483" s="108"/>
      <c r="D2483" s="108"/>
      <c r="E2483" s="108"/>
      <c r="F2483" s="108"/>
      <c r="G2483" s="108"/>
      <c r="H2483" s="108" t="s">
        <v>2901</v>
      </c>
      <c r="I2483" s="581">
        <v>6.45</v>
      </c>
      <c r="J2483" s="114"/>
      <c r="K2483" s="114" t="s">
        <v>2902</v>
      </c>
      <c r="L2483" s="108"/>
      <c r="M2483" s="581">
        <v>31.76</v>
      </c>
      <c r="N2483" s="573"/>
      <c r="O2483" s="556"/>
      <c r="P2483" s="573"/>
      <c r="Q2483" s="556"/>
      <c r="R2483" s="582"/>
    </row>
    <row r="2484" ht="15" spans="1:18">
      <c r="A2484" s="556"/>
      <c r="B2484" s="557"/>
      <c r="C2484" s="571"/>
      <c r="D2484" s="571"/>
      <c r="E2484" s="571"/>
      <c r="F2484" s="571"/>
      <c r="G2484" s="571"/>
      <c r="H2484" s="571"/>
      <c r="I2484" s="571"/>
      <c r="J2484" s="571"/>
      <c r="K2484" s="571"/>
      <c r="L2484" s="571"/>
      <c r="M2484" s="571"/>
      <c r="N2484" s="573"/>
      <c r="O2484" s="556"/>
      <c r="P2484" s="573"/>
      <c r="Q2484" s="556"/>
      <c r="R2484" s="582"/>
    </row>
    <row r="2485" ht="15" customHeight="1" spans="1:18">
      <c r="A2485" s="556"/>
      <c r="B2485" s="557">
        <f>C2484</f>
        <v>0</v>
      </c>
      <c r="C2485" s="76" t="s">
        <v>864</v>
      </c>
      <c r="D2485" s="75" t="s">
        <v>63</v>
      </c>
      <c r="E2485" s="76" t="s">
        <v>64</v>
      </c>
      <c r="F2485" s="76" t="s">
        <v>65</v>
      </c>
      <c r="G2485" s="76" t="s">
        <v>2889</v>
      </c>
      <c r="H2485" s="76"/>
      <c r="I2485" s="77" t="s">
        <v>66</v>
      </c>
      <c r="J2485" s="75" t="s">
        <v>67</v>
      </c>
      <c r="K2485" s="75" t="s">
        <v>2890</v>
      </c>
      <c r="L2485" s="75" t="s">
        <v>68</v>
      </c>
      <c r="M2485" s="75" t="s">
        <v>70</v>
      </c>
      <c r="N2485" s="573">
        <v>35.41</v>
      </c>
      <c r="O2485" s="556" t="str">
        <f>IF(N2485=M2485,"OK","DIF")</f>
        <v>DIF</v>
      </c>
      <c r="P2485" s="573"/>
      <c r="Q2485" s="556"/>
      <c r="R2485" s="582"/>
    </row>
    <row r="2486" ht="35.05" customHeight="1" spans="1:18">
      <c r="A2486" s="556">
        <f>B2486</f>
        <v>0</v>
      </c>
      <c r="B2486" s="557">
        <f>B2485</f>
        <v>0</v>
      </c>
      <c r="C2486" s="569" t="s">
        <v>2891</v>
      </c>
      <c r="D2486" s="570" t="s">
        <v>865</v>
      </c>
      <c r="E2486" s="569" t="s">
        <v>132</v>
      </c>
      <c r="F2486" s="569" t="s">
        <v>866</v>
      </c>
      <c r="G2486" s="569" t="s">
        <v>3774</v>
      </c>
      <c r="H2486" s="569"/>
      <c r="I2486" s="577" t="s">
        <v>134</v>
      </c>
      <c r="J2486" s="578">
        <v>1</v>
      </c>
      <c r="K2486" s="579"/>
      <c r="L2486" s="579">
        <v>0.12</v>
      </c>
      <c r="M2486" s="579">
        <v>0.12</v>
      </c>
      <c r="N2486" s="573">
        <v>4.5</v>
      </c>
      <c r="O2486" s="556" t="str">
        <f>IF(N2486=M2486,"OK","DIF")</f>
        <v>DIF</v>
      </c>
      <c r="P2486" s="573"/>
      <c r="Q2486" s="556"/>
      <c r="R2486" s="582"/>
    </row>
    <row r="2487" ht="15" customHeight="1" spans="1:18">
      <c r="A2487" s="556">
        <f>B2487</f>
        <v>0</v>
      </c>
      <c r="B2487" s="557">
        <f>B2486</f>
        <v>0</v>
      </c>
      <c r="C2487" s="100" t="s">
        <v>2893</v>
      </c>
      <c r="D2487" s="99" t="s">
        <v>3775</v>
      </c>
      <c r="E2487" s="100" t="s">
        <v>796</v>
      </c>
      <c r="F2487" s="100" t="s">
        <v>3776</v>
      </c>
      <c r="G2487" s="100" t="s">
        <v>2961</v>
      </c>
      <c r="H2487" s="100"/>
      <c r="I2487" s="101" t="s">
        <v>334</v>
      </c>
      <c r="J2487" s="580">
        <v>1</v>
      </c>
      <c r="K2487" s="580">
        <v>0</v>
      </c>
      <c r="L2487" s="102">
        <v>0.12</v>
      </c>
      <c r="M2487" s="102">
        <v>0.12</v>
      </c>
      <c r="N2487" s="573">
        <v>24.68</v>
      </c>
      <c r="O2487" s="556" t="str">
        <f>IF(N2487=M2487,"OK","DIF")</f>
        <v>DIF</v>
      </c>
      <c r="P2487" s="573"/>
      <c r="Q2487" s="556"/>
      <c r="R2487" s="582"/>
    </row>
    <row r="2488" ht="25.5" spans="1:18">
      <c r="A2488" s="556">
        <f>B2488</f>
        <v>0</v>
      </c>
      <c r="B2488" s="557">
        <f>B2487</f>
        <v>0</v>
      </c>
      <c r="C2488" s="108"/>
      <c r="D2488" s="108"/>
      <c r="E2488" s="108"/>
      <c r="F2488" s="108"/>
      <c r="G2488" s="108"/>
      <c r="H2488" s="108" t="s">
        <v>2898</v>
      </c>
      <c r="I2488" s="581">
        <v>0</v>
      </c>
      <c r="J2488" s="108" t="s">
        <v>2899</v>
      </c>
      <c r="K2488" s="581">
        <v>0</v>
      </c>
      <c r="L2488" s="108" t="s">
        <v>2900</v>
      </c>
      <c r="M2488" s="581">
        <v>0</v>
      </c>
      <c r="N2488" s="573">
        <v>6.23</v>
      </c>
      <c r="O2488" s="556" t="str">
        <f>IF(N2488=M2488,"OK","DIF")</f>
        <v>DIF</v>
      </c>
      <c r="P2488" s="573"/>
      <c r="Q2488" s="556"/>
      <c r="R2488" s="582"/>
    </row>
    <row r="2489" ht="26.25" spans="1:18">
      <c r="A2489" s="556"/>
      <c r="B2489" s="557"/>
      <c r="C2489" s="108"/>
      <c r="D2489" s="108"/>
      <c r="E2489" s="108"/>
      <c r="F2489" s="108"/>
      <c r="G2489" s="108"/>
      <c r="H2489" s="108" t="s">
        <v>2901</v>
      </c>
      <c r="I2489" s="581">
        <v>0.03</v>
      </c>
      <c r="J2489" s="114"/>
      <c r="K2489" s="114" t="s">
        <v>2902</v>
      </c>
      <c r="L2489" s="108"/>
      <c r="M2489" s="581">
        <v>0.15</v>
      </c>
      <c r="N2489" s="573"/>
      <c r="O2489" s="556"/>
      <c r="P2489" s="573"/>
      <c r="Q2489" s="556"/>
      <c r="R2489" s="582"/>
    </row>
    <row r="2490" ht="15" spans="1:18">
      <c r="A2490" s="556"/>
      <c r="B2490" s="557"/>
      <c r="C2490" s="571"/>
      <c r="D2490" s="571"/>
      <c r="E2490" s="571"/>
      <c r="F2490" s="571"/>
      <c r="G2490" s="571"/>
      <c r="H2490" s="571"/>
      <c r="I2490" s="571"/>
      <c r="J2490" s="571"/>
      <c r="K2490" s="571"/>
      <c r="L2490" s="571"/>
      <c r="M2490" s="571"/>
      <c r="N2490" s="573"/>
      <c r="O2490" s="556"/>
      <c r="P2490" s="573"/>
      <c r="Q2490" s="556"/>
      <c r="R2490" s="582"/>
    </row>
    <row r="2491" ht="15" customHeight="1" spans="1:18">
      <c r="A2491" s="556"/>
      <c r="B2491" s="557">
        <f>C2490</f>
        <v>0</v>
      </c>
      <c r="C2491" s="76" t="s">
        <v>869</v>
      </c>
      <c r="D2491" s="75" t="s">
        <v>63</v>
      </c>
      <c r="E2491" s="76" t="s">
        <v>64</v>
      </c>
      <c r="F2491" s="76" t="s">
        <v>65</v>
      </c>
      <c r="G2491" s="76" t="s">
        <v>2889</v>
      </c>
      <c r="H2491" s="76"/>
      <c r="I2491" s="77" t="s">
        <v>66</v>
      </c>
      <c r="J2491" s="75" t="s">
        <v>67</v>
      </c>
      <c r="K2491" s="75" t="s">
        <v>2890</v>
      </c>
      <c r="L2491" s="75" t="s">
        <v>68</v>
      </c>
      <c r="M2491" s="75" t="s">
        <v>70</v>
      </c>
      <c r="N2491" s="573">
        <v>99.65</v>
      </c>
      <c r="O2491" s="556" t="str">
        <f>IF(N2491=M2491,"OK","DIF")</f>
        <v>DIF</v>
      </c>
      <c r="P2491" s="573"/>
      <c r="Q2491" s="556"/>
      <c r="R2491" s="582"/>
    </row>
    <row r="2492" ht="38.25" spans="1:18">
      <c r="A2492" s="556">
        <f>B2492</f>
        <v>0</v>
      </c>
      <c r="B2492" s="557">
        <f>B2491</f>
        <v>0</v>
      </c>
      <c r="C2492" s="569" t="s">
        <v>2891</v>
      </c>
      <c r="D2492" s="570" t="s">
        <v>870</v>
      </c>
      <c r="E2492" s="569" t="s">
        <v>77</v>
      </c>
      <c r="F2492" s="569" t="s">
        <v>3777</v>
      </c>
      <c r="G2492" s="569">
        <v>15</v>
      </c>
      <c r="H2492" s="569"/>
      <c r="I2492" s="577" t="s">
        <v>204</v>
      </c>
      <c r="J2492" s="578">
        <v>1</v>
      </c>
      <c r="K2492" s="579"/>
      <c r="L2492" s="579">
        <v>110.79</v>
      </c>
      <c r="M2492" s="579">
        <v>110.79</v>
      </c>
      <c r="N2492" s="573">
        <v>8.72</v>
      </c>
      <c r="O2492" s="556" t="str">
        <f>IF(N2492=M2492,"OK","DIF")</f>
        <v>DIF</v>
      </c>
      <c r="P2492" s="573"/>
      <c r="Q2492" s="556"/>
      <c r="R2492" s="582"/>
    </row>
    <row r="2493" ht="23.85" customHeight="1" spans="1:18">
      <c r="A2493" s="556">
        <f>B2493</f>
        <v>0</v>
      </c>
      <c r="B2493" s="557">
        <f>B2492</f>
        <v>0</v>
      </c>
      <c r="C2493" s="100" t="s">
        <v>2893</v>
      </c>
      <c r="D2493" s="99" t="s">
        <v>3629</v>
      </c>
      <c r="E2493" s="100" t="s">
        <v>77</v>
      </c>
      <c r="F2493" s="100" t="s">
        <v>3630</v>
      </c>
      <c r="G2493" s="100" t="s">
        <v>2896</v>
      </c>
      <c r="H2493" s="100"/>
      <c r="I2493" s="101" t="s">
        <v>2897</v>
      </c>
      <c r="J2493" s="580">
        <v>0.18</v>
      </c>
      <c r="K2493" s="580">
        <v>3</v>
      </c>
      <c r="L2493" s="102">
        <v>26.52</v>
      </c>
      <c r="M2493" s="102">
        <v>4.91</v>
      </c>
      <c r="N2493" s="573">
        <v>84.63</v>
      </c>
      <c r="O2493" s="556" t="str">
        <f>IF(N2493=M2493,"OK","DIF")</f>
        <v>DIF</v>
      </c>
      <c r="P2493" s="573"/>
      <c r="Q2493" s="556"/>
      <c r="R2493" s="582"/>
    </row>
    <row r="2494" ht="23.85" customHeight="1" spans="1:18">
      <c r="A2494" s="556">
        <f>B2494</f>
        <v>0</v>
      </c>
      <c r="B2494" s="557">
        <f>B2493</f>
        <v>0</v>
      </c>
      <c r="C2494" s="100" t="s">
        <v>2893</v>
      </c>
      <c r="D2494" s="99" t="s">
        <v>3108</v>
      </c>
      <c r="E2494" s="100" t="s">
        <v>77</v>
      </c>
      <c r="F2494" s="100" t="s">
        <v>3109</v>
      </c>
      <c r="G2494" s="100" t="s">
        <v>2896</v>
      </c>
      <c r="H2494" s="100"/>
      <c r="I2494" s="101" t="s">
        <v>2897</v>
      </c>
      <c r="J2494" s="580">
        <v>0.18</v>
      </c>
      <c r="K2494" s="580">
        <v>3</v>
      </c>
      <c r="L2494" s="102">
        <v>19.16</v>
      </c>
      <c r="M2494" s="102">
        <v>3.55</v>
      </c>
      <c r="N2494" s="573">
        <v>6.3</v>
      </c>
      <c r="O2494" s="556" t="str">
        <f>IF(N2494=M2494,"OK","DIF")</f>
        <v>DIF</v>
      </c>
      <c r="P2494" s="573"/>
      <c r="Q2494" s="556"/>
      <c r="R2494" s="582"/>
    </row>
    <row r="2495" ht="23.85" customHeight="1" spans="1:18">
      <c r="A2495" s="556"/>
      <c r="B2495" s="557"/>
      <c r="C2495" s="100" t="s">
        <v>2893</v>
      </c>
      <c r="D2495" s="99" t="s">
        <v>3778</v>
      </c>
      <c r="E2495" s="100" t="s">
        <v>77</v>
      </c>
      <c r="F2495" s="100" t="s">
        <v>3779</v>
      </c>
      <c r="G2495" s="100" t="s">
        <v>2961</v>
      </c>
      <c r="H2495" s="100"/>
      <c r="I2495" s="101" t="s">
        <v>204</v>
      </c>
      <c r="J2495" s="580">
        <v>1.05</v>
      </c>
      <c r="K2495" s="580">
        <v>0</v>
      </c>
      <c r="L2495" s="102">
        <v>96.12</v>
      </c>
      <c r="M2495" s="102">
        <v>100.92</v>
      </c>
      <c r="N2495" s="573"/>
      <c r="O2495" s="556"/>
      <c r="P2495" s="573"/>
      <c r="Q2495" s="556"/>
      <c r="R2495" s="582"/>
    </row>
    <row r="2496" ht="15" customHeight="1" spans="1:18">
      <c r="A2496" s="556"/>
      <c r="B2496" s="557"/>
      <c r="C2496" s="100" t="s">
        <v>2893</v>
      </c>
      <c r="D2496" s="99" t="s">
        <v>3696</v>
      </c>
      <c r="E2496" s="100" t="s">
        <v>77</v>
      </c>
      <c r="F2496" s="100" t="s">
        <v>3697</v>
      </c>
      <c r="G2496" s="100" t="s">
        <v>2961</v>
      </c>
      <c r="H2496" s="100"/>
      <c r="I2496" s="101" t="s">
        <v>134</v>
      </c>
      <c r="J2496" s="580">
        <v>0.3</v>
      </c>
      <c r="K2496" s="580">
        <v>0</v>
      </c>
      <c r="L2496" s="102">
        <v>4.7</v>
      </c>
      <c r="M2496" s="102">
        <v>1.41</v>
      </c>
      <c r="N2496" s="573"/>
      <c r="O2496" s="556"/>
      <c r="P2496" s="573"/>
      <c r="Q2496" s="556"/>
      <c r="R2496" s="582"/>
    </row>
    <row r="2497" ht="25.5" spans="1:18">
      <c r="A2497" s="556"/>
      <c r="B2497" s="557" t="str">
        <f>C2496</f>
        <v>Insumo</v>
      </c>
      <c r="C2497" s="108"/>
      <c r="D2497" s="108"/>
      <c r="E2497" s="108"/>
      <c r="F2497" s="108"/>
      <c r="G2497" s="108"/>
      <c r="H2497" s="108" t="s">
        <v>2898</v>
      </c>
      <c r="I2497" s="581">
        <v>8.46</v>
      </c>
      <c r="J2497" s="108" t="s">
        <v>2899</v>
      </c>
      <c r="K2497" s="581">
        <v>0</v>
      </c>
      <c r="L2497" s="108" t="s">
        <v>2900</v>
      </c>
      <c r="M2497" s="581">
        <v>8.46</v>
      </c>
      <c r="N2497" s="573">
        <v>122.28</v>
      </c>
      <c r="O2497" s="556" t="str">
        <f>IF(N2497=M2497,"OK","DIF")</f>
        <v>DIF</v>
      </c>
      <c r="P2497" s="573"/>
      <c r="Q2497" s="556"/>
      <c r="R2497" s="582"/>
    </row>
    <row r="2498" ht="26.25" spans="1:18">
      <c r="A2498" s="556" t="str">
        <f>B2498</f>
        <v>Insumo</v>
      </c>
      <c r="B2498" s="557" t="str">
        <f>B2497</f>
        <v>Insumo</v>
      </c>
      <c r="C2498" s="108"/>
      <c r="D2498" s="108"/>
      <c r="E2498" s="108"/>
      <c r="F2498" s="108"/>
      <c r="G2498" s="108"/>
      <c r="H2498" s="108" t="s">
        <v>2901</v>
      </c>
      <c r="I2498" s="581">
        <v>28.24</v>
      </c>
      <c r="J2498" s="114"/>
      <c r="K2498" s="114" t="s">
        <v>2902</v>
      </c>
      <c r="L2498" s="108"/>
      <c r="M2498" s="581">
        <v>139.03</v>
      </c>
      <c r="N2498" s="573">
        <v>35.51</v>
      </c>
      <c r="O2498" s="556" t="str">
        <f>IF(N2498=M2498,"OK","DIF")</f>
        <v>DIF</v>
      </c>
      <c r="P2498" s="573"/>
      <c r="Q2498" s="556"/>
      <c r="R2498" s="582"/>
    </row>
    <row r="2499" ht="15" spans="1:18">
      <c r="A2499" s="556" t="str">
        <f>B2499</f>
        <v>Insumo</v>
      </c>
      <c r="B2499" s="557" t="str">
        <f>B2498</f>
        <v>Insumo</v>
      </c>
      <c r="C2499" s="571"/>
      <c r="D2499" s="571"/>
      <c r="E2499" s="571"/>
      <c r="F2499" s="571"/>
      <c r="G2499" s="571"/>
      <c r="H2499" s="571"/>
      <c r="I2499" s="571"/>
      <c r="J2499" s="571"/>
      <c r="K2499" s="571"/>
      <c r="L2499" s="571"/>
      <c r="M2499" s="571"/>
      <c r="N2499" s="573">
        <v>46.61</v>
      </c>
      <c r="O2499" s="556" t="str">
        <f>IF(N2499=M2499,"OK","DIF")</f>
        <v>DIF</v>
      </c>
      <c r="P2499" s="573"/>
      <c r="Q2499" s="556"/>
      <c r="R2499" s="582"/>
    </row>
    <row r="2500" ht="15" customHeight="1" spans="1:18">
      <c r="A2500" s="556" t="str">
        <f>B2500</f>
        <v>Insumo</v>
      </c>
      <c r="B2500" s="557" t="str">
        <f>B2499</f>
        <v>Insumo</v>
      </c>
      <c r="C2500" s="76" t="s">
        <v>872</v>
      </c>
      <c r="D2500" s="75" t="s">
        <v>63</v>
      </c>
      <c r="E2500" s="76" t="s">
        <v>64</v>
      </c>
      <c r="F2500" s="76" t="s">
        <v>65</v>
      </c>
      <c r="G2500" s="76" t="s">
        <v>2889</v>
      </c>
      <c r="H2500" s="76"/>
      <c r="I2500" s="77" t="s">
        <v>66</v>
      </c>
      <c r="J2500" s="75" t="s">
        <v>67</v>
      </c>
      <c r="K2500" s="75" t="s">
        <v>2890</v>
      </c>
      <c r="L2500" s="75" t="s">
        <v>68</v>
      </c>
      <c r="M2500" s="75" t="s">
        <v>70</v>
      </c>
      <c r="N2500" s="573">
        <v>40.16</v>
      </c>
      <c r="O2500" s="556" t="str">
        <f>IF(N2500=M2500,"OK","DIF")</f>
        <v>DIF</v>
      </c>
      <c r="P2500" s="573"/>
      <c r="Q2500" s="556"/>
      <c r="R2500" s="582"/>
    </row>
    <row r="2501" ht="35.05" customHeight="1" spans="1:18">
      <c r="A2501" s="556"/>
      <c r="B2501" s="557"/>
      <c r="C2501" s="569" t="s">
        <v>2891</v>
      </c>
      <c r="D2501" s="570" t="s">
        <v>873</v>
      </c>
      <c r="E2501" s="569" t="s">
        <v>139</v>
      </c>
      <c r="F2501" s="569" t="s">
        <v>874</v>
      </c>
      <c r="G2501" s="569" t="s">
        <v>3780</v>
      </c>
      <c r="H2501" s="569"/>
      <c r="I2501" s="577" t="s">
        <v>204</v>
      </c>
      <c r="J2501" s="578">
        <v>1</v>
      </c>
      <c r="K2501" s="579"/>
      <c r="L2501" s="579">
        <v>447.18</v>
      </c>
      <c r="M2501" s="579">
        <v>447.18</v>
      </c>
      <c r="N2501" s="573"/>
      <c r="O2501" s="556"/>
      <c r="P2501" s="573"/>
      <c r="Q2501" s="556"/>
      <c r="R2501" s="582"/>
    </row>
    <row r="2502" ht="23.85" customHeight="1" spans="1:18">
      <c r="A2502" s="556"/>
      <c r="B2502" s="557"/>
      <c r="C2502" s="79" t="s">
        <v>2921</v>
      </c>
      <c r="D2502" s="78" t="s">
        <v>2952</v>
      </c>
      <c r="E2502" s="79" t="s">
        <v>139</v>
      </c>
      <c r="F2502" s="79" t="s">
        <v>2953</v>
      </c>
      <c r="G2502" s="79" t="s">
        <v>2928</v>
      </c>
      <c r="H2502" s="79"/>
      <c r="I2502" s="80" t="s">
        <v>2897</v>
      </c>
      <c r="J2502" s="583">
        <v>0.0675</v>
      </c>
      <c r="K2502" s="583">
        <v>0</v>
      </c>
      <c r="L2502" s="92">
        <v>29.15</v>
      </c>
      <c r="M2502" s="92">
        <v>1.96</v>
      </c>
      <c r="N2502" s="573"/>
      <c r="O2502" s="556"/>
      <c r="P2502" s="573"/>
      <c r="Q2502" s="556"/>
      <c r="R2502" s="582"/>
    </row>
    <row r="2503" ht="23.85" customHeight="1" spans="1:18">
      <c r="A2503" s="556"/>
      <c r="B2503" s="557" t="str">
        <f>C2502</f>
        <v>Composição Auxiliar</v>
      </c>
      <c r="C2503" s="79" t="s">
        <v>2921</v>
      </c>
      <c r="D2503" s="78" t="s">
        <v>3728</v>
      </c>
      <c r="E2503" s="79" t="s">
        <v>139</v>
      </c>
      <c r="F2503" s="79" t="s">
        <v>3729</v>
      </c>
      <c r="G2503" s="79" t="s">
        <v>2928</v>
      </c>
      <c r="H2503" s="79"/>
      <c r="I2503" s="80" t="s">
        <v>2897</v>
      </c>
      <c r="J2503" s="583">
        <v>0.0338</v>
      </c>
      <c r="K2503" s="583">
        <v>0</v>
      </c>
      <c r="L2503" s="92">
        <v>34.94</v>
      </c>
      <c r="M2503" s="92">
        <v>1.18</v>
      </c>
      <c r="N2503" s="573">
        <v>227.69</v>
      </c>
      <c r="O2503" s="556" t="str">
        <f>IF(N2503=M2503,"OK","DIF")</f>
        <v>DIF</v>
      </c>
      <c r="P2503" s="573"/>
      <c r="Q2503" s="556"/>
      <c r="R2503" s="582"/>
    </row>
    <row r="2504" ht="35.05" customHeight="1" spans="1:18">
      <c r="A2504" s="556" t="str">
        <f>B2504</f>
        <v>Composição Auxiliar</v>
      </c>
      <c r="B2504" s="557" t="str">
        <f>B2503</f>
        <v>Composição Auxiliar</v>
      </c>
      <c r="C2504" s="100" t="s">
        <v>2893</v>
      </c>
      <c r="D2504" s="99" t="s">
        <v>3781</v>
      </c>
      <c r="E2504" s="100" t="s">
        <v>139</v>
      </c>
      <c r="F2504" s="100" t="s">
        <v>3782</v>
      </c>
      <c r="G2504" s="100" t="s">
        <v>2961</v>
      </c>
      <c r="H2504" s="100"/>
      <c r="I2504" s="101" t="s">
        <v>204</v>
      </c>
      <c r="J2504" s="580">
        <v>1</v>
      </c>
      <c r="K2504" s="580">
        <v>0</v>
      </c>
      <c r="L2504" s="102">
        <v>444.04</v>
      </c>
      <c r="M2504" s="102">
        <v>444.04</v>
      </c>
      <c r="N2504" s="573">
        <v>59.65</v>
      </c>
      <c r="O2504" s="556" t="str">
        <f>IF(N2504=M2504,"OK","DIF")</f>
        <v>DIF</v>
      </c>
      <c r="P2504" s="573"/>
      <c r="Q2504" s="556"/>
      <c r="R2504" s="582"/>
    </row>
    <row r="2505" ht="25.5" spans="1:18">
      <c r="A2505" s="556" t="str">
        <f>B2505</f>
        <v>Composição Auxiliar</v>
      </c>
      <c r="B2505" s="557" t="str">
        <f>B2504</f>
        <v>Composição Auxiliar</v>
      </c>
      <c r="C2505" s="108"/>
      <c r="D2505" s="108"/>
      <c r="E2505" s="108"/>
      <c r="F2505" s="108"/>
      <c r="G2505" s="108"/>
      <c r="H2505" s="108" t="s">
        <v>2898</v>
      </c>
      <c r="I2505" s="581">
        <v>2.17</v>
      </c>
      <c r="J2505" s="108" t="s">
        <v>2899</v>
      </c>
      <c r="K2505" s="581">
        <v>0</v>
      </c>
      <c r="L2505" s="108" t="s">
        <v>2900</v>
      </c>
      <c r="M2505" s="581">
        <v>2.17</v>
      </c>
      <c r="N2505" s="573">
        <v>49.24</v>
      </c>
      <c r="O2505" s="556" t="str">
        <f>IF(N2505=M2505,"OK","DIF")</f>
        <v>DIF</v>
      </c>
      <c r="P2505" s="573"/>
      <c r="Q2505" s="556"/>
      <c r="R2505" s="582"/>
    </row>
    <row r="2506" ht="26.25" spans="1:18">
      <c r="A2506" s="556" t="str">
        <f>B2506</f>
        <v>Composição Auxiliar</v>
      </c>
      <c r="B2506" s="557" t="str">
        <f>B2505</f>
        <v>Composição Auxiliar</v>
      </c>
      <c r="C2506" s="108"/>
      <c r="D2506" s="108"/>
      <c r="E2506" s="108"/>
      <c r="F2506" s="108"/>
      <c r="G2506" s="108"/>
      <c r="H2506" s="108" t="s">
        <v>2901</v>
      </c>
      <c r="I2506" s="581">
        <v>113.98</v>
      </c>
      <c r="J2506" s="114"/>
      <c r="K2506" s="114" t="s">
        <v>2902</v>
      </c>
      <c r="L2506" s="108"/>
      <c r="M2506" s="581">
        <v>561.16</v>
      </c>
      <c r="N2506" s="573">
        <v>118.8</v>
      </c>
      <c r="O2506" s="556" t="str">
        <f>IF(N2506=M2506,"OK","DIF")</f>
        <v>DIF</v>
      </c>
      <c r="P2506" s="573"/>
      <c r="Q2506" s="556"/>
      <c r="R2506" s="582"/>
    </row>
    <row r="2507" ht="15" spans="1:18">
      <c r="A2507" s="556"/>
      <c r="B2507" s="557"/>
      <c r="C2507" s="571"/>
      <c r="D2507" s="571"/>
      <c r="E2507" s="571"/>
      <c r="F2507" s="571"/>
      <c r="G2507" s="571"/>
      <c r="H2507" s="571"/>
      <c r="I2507" s="571"/>
      <c r="J2507" s="571"/>
      <c r="K2507" s="571"/>
      <c r="L2507" s="571"/>
      <c r="M2507" s="571"/>
      <c r="N2507" s="573"/>
      <c r="O2507" s="556"/>
      <c r="P2507" s="573"/>
      <c r="Q2507" s="556"/>
      <c r="R2507" s="582"/>
    </row>
    <row r="2508" ht="15" customHeight="1" spans="1:18">
      <c r="A2508" s="556"/>
      <c r="B2508" s="557"/>
      <c r="C2508" s="76" t="s">
        <v>875</v>
      </c>
      <c r="D2508" s="75" t="s">
        <v>63</v>
      </c>
      <c r="E2508" s="76" t="s">
        <v>64</v>
      </c>
      <c r="F2508" s="76" t="s">
        <v>65</v>
      </c>
      <c r="G2508" s="76" t="s">
        <v>2889</v>
      </c>
      <c r="H2508" s="76"/>
      <c r="I2508" s="77" t="s">
        <v>66</v>
      </c>
      <c r="J2508" s="75" t="s">
        <v>67</v>
      </c>
      <c r="K2508" s="75" t="s">
        <v>2890</v>
      </c>
      <c r="L2508" s="75" t="s">
        <v>68</v>
      </c>
      <c r="M2508" s="75" t="s">
        <v>70</v>
      </c>
      <c r="N2508" s="573"/>
      <c r="O2508" s="556"/>
      <c r="P2508" s="573"/>
      <c r="Q2508" s="556"/>
      <c r="R2508" s="582"/>
    </row>
    <row r="2509" ht="35.05" customHeight="1" spans="1:18">
      <c r="A2509" s="556"/>
      <c r="B2509" s="557" t="str">
        <f>C2508</f>
        <v> 11.2.3 </v>
      </c>
      <c r="C2509" s="569" t="s">
        <v>2891</v>
      </c>
      <c r="D2509" s="570" t="s">
        <v>876</v>
      </c>
      <c r="E2509" s="569" t="s">
        <v>139</v>
      </c>
      <c r="F2509" s="569" t="s">
        <v>877</v>
      </c>
      <c r="G2509" s="569" t="s">
        <v>3780</v>
      </c>
      <c r="H2509" s="569"/>
      <c r="I2509" s="577" t="s">
        <v>204</v>
      </c>
      <c r="J2509" s="578">
        <v>1</v>
      </c>
      <c r="K2509" s="579"/>
      <c r="L2509" s="579">
        <v>134.42</v>
      </c>
      <c r="M2509" s="579">
        <v>134.42</v>
      </c>
      <c r="N2509" s="573">
        <v>11.64</v>
      </c>
      <c r="O2509" s="556" t="str">
        <f>IF(N2509=M2509,"OK","DIF")</f>
        <v>DIF</v>
      </c>
      <c r="P2509" s="573"/>
      <c r="Q2509" s="556"/>
      <c r="R2509" s="582"/>
    </row>
    <row r="2510" ht="23.85" customHeight="1" spans="1:18">
      <c r="A2510" s="556" t="str">
        <f>B2510</f>
        <v> 11.2.3 </v>
      </c>
      <c r="B2510" s="557" t="str">
        <f>B2509</f>
        <v> 11.2.3 </v>
      </c>
      <c r="C2510" s="79" t="s">
        <v>2921</v>
      </c>
      <c r="D2510" s="78" t="s">
        <v>3728</v>
      </c>
      <c r="E2510" s="79" t="s">
        <v>139</v>
      </c>
      <c r="F2510" s="79" t="s">
        <v>3729</v>
      </c>
      <c r="G2510" s="79" t="s">
        <v>2928</v>
      </c>
      <c r="H2510" s="79"/>
      <c r="I2510" s="80" t="s">
        <v>2897</v>
      </c>
      <c r="J2510" s="583">
        <v>0.0186</v>
      </c>
      <c r="K2510" s="583">
        <v>0</v>
      </c>
      <c r="L2510" s="92">
        <v>34.94</v>
      </c>
      <c r="M2510" s="92">
        <v>0.64</v>
      </c>
      <c r="N2510" s="573">
        <v>1.85</v>
      </c>
      <c r="O2510" s="556" t="str">
        <f>IF(N2510=M2510,"OK","DIF")</f>
        <v>DIF</v>
      </c>
      <c r="P2510" s="573"/>
      <c r="Q2510" s="556"/>
      <c r="R2510" s="582"/>
    </row>
    <row r="2511" ht="23.85" customHeight="1" spans="1:18">
      <c r="A2511" s="556" t="str">
        <f>B2511</f>
        <v> 11.2.3 </v>
      </c>
      <c r="B2511" s="557" t="str">
        <f>B2510</f>
        <v> 11.2.3 </v>
      </c>
      <c r="C2511" s="79" t="s">
        <v>2921</v>
      </c>
      <c r="D2511" s="78" t="s">
        <v>2952</v>
      </c>
      <c r="E2511" s="79" t="s">
        <v>139</v>
      </c>
      <c r="F2511" s="79" t="s">
        <v>2953</v>
      </c>
      <c r="G2511" s="79" t="s">
        <v>2928</v>
      </c>
      <c r="H2511" s="79"/>
      <c r="I2511" s="80" t="s">
        <v>2897</v>
      </c>
      <c r="J2511" s="583">
        <v>0.0371</v>
      </c>
      <c r="K2511" s="583">
        <v>0</v>
      </c>
      <c r="L2511" s="92">
        <v>29.15</v>
      </c>
      <c r="M2511" s="92">
        <v>1.08</v>
      </c>
      <c r="N2511" s="573">
        <v>9.79</v>
      </c>
      <c r="O2511" s="556" t="str">
        <f>IF(N2511=M2511,"OK","DIF")</f>
        <v>DIF</v>
      </c>
      <c r="P2511" s="573"/>
      <c r="Q2511" s="556"/>
      <c r="R2511" s="582"/>
    </row>
    <row r="2512" ht="35.05" customHeight="1" spans="1:18">
      <c r="A2512" s="556"/>
      <c r="B2512" s="557"/>
      <c r="C2512" s="100" t="s">
        <v>2893</v>
      </c>
      <c r="D2512" s="99" t="s">
        <v>3783</v>
      </c>
      <c r="E2512" s="100" t="s">
        <v>139</v>
      </c>
      <c r="F2512" s="100" t="s">
        <v>3784</v>
      </c>
      <c r="G2512" s="100" t="s">
        <v>2961</v>
      </c>
      <c r="H2512" s="100"/>
      <c r="I2512" s="101" t="s">
        <v>204</v>
      </c>
      <c r="J2512" s="580">
        <v>1</v>
      </c>
      <c r="K2512" s="580">
        <v>0</v>
      </c>
      <c r="L2512" s="102">
        <v>132.7</v>
      </c>
      <c r="M2512" s="102">
        <v>132.7</v>
      </c>
      <c r="N2512" s="573"/>
      <c r="O2512" s="556"/>
      <c r="P2512" s="573"/>
      <c r="Q2512" s="556"/>
      <c r="R2512" s="582"/>
    </row>
    <row r="2513" ht="25.5" spans="1:18">
      <c r="A2513" s="556"/>
      <c r="B2513" s="557"/>
      <c r="C2513" s="108"/>
      <c r="D2513" s="108"/>
      <c r="E2513" s="108"/>
      <c r="F2513" s="108"/>
      <c r="G2513" s="108"/>
      <c r="H2513" s="108" t="s">
        <v>2898</v>
      </c>
      <c r="I2513" s="581">
        <v>1.19</v>
      </c>
      <c r="J2513" s="108" t="s">
        <v>2899</v>
      </c>
      <c r="K2513" s="581">
        <v>0</v>
      </c>
      <c r="L2513" s="108" t="s">
        <v>2900</v>
      </c>
      <c r="M2513" s="581">
        <v>1.19</v>
      </c>
      <c r="N2513" s="573"/>
      <c r="O2513" s="556"/>
      <c r="P2513" s="573"/>
      <c r="Q2513" s="556"/>
      <c r="R2513" s="582"/>
    </row>
    <row r="2514" ht="26.25" spans="1:18">
      <c r="A2514" s="556"/>
      <c r="B2514" s="557">
        <f>C2513</f>
        <v>0</v>
      </c>
      <c r="C2514" s="108"/>
      <c r="D2514" s="108"/>
      <c r="E2514" s="108"/>
      <c r="F2514" s="108"/>
      <c r="G2514" s="108"/>
      <c r="H2514" s="108" t="s">
        <v>2901</v>
      </c>
      <c r="I2514" s="581">
        <v>34.26</v>
      </c>
      <c r="J2514" s="114"/>
      <c r="K2514" s="114" t="s">
        <v>2902</v>
      </c>
      <c r="L2514" s="108"/>
      <c r="M2514" s="581">
        <v>168.68</v>
      </c>
      <c r="N2514" s="573">
        <v>52.44</v>
      </c>
      <c r="O2514" s="556" t="str">
        <f>IF(N2514=M2514,"OK","DIF")</f>
        <v>DIF</v>
      </c>
      <c r="P2514" s="573"/>
      <c r="Q2514" s="556"/>
      <c r="R2514" s="582"/>
    </row>
    <row r="2515" ht="15" spans="1:18">
      <c r="A2515" s="556">
        <f>B2515</f>
        <v>0</v>
      </c>
      <c r="B2515" s="557">
        <f>B2514</f>
        <v>0</v>
      </c>
      <c r="C2515" s="571"/>
      <c r="D2515" s="571"/>
      <c r="E2515" s="571"/>
      <c r="F2515" s="571"/>
      <c r="G2515" s="571"/>
      <c r="H2515" s="571"/>
      <c r="I2515" s="571"/>
      <c r="J2515" s="571"/>
      <c r="K2515" s="571"/>
      <c r="L2515" s="571"/>
      <c r="M2515" s="571"/>
      <c r="N2515" s="573">
        <v>1.85</v>
      </c>
      <c r="O2515" s="556" t="str">
        <f>IF(N2515=M2515,"OK","DIF")</f>
        <v>DIF</v>
      </c>
      <c r="P2515" s="573"/>
      <c r="Q2515" s="556"/>
      <c r="R2515" s="582"/>
    </row>
    <row r="2516" ht="15" customHeight="1" spans="1:18">
      <c r="A2516" s="556">
        <f>B2516</f>
        <v>0</v>
      </c>
      <c r="B2516" s="557">
        <f>B2515</f>
        <v>0</v>
      </c>
      <c r="C2516" s="76" t="s">
        <v>878</v>
      </c>
      <c r="D2516" s="75" t="s">
        <v>63</v>
      </c>
      <c r="E2516" s="76" t="s">
        <v>64</v>
      </c>
      <c r="F2516" s="76" t="s">
        <v>65</v>
      </c>
      <c r="G2516" s="76" t="s">
        <v>2889</v>
      </c>
      <c r="H2516" s="76"/>
      <c r="I2516" s="77" t="s">
        <v>66</v>
      </c>
      <c r="J2516" s="75" t="s">
        <v>67</v>
      </c>
      <c r="K2516" s="75" t="s">
        <v>2890</v>
      </c>
      <c r="L2516" s="75" t="s">
        <v>68</v>
      </c>
      <c r="M2516" s="75" t="s">
        <v>70</v>
      </c>
      <c r="N2516" s="573">
        <v>50.59</v>
      </c>
      <c r="O2516" s="556" t="str">
        <f>IF(N2516=M2516,"OK","DIF")</f>
        <v>DIF</v>
      </c>
      <c r="P2516" s="573"/>
      <c r="Q2516" s="556"/>
      <c r="R2516" s="582"/>
    </row>
    <row r="2517" ht="38.25" spans="1:18">
      <c r="A2517" s="556"/>
      <c r="B2517" s="557"/>
      <c r="C2517" s="569" t="s">
        <v>2891</v>
      </c>
      <c r="D2517" s="570" t="s">
        <v>879</v>
      </c>
      <c r="E2517" s="569" t="s">
        <v>132</v>
      </c>
      <c r="F2517" s="569" t="s">
        <v>880</v>
      </c>
      <c r="G2517" s="569">
        <v>46.33</v>
      </c>
      <c r="H2517" s="569"/>
      <c r="I2517" s="577" t="s">
        <v>134</v>
      </c>
      <c r="J2517" s="578">
        <v>1</v>
      </c>
      <c r="K2517" s="579"/>
      <c r="L2517" s="579">
        <v>191.22</v>
      </c>
      <c r="M2517" s="579">
        <v>191.22</v>
      </c>
      <c r="N2517" s="573"/>
      <c r="O2517" s="556"/>
      <c r="P2517" s="573"/>
      <c r="Q2517" s="556"/>
      <c r="R2517" s="582"/>
    </row>
    <row r="2518" ht="23.85" customHeight="1" spans="1:18">
      <c r="A2518" s="556"/>
      <c r="B2518" s="557"/>
      <c r="C2518" s="79" t="s">
        <v>2921</v>
      </c>
      <c r="D2518" s="78" t="s">
        <v>3146</v>
      </c>
      <c r="E2518" s="79" t="s">
        <v>139</v>
      </c>
      <c r="F2518" s="79" t="s">
        <v>3147</v>
      </c>
      <c r="G2518" s="79" t="s">
        <v>2928</v>
      </c>
      <c r="H2518" s="79"/>
      <c r="I2518" s="80" t="s">
        <v>2897</v>
      </c>
      <c r="J2518" s="583">
        <v>0.4</v>
      </c>
      <c r="K2518" s="583">
        <v>0</v>
      </c>
      <c r="L2518" s="92">
        <v>29.54</v>
      </c>
      <c r="M2518" s="92">
        <v>11.81</v>
      </c>
      <c r="N2518" s="573"/>
      <c r="O2518" s="556"/>
      <c r="P2518" s="573"/>
      <c r="Q2518" s="556"/>
      <c r="R2518" s="582"/>
    </row>
    <row r="2519" ht="23.85" customHeight="1" spans="1:18">
      <c r="A2519" s="556"/>
      <c r="B2519" s="557" t="str">
        <f>C2518</f>
        <v>Composição Auxiliar</v>
      </c>
      <c r="C2519" s="79" t="s">
        <v>2921</v>
      </c>
      <c r="D2519" s="78" t="s">
        <v>3144</v>
      </c>
      <c r="E2519" s="79" t="s">
        <v>139</v>
      </c>
      <c r="F2519" s="79" t="s">
        <v>3145</v>
      </c>
      <c r="G2519" s="79" t="s">
        <v>2928</v>
      </c>
      <c r="H2519" s="79"/>
      <c r="I2519" s="80" t="s">
        <v>2897</v>
      </c>
      <c r="J2519" s="583">
        <v>0.4</v>
      </c>
      <c r="K2519" s="583">
        <v>0</v>
      </c>
      <c r="L2519" s="92">
        <v>35.55</v>
      </c>
      <c r="M2519" s="92">
        <v>14.22</v>
      </c>
      <c r="N2519" s="573">
        <v>30.97</v>
      </c>
      <c r="O2519" s="556" t="str">
        <f>IF(N2519=M2519,"OK","DIF")</f>
        <v>DIF</v>
      </c>
      <c r="P2519" s="573"/>
      <c r="Q2519" s="556"/>
      <c r="R2519" s="582"/>
    </row>
    <row r="2520" ht="15" customHeight="1" spans="1:18">
      <c r="A2520" s="556" t="str">
        <f>B2520</f>
        <v>Composição Auxiliar</v>
      </c>
      <c r="B2520" s="557" t="str">
        <f>B2519</f>
        <v>Composição Auxiliar</v>
      </c>
      <c r="C2520" s="100" t="s">
        <v>2893</v>
      </c>
      <c r="D2520" s="99" t="s">
        <v>3785</v>
      </c>
      <c r="E2520" s="100" t="s">
        <v>132</v>
      </c>
      <c r="F2520" s="100" t="s">
        <v>3786</v>
      </c>
      <c r="G2520" s="100" t="s">
        <v>2961</v>
      </c>
      <c r="H2520" s="100"/>
      <c r="I2520" s="101" t="s">
        <v>134</v>
      </c>
      <c r="J2520" s="580">
        <v>1.015</v>
      </c>
      <c r="K2520" s="580">
        <v>0</v>
      </c>
      <c r="L2520" s="102">
        <v>162.75</v>
      </c>
      <c r="M2520" s="102">
        <v>165.19</v>
      </c>
      <c r="N2520" s="573">
        <v>9.01</v>
      </c>
      <c r="O2520" s="556" t="str">
        <f>IF(N2520=M2520,"OK","DIF")</f>
        <v>DIF</v>
      </c>
      <c r="P2520" s="573"/>
      <c r="Q2520" s="556"/>
      <c r="R2520" s="582"/>
    </row>
    <row r="2521" ht="25.5" spans="1:18">
      <c r="A2521" s="556" t="str">
        <f>B2521</f>
        <v>Composição Auxiliar</v>
      </c>
      <c r="B2521" s="557" t="str">
        <f>B2520</f>
        <v>Composição Auxiliar</v>
      </c>
      <c r="C2521" s="108"/>
      <c r="D2521" s="108"/>
      <c r="E2521" s="108"/>
      <c r="F2521" s="108"/>
      <c r="G2521" s="108"/>
      <c r="H2521" s="108" t="s">
        <v>2898</v>
      </c>
      <c r="I2521" s="581">
        <v>18.53</v>
      </c>
      <c r="J2521" s="108" t="s">
        <v>2899</v>
      </c>
      <c r="K2521" s="581">
        <v>0</v>
      </c>
      <c r="L2521" s="108" t="s">
        <v>2900</v>
      </c>
      <c r="M2521" s="581">
        <v>18.53</v>
      </c>
      <c r="N2521" s="573">
        <v>7.44</v>
      </c>
      <c r="O2521" s="556" t="str">
        <f>IF(N2521=M2521,"OK","DIF")</f>
        <v>DIF</v>
      </c>
      <c r="P2521" s="573"/>
      <c r="Q2521" s="556"/>
      <c r="R2521" s="582"/>
    </row>
    <row r="2522" ht="26.25" spans="1:18">
      <c r="A2522" s="556" t="str">
        <f>B2522</f>
        <v>Composição Auxiliar</v>
      </c>
      <c r="B2522" s="557" t="str">
        <f>B2521</f>
        <v>Composição Auxiliar</v>
      </c>
      <c r="C2522" s="108"/>
      <c r="D2522" s="108"/>
      <c r="E2522" s="108"/>
      <c r="F2522" s="108"/>
      <c r="G2522" s="108"/>
      <c r="H2522" s="108" t="s">
        <v>2901</v>
      </c>
      <c r="I2522" s="581">
        <v>48.74</v>
      </c>
      <c r="J2522" s="114"/>
      <c r="K2522" s="114" t="s">
        <v>2902</v>
      </c>
      <c r="L2522" s="108"/>
      <c r="M2522" s="581">
        <v>239.96</v>
      </c>
      <c r="N2522" s="573">
        <v>0.62</v>
      </c>
      <c r="O2522" s="556" t="str">
        <f>IF(N2522=M2522,"OK","DIF")</f>
        <v>DIF</v>
      </c>
      <c r="P2522" s="573"/>
      <c r="Q2522" s="556"/>
      <c r="R2522" s="582"/>
    </row>
    <row r="2523" ht="15" spans="1:18">
      <c r="A2523" s="556" t="str">
        <f>B2523</f>
        <v>Composição Auxiliar</v>
      </c>
      <c r="B2523" s="557" t="str">
        <f>B2522</f>
        <v>Composição Auxiliar</v>
      </c>
      <c r="C2523" s="571"/>
      <c r="D2523" s="571"/>
      <c r="E2523" s="571"/>
      <c r="F2523" s="571"/>
      <c r="G2523" s="571"/>
      <c r="H2523" s="571"/>
      <c r="I2523" s="571"/>
      <c r="J2523" s="571"/>
      <c r="K2523" s="571"/>
      <c r="L2523" s="571"/>
      <c r="M2523" s="571"/>
      <c r="N2523" s="573">
        <v>13.9</v>
      </c>
      <c r="O2523" s="556" t="str">
        <f>IF(N2523=M2523,"OK","DIF")</f>
        <v>DIF</v>
      </c>
      <c r="P2523" s="573"/>
      <c r="Q2523" s="556"/>
      <c r="R2523" s="582"/>
    </row>
    <row r="2524" ht="15" customHeight="1" spans="1:18">
      <c r="A2524" s="556"/>
      <c r="B2524" s="557"/>
      <c r="C2524" s="76" t="s">
        <v>881</v>
      </c>
      <c r="D2524" s="75" t="s">
        <v>63</v>
      </c>
      <c r="E2524" s="76" t="s">
        <v>64</v>
      </c>
      <c r="F2524" s="76" t="s">
        <v>65</v>
      </c>
      <c r="G2524" s="76" t="s">
        <v>2889</v>
      </c>
      <c r="H2524" s="76"/>
      <c r="I2524" s="77" t="s">
        <v>66</v>
      </c>
      <c r="J2524" s="75" t="s">
        <v>67</v>
      </c>
      <c r="K2524" s="75" t="s">
        <v>2890</v>
      </c>
      <c r="L2524" s="75" t="s">
        <v>68</v>
      </c>
      <c r="M2524" s="75" t="s">
        <v>70</v>
      </c>
      <c r="N2524" s="573"/>
      <c r="O2524" s="556"/>
      <c r="P2524" s="573"/>
      <c r="Q2524" s="556"/>
      <c r="R2524" s="582"/>
    </row>
    <row r="2525" ht="38.25" spans="1:18">
      <c r="A2525" s="556"/>
      <c r="B2525" s="557"/>
      <c r="C2525" s="569" t="s">
        <v>2891</v>
      </c>
      <c r="D2525" s="570" t="s">
        <v>882</v>
      </c>
      <c r="E2525" s="569" t="s">
        <v>132</v>
      </c>
      <c r="F2525" s="569" t="s">
        <v>883</v>
      </c>
      <c r="G2525" s="569">
        <v>105</v>
      </c>
      <c r="H2525" s="569"/>
      <c r="I2525" s="577" t="s">
        <v>134</v>
      </c>
      <c r="J2525" s="578">
        <v>1</v>
      </c>
      <c r="K2525" s="579"/>
      <c r="L2525" s="579">
        <v>2693.51</v>
      </c>
      <c r="M2525" s="579">
        <v>2693.51</v>
      </c>
      <c r="N2525" s="573"/>
      <c r="O2525" s="556"/>
      <c r="P2525" s="573"/>
      <c r="Q2525" s="556"/>
      <c r="R2525" s="582"/>
    </row>
    <row r="2526" ht="23.85" customHeight="1" spans="1:18">
      <c r="A2526" s="556"/>
      <c r="B2526" s="557" t="str">
        <f>C2525</f>
        <v>Composição</v>
      </c>
      <c r="C2526" s="79" t="s">
        <v>2921</v>
      </c>
      <c r="D2526" s="78" t="s">
        <v>2952</v>
      </c>
      <c r="E2526" s="79" t="s">
        <v>139</v>
      </c>
      <c r="F2526" s="79" t="s">
        <v>2953</v>
      </c>
      <c r="G2526" s="79" t="s">
        <v>2928</v>
      </c>
      <c r="H2526" s="79"/>
      <c r="I2526" s="80" t="s">
        <v>2897</v>
      </c>
      <c r="J2526" s="583">
        <v>0.6</v>
      </c>
      <c r="K2526" s="583">
        <v>0</v>
      </c>
      <c r="L2526" s="92">
        <v>29.15</v>
      </c>
      <c r="M2526" s="92">
        <v>17.49</v>
      </c>
      <c r="N2526" s="573">
        <v>35.65</v>
      </c>
      <c r="O2526" s="556" t="str">
        <f>IF(N2526=M2526,"OK","DIF")</f>
        <v>DIF</v>
      </c>
      <c r="P2526" s="573"/>
      <c r="Q2526" s="556"/>
      <c r="R2526" s="582"/>
    </row>
    <row r="2527" ht="23.85" customHeight="1" spans="1:18">
      <c r="A2527" s="556" t="str">
        <f>B2527</f>
        <v>Composição</v>
      </c>
      <c r="B2527" s="557" t="str">
        <f>B2526</f>
        <v>Composição</v>
      </c>
      <c r="C2527" s="79" t="s">
        <v>2921</v>
      </c>
      <c r="D2527" s="78" t="s">
        <v>3144</v>
      </c>
      <c r="E2527" s="79" t="s">
        <v>139</v>
      </c>
      <c r="F2527" s="79" t="s">
        <v>3145</v>
      </c>
      <c r="G2527" s="79" t="s">
        <v>2928</v>
      </c>
      <c r="H2527" s="79"/>
      <c r="I2527" s="80" t="s">
        <v>2897</v>
      </c>
      <c r="J2527" s="583">
        <v>0.6</v>
      </c>
      <c r="K2527" s="583">
        <v>0</v>
      </c>
      <c r="L2527" s="92">
        <v>35.55</v>
      </c>
      <c r="M2527" s="92">
        <v>21.33</v>
      </c>
      <c r="N2527" s="573">
        <v>9.77</v>
      </c>
      <c r="O2527" s="556" t="str">
        <f>IF(N2527=M2527,"OK","DIF")</f>
        <v>DIF</v>
      </c>
      <c r="P2527" s="573"/>
      <c r="Q2527" s="556"/>
      <c r="R2527" s="582"/>
    </row>
    <row r="2528" ht="15" customHeight="1" spans="1:18">
      <c r="A2528" s="556" t="str">
        <f>B2528</f>
        <v>Composição</v>
      </c>
      <c r="B2528" s="557" t="str">
        <f>B2527</f>
        <v>Composição</v>
      </c>
      <c r="C2528" s="100" t="s">
        <v>2893</v>
      </c>
      <c r="D2528" s="99" t="s">
        <v>3787</v>
      </c>
      <c r="E2528" s="100" t="s">
        <v>132</v>
      </c>
      <c r="F2528" s="100" t="s">
        <v>3788</v>
      </c>
      <c r="G2528" s="100" t="s">
        <v>2961</v>
      </c>
      <c r="H2528" s="100"/>
      <c r="I2528" s="101" t="s">
        <v>134</v>
      </c>
      <c r="J2528" s="580">
        <v>1</v>
      </c>
      <c r="K2528" s="580">
        <v>0</v>
      </c>
      <c r="L2528" s="102">
        <v>2654.69</v>
      </c>
      <c r="M2528" s="102">
        <v>2654.69</v>
      </c>
      <c r="N2528" s="573">
        <v>11.84</v>
      </c>
      <c r="O2528" s="556" t="str">
        <f>IF(N2528=M2528,"OK","DIF")</f>
        <v>DIF</v>
      </c>
      <c r="P2528" s="573"/>
      <c r="Q2528" s="556"/>
      <c r="R2528" s="582"/>
    </row>
    <row r="2529" ht="25.5" spans="1:18">
      <c r="A2529" s="556" t="str">
        <f>B2529</f>
        <v>Composição</v>
      </c>
      <c r="B2529" s="557" t="str">
        <f>B2528</f>
        <v>Composição</v>
      </c>
      <c r="C2529" s="108"/>
      <c r="D2529" s="108"/>
      <c r="E2529" s="108"/>
      <c r="F2529" s="108"/>
      <c r="G2529" s="108"/>
      <c r="H2529" s="108" t="s">
        <v>2898</v>
      </c>
      <c r="I2529" s="581">
        <v>27.23</v>
      </c>
      <c r="J2529" s="108" t="s">
        <v>2899</v>
      </c>
      <c r="K2529" s="581">
        <v>0</v>
      </c>
      <c r="L2529" s="108" t="s">
        <v>2900</v>
      </c>
      <c r="M2529" s="581">
        <v>27.23</v>
      </c>
      <c r="N2529" s="573">
        <v>13.42</v>
      </c>
      <c r="O2529" s="556" t="str">
        <f>IF(N2529=M2529,"OK","DIF")</f>
        <v>DIF</v>
      </c>
      <c r="P2529" s="573"/>
      <c r="Q2529" s="556"/>
      <c r="R2529" s="582"/>
    </row>
    <row r="2530" ht="26.25" spans="1:18">
      <c r="A2530" s="556" t="str">
        <f>B2530</f>
        <v>Composição</v>
      </c>
      <c r="B2530" s="557" t="str">
        <f>B2529</f>
        <v>Composição</v>
      </c>
      <c r="C2530" s="108"/>
      <c r="D2530" s="108"/>
      <c r="E2530" s="108"/>
      <c r="F2530" s="108"/>
      <c r="G2530" s="108"/>
      <c r="H2530" s="108" t="s">
        <v>2901</v>
      </c>
      <c r="I2530" s="581">
        <v>686.57</v>
      </c>
      <c r="J2530" s="114"/>
      <c r="K2530" s="114" t="s">
        <v>2902</v>
      </c>
      <c r="L2530" s="108"/>
      <c r="M2530" s="581">
        <v>3380.08</v>
      </c>
      <c r="N2530" s="573">
        <v>0.62</v>
      </c>
      <c r="O2530" s="556" t="str">
        <f>IF(N2530=M2530,"OK","DIF")</f>
        <v>DIF</v>
      </c>
      <c r="P2530" s="573"/>
      <c r="Q2530" s="556"/>
      <c r="R2530" s="582"/>
    </row>
    <row r="2531" ht="15" spans="1:18">
      <c r="A2531" s="556"/>
      <c r="B2531" s="557"/>
      <c r="C2531" s="571"/>
      <c r="D2531" s="571"/>
      <c r="E2531" s="571"/>
      <c r="F2531" s="571"/>
      <c r="G2531" s="571"/>
      <c r="H2531" s="571"/>
      <c r="I2531" s="571"/>
      <c r="J2531" s="571"/>
      <c r="K2531" s="571"/>
      <c r="L2531" s="571"/>
      <c r="M2531" s="571"/>
      <c r="N2531" s="573"/>
      <c r="O2531" s="556"/>
      <c r="P2531" s="573"/>
      <c r="Q2531" s="556"/>
      <c r="R2531" s="582"/>
    </row>
    <row r="2532" ht="15" customHeight="1" spans="1:18">
      <c r="A2532" s="556"/>
      <c r="B2532" s="557"/>
      <c r="C2532" s="76" t="s">
        <v>886</v>
      </c>
      <c r="D2532" s="75" t="s">
        <v>63</v>
      </c>
      <c r="E2532" s="76" t="s">
        <v>64</v>
      </c>
      <c r="F2532" s="76" t="s">
        <v>65</v>
      </c>
      <c r="G2532" s="76" t="s">
        <v>2889</v>
      </c>
      <c r="H2532" s="76"/>
      <c r="I2532" s="77" t="s">
        <v>66</v>
      </c>
      <c r="J2532" s="75" t="s">
        <v>67</v>
      </c>
      <c r="K2532" s="75" t="s">
        <v>2890</v>
      </c>
      <c r="L2532" s="75" t="s">
        <v>68</v>
      </c>
      <c r="M2532" s="75" t="s">
        <v>70</v>
      </c>
      <c r="N2532" s="573"/>
      <c r="O2532" s="556"/>
      <c r="P2532" s="573"/>
      <c r="Q2532" s="556"/>
      <c r="R2532" s="582"/>
    </row>
    <row r="2533" ht="23.85" customHeight="1" spans="1:18">
      <c r="A2533" s="556"/>
      <c r="B2533" s="557" t="str">
        <f>C2532</f>
        <v> 11.3.1 </v>
      </c>
      <c r="C2533" s="569" t="s">
        <v>2891</v>
      </c>
      <c r="D2533" s="570" t="s">
        <v>887</v>
      </c>
      <c r="E2533" s="569" t="s">
        <v>149</v>
      </c>
      <c r="F2533" s="569" t="s">
        <v>888</v>
      </c>
      <c r="G2533" s="569" t="s">
        <v>3789</v>
      </c>
      <c r="H2533" s="569"/>
      <c r="I2533" s="577" t="s">
        <v>134</v>
      </c>
      <c r="J2533" s="578">
        <v>1</v>
      </c>
      <c r="K2533" s="579"/>
      <c r="L2533" s="579">
        <v>1776.86</v>
      </c>
      <c r="M2533" s="579">
        <v>1776.86</v>
      </c>
      <c r="N2533" s="573">
        <v>31.29</v>
      </c>
      <c r="O2533" s="556" t="str">
        <f>IF(N2533=M2533,"OK","DIF")</f>
        <v>DIF</v>
      </c>
      <c r="P2533" s="573"/>
      <c r="Q2533" s="556"/>
      <c r="R2533" s="582"/>
    </row>
    <row r="2534" ht="15" customHeight="1" spans="1:18">
      <c r="A2534" s="556" t="str">
        <f>B2534</f>
        <v> 11.3.1 </v>
      </c>
      <c r="B2534" s="557" t="str">
        <f>B2533</f>
        <v> 11.3.1 </v>
      </c>
      <c r="C2534" s="100" t="s">
        <v>2893</v>
      </c>
      <c r="D2534" s="99" t="s">
        <v>3790</v>
      </c>
      <c r="E2534" s="100" t="s">
        <v>149</v>
      </c>
      <c r="F2534" s="100" t="s">
        <v>3791</v>
      </c>
      <c r="G2534" s="100" t="s">
        <v>2961</v>
      </c>
      <c r="H2534" s="100"/>
      <c r="I2534" s="101" t="s">
        <v>134</v>
      </c>
      <c r="J2534" s="580">
        <v>1</v>
      </c>
      <c r="K2534" s="580">
        <v>0</v>
      </c>
      <c r="L2534" s="102">
        <v>187.06</v>
      </c>
      <c r="M2534" s="102">
        <v>187.06</v>
      </c>
      <c r="N2534" s="573">
        <v>10.43</v>
      </c>
      <c r="O2534" s="556" t="str">
        <f>IF(N2534=M2534,"OK","DIF")</f>
        <v>DIF</v>
      </c>
      <c r="P2534" s="573"/>
      <c r="Q2534" s="556"/>
      <c r="R2534" s="582"/>
    </row>
    <row r="2535" ht="15" customHeight="1" spans="1:18">
      <c r="A2535" s="556" t="str">
        <f>B2535</f>
        <v> 11.3.1 </v>
      </c>
      <c r="B2535" s="557" t="str">
        <f>B2534</f>
        <v> 11.3.1 </v>
      </c>
      <c r="C2535" s="100" t="s">
        <v>2893</v>
      </c>
      <c r="D2535" s="99" t="s">
        <v>3660</v>
      </c>
      <c r="E2535" s="100" t="s">
        <v>149</v>
      </c>
      <c r="F2535" s="100" t="s">
        <v>3661</v>
      </c>
      <c r="G2535" s="100" t="s">
        <v>2896</v>
      </c>
      <c r="H2535" s="100"/>
      <c r="I2535" s="101" t="s">
        <v>2897</v>
      </c>
      <c r="J2535" s="580">
        <v>4.2</v>
      </c>
      <c r="K2535" s="580">
        <v>0</v>
      </c>
      <c r="L2535" s="102">
        <v>20.515752</v>
      </c>
      <c r="M2535" s="102">
        <v>86.16</v>
      </c>
      <c r="N2535" s="573">
        <v>8.61</v>
      </c>
      <c r="O2535" s="556" t="str">
        <f>IF(N2535=M2535,"OK","DIF")</f>
        <v>DIF</v>
      </c>
      <c r="P2535" s="573"/>
      <c r="Q2535" s="556"/>
      <c r="R2535" s="582"/>
    </row>
    <row r="2536" ht="15" customHeight="1" spans="1:18">
      <c r="A2536" s="556" t="str">
        <f>B2536</f>
        <v> 11.3.1 </v>
      </c>
      <c r="B2536" s="557" t="str">
        <f>B2535</f>
        <v> 11.3.1 </v>
      </c>
      <c r="C2536" s="100" t="s">
        <v>2893</v>
      </c>
      <c r="D2536" s="99" t="s">
        <v>3792</v>
      </c>
      <c r="E2536" s="100" t="s">
        <v>149</v>
      </c>
      <c r="F2536" s="100" t="s">
        <v>3793</v>
      </c>
      <c r="G2536" s="100" t="s">
        <v>2961</v>
      </c>
      <c r="H2536" s="100"/>
      <c r="I2536" s="101" t="s">
        <v>134</v>
      </c>
      <c r="J2536" s="580">
        <v>1</v>
      </c>
      <c r="K2536" s="580">
        <v>0</v>
      </c>
      <c r="L2536" s="102">
        <v>31.9</v>
      </c>
      <c r="M2536" s="102">
        <v>31.9</v>
      </c>
      <c r="N2536" s="573">
        <v>0.62</v>
      </c>
      <c r="O2536" s="556" t="str">
        <f>IF(N2536=M2536,"OK","DIF")</f>
        <v>DIF</v>
      </c>
      <c r="P2536" s="573"/>
      <c r="Q2536" s="556"/>
      <c r="R2536" s="582"/>
    </row>
    <row r="2537" ht="15" customHeight="1" spans="1:18">
      <c r="A2537" s="556" t="str">
        <f>B2537</f>
        <v> 11.3.1 </v>
      </c>
      <c r="B2537" s="557" t="str">
        <f>B2536</f>
        <v> 11.3.1 </v>
      </c>
      <c r="C2537" s="100" t="s">
        <v>2893</v>
      </c>
      <c r="D2537" s="99" t="s">
        <v>3794</v>
      </c>
      <c r="E2537" s="100" t="s">
        <v>149</v>
      </c>
      <c r="F2537" s="100" t="s">
        <v>3795</v>
      </c>
      <c r="G2537" s="100" t="s">
        <v>2961</v>
      </c>
      <c r="H2537" s="100"/>
      <c r="I2537" s="101" t="s">
        <v>134</v>
      </c>
      <c r="J2537" s="580">
        <v>2</v>
      </c>
      <c r="K2537" s="580">
        <v>0</v>
      </c>
      <c r="L2537" s="102">
        <v>0.34</v>
      </c>
      <c r="M2537" s="102">
        <v>0.68</v>
      </c>
      <c r="N2537" s="573">
        <v>11.63</v>
      </c>
      <c r="O2537" s="556" t="str">
        <f>IF(N2537=M2537,"OK","DIF")</f>
        <v>DIF</v>
      </c>
      <c r="P2537" s="573"/>
      <c r="Q2537" s="556"/>
      <c r="R2537" s="582"/>
    </row>
    <row r="2538" ht="15" customHeight="1" spans="1:18">
      <c r="A2538" s="556"/>
      <c r="B2538" s="557"/>
      <c r="C2538" s="100" t="s">
        <v>2893</v>
      </c>
      <c r="D2538" s="99" t="s">
        <v>2988</v>
      </c>
      <c r="E2538" s="100" t="s">
        <v>149</v>
      </c>
      <c r="F2538" s="100" t="s">
        <v>2989</v>
      </c>
      <c r="G2538" s="100" t="s">
        <v>2896</v>
      </c>
      <c r="H2538" s="100"/>
      <c r="I2538" s="101" t="s">
        <v>2897</v>
      </c>
      <c r="J2538" s="580">
        <v>3.8</v>
      </c>
      <c r="K2538" s="580">
        <v>0</v>
      </c>
      <c r="L2538" s="102">
        <v>26.928256</v>
      </c>
      <c r="M2538" s="102">
        <v>102.32</v>
      </c>
      <c r="N2538" s="573"/>
      <c r="O2538" s="556"/>
      <c r="P2538" s="573"/>
      <c r="Q2538" s="556"/>
      <c r="R2538" s="582"/>
    </row>
    <row r="2539" ht="15" customHeight="1" spans="1:18">
      <c r="A2539" s="556"/>
      <c r="B2539" s="557"/>
      <c r="C2539" s="100" t="s">
        <v>2893</v>
      </c>
      <c r="D2539" s="99" t="s">
        <v>3796</v>
      </c>
      <c r="E2539" s="100" t="s">
        <v>149</v>
      </c>
      <c r="F2539" s="100" t="s">
        <v>3797</v>
      </c>
      <c r="G2539" s="100" t="s">
        <v>2961</v>
      </c>
      <c r="H2539" s="100"/>
      <c r="I2539" s="101" t="s">
        <v>134</v>
      </c>
      <c r="J2539" s="580">
        <v>1</v>
      </c>
      <c r="K2539" s="580">
        <v>0</v>
      </c>
      <c r="L2539" s="102">
        <v>1074.9</v>
      </c>
      <c r="M2539" s="102">
        <v>1074.9</v>
      </c>
      <c r="N2539" s="573"/>
      <c r="O2539" s="556"/>
      <c r="P2539" s="573"/>
      <c r="Q2539" s="556"/>
      <c r="R2539" s="582"/>
    </row>
    <row r="2540" ht="15" customHeight="1" spans="1:18">
      <c r="A2540" s="556"/>
      <c r="B2540" s="557" t="str">
        <f>C2539</f>
        <v>Insumo</v>
      </c>
      <c r="C2540" s="100" t="s">
        <v>2893</v>
      </c>
      <c r="D2540" s="99" t="s">
        <v>3798</v>
      </c>
      <c r="E2540" s="100" t="s">
        <v>149</v>
      </c>
      <c r="F2540" s="100" t="s">
        <v>3799</v>
      </c>
      <c r="G2540" s="100" t="s">
        <v>2961</v>
      </c>
      <c r="H2540" s="100"/>
      <c r="I2540" s="101" t="s">
        <v>393</v>
      </c>
      <c r="J2540" s="580">
        <v>0.6</v>
      </c>
      <c r="K2540" s="580">
        <v>0</v>
      </c>
      <c r="L2540" s="102">
        <v>4.55</v>
      </c>
      <c r="M2540" s="102">
        <v>2.73</v>
      </c>
      <c r="N2540" s="573">
        <v>42.46</v>
      </c>
      <c r="O2540" s="556" t="str">
        <f>IF(N2540=M2540,"OK","DIF")</f>
        <v>DIF</v>
      </c>
      <c r="P2540" s="573"/>
      <c r="Q2540" s="556"/>
      <c r="R2540" s="582"/>
    </row>
    <row r="2541" ht="15" customHeight="1" spans="1:18">
      <c r="A2541" s="556" t="str">
        <f>B2541</f>
        <v>Insumo</v>
      </c>
      <c r="B2541" s="557" t="str">
        <f>B2540</f>
        <v>Insumo</v>
      </c>
      <c r="C2541" s="100" t="s">
        <v>2893</v>
      </c>
      <c r="D2541" s="99" t="s">
        <v>3800</v>
      </c>
      <c r="E2541" s="100" t="s">
        <v>149</v>
      </c>
      <c r="F2541" s="100" t="s">
        <v>3801</v>
      </c>
      <c r="G2541" s="100" t="s">
        <v>2961</v>
      </c>
      <c r="H2541" s="100"/>
      <c r="I2541" s="101" t="s">
        <v>134</v>
      </c>
      <c r="J2541" s="580">
        <v>1</v>
      </c>
      <c r="K2541" s="580">
        <v>0</v>
      </c>
      <c r="L2541" s="102">
        <v>13.9</v>
      </c>
      <c r="M2541" s="102">
        <v>13.9</v>
      </c>
      <c r="N2541" s="573">
        <v>12.9</v>
      </c>
      <c r="O2541" s="556" t="str">
        <f>IF(N2541=M2541,"OK","DIF")</f>
        <v>DIF</v>
      </c>
      <c r="P2541" s="573"/>
      <c r="Q2541" s="556"/>
      <c r="R2541" s="582"/>
    </row>
    <row r="2542" ht="15" customHeight="1" spans="1:18">
      <c r="A2542" s="556" t="str">
        <f>B2542</f>
        <v>Insumo</v>
      </c>
      <c r="B2542" s="557" t="str">
        <f>B2541</f>
        <v>Insumo</v>
      </c>
      <c r="C2542" s="100" t="s">
        <v>2893</v>
      </c>
      <c r="D2542" s="99" t="s">
        <v>3802</v>
      </c>
      <c r="E2542" s="100" t="s">
        <v>149</v>
      </c>
      <c r="F2542" s="100" t="s">
        <v>3803</v>
      </c>
      <c r="G2542" s="100" t="s">
        <v>2961</v>
      </c>
      <c r="H2542" s="100"/>
      <c r="I2542" s="101" t="s">
        <v>134</v>
      </c>
      <c r="J2542" s="580">
        <v>1</v>
      </c>
      <c r="K2542" s="580">
        <v>0</v>
      </c>
      <c r="L2542" s="102">
        <v>277.21</v>
      </c>
      <c r="M2542" s="102">
        <v>277.21</v>
      </c>
      <c r="N2542" s="573">
        <v>10.65</v>
      </c>
      <c r="O2542" s="556" t="str">
        <f>IF(N2542=M2542,"OK","DIF")</f>
        <v>DIF</v>
      </c>
      <c r="P2542" s="573"/>
      <c r="Q2542" s="556"/>
      <c r="R2542" s="582"/>
    </row>
    <row r="2543" ht="25.5" spans="1:18">
      <c r="A2543" s="556" t="str">
        <f>B2543</f>
        <v>Insumo</v>
      </c>
      <c r="B2543" s="557" t="str">
        <f>B2542</f>
        <v>Insumo</v>
      </c>
      <c r="C2543" s="108"/>
      <c r="D2543" s="108"/>
      <c r="E2543" s="108"/>
      <c r="F2543" s="108"/>
      <c r="G2543" s="108"/>
      <c r="H2543" s="108" t="s">
        <v>2898</v>
      </c>
      <c r="I2543" s="581">
        <v>188.48</v>
      </c>
      <c r="J2543" s="108" t="s">
        <v>2899</v>
      </c>
      <c r="K2543" s="581">
        <v>0</v>
      </c>
      <c r="L2543" s="108" t="s">
        <v>2900</v>
      </c>
      <c r="M2543" s="581">
        <v>188.48</v>
      </c>
      <c r="N2543" s="573">
        <v>18.29</v>
      </c>
      <c r="O2543" s="556" t="str">
        <f>IF(N2543=M2543,"OK","DIF")</f>
        <v>DIF</v>
      </c>
      <c r="P2543" s="573"/>
      <c r="Q2543" s="556"/>
      <c r="R2543" s="582"/>
    </row>
    <row r="2544" ht="26.25" spans="1:18">
      <c r="A2544" s="556" t="str">
        <f>B2544</f>
        <v>Insumo</v>
      </c>
      <c r="B2544" s="557" t="str">
        <f>B2543</f>
        <v>Insumo</v>
      </c>
      <c r="C2544" s="108"/>
      <c r="D2544" s="108"/>
      <c r="E2544" s="108"/>
      <c r="F2544" s="108"/>
      <c r="G2544" s="108"/>
      <c r="H2544" s="108" t="s">
        <v>2901</v>
      </c>
      <c r="I2544" s="581">
        <v>452.92</v>
      </c>
      <c r="J2544" s="114"/>
      <c r="K2544" s="114" t="s">
        <v>2902</v>
      </c>
      <c r="L2544" s="108"/>
      <c r="M2544" s="581">
        <v>2229.78</v>
      </c>
      <c r="N2544" s="573">
        <v>0.62</v>
      </c>
      <c r="O2544" s="556" t="str">
        <f>IF(N2544=M2544,"OK","DIF")</f>
        <v>DIF</v>
      </c>
      <c r="P2544" s="573"/>
      <c r="Q2544" s="556"/>
      <c r="R2544" s="582"/>
    </row>
    <row r="2545" ht="15" spans="1:18">
      <c r="A2545" s="556"/>
      <c r="B2545" s="557"/>
      <c r="C2545" s="571"/>
      <c r="D2545" s="571"/>
      <c r="E2545" s="571"/>
      <c r="F2545" s="571"/>
      <c r="G2545" s="571"/>
      <c r="H2545" s="571"/>
      <c r="I2545" s="571"/>
      <c r="J2545" s="571"/>
      <c r="K2545" s="571"/>
      <c r="L2545" s="571"/>
      <c r="M2545" s="571"/>
      <c r="N2545" s="573"/>
      <c r="O2545" s="556"/>
      <c r="P2545" s="573"/>
      <c r="Q2545" s="556"/>
      <c r="R2545" s="582"/>
    </row>
    <row r="2546" ht="15" customHeight="1" spans="1:18">
      <c r="A2546" s="556"/>
      <c r="B2546" s="557"/>
      <c r="C2546" s="76" t="s">
        <v>889</v>
      </c>
      <c r="D2546" s="75" t="s">
        <v>63</v>
      </c>
      <c r="E2546" s="76" t="s">
        <v>64</v>
      </c>
      <c r="F2546" s="76" t="s">
        <v>65</v>
      </c>
      <c r="G2546" s="76" t="s">
        <v>2889</v>
      </c>
      <c r="H2546" s="76"/>
      <c r="I2546" s="77" t="s">
        <v>66</v>
      </c>
      <c r="J2546" s="75" t="s">
        <v>67</v>
      </c>
      <c r="K2546" s="75" t="s">
        <v>2890</v>
      </c>
      <c r="L2546" s="75" t="s">
        <v>68</v>
      </c>
      <c r="M2546" s="75" t="s">
        <v>70</v>
      </c>
      <c r="N2546" s="573"/>
      <c r="O2546" s="556"/>
      <c r="P2546" s="573"/>
      <c r="Q2546" s="556"/>
      <c r="R2546" s="582"/>
    </row>
    <row r="2547" ht="35.05" customHeight="1" spans="1:18">
      <c r="A2547" s="556"/>
      <c r="B2547" s="557" t="str">
        <f>C2546</f>
        <v> 11.3.2 </v>
      </c>
      <c r="C2547" s="569" t="s">
        <v>2891</v>
      </c>
      <c r="D2547" s="570" t="s">
        <v>890</v>
      </c>
      <c r="E2547" s="569" t="s">
        <v>132</v>
      </c>
      <c r="F2547" s="569" t="s">
        <v>891</v>
      </c>
      <c r="G2547" s="569" t="s">
        <v>3129</v>
      </c>
      <c r="H2547" s="569"/>
      <c r="I2547" s="577" t="s">
        <v>134</v>
      </c>
      <c r="J2547" s="578">
        <v>1</v>
      </c>
      <c r="K2547" s="579"/>
      <c r="L2547" s="579">
        <v>286.07</v>
      </c>
      <c r="M2547" s="579">
        <v>286.07</v>
      </c>
      <c r="N2547" s="573">
        <v>84.75</v>
      </c>
      <c r="O2547" s="556" t="str">
        <f>IF(N2547=M2547,"OK","DIF")</f>
        <v>DIF</v>
      </c>
      <c r="P2547" s="573"/>
      <c r="Q2547" s="556"/>
      <c r="R2547" s="582"/>
    </row>
    <row r="2548" ht="23.85" customHeight="1" spans="1:18">
      <c r="A2548" s="556" t="str">
        <f>B2548</f>
        <v> 11.3.2 </v>
      </c>
      <c r="B2548" s="557" t="str">
        <f>B2547</f>
        <v> 11.3.2 </v>
      </c>
      <c r="C2548" s="79" t="s">
        <v>2921</v>
      </c>
      <c r="D2548" s="78" t="s">
        <v>3146</v>
      </c>
      <c r="E2548" s="79" t="s">
        <v>139</v>
      </c>
      <c r="F2548" s="79" t="s">
        <v>3147</v>
      </c>
      <c r="G2548" s="79" t="s">
        <v>2928</v>
      </c>
      <c r="H2548" s="79"/>
      <c r="I2548" s="80" t="s">
        <v>2897</v>
      </c>
      <c r="J2548" s="583">
        <v>0.3</v>
      </c>
      <c r="K2548" s="583">
        <v>0</v>
      </c>
      <c r="L2548" s="92">
        <v>29.54</v>
      </c>
      <c r="M2548" s="92">
        <v>8.86</v>
      </c>
      <c r="N2548" s="573">
        <v>12.35</v>
      </c>
      <c r="O2548" s="556" t="str">
        <f>IF(N2548=M2548,"OK","DIF")</f>
        <v>DIF</v>
      </c>
      <c r="P2548" s="573"/>
      <c r="Q2548" s="556"/>
      <c r="R2548" s="582"/>
    </row>
    <row r="2549" ht="15" customHeight="1" spans="1:18">
      <c r="A2549" s="556" t="str">
        <f>B2549</f>
        <v> 11.3.2 </v>
      </c>
      <c r="B2549" s="557" t="str">
        <f>B2548</f>
        <v> 11.3.2 </v>
      </c>
      <c r="C2549" s="100" t="s">
        <v>2893</v>
      </c>
      <c r="D2549" s="99" t="s">
        <v>3802</v>
      </c>
      <c r="E2549" s="100" t="s">
        <v>149</v>
      </c>
      <c r="F2549" s="100" t="s">
        <v>3803</v>
      </c>
      <c r="G2549" s="100" t="s">
        <v>2961</v>
      </c>
      <c r="H2549" s="100"/>
      <c r="I2549" s="101" t="s">
        <v>134</v>
      </c>
      <c r="J2549" s="580">
        <v>1</v>
      </c>
      <c r="K2549" s="580">
        <v>0</v>
      </c>
      <c r="L2549" s="102">
        <v>277.21</v>
      </c>
      <c r="M2549" s="102">
        <v>277.21</v>
      </c>
      <c r="N2549" s="573">
        <v>62.99</v>
      </c>
      <c r="O2549" s="556" t="str">
        <f>IF(N2549=M2549,"OK","DIF")</f>
        <v>DIF</v>
      </c>
      <c r="P2549" s="573"/>
      <c r="Q2549" s="556"/>
      <c r="R2549" s="582"/>
    </row>
    <row r="2550" ht="25.5" spans="1:18">
      <c r="A2550" s="556" t="str">
        <f>B2550</f>
        <v> 11.3.2 </v>
      </c>
      <c r="B2550" s="557" t="str">
        <f>B2549</f>
        <v> 11.3.2 </v>
      </c>
      <c r="C2550" s="108"/>
      <c r="D2550" s="108"/>
      <c r="E2550" s="108"/>
      <c r="F2550" s="108"/>
      <c r="G2550" s="108"/>
      <c r="H2550" s="108" t="s">
        <v>2898</v>
      </c>
      <c r="I2550" s="581">
        <v>6.05</v>
      </c>
      <c r="J2550" s="108" t="s">
        <v>2899</v>
      </c>
      <c r="K2550" s="581">
        <v>0</v>
      </c>
      <c r="L2550" s="108" t="s">
        <v>2900</v>
      </c>
      <c r="M2550" s="581">
        <v>6.05</v>
      </c>
      <c r="N2550" s="573">
        <v>9.41</v>
      </c>
      <c r="O2550" s="556" t="str">
        <f>IF(N2550=M2550,"OK","DIF")</f>
        <v>DIF</v>
      </c>
      <c r="P2550" s="573"/>
      <c r="Q2550" s="556"/>
      <c r="R2550" s="582"/>
    </row>
    <row r="2551" ht="26.25" spans="1:18">
      <c r="A2551" s="556"/>
      <c r="B2551" s="557"/>
      <c r="C2551" s="108"/>
      <c r="D2551" s="108"/>
      <c r="E2551" s="108"/>
      <c r="F2551" s="108"/>
      <c r="G2551" s="108"/>
      <c r="H2551" s="108" t="s">
        <v>2901</v>
      </c>
      <c r="I2551" s="581">
        <v>72.91</v>
      </c>
      <c r="J2551" s="114"/>
      <c r="K2551" s="114" t="s">
        <v>2902</v>
      </c>
      <c r="L2551" s="108"/>
      <c r="M2551" s="581">
        <v>358.98</v>
      </c>
      <c r="N2551" s="573"/>
      <c r="O2551" s="556"/>
      <c r="P2551" s="573"/>
      <c r="Q2551" s="556"/>
      <c r="R2551" s="582"/>
    </row>
    <row r="2552" ht="15" spans="1:18">
      <c r="A2552" s="556"/>
      <c r="B2552" s="557"/>
      <c r="C2552" s="571"/>
      <c r="D2552" s="571"/>
      <c r="E2552" s="571"/>
      <c r="F2552" s="571"/>
      <c r="G2552" s="571"/>
      <c r="H2552" s="571"/>
      <c r="I2552" s="571"/>
      <c r="J2552" s="571"/>
      <c r="K2552" s="571"/>
      <c r="L2552" s="571"/>
      <c r="M2552" s="571"/>
      <c r="N2552" s="573"/>
      <c r="O2552" s="556"/>
      <c r="P2552" s="573"/>
      <c r="Q2552" s="556"/>
      <c r="R2552" s="582"/>
    </row>
    <row r="2553" ht="15" customHeight="1" spans="1:18">
      <c r="A2553" s="556"/>
      <c r="B2553" s="557">
        <f>C2552</f>
        <v>0</v>
      </c>
      <c r="C2553" s="76" t="s">
        <v>892</v>
      </c>
      <c r="D2553" s="75" t="s">
        <v>63</v>
      </c>
      <c r="E2553" s="76" t="s">
        <v>64</v>
      </c>
      <c r="F2553" s="76" t="s">
        <v>65</v>
      </c>
      <c r="G2553" s="76" t="s">
        <v>2889</v>
      </c>
      <c r="H2553" s="76"/>
      <c r="I2553" s="77" t="s">
        <v>66</v>
      </c>
      <c r="J2553" s="75" t="s">
        <v>67</v>
      </c>
      <c r="K2553" s="75" t="s">
        <v>2890</v>
      </c>
      <c r="L2553" s="75" t="s">
        <v>68</v>
      </c>
      <c r="M2553" s="75" t="s">
        <v>70</v>
      </c>
      <c r="N2553" s="573">
        <v>362.23</v>
      </c>
      <c r="O2553" s="556" t="str">
        <f>IF(N2553=M2553,"OK","DIF")</f>
        <v>DIF</v>
      </c>
      <c r="P2553" s="573"/>
      <c r="Q2553" s="556"/>
      <c r="R2553" s="582"/>
    </row>
    <row r="2554" ht="46.25" customHeight="1" spans="1:18">
      <c r="A2554" s="556">
        <f>B2554</f>
        <v>0</v>
      </c>
      <c r="B2554" s="557">
        <f>B2553</f>
        <v>0</v>
      </c>
      <c r="C2554" s="569" t="s">
        <v>2891</v>
      </c>
      <c r="D2554" s="570" t="s">
        <v>893</v>
      </c>
      <c r="E2554" s="569" t="s">
        <v>139</v>
      </c>
      <c r="F2554" s="569" t="s">
        <v>894</v>
      </c>
      <c r="G2554" s="569" t="s">
        <v>3516</v>
      </c>
      <c r="H2554" s="569"/>
      <c r="I2554" s="577" t="s">
        <v>134</v>
      </c>
      <c r="J2554" s="578">
        <v>1</v>
      </c>
      <c r="K2554" s="579"/>
      <c r="L2554" s="579">
        <v>843.58</v>
      </c>
      <c r="M2554" s="579">
        <v>843.58</v>
      </c>
      <c r="N2554" s="573">
        <v>12.35</v>
      </c>
      <c r="O2554" s="556" t="str">
        <f>IF(N2554=M2554,"OK","DIF")</f>
        <v>DIF</v>
      </c>
      <c r="P2554" s="573"/>
      <c r="Q2554" s="556"/>
      <c r="R2554" s="582"/>
    </row>
    <row r="2555" ht="35.05" customHeight="1" spans="1:18">
      <c r="A2555" s="556">
        <f>B2555</f>
        <v>0</v>
      </c>
      <c r="B2555" s="557">
        <f>B2554</f>
        <v>0</v>
      </c>
      <c r="C2555" s="79" t="s">
        <v>2921</v>
      </c>
      <c r="D2555" s="78" t="s">
        <v>3804</v>
      </c>
      <c r="E2555" s="79" t="s">
        <v>139</v>
      </c>
      <c r="F2555" s="79" t="s">
        <v>3805</v>
      </c>
      <c r="G2555" s="79" t="s">
        <v>3516</v>
      </c>
      <c r="H2555" s="79"/>
      <c r="I2555" s="80" t="s">
        <v>134</v>
      </c>
      <c r="J2555" s="583">
        <v>1</v>
      </c>
      <c r="K2555" s="583">
        <v>0</v>
      </c>
      <c r="L2555" s="92">
        <v>833.2</v>
      </c>
      <c r="M2555" s="92">
        <v>833.2</v>
      </c>
      <c r="N2555" s="573">
        <v>9.41</v>
      </c>
      <c r="O2555" s="556" t="str">
        <f>IF(N2555=M2555,"OK","DIF")</f>
        <v>DIF</v>
      </c>
      <c r="P2555" s="573"/>
      <c r="Q2555" s="556"/>
      <c r="R2555" s="582"/>
    </row>
    <row r="2556" ht="23.85" customHeight="1" spans="1:18">
      <c r="A2556" s="556">
        <f>B2556</f>
        <v>0</v>
      </c>
      <c r="B2556" s="557">
        <f>B2555</f>
        <v>0</v>
      </c>
      <c r="C2556" s="100" t="s">
        <v>2893</v>
      </c>
      <c r="D2556" s="99" t="s">
        <v>3806</v>
      </c>
      <c r="E2556" s="100" t="s">
        <v>139</v>
      </c>
      <c r="F2556" s="100" t="s">
        <v>3807</v>
      </c>
      <c r="G2556" s="100" t="s">
        <v>2961</v>
      </c>
      <c r="H2556" s="100"/>
      <c r="I2556" s="101" t="s">
        <v>134</v>
      </c>
      <c r="J2556" s="580">
        <v>1</v>
      </c>
      <c r="K2556" s="580">
        <v>0</v>
      </c>
      <c r="L2556" s="102">
        <v>10.38</v>
      </c>
      <c r="M2556" s="102">
        <v>10.38</v>
      </c>
      <c r="N2556" s="573">
        <v>340.47</v>
      </c>
      <c r="O2556" s="556" t="str">
        <f>IF(N2556=M2556,"OK","DIF")</f>
        <v>DIF</v>
      </c>
      <c r="P2556" s="573"/>
      <c r="Q2556" s="556"/>
      <c r="R2556" s="582"/>
    </row>
    <row r="2557" ht="25.5" spans="1:18">
      <c r="A2557" s="556"/>
      <c r="B2557" s="557"/>
      <c r="C2557" s="108"/>
      <c r="D2557" s="108"/>
      <c r="E2557" s="108"/>
      <c r="F2557" s="108"/>
      <c r="G2557" s="108"/>
      <c r="H2557" s="108" t="s">
        <v>2898</v>
      </c>
      <c r="I2557" s="581">
        <v>40.9</v>
      </c>
      <c r="J2557" s="108" t="s">
        <v>2899</v>
      </c>
      <c r="K2557" s="581">
        <v>0</v>
      </c>
      <c r="L2557" s="108" t="s">
        <v>2900</v>
      </c>
      <c r="M2557" s="581">
        <v>40.9</v>
      </c>
      <c r="N2557" s="573"/>
      <c r="O2557" s="556"/>
      <c r="P2557" s="573"/>
      <c r="Q2557" s="556"/>
      <c r="R2557" s="582"/>
    </row>
    <row r="2558" ht="26.25" spans="1:18">
      <c r="A2558" s="556"/>
      <c r="B2558" s="557"/>
      <c r="C2558" s="108"/>
      <c r="D2558" s="108"/>
      <c r="E2558" s="108"/>
      <c r="F2558" s="108"/>
      <c r="G2558" s="108"/>
      <c r="H2558" s="108" t="s">
        <v>2901</v>
      </c>
      <c r="I2558" s="581">
        <v>215.02</v>
      </c>
      <c r="J2558" s="114"/>
      <c r="K2558" s="114" t="s">
        <v>2902</v>
      </c>
      <c r="L2558" s="108"/>
      <c r="M2558" s="581">
        <v>1058.6</v>
      </c>
      <c r="N2558" s="573"/>
      <c r="O2558" s="556"/>
      <c r="P2558" s="573"/>
      <c r="Q2558" s="556"/>
      <c r="R2558" s="582"/>
    </row>
    <row r="2559" ht="15" spans="1:18">
      <c r="A2559" s="556"/>
      <c r="B2559" s="557">
        <f>C2558</f>
        <v>0</v>
      </c>
      <c r="C2559" s="571"/>
      <c r="D2559" s="571"/>
      <c r="E2559" s="571"/>
      <c r="F2559" s="571"/>
      <c r="G2559" s="571"/>
      <c r="H2559" s="571"/>
      <c r="I2559" s="571"/>
      <c r="J2559" s="571"/>
      <c r="K2559" s="571"/>
      <c r="L2559" s="571"/>
      <c r="M2559" s="571"/>
      <c r="N2559" s="573">
        <v>34.92</v>
      </c>
      <c r="O2559" s="556" t="str">
        <f>IF(N2559=M2559,"OK","DIF")</f>
        <v>DIF</v>
      </c>
      <c r="P2559" s="573"/>
      <c r="Q2559" s="556"/>
      <c r="R2559" s="582"/>
    </row>
    <row r="2560" ht="15" customHeight="1" spans="1:18">
      <c r="A2560" s="556">
        <f>B2560</f>
        <v>0</v>
      </c>
      <c r="B2560" s="557">
        <f>B2559</f>
        <v>0</v>
      </c>
      <c r="C2560" s="76" t="s">
        <v>895</v>
      </c>
      <c r="D2560" s="75" t="s">
        <v>63</v>
      </c>
      <c r="E2560" s="76" t="s">
        <v>64</v>
      </c>
      <c r="F2560" s="76" t="s">
        <v>65</v>
      </c>
      <c r="G2560" s="76" t="s">
        <v>2889</v>
      </c>
      <c r="H2560" s="76"/>
      <c r="I2560" s="77" t="s">
        <v>66</v>
      </c>
      <c r="J2560" s="75" t="s">
        <v>67</v>
      </c>
      <c r="K2560" s="75" t="s">
        <v>2890</v>
      </c>
      <c r="L2560" s="75" t="s">
        <v>68</v>
      </c>
      <c r="M2560" s="75" t="s">
        <v>70</v>
      </c>
      <c r="N2560" s="573">
        <v>6.96</v>
      </c>
      <c r="O2560" s="556" t="str">
        <f>IF(N2560=M2560,"OK","DIF")</f>
        <v>DIF</v>
      </c>
      <c r="P2560" s="573"/>
      <c r="Q2560" s="556"/>
      <c r="R2560" s="582"/>
    </row>
    <row r="2561" ht="23.85" customHeight="1" spans="1:18">
      <c r="A2561" s="556">
        <f>B2561</f>
        <v>0</v>
      </c>
      <c r="B2561" s="557">
        <f>B2560</f>
        <v>0</v>
      </c>
      <c r="C2561" s="569" t="s">
        <v>2891</v>
      </c>
      <c r="D2561" s="570" t="s">
        <v>896</v>
      </c>
      <c r="E2561" s="569" t="s">
        <v>139</v>
      </c>
      <c r="F2561" s="569" t="s">
        <v>897</v>
      </c>
      <c r="G2561" s="569" t="s">
        <v>3516</v>
      </c>
      <c r="H2561" s="569"/>
      <c r="I2561" s="577" t="s">
        <v>134</v>
      </c>
      <c r="J2561" s="578">
        <v>1</v>
      </c>
      <c r="K2561" s="579"/>
      <c r="L2561" s="579">
        <v>45.37</v>
      </c>
      <c r="M2561" s="579">
        <v>45.37</v>
      </c>
      <c r="N2561" s="573">
        <v>8.43</v>
      </c>
      <c r="O2561" s="556" t="str">
        <f>IF(N2561=M2561,"OK","DIF")</f>
        <v>DIF</v>
      </c>
      <c r="P2561" s="573"/>
      <c r="Q2561" s="556"/>
      <c r="R2561" s="582"/>
    </row>
    <row r="2562" ht="23.85" customHeight="1" spans="1:18">
      <c r="A2562" s="556">
        <f>B2562</f>
        <v>0</v>
      </c>
      <c r="B2562" s="557">
        <f>B2561</f>
        <v>0</v>
      </c>
      <c r="C2562" s="79" t="s">
        <v>2921</v>
      </c>
      <c r="D2562" s="78" t="s">
        <v>2952</v>
      </c>
      <c r="E2562" s="79" t="s">
        <v>139</v>
      </c>
      <c r="F2562" s="79" t="s">
        <v>2953</v>
      </c>
      <c r="G2562" s="79" t="s">
        <v>2928</v>
      </c>
      <c r="H2562" s="79"/>
      <c r="I2562" s="80" t="s">
        <v>2897</v>
      </c>
      <c r="J2562" s="583">
        <v>0.0484</v>
      </c>
      <c r="K2562" s="583">
        <v>0</v>
      </c>
      <c r="L2562" s="92">
        <v>29.15</v>
      </c>
      <c r="M2562" s="92">
        <v>1.41</v>
      </c>
      <c r="N2562" s="573">
        <v>0.62</v>
      </c>
      <c r="O2562" s="556" t="str">
        <f>IF(N2562=M2562,"OK","DIF")</f>
        <v>DIF</v>
      </c>
      <c r="P2562" s="573"/>
      <c r="Q2562" s="556"/>
      <c r="R2562" s="582"/>
    </row>
    <row r="2563" ht="23.85" customHeight="1" spans="1:18">
      <c r="A2563" s="556">
        <f>B2563</f>
        <v>0</v>
      </c>
      <c r="B2563" s="557">
        <f>B2562</f>
        <v>0</v>
      </c>
      <c r="C2563" s="79" t="s">
        <v>2921</v>
      </c>
      <c r="D2563" s="78" t="s">
        <v>3144</v>
      </c>
      <c r="E2563" s="79" t="s">
        <v>139</v>
      </c>
      <c r="F2563" s="79" t="s">
        <v>3145</v>
      </c>
      <c r="G2563" s="79" t="s">
        <v>2928</v>
      </c>
      <c r="H2563" s="79"/>
      <c r="I2563" s="80" t="s">
        <v>2897</v>
      </c>
      <c r="J2563" s="583">
        <v>0.1536</v>
      </c>
      <c r="K2563" s="583">
        <v>0</v>
      </c>
      <c r="L2563" s="92">
        <v>35.55</v>
      </c>
      <c r="M2563" s="92">
        <v>5.46</v>
      </c>
      <c r="N2563" s="573">
        <v>18.91</v>
      </c>
      <c r="O2563" s="556" t="str">
        <f>IF(N2563=M2563,"OK","DIF")</f>
        <v>DIF</v>
      </c>
      <c r="P2563" s="573"/>
      <c r="Q2563" s="556"/>
      <c r="R2563" s="582"/>
    </row>
    <row r="2564" ht="15" customHeight="1" spans="1:18">
      <c r="A2564" s="556"/>
      <c r="B2564" s="557"/>
      <c r="C2564" s="100" t="s">
        <v>2893</v>
      </c>
      <c r="D2564" s="99" t="s">
        <v>3808</v>
      </c>
      <c r="E2564" s="100" t="s">
        <v>139</v>
      </c>
      <c r="F2564" s="100" t="s">
        <v>3809</v>
      </c>
      <c r="G2564" s="100" t="s">
        <v>2961</v>
      </c>
      <c r="H2564" s="100"/>
      <c r="I2564" s="101" t="s">
        <v>134</v>
      </c>
      <c r="J2564" s="580">
        <v>1</v>
      </c>
      <c r="K2564" s="580">
        <v>0</v>
      </c>
      <c r="L2564" s="102">
        <v>38.5</v>
      </c>
      <c r="M2564" s="102">
        <v>38.5</v>
      </c>
      <c r="N2564" s="573"/>
      <c r="O2564" s="556"/>
      <c r="P2564" s="573"/>
      <c r="Q2564" s="556"/>
      <c r="R2564" s="582"/>
    </row>
    <row r="2565" ht="25.5" spans="1:18">
      <c r="A2565" s="556"/>
      <c r="B2565" s="557"/>
      <c r="C2565" s="108"/>
      <c r="D2565" s="108"/>
      <c r="E2565" s="108"/>
      <c r="F2565" s="108"/>
      <c r="G2565" s="108"/>
      <c r="H2565" s="108" t="s">
        <v>2898</v>
      </c>
      <c r="I2565" s="581">
        <v>4.95</v>
      </c>
      <c r="J2565" s="108" t="s">
        <v>2899</v>
      </c>
      <c r="K2565" s="581">
        <v>0</v>
      </c>
      <c r="L2565" s="108" t="s">
        <v>2900</v>
      </c>
      <c r="M2565" s="581">
        <v>4.95</v>
      </c>
      <c r="N2565" s="573"/>
      <c r="O2565" s="556"/>
      <c r="P2565" s="573"/>
      <c r="Q2565" s="556"/>
      <c r="R2565" s="582"/>
    </row>
    <row r="2566" ht="26.25" spans="1:18">
      <c r="A2566" s="556"/>
      <c r="B2566" s="557">
        <f>C2565</f>
        <v>0</v>
      </c>
      <c r="C2566" s="108"/>
      <c r="D2566" s="108"/>
      <c r="E2566" s="108"/>
      <c r="F2566" s="108"/>
      <c r="G2566" s="108"/>
      <c r="H2566" s="108" t="s">
        <v>2901</v>
      </c>
      <c r="I2566" s="581">
        <v>11.56</v>
      </c>
      <c r="J2566" s="114"/>
      <c r="K2566" s="114" t="s">
        <v>2902</v>
      </c>
      <c r="L2566" s="108"/>
      <c r="M2566" s="581">
        <v>56.93</v>
      </c>
      <c r="N2566" s="573">
        <v>10.8</v>
      </c>
      <c r="O2566" s="556" t="str">
        <f>IF(N2566=M2566,"OK","DIF")</f>
        <v>DIF</v>
      </c>
      <c r="P2566" s="573"/>
      <c r="Q2566" s="556"/>
      <c r="R2566" s="582"/>
    </row>
    <row r="2567" ht="15" spans="1:18">
      <c r="A2567" s="556">
        <f>B2567</f>
        <v>0</v>
      </c>
      <c r="B2567" s="557">
        <f>B2566</f>
        <v>0</v>
      </c>
      <c r="C2567" s="571"/>
      <c r="D2567" s="571"/>
      <c r="E2567" s="571"/>
      <c r="F2567" s="571"/>
      <c r="G2567" s="571"/>
      <c r="H2567" s="571"/>
      <c r="I2567" s="571"/>
      <c r="J2567" s="571"/>
      <c r="K2567" s="571"/>
      <c r="L2567" s="571"/>
      <c r="M2567" s="571"/>
      <c r="N2567" s="573">
        <v>1.2</v>
      </c>
      <c r="O2567" s="556" t="str">
        <f>IF(N2567=M2567,"OK","DIF")</f>
        <v>DIF</v>
      </c>
      <c r="P2567" s="573"/>
      <c r="Q2567" s="556"/>
      <c r="R2567" s="582"/>
    </row>
    <row r="2568" ht="15" customHeight="1" spans="1:18">
      <c r="A2568" s="556">
        <f>B2568</f>
        <v>0</v>
      </c>
      <c r="B2568" s="557">
        <f>B2567</f>
        <v>0</v>
      </c>
      <c r="C2568" s="76" t="s">
        <v>898</v>
      </c>
      <c r="D2568" s="75" t="s">
        <v>63</v>
      </c>
      <c r="E2568" s="76" t="s">
        <v>64</v>
      </c>
      <c r="F2568" s="76" t="s">
        <v>65</v>
      </c>
      <c r="G2568" s="76" t="s">
        <v>2889</v>
      </c>
      <c r="H2568" s="76"/>
      <c r="I2568" s="77" t="s">
        <v>66</v>
      </c>
      <c r="J2568" s="75" t="s">
        <v>67</v>
      </c>
      <c r="K2568" s="75" t="s">
        <v>2890</v>
      </c>
      <c r="L2568" s="75" t="s">
        <v>68</v>
      </c>
      <c r="M2568" s="75" t="s">
        <v>70</v>
      </c>
      <c r="N2568" s="573">
        <v>6.43</v>
      </c>
      <c r="O2568" s="556" t="str">
        <f>IF(N2568=M2568,"OK","DIF")</f>
        <v>DIF</v>
      </c>
      <c r="P2568" s="573"/>
      <c r="Q2568" s="556"/>
      <c r="R2568" s="582"/>
    </row>
    <row r="2569" ht="15" customHeight="1" spans="1:18">
      <c r="A2569" s="556">
        <f>B2569</f>
        <v>0</v>
      </c>
      <c r="B2569" s="557">
        <f>B2568</f>
        <v>0</v>
      </c>
      <c r="C2569" s="569" t="s">
        <v>2891</v>
      </c>
      <c r="D2569" s="570" t="s">
        <v>899</v>
      </c>
      <c r="E2569" s="569" t="s">
        <v>149</v>
      </c>
      <c r="F2569" s="569" t="s">
        <v>900</v>
      </c>
      <c r="G2569" s="569" t="s">
        <v>3810</v>
      </c>
      <c r="H2569" s="569"/>
      <c r="I2569" s="577" t="s">
        <v>134</v>
      </c>
      <c r="J2569" s="578">
        <v>1</v>
      </c>
      <c r="K2569" s="579"/>
      <c r="L2569" s="579">
        <v>657.16</v>
      </c>
      <c r="M2569" s="579">
        <v>657.16</v>
      </c>
      <c r="N2569" s="573">
        <v>3.17</v>
      </c>
      <c r="O2569" s="556" t="str">
        <f>IF(N2569=M2569,"OK","DIF")</f>
        <v>DIF</v>
      </c>
      <c r="P2569" s="573"/>
      <c r="Q2569" s="556"/>
      <c r="R2569" s="582"/>
    </row>
    <row r="2570" ht="15" customHeight="1" spans="1:18">
      <c r="A2570" s="556"/>
      <c r="B2570" s="557"/>
      <c r="C2570" s="100" t="s">
        <v>2893</v>
      </c>
      <c r="D2570" s="99" t="s">
        <v>2976</v>
      </c>
      <c r="E2570" s="100" t="s">
        <v>149</v>
      </c>
      <c r="F2570" s="100" t="s">
        <v>2977</v>
      </c>
      <c r="G2570" s="100" t="s">
        <v>2896</v>
      </c>
      <c r="H2570" s="100"/>
      <c r="I2570" s="101" t="s">
        <v>2897</v>
      </c>
      <c r="J2570" s="580">
        <v>1.237</v>
      </c>
      <c r="K2570" s="580">
        <v>0</v>
      </c>
      <c r="L2570" s="102">
        <v>20.515752</v>
      </c>
      <c r="M2570" s="102">
        <v>25.37</v>
      </c>
      <c r="N2570" s="573"/>
      <c r="O2570" s="556"/>
      <c r="P2570" s="573"/>
      <c r="Q2570" s="556"/>
      <c r="R2570" s="582"/>
    </row>
    <row r="2571" ht="15" customHeight="1" spans="1:18">
      <c r="A2571" s="556"/>
      <c r="B2571" s="557"/>
      <c r="C2571" s="100" t="s">
        <v>2893</v>
      </c>
      <c r="D2571" s="99" t="s">
        <v>3662</v>
      </c>
      <c r="E2571" s="100" t="s">
        <v>149</v>
      </c>
      <c r="F2571" s="100" t="s">
        <v>3663</v>
      </c>
      <c r="G2571" s="100" t="s">
        <v>2961</v>
      </c>
      <c r="H2571" s="100"/>
      <c r="I2571" s="101" t="s">
        <v>204</v>
      </c>
      <c r="J2571" s="580">
        <v>1.9</v>
      </c>
      <c r="K2571" s="580">
        <v>0</v>
      </c>
      <c r="L2571" s="102">
        <v>0.35</v>
      </c>
      <c r="M2571" s="102">
        <v>0.66</v>
      </c>
      <c r="N2571" s="573"/>
      <c r="O2571" s="556"/>
      <c r="P2571" s="573"/>
      <c r="Q2571" s="556"/>
      <c r="R2571" s="582"/>
    </row>
    <row r="2572" ht="15" customHeight="1" spans="1:18">
      <c r="A2572" s="556"/>
      <c r="B2572" s="557" t="str">
        <f>C2571</f>
        <v>Insumo</v>
      </c>
      <c r="C2572" s="100" t="s">
        <v>2893</v>
      </c>
      <c r="D2572" s="99" t="s">
        <v>2988</v>
      </c>
      <c r="E2572" s="100" t="s">
        <v>149</v>
      </c>
      <c r="F2572" s="100" t="s">
        <v>2989</v>
      </c>
      <c r="G2572" s="100" t="s">
        <v>2896</v>
      </c>
      <c r="H2572" s="100"/>
      <c r="I2572" s="101" t="s">
        <v>2897</v>
      </c>
      <c r="J2572" s="580">
        <v>1.237</v>
      </c>
      <c r="K2572" s="580">
        <v>0</v>
      </c>
      <c r="L2572" s="102">
        <v>26.928256</v>
      </c>
      <c r="M2572" s="102">
        <v>33.31</v>
      </c>
      <c r="N2572" s="573">
        <v>11.03</v>
      </c>
      <c r="O2572" s="556" t="str">
        <f>IF(N2572=M2572,"OK","DIF")</f>
        <v>DIF</v>
      </c>
      <c r="P2572" s="573"/>
      <c r="Q2572" s="556"/>
      <c r="R2572" s="582"/>
    </row>
    <row r="2573" ht="15" customHeight="1" spans="1:18">
      <c r="A2573" s="556" t="str">
        <f>B2573</f>
        <v>Insumo</v>
      </c>
      <c r="B2573" s="557" t="str">
        <f>B2572</f>
        <v>Insumo</v>
      </c>
      <c r="C2573" s="100" t="s">
        <v>2893</v>
      </c>
      <c r="D2573" s="99" t="s">
        <v>3811</v>
      </c>
      <c r="E2573" s="100" t="s">
        <v>149</v>
      </c>
      <c r="F2573" s="100" t="s">
        <v>900</v>
      </c>
      <c r="G2573" s="100" t="s">
        <v>2961</v>
      </c>
      <c r="H2573" s="100"/>
      <c r="I2573" s="101" t="s">
        <v>134</v>
      </c>
      <c r="J2573" s="580">
        <v>1</v>
      </c>
      <c r="K2573" s="580">
        <v>0</v>
      </c>
      <c r="L2573" s="102">
        <v>597.82</v>
      </c>
      <c r="M2573" s="102">
        <v>597.82</v>
      </c>
      <c r="N2573" s="573">
        <v>6.43</v>
      </c>
      <c r="O2573" s="556" t="str">
        <f>IF(N2573=M2573,"OK","DIF")</f>
        <v>DIF</v>
      </c>
      <c r="P2573" s="573"/>
      <c r="Q2573" s="556"/>
      <c r="R2573" s="582"/>
    </row>
    <row r="2574" ht="25.5" spans="1:18">
      <c r="A2574" s="556" t="str">
        <f>B2574</f>
        <v>Insumo</v>
      </c>
      <c r="B2574" s="557" t="str">
        <f>B2573</f>
        <v>Insumo</v>
      </c>
      <c r="C2574" s="108"/>
      <c r="D2574" s="108"/>
      <c r="E2574" s="108"/>
      <c r="F2574" s="108"/>
      <c r="G2574" s="108"/>
      <c r="H2574" s="108" t="s">
        <v>2898</v>
      </c>
      <c r="I2574" s="581">
        <v>58.68</v>
      </c>
      <c r="J2574" s="108" t="s">
        <v>2899</v>
      </c>
      <c r="K2574" s="581">
        <v>0</v>
      </c>
      <c r="L2574" s="108" t="s">
        <v>2900</v>
      </c>
      <c r="M2574" s="581">
        <v>58.68</v>
      </c>
      <c r="N2574" s="573">
        <v>1.2</v>
      </c>
      <c r="O2574" s="556" t="str">
        <f>IF(N2574=M2574,"OK","DIF")</f>
        <v>DIF</v>
      </c>
      <c r="P2574" s="573"/>
      <c r="Q2574" s="556"/>
      <c r="R2574" s="582"/>
    </row>
    <row r="2575" ht="26.25" spans="1:18">
      <c r="A2575" s="556" t="str">
        <f>B2575</f>
        <v>Insumo</v>
      </c>
      <c r="B2575" s="557" t="str">
        <f>B2574</f>
        <v>Insumo</v>
      </c>
      <c r="C2575" s="108"/>
      <c r="D2575" s="108"/>
      <c r="E2575" s="108"/>
      <c r="F2575" s="108"/>
      <c r="G2575" s="108"/>
      <c r="H2575" s="108" t="s">
        <v>2901</v>
      </c>
      <c r="I2575" s="581">
        <v>167.51</v>
      </c>
      <c r="J2575" s="114"/>
      <c r="K2575" s="114" t="s">
        <v>2902</v>
      </c>
      <c r="L2575" s="108"/>
      <c r="M2575" s="581">
        <v>824.67</v>
      </c>
      <c r="N2575" s="573">
        <v>3.4</v>
      </c>
      <c r="O2575" s="556" t="str">
        <f>IF(N2575=M2575,"OK","DIF")</f>
        <v>DIF</v>
      </c>
      <c r="P2575" s="573"/>
      <c r="Q2575" s="556"/>
      <c r="R2575" s="582"/>
    </row>
    <row r="2576" ht="15" spans="1:18">
      <c r="A2576" s="556"/>
      <c r="B2576" s="557"/>
      <c r="C2576" s="571"/>
      <c r="D2576" s="571"/>
      <c r="E2576" s="571"/>
      <c r="F2576" s="571"/>
      <c r="G2576" s="571"/>
      <c r="H2576" s="571"/>
      <c r="I2576" s="571"/>
      <c r="J2576" s="571"/>
      <c r="K2576" s="571"/>
      <c r="L2576" s="571"/>
      <c r="M2576" s="571"/>
      <c r="N2576" s="573"/>
      <c r="O2576" s="556"/>
      <c r="P2576" s="573"/>
      <c r="Q2576" s="556"/>
      <c r="R2576" s="582"/>
    </row>
    <row r="2577" ht="15" customHeight="1" spans="1:18">
      <c r="A2577" s="556"/>
      <c r="B2577" s="557"/>
      <c r="C2577" s="76" t="s">
        <v>901</v>
      </c>
      <c r="D2577" s="75" t="s">
        <v>63</v>
      </c>
      <c r="E2577" s="76" t="s">
        <v>64</v>
      </c>
      <c r="F2577" s="76" t="s">
        <v>65</v>
      </c>
      <c r="G2577" s="76" t="s">
        <v>2889</v>
      </c>
      <c r="H2577" s="76"/>
      <c r="I2577" s="77" t="s">
        <v>66</v>
      </c>
      <c r="J2577" s="75" t="s">
        <v>67</v>
      </c>
      <c r="K2577" s="75" t="s">
        <v>2890</v>
      </c>
      <c r="L2577" s="75" t="s">
        <v>68</v>
      </c>
      <c r="M2577" s="75" t="s">
        <v>70</v>
      </c>
      <c r="N2577" s="573"/>
      <c r="O2577" s="556"/>
      <c r="P2577" s="573"/>
      <c r="Q2577" s="556"/>
      <c r="R2577" s="582"/>
    </row>
    <row r="2578" ht="35.05" customHeight="1" spans="1:18">
      <c r="A2578" s="556"/>
      <c r="B2578" s="557" t="str">
        <f>C2577</f>
        <v> 11.3.6 </v>
      </c>
      <c r="C2578" s="569" t="s">
        <v>2891</v>
      </c>
      <c r="D2578" s="570" t="s">
        <v>902</v>
      </c>
      <c r="E2578" s="569" t="s">
        <v>132</v>
      </c>
      <c r="F2578" s="569" t="s">
        <v>903</v>
      </c>
      <c r="G2578" s="569" t="s">
        <v>3129</v>
      </c>
      <c r="H2578" s="569"/>
      <c r="I2578" s="577" t="s">
        <v>134</v>
      </c>
      <c r="J2578" s="578">
        <v>1</v>
      </c>
      <c r="K2578" s="579"/>
      <c r="L2578" s="579">
        <v>373.74</v>
      </c>
      <c r="M2578" s="579">
        <v>373.74</v>
      </c>
      <c r="N2578" s="573">
        <v>13.69</v>
      </c>
      <c r="O2578" s="556" t="str">
        <f>IF(N2578=M2578,"OK","DIF")</f>
        <v>DIF</v>
      </c>
      <c r="P2578" s="573"/>
      <c r="Q2578" s="556"/>
      <c r="R2578" s="582"/>
    </row>
    <row r="2579" ht="23.85" customHeight="1" spans="1:18">
      <c r="A2579" s="556" t="str">
        <f>B2579</f>
        <v> 11.3.6 </v>
      </c>
      <c r="B2579" s="557" t="str">
        <f>B2578</f>
        <v> 11.3.6 </v>
      </c>
      <c r="C2579" s="79" t="s">
        <v>2921</v>
      </c>
      <c r="D2579" s="78" t="s">
        <v>3146</v>
      </c>
      <c r="E2579" s="79" t="s">
        <v>139</v>
      </c>
      <c r="F2579" s="79" t="s">
        <v>3147</v>
      </c>
      <c r="G2579" s="79" t="s">
        <v>2928</v>
      </c>
      <c r="H2579" s="79"/>
      <c r="I2579" s="80" t="s">
        <v>2897</v>
      </c>
      <c r="J2579" s="583">
        <v>1.237</v>
      </c>
      <c r="K2579" s="583">
        <v>0</v>
      </c>
      <c r="L2579" s="92">
        <v>29.54</v>
      </c>
      <c r="M2579" s="92">
        <v>36.54</v>
      </c>
      <c r="N2579" s="573">
        <v>6.43</v>
      </c>
      <c r="O2579" s="556" t="str">
        <f>IF(N2579=M2579,"OK","DIF")</f>
        <v>DIF</v>
      </c>
      <c r="P2579" s="573"/>
      <c r="Q2579" s="556"/>
      <c r="R2579" s="582"/>
    </row>
    <row r="2580" ht="23.85" customHeight="1" spans="1:18">
      <c r="A2580" s="556" t="str">
        <f>B2580</f>
        <v> 11.3.6 </v>
      </c>
      <c r="B2580" s="557" t="str">
        <f>B2579</f>
        <v> 11.3.6 </v>
      </c>
      <c r="C2580" s="79" t="s">
        <v>2921</v>
      </c>
      <c r="D2580" s="78" t="s">
        <v>3144</v>
      </c>
      <c r="E2580" s="79" t="s">
        <v>139</v>
      </c>
      <c r="F2580" s="79" t="s">
        <v>3145</v>
      </c>
      <c r="G2580" s="79" t="s">
        <v>2928</v>
      </c>
      <c r="H2580" s="79"/>
      <c r="I2580" s="80" t="s">
        <v>2897</v>
      </c>
      <c r="J2580" s="583">
        <v>1.237</v>
      </c>
      <c r="K2580" s="583">
        <v>0</v>
      </c>
      <c r="L2580" s="92">
        <v>35.55</v>
      </c>
      <c r="M2580" s="92">
        <v>43.97</v>
      </c>
      <c r="N2580" s="573">
        <v>1.2</v>
      </c>
      <c r="O2580" s="556" t="str">
        <f>IF(N2580=M2580,"OK","DIF")</f>
        <v>DIF</v>
      </c>
      <c r="P2580" s="573"/>
      <c r="Q2580" s="556"/>
      <c r="R2580" s="582"/>
    </row>
    <row r="2581" ht="15" customHeight="1" spans="1:18">
      <c r="A2581" s="556" t="str">
        <f>B2581</f>
        <v> 11.3.6 </v>
      </c>
      <c r="B2581" s="557" t="str">
        <f>B2580</f>
        <v> 11.3.6 </v>
      </c>
      <c r="C2581" s="100" t="s">
        <v>2893</v>
      </c>
      <c r="D2581" s="99" t="s">
        <v>3662</v>
      </c>
      <c r="E2581" s="100" t="s">
        <v>149</v>
      </c>
      <c r="F2581" s="100" t="s">
        <v>3663</v>
      </c>
      <c r="G2581" s="100" t="s">
        <v>2961</v>
      </c>
      <c r="H2581" s="100"/>
      <c r="I2581" s="101" t="s">
        <v>204</v>
      </c>
      <c r="J2581" s="580">
        <v>1.9</v>
      </c>
      <c r="K2581" s="580">
        <v>0</v>
      </c>
      <c r="L2581" s="102">
        <v>0.35</v>
      </c>
      <c r="M2581" s="102">
        <v>0.66</v>
      </c>
      <c r="N2581" s="573">
        <v>6.06</v>
      </c>
      <c r="O2581" s="556" t="str">
        <f>IF(N2581=M2581,"OK","DIF")</f>
        <v>DIF</v>
      </c>
      <c r="P2581" s="573"/>
      <c r="Q2581" s="556"/>
      <c r="R2581" s="582"/>
    </row>
    <row r="2582" ht="25.5" spans="1:18">
      <c r="A2582" s="556"/>
      <c r="B2582" s="557"/>
      <c r="C2582" s="100" t="s">
        <v>2893</v>
      </c>
      <c r="D2582" s="99" t="s">
        <v>3812</v>
      </c>
      <c r="E2582" s="100" t="s">
        <v>77</v>
      </c>
      <c r="F2582" s="100" t="s">
        <v>3813</v>
      </c>
      <c r="G2582" s="100">
        <v>0</v>
      </c>
      <c r="H2582" s="100"/>
      <c r="I2582" s="101" t="s">
        <v>134</v>
      </c>
      <c r="J2582" s="580">
        <v>1</v>
      </c>
      <c r="K2582" s="580">
        <v>0</v>
      </c>
      <c r="L2582" s="102">
        <v>292.57</v>
      </c>
      <c r="M2582" s="102">
        <v>292.57</v>
      </c>
      <c r="N2582" s="573"/>
      <c r="O2582" s="556"/>
      <c r="P2582" s="573"/>
      <c r="Q2582" s="556"/>
      <c r="R2582" s="582"/>
    </row>
    <row r="2583" ht="25.5" spans="1:18">
      <c r="A2583" s="556"/>
      <c r="B2583" s="557"/>
      <c r="C2583" s="108"/>
      <c r="D2583" s="108"/>
      <c r="E2583" s="108"/>
      <c r="F2583" s="108"/>
      <c r="G2583" s="108"/>
      <c r="H2583" s="108" t="s">
        <v>2898</v>
      </c>
      <c r="I2583" s="581">
        <v>57.33</v>
      </c>
      <c r="J2583" s="108" t="s">
        <v>2899</v>
      </c>
      <c r="K2583" s="581">
        <v>0</v>
      </c>
      <c r="L2583" s="108" t="s">
        <v>2900</v>
      </c>
      <c r="M2583" s="581">
        <v>57.33</v>
      </c>
      <c r="N2583" s="573"/>
      <c r="O2583" s="556"/>
      <c r="P2583" s="573"/>
      <c r="Q2583" s="556"/>
      <c r="R2583" s="582"/>
    </row>
    <row r="2584" ht="26.25" spans="1:18">
      <c r="A2584" s="556"/>
      <c r="B2584" s="557">
        <f>C2583</f>
        <v>0</v>
      </c>
      <c r="C2584" s="108"/>
      <c r="D2584" s="108"/>
      <c r="E2584" s="108"/>
      <c r="F2584" s="108"/>
      <c r="G2584" s="108"/>
      <c r="H2584" s="108" t="s">
        <v>2901</v>
      </c>
      <c r="I2584" s="581">
        <v>95.26</v>
      </c>
      <c r="J2584" s="114"/>
      <c r="K2584" s="114" t="s">
        <v>2902</v>
      </c>
      <c r="L2584" s="108"/>
      <c r="M2584" s="581">
        <v>469</v>
      </c>
      <c r="N2584" s="573">
        <v>13.99</v>
      </c>
      <c r="O2584" s="556" t="str">
        <f>IF(N2584=M2584,"OK","DIF")</f>
        <v>DIF</v>
      </c>
      <c r="P2584" s="573"/>
      <c r="Q2584" s="556"/>
      <c r="R2584" s="582"/>
    </row>
    <row r="2585" ht="15" spans="1:18">
      <c r="A2585" s="556">
        <f>B2585</f>
        <v>0</v>
      </c>
      <c r="B2585" s="557">
        <f>B2584</f>
        <v>0</v>
      </c>
      <c r="C2585" s="571"/>
      <c r="D2585" s="571"/>
      <c r="E2585" s="571"/>
      <c r="F2585" s="571"/>
      <c r="G2585" s="571"/>
      <c r="H2585" s="571"/>
      <c r="I2585" s="571"/>
      <c r="J2585" s="571"/>
      <c r="K2585" s="571"/>
      <c r="L2585" s="571"/>
      <c r="M2585" s="571"/>
      <c r="N2585" s="573">
        <v>6.43</v>
      </c>
      <c r="O2585" s="556" t="str">
        <f>IF(N2585=M2585,"OK","DIF")</f>
        <v>DIF</v>
      </c>
      <c r="P2585" s="573"/>
      <c r="Q2585" s="556"/>
      <c r="R2585" s="582"/>
    </row>
    <row r="2586" ht="15" customHeight="1" spans="1:18">
      <c r="A2586" s="556">
        <f>B2586</f>
        <v>0</v>
      </c>
      <c r="B2586" s="557">
        <f>B2585</f>
        <v>0</v>
      </c>
      <c r="C2586" s="76" t="s">
        <v>904</v>
      </c>
      <c r="D2586" s="75" t="s">
        <v>63</v>
      </c>
      <c r="E2586" s="76" t="s">
        <v>64</v>
      </c>
      <c r="F2586" s="76" t="s">
        <v>65</v>
      </c>
      <c r="G2586" s="76" t="s">
        <v>2889</v>
      </c>
      <c r="H2586" s="76"/>
      <c r="I2586" s="77" t="s">
        <v>66</v>
      </c>
      <c r="J2586" s="75" t="s">
        <v>67</v>
      </c>
      <c r="K2586" s="75" t="s">
        <v>2890</v>
      </c>
      <c r="L2586" s="75" t="s">
        <v>68</v>
      </c>
      <c r="M2586" s="75" t="s">
        <v>70</v>
      </c>
      <c r="N2586" s="573">
        <v>1.2</v>
      </c>
      <c r="O2586" s="556" t="str">
        <f>IF(N2586=M2586,"OK","DIF")</f>
        <v>DIF</v>
      </c>
      <c r="P2586" s="573"/>
      <c r="Q2586" s="556"/>
      <c r="R2586" s="582"/>
    </row>
    <row r="2587" ht="23.85" customHeight="1" spans="1:18">
      <c r="A2587" s="556">
        <f>B2587</f>
        <v>0</v>
      </c>
      <c r="B2587" s="557">
        <f>B2586</f>
        <v>0</v>
      </c>
      <c r="C2587" s="569" t="s">
        <v>2891</v>
      </c>
      <c r="D2587" s="570" t="s">
        <v>905</v>
      </c>
      <c r="E2587" s="569" t="s">
        <v>139</v>
      </c>
      <c r="F2587" s="569" t="s">
        <v>906</v>
      </c>
      <c r="G2587" s="569" t="s">
        <v>3516</v>
      </c>
      <c r="H2587" s="569"/>
      <c r="I2587" s="577" t="s">
        <v>134</v>
      </c>
      <c r="J2587" s="578">
        <v>1</v>
      </c>
      <c r="K2587" s="579"/>
      <c r="L2587" s="579">
        <v>157.49</v>
      </c>
      <c r="M2587" s="579">
        <v>157.49</v>
      </c>
      <c r="N2587" s="573">
        <v>6.36</v>
      </c>
      <c r="O2587" s="556" t="str">
        <f>IF(N2587=M2587,"OK","DIF")</f>
        <v>DIF</v>
      </c>
      <c r="P2587" s="573"/>
      <c r="Q2587" s="556"/>
      <c r="R2587" s="582"/>
    </row>
    <row r="2588" ht="23.85" customHeight="1" spans="1:18">
      <c r="A2588" s="556"/>
      <c r="B2588" s="557"/>
      <c r="C2588" s="79" t="s">
        <v>2921</v>
      </c>
      <c r="D2588" s="78" t="s">
        <v>3480</v>
      </c>
      <c r="E2588" s="79" t="s">
        <v>139</v>
      </c>
      <c r="F2588" s="79" t="s">
        <v>3481</v>
      </c>
      <c r="G2588" s="79" t="s">
        <v>2928</v>
      </c>
      <c r="H2588" s="79"/>
      <c r="I2588" s="80" t="s">
        <v>2897</v>
      </c>
      <c r="J2588" s="583">
        <v>0.8458</v>
      </c>
      <c r="K2588" s="583">
        <v>0</v>
      </c>
      <c r="L2588" s="92">
        <v>30.79</v>
      </c>
      <c r="M2588" s="92">
        <v>26.04</v>
      </c>
      <c r="N2588" s="573"/>
      <c r="O2588" s="556"/>
      <c r="P2588" s="573"/>
      <c r="Q2588" s="556"/>
      <c r="R2588" s="582"/>
    </row>
    <row r="2589" ht="23.85" customHeight="1" spans="1:18">
      <c r="A2589" s="556"/>
      <c r="B2589" s="557"/>
      <c r="C2589" s="79" t="s">
        <v>2921</v>
      </c>
      <c r="D2589" s="78" t="s">
        <v>2952</v>
      </c>
      <c r="E2589" s="79" t="s">
        <v>139</v>
      </c>
      <c r="F2589" s="79" t="s">
        <v>2953</v>
      </c>
      <c r="G2589" s="79" t="s">
        <v>2928</v>
      </c>
      <c r="H2589" s="79"/>
      <c r="I2589" s="80" t="s">
        <v>2897</v>
      </c>
      <c r="J2589" s="583">
        <v>0.2665</v>
      </c>
      <c r="K2589" s="583">
        <v>0</v>
      </c>
      <c r="L2589" s="92">
        <v>29.15</v>
      </c>
      <c r="M2589" s="92">
        <v>7.76</v>
      </c>
      <c r="N2589" s="573"/>
      <c r="O2589" s="556"/>
      <c r="P2589" s="573"/>
      <c r="Q2589" s="556"/>
      <c r="R2589" s="582"/>
    </row>
    <row r="2590" ht="23.85" customHeight="1" spans="1:18">
      <c r="A2590" s="556"/>
      <c r="B2590" s="557" t="str">
        <f>C2589</f>
        <v>Composição Auxiliar</v>
      </c>
      <c r="C2590" s="100" t="s">
        <v>2893</v>
      </c>
      <c r="D2590" s="99" t="s">
        <v>3814</v>
      </c>
      <c r="E2590" s="100" t="s">
        <v>139</v>
      </c>
      <c r="F2590" s="100" t="s">
        <v>3815</v>
      </c>
      <c r="G2590" s="100" t="s">
        <v>2961</v>
      </c>
      <c r="H2590" s="100"/>
      <c r="I2590" s="101" t="s">
        <v>134</v>
      </c>
      <c r="J2590" s="580">
        <v>1</v>
      </c>
      <c r="K2590" s="580">
        <v>0</v>
      </c>
      <c r="L2590" s="102">
        <v>103.5</v>
      </c>
      <c r="M2590" s="102">
        <v>103.5</v>
      </c>
      <c r="N2590" s="573">
        <v>21.95</v>
      </c>
      <c r="O2590" s="556" t="str">
        <f>IF(N2590=M2590,"OK","DIF")</f>
        <v>DIF</v>
      </c>
      <c r="P2590" s="573"/>
      <c r="Q2590" s="556"/>
      <c r="R2590" s="582"/>
    </row>
    <row r="2591" ht="15" customHeight="1" spans="1:18">
      <c r="A2591" s="556" t="str">
        <f>B2591</f>
        <v>Composição Auxiliar</v>
      </c>
      <c r="B2591" s="557" t="str">
        <f>B2590</f>
        <v>Composição Auxiliar</v>
      </c>
      <c r="C2591" s="100" t="s">
        <v>2893</v>
      </c>
      <c r="D2591" s="99" t="s">
        <v>3816</v>
      </c>
      <c r="E2591" s="100" t="s">
        <v>139</v>
      </c>
      <c r="F2591" s="100" t="s">
        <v>3817</v>
      </c>
      <c r="G2591" s="100" t="s">
        <v>2961</v>
      </c>
      <c r="H2591" s="100"/>
      <c r="I2591" s="101" t="s">
        <v>393</v>
      </c>
      <c r="J2591" s="580">
        <v>0.5271</v>
      </c>
      <c r="K2591" s="580">
        <v>0</v>
      </c>
      <c r="L2591" s="102">
        <v>38.31</v>
      </c>
      <c r="M2591" s="102">
        <v>20.19</v>
      </c>
      <c r="N2591" s="573">
        <v>6.43</v>
      </c>
      <c r="O2591" s="556" t="str">
        <f>IF(N2591=M2591,"OK","DIF")</f>
        <v>DIF</v>
      </c>
      <c r="P2591" s="573"/>
      <c r="Q2591" s="556"/>
      <c r="R2591" s="582"/>
    </row>
    <row r="2592" ht="25.5" spans="1:18">
      <c r="A2592" s="556" t="str">
        <f>B2592</f>
        <v>Composição Auxiliar</v>
      </c>
      <c r="B2592" s="557" t="str">
        <f>B2591</f>
        <v>Composição Auxiliar</v>
      </c>
      <c r="C2592" s="108"/>
      <c r="D2592" s="108"/>
      <c r="E2592" s="108"/>
      <c r="F2592" s="108"/>
      <c r="G2592" s="108"/>
      <c r="H2592" s="108" t="s">
        <v>2898</v>
      </c>
      <c r="I2592" s="581">
        <v>22.68</v>
      </c>
      <c r="J2592" s="108" t="s">
        <v>2899</v>
      </c>
      <c r="K2592" s="581">
        <v>0</v>
      </c>
      <c r="L2592" s="108" t="s">
        <v>2900</v>
      </c>
      <c r="M2592" s="581">
        <v>22.68</v>
      </c>
      <c r="N2592" s="573">
        <v>1.2</v>
      </c>
      <c r="O2592" s="556" t="str">
        <f>IF(N2592=M2592,"OK","DIF")</f>
        <v>DIF</v>
      </c>
      <c r="P2592" s="573"/>
      <c r="Q2592" s="556"/>
      <c r="R2592" s="582"/>
    </row>
    <row r="2593" ht="26.25" spans="1:18">
      <c r="A2593" s="556" t="str">
        <f>B2593</f>
        <v>Composição Auxiliar</v>
      </c>
      <c r="B2593" s="557" t="str">
        <f>B2592</f>
        <v>Composição Auxiliar</v>
      </c>
      <c r="C2593" s="108"/>
      <c r="D2593" s="108"/>
      <c r="E2593" s="108"/>
      <c r="F2593" s="108"/>
      <c r="G2593" s="108"/>
      <c r="H2593" s="108" t="s">
        <v>2901</v>
      </c>
      <c r="I2593" s="581">
        <v>40.14</v>
      </c>
      <c r="J2593" s="114"/>
      <c r="K2593" s="114" t="s">
        <v>2902</v>
      </c>
      <c r="L2593" s="108"/>
      <c r="M2593" s="581">
        <v>197.63</v>
      </c>
      <c r="N2593" s="573">
        <v>14.32</v>
      </c>
      <c r="O2593" s="556" t="str">
        <f>IF(N2593=M2593,"OK","DIF")</f>
        <v>DIF</v>
      </c>
      <c r="P2593" s="573"/>
      <c r="Q2593" s="556"/>
      <c r="R2593" s="582"/>
    </row>
    <row r="2594" ht="15" spans="1:18">
      <c r="A2594" s="556"/>
      <c r="B2594" s="557"/>
      <c r="C2594" s="571"/>
      <c r="D2594" s="571"/>
      <c r="E2594" s="571"/>
      <c r="F2594" s="571"/>
      <c r="G2594" s="571"/>
      <c r="H2594" s="571"/>
      <c r="I2594" s="571"/>
      <c r="J2594" s="571"/>
      <c r="K2594" s="571"/>
      <c r="L2594" s="571"/>
      <c r="M2594" s="571"/>
      <c r="N2594" s="573"/>
      <c r="O2594" s="556"/>
      <c r="P2594" s="573"/>
      <c r="Q2594" s="556"/>
      <c r="R2594" s="582"/>
    </row>
    <row r="2595" ht="15" customHeight="1" spans="1:18">
      <c r="A2595" s="556"/>
      <c r="B2595" s="557"/>
      <c r="C2595" s="76" t="s">
        <v>907</v>
      </c>
      <c r="D2595" s="75" t="s">
        <v>63</v>
      </c>
      <c r="E2595" s="76" t="s">
        <v>64</v>
      </c>
      <c r="F2595" s="76" t="s">
        <v>65</v>
      </c>
      <c r="G2595" s="76" t="s">
        <v>2889</v>
      </c>
      <c r="H2595" s="76"/>
      <c r="I2595" s="77" t="s">
        <v>66</v>
      </c>
      <c r="J2595" s="75" t="s">
        <v>67</v>
      </c>
      <c r="K2595" s="75" t="s">
        <v>2890</v>
      </c>
      <c r="L2595" s="75" t="s">
        <v>68</v>
      </c>
      <c r="M2595" s="75" t="s">
        <v>70</v>
      </c>
      <c r="N2595" s="573"/>
      <c r="O2595" s="556"/>
      <c r="P2595" s="573"/>
      <c r="Q2595" s="556"/>
      <c r="R2595" s="582"/>
    </row>
    <row r="2596" ht="15" customHeight="1" spans="1:18">
      <c r="A2596" s="556"/>
      <c r="B2596" s="557" t="str">
        <f>C2595</f>
        <v> 11.3.8 </v>
      </c>
      <c r="C2596" s="569" t="s">
        <v>2891</v>
      </c>
      <c r="D2596" s="570" t="s">
        <v>908</v>
      </c>
      <c r="E2596" s="569" t="s">
        <v>149</v>
      </c>
      <c r="F2596" s="569" t="s">
        <v>909</v>
      </c>
      <c r="G2596" s="569" t="s">
        <v>3789</v>
      </c>
      <c r="H2596" s="569"/>
      <c r="I2596" s="577" t="s">
        <v>134</v>
      </c>
      <c r="J2596" s="578">
        <v>1</v>
      </c>
      <c r="K2596" s="579"/>
      <c r="L2596" s="579">
        <v>1522.06</v>
      </c>
      <c r="M2596" s="579">
        <v>1522.06</v>
      </c>
      <c r="N2596" s="573">
        <v>23.18</v>
      </c>
      <c r="O2596" s="556" t="str">
        <f t="shared" ref="O2596:O2601" si="253">IF(N2596=M2596,"OK","DIF")</f>
        <v>DIF</v>
      </c>
      <c r="P2596" s="573"/>
      <c r="Q2596" s="556"/>
      <c r="R2596" s="582"/>
    </row>
    <row r="2597" ht="15" customHeight="1" spans="1:18">
      <c r="A2597" s="556" t="str">
        <f>B2597</f>
        <v> 11.3.8 </v>
      </c>
      <c r="B2597" s="557" t="str">
        <f>B2596</f>
        <v> 11.3.8 </v>
      </c>
      <c r="C2597" s="100" t="s">
        <v>2893</v>
      </c>
      <c r="D2597" s="99" t="s">
        <v>3660</v>
      </c>
      <c r="E2597" s="100" t="s">
        <v>149</v>
      </c>
      <c r="F2597" s="100" t="s">
        <v>3661</v>
      </c>
      <c r="G2597" s="100" t="s">
        <v>2896</v>
      </c>
      <c r="H2597" s="100"/>
      <c r="I2597" s="101" t="s">
        <v>2897</v>
      </c>
      <c r="J2597" s="580">
        <v>0.851</v>
      </c>
      <c r="K2597" s="580">
        <v>0</v>
      </c>
      <c r="L2597" s="102">
        <v>20.515752</v>
      </c>
      <c r="M2597" s="102">
        <v>17.45</v>
      </c>
      <c r="N2597" s="573">
        <v>9.92</v>
      </c>
      <c r="O2597" s="556" t="str">
        <f t="shared" si="253"/>
        <v>DIF</v>
      </c>
      <c r="P2597" s="573"/>
      <c r="Q2597" s="556"/>
      <c r="R2597" s="582"/>
    </row>
    <row r="2598" ht="15" customHeight="1" spans="1:18">
      <c r="A2598" s="556" t="str">
        <f>B2598</f>
        <v> 11.3.8 </v>
      </c>
      <c r="B2598" s="557" t="str">
        <f>B2597</f>
        <v> 11.3.8 </v>
      </c>
      <c r="C2598" s="100" t="s">
        <v>2893</v>
      </c>
      <c r="D2598" s="99" t="s">
        <v>3818</v>
      </c>
      <c r="E2598" s="100" t="s">
        <v>149</v>
      </c>
      <c r="F2598" s="100" t="s">
        <v>3819</v>
      </c>
      <c r="G2598" s="100" t="s">
        <v>2961</v>
      </c>
      <c r="H2598" s="100"/>
      <c r="I2598" s="101" t="s">
        <v>134</v>
      </c>
      <c r="J2598" s="580">
        <v>1</v>
      </c>
      <c r="K2598" s="580">
        <v>0</v>
      </c>
      <c r="L2598" s="102">
        <v>1481.7</v>
      </c>
      <c r="M2598" s="102">
        <v>1481.7</v>
      </c>
      <c r="N2598" s="573">
        <v>7.78</v>
      </c>
      <c r="O2598" s="556" t="str">
        <f t="shared" si="253"/>
        <v>DIF</v>
      </c>
      <c r="P2598" s="573"/>
      <c r="Q2598" s="556"/>
      <c r="R2598" s="582"/>
    </row>
    <row r="2599" ht="15" customHeight="1" spans="1:18">
      <c r="A2599" s="556" t="str">
        <f>B2599</f>
        <v> 11.3.8 </v>
      </c>
      <c r="B2599" s="557" t="str">
        <f>B2598</f>
        <v> 11.3.8 </v>
      </c>
      <c r="C2599" s="100" t="s">
        <v>2893</v>
      </c>
      <c r="D2599" s="99" t="s">
        <v>2988</v>
      </c>
      <c r="E2599" s="100" t="s">
        <v>149</v>
      </c>
      <c r="F2599" s="100" t="s">
        <v>2989</v>
      </c>
      <c r="G2599" s="100" t="s">
        <v>2896</v>
      </c>
      <c r="H2599" s="100"/>
      <c r="I2599" s="101" t="s">
        <v>2897</v>
      </c>
      <c r="J2599" s="580">
        <v>0.851</v>
      </c>
      <c r="K2599" s="580">
        <v>0</v>
      </c>
      <c r="L2599" s="102">
        <v>26.928256</v>
      </c>
      <c r="M2599" s="102">
        <v>22.91</v>
      </c>
      <c r="N2599" s="573">
        <v>0.42</v>
      </c>
      <c r="O2599" s="556" t="str">
        <f t="shared" si="253"/>
        <v>DIF</v>
      </c>
      <c r="P2599" s="573"/>
      <c r="Q2599" s="556"/>
      <c r="R2599" s="582"/>
    </row>
    <row r="2600" ht="25.5" spans="1:18">
      <c r="A2600" s="556" t="str">
        <f>B2600</f>
        <v> 11.3.8 </v>
      </c>
      <c r="B2600" s="557" t="str">
        <f>B2599</f>
        <v> 11.3.8 </v>
      </c>
      <c r="C2600" s="108"/>
      <c r="D2600" s="108"/>
      <c r="E2600" s="108"/>
      <c r="F2600" s="108"/>
      <c r="G2600" s="108"/>
      <c r="H2600" s="108" t="s">
        <v>2898</v>
      </c>
      <c r="I2600" s="581">
        <v>40.36</v>
      </c>
      <c r="J2600" s="108" t="s">
        <v>2899</v>
      </c>
      <c r="K2600" s="581">
        <v>0</v>
      </c>
      <c r="L2600" s="108" t="s">
        <v>2900</v>
      </c>
      <c r="M2600" s="581">
        <v>40.36</v>
      </c>
      <c r="N2600" s="573">
        <v>1.66</v>
      </c>
      <c r="O2600" s="556" t="str">
        <f t="shared" si="253"/>
        <v>DIF</v>
      </c>
      <c r="P2600" s="573"/>
      <c r="Q2600" s="556"/>
      <c r="R2600" s="582"/>
    </row>
    <row r="2601" ht="26.25" spans="1:18">
      <c r="A2601" s="556" t="str">
        <f>B2601</f>
        <v> 11.3.8 </v>
      </c>
      <c r="B2601" s="557" t="str">
        <f>B2600</f>
        <v> 11.3.8 </v>
      </c>
      <c r="C2601" s="108"/>
      <c r="D2601" s="108"/>
      <c r="E2601" s="108"/>
      <c r="F2601" s="108"/>
      <c r="G2601" s="108"/>
      <c r="H2601" s="108" t="s">
        <v>2901</v>
      </c>
      <c r="I2601" s="581">
        <v>387.97</v>
      </c>
      <c r="J2601" s="114"/>
      <c r="K2601" s="114" t="s">
        <v>2902</v>
      </c>
      <c r="L2601" s="108"/>
      <c r="M2601" s="581">
        <v>1910.03</v>
      </c>
      <c r="N2601" s="573">
        <v>3.4</v>
      </c>
      <c r="O2601" s="556" t="str">
        <f t="shared" si="253"/>
        <v>DIF</v>
      </c>
      <c r="P2601" s="573"/>
      <c r="Q2601" s="556"/>
      <c r="R2601" s="582"/>
    </row>
    <row r="2602" ht="15" spans="1:18">
      <c r="A2602" s="556"/>
      <c r="B2602" s="557"/>
      <c r="C2602" s="571"/>
      <c r="D2602" s="571"/>
      <c r="E2602" s="571"/>
      <c r="F2602" s="571"/>
      <c r="G2602" s="571"/>
      <c r="H2602" s="571"/>
      <c r="I2602" s="571"/>
      <c r="J2602" s="571"/>
      <c r="K2602" s="571"/>
      <c r="L2602" s="571"/>
      <c r="M2602" s="571"/>
      <c r="N2602" s="573"/>
      <c r="O2602" s="556"/>
      <c r="P2602" s="573"/>
      <c r="Q2602" s="556"/>
      <c r="R2602" s="582"/>
    </row>
    <row r="2603" ht="15" customHeight="1" spans="1:18">
      <c r="A2603" s="556"/>
      <c r="B2603" s="557"/>
      <c r="C2603" s="76" t="s">
        <v>910</v>
      </c>
      <c r="D2603" s="75" t="s">
        <v>63</v>
      </c>
      <c r="E2603" s="76" t="s">
        <v>64</v>
      </c>
      <c r="F2603" s="76" t="s">
        <v>65</v>
      </c>
      <c r="G2603" s="76" t="s">
        <v>2889</v>
      </c>
      <c r="H2603" s="76"/>
      <c r="I2603" s="77" t="s">
        <v>66</v>
      </c>
      <c r="J2603" s="75" t="s">
        <v>67</v>
      </c>
      <c r="K2603" s="75" t="s">
        <v>2890</v>
      </c>
      <c r="L2603" s="75" t="s">
        <v>68</v>
      </c>
      <c r="M2603" s="75" t="s">
        <v>70</v>
      </c>
      <c r="N2603" s="573"/>
      <c r="O2603" s="556"/>
      <c r="P2603" s="573"/>
      <c r="Q2603" s="556"/>
      <c r="R2603" s="582"/>
    </row>
    <row r="2604" ht="35.05" customHeight="1" spans="1:18">
      <c r="A2604" s="556"/>
      <c r="B2604" s="557" t="str">
        <f>C2603</f>
        <v> 11.3.9 </v>
      </c>
      <c r="C2604" s="569" t="s">
        <v>2891</v>
      </c>
      <c r="D2604" s="570" t="s">
        <v>911</v>
      </c>
      <c r="E2604" s="569" t="s">
        <v>139</v>
      </c>
      <c r="F2604" s="569" t="s">
        <v>912</v>
      </c>
      <c r="G2604" s="569" t="s">
        <v>3516</v>
      </c>
      <c r="H2604" s="569"/>
      <c r="I2604" s="577" t="s">
        <v>134</v>
      </c>
      <c r="J2604" s="578">
        <v>1</v>
      </c>
      <c r="K2604" s="579"/>
      <c r="L2604" s="579">
        <v>70.82</v>
      </c>
      <c r="M2604" s="579">
        <v>70.82</v>
      </c>
      <c r="N2604" s="573">
        <v>0.06</v>
      </c>
      <c r="O2604" s="556" t="str">
        <f>IF(N2604=M2604,"OK","DIF")</f>
        <v>DIF</v>
      </c>
      <c r="P2604" s="573"/>
      <c r="Q2604" s="556"/>
      <c r="R2604" s="582"/>
    </row>
    <row r="2605" ht="23.85" customHeight="1" spans="1:18">
      <c r="A2605" s="556"/>
      <c r="B2605" s="557"/>
      <c r="C2605" s="79" t="s">
        <v>2921</v>
      </c>
      <c r="D2605" s="78" t="s">
        <v>2952</v>
      </c>
      <c r="E2605" s="79" t="s">
        <v>139</v>
      </c>
      <c r="F2605" s="79" t="s">
        <v>2953</v>
      </c>
      <c r="G2605" s="79" t="s">
        <v>2928</v>
      </c>
      <c r="H2605" s="79"/>
      <c r="I2605" s="80" t="s">
        <v>2897</v>
      </c>
      <c r="J2605" s="583">
        <v>0.0548</v>
      </c>
      <c r="K2605" s="583">
        <v>0</v>
      </c>
      <c r="L2605" s="92">
        <v>29.15</v>
      </c>
      <c r="M2605" s="92">
        <v>1.59</v>
      </c>
      <c r="N2605" s="573"/>
      <c r="O2605" s="556"/>
      <c r="P2605" s="573"/>
      <c r="Q2605" s="556"/>
      <c r="R2605" s="582"/>
    </row>
    <row r="2606" ht="23.85" customHeight="1" spans="1:18">
      <c r="A2606" s="556"/>
      <c r="B2606" s="557"/>
      <c r="C2606" s="79" t="s">
        <v>2921</v>
      </c>
      <c r="D2606" s="78" t="s">
        <v>3144</v>
      </c>
      <c r="E2606" s="79" t="s">
        <v>139</v>
      </c>
      <c r="F2606" s="79" t="s">
        <v>3145</v>
      </c>
      <c r="G2606" s="79" t="s">
        <v>2928</v>
      </c>
      <c r="H2606" s="79"/>
      <c r="I2606" s="80" t="s">
        <v>2897</v>
      </c>
      <c r="J2606" s="583">
        <v>0.174</v>
      </c>
      <c r="K2606" s="583">
        <v>0</v>
      </c>
      <c r="L2606" s="92">
        <v>35.55</v>
      </c>
      <c r="M2606" s="92">
        <v>6.18</v>
      </c>
      <c r="N2606" s="573"/>
      <c r="O2606" s="556"/>
      <c r="P2606" s="573"/>
      <c r="Q2606" s="556"/>
      <c r="R2606" s="582"/>
    </row>
    <row r="2607" ht="23.85" customHeight="1" spans="1:18">
      <c r="A2607" s="556"/>
      <c r="B2607" s="557" t="str">
        <f>C2606</f>
        <v>Composição Auxiliar</v>
      </c>
      <c r="C2607" s="100" t="s">
        <v>2893</v>
      </c>
      <c r="D2607" s="99" t="s">
        <v>3820</v>
      </c>
      <c r="E2607" s="100" t="s">
        <v>139</v>
      </c>
      <c r="F2607" s="100" t="s">
        <v>3821</v>
      </c>
      <c r="G2607" s="100" t="s">
        <v>2961</v>
      </c>
      <c r="H2607" s="100"/>
      <c r="I2607" s="101" t="s">
        <v>134</v>
      </c>
      <c r="J2607" s="580">
        <v>1</v>
      </c>
      <c r="K2607" s="580">
        <v>0</v>
      </c>
      <c r="L2607" s="102">
        <v>62.88</v>
      </c>
      <c r="M2607" s="102">
        <v>62.88</v>
      </c>
      <c r="N2607" s="573">
        <v>0.12</v>
      </c>
      <c r="O2607" s="556" t="str">
        <f>IF(N2607=M2607,"OK","DIF")</f>
        <v>DIF</v>
      </c>
      <c r="P2607" s="573"/>
      <c r="Q2607" s="556"/>
      <c r="R2607" s="582"/>
    </row>
    <row r="2608" ht="15" customHeight="1" spans="1:18">
      <c r="A2608" s="556" t="str">
        <f>B2608</f>
        <v>Composição Auxiliar</v>
      </c>
      <c r="B2608" s="557" t="str">
        <f>B2607</f>
        <v>Composição Auxiliar</v>
      </c>
      <c r="C2608" s="100" t="s">
        <v>2893</v>
      </c>
      <c r="D2608" s="99" t="s">
        <v>3738</v>
      </c>
      <c r="E2608" s="100" t="s">
        <v>139</v>
      </c>
      <c r="F2608" s="100" t="s">
        <v>3739</v>
      </c>
      <c r="G2608" s="100" t="s">
        <v>2961</v>
      </c>
      <c r="H2608" s="100"/>
      <c r="I2608" s="101" t="s">
        <v>134</v>
      </c>
      <c r="J2608" s="580">
        <v>0.048</v>
      </c>
      <c r="K2608" s="580">
        <v>0</v>
      </c>
      <c r="L2608" s="102">
        <v>3.65</v>
      </c>
      <c r="M2608" s="102">
        <v>0.17</v>
      </c>
      <c r="N2608" s="573">
        <v>0.12</v>
      </c>
      <c r="O2608" s="556" t="str">
        <f>IF(N2608=M2608,"OK","DIF")</f>
        <v>DIF</v>
      </c>
      <c r="P2608" s="573"/>
      <c r="Q2608" s="556"/>
      <c r="R2608" s="582"/>
    </row>
    <row r="2609" ht="25.5" spans="1:18">
      <c r="A2609" s="556"/>
      <c r="B2609" s="557"/>
      <c r="C2609" s="108"/>
      <c r="D2609" s="108"/>
      <c r="E2609" s="108"/>
      <c r="F2609" s="108"/>
      <c r="G2609" s="108"/>
      <c r="H2609" s="108" t="s">
        <v>2898</v>
      </c>
      <c r="I2609" s="581">
        <v>5.6</v>
      </c>
      <c r="J2609" s="108" t="s">
        <v>2899</v>
      </c>
      <c r="K2609" s="581">
        <v>0</v>
      </c>
      <c r="L2609" s="108" t="s">
        <v>2900</v>
      </c>
      <c r="M2609" s="581">
        <v>5.6</v>
      </c>
      <c r="N2609" s="573"/>
      <c r="O2609" s="556"/>
      <c r="P2609" s="573"/>
      <c r="Q2609" s="556"/>
      <c r="R2609" s="582"/>
    </row>
    <row r="2610" ht="26.25" spans="1:18">
      <c r="A2610" s="556"/>
      <c r="B2610" s="557"/>
      <c r="C2610" s="108"/>
      <c r="D2610" s="108"/>
      <c r="E2610" s="108"/>
      <c r="F2610" s="108"/>
      <c r="G2610" s="108"/>
      <c r="H2610" s="108" t="s">
        <v>2901</v>
      </c>
      <c r="I2610" s="581">
        <v>18.05</v>
      </c>
      <c r="J2610" s="114"/>
      <c r="K2610" s="114" t="s">
        <v>2902</v>
      </c>
      <c r="L2610" s="108"/>
      <c r="M2610" s="581">
        <v>88.87</v>
      </c>
      <c r="N2610" s="573"/>
      <c r="O2610" s="556"/>
      <c r="P2610" s="573"/>
      <c r="Q2610" s="556"/>
      <c r="R2610" s="582"/>
    </row>
    <row r="2611" ht="15" spans="1:18">
      <c r="A2611" s="556"/>
      <c r="B2611" s="557">
        <f>C2610</f>
        <v>0</v>
      </c>
      <c r="C2611" s="571"/>
      <c r="D2611" s="571"/>
      <c r="E2611" s="571"/>
      <c r="F2611" s="571"/>
      <c r="G2611" s="571"/>
      <c r="H2611" s="571"/>
      <c r="I2611" s="571"/>
      <c r="J2611" s="571"/>
      <c r="K2611" s="571"/>
      <c r="L2611" s="571"/>
      <c r="M2611" s="571"/>
      <c r="N2611" s="573">
        <v>52.07</v>
      </c>
      <c r="O2611" s="556" t="str">
        <f>IF(N2611=M2611,"OK","DIF")</f>
        <v>DIF</v>
      </c>
      <c r="P2611" s="573"/>
      <c r="Q2611" s="556"/>
      <c r="R2611" s="582"/>
    </row>
    <row r="2612" ht="15" customHeight="1" spans="1:18">
      <c r="A2612" s="556">
        <f>B2612</f>
        <v>0</v>
      </c>
      <c r="B2612" s="557">
        <f>B2611</f>
        <v>0</v>
      </c>
      <c r="C2612" s="76" t="s">
        <v>913</v>
      </c>
      <c r="D2612" s="75" t="s">
        <v>63</v>
      </c>
      <c r="E2612" s="76" t="s">
        <v>64</v>
      </c>
      <c r="F2612" s="76" t="s">
        <v>65</v>
      </c>
      <c r="G2612" s="76" t="s">
        <v>2889</v>
      </c>
      <c r="H2612" s="76"/>
      <c r="I2612" s="77" t="s">
        <v>66</v>
      </c>
      <c r="J2612" s="75" t="s">
        <v>67</v>
      </c>
      <c r="K2612" s="75" t="s">
        <v>2890</v>
      </c>
      <c r="L2612" s="75" t="s">
        <v>68</v>
      </c>
      <c r="M2612" s="75" t="s">
        <v>70</v>
      </c>
      <c r="N2612" s="573">
        <v>11.96</v>
      </c>
      <c r="O2612" s="556" t="str">
        <f>IF(N2612=M2612,"OK","DIF")</f>
        <v>DIF</v>
      </c>
      <c r="P2612" s="573"/>
      <c r="Q2612" s="556"/>
      <c r="R2612" s="582"/>
    </row>
    <row r="2613" ht="35.05" customHeight="1" spans="1:18">
      <c r="A2613" s="556">
        <f>B2613</f>
        <v>0</v>
      </c>
      <c r="B2613" s="557">
        <f>B2612</f>
        <v>0</v>
      </c>
      <c r="C2613" s="569" t="s">
        <v>2891</v>
      </c>
      <c r="D2613" s="570" t="s">
        <v>914</v>
      </c>
      <c r="E2613" s="569" t="s">
        <v>132</v>
      </c>
      <c r="F2613" s="569" t="s">
        <v>915</v>
      </c>
      <c r="G2613" s="569" t="s">
        <v>3129</v>
      </c>
      <c r="H2613" s="569"/>
      <c r="I2613" s="577" t="s">
        <v>134</v>
      </c>
      <c r="J2613" s="578">
        <v>1</v>
      </c>
      <c r="K2613" s="579"/>
      <c r="L2613" s="579">
        <v>126.4</v>
      </c>
      <c r="M2613" s="579">
        <v>126.4</v>
      </c>
      <c r="N2613" s="573">
        <v>9.87</v>
      </c>
      <c r="O2613" s="556" t="str">
        <f>IF(N2613=M2613,"OK","DIF")</f>
        <v>DIF</v>
      </c>
      <c r="P2613" s="573"/>
      <c r="Q2613" s="556"/>
      <c r="R2613" s="582"/>
    </row>
    <row r="2614" ht="23.85" customHeight="1" spans="1:18">
      <c r="A2614" s="556">
        <f>B2614</f>
        <v>0</v>
      </c>
      <c r="B2614" s="557">
        <f>B2613</f>
        <v>0</v>
      </c>
      <c r="C2614" s="79" t="s">
        <v>2921</v>
      </c>
      <c r="D2614" s="78" t="s">
        <v>2952</v>
      </c>
      <c r="E2614" s="79" t="s">
        <v>139</v>
      </c>
      <c r="F2614" s="79" t="s">
        <v>2953</v>
      </c>
      <c r="G2614" s="79" t="s">
        <v>2928</v>
      </c>
      <c r="H2614" s="79"/>
      <c r="I2614" s="80" t="s">
        <v>2897</v>
      </c>
      <c r="J2614" s="583">
        <v>0.0862</v>
      </c>
      <c r="K2614" s="583">
        <v>0</v>
      </c>
      <c r="L2614" s="92">
        <v>29.15</v>
      </c>
      <c r="M2614" s="92">
        <v>2.51</v>
      </c>
      <c r="N2614" s="573">
        <v>0.62</v>
      </c>
      <c r="O2614" s="556" t="str">
        <f>IF(N2614=M2614,"OK","DIF")</f>
        <v>DIF</v>
      </c>
      <c r="P2614" s="573"/>
      <c r="Q2614" s="556"/>
      <c r="R2614" s="582"/>
    </row>
    <row r="2615" ht="23.85" customHeight="1" spans="1:18">
      <c r="A2615" s="556">
        <f>B2615</f>
        <v>0</v>
      </c>
      <c r="B2615" s="557">
        <f>B2614</f>
        <v>0</v>
      </c>
      <c r="C2615" s="79" t="s">
        <v>2921</v>
      </c>
      <c r="D2615" s="78" t="s">
        <v>3144</v>
      </c>
      <c r="E2615" s="79" t="s">
        <v>139</v>
      </c>
      <c r="F2615" s="79" t="s">
        <v>3145</v>
      </c>
      <c r="G2615" s="79" t="s">
        <v>2928</v>
      </c>
      <c r="H2615" s="79"/>
      <c r="I2615" s="80" t="s">
        <v>2897</v>
      </c>
      <c r="J2615" s="583">
        <v>0.2734</v>
      </c>
      <c r="K2615" s="583">
        <v>0</v>
      </c>
      <c r="L2615" s="92">
        <v>35.55</v>
      </c>
      <c r="M2615" s="92">
        <v>9.71</v>
      </c>
      <c r="N2615" s="573">
        <v>29.62</v>
      </c>
      <c r="O2615" s="556" t="str">
        <f>IF(N2615=M2615,"OK","DIF")</f>
        <v>DIF</v>
      </c>
      <c r="P2615" s="573"/>
      <c r="Q2615" s="556"/>
      <c r="R2615" s="582"/>
    </row>
    <row r="2616" ht="15" customHeight="1" spans="1:18">
      <c r="A2616" s="556"/>
      <c r="B2616" s="557"/>
      <c r="C2616" s="100" t="s">
        <v>2893</v>
      </c>
      <c r="D2616" s="99" t="s">
        <v>3738</v>
      </c>
      <c r="E2616" s="100" t="s">
        <v>139</v>
      </c>
      <c r="F2616" s="100" t="s">
        <v>3739</v>
      </c>
      <c r="G2616" s="100" t="s">
        <v>2961</v>
      </c>
      <c r="H2616" s="100"/>
      <c r="I2616" s="101" t="s">
        <v>134</v>
      </c>
      <c r="J2616" s="580">
        <v>0.0332</v>
      </c>
      <c r="K2616" s="580">
        <v>0</v>
      </c>
      <c r="L2616" s="102">
        <v>3.65</v>
      </c>
      <c r="M2616" s="102">
        <v>0.12</v>
      </c>
      <c r="N2616" s="573"/>
      <c r="O2616" s="556"/>
      <c r="P2616" s="573"/>
      <c r="Q2616" s="556"/>
      <c r="R2616" s="582"/>
    </row>
    <row r="2617" ht="15" customHeight="1" spans="1:18">
      <c r="A2617" s="556"/>
      <c r="B2617" s="557"/>
      <c r="C2617" s="100" t="s">
        <v>2893</v>
      </c>
      <c r="D2617" s="99" t="s">
        <v>3822</v>
      </c>
      <c r="E2617" s="100" t="s">
        <v>77</v>
      </c>
      <c r="F2617" s="100" t="s">
        <v>3823</v>
      </c>
      <c r="G2617" s="100" t="s">
        <v>2961</v>
      </c>
      <c r="H2617" s="100"/>
      <c r="I2617" s="101" t="s">
        <v>134</v>
      </c>
      <c r="J2617" s="580">
        <v>1</v>
      </c>
      <c r="K2617" s="580">
        <v>0</v>
      </c>
      <c r="L2617" s="102">
        <v>114.06</v>
      </c>
      <c r="M2617" s="102">
        <v>114.06</v>
      </c>
      <c r="N2617" s="573"/>
      <c r="O2617" s="556"/>
      <c r="P2617" s="573"/>
      <c r="Q2617" s="556"/>
      <c r="R2617" s="582"/>
    </row>
    <row r="2618" ht="25.5" spans="1:18">
      <c r="A2618" s="556"/>
      <c r="B2618" s="557" t="str">
        <f>C2617</f>
        <v>Insumo</v>
      </c>
      <c r="C2618" s="108"/>
      <c r="D2618" s="108"/>
      <c r="E2618" s="108"/>
      <c r="F2618" s="108"/>
      <c r="G2618" s="108"/>
      <c r="H2618" s="108" t="s">
        <v>2898</v>
      </c>
      <c r="I2618" s="581">
        <v>8.8</v>
      </c>
      <c r="J2618" s="108" t="s">
        <v>2899</v>
      </c>
      <c r="K2618" s="581">
        <v>0</v>
      </c>
      <c r="L2618" s="108" t="s">
        <v>2900</v>
      </c>
      <c r="M2618" s="581">
        <v>8.8</v>
      </c>
      <c r="N2618" s="573">
        <v>32.61</v>
      </c>
      <c r="O2618" s="556" t="str">
        <f>IF(N2618=M2618,"OK","DIF")</f>
        <v>DIF</v>
      </c>
      <c r="P2618" s="573"/>
      <c r="Q2618" s="556"/>
      <c r="R2618" s="582"/>
    </row>
    <row r="2619" ht="26.25" spans="1:18">
      <c r="A2619" s="556" t="str">
        <f>B2619</f>
        <v>Insumo</v>
      </c>
      <c r="B2619" s="557" t="str">
        <f>B2618</f>
        <v>Insumo</v>
      </c>
      <c r="C2619" s="108"/>
      <c r="D2619" s="108"/>
      <c r="E2619" s="108"/>
      <c r="F2619" s="108"/>
      <c r="G2619" s="108"/>
      <c r="H2619" s="108" t="s">
        <v>2901</v>
      </c>
      <c r="I2619" s="581">
        <v>32.21</v>
      </c>
      <c r="J2619" s="114"/>
      <c r="K2619" s="114" t="s">
        <v>2902</v>
      </c>
      <c r="L2619" s="108"/>
      <c r="M2619" s="581">
        <v>158.61</v>
      </c>
      <c r="N2619" s="573">
        <v>5.9</v>
      </c>
      <c r="O2619" s="556" t="str">
        <f>IF(N2619=M2619,"OK","DIF")</f>
        <v>DIF</v>
      </c>
      <c r="P2619" s="573"/>
      <c r="Q2619" s="556"/>
      <c r="R2619" s="582"/>
    </row>
    <row r="2620" ht="15" spans="1:18">
      <c r="A2620" s="556" t="str">
        <f>B2620</f>
        <v>Insumo</v>
      </c>
      <c r="B2620" s="557" t="str">
        <f>B2619</f>
        <v>Insumo</v>
      </c>
      <c r="C2620" s="571"/>
      <c r="D2620" s="571"/>
      <c r="E2620" s="571"/>
      <c r="F2620" s="571"/>
      <c r="G2620" s="571"/>
      <c r="H2620" s="571"/>
      <c r="I2620" s="571"/>
      <c r="J2620" s="571"/>
      <c r="K2620" s="571"/>
      <c r="L2620" s="571"/>
      <c r="M2620" s="571"/>
      <c r="N2620" s="573">
        <v>7.75</v>
      </c>
      <c r="O2620" s="556" t="str">
        <f>IF(N2620=M2620,"OK","DIF")</f>
        <v>DIF</v>
      </c>
      <c r="P2620" s="573"/>
      <c r="Q2620" s="556"/>
      <c r="R2620" s="582"/>
    </row>
    <row r="2621" ht="15" customHeight="1" spans="1:18">
      <c r="A2621" s="556" t="str">
        <f>B2621</f>
        <v>Insumo</v>
      </c>
      <c r="B2621" s="557" t="str">
        <f>B2620</f>
        <v>Insumo</v>
      </c>
      <c r="C2621" s="76" t="s">
        <v>916</v>
      </c>
      <c r="D2621" s="75" t="s">
        <v>63</v>
      </c>
      <c r="E2621" s="76" t="s">
        <v>64</v>
      </c>
      <c r="F2621" s="76" t="s">
        <v>65</v>
      </c>
      <c r="G2621" s="76" t="s">
        <v>2889</v>
      </c>
      <c r="H2621" s="76"/>
      <c r="I2621" s="77" t="s">
        <v>66</v>
      </c>
      <c r="J2621" s="75" t="s">
        <v>67</v>
      </c>
      <c r="K2621" s="75" t="s">
        <v>2890</v>
      </c>
      <c r="L2621" s="75" t="s">
        <v>68</v>
      </c>
      <c r="M2621" s="75" t="s">
        <v>70</v>
      </c>
      <c r="N2621" s="573">
        <v>18.96</v>
      </c>
      <c r="O2621" s="556" t="str">
        <f>IF(N2621=M2621,"OK","DIF")</f>
        <v>DIF</v>
      </c>
      <c r="P2621" s="573"/>
      <c r="Q2621" s="556"/>
      <c r="R2621" s="582"/>
    </row>
    <row r="2622" ht="35.05" customHeight="1" spans="1:18">
      <c r="A2622" s="556"/>
      <c r="B2622" s="557"/>
      <c r="C2622" s="569" t="s">
        <v>2891</v>
      </c>
      <c r="D2622" s="570" t="s">
        <v>917</v>
      </c>
      <c r="E2622" s="569" t="s">
        <v>132</v>
      </c>
      <c r="F2622" s="569" t="s">
        <v>918</v>
      </c>
      <c r="G2622" s="569" t="s">
        <v>3129</v>
      </c>
      <c r="H2622" s="569"/>
      <c r="I2622" s="577" t="s">
        <v>134</v>
      </c>
      <c r="J2622" s="578">
        <v>1</v>
      </c>
      <c r="K2622" s="579"/>
      <c r="L2622" s="579">
        <v>390.5</v>
      </c>
      <c r="M2622" s="579">
        <v>390.5</v>
      </c>
      <c r="N2622" s="573"/>
      <c r="O2622" s="556"/>
      <c r="P2622" s="573"/>
      <c r="Q2622" s="556"/>
      <c r="R2622" s="582"/>
    </row>
    <row r="2623" ht="23.85" customHeight="1" spans="1:18">
      <c r="A2623" s="556"/>
      <c r="B2623" s="557"/>
      <c r="C2623" s="79" t="s">
        <v>2921</v>
      </c>
      <c r="D2623" s="78" t="s">
        <v>3144</v>
      </c>
      <c r="E2623" s="79" t="s">
        <v>139</v>
      </c>
      <c r="F2623" s="79" t="s">
        <v>3145</v>
      </c>
      <c r="G2623" s="79" t="s">
        <v>2928</v>
      </c>
      <c r="H2623" s="79"/>
      <c r="I2623" s="80" t="s">
        <v>2897</v>
      </c>
      <c r="J2623" s="583">
        <v>0.42</v>
      </c>
      <c r="K2623" s="583">
        <v>0</v>
      </c>
      <c r="L2623" s="92">
        <v>35.55</v>
      </c>
      <c r="M2623" s="92">
        <v>14.93</v>
      </c>
      <c r="N2623" s="573"/>
      <c r="O2623" s="556"/>
      <c r="P2623" s="573"/>
      <c r="Q2623" s="556"/>
      <c r="R2623" s="582"/>
    </row>
    <row r="2624" ht="23.85" customHeight="1" spans="1:18">
      <c r="A2624" s="556"/>
      <c r="B2624" s="557"/>
      <c r="C2624" s="79" t="s">
        <v>2921</v>
      </c>
      <c r="D2624" s="78" t="s">
        <v>3146</v>
      </c>
      <c r="E2624" s="79" t="s">
        <v>139</v>
      </c>
      <c r="F2624" s="79" t="s">
        <v>3147</v>
      </c>
      <c r="G2624" s="79" t="s">
        <v>2928</v>
      </c>
      <c r="H2624" s="79"/>
      <c r="I2624" s="80" t="s">
        <v>2897</v>
      </c>
      <c r="J2624" s="583">
        <v>0.42</v>
      </c>
      <c r="K2624" s="583">
        <v>0</v>
      </c>
      <c r="L2624" s="92">
        <v>29.54</v>
      </c>
      <c r="M2624" s="92">
        <v>12.4</v>
      </c>
      <c r="N2624" s="573"/>
      <c r="O2624" s="556"/>
      <c r="P2624" s="573"/>
      <c r="Q2624" s="556"/>
      <c r="R2624" s="582"/>
    </row>
    <row r="2625" ht="15" customHeight="1" spans="1:18">
      <c r="A2625" s="556"/>
      <c r="B2625" s="557" t="str">
        <f>C2624</f>
        <v>Composição Auxiliar</v>
      </c>
      <c r="C2625" s="100" t="s">
        <v>2893</v>
      </c>
      <c r="D2625" s="99" t="s">
        <v>3662</v>
      </c>
      <c r="E2625" s="100" t="s">
        <v>149</v>
      </c>
      <c r="F2625" s="100" t="s">
        <v>3663</v>
      </c>
      <c r="G2625" s="100" t="s">
        <v>2961</v>
      </c>
      <c r="H2625" s="100"/>
      <c r="I2625" s="101" t="s">
        <v>204</v>
      </c>
      <c r="J2625" s="580">
        <v>0.4</v>
      </c>
      <c r="K2625" s="580">
        <v>0</v>
      </c>
      <c r="L2625" s="102">
        <v>0.35</v>
      </c>
      <c r="M2625" s="102">
        <v>0.14</v>
      </c>
      <c r="N2625" s="573">
        <v>15.1</v>
      </c>
      <c r="O2625" s="556" t="str">
        <f>IF(N2625=M2625,"OK","DIF")</f>
        <v>DIF</v>
      </c>
      <c r="P2625" s="573"/>
      <c r="Q2625" s="556"/>
      <c r="R2625" s="582"/>
    </row>
    <row r="2626" ht="35.05" customHeight="1" spans="1:18">
      <c r="A2626" s="556" t="str">
        <f>B2626</f>
        <v>Composição Auxiliar</v>
      </c>
      <c r="B2626" s="557" t="str">
        <f>B2625</f>
        <v>Composição Auxiliar</v>
      </c>
      <c r="C2626" s="100" t="s">
        <v>2893</v>
      </c>
      <c r="D2626" s="99" t="s">
        <v>3824</v>
      </c>
      <c r="E2626" s="100" t="s">
        <v>77</v>
      </c>
      <c r="F2626" s="100" t="s">
        <v>3825</v>
      </c>
      <c r="G2626" s="100" t="s">
        <v>2961</v>
      </c>
      <c r="H2626" s="100"/>
      <c r="I2626" s="101" t="s">
        <v>134</v>
      </c>
      <c r="J2626" s="580">
        <v>1</v>
      </c>
      <c r="K2626" s="580">
        <v>0</v>
      </c>
      <c r="L2626" s="102">
        <v>363.03</v>
      </c>
      <c r="M2626" s="102">
        <v>363.03</v>
      </c>
      <c r="N2626" s="573">
        <v>2.86</v>
      </c>
      <c r="O2626" s="556" t="str">
        <f>IF(N2626=M2626,"OK","DIF")</f>
        <v>DIF</v>
      </c>
      <c r="P2626" s="573"/>
      <c r="Q2626" s="556"/>
      <c r="R2626" s="582"/>
    </row>
    <row r="2627" ht="25.5" spans="1:18">
      <c r="A2627" s="556" t="str">
        <f>B2627</f>
        <v>Composição Auxiliar</v>
      </c>
      <c r="B2627" s="557" t="str">
        <f>B2626</f>
        <v>Composição Auxiliar</v>
      </c>
      <c r="C2627" s="108"/>
      <c r="D2627" s="108"/>
      <c r="E2627" s="108"/>
      <c r="F2627" s="108"/>
      <c r="G2627" s="108"/>
      <c r="H2627" s="108" t="s">
        <v>2898</v>
      </c>
      <c r="I2627" s="581">
        <v>19.46</v>
      </c>
      <c r="J2627" s="108" t="s">
        <v>2899</v>
      </c>
      <c r="K2627" s="581">
        <v>0</v>
      </c>
      <c r="L2627" s="108" t="s">
        <v>2900</v>
      </c>
      <c r="M2627" s="581">
        <v>19.46</v>
      </c>
      <c r="N2627" s="573">
        <v>7.91</v>
      </c>
      <c r="O2627" s="556" t="str">
        <f>IF(N2627=M2627,"OK","DIF")</f>
        <v>DIF</v>
      </c>
      <c r="P2627" s="573"/>
      <c r="Q2627" s="556"/>
      <c r="R2627" s="582"/>
    </row>
    <row r="2628" ht="26.25" spans="1:18">
      <c r="A2628" s="556" t="str">
        <f>B2628</f>
        <v>Composição Auxiliar</v>
      </c>
      <c r="B2628" s="557" t="str">
        <f>B2627</f>
        <v>Composição Auxiliar</v>
      </c>
      <c r="C2628" s="108"/>
      <c r="D2628" s="108"/>
      <c r="E2628" s="108"/>
      <c r="F2628" s="108"/>
      <c r="G2628" s="108"/>
      <c r="H2628" s="108" t="s">
        <v>2901</v>
      </c>
      <c r="I2628" s="581">
        <v>99.53</v>
      </c>
      <c r="J2628" s="114"/>
      <c r="K2628" s="114" t="s">
        <v>2902</v>
      </c>
      <c r="L2628" s="108"/>
      <c r="M2628" s="581">
        <v>490.03</v>
      </c>
      <c r="N2628" s="573">
        <v>4.33</v>
      </c>
      <c r="O2628" s="556" t="str">
        <f>IF(N2628=M2628,"OK","DIF")</f>
        <v>DIF</v>
      </c>
      <c r="P2628" s="573"/>
      <c r="Q2628" s="556"/>
      <c r="R2628" s="582"/>
    </row>
    <row r="2629" ht="15" spans="1:18">
      <c r="A2629" s="556"/>
      <c r="B2629" s="557"/>
      <c r="C2629" s="571"/>
      <c r="D2629" s="571"/>
      <c r="E2629" s="571"/>
      <c r="F2629" s="571"/>
      <c r="G2629" s="571"/>
      <c r="H2629" s="571"/>
      <c r="I2629" s="571"/>
      <c r="J2629" s="571"/>
      <c r="K2629" s="571"/>
      <c r="L2629" s="571"/>
      <c r="M2629" s="571"/>
      <c r="N2629" s="573"/>
      <c r="O2629" s="556"/>
      <c r="P2629" s="573"/>
      <c r="Q2629" s="556"/>
      <c r="R2629" s="582"/>
    </row>
    <row r="2630" ht="15" customHeight="1" spans="1:18">
      <c r="A2630" s="556"/>
      <c r="B2630" s="557"/>
      <c r="C2630" s="76" t="s">
        <v>919</v>
      </c>
      <c r="D2630" s="75" t="s">
        <v>63</v>
      </c>
      <c r="E2630" s="76" t="s">
        <v>64</v>
      </c>
      <c r="F2630" s="76" t="s">
        <v>65</v>
      </c>
      <c r="G2630" s="76" t="s">
        <v>2889</v>
      </c>
      <c r="H2630" s="76"/>
      <c r="I2630" s="77" t="s">
        <v>66</v>
      </c>
      <c r="J2630" s="75" t="s">
        <v>67</v>
      </c>
      <c r="K2630" s="75" t="s">
        <v>2890</v>
      </c>
      <c r="L2630" s="75" t="s">
        <v>68</v>
      </c>
      <c r="M2630" s="75" t="s">
        <v>70</v>
      </c>
      <c r="N2630" s="573"/>
      <c r="O2630" s="556"/>
      <c r="P2630" s="573"/>
      <c r="Q2630" s="556"/>
      <c r="R2630" s="582"/>
    </row>
    <row r="2631" ht="15" customHeight="1" spans="1:18">
      <c r="A2631" s="556"/>
      <c r="B2631" s="557" t="str">
        <f>C2630</f>
        <v> 11.3.12 </v>
      </c>
      <c r="C2631" s="569" t="s">
        <v>2891</v>
      </c>
      <c r="D2631" s="570" t="s">
        <v>920</v>
      </c>
      <c r="E2631" s="569" t="s">
        <v>149</v>
      </c>
      <c r="F2631" s="569" t="s">
        <v>921</v>
      </c>
      <c r="G2631" s="569" t="s">
        <v>3789</v>
      </c>
      <c r="H2631" s="569"/>
      <c r="I2631" s="577" t="s">
        <v>134</v>
      </c>
      <c r="J2631" s="578">
        <v>1</v>
      </c>
      <c r="K2631" s="579"/>
      <c r="L2631" s="579">
        <v>89.23</v>
      </c>
      <c r="M2631" s="579">
        <v>89.23</v>
      </c>
      <c r="N2631" s="573">
        <v>15.37</v>
      </c>
      <c r="O2631" s="556" t="str">
        <f t="shared" ref="O2631:O2637" si="254">IF(N2631=M2631,"OK","DIF")</f>
        <v>DIF</v>
      </c>
      <c r="P2631" s="573"/>
      <c r="Q2631" s="556"/>
      <c r="R2631" s="582"/>
    </row>
    <row r="2632" ht="15" customHeight="1" spans="1:18">
      <c r="A2632" s="556" t="str">
        <f t="shared" ref="A2632:A2637" si="255">B2632</f>
        <v> 11.3.12 </v>
      </c>
      <c r="B2632" s="557" t="str">
        <f t="shared" ref="B2632:B2637" si="256">B2631</f>
        <v> 11.3.12 </v>
      </c>
      <c r="C2632" s="100" t="s">
        <v>2893</v>
      </c>
      <c r="D2632" s="99" t="s">
        <v>3283</v>
      </c>
      <c r="E2632" s="100" t="s">
        <v>149</v>
      </c>
      <c r="F2632" s="100" t="s">
        <v>3284</v>
      </c>
      <c r="G2632" s="100" t="s">
        <v>2896</v>
      </c>
      <c r="H2632" s="100"/>
      <c r="I2632" s="101" t="s">
        <v>2897</v>
      </c>
      <c r="J2632" s="580">
        <v>0.532</v>
      </c>
      <c r="K2632" s="580">
        <v>0</v>
      </c>
      <c r="L2632" s="102">
        <v>28.994744</v>
      </c>
      <c r="M2632" s="102">
        <v>15.42</v>
      </c>
      <c r="N2632" s="573">
        <v>6.05</v>
      </c>
      <c r="O2632" s="556" t="str">
        <f t="shared" si="254"/>
        <v>DIF</v>
      </c>
      <c r="P2632" s="573"/>
      <c r="Q2632" s="556"/>
      <c r="R2632" s="582"/>
    </row>
    <row r="2633" ht="15" customHeight="1" spans="1:18">
      <c r="A2633" s="556" t="str">
        <f t="shared" si="255"/>
        <v> 11.3.12 </v>
      </c>
      <c r="B2633" s="557" t="str">
        <f t="shared" si="256"/>
        <v> 11.3.12 </v>
      </c>
      <c r="C2633" s="100" t="s">
        <v>2893</v>
      </c>
      <c r="D2633" s="99" t="s">
        <v>3569</v>
      </c>
      <c r="E2633" s="100" t="s">
        <v>149</v>
      </c>
      <c r="F2633" s="100" t="s">
        <v>3570</v>
      </c>
      <c r="G2633" s="100" t="s">
        <v>2961</v>
      </c>
      <c r="H2633" s="100"/>
      <c r="I2633" s="101" t="s">
        <v>279</v>
      </c>
      <c r="J2633" s="580">
        <v>0.001</v>
      </c>
      <c r="K2633" s="580">
        <v>0</v>
      </c>
      <c r="L2633" s="102">
        <v>88.64</v>
      </c>
      <c r="M2633" s="102">
        <v>0.08</v>
      </c>
      <c r="N2633" s="573">
        <v>2.94</v>
      </c>
      <c r="O2633" s="556" t="str">
        <f t="shared" si="254"/>
        <v>DIF</v>
      </c>
      <c r="P2633" s="573"/>
      <c r="Q2633" s="556"/>
      <c r="R2633" s="582"/>
    </row>
    <row r="2634" ht="15" customHeight="1" spans="1:18">
      <c r="A2634" s="556" t="str">
        <f t="shared" si="255"/>
        <v> 11.3.12 </v>
      </c>
      <c r="B2634" s="557" t="str">
        <f t="shared" si="256"/>
        <v> 11.3.12 </v>
      </c>
      <c r="C2634" s="100" t="s">
        <v>2893</v>
      </c>
      <c r="D2634" s="99" t="s">
        <v>3826</v>
      </c>
      <c r="E2634" s="100" t="s">
        <v>149</v>
      </c>
      <c r="F2634" s="100" t="s">
        <v>921</v>
      </c>
      <c r="G2634" s="100" t="s">
        <v>2961</v>
      </c>
      <c r="H2634" s="100"/>
      <c r="I2634" s="101" t="s">
        <v>134</v>
      </c>
      <c r="J2634" s="580">
        <v>1</v>
      </c>
      <c r="K2634" s="580">
        <v>0</v>
      </c>
      <c r="L2634" s="102">
        <v>67.65</v>
      </c>
      <c r="M2634" s="102">
        <v>67.65</v>
      </c>
      <c r="N2634" s="573">
        <v>1.79</v>
      </c>
      <c r="O2634" s="556" t="str">
        <f t="shared" si="254"/>
        <v>DIF</v>
      </c>
      <c r="P2634" s="573"/>
      <c r="Q2634" s="556"/>
      <c r="R2634" s="582"/>
    </row>
    <row r="2635" ht="15" customHeight="1" spans="1:18">
      <c r="A2635" s="556" t="str">
        <f t="shared" si="255"/>
        <v> 11.3.12 </v>
      </c>
      <c r="B2635" s="557" t="str">
        <f t="shared" si="256"/>
        <v> 11.3.12 </v>
      </c>
      <c r="C2635" s="100" t="s">
        <v>2893</v>
      </c>
      <c r="D2635" s="99" t="s">
        <v>2974</v>
      </c>
      <c r="E2635" s="100" t="s">
        <v>149</v>
      </c>
      <c r="F2635" s="100" t="s">
        <v>2975</v>
      </c>
      <c r="G2635" s="100" t="s">
        <v>2896</v>
      </c>
      <c r="H2635" s="100"/>
      <c r="I2635" s="101" t="s">
        <v>2897</v>
      </c>
      <c r="J2635" s="580">
        <v>0.298</v>
      </c>
      <c r="K2635" s="580">
        <v>0</v>
      </c>
      <c r="L2635" s="102">
        <v>19.471856</v>
      </c>
      <c r="M2635" s="102">
        <v>5.8</v>
      </c>
      <c r="N2635" s="573">
        <v>0.05</v>
      </c>
      <c r="O2635" s="556" t="str">
        <f t="shared" si="254"/>
        <v>DIF</v>
      </c>
      <c r="P2635" s="573"/>
      <c r="Q2635" s="556"/>
      <c r="R2635" s="582"/>
    </row>
    <row r="2636" ht="15" customHeight="1" spans="1:18">
      <c r="A2636" s="556" t="str">
        <f t="shared" si="255"/>
        <v> 11.3.12 </v>
      </c>
      <c r="B2636" s="557" t="str">
        <f t="shared" si="256"/>
        <v> 11.3.12 </v>
      </c>
      <c r="C2636" s="100" t="s">
        <v>2893</v>
      </c>
      <c r="D2636" s="99" t="s">
        <v>3575</v>
      </c>
      <c r="E2636" s="100" t="s">
        <v>149</v>
      </c>
      <c r="F2636" s="100" t="s">
        <v>3576</v>
      </c>
      <c r="G2636" s="100" t="s">
        <v>2961</v>
      </c>
      <c r="H2636" s="100"/>
      <c r="I2636" s="101" t="s">
        <v>393</v>
      </c>
      <c r="J2636" s="580">
        <v>0.1</v>
      </c>
      <c r="K2636" s="580">
        <v>0</v>
      </c>
      <c r="L2636" s="102">
        <v>0.68</v>
      </c>
      <c r="M2636" s="102">
        <v>0.06</v>
      </c>
      <c r="N2636" s="573">
        <v>3.95</v>
      </c>
      <c r="O2636" s="556" t="str">
        <f t="shared" si="254"/>
        <v>DIF</v>
      </c>
      <c r="P2636" s="573"/>
      <c r="Q2636" s="556"/>
      <c r="R2636" s="582"/>
    </row>
    <row r="2637" ht="15" customHeight="1" spans="1:18">
      <c r="A2637" s="556" t="str">
        <f t="shared" si="255"/>
        <v> 11.3.12 </v>
      </c>
      <c r="B2637" s="557" t="str">
        <f t="shared" si="256"/>
        <v> 11.3.12 </v>
      </c>
      <c r="C2637" s="100" t="s">
        <v>2893</v>
      </c>
      <c r="D2637" s="99" t="s">
        <v>3798</v>
      </c>
      <c r="E2637" s="100" t="s">
        <v>149</v>
      </c>
      <c r="F2637" s="100" t="s">
        <v>3799</v>
      </c>
      <c r="G2637" s="100" t="s">
        <v>2961</v>
      </c>
      <c r="H2637" s="100"/>
      <c r="I2637" s="101" t="s">
        <v>393</v>
      </c>
      <c r="J2637" s="580">
        <v>0.05</v>
      </c>
      <c r="K2637" s="580">
        <v>0</v>
      </c>
      <c r="L2637" s="102">
        <v>4.55</v>
      </c>
      <c r="M2637" s="102">
        <v>0.22</v>
      </c>
      <c r="N2637" s="573">
        <v>0.59</v>
      </c>
      <c r="O2637" s="556" t="str">
        <f t="shared" si="254"/>
        <v>DIF</v>
      </c>
      <c r="P2637" s="573"/>
      <c r="Q2637" s="556"/>
      <c r="R2637" s="582"/>
    </row>
    <row r="2638" ht="25.5" spans="1:18">
      <c r="A2638" s="556"/>
      <c r="B2638" s="557"/>
      <c r="C2638" s="108"/>
      <c r="D2638" s="108"/>
      <c r="E2638" s="108"/>
      <c r="F2638" s="108"/>
      <c r="G2638" s="108"/>
      <c r="H2638" s="108" t="s">
        <v>2898</v>
      </c>
      <c r="I2638" s="581">
        <v>21.22</v>
      </c>
      <c r="J2638" s="108" t="s">
        <v>2899</v>
      </c>
      <c r="K2638" s="581">
        <v>0</v>
      </c>
      <c r="L2638" s="108" t="s">
        <v>2900</v>
      </c>
      <c r="M2638" s="581">
        <v>21.22</v>
      </c>
      <c r="N2638" s="573"/>
      <c r="O2638" s="556"/>
      <c r="P2638" s="573"/>
      <c r="Q2638" s="556"/>
      <c r="R2638" s="582"/>
    </row>
    <row r="2639" ht="26.25" spans="1:18">
      <c r="A2639" s="556"/>
      <c r="B2639" s="557"/>
      <c r="C2639" s="108"/>
      <c r="D2639" s="108"/>
      <c r="E2639" s="108"/>
      <c r="F2639" s="108"/>
      <c r="G2639" s="108"/>
      <c r="H2639" s="108" t="s">
        <v>2901</v>
      </c>
      <c r="I2639" s="581">
        <v>22.74</v>
      </c>
      <c r="J2639" s="114"/>
      <c r="K2639" s="114" t="s">
        <v>2902</v>
      </c>
      <c r="L2639" s="108"/>
      <c r="M2639" s="581">
        <v>111.97</v>
      </c>
      <c r="N2639" s="573"/>
      <c r="O2639" s="556"/>
      <c r="P2639" s="573"/>
      <c r="Q2639" s="556"/>
      <c r="R2639" s="582"/>
    </row>
    <row r="2640" ht="15" spans="1:18">
      <c r="A2640" s="556"/>
      <c r="B2640" s="557">
        <f>C2639</f>
        <v>0</v>
      </c>
      <c r="C2640" s="571"/>
      <c r="D2640" s="571"/>
      <c r="E2640" s="571"/>
      <c r="F2640" s="571"/>
      <c r="G2640" s="571"/>
      <c r="H2640" s="571"/>
      <c r="I2640" s="571"/>
      <c r="J2640" s="571"/>
      <c r="K2640" s="571"/>
      <c r="L2640" s="571"/>
      <c r="M2640" s="571"/>
      <c r="N2640" s="573">
        <v>31.53</v>
      </c>
      <c r="O2640" s="556" t="str">
        <f>IF(N2640=M2640,"OK","DIF")</f>
        <v>DIF</v>
      </c>
      <c r="P2640" s="573"/>
      <c r="Q2640" s="556"/>
      <c r="R2640" s="582"/>
    </row>
    <row r="2641" ht="15" customHeight="1" spans="1:18">
      <c r="A2641" s="556">
        <f>B2641</f>
        <v>0</v>
      </c>
      <c r="B2641" s="557">
        <f>B2640</f>
        <v>0</v>
      </c>
      <c r="C2641" s="76" t="s">
        <v>922</v>
      </c>
      <c r="D2641" s="75" t="s">
        <v>63</v>
      </c>
      <c r="E2641" s="76" t="s">
        <v>64</v>
      </c>
      <c r="F2641" s="76" t="s">
        <v>65</v>
      </c>
      <c r="G2641" s="76" t="s">
        <v>2889</v>
      </c>
      <c r="H2641" s="76"/>
      <c r="I2641" s="77" t="s">
        <v>66</v>
      </c>
      <c r="J2641" s="75" t="s">
        <v>67</v>
      </c>
      <c r="K2641" s="75" t="s">
        <v>2890</v>
      </c>
      <c r="L2641" s="75" t="s">
        <v>68</v>
      </c>
      <c r="M2641" s="75" t="s">
        <v>70</v>
      </c>
      <c r="N2641" s="573">
        <v>5.69</v>
      </c>
      <c r="O2641" s="556" t="str">
        <f>IF(N2641=M2641,"OK","DIF")</f>
        <v>DIF</v>
      </c>
      <c r="P2641" s="573"/>
      <c r="Q2641" s="556"/>
      <c r="R2641" s="582"/>
    </row>
    <row r="2642" ht="25.5" spans="1:18">
      <c r="A2642" s="556">
        <f>B2642</f>
        <v>0</v>
      </c>
      <c r="B2642" s="557">
        <f>B2641</f>
        <v>0</v>
      </c>
      <c r="C2642" s="569" t="s">
        <v>2891</v>
      </c>
      <c r="D2642" s="570" t="s">
        <v>923</v>
      </c>
      <c r="E2642" s="569" t="s">
        <v>77</v>
      </c>
      <c r="F2642" s="569" t="s">
        <v>3827</v>
      </c>
      <c r="G2642" s="569">
        <v>18</v>
      </c>
      <c r="H2642" s="569"/>
      <c r="I2642" s="577" t="s">
        <v>134</v>
      </c>
      <c r="J2642" s="578">
        <v>1</v>
      </c>
      <c r="K2642" s="579"/>
      <c r="L2642" s="579">
        <v>45.68</v>
      </c>
      <c r="M2642" s="579">
        <v>45.68</v>
      </c>
      <c r="N2642" s="573">
        <v>4.69</v>
      </c>
      <c r="O2642" s="556" t="str">
        <f>IF(N2642=M2642,"OK","DIF")</f>
        <v>DIF</v>
      </c>
      <c r="P2642" s="573"/>
      <c r="Q2642" s="556"/>
      <c r="R2642" s="582"/>
    </row>
    <row r="2643" ht="15" customHeight="1" spans="1:18">
      <c r="A2643" s="556">
        <f>B2643</f>
        <v>0</v>
      </c>
      <c r="B2643" s="557">
        <f>B2642</f>
        <v>0</v>
      </c>
      <c r="C2643" s="100" t="s">
        <v>2893</v>
      </c>
      <c r="D2643" s="99" t="s">
        <v>3828</v>
      </c>
      <c r="E2643" s="100" t="s">
        <v>77</v>
      </c>
      <c r="F2643" s="100" t="s">
        <v>3829</v>
      </c>
      <c r="G2643" s="100" t="s">
        <v>2961</v>
      </c>
      <c r="H2643" s="100"/>
      <c r="I2643" s="101" t="s">
        <v>134</v>
      </c>
      <c r="J2643" s="580">
        <v>1</v>
      </c>
      <c r="K2643" s="580">
        <v>0</v>
      </c>
      <c r="L2643" s="102">
        <v>30.98</v>
      </c>
      <c r="M2643" s="102">
        <v>30.98</v>
      </c>
      <c r="N2643" s="573">
        <v>21.15</v>
      </c>
      <c r="O2643" s="556" t="str">
        <f>IF(N2643=M2643,"OK","DIF")</f>
        <v>DIF</v>
      </c>
      <c r="P2643" s="573"/>
      <c r="Q2643" s="556"/>
      <c r="R2643" s="582"/>
    </row>
    <row r="2644" ht="23.85" customHeight="1" spans="1:18">
      <c r="A2644" s="556"/>
      <c r="B2644" s="557"/>
      <c r="C2644" s="100" t="s">
        <v>2893</v>
      </c>
      <c r="D2644" s="99" t="s">
        <v>3830</v>
      </c>
      <c r="E2644" s="100" t="s">
        <v>77</v>
      </c>
      <c r="F2644" s="100" t="s">
        <v>3831</v>
      </c>
      <c r="G2644" s="100" t="s">
        <v>2896</v>
      </c>
      <c r="H2644" s="100"/>
      <c r="I2644" s="101" t="s">
        <v>2897</v>
      </c>
      <c r="J2644" s="580">
        <v>0.5</v>
      </c>
      <c r="K2644" s="580">
        <v>3</v>
      </c>
      <c r="L2644" s="102">
        <v>28.55</v>
      </c>
      <c r="M2644" s="102">
        <v>14.7</v>
      </c>
      <c r="N2644" s="573"/>
      <c r="O2644" s="556"/>
      <c r="P2644" s="573"/>
      <c r="Q2644" s="556"/>
      <c r="R2644" s="582"/>
    </row>
    <row r="2645" ht="25.5" spans="1:18">
      <c r="A2645" s="556"/>
      <c r="B2645" s="557"/>
      <c r="C2645" s="108"/>
      <c r="D2645" s="108"/>
      <c r="E2645" s="108"/>
      <c r="F2645" s="108"/>
      <c r="G2645" s="108"/>
      <c r="H2645" s="108" t="s">
        <v>2898</v>
      </c>
      <c r="I2645" s="581">
        <v>14.7</v>
      </c>
      <c r="J2645" s="108" t="s">
        <v>2899</v>
      </c>
      <c r="K2645" s="581">
        <v>0</v>
      </c>
      <c r="L2645" s="108" t="s">
        <v>2900</v>
      </c>
      <c r="M2645" s="581">
        <v>14.7</v>
      </c>
      <c r="N2645" s="573"/>
      <c r="O2645" s="556"/>
      <c r="P2645" s="573"/>
      <c r="Q2645" s="556"/>
      <c r="R2645" s="582"/>
    </row>
    <row r="2646" ht="26.25" spans="1:18">
      <c r="A2646" s="556"/>
      <c r="B2646" s="557">
        <f>C2645</f>
        <v>0</v>
      </c>
      <c r="C2646" s="108"/>
      <c r="D2646" s="108"/>
      <c r="E2646" s="108"/>
      <c r="F2646" s="108"/>
      <c r="G2646" s="108"/>
      <c r="H2646" s="108" t="s">
        <v>2901</v>
      </c>
      <c r="I2646" s="581">
        <v>11.64</v>
      </c>
      <c r="J2646" s="114"/>
      <c r="K2646" s="114" t="s">
        <v>2902</v>
      </c>
      <c r="L2646" s="108"/>
      <c r="M2646" s="581">
        <v>57.32</v>
      </c>
      <c r="N2646" s="573">
        <v>35.49</v>
      </c>
      <c r="O2646" s="556" t="str">
        <f>IF(N2646=M2646,"OK","DIF")</f>
        <v>DIF</v>
      </c>
      <c r="P2646" s="573"/>
      <c r="Q2646" s="556"/>
      <c r="R2646" s="582"/>
    </row>
    <row r="2647" ht="15" spans="1:18">
      <c r="A2647" s="556">
        <f>B2647</f>
        <v>0</v>
      </c>
      <c r="B2647" s="557">
        <f>B2646</f>
        <v>0</v>
      </c>
      <c r="C2647" s="571"/>
      <c r="D2647" s="571"/>
      <c r="E2647" s="571"/>
      <c r="F2647" s="571"/>
      <c r="G2647" s="571"/>
      <c r="H2647" s="571"/>
      <c r="I2647" s="571"/>
      <c r="J2647" s="571"/>
      <c r="K2647" s="571"/>
      <c r="L2647" s="571"/>
      <c r="M2647" s="571"/>
      <c r="N2647" s="573">
        <v>23.3</v>
      </c>
      <c r="O2647" s="556" t="str">
        <f>IF(N2647=M2647,"OK","DIF")</f>
        <v>DIF</v>
      </c>
      <c r="P2647" s="573"/>
      <c r="Q2647" s="556"/>
      <c r="R2647" s="582"/>
    </row>
    <row r="2648" ht="15" customHeight="1" spans="1:18">
      <c r="A2648" s="556">
        <f>B2648</f>
        <v>0</v>
      </c>
      <c r="B2648" s="557">
        <f>B2647</f>
        <v>0</v>
      </c>
      <c r="C2648" s="76" t="s">
        <v>925</v>
      </c>
      <c r="D2648" s="75" t="s">
        <v>63</v>
      </c>
      <c r="E2648" s="76" t="s">
        <v>64</v>
      </c>
      <c r="F2648" s="76" t="s">
        <v>65</v>
      </c>
      <c r="G2648" s="76" t="s">
        <v>2889</v>
      </c>
      <c r="H2648" s="76"/>
      <c r="I2648" s="77" t="s">
        <v>66</v>
      </c>
      <c r="J2648" s="75" t="s">
        <v>67</v>
      </c>
      <c r="K2648" s="75" t="s">
        <v>2890</v>
      </c>
      <c r="L2648" s="75" t="s">
        <v>68</v>
      </c>
      <c r="M2648" s="75" t="s">
        <v>70</v>
      </c>
      <c r="N2648" s="573">
        <v>8.11</v>
      </c>
      <c r="O2648" s="556" t="str">
        <f>IF(N2648=M2648,"OK","DIF")</f>
        <v>DIF</v>
      </c>
      <c r="P2648" s="573"/>
      <c r="Q2648" s="556"/>
      <c r="R2648" s="582"/>
    </row>
    <row r="2649" ht="23.85" customHeight="1" spans="1:18">
      <c r="A2649" s="556">
        <f>B2649</f>
        <v>0</v>
      </c>
      <c r="B2649" s="557">
        <f>B2648</f>
        <v>0</v>
      </c>
      <c r="C2649" s="569" t="s">
        <v>2891</v>
      </c>
      <c r="D2649" s="570" t="s">
        <v>926</v>
      </c>
      <c r="E2649" s="569" t="s">
        <v>139</v>
      </c>
      <c r="F2649" s="569" t="s">
        <v>927</v>
      </c>
      <c r="G2649" s="569" t="s">
        <v>3516</v>
      </c>
      <c r="H2649" s="569"/>
      <c r="I2649" s="577" t="s">
        <v>134</v>
      </c>
      <c r="J2649" s="578">
        <v>1</v>
      </c>
      <c r="K2649" s="579"/>
      <c r="L2649" s="579">
        <v>61.05</v>
      </c>
      <c r="M2649" s="579">
        <v>61.05</v>
      </c>
      <c r="N2649" s="573">
        <v>2.26</v>
      </c>
      <c r="O2649" s="556" t="str">
        <f>IF(N2649=M2649,"OK","DIF")</f>
        <v>DIF</v>
      </c>
      <c r="P2649" s="573"/>
      <c r="Q2649" s="556"/>
      <c r="R2649" s="582"/>
    </row>
    <row r="2650" ht="23.85" customHeight="1" spans="1:18">
      <c r="A2650" s="556">
        <f>B2650</f>
        <v>0</v>
      </c>
      <c r="B2650" s="557">
        <f>B2649</f>
        <v>0</v>
      </c>
      <c r="C2650" s="79" t="s">
        <v>2921</v>
      </c>
      <c r="D2650" s="78" t="s">
        <v>2952</v>
      </c>
      <c r="E2650" s="79" t="s">
        <v>139</v>
      </c>
      <c r="F2650" s="79" t="s">
        <v>2953</v>
      </c>
      <c r="G2650" s="79" t="s">
        <v>2928</v>
      </c>
      <c r="H2650" s="79"/>
      <c r="I2650" s="80" t="s">
        <v>2897</v>
      </c>
      <c r="J2650" s="583">
        <v>0.0996</v>
      </c>
      <c r="K2650" s="583">
        <v>0</v>
      </c>
      <c r="L2650" s="92">
        <v>29.15</v>
      </c>
      <c r="M2650" s="92">
        <v>2.9</v>
      </c>
      <c r="N2650" s="573">
        <v>1.82</v>
      </c>
      <c r="O2650" s="556" t="str">
        <f>IF(N2650=M2650,"OK","DIF")</f>
        <v>DIF</v>
      </c>
      <c r="P2650" s="573"/>
      <c r="Q2650" s="556"/>
      <c r="R2650" s="582"/>
    </row>
    <row r="2651" ht="23.85" customHeight="1" spans="1:18">
      <c r="A2651" s="556"/>
      <c r="B2651" s="557"/>
      <c r="C2651" s="79" t="s">
        <v>2921</v>
      </c>
      <c r="D2651" s="78" t="s">
        <v>3144</v>
      </c>
      <c r="E2651" s="79" t="s">
        <v>139</v>
      </c>
      <c r="F2651" s="79" t="s">
        <v>3145</v>
      </c>
      <c r="G2651" s="79" t="s">
        <v>2928</v>
      </c>
      <c r="H2651" s="79"/>
      <c r="I2651" s="80" t="s">
        <v>2897</v>
      </c>
      <c r="J2651" s="583">
        <v>0.3162</v>
      </c>
      <c r="K2651" s="583">
        <v>0</v>
      </c>
      <c r="L2651" s="92">
        <v>35.55</v>
      </c>
      <c r="M2651" s="92">
        <v>11.24</v>
      </c>
      <c r="N2651" s="573"/>
      <c r="O2651" s="556"/>
      <c r="P2651" s="573"/>
      <c r="Q2651" s="556"/>
      <c r="R2651" s="582"/>
    </row>
    <row r="2652" ht="23.85" customHeight="1" spans="1:18">
      <c r="A2652" s="556"/>
      <c r="B2652" s="557"/>
      <c r="C2652" s="100" t="s">
        <v>2893</v>
      </c>
      <c r="D2652" s="99" t="s">
        <v>3832</v>
      </c>
      <c r="E2652" s="100" t="s">
        <v>139</v>
      </c>
      <c r="F2652" s="100" t="s">
        <v>3833</v>
      </c>
      <c r="G2652" s="100" t="s">
        <v>2961</v>
      </c>
      <c r="H2652" s="100"/>
      <c r="I2652" s="101" t="s">
        <v>134</v>
      </c>
      <c r="J2652" s="580">
        <v>1</v>
      </c>
      <c r="K2652" s="580">
        <v>0</v>
      </c>
      <c r="L2652" s="102">
        <v>46.91</v>
      </c>
      <c r="M2652" s="102">
        <v>46.91</v>
      </c>
      <c r="N2652" s="573"/>
      <c r="O2652" s="556"/>
      <c r="P2652" s="573"/>
      <c r="Q2652" s="556"/>
      <c r="R2652" s="582"/>
    </row>
    <row r="2653" ht="25.5" spans="1:18">
      <c r="A2653" s="556"/>
      <c r="B2653" s="557" t="str">
        <f>C2652</f>
        <v>Insumo</v>
      </c>
      <c r="C2653" s="108"/>
      <c r="D2653" s="108"/>
      <c r="E2653" s="108"/>
      <c r="F2653" s="108"/>
      <c r="G2653" s="108"/>
      <c r="H2653" s="108" t="s">
        <v>2898</v>
      </c>
      <c r="I2653" s="581">
        <v>10.18</v>
      </c>
      <c r="J2653" s="108" t="s">
        <v>2899</v>
      </c>
      <c r="K2653" s="581">
        <v>0</v>
      </c>
      <c r="L2653" s="108" t="s">
        <v>2900</v>
      </c>
      <c r="M2653" s="581">
        <v>10.18</v>
      </c>
      <c r="N2653" s="573">
        <v>144.45</v>
      </c>
      <c r="O2653" s="556" t="str">
        <f t="shared" ref="O2653:O2658" si="257">IF(N2653=M2653,"OK","DIF")</f>
        <v>DIF</v>
      </c>
      <c r="P2653" s="573"/>
      <c r="Q2653" s="556"/>
      <c r="R2653" s="582"/>
    </row>
    <row r="2654" ht="26.25" spans="1:18">
      <c r="A2654" s="556" t="str">
        <f>B2654</f>
        <v>Insumo</v>
      </c>
      <c r="B2654" s="557" t="str">
        <f>B2653</f>
        <v>Insumo</v>
      </c>
      <c r="C2654" s="108"/>
      <c r="D2654" s="108"/>
      <c r="E2654" s="108"/>
      <c r="F2654" s="108"/>
      <c r="G2654" s="108"/>
      <c r="H2654" s="108" t="s">
        <v>2901</v>
      </c>
      <c r="I2654" s="581">
        <v>15.56</v>
      </c>
      <c r="J2654" s="114"/>
      <c r="K2654" s="114" t="s">
        <v>2902</v>
      </c>
      <c r="L2654" s="108"/>
      <c r="M2654" s="581">
        <v>76.61</v>
      </c>
      <c r="N2654" s="573">
        <v>22.03</v>
      </c>
      <c r="O2654" s="556" t="str">
        <f t="shared" si="257"/>
        <v>DIF</v>
      </c>
      <c r="P2654" s="573"/>
      <c r="Q2654" s="556"/>
      <c r="R2654" s="582"/>
    </row>
    <row r="2655" ht="15" spans="1:18">
      <c r="A2655" s="556" t="str">
        <f>B2655</f>
        <v>Insumo</v>
      </c>
      <c r="B2655" s="557" t="str">
        <f>B2654</f>
        <v>Insumo</v>
      </c>
      <c r="C2655" s="571"/>
      <c r="D2655" s="571"/>
      <c r="E2655" s="571"/>
      <c r="F2655" s="571"/>
      <c r="G2655" s="571"/>
      <c r="H2655" s="571"/>
      <c r="I2655" s="571"/>
      <c r="J2655" s="571"/>
      <c r="K2655" s="571"/>
      <c r="L2655" s="571"/>
      <c r="M2655" s="571"/>
      <c r="N2655" s="573">
        <v>68.5</v>
      </c>
      <c r="O2655" s="556" t="str">
        <f t="shared" si="257"/>
        <v>DIF</v>
      </c>
      <c r="P2655" s="573"/>
      <c r="Q2655" s="556"/>
      <c r="R2655" s="582"/>
    </row>
    <row r="2656" ht="15" customHeight="1" spans="1:18">
      <c r="A2656" s="556" t="str">
        <f>B2656</f>
        <v>Insumo</v>
      </c>
      <c r="B2656" s="557" t="str">
        <f>B2655</f>
        <v>Insumo</v>
      </c>
      <c r="C2656" s="76" t="s">
        <v>928</v>
      </c>
      <c r="D2656" s="75" t="s">
        <v>63</v>
      </c>
      <c r="E2656" s="76" t="s">
        <v>64</v>
      </c>
      <c r="F2656" s="76" t="s">
        <v>65</v>
      </c>
      <c r="G2656" s="76" t="s">
        <v>2889</v>
      </c>
      <c r="H2656" s="76"/>
      <c r="I2656" s="77" t="s">
        <v>66</v>
      </c>
      <c r="J2656" s="75" t="s">
        <v>67</v>
      </c>
      <c r="K2656" s="75" t="s">
        <v>2890</v>
      </c>
      <c r="L2656" s="75" t="s">
        <v>68</v>
      </c>
      <c r="M2656" s="75" t="s">
        <v>70</v>
      </c>
      <c r="N2656" s="573">
        <v>14</v>
      </c>
      <c r="O2656" s="556" t="str">
        <f t="shared" si="257"/>
        <v>DIF</v>
      </c>
      <c r="P2656" s="573"/>
      <c r="Q2656" s="556"/>
      <c r="R2656" s="582"/>
    </row>
    <row r="2657" ht="15" customHeight="1" spans="1:18">
      <c r="A2657" s="556" t="str">
        <f>B2657</f>
        <v>Insumo</v>
      </c>
      <c r="B2657" s="557" t="str">
        <f>B2656</f>
        <v>Insumo</v>
      </c>
      <c r="C2657" s="569" t="s">
        <v>2891</v>
      </c>
      <c r="D2657" s="570" t="s">
        <v>929</v>
      </c>
      <c r="E2657" s="569" t="s">
        <v>149</v>
      </c>
      <c r="F2657" s="569" t="s">
        <v>930</v>
      </c>
      <c r="G2657" s="569" t="s">
        <v>3789</v>
      </c>
      <c r="H2657" s="569"/>
      <c r="I2657" s="577" t="s">
        <v>134</v>
      </c>
      <c r="J2657" s="578">
        <v>1</v>
      </c>
      <c r="K2657" s="579"/>
      <c r="L2657" s="579">
        <v>76.6</v>
      </c>
      <c r="M2657" s="579">
        <v>76.6</v>
      </c>
      <c r="N2657" s="573">
        <v>30.85</v>
      </c>
      <c r="O2657" s="556" t="str">
        <f t="shared" si="257"/>
        <v>DIF</v>
      </c>
      <c r="P2657" s="573"/>
      <c r="Q2657" s="556"/>
      <c r="R2657" s="582"/>
    </row>
    <row r="2658" ht="15" customHeight="1" spans="1:18">
      <c r="A2658" s="556" t="str">
        <f>B2658</f>
        <v>Insumo</v>
      </c>
      <c r="B2658" s="557" t="str">
        <f>B2657</f>
        <v>Insumo</v>
      </c>
      <c r="C2658" s="100" t="s">
        <v>2893</v>
      </c>
      <c r="D2658" s="99" t="s">
        <v>3834</v>
      </c>
      <c r="E2658" s="100" t="s">
        <v>149</v>
      </c>
      <c r="F2658" s="100" t="s">
        <v>3835</v>
      </c>
      <c r="G2658" s="100" t="s">
        <v>2961</v>
      </c>
      <c r="H2658" s="100"/>
      <c r="I2658" s="101" t="s">
        <v>134</v>
      </c>
      <c r="J2658" s="580">
        <v>1</v>
      </c>
      <c r="K2658" s="580">
        <v>0</v>
      </c>
      <c r="L2658" s="102">
        <v>63.84</v>
      </c>
      <c r="M2658" s="102">
        <v>63.84</v>
      </c>
      <c r="N2658" s="573">
        <v>9.07</v>
      </c>
      <c r="O2658" s="556" t="str">
        <f t="shared" si="257"/>
        <v>DIF</v>
      </c>
      <c r="P2658" s="573"/>
      <c r="Q2658" s="556"/>
      <c r="R2658" s="582"/>
    </row>
    <row r="2659" ht="15" customHeight="1" spans="1:18">
      <c r="A2659" s="556"/>
      <c r="B2659" s="557"/>
      <c r="C2659" s="100" t="s">
        <v>2893</v>
      </c>
      <c r="D2659" s="99" t="s">
        <v>2974</v>
      </c>
      <c r="E2659" s="100" t="s">
        <v>149</v>
      </c>
      <c r="F2659" s="100" t="s">
        <v>2975</v>
      </c>
      <c r="G2659" s="100" t="s">
        <v>2896</v>
      </c>
      <c r="H2659" s="100"/>
      <c r="I2659" s="101" t="s">
        <v>2897</v>
      </c>
      <c r="J2659" s="580">
        <v>0.2</v>
      </c>
      <c r="K2659" s="580">
        <v>0</v>
      </c>
      <c r="L2659" s="102">
        <v>19.471856</v>
      </c>
      <c r="M2659" s="102">
        <v>3.89</v>
      </c>
      <c r="N2659" s="573"/>
      <c r="O2659" s="556"/>
      <c r="P2659" s="573"/>
      <c r="Q2659" s="556"/>
      <c r="R2659" s="582"/>
    </row>
    <row r="2660" ht="15" customHeight="1" spans="1:18">
      <c r="A2660" s="556"/>
      <c r="B2660" s="557"/>
      <c r="C2660" s="100" t="s">
        <v>2893</v>
      </c>
      <c r="D2660" s="99" t="s">
        <v>3569</v>
      </c>
      <c r="E2660" s="100" t="s">
        <v>149</v>
      </c>
      <c r="F2660" s="100" t="s">
        <v>3570</v>
      </c>
      <c r="G2660" s="100" t="s">
        <v>2961</v>
      </c>
      <c r="H2660" s="100"/>
      <c r="I2660" s="101" t="s">
        <v>279</v>
      </c>
      <c r="J2660" s="580">
        <v>0.001</v>
      </c>
      <c r="K2660" s="580">
        <v>0</v>
      </c>
      <c r="L2660" s="102">
        <v>88.64</v>
      </c>
      <c r="M2660" s="102">
        <v>0.08</v>
      </c>
      <c r="N2660" s="573"/>
      <c r="O2660" s="556"/>
      <c r="P2660" s="573"/>
      <c r="Q2660" s="556"/>
      <c r="R2660" s="582"/>
    </row>
    <row r="2661" ht="15" customHeight="1" spans="1:18">
      <c r="A2661" s="556"/>
      <c r="B2661" s="557" t="str">
        <f>C2660</f>
        <v>Insumo</v>
      </c>
      <c r="C2661" s="100" t="s">
        <v>2893</v>
      </c>
      <c r="D2661" s="99" t="s">
        <v>3283</v>
      </c>
      <c r="E2661" s="100" t="s">
        <v>149</v>
      </c>
      <c r="F2661" s="100" t="s">
        <v>3284</v>
      </c>
      <c r="G2661" s="100" t="s">
        <v>2896</v>
      </c>
      <c r="H2661" s="100"/>
      <c r="I2661" s="101" t="s">
        <v>2897</v>
      </c>
      <c r="J2661" s="580">
        <v>0.3</v>
      </c>
      <c r="K2661" s="580">
        <v>0</v>
      </c>
      <c r="L2661" s="102">
        <v>28.994744</v>
      </c>
      <c r="M2661" s="102">
        <v>8.69</v>
      </c>
      <c r="N2661" s="573">
        <v>832.77</v>
      </c>
      <c r="O2661" s="556" t="str">
        <f t="shared" ref="O2661:O2666" si="258">IF(N2661=M2661,"OK","DIF")</f>
        <v>DIF</v>
      </c>
      <c r="P2661" s="573"/>
      <c r="Q2661" s="556"/>
      <c r="R2661" s="582"/>
    </row>
    <row r="2662" ht="15" customHeight="1" spans="1:18">
      <c r="A2662" s="556" t="str">
        <f>B2662</f>
        <v>Insumo</v>
      </c>
      <c r="B2662" s="557" t="str">
        <f>B2661</f>
        <v>Insumo</v>
      </c>
      <c r="C2662" s="100" t="s">
        <v>2893</v>
      </c>
      <c r="D2662" s="99" t="s">
        <v>3575</v>
      </c>
      <c r="E2662" s="100" t="s">
        <v>149</v>
      </c>
      <c r="F2662" s="100" t="s">
        <v>3576</v>
      </c>
      <c r="G2662" s="100" t="s">
        <v>2961</v>
      </c>
      <c r="H2662" s="100"/>
      <c r="I2662" s="101" t="s">
        <v>393</v>
      </c>
      <c r="J2662" s="580">
        <v>0.15</v>
      </c>
      <c r="K2662" s="580">
        <v>0</v>
      </c>
      <c r="L2662" s="102">
        <v>0.68</v>
      </c>
      <c r="M2662" s="102">
        <v>0.1</v>
      </c>
      <c r="N2662" s="573">
        <v>136.24</v>
      </c>
      <c r="O2662" s="556" t="str">
        <f t="shared" si="258"/>
        <v>DIF</v>
      </c>
      <c r="P2662" s="573"/>
      <c r="Q2662" s="556"/>
      <c r="R2662" s="582"/>
    </row>
    <row r="2663" ht="25.5" spans="1:18">
      <c r="A2663" s="556" t="str">
        <f>B2663</f>
        <v>Insumo</v>
      </c>
      <c r="B2663" s="557" t="str">
        <f>B2662</f>
        <v>Insumo</v>
      </c>
      <c r="C2663" s="108"/>
      <c r="D2663" s="108"/>
      <c r="E2663" s="108"/>
      <c r="F2663" s="108"/>
      <c r="G2663" s="108"/>
      <c r="H2663" s="108" t="s">
        <v>2898</v>
      </c>
      <c r="I2663" s="581">
        <v>12.58</v>
      </c>
      <c r="J2663" s="108" t="s">
        <v>2899</v>
      </c>
      <c r="K2663" s="581">
        <v>0</v>
      </c>
      <c r="L2663" s="108" t="s">
        <v>2900</v>
      </c>
      <c r="M2663" s="581">
        <v>12.58</v>
      </c>
      <c r="N2663" s="573">
        <v>367.25</v>
      </c>
      <c r="O2663" s="556" t="str">
        <f t="shared" si="258"/>
        <v>DIF</v>
      </c>
      <c r="P2663" s="573"/>
      <c r="Q2663" s="556"/>
      <c r="R2663" s="582"/>
    </row>
    <row r="2664" ht="26.25" spans="1:18">
      <c r="A2664" s="556" t="str">
        <f>B2664</f>
        <v>Insumo</v>
      </c>
      <c r="B2664" s="557" t="str">
        <f>B2663</f>
        <v>Insumo</v>
      </c>
      <c r="C2664" s="108"/>
      <c r="D2664" s="108"/>
      <c r="E2664" s="108"/>
      <c r="F2664" s="108"/>
      <c r="G2664" s="108"/>
      <c r="H2664" s="108" t="s">
        <v>2901</v>
      </c>
      <c r="I2664" s="581">
        <v>19.52</v>
      </c>
      <c r="J2664" s="114"/>
      <c r="K2664" s="114" t="s">
        <v>2902</v>
      </c>
      <c r="L2664" s="108"/>
      <c r="M2664" s="581">
        <v>96.12</v>
      </c>
      <c r="N2664" s="573">
        <v>189.16</v>
      </c>
      <c r="O2664" s="556" t="str">
        <f t="shared" si="258"/>
        <v>DIF</v>
      </c>
      <c r="P2664" s="573"/>
      <c r="Q2664" s="556"/>
      <c r="R2664" s="582"/>
    </row>
    <row r="2665" ht="15" spans="1:18">
      <c r="A2665" s="556" t="str">
        <f>B2665</f>
        <v>Insumo</v>
      </c>
      <c r="B2665" s="557" t="str">
        <f>B2664</f>
        <v>Insumo</v>
      </c>
      <c r="C2665" s="571"/>
      <c r="D2665" s="571"/>
      <c r="E2665" s="571"/>
      <c r="F2665" s="571"/>
      <c r="G2665" s="571"/>
      <c r="H2665" s="571"/>
      <c r="I2665" s="571"/>
      <c r="J2665" s="571"/>
      <c r="K2665" s="571"/>
      <c r="L2665" s="571"/>
      <c r="M2665" s="571"/>
      <c r="N2665" s="573">
        <v>55.43</v>
      </c>
      <c r="O2665" s="556" t="str">
        <f t="shared" si="258"/>
        <v>DIF</v>
      </c>
      <c r="P2665" s="573"/>
      <c r="Q2665" s="556"/>
      <c r="R2665" s="582"/>
    </row>
    <row r="2666" ht="15" customHeight="1" spans="1:18">
      <c r="A2666" s="556" t="str">
        <f>B2666</f>
        <v>Insumo</v>
      </c>
      <c r="B2666" s="557" t="str">
        <f>B2665</f>
        <v>Insumo</v>
      </c>
      <c r="C2666" s="76" t="s">
        <v>931</v>
      </c>
      <c r="D2666" s="75" t="s">
        <v>63</v>
      </c>
      <c r="E2666" s="76" t="s">
        <v>64</v>
      </c>
      <c r="F2666" s="76" t="s">
        <v>65</v>
      </c>
      <c r="G2666" s="76" t="s">
        <v>2889</v>
      </c>
      <c r="H2666" s="76"/>
      <c r="I2666" s="77" t="s">
        <v>66</v>
      </c>
      <c r="J2666" s="75" t="s">
        <v>67</v>
      </c>
      <c r="K2666" s="75" t="s">
        <v>2890</v>
      </c>
      <c r="L2666" s="75" t="s">
        <v>68</v>
      </c>
      <c r="M2666" s="75" t="s">
        <v>70</v>
      </c>
      <c r="N2666" s="573">
        <v>84.69</v>
      </c>
      <c r="O2666" s="556" t="str">
        <f t="shared" si="258"/>
        <v>DIF</v>
      </c>
      <c r="P2666" s="573"/>
      <c r="Q2666" s="556"/>
      <c r="R2666" s="582"/>
    </row>
    <row r="2667" ht="15" customHeight="1" spans="1:18">
      <c r="A2667" s="556"/>
      <c r="B2667" s="557"/>
      <c r="C2667" s="569" t="s">
        <v>2891</v>
      </c>
      <c r="D2667" s="570" t="s">
        <v>932</v>
      </c>
      <c r="E2667" s="569" t="s">
        <v>149</v>
      </c>
      <c r="F2667" s="569" t="s">
        <v>933</v>
      </c>
      <c r="G2667" s="569" t="s">
        <v>3789</v>
      </c>
      <c r="H2667" s="569"/>
      <c r="I2667" s="577" t="s">
        <v>141</v>
      </c>
      <c r="J2667" s="578">
        <v>1</v>
      </c>
      <c r="K2667" s="579"/>
      <c r="L2667" s="579">
        <v>568.06</v>
      </c>
      <c r="M2667" s="579">
        <v>568.06</v>
      </c>
      <c r="N2667" s="573"/>
      <c r="O2667" s="556"/>
      <c r="P2667" s="573"/>
      <c r="Q2667" s="556"/>
      <c r="R2667" s="582"/>
    </row>
    <row r="2668" ht="15" customHeight="1" spans="1:18">
      <c r="A2668" s="556"/>
      <c r="B2668" s="557"/>
      <c r="C2668" s="100" t="s">
        <v>2893</v>
      </c>
      <c r="D2668" s="99" t="s">
        <v>3836</v>
      </c>
      <c r="E2668" s="100" t="s">
        <v>149</v>
      </c>
      <c r="F2668" s="100" t="s">
        <v>3837</v>
      </c>
      <c r="G2668" s="100" t="s">
        <v>2896</v>
      </c>
      <c r="H2668" s="100"/>
      <c r="I2668" s="101" t="s">
        <v>2897</v>
      </c>
      <c r="J2668" s="580">
        <v>0.7</v>
      </c>
      <c r="K2668" s="580">
        <v>0</v>
      </c>
      <c r="L2668" s="102">
        <v>20.515752</v>
      </c>
      <c r="M2668" s="102">
        <v>14.36</v>
      </c>
      <c r="N2668" s="573"/>
      <c r="O2668" s="556"/>
      <c r="P2668" s="573"/>
      <c r="Q2668" s="556"/>
      <c r="R2668" s="582"/>
    </row>
    <row r="2669" ht="15" customHeight="1" spans="1:18">
      <c r="A2669" s="556"/>
      <c r="B2669" s="557" t="str">
        <f>C2668</f>
        <v>Insumo</v>
      </c>
      <c r="C2669" s="100" t="s">
        <v>2893</v>
      </c>
      <c r="D2669" s="99" t="s">
        <v>3838</v>
      </c>
      <c r="E2669" s="100" t="s">
        <v>149</v>
      </c>
      <c r="F2669" s="100" t="s">
        <v>3839</v>
      </c>
      <c r="G2669" s="100" t="s">
        <v>2961</v>
      </c>
      <c r="H2669" s="100"/>
      <c r="I2669" s="101" t="s">
        <v>141</v>
      </c>
      <c r="J2669" s="580">
        <v>1</v>
      </c>
      <c r="K2669" s="580">
        <v>0</v>
      </c>
      <c r="L2669" s="102">
        <v>450.78</v>
      </c>
      <c r="M2669" s="102">
        <v>450.78</v>
      </c>
      <c r="N2669" s="573">
        <v>889.57</v>
      </c>
      <c r="O2669" s="556" t="str">
        <f t="shared" ref="O2669:O2688" si="259">IF(N2669=M2669,"OK","DIF")</f>
        <v>DIF</v>
      </c>
      <c r="P2669" s="573"/>
      <c r="Q2669" s="556"/>
      <c r="R2669" s="582"/>
    </row>
    <row r="2670" ht="15" customHeight="1" spans="1:18">
      <c r="A2670" s="556" t="str">
        <f t="shared" ref="A2670:A2688" si="260">B2670</f>
        <v>Insumo</v>
      </c>
      <c r="B2670" s="557" t="str">
        <f t="shared" ref="B2670:B2688" si="261">B2669</f>
        <v>Insumo</v>
      </c>
      <c r="C2670" s="100" t="s">
        <v>2893</v>
      </c>
      <c r="D2670" s="99" t="s">
        <v>3840</v>
      </c>
      <c r="E2670" s="100" t="s">
        <v>149</v>
      </c>
      <c r="F2670" s="100" t="s">
        <v>3841</v>
      </c>
      <c r="G2670" s="100" t="s">
        <v>2961</v>
      </c>
      <c r="H2670" s="100"/>
      <c r="I2670" s="101" t="s">
        <v>204</v>
      </c>
      <c r="J2670" s="580">
        <v>4</v>
      </c>
      <c r="K2670" s="580">
        <v>0</v>
      </c>
      <c r="L2670" s="102">
        <v>16.69</v>
      </c>
      <c r="M2670" s="102">
        <v>66.76</v>
      </c>
      <c r="N2670" s="573">
        <v>407.64</v>
      </c>
      <c r="O2670" s="556" t="str">
        <f t="shared" si="259"/>
        <v>DIF</v>
      </c>
      <c r="P2670" s="573"/>
      <c r="Q2670" s="556"/>
      <c r="R2670" s="582"/>
    </row>
    <row r="2671" ht="15" customHeight="1" spans="1:18">
      <c r="A2671" s="556" t="str">
        <f t="shared" si="260"/>
        <v>Insumo</v>
      </c>
      <c r="B2671" s="557" t="str">
        <f t="shared" si="261"/>
        <v>Insumo</v>
      </c>
      <c r="C2671" s="100" t="s">
        <v>2893</v>
      </c>
      <c r="D2671" s="99" t="s">
        <v>2980</v>
      </c>
      <c r="E2671" s="100" t="s">
        <v>149</v>
      </c>
      <c r="F2671" s="100" t="s">
        <v>2981</v>
      </c>
      <c r="G2671" s="100" t="s">
        <v>2896</v>
      </c>
      <c r="H2671" s="100"/>
      <c r="I2671" s="101" t="s">
        <v>2897</v>
      </c>
      <c r="J2671" s="580">
        <v>0.7</v>
      </c>
      <c r="K2671" s="580">
        <v>0</v>
      </c>
      <c r="L2671" s="102">
        <v>26.928256</v>
      </c>
      <c r="M2671" s="102">
        <v>18.84</v>
      </c>
      <c r="N2671" s="573">
        <v>41.14</v>
      </c>
      <c r="O2671" s="556" t="str">
        <f t="shared" si="259"/>
        <v>DIF</v>
      </c>
      <c r="P2671" s="573"/>
      <c r="Q2671" s="556"/>
      <c r="R2671" s="582"/>
    </row>
    <row r="2672" ht="23.85" customHeight="1" spans="1:18">
      <c r="A2672" s="556" t="str">
        <f t="shared" si="260"/>
        <v>Insumo</v>
      </c>
      <c r="B2672" s="557" t="str">
        <f t="shared" si="261"/>
        <v>Insumo</v>
      </c>
      <c r="C2672" s="100" t="s">
        <v>2893</v>
      </c>
      <c r="D2672" s="99" t="s">
        <v>3842</v>
      </c>
      <c r="E2672" s="100" t="s">
        <v>149</v>
      </c>
      <c r="F2672" s="100" t="s">
        <v>3843</v>
      </c>
      <c r="G2672" s="100" t="s">
        <v>2961</v>
      </c>
      <c r="H2672" s="100"/>
      <c r="I2672" s="101" t="s">
        <v>141</v>
      </c>
      <c r="J2672" s="580">
        <v>1.05</v>
      </c>
      <c r="K2672" s="580">
        <v>0</v>
      </c>
      <c r="L2672" s="102">
        <v>16.5</v>
      </c>
      <c r="M2672" s="102">
        <v>17.32</v>
      </c>
      <c r="N2672" s="573">
        <v>188.89</v>
      </c>
      <c r="O2672" s="556" t="str">
        <f t="shared" si="259"/>
        <v>DIF</v>
      </c>
      <c r="P2672" s="573"/>
      <c r="Q2672" s="556"/>
      <c r="R2672" s="582"/>
    </row>
    <row r="2673" ht="25.5" spans="1:18">
      <c r="A2673" s="556" t="str">
        <f t="shared" si="260"/>
        <v>Insumo</v>
      </c>
      <c r="B2673" s="557" t="str">
        <f t="shared" si="261"/>
        <v>Insumo</v>
      </c>
      <c r="C2673" s="108"/>
      <c r="D2673" s="108"/>
      <c r="E2673" s="108"/>
      <c r="F2673" s="108"/>
      <c r="G2673" s="108"/>
      <c r="H2673" s="108" t="s">
        <v>2898</v>
      </c>
      <c r="I2673" s="581">
        <v>33.2</v>
      </c>
      <c r="J2673" s="108" t="s">
        <v>2899</v>
      </c>
      <c r="K2673" s="581">
        <v>0</v>
      </c>
      <c r="L2673" s="108" t="s">
        <v>2900</v>
      </c>
      <c r="M2673" s="581">
        <v>33.2</v>
      </c>
      <c r="N2673" s="573">
        <v>45.91</v>
      </c>
      <c r="O2673" s="556" t="str">
        <f t="shared" si="259"/>
        <v>DIF</v>
      </c>
      <c r="P2673" s="573"/>
      <c r="Q2673" s="556"/>
      <c r="R2673" s="582"/>
    </row>
    <row r="2674" ht="26.25" spans="1:18">
      <c r="A2674" s="556" t="str">
        <f t="shared" si="260"/>
        <v>Insumo</v>
      </c>
      <c r="B2674" s="557" t="str">
        <f t="shared" si="261"/>
        <v>Insumo</v>
      </c>
      <c r="C2674" s="108"/>
      <c r="D2674" s="108"/>
      <c r="E2674" s="108"/>
      <c r="F2674" s="108"/>
      <c r="G2674" s="108"/>
      <c r="H2674" s="108" t="s">
        <v>2901</v>
      </c>
      <c r="I2674" s="581">
        <v>144.79</v>
      </c>
      <c r="J2674" s="114"/>
      <c r="K2674" s="114" t="s">
        <v>2902</v>
      </c>
      <c r="L2674" s="108"/>
      <c r="M2674" s="581">
        <v>712.85</v>
      </c>
      <c r="N2674" s="573">
        <v>4.76</v>
      </c>
      <c r="O2674" s="556" t="str">
        <f t="shared" si="259"/>
        <v>DIF</v>
      </c>
      <c r="P2674" s="573"/>
      <c r="Q2674" s="556"/>
      <c r="R2674" s="582"/>
    </row>
    <row r="2675" ht="15" spans="1:18">
      <c r="A2675" s="556" t="str">
        <f t="shared" si="260"/>
        <v>Insumo</v>
      </c>
      <c r="B2675" s="557" t="str">
        <f t="shared" si="261"/>
        <v>Insumo</v>
      </c>
      <c r="C2675" s="571"/>
      <c r="D2675" s="571"/>
      <c r="E2675" s="571"/>
      <c r="F2675" s="571"/>
      <c r="G2675" s="571"/>
      <c r="H2675" s="571"/>
      <c r="I2675" s="571"/>
      <c r="J2675" s="571"/>
      <c r="K2675" s="571"/>
      <c r="L2675" s="571"/>
      <c r="M2675" s="571"/>
      <c r="N2675" s="573">
        <v>1.98</v>
      </c>
      <c r="O2675" s="556" t="str">
        <f t="shared" si="259"/>
        <v>DIF</v>
      </c>
      <c r="P2675" s="573"/>
      <c r="Q2675" s="556"/>
      <c r="R2675" s="582"/>
    </row>
    <row r="2676" ht="15" customHeight="1" spans="1:18">
      <c r="A2676" s="556" t="str">
        <f t="shared" si="260"/>
        <v>Insumo</v>
      </c>
      <c r="B2676" s="557" t="str">
        <f t="shared" si="261"/>
        <v>Insumo</v>
      </c>
      <c r="C2676" s="76" t="s">
        <v>934</v>
      </c>
      <c r="D2676" s="75" t="s">
        <v>63</v>
      </c>
      <c r="E2676" s="76" t="s">
        <v>64</v>
      </c>
      <c r="F2676" s="76" t="s">
        <v>65</v>
      </c>
      <c r="G2676" s="76" t="s">
        <v>2889</v>
      </c>
      <c r="H2676" s="76"/>
      <c r="I2676" s="77" t="s">
        <v>66</v>
      </c>
      <c r="J2676" s="75" t="s">
        <v>67</v>
      </c>
      <c r="K2676" s="75" t="s">
        <v>2890</v>
      </c>
      <c r="L2676" s="75" t="s">
        <v>68</v>
      </c>
      <c r="M2676" s="75" t="s">
        <v>70</v>
      </c>
      <c r="N2676" s="573">
        <v>9.96</v>
      </c>
      <c r="O2676" s="556" t="str">
        <f t="shared" si="259"/>
        <v>DIF</v>
      </c>
      <c r="P2676" s="573"/>
      <c r="Q2676" s="556"/>
      <c r="R2676" s="582"/>
    </row>
    <row r="2677" ht="23.85" customHeight="1" spans="1:18">
      <c r="A2677" s="556" t="str">
        <f t="shared" si="260"/>
        <v>Insumo</v>
      </c>
      <c r="B2677" s="557" t="str">
        <f t="shared" si="261"/>
        <v>Insumo</v>
      </c>
      <c r="C2677" s="569" t="s">
        <v>2891</v>
      </c>
      <c r="D2677" s="570" t="s">
        <v>935</v>
      </c>
      <c r="E2677" s="569" t="s">
        <v>139</v>
      </c>
      <c r="F2677" s="569" t="s">
        <v>936</v>
      </c>
      <c r="G2677" s="569" t="s">
        <v>3516</v>
      </c>
      <c r="H2677" s="569"/>
      <c r="I2677" s="577" t="s">
        <v>134</v>
      </c>
      <c r="J2677" s="578">
        <v>1</v>
      </c>
      <c r="K2677" s="579"/>
      <c r="L2677" s="579">
        <v>110.21</v>
      </c>
      <c r="M2677" s="579">
        <v>110.21</v>
      </c>
      <c r="N2677" s="573">
        <v>14.81</v>
      </c>
      <c r="O2677" s="556" t="str">
        <f t="shared" si="259"/>
        <v>DIF</v>
      </c>
      <c r="P2677" s="573"/>
      <c r="Q2677" s="556"/>
      <c r="R2677" s="582"/>
    </row>
    <row r="2678" ht="23.85" customHeight="1" spans="1:18">
      <c r="A2678" s="556" t="str">
        <f t="shared" si="260"/>
        <v>Insumo</v>
      </c>
      <c r="B2678" s="557" t="str">
        <f t="shared" si="261"/>
        <v>Insumo</v>
      </c>
      <c r="C2678" s="79" t="s">
        <v>2921</v>
      </c>
      <c r="D2678" s="78" t="s">
        <v>3144</v>
      </c>
      <c r="E2678" s="79" t="s">
        <v>139</v>
      </c>
      <c r="F2678" s="79" t="s">
        <v>3145</v>
      </c>
      <c r="G2678" s="79" t="s">
        <v>2928</v>
      </c>
      <c r="H2678" s="79"/>
      <c r="I2678" s="80" t="s">
        <v>2897</v>
      </c>
      <c r="J2678" s="583">
        <v>0.4467</v>
      </c>
      <c r="K2678" s="583">
        <v>0</v>
      </c>
      <c r="L2678" s="92">
        <v>35.55</v>
      </c>
      <c r="M2678" s="92">
        <v>15.88</v>
      </c>
      <c r="N2678" s="573">
        <v>11.84</v>
      </c>
      <c r="O2678" s="556" t="str">
        <f t="shared" si="259"/>
        <v>DIF</v>
      </c>
      <c r="P2678" s="573"/>
      <c r="Q2678" s="556"/>
      <c r="R2678" s="582"/>
    </row>
    <row r="2679" ht="23.85" customHeight="1" spans="1:18">
      <c r="A2679" s="556" t="str">
        <f t="shared" si="260"/>
        <v>Insumo</v>
      </c>
      <c r="B2679" s="557" t="str">
        <f t="shared" si="261"/>
        <v>Insumo</v>
      </c>
      <c r="C2679" s="79" t="s">
        <v>2921</v>
      </c>
      <c r="D2679" s="78" t="s">
        <v>2952</v>
      </c>
      <c r="E2679" s="79" t="s">
        <v>139</v>
      </c>
      <c r="F2679" s="79" t="s">
        <v>2953</v>
      </c>
      <c r="G2679" s="79" t="s">
        <v>2928</v>
      </c>
      <c r="H2679" s="79"/>
      <c r="I2679" s="80" t="s">
        <v>2897</v>
      </c>
      <c r="J2679" s="583">
        <v>0.1407</v>
      </c>
      <c r="K2679" s="583">
        <v>0</v>
      </c>
      <c r="L2679" s="92">
        <v>29.15</v>
      </c>
      <c r="M2679" s="92">
        <v>4.1</v>
      </c>
      <c r="N2679" s="573">
        <v>2.26</v>
      </c>
      <c r="O2679" s="556" t="str">
        <f t="shared" si="259"/>
        <v>DIF</v>
      </c>
      <c r="P2679" s="573"/>
      <c r="Q2679" s="556"/>
      <c r="R2679" s="582"/>
    </row>
    <row r="2680" ht="15" customHeight="1" spans="1:18">
      <c r="A2680" s="556" t="str">
        <f t="shared" si="260"/>
        <v>Insumo</v>
      </c>
      <c r="B2680" s="557" t="str">
        <f t="shared" si="261"/>
        <v>Insumo</v>
      </c>
      <c r="C2680" s="100" t="s">
        <v>2893</v>
      </c>
      <c r="D2680" s="99" t="s">
        <v>3738</v>
      </c>
      <c r="E2680" s="100" t="s">
        <v>139</v>
      </c>
      <c r="F2680" s="100" t="s">
        <v>3739</v>
      </c>
      <c r="G2680" s="100" t="s">
        <v>2961</v>
      </c>
      <c r="H2680" s="100"/>
      <c r="I2680" s="101" t="s">
        <v>134</v>
      </c>
      <c r="J2680" s="580">
        <v>0.021</v>
      </c>
      <c r="K2680" s="580">
        <v>0</v>
      </c>
      <c r="L2680" s="102">
        <v>3.65</v>
      </c>
      <c r="M2680" s="102">
        <v>0.07</v>
      </c>
      <c r="N2680" s="573">
        <v>16.36</v>
      </c>
      <c r="O2680" s="556" t="str">
        <f t="shared" si="259"/>
        <v>DIF</v>
      </c>
      <c r="P2680" s="573"/>
      <c r="Q2680" s="556"/>
      <c r="R2680" s="582"/>
    </row>
    <row r="2681" ht="23.85" customHeight="1" spans="1:18">
      <c r="A2681" s="556" t="str">
        <f t="shared" si="260"/>
        <v>Insumo</v>
      </c>
      <c r="B2681" s="557" t="str">
        <f t="shared" si="261"/>
        <v>Insumo</v>
      </c>
      <c r="C2681" s="100" t="s">
        <v>2893</v>
      </c>
      <c r="D2681" s="99" t="s">
        <v>3844</v>
      </c>
      <c r="E2681" s="100" t="s">
        <v>139</v>
      </c>
      <c r="F2681" s="100" t="s">
        <v>3845</v>
      </c>
      <c r="G2681" s="100" t="s">
        <v>2961</v>
      </c>
      <c r="H2681" s="100"/>
      <c r="I2681" s="101" t="s">
        <v>134</v>
      </c>
      <c r="J2681" s="580">
        <v>1</v>
      </c>
      <c r="K2681" s="580">
        <v>0</v>
      </c>
      <c r="L2681" s="102">
        <v>90.16</v>
      </c>
      <c r="M2681" s="102">
        <v>90.16</v>
      </c>
      <c r="N2681" s="573">
        <v>4.67</v>
      </c>
      <c r="O2681" s="556" t="str">
        <f t="shared" si="259"/>
        <v>DIF</v>
      </c>
      <c r="P2681" s="573"/>
      <c r="Q2681" s="556"/>
      <c r="R2681" s="582"/>
    </row>
    <row r="2682" ht="25.5" spans="1:18">
      <c r="A2682" s="556" t="str">
        <f t="shared" si="260"/>
        <v>Insumo</v>
      </c>
      <c r="B2682" s="557" t="str">
        <f t="shared" si="261"/>
        <v>Insumo</v>
      </c>
      <c r="C2682" s="108"/>
      <c r="D2682" s="108"/>
      <c r="E2682" s="108"/>
      <c r="F2682" s="108"/>
      <c r="G2682" s="108"/>
      <c r="H2682" s="108" t="s">
        <v>2898</v>
      </c>
      <c r="I2682" s="581">
        <v>14.39</v>
      </c>
      <c r="J2682" s="108" t="s">
        <v>2899</v>
      </c>
      <c r="K2682" s="581">
        <v>0</v>
      </c>
      <c r="L2682" s="108" t="s">
        <v>2900</v>
      </c>
      <c r="M2682" s="581">
        <v>14.39</v>
      </c>
      <c r="N2682" s="573">
        <v>3.39</v>
      </c>
      <c r="O2682" s="556" t="str">
        <f t="shared" si="259"/>
        <v>DIF</v>
      </c>
      <c r="P2682" s="573"/>
      <c r="Q2682" s="556"/>
      <c r="R2682" s="582"/>
    </row>
    <row r="2683" ht="26.25" spans="1:18">
      <c r="A2683" s="556" t="str">
        <f t="shared" si="260"/>
        <v>Insumo</v>
      </c>
      <c r="B2683" s="557" t="str">
        <f t="shared" si="261"/>
        <v>Insumo</v>
      </c>
      <c r="C2683" s="108"/>
      <c r="D2683" s="108"/>
      <c r="E2683" s="108"/>
      <c r="F2683" s="108"/>
      <c r="G2683" s="108"/>
      <c r="H2683" s="108" t="s">
        <v>2901</v>
      </c>
      <c r="I2683" s="581">
        <v>28.09</v>
      </c>
      <c r="J2683" s="114"/>
      <c r="K2683" s="114" t="s">
        <v>2902</v>
      </c>
      <c r="L2683" s="108"/>
      <c r="M2683" s="581">
        <v>138.3</v>
      </c>
      <c r="N2683" s="573">
        <v>0.95</v>
      </c>
      <c r="O2683" s="556" t="str">
        <f t="shared" si="259"/>
        <v>DIF</v>
      </c>
      <c r="P2683" s="573"/>
      <c r="Q2683" s="556"/>
      <c r="R2683" s="582"/>
    </row>
    <row r="2684" ht="15" spans="1:18">
      <c r="A2684" s="556" t="str">
        <f t="shared" si="260"/>
        <v>Insumo</v>
      </c>
      <c r="B2684" s="557" t="str">
        <f t="shared" si="261"/>
        <v>Insumo</v>
      </c>
      <c r="C2684" s="571"/>
      <c r="D2684" s="571"/>
      <c r="E2684" s="571"/>
      <c r="F2684" s="571"/>
      <c r="G2684" s="571"/>
      <c r="H2684" s="571"/>
      <c r="I2684" s="571"/>
      <c r="J2684" s="571"/>
      <c r="K2684" s="571"/>
      <c r="L2684" s="571"/>
      <c r="M2684" s="571"/>
      <c r="N2684" s="573">
        <v>23.1</v>
      </c>
      <c r="O2684" s="556" t="str">
        <f t="shared" si="259"/>
        <v>DIF</v>
      </c>
      <c r="P2684" s="573"/>
      <c r="Q2684" s="556"/>
      <c r="R2684" s="582"/>
    </row>
    <row r="2685" ht="15" customHeight="1" spans="1:18">
      <c r="A2685" s="556" t="str">
        <f t="shared" si="260"/>
        <v>Insumo</v>
      </c>
      <c r="B2685" s="557" t="str">
        <f t="shared" si="261"/>
        <v>Insumo</v>
      </c>
      <c r="C2685" s="76" t="s">
        <v>937</v>
      </c>
      <c r="D2685" s="75" t="s">
        <v>63</v>
      </c>
      <c r="E2685" s="76" t="s">
        <v>64</v>
      </c>
      <c r="F2685" s="76" t="s">
        <v>65</v>
      </c>
      <c r="G2685" s="76" t="s">
        <v>2889</v>
      </c>
      <c r="H2685" s="76"/>
      <c r="I2685" s="77" t="s">
        <v>66</v>
      </c>
      <c r="J2685" s="75" t="s">
        <v>67</v>
      </c>
      <c r="K2685" s="75" t="s">
        <v>2890</v>
      </c>
      <c r="L2685" s="75" t="s">
        <v>68</v>
      </c>
      <c r="M2685" s="75" t="s">
        <v>70</v>
      </c>
      <c r="N2685" s="573">
        <v>4.03</v>
      </c>
      <c r="O2685" s="556" t="str">
        <f t="shared" si="259"/>
        <v>DIF</v>
      </c>
      <c r="P2685" s="573"/>
      <c r="Q2685" s="556"/>
      <c r="R2685" s="582"/>
    </row>
    <row r="2686" ht="23.85" customHeight="1" spans="1:18">
      <c r="A2686" s="556" t="str">
        <f t="shared" si="260"/>
        <v>Insumo</v>
      </c>
      <c r="B2686" s="557" t="str">
        <f t="shared" si="261"/>
        <v>Insumo</v>
      </c>
      <c r="C2686" s="569" t="s">
        <v>2891</v>
      </c>
      <c r="D2686" s="570" t="s">
        <v>938</v>
      </c>
      <c r="E2686" s="569" t="s">
        <v>139</v>
      </c>
      <c r="F2686" s="569" t="s">
        <v>939</v>
      </c>
      <c r="G2686" s="569" t="s">
        <v>3516</v>
      </c>
      <c r="H2686" s="569"/>
      <c r="I2686" s="577" t="s">
        <v>134</v>
      </c>
      <c r="J2686" s="578">
        <v>1</v>
      </c>
      <c r="K2686" s="579"/>
      <c r="L2686" s="579">
        <v>709.64</v>
      </c>
      <c r="M2686" s="579">
        <v>709.64</v>
      </c>
      <c r="N2686" s="573">
        <v>2.88</v>
      </c>
      <c r="O2686" s="556" t="str">
        <f t="shared" si="259"/>
        <v>DIF</v>
      </c>
      <c r="P2686" s="573"/>
      <c r="Q2686" s="556"/>
      <c r="R2686" s="582"/>
    </row>
    <row r="2687" ht="23.85" customHeight="1" spans="1:18">
      <c r="A2687" s="556" t="str">
        <f t="shared" si="260"/>
        <v>Insumo</v>
      </c>
      <c r="B2687" s="557" t="str">
        <f t="shared" si="261"/>
        <v>Insumo</v>
      </c>
      <c r="C2687" s="79" t="s">
        <v>2921</v>
      </c>
      <c r="D2687" s="78" t="s">
        <v>2952</v>
      </c>
      <c r="E2687" s="79" t="s">
        <v>139</v>
      </c>
      <c r="F2687" s="79" t="s">
        <v>2953</v>
      </c>
      <c r="G2687" s="79" t="s">
        <v>2928</v>
      </c>
      <c r="H2687" s="79"/>
      <c r="I2687" s="80" t="s">
        <v>2897</v>
      </c>
      <c r="J2687" s="583">
        <v>0.3179</v>
      </c>
      <c r="K2687" s="583">
        <v>0</v>
      </c>
      <c r="L2687" s="92">
        <v>29.15</v>
      </c>
      <c r="M2687" s="92">
        <v>9.26</v>
      </c>
      <c r="N2687" s="573">
        <v>103.04</v>
      </c>
      <c r="O2687" s="556" t="str">
        <f t="shared" si="259"/>
        <v>DIF</v>
      </c>
      <c r="P2687" s="573"/>
      <c r="Q2687" s="556"/>
      <c r="R2687" s="582"/>
    </row>
    <row r="2688" ht="23.85" customHeight="1" spans="1:18">
      <c r="A2688" s="556" t="str">
        <f t="shared" si="260"/>
        <v>Insumo</v>
      </c>
      <c r="B2688" s="557" t="str">
        <f t="shared" si="261"/>
        <v>Insumo</v>
      </c>
      <c r="C2688" s="79" t="s">
        <v>2921</v>
      </c>
      <c r="D2688" s="78" t="s">
        <v>3144</v>
      </c>
      <c r="E2688" s="79" t="s">
        <v>139</v>
      </c>
      <c r="F2688" s="79" t="s">
        <v>3145</v>
      </c>
      <c r="G2688" s="79" t="s">
        <v>2928</v>
      </c>
      <c r="H2688" s="79"/>
      <c r="I2688" s="80" t="s">
        <v>2897</v>
      </c>
      <c r="J2688" s="583">
        <v>1.009</v>
      </c>
      <c r="K2688" s="583">
        <v>0</v>
      </c>
      <c r="L2688" s="92">
        <v>35.55</v>
      </c>
      <c r="M2688" s="92">
        <v>35.86</v>
      </c>
      <c r="N2688" s="573">
        <v>1.96</v>
      </c>
      <c r="O2688" s="556" t="str">
        <f t="shared" si="259"/>
        <v>DIF</v>
      </c>
      <c r="P2688" s="573"/>
      <c r="Q2688" s="556"/>
      <c r="R2688" s="582"/>
    </row>
    <row r="2689" ht="23.85" customHeight="1" spans="1:18">
      <c r="A2689" s="556"/>
      <c r="B2689" s="557"/>
      <c r="C2689" s="100" t="s">
        <v>2893</v>
      </c>
      <c r="D2689" s="99" t="s">
        <v>3806</v>
      </c>
      <c r="E2689" s="100" t="s">
        <v>139</v>
      </c>
      <c r="F2689" s="100" t="s">
        <v>3807</v>
      </c>
      <c r="G2689" s="100" t="s">
        <v>2961</v>
      </c>
      <c r="H2689" s="100"/>
      <c r="I2689" s="101" t="s">
        <v>134</v>
      </c>
      <c r="J2689" s="580">
        <v>1</v>
      </c>
      <c r="K2689" s="580">
        <v>0</v>
      </c>
      <c r="L2689" s="102">
        <v>10.38</v>
      </c>
      <c r="M2689" s="102">
        <v>10.38</v>
      </c>
      <c r="N2689" s="573"/>
      <c r="O2689" s="556"/>
      <c r="P2689" s="573"/>
      <c r="Q2689" s="556"/>
      <c r="R2689" s="582"/>
    </row>
    <row r="2690" ht="15" customHeight="1" spans="1:18">
      <c r="A2690" s="556"/>
      <c r="B2690" s="557"/>
      <c r="C2690" s="100" t="s">
        <v>2893</v>
      </c>
      <c r="D2690" s="99" t="s">
        <v>3738</v>
      </c>
      <c r="E2690" s="100" t="s">
        <v>139</v>
      </c>
      <c r="F2690" s="100" t="s">
        <v>3739</v>
      </c>
      <c r="G2690" s="100" t="s">
        <v>2961</v>
      </c>
      <c r="H2690" s="100"/>
      <c r="I2690" s="101" t="s">
        <v>134</v>
      </c>
      <c r="J2690" s="580">
        <v>0.0365</v>
      </c>
      <c r="K2690" s="580">
        <v>0</v>
      </c>
      <c r="L2690" s="102">
        <v>3.65</v>
      </c>
      <c r="M2690" s="102">
        <v>0.13</v>
      </c>
      <c r="N2690" s="573"/>
      <c r="O2690" s="556"/>
      <c r="P2690" s="573"/>
      <c r="Q2690" s="556"/>
      <c r="R2690" s="582"/>
    </row>
    <row r="2691" ht="35.05" customHeight="1" spans="1:18">
      <c r="A2691" s="556"/>
      <c r="B2691" s="557" t="str">
        <f>C2690</f>
        <v>Insumo</v>
      </c>
      <c r="C2691" s="100" t="s">
        <v>2893</v>
      </c>
      <c r="D2691" s="99" t="s">
        <v>3846</v>
      </c>
      <c r="E2691" s="100" t="s">
        <v>139</v>
      </c>
      <c r="F2691" s="100" t="s">
        <v>3847</v>
      </c>
      <c r="G2691" s="100" t="s">
        <v>2961</v>
      </c>
      <c r="H2691" s="100"/>
      <c r="I2691" s="101" t="s">
        <v>134</v>
      </c>
      <c r="J2691" s="580">
        <v>2</v>
      </c>
      <c r="K2691" s="580">
        <v>0</v>
      </c>
      <c r="L2691" s="102">
        <v>22.34</v>
      </c>
      <c r="M2691" s="102">
        <v>44.68</v>
      </c>
      <c r="N2691" s="573">
        <v>1820.54</v>
      </c>
      <c r="O2691" s="556" t="str">
        <f>IF(N2691=M2691,"OK","DIF")</f>
        <v>DIF</v>
      </c>
      <c r="P2691" s="573"/>
      <c r="Q2691" s="556"/>
      <c r="R2691" s="582"/>
    </row>
    <row r="2692" ht="23.85" customHeight="1" spans="1:18">
      <c r="A2692" s="556" t="str">
        <f>B2692</f>
        <v>Insumo</v>
      </c>
      <c r="B2692" s="557" t="str">
        <f>B2691</f>
        <v>Insumo</v>
      </c>
      <c r="C2692" s="100" t="s">
        <v>2893</v>
      </c>
      <c r="D2692" s="99" t="s">
        <v>3848</v>
      </c>
      <c r="E2692" s="100" t="s">
        <v>139</v>
      </c>
      <c r="F2692" s="100" t="s">
        <v>3849</v>
      </c>
      <c r="G2692" s="100" t="s">
        <v>2961</v>
      </c>
      <c r="H2692" s="100"/>
      <c r="I2692" s="101" t="s">
        <v>134</v>
      </c>
      <c r="J2692" s="580">
        <v>1</v>
      </c>
      <c r="K2692" s="580">
        <v>0</v>
      </c>
      <c r="L2692" s="102">
        <v>383.03</v>
      </c>
      <c r="M2692" s="102">
        <v>383.03</v>
      </c>
      <c r="N2692" s="573">
        <v>81.36</v>
      </c>
      <c r="O2692" s="556" t="str">
        <f>IF(N2692=M2692,"OK","DIF")</f>
        <v>DIF</v>
      </c>
      <c r="P2692" s="573"/>
      <c r="Q2692" s="556"/>
      <c r="R2692" s="582"/>
    </row>
    <row r="2693" ht="23.85" customHeight="1" spans="1:18">
      <c r="A2693" s="556" t="str">
        <f>B2693</f>
        <v>Insumo</v>
      </c>
      <c r="B2693" s="557" t="str">
        <f>B2692</f>
        <v>Insumo</v>
      </c>
      <c r="C2693" s="100" t="s">
        <v>2893</v>
      </c>
      <c r="D2693" s="99" t="s">
        <v>3850</v>
      </c>
      <c r="E2693" s="100" t="s">
        <v>139</v>
      </c>
      <c r="F2693" s="100" t="s">
        <v>3851</v>
      </c>
      <c r="G2693" s="100" t="s">
        <v>2961</v>
      </c>
      <c r="H2693" s="100"/>
      <c r="I2693" s="101" t="s">
        <v>134</v>
      </c>
      <c r="J2693" s="580">
        <v>1</v>
      </c>
      <c r="K2693" s="580">
        <v>0</v>
      </c>
      <c r="L2693" s="102">
        <v>226.3</v>
      </c>
      <c r="M2693" s="102">
        <v>226.3</v>
      </c>
      <c r="N2693" s="573">
        <v>1248.48</v>
      </c>
      <c r="O2693" s="556" t="str">
        <f>IF(N2693=M2693,"OK","DIF")</f>
        <v>DIF</v>
      </c>
      <c r="P2693" s="573"/>
      <c r="Q2693" s="556"/>
      <c r="R2693" s="582"/>
    </row>
    <row r="2694" ht="25.5" spans="1:18">
      <c r="A2694" s="556" t="str">
        <f>B2694</f>
        <v>Insumo</v>
      </c>
      <c r="B2694" s="557" t="str">
        <f>B2693</f>
        <v>Insumo</v>
      </c>
      <c r="C2694" s="108"/>
      <c r="D2694" s="108"/>
      <c r="E2694" s="108"/>
      <c r="F2694" s="108"/>
      <c r="G2694" s="108"/>
      <c r="H2694" s="108" t="s">
        <v>2898</v>
      </c>
      <c r="I2694" s="581">
        <v>32.52</v>
      </c>
      <c r="J2694" s="108" t="s">
        <v>2899</v>
      </c>
      <c r="K2694" s="581">
        <v>0</v>
      </c>
      <c r="L2694" s="108" t="s">
        <v>2900</v>
      </c>
      <c r="M2694" s="581">
        <v>32.52</v>
      </c>
      <c r="N2694" s="573">
        <v>324.63</v>
      </c>
      <c r="O2694" s="556" t="str">
        <f>IF(N2694=M2694,"OK","DIF")</f>
        <v>DIF</v>
      </c>
      <c r="P2694" s="573"/>
      <c r="Q2694" s="556"/>
      <c r="R2694" s="582"/>
    </row>
    <row r="2695" ht="26.25" spans="1:18">
      <c r="A2695" s="556" t="str">
        <f>B2695</f>
        <v>Insumo</v>
      </c>
      <c r="B2695" s="557" t="str">
        <f>B2694</f>
        <v>Insumo</v>
      </c>
      <c r="C2695" s="108"/>
      <c r="D2695" s="108"/>
      <c r="E2695" s="108"/>
      <c r="F2695" s="108"/>
      <c r="G2695" s="108"/>
      <c r="H2695" s="108" t="s">
        <v>2901</v>
      </c>
      <c r="I2695" s="581">
        <v>180.88</v>
      </c>
      <c r="J2695" s="114"/>
      <c r="K2695" s="114" t="s">
        <v>2902</v>
      </c>
      <c r="L2695" s="108"/>
      <c r="M2695" s="581">
        <v>890.52</v>
      </c>
      <c r="N2695" s="573">
        <v>166.07</v>
      </c>
      <c r="O2695" s="556" t="str">
        <f>IF(N2695=M2695,"OK","DIF")</f>
        <v>DIF</v>
      </c>
      <c r="P2695" s="573"/>
      <c r="Q2695" s="556"/>
      <c r="R2695" s="582"/>
    </row>
    <row r="2696" ht="15" spans="1:18">
      <c r="A2696" s="556"/>
      <c r="B2696" s="557"/>
      <c r="C2696" s="571"/>
      <c r="D2696" s="571"/>
      <c r="E2696" s="571"/>
      <c r="F2696" s="571"/>
      <c r="G2696" s="571"/>
      <c r="H2696" s="571"/>
      <c r="I2696" s="571"/>
      <c r="J2696" s="571"/>
      <c r="K2696" s="571"/>
      <c r="L2696" s="571"/>
      <c r="M2696" s="571"/>
      <c r="N2696" s="573"/>
      <c r="O2696" s="556"/>
      <c r="P2696" s="573"/>
      <c r="Q2696" s="556"/>
      <c r="R2696" s="582"/>
    </row>
    <row r="2697" ht="15" customHeight="1" spans="1:18">
      <c r="A2697" s="556"/>
      <c r="B2697" s="557"/>
      <c r="C2697" s="76" t="s">
        <v>940</v>
      </c>
      <c r="D2697" s="75" t="s">
        <v>63</v>
      </c>
      <c r="E2697" s="76" t="s">
        <v>64</v>
      </c>
      <c r="F2697" s="76" t="s">
        <v>65</v>
      </c>
      <c r="G2697" s="76" t="s">
        <v>2889</v>
      </c>
      <c r="H2697" s="76"/>
      <c r="I2697" s="77" t="s">
        <v>66</v>
      </c>
      <c r="J2697" s="75" t="s">
        <v>67</v>
      </c>
      <c r="K2697" s="75" t="s">
        <v>2890</v>
      </c>
      <c r="L2697" s="75" t="s">
        <v>68</v>
      </c>
      <c r="M2697" s="75" t="s">
        <v>70</v>
      </c>
      <c r="N2697" s="573"/>
      <c r="O2697" s="556"/>
      <c r="P2697" s="573"/>
      <c r="Q2697" s="556"/>
      <c r="R2697" s="582"/>
    </row>
    <row r="2698" ht="23.85" customHeight="1" spans="1:18">
      <c r="A2698" s="556"/>
      <c r="B2698" s="557" t="str">
        <f>C2697</f>
        <v> 11.3.19 </v>
      </c>
      <c r="C2698" s="569" t="s">
        <v>2891</v>
      </c>
      <c r="D2698" s="570" t="s">
        <v>941</v>
      </c>
      <c r="E2698" s="569" t="s">
        <v>139</v>
      </c>
      <c r="F2698" s="569" t="s">
        <v>3852</v>
      </c>
      <c r="G2698" s="569" t="s">
        <v>3516</v>
      </c>
      <c r="H2698" s="569"/>
      <c r="I2698" s="577" t="s">
        <v>134</v>
      </c>
      <c r="J2698" s="578">
        <v>1</v>
      </c>
      <c r="K2698" s="579"/>
      <c r="L2698" s="579">
        <v>314.75</v>
      </c>
      <c r="M2698" s="579">
        <v>314.75</v>
      </c>
      <c r="N2698" s="573">
        <v>588.89</v>
      </c>
      <c r="O2698" s="556" t="str">
        <f>IF(N2698=M2698,"OK","DIF")</f>
        <v>DIF</v>
      </c>
      <c r="P2698" s="573"/>
      <c r="Q2698" s="556"/>
      <c r="R2698" s="582"/>
    </row>
    <row r="2699" ht="23.85" customHeight="1" spans="1:18">
      <c r="A2699" s="556" t="str">
        <f>B2699</f>
        <v> 11.3.19 </v>
      </c>
      <c r="B2699" s="557" t="str">
        <f>B2698</f>
        <v> 11.3.19 </v>
      </c>
      <c r="C2699" s="79" t="s">
        <v>2921</v>
      </c>
      <c r="D2699" s="78" t="s">
        <v>3144</v>
      </c>
      <c r="E2699" s="79" t="s">
        <v>139</v>
      </c>
      <c r="F2699" s="79" t="s">
        <v>3145</v>
      </c>
      <c r="G2699" s="79" t="s">
        <v>2928</v>
      </c>
      <c r="H2699" s="79"/>
      <c r="I2699" s="80" t="s">
        <v>2897</v>
      </c>
      <c r="J2699" s="583">
        <v>0.9485</v>
      </c>
      <c r="K2699" s="583">
        <v>0</v>
      </c>
      <c r="L2699" s="92">
        <v>35.55</v>
      </c>
      <c r="M2699" s="92">
        <v>33.71</v>
      </c>
      <c r="N2699" s="573">
        <v>66.76</v>
      </c>
      <c r="O2699" s="556" t="str">
        <f>IF(N2699=M2699,"OK","DIF")</f>
        <v>DIF</v>
      </c>
      <c r="P2699" s="573"/>
      <c r="Q2699" s="556"/>
      <c r="R2699" s="582"/>
    </row>
    <row r="2700" ht="23.85" customHeight="1" spans="1:18">
      <c r="A2700" s="556" t="str">
        <f>B2700</f>
        <v> 11.3.19 </v>
      </c>
      <c r="B2700" s="557" t="str">
        <f>B2699</f>
        <v> 11.3.19 </v>
      </c>
      <c r="C2700" s="79" t="s">
        <v>2921</v>
      </c>
      <c r="D2700" s="78" t="s">
        <v>2952</v>
      </c>
      <c r="E2700" s="79" t="s">
        <v>139</v>
      </c>
      <c r="F2700" s="79" t="s">
        <v>2953</v>
      </c>
      <c r="G2700" s="79" t="s">
        <v>2928</v>
      </c>
      <c r="H2700" s="79"/>
      <c r="I2700" s="80" t="s">
        <v>2897</v>
      </c>
      <c r="J2700" s="583">
        <v>0.2988</v>
      </c>
      <c r="K2700" s="583">
        <v>0</v>
      </c>
      <c r="L2700" s="92">
        <v>29.15</v>
      </c>
      <c r="M2700" s="92">
        <v>8.71</v>
      </c>
      <c r="N2700" s="573">
        <v>51.9</v>
      </c>
      <c r="O2700" s="556" t="str">
        <f>IF(N2700=M2700,"OK","DIF")</f>
        <v>DIF</v>
      </c>
      <c r="P2700" s="573"/>
      <c r="Q2700" s="556"/>
      <c r="R2700" s="582"/>
    </row>
    <row r="2701" ht="23.85" customHeight="1" spans="1:18">
      <c r="A2701" s="556" t="str">
        <f>B2701</f>
        <v> 11.3.19 </v>
      </c>
      <c r="B2701" s="557" t="str">
        <f>B2700</f>
        <v> 11.3.19 </v>
      </c>
      <c r="C2701" s="100" t="s">
        <v>2893</v>
      </c>
      <c r="D2701" s="99" t="s">
        <v>3853</v>
      </c>
      <c r="E2701" s="100" t="s">
        <v>139</v>
      </c>
      <c r="F2701" s="100" t="s">
        <v>3854</v>
      </c>
      <c r="G2701" s="100" t="s">
        <v>2961</v>
      </c>
      <c r="H2701" s="100"/>
      <c r="I2701" s="101" t="s">
        <v>134</v>
      </c>
      <c r="J2701" s="580">
        <v>1</v>
      </c>
      <c r="K2701" s="580">
        <v>0</v>
      </c>
      <c r="L2701" s="102">
        <v>138.29</v>
      </c>
      <c r="M2701" s="102">
        <v>138.29</v>
      </c>
      <c r="N2701" s="573">
        <v>2.23</v>
      </c>
      <c r="O2701" s="556" t="str">
        <f>IF(N2701=M2701,"OK","DIF")</f>
        <v>DIF</v>
      </c>
      <c r="P2701" s="573"/>
      <c r="Q2701" s="556"/>
      <c r="R2701" s="582"/>
    </row>
    <row r="2702" ht="35.05" customHeight="1" spans="1:18">
      <c r="A2702" s="556" t="str">
        <f>B2702</f>
        <v> 11.3.19 </v>
      </c>
      <c r="B2702" s="557" t="str">
        <f>B2701</f>
        <v> 11.3.19 </v>
      </c>
      <c r="C2702" s="100" t="s">
        <v>2893</v>
      </c>
      <c r="D2702" s="99" t="s">
        <v>3846</v>
      </c>
      <c r="E2702" s="100" t="s">
        <v>139</v>
      </c>
      <c r="F2702" s="100" t="s">
        <v>3847</v>
      </c>
      <c r="G2702" s="100" t="s">
        <v>2961</v>
      </c>
      <c r="H2702" s="100"/>
      <c r="I2702" s="101" t="s">
        <v>134</v>
      </c>
      <c r="J2702" s="580">
        <v>6</v>
      </c>
      <c r="K2702" s="580">
        <v>0</v>
      </c>
      <c r="L2702" s="102">
        <v>22.34</v>
      </c>
      <c r="M2702" s="102">
        <v>134.04</v>
      </c>
      <c r="N2702" s="573">
        <v>468</v>
      </c>
      <c r="O2702" s="556" t="str">
        <f>IF(N2702=M2702,"OK","DIF")</f>
        <v>DIF</v>
      </c>
      <c r="P2702" s="573"/>
      <c r="Q2702" s="556"/>
      <c r="R2702" s="582"/>
    </row>
    <row r="2703" ht="25.5" spans="1:18">
      <c r="A2703" s="556"/>
      <c r="B2703" s="557"/>
      <c r="C2703" s="108"/>
      <c r="D2703" s="108"/>
      <c r="E2703" s="108"/>
      <c r="F2703" s="108"/>
      <c r="G2703" s="108"/>
      <c r="H2703" s="108" t="s">
        <v>2898</v>
      </c>
      <c r="I2703" s="581">
        <v>30.57</v>
      </c>
      <c r="J2703" s="108" t="s">
        <v>2899</v>
      </c>
      <c r="K2703" s="581">
        <v>0</v>
      </c>
      <c r="L2703" s="108" t="s">
        <v>2900</v>
      </c>
      <c r="M2703" s="581">
        <v>30.57</v>
      </c>
      <c r="N2703" s="573"/>
      <c r="O2703" s="556"/>
      <c r="P2703" s="573"/>
      <c r="Q2703" s="556"/>
      <c r="R2703" s="582"/>
    </row>
    <row r="2704" ht="26.25" spans="1:18">
      <c r="A2704" s="556"/>
      <c r="B2704" s="557"/>
      <c r="C2704" s="108"/>
      <c r="D2704" s="108"/>
      <c r="E2704" s="108"/>
      <c r="F2704" s="108"/>
      <c r="G2704" s="108"/>
      <c r="H2704" s="108" t="s">
        <v>2901</v>
      </c>
      <c r="I2704" s="581">
        <v>80.22</v>
      </c>
      <c r="J2704" s="114"/>
      <c r="K2704" s="114" t="s">
        <v>2902</v>
      </c>
      <c r="L2704" s="108"/>
      <c r="M2704" s="581">
        <v>394.97</v>
      </c>
      <c r="N2704" s="573"/>
      <c r="O2704" s="556"/>
      <c r="P2704" s="573"/>
      <c r="Q2704" s="556"/>
      <c r="R2704" s="582"/>
    </row>
    <row r="2705" ht="15" spans="1:18">
      <c r="A2705" s="556"/>
      <c r="B2705" s="557"/>
      <c r="C2705" s="571"/>
      <c r="D2705" s="571"/>
      <c r="E2705" s="571"/>
      <c r="F2705" s="571"/>
      <c r="G2705" s="571"/>
      <c r="H2705" s="571"/>
      <c r="I2705" s="571"/>
      <c r="J2705" s="571"/>
      <c r="K2705" s="571"/>
      <c r="L2705" s="571"/>
      <c r="M2705" s="571"/>
      <c r="N2705" s="573"/>
      <c r="O2705" s="556"/>
      <c r="P2705" s="573"/>
      <c r="Q2705" s="556"/>
      <c r="R2705" s="582"/>
    </row>
    <row r="2706" ht="15" customHeight="1" spans="1:18">
      <c r="A2706" s="556"/>
      <c r="B2706" s="557">
        <f>C2705</f>
        <v>0</v>
      </c>
      <c r="C2706" s="76" t="s">
        <v>943</v>
      </c>
      <c r="D2706" s="75" t="s">
        <v>63</v>
      </c>
      <c r="E2706" s="76" t="s">
        <v>64</v>
      </c>
      <c r="F2706" s="76" t="s">
        <v>65</v>
      </c>
      <c r="G2706" s="76" t="s">
        <v>2889</v>
      </c>
      <c r="H2706" s="76"/>
      <c r="I2706" s="77" t="s">
        <v>66</v>
      </c>
      <c r="J2706" s="75" t="s">
        <v>67</v>
      </c>
      <c r="K2706" s="75" t="s">
        <v>2890</v>
      </c>
      <c r="L2706" s="75" t="s">
        <v>68</v>
      </c>
      <c r="M2706" s="75" t="s">
        <v>70</v>
      </c>
      <c r="N2706" s="573">
        <v>4.56</v>
      </c>
      <c r="O2706" s="556" t="str">
        <f>IF(N2706=M2706,"OK","DIF")</f>
        <v>DIF</v>
      </c>
      <c r="P2706" s="573"/>
      <c r="Q2706" s="556"/>
      <c r="R2706" s="582"/>
    </row>
    <row r="2707" ht="23.85" customHeight="1" spans="1:18">
      <c r="A2707" s="556">
        <f>B2707</f>
        <v>0</v>
      </c>
      <c r="B2707" s="557">
        <f>B2706</f>
        <v>0</v>
      </c>
      <c r="C2707" s="569" t="s">
        <v>2891</v>
      </c>
      <c r="D2707" s="570" t="s">
        <v>944</v>
      </c>
      <c r="E2707" s="569" t="s">
        <v>139</v>
      </c>
      <c r="F2707" s="569" t="s">
        <v>945</v>
      </c>
      <c r="G2707" s="569" t="s">
        <v>3516</v>
      </c>
      <c r="H2707" s="569"/>
      <c r="I2707" s="577" t="s">
        <v>134</v>
      </c>
      <c r="J2707" s="578">
        <v>1</v>
      </c>
      <c r="K2707" s="579"/>
      <c r="L2707" s="579">
        <v>517.89</v>
      </c>
      <c r="M2707" s="579">
        <v>517.89</v>
      </c>
      <c r="N2707" s="573">
        <v>0.95</v>
      </c>
      <c r="O2707" s="556" t="str">
        <f>IF(N2707=M2707,"OK","DIF")</f>
        <v>DIF</v>
      </c>
      <c r="P2707" s="573"/>
      <c r="Q2707" s="556"/>
      <c r="R2707" s="582"/>
    </row>
    <row r="2708" ht="23.85" customHeight="1" spans="1:18">
      <c r="A2708" s="556">
        <f>B2708</f>
        <v>0</v>
      </c>
      <c r="B2708" s="557">
        <f>B2707</f>
        <v>0</v>
      </c>
      <c r="C2708" s="79" t="s">
        <v>2921</v>
      </c>
      <c r="D2708" s="78" t="s">
        <v>3144</v>
      </c>
      <c r="E2708" s="79" t="s">
        <v>139</v>
      </c>
      <c r="F2708" s="79" t="s">
        <v>3145</v>
      </c>
      <c r="G2708" s="79" t="s">
        <v>2928</v>
      </c>
      <c r="H2708" s="79"/>
      <c r="I2708" s="80" t="s">
        <v>2897</v>
      </c>
      <c r="J2708" s="583">
        <v>1.4228</v>
      </c>
      <c r="K2708" s="583">
        <v>0</v>
      </c>
      <c r="L2708" s="92">
        <v>35.55</v>
      </c>
      <c r="M2708" s="92">
        <v>50.58</v>
      </c>
      <c r="N2708" s="573">
        <v>0.79</v>
      </c>
      <c r="O2708" s="556" t="str">
        <f>IF(N2708=M2708,"OK","DIF")</f>
        <v>DIF</v>
      </c>
      <c r="P2708" s="573"/>
      <c r="Q2708" s="556"/>
      <c r="R2708" s="582"/>
    </row>
    <row r="2709" ht="23.85" customHeight="1" spans="1:18">
      <c r="A2709" s="556">
        <f>B2709</f>
        <v>0</v>
      </c>
      <c r="B2709" s="557">
        <f>B2708</f>
        <v>0</v>
      </c>
      <c r="C2709" s="79" t="s">
        <v>2921</v>
      </c>
      <c r="D2709" s="78" t="s">
        <v>2952</v>
      </c>
      <c r="E2709" s="79" t="s">
        <v>139</v>
      </c>
      <c r="F2709" s="79" t="s">
        <v>2953</v>
      </c>
      <c r="G2709" s="79" t="s">
        <v>2928</v>
      </c>
      <c r="H2709" s="79"/>
      <c r="I2709" s="80" t="s">
        <v>2897</v>
      </c>
      <c r="J2709" s="583">
        <v>0.4483</v>
      </c>
      <c r="K2709" s="583">
        <v>0</v>
      </c>
      <c r="L2709" s="92">
        <v>29.15</v>
      </c>
      <c r="M2709" s="92">
        <v>13.06</v>
      </c>
      <c r="N2709" s="573">
        <v>2.73</v>
      </c>
      <c r="O2709" s="556" t="str">
        <f>IF(N2709=M2709,"OK","DIF")</f>
        <v>DIF</v>
      </c>
      <c r="P2709" s="573"/>
      <c r="Q2709" s="556"/>
      <c r="R2709" s="582"/>
    </row>
    <row r="2710" ht="35.05" customHeight="1" spans="1:18">
      <c r="A2710" s="556">
        <f>B2710</f>
        <v>0</v>
      </c>
      <c r="B2710" s="557">
        <f>B2709</f>
        <v>0</v>
      </c>
      <c r="C2710" s="100" t="s">
        <v>2893</v>
      </c>
      <c r="D2710" s="99" t="s">
        <v>3846</v>
      </c>
      <c r="E2710" s="100" t="s">
        <v>139</v>
      </c>
      <c r="F2710" s="100" t="s">
        <v>3847</v>
      </c>
      <c r="G2710" s="100" t="s">
        <v>2961</v>
      </c>
      <c r="H2710" s="100"/>
      <c r="I2710" s="101" t="s">
        <v>134</v>
      </c>
      <c r="J2710" s="580">
        <v>9</v>
      </c>
      <c r="K2710" s="580">
        <v>0</v>
      </c>
      <c r="L2710" s="102">
        <v>22.34</v>
      </c>
      <c r="M2710" s="102">
        <v>201.06</v>
      </c>
      <c r="N2710" s="573">
        <v>0.09</v>
      </c>
      <c r="O2710" s="556" t="str">
        <f>IF(N2710=M2710,"OK","DIF")</f>
        <v>DIF</v>
      </c>
      <c r="P2710" s="573"/>
      <c r="Q2710" s="556"/>
      <c r="R2710" s="582"/>
    </row>
    <row r="2711" ht="23.85" customHeight="1" spans="1:18">
      <c r="A2711" s="556"/>
      <c r="B2711" s="557"/>
      <c r="C2711" s="100" t="s">
        <v>2893</v>
      </c>
      <c r="D2711" s="99" t="s">
        <v>3855</v>
      </c>
      <c r="E2711" s="100" t="s">
        <v>139</v>
      </c>
      <c r="F2711" s="100" t="s">
        <v>3856</v>
      </c>
      <c r="G2711" s="100" t="s">
        <v>2961</v>
      </c>
      <c r="H2711" s="100"/>
      <c r="I2711" s="101" t="s">
        <v>134</v>
      </c>
      <c r="J2711" s="580">
        <v>1</v>
      </c>
      <c r="K2711" s="580">
        <v>0</v>
      </c>
      <c r="L2711" s="102">
        <v>253.19</v>
      </c>
      <c r="M2711" s="102">
        <v>253.19</v>
      </c>
      <c r="N2711" s="573"/>
      <c r="O2711" s="556"/>
      <c r="P2711" s="573"/>
      <c r="Q2711" s="556"/>
      <c r="R2711" s="582"/>
    </row>
    <row r="2712" ht="25.5" spans="1:18">
      <c r="A2712" s="556"/>
      <c r="B2712" s="557"/>
      <c r="C2712" s="108"/>
      <c r="D2712" s="108"/>
      <c r="E2712" s="108"/>
      <c r="F2712" s="108"/>
      <c r="G2712" s="108"/>
      <c r="H2712" s="108" t="s">
        <v>2898</v>
      </c>
      <c r="I2712" s="581">
        <v>45.85</v>
      </c>
      <c r="J2712" s="108" t="s">
        <v>2899</v>
      </c>
      <c r="K2712" s="581">
        <v>0</v>
      </c>
      <c r="L2712" s="108" t="s">
        <v>2900</v>
      </c>
      <c r="M2712" s="581">
        <v>45.85</v>
      </c>
      <c r="N2712" s="573"/>
      <c r="O2712" s="556"/>
      <c r="P2712" s="573"/>
      <c r="Q2712" s="556"/>
      <c r="R2712" s="582"/>
    </row>
    <row r="2713" ht="26.25" spans="1:18">
      <c r="A2713" s="556"/>
      <c r="B2713" s="557">
        <f>C2712</f>
        <v>0</v>
      </c>
      <c r="C2713" s="108"/>
      <c r="D2713" s="108"/>
      <c r="E2713" s="108"/>
      <c r="F2713" s="108"/>
      <c r="G2713" s="108"/>
      <c r="H2713" s="108" t="s">
        <v>2901</v>
      </c>
      <c r="I2713" s="581">
        <v>132.01</v>
      </c>
      <c r="J2713" s="114"/>
      <c r="K2713" s="114" t="s">
        <v>2902</v>
      </c>
      <c r="L2713" s="108"/>
      <c r="M2713" s="581">
        <v>649.9</v>
      </c>
      <c r="N2713" s="573">
        <v>6.96</v>
      </c>
      <c r="O2713" s="556" t="str">
        <f>IF(N2713=M2713,"OK","DIF")</f>
        <v>DIF</v>
      </c>
      <c r="P2713" s="573"/>
      <c r="Q2713" s="556"/>
      <c r="R2713" s="582"/>
    </row>
    <row r="2714" ht="15" spans="1:18">
      <c r="A2714" s="556">
        <f>B2714</f>
        <v>0</v>
      </c>
      <c r="B2714" s="557">
        <f>B2713</f>
        <v>0</v>
      </c>
      <c r="C2714" s="571"/>
      <c r="D2714" s="571"/>
      <c r="E2714" s="571"/>
      <c r="F2714" s="571"/>
      <c r="G2714" s="571"/>
      <c r="H2714" s="571"/>
      <c r="I2714" s="571"/>
      <c r="J2714" s="571"/>
      <c r="K2714" s="571"/>
      <c r="L2714" s="571"/>
      <c r="M2714" s="571"/>
      <c r="N2714" s="573">
        <v>1.06</v>
      </c>
      <c r="O2714" s="556" t="str">
        <f>IF(N2714=M2714,"OK","DIF")</f>
        <v>DIF</v>
      </c>
      <c r="P2714" s="573"/>
      <c r="Q2714" s="556"/>
      <c r="R2714" s="582"/>
    </row>
    <row r="2715" ht="15" customHeight="1" spans="1:18">
      <c r="A2715" s="556">
        <f>B2715</f>
        <v>0</v>
      </c>
      <c r="B2715" s="557">
        <f>B2714</f>
        <v>0</v>
      </c>
      <c r="C2715" s="76" t="s">
        <v>946</v>
      </c>
      <c r="D2715" s="75" t="s">
        <v>63</v>
      </c>
      <c r="E2715" s="76" t="s">
        <v>64</v>
      </c>
      <c r="F2715" s="76" t="s">
        <v>65</v>
      </c>
      <c r="G2715" s="76" t="s">
        <v>2889</v>
      </c>
      <c r="H2715" s="76"/>
      <c r="I2715" s="77" t="s">
        <v>66</v>
      </c>
      <c r="J2715" s="75" t="s">
        <v>67</v>
      </c>
      <c r="K2715" s="75" t="s">
        <v>2890</v>
      </c>
      <c r="L2715" s="75" t="s">
        <v>68</v>
      </c>
      <c r="M2715" s="75" t="s">
        <v>70</v>
      </c>
      <c r="N2715" s="573">
        <v>1.28</v>
      </c>
      <c r="O2715" s="556" t="str">
        <f>IF(N2715=M2715,"OK","DIF")</f>
        <v>DIF</v>
      </c>
      <c r="P2715" s="573"/>
      <c r="Q2715" s="556"/>
      <c r="R2715" s="582"/>
    </row>
    <row r="2716" ht="23.85" customHeight="1" spans="1:18">
      <c r="A2716" s="556">
        <f>B2716</f>
        <v>0</v>
      </c>
      <c r="B2716" s="557">
        <f>B2715</f>
        <v>0</v>
      </c>
      <c r="C2716" s="569" t="s">
        <v>2891</v>
      </c>
      <c r="D2716" s="570" t="s">
        <v>947</v>
      </c>
      <c r="E2716" s="569" t="s">
        <v>139</v>
      </c>
      <c r="F2716" s="569" t="s">
        <v>948</v>
      </c>
      <c r="G2716" s="569" t="s">
        <v>3516</v>
      </c>
      <c r="H2716" s="569"/>
      <c r="I2716" s="577" t="s">
        <v>134</v>
      </c>
      <c r="J2716" s="578">
        <v>1</v>
      </c>
      <c r="K2716" s="579"/>
      <c r="L2716" s="579">
        <v>287.93</v>
      </c>
      <c r="M2716" s="579">
        <v>287.93</v>
      </c>
      <c r="N2716" s="573">
        <v>4.53</v>
      </c>
      <c r="O2716" s="556" t="str">
        <f>IF(N2716=M2716,"OK","DIF")</f>
        <v>DIF</v>
      </c>
      <c r="P2716" s="573"/>
      <c r="Q2716" s="556"/>
      <c r="R2716" s="582"/>
    </row>
    <row r="2717" ht="23.85" customHeight="1" spans="1:18">
      <c r="A2717" s="556">
        <f>B2717</f>
        <v>0</v>
      </c>
      <c r="B2717" s="557">
        <f>B2716</f>
        <v>0</v>
      </c>
      <c r="C2717" s="79" t="s">
        <v>2921</v>
      </c>
      <c r="D2717" s="78" t="s">
        <v>3144</v>
      </c>
      <c r="E2717" s="79" t="s">
        <v>139</v>
      </c>
      <c r="F2717" s="79" t="s">
        <v>3145</v>
      </c>
      <c r="G2717" s="79" t="s">
        <v>2928</v>
      </c>
      <c r="H2717" s="79"/>
      <c r="I2717" s="80" t="s">
        <v>2897</v>
      </c>
      <c r="J2717" s="583">
        <v>0.9485</v>
      </c>
      <c r="K2717" s="583">
        <v>0</v>
      </c>
      <c r="L2717" s="92">
        <v>35.55</v>
      </c>
      <c r="M2717" s="92">
        <v>33.71</v>
      </c>
      <c r="N2717" s="573">
        <v>0.09</v>
      </c>
      <c r="O2717" s="556" t="str">
        <f>IF(N2717=M2717,"OK","DIF")</f>
        <v>DIF</v>
      </c>
      <c r="P2717" s="573"/>
      <c r="Q2717" s="556"/>
      <c r="R2717" s="582"/>
    </row>
    <row r="2718" ht="23.85" customHeight="1" spans="1:18">
      <c r="A2718" s="556"/>
      <c r="B2718" s="557"/>
      <c r="C2718" s="79" t="s">
        <v>2921</v>
      </c>
      <c r="D2718" s="78" t="s">
        <v>2952</v>
      </c>
      <c r="E2718" s="79" t="s">
        <v>139</v>
      </c>
      <c r="F2718" s="79" t="s">
        <v>2953</v>
      </c>
      <c r="G2718" s="79" t="s">
        <v>2928</v>
      </c>
      <c r="H2718" s="79"/>
      <c r="I2718" s="80" t="s">
        <v>2897</v>
      </c>
      <c r="J2718" s="583">
        <v>0.2988</v>
      </c>
      <c r="K2718" s="583">
        <v>0</v>
      </c>
      <c r="L2718" s="92">
        <v>29.15</v>
      </c>
      <c r="M2718" s="92">
        <v>8.71</v>
      </c>
      <c r="N2718" s="573"/>
      <c r="O2718" s="556"/>
      <c r="P2718" s="573"/>
      <c r="Q2718" s="556"/>
      <c r="R2718" s="582"/>
    </row>
    <row r="2719" ht="35.05" customHeight="1" spans="1:18">
      <c r="A2719" s="556"/>
      <c r="B2719" s="557"/>
      <c r="C2719" s="100" t="s">
        <v>2893</v>
      </c>
      <c r="D2719" s="99" t="s">
        <v>3846</v>
      </c>
      <c r="E2719" s="100" t="s">
        <v>139</v>
      </c>
      <c r="F2719" s="100" t="s">
        <v>3847</v>
      </c>
      <c r="G2719" s="100" t="s">
        <v>2961</v>
      </c>
      <c r="H2719" s="100"/>
      <c r="I2719" s="101" t="s">
        <v>134</v>
      </c>
      <c r="J2719" s="580">
        <v>6</v>
      </c>
      <c r="K2719" s="580">
        <v>0</v>
      </c>
      <c r="L2719" s="102">
        <v>22.34</v>
      </c>
      <c r="M2719" s="102">
        <v>134.04</v>
      </c>
      <c r="N2719" s="573"/>
      <c r="O2719" s="556"/>
      <c r="P2719" s="573"/>
      <c r="Q2719" s="556"/>
      <c r="R2719" s="582"/>
    </row>
    <row r="2720" ht="23.85" customHeight="1" spans="1:18">
      <c r="A2720" s="556"/>
      <c r="B2720" s="557" t="str">
        <f>C2719</f>
        <v>Insumo</v>
      </c>
      <c r="C2720" s="100" t="s">
        <v>2893</v>
      </c>
      <c r="D2720" s="99" t="s">
        <v>3857</v>
      </c>
      <c r="E2720" s="100" t="s">
        <v>139</v>
      </c>
      <c r="F2720" s="100" t="s">
        <v>3858</v>
      </c>
      <c r="G2720" s="100" t="s">
        <v>2961</v>
      </c>
      <c r="H2720" s="100"/>
      <c r="I2720" s="101" t="s">
        <v>134</v>
      </c>
      <c r="J2720" s="580">
        <v>1</v>
      </c>
      <c r="K2720" s="580">
        <v>0</v>
      </c>
      <c r="L2720" s="102">
        <v>111.47</v>
      </c>
      <c r="M2720" s="102">
        <v>111.47</v>
      </c>
      <c r="N2720" s="573">
        <v>9.68</v>
      </c>
      <c r="O2720" s="556" t="str">
        <f>IF(N2720=M2720,"OK","DIF")</f>
        <v>DIF</v>
      </c>
      <c r="P2720" s="573"/>
      <c r="Q2720" s="556"/>
      <c r="R2720" s="582"/>
    </row>
    <row r="2721" ht="25.5" spans="1:18">
      <c r="A2721" s="556" t="str">
        <f>B2721</f>
        <v>Insumo</v>
      </c>
      <c r="B2721" s="557" t="str">
        <f>B2720</f>
        <v>Insumo</v>
      </c>
      <c r="C2721" s="108"/>
      <c r="D2721" s="108"/>
      <c r="E2721" s="108"/>
      <c r="F2721" s="108"/>
      <c r="G2721" s="108"/>
      <c r="H2721" s="108" t="s">
        <v>2898</v>
      </c>
      <c r="I2721" s="581">
        <v>30.57</v>
      </c>
      <c r="J2721" s="108" t="s">
        <v>2899</v>
      </c>
      <c r="K2721" s="581">
        <v>0</v>
      </c>
      <c r="L2721" s="108" t="s">
        <v>2900</v>
      </c>
      <c r="M2721" s="581">
        <v>30.57</v>
      </c>
      <c r="N2721" s="573">
        <v>1.39</v>
      </c>
      <c r="O2721" s="556" t="str">
        <f>IF(N2721=M2721,"OK","DIF")</f>
        <v>DIF</v>
      </c>
      <c r="P2721" s="573"/>
      <c r="Q2721" s="556"/>
      <c r="R2721" s="582"/>
    </row>
    <row r="2722" ht="26.25" spans="1:18">
      <c r="A2722" s="556" t="str">
        <f>B2722</f>
        <v>Insumo</v>
      </c>
      <c r="B2722" s="557" t="str">
        <f>B2721</f>
        <v>Insumo</v>
      </c>
      <c r="C2722" s="108"/>
      <c r="D2722" s="108"/>
      <c r="E2722" s="108"/>
      <c r="F2722" s="108"/>
      <c r="G2722" s="108"/>
      <c r="H2722" s="108" t="s">
        <v>2901</v>
      </c>
      <c r="I2722" s="581">
        <v>73.39</v>
      </c>
      <c r="J2722" s="114"/>
      <c r="K2722" s="114" t="s">
        <v>2902</v>
      </c>
      <c r="L2722" s="108"/>
      <c r="M2722" s="581">
        <v>361.32</v>
      </c>
      <c r="N2722" s="573">
        <v>1.68</v>
      </c>
      <c r="O2722" s="556" t="str">
        <f>IF(N2722=M2722,"OK","DIF")</f>
        <v>DIF</v>
      </c>
      <c r="P2722" s="573"/>
      <c r="Q2722" s="556"/>
      <c r="R2722" s="582"/>
    </row>
    <row r="2723" ht="15" spans="1:18">
      <c r="A2723" s="556" t="str">
        <f>B2723</f>
        <v>Insumo</v>
      </c>
      <c r="B2723" s="557" t="str">
        <f>B2722</f>
        <v>Insumo</v>
      </c>
      <c r="C2723" s="571"/>
      <c r="D2723" s="571"/>
      <c r="E2723" s="571"/>
      <c r="F2723" s="571"/>
      <c r="G2723" s="571"/>
      <c r="H2723" s="571"/>
      <c r="I2723" s="571"/>
      <c r="J2723" s="571"/>
      <c r="K2723" s="571"/>
      <c r="L2723" s="571"/>
      <c r="M2723" s="571"/>
      <c r="N2723" s="573">
        <v>6.52</v>
      </c>
      <c r="O2723" s="556" t="str">
        <f>IF(N2723=M2723,"OK","DIF")</f>
        <v>DIF</v>
      </c>
      <c r="P2723" s="573"/>
      <c r="Q2723" s="556"/>
      <c r="R2723" s="582"/>
    </row>
    <row r="2724" ht="15" customHeight="1" spans="1:18">
      <c r="A2724" s="556" t="str">
        <f>B2724</f>
        <v>Insumo</v>
      </c>
      <c r="B2724" s="557" t="str">
        <f>B2723</f>
        <v>Insumo</v>
      </c>
      <c r="C2724" s="76" t="s">
        <v>949</v>
      </c>
      <c r="D2724" s="75" t="s">
        <v>63</v>
      </c>
      <c r="E2724" s="76" t="s">
        <v>64</v>
      </c>
      <c r="F2724" s="76" t="s">
        <v>65</v>
      </c>
      <c r="G2724" s="76" t="s">
        <v>2889</v>
      </c>
      <c r="H2724" s="76"/>
      <c r="I2724" s="77" t="s">
        <v>66</v>
      </c>
      <c r="J2724" s="75" t="s">
        <v>67</v>
      </c>
      <c r="K2724" s="75" t="s">
        <v>2890</v>
      </c>
      <c r="L2724" s="75" t="s">
        <v>68</v>
      </c>
      <c r="M2724" s="75" t="s">
        <v>70</v>
      </c>
      <c r="N2724" s="573">
        <v>0.09</v>
      </c>
      <c r="O2724" s="556" t="str">
        <f>IF(N2724=M2724,"OK","DIF")</f>
        <v>DIF</v>
      </c>
      <c r="P2724" s="573"/>
      <c r="Q2724" s="556"/>
      <c r="R2724" s="582"/>
    </row>
    <row r="2725" ht="15" customHeight="1" spans="1:18">
      <c r="A2725" s="556"/>
      <c r="B2725" s="557"/>
      <c r="C2725" s="569" t="s">
        <v>2891</v>
      </c>
      <c r="D2725" s="570" t="s">
        <v>950</v>
      </c>
      <c r="E2725" s="569" t="s">
        <v>149</v>
      </c>
      <c r="F2725" s="569" t="s">
        <v>951</v>
      </c>
      <c r="G2725" s="569" t="s">
        <v>3789</v>
      </c>
      <c r="H2725" s="569"/>
      <c r="I2725" s="577" t="s">
        <v>134</v>
      </c>
      <c r="J2725" s="578">
        <v>1</v>
      </c>
      <c r="K2725" s="579"/>
      <c r="L2725" s="579">
        <v>137.95</v>
      </c>
      <c r="M2725" s="579">
        <v>137.95</v>
      </c>
      <c r="N2725" s="573"/>
      <c r="O2725" s="556"/>
      <c r="P2725" s="573"/>
      <c r="Q2725" s="556"/>
      <c r="R2725" s="582"/>
    </row>
    <row r="2726" ht="15" customHeight="1" spans="1:18">
      <c r="A2726" s="556"/>
      <c r="B2726" s="557"/>
      <c r="C2726" s="100" t="s">
        <v>2893</v>
      </c>
      <c r="D2726" s="99" t="s">
        <v>3283</v>
      </c>
      <c r="E2726" s="100" t="s">
        <v>149</v>
      </c>
      <c r="F2726" s="100" t="s">
        <v>3284</v>
      </c>
      <c r="G2726" s="100" t="s">
        <v>2896</v>
      </c>
      <c r="H2726" s="100"/>
      <c r="I2726" s="101" t="s">
        <v>2897</v>
      </c>
      <c r="J2726" s="580">
        <v>0.691</v>
      </c>
      <c r="K2726" s="580">
        <v>0</v>
      </c>
      <c r="L2726" s="102">
        <v>28.994744</v>
      </c>
      <c r="M2726" s="102">
        <v>20.03</v>
      </c>
      <c r="N2726" s="573"/>
      <c r="O2726" s="556"/>
      <c r="P2726" s="573"/>
      <c r="Q2726" s="556"/>
      <c r="R2726" s="582"/>
    </row>
    <row r="2727" ht="15" customHeight="1" spans="1:18">
      <c r="A2727" s="556"/>
      <c r="B2727" s="557" t="str">
        <f>C2726</f>
        <v>Insumo</v>
      </c>
      <c r="C2727" s="100" t="s">
        <v>2893</v>
      </c>
      <c r="D2727" s="99" t="s">
        <v>2974</v>
      </c>
      <c r="E2727" s="100" t="s">
        <v>149</v>
      </c>
      <c r="F2727" s="100" t="s">
        <v>2975</v>
      </c>
      <c r="G2727" s="100" t="s">
        <v>2896</v>
      </c>
      <c r="H2727" s="100"/>
      <c r="I2727" s="101" t="s">
        <v>2897</v>
      </c>
      <c r="J2727" s="580">
        <v>0.412</v>
      </c>
      <c r="K2727" s="580">
        <v>0</v>
      </c>
      <c r="L2727" s="102">
        <v>19.471856</v>
      </c>
      <c r="M2727" s="102">
        <v>8.02</v>
      </c>
      <c r="N2727" s="573">
        <v>16.55</v>
      </c>
      <c r="O2727" s="556" t="str">
        <f>IF(N2727=M2727,"OK","DIF")</f>
        <v>DIF</v>
      </c>
      <c r="P2727" s="573"/>
      <c r="Q2727" s="556"/>
      <c r="R2727" s="582"/>
    </row>
    <row r="2728" ht="15" customHeight="1" spans="1:18">
      <c r="A2728" s="556" t="str">
        <f>B2728</f>
        <v>Insumo</v>
      </c>
      <c r="B2728" s="557" t="str">
        <f>B2727</f>
        <v>Insumo</v>
      </c>
      <c r="C2728" s="100" t="s">
        <v>2893</v>
      </c>
      <c r="D2728" s="99" t="s">
        <v>3859</v>
      </c>
      <c r="E2728" s="100" t="s">
        <v>149</v>
      </c>
      <c r="F2728" s="100" t="s">
        <v>3860</v>
      </c>
      <c r="G2728" s="100" t="s">
        <v>2961</v>
      </c>
      <c r="H2728" s="100"/>
      <c r="I2728" s="101" t="s">
        <v>134</v>
      </c>
      <c r="J2728" s="580">
        <v>1</v>
      </c>
      <c r="K2728" s="580">
        <v>0</v>
      </c>
      <c r="L2728" s="102">
        <v>109.9</v>
      </c>
      <c r="M2728" s="102">
        <v>109.9</v>
      </c>
      <c r="N2728" s="573">
        <v>2.51</v>
      </c>
      <c r="O2728" s="556" t="str">
        <f>IF(N2728=M2728,"OK","DIF")</f>
        <v>DIF</v>
      </c>
      <c r="P2728" s="573"/>
      <c r="Q2728" s="556"/>
      <c r="R2728" s="582"/>
    </row>
    <row r="2729" ht="25.5" spans="1:18">
      <c r="A2729" s="556" t="str">
        <f>B2729</f>
        <v>Insumo</v>
      </c>
      <c r="B2729" s="557" t="str">
        <f>B2728</f>
        <v>Insumo</v>
      </c>
      <c r="C2729" s="108"/>
      <c r="D2729" s="108"/>
      <c r="E2729" s="108"/>
      <c r="F2729" s="108"/>
      <c r="G2729" s="108"/>
      <c r="H2729" s="108" t="s">
        <v>2898</v>
      </c>
      <c r="I2729" s="581">
        <v>28.05</v>
      </c>
      <c r="J2729" s="108" t="s">
        <v>2899</v>
      </c>
      <c r="K2729" s="581">
        <v>0</v>
      </c>
      <c r="L2729" s="108" t="s">
        <v>2900</v>
      </c>
      <c r="M2729" s="581">
        <v>28.05</v>
      </c>
      <c r="N2729" s="573">
        <v>2.07</v>
      </c>
      <c r="O2729" s="556" t="str">
        <f>IF(N2729=M2729,"OK","DIF")</f>
        <v>DIF</v>
      </c>
      <c r="P2729" s="573"/>
      <c r="Q2729" s="556"/>
      <c r="R2729" s="582"/>
    </row>
    <row r="2730" ht="26.25" spans="1:18">
      <c r="A2730" s="556" t="str">
        <f>B2730</f>
        <v>Insumo</v>
      </c>
      <c r="B2730" s="557" t="str">
        <f>B2729</f>
        <v>Insumo</v>
      </c>
      <c r="C2730" s="108"/>
      <c r="D2730" s="108"/>
      <c r="E2730" s="108"/>
      <c r="F2730" s="108"/>
      <c r="G2730" s="108"/>
      <c r="H2730" s="108" t="s">
        <v>2901</v>
      </c>
      <c r="I2730" s="581">
        <v>35.16</v>
      </c>
      <c r="J2730" s="114"/>
      <c r="K2730" s="114" t="s">
        <v>2902</v>
      </c>
      <c r="L2730" s="108"/>
      <c r="M2730" s="581">
        <v>173.11</v>
      </c>
      <c r="N2730" s="573">
        <v>11.88</v>
      </c>
      <c r="O2730" s="556" t="str">
        <f>IF(N2730=M2730,"OK","DIF")</f>
        <v>DIF</v>
      </c>
      <c r="P2730" s="573"/>
      <c r="Q2730" s="556"/>
      <c r="R2730" s="582"/>
    </row>
    <row r="2731" ht="15" spans="1:18">
      <c r="A2731" s="556" t="str">
        <f>B2731</f>
        <v>Insumo</v>
      </c>
      <c r="B2731" s="557" t="str">
        <f>B2730</f>
        <v>Insumo</v>
      </c>
      <c r="C2731" s="571"/>
      <c r="D2731" s="571"/>
      <c r="E2731" s="571"/>
      <c r="F2731" s="571"/>
      <c r="G2731" s="571"/>
      <c r="H2731" s="571"/>
      <c r="I2731" s="571"/>
      <c r="J2731" s="571"/>
      <c r="K2731" s="571"/>
      <c r="L2731" s="571"/>
      <c r="M2731" s="571"/>
      <c r="N2731" s="573">
        <v>0.09</v>
      </c>
      <c r="O2731" s="556" t="str">
        <f>IF(N2731=M2731,"OK","DIF")</f>
        <v>DIF</v>
      </c>
      <c r="P2731" s="573"/>
      <c r="Q2731" s="556"/>
      <c r="R2731" s="582"/>
    </row>
    <row r="2732" ht="15" customHeight="1" spans="1:18">
      <c r="A2732" s="556"/>
      <c r="B2732" s="557"/>
      <c r="C2732" s="76" t="s">
        <v>952</v>
      </c>
      <c r="D2732" s="75" t="s">
        <v>63</v>
      </c>
      <c r="E2732" s="76" t="s">
        <v>64</v>
      </c>
      <c r="F2732" s="76" t="s">
        <v>65</v>
      </c>
      <c r="G2732" s="76" t="s">
        <v>2889</v>
      </c>
      <c r="H2732" s="76"/>
      <c r="I2732" s="77" t="s">
        <v>66</v>
      </c>
      <c r="J2732" s="75" t="s">
        <v>67</v>
      </c>
      <c r="K2732" s="75" t="s">
        <v>2890</v>
      </c>
      <c r="L2732" s="75" t="s">
        <v>68</v>
      </c>
      <c r="M2732" s="75" t="s">
        <v>70</v>
      </c>
      <c r="N2732" s="573"/>
      <c r="O2732" s="556"/>
      <c r="P2732" s="573"/>
      <c r="Q2732" s="556"/>
      <c r="R2732" s="582"/>
    </row>
    <row r="2733" ht="23.85" customHeight="1" spans="1:18">
      <c r="A2733" s="556"/>
      <c r="B2733" s="557"/>
      <c r="C2733" s="569" t="s">
        <v>2891</v>
      </c>
      <c r="D2733" s="570" t="s">
        <v>953</v>
      </c>
      <c r="E2733" s="569" t="s">
        <v>139</v>
      </c>
      <c r="F2733" s="569" t="s">
        <v>954</v>
      </c>
      <c r="G2733" s="569" t="s">
        <v>3516</v>
      </c>
      <c r="H2733" s="569"/>
      <c r="I2733" s="577" t="s">
        <v>134</v>
      </c>
      <c r="J2733" s="578">
        <v>1</v>
      </c>
      <c r="K2733" s="579"/>
      <c r="L2733" s="579">
        <v>432.54</v>
      </c>
      <c r="M2733" s="579">
        <v>432.54</v>
      </c>
      <c r="N2733" s="573"/>
      <c r="O2733" s="556"/>
      <c r="P2733" s="573"/>
      <c r="Q2733" s="556"/>
      <c r="R2733" s="582"/>
    </row>
    <row r="2734" ht="23.85" customHeight="1" spans="1:18">
      <c r="A2734" s="556"/>
      <c r="B2734" s="557" t="str">
        <f>C2733</f>
        <v>Composição</v>
      </c>
      <c r="C2734" s="79" t="s">
        <v>2921</v>
      </c>
      <c r="D2734" s="78" t="s">
        <v>2952</v>
      </c>
      <c r="E2734" s="79" t="s">
        <v>139</v>
      </c>
      <c r="F2734" s="79" t="s">
        <v>2953</v>
      </c>
      <c r="G2734" s="79" t="s">
        <v>2928</v>
      </c>
      <c r="H2734" s="79"/>
      <c r="I2734" s="80" t="s">
        <v>2897</v>
      </c>
      <c r="J2734" s="583">
        <v>0.9811</v>
      </c>
      <c r="K2734" s="583">
        <v>0</v>
      </c>
      <c r="L2734" s="92">
        <v>29.15</v>
      </c>
      <c r="M2734" s="92">
        <v>28.59</v>
      </c>
      <c r="N2734" s="573">
        <v>25.88</v>
      </c>
      <c r="O2734" s="556" t="str">
        <f>IF(N2734=M2734,"OK","DIF")</f>
        <v>DIF</v>
      </c>
      <c r="P2734" s="573"/>
      <c r="Q2734" s="556"/>
      <c r="R2734" s="582"/>
    </row>
    <row r="2735" ht="23.85" customHeight="1" spans="1:18">
      <c r="A2735" s="556" t="str">
        <f>B2735</f>
        <v>Composição</v>
      </c>
      <c r="B2735" s="557" t="str">
        <f>B2734</f>
        <v>Composição</v>
      </c>
      <c r="C2735" s="79" t="s">
        <v>2921</v>
      </c>
      <c r="D2735" s="78" t="s">
        <v>3480</v>
      </c>
      <c r="E2735" s="79" t="s">
        <v>139</v>
      </c>
      <c r="F2735" s="79" t="s">
        <v>3481</v>
      </c>
      <c r="G2735" s="79" t="s">
        <v>2928</v>
      </c>
      <c r="H2735" s="79"/>
      <c r="I2735" s="80" t="s">
        <v>2897</v>
      </c>
      <c r="J2735" s="583">
        <v>1.9209</v>
      </c>
      <c r="K2735" s="583">
        <v>0</v>
      </c>
      <c r="L2735" s="92">
        <v>30.79</v>
      </c>
      <c r="M2735" s="92">
        <v>59.14</v>
      </c>
      <c r="N2735" s="573">
        <v>3.76</v>
      </c>
      <c r="O2735" s="556" t="str">
        <f>IF(N2735=M2735,"OK","DIF")</f>
        <v>DIF</v>
      </c>
      <c r="P2735" s="573"/>
      <c r="Q2735" s="556"/>
      <c r="R2735" s="582"/>
    </row>
    <row r="2736" ht="15" customHeight="1" spans="1:18">
      <c r="A2736" s="556" t="str">
        <f>B2736</f>
        <v>Composição</v>
      </c>
      <c r="B2736" s="557" t="str">
        <f>B2735</f>
        <v>Composição</v>
      </c>
      <c r="C2736" s="100" t="s">
        <v>2893</v>
      </c>
      <c r="D2736" s="99" t="s">
        <v>3861</v>
      </c>
      <c r="E2736" s="100" t="s">
        <v>139</v>
      </c>
      <c r="F2736" s="100" t="s">
        <v>3862</v>
      </c>
      <c r="G2736" s="100" t="s">
        <v>2961</v>
      </c>
      <c r="H2736" s="100"/>
      <c r="I2736" s="101" t="s">
        <v>393</v>
      </c>
      <c r="J2736" s="580">
        <v>0.0154</v>
      </c>
      <c r="K2736" s="580">
        <v>0</v>
      </c>
      <c r="L2736" s="102">
        <v>92.75</v>
      </c>
      <c r="M2736" s="102">
        <v>1.42</v>
      </c>
      <c r="N2736" s="573">
        <v>3.11</v>
      </c>
      <c r="O2736" s="556" t="str">
        <f>IF(N2736=M2736,"OK","DIF")</f>
        <v>DIF</v>
      </c>
      <c r="P2736" s="573"/>
      <c r="Q2736" s="556"/>
      <c r="R2736" s="582"/>
    </row>
    <row r="2737" ht="23.85" customHeight="1" spans="1:18">
      <c r="A2737" s="556" t="str">
        <f>B2737</f>
        <v>Composição</v>
      </c>
      <c r="B2737" s="557" t="str">
        <f>B2736</f>
        <v>Composição</v>
      </c>
      <c r="C2737" s="100" t="s">
        <v>2893</v>
      </c>
      <c r="D2737" s="99" t="s">
        <v>3863</v>
      </c>
      <c r="E2737" s="100" t="s">
        <v>139</v>
      </c>
      <c r="F2737" s="100" t="s">
        <v>3864</v>
      </c>
      <c r="G2737" s="100" t="s">
        <v>2961</v>
      </c>
      <c r="H2737" s="100"/>
      <c r="I2737" s="101" t="s">
        <v>134</v>
      </c>
      <c r="J2737" s="580">
        <v>6</v>
      </c>
      <c r="K2737" s="580">
        <v>0</v>
      </c>
      <c r="L2737" s="102">
        <v>0.79</v>
      </c>
      <c r="M2737" s="102">
        <v>4.74</v>
      </c>
      <c r="N2737" s="573">
        <v>0.09</v>
      </c>
      <c r="O2737" s="556" t="str">
        <f>IF(N2737=M2737,"OK","DIF")</f>
        <v>DIF</v>
      </c>
      <c r="P2737" s="573"/>
      <c r="Q2737" s="556"/>
      <c r="R2737" s="582"/>
    </row>
    <row r="2738" ht="15" customHeight="1" spans="1:18">
      <c r="A2738" s="556" t="str">
        <f>B2738</f>
        <v>Composição</v>
      </c>
      <c r="B2738" s="557" t="str">
        <f>B2737</f>
        <v>Composição</v>
      </c>
      <c r="C2738" s="100" t="s">
        <v>2893</v>
      </c>
      <c r="D2738" s="99" t="s">
        <v>3816</v>
      </c>
      <c r="E2738" s="100" t="s">
        <v>139</v>
      </c>
      <c r="F2738" s="100" t="s">
        <v>3817</v>
      </c>
      <c r="G2738" s="100" t="s">
        <v>2961</v>
      </c>
      <c r="H2738" s="100"/>
      <c r="I2738" s="101" t="s">
        <v>393</v>
      </c>
      <c r="J2738" s="580">
        <v>0.3844</v>
      </c>
      <c r="K2738" s="580">
        <v>0</v>
      </c>
      <c r="L2738" s="102">
        <v>38.31</v>
      </c>
      <c r="M2738" s="102">
        <v>14.72</v>
      </c>
      <c r="N2738" s="573">
        <v>18.92</v>
      </c>
      <c r="O2738" s="556" t="str">
        <f>IF(N2738=M2738,"OK","DIF")</f>
        <v>DIF</v>
      </c>
      <c r="P2738" s="573"/>
      <c r="Q2738" s="556"/>
      <c r="R2738" s="582"/>
    </row>
    <row r="2739" ht="35.05" customHeight="1" spans="1:18">
      <c r="A2739" s="556"/>
      <c r="B2739" s="557"/>
      <c r="C2739" s="100" t="s">
        <v>2893</v>
      </c>
      <c r="D2739" s="99" t="s">
        <v>3865</v>
      </c>
      <c r="E2739" s="100" t="s">
        <v>139</v>
      </c>
      <c r="F2739" s="100" t="s">
        <v>3866</v>
      </c>
      <c r="G2739" s="100" t="s">
        <v>2961</v>
      </c>
      <c r="H2739" s="100"/>
      <c r="I2739" s="101" t="s">
        <v>141</v>
      </c>
      <c r="J2739" s="580">
        <v>0.377</v>
      </c>
      <c r="K2739" s="580">
        <v>0</v>
      </c>
      <c r="L2739" s="102">
        <v>769.81</v>
      </c>
      <c r="M2739" s="102">
        <v>290.21</v>
      </c>
      <c r="N2739" s="573"/>
      <c r="O2739" s="556"/>
      <c r="P2739" s="573"/>
      <c r="Q2739" s="556"/>
      <c r="R2739" s="582"/>
    </row>
    <row r="2740" ht="23.85" customHeight="1" spans="1:18">
      <c r="A2740" s="556"/>
      <c r="B2740" s="557"/>
      <c r="C2740" s="100" t="s">
        <v>2893</v>
      </c>
      <c r="D2740" s="99" t="s">
        <v>3867</v>
      </c>
      <c r="E2740" s="100" t="s">
        <v>139</v>
      </c>
      <c r="F2740" s="100" t="s">
        <v>3868</v>
      </c>
      <c r="G2740" s="100" t="s">
        <v>2961</v>
      </c>
      <c r="H2740" s="100"/>
      <c r="I2740" s="101" t="s">
        <v>134</v>
      </c>
      <c r="J2740" s="580">
        <v>2</v>
      </c>
      <c r="K2740" s="580">
        <v>0</v>
      </c>
      <c r="L2740" s="102">
        <v>16.86</v>
      </c>
      <c r="M2740" s="102">
        <v>33.72</v>
      </c>
      <c r="N2740" s="573"/>
      <c r="O2740" s="556"/>
      <c r="P2740" s="573"/>
      <c r="Q2740" s="556"/>
      <c r="R2740" s="582"/>
    </row>
    <row r="2741" ht="25.5" spans="1:18">
      <c r="A2741" s="556"/>
      <c r="B2741" s="557" t="str">
        <f>C2740</f>
        <v>Insumo</v>
      </c>
      <c r="C2741" s="108"/>
      <c r="D2741" s="108"/>
      <c r="E2741" s="108"/>
      <c r="F2741" s="108"/>
      <c r="G2741" s="108"/>
      <c r="H2741" s="108" t="s">
        <v>2898</v>
      </c>
      <c r="I2741" s="581">
        <v>58.74</v>
      </c>
      <c r="J2741" s="108" t="s">
        <v>2899</v>
      </c>
      <c r="K2741" s="581">
        <v>0</v>
      </c>
      <c r="L2741" s="108" t="s">
        <v>2900</v>
      </c>
      <c r="M2741" s="581">
        <v>58.74</v>
      </c>
      <c r="N2741" s="573">
        <v>27.7</v>
      </c>
      <c r="O2741" s="556" t="str">
        <f>IF(N2741=M2741,"OK","DIF")</f>
        <v>DIF</v>
      </c>
      <c r="P2741" s="573"/>
      <c r="Q2741" s="556"/>
      <c r="R2741" s="582"/>
    </row>
    <row r="2742" ht="26.25" spans="1:18">
      <c r="A2742" s="556" t="str">
        <f>B2742</f>
        <v>Insumo</v>
      </c>
      <c r="B2742" s="557" t="str">
        <f>B2741</f>
        <v>Insumo</v>
      </c>
      <c r="C2742" s="108"/>
      <c r="D2742" s="108"/>
      <c r="E2742" s="108"/>
      <c r="F2742" s="108"/>
      <c r="G2742" s="108"/>
      <c r="H2742" s="108" t="s">
        <v>2901</v>
      </c>
      <c r="I2742" s="581">
        <v>110.25</v>
      </c>
      <c r="J2742" s="114"/>
      <c r="K2742" s="114" t="s">
        <v>2902</v>
      </c>
      <c r="L2742" s="108"/>
      <c r="M2742" s="581">
        <v>542.79</v>
      </c>
      <c r="N2742" s="573">
        <v>2.01</v>
      </c>
      <c r="O2742" s="556" t="str">
        <f>IF(N2742=M2742,"OK","DIF")</f>
        <v>DIF</v>
      </c>
      <c r="P2742" s="573"/>
      <c r="Q2742" s="556"/>
      <c r="R2742" s="582"/>
    </row>
    <row r="2743" ht="15" spans="1:18">
      <c r="A2743" s="556" t="str">
        <f>B2743</f>
        <v>Insumo</v>
      </c>
      <c r="B2743" s="557" t="str">
        <f>B2742</f>
        <v>Insumo</v>
      </c>
      <c r="C2743" s="571"/>
      <c r="D2743" s="571"/>
      <c r="E2743" s="571"/>
      <c r="F2743" s="571"/>
      <c r="G2743" s="571"/>
      <c r="H2743" s="571"/>
      <c r="I2743" s="571"/>
      <c r="J2743" s="571"/>
      <c r="K2743" s="571"/>
      <c r="L2743" s="571"/>
      <c r="M2743" s="571"/>
      <c r="N2743" s="573">
        <v>1.65</v>
      </c>
      <c r="O2743" s="556" t="str">
        <f>IF(N2743=M2743,"OK","DIF")</f>
        <v>DIF</v>
      </c>
      <c r="P2743" s="573"/>
      <c r="Q2743" s="556"/>
      <c r="R2743" s="582"/>
    </row>
    <row r="2744" ht="15" customHeight="1" spans="1:18">
      <c r="A2744" s="556" t="str">
        <f>B2744</f>
        <v>Insumo</v>
      </c>
      <c r="B2744" s="557" t="str">
        <f>B2743</f>
        <v>Insumo</v>
      </c>
      <c r="C2744" s="76" t="s">
        <v>955</v>
      </c>
      <c r="D2744" s="75" t="s">
        <v>63</v>
      </c>
      <c r="E2744" s="76" t="s">
        <v>64</v>
      </c>
      <c r="F2744" s="76" t="s">
        <v>65</v>
      </c>
      <c r="G2744" s="76" t="s">
        <v>2889</v>
      </c>
      <c r="H2744" s="76"/>
      <c r="I2744" s="77" t="s">
        <v>66</v>
      </c>
      <c r="J2744" s="75" t="s">
        <v>67</v>
      </c>
      <c r="K2744" s="75" t="s">
        <v>2890</v>
      </c>
      <c r="L2744" s="75" t="s">
        <v>68</v>
      </c>
      <c r="M2744" s="75" t="s">
        <v>70</v>
      </c>
      <c r="N2744" s="573">
        <v>23.96</v>
      </c>
      <c r="O2744" s="556" t="str">
        <f>IF(N2744=M2744,"OK","DIF")</f>
        <v>DIF</v>
      </c>
      <c r="P2744" s="573"/>
      <c r="Q2744" s="556"/>
      <c r="R2744" s="582"/>
    </row>
    <row r="2745" ht="23.85" customHeight="1" spans="1:18">
      <c r="A2745" s="556" t="str">
        <f>B2745</f>
        <v>Insumo</v>
      </c>
      <c r="B2745" s="557" t="str">
        <f>B2744</f>
        <v>Insumo</v>
      </c>
      <c r="C2745" s="569" t="s">
        <v>2891</v>
      </c>
      <c r="D2745" s="570" t="s">
        <v>956</v>
      </c>
      <c r="E2745" s="569" t="s">
        <v>149</v>
      </c>
      <c r="F2745" s="569" t="s">
        <v>957</v>
      </c>
      <c r="G2745" s="569" t="s">
        <v>731</v>
      </c>
      <c r="H2745" s="569"/>
      <c r="I2745" s="577" t="s">
        <v>141</v>
      </c>
      <c r="J2745" s="578">
        <v>1</v>
      </c>
      <c r="K2745" s="579"/>
      <c r="L2745" s="579">
        <v>550.56</v>
      </c>
      <c r="M2745" s="579">
        <v>550.56</v>
      </c>
      <c r="N2745" s="573">
        <v>0.08</v>
      </c>
      <c r="O2745" s="556" t="str">
        <f>IF(N2745=M2745,"OK","DIF")</f>
        <v>DIF</v>
      </c>
      <c r="P2745" s="573"/>
      <c r="Q2745" s="556"/>
      <c r="R2745" s="582"/>
    </row>
    <row r="2746" ht="15" customHeight="1" spans="1:18">
      <c r="A2746" s="556"/>
      <c r="B2746" s="557"/>
      <c r="C2746" s="100" t="s">
        <v>2893</v>
      </c>
      <c r="D2746" s="99" t="s">
        <v>3836</v>
      </c>
      <c r="E2746" s="100" t="s">
        <v>149</v>
      </c>
      <c r="F2746" s="100" t="s">
        <v>3837</v>
      </c>
      <c r="G2746" s="100" t="s">
        <v>2896</v>
      </c>
      <c r="H2746" s="100"/>
      <c r="I2746" s="101" t="s">
        <v>2897</v>
      </c>
      <c r="J2746" s="580">
        <v>1.34</v>
      </c>
      <c r="K2746" s="580">
        <v>0</v>
      </c>
      <c r="L2746" s="102">
        <v>20.515752</v>
      </c>
      <c r="M2746" s="102">
        <v>27.49</v>
      </c>
      <c r="N2746" s="573"/>
      <c r="O2746" s="556"/>
      <c r="P2746" s="573"/>
      <c r="Q2746" s="556"/>
      <c r="R2746" s="582"/>
    </row>
    <row r="2747" ht="15" customHeight="1" spans="1:18">
      <c r="A2747" s="556"/>
      <c r="B2747" s="557"/>
      <c r="C2747" s="100" t="s">
        <v>2893</v>
      </c>
      <c r="D2747" s="99" t="s">
        <v>3869</v>
      </c>
      <c r="E2747" s="100" t="s">
        <v>149</v>
      </c>
      <c r="F2747" s="100" t="s">
        <v>3870</v>
      </c>
      <c r="G2747" s="100" t="s">
        <v>2961</v>
      </c>
      <c r="H2747" s="100"/>
      <c r="I2747" s="101" t="s">
        <v>141</v>
      </c>
      <c r="J2747" s="580">
        <v>1.1</v>
      </c>
      <c r="K2747" s="580">
        <v>0</v>
      </c>
      <c r="L2747" s="102">
        <v>427.3</v>
      </c>
      <c r="M2747" s="102">
        <v>470.03</v>
      </c>
      <c r="N2747" s="573"/>
      <c r="O2747" s="556"/>
      <c r="P2747" s="573"/>
      <c r="Q2747" s="556"/>
      <c r="R2747" s="582"/>
    </row>
    <row r="2748" ht="15" customHeight="1" spans="1:18">
      <c r="A2748" s="556"/>
      <c r="B2748" s="557" t="str">
        <f>C2747</f>
        <v>Insumo</v>
      </c>
      <c r="C2748" s="100" t="s">
        <v>2893</v>
      </c>
      <c r="D2748" s="99" t="s">
        <v>2980</v>
      </c>
      <c r="E2748" s="100" t="s">
        <v>149</v>
      </c>
      <c r="F2748" s="100" t="s">
        <v>2981</v>
      </c>
      <c r="G2748" s="100" t="s">
        <v>2896</v>
      </c>
      <c r="H2748" s="100"/>
      <c r="I2748" s="101" t="s">
        <v>2897</v>
      </c>
      <c r="J2748" s="580">
        <v>1.134</v>
      </c>
      <c r="K2748" s="580">
        <v>0</v>
      </c>
      <c r="L2748" s="102">
        <v>26.928256</v>
      </c>
      <c r="M2748" s="102">
        <v>30.53</v>
      </c>
      <c r="N2748" s="573">
        <v>38.14</v>
      </c>
      <c r="O2748" s="556" t="str">
        <f>IF(N2748=M2748,"OK","DIF")</f>
        <v>DIF</v>
      </c>
      <c r="P2748" s="573"/>
      <c r="Q2748" s="556"/>
      <c r="R2748" s="582"/>
    </row>
    <row r="2749" ht="15" customHeight="1" spans="1:18">
      <c r="A2749" s="556" t="str">
        <f>B2749</f>
        <v>Insumo</v>
      </c>
      <c r="B2749" s="557" t="str">
        <f>B2748</f>
        <v>Insumo</v>
      </c>
      <c r="C2749" s="100" t="s">
        <v>2893</v>
      </c>
      <c r="D2749" s="99" t="s">
        <v>3871</v>
      </c>
      <c r="E2749" s="100" t="s">
        <v>149</v>
      </c>
      <c r="F2749" s="100" t="s">
        <v>3872</v>
      </c>
      <c r="G2749" s="100" t="s">
        <v>2961</v>
      </c>
      <c r="H2749" s="100"/>
      <c r="I2749" s="101" t="s">
        <v>134</v>
      </c>
      <c r="J2749" s="580">
        <v>1</v>
      </c>
      <c r="K2749" s="580">
        <v>0</v>
      </c>
      <c r="L2749" s="102">
        <v>22.51</v>
      </c>
      <c r="M2749" s="102">
        <v>22.51</v>
      </c>
      <c r="N2749" s="573">
        <v>2.3</v>
      </c>
      <c r="O2749" s="556" t="str">
        <f>IF(N2749=M2749,"OK","DIF")</f>
        <v>DIF</v>
      </c>
      <c r="P2749" s="573"/>
      <c r="Q2749" s="556"/>
      <c r="R2749" s="582"/>
    </row>
    <row r="2750" ht="25.5" spans="1:18">
      <c r="A2750" s="556" t="str">
        <f>B2750</f>
        <v>Insumo</v>
      </c>
      <c r="B2750" s="557" t="str">
        <f>B2749</f>
        <v>Insumo</v>
      </c>
      <c r="C2750" s="108"/>
      <c r="D2750" s="108"/>
      <c r="E2750" s="108"/>
      <c r="F2750" s="108"/>
      <c r="G2750" s="108"/>
      <c r="H2750" s="108" t="s">
        <v>2898</v>
      </c>
      <c r="I2750" s="581">
        <v>58.02</v>
      </c>
      <c r="J2750" s="108" t="s">
        <v>2899</v>
      </c>
      <c r="K2750" s="581">
        <v>0</v>
      </c>
      <c r="L2750" s="108" t="s">
        <v>2900</v>
      </c>
      <c r="M2750" s="581">
        <v>58.02</v>
      </c>
      <c r="N2750" s="573">
        <v>1.9</v>
      </c>
      <c r="O2750" s="556" t="str">
        <f>IF(N2750=M2750,"OK","DIF")</f>
        <v>DIF</v>
      </c>
      <c r="P2750" s="573"/>
      <c r="Q2750" s="556"/>
      <c r="R2750" s="582"/>
    </row>
    <row r="2751" ht="26.25" spans="1:18">
      <c r="A2751" s="556" t="str">
        <f>B2751</f>
        <v>Insumo</v>
      </c>
      <c r="B2751" s="557" t="str">
        <f>B2750</f>
        <v>Insumo</v>
      </c>
      <c r="C2751" s="108"/>
      <c r="D2751" s="108"/>
      <c r="E2751" s="108"/>
      <c r="F2751" s="108"/>
      <c r="G2751" s="108"/>
      <c r="H2751" s="108" t="s">
        <v>2901</v>
      </c>
      <c r="I2751" s="581">
        <v>140.33</v>
      </c>
      <c r="J2751" s="114"/>
      <c r="K2751" s="114" t="s">
        <v>2902</v>
      </c>
      <c r="L2751" s="108"/>
      <c r="M2751" s="581">
        <v>690.89</v>
      </c>
      <c r="N2751" s="573">
        <v>0.08</v>
      </c>
      <c r="O2751" s="556" t="str">
        <f>IF(N2751=M2751,"OK","DIF")</f>
        <v>DIF</v>
      </c>
      <c r="P2751" s="573"/>
      <c r="Q2751" s="556"/>
      <c r="R2751" s="582"/>
    </row>
    <row r="2752" ht="15" spans="1:18">
      <c r="A2752" s="556" t="str">
        <f>B2752</f>
        <v>Insumo</v>
      </c>
      <c r="B2752" s="557" t="str">
        <f>B2751</f>
        <v>Insumo</v>
      </c>
      <c r="C2752" s="571"/>
      <c r="D2752" s="571"/>
      <c r="E2752" s="571"/>
      <c r="F2752" s="571"/>
      <c r="G2752" s="571"/>
      <c r="H2752" s="571"/>
      <c r="I2752" s="571"/>
      <c r="J2752" s="571"/>
      <c r="K2752" s="571"/>
      <c r="L2752" s="571"/>
      <c r="M2752" s="571"/>
      <c r="N2752" s="573">
        <v>33.86</v>
      </c>
      <c r="O2752" s="556" t="str">
        <f>IF(N2752=M2752,"OK","DIF")</f>
        <v>DIF</v>
      </c>
      <c r="P2752" s="573"/>
      <c r="Q2752" s="556"/>
      <c r="R2752" s="582"/>
    </row>
    <row r="2753" ht="15" customHeight="1" spans="1:18">
      <c r="A2753" s="556"/>
      <c r="B2753" s="557"/>
      <c r="C2753" s="76" t="s">
        <v>960</v>
      </c>
      <c r="D2753" s="75" t="s">
        <v>63</v>
      </c>
      <c r="E2753" s="76" t="s">
        <v>64</v>
      </c>
      <c r="F2753" s="76" t="s">
        <v>65</v>
      </c>
      <c r="G2753" s="76" t="s">
        <v>2889</v>
      </c>
      <c r="H2753" s="76"/>
      <c r="I2753" s="77" t="s">
        <v>66</v>
      </c>
      <c r="J2753" s="75" t="s">
        <v>67</v>
      </c>
      <c r="K2753" s="75" t="s">
        <v>2890</v>
      </c>
      <c r="L2753" s="75" t="s">
        <v>68</v>
      </c>
      <c r="M2753" s="75" t="s">
        <v>70</v>
      </c>
      <c r="N2753" s="573"/>
      <c r="O2753" s="556"/>
      <c r="P2753" s="573"/>
      <c r="Q2753" s="556"/>
      <c r="R2753" s="582"/>
    </row>
    <row r="2754" ht="63.75" spans="1:18">
      <c r="A2754" s="556"/>
      <c r="B2754" s="557"/>
      <c r="C2754" s="569" t="s">
        <v>2891</v>
      </c>
      <c r="D2754" s="570" t="s">
        <v>961</v>
      </c>
      <c r="E2754" s="569" t="s">
        <v>77</v>
      </c>
      <c r="F2754" s="569" t="s">
        <v>3873</v>
      </c>
      <c r="G2754" s="569">
        <v>15</v>
      </c>
      <c r="H2754" s="569"/>
      <c r="I2754" s="577" t="s">
        <v>204</v>
      </c>
      <c r="J2754" s="578">
        <v>1</v>
      </c>
      <c r="K2754" s="579"/>
      <c r="L2754" s="579">
        <v>76.08</v>
      </c>
      <c r="M2754" s="579">
        <v>76.08</v>
      </c>
      <c r="N2754" s="573"/>
      <c r="O2754" s="556"/>
      <c r="P2754" s="573"/>
      <c r="Q2754" s="556"/>
      <c r="R2754" s="582"/>
    </row>
    <row r="2755" ht="25.5" spans="1:18">
      <c r="A2755" s="556"/>
      <c r="B2755" s="557" t="str">
        <f>C2754</f>
        <v>Composição</v>
      </c>
      <c r="C2755" s="100" t="s">
        <v>2893</v>
      </c>
      <c r="D2755" s="99" t="s">
        <v>3874</v>
      </c>
      <c r="E2755" s="100" t="s">
        <v>77</v>
      </c>
      <c r="F2755" s="100" t="s">
        <v>3875</v>
      </c>
      <c r="G2755" s="100">
        <v>0</v>
      </c>
      <c r="H2755" s="100"/>
      <c r="I2755" s="101" t="s">
        <v>134</v>
      </c>
      <c r="J2755" s="580">
        <v>0.175</v>
      </c>
      <c r="K2755" s="580">
        <v>10</v>
      </c>
      <c r="L2755" s="102">
        <v>343.26</v>
      </c>
      <c r="M2755" s="102">
        <v>66.07</v>
      </c>
      <c r="N2755" s="573">
        <v>55.14</v>
      </c>
      <c r="O2755" s="556" t="str">
        <f>IF(N2755=M2755,"OK","DIF")</f>
        <v>DIF</v>
      </c>
      <c r="P2755" s="573"/>
      <c r="Q2755" s="556"/>
      <c r="R2755" s="582"/>
    </row>
    <row r="2756" ht="15" customHeight="1" spans="1:18">
      <c r="A2756" s="556" t="str">
        <f>B2756</f>
        <v>Composição</v>
      </c>
      <c r="B2756" s="557" t="str">
        <f>B2755</f>
        <v>Composição</v>
      </c>
      <c r="C2756" s="100" t="s">
        <v>2893</v>
      </c>
      <c r="D2756" s="99" t="s">
        <v>3696</v>
      </c>
      <c r="E2756" s="100" t="s">
        <v>77</v>
      </c>
      <c r="F2756" s="100" t="s">
        <v>3697</v>
      </c>
      <c r="G2756" s="100" t="s">
        <v>2961</v>
      </c>
      <c r="H2756" s="100"/>
      <c r="I2756" s="101" t="s">
        <v>134</v>
      </c>
      <c r="J2756" s="580">
        <v>0.3</v>
      </c>
      <c r="K2756" s="580">
        <v>10</v>
      </c>
      <c r="L2756" s="102">
        <v>4.7</v>
      </c>
      <c r="M2756" s="102">
        <v>1.55</v>
      </c>
      <c r="N2756" s="573">
        <v>2.74</v>
      </c>
      <c r="O2756" s="556" t="str">
        <f>IF(N2756=M2756,"OK","DIF")</f>
        <v>DIF</v>
      </c>
      <c r="P2756" s="573"/>
      <c r="Q2756" s="556"/>
      <c r="R2756" s="582"/>
    </row>
    <row r="2757" ht="23.85" customHeight="1" spans="1:18">
      <c r="A2757" s="556" t="str">
        <f>B2757</f>
        <v>Composição</v>
      </c>
      <c r="B2757" s="557" t="str">
        <f>B2756</f>
        <v>Composição</v>
      </c>
      <c r="C2757" s="100" t="s">
        <v>2893</v>
      </c>
      <c r="D2757" s="99" t="s">
        <v>3629</v>
      </c>
      <c r="E2757" s="100" t="s">
        <v>77</v>
      </c>
      <c r="F2757" s="100" t="s">
        <v>3630</v>
      </c>
      <c r="G2757" s="100" t="s">
        <v>2896</v>
      </c>
      <c r="H2757" s="100"/>
      <c r="I2757" s="101" t="s">
        <v>2897</v>
      </c>
      <c r="J2757" s="580">
        <v>0.18</v>
      </c>
      <c r="K2757" s="580">
        <v>3</v>
      </c>
      <c r="L2757" s="102">
        <v>26.52</v>
      </c>
      <c r="M2757" s="102">
        <v>4.91</v>
      </c>
      <c r="N2757" s="573">
        <v>2.26</v>
      </c>
      <c r="O2757" s="556" t="str">
        <f>IF(N2757=M2757,"OK","DIF")</f>
        <v>DIF</v>
      </c>
      <c r="P2757" s="573"/>
      <c r="Q2757" s="556"/>
      <c r="R2757" s="582"/>
    </row>
    <row r="2758" ht="23.85" customHeight="1" spans="1:18">
      <c r="A2758" s="556" t="str">
        <f>B2758</f>
        <v>Composição</v>
      </c>
      <c r="B2758" s="557" t="str">
        <f>B2757</f>
        <v>Composição</v>
      </c>
      <c r="C2758" s="100" t="s">
        <v>2893</v>
      </c>
      <c r="D2758" s="99" t="s">
        <v>3108</v>
      </c>
      <c r="E2758" s="100" t="s">
        <v>77</v>
      </c>
      <c r="F2758" s="100" t="s">
        <v>3109</v>
      </c>
      <c r="G2758" s="100" t="s">
        <v>2896</v>
      </c>
      <c r="H2758" s="100"/>
      <c r="I2758" s="101" t="s">
        <v>2897</v>
      </c>
      <c r="J2758" s="580">
        <v>0.18</v>
      </c>
      <c r="K2758" s="580">
        <v>3</v>
      </c>
      <c r="L2758" s="102">
        <v>19.16</v>
      </c>
      <c r="M2758" s="102">
        <v>3.55</v>
      </c>
      <c r="N2758" s="573">
        <v>50.06</v>
      </c>
      <c r="O2758" s="556" t="str">
        <f>IF(N2758=M2758,"OK","DIF")</f>
        <v>DIF</v>
      </c>
      <c r="P2758" s="573"/>
      <c r="Q2758" s="556"/>
      <c r="R2758" s="582"/>
    </row>
    <row r="2759" ht="25.5" spans="1:18">
      <c r="A2759" s="556" t="str">
        <f>B2759</f>
        <v>Composição</v>
      </c>
      <c r="B2759" s="557" t="str">
        <f>B2758</f>
        <v>Composição</v>
      </c>
      <c r="C2759" s="108"/>
      <c r="D2759" s="108"/>
      <c r="E2759" s="108"/>
      <c r="F2759" s="108"/>
      <c r="G2759" s="108"/>
      <c r="H2759" s="108" t="s">
        <v>2898</v>
      </c>
      <c r="I2759" s="581">
        <v>8.46</v>
      </c>
      <c r="J2759" s="108" t="s">
        <v>2899</v>
      </c>
      <c r="K2759" s="581">
        <v>0</v>
      </c>
      <c r="L2759" s="108" t="s">
        <v>2900</v>
      </c>
      <c r="M2759" s="581">
        <v>8.46</v>
      </c>
      <c r="N2759" s="573">
        <v>0.08</v>
      </c>
      <c r="O2759" s="556" t="str">
        <f>IF(N2759=M2759,"OK","DIF")</f>
        <v>DIF</v>
      </c>
      <c r="P2759" s="573"/>
      <c r="Q2759" s="556"/>
      <c r="R2759" s="582"/>
    </row>
    <row r="2760" ht="26.25" spans="1:18">
      <c r="A2760" s="556"/>
      <c r="B2760" s="557"/>
      <c r="C2760" s="108"/>
      <c r="D2760" s="108"/>
      <c r="E2760" s="108"/>
      <c r="F2760" s="108"/>
      <c r="G2760" s="108"/>
      <c r="H2760" s="108" t="s">
        <v>2901</v>
      </c>
      <c r="I2760" s="581">
        <v>19.39</v>
      </c>
      <c r="J2760" s="114"/>
      <c r="K2760" s="114" t="s">
        <v>2902</v>
      </c>
      <c r="L2760" s="108"/>
      <c r="M2760" s="581">
        <v>95.47</v>
      </c>
      <c r="N2760" s="573"/>
      <c r="O2760" s="556"/>
      <c r="P2760" s="573"/>
      <c r="Q2760" s="556"/>
      <c r="R2760" s="582"/>
    </row>
    <row r="2761" ht="15" spans="1:18">
      <c r="A2761" s="556"/>
      <c r="B2761" s="557"/>
      <c r="C2761" s="571"/>
      <c r="D2761" s="571"/>
      <c r="E2761" s="571"/>
      <c r="F2761" s="571"/>
      <c r="G2761" s="571"/>
      <c r="H2761" s="571"/>
      <c r="I2761" s="571"/>
      <c r="J2761" s="571"/>
      <c r="K2761" s="571"/>
      <c r="L2761" s="571"/>
      <c r="M2761" s="571"/>
      <c r="N2761" s="573"/>
      <c r="O2761" s="556"/>
      <c r="P2761" s="573"/>
      <c r="Q2761" s="556"/>
      <c r="R2761" s="582"/>
    </row>
    <row r="2762" ht="15" customHeight="1" spans="1:18">
      <c r="A2762" s="556"/>
      <c r="B2762" s="557">
        <f>C2761</f>
        <v>0</v>
      </c>
      <c r="C2762" s="76" t="s">
        <v>963</v>
      </c>
      <c r="D2762" s="75" t="s">
        <v>63</v>
      </c>
      <c r="E2762" s="76" t="s">
        <v>64</v>
      </c>
      <c r="F2762" s="76" t="s">
        <v>65</v>
      </c>
      <c r="G2762" s="76" t="s">
        <v>2889</v>
      </c>
      <c r="H2762" s="76"/>
      <c r="I2762" s="77" t="s">
        <v>66</v>
      </c>
      <c r="J2762" s="75" t="s">
        <v>67</v>
      </c>
      <c r="K2762" s="75" t="s">
        <v>2890</v>
      </c>
      <c r="L2762" s="75" t="s">
        <v>68</v>
      </c>
      <c r="M2762" s="75" t="s">
        <v>70</v>
      </c>
      <c r="N2762" s="573">
        <v>76.19</v>
      </c>
      <c r="O2762" s="556" t="str">
        <f>IF(N2762=M2762,"OK","DIF")</f>
        <v>DIF</v>
      </c>
      <c r="P2762" s="573"/>
      <c r="Q2762" s="556"/>
      <c r="R2762" s="582"/>
    </row>
    <row r="2763" ht="38.25" spans="1:18">
      <c r="A2763" s="556">
        <f>B2763</f>
        <v>0</v>
      </c>
      <c r="B2763" s="557">
        <f>B2762</f>
        <v>0</v>
      </c>
      <c r="C2763" s="569" t="s">
        <v>2891</v>
      </c>
      <c r="D2763" s="570" t="s">
        <v>870</v>
      </c>
      <c r="E2763" s="569" t="s">
        <v>77</v>
      </c>
      <c r="F2763" s="569" t="s">
        <v>3777</v>
      </c>
      <c r="G2763" s="569">
        <v>15</v>
      </c>
      <c r="H2763" s="569"/>
      <c r="I2763" s="577" t="s">
        <v>204</v>
      </c>
      <c r="J2763" s="578">
        <v>1</v>
      </c>
      <c r="K2763" s="579"/>
      <c r="L2763" s="579">
        <v>110.79</v>
      </c>
      <c r="M2763" s="579">
        <v>110.79</v>
      </c>
      <c r="N2763" s="573">
        <v>3.33</v>
      </c>
      <c r="O2763" s="556" t="str">
        <f>IF(N2763=M2763,"OK","DIF")</f>
        <v>DIF</v>
      </c>
      <c r="P2763" s="573"/>
      <c r="Q2763" s="556"/>
      <c r="R2763" s="582"/>
    </row>
    <row r="2764" ht="23.85" customHeight="1" spans="1:18">
      <c r="A2764" s="556">
        <f>B2764</f>
        <v>0</v>
      </c>
      <c r="B2764" s="557">
        <f>B2763</f>
        <v>0</v>
      </c>
      <c r="C2764" s="100" t="s">
        <v>2893</v>
      </c>
      <c r="D2764" s="99" t="s">
        <v>3629</v>
      </c>
      <c r="E2764" s="100" t="s">
        <v>77</v>
      </c>
      <c r="F2764" s="100" t="s">
        <v>3630</v>
      </c>
      <c r="G2764" s="100" t="s">
        <v>2896</v>
      </c>
      <c r="H2764" s="100"/>
      <c r="I2764" s="101" t="s">
        <v>2897</v>
      </c>
      <c r="J2764" s="580">
        <v>0.18</v>
      </c>
      <c r="K2764" s="580">
        <v>3</v>
      </c>
      <c r="L2764" s="102">
        <v>26.52</v>
      </c>
      <c r="M2764" s="102">
        <v>4.91</v>
      </c>
      <c r="N2764" s="573">
        <v>2.74</v>
      </c>
      <c r="O2764" s="556" t="str">
        <f>IF(N2764=M2764,"OK","DIF")</f>
        <v>DIF</v>
      </c>
      <c r="P2764" s="573"/>
      <c r="Q2764" s="556"/>
      <c r="R2764" s="582"/>
    </row>
    <row r="2765" ht="23.85" customHeight="1" spans="1:18">
      <c r="A2765" s="556">
        <f>B2765</f>
        <v>0</v>
      </c>
      <c r="B2765" s="557">
        <f>B2764</f>
        <v>0</v>
      </c>
      <c r="C2765" s="100" t="s">
        <v>2893</v>
      </c>
      <c r="D2765" s="99" t="s">
        <v>3108</v>
      </c>
      <c r="E2765" s="100" t="s">
        <v>77</v>
      </c>
      <c r="F2765" s="100" t="s">
        <v>3109</v>
      </c>
      <c r="G2765" s="100" t="s">
        <v>2896</v>
      </c>
      <c r="H2765" s="100"/>
      <c r="I2765" s="101" t="s">
        <v>2897</v>
      </c>
      <c r="J2765" s="580">
        <v>0.18</v>
      </c>
      <c r="K2765" s="580">
        <v>3</v>
      </c>
      <c r="L2765" s="102">
        <v>19.16</v>
      </c>
      <c r="M2765" s="102">
        <v>3.55</v>
      </c>
      <c r="N2765" s="573">
        <v>0.08</v>
      </c>
      <c r="O2765" s="556" t="str">
        <f>IF(N2765=M2765,"OK","DIF")</f>
        <v>DIF</v>
      </c>
      <c r="P2765" s="573"/>
      <c r="Q2765" s="556"/>
      <c r="R2765" s="582"/>
    </row>
    <row r="2766" ht="23.85" customHeight="1" spans="1:18">
      <c r="A2766" s="556">
        <f>B2766</f>
        <v>0</v>
      </c>
      <c r="B2766" s="557">
        <f>B2765</f>
        <v>0</v>
      </c>
      <c r="C2766" s="100" t="s">
        <v>2893</v>
      </c>
      <c r="D2766" s="99" t="s">
        <v>3778</v>
      </c>
      <c r="E2766" s="100" t="s">
        <v>77</v>
      </c>
      <c r="F2766" s="100" t="s">
        <v>3779</v>
      </c>
      <c r="G2766" s="100" t="s">
        <v>2961</v>
      </c>
      <c r="H2766" s="100"/>
      <c r="I2766" s="101" t="s">
        <v>204</v>
      </c>
      <c r="J2766" s="580">
        <v>1.05</v>
      </c>
      <c r="K2766" s="580">
        <v>0</v>
      </c>
      <c r="L2766" s="102">
        <v>96.12</v>
      </c>
      <c r="M2766" s="102">
        <v>100.92</v>
      </c>
      <c r="N2766" s="573">
        <v>70.04</v>
      </c>
      <c r="O2766" s="556" t="str">
        <f>IF(N2766=M2766,"OK","DIF")</f>
        <v>DIF</v>
      </c>
      <c r="P2766" s="573"/>
      <c r="Q2766" s="556"/>
      <c r="R2766" s="582"/>
    </row>
    <row r="2767" ht="15" customHeight="1" spans="1:18">
      <c r="A2767" s="556"/>
      <c r="B2767" s="557"/>
      <c r="C2767" s="100" t="s">
        <v>2893</v>
      </c>
      <c r="D2767" s="99" t="s">
        <v>3696</v>
      </c>
      <c r="E2767" s="100" t="s">
        <v>77</v>
      </c>
      <c r="F2767" s="100" t="s">
        <v>3697</v>
      </c>
      <c r="G2767" s="100" t="s">
        <v>2961</v>
      </c>
      <c r="H2767" s="100"/>
      <c r="I2767" s="101" t="s">
        <v>134</v>
      </c>
      <c r="J2767" s="580">
        <v>0.3</v>
      </c>
      <c r="K2767" s="580">
        <v>0</v>
      </c>
      <c r="L2767" s="102">
        <v>4.7</v>
      </c>
      <c r="M2767" s="102">
        <v>1.41</v>
      </c>
      <c r="N2767" s="573"/>
      <c r="O2767" s="556"/>
      <c r="P2767" s="573"/>
      <c r="Q2767" s="556"/>
      <c r="R2767" s="582"/>
    </row>
    <row r="2768" ht="25.5" spans="1:18">
      <c r="A2768" s="556"/>
      <c r="B2768" s="557"/>
      <c r="C2768" s="108"/>
      <c r="D2768" s="108"/>
      <c r="E2768" s="108"/>
      <c r="F2768" s="108"/>
      <c r="G2768" s="108"/>
      <c r="H2768" s="108" t="s">
        <v>2898</v>
      </c>
      <c r="I2768" s="581">
        <v>8.46</v>
      </c>
      <c r="J2768" s="108" t="s">
        <v>2899</v>
      </c>
      <c r="K2768" s="581">
        <v>0</v>
      </c>
      <c r="L2768" s="108" t="s">
        <v>2900</v>
      </c>
      <c r="M2768" s="581">
        <v>8.46</v>
      </c>
      <c r="N2768" s="573"/>
      <c r="O2768" s="556"/>
      <c r="P2768" s="573"/>
      <c r="Q2768" s="556"/>
      <c r="R2768" s="582"/>
    </row>
    <row r="2769" ht="26.25" spans="1:18">
      <c r="A2769" s="556"/>
      <c r="B2769" s="557">
        <f>C2768</f>
        <v>0</v>
      </c>
      <c r="C2769" s="108"/>
      <c r="D2769" s="108"/>
      <c r="E2769" s="108"/>
      <c r="F2769" s="108"/>
      <c r="G2769" s="108"/>
      <c r="H2769" s="108" t="s">
        <v>2901</v>
      </c>
      <c r="I2769" s="581">
        <v>28.24</v>
      </c>
      <c r="J2769" s="114"/>
      <c r="K2769" s="114" t="s">
        <v>2902</v>
      </c>
      <c r="L2769" s="108"/>
      <c r="M2769" s="581">
        <v>139.03</v>
      </c>
      <c r="N2769" s="573">
        <v>98.43</v>
      </c>
      <c r="O2769" s="556" t="str">
        <f>IF(N2769=M2769,"OK","DIF")</f>
        <v>DIF</v>
      </c>
      <c r="P2769" s="573"/>
      <c r="Q2769" s="556"/>
      <c r="R2769" s="582"/>
    </row>
    <row r="2770" ht="15" spans="1:18">
      <c r="A2770" s="556">
        <f>B2770</f>
        <v>0</v>
      </c>
      <c r="B2770" s="557">
        <f>B2769</f>
        <v>0</v>
      </c>
      <c r="C2770" s="571"/>
      <c r="D2770" s="571"/>
      <c r="E2770" s="571"/>
      <c r="F2770" s="571"/>
      <c r="G2770" s="571"/>
      <c r="H2770" s="571"/>
      <c r="I2770" s="571"/>
      <c r="J2770" s="571"/>
      <c r="K2770" s="571"/>
      <c r="L2770" s="571"/>
      <c r="M2770" s="571"/>
      <c r="N2770" s="573">
        <v>4.06</v>
      </c>
      <c r="O2770" s="556" t="str">
        <f>IF(N2770=M2770,"OK","DIF")</f>
        <v>DIF</v>
      </c>
      <c r="P2770" s="573"/>
      <c r="Q2770" s="556"/>
      <c r="R2770" s="582"/>
    </row>
    <row r="2771" ht="15" customHeight="1" spans="1:18">
      <c r="A2771" s="556">
        <f>B2771</f>
        <v>0</v>
      </c>
      <c r="B2771" s="557">
        <f>B2770</f>
        <v>0</v>
      </c>
      <c r="C2771" s="76" t="s">
        <v>964</v>
      </c>
      <c r="D2771" s="75" t="s">
        <v>63</v>
      </c>
      <c r="E2771" s="76" t="s">
        <v>64</v>
      </c>
      <c r="F2771" s="76" t="s">
        <v>65</v>
      </c>
      <c r="G2771" s="76" t="s">
        <v>2889</v>
      </c>
      <c r="H2771" s="76"/>
      <c r="I2771" s="77" t="s">
        <v>66</v>
      </c>
      <c r="J2771" s="75" t="s">
        <v>67</v>
      </c>
      <c r="K2771" s="75" t="s">
        <v>2890</v>
      </c>
      <c r="L2771" s="75" t="s">
        <v>68</v>
      </c>
      <c r="M2771" s="75" t="s">
        <v>70</v>
      </c>
      <c r="N2771" s="573">
        <v>3.35</v>
      </c>
      <c r="O2771" s="556" t="str">
        <f>IF(N2771=M2771,"OK","DIF")</f>
        <v>DIF</v>
      </c>
      <c r="P2771" s="573"/>
      <c r="Q2771" s="556"/>
      <c r="R2771" s="582"/>
    </row>
    <row r="2772" ht="38.25" spans="1:18">
      <c r="A2772" s="556">
        <f>B2772</f>
        <v>0</v>
      </c>
      <c r="B2772" s="557">
        <f>B2771</f>
        <v>0</v>
      </c>
      <c r="C2772" s="569" t="s">
        <v>2891</v>
      </c>
      <c r="D2772" s="570" t="s">
        <v>965</v>
      </c>
      <c r="E2772" s="569" t="s">
        <v>132</v>
      </c>
      <c r="F2772" s="569" t="s">
        <v>966</v>
      </c>
      <c r="G2772" s="569">
        <v>15</v>
      </c>
      <c r="H2772" s="569"/>
      <c r="I2772" s="577" t="s">
        <v>204</v>
      </c>
      <c r="J2772" s="578">
        <v>1</v>
      </c>
      <c r="K2772" s="579"/>
      <c r="L2772" s="579">
        <v>158.06</v>
      </c>
      <c r="M2772" s="579">
        <v>158.06</v>
      </c>
      <c r="N2772" s="573">
        <v>0.08</v>
      </c>
      <c r="O2772" s="556" t="str">
        <f>IF(N2772=M2772,"OK","DIF")</f>
        <v>DIF</v>
      </c>
      <c r="P2772" s="573"/>
      <c r="Q2772" s="556"/>
      <c r="R2772" s="582"/>
    </row>
    <row r="2773" ht="23.85" customHeight="1" spans="1:18">
      <c r="A2773" s="556">
        <f>B2773</f>
        <v>0</v>
      </c>
      <c r="B2773" s="557">
        <f>B2772</f>
        <v>0</v>
      </c>
      <c r="C2773" s="79" t="s">
        <v>2921</v>
      </c>
      <c r="D2773" s="78" t="s">
        <v>2952</v>
      </c>
      <c r="E2773" s="79" t="s">
        <v>139</v>
      </c>
      <c r="F2773" s="79" t="s">
        <v>2953</v>
      </c>
      <c r="G2773" s="79" t="s">
        <v>2928</v>
      </c>
      <c r="H2773" s="79"/>
      <c r="I2773" s="80" t="s">
        <v>2897</v>
      </c>
      <c r="J2773" s="583">
        <v>0.18</v>
      </c>
      <c r="K2773" s="583">
        <v>0</v>
      </c>
      <c r="L2773" s="92">
        <v>29.15</v>
      </c>
      <c r="M2773" s="92">
        <v>5.24</v>
      </c>
      <c r="N2773" s="573">
        <v>90.94</v>
      </c>
      <c r="O2773" s="556" t="str">
        <f>IF(N2773=M2773,"OK","DIF")</f>
        <v>DIF</v>
      </c>
      <c r="P2773" s="573"/>
      <c r="Q2773" s="556"/>
      <c r="R2773" s="582"/>
    </row>
    <row r="2774" ht="23.85" customHeight="1" spans="1:18">
      <c r="A2774" s="556"/>
      <c r="B2774" s="557"/>
      <c r="C2774" s="79" t="s">
        <v>2921</v>
      </c>
      <c r="D2774" s="78" t="s">
        <v>3144</v>
      </c>
      <c r="E2774" s="79" t="s">
        <v>139</v>
      </c>
      <c r="F2774" s="79" t="s">
        <v>3145</v>
      </c>
      <c r="G2774" s="79" t="s">
        <v>2928</v>
      </c>
      <c r="H2774" s="79"/>
      <c r="I2774" s="80" t="s">
        <v>2897</v>
      </c>
      <c r="J2774" s="583">
        <v>0.18</v>
      </c>
      <c r="K2774" s="583">
        <v>0</v>
      </c>
      <c r="L2774" s="92">
        <v>35.55</v>
      </c>
      <c r="M2774" s="92">
        <v>6.39</v>
      </c>
      <c r="N2774" s="573"/>
      <c r="O2774" s="556"/>
      <c r="P2774" s="573"/>
      <c r="Q2774" s="556"/>
      <c r="R2774" s="582"/>
    </row>
    <row r="2775" ht="23.85" customHeight="1" spans="1:18">
      <c r="A2775" s="556"/>
      <c r="B2775" s="557"/>
      <c r="C2775" s="100" t="s">
        <v>2893</v>
      </c>
      <c r="D2775" s="99" t="s">
        <v>3876</v>
      </c>
      <c r="E2775" s="100" t="s">
        <v>77</v>
      </c>
      <c r="F2775" s="100" t="s">
        <v>3877</v>
      </c>
      <c r="G2775" s="100" t="s">
        <v>2961</v>
      </c>
      <c r="H2775" s="100"/>
      <c r="I2775" s="101" t="s">
        <v>204</v>
      </c>
      <c r="J2775" s="580">
        <v>1.05</v>
      </c>
      <c r="K2775" s="580">
        <v>0</v>
      </c>
      <c r="L2775" s="102">
        <v>138.12</v>
      </c>
      <c r="M2775" s="102">
        <v>145.02</v>
      </c>
      <c r="N2775" s="573"/>
      <c r="O2775" s="556"/>
      <c r="P2775" s="573"/>
      <c r="Q2775" s="556"/>
      <c r="R2775" s="582"/>
    </row>
    <row r="2776" ht="15" customHeight="1" spans="1:18">
      <c r="A2776" s="556"/>
      <c r="B2776" s="557" t="str">
        <f>C2775</f>
        <v>Insumo</v>
      </c>
      <c r="C2776" s="100" t="s">
        <v>2893</v>
      </c>
      <c r="D2776" s="99" t="s">
        <v>3696</v>
      </c>
      <c r="E2776" s="100" t="s">
        <v>77</v>
      </c>
      <c r="F2776" s="100" t="s">
        <v>3697</v>
      </c>
      <c r="G2776" s="100" t="s">
        <v>2961</v>
      </c>
      <c r="H2776" s="100"/>
      <c r="I2776" s="101" t="s">
        <v>134</v>
      </c>
      <c r="J2776" s="580">
        <v>0.3</v>
      </c>
      <c r="K2776" s="580">
        <v>0</v>
      </c>
      <c r="L2776" s="102">
        <v>4.7</v>
      </c>
      <c r="M2776" s="102">
        <v>1.41</v>
      </c>
      <c r="N2776" s="573">
        <v>127.75</v>
      </c>
      <c r="O2776" s="556" t="str">
        <f>IF(N2776=M2776,"OK","DIF")</f>
        <v>DIF</v>
      </c>
      <c r="P2776" s="573"/>
      <c r="Q2776" s="556"/>
      <c r="R2776" s="582"/>
    </row>
    <row r="2777" ht="25.5" spans="1:18">
      <c r="A2777" s="556" t="str">
        <f>B2777</f>
        <v>Insumo</v>
      </c>
      <c r="B2777" s="557" t="str">
        <f>B2776</f>
        <v>Insumo</v>
      </c>
      <c r="C2777" s="108"/>
      <c r="D2777" s="108"/>
      <c r="E2777" s="108"/>
      <c r="F2777" s="108"/>
      <c r="G2777" s="108"/>
      <c r="H2777" s="108" t="s">
        <v>2898</v>
      </c>
      <c r="I2777" s="581">
        <v>8.16</v>
      </c>
      <c r="J2777" s="108" t="s">
        <v>2899</v>
      </c>
      <c r="K2777" s="581">
        <v>0</v>
      </c>
      <c r="L2777" s="108" t="s">
        <v>2900</v>
      </c>
      <c r="M2777" s="581">
        <v>8.16</v>
      </c>
      <c r="N2777" s="573">
        <v>4.79</v>
      </c>
      <c r="O2777" s="556" t="str">
        <f>IF(N2777=M2777,"OK","DIF")</f>
        <v>DIF</v>
      </c>
      <c r="P2777" s="573"/>
      <c r="Q2777" s="556"/>
      <c r="R2777" s="582"/>
    </row>
    <row r="2778" ht="26.25" spans="1:18">
      <c r="A2778" s="556" t="str">
        <f>B2778</f>
        <v>Insumo</v>
      </c>
      <c r="B2778" s="557" t="str">
        <f>B2777</f>
        <v>Insumo</v>
      </c>
      <c r="C2778" s="108"/>
      <c r="D2778" s="108"/>
      <c r="E2778" s="108"/>
      <c r="F2778" s="108"/>
      <c r="G2778" s="108"/>
      <c r="H2778" s="108" t="s">
        <v>2901</v>
      </c>
      <c r="I2778" s="581">
        <v>40.28</v>
      </c>
      <c r="J2778" s="114"/>
      <c r="K2778" s="114" t="s">
        <v>2902</v>
      </c>
      <c r="L2778" s="108"/>
      <c r="M2778" s="581">
        <v>198.34</v>
      </c>
      <c r="N2778" s="573">
        <v>3.95</v>
      </c>
      <c r="O2778" s="556" t="str">
        <f>IF(N2778=M2778,"OK","DIF")</f>
        <v>DIF</v>
      </c>
      <c r="P2778" s="573"/>
      <c r="Q2778" s="556"/>
      <c r="R2778" s="582"/>
    </row>
    <row r="2779" ht="15" spans="1:18">
      <c r="A2779" s="556" t="str">
        <f>B2779</f>
        <v>Insumo</v>
      </c>
      <c r="B2779" s="557" t="str">
        <f>B2778</f>
        <v>Insumo</v>
      </c>
      <c r="C2779" s="571"/>
      <c r="D2779" s="571"/>
      <c r="E2779" s="571"/>
      <c r="F2779" s="571"/>
      <c r="G2779" s="571"/>
      <c r="H2779" s="571"/>
      <c r="I2779" s="571"/>
      <c r="J2779" s="571"/>
      <c r="K2779" s="571"/>
      <c r="L2779" s="571"/>
      <c r="M2779" s="571"/>
      <c r="N2779" s="573">
        <v>0.08</v>
      </c>
      <c r="O2779" s="556" t="str">
        <f>IF(N2779=M2779,"OK","DIF")</f>
        <v>DIF</v>
      </c>
      <c r="P2779" s="573"/>
      <c r="Q2779" s="556"/>
      <c r="R2779" s="582"/>
    </row>
    <row r="2780" ht="15" customHeight="1" spans="1:18">
      <c r="A2780" s="556" t="str">
        <f>B2780</f>
        <v>Insumo</v>
      </c>
      <c r="B2780" s="557" t="str">
        <f>B2779</f>
        <v>Insumo</v>
      </c>
      <c r="C2780" s="76" t="s">
        <v>967</v>
      </c>
      <c r="D2780" s="75" t="s">
        <v>63</v>
      </c>
      <c r="E2780" s="76" t="s">
        <v>64</v>
      </c>
      <c r="F2780" s="76" t="s">
        <v>65</v>
      </c>
      <c r="G2780" s="76" t="s">
        <v>2889</v>
      </c>
      <c r="H2780" s="76"/>
      <c r="I2780" s="77" t="s">
        <v>66</v>
      </c>
      <c r="J2780" s="75" t="s">
        <v>67</v>
      </c>
      <c r="K2780" s="75" t="s">
        <v>2890</v>
      </c>
      <c r="L2780" s="75" t="s">
        <v>68</v>
      </c>
      <c r="M2780" s="75" t="s">
        <v>70</v>
      </c>
      <c r="N2780" s="573">
        <v>118.93</v>
      </c>
      <c r="O2780" s="556" t="str">
        <f>IF(N2780=M2780,"OK","DIF")</f>
        <v>DIF</v>
      </c>
      <c r="P2780" s="573"/>
      <c r="Q2780" s="556"/>
      <c r="R2780" s="582"/>
    </row>
    <row r="2781" ht="38.25" spans="1:18">
      <c r="A2781" s="556"/>
      <c r="B2781" s="557"/>
      <c r="C2781" s="569" t="s">
        <v>2891</v>
      </c>
      <c r="D2781" s="570" t="s">
        <v>968</v>
      </c>
      <c r="E2781" s="569" t="s">
        <v>132</v>
      </c>
      <c r="F2781" s="569" t="s">
        <v>969</v>
      </c>
      <c r="G2781" s="569">
        <v>15</v>
      </c>
      <c r="H2781" s="569"/>
      <c r="I2781" s="577" t="s">
        <v>204</v>
      </c>
      <c r="J2781" s="578">
        <v>1</v>
      </c>
      <c r="K2781" s="579"/>
      <c r="L2781" s="579">
        <v>258.04</v>
      </c>
      <c r="M2781" s="579">
        <v>258.04</v>
      </c>
      <c r="N2781" s="573"/>
      <c r="O2781" s="556"/>
      <c r="P2781" s="573"/>
      <c r="Q2781" s="556"/>
      <c r="R2781" s="582"/>
    </row>
    <row r="2782" ht="23.85" customHeight="1" spans="1:18">
      <c r="A2782" s="556"/>
      <c r="B2782" s="557"/>
      <c r="C2782" s="79" t="s">
        <v>2921</v>
      </c>
      <c r="D2782" s="78" t="s">
        <v>2952</v>
      </c>
      <c r="E2782" s="79" t="s">
        <v>139</v>
      </c>
      <c r="F2782" s="79" t="s">
        <v>2953</v>
      </c>
      <c r="G2782" s="79" t="s">
        <v>2928</v>
      </c>
      <c r="H2782" s="79"/>
      <c r="I2782" s="80" t="s">
        <v>2897</v>
      </c>
      <c r="J2782" s="583">
        <v>0.18</v>
      </c>
      <c r="K2782" s="583">
        <v>0</v>
      </c>
      <c r="L2782" s="92">
        <v>29.15</v>
      </c>
      <c r="M2782" s="92">
        <v>5.24</v>
      </c>
      <c r="N2782" s="573"/>
      <c r="O2782" s="556"/>
      <c r="P2782" s="573"/>
      <c r="Q2782" s="556"/>
      <c r="R2782" s="582"/>
    </row>
    <row r="2783" ht="23.85" customHeight="1" spans="1:18">
      <c r="A2783" s="556"/>
      <c r="B2783" s="557" t="str">
        <f>C2782</f>
        <v>Composição Auxiliar</v>
      </c>
      <c r="C2783" s="79" t="s">
        <v>2921</v>
      </c>
      <c r="D2783" s="78" t="s">
        <v>3144</v>
      </c>
      <c r="E2783" s="79" t="s">
        <v>139</v>
      </c>
      <c r="F2783" s="79" t="s">
        <v>3145</v>
      </c>
      <c r="G2783" s="79" t="s">
        <v>2928</v>
      </c>
      <c r="H2783" s="79"/>
      <c r="I2783" s="80" t="s">
        <v>2897</v>
      </c>
      <c r="J2783" s="583">
        <v>0.18</v>
      </c>
      <c r="K2783" s="583">
        <v>0</v>
      </c>
      <c r="L2783" s="92">
        <v>35.55</v>
      </c>
      <c r="M2783" s="92">
        <v>6.39</v>
      </c>
      <c r="N2783" s="573">
        <v>323.6</v>
      </c>
      <c r="O2783" s="556" t="str">
        <f>IF(N2783=M2783,"OK","DIF")</f>
        <v>DIF</v>
      </c>
      <c r="P2783" s="573"/>
      <c r="Q2783" s="556"/>
      <c r="R2783" s="582"/>
    </row>
    <row r="2784" ht="23.85" customHeight="1" spans="1:18">
      <c r="A2784" s="556" t="str">
        <f>B2784</f>
        <v>Composição Auxiliar</v>
      </c>
      <c r="B2784" s="557" t="str">
        <f>B2783</f>
        <v>Composição Auxiliar</v>
      </c>
      <c r="C2784" s="100" t="s">
        <v>2893</v>
      </c>
      <c r="D2784" s="99" t="s">
        <v>3878</v>
      </c>
      <c r="E2784" s="100" t="s">
        <v>77</v>
      </c>
      <c r="F2784" s="100" t="s">
        <v>3879</v>
      </c>
      <c r="G2784" s="100" t="s">
        <v>2961</v>
      </c>
      <c r="H2784" s="100"/>
      <c r="I2784" s="101" t="s">
        <v>204</v>
      </c>
      <c r="J2784" s="580">
        <v>1.05</v>
      </c>
      <c r="K2784" s="580">
        <v>0</v>
      </c>
      <c r="L2784" s="102">
        <v>233.34</v>
      </c>
      <c r="M2784" s="102">
        <v>245</v>
      </c>
      <c r="N2784" s="573">
        <v>8.31</v>
      </c>
      <c r="O2784" s="556" t="str">
        <f>IF(N2784=M2784,"OK","DIF")</f>
        <v>DIF</v>
      </c>
      <c r="P2784" s="573"/>
      <c r="Q2784" s="556"/>
      <c r="R2784" s="582"/>
    </row>
    <row r="2785" ht="15" customHeight="1" spans="1:18">
      <c r="A2785" s="556" t="str">
        <f>B2785</f>
        <v>Composição Auxiliar</v>
      </c>
      <c r="B2785" s="557" t="str">
        <f>B2784</f>
        <v>Composição Auxiliar</v>
      </c>
      <c r="C2785" s="100" t="s">
        <v>2893</v>
      </c>
      <c r="D2785" s="99" t="s">
        <v>3696</v>
      </c>
      <c r="E2785" s="100" t="s">
        <v>77</v>
      </c>
      <c r="F2785" s="100" t="s">
        <v>3697</v>
      </c>
      <c r="G2785" s="100" t="s">
        <v>2961</v>
      </c>
      <c r="H2785" s="100"/>
      <c r="I2785" s="101" t="s">
        <v>134</v>
      </c>
      <c r="J2785" s="580">
        <v>0.3</v>
      </c>
      <c r="K2785" s="580">
        <v>0</v>
      </c>
      <c r="L2785" s="102">
        <v>4.7</v>
      </c>
      <c r="M2785" s="102">
        <v>1.41</v>
      </c>
      <c r="N2785" s="573">
        <v>10.06</v>
      </c>
      <c r="O2785" s="556" t="str">
        <f>IF(N2785=M2785,"OK","DIF")</f>
        <v>DIF</v>
      </c>
      <c r="P2785" s="573"/>
      <c r="Q2785" s="556"/>
      <c r="R2785" s="582"/>
    </row>
    <row r="2786" ht="25.5" spans="1:18">
      <c r="A2786" s="556" t="str">
        <f>B2786</f>
        <v>Composição Auxiliar</v>
      </c>
      <c r="B2786" s="557" t="str">
        <f>B2785</f>
        <v>Composição Auxiliar</v>
      </c>
      <c r="C2786" s="108"/>
      <c r="D2786" s="108"/>
      <c r="E2786" s="108"/>
      <c r="F2786" s="108"/>
      <c r="G2786" s="108"/>
      <c r="H2786" s="108" t="s">
        <v>2898</v>
      </c>
      <c r="I2786" s="581">
        <v>8.16</v>
      </c>
      <c r="J2786" s="108" t="s">
        <v>2899</v>
      </c>
      <c r="K2786" s="581">
        <v>0</v>
      </c>
      <c r="L2786" s="108" t="s">
        <v>2900</v>
      </c>
      <c r="M2786" s="581">
        <v>8.16</v>
      </c>
      <c r="N2786" s="573">
        <v>0.08</v>
      </c>
      <c r="O2786" s="556" t="str">
        <f>IF(N2786=M2786,"OK","DIF")</f>
        <v>DIF</v>
      </c>
      <c r="P2786" s="573"/>
      <c r="Q2786" s="556"/>
      <c r="R2786" s="582"/>
    </row>
    <row r="2787" ht="26.25" spans="1:18">
      <c r="A2787" s="556" t="str">
        <f>B2787</f>
        <v>Composição Auxiliar</v>
      </c>
      <c r="B2787" s="557" t="str">
        <f>B2786</f>
        <v>Composição Auxiliar</v>
      </c>
      <c r="C2787" s="108"/>
      <c r="D2787" s="108"/>
      <c r="E2787" s="108"/>
      <c r="F2787" s="108"/>
      <c r="G2787" s="108"/>
      <c r="H2787" s="108" t="s">
        <v>2901</v>
      </c>
      <c r="I2787" s="581">
        <v>65.77</v>
      </c>
      <c r="J2787" s="114"/>
      <c r="K2787" s="114" t="s">
        <v>2902</v>
      </c>
      <c r="L2787" s="108"/>
      <c r="M2787" s="581">
        <v>323.81</v>
      </c>
      <c r="N2787" s="573">
        <v>305.15</v>
      </c>
      <c r="O2787" s="556" t="str">
        <f>IF(N2787=M2787,"OK","DIF")</f>
        <v>DIF</v>
      </c>
      <c r="P2787" s="573"/>
      <c r="Q2787" s="556"/>
      <c r="R2787" s="582"/>
    </row>
    <row r="2788" ht="15" spans="1:18">
      <c r="A2788" s="556"/>
      <c r="B2788" s="557"/>
      <c r="C2788" s="571"/>
      <c r="D2788" s="571"/>
      <c r="E2788" s="571"/>
      <c r="F2788" s="571"/>
      <c r="G2788" s="571"/>
      <c r="H2788" s="571"/>
      <c r="I2788" s="571"/>
      <c r="J2788" s="571"/>
      <c r="K2788" s="571"/>
      <c r="L2788" s="571"/>
      <c r="M2788" s="571"/>
      <c r="N2788" s="573"/>
      <c r="O2788" s="556"/>
      <c r="P2788" s="573"/>
      <c r="Q2788" s="556"/>
      <c r="R2788" s="582"/>
    </row>
    <row r="2789" ht="15" customHeight="1" spans="1:18">
      <c r="A2789" s="556"/>
      <c r="B2789" s="557"/>
      <c r="C2789" s="76" t="s">
        <v>970</v>
      </c>
      <c r="D2789" s="75" t="s">
        <v>63</v>
      </c>
      <c r="E2789" s="76" t="s">
        <v>64</v>
      </c>
      <c r="F2789" s="76" t="s">
        <v>65</v>
      </c>
      <c r="G2789" s="76" t="s">
        <v>2889</v>
      </c>
      <c r="H2789" s="76"/>
      <c r="I2789" s="77" t="s">
        <v>66</v>
      </c>
      <c r="J2789" s="75" t="s">
        <v>67</v>
      </c>
      <c r="K2789" s="75" t="s">
        <v>2890</v>
      </c>
      <c r="L2789" s="75" t="s">
        <v>68</v>
      </c>
      <c r="M2789" s="75" t="s">
        <v>70</v>
      </c>
      <c r="N2789" s="573"/>
      <c r="O2789" s="556"/>
      <c r="P2789" s="573"/>
      <c r="Q2789" s="556"/>
      <c r="R2789" s="582"/>
    </row>
    <row r="2790" ht="51" spans="1:18">
      <c r="A2790" s="556"/>
      <c r="B2790" s="557" t="str">
        <f>C2789</f>
        <v> 11.4.5 </v>
      </c>
      <c r="C2790" s="569" t="s">
        <v>2891</v>
      </c>
      <c r="D2790" s="570" t="s">
        <v>971</v>
      </c>
      <c r="E2790" s="569" t="s">
        <v>77</v>
      </c>
      <c r="F2790" s="569" t="s">
        <v>3880</v>
      </c>
      <c r="G2790" s="569">
        <v>6</v>
      </c>
      <c r="H2790" s="569"/>
      <c r="I2790" s="577" t="s">
        <v>134</v>
      </c>
      <c r="J2790" s="578">
        <v>1</v>
      </c>
      <c r="K2790" s="579"/>
      <c r="L2790" s="579">
        <v>2466.18</v>
      </c>
      <c r="M2790" s="579">
        <v>2466.18</v>
      </c>
      <c r="N2790" s="573">
        <v>253841.08</v>
      </c>
      <c r="O2790" s="556" t="str">
        <f>IF(N2790=M2790,"OK","DIF")</f>
        <v>DIF</v>
      </c>
      <c r="P2790" s="573"/>
      <c r="Q2790" s="556"/>
      <c r="R2790" s="582"/>
    </row>
    <row r="2791" ht="25.5" spans="1:18">
      <c r="A2791" s="556" t="str">
        <f>B2791</f>
        <v> 11.4.5 </v>
      </c>
      <c r="B2791" s="557" t="str">
        <f>B2790</f>
        <v> 11.4.5 </v>
      </c>
      <c r="C2791" s="79" t="s">
        <v>2921</v>
      </c>
      <c r="D2791" s="78" t="s">
        <v>3881</v>
      </c>
      <c r="E2791" s="79" t="s">
        <v>77</v>
      </c>
      <c r="F2791" s="79" t="s">
        <v>3882</v>
      </c>
      <c r="G2791" s="79">
        <v>7</v>
      </c>
      <c r="H2791" s="79"/>
      <c r="I2791" s="80" t="s">
        <v>279</v>
      </c>
      <c r="J2791" s="583">
        <v>0.02</v>
      </c>
      <c r="K2791" s="583">
        <v>0</v>
      </c>
      <c r="L2791" s="92">
        <v>446.79</v>
      </c>
      <c r="M2791" s="92">
        <v>8.93</v>
      </c>
      <c r="N2791" s="573">
        <v>29189.5</v>
      </c>
      <c r="O2791" s="556" t="str">
        <f>IF(N2791=M2791,"OK","DIF")</f>
        <v>DIF</v>
      </c>
      <c r="P2791" s="573"/>
      <c r="Q2791" s="556"/>
      <c r="R2791" s="582"/>
    </row>
    <row r="2792" ht="51" spans="1:18">
      <c r="A2792" s="556" t="str">
        <f>B2792</f>
        <v> 11.4.5 </v>
      </c>
      <c r="B2792" s="557" t="str">
        <f>B2791</f>
        <v> 11.4.5 </v>
      </c>
      <c r="C2792" s="79" t="s">
        <v>2921</v>
      </c>
      <c r="D2792" s="78" t="s">
        <v>3883</v>
      </c>
      <c r="E2792" s="79" t="s">
        <v>77</v>
      </c>
      <c r="F2792" s="79" t="s">
        <v>3884</v>
      </c>
      <c r="G2792" s="79">
        <v>11</v>
      </c>
      <c r="H2792" s="79"/>
      <c r="I2792" s="80" t="s">
        <v>279</v>
      </c>
      <c r="J2792" s="583">
        <v>0.3153</v>
      </c>
      <c r="K2792" s="583">
        <v>0</v>
      </c>
      <c r="L2792" s="92">
        <v>359.88</v>
      </c>
      <c r="M2792" s="92">
        <v>113.47</v>
      </c>
      <c r="N2792" s="573">
        <v>52650</v>
      </c>
      <c r="O2792" s="556" t="str">
        <f>IF(N2792=M2792,"OK","DIF")</f>
        <v>DIF</v>
      </c>
      <c r="P2792" s="573"/>
      <c r="Q2792" s="556"/>
      <c r="R2792" s="582"/>
    </row>
    <row r="2793" ht="15" customHeight="1" spans="1:18">
      <c r="A2793" s="556" t="str">
        <f>B2793</f>
        <v> 11.4.5 </v>
      </c>
      <c r="B2793" s="557" t="str">
        <f>B2792</f>
        <v> 11.4.5 </v>
      </c>
      <c r="C2793" s="100" t="s">
        <v>2893</v>
      </c>
      <c r="D2793" s="99" t="s">
        <v>3369</v>
      </c>
      <c r="E2793" s="100" t="s">
        <v>77</v>
      </c>
      <c r="F2793" s="100" t="s">
        <v>3370</v>
      </c>
      <c r="G2793" s="100" t="s">
        <v>2961</v>
      </c>
      <c r="H2793" s="100"/>
      <c r="I2793" s="101" t="s">
        <v>393</v>
      </c>
      <c r="J2793" s="580">
        <v>0.052</v>
      </c>
      <c r="K2793" s="580">
        <v>0</v>
      </c>
      <c r="L2793" s="102">
        <v>14.32</v>
      </c>
      <c r="M2793" s="102">
        <v>0.74</v>
      </c>
      <c r="N2793" s="573">
        <v>172001.58</v>
      </c>
      <c r="O2793" s="556" t="str">
        <f>IF(N2793=M2793,"OK","DIF")</f>
        <v>DIF</v>
      </c>
      <c r="P2793" s="573"/>
      <c r="Q2793" s="556"/>
      <c r="R2793" s="582"/>
    </row>
    <row r="2794" ht="23.85" customHeight="1" spans="1:18">
      <c r="A2794" s="556"/>
      <c r="B2794" s="557"/>
      <c r="C2794" s="100" t="s">
        <v>2893</v>
      </c>
      <c r="D2794" s="99" t="s">
        <v>3108</v>
      </c>
      <c r="E2794" s="100" t="s">
        <v>77</v>
      </c>
      <c r="F2794" s="100" t="s">
        <v>3109</v>
      </c>
      <c r="G2794" s="100" t="s">
        <v>2896</v>
      </c>
      <c r="H2794" s="100"/>
      <c r="I2794" s="101" t="s">
        <v>2897</v>
      </c>
      <c r="J2794" s="580">
        <v>4.49</v>
      </c>
      <c r="K2794" s="580">
        <v>3</v>
      </c>
      <c r="L2794" s="102">
        <v>19.16</v>
      </c>
      <c r="M2794" s="102">
        <v>88.6</v>
      </c>
      <c r="N2794" s="573"/>
      <c r="O2794" s="556"/>
      <c r="P2794" s="573"/>
      <c r="Q2794" s="556"/>
      <c r="R2794" s="582"/>
    </row>
    <row r="2795" ht="35.05" customHeight="1" spans="1:18">
      <c r="A2795" s="556"/>
      <c r="B2795" s="557"/>
      <c r="C2795" s="100" t="s">
        <v>2893</v>
      </c>
      <c r="D2795" s="99" t="s">
        <v>3885</v>
      </c>
      <c r="E2795" s="100" t="s">
        <v>77</v>
      </c>
      <c r="F2795" s="100" t="s">
        <v>3886</v>
      </c>
      <c r="G2795" s="100" t="s">
        <v>2961</v>
      </c>
      <c r="H2795" s="100"/>
      <c r="I2795" s="101" t="s">
        <v>134</v>
      </c>
      <c r="J2795" s="580">
        <v>1</v>
      </c>
      <c r="K2795" s="580">
        <v>0</v>
      </c>
      <c r="L2795" s="102">
        <v>700</v>
      </c>
      <c r="M2795" s="102">
        <v>700</v>
      </c>
      <c r="N2795" s="573"/>
      <c r="O2795" s="556"/>
      <c r="P2795" s="573"/>
      <c r="Q2795" s="556"/>
      <c r="R2795" s="582"/>
    </row>
    <row r="2796" ht="23.85" customHeight="1" spans="1:18">
      <c r="A2796" s="556"/>
      <c r="B2796" s="557"/>
      <c r="C2796" s="100" t="s">
        <v>2893</v>
      </c>
      <c r="D2796" s="99" t="s">
        <v>3887</v>
      </c>
      <c r="E2796" s="100" t="s">
        <v>77</v>
      </c>
      <c r="F2796" s="100" t="s">
        <v>3888</v>
      </c>
      <c r="G2796" s="100" t="s">
        <v>2961</v>
      </c>
      <c r="H2796" s="100"/>
      <c r="I2796" s="101" t="s">
        <v>393</v>
      </c>
      <c r="J2796" s="580">
        <v>12.95</v>
      </c>
      <c r="K2796" s="580">
        <v>0</v>
      </c>
      <c r="L2796" s="102">
        <v>9.21</v>
      </c>
      <c r="M2796" s="102">
        <v>119.26</v>
      </c>
      <c r="N2796" s="573"/>
      <c r="O2796" s="556"/>
      <c r="P2796" s="573"/>
      <c r="Q2796" s="556"/>
      <c r="R2796" s="582"/>
    </row>
    <row r="2797" ht="23.85" customHeight="1" spans="1:18">
      <c r="A2797" s="556"/>
      <c r="B2797" s="557" t="str">
        <f>C2796</f>
        <v>Insumo</v>
      </c>
      <c r="C2797" s="100" t="s">
        <v>2893</v>
      </c>
      <c r="D2797" s="99" t="s">
        <v>3889</v>
      </c>
      <c r="E2797" s="100" t="s">
        <v>77</v>
      </c>
      <c r="F2797" s="100" t="s">
        <v>3890</v>
      </c>
      <c r="G2797" s="100" t="s">
        <v>2961</v>
      </c>
      <c r="H2797" s="100"/>
      <c r="I2797" s="101" t="s">
        <v>134</v>
      </c>
      <c r="J2797" s="580">
        <v>4</v>
      </c>
      <c r="K2797" s="580">
        <v>0</v>
      </c>
      <c r="L2797" s="102">
        <v>235.87</v>
      </c>
      <c r="M2797" s="102">
        <v>943.48</v>
      </c>
      <c r="N2797" s="573">
        <v>70.77</v>
      </c>
      <c r="O2797" s="556" t="str">
        <f t="shared" ref="O2797:O2806" si="262">IF(N2797=M2797,"OK","DIF")</f>
        <v>DIF</v>
      </c>
      <c r="P2797" s="573"/>
      <c r="Q2797" s="556"/>
      <c r="R2797" s="582"/>
    </row>
    <row r="2798" ht="23.85" customHeight="1" spans="1:18">
      <c r="A2798" s="556" t="str">
        <f t="shared" ref="A2798:A2806" si="263">B2798</f>
        <v>Insumo</v>
      </c>
      <c r="B2798" s="557" t="str">
        <f t="shared" ref="B2798:B2806" si="264">B2797</f>
        <v>Insumo</v>
      </c>
      <c r="C2798" s="100" t="s">
        <v>2893</v>
      </c>
      <c r="D2798" s="99" t="s">
        <v>3891</v>
      </c>
      <c r="E2798" s="100" t="s">
        <v>77</v>
      </c>
      <c r="F2798" s="100" t="s">
        <v>3892</v>
      </c>
      <c r="G2798" s="100" t="s">
        <v>2961</v>
      </c>
      <c r="H2798" s="100"/>
      <c r="I2798" s="101" t="s">
        <v>134</v>
      </c>
      <c r="J2798" s="580">
        <v>1</v>
      </c>
      <c r="K2798" s="580">
        <v>0</v>
      </c>
      <c r="L2798" s="102">
        <v>57.68</v>
      </c>
      <c r="M2798" s="102">
        <v>57.68</v>
      </c>
      <c r="N2798" s="573">
        <v>7.09</v>
      </c>
      <c r="O2798" s="556" t="str">
        <f t="shared" si="262"/>
        <v>DIF</v>
      </c>
      <c r="P2798" s="573"/>
      <c r="Q2798" s="556"/>
      <c r="R2798" s="582"/>
    </row>
    <row r="2799" ht="23.85" customHeight="1" spans="1:18">
      <c r="A2799" s="556" t="str">
        <f t="shared" si="263"/>
        <v>Insumo</v>
      </c>
      <c r="B2799" s="557" t="str">
        <f t="shared" si="264"/>
        <v>Insumo</v>
      </c>
      <c r="C2799" s="100" t="s">
        <v>2893</v>
      </c>
      <c r="D2799" s="99" t="s">
        <v>3893</v>
      </c>
      <c r="E2799" s="100" t="s">
        <v>77</v>
      </c>
      <c r="F2799" s="100" t="s">
        <v>3894</v>
      </c>
      <c r="G2799" s="100" t="s">
        <v>2961</v>
      </c>
      <c r="H2799" s="100"/>
      <c r="I2799" s="101" t="s">
        <v>134</v>
      </c>
      <c r="J2799" s="580">
        <v>4</v>
      </c>
      <c r="K2799" s="580">
        <v>0</v>
      </c>
      <c r="L2799" s="102">
        <v>75</v>
      </c>
      <c r="M2799" s="102">
        <v>300</v>
      </c>
      <c r="N2799" s="573">
        <v>18.02</v>
      </c>
      <c r="O2799" s="556" t="str">
        <f t="shared" si="262"/>
        <v>DIF</v>
      </c>
      <c r="P2799" s="573"/>
      <c r="Q2799" s="556"/>
      <c r="R2799" s="582"/>
    </row>
    <row r="2800" ht="23.85" customHeight="1" spans="1:18">
      <c r="A2800" s="556" t="str">
        <f t="shared" si="263"/>
        <v>Insumo</v>
      </c>
      <c r="B2800" s="557" t="str">
        <f t="shared" si="264"/>
        <v>Insumo</v>
      </c>
      <c r="C2800" s="100" t="s">
        <v>2893</v>
      </c>
      <c r="D2800" s="99" t="s">
        <v>3589</v>
      </c>
      <c r="E2800" s="100" t="s">
        <v>77</v>
      </c>
      <c r="F2800" s="100" t="s">
        <v>3590</v>
      </c>
      <c r="G2800" s="100" t="s">
        <v>2896</v>
      </c>
      <c r="H2800" s="100"/>
      <c r="I2800" s="101" t="s">
        <v>2897</v>
      </c>
      <c r="J2800" s="580">
        <v>2.71</v>
      </c>
      <c r="K2800" s="580">
        <v>3</v>
      </c>
      <c r="L2800" s="102">
        <v>26.52</v>
      </c>
      <c r="M2800" s="102">
        <v>74.02</v>
      </c>
      <c r="N2800" s="573">
        <v>0.63</v>
      </c>
      <c r="O2800" s="556" t="str">
        <f t="shared" si="262"/>
        <v>DIF</v>
      </c>
      <c r="P2800" s="573"/>
      <c r="Q2800" s="556"/>
      <c r="R2800" s="582"/>
    </row>
    <row r="2801" ht="23.85" customHeight="1" spans="1:18">
      <c r="A2801" s="556" t="str">
        <f t="shared" si="263"/>
        <v>Insumo</v>
      </c>
      <c r="B2801" s="557" t="str">
        <f t="shared" si="264"/>
        <v>Insumo</v>
      </c>
      <c r="C2801" s="100" t="s">
        <v>2893</v>
      </c>
      <c r="D2801" s="99" t="s">
        <v>3895</v>
      </c>
      <c r="E2801" s="100" t="s">
        <v>77</v>
      </c>
      <c r="F2801" s="100" t="s">
        <v>3896</v>
      </c>
      <c r="G2801" s="100" t="s">
        <v>2961</v>
      </c>
      <c r="H2801" s="100"/>
      <c r="I2801" s="101" t="s">
        <v>134</v>
      </c>
      <c r="J2801" s="580">
        <v>1</v>
      </c>
      <c r="K2801" s="580">
        <v>0</v>
      </c>
      <c r="L2801" s="102">
        <v>60</v>
      </c>
      <c r="M2801" s="102">
        <v>60</v>
      </c>
      <c r="N2801" s="573">
        <v>15.05</v>
      </c>
      <c r="O2801" s="556" t="str">
        <f t="shared" si="262"/>
        <v>DIF</v>
      </c>
      <c r="P2801" s="573"/>
      <c r="Q2801" s="556"/>
      <c r="R2801" s="582"/>
    </row>
    <row r="2802" ht="25.5" spans="1:18">
      <c r="A2802" s="556" t="str">
        <f t="shared" si="263"/>
        <v>Insumo</v>
      </c>
      <c r="B2802" s="557" t="str">
        <f t="shared" si="264"/>
        <v>Insumo</v>
      </c>
      <c r="C2802" s="108"/>
      <c r="D2802" s="108"/>
      <c r="E2802" s="108"/>
      <c r="F2802" s="108"/>
      <c r="G2802" s="108"/>
      <c r="H2802" s="108" t="s">
        <v>2898</v>
      </c>
      <c r="I2802" s="581">
        <v>164.06</v>
      </c>
      <c r="J2802" s="108" t="s">
        <v>2899</v>
      </c>
      <c r="K2802" s="581">
        <v>0</v>
      </c>
      <c r="L2802" s="108" t="s">
        <v>2900</v>
      </c>
      <c r="M2802" s="581">
        <v>164.06</v>
      </c>
      <c r="N2802" s="573">
        <v>0.25</v>
      </c>
      <c r="O2802" s="556" t="str">
        <f t="shared" si="262"/>
        <v>DIF</v>
      </c>
      <c r="P2802" s="573"/>
      <c r="Q2802" s="556"/>
      <c r="R2802" s="582"/>
    </row>
    <row r="2803" ht="26.25" spans="1:18">
      <c r="A2803" s="556" t="str">
        <f t="shared" si="263"/>
        <v>Insumo</v>
      </c>
      <c r="B2803" s="557" t="str">
        <f t="shared" si="264"/>
        <v>Insumo</v>
      </c>
      <c r="C2803" s="108"/>
      <c r="D2803" s="108"/>
      <c r="E2803" s="108"/>
      <c r="F2803" s="108"/>
      <c r="G2803" s="108"/>
      <c r="H2803" s="108" t="s">
        <v>2901</v>
      </c>
      <c r="I2803" s="581">
        <v>628.62</v>
      </c>
      <c r="J2803" s="114"/>
      <c r="K2803" s="114" t="s">
        <v>2902</v>
      </c>
      <c r="L2803" s="108"/>
      <c r="M2803" s="581">
        <v>3094.8</v>
      </c>
      <c r="N2803" s="573">
        <v>24.92</v>
      </c>
      <c r="O2803" s="556" t="str">
        <f t="shared" si="262"/>
        <v>DIF</v>
      </c>
      <c r="P2803" s="573"/>
      <c r="Q2803" s="556"/>
      <c r="R2803" s="582"/>
    </row>
    <row r="2804" ht="15" spans="1:18">
      <c r="A2804" s="556" t="str">
        <f t="shared" si="263"/>
        <v>Insumo</v>
      </c>
      <c r="B2804" s="557" t="str">
        <f t="shared" si="264"/>
        <v>Insumo</v>
      </c>
      <c r="C2804" s="571"/>
      <c r="D2804" s="571"/>
      <c r="E2804" s="571"/>
      <c r="F2804" s="571"/>
      <c r="G2804" s="571"/>
      <c r="H2804" s="571"/>
      <c r="I2804" s="571"/>
      <c r="J2804" s="571"/>
      <c r="K2804" s="571"/>
      <c r="L2804" s="571"/>
      <c r="M2804" s="571"/>
      <c r="N2804" s="573">
        <v>2.21</v>
      </c>
      <c r="O2804" s="556" t="str">
        <f t="shared" si="262"/>
        <v>DIF</v>
      </c>
      <c r="P2804" s="573"/>
      <c r="Q2804" s="556"/>
      <c r="R2804" s="582"/>
    </row>
    <row r="2805" ht="15" customHeight="1" spans="1:18">
      <c r="A2805" s="556" t="str">
        <f t="shared" si="263"/>
        <v>Insumo</v>
      </c>
      <c r="B2805" s="557" t="str">
        <f t="shared" si="264"/>
        <v>Insumo</v>
      </c>
      <c r="C2805" s="76" t="s">
        <v>973</v>
      </c>
      <c r="D2805" s="75" t="s">
        <v>63</v>
      </c>
      <c r="E2805" s="76" t="s">
        <v>64</v>
      </c>
      <c r="F2805" s="76" t="s">
        <v>65</v>
      </c>
      <c r="G2805" s="76" t="s">
        <v>2889</v>
      </c>
      <c r="H2805" s="76"/>
      <c r="I2805" s="77" t="s">
        <v>66</v>
      </c>
      <c r="J2805" s="75" t="s">
        <v>67</v>
      </c>
      <c r="K2805" s="75" t="s">
        <v>2890</v>
      </c>
      <c r="L2805" s="75" t="s">
        <v>68</v>
      </c>
      <c r="M2805" s="75" t="s">
        <v>70</v>
      </c>
      <c r="N2805" s="573">
        <v>0.25</v>
      </c>
      <c r="O2805" s="556" t="str">
        <f t="shared" si="262"/>
        <v>DIF</v>
      </c>
      <c r="P2805" s="573"/>
      <c r="Q2805" s="556"/>
      <c r="R2805" s="582"/>
    </row>
    <row r="2806" ht="23.85" customHeight="1" spans="1:18">
      <c r="A2806" s="556" t="str">
        <f t="shared" si="263"/>
        <v>Insumo</v>
      </c>
      <c r="B2806" s="557" t="str">
        <f t="shared" si="264"/>
        <v>Insumo</v>
      </c>
      <c r="C2806" s="569" t="s">
        <v>2891</v>
      </c>
      <c r="D2806" s="570" t="s">
        <v>974</v>
      </c>
      <c r="E2806" s="569" t="s">
        <v>139</v>
      </c>
      <c r="F2806" s="569" t="s">
        <v>975</v>
      </c>
      <c r="G2806" s="569" t="s">
        <v>3218</v>
      </c>
      <c r="H2806" s="569"/>
      <c r="I2806" s="577" t="s">
        <v>134</v>
      </c>
      <c r="J2806" s="578">
        <v>1</v>
      </c>
      <c r="K2806" s="579"/>
      <c r="L2806" s="579">
        <v>642.65</v>
      </c>
      <c r="M2806" s="579">
        <v>642.65</v>
      </c>
      <c r="N2806" s="573">
        <v>2.35</v>
      </c>
      <c r="O2806" s="556" t="str">
        <f t="shared" si="262"/>
        <v>DIF</v>
      </c>
      <c r="P2806" s="573"/>
      <c r="Q2806" s="556"/>
      <c r="R2806" s="582"/>
    </row>
    <row r="2807" ht="23.85" customHeight="1" spans="1:18">
      <c r="A2807" s="556"/>
      <c r="B2807" s="557"/>
      <c r="C2807" s="79" t="s">
        <v>2921</v>
      </c>
      <c r="D2807" s="78" t="s">
        <v>3017</v>
      </c>
      <c r="E2807" s="79" t="s">
        <v>139</v>
      </c>
      <c r="F2807" s="79" t="s">
        <v>3018</v>
      </c>
      <c r="G2807" s="79" t="s">
        <v>2928</v>
      </c>
      <c r="H2807" s="79"/>
      <c r="I2807" s="80" t="s">
        <v>2897</v>
      </c>
      <c r="J2807" s="583">
        <v>1.1484</v>
      </c>
      <c r="K2807" s="583">
        <v>0</v>
      </c>
      <c r="L2807" s="92">
        <v>36.96</v>
      </c>
      <c r="M2807" s="92">
        <v>42.44</v>
      </c>
      <c r="N2807" s="573"/>
      <c r="O2807" s="556"/>
      <c r="P2807" s="573"/>
      <c r="Q2807" s="556"/>
      <c r="R2807" s="582"/>
    </row>
    <row r="2808" ht="35.05" customHeight="1" spans="1:18">
      <c r="A2808" s="556"/>
      <c r="B2808" s="557"/>
      <c r="C2808" s="79" t="s">
        <v>2921</v>
      </c>
      <c r="D2808" s="78" t="s">
        <v>3897</v>
      </c>
      <c r="E2808" s="79" t="s">
        <v>139</v>
      </c>
      <c r="F2808" s="79" t="s">
        <v>3898</v>
      </c>
      <c r="G2808" s="79" t="s">
        <v>2999</v>
      </c>
      <c r="H2808" s="79"/>
      <c r="I2808" s="80" t="s">
        <v>279</v>
      </c>
      <c r="J2808" s="583">
        <v>0.0281</v>
      </c>
      <c r="K2808" s="583">
        <v>0</v>
      </c>
      <c r="L2808" s="92">
        <v>445.88</v>
      </c>
      <c r="M2808" s="92">
        <v>12.52</v>
      </c>
      <c r="N2808" s="573"/>
      <c r="O2808" s="556"/>
      <c r="P2808" s="573"/>
      <c r="Q2808" s="556"/>
      <c r="R2808" s="582"/>
    </row>
    <row r="2809" ht="23.85" customHeight="1" spans="1:18">
      <c r="A2809" s="556"/>
      <c r="B2809" s="557" t="str">
        <f>C2808</f>
        <v>Composição Auxiliar</v>
      </c>
      <c r="C2809" s="79" t="s">
        <v>2921</v>
      </c>
      <c r="D2809" s="78" t="s">
        <v>2952</v>
      </c>
      <c r="E2809" s="79" t="s">
        <v>139</v>
      </c>
      <c r="F2809" s="79" t="s">
        <v>2953</v>
      </c>
      <c r="G2809" s="79" t="s">
        <v>2928</v>
      </c>
      <c r="H2809" s="79"/>
      <c r="I2809" s="80" t="s">
        <v>2897</v>
      </c>
      <c r="J2809" s="583">
        <v>0.9023</v>
      </c>
      <c r="K2809" s="583">
        <v>0</v>
      </c>
      <c r="L2809" s="92">
        <v>29.15</v>
      </c>
      <c r="M2809" s="92">
        <v>26.3</v>
      </c>
      <c r="N2809" s="573">
        <v>44.42</v>
      </c>
      <c r="O2809" s="556" t="str">
        <f>IF(N2809=M2809,"OK","DIF")</f>
        <v>DIF</v>
      </c>
      <c r="P2809" s="573"/>
      <c r="Q2809" s="556"/>
      <c r="R2809" s="582"/>
    </row>
    <row r="2810" ht="35.05" customHeight="1" spans="1:18">
      <c r="A2810" s="556" t="str">
        <f>B2810</f>
        <v>Composição Auxiliar</v>
      </c>
      <c r="B2810" s="557" t="str">
        <f>B2809</f>
        <v>Composição Auxiliar</v>
      </c>
      <c r="C2810" s="100" t="s">
        <v>2893</v>
      </c>
      <c r="D2810" s="99" t="s">
        <v>3899</v>
      </c>
      <c r="E2810" s="100" t="s">
        <v>139</v>
      </c>
      <c r="F2810" s="100" t="s">
        <v>3900</v>
      </c>
      <c r="G2810" s="100" t="s">
        <v>2961</v>
      </c>
      <c r="H2810" s="100"/>
      <c r="I2810" s="101" t="s">
        <v>134</v>
      </c>
      <c r="J2810" s="580">
        <v>1</v>
      </c>
      <c r="K2810" s="580">
        <v>0</v>
      </c>
      <c r="L2810" s="102">
        <v>561.39</v>
      </c>
      <c r="M2810" s="102">
        <v>561.39</v>
      </c>
      <c r="N2810" s="573">
        <v>9.01</v>
      </c>
      <c r="O2810" s="556" t="str">
        <f>IF(N2810=M2810,"OK","DIF")</f>
        <v>DIF</v>
      </c>
      <c r="P2810" s="573"/>
      <c r="Q2810" s="556"/>
      <c r="R2810" s="582"/>
    </row>
    <row r="2811" ht="25.5" spans="1:18">
      <c r="A2811" s="556" t="str">
        <f>B2811</f>
        <v>Composição Auxiliar</v>
      </c>
      <c r="B2811" s="557" t="str">
        <f>B2810</f>
        <v>Composição Auxiliar</v>
      </c>
      <c r="C2811" s="108"/>
      <c r="D2811" s="108"/>
      <c r="E2811" s="108"/>
      <c r="F2811" s="108"/>
      <c r="G2811" s="108"/>
      <c r="H2811" s="108" t="s">
        <v>2898</v>
      </c>
      <c r="I2811" s="581">
        <v>50.2</v>
      </c>
      <c r="J2811" s="108" t="s">
        <v>2899</v>
      </c>
      <c r="K2811" s="581">
        <v>0</v>
      </c>
      <c r="L2811" s="108" t="s">
        <v>2900</v>
      </c>
      <c r="M2811" s="581">
        <v>50.2</v>
      </c>
      <c r="N2811" s="573">
        <v>12.46</v>
      </c>
      <c r="O2811" s="556" t="str">
        <f>IF(N2811=M2811,"OK","DIF")</f>
        <v>DIF</v>
      </c>
      <c r="P2811" s="573"/>
      <c r="Q2811" s="556"/>
      <c r="R2811" s="582"/>
    </row>
    <row r="2812" ht="26.25" spans="1:18">
      <c r="A2812" s="556" t="str">
        <f>B2812</f>
        <v>Composição Auxiliar</v>
      </c>
      <c r="B2812" s="557" t="str">
        <f>B2811</f>
        <v>Composição Auxiliar</v>
      </c>
      <c r="C2812" s="108"/>
      <c r="D2812" s="108"/>
      <c r="E2812" s="108"/>
      <c r="F2812" s="108"/>
      <c r="G2812" s="108"/>
      <c r="H2812" s="108" t="s">
        <v>2901</v>
      </c>
      <c r="I2812" s="581">
        <v>163.81</v>
      </c>
      <c r="J2812" s="114"/>
      <c r="K2812" s="114" t="s">
        <v>2902</v>
      </c>
      <c r="L2812" s="108"/>
      <c r="M2812" s="581">
        <v>806.46</v>
      </c>
      <c r="N2812" s="573">
        <v>22.95</v>
      </c>
      <c r="O2812" s="556" t="str">
        <f>IF(N2812=M2812,"OK","DIF")</f>
        <v>DIF</v>
      </c>
      <c r="P2812" s="573"/>
      <c r="Q2812" s="556"/>
      <c r="R2812" s="582"/>
    </row>
    <row r="2813" ht="15" spans="1:18">
      <c r="A2813" s="556"/>
      <c r="B2813" s="557"/>
      <c r="C2813" s="571"/>
      <c r="D2813" s="571"/>
      <c r="E2813" s="571"/>
      <c r="F2813" s="571"/>
      <c r="G2813" s="571"/>
      <c r="H2813" s="571"/>
      <c r="I2813" s="571"/>
      <c r="J2813" s="571"/>
      <c r="K2813" s="571"/>
      <c r="L2813" s="571"/>
      <c r="M2813" s="571"/>
      <c r="N2813" s="573"/>
      <c r="O2813" s="556"/>
      <c r="P2813" s="573"/>
      <c r="Q2813" s="556"/>
      <c r="R2813" s="582"/>
    </row>
    <row r="2814" ht="15" customHeight="1" spans="1:18">
      <c r="A2814" s="556"/>
      <c r="B2814" s="557"/>
      <c r="C2814" s="76" t="s">
        <v>976</v>
      </c>
      <c r="D2814" s="75" t="s">
        <v>63</v>
      </c>
      <c r="E2814" s="76" t="s">
        <v>64</v>
      </c>
      <c r="F2814" s="76" t="s">
        <v>65</v>
      </c>
      <c r="G2814" s="76" t="s">
        <v>2889</v>
      </c>
      <c r="H2814" s="76"/>
      <c r="I2814" s="77" t="s">
        <v>66</v>
      </c>
      <c r="J2814" s="75" t="s">
        <v>67</v>
      </c>
      <c r="K2814" s="75" t="s">
        <v>2890</v>
      </c>
      <c r="L2814" s="75" t="s">
        <v>68</v>
      </c>
      <c r="M2814" s="75" t="s">
        <v>70</v>
      </c>
      <c r="N2814" s="573"/>
      <c r="O2814" s="556"/>
      <c r="P2814" s="573"/>
      <c r="Q2814" s="556"/>
      <c r="R2814" s="582"/>
    </row>
    <row r="2815" ht="35.05" customHeight="1" spans="1:18">
      <c r="A2815" s="556"/>
      <c r="B2815" s="557" t="str">
        <f>C2814</f>
        <v> 11.4.7 </v>
      </c>
      <c r="C2815" s="569" t="s">
        <v>2891</v>
      </c>
      <c r="D2815" s="570" t="s">
        <v>977</v>
      </c>
      <c r="E2815" s="569" t="s">
        <v>139</v>
      </c>
      <c r="F2815" s="569" t="s">
        <v>3901</v>
      </c>
      <c r="G2815" s="569" t="s">
        <v>3902</v>
      </c>
      <c r="H2815" s="569"/>
      <c r="I2815" s="577" t="s">
        <v>134</v>
      </c>
      <c r="J2815" s="578">
        <v>1</v>
      </c>
      <c r="K2815" s="579"/>
      <c r="L2815" s="579">
        <v>209.39</v>
      </c>
      <c r="M2815" s="579">
        <v>209.39</v>
      </c>
      <c r="N2815" s="573">
        <v>32.89</v>
      </c>
      <c r="O2815" s="556" t="str">
        <f>IF(N2815=M2815,"OK","DIF")</f>
        <v>DIF</v>
      </c>
      <c r="P2815" s="573"/>
      <c r="Q2815" s="556"/>
      <c r="R2815" s="582"/>
    </row>
    <row r="2816" ht="23.85" customHeight="1" spans="1:18">
      <c r="A2816" s="556" t="str">
        <f>B2816</f>
        <v> 11.4.7 </v>
      </c>
      <c r="B2816" s="557" t="str">
        <f>B2815</f>
        <v> 11.4.7 </v>
      </c>
      <c r="C2816" s="79" t="s">
        <v>2921</v>
      </c>
      <c r="D2816" s="78" t="s">
        <v>3165</v>
      </c>
      <c r="E2816" s="79" t="s">
        <v>139</v>
      </c>
      <c r="F2816" s="79" t="s">
        <v>3166</v>
      </c>
      <c r="G2816" s="79" t="s">
        <v>3016</v>
      </c>
      <c r="H2816" s="79"/>
      <c r="I2816" s="80" t="s">
        <v>279</v>
      </c>
      <c r="J2816" s="583">
        <v>0.0050429</v>
      </c>
      <c r="K2816" s="583">
        <v>0</v>
      </c>
      <c r="L2816" s="92">
        <v>655.2</v>
      </c>
      <c r="M2816" s="92">
        <v>3.3</v>
      </c>
      <c r="N2816" s="573">
        <v>11.42</v>
      </c>
      <c r="O2816" s="556" t="str">
        <f>IF(N2816=M2816,"OK","DIF")</f>
        <v>DIF</v>
      </c>
      <c r="P2816" s="573"/>
      <c r="Q2816" s="556"/>
      <c r="R2816" s="582"/>
    </row>
    <row r="2817" ht="23.85" customHeight="1" spans="1:18">
      <c r="A2817" s="556" t="str">
        <f>B2817</f>
        <v> 11.4.7 </v>
      </c>
      <c r="B2817" s="557" t="str">
        <f>B2816</f>
        <v> 11.4.7 </v>
      </c>
      <c r="C2817" s="79" t="s">
        <v>2921</v>
      </c>
      <c r="D2817" s="78" t="s">
        <v>3017</v>
      </c>
      <c r="E2817" s="79" t="s">
        <v>139</v>
      </c>
      <c r="F2817" s="79" t="s">
        <v>3018</v>
      </c>
      <c r="G2817" s="79" t="s">
        <v>2928</v>
      </c>
      <c r="H2817" s="79"/>
      <c r="I2817" s="80" t="s">
        <v>2897</v>
      </c>
      <c r="J2817" s="583">
        <v>0.2472797</v>
      </c>
      <c r="K2817" s="583">
        <v>0</v>
      </c>
      <c r="L2817" s="92">
        <v>36.96</v>
      </c>
      <c r="M2817" s="92">
        <v>9.13</v>
      </c>
      <c r="N2817" s="573">
        <v>9.01</v>
      </c>
      <c r="O2817" s="556" t="str">
        <f>IF(N2817=M2817,"OK","DIF")</f>
        <v>DIF</v>
      </c>
      <c r="P2817" s="573"/>
      <c r="Q2817" s="556"/>
      <c r="R2817" s="582"/>
    </row>
    <row r="2818" ht="23.85" customHeight="1" spans="1:18">
      <c r="A2818" s="556" t="str">
        <f>B2818</f>
        <v> 11.4.7 </v>
      </c>
      <c r="B2818" s="557" t="str">
        <f>B2817</f>
        <v> 11.4.7 </v>
      </c>
      <c r="C2818" s="79" t="s">
        <v>2921</v>
      </c>
      <c r="D2818" s="78" t="s">
        <v>2952</v>
      </c>
      <c r="E2818" s="79" t="s">
        <v>139</v>
      </c>
      <c r="F2818" s="79" t="s">
        <v>2953</v>
      </c>
      <c r="G2818" s="79" t="s">
        <v>2928</v>
      </c>
      <c r="H2818" s="79"/>
      <c r="I2818" s="80" t="s">
        <v>2897</v>
      </c>
      <c r="J2818" s="583">
        <v>0.2472797</v>
      </c>
      <c r="K2818" s="583">
        <v>0</v>
      </c>
      <c r="L2818" s="92">
        <v>29.15</v>
      </c>
      <c r="M2818" s="92">
        <v>7.2</v>
      </c>
      <c r="N2818" s="573">
        <v>12.46</v>
      </c>
      <c r="O2818" s="556" t="str">
        <f>IF(N2818=M2818,"OK","DIF")</f>
        <v>DIF</v>
      </c>
      <c r="P2818" s="573"/>
      <c r="Q2818" s="556"/>
      <c r="R2818" s="582"/>
    </row>
    <row r="2819" ht="23.85" customHeight="1" spans="1:18">
      <c r="A2819" s="556"/>
      <c r="B2819" s="557"/>
      <c r="C2819" s="100" t="s">
        <v>2893</v>
      </c>
      <c r="D2819" s="99" t="s">
        <v>3903</v>
      </c>
      <c r="E2819" s="100" t="s">
        <v>139</v>
      </c>
      <c r="F2819" s="100" t="s">
        <v>3904</v>
      </c>
      <c r="G2819" s="100" t="s">
        <v>2961</v>
      </c>
      <c r="H2819" s="100"/>
      <c r="I2819" s="101" t="s">
        <v>134</v>
      </c>
      <c r="J2819" s="580">
        <v>1</v>
      </c>
      <c r="K2819" s="580">
        <v>0</v>
      </c>
      <c r="L2819" s="102">
        <v>189.76</v>
      </c>
      <c r="M2819" s="102">
        <v>189.76</v>
      </c>
      <c r="N2819" s="573"/>
      <c r="O2819" s="556"/>
      <c r="P2819" s="573"/>
      <c r="Q2819" s="556"/>
      <c r="R2819" s="582"/>
    </row>
    <row r="2820" ht="25.5" spans="1:18">
      <c r="A2820" s="556"/>
      <c r="B2820" s="557"/>
      <c r="C2820" s="108"/>
      <c r="D2820" s="108"/>
      <c r="E2820" s="108"/>
      <c r="F2820" s="108"/>
      <c r="G2820" s="108"/>
      <c r="H2820" s="108" t="s">
        <v>2898</v>
      </c>
      <c r="I2820" s="581">
        <v>12.24</v>
      </c>
      <c r="J2820" s="108" t="s">
        <v>2899</v>
      </c>
      <c r="K2820" s="581">
        <v>0</v>
      </c>
      <c r="L2820" s="108" t="s">
        <v>2900</v>
      </c>
      <c r="M2820" s="581">
        <v>12.24</v>
      </c>
      <c r="N2820" s="573"/>
      <c r="O2820" s="556"/>
      <c r="P2820" s="573"/>
      <c r="Q2820" s="556"/>
      <c r="R2820" s="582"/>
    </row>
    <row r="2821" ht="26.25" spans="1:18">
      <c r="A2821" s="556"/>
      <c r="B2821" s="557">
        <f>C2820</f>
        <v>0</v>
      </c>
      <c r="C2821" s="108"/>
      <c r="D2821" s="108"/>
      <c r="E2821" s="108"/>
      <c r="F2821" s="108"/>
      <c r="G2821" s="108"/>
      <c r="H2821" s="108" t="s">
        <v>2901</v>
      </c>
      <c r="I2821" s="581">
        <v>53.37</v>
      </c>
      <c r="J2821" s="114"/>
      <c r="K2821" s="114" t="s">
        <v>2902</v>
      </c>
      <c r="L2821" s="108"/>
      <c r="M2821" s="581">
        <v>262.76</v>
      </c>
      <c r="N2821" s="573">
        <v>47.37</v>
      </c>
      <c r="O2821" s="556" t="str">
        <f>IF(N2821=M2821,"OK","DIF")</f>
        <v>DIF</v>
      </c>
      <c r="P2821" s="573"/>
      <c r="Q2821" s="556"/>
      <c r="R2821" s="582"/>
    </row>
    <row r="2822" ht="15" spans="1:18">
      <c r="A2822" s="556">
        <f>B2822</f>
        <v>0</v>
      </c>
      <c r="B2822" s="557">
        <f>B2821</f>
        <v>0</v>
      </c>
      <c r="C2822" s="571"/>
      <c r="D2822" s="571"/>
      <c r="E2822" s="571"/>
      <c r="F2822" s="571"/>
      <c r="G2822" s="571"/>
      <c r="H2822" s="571"/>
      <c r="I2822" s="571"/>
      <c r="J2822" s="571"/>
      <c r="K2822" s="571"/>
      <c r="L2822" s="571"/>
      <c r="M2822" s="571"/>
      <c r="N2822" s="573">
        <v>9.01</v>
      </c>
      <c r="O2822" s="556" t="str">
        <f>IF(N2822=M2822,"OK","DIF")</f>
        <v>DIF</v>
      </c>
      <c r="P2822" s="573"/>
      <c r="Q2822" s="556"/>
      <c r="R2822" s="582"/>
    </row>
    <row r="2823" ht="15" customHeight="1" spans="1:18">
      <c r="A2823" s="556">
        <f>B2823</f>
        <v>0</v>
      </c>
      <c r="B2823" s="557">
        <f>B2822</f>
        <v>0</v>
      </c>
      <c r="C2823" s="76" t="s">
        <v>979</v>
      </c>
      <c r="D2823" s="75" t="s">
        <v>63</v>
      </c>
      <c r="E2823" s="76" t="s">
        <v>64</v>
      </c>
      <c r="F2823" s="76" t="s">
        <v>65</v>
      </c>
      <c r="G2823" s="76" t="s">
        <v>2889</v>
      </c>
      <c r="H2823" s="76"/>
      <c r="I2823" s="77" t="s">
        <v>66</v>
      </c>
      <c r="J2823" s="75" t="s">
        <v>67</v>
      </c>
      <c r="K2823" s="75" t="s">
        <v>2890</v>
      </c>
      <c r="L2823" s="75" t="s">
        <v>68</v>
      </c>
      <c r="M2823" s="75" t="s">
        <v>70</v>
      </c>
      <c r="N2823" s="573">
        <v>12.46</v>
      </c>
      <c r="O2823" s="556" t="str">
        <f>IF(N2823=M2823,"OK","DIF")</f>
        <v>DIF</v>
      </c>
      <c r="P2823" s="573"/>
      <c r="Q2823" s="556"/>
      <c r="R2823" s="582"/>
    </row>
    <row r="2824" ht="35.05" customHeight="1" spans="1:18">
      <c r="A2824" s="556">
        <f>B2824</f>
        <v>0</v>
      </c>
      <c r="B2824" s="557">
        <f>B2823</f>
        <v>0</v>
      </c>
      <c r="C2824" s="569" t="s">
        <v>2891</v>
      </c>
      <c r="D2824" s="570" t="s">
        <v>980</v>
      </c>
      <c r="E2824" s="569" t="s">
        <v>139</v>
      </c>
      <c r="F2824" s="569" t="s">
        <v>981</v>
      </c>
      <c r="G2824" s="569" t="s">
        <v>3905</v>
      </c>
      <c r="H2824" s="569"/>
      <c r="I2824" s="577" t="s">
        <v>134</v>
      </c>
      <c r="J2824" s="578">
        <v>1</v>
      </c>
      <c r="K2824" s="579"/>
      <c r="L2824" s="579">
        <v>2696.24</v>
      </c>
      <c r="M2824" s="579">
        <v>2696.24</v>
      </c>
      <c r="N2824" s="573">
        <v>25.9</v>
      </c>
      <c r="O2824" s="556" t="str">
        <f>IF(N2824=M2824,"OK","DIF")</f>
        <v>DIF</v>
      </c>
      <c r="P2824" s="573"/>
      <c r="Q2824" s="556"/>
      <c r="R2824" s="582"/>
    </row>
    <row r="2825" ht="23.85" customHeight="1" spans="1:18">
      <c r="A2825" s="556"/>
      <c r="B2825" s="557"/>
      <c r="C2825" s="79" t="s">
        <v>2921</v>
      </c>
      <c r="D2825" s="78" t="s">
        <v>3906</v>
      </c>
      <c r="E2825" s="79" t="s">
        <v>139</v>
      </c>
      <c r="F2825" s="79" t="s">
        <v>3907</v>
      </c>
      <c r="G2825" s="79" t="s">
        <v>3908</v>
      </c>
      <c r="H2825" s="79"/>
      <c r="I2825" s="80" t="s">
        <v>393</v>
      </c>
      <c r="J2825" s="583">
        <v>3.3318</v>
      </c>
      <c r="K2825" s="583">
        <v>0</v>
      </c>
      <c r="L2825" s="92">
        <v>11.22</v>
      </c>
      <c r="M2825" s="92">
        <v>37.38</v>
      </c>
      <c r="N2825" s="573"/>
      <c r="O2825" s="556"/>
      <c r="P2825" s="573"/>
      <c r="Q2825" s="556"/>
      <c r="R2825" s="582"/>
    </row>
    <row r="2826" ht="23.85" customHeight="1" spans="1:18">
      <c r="A2826" s="556"/>
      <c r="B2826" s="557"/>
      <c r="C2826" s="79" t="s">
        <v>2921</v>
      </c>
      <c r="D2826" s="78" t="s">
        <v>3909</v>
      </c>
      <c r="E2826" s="79" t="s">
        <v>139</v>
      </c>
      <c r="F2826" s="79" t="s">
        <v>3910</v>
      </c>
      <c r="G2826" s="79" t="s">
        <v>3911</v>
      </c>
      <c r="H2826" s="79"/>
      <c r="I2826" s="80" t="s">
        <v>279</v>
      </c>
      <c r="J2826" s="583">
        <v>0.0616</v>
      </c>
      <c r="K2826" s="583">
        <v>0</v>
      </c>
      <c r="L2826" s="92">
        <v>2872.13</v>
      </c>
      <c r="M2826" s="92">
        <v>176.92</v>
      </c>
      <c r="N2826" s="573"/>
      <c r="O2826" s="556"/>
      <c r="P2826" s="573"/>
      <c r="Q2826" s="556"/>
      <c r="R2826" s="582"/>
    </row>
    <row r="2827" ht="46.25" customHeight="1" spans="1:18">
      <c r="A2827" s="556"/>
      <c r="B2827" s="557" t="str">
        <f>C2826</f>
        <v>Composição Auxiliar</v>
      </c>
      <c r="C2827" s="79" t="s">
        <v>2921</v>
      </c>
      <c r="D2827" s="78" t="s">
        <v>3912</v>
      </c>
      <c r="E2827" s="79" t="s">
        <v>139</v>
      </c>
      <c r="F2827" s="79" t="s">
        <v>3913</v>
      </c>
      <c r="G2827" s="79" t="s">
        <v>2995</v>
      </c>
      <c r="H2827" s="79"/>
      <c r="I2827" s="80" t="s">
        <v>2996</v>
      </c>
      <c r="J2827" s="583">
        <v>0.1075</v>
      </c>
      <c r="K2827" s="583">
        <v>0</v>
      </c>
      <c r="L2827" s="92">
        <v>74.56</v>
      </c>
      <c r="M2827" s="92">
        <v>8.01</v>
      </c>
      <c r="N2827" s="573">
        <v>41.77</v>
      </c>
      <c r="O2827" s="556" t="str">
        <f>IF(N2827=M2827,"OK","DIF")</f>
        <v>DIF</v>
      </c>
      <c r="P2827" s="573"/>
      <c r="Q2827" s="556"/>
      <c r="R2827" s="582"/>
    </row>
    <row r="2828" ht="23.85" customHeight="1" spans="1:18">
      <c r="A2828" s="556" t="str">
        <f>B2828</f>
        <v>Composição Auxiliar</v>
      </c>
      <c r="B2828" s="557" t="str">
        <f>B2827</f>
        <v>Composição Auxiliar</v>
      </c>
      <c r="C2828" s="79" t="s">
        <v>2921</v>
      </c>
      <c r="D2828" s="78" t="s">
        <v>3914</v>
      </c>
      <c r="E2828" s="79" t="s">
        <v>139</v>
      </c>
      <c r="F2828" s="79" t="s">
        <v>3915</v>
      </c>
      <c r="G2828" s="79" t="s">
        <v>3908</v>
      </c>
      <c r="H2828" s="79"/>
      <c r="I2828" s="80" t="s">
        <v>279</v>
      </c>
      <c r="J2828" s="583">
        <v>0.0831</v>
      </c>
      <c r="K2828" s="583">
        <v>0</v>
      </c>
      <c r="L2828" s="92">
        <v>1081.25</v>
      </c>
      <c r="M2828" s="92">
        <v>89.85</v>
      </c>
      <c r="N2828" s="573">
        <v>12.46</v>
      </c>
      <c r="O2828" s="556" t="str">
        <f>IF(N2828=M2828,"OK","DIF")</f>
        <v>DIF</v>
      </c>
      <c r="P2828" s="573"/>
      <c r="Q2828" s="556"/>
      <c r="R2828" s="582"/>
    </row>
    <row r="2829" ht="15" customHeight="1" spans="1:18">
      <c r="A2829" s="556" t="str">
        <f>B2829</f>
        <v>Composição Auxiliar</v>
      </c>
      <c r="B2829" s="557" t="str">
        <f>B2828</f>
        <v>Composição Auxiliar</v>
      </c>
      <c r="C2829" s="79" t="s">
        <v>2921</v>
      </c>
      <c r="D2829" s="78" t="s">
        <v>3916</v>
      </c>
      <c r="E2829" s="79" t="s">
        <v>139</v>
      </c>
      <c r="F2829" s="79" t="s">
        <v>3917</v>
      </c>
      <c r="G2829" s="79" t="s">
        <v>3908</v>
      </c>
      <c r="H2829" s="79"/>
      <c r="I2829" s="80" t="s">
        <v>279</v>
      </c>
      <c r="J2829" s="583">
        <v>0.0299</v>
      </c>
      <c r="K2829" s="583">
        <v>0</v>
      </c>
      <c r="L2829" s="92">
        <v>1131.01</v>
      </c>
      <c r="M2829" s="92">
        <v>33.81</v>
      </c>
      <c r="N2829" s="573">
        <v>9.01</v>
      </c>
      <c r="O2829" s="556" t="str">
        <f>IF(N2829=M2829,"OK","DIF")</f>
        <v>DIF</v>
      </c>
      <c r="P2829" s="573"/>
      <c r="Q2829" s="556"/>
      <c r="R2829" s="582"/>
    </row>
    <row r="2830" ht="23.85" customHeight="1" spans="1:18">
      <c r="A2830" s="556" t="str">
        <f>B2830</f>
        <v>Composição Auxiliar</v>
      </c>
      <c r="B2830" s="557" t="str">
        <f>B2829</f>
        <v>Composição Auxiliar</v>
      </c>
      <c r="C2830" s="79" t="s">
        <v>2921</v>
      </c>
      <c r="D2830" s="78" t="s">
        <v>2952</v>
      </c>
      <c r="E2830" s="79" t="s">
        <v>139</v>
      </c>
      <c r="F2830" s="79" t="s">
        <v>2953</v>
      </c>
      <c r="G2830" s="79" t="s">
        <v>2928</v>
      </c>
      <c r="H2830" s="79"/>
      <c r="I2830" s="80" t="s">
        <v>2897</v>
      </c>
      <c r="J2830" s="583">
        <v>10.8855</v>
      </c>
      <c r="K2830" s="583">
        <v>0</v>
      </c>
      <c r="L2830" s="92">
        <v>29.15</v>
      </c>
      <c r="M2830" s="92">
        <v>317.31</v>
      </c>
      <c r="N2830" s="573">
        <v>20.3</v>
      </c>
      <c r="O2830" s="556" t="str">
        <f>IF(N2830=M2830,"OK","DIF")</f>
        <v>DIF</v>
      </c>
      <c r="P2830" s="573"/>
      <c r="Q2830" s="556"/>
      <c r="R2830" s="582"/>
    </row>
    <row r="2831" ht="23.85" customHeight="1" spans="1:18">
      <c r="A2831" s="556"/>
      <c r="B2831" s="557"/>
      <c r="C2831" s="79" t="s">
        <v>2921</v>
      </c>
      <c r="D2831" s="78" t="s">
        <v>3017</v>
      </c>
      <c r="E2831" s="79" t="s">
        <v>139</v>
      </c>
      <c r="F2831" s="79" t="s">
        <v>3018</v>
      </c>
      <c r="G2831" s="79" t="s">
        <v>2928</v>
      </c>
      <c r="H2831" s="79"/>
      <c r="I2831" s="80" t="s">
        <v>2897</v>
      </c>
      <c r="J2831" s="583">
        <v>13.8543</v>
      </c>
      <c r="K2831" s="583">
        <v>0</v>
      </c>
      <c r="L2831" s="92">
        <v>36.96</v>
      </c>
      <c r="M2831" s="92">
        <v>512.05</v>
      </c>
      <c r="N2831" s="573"/>
      <c r="O2831" s="556"/>
      <c r="P2831" s="573"/>
      <c r="Q2831" s="556"/>
      <c r="R2831" s="582"/>
    </row>
    <row r="2832" ht="35.05" customHeight="1" spans="1:18">
      <c r="A2832" s="556"/>
      <c r="B2832" s="557"/>
      <c r="C2832" s="79" t="s">
        <v>2921</v>
      </c>
      <c r="D2832" s="78" t="s">
        <v>3918</v>
      </c>
      <c r="E2832" s="79" t="s">
        <v>139</v>
      </c>
      <c r="F2832" s="79" t="s">
        <v>3919</v>
      </c>
      <c r="G2832" s="79" t="s">
        <v>3016</v>
      </c>
      <c r="H2832" s="79"/>
      <c r="I2832" s="80" t="s">
        <v>279</v>
      </c>
      <c r="J2832" s="583">
        <v>0.0588</v>
      </c>
      <c r="K2832" s="583">
        <v>0</v>
      </c>
      <c r="L2832" s="92">
        <v>466.18</v>
      </c>
      <c r="M2832" s="92">
        <v>27.41</v>
      </c>
      <c r="N2832" s="573"/>
      <c r="O2832" s="556"/>
      <c r="P2832" s="573"/>
      <c r="Q2832" s="556"/>
      <c r="R2832" s="582"/>
    </row>
    <row r="2833" ht="23.85" customHeight="1" spans="1:18">
      <c r="A2833" s="556"/>
      <c r="B2833" s="557" t="str">
        <f>C2832</f>
        <v>Composição Auxiliar</v>
      </c>
      <c r="C2833" s="79" t="s">
        <v>2921</v>
      </c>
      <c r="D2833" s="78" t="s">
        <v>3920</v>
      </c>
      <c r="E2833" s="79" t="s">
        <v>139</v>
      </c>
      <c r="F2833" s="79" t="s">
        <v>3921</v>
      </c>
      <c r="G2833" s="79" t="s">
        <v>3908</v>
      </c>
      <c r="H2833" s="79"/>
      <c r="I2833" s="80" t="s">
        <v>393</v>
      </c>
      <c r="J2833" s="583">
        <v>0.9872</v>
      </c>
      <c r="K2833" s="583">
        <v>0</v>
      </c>
      <c r="L2833" s="92">
        <v>11.94</v>
      </c>
      <c r="M2833" s="92">
        <v>11.78</v>
      </c>
      <c r="N2833" s="573">
        <v>9.43</v>
      </c>
      <c r="O2833" s="556" t="str">
        <f>IF(N2833=M2833,"OK","DIF")</f>
        <v>DIF</v>
      </c>
      <c r="P2833" s="573"/>
      <c r="Q2833" s="556"/>
      <c r="R2833" s="582"/>
    </row>
    <row r="2834" ht="23.85" customHeight="1" spans="1:18">
      <c r="A2834" s="556" t="str">
        <f>B2834</f>
        <v>Composição Auxiliar</v>
      </c>
      <c r="B2834" s="557" t="str">
        <f>B2833</f>
        <v>Composição Auxiliar</v>
      </c>
      <c r="C2834" s="79" t="s">
        <v>2921</v>
      </c>
      <c r="D2834" s="78" t="s">
        <v>3922</v>
      </c>
      <c r="E2834" s="79" t="s">
        <v>139</v>
      </c>
      <c r="F2834" s="79" t="s">
        <v>3923</v>
      </c>
      <c r="G2834" s="79" t="s">
        <v>3016</v>
      </c>
      <c r="H2834" s="79"/>
      <c r="I2834" s="80" t="s">
        <v>279</v>
      </c>
      <c r="J2834" s="583">
        <v>0.5972</v>
      </c>
      <c r="K2834" s="583">
        <v>0</v>
      </c>
      <c r="L2834" s="92">
        <v>518.89</v>
      </c>
      <c r="M2834" s="92">
        <v>309.88</v>
      </c>
      <c r="N2834" s="573">
        <v>3.61</v>
      </c>
      <c r="O2834" s="556" t="str">
        <f>IF(N2834=M2834,"OK","DIF")</f>
        <v>DIF</v>
      </c>
      <c r="P2834" s="573"/>
      <c r="Q2834" s="556"/>
      <c r="R2834" s="582"/>
    </row>
    <row r="2835" ht="35.05" customHeight="1" spans="1:18">
      <c r="A2835" s="556" t="str">
        <f>B2835</f>
        <v>Composição Auxiliar</v>
      </c>
      <c r="B2835" s="557" t="str">
        <f>B2834</f>
        <v>Composição Auxiliar</v>
      </c>
      <c r="C2835" s="79" t="s">
        <v>2921</v>
      </c>
      <c r="D2835" s="78" t="s">
        <v>3897</v>
      </c>
      <c r="E2835" s="79" t="s">
        <v>139</v>
      </c>
      <c r="F2835" s="79" t="s">
        <v>3898</v>
      </c>
      <c r="G2835" s="79" t="s">
        <v>2999</v>
      </c>
      <c r="H2835" s="79"/>
      <c r="I2835" s="80" t="s">
        <v>279</v>
      </c>
      <c r="J2835" s="583">
        <v>0.2768</v>
      </c>
      <c r="K2835" s="583">
        <v>0</v>
      </c>
      <c r="L2835" s="92">
        <v>445.88</v>
      </c>
      <c r="M2835" s="92">
        <v>123.41</v>
      </c>
      <c r="N2835" s="573">
        <v>3.07</v>
      </c>
      <c r="O2835" s="556" t="str">
        <f>IF(N2835=M2835,"OK","DIF")</f>
        <v>DIF</v>
      </c>
      <c r="P2835" s="573"/>
      <c r="Q2835" s="556"/>
      <c r="R2835" s="582"/>
    </row>
    <row r="2836" ht="46.25" customHeight="1" spans="1:18">
      <c r="A2836" s="556" t="str">
        <f>B2836</f>
        <v>Composição Auxiliar</v>
      </c>
      <c r="B2836" s="557" t="str">
        <f>B2835</f>
        <v>Composição Auxiliar</v>
      </c>
      <c r="C2836" s="79" t="s">
        <v>2921</v>
      </c>
      <c r="D2836" s="78" t="s">
        <v>3924</v>
      </c>
      <c r="E2836" s="79" t="s">
        <v>139</v>
      </c>
      <c r="F2836" s="79" t="s">
        <v>3925</v>
      </c>
      <c r="G2836" s="79" t="s">
        <v>2995</v>
      </c>
      <c r="H2836" s="79"/>
      <c r="I2836" s="80" t="s">
        <v>3002</v>
      </c>
      <c r="J2836" s="583">
        <v>0.0528</v>
      </c>
      <c r="K2836" s="583">
        <v>0</v>
      </c>
      <c r="L2836" s="92">
        <v>159.84</v>
      </c>
      <c r="M2836" s="92">
        <v>8.43</v>
      </c>
      <c r="N2836" s="573">
        <v>2.75</v>
      </c>
      <c r="O2836" s="556" t="str">
        <f>IF(N2836=M2836,"OK","DIF")</f>
        <v>DIF</v>
      </c>
      <c r="P2836" s="573"/>
      <c r="Q2836" s="556"/>
      <c r="R2836" s="582"/>
    </row>
    <row r="2837" ht="23.85" customHeight="1" spans="1:18">
      <c r="A2837" s="556"/>
      <c r="B2837" s="557"/>
      <c r="C2837" s="79" t="s">
        <v>2921</v>
      </c>
      <c r="D2837" s="78" t="s">
        <v>3926</v>
      </c>
      <c r="E2837" s="79" t="s">
        <v>139</v>
      </c>
      <c r="F2837" s="79" t="s">
        <v>3927</v>
      </c>
      <c r="G2837" s="79" t="s">
        <v>3928</v>
      </c>
      <c r="H2837" s="79"/>
      <c r="I2837" s="80" t="s">
        <v>141</v>
      </c>
      <c r="J2837" s="583">
        <v>2.08</v>
      </c>
      <c r="K2837" s="583">
        <v>0</v>
      </c>
      <c r="L2837" s="92">
        <v>4.21</v>
      </c>
      <c r="M2837" s="92">
        <v>8.75</v>
      </c>
      <c r="N2837" s="573"/>
      <c r="O2837" s="556"/>
      <c r="P2837" s="573"/>
      <c r="Q2837" s="556"/>
      <c r="R2837" s="582"/>
    </row>
    <row r="2838" ht="23.85" customHeight="1" spans="1:18">
      <c r="A2838" s="556"/>
      <c r="B2838" s="557"/>
      <c r="C2838" s="100" t="s">
        <v>2893</v>
      </c>
      <c r="D2838" s="99" t="s">
        <v>3929</v>
      </c>
      <c r="E2838" s="100" t="s">
        <v>139</v>
      </c>
      <c r="F2838" s="100" t="s">
        <v>3930</v>
      </c>
      <c r="G2838" s="100" t="s">
        <v>2961</v>
      </c>
      <c r="H2838" s="100"/>
      <c r="I2838" s="101" t="s">
        <v>134</v>
      </c>
      <c r="J2838" s="580">
        <v>1</v>
      </c>
      <c r="K2838" s="580">
        <v>0</v>
      </c>
      <c r="L2838" s="102">
        <v>56.36</v>
      </c>
      <c r="M2838" s="102">
        <v>56.36</v>
      </c>
      <c r="N2838" s="573"/>
      <c r="O2838" s="556"/>
      <c r="P2838" s="573"/>
      <c r="Q2838" s="556"/>
      <c r="R2838" s="582"/>
    </row>
    <row r="2839" ht="23.85" customHeight="1" spans="1:18">
      <c r="A2839" s="556"/>
      <c r="B2839" s="557" t="str">
        <f>C2838</f>
        <v>Insumo</v>
      </c>
      <c r="C2839" s="100" t="s">
        <v>2893</v>
      </c>
      <c r="D2839" s="99" t="s">
        <v>3334</v>
      </c>
      <c r="E2839" s="100" t="s">
        <v>139</v>
      </c>
      <c r="F2839" s="100" t="s">
        <v>3335</v>
      </c>
      <c r="G2839" s="100" t="s">
        <v>2961</v>
      </c>
      <c r="H2839" s="100"/>
      <c r="I2839" s="101" t="s">
        <v>204</v>
      </c>
      <c r="J2839" s="580">
        <v>0.2728</v>
      </c>
      <c r="K2839" s="580">
        <v>0</v>
      </c>
      <c r="L2839" s="102">
        <v>3.07</v>
      </c>
      <c r="M2839" s="102">
        <v>0.83</v>
      </c>
      <c r="N2839" s="573">
        <v>15.57</v>
      </c>
      <c r="O2839" s="556" t="str">
        <f>IF(N2839=M2839,"OK","DIF")</f>
        <v>DIF</v>
      </c>
      <c r="P2839" s="573"/>
      <c r="Q2839" s="556"/>
      <c r="R2839" s="582"/>
    </row>
    <row r="2840" ht="23.85" customHeight="1" spans="1:18">
      <c r="A2840" s="556" t="str">
        <f>B2840</f>
        <v>Insumo</v>
      </c>
      <c r="B2840" s="557" t="str">
        <f>B2839</f>
        <v>Insumo</v>
      </c>
      <c r="C2840" s="100" t="s">
        <v>2893</v>
      </c>
      <c r="D2840" s="99" t="s">
        <v>3342</v>
      </c>
      <c r="E2840" s="100" t="s">
        <v>139</v>
      </c>
      <c r="F2840" s="100" t="s">
        <v>3343</v>
      </c>
      <c r="G2840" s="100" t="s">
        <v>2961</v>
      </c>
      <c r="H2840" s="100"/>
      <c r="I2840" s="101" t="s">
        <v>3084</v>
      </c>
      <c r="J2840" s="580">
        <v>0.0105</v>
      </c>
      <c r="K2840" s="580">
        <v>0</v>
      </c>
      <c r="L2840" s="102">
        <v>7.97</v>
      </c>
      <c r="M2840" s="102">
        <v>0.08</v>
      </c>
      <c r="N2840" s="573">
        <v>3.48</v>
      </c>
      <c r="O2840" s="556" t="str">
        <f>IF(N2840=M2840,"OK","DIF")</f>
        <v>DIF</v>
      </c>
      <c r="P2840" s="573"/>
      <c r="Q2840" s="556"/>
      <c r="R2840" s="582"/>
    </row>
    <row r="2841" ht="23.85" customHeight="1" spans="1:18">
      <c r="A2841" s="556" t="str">
        <f>B2841</f>
        <v>Insumo</v>
      </c>
      <c r="B2841" s="557" t="str">
        <f>B2840</f>
        <v>Insumo</v>
      </c>
      <c r="C2841" s="100" t="s">
        <v>2893</v>
      </c>
      <c r="D2841" s="99" t="s">
        <v>3931</v>
      </c>
      <c r="E2841" s="100" t="s">
        <v>139</v>
      </c>
      <c r="F2841" s="100" t="s">
        <v>3932</v>
      </c>
      <c r="G2841" s="100" t="s">
        <v>2961</v>
      </c>
      <c r="H2841" s="100"/>
      <c r="I2841" s="101" t="s">
        <v>134</v>
      </c>
      <c r="J2841" s="580">
        <v>61.8757</v>
      </c>
      <c r="K2841" s="580">
        <v>0</v>
      </c>
      <c r="L2841" s="102">
        <v>4.64</v>
      </c>
      <c r="M2841" s="102">
        <v>287.1</v>
      </c>
      <c r="N2841" s="573">
        <v>2.52</v>
      </c>
      <c r="O2841" s="556" t="str">
        <f>IF(N2841=M2841,"OK","DIF")</f>
        <v>DIF</v>
      </c>
      <c r="P2841" s="573"/>
      <c r="Q2841" s="556"/>
      <c r="R2841" s="582"/>
    </row>
    <row r="2842" ht="15" customHeight="1" spans="1:18">
      <c r="A2842" s="556" t="str">
        <f>B2842</f>
        <v>Insumo</v>
      </c>
      <c r="B2842" s="557" t="str">
        <f>B2841</f>
        <v>Insumo</v>
      </c>
      <c r="C2842" s="100" t="s">
        <v>2893</v>
      </c>
      <c r="D2842" s="99" t="s">
        <v>2966</v>
      </c>
      <c r="E2842" s="100" t="s">
        <v>139</v>
      </c>
      <c r="F2842" s="100" t="s">
        <v>2967</v>
      </c>
      <c r="G2842" s="100" t="s">
        <v>2961</v>
      </c>
      <c r="H2842" s="100"/>
      <c r="I2842" s="101" t="s">
        <v>393</v>
      </c>
      <c r="J2842" s="580">
        <v>0.0242</v>
      </c>
      <c r="K2842" s="580">
        <v>0</v>
      </c>
      <c r="L2842" s="102">
        <v>18.73</v>
      </c>
      <c r="M2842" s="102">
        <v>0.45</v>
      </c>
      <c r="N2842" s="573">
        <v>9.57</v>
      </c>
      <c r="O2842" s="556" t="str">
        <f>IF(N2842=M2842,"OK","DIF")</f>
        <v>DIF</v>
      </c>
      <c r="P2842" s="573"/>
      <c r="Q2842" s="556"/>
      <c r="R2842" s="582"/>
    </row>
    <row r="2843" ht="35.05" customHeight="1" spans="1:18">
      <c r="A2843" s="556"/>
      <c r="B2843" s="557"/>
      <c r="C2843" s="100" t="s">
        <v>2893</v>
      </c>
      <c r="D2843" s="99" t="s">
        <v>3386</v>
      </c>
      <c r="E2843" s="100" t="s">
        <v>139</v>
      </c>
      <c r="F2843" s="100" t="s">
        <v>3387</v>
      </c>
      <c r="G2843" s="100" t="s">
        <v>2961</v>
      </c>
      <c r="H2843" s="100"/>
      <c r="I2843" s="101" t="s">
        <v>204</v>
      </c>
      <c r="J2843" s="580">
        <v>0.8556</v>
      </c>
      <c r="K2843" s="580">
        <v>0</v>
      </c>
      <c r="L2843" s="102">
        <v>21.41</v>
      </c>
      <c r="M2843" s="102">
        <v>18.31</v>
      </c>
      <c r="N2843" s="573"/>
      <c r="O2843" s="556"/>
      <c r="P2843" s="573"/>
      <c r="Q2843" s="556"/>
      <c r="R2843" s="582"/>
    </row>
    <row r="2844" ht="23.85" customHeight="1" spans="1:18">
      <c r="A2844" s="556"/>
      <c r="B2844" s="557"/>
      <c r="C2844" s="100" t="s">
        <v>2893</v>
      </c>
      <c r="D2844" s="99" t="s">
        <v>3007</v>
      </c>
      <c r="E2844" s="100" t="s">
        <v>139</v>
      </c>
      <c r="F2844" s="100" t="s">
        <v>3008</v>
      </c>
      <c r="G2844" s="100" t="s">
        <v>2961</v>
      </c>
      <c r="H2844" s="100"/>
      <c r="I2844" s="101" t="s">
        <v>204</v>
      </c>
      <c r="J2844" s="580">
        <v>0.2294</v>
      </c>
      <c r="K2844" s="580">
        <v>0</v>
      </c>
      <c r="L2844" s="102">
        <v>8.79</v>
      </c>
      <c r="M2844" s="102">
        <v>2.01</v>
      </c>
      <c r="N2844" s="573"/>
      <c r="O2844" s="556"/>
      <c r="P2844" s="573"/>
      <c r="Q2844" s="556"/>
      <c r="R2844" s="582"/>
    </row>
    <row r="2845" ht="15" customHeight="1" spans="1:18">
      <c r="A2845" s="556"/>
      <c r="B2845" s="557" t="str">
        <f>C2844</f>
        <v>Insumo</v>
      </c>
      <c r="C2845" s="100" t="s">
        <v>2893</v>
      </c>
      <c r="D2845" s="99" t="s">
        <v>3933</v>
      </c>
      <c r="E2845" s="100" t="s">
        <v>139</v>
      </c>
      <c r="F2845" s="100" t="s">
        <v>3934</v>
      </c>
      <c r="G2845" s="100" t="s">
        <v>2961</v>
      </c>
      <c r="H2845" s="100"/>
      <c r="I2845" s="101" t="s">
        <v>134</v>
      </c>
      <c r="J2845" s="580">
        <v>28.35</v>
      </c>
      <c r="K2845" s="580">
        <v>0</v>
      </c>
      <c r="L2845" s="102">
        <v>2.88</v>
      </c>
      <c r="M2845" s="102">
        <v>81.64</v>
      </c>
      <c r="N2845" s="573">
        <v>28.42</v>
      </c>
      <c r="O2845" s="556" t="str">
        <f>IF(N2845=M2845,"OK","DIF")</f>
        <v>DIF</v>
      </c>
      <c r="P2845" s="573"/>
      <c r="Q2845" s="556"/>
      <c r="R2845" s="582"/>
    </row>
    <row r="2846" ht="35.05" customHeight="1" spans="1:18">
      <c r="A2846" s="556" t="str">
        <f>B2846</f>
        <v>Insumo</v>
      </c>
      <c r="B2846" s="557" t="str">
        <f>B2845</f>
        <v>Insumo</v>
      </c>
      <c r="C2846" s="100" t="s">
        <v>2893</v>
      </c>
      <c r="D2846" s="99" t="s">
        <v>3935</v>
      </c>
      <c r="E2846" s="100" t="s">
        <v>139</v>
      </c>
      <c r="F2846" s="100" t="s">
        <v>3936</v>
      </c>
      <c r="G2846" s="100" t="s">
        <v>2961</v>
      </c>
      <c r="H2846" s="100"/>
      <c r="I2846" s="101" t="s">
        <v>134</v>
      </c>
      <c r="J2846" s="580">
        <v>1</v>
      </c>
      <c r="K2846" s="580">
        <v>0</v>
      </c>
      <c r="L2846" s="102">
        <v>584.47</v>
      </c>
      <c r="M2846" s="102">
        <v>584.47</v>
      </c>
      <c r="N2846" s="573">
        <v>19.41</v>
      </c>
      <c r="O2846" s="556" t="str">
        <f>IF(N2846=M2846,"OK","DIF")</f>
        <v>DIF</v>
      </c>
      <c r="P2846" s="573"/>
      <c r="Q2846" s="556"/>
      <c r="R2846" s="582"/>
    </row>
    <row r="2847" ht="25.5" spans="1:18">
      <c r="A2847" s="556" t="str">
        <f>B2847</f>
        <v>Insumo</v>
      </c>
      <c r="B2847" s="557" t="str">
        <f>B2846</f>
        <v>Insumo</v>
      </c>
      <c r="C2847" s="108"/>
      <c r="D2847" s="108"/>
      <c r="E2847" s="108"/>
      <c r="F2847" s="108"/>
      <c r="G2847" s="108"/>
      <c r="H2847" s="108" t="s">
        <v>2898</v>
      </c>
      <c r="I2847" s="581">
        <v>809.71</v>
      </c>
      <c r="J2847" s="108" t="s">
        <v>2899</v>
      </c>
      <c r="K2847" s="581">
        <v>0</v>
      </c>
      <c r="L2847" s="108" t="s">
        <v>2900</v>
      </c>
      <c r="M2847" s="581">
        <v>809.71</v>
      </c>
      <c r="N2847" s="573">
        <v>5.23</v>
      </c>
      <c r="O2847" s="556" t="str">
        <f>IF(N2847=M2847,"OK","DIF")</f>
        <v>DIF</v>
      </c>
      <c r="P2847" s="573"/>
      <c r="Q2847" s="556"/>
      <c r="R2847" s="582"/>
    </row>
    <row r="2848" ht="26.25" spans="1:18">
      <c r="A2848" s="556" t="str">
        <f>B2848</f>
        <v>Insumo</v>
      </c>
      <c r="B2848" s="557" t="str">
        <f>B2847</f>
        <v>Insumo</v>
      </c>
      <c r="C2848" s="108"/>
      <c r="D2848" s="108"/>
      <c r="E2848" s="108"/>
      <c r="F2848" s="108"/>
      <c r="G2848" s="108"/>
      <c r="H2848" s="108" t="s">
        <v>2901</v>
      </c>
      <c r="I2848" s="581">
        <v>687.27</v>
      </c>
      <c r="J2848" s="114"/>
      <c r="K2848" s="114" t="s">
        <v>2902</v>
      </c>
      <c r="L2848" s="108"/>
      <c r="M2848" s="581">
        <v>3383.51</v>
      </c>
      <c r="N2848" s="573">
        <v>3.78</v>
      </c>
      <c r="O2848" s="556" t="str">
        <f>IF(N2848=M2848,"OK","DIF")</f>
        <v>DIF</v>
      </c>
      <c r="P2848" s="573"/>
      <c r="Q2848" s="556"/>
      <c r="R2848" s="582"/>
    </row>
    <row r="2849" ht="15" spans="1:18">
      <c r="A2849" s="556"/>
      <c r="B2849" s="557"/>
      <c r="C2849" s="571"/>
      <c r="D2849" s="571"/>
      <c r="E2849" s="571"/>
      <c r="F2849" s="571"/>
      <c r="G2849" s="571"/>
      <c r="H2849" s="571"/>
      <c r="I2849" s="571"/>
      <c r="J2849" s="571"/>
      <c r="K2849" s="571"/>
      <c r="L2849" s="571"/>
      <c r="M2849" s="571"/>
      <c r="N2849" s="573"/>
      <c r="O2849" s="556"/>
      <c r="P2849" s="573"/>
      <c r="Q2849" s="556"/>
      <c r="R2849" s="582"/>
    </row>
    <row r="2850" ht="15" customHeight="1" spans="1:18">
      <c r="A2850" s="556"/>
      <c r="B2850" s="557"/>
      <c r="C2850" s="76" t="s">
        <v>986</v>
      </c>
      <c r="D2850" s="75" t="s">
        <v>63</v>
      </c>
      <c r="E2850" s="76" t="s">
        <v>64</v>
      </c>
      <c r="F2850" s="76" t="s">
        <v>65</v>
      </c>
      <c r="G2850" s="76" t="s">
        <v>2889</v>
      </c>
      <c r="H2850" s="76"/>
      <c r="I2850" s="77" t="s">
        <v>66</v>
      </c>
      <c r="J2850" s="75" t="s">
        <v>67</v>
      </c>
      <c r="K2850" s="75" t="s">
        <v>2890</v>
      </c>
      <c r="L2850" s="75" t="s">
        <v>68</v>
      </c>
      <c r="M2850" s="75" t="s">
        <v>70</v>
      </c>
      <c r="N2850" s="573"/>
      <c r="O2850" s="556"/>
      <c r="P2850" s="573"/>
      <c r="Q2850" s="556"/>
      <c r="R2850" s="582"/>
    </row>
    <row r="2851" ht="38.25" spans="1:18">
      <c r="A2851" s="556"/>
      <c r="B2851" s="557" t="str">
        <f>C2850</f>
        <v> 12.1.1.1 </v>
      </c>
      <c r="C2851" s="569" t="s">
        <v>2891</v>
      </c>
      <c r="D2851" s="570" t="s">
        <v>987</v>
      </c>
      <c r="E2851" s="569" t="s">
        <v>132</v>
      </c>
      <c r="F2851" s="569" t="s">
        <v>988</v>
      </c>
      <c r="G2851" s="569">
        <v>15</v>
      </c>
      <c r="H2851" s="569"/>
      <c r="I2851" s="577" t="s">
        <v>204</v>
      </c>
      <c r="J2851" s="578">
        <v>1</v>
      </c>
      <c r="K2851" s="579"/>
      <c r="L2851" s="579">
        <v>26.96</v>
      </c>
      <c r="M2851" s="579">
        <v>26.96</v>
      </c>
      <c r="N2851" s="573">
        <v>30.97</v>
      </c>
      <c r="O2851" s="556" t="str">
        <f>IF(N2851=M2851,"OK","DIF")</f>
        <v>DIF</v>
      </c>
      <c r="P2851" s="573"/>
      <c r="Q2851" s="556"/>
      <c r="R2851" s="582"/>
    </row>
    <row r="2852" ht="23.85" customHeight="1" spans="1:18">
      <c r="A2852" s="556" t="str">
        <f>B2852</f>
        <v> 12.1.1.1 </v>
      </c>
      <c r="B2852" s="557" t="str">
        <f>B2851</f>
        <v> 12.1.1.1 </v>
      </c>
      <c r="C2852" s="79" t="s">
        <v>2921</v>
      </c>
      <c r="D2852" s="78" t="s">
        <v>3151</v>
      </c>
      <c r="E2852" s="79" t="s">
        <v>139</v>
      </c>
      <c r="F2852" s="79" t="s">
        <v>3152</v>
      </c>
      <c r="G2852" s="79" t="s">
        <v>2928</v>
      </c>
      <c r="H2852" s="79"/>
      <c r="I2852" s="80" t="s">
        <v>2897</v>
      </c>
      <c r="J2852" s="583">
        <v>0.4</v>
      </c>
      <c r="K2852" s="583">
        <v>0</v>
      </c>
      <c r="L2852" s="92">
        <v>36.82</v>
      </c>
      <c r="M2852" s="92">
        <v>14.72</v>
      </c>
      <c r="N2852" s="573">
        <v>9.01</v>
      </c>
      <c r="O2852" s="556" t="str">
        <f>IF(N2852=M2852,"OK","DIF")</f>
        <v>DIF</v>
      </c>
      <c r="P2852" s="573"/>
      <c r="Q2852" s="556"/>
      <c r="R2852" s="582"/>
    </row>
    <row r="2853" ht="23.85" customHeight="1" spans="1:18">
      <c r="A2853" s="556" t="str">
        <f>B2853</f>
        <v> 12.1.1.1 </v>
      </c>
      <c r="B2853" s="557" t="str">
        <f>B2852</f>
        <v> 12.1.1.1 </v>
      </c>
      <c r="C2853" s="79" t="s">
        <v>2921</v>
      </c>
      <c r="D2853" s="78" t="s">
        <v>3153</v>
      </c>
      <c r="E2853" s="79" t="s">
        <v>139</v>
      </c>
      <c r="F2853" s="79" t="s">
        <v>3154</v>
      </c>
      <c r="G2853" s="79" t="s">
        <v>2928</v>
      </c>
      <c r="H2853" s="79"/>
      <c r="I2853" s="80" t="s">
        <v>2897</v>
      </c>
      <c r="J2853" s="583">
        <v>0.4</v>
      </c>
      <c r="K2853" s="583">
        <v>0</v>
      </c>
      <c r="L2853" s="92">
        <v>30.6</v>
      </c>
      <c r="M2853" s="92">
        <v>12.24</v>
      </c>
      <c r="N2853" s="573">
        <v>7.44</v>
      </c>
      <c r="O2853" s="556" t="str">
        <f>IF(N2853=M2853,"OK","DIF")</f>
        <v>DIF</v>
      </c>
      <c r="P2853" s="573"/>
      <c r="Q2853" s="556"/>
      <c r="R2853" s="582"/>
    </row>
    <row r="2854" ht="25.5" spans="1:18">
      <c r="A2854" s="556" t="str">
        <f>B2854</f>
        <v> 12.1.1.1 </v>
      </c>
      <c r="B2854" s="557" t="str">
        <f>B2853</f>
        <v> 12.1.1.1 </v>
      </c>
      <c r="C2854" s="108"/>
      <c r="D2854" s="108"/>
      <c r="E2854" s="108"/>
      <c r="F2854" s="108"/>
      <c r="G2854" s="108"/>
      <c r="H2854" s="108" t="s">
        <v>2898</v>
      </c>
      <c r="I2854" s="581">
        <v>18.92</v>
      </c>
      <c r="J2854" s="108" t="s">
        <v>2899</v>
      </c>
      <c r="K2854" s="581">
        <v>0</v>
      </c>
      <c r="L2854" s="108" t="s">
        <v>2900</v>
      </c>
      <c r="M2854" s="581">
        <v>18.92</v>
      </c>
      <c r="N2854" s="573">
        <v>0.62</v>
      </c>
      <c r="O2854" s="556" t="str">
        <f>IF(N2854=M2854,"OK","DIF")</f>
        <v>DIF</v>
      </c>
      <c r="P2854" s="573"/>
      <c r="Q2854" s="556"/>
      <c r="R2854" s="582"/>
    </row>
    <row r="2855" ht="26.25" spans="1:18">
      <c r="A2855" s="556" t="str">
        <f>B2855</f>
        <v> 12.1.1.1 </v>
      </c>
      <c r="B2855" s="557" t="str">
        <f>B2854</f>
        <v> 12.1.1.1 </v>
      </c>
      <c r="C2855" s="108"/>
      <c r="D2855" s="108"/>
      <c r="E2855" s="108"/>
      <c r="F2855" s="108"/>
      <c r="G2855" s="108"/>
      <c r="H2855" s="108" t="s">
        <v>2901</v>
      </c>
      <c r="I2855" s="581">
        <v>6.87</v>
      </c>
      <c r="J2855" s="114"/>
      <c r="K2855" s="114" t="s">
        <v>2902</v>
      </c>
      <c r="L2855" s="108"/>
      <c r="M2855" s="581">
        <v>33.83</v>
      </c>
      <c r="N2855" s="573">
        <v>13.9</v>
      </c>
      <c r="O2855" s="556" t="str">
        <f>IF(N2855=M2855,"OK","DIF")</f>
        <v>DIF</v>
      </c>
      <c r="P2855" s="573"/>
      <c r="Q2855" s="556"/>
      <c r="R2855" s="582"/>
    </row>
    <row r="2856" ht="15" spans="1:18">
      <c r="A2856" s="556"/>
      <c r="B2856" s="557"/>
      <c r="C2856" s="571"/>
      <c r="D2856" s="571"/>
      <c r="E2856" s="571"/>
      <c r="F2856" s="571"/>
      <c r="G2856" s="571"/>
      <c r="H2856" s="571"/>
      <c r="I2856" s="571"/>
      <c r="J2856" s="571"/>
      <c r="K2856" s="571"/>
      <c r="L2856" s="571"/>
      <c r="M2856" s="571"/>
      <c r="N2856" s="573"/>
      <c r="O2856" s="556"/>
      <c r="P2856" s="573"/>
      <c r="Q2856" s="556"/>
      <c r="R2856" s="582"/>
    </row>
    <row r="2857" ht="15" customHeight="1" spans="1:18">
      <c r="A2857" s="556"/>
      <c r="B2857" s="557"/>
      <c r="C2857" s="76" t="s">
        <v>989</v>
      </c>
      <c r="D2857" s="75" t="s">
        <v>63</v>
      </c>
      <c r="E2857" s="76" t="s">
        <v>64</v>
      </c>
      <c r="F2857" s="76" t="s">
        <v>65</v>
      </c>
      <c r="G2857" s="76" t="s">
        <v>2889</v>
      </c>
      <c r="H2857" s="76"/>
      <c r="I2857" s="77" t="s">
        <v>66</v>
      </c>
      <c r="J2857" s="75" t="s">
        <v>67</v>
      </c>
      <c r="K2857" s="75" t="s">
        <v>2890</v>
      </c>
      <c r="L2857" s="75" t="s">
        <v>68</v>
      </c>
      <c r="M2857" s="75" t="s">
        <v>70</v>
      </c>
      <c r="N2857" s="573"/>
      <c r="O2857" s="556"/>
      <c r="P2857" s="573"/>
      <c r="Q2857" s="556"/>
      <c r="R2857" s="582"/>
    </row>
    <row r="2858" ht="38.25" spans="1:18">
      <c r="A2858" s="556"/>
      <c r="B2858" s="557" t="str">
        <f>C2857</f>
        <v> 12.1.1.2 </v>
      </c>
      <c r="C2858" s="569" t="s">
        <v>2891</v>
      </c>
      <c r="D2858" s="570" t="s">
        <v>990</v>
      </c>
      <c r="E2858" s="569" t="s">
        <v>132</v>
      </c>
      <c r="F2858" s="569" t="s">
        <v>991</v>
      </c>
      <c r="G2858" s="569">
        <v>15</v>
      </c>
      <c r="H2858" s="569"/>
      <c r="I2858" s="577" t="s">
        <v>204</v>
      </c>
      <c r="J2858" s="578">
        <v>1</v>
      </c>
      <c r="K2858" s="579"/>
      <c r="L2858" s="579">
        <v>26.96</v>
      </c>
      <c r="M2858" s="579">
        <v>26.96</v>
      </c>
      <c r="N2858" s="573">
        <v>35.65</v>
      </c>
      <c r="O2858" s="556" t="str">
        <f>IF(N2858=M2858,"OK","DIF")</f>
        <v>DIF</v>
      </c>
      <c r="P2858" s="573"/>
      <c r="Q2858" s="556"/>
      <c r="R2858" s="582"/>
    </row>
    <row r="2859" ht="23.85" customHeight="1" spans="1:18">
      <c r="A2859" s="556" t="str">
        <f>B2859</f>
        <v> 12.1.1.2 </v>
      </c>
      <c r="B2859" s="557" t="str">
        <f>B2858</f>
        <v> 12.1.1.2 </v>
      </c>
      <c r="C2859" s="79" t="s">
        <v>2921</v>
      </c>
      <c r="D2859" s="78" t="s">
        <v>3153</v>
      </c>
      <c r="E2859" s="79" t="s">
        <v>139</v>
      </c>
      <c r="F2859" s="79" t="s">
        <v>3154</v>
      </c>
      <c r="G2859" s="79" t="s">
        <v>2928</v>
      </c>
      <c r="H2859" s="79"/>
      <c r="I2859" s="80" t="s">
        <v>2897</v>
      </c>
      <c r="J2859" s="583">
        <v>0.4</v>
      </c>
      <c r="K2859" s="583">
        <v>0</v>
      </c>
      <c r="L2859" s="92">
        <v>30.6</v>
      </c>
      <c r="M2859" s="92">
        <v>12.24</v>
      </c>
      <c r="N2859" s="573">
        <v>9.77</v>
      </c>
      <c r="O2859" s="556" t="str">
        <f>IF(N2859=M2859,"OK","DIF")</f>
        <v>DIF</v>
      </c>
      <c r="P2859" s="573"/>
      <c r="Q2859" s="556"/>
      <c r="R2859" s="582"/>
    </row>
    <row r="2860" ht="23.85" customHeight="1" spans="1:18">
      <c r="A2860" s="556" t="str">
        <f>B2860</f>
        <v> 12.1.1.2 </v>
      </c>
      <c r="B2860" s="557" t="str">
        <f>B2859</f>
        <v> 12.1.1.2 </v>
      </c>
      <c r="C2860" s="79" t="s">
        <v>2921</v>
      </c>
      <c r="D2860" s="78" t="s">
        <v>3151</v>
      </c>
      <c r="E2860" s="79" t="s">
        <v>139</v>
      </c>
      <c r="F2860" s="79" t="s">
        <v>3152</v>
      </c>
      <c r="G2860" s="79" t="s">
        <v>2928</v>
      </c>
      <c r="H2860" s="79"/>
      <c r="I2860" s="80" t="s">
        <v>2897</v>
      </c>
      <c r="J2860" s="583">
        <v>0.4</v>
      </c>
      <c r="K2860" s="583">
        <v>0</v>
      </c>
      <c r="L2860" s="92">
        <v>36.82</v>
      </c>
      <c r="M2860" s="92">
        <v>14.72</v>
      </c>
      <c r="N2860" s="573">
        <v>11.84</v>
      </c>
      <c r="O2860" s="556" t="str">
        <f>IF(N2860=M2860,"OK","DIF")</f>
        <v>DIF</v>
      </c>
      <c r="P2860" s="573"/>
      <c r="Q2860" s="556"/>
      <c r="R2860" s="582"/>
    </row>
    <row r="2861" ht="25.5" spans="1:18">
      <c r="A2861" s="556" t="str">
        <f>B2861</f>
        <v> 12.1.1.2 </v>
      </c>
      <c r="B2861" s="557" t="str">
        <f>B2860</f>
        <v> 12.1.1.2 </v>
      </c>
      <c r="C2861" s="108"/>
      <c r="D2861" s="108"/>
      <c r="E2861" s="108"/>
      <c r="F2861" s="108"/>
      <c r="G2861" s="108"/>
      <c r="H2861" s="108" t="s">
        <v>2898</v>
      </c>
      <c r="I2861" s="581">
        <v>18.92</v>
      </c>
      <c r="J2861" s="108" t="s">
        <v>2899</v>
      </c>
      <c r="K2861" s="581">
        <v>0</v>
      </c>
      <c r="L2861" s="108" t="s">
        <v>2900</v>
      </c>
      <c r="M2861" s="581">
        <v>18.92</v>
      </c>
      <c r="N2861" s="573">
        <v>13.42</v>
      </c>
      <c r="O2861" s="556" t="str">
        <f>IF(N2861=M2861,"OK","DIF")</f>
        <v>DIF</v>
      </c>
      <c r="P2861" s="573"/>
      <c r="Q2861" s="556"/>
      <c r="R2861" s="582"/>
    </row>
    <row r="2862" ht="26.25" spans="1:18">
      <c r="A2862" s="556" t="str">
        <f>B2862</f>
        <v> 12.1.1.2 </v>
      </c>
      <c r="B2862" s="557" t="str">
        <f>B2861</f>
        <v> 12.1.1.2 </v>
      </c>
      <c r="C2862" s="108"/>
      <c r="D2862" s="108"/>
      <c r="E2862" s="108"/>
      <c r="F2862" s="108"/>
      <c r="G2862" s="108"/>
      <c r="H2862" s="108" t="s">
        <v>2901</v>
      </c>
      <c r="I2862" s="581">
        <v>6.87</v>
      </c>
      <c r="J2862" s="114"/>
      <c r="K2862" s="114" t="s">
        <v>2902</v>
      </c>
      <c r="L2862" s="108"/>
      <c r="M2862" s="581">
        <v>33.83</v>
      </c>
      <c r="N2862" s="573">
        <v>0.62</v>
      </c>
      <c r="O2862" s="556" t="str">
        <f>IF(N2862=M2862,"OK","DIF")</f>
        <v>DIF</v>
      </c>
      <c r="P2862" s="573"/>
      <c r="Q2862" s="556"/>
      <c r="R2862" s="582"/>
    </row>
    <row r="2863" ht="15" spans="1:18">
      <c r="A2863" s="556"/>
      <c r="B2863" s="557"/>
      <c r="C2863" s="571"/>
      <c r="D2863" s="571"/>
      <c r="E2863" s="571"/>
      <c r="F2863" s="571"/>
      <c r="G2863" s="571"/>
      <c r="H2863" s="571"/>
      <c r="I2863" s="571"/>
      <c r="J2863" s="571"/>
      <c r="K2863" s="571"/>
      <c r="L2863" s="571"/>
      <c r="M2863" s="571"/>
      <c r="N2863" s="573"/>
      <c r="O2863" s="556"/>
      <c r="P2863" s="573"/>
      <c r="Q2863" s="556"/>
      <c r="R2863" s="582"/>
    </row>
    <row r="2864" ht="15" customHeight="1" spans="1:18">
      <c r="A2864" s="556"/>
      <c r="B2864" s="557"/>
      <c r="C2864" s="76" t="s">
        <v>992</v>
      </c>
      <c r="D2864" s="75" t="s">
        <v>63</v>
      </c>
      <c r="E2864" s="76" t="s">
        <v>64</v>
      </c>
      <c r="F2864" s="76" t="s">
        <v>65</v>
      </c>
      <c r="G2864" s="76" t="s">
        <v>2889</v>
      </c>
      <c r="H2864" s="76"/>
      <c r="I2864" s="77" t="s">
        <v>66</v>
      </c>
      <c r="J2864" s="75" t="s">
        <v>67</v>
      </c>
      <c r="K2864" s="75" t="s">
        <v>2890</v>
      </c>
      <c r="L2864" s="75" t="s">
        <v>68</v>
      </c>
      <c r="M2864" s="75" t="s">
        <v>70</v>
      </c>
      <c r="N2864" s="573"/>
      <c r="O2864" s="556"/>
      <c r="P2864" s="573"/>
      <c r="Q2864" s="556"/>
      <c r="R2864" s="582"/>
    </row>
    <row r="2865" ht="38.25" spans="1:18">
      <c r="A2865" s="556"/>
      <c r="B2865" s="557" t="str">
        <f>C2864</f>
        <v> 12.1.1.3 </v>
      </c>
      <c r="C2865" s="569" t="s">
        <v>2891</v>
      </c>
      <c r="D2865" s="570" t="s">
        <v>993</v>
      </c>
      <c r="E2865" s="569" t="s">
        <v>132</v>
      </c>
      <c r="F2865" s="569" t="s">
        <v>994</v>
      </c>
      <c r="G2865" s="569">
        <v>15</v>
      </c>
      <c r="H2865" s="569"/>
      <c r="I2865" s="577" t="s">
        <v>204</v>
      </c>
      <c r="J2865" s="578">
        <v>1</v>
      </c>
      <c r="K2865" s="579"/>
      <c r="L2865" s="579">
        <v>26.96</v>
      </c>
      <c r="M2865" s="579">
        <v>26.96</v>
      </c>
      <c r="N2865" s="573">
        <v>79.37</v>
      </c>
      <c r="O2865" s="556" t="str">
        <f>IF(N2865=M2865,"OK","DIF")</f>
        <v>DIF</v>
      </c>
      <c r="P2865" s="573"/>
      <c r="Q2865" s="556"/>
      <c r="R2865" s="582"/>
    </row>
    <row r="2866" ht="23.85" customHeight="1" spans="1:18">
      <c r="A2866" s="556" t="str">
        <f>B2866</f>
        <v> 12.1.1.3 </v>
      </c>
      <c r="B2866" s="557" t="str">
        <f>B2865</f>
        <v> 12.1.1.3 </v>
      </c>
      <c r="C2866" s="79" t="s">
        <v>2921</v>
      </c>
      <c r="D2866" s="78" t="s">
        <v>3153</v>
      </c>
      <c r="E2866" s="79" t="s">
        <v>139</v>
      </c>
      <c r="F2866" s="79" t="s">
        <v>3154</v>
      </c>
      <c r="G2866" s="79" t="s">
        <v>2928</v>
      </c>
      <c r="H2866" s="79"/>
      <c r="I2866" s="80" t="s">
        <v>2897</v>
      </c>
      <c r="J2866" s="583">
        <v>0.4</v>
      </c>
      <c r="K2866" s="583">
        <v>0</v>
      </c>
      <c r="L2866" s="92">
        <v>30.6</v>
      </c>
      <c r="M2866" s="92">
        <v>12.24</v>
      </c>
      <c r="N2866" s="573">
        <v>16.3</v>
      </c>
      <c r="O2866" s="556" t="str">
        <f>IF(N2866=M2866,"OK","DIF")</f>
        <v>DIF</v>
      </c>
      <c r="P2866" s="573"/>
      <c r="Q2866" s="556"/>
      <c r="R2866" s="582"/>
    </row>
    <row r="2867" ht="23.85" customHeight="1" spans="1:18">
      <c r="A2867" s="556" t="str">
        <f>B2867</f>
        <v> 12.1.1.3 </v>
      </c>
      <c r="B2867" s="557" t="str">
        <f>B2866</f>
        <v> 12.1.1.3 </v>
      </c>
      <c r="C2867" s="79" t="s">
        <v>2921</v>
      </c>
      <c r="D2867" s="78" t="s">
        <v>3151</v>
      </c>
      <c r="E2867" s="79" t="s">
        <v>139</v>
      </c>
      <c r="F2867" s="79" t="s">
        <v>3152</v>
      </c>
      <c r="G2867" s="79" t="s">
        <v>2928</v>
      </c>
      <c r="H2867" s="79"/>
      <c r="I2867" s="80" t="s">
        <v>2897</v>
      </c>
      <c r="J2867" s="583">
        <v>0.4</v>
      </c>
      <c r="K2867" s="583">
        <v>0</v>
      </c>
      <c r="L2867" s="92">
        <v>36.82</v>
      </c>
      <c r="M2867" s="92">
        <v>14.72</v>
      </c>
      <c r="N2867" s="573">
        <v>19.75</v>
      </c>
      <c r="O2867" s="556" t="str">
        <f>IF(N2867=M2867,"OK","DIF")</f>
        <v>DIF</v>
      </c>
      <c r="P2867" s="573"/>
      <c r="Q2867" s="556"/>
      <c r="R2867" s="582"/>
    </row>
    <row r="2868" ht="25.5" spans="1:18">
      <c r="A2868" s="556" t="str">
        <f>B2868</f>
        <v> 12.1.1.3 </v>
      </c>
      <c r="B2868" s="557" t="str">
        <f>B2867</f>
        <v> 12.1.1.3 </v>
      </c>
      <c r="C2868" s="108"/>
      <c r="D2868" s="108"/>
      <c r="E2868" s="108"/>
      <c r="F2868" s="108"/>
      <c r="G2868" s="108"/>
      <c r="H2868" s="108" t="s">
        <v>2898</v>
      </c>
      <c r="I2868" s="581">
        <v>18.92</v>
      </c>
      <c r="J2868" s="108" t="s">
        <v>2899</v>
      </c>
      <c r="K2868" s="581">
        <v>0</v>
      </c>
      <c r="L2868" s="108" t="s">
        <v>2900</v>
      </c>
      <c r="M2868" s="581">
        <v>18.92</v>
      </c>
      <c r="N2868" s="573">
        <v>42.7</v>
      </c>
      <c r="O2868" s="556" t="str">
        <f>IF(N2868=M2868,"OK","DIF")</f>
        <v>DIF</v>
      </c>
      <c r="P2868" s="573"/>
      <c r="Q2868" s="556"/>
      <c r="R2868" s="582"/>
    </row>
    <row r="2869" ht="26.25" spans="1:18">
      <c r="A2869" s="556" t="str">
        <f>B2869</f>
        <v> 12.1.1.3 </v>
      </c>
      <c r="B2869" s="557" t="str">
        <f>B2868</f>
        <v> 12.1.1.3 </v>
      </c>
      <c r="C2869" s="108"/>
      <c r="D2869" s="108"/>
      <c r="E2869" s="108"/>
      <c r="F2869" s="108"/>
      <c r="G2869" s="108"/>
      <c r="H2869" s="108" t="s">
        <v>2901</v>
      </c>
      <c r="I2869" s="581">
        <v>6.87</v>
      </c>
      <c r="J2869" s="114"/>
      <c r="K2869" s="114" t="s">
        <v>2902</v>
      </c>
      <c r="L2869" s="108"/>
      <c r="M2869" s="581">
        <v>33.83</v>
      </c>
      <c r="N2869" s="573">
        <v>0.62</v>
      </c>
      <c r="O2869" s="556" t="str">
        <f>IF(N2869=M2869,"OK","DIF")</f>
        <v>DIF</v>
      </c>
      <c r="P2869" s="573"/>
      <c r="Q2869" s="556"/>
      <c r="R2869" s="582"/>
    </row>
    <row r="2870" ht="15" spans="1:18">
      <c r="A2870" s="556"/>
      <c r="B2870" s="557"/>
      <c r="C2870" s="571"/>
      <c r="D2870" s="571"/>
      <c r="E2870" s="571"/>
      <c r="F2870" s="571"/>
      <c r="G2870" s="571"/>
      <c r="H2870" s="571"/>
      <c r="I2870" s="571"/>
      <c r="J2870" s="571"/>
      <c r="K2870" s="571"/>
      <c r="L2870" s="571"/>
      <c r="M2870" s="571"/>
      <c r="N2870" s="573"/>
      <c r="O2870" s="556"/>
      <c r="P2870" s="573"/>
      <c r="Q2870" s="556"/>
      <c r="R2870" s="582"/>
    </row>
    <row r="2871" ht="15" customHeight="1" spans="1:18">
      <c r="A2871" s="556"/>
      <c r="B2871" s="557"/>
      <c r="C2871" s="76" t="s">
        <v>995</v>
      </c>
      <c r="D2871" s="75" t="s">
        <v>63</v>
      </c>
      <c r="E2871" s="76" t="s">
        <v>64</v>
      </c>
      <c r="F2871" s="76" t="s">
        <v>65</v>
      </c>
      <c r="G2871" s="76" t="s">
        <v>2889</v>
      </c>
      <c r="H2871" s="76"/>
      <c r="I2871" s="77" t="s">
        <v>66</v>
      </c>
      <c r="J2871" s="75" t="s">
        <v>67</v>
      </c>
      <c r="K2871" s="75" t="s">
        <v>2890</v>
      </c>
      <c r="L2871" s="75" t="s">
        <v>68</v>
      </c>
      <c r="M2871" s="75" t="s">
        <v>70</v>
      </c>
      <c r="N2871" s="573"/>
      <c r="O2871" s="556"/>
      <c r="P2871" s="573"/>
      <c r="Q2871" s="556"/>
      <c r="R2871" s="582"/>
    </row>
    <row r="2872" ht="51" spans="1:18">
      <c r="A2872" s="556"/>
      <c r="B2872" s="557" t="str">
        <f>C2871</f>
        <v> 12.1.1.4 </v>
      </c>
      <c r="C2872" s="569" t="s">
        <v>2891</v>
      </c>
      <c r="D2872" s="570" t="s">
        <v>996</v>
      </c>
      <c r="E2872" s="569" t="s">
        <v>132</v>
      </c>
      <c r="F2872" s="569" t="s">
        <v>997</v>
      </c>
      <c r="G2872" s="569">
        <v>15</v>
      </c>
      <c r="H2872" s="569"/>
      <c r="I2872" s="577" t="s">
        <v>204</v>
      </c>
      <c r="J2872" s="578">
        <v>1</v>
      </c>
      <c r="K2872" s="579"/>
      <c r="L2872" s="579">
        <v>78.73</v>
      </c>
      <c r="M2872" s="579">
        <v>78.73</v>
      </c>
      <c r="N2872" s="573">
        <v>31.29</v>
      </c>
      <c r="O2872" s="556" t="str">
        <f>IF(N2872=M2872,"OK","DIF")</f>
        <v>DIF</v>
      </c>
      <c r="P2872" s="573"/>
      <c r="Q2872" s="556"/>
      <c r="R2872" s="582"/>
    </row>
    <row r="2873" ht="23.85" customHeight="1" spans="1:18">
      <c r="A2873" s="556" t="str">
        <f>B2873</f>
        <v> 12.1.1.4 </v>
      </c>
      <c r="B2873" s="557" t="str">
        <f>B2872</f>
        <v> 12.1.1.4 </v>
      </c>
      <c r="C2873" s="79" t="s">
        <v>2921</v>
      </c>
      <c r="D2873" s="78" t="s">
        <v>3153</v>
      </c>
      <c r="E2873" s="79" t="s">
        <v>139</v>
      </c>
      <c r="F2873" s="79" t="s">
        <v>3154</v>
      </c>
      <c r="G2873" s="79" t="s">
        <v>2928</v>
      </c>
      <c r="H2873" s="79"/>
      <c r="I2873" s="80" t="s">
        <v>2897</v>
      </c>
      <c r="J2873" s="583">
        <v>1</v>
      </c>
      <c r="K2873" s="583">
        <v>0</v>
      </c>
      <c r="L2873" s="92">
        <v>30.6</v>
      </c>
      <c r="M2873" s="92">
        <v>30.6</v>
      </c>
      <c r="N2873" s="573">
        <v>10.43</v>
      </c>
      <c r="O2873" s="556" t="str">
        <f>IF(N2873=M2873,"OK","DIF")</f>
        <v>DIF</v>
      </c>
      <c r="P2873" s="573"/>
      <c r="Q2873" s="556"/>
      <c r="R2873" s="582"/>
    </row>
    <row r="2874" ht="23.85" customHeight="1" spans="1:18">
      <c r="A2874" s="556" t="str">
        <f>B2874</f>
        <v> 12.1.1.4 </v>
      </c>
      <c r="B2874" s="557" t="str">
        <f>B2873</f>
        <v> 12.1.1.4 </v>
      </c>
      <c r="C2874" s="79" t="s">
        <v>2921</v>
      </c>
      <c r="D2874" s="78" t="s">
        <v>3151</v>
      </c>
      <c r="E2874" s="79" t="s">
        <v>139</v>
      </c>
      <c r="F2874" s="79" t="s">
        <v>3152</v>
      </c>
      <c r="G2874" s="79" t="s">
        <v>2928</v>
      </c>
      <c r="H2874" s="79"/>
      <c r="I2874" s="80" t="s">
        <v>2897</v>
      </c>
      <c r="J2874" s="583">
        <v>1</v>
      </c>
      <c r="K2874" s="583">
        <v>0</v>
      </c>
      <c r="L2874" s="92">
        <v>36.82</v>
      </c>
      <c r="M2874" s="92">
        <v>36.82</v>
      </c>
      <c r="N2874" s="573">
        <v>8.61</v>
      </c>
      <c r="O2874" s="556" t="str">
        <f>IF(N2874=M2874,"OK","DIF")</f>
        <v>DIF</v>
      </c>
      <c r="P2874" s="573"/>
      <c r="Q2874" s="556"/>
      <c r="R2874" s="582"/>
    </row>
    <row r="2875" ht="15" customHeight="1" spans="1:18">
      <c r="A2875" s="556" t="str">
        <f>B2875</f>
        <v> 12.1.1.4 </v>
      </c>
      <c r="B2875" s="557" t="str">
        <f>B2874</f>
        <v> 12.1.1.4 </v>
      </c>
      <c r="C2875" s="100" t="s">
        <v>2893</v>
      </c>
      <c r="D2875" s="99" t="s">
        <v>3937</v>
      </c>
      <c r="E2875" s="100" t="s">
        <v>77</v>
      </c>
      <c r="F2875" s="100" t="s">
        <v>3938</v>
      </c>
      <c r="G2875" s="100" t="s">
        <v>2961</v>
      </c>
      <c r="H2875" s="100"/>
      <c r="I2875" s="101" t="s">
        <v>134</v>
      </c>
      <c r="J2875" s="580">
        <v>1.33</v>
      </c>
      <c r="K2875" s="580">
        <v>0</v>
      </c>
      <c r="L2875" s="102">
        <v>1.43</v>
      </c>
      <c r="M2875" s="102">
        <v>1.9</v>
      </c>
      <c r="N2875" s="573">
        <v>0.62</v>
      </c>
      <c r="O2875" s="556" t="str">
        <f>IF(N2875=M2875,"OK","DIF")</f>
        <v>DIF</v>
      </c>
      <c r="P2875" s="573"/>
      <c r="Q2875" s="556"/>
      <c r="R2875" s="582"/>
    </row>
    <row r="2876" ht="15" customHeight="1" spans="1:18">
      <c r="A2876" s="556" t="str">
        <f>B2876</f>
        <v> 12.1.1.4 </v>
      </c>
      <c r="B2876" s="557" t="str">
        <f>B2875</f>
        <v> 12.1.1.4 </v>
      </c>
      <c r="C2876" s="100" t="s">
        <v>2893</v>
      </c>
      <c r="D2876" s="99" t="s">
        <v>3939</v>
      </c>
      <c r="E2876" s="100" t="s">
        <v>77</v>
      </c>
      <c r="F2876" s="100" t="s">
        <v>3940</v>
      </c>
      <c r="G2876" s="100" t="s">
        <v>2961</v>
      </c>
      <c r="H2876" s="100"/>
      <c r="I2876" s="101" t="s">
        <v>134</v>
      </c>
      <c r="J2876" s="580">
        <v>0.666</v>
      </c>
      <c r="K2876" s="580">
        <v>0</v>
      </c>
      <c r="L2876" s="102">
        <v>9.73</v>
      </c>
      <c r="M2876" s="102">
        <v>6.48</v>
      </c>
      <c r="N2876" s="573">
        <v>11.63</v>
      </c>
      <c r="O2876" s="556" t="str">
        <f>IF(N2876=M2876,"OK","DIF")</f>
        <v>DIF</v>
      </c>
      <c r="P2876" s="573"/>
      <c r="Q2876" s="556"/>
      <c r="R2876" s="582"/>
    </row>
    <row r="2877" ht="23.85" customHeight="1" spans="1:18">
      <c r="A2877" s="556"/>
      <c r="B2877" s="557"/>
      <c r="C2877" s="100" t="s">
        <v>2893</v>
      </c>
      <c r="D2877" s="99" t="s">
        <v>3941</v>
      </c>
      <c r="E2877" s="100" t="s">
        <v>77</v>
      </c>
      <c r="F2877" s="100" t="s">
        <v>3942</v>
      </c>
      <c r="G2877" s="100" t="s">
        <v>2961</v>
      </c>
      <c r="H2877" s="100"/>
      <c r="I2877" s="101" t="s">
        <v>134</v>
      </c>
      <c r="J2877" s="580">
        <v>0.0133</v>
      </c>
      <c r="K2877" s="580">
        <v>0</v>
      </c>
      <c r="L2877" s="102">
        <v>41.44</v>
      </c>
      <c r="M2877" s="102">
        <v>0.55</v>
      </c>
      <c r="N2877" s="573"/>
      <c r="O2877" s="556"/>
      <c r="P2877" s="573"/>
      <c r="Q2877" s="556"/>
      <c r="R2877" s="582"/>
    </row>
    <row r="2878" ht="15" customHeight="1" spans="1:18">
      <c r="A2878" s="556"/>
      <c r="B2878" s="557"/>
      <c r="C2878" s="100" t="s">
        <v>2893</v>
      </c>
      <c r="D2878" s="99" t="s">
        <v>3943</v>
      </c>
      <c r="E2878" s="100" t="s">
        <v>77</v>
      </c>
      <c r="F2878" s="100" t="s">
        <v>3944</v>
      </c>
      <c r="G2878" s="100" t="s">
        <v>2961</v>
      </c>
      <c r="H2878" s="100"/>
      <c r="I2878" s="101" t="s">
        <v>134</v>
      </c>
      <c r="J2878" s="580">
        <v>2.66</v>
      </c>
      <c r="K2878" s="580">
        <v>0</v>
      </c>
      <c r="L2878" s="102">
        <v>0.08</v>
      </c>
      <c r="M2878" s="102">
        <v>0.21</v>
      </c>
      <c r="N2878" s="573"/>
      <c r="O2878" s="556"/>
      <c r="P2878" s="573"/>
      <c r="Q2878" s="556"/>
      <c r="R2878" s="582"/>
    </row>
    <row r="2879" ht="23.85" customHeight="1" spans="1:18">
      <c r="A2879" s="556"/>
      <c r="B2879" s="557" t="str">
        <f>C2878</f>
        <v>Insumo</v>
      </c>
      <c r="C2879" s="100" t="s">
        <v>2893</v>
      </c>
      <c r="D2879" s="99" t="s">
        <v>3945</v>
      </c>
      <c r="E2879" s="100" t="s">
        <v>77</v>
      </c>
      <c r="F2879" s="100" t="s">
        <v>3946</v>
      </c>
      <c r="G2879" s="100" t="s">
        <v>2961</v>
      </c>
      <c r="H2879" s="100"/>
      <c r="I2879" s="101" t="s">
        <v>134</v>
      </c>
      <c r="J2879" s="580">
        <v>0.666</v>
      </c>
      <c r="K2879" s="580">
        <v>0</v>
      </c>
      <c r="L2879" s="102">
        <v>2.95</v>
      </c>
      <c r="M2879" s="102">
        <v>1.96</v>
      </c>
      <c r="N2879" s="573">
        <v>66.12</v>
      </c>
      <c r="O2879" s="556" t="str">
        <f>IF(N2879=M2879,"OK","DIF")</f>
        <v>DIF</v>
      </c>
      <c r="P2879" s="573"/>
      <c r="Q2879" s="556"/>
      <c r="R2879" s="582"/>
    </row>
    <row r="2880" ht="15" customHeight="1" spans="1:18">
      <c r="A2880" s="556" t="str">
        <f>B2880</f>
        <v>Insumo</v>
      </c>
      <c r="B2880" s="557" t="str">
        <f>B2879</f>
        <v>Insumo</v>
      </c>
      <c r="C2880" s="100" t="s">
        <v>2893</v>
      </c>
      <c r="D2880" s="99" t="s">
        <v>3947</v>
      </c>
      <c r="E2880" s="100" t="s">
        <v>77</v>
      </c>
      <c r="F2880" s="100" t="s">
        <v>3948</v>
      </c>
      <c r="G2880" s="100" t="s">
        <v>2961</v>
      </c>
      <c r="H2880" s="100"/>
      <c r="I2880" s="101" t="s">
        <v>134</v>
      </c>
      <c r="J2880" s="580">
        <v>2.66</v>
      </c>
      <c r="K2880" s="580">
        <v>0</v>
      </c>
      <c r="L2880" s="102">
        <v>0.08</v>
      </c>
      <c r="M2880" s="102">
        <v>0.21</v>
      </c>
      <c r="N2880" s="573">
        <v>13.5</v>
      </c>
      <c r="O2880" s="556" t="str">
        <f>IF(N2880=M2880,"OK","DIF")</f>
        <v>DIF</v>
      </c>
      <c r="P2880" s="573"/>
      <c r="Q2880" s="556"/>
      <c r="R2880" s="582"/>
    </row>
    <row r="2881" ht="25.5" spans="1:18">
      <c r="A2881" s="556" t="str">
        <f>B2881</f>
        <v>Insumo</v>
      </c>
      <c r="B2881" s="557" t="str">
        <f>B2880</f>
        <v>Insumo</v>
      </c>
      <c r="C2881" s="108"/>
      <c r="D2881" s="108"/>
      <c r="E2881" s="108"/>
      <c r="F2881" s="108"/>
      <c r="G2881" s="108"/>
      <c r="H2881" s="108" t="s">
        <v>2898</v>
      </c>
      <c r="I2881" s="581">
        <v>47.32</v>
      </c>
      <c r="J2881" s="108" t="s">
        <v>2899</v>
      </c>
      <c r="K2881" s="581">
        <v>0</v>
      </c>
      <c r="L2881" s="108" t="s">
        <v>2900</v>
      </c>
      <c r="M2881" s="581">
        <v>47.32</v>
      </c>
      <c r="N2881" s="573">
        <v>16.36</v>
      </c>
      <c r="O2881" s="556" t="str">
        <f>IF(N2881=M2881,"OK","DIF")</f>
        <v>DIF</v>
      </c>
      <c r="P2881" s="573"/>
      <c r="Q2881" s="556"/>
      <c r="R2881" s="582"/>
    </row>
    <row r="2882" ht="26.25" spans="1:18">
      <c r="A2882" s="556" t="str">
        <f>B2882</f>
        <v>Insumo</v>
      </c>
      <c r="B2882" s="557" t="str">
        <f>B2881</f>
        <v>Insumo</v>
      </c>
      <c r="C2882" s="108"/>
      <c r="D2882" s="108"/>
      <c r="E2882" s="108"/>
      <c r="F2882" s="108"/>
      <c r="G2882" s="108"/>
      <c r="H2882" s="108" t="s">
        <v>2901</v>
      </c>
      <c r="I2882" s="581">
        <v>20.06</v>
      </c>
      <c r="J2882" s="114"/>
      <c r="K2882" s="114" t="s">
        <v>2902</v>
      </c>
      <c r="L2882" s="108"/>
      <c r="M2882" s="581">
        <v>98.79</v>
      </c>
      <c r="N2882" s="573">
        <v>35.64</v>
      </c>
      <c r="O2882" s="556" t="str">
        <f>IF(N2882=M2882,"OK","DIF")</f>
        <v>DIF</v>
      </c>
      <c r="P2882" s="573"/>
      <c r="Q2882" s="556"/>
      <c r="R2882" s="582"/>
    </row>
    <row r="2883" ht="15" spans="1:18">
      <c r="A2883" s="556" t="str">
        <f>B2883</f>
        <v>Insumo</v>
      </c>
      <c r="B2883" s="557" t="str">
        <f>B2882</f>
        <v>Insumo</v>
      </c>
      <c r="C2883" s="571"/>
      <c r="D2883" s="571"/>
      <c r="E2883" s="571"/>
      <c r="F2883" s="571"/>
      <c r="G2883" s="571"/>
      <c r="H2883" s="571"/>
      <c r="I2883" s="571"/>
      <c r="J2883" s="571"/>
      <c r="K2883" s="571"/>
      <c r="L2883" s="571"/>
      <c r="M2883" s="571"/>
      <c r="N2883" s="573">
        <v>0.62</v>
      </c>
      <c r="O2883" s="556" t="str">
        <f>IF(N2883=M2883,"OK","DIF")</f>
        <v>DIF</v>
      </c>
      <c r="P2883" s="573"/>
      <c r="Q2883" s="556"/>
      <c r="R2883" s="582"/>
    </row>
    <row r="2884" ht="15" customHeight="1" spans="1:18">
      <c r="A2884" s="556"/>
      <c r="B2884" s="557"/>
      <c r="C2884" s="76" t="s">
        <v>998</v>
      </c>
      <c r="D2884" s="75" t="s">
        <v>63</v>
      </c>
      <c r="E2884" s="76" t="s">
        <v>64</v>
      </c>
      <c r="F2884" s="76" t="s">
        <v>65</v>
      </c>
      <c r="G2884" s="76" t="s">
        <v>2889</v>
      </c>
      <c r="H2884" s="76"/>
      <c r="I2884" s="77" t="s">
        <v>66</v>
      </c>
      <c r="J2884" s="75" t="s">
        <v>67</v>
      </c>
      <c r="K2884" s="75" t="s">
        <v>2890</v>
      </c>
      <c r="L2884" s="75" t="s">
        <v>68</v>
      </c>
      <c r="M2884" s="75" t="s">
        <v>70</v>
      </c>
      <c r="N2884" s="573"/>
      <c r="O2884" s="556"/>
      <c r="P2884" s="573"/>
      <c r="Q2884" s="556"/>
      <c r="R2884" s="582"/>
    </row>
    <row r="2885" ht="51" spans="1:18">
      <c r="A2885" s="556"/>
      <c r="B2885" s="557"/>
      <c r="C2885" s="569" t="s">
        <v>2891</v>
      </c>
      <c r="D2885" s="570" t="s">
        <v>999</v>
      </c>
      <c r="E2885" s="569" t="s">
        <v>132</v>
      </c>
      <c r="F2885" s="569" t="s">
        <v>1000</v>
      </c>
      <c r="G2885" s="569">
        <v>15</v>
      </c>
      <c r="H2885" s="569"/>
      <c r="I2885" s="577" t="s">
        <v>204</v>
      </c>
      <c r="J2885" s="578">
        <v>1</v>
      </c>
      <c r="K2885" s="579"/>
      <c r="L2885" s="579">
        <v>79.66</v>
      </c>
      <c r="M2885" s="579">
        <v>79.66</v>
      </c>
      <c r="N2885" s="573"/>
      <c r="O2885" s="556"/>
      <c r="P2885" s="573"/>
      <c r="Q2885" s="556"/>
      <c r="R2885" s="582"/>
    </row>
    <row r="2886" ht="23.85" customHeight="1" spans="1:18">
      <c r="A2886" s="556"/>
      <c r="B2886" s="557" t="str">
        <f>C2885</f>
        <v>Composição</v>
      </c>
      <c r="C2886" s="79" t="s">
        <v>2921</v>
      </c>
      <c r="D2886" s="78" t="s">
        <v>3153</v>
      </c>
      <c r="E2886" s="79" t="s">
        <v>139</v>
      </c>
      <c r="F2886" s="79" t="s">
        <v>3154</v>
      </c>
      <c r="G2886" s="79" t="s">
        <v>2928</v>
      </c>
      <c r="H2886" s="79"/>
      <c r="I2886" s="80" t="s">
        <v>2897</v>
      </c>
      <c r="J2886" s="583">
        <v>1</v>
      </c>
      <c r="K2886" s="583">
        <v>0</v>
      </c>
      <c r="L2886" s="92">
        <v>30.6</v>
      </c>
      <c r="M2886" s="92">
        <v>30.6</v>
      </c>
      <c r="N2886" s="573">
        <v>25.76</v>
      </c>
      <c r="O2886" s="556" t="str">
        <f>IF(N2886=M2886,"OK","DIF")</f>
        <v>DIF</v>
      </c>
      <c r="P2886" s="573"/>
      <c r="Q2886" s="556"/>
      <c r="R2886" s="582"/>
    </row>
    <row r="2887" ht="23.85" customHeight="1" spans="1:18">
      <c r="A2887" s="556" t="str">
        <f>B2887</f>
        <v>Composição</v>
      </c>
      <c r="B2887" s="557" t="str">
        <f>B2886</f>
        <v>Composição</v>
      </c>
      <c r="C2887" s="79" t="s">
        <v>2921</v>
      </c>
      <c r="D2887" s="78" t="s">
        <v>3151</v>
      </c>
      <c r="E2887" s="79" t="s">
        <v>139</v>
      </c>
      <c r="F2887" s="79" t="s">
        <v>3152</v>
      </c>
      <c r="G2887" s="79" t="s">
        <v>2928</v>
      </c>
      <c r="H2887" s="79"/>
      <c r="I2887" s="80" t="s">
        <v>2897</v>
      </c>
      <c r="J2887" s="583">
        <v>1</v>
      </c>
      <c r="K2887" s="583">
        <v>0</v>
      </c>
      <c r="L2887" s="92">
        <v>36.82</v>
      </c>
      <c r="M2887" s="92">
        <v>36.82</v>
      </c>
      <c r="N2887" s="573">
        <v>7.6</v>
      </c>
      <c r="O2887" s="556" t="str">
        <f>IF(N2887=M2887,"OK","DIF")</f>
        <v>DIF</v>
      </c>
      <c r="P2887" s="573"/>
      <c r="Q2887" s="556"/>
      <c r="R2887" s="582"/>
    </row>
    <row r="2888" ht="23.85" customHeight="1" spans="1:18">
      <c r="A2888" s="556" t="str">
        <f>B2888</f>
        <v>Composição</v>
      </c>
      <c r="B2888" s="557" t="str">
        <f>B2887</f>
        <v>Composição</v>
      </c>
      <c r="C2888" s="100" t="s">
        <v>2893</v>
      </c>
      <c r="D2888" s="99" t="s">
        <v>3949</v>
      </c>
      <c r="E2888" s="100" t="s">
        <v>77</v>
      </c>
      <c r="F2888" s="100" t="s">
        <v>3950</v>
      </c>
      <c r="G2888" s="100" t="s">
        <v>2961</v>
      </c>
      <c r="H2888" s="100"/>
      <c r="I2888" s="101" t="s">
        <v>134</v>
      </c>
      <c r="J2888" s="580">
        <v>0.666</v>
      </c>
      <c r="K2888" s="580">
        <v>0</v>
      </c>
      <c r="L2888" s="102">
        <v>4.34</v>
      </c>
      <c r="M2888" s="102">
        <v>2.89</v>
      </c>
      <c r="N2888" s="573">
        <v>6.28</v>
      </c>
      <c r="O2888" s="556" t="str">
        <f>IF(N2888=M2888,"OK","DIF")</f>
        <v>DIF</v>
      </c>
      <c r="P2888" s="573"/>
      <c r="Q2888" s="556"/>
      <c r="R2888" s="582"/>
    </row>
    <row r="2889" ht="15" customHeight="1" spans="1:18">
      <c r="A2889" s="556" t="str">
        <f>B2889</f>
        <v>Composição</v>
      </c>
      <c r="B2889" s="557" t="str">
        <f>B2888</f>
        <v>Composição</v>
      </c>
      <c r="C2889" s="100" t="s">
        <v>2893</v>
      </c>
      <c r="D2889" s="99" t="s">
        <v>3937</v>
      </c>
      <c r="E2889" s="100" t="s">
        <v>77</v>
      </c>
      <c r="F2889" s="100" t="s">
        <v>3938</v>
      </c>
      <c r="G2889" s="100" t="s">
        <v>2961</v>
      </c>
      <c r="H2889" s="100"/>
      <c r="I2889" s="101" t="s">
        <v>134</v>
      </c>
      <c r="J2889" s="580">
        <v>1.33</v>
      </c>
      <c r="K2889" s="580">
        <v>0</v>
      </c>
      <c r="L2889" s="102">
        <v>1.43</v>
      </c>
      <c r="M2889" s="102">
        <v>1.9</v>
      </c>
      <c r="N2889" s="573">
        <v>0.62</v>
      </c>
      <c r="O2889" s="556" t="str">
        <f>IF(N2889=M2889,"OK","DIF")</f>
        <v>DIF</v>
      </c>
      <c r="P2889" s="573"/>
      <c r="Q2889" s="556"/>
      <c r="R2889" s="582"/>
    </row>
    <row r="2890" ht="23.85" customHeight="1" spans="1:18">
      <c r="A2890" s="556" t="str">
        <f>B2890</f>
        <v>Composição</v>
      </c>
      <c r="B2890" s="557" t="str">
        <f>B2889</f>
        <v>Composição</v>
      </c>
      <c r="C2890" s="100" t="s">
        <v>2893</v>
      </c>
      <c r="D2890" s="99" t="s">
        <v>3941</v>
      </c>
      <c r="E2890" s="100" t="s">
        <v>77</v>
      </c>
      <c r="F2890" s="100" t="s">
        <v>3942</v>
      </c>
      <c r="G2890" s="100" t="s">
        <v>2961</v>
      </c>
      <c r="H2890" s="100"/>
      <c r="I2890" s="101" t="s">
        <v>134</v>
      </c>
      <c r="J2890" s="580">
        <v>0.0133</v>
      </c>
      <c r="K2890" s="580">
        <v>0</v>
      </c>
      <c r="L2890" s="102">
        <v>41.44</v>
      </c>
      <c r="M2890" s="102">
        <v>0.55</v>
      </c>
      <c r="N2890" s="573">
        <v>11.26</v>
      </c>
      <c r="O2890" s="556" t="str">
        <f>IF(N2890=M2890,"OK","DIF")</f>
        <v>DIF</v>
      </c>
      <c r="P2890" s="573"/>
      <c r="Q2890" s="556"/>
      <c r="R2890" s="582"/>
    </row>
    <row r="2891" ht="15" customHeight="1" spans="1:18">
      <c r="A2891" s="556"/>
      <c r="B2891" s="557"/>
      <c r="C2891" s="100" t="s">
        <v>2893</v>
      </c>
      <c r="D2891" s="99" t="s">
        <v>3947</v>
      </c>
      <c r="E2891" s="100" t="s">
        <v>77</v>
      </c>
      <c r="F2891" s="100" t="s">
        <v>3948</v>
      </c>
      <c r="G2891" s="100" t="s">
        <v>2961</v>
      </c>
      <c r="H2891" s="100"/>
      <c r="I2891" s="101" t="s">
        <v>134</v>
      </c>
      <c r="J2891" s="580">
        <v>2.66</v>
      </c>
      <c r="K2891" s="580">
        <v>0</v>
      </c>
      <c r="L2891" s="102">
        <v>0.08</v>
      </c>
      <c r="M2891" s="102">
        <v>0.21</v>
      </c>
      <c r="N2891" s="573"/>
      <c r="O2891" s="556"/>
      <c r="P2891" s="573"/>
      <c r="Q2891" s="556"/>
      <c r="R2891" s="582"/>
    </row>
    <row r="2892" ht="15" customHeight="1" spans="1:18">
      <c r="A2892" s="556"/>
      <c r="B2892" s="557"/>
      <c r="C2892" s="100" t="s">
        <v>2893</v>
      </c>
      <c r="D2892" s="99" t="s">
        <v>3939</v>
      </c>
      <c r="E2892" s="100" t="s">
        <v>77</v>
      </c>
      <c r="F2892" s="100" t="s">
        <v>3940</v>
      </c>
      <c r="G2892" s="100" t="s">
        <v>2961</v>
      </c>
      <c r="H2892" s="100"/>
      <c r="I2892" s="101" t="s">
        <v>134</v>
      </c>
      <c r="J2892" s="580">
        <v>0.666</v>
      </c>
      <c r="K2892" s="580">
        <v>0</v>
      </c>
      <c r="L2892" s="102">
        <v>9.73</v>
      </c>
      <c r="M2892" s="102">
        <v>6.48</v>
      </c>
      <c r="N2892" s="573"/>
      <c r="O2892" s="556"/>
      <c r="P2892" s="573"/>
      <c r="Q2892" s="556"/>
      <c r="R2892" s="582"/>
    </row>
    <row r="2893" ht="15" customHeight="1" spans="1:18">
      <c r="A2893" s="556"/>
      <c r="B2893" s="557" t="str">
        <f>C2892</f>
        <v>Insumo</v>
      </c>
      <c r="C2893" s="100" t="s">
        <v>2893</v>
      </c>
      <c r="D2893" s="99" t="s">
        <v>3943</v>
      </c>
      <c r="E2893" s="100" t="s">
        <v>77</v>
      </c>
      <c r="F2893" s="100" t="s">
        <v>3944</v>
      </c>
      <c r="G2893" s="100" t="s">
        <v>2961</v>
      </c>
      <c r="H2893" s="100"/>
      <c r="I2893" s="101" t="s">
        <v>134</v>
      </c>
      <c r="J2893" s="580">
        <v>2.66</v>
      </c>
      <c r="K2893" s="580">
        <v>0</v>
      </c>
      <c r="L2893" s="102">
        <v>0.08</v>
      </c>
      <c r="M2893" s="102">
        <v>0.21</v>
      </c>
      <c r="N2893" s="573">
        <v>10.8</v>
      </c>
      <c r="O2893" s="556" t="str">
        <f>IF(N2893=M2893,"OK","DIF")</f>
        <v>DIF</v>
      </c>
      <c r="P2893" s="573"/>
      <c r="Q2893" s="556"/>
      <c r="R2893" s="582"/>
    </row>
    <row r="2894" ht="25.5" spans="1:18">
      <c r="A2894" s="556" t="str">
        <f>B2894</f>
        <v>Insumo</v>
      </c>
      <c r="B2894" s="557" t="str">
        <f>B2893</f>
        <v>Insumo</v>
      </c>
      <c r="C2894" s="108"/>
      <c r="D2894" s="108"/>
      <c r="E2894" s="108"/>
      <c r="F2894" s="108"/>
      <c r="G2894" s="108"/>
      <c r="H2894" s="108" t="s">
        <v>2898</v>
      </c>
      <c r="I2894" s="581">
        <v>47.32</v>
      </c>
      <c r="J2894" s="108" t="s">
        <v>2899</v>
      </c>
      <c r="K2894" s="581">
        <v>0</v>
      </c>
      <c r="L2894" s="108" t="s">
        <v>2900</v>
      </c>
      <c r="M2894" s="581">
        <v>47.32</v>
      </c>
      <c r="N2894" s="573">
        <v>1.2</v>
      </c>
      <c r="O2894" s="556" t="str">
        <f>IF(N2894=M2894,"OK","DIF")</f>
        <v>DIF</v>
      </c>
      <c r="P2894" s="573"/>
      <c r="Q2894" s="556"/>
      <c r="R2894" s="582"/>
    </row>
    <row r="2895" ht="26.25" spans="1:18">
      <c r="A2895" s="556" t="str">
        <f>B2895</f>
        <v>Insumo</v>
      </c>
      <c r="B2895" s="557" t="str">
        <f>B2894</f>
        <v>Insumo</v>
      </c>
      <c r="C2895" s="108"/>
      <c r="D2895" s="108"/>
      <c r="E2895" s="108"/>
      <c r="F2895" s="108"/>
      <c r="G2895" s="108"/>
      <c r="H2895" s="108" t="s">
        <v>2901</v>
      </c>
      <c r="I2895" s="581">
        <v>20.3</v>
      </c>
      <c r="J2895" s="114"/>
      <c r="K2895" s="114" t="s">
        <v>2902</v>
      </c>
      <c r="L2895" s="108"/>
      <c r="M2895" s="581">
        <v>99.96</v>
      </c>
      <c r="N2895" s="573">
        <v>6.43</v>
      </c>
      <c r="O2895" s="556" t="str">
        <f>IF(N2895=M2895,"OK","DIF")</f>
        <v>DIF</v>
      </c>
      <c r="P2895" s="573"/>
      <c r="Q2895" s="556"/>
      <c r="R2895" s="582"/>
    </row>
    <row r="2896" ht="15" spans="1:18">
      <c r="A2896" s="556" t="str">
        <f>B2896</f>
        <v>Insumo</v>
      </c>
      <c r="B2896" s="557" t="str">
        <f>B2895</f>
        <v>Insumo</v>
      </c>
      <c r="C2896" s="571"/>
      <c r="D2896" s="571"/>
      <c r="E2896" s="571"/>
      <c r="F2896" s="571"/>
      <c r="G2896" s="571"/>
      <c r="H2896" s="571"/>
      <c r="I2896" s="571"/>
      <c r="J2896" s="571"/>
      <c r="K2896" s="571"/>
      <c r="L2896" s="571"/>
      <c r="M2896" s="571"/>
      <c r="N2896" s="573">
        <v>3.17</v>
      </c>
      <c r="O2896" s="556" t="str">
        <f>IF(N2896=M2896,"OK","DIF")</f>
        <v>DIF</v>
      </c>
      <c r="P2896" s="573"/>
      <c r="Q2896" s="556"/>
      <c r="R2896" s="582"/>
    </row>
    <row r="2897" ht="15" customHeight="1" spans="1:18">
      <c r="A2897" s="556"/>
      <c r="B2897" s="557"/>
      <c r="C2897" s="76" t="s">
        <v>1001</v>
      </c>
      <c r="D2897" s="75" t="s">
        <v>63</v>
      </c>
      <c r="E2897" s="76" t="s">
        <v>64</v>
      </c>
      <c r="F2897" s="76" t="s">
        <v>65</v>
      </c>
      <c r="G2897" s="76" t="s">
        <v>2889</v>
      </c>
      <c r="H2897" s="76"/>
      <c r="I2897" s="77" t="s">
        <v>66</v>
      </c>
      <c r="J2897" s="75" t="s">
        <v>67</v>
      </c>
      <c r="K2897" s="75" t="s">
        <v>2890</v>
      </c>
      <c r="L2897" s="75" t="s">
        <v>68</v>
      </c>
      <c r="M2897" s="75" t="s">
        <v>70</v>
      </c>
      <c r="N2897" s="573"/>
      <c r="O2897" s="556"/>
      <c r="P2897" s="573"/>
      <c r="Q2897" s="556"/>
      <c r="R2897" s="582"/>
    </row>
    <row r="2898" ht="51" spans="1:18">
      <c r="A2898" s="556"/>
      <c r="B2898" s="557"/>
      <c r="C2898" s="569" t="s">
        <v>2891</v>
      </c>
      <c r="D2898" s="570" t="s">
        <v>1002</v>
      </c>
      <c r="E2898" s="569" t="s">
        <v>132</v>
      </c>
      <c r="F2898" s="569" t="s">
        <v>1003</v>
      </c>
      <c r="G2898" s="569">
        <v>15</v>
      </c>
      <c r="H2898" s="569"/>
      <c r="I2898" s="577" t="s">
        <v>204</v>
      </c>
      <c r="J2898" s="578">
        <v>1</v>
      </c>
      <c r="K2898" s="579"/>
      <c r="L2898" s="579">
        <v>82.94</v>
      </c>
      <c r="M2898" s="579">
        <v>82.94</v>
      </c>
      <c r="N2898" s="573"/>
      <c r="O2898" s="556"/>
      <c r="P2898" s="573"/>
      <c r="Q2898" s="556"/>
      <c r="R2898" s="582"/>
    </row>
    <row r="2899" ht="23.85" customHeight="1" spans="1:18">
      <c r="A2899" s="556"/>
      <c r="B2899" s="557" t="str">
        <f>C2898</f>
        <v>Composição</v>
      </c>
      <c r="C2899" s="79" t="s">
        <v>2921</v>
      </c>
      <c r="D2899" s="78" t="s">
        <v>3153</v>
      </c>
      <c r="E2899" s="79" t="s">
        <v>139</v>
      </c>
      <c r="F2899" s="79" t="s">
        <v>3154</v>
      </c>
      <c r="G2899" s="79" t="s">
        <v>2928</v>
      </c>
      <c r="H2899" s="79"/>
      <c r="I2899" s="80" t="s">
        <v>2897</v>
      </c>
      <c r="J2899" s="583">
        <v>1</v>
      </c>
      <c r="K2899" s="583">
        <v>0</v>
      </c>
      <c r="L2899" s="92">
        <v>30.6</v>
      </c>
      <c r="M2899" s="92">
        <v>30.6</v>
      </c>
      <c r="N2899" s="573">
        <v>13.69</v>
      </c>
      <c r="O2899" s="556" t="str">
        <f>IF(N2899=M2899,"OK","DIF")</f>
        <v>DIF</v>
      </c>
      <c r="P2899" s="573"/>
      <c r="Q2899" s="556"/>
      <c r="R2899" s="582"/>
    </row>
    <row r="2900" ht="23.85" customHeight="1" spans="1:18">
      <c r="A2900" s="556" t="str">
        <f>B2900</f>
        <v>Composição</v>
      </c>
      <c r="B2900" s="557" t="str">
        <f>B2899</f>
        <v>Composição</v>
      </c>
      <c r="C2900" s="79" t="s">
        <v>2921</v>
      </c>
      <c r="D2900" s="78" t="s">
        <v>3151</v>
      </c>
      <c r="E2900" s="79" t="s">
        <v>139</v>
      </c>
      <c r="F2900" s="79" t="s">
        <v>3152</v>
      </c>
      <c r="G2900" s="79" t="s">
        <v>2928</v>
      </c>
      <c r="H2900" s="79"/>
      <c r="I2900" s="80" t="s">
        <v>2897</v>
      </c>
      <c r="J2900" s="583">
        <v>1</v>
      </c>
      <c r="K2900" s="583">
        <v>0</v>
      </c>
      <c r="L2900" s="92">
        <v>36.82</v>
      </c>
      <c r="M2900" s="92">
        <v>36.82</v>
      </c>
      <c r="N2900" s="573">
        <v>6.43</v>
      </c>
      <c r="O2900" s="556" t="str">
        <f>IF(N2900=M2900,"OK","DIF")</f>
        <v>DIF</v>
      </c>
      <c r="P2900" s="573"/>
      <c r="Q2900" s="556"/>
      <c r="R2900" s="582"/>
    </row>
    <row r="2901" ht="23.85" customHeight="1" spans="1:18">
      <c r="A2901" s="556" t="str">
        <f>B2901</f>
        <v>Composição</v>
      </c>
      <c r="B2901" s="557" t="str">
        <f>B2900</f>
        <v>Composição</v>
      </c>
      <c r="C2901" s="100" t="s">
        <v>2893</v>
      </c>
      <c r="D2901" s="99" t="s">
        <v>3951</v>
      </c>
      <c r="E2901" s="100" t="s">
        <v>77</v>
      </c>
      <c r="F2901" s="100" t="s">
        <v>3952</v>
      </c>
      <c r="G2901" s="100" t="s">
        <v>2961</v>
      </c>
      <c r="H2901" s="100"/>
      <c r="I2901" s="101" t="s">
        <v>134</v>
      </c>
      <c r="J2901" s="580">
        <v>0.666</v>
      </c>
      <c r="K2901" s="580">
        <v>0</v>
      </c>
      <c r="L2901" s="102">
        <v>9.27</v>
      </c>
      <c r="M2901" s="102">
        <v>6.17</v>
      </c>
      <c r="N2901" s="573">
        <v>1.2</v>
      </c>
      <c r="O2901" s="556" t="str">
        <f>IF(N2901=M2901,"OK","DIF")</f>
        <v>DIF</v>
      </c>
      <c r="P2901" s="573"/>
      <c r="Q2901" s="556"/>
      <c r="R2901" s="582"/>
    </row>
    <row r="2902" ht="15" customHeight="1" spans="1:18">
      <c r="A2902" s="556" t="str">
        <f>B2902</f>
        <v>Composição</v>
      </c>
      <c r="B2902" s="557" t="str">
        <f>B2901</f>
        <v>Composição</v>
      </c>
      <c r="C2902" s="100" t="s">
        <v>2893</v>
      </c>
      <c r="D2902" s="99" t="s">
        <v>3939</v>
      </c>
      <c r="E2902" s="100" t="s">
        <v>77</v>
      </c>
      <c r="F2902" s="100" t="s">
        <v>3940</v>
      </c>
      <c r="G2902" s="100" t="s">
        <v>2961</v>
      </c>
      <c r="H2902" s="100"/>
      <c r="I2902" s="101" t="s">
        <v>134</v>
      </c>
      <c r="J2902" s="580">
        <v>0.666</v>
      </c>
      <c r="K2902" s="580">
        <v>0</v>
      </c>
      <c r="L2902" s="102">
        <v>9.73</v>
      </c>
      <c r="M2902" s="102">
        <v>6.48</v>
      </c>
      <c r="N2902" s="573">
        <v>6.06</v>
      </c>
      <c r="O2902" s="556" t="str">
        <f>IF(N2902=M2902,"OK","DIF")</f>
        <v>DIF</v>
      </c>
      <c r="P2902" s="573"/>
      <c r="Q2902" s="556"/>
      <c r="R2902" s="582"/>
    </row>
    <row r="2903" ht="15" customHeight="1" spans="1:18">
      <c r="A2903" s="556"/>
      <c r="B2903" s="557"/>
      <c r="C2903" s="100" t="s">
        <v>2893</v>
      </c>
      <c r="D2903" s="99" t="s">
        <v>3937</v>
      </c>
      <c r="E2903" s="100" t="s">
        <v>77</v>
      </c>
      <c r="F2903" s="100" t="s">
        <v>3938</v>
      </c>
      <c r="G2903" s="100" t="s">
        <v>2961</v>
      </c>
      <c r="H2903" s="100"/>
      <c r="I2903" s="101" t="s">
        <v>134</v>
      </c>
      <c r="J2903" s="580">
        <v>1.33</v>
      </c>
      <c r="K2903" s="580">
        <v>0</v>
      </c>
      <c r="L2903" s="102">
        <v>1.43</v>
      </c>
      <c r="M2903" s="102">
        <v>1.9</v>
      </c>
      <c r="N2903" s="573"/>
      <c r="O2903" s="556"/>
      <c r="P2903" s="573"/>
      <c r="Q2903" s="556"/>
      <c r="R2903" s="582"/>
    </row>
    <row r="2904" ht="15" customHeight="1" spans="1:18">
      <c r="A2904" s="556"/>
      <c r="B2904" s="557"/>
      <c r="C2904" s="100" t="s">
        <v>2893</v>
      </c>
      <c r="D2904" s="99" t="s">
        <v>3947</v>
      </c>
      <c r="E2904" s="100" t="s">
        <v>77</v>
      </c>
      <c r="F2904" s="100" t="s">
        <v>3948</v>
      </c>
      <c r="G2904" s="100" t="s">
        <v>2961</v>
      </c>
      <c r="H2904" s="100"/>
      <c r="I2904" s="101" t="s">
        <v>134</v>
      </c>
      <c r="J2904" s="580">
        <v>2.66</v>
      </c>
      <c r="K2904" s="580">
        <v>0</v>
      </c>
      <c r="L2904" s="102">
        <v>0.08</v>
      </c>
      <c r="M2904" s="102">
        <v>0.21</v>
      </c>
      <c r="N2904" s="573"/>
      <c r="O2904" s="556"/>
      <c r="P2904" s="573"/>
      <c r="Q2904" s="556"/>
      <c r="R2904" s="582"/>
    </row>
    <row r="2905" ht="23.85" customHeight="1" spans="1:18">
      <c r="A2905" s="556"/>
      <c r="B2905" s="557" t="str">
        <f>C2904</f>
        <v>Insumo</v>
      </c>
      <c r="C2905" s="100" t="s">
        <v>2893</v>
      </c>
      <c r="D2905" s="99" t="s">
        <v>3941</v>
      </c>
      <c r="E2905" s="100" t="s">
        <v>77</v>
      </c>
      <c r="F2905" s="100" t="s">
        <v>3942</v>
      </c>
      <c r="G2905" s="100" t="s">
        <v>2961</v>
      </c>
      <c r="H2905" s="100"/>
      <c r="I2905" s="101" t="s">
        <v>134</v>
      </c>
      <c r="J2905" s="580">
        <v>0.0133</v>
      </c>
      <c r="K2905" s="580">
        <v>0</v>
      </c>
      <c r="L2905" s="102">
        <v>41.44</v>
      </c>
      <c r="M2905" s="102">
        <v>0.55</v>
      </c>
      <c r="N2905" s="573">
        <v>23.18</v>
      </c>
      <c r="O2905" s="556" t="str">
        <f t="shared" ref="O2905:O2910" si="265">IF(N2905=M2905,"OK","DIF")</f>
        <v>DIF</v>
      </c>
      <c r="P2905" s="573"/>
      <c r="Q2905" s="556"/>
      <c r="R2905" s="582"/>
    </row>
    <row r="2906" ht="15" customHeight="1" spans="1:18">
      <c r="A2906" s="556" t="str">
        <f>B2906</f>
        <v>Insumo</v>
      </c>
      <c r="B2906" s="557" t="str">
        <f>B2905</f>
        <v>Insumo</v>
      </c>
      <c r="C2906" s="100" t="s">
        <v>2893</v>
      </c>
      <c r="D2906" s="99" t="s">
        <v>3943</v>
      </c>
      <c r="E2906" s="100" t="s">
        <v>77</v>
      </c>
      <c r="F2906" s="100" t="s">
        <v>3944</v>
      </c>
      <c r="G2906" s="100" t="s">
        <v>2961</v>
      </c>
      <c r="H2906" s="100"/>
      <c r="I2906" s="101" t="s">
        <v>134</v>
      </c>
      <c r="J2906" s="580">
        <v>2.66</v>
      </c>
      <c r="K2906" s="580">
        <v>0</v>
      </c>
      <c r="L2906" s="102">
        <v>0.08</v>
      </c>
      <c r="M2906" s="102">
        <v>0.21</v>
      </c>
      <c r="N2906" s="573">
        <v>9.92</v>
      </c>
      <c r="O2906" s="556" t="str">
        <f t="shared" si="265"/>
        <v>DIF</v>
      </c>
      <c r="P2906" s="573"/>
      <c r="Q2906" s="556"/>
      <c r="R2906" s="582"/>
    </row>
    <row r="2907" ht="25.5" spans="1:18">
      <c r="A2907" s="556" t="str">
        <f>B2907</f>
        <v>Insumo</v>
      </c>
      <c r="B2907" s="557" t="str">
        <f>B2906</f>
        <v>Insumo</v>
      </c>
      <c r="C2907" s="108"/>
      <c r="D2907" s="108"/>
      <c r="E2907" s="108"/>
      <c r="F2907" s="108"/>
      <c r="G2907" s="108"/>
      <c r="H2907" s="108" t="s">
        <v>2898</v>
      </c>
      <c r="I2907" s="581">
        <v>47.32</v>
      </c>
      <c r="J2907" s="108" t="s">
        <v>2899</v>
      </c>
      <c r="K2907" s="581">
        <v>0</v>
      </c>
      <c r="L2907" s="108" t="s">
        <v>2900</v>
      </c>
      <c r="M2907" s="581">
        <v>47.32</v>
      </c>
      <c r="N2907" s="573">
        <v>7.78</v>
      </c>
      <c r="O2907" s="556" t="str">
        <f t="shared" si="265"/>
        <v>DIF</v>
      </c>
      <c r="P2907" s="573"/>
      <c r="Q2907" s="556"/>
      <c r="R2907" s="582"/>
    </row>
    <row r="2908" ht="26.25" spans="1:18">
      <c r="A2908" s="556" t="str">
        <f>B2908</f>
        <v>Insumo</v>
      </c>
      <c r="B2908" s="557" t="str">
        <f>B2907</f>
        <v>Insumo</v>
      </c>
      <c r="C2908" s="108"/>
      <c r="D2908" s="108"/>
      <c r="E2908" s="108"/>
      <c r="F2908" s="108"/>
      <c r="G2908" s="108"/>
      <c r="H2908" s="108" t="s">
        <v>2901</v>
      </c>
      <c r="I2908" s="581">
        <v>21.14</v>
      </c>
      <c r="J2908" s="114"/>
      <c r="K2908" s="114" t="s">
        <v>2902</v>
      </c>
      <c r="L2908" s="108"/>
      <c r="M2908" s="581">
        <v>104.08</v>
      </c>
      <c r="N2908" s="573">
        <v>0.42</v>
      </c>
      <c r="O2908" s="556" t="str">
        <f t="shared" si="265"/>
        <v>DIF</v>
      </c>
      <c r="P2908" s="573"/>
      <c r="Q2908" s="556"/>
      <c r="R2908" s="582"/>
    </row>
    <row r="2909" ht="15" spans="1:18">
      <c r="A2909" s="556" t="str">
        <f>B2909</f>
        <v>Insumo</v>
      </c>
      <c r="B2909" s="557" t="str">
        <f>B2908</f>
        <v>Insumo</v>
      </c>
      <c r="C2909" s="571"/>
      <c r="D2909" s="571"/>
      <c r="E2909" s="571"/>
      <c r="F2909" s="571"/>
      <c r="G2909" s="571"/>
      <c r="H2909" s="571"/>
      <c r="I2909" s="571"/>
      <c r="J2909" s="571"/>
      <c r="K2909" s="571"/>
      <c r="L2909" s="571"/>
      <c r="M2909" s="571"/>
      <c r="N2909" s="573">
        <v>1.66</v>
      </c>
      <c r="O2909" s="556" t="str">
        <f t="shared" si="265"/>
        <v>DIF</v>
      </c>
      <c r="P2909" s="573"/>
      <c r="Q2909" s="556"/>
      <c r="R2909" s="582"/>
    </row>
    <row r="2910" ht="15" customHeight="1" spans="1:18">
      <c r="A2910" s="556" t="str">
        <f>B2910</f>
        <v>Insumo</v>
      </c>
      <c r="B2910" s="557" t="str">
        <f>B2909</f>
        <v>Insumo</v>
      </c>
      <c r="C2910" s="76" t="s">
        <v>1004</v>
      </c>
      <c r="D2910" s="75" t="s">
        <v>63</v>
      </c>
      <c r="E2910" s="76" t="s">
        <v>64</v>
      </c>
      <c r="F2910" s="76" t="s">
        <v>65</v>
      </c>
      <c r="G2910" s="76" t="s">
        <v>2889</v>
      </c>
      <c r="H2910" s="76"/>
      <c r="I2910" s="77" t="s">
        <v>66</v>
      </c>
      <c r="J2910" s="75" t="s">
        <v>67</v>
      </c>
      <c r="K2910" s="75" t="s">
        <v>2890</v>
      </c>
      <c r="L2910" s="75" t="s">
        <v>68</v>
      </c>
      <c r="M2910" s="75" t="s">
        <v>70</v>
      </c>
      <c r="N2910" s="573">
        <v>3.4</v>
      </c>
      <c r="O2910" s="556" t="str">
        <f t="shared" si="265"/>
        <v>DIF</v>
      </c>
      <c r="P2910" s="573"/>
      <c r="Q2910" s="556"/>
      <c r="R2910" s="582"/>
    </row>
    <row r="2911" ht="23.85" customHeight="1" spans="1:18">
      <c r="A2911" s="556"/>
      <c r="B2911" s="557"/>
      <c r="C2911" s="569" t="s">
        <v>2891</v>
      </c>
      <c r="D2911" s="570" t="s">
        <v>1005</v>
      </c>
      <c r="E2911" s="569" t="s">
        <v>149</v>
      </c>
      <c r="F2911" s="569" t="s">
        <v>1006</v>
      </c>
      <c r="G2911" s="569" t="s">
        <v>3953</v>
      </c>
      <c r="H2911" s="569"/>
      <c r="I2911" s="577" t="s">
        <v>204</v>
      </c>
      <c r="J2911" s="578">
        <v>1</v>
      </c>
      <c r="K2911" s="579"/>
      <c r="L2911" s="579">
        <v>135.82</v>
      </c>
      <c r="M2911" s="579">
        <v>135.82</v>
      </c>
      <c r="N2911" s="573"/>
      <c r="O2911" s="556"/>
      <c r="P2911" s="573"/>
      <c r="Q2911" s="556"/>
      <c r="R2911" s="582"/>
    </row>
    <row r="2912" ht="15" customHeight="1" spans="1:18">
      <c r="A2912" s="556"/>
      <c r="B2912" s="557"/>
      <c r="C2912" s="100" t="s">
        <v>2893</v>
      </c>
      <c r="D2912" s="99" t="s">
        <v>2986</v>
      </c>
      <c r="E2912" s="100" t="s">
        <v>149</v>
      </c>
      <c r="F2912" s="100" t="s">
        <v>2987</v>
      </c>
      <c r="G2912" s="100" t="s">
        <v>2896</v>
      </c>
      <c r="H2912" s="100"/>
      <c r="I2912" s="101" t="s">
        <v>2897</v>
      </c>
      <c r="J2912" s="580">
        <v>0.3</v>
      </c>
      <c r="K2912" s="580">
        <v>0</v>
      </c>
      <c r="L2912" s="102">
        <v>26.928256</v>
      </c>
      <c r="M2912" s="102">
        <v>8.07</v>
      </c>
      <c r="N2912" s="573"/>
      <c r="O2912" s="556"/>
      <c r="P2912" s="573"/>
      <c r="Q2912" s="556"/>
      <c r="R2912" s="582"/>
    </row>
    <row r="2913" ht="23.85" customHeight="1" spans="1:18">
      <c r="A2913" s="556"/>
      <c r="B2913" s="557" t="str">
        <f>C2912</f>
        <v>Insumo</v>
      </c>
      <c r="C2913" s="100" t="s">
        <v>2893</v>
      </c>
      <c r="D2913" s="99" t="s">
        <v>3954</v>
      </c>
      <c r="E2913" s="100" t="s">
        <v>149</v>
      </c>
      <c r="F2913" s="100" t="s">
        <v>3955</v>
      </c>
      <c r="G2913" s="100" t="s">
        <v>2961</v>
      </c>
      <c r="H2913" s="100"/>
      <c r="I2913" s="101" t="s">
        <v>204</v>
      </c>
      <c r="J2913" s="580">
        <v>1.1</v>
      </c>
      <c r="K2913" s="580">
        <v>0</v>
      </c>
      <c r="L2913" s="102">
        <v>110.55</v>
      </c>
      <c r="M2913" s="102">
        <v>121.6</v>
      </c>
      <c r="N2913" s="573">
        <v>0.06</v>
      </c>
      <c r="O2913" s="556" t="str">
        <f>IF(N2913=M2913,"OK","DIF")</f>
        <v>DIF</v>
      </c>
      <c r="P2913" s="573"/>
      <c r="Q2913" s="556"/>
      <c r="R2913" s="582"/>
    </row>
    <row r="2914" ht="15" customHeight="1" spans="1:18">
      <c r="A2914" s="556"/>
      <c r="B2914" s="557"/>
      <c r="C2914" s="100" t="s">
        <v>2893</v>
      </c>
      <c r="D2914" s="99" t="s">
        <v>2976</v>
      </c>
      <c r="E2914" s="100" t="s">
        <v>149</v>
      </c>
      <c r="F2914" s="100" t="s">
        <v>2977</v>
      </c>
      <c r="G2914" s="100" t="s">
        <v>2896</v>
      </c>
      <c r="H2914" s="100"/>
      <c r="I2914" s="101" t="s">
        <v>2897</v>
      </c>
      <c r="J2914" s="580">
        <v>0.3</v>
      </c>
      <c r="K2914" s="580">
        <v>0</v>
      </c>
      <c r="L2914" s="102">
        <v>20.515752</v>
      </c>
      <c r="M2914" s="102">
        <v>6.15</v>
      </c>
      <c r="N2914" s="573"/>
      <c r="O2914" s="556"/>
      <c r="P2914" s="573"/>
      <c r="Q2914" s="556"/>
      <c r="R2914" s="582"/>
    </row>
    <row r="2915" ht="25.5" spans="1:18">
      <c r="A2915" s="556"/>
      <c r="B2915" s="557"/>
      <c r="C2915" s="108"/>
      <c r="D2915" s="108"/>
      <c r="E2915" s="108"/>
      <c r="F2915" s="108"/>
      <c r="G2915" s="108"/>
      <c r="H2915" s="108" t="s">
        <v>2898</v>
      </c>
      <c r="I2915" s="581">
        <v>14.22</v>
      </c>
      <c r="J2915" s="108" t="s">
        <v>2899</v>
      </c>
      <c r="K2915" s="581">
        <v>0</v>
      </c>
      <c r="L2915" s="108" t="s">
        <v>2900</v>
      </c>
      <c r="M2915" s="581">
        <v>14.22</v>
      </c>
      <c r="N2915" s="573"/>
      <c r="O2915" s="556"/>
      <c r="P2915" s="573"/>
      <c r="Q2915" s="556"/>
      <c r="R2915" s="582"/>
    </row>
    <row r="2916" ht="26.25" spans="1:18">
      <c r="A2916" s="556"/>
      <c r="B2916" s="557">
        <f>C2915</f>
        <v>0</v>
      </c>
      <c r="C2916" s="108"/>
      <c r="D2916" s="108"/>
      <c r="E2916" s="108"/>
      <c r="F2916" s="108"/>
      <c r="G2916" s="108"/>
      <c r="H2916" s="108" t="s">
        <v>2901</v>
      </c>
      <c r="I2916" s="581">
        <v>34.62</v>
      </c>
      <c r="J2916" s="114"/>
      <c r="K2916" s="114" t="s">
        <v>2902</v>
      </c>
      <c r="L2916" s="108"/>
      <c r="M2916" s="581">
        <v>170.44</v>
      </c>
      <c r="N2916" s="573">
        <v>0.12</v>
      </c>
      <c r="O2916" s="556" t="str">
        <f>IF(N2916=M2916,"OK","DIF")</f>
        <v>DIF</v>
      </c>
      <c r="P2916" s="573"/>
      <c r="Q2916" s="556"/>
      <c r="R2916" s="582"/>
    </row>
    <row r="2917" ht="15" spans="1:18">
      <c r="A2917" s="556">
        <f>B2917</f>
        <v>0</v>
      </c>
      <c r="B2917" s="557">
        <f>B2916</f>
        <v>0</v>
      </c>
      <c r="C2917" s="571"/>
      <c r="D2917" s="571"/>
      <c r="E2917" s="571"/>
      <c r="F2917" s="571"/>
      <c r="G2917" s="571"/>
      <c r="H2917" s="571"/>
      <c r="I2917" s="571"/>
      <c r="J2917" s="571"/>
      <c r="K2917" s="571"/>
      <c r="L2917" s="571"/>
      <c r="M2917" s="571"/>
      <c r="N2917" s="573">
        <v>0.12</v>
      </c>
      <c r="O2917" s="556" t="str">
        <f>IF(N2917=M2917,"OK","DIF")</f>
        <v>DIF</v>
      </c>
      <c r="P2917" s="573"/>
      <c r="Q2917" s="556"/>
      <c r="R2917" s="582"/>
    </row>
    <row r="2918" ht="15" customHeight="1" spans="1:18">
      <c r="A2918" s="556"/>
      <c r="B2918" s="557"/>
      <c r="C2918" s="76" t="s">
        <v>1007</v>
      </c>
      <c r="D2918" s="75" t="s">
        <v>63</v>
      </c>
      <c r="E2918" s="76" t="s">
        <v>64</v>
      </c>
      <c r="F2918" s="76" t="s">
        <v>65</v>
      </c>
      <c r="G2918" s="76" t="s">
        <v>2889</v>
      </c>
      <c r="H2918" s="76"/>
      <c r="I2918" s="77" t="s">
        <v>66</v>
      </c>
      <c r="J2918" s="75" t="s">
        <v>67</v>
      </c>
      <c r="K2918" s="75" t="s">
        <v>2890</v>
      </c>
      <c r="L2918" s="75" t="s">
        <v>68</v>
      </c>
      <c r="M2918" s="75" t="s">
        <v>70</v>
      </c>
      <c r="N2918" s="573"/>
      <c r="O2918" s="556"/>
      <c r="P2918" s="573"/>
      <c r="Q2918" s="556"/>
      <c r="R2918" s="582"/>
    </row>
    <row r="2919" ht="23.85" customHeight="1" spans="1:18">
      <c r="A2919" s="556"/>
      <c r="B2919" s="557"/>
      <c r="C2919" s="569" t="s">
        <v>2891</v>
      </c>
      <c r="D2919" s="570" t="s">
        <v>1008</v>
      </c>
      <c r="E2919" s="569" t="s">
        <v>149</v>
      </c>
      <c r="F2919" s="569" t="s">
        <v>1009</v>
      </c>
      <c r="G2919" s="569" t="s">
        <v>3953</v>
      </c>
      <c r="H2919" s="569"/>
      <c r="I2919" s="577" t="s">
        <v>204</v>
      </c>
      <c r="J2919" s="578">
        <v>1</v>
      </c>
      <c r="K2919" s="579"/>
      <c r="L2919" s="579">
        <v>142.61</v>
      </c>
      <c r="M2919" s="579">
        <v>142.61</v>
      </c>
      <c r="N2919" s="573"/>
      <c r="O2919" s="556"/>
      <c r="P2919" s="573"/>
      <c r="Q2919" s="556"/>
      <c r="R2919" s="582"/>
    </row>
    <row r="2920" ht="23.85" customHeight="1" spans="1:18">
      <c r="A2920" s="556"/>
      <c r="B2920" s="557" t="str">
        <f>C2919</f>
        <v>Composição</v>
      </c>
      <c r="C2920" s="100" t="s">
        <v>2893</v>
      </c>
      <c r="D2920" s="99" t="s">
        <v>3956</v>
      </c>
      <c r="E2920" s="100" t="s">
        <v>149</v>
      </c>
      <c r="F2920" s="100" t="s">
        <v>3957</v>
      </c>
      <c r="G2920" s="100" t="s">
        <v>2961</v>
      </c>
      <c r="H2920" s="100"/>
      <c r="I2920" s="101" t="s">
        <v>204</v>
      </c>
      <c r="J2920" s="580">
        <v>1.1</v>
      </c>
      <c r="K2920" s="580">
        <v>0</v>
      </c>
      <c r="L2920" s="102">
        <v>116.72</v>
      </c>
      <c r="M2920" s="102">
        <v>128.39</v>
      </c>
      <c r="N2920" s="573">
        <v>2.92</v>
      </c>
      <c r="O2920" s="556" t="str">
        <f>IF(N2920=M2920,"OK","DIF")</f>
        <v>DIF</v>
      </c>
      <c r="P2920" s="573"/>
      <c r="Q2920" s="556"/>
      <c r="R2920" s="582"/>
    </row>
    <row r="2921" ht="15" customHeight="1" spans="1:18">
      <c r="A2921" s="556" t="str">
        <f>B2921</f>
        <v>Composição</v>
      </c>
      <c r="B2921" s="557" t="str">
        <f>B2920</f>
        <v>Composição</v>
      </c>
      <c r="C2921" s="100" t="s">
        <v>2893</v>
      </c>
      <c r="D2921" s="99" t="s">
        <v>2976</v>
      </c>
      <c r="E2921" s="100" t="s">
        <v>149</v>
      </c>
      <c r="F2921" s="100" t="s">
        <v>2977</v>
      </c>
      <c r="G2921" s="100" t="s">
        <v>2896</v>
      </c>
      <c r="H2921" s="100"/>
      <c r="I2921" s="101" t="s">
        <v>2897</v>
      </c>
      <c r="J2921" s="580">
        <v>0.3</v>
      </c>
      <c r="K2921" s="580">
        <v>0</v>
      </c>
      <c r="L2921" s="102">
        <v>20.515752</v>
      </c>
      <c r="M2921" s="102">
        <v>6.15</v>
      </c>
      <c r="N2921" s="573">
        <v>0.27</v>
      </c>
      <c r="O2921" s="556" t="str">
        <f>IF(N2921=M2921,"OK","DIF")</f>
        <v>DIF</v>
      </c>
      <c r="P2921" s="573"/>
      <c r="Q2921" s="556"/>
      <c r="R2921" s="582"/>
    </row>
    <row r="2922" ht="15" customHeight="1" spans="1:18">
      <c r="A2922" s="556" t="str">
        <f>B2922</f>
        <v>Composição</v>
      </c>
      <c r="B2922" s="557" t="str">
        <f>B2921</f>
        <v>Composição</v>
      </c>
      <c r="C2922" s="100" t="s">
        <v>2893</v>
      </c>
      <c r="D2922" s="99" t="s">
        <v>2986</v>
      </c>
      <c r="E2922" s="100" t="s">
        <v>149</v>
      </c>
      <c r="F2922" s="100" t="s">
        <v>2987</v>
      </c>
      <c r="G2922" s="100" t="s">
        <v>2896</v>
      </c>
      <c r="H2922" s="100"/>
      <c r="I2922" s="101" t="s">
        <v>2897</v>
      </c>
      <c r="J2922" s="580">
        <v>0.3</v>
      </c>
      <c r="K2922" s="580">
        <v>0</v>
      </c>
      <c r="L2922" s="102">
        <v>26.928256</v>
      </c>
      <c r="M2922" s="102">
        <v>8.07</v>
      </c>
      <c r="N2922" s="573">
        <v>0.33</v>
      </c>
      <c r="O2922" s="556" t="str">
        <f>IF(N2922=M2922,"OK","DIF")</f>
        <v>DIF</v>
      </c>
      <c r="P2922" s="573"/>
      <c r="Q2922" s="556"/>
      <c r="R2922" s="582"/>
    </row>
    <row r="2923" ht="25.5" spans="1:18">
      <c r="A2923" s="556" t="str">
        <f>B2923</f>
        <v>Composição</v>
      </c>
      <c r="B2923" s="557" t="str">
        <f>B2922</f>
        <v>Composição</v>
      </c>
      <c r="C2923" s="108"/>
      <c r="D2923" s="108"/>
      <c r="E2923" s="108"/>
      <c r="F2923" s="108"/>
      <c r="G2923" s="108"/>
      <c r="H2923" s="108" t="s">
        <v>2898</v>
      </c>
      <c r="I2923" s="581">
        <v>14.22</v>
      </c>
      <c r="J2923" s="108" t="s">
        <v>2899</v>
      </c>
      <c r="K2923" s="581">
        <v>0</v>
      </c>
      <c r="L2923" s="108" t="s">
        <v>2900</v>
      </c>
      <c r="M2923" s="581">
        <v>14.22</v>
      </c>
      <c r="N2923" s="573">
        <v>2.32</v>
      </c>
      <c r="O2923" s="556" t="str">
        <f>IF(N2923=M2923,"OK","DIF")</f>
        <v>DIF</v>
      </c>
      <c r="P2923" s="573"/>
      <c r="Q2923" s="556"/>
      <c r="R2923" s="582"/>
    </row>
    <row r="2924" ht="26.25" spans="1:18">
      <c r="A2924" s="556"/>
      <c r="B2924" s="557"/>
      <c r="C2924" s="108"/>
      <c r="D2924" s="108"/>
      <c r="E2924" s="108"/>
      <c r="F2924" s="108"/>
      <c r="G2924" s="108"/>
      <c r="H2924" s="108" t="s">
        <v>2901</v>
      </c>
      <c r="I2924" s="581">
        <v>36.35</v>
      </c>
      <c r="J2924" s="114"/>
      <c r="K2924" s="114" t="s">
        <v>2902</v>
      </c>
      <c r="L2924" s="108"/>
      <c r="M2924" s="581">
        <v>178.96</v>
      </c>
      <c r="N2924" s="573"/>
      <c r="O2924" s="556"/>
      <c r="P2924" s="573"/>
      <c r="Q2924" s="556"/>
      <c r="R2924" s="582"/>
    </row>
    <row r="2925" ht="15" spans="1:18">
      <c r="A2925" s="556"/>
      <c r="B2925" s="557"/>
      <c r="C2925" s="571"/>
      <c r="D2925" s="571"/>
      <c r="E2925" s="571"/>
      <c r="F2925" s="571"/>
      <c r="G2925" s="571"/>
      <c r="H2925" s="571"/>
      <c r="I2925" s="571"/>
      <c r="J2925" s="571"/>
      <c r="K2925" s="571"/>
      <c r="L2925" s="571"/>
      <c r="M2925" s="571"/>
      <c r="N2925" s="573"/>
      <c r="O2925" s="556"/>
      <c r="P2925" s="573"/>
      <c r="Q2925" s="556"/>
      <c r="R2925" s="582"/>
    </row>
    <row r="2926" ht="15" customHeight="1" spans="1:18">
      <c r="A2926" s="556"/>
      <c r="B2926" s="557">
        <f>C2925</f>
        <v>0</v>
      </c>
      <c r="C2926" s="76" t="s">
        <v>1010</v>
      </c>
      <c r="D2926" s="75" t="s">
        <v>63</v>
      </c>
      <c r="E2926" s="76" t="s">
        <v>64</v>
      </c>
      <c r="F2926" s="76" t="s">
        <v>65</v>
      </c>
      <c r="G2926" s="76" t="s">
        <v>2889</v>
      </c>
      <c r="H2926" s="76"/>
      <c r="I2926" s="77" t="s">
        <v>66</v>
      </c>
      <c r="J2926" s="75" t="s">
        <v>67</v>
      </c>
      <c r="K2926" s="75" t="s">
        <v>2890</v>
      </c>
      <c r="L2926" s="75" t="s">
        <v>68</v>
      </c>
      <c r="M2926" s="75" t="s">
        <v>70</v>
      </c>
      <c r="N2926" s="573">
        <v>5.95</v>
      </c>
      <c r="O2926" s="556" t="str">
        <f>IF(N2926=M2926,"OK","DIF")</f>
        <v>DIF</v>
      </c>
      <c r="P2926" s="573"/>
      <c r="Q2926" s="556"/>
      <c r="R2926" s="582"/>
    </row>
    <row r="2927" ht="23.85" customHeight="1" spans="1:18">
      <c r="A2927" s="556">
        <f>B2927</f>
        <v>0</v>
      </c>
      <c r="B2927" s="557">
        <f>B2926</f>
        <v>0</v>
      </c>
      <c r="C2927" s="569" t="s">
        <v>2891</v>
      </c>
      <c r="D2927" s="570" t="s">
        <v>1011</v>
      </c>
      <c r="E2927" s="569" t="s">
        <v>149</v>
      </c>
      <c r="F2927" s="569" t="s">
        <v>1012</v>
      </c>
      <c r="G2927" s="569" t="s">
        <v>3953</v>
      </c>
      <c r="H2927" s="569"/>
      <c r="I2927" s="577" t="s">
        <v>204</v>
      </c>
      <c r="J2927" s="578">
        <v>1</v>
      </c>
      <c r="K2927" s="579"/>
      <c r="L2927" s="579">
        <v>162.43</v>
      </c>
      <c r="M2927" s="579">
        <v>162.43</v>
      </c>
      <c r="N2927" s="573">
        <v>1.09</v>
      </c>
      <c r="O2927" s="556" t="str">
        <f>IF(N2927=M2927,"OK","DIF")</f>
        <v>DIF</v>
      </c>
      <c r="P2927" s="573"/>
      <c r="Q2927" s="556"/>
      <c r="R2927" s="582"/>
    </row>
    <row r="2928" ht="23.85" customHeight="1" spans="1:18">
      <c r="A2928" s="556">
        <f>B2928</f>
        <v>0</v>
      </c>
      <c r="B2928" s="557">
        <f>B2927</f>
        <v>0</v>
      </c>
      <c r="C2928" s="100" t="s">
        <v>2893</v>
      </c>
      <c r="D2928" s="99" t="s">
        <v>3958</v>
      </c>
      <c r="E2928" s="100" t="s">
        <v>149</v>
      </c>
      <c r="F2928" s="100" t="s">
        <v>3959</v>
      </c>
      <c r="G2928" s="100" t="s">
        <v>2961</v>
      </c>
      <c r="H2928" s="100"/>
      <c r="I2928" s="101" t="s">
        <v>204</v>
      </c>
      <c r="J2928" s="580">
        <v>1.1</v>
      </c>
      <c r="K2928" s="580">
        <v>0</v>
      </c>
      <c r="L2928" s="102">
        <v>134.74</v>
      </c>
      <c r="M2928" s="102">
        <v>148.21</v>
      </c>
      <c r="N2928" s="573">
        <v>1.32</v>
      </c>
      <c r="O2928" s="556" t="str">
        <f>IF(N2928=M2928,"OK","DIF")</f>
        <v>DIF</v>
      </c>
      <c r="P2928" s="573"/>
      <c r="Q2928" s="556"/>
      <c r="R2928" s="582"/>
    </row>
    <row r="2929" ht="15" customHeight="1" spans="1:18">
      <c r="A2929" s="556">
        <f>B2929</f>
        <v>0</v>
      </c>
      <c r="B2929" s="557">
        <f>B2928</f>
        <v>0</v>
      </c>
      <c r="C2929" s="100" t="s">
        <v>2893</v>
      </c>
      <c r="D2929" s="99" t="s">
        <v>2976</v>
      </c>
      <c r="E2929" s="100" t="s">
        <v>149</v>
      </c>
      <c r="F2929" s="100" t="s">
        <v>2977</v>
      </c>
      <c r="G2929" s="100" t="s">
        <v>2896</v>
      </c>
      <c r="H2929" s="100"/>
      <c r="I2929" s="101" t="s">
        <v>2897</v>
      </c>
      <c r="J2929" s="580">
        <v>0.3</v>
      </c>
      <c r="K2929" s="580">
        <v>0</v>
      </c>
      <c r="L2929" s="102">
        <v>20.515752</v>
      </c>
      <c r="M2929" s="102">
        <v>6.15</v>
      </c>
      <c r="N2929" s="573">
        <v>3.54</v>
      </c>
      <c r="O2929" s="556" t="str">
        <f>IF(N2929=M2929,"OK","DIF")</f>
        <v>DIF</v>
      </c>
      <c r="P2929" s="573"/>
      <c r="Q2929" s="556"/>
      <c r="R2929" s="582"/>
    </row>
    <row r="2930" ht="15" customHeight="1" spans="1:18">
      <c r="A2930" s="556"/>
      <c r="B2930" s="557"/>
      <c r="C2930" s="100" t="s">
        <v>2893</v>
      </c>
      <c r="D2930" s="99" t="s">
        <v>2986</v>
      </c>
      <c r="E2930" s="100" t="s">
        <v>149</v>
      </c>
      <c r="F2930" s="100" t="s">
        <v>2987</v>
      </c>
      <c r="G2930" s="100" t="s">
        <v>2896</v>
      </c>
      <c r="H2930" s="100"/>
      <c r="I2930" s="101" t="s">
        <v>2897</v>
      </c>
      <c r="J2930" s="580">
        <v>0.3</v>
      </c>
      <c r="K2930" s="580">
        <v>0</v>
      </c>
      <c r="L2930" s="102">
        <v>26.928256</v>
      </c>
      <c r="M2930" s="102">
        <v>8.07</v>
      </c>
      <c r="N2930" s="573"/>
      <c r="O2930" s="556"/>
      <c r="P2930" s="573"/>
      <c r="Q2930" s="556"/>
      <c r="R2930" s="582"/>
    </row>
    <row r="2931" ht="25.5" spans="1:18">
      <c r="A2931" s="556"/>
      <c r="B2931" s="557"/>
      <c r="C2931" s="108"/>
      <c r="D2931" s="108"/>
      <c r="E2931" s="108"/>
      <c r="F2931" s="108"/>
      <c r="G2931" s="108"/>
      <c r="H2931" s="108" t="s">
        <v>2898</v>
      </c>
      <c r="I2931" s="581">
        <v>14.22</v>
      </c>
      <c r="J2931" s="108" t="s">
        <v>2899</v>
      </c>
      <c r="K2931" s="581">
        <v>0</v>
      </c>
      <c r="L2931" s="108" t="s">
        <v>2900</v>
      </c>
      <c r="M2931" s="581">
        <v>14.22</v>
      </c>
      <c r="N2931" s="573"/>
      <c r="O2931" s="556"/>
      <c r="P2931" s="573"/>
      <c r="Q2931" s="556"/>
      <c r="R2931" s="582"/>
    </row>
    <row r="2932" ht="26.25" spans="1:18">
      <c r="A2932" s="556"/>
      <c r="B2932" s="557">
        <f>C2931</f>
        <v>0</v>
      </c>
      <c r="C2932" s="108"/>
      <c r="D2932" s="108"/>
      <c r="E2932" s="108"/>
      <c r="F2932" s="108"/>
      <c r="G2932" s="108"/>
      <c r="H2932" s="108" t="s">
        <v>2901</v>
      </c>
      <c r="I2932" s="581">
        <v>41.4</v>
      </c>
      <c r="J2932" s="114"/>
      <c r="K2932" s="114" t="s">
        <v>2902</v>
      </c>
      <c r="L2932" s="108"/>
      <c r="M2932" s="581">
        <v>203.83</v>
      </c>
      <c r="N2932" s="573">
        <v>16.52</v>
      </c>
      <c r="O2932" s="556" t="str">
        <f>IF(N2932=M2932,"OK","DIF")</f>
        <v>DIF</v>
      </c>
      <c r="P2932" s="573"/>
      <c r="Q2932" s="556"/>
      <c r="R2932" s="582"/>
    </row>
    <row r="2933" ht="15" spans="1:18">
      <c r="A2933" s="556">
        <f>B2933</f>
        <v>0</v>
      </c>
      <c r="B2933" s="557">
        <f>B2932</f>
        <v>0</v>
      </c>
      <c r="C2933" s="571"/>
      <c r="D2933" s="571"/>
      <c r="E2933" s="571"/>
      <c r="F2933" s="571"/>
      <c r="G2933" s="571"/>
      <c r="H2933" s="571"/>
      <c r="I2933" s="571"/>
      <c r="J2933" s="571"/>
      <c r="K2933" s="571"/>
      <c r="L2933" s="571"/>
      <c r="M2933" s="571"/>
      <c r="N2933" s="573">
        <v>3.12</v>
      </c>
      <c r="O2933" s="556" t="str">
        <f>IF(N2933=M2933,"OK","DIF")</f>
        <v>DIF</v>
      </c>
      <c r="P2933" s="573"/>
      <c r="Q2933" s="556"/>
      <c r="R2933" s="582"/>
    </row>
    <row r="2934" ht="15" customHeight="1" spans="1:18">
      <c r="A2934" s="556">
        <f>B2934</f>
        <v>0</v>
      </c>
      <c r="B2934" s="557">
        <f>B2933</f>
        <v>0</v>
      </c>
      <c r="C2934" s="76" t="s">
        <v>1013</v>
      </c>
      <c r="D2934" s="75" t="s">
        <v>63</v>
      </c>
      <c r="E2934" s="76" t="s">
        <v>64</v>
      </c>
      <c r="F2934" s="76" t="s">
        <v>65</v>
      </c>
      <c r="G2934" s="76" t="s">
        <v>2889</v>
      </c>
      <c r="H2934" s="76"/>
      <c r="I2934" s="77" t="s">
        <v>66</v>
      </c>
      <c r="J2934" s="75" t="s">
        <v>67</v>
      </c>
      <c r="K2934" s="75" t="s">
        <v>2890</v>
      </c>
      <c r="L2934" s="75" t="s">
        <v>68</v>
      </c>
      <c r="M2934" s="75" t="s">
        <v>70</v>
      </c>
      <c r="N2934" s="573">
        <v>2.57</v>
      </c>
      <c r="O2934" s="556" t="str">
        <f>IF(N2934=M2934,"OK","DIF")</f>
        <v>DIF</v>
      </c>
      <c r="P2934" s="573"/>
      <c r="Q2934" s="556"/>
      <c r="R2934" s="582"/>
    </row>
    <row r="2935" ht="38.25" spans="1:18">
      <c r="A2935" s="556">
        <f>B2935</f>
        <v>0</v>
      </c>
      <c r="B2935" s="557">
        <f>B2934</f>
        <v>0</v>
      </c>
      <c r="C2935" s="569" t="s">
        <v>2891</v>
      </c>
      <c r="D2935" s="570" t="s">
        <v>1014</v>
      </c>
      <c r="E2935" s="569" t="s">
        <v>132</v>
      </c>
      <c r="F2935" s="569" t="s">
        <v>1015</v>
      </c>
      <c r="G2935" s="569">
        <v>15</v>
      </c>
      <c r="H2935" s="569"/>
      <c r="I2935" s="577" t="s">
        <v>134</v>
      </c>
      <c r="J2935" s="578">
        <v>1</v>
      </c>
      <c r="K2935" s="579"/>
      <c r="L2935" s="579">
        <v>121.99</v>
      </c>
      <c r="M2935" s="579">
        <v>121.99</v>
      </c>
      <c r="N2935" s="573">
        <v>10.83</v>
      </c>
      <c r="O2935" s="556" t="str">
        <f>IF(N2935=M2935,"OK","DIF")</f>
        <v>DIF</v>
      </c>
      <c r="P2935" s="573"/>
      <c r="Q2935" s="556"/>
      <c r="R2935" s="582"/>
    </row>
    <row r="2936" ht="23.85" customHeight="1" spans="1:18">
      <c r="A2936" s="556"/>
      <c r="B2936" s="557"/>
      <c r="C2936" s="79" t="s">
        <v>2921</v>
      </c>
      <c r="D2936" s="78" t="s">
        <v>3153</v>
      </c>
      <c r="E2936" s="79" t="s">
        <v>139</v>
      </c>
      <c r="F2936" s="79" t="s">
        <v>3154</v>
      </c>
      <c r="G2936" s="79" t="s">
        <v>2928</v>
      </c>
      <c r="H2936" s="79"/>
      <c r="I2936" s="80" t="s">
        <v>2897</v>
      </c>
      <c r="J2936" s="583">
        <v>0.52</v>
      </c>
      <c r="K2936" s="583">
        <v>0</v>
      </c>
      <c r="L2936" s="92">
        <v>30.6</v>
      </c>
      <c r="M2936" s="92">
        <v>15.91</v>
      </c>
      <c r="N2936" s="573"/>
      <c r="O2936" s="556"/>
      <c r="P2936" s="573"/>
      <c r="Q2936" s="556"/>
      <c r="R2936" s="582"/>
    </row>
    <row r="2937" ht="23.85" customHeight="1" spans="1:18">
      <c r="A2937" s="556"/>
      <c r="B2937" s="557"/>
      <c r="C2937" s="79" t="s">
        <v>2921</v>
      </c>
      <c r="D2937" s="78" t="s">
        <v>3151</v>
      </c>
      <c r="E2937" s="79" t="s">
        <v>139</v>
      </c>
      <c r="F2937" s="79" t="s">
        <v>3152</v>
      </c>
      <c r="G2937" s="79" t="s">
        <v>2928</v>
      </c>
      <c r="H2937" s="79"/>
      <c r="I2937" s="80" t="s">
        <v>2897</v>
      </c>
      <c r="J2937" s="583">
        <v>0.52</v>
      </c>
      <c r="K2937" s="583">
        <v>0</v>
      </c>
      <c r="L2937" s="92">
        <v>36.82</v>
      </c>
      <c r="M2937" s="92">
        <v>19.14</v>
      </c>
      <c r="N2937" s="573"/>
      <c r="O2937" s="556"/>
      <c r="P2937" s="573"/>
      <c r="Q2937" s="556"/>
      <c r="R2937" s="582"/>
    </row>
    <row r="2938" ht="15" customHeight="1" spans="1:18">
      <c r="A2938" s="556"/>
      <c r="B2938" s="557" t="str">
        <f>C2937</f>
        <v>Composição Auxiliar</v>
      </c>
      <c r="C2938" s="100" t="s">
        <v>2893</v>
      </c>
      <c r="D2938" s="99" t="s">
        <v>3960</v>
      </c>
      <c r="E2938" s="100" t="s">
        <v>132</v>
      </c>
      <c r="F2938" s="100" t="s">
        <v>3961</v>
      </c>
      <c r="G2938" s="100" t="s">
        <v>2961</v>
      </c>
      <c r="H2938" s="100"/>
      <c r="I2938" s="101" t="s">
        <v>134</v>
      </c>
      <c r="J2938" s="580">
        <v>1</v>
      </c>
      <c r="K2938" s="580">
        <v>0</v>
      </c>
      <c r="L2938" s="102">
        <v>86.94</v>
      </c>
      <c r="M2938" s="102">
        <v>86.94</v>
      </c>
      <c r="N2938" s="573">
        <v>88.9</v>
      </c>
      <c r="O2938" s="556" t="str">
        <f t="shared" ref="O2938:O2944" si="266">IF(N2938=M2938,"OK","DIF")</f>
        <v>DIF</v>
      </c>
      <c r="P2938" s="573"/>
      <c r="Q2938" s="556"/>
      <c r="R2938" s="582"/>
    </row>
    <row r="2939" ht="25.5" spans="1:18">
      <c r="A2939" s="556" t="str">
        <f t="shared" ref="A2939:A2944" si="267">B2939</f>
        <v>Composição Auxiliar</v>
      </c>
      <c r="B2939" s="557" t="str">
        <f t="shared" ref="B2939:B2944" si="268">B2938</f>
        <v>Composição Auxiliar</v>
      </c>
      <c r="C2939" s="108"/>
      <c r="D2939" s="108"/>
      <c r="E2939" s="108"/>
      <c r="F2939" s="108"/>
      <c r="G2939" s="108"/>
      <c r="H2939" s="108" t="s">
        <v>2898</v>
      </c>
      <c r="I2939" s="581">
        <v>24.6</v>
      </c>
      <c r="J2939" s="108" t="s">
        <v>2899</v>
      </c>
      <c r="K2939" s="581">
        <v>0</v>
      </c>
      <c r="L2939" s="108" t="s">
        <v>2900</v>
      </c>
      <c r="M2939" s="581">
        <v>24.6</v>
      </c>
      <c r="N2939" s="573">
        <v>7</v>
      </c>
      <c r="O2939" s="556" t="str">
        <f t="shared" si="266"/>
        <v>DIF</v>
      </c>
      <c r="P2939" s="573"/>
      <c r="Q2939" s="556"/>
      <c r="R2939" s="582"/>
    </row>
    <row r="2940" ht="26.25" spans="1:18">
      <c r="A2940" s="556" t="str">
        <f t="shared" si="267"/>
        <v>Composição Auxiliar</v>
      </c>
      <c r="B2940" s="557" t="str">
        <f t="shared" si="268"/>
        <v>Composição Auxiliar</v>
      </c>
      <c r="C2940" s="108"/>
      <c r="D2940" s="108"/>
      <c r="E2940" s="108"/>
      <c r="F2940" s="108"/>
      <c r="G2940" s="108"/>
      <c r="H2940" s="108" t="s">
        <v>2901</v>
      </c>
      <c r="I2940" s="581">
        <v>31.09</v>
      </c>
      <c r="J2940" s="114"/>
      <c r="K2940" s="114" t="s">
        <v>2902</v>
      </c>
      <c r="L2940" s="108"/>
      <c r="M2940" s="581">
        <v>153.08</v>
      </c>
      <c r="N2940" s="573">
        <v>28.77</v>
      </c>
      <c r="O2940" s="556" t="str">
        <f t="shared" si="266"/>
        <v>DIF</v>
      </c>
      <c r="P2940" s="573"/>
      <c r="Q2940" s="556"/>
      <c r="R2940" s="582"/>
    </row>
    <row r="2941" ht="15" spans="1:18">
      <c r="A2941" s="556" t="str">
        <f t="shared" si="267"/>
        <v>Composição Auxiliar</v>
      </c>
      <c r="B2941" s="557" t="str">
        <f t="shared" si="268"/>
        <v>Composição Auxiliar</v>
      </c>
      <c r="C2941" s="571"/>
      <c r="D2941" s="571"/>
      <c r="E2941" s="571"/>
      <c r="F2941" s="571"/>
      <c r="G2941" s="571"/>
      <c r="H2941" s="571"/>
      <c r="I2941" s="571"/>
      <c r="J2941" s="571"/>
      <c r="K2941" s="571"/>
      <c r="L2941" s="571"/>
      <c r="M2941" s="571"/>
      <c r="N2941" s="573">
        <v>4.53</v>
      </c>
      <c r="O2941" s="556" t="str">
        <f t="shared" si="266"/>
        <v>DIF</v>
      </c>
      <c r="P2941" s="573"/>
      <c r="Q2941" s="556"/>
      <c r="R2941" s="582"/>
    </row>
    <row r="2942" ht="15" customHeight="1" spans="1:18">
      <c r="A2942" s="556" t="str">
        <f t="shared" si="267"/>
        <v>Composição Auxiliar</v>
      </c>
      <c r="B2942" s="557" t="str">
        <f t="shared" si="268"/>
        <v>Composição Auxiliar</v>
      </c>
      <c r="C2942" s="76" t="s">
        <v>1016</v>
      </c>
      <c r="D2942" s="75" t="s">
        <v>63</v>
      </c>
      <c r="E2942" s="76" t="s">
        <v>64</v>
      </c>
      <c r="F2942" s="76" t="s">
        <v>65</v>
      </c>
      <c r="G2942" s="76" t="s">
        <v>2889</v>
      </c>
      <c r="H2942" s="76"/>
      <c r="I2942" s="77" t="s">
        <v>66</v>
      </c>
      <c r="J2942" s="75" t="s">
        <v>67</v>
      </c>
      <c r="K2942" s="75" t="s">
        <v>2890</v>
      </c>
      <c r="L2942" s="75" t="s">
        <v>68</v>
      </c>
      <c r="M2942" s="75" t="s">
        <v>70</v>
      </c>
      <c r="N2942" s="573">
        <v>15.42</v>
      </c>
      <c r="O2942" s="556" t="str">
        <f t="shared" si="266"/>
        <v>DIF</v>
      </c>
      <c r="P2942" s="573"/>
      <c r="Q2942" s="556"/>
      <c r="R2942" s="582"/>
    </row>
    <row r="2943" ht="23.85" customHeight="1" spans="1:18">
      <c r="A2943" s="556" t="str">
        <f t="shared" si="267"/>
        <v>Composição Auxiliar</v>
      </c>
      <c r="B2943" s="557" t="str">
        <f t="shared" si="268"/>
        <v>Composição Auxiliar</v>
      </c>
      <c r="C2943" s="569" t="s">
        <v>2891</v>
      </c>
      <c r="D2943" s="570" t="s">
        <v>1017</v>
      </c>
      <c r="E2943" s="569" t="s">
        <v>149</v>
      </c>
      <c r="F2943" s="569" t="s">
        <v>1018</v>
      </c>
      <c r="G2943" s="569" t="s">
        <v>3953</v>
      </c>
      <c r="H2943" s="569"/>
      <c r="I2943" s="577" t="s">
        <v>134</v>
      </c>
      <c r="J2943" s="578">
        <v>1</v>
      </c>
      <c r="K2943" s="579"/>
      <c r="L2943" s="579">
        <v>256.68</v>
      </c>
      <c r="M2943" s="579">
        <v>256.68</v>
      </c>
      <c r="N2943" s="573">
        <v>24.66</v>
      </c>
      <c r="O2943" s="556" t="str">
        <f t="shared" si="266"/>
        <v>DIF</v>
      </c>
      <c r="P2943" s="573"/>
      <c r="Q2943" s="556"/>
      <c r="R2943" s="582"/>
    </row>
    <row r="2944" ht="15" customHeight="1" spans="1:18">
      <c r="A2944" s="556" t="str">
        <f t="shared" si="267"/>
        <v>Composição Auxiliar</v>
      </c>
      <c r="B2944" s="557" t="str">
        <f t="shared" si="268"/>
        <v>Composição Auxiliar</v>
      </c>
      <c r="C2944" s="100" t="s">
        <v>2893</v>
      </c>
      <c r="D2944" s="99" t="s">
        <v>2976</v>
      </c>
      <c r="E2944" s="100" t="s">
        <v>149</v>
      </c>
      <c r="F2944" s="100" t="s">
        <v>2977</v>
      </c>
      <c r="G2944" s="100" t="s">
        <v>2896</v>
      </c>
      <c r="H2944" s="100"/>
      <c r="I2944" s="101" t="s">
        <v>2897</v>
      </c>
      <c r="J2944" s="580">
        <v>0.4</v>
      </c>
      <c r="K2944" s="580">
        <v>0</v>
      </c>
      <c r="L2944" s="102">
        <v>20.515752</v>
      </c>
      <c r="M2944" s="102">
        <v>8.2</v>
      </c>
      <c r="N2944" s="573">
        <v>8.52</v>
      </c>
      <c r="O2944" s="556" t="str">
        <f t="shared" si="266"/>
        <v>DIF</v>
      </c>
      <c r="P2944" s="573"/>
      <c r="Q2944" s="556"/>
      <c r="R2944" s="582"/>
    </row>
    <row r="2945" ht="15" customHeight="1" spans="1:18">
      <c r="A2945" s="556"/>
      <c r="B2945" s="557"/>
      <c r="C2945" s="100" t="s">
        <v>2893</v>
      </c>
      <c r="D2945" s="99" t="s">
        <v>2986</v>
      </c>
      <c r="E2945" s="100" t="s">
        <v>149</v>
      </c>
      <c r="F2945" s="100" t="s">
        <v>2987</v>
      </c>
      <c r="G2945" s="100" t="s">
        <v>2896</v>
      </c>
      <c r="H2945" s="100"/>
      <c r="I2945" s="101" t="s">
        <v>2897</v>
      </c>
      <c r="J2945" s="580">
        <v>0.4</v>
      </c>
      <c r="K2945" s="580">
        <v>0</v>
      </c>
      <c r="L2945" s="102">
        <v>26.928256</v>
      </c>
      <c r="M2945" s="102">
        <v>10.77</v>
      </c>
      <c r="N2945" s="573"/>
      <c r="O2945" s="556"/>
      <c r="P2945" s="573"/>
      <c r="Q2945" s="556"/>
      <c r="R2945" s="582"/>
    </row>
    <row r="2946" ht="23.85" customHeight="1" spans="1:18">
      <c r="A2946" s="556"/>
      <c r="B2946" s="557"/>
      <c r="C2946" s="100" t="s">
        <v>2893</v>
      </c>
      <c r="D2946" s="99" t="s">
        <v>3962</v>
      </c>
      <c r="E2946" s="100" t="s">
        <v>149</v>
      </c>
      <c r="F2946" s="100" t="s">
        <v>3963</v>
      </c>
      <c r="G2946" s="100" t="s">
        <v>2961</v>
      </c>
      <c r="H2946" s="100"/>
      <c r="I2946" s="101" t="s">
        <v>134</v>
      </c>
      <c r="J2946" s="580">
        <v>1</v>
      </c>
      <c r="K2946" s="580">
        <v>0</v>
      </c>
      <c r="L2946" s="102">
        <v>237.71</v>
      </c>
      <c r="M2946" s="102">
        <v>237.71</v>
      </c>
      <c r="N2946" s="573"/>
      <c r="O2946" s="556"/>
      <c r="P2946" s="573"/>
      <c r="Q2946" s="556"/>
      <c r="R2946" s="582"/>
    </row>
    <row r="2947" ht="25.5" spans="1:18">
      <c r="A2947" s="556"/>
      <c r="B2947" s="557" t="str">
        <f>C2946</f>
        <v>Insumo</v>
      </c>
      <c r="C2947" s="108"/>
      <c r="D2947" s="108"/>
      <c r="E2947" s="108"/>
      <c r="F2947" s="108"/>
      <c r="G2947" s="108"/>
      <c r="H2947" s="108" t="s">
        <v>2898</v>
      </c>
      <c r="I2947" s="581">
        <v>18.97</v>
      </c>
      <c r="J2947" s="108" t="s">
        <v>2899</v>
      </c>
      <c r="K2947" s="581">
        <v>0</v>
      </c>
      <c r="L2947" s="108" t="s">
        <v>2900</v>
      </c>
      <c r="M2947" s="581">
        <v>18.97</v>
      </c>
      <c r="N2947" s="573">
        <v>986.99</v>
      </c>
      <c r="O2947" s="556" t="str">
        <f t="shared" ref="O2947:O2967" si="269">IF(N2947=M2947,"OK","DIF")</f>
        <v>DIF</v>
      </c>
      <c r="P2947" s="573"/>
      <c r="Q2947" s="556"/>
      <c r="R2947" s="582"/>
    </row>
    <row r="2948" ht="26.25" spans="1:18">
      <c r="A2948" s="556" t="str">
        <f t="shared" ref="A2948:A2967" si="270">B2948</f>
        <v>Insumo</v>
      </c>
      <c r="B2948" s="557" t="str">
        <f t="shared" ref="B2948:B2967" si="271">B2947</f>
        <v>Insumo</v>
      </c>
      <c r="C2948" s="108"/>
      <c r="D2948" s="108"/>
      <c r="E2948" s="108"/>
      <c r="F2948" s="108"/>
      <c r="G2948" s="108"/>
      <c r="H2948" s="108" t="s">
        <v>2901</v>
      </c>
      <c r="I2948" s="581">
        <v>65.42</v>
      </c>
      <c r="J2948" s="114"/>
      <c r="K2948" s="114" t="s">
        <v>2902</v>
      </c>
      <c r="L2948" s="108"/>
      <c r="M2948" s="581">
        <v>322.1</v>
      </c>
      <c r="N2948" s="573">
        <v>26.78</v>
      </c>
      <c r="O2948" s="556" t="str">
        <f t="shared" si="269"/>
        <v>DIF</v>
      </c>
      <c r="P2948" s="573"/>
      <c r="Q2948" s="556"/>
      <c r="R2948" s="582"/>
    </row>
    <row r="2949" ht="15" spans="1:18">
      <c r="A2949" s="556" t="str">
        <f t="shared" si="270"/>
        <v>Insumo</v>
      </c>
      <c r="B2949" s="557" t="str">
        <f t="shared" si="271"/>
        <v>Insumo</v>
      </c>
      <c r="C2949" s="571"/>
      <c r="D2949" s="571"/>
      <c r="E2949" s="571"/>
      <c r="F2949" s="571"/>
      <c r="G2949" s="571"/>
      <c r="H2949" s="571"/>
      <c r="I2949" s="571"/>
      <c r="J2949" s="571"/>
      <c r="K2949" s="571"/>
      <c r="L2949" s="571"/>
      <c r="M2949" s="571"/>
      <c r="N2949" s="573">
        <v>24.01</v>
      </c>
      <c r="O2949" s="556" t="str">
        <f t="shared" si="269"/>
        <v>DIF</v>
      </c>
      <c r="P2949" s="573"/>
      <c r="Q2949" s="556"/>
      <c r="R2949" s="582"/>
    </row>
    <row r="2950" ht="15" customHeight="1" spans="1:18">
      <c r="A2950" s="556" t="str">
        <f t="shared" si="270"/>
        <v>Insumo</v>
      </c>
      <c r="B2950" s="557" t="str">
        <f t="shared" si="271"/>
        <v>Insumo</v>
      </c>
      <c r="C2950" s="76" t="s">
        <v>1019</v>
      </c>
      <c r="D2950" s="75" t="s">
        <v>63</v>
      </c>
      <c r="E2950" s="76" t="s">
        <v>64</v>
      </c>
      <c r="F2950" s="76" t="s">
        <v>65</v>
      </c>
      <c r="G2950" s="76" t="s">
        <v>2889</v>
      </c>
      <c r="H2950" s="76"/>
      <c r="I2950" s="77" t="s">
        <v>66</v>
      </c>
      <c r="J2950" s="75" t="s">
        <v>67</v>
      </c>
      <c r="K2950" s="75" t="s">
        <v>2890</v>
      </c>
      <c r="L2950" s="75" t="s">
        <v>68</v>
      </c>
      <c r="M2950" s="75" t="s">
        <v>70</v>
      </c>
      <c r="N2950" s="573">
        <v>2.78</v>
      </c>
      <c r="O2950" s="556" t="str">
        <f t="shared" si="269"/>
        <v>DIF</v>
      </c>
      <c r="P2950" s="573"/>
      <c r="Q2950" s="556"/>
      <c r="R2950" s="582"/>
    </row>
    <row r="2951" ht="38.25" spans="1:18">
      <c r="A2951" s="556" t="str">
        <f t="shared" si="270"/>
        <v>Insumo</v>
      </c>
      <c r="B2951" s="557" t="str">
        <f t="shared" si="271"/>
        <v>Insumo</v>
      </c>
      <c r="C2951" s="569" t="s">
        <v>2891</v>
      </c>
      <c r="D2951" s="570" t="s">
        <v>1020</v>
      </c>
      <c r="E2951" s="569" t="s">
        <v>132</v>
      </c>
      <c r="F2951" s="569" t="s">
        <v>1021</v>
      </c>
      <c r="G2951" s="569">
        <v>15</v>
      </c>
      <c r="H2951" s="569"/>
      <c r="I2951" s="577" t="s">
        <v>134</v>
      </c>
      <c r="J2951" s="578">
        <v>1</v>
      </c>
      <c r="K2951" s="579"/>
      <c r="L2951" s="579">
        <v>224.03</v>
      </c>
      <c r="M2951" s="579">
        <v>224.03</v>
      </c>
      <c r="N2951" s="573">
        <v>110.18</v>
      </c>
      <c r="O2951" s="556" t="str">
        <f t="shared" si="269"/>
        <v>DIF</v>
      </c>
      <c r="P2951" s="573"/>
      <c r="Q2951" s="556"/>
      <c r="R2951" s="582"/>
    </row>
    <row r="2952" ht="23.85" customHeight="1" spans="1:18">
      <c r="A2952" s="556" t="str">
        <f t="shared" si="270"/>
        <v>Insumo</v>
      </c>
      <c r="B2952" s="557" t="str">
        <f t="shared" si="271"/>
        <v>Insumo</v>
      </c>
      <c r="C2952" s="79" t="s">
        <v>2921</v>
      </c>
      <c r="D2952" s="78" t="s">
        <v>3151</v>
      </c>
      <c r="E2952" s="79" t="s">
        <v>139</v>
      </c>
      <c r="F2952" s="79" t="s">
        <v>3152</v>
      </c>
      <c r="G2952" s="79" t="s">
        <v>2928</v>
      </c>
      <c r="H2952" s="79"/>
      <c r="I2952" s="80" t="s">
        <v>2897</v>
      </c>
      <c r="J2952" s="583">
        <v>0.4</v>
      </c>
      <c r="K2952" s="583">
        <v>0</v>
      </c>
      <c r="L2952" s="92">
        <v>36.82</v>
      </c>
      <c r="M2952" s="92">
        <v>14.72</v>
      </c>
      <c r="N2952" s="573">
        <v>237.8</v>
      </c>
      <c r="O2952" s="556" t="str">
        <f t="shared" si="269"/>
        <v>DIF</v>
      </c>
      <c r="P2952" s="573"/>
      <c r="Q2952" s="556"/>
      <c r="R2952" s="582"/>
    </row>
    <row r="2953" ht="23.85" customHeight="1" spans="1:18">
      <c r="A2953" s="556" t="str">
        <f t="shared" si="270"/>
        <v>Insumo</v>
      </c>
      <c r="B2953" s="557" t="str">
        <f t="shared" si="271"/>
        <v>Insumo</v>
      </c>
      <c r="C2953" s="79" t="s">
        <v>2921</v>
      </c>
      <c r="D2953" s="78" t="s">
        <v>3153</v>
      </c>
      <c r="E2953" s="79" t="s">
        <v>139</v>
      </c>
      <c r="F2953" s="79" t="s">
        <v>3154</v>
      </c>
      <c r="G2953" s="79" t="s">
        <v>2928</v>
      </c>
      <c r="H2953" s="79"/>
      <c r="I2953" s="80" t="s">
        <v>2897</v>
      </c>
      <c r="J2953" s="583">
        <v>0.4</v>
      </c>
      <c r="K2953" s="583">
        <v>0</v>
      </c>
      <c r="L2953" s="92">
        <v>30.6</v>
      </c>
      <c r="M2953" s="92">
        <v>12.24</v>
      </c>
      <c r="N2953" s="573">
        <v>2.72</v>
      </c>
      <c r="O2953" s="556" t="str">
        <f t="shared" si="269"/>
        <v>DIF</v>
      </c>
      <c r="P2953" s="573"/>
      <c r="Q2953" s="556"/>
      <c r="R2953" s="582"/>
    </row>
    <row r="2954" ht="15" customHeight="1" spans="1:18">
      <c r="A2954" s="556" t="str">
        <f t="shared" si="270"/>
        <v>Insumo</v>
      </c>
      <c r="B2954" s="557" t="str">
        <f t="shared" si="271"/>
        <v>Insumo</v>
      </c>
      <c r="C2954" s="100" t="s">
        <v>2893</v>
      </c>
      <c r="D2954" s="99" t="s">
        <v>3964</v>
      </c>
      <c r="E2954" s="100" t="s">
        <v>132</v>
      </c>
      <c r="F2954" s="100" t="s">
        <v>3965</v>
      </c>
      <c r="G2954" s="100" t="s">
        <v>2961</v>
      </c>
      <c r="H2954" s="100"/>
      <c r="I2954" s="101" t="s">
        <v>134</v>
      </c>
      <c r="J2954" s="580">
        <v>1</v>
      </c>
      <c r="K2954" s="580">
        <v>0</v>
      </c>
      <c r="L2954" s="102">
        <v>197.07</v>
      </c>
      <c r="M2954" s="102">
        <v>197.07</v>
      </c>
      <c r="N2954" s="573">
        <v>468</v>
      </c>
      <c r="O2954" s="556" t="str">
        <f t="shared" si="269"/>
        <v>DIF</v>
      </c>
      <c r="P2954" s="573"/>
      <c r="Q2954" s="556"/>
      <c r="R2954" s="582"/>
    </row>
    <row r="2955" ht="25.5" spans="1:18">
      <c r="A2955" s="556" t="str">
        <f t="shared" si="270"/>
        <v>Insumo</v>
      </c>
      <c r="B2955" s="557" t="str">
        <f t="shared" si="271"/>
        <v>Insumo</v>
      </c>
      <c r="C2955" s="108"/>
      <c r="D2955" s="108"/>
      <c r="E2955" s="108"/>
      <c r="F2955" s="108"/>
      <c r="G2955" s="108"/>
      <c r="H2955" s="108" t="s">
        <v>2898</v>
      </c>
      <c r="I2955" s="581">
        <v>18.92</v>
      </c>
      <c r="J2955" s="108" t="s">
        <v>2899</v>
      </c>
      <c r="K2955" s="581">
        <v>0</v>
      </c>
      <c r="L2955" s="108" t="s">
        <v>2900</v>
      </c>
      <c r="M2955" s="581">
        <v>18.92</v>
      </c>
      <c r="N2955" s="573">
        <v>5.81</v>
      </c>
      <c r="O2955" s="556" t="str">
        <f t="shared" si="269"/>
        <v>DIF</v>
      </c>
      <c r="P2955" s="573"/>
      <c r="Q2955" s="556"/>
      <c r="R2955" s="582"/>
    </row>
    <row r="2956" ht="26.25" spans="1:18">
      <c r="A2956" s="556" t="str">
        <f t="shared" si="270"/>
        <v>Insumo</v>
      </c>
      <c r="B2956" s="557" t="str">
        <f t="shared" si="271"/>
        <v>Insumo</v>
      </c>
      <c r="C2956" s="108"/>
      <c r="D2956" s="108"/>
      <c r="E2956" s="108"/>
      <c r="F2956" s="108"/>
      <c r="G2956" s="108"/>
      <c r="H2956" s="108" t="s">
        <v>2901</v>
      </c>
      <c r="I2956" s="581">
        <v>57.1</v>
      </c>
      <c r="J2956" s="114"/>
      <c r="K2956" s="114" t="s">
        <v>2902</v>
      </c>
      <c r="L2956" s="108"/>
      <c r="M2956" s="581">
        <v>281.13</v>
      </c>
      <c r="N2956" s="573">
        <v>2.37</v>
      </c>
      <c r="O2956" s="556" t="str">
        <f t="shared" si="269"/>
        <v>DIF</v>
      </c>
      <c r="P2956" s="573"/>
      <c r="Q2956" s="556"/>
      <c r="R2956" s="582"/>
    </row>
    <row r="2957" ht="15" spans="1:18">
      <c r="A2957" s="556" t="str">
        <f t="shared" si="270"/>
        <v>Insumo</v>
      </c>
      <c r="B2957" s="557" t="str">
        <f t="shared" si="271"/>
        <v>Insumo</v>
      </c>
      <c r="C2957" s="571"/>
      <c r="D2957" s="571"/>
      <c r="E2957" s="571"/>
      <c r="F2957" s="571"/>
      <c r="G2957" s="571"/>
      <c r="H2957" s="571"/>
      <c r="I2957" s="571"/>
      <c r="J2957" s="571"/>
      <c r="K2957" s="571"/>
      <c r="L2957" s="571"/>
      <c r="M2957" s="571"/>
      <c r="N2957" s="573">
        <v>1.67</v>
      </c>
      <c r="O2957" s="556" t="str">
        <f t="shared" si="269"/>
        <v>DIF</v>
      </c>
      <c r="P2957" s="573"/>
      <c r="Q2957" s="556"/>
      <c r="R2957" s="582"/>
    </row>
    <row r="2958" ht="15" customHeight="1" spans="1:18">
      <c r="A2958" s="556" t="str">
        <f t="shared" si="270"/>
        <v>Insumo</v>
      </c>
      <c r="B2958" s="557" t="str">
        <f t="shared" si="271"/>
        <v>Insumo</v>
      </c>
      <c r="C2958" s="76" t="s">
        <v>1022</v>
      </c>
      <c r="D2958" s="75" t="s">
        <v>63</v>
      </c>
      <c r="E2958" s="76" t="s">
        <v>64</v>
      </c>
      <c r="F2958" s="76" t="s">
        <v>65</v>
      </c>
      <c r="G2958" s="76" t="s">
        <v>2889</v>
      </c>
      <c r="H2958" s="76"/>
      <c r="I2958" s="77" t="s">
        <v>66</v>
      </c>
      <c r="J2958" s="75" t="s">
        <v>67</v>
      </c>
      <c r="K2958" s="75" t="s">
        <v>2890</v>
      </c>
      <c r="L2958" s="75" t="s">
        <v>68</v>
      </c>
      <c r="M2958" s="75" t="s">
        <v>70</v>
      </c>
      <c r="N2958" s="573">
        <v>8.64</v>
      </c>
      <c r="O2958" s="556" t="str">
        <f t="shared" si="269"/>
        <v>DIF</v>
      </c>
      <c r="P2958" s="573"/>
      <c r="Q2958" s="556"/>
      <c r="R2958" s="582"/>
    </row>
    <row r="2959" ht="35.05" customHeight="1" spans="1:18">
      <c r="A2959" s="556" t="str">
        <f t="shared" si="270"/>
        <v>Insumo</v>
      </c>
      <c r="B2959" s="557" t="str">
        <f t="shared" si="271"/>
        <v>Insumo</v>
      </c>
      <c r="C2959" s="569" t="s">
        <v>2891</v>
      </c>
      <c r="D2959" s="570" t="s">
        <v>1023</v>
      </c>
      <c r="E2959" s="569" t="s">
        <v>132</v>
      </c>
      <c r="F2959" s="569" t="s">
        <v>1024</v>
      </c>
      <c r="G2959" s="569" t="s">
        <v>3177</v>
      </c>
      <c r="H2959" s="569"/>
      <c r="I2959" s="577" t="s">
        <v>134</v>
      </c>
      <c r="J2959" s="578">
        <v>1</v>
      </c>
      <c r="K2959" s="579"/>
      <c r="L2959" s="579">
        <v>30.58</v>
      </c>
      <c r="M2959" s="579">
        <v>30.58</v>
      </c>
      <c r="N2959" s="573">
        <v>6.88</v>
      </c>
      <c r="O2959" s="556" t="str">
        <f t="shared" si="269"/>
        <v>DIF</v>
      </c>
      <c r="P2959" s="573"/>
      <c r="Q2959" s="556"/>
      <c r="R2959" s="582"/>
    </row>
    <row r="2960" ht="23.85" customHeight="1" spans="1:18">
      <c r="A2960" s="556" t="str">
        <f t="shared" si="270"/>
        <v>Insumo</v>
      </c>
      <c r="B2960" s="557" t="str">
        <f t="shared" si="271"/>
        <v>Insumo</v>
      </c>
      <c r="C2960" s="79" t="s">
        <v>2921</v>
      </c>
      <c r="D2960" s="78" t="s">
        <v>3151</v>
      </c>
      <c r="E2960" s="79" t="s">
        <v>139</v>
      </c>
      <c r="F2960" s="79" t="s">
        <v>3152</v>
      </c>
      <c r="G2960" s="79" t="s">
        <v>2928</v>
      </c>
      <c r="H2960" s="79"/>
      <c r="I2960" s="80" t="s">
        <v>2897</v>
      </c>
      <c r="J2960" s="583">
        <v>0.2</v>
      </c>
      <c r="K2960" s="583">
        <v>0</v>
      </c>
      <c r="L2960" s="92">
        <v>36.82</v>
      </c>
      <c r="M2960" s="92">
        <v>7.36</v>
      </c>
      <c r="N2960" s="573">
        <v>1.98</v>
      </c>
      <c r="O2960" s="556" t="str">
        <f t="shared" si="269"/>
        <v>DIF</v>
      </c>
      <c r="P2960" s="573"/>
      <c r="Q2960" s="556"/>
      <c r="R2960" s="582"/>
    </row>
    <row r="2961" ht="23.85" customHeight="1" spans="1:18">
      <c r="A2961" s="556" t="str">
        <f t="shared" si="270"/>
        <v>Insumo</v>
      </c>
      <c r="B2961" s="557" t="str">
        <f t="shared" si="271"/>
        <v>Insumo</v>
      </c>
      <c r="C2961" s="79" t="s">
        <v>2921</v>
      </c>
      <c r="D2961" s="78" t="s">
        <v>3153</v>
      </c>
      <c r="E2961" s="79" t="s">
        <v>139</v>
      </c>
      <c r="F2961" s="79" t="s">
        <v>3154</v>
      </c>
      <c r="G2961" s="79" t="s">
        <v>2928</v>
      </c>
      <c r="H2961" s="79"/>
      <c r="I2961" s="80" t="s">
        <v>2897</v>
      </c>
      <c r="J2961" s="583">
        <v>0.2</v>
      </c>
      <c r="K2961" s="583">
        <v>0</v>
      </c>
      <c r="L2961" s="92">
        <v>30.6</v>
      </c>
      <c r="M2961" s="92">
        <v>6.12</v>
      </c>
      <c r="N2961" s="573">
        <v>1.2</v>
      </c>
      <c r="O2961" s="556" t="str">
        <f t="shared" si="269"/>
        <v>DIF</v>
      </c>
      <c r="P2961" s="573"/>
      <c r="Q2961" s="556"/>
      <c r="R2961" s="582"/>
    </row>
    <row r="2962" ht="15" customHeight="1" spans="1:18">
      <c r="A2962" s="556" t="str">
        <f t="shared" si="270"/>
        <v>Insumo</v>
      </c>
      <c r="B2962" s="557" t="str">
        <f t="shared" si="271"/>
        <v>Insumo</v>
      </c>
      <c r="C2962" s="100" t="s">
        <v>2893</v>
      </c>
      <c r="D2962" s="99" t="s">
        <v>3966</v>
      </c>
      <c r="E2962" s="100" t="s">
        <v>132</v>
      </c>
      <c r="F2962" s="100" t="s">
        <v>3967</v>
      </c>
      <c r="G2962" s="100" t="s">
        <v>2961</v>
      </c>
      <c r="H2962" s="100"/>
      <c r="I2962" s="101" t="s">
        <v>134</v>
      </c>
      <c r="J2962" s="580">
        <v>1</v>
      </c>
      <c r="K2962" s="580">
        <v>0</v>
      </c>
      <c r="L2962" s="102">
        <v>5.98</v>
      </c>
      <c r="M2962" s="102">
        <v>5.98</v>
      </c>
      <c r="N2962" s="573">
        <v>60.1</v>
      </c>
      <c r="O2962" s="556" t="str">
        <f t="shared" si="269"/>
        <v>DIF</v>
      </c>
      <c r="P2962" s="573"/>
      <c r="Q2962" s="556"/>
      <c r="R2962" s="582"/>
    </row>
    <row r="2963" ht="15" customHeight="1" spans="1:18">
      <c r="A2963" s="556" t="str">
        <f t="shared" si="270"/>
        <v>Insumo</v>
      </c>
      <c r="B2963" s="557" t="str">
        <f t="shared" si="271"/>
        <v>Insumo</v>
      </c>
      <c r="C2963" s="100" t="s">
        <v>2893</v>
      </c>
      <c r="D2963" s="99" t="s">
        <v>3968</v>
      </c>
      <c r="E2963" s="100" t="s">
        <v>149</v>
      </c>
      <c r="F2963" s="100" t="s">
        <v>3969</v>
      </c>
      <c r="G2963" s="100" t="s">
        <v>2961</v>
      </c>
      <c r="H2963" s="100"/>
      <c r="I2963" s="101" t="s">
        <v>134</v>
      </c>
      <c r="J2963" s="580">
        <v>8</v>
      </c>
      <c r="K2963" s="580">
        <v>0</v>
      </c>
      <c r="L2963" s="102">
        <v>0.94</v>
      </c>
      <c r="M2963" s="102">
        <v>7.52</v>
      </c>
      <c r="N2963" s="573">
        <v>13.47</v>
      </c>
      <c r="O2963" s="556" t="str">
        <f t="shared" si="269"/>
        <v>DIF</v>
      </c>
      <c r="P2963" s="573"/>
      <c r="Q2963" s="556"/>
      <c r="R2963" s="582"/>
    </row>
    <row r="2964" ht="15" customHeight="1" spans="1:18">
      <c r="A2964" s="556" t="str">
        <f t="shared" si="270"/>
        <v>Insumo</v>
      </c>
      <c r="B2964" s="557" t="str">
        <f t="shared" si="271"/>
        <v>Insumo</v>
      </c>
      <c r="C2964" s="100" t="s">
        <v>2893</v>
      </c>
      <c r="D2964" s="99" t="s">
        <v>3970</v>
      </c>
      <c r="E2964" s="100" t="s">
        <v>139</v>
      </c>
      <c r="F2964" s="100" t="s">
        <v>3971</v>
      </c>
      <c r="G2964" s="100" t="s">
        <v>2961</v>
      </c>
      <c r="H2964" s="100"/>
      <c r="I2964" s="101" t="s">
        <v>134</v>
      </c>
      <c r="J2964" s="580">
        <v>8</v>
      </c>
      <c r="K2964" s="580">
        <v>0</v>
      </c>
      <c r="L2964" s="102">
        <v>0.2</v>
      </c>
      <c r="M2964" s="102">
        <v>1.6</v>
      </c>
      <c r="N2964" s="573">
        <v>0.53</v>
      </c>
      <c r="O2964" s="556" t="str">
        <f t="shared" si="269"/>
        <v>DIF</v>
      </c>
      <c r="P2964" s="573"/>
      <c r="Q2964" s="556"/>
      <c r="R2964" s="582"/>
    </row>
    <row r="2965" ht="15" customHeight="1" spans="1:18">
      <c r="A2965" s="556" t="str">
        <f t="shared" si="270"/>
        <v>Insumo</v>
      </c>
      <c r="B2965" s="557" t="str">
        <f t="shared" si="271"/>
        <v>Insumo</v>
      </c>
      <c r="C2965" s="100" t="s">
        <v>2893</v>
      </c>
      <c r="D2965" s="99" t="s">
        <v>3972</v>
      </c>
      <c r="E2965" s="100" t="s">
        <v>77</v>
      </c>
      <c r="F2965" s="100" t="s">
        <v>3973</v>
      </c>
      <c r="G2965" s="100" t="s">
        <v>2961</v>
      </c>
      <c r="H2965" s="100"/>
      <c r="I2965" s="101" t="s">
        <v>134</v>
      </c>
      <c r="J2965" s="580">
        <v>16</v>
      </c>
      <c r="K2965" s="580">
        <v>0</v>
      </c>
      <c r="L2965" s="102">
        <v>0.08</v>
      </c>
      <c r="M2965" s="102">
        <v>1.28</v>
      </c>
      <c r="N2965" s="573">
        <v>1.32</v>
      </c>
      <c r="O2965" s="556" t="str">
        <f t="shared" si="269"/>
        <v>DIF</v>
      </c>
      <c r="P2965" s="573"/>
      <c r="Q2965" s="556"/>
      <c r="R2965" s="582"/>
    </row>
    <row r="2966" ht="15" customHeight="1" spans="1:18">
      <c r="A2966" s="556" t="str">
        <f t="shared" si="270"/>
        <v>Insumo</v>
      </c>
      <c r="B2966" s="557" t="str">
        <f t="shared" si="271"/>
        <v>Insumo</v>
      </c>
      <c r="C2966" s="100" t="s">
        <v>2893</v>
      </c>
      <c r="D2966" s="99" t="s">
        <v>3974</v>
      </c>
      <c r="E2966" s="100" t="s">
        <v>77</v>
      </c>
      <c r="F2966" s="100" t="s">
        <v>3975</v>
      </c>
      <c r="G2966" s="100" t="s">
        <v>2961</v>
      </c>
      <c r="H2966" s="100"/>
      <c r="I2966" s="101" t="s">
        <v>134</v>
      </c>
      <c r="J2966" s="580">
        <v>8</v>
      </c>
      <c r="K2966" s="580">
        <v>0</v>
      </c>
      <c r="L2966" s="102">
        <v>0.09</v>
      </c>
      <c r="M2966" s="102">
        <v>0.72</v>
      </c>
      <c r="N2966" s="573">
        <v>1.21</v>
      </c>
      <c r="O2966" s="556" t="str">
        <f t="shared" si="269"/>
        <v>DIF</v>
      </c>
      <c r="P2966" s="573"/>
      <c r="Q2966" s="556"/>
      <c r="R2966" s="582"/>
    </row>
    <row r="2967" ht="25.5" spans="1:18">
      <c r="A2967" s="556" t="str">
        <f t="shared" si="270"/>
        <v>Insumo</v>
      </c>
      <c r="B2967" s="557" t="str">
        <f t="shared" si="271"/>
        <v>Insumo</v>
      </c>
      <c r="C2967" s="108"/>
      <c r="D2967" s="108"/>
      <c r="E2967" s="108"/>
      <c r="F2967" s="108"/>
      <c r="G2967" s="108"/>
      <c r="H2967" s="108" t="s">
        <v>2898</v>
      </c>
      <c r="I2967" s="581">
        <v>9.46</v>
      </c>
      <c r="J2967" s="108" t="s">
        <v>2899</v>
      </c>
      <c r="K2967" s="581">
        <v>0</v>
      </c>
      <c r="L2967" s="108" t="s">
        <v>2900</v>
      </c>
      <c r="M2967" s="581">
        <v>9.46</v>
      </c>
      <c r="N2967" s="573">
        <v>9.54</v>
      </c>
      <c r="O2967" s="556" t="str">
        <f t="shared" si="269"/>
        <v>DIF</v>
      </c>
      <c r="P2967" s="573"/>
      <c r="Q2967" s="556"/>
      <c r="R2967" s="582"/>
    </row>
    <row r="2968" ht="26.25" spans="1:18">
      <c r="A2968" s="556"/>
      <c r="B2968" s="557"/>
      <c r="C2968" s="108"/>
      <c r="D2968" s="108"/>
      <c r="E2968" s="108"/>
      <c r="F2968" s="108"/>
      <c r="G2968" s="108"/>
      <c r="H2968" s="108" t="s">
        <v>2901</v>
      </c>
      <c r="I2968" s="581">
        <v>7.79</v>
      </c>
      <c r="J2968" s="114"/>
      <c r="K2968" s="114" t="s">
        <v>2902</v>
      </c>
      <c r="L2968" s="108"/>
      <c r="M2968" s="581">
        <v>38.37</v>
      </c>
      <c r="N2968" s="573"/>
      <c r="O2968" s="556"/>
      <c r="P2968" s="573"/>
      <c r="Q2968" s="556"/>
      <c r="R2968" s="582"/>
    </row>
    <row r="2969" ht="15" spans="1:18">
      <c r="A2969" s="556"/>
      <c r="B2969" s="557"/>
      <c r="C2969" s="571"/>
      <c r="D2969" s="571"/>
      <c r="E2969" s="571"/>
      <c r="F2969" s="571"/>
      <c r="G2969" s="571"/>
      <c r="H2969" s="571"/>
      <c r="I2969" s="571"/>
      <c r="J2969" s="571"/>
      <c r="K2969" s="571"/>
      <c r="L2969" s="571"/>
      <c r="M2969" s="571"/>
      <c r="N2969" s="573"/>
      <c r="O2969" s="556"/>
      <c r="P2969" s="573"/>
      <c r="Q2969" s="556"/>
      <c r="R2969" s="582"/>
    </row>
    <row r="2970" ht="15" customHeight="1" spans="1:18">
      <c r="A2970" s="556"/>
      <c r="B2970" s="557">
        <f>C2969</f>
        <v>0</v>
      </c>
      <c r="C2970" s="76" t="s">
        <v>1025</v>
      </c>
      <c r="D2970" s="75" t="s">
        <v>63</v>
      </c>
      <c r="E2970" s="76" t="s">
        <v>64</v>
      </c>
      <c r="F2970" s="76" t="s">
        <v>65</v>
      </c>
      <c r="G2970" s="76" t="s">
        <v>2889</v>
      </c>
      <c r="H2970" s="76"/>
      <c r="I2970" s="77" t="s">
        <v>66</v>
      </c>
      <c r="J2970" s="75" t="s">
        <v>67</v>
      </c>
      <c r="K2970" s="75" t="s">
        <v>2890</v>
      </c>
      <c r="L2970" s="75" t="s">
        <v>68</v>
      </c>
      <c r="M2970" s="75" t="s">
        <v>70</v>
      </c>
      <c r="N2970" s="573">
        <v>4.69</v>
      </c>
      <c r="O2970" s="556" t="str">
        <f>IF(N2970=M2970,"OK","DIF")</f>
        <v>DIF</v>
      </c>
      <c r="P2970" s="573"/>
      <c r="Q2970" s="556"/>
      <c r="R2970" s="582"/>
    </row>
    <row r="2971" ht="38.25" spans="1:18">
      <c r="A2971" s="556">
        <f>B2971</f>
        <v>0</v>
      </c>
      <c r="B2971" s="557">
        <f>B2970</f>
        <v>0</v>
      </c>
      <c r="C2971" s="569" t="s">
        <v>2891</v>
      </c>
      <c r="D2971" s="570" t="s">
        <v>1026</v>
      </c>
      <c r="E2971" s="569" t="s">
        <v>132</v>
      </c>
      <c r="F2971" s="569" t="s">
        <v>1027</v>
      </c>
      <c r="G2971" s="569">
        <v>15</v>
      </c>
      <c r="H2971" s="569"/>
      <c r="I2971" s="577" t="s">
        <v>134</v>
      </c>
      <c r="J2971" s="578">
        <v>1</v>
      </c>
      <c r="K2971" s="579"/>
      <c r="L2971" s="579">
        <v>24.56</v>
      </c>
      <c r="M2971" s="579">
        <v>24.56</v>
      </c>
      <c r="N2971" s="573">
        <v>1.29</v>
      </c>
      <c r="O2971" s="556" t="str">
        <f>IF(N2971=M2971,"OK","DIF")</f>
        <v>DIF</v>
      </c>
      <c r="P2971" s="573"/>
      <c r="Q2971" s="556"/>
      <c r="R2971" s="582"/>
    </row>
    <row r="2972" ht="23.85" customHeight="1" spans="1:18">
      <c r="A2972" s="556">
        <f>B2972</f>
        <v>0</v>
      </c>
      <c r="B2972" s="557">
        <f>B2971</f>
        <v>0</v>
      </c>
      <c r="C2972" s="79" t="s">
        <v>2921</v>
      </c>
      <c r="D2972" s="78" t="s">
        <v>3151</v>
      </c>
      <c r="E2972" s="79" t="s">
        <v>139</v>
      </c>
      <c r="F2972" s="79" t="s">
        <v>3152</v>
      </c>
      <c r="G2972" s="79" t="s">
        <v>2928</v>
      </c>
      <c r="H2972" s="79"/>
      <c r="I2972" s="80" t="s">
        <v>2897</v>
      </c>
      <c r="J2972" s="583">
        <v>0.109</v>
      </c>
      <c r="K2972" s="583">
        <v>0</v>
      </c>
      <c r="L2972" s="92">
        <v>36.82</v>
      </c>
      <c r="M2972" s="92">
        <v>4.01</v>
      </c>
      <c r="N2972" s="573">
        <v>2.42</v>
      </c>
      <c r="O2972" s="556" t="str">
        <f>IF(N2972=M2972,"OK","DIF")</f>
        <v>DIF</v>
      </c>
      <c r="P2972" s="573"/>
      <c r="Q2972" s="556"/>
      <c r="R2972" s="582"/>
    </row>
    <row r="2973" ht="23.85" customHeight="1" spans="1:18">
      <c r="A2973" s="556">
        <f>B2973</f>
        <v>0</v>
      </c>
      <c r="B2973" s="557">
        <f>B2972</f>
        <v>0</v>
      </c>
      <c r="C2973" s="79" t="s">
        <v>2921</v>
      </c>
      <c r="D2973" s="78" t="s">
        <v>3153</v>
      </c>
      <c r="E2973" s="79" t="s">
        <v>139</v>
      </c>
      <c r="F2973" s="79" t="s">
        <v>3154</v>
      </c>
      <c r="G2973" s="79" t="s">
        <v>2928</v>
      </c>
      <c r="H2973" s="79"/>
      <c r="I2973" s="80" t="s">
        <v>2897</v>
      </c>
      <c r="J2973" s="583">
        <v>0.109</v>
      </c>
      <c r="K2973" s="583">
        <v>0</v>
      </c>
      <c r="L2973" s="92">
        <v>30.6</v>
      </c>
      <c r="M2973" s="92">
        <v>3.33</v>
      </c>
      <c r="N2973" s="573">
        <v>0.98</v>
      </c>
      <c r="O2973" s="556" t="str">
        <f>IF(N2973=M2973,"OK","DIF")</f>
        <v>DIF</v>
      </c>
      <c r="P2973" s="573"/>
      <c r="Q2973" s="556"/>
      <c r="R2973" s="582"/>
    </row>
    <row r="2974" ht="15" customHeight="1" spans="1:18">
      <c r="A2974" s="556"/>
      <c r="B2974" s="557"/>
      <c r="C2974" s="100" t="s">
        <v>2893</v>
      </c>
      <c r="D2974" s="99" t="s">
        <v>3976</v>
      </c>
      <c r="E2974" s="100" t="s">
        <v>132</v>
      </c>
      <c r="F2974" s="100" t="s">
        <v>3977</v>
      </c>
      <c r="G2974" s="100" t="s">
        <v>2961</v>
      </c>
      <c r="H2974" s="100"/>
      <c r="I2974" s="101" t="s">
        <v>134</v>
      </c>
      <c r="J2974" s="580">
        <v>1</v>
      </c>
      <c r="K2974" s="580">
        <v>0</v>
      </c>
      <c r="L2974" s="102">
        <v>17.22</v>
      </c>
      <c r="M2974" s="102">
        <v>17.22</v>
      </c>
      <c r="N2974" s="573"/>
      <c r="O2974" s="556"/>
      <c r="P2974" s="573"/>
      <c r="Q2974" s="556"/>
      <c r="R2974" s="582"/>
    </row>
    <row r="2975" ht="25.5" spans="1:18">
      <c r="A2975" s="556"/>
      <c r="B2975" s="557"/>
      <c r="C2975" s="108"/>
      <c r="D2975" s="108"/>
      <c r="E2975" s="108"/>
      <c r="F2975" s="108"/>
      <c r="G2975" s="108"/>
      <c r="H2975" s="108" t="s">
        <v>2898</v>
      </c>
      <c r="I2975" s="581">
        <v>5.14</v>
      </c>
      <c r="J2975" s="108" t="s">
        <v>2899</v>
      </c>
      <c r="K2975" s="581">
        <v>0</v>
      </c>
      <c r="L2975" s="108" t="s">
        <v>2900</v>
      </c>
      <c r="M2975" s="581">
        <v>5.14</v>
      </c>
      <c r="N2975" s="573"/>
      <c r="O2975" s="556"/>
      <c r="P2975" s="573"/>
      <c r="Q2975" s="556"/>
      <c r="R2975" s="582"/>
    </row>
    <row r="2976" ht="26.25" spans="1:18">
      <c r="A2976" s="556"/>
      <c r="B2976" s="557">
        <f>C2975</f>
        <v>0</v>
      </c>
      <c r="C2976" s="108"/>
      <c r="D2976" s="108"/>
      <c r="E2976" s="108"/>
      <c r="F2976" s="108"/>
      <c r="G2976" s="108"/>
      <c r="H2976" s="108" t="s">
        <v>2901</v>
      </c>
      <c r="I2976" s="581">
        <v>6.26</v>
      </c>
      <c r="J2976" s="114"/>
      <c r="K2976" s="114" t="s">
        <v>2902</v>
      </c>
      <c r="L2976" s="108"/>
      <c r="M2976" s="581">
        <v>30.82</v>
      </c>
      <c r="N2976" s="573">
        <v>10.96</v>
      </c>
      <c r="O2976" s="556" t="str">
        <f>IF(N2976=M2976,"OK","DIF")</f>
        <v>DIF</v>
      </c>
      <c r="P2976" s="573"/>
      <c r="Q2976" s="556"/>
      <c r="R2976" s="582"/>
    </row>
    <row r="2977" ht="15" spans="1:18">
      <c r="A2977" s="556">
        <f>B2977</f>
        <v>0</v>
      </c>
      <c r="B2977" s="557">
        <f>B2976</f>
        <v>0</v>
      </c>
      <c r="C2977" s="571"/>
      <c r="D2977" s="571"/>
      <c r="E2977" s="571"/>
      <c r="F2977" s="571"/>
      <c r="G2977" s="571"/>
      <c r="H2977" s="571"/>
      <c r="I2977" s="571"/>
      <c r="J2977" s="571"/>
      <c r="K2977" s="571"/>
      <c r="L2977" s="571"/>
      <c r="M2977" s="571"/>
      <c r="N2977" s="573">
        <v>2.85</v>
      </c>
      <c r="O2977" s="556" t="str">
        <f>IF(N2977=M2977,"OK","DIF")</f>
        <v>DIF</v>
      </c>
      <c r="P2977" s="573"/>
      <c r="Q2977" s="556"/>
      <c r="R2977" s="582"/>
    </row>
    <row r="2978" ht="15" customHeight="1" spans="1:18">
      <c r="A2978" s="556">
        <f>B2978</f>
        <v>0</v>
      </c>
      <c r="B2978" s="557">
        <f>B2977</f>
        <v>0</v>
      </c>
      <c r="C2978" s="76" t="s">
        <v>1028</v>
      </c>
      <c r="D2978" s="75" t="s">
        <v>63</v>
      </c>
      <c r="E2978" s="76" t="s">
        <v>64</v>
      </c>
      <c r="F2978" s="76" t="s">
        <v>65</v>
      </c>
      <c r="G2978" s="76" t="s">
        <v>2889</v>
      </c>
      <c r="H2978" s="76"/>
      <c r="I2978" s="77" t="s">
        <v>66</v>
      </c>
      <c r="J2978" s="75" t="s">
        <v>67</v>
      </c>
      <c r="K2978" s="75" t="s">
        <v>2890</v>
      </c>
      <c r="L2978" s="75" t="s">
        <v>68</v>
      </c>
      <c r="M2978" s="75" t="s">
        <v>70</v>
      </c>
      <c r="N2978" s="573">
        <v>3.63</v>
      </c>
      <c r="O2978" s="556" t="str">
        <f>IF(N2978=M2978,"OK","DIF")</f>
        <v>DIF</v>
      </c>
      <c r="P2978" s="573"/>
      <c r="Q2978" s="556"/>
      <c r="R2978" s="582"/>
    </row>
    <row r="2979" ht="38.25" spans="1:18">
      <c r="A2979" s="556">
        <f>B2979</f>
        <v>0</v>
      </c>
      <c r="B2979" s="557">
        <f>B2978</f>
        <v>0</v>
      </c>
      <c r="C2979" s="569" t="s">
        <v>2891</v>
      </c>
      <c r="D2979" s="570" t="s">
        <v>1029</v>
      </c>
      <c r="E2979" s="569" t="s">
        <v>132</v>
      </c>
      <c r="F2979" s="569" t="s">
        <v>1030</v>
      </c>
      <c r="G2979" s="569">
        <v>15</v>
      </c>
      <c r="H2979" s="569"/>
      <c r="I2979" s="577" t="s">
        <v>134</v>
      </c>
      <c r="J2979" s="578">
        <v>1</v>
      </c>
      <c r="K2979" s="579"/>
      <c r="L2979" s="579">
        <v>22.6</v>
      </c>
      <c r="M2979" s="579">
        <v>22.6</v>
      </c>
      <c r="N2979" s="573">
        <v>4.48</v>
      </c>
      <c r="O2979" s="556" t="str">
        <f>IF(N2979=M2979,"OK","DIF")</f>
        <v>DIF</v>
      </c>
      <c r="P2979" s="573"/>
      <c r="Q2979" s="556"/>
      <c r="R2979" s="582"/>
    </row>
    <row r="2980" ht="23.85" customHeight="1" spans="1:18">
      <c r="A2980" s="556"/>
      <c r="B2980" s="557"/>
      <c r="C2980" s="79" t="s">
        <v>2921</v>
      </c>
      <c r="D2980" s="78" t="s">
        <v>3151</v>
      </c>
      <c r="E2980" s="79" t="s">
        <v>139</v>
      </c>
      <c r="F2980" s="79" t="s">
        <v>3152</v>
      </c>
      <c r="G2980" s="79" t="s">
        <v>2928</v>
      </c>
      <c r="H2980" s="79"/>
      <c r="I2980" s="80" t="s">
        <v>2897</v>
      </c>
      <c r="J2980" s="583">
        <v>0.109</v>
      </c>
      <c r="K2980" s="583">
        <v>0</v>
      </c>
      <c r="L2980" s="92">
        <v>36.82</v>
      </c>
      <c r="M2980" s="92">
        <v>4.01</v>
      </c>
      <c r="N2980" s="573"/>
      <c r="O2980" s="556"/>
      <c r="P2980" s="573"/>
      <c r="Q2980" s="556"/>
      <c r="R2980" s="582"/>
    </row>
    <row r="2981" ht="23.85" customHeight="1" spans="1:18">
      <c r="A2981" s="556"/>
      <c r="B2981" s="557"/>
      <c r="C2981" s="79" t="s">
        <v>2921</v>
      </c>
      <c r="D2981" s="78" t="s">
        <v>3153</v>
      </c>
      <c r="E2981" s="79" t="s">
        <v>139</v>
      </c>
      <c r="F2981" s="79" t="s">
        <v>3154</v>
      </c>
      <c r="G2981" s="79" t="s">
        <v>2928</v>
      </c>
      <c r="H2981" s="79"/>
      <c r="I2981" s="80" t="s">
        <v>2897</v>
      </c>
      <c r="J2981" s="583">
        <v>0.109</v>
      </c>
      <c r="K2981" s="583">
        <v>0</v>
      </c>
      <c r="L2981" s="92">
        <v>30.6</v>
      </c>
      <c r="M2981" s="92">
        <v>3.33</v>
      </c>
      <c r="N2981" s="573"/>
      <c r="O2981" s="556"/>
      <c r="P2981" s="573"/>
      <c r="Q2981" s="556"/>
      <c r="R2981" s="582"/>
    </row>
    <row r="2982" ht="15" customHeight="1" spans="1:18">
      <c r="A2982" s="556"/>
      <c r="B2982" s="557" t="str">
        <f>C2981</f>
        <v>Composição Auxiliar</v>
      </c>
      <c r="C2982" s="100" t="s">
        <v>2893</v>
      </c>
      <c r="D2982" s="99" t="s">
        <v>3978</v>
      </c>
      <c r="E2982" s="100" t="s">
        <v>132</v>
      </c>
      <c r="F2982" s="100" t="s">
        <v>3979</v>
      </c>
      <c r="G2982" s="100" t="s">
        <v>2961</v>
      </c>
      <c r="H2982" s="100"/>
      <c r="I2982" s="101" t="s">
        <v>134</v>
      </c>
      <c r="J2982" s="580">
        <v>1</v>
      </c>
      <c r="K2982" s="580">
        <v>0</v>
      </c>
      <c r="L2982" s="102">
        <v>15.26</v>
      </c>
      <c r="M2982" s="102">
        <v>15.26</v>
      </c>
      <c r="N2982" s="573">
        <v>18.06</v>
      </c>
      <c r="O2982" s="556" t="str">
        <f>IF(N2982=M2982,"OK","DIF")</f>
        <v>DIF</v>
      </c>
      <c r="P2982" s="573"/>
      <c r="Q2982" s="556"/>
      <c r="R2982" s="582"/>
    </row>
    <row r="2983" ht="25.5" spans="1:18">
      <c r="A2983" s="556" t="str">
        <f>B2983</f>
        <v>Composição Auxiliar</v>
      </c>
      <c r="B2983" s="557" t="str">
        <f>B2982</f>
        <v>Composição Auxiliar</v>
      </c>
      <c r="C2983" s="108"/>
      <c r="D2983" s="108"/>
      <c r="E2983" s="108"/>
      <c r="F2983" s="108"/>
      <c r="G2983" s="108"/>
      <c r="H2983" s="108" t="s">
        <v>2898</v>
      </c>
      <c r="I2983" s="581">
        <v>5.14</v>
      </c>
      <c r="J2983" s="108" t="s">
        <v>2899</v>
      </c>
      <c r="K2983" s="581">
        <v>0</v>
      </c>
      <c r="L2983" s="108" t="s">
        <v>2900</v>
      </c>
      <c r="M2983" s="581">
        <v>5.14</v>
      </c>
      <c r="N2983" s="573">
        <v>3.63</v>
      </c>
      <c r="O2983" s="556" t="str">
        <f>IF(N2983=M2983,"OK","DIF")</f>
        <v>DIF</v>
      </c>
      <c r="P2983" s="573"/>
      <c r="Q2983" s="556"/>
      <c r="R2983" s="582"/>
    </row>
    <row r="2984" ht="26.25" spans="1:18">
      <c r="A2984" s="556" t="str">
        <f>B2984</f>
        <v>Composição Auxiliar</v>
      </c>
      <c r="B2984" s="557" t="str">
        <f>B2983</f>
        <v>Composição Auxiliar</v>
      </c>
      <c r="C2984" s="108"/>
      <c r="D2984" s="108"/>
      <c r="E2984" s="108"/>
      <c r="F2984" s="108"/>
      <c r="G2984" s="108"/>
      <c r="H2984" s="108" t="s">
        <v>2901</v>
      </c>
      <c r="I2984" s="581">
        <v>5.76</v>
      </c>
      <c r="J2984" s="114"/>
      <c r="K2984" s="114" t="s">
        <v>2902</v>
      </c>
      <c r="L2984" s="108"/>
      <c r="M2984" s="581">
        <v>28.36</v>
      </c>
      <c r="N2984" s="573">
        <v>2.85</v>
      </c>
      <c r="O2984" s="556" t="str">
        <f>IF(N2984=M2984,"OK","DIF")</f>
        <v>DIF</v>
      </c>
      <c r="P2984" s="573"/>
      <c r="Q2984" s="556"/>
      <c r="R2984" s="582"/>
    </row>
    <row r="2985" ht="15" spans="1:18">
      <c r="A2985" s="556" t="str">
        <f>B2985</f>
        <v>Composição Auxiliar</v>
      </c>
      <c r="B2985" s="557" t="str">
        <f>B2984</f>
        <v>Composição Auxiliar</v>
      </c>
      <c r="C2985" s="571"/>
      <c r="D2985" s="571"/>
      <c r="E2985" s="571"/>
      <c r="F2985" s="571"/>
      <c r="G2985" s="571"/>
      <c r="H2985" s="571"/>
      <c r="I2985" s="571"/>
      <c r="J2985" s="571"/>
      <c r="K2985" s="571"/>
      <c r="L2985" s="571"/>
      <c r="M2985" s="571"/>
      <c r="N2985" s="573">
        <v>11.58</v>
      </c>
      <c r="O2985" s="556" t="str">
        <f>IF(N2985=M2985,"OK","DIF")</f>
        <v>DIF</v>
      </c>
      <c r="P2985" s="573"/>
      <c r="Q2985" s="556"/>
      <c r="R2985" s="582"/>
    </row>
    <row r="2986" ht="15" customHeight="1" spans="1:18">
      <c r="A2986" s="556"/>
      <c r="B2986" s="557"/>
      <c r="C2986" s="76" t="s">
        <v>1031</v>
      </c>
      <c r="D2986" s="75" t="s">
        <v>63</v>
      </c>
      <c r="E2986" s="76" t="s">
        <v>64</v>
      </c>
      <c r="F2986" s="76" t="s">
        <v>65</v>
      </c>
      <c r="G2986" s="76" t="s">
        <v>2889</v>
      </c>
      <c r="H2986" s="76"/>
      <c r="I2986" s="77" t="s">
        <v>66</v>
      </c>
      <c r="J2986" s="75" t="s">
        <v>67</v>
      </c>
      <c r="K2986" s="75" t="s">
        <v>2890</v>
      </c>
      <c r="L2986" s="75" t="s">
        <v>68</v>
      </c>
      <c r="M2986" s="75" t="s">
        <v>70</v>
      </c>
      <c r="N2986" s="573"/>
      <c r="O2986" s="556"/>
      <c r="P2986" s="573"/>
      <c r="Q2986" s="556"/>
      <c r="R2986" s="582"/>
    </row>
    <row r="2987" ht="38.25" spans="1:18">
      <c r="A2987" s="556"/>
      <c r="B2987" s="557"/>
      <c r="C2987" s="569" t="s">
        <v>2891</v>
      </c>
      <c r="D2987" s="570" t="s">
        <v>1032</v>
      </c>
      <c r="E2987" s="569" t="s">
        <v>132</v>
      </c>
      <c r="F2987" s="569" t="s">
        <v>1033</v>
      </c>
      <c r="G2987" s="569">
        <v>15</v>
      </c>
      <c r="H2987" s="569"/>
      <c r="I2987" s="577" t="s">
        <v>134</v>
      </c>
      <c r="J2987" s="578">
        <v>1</v>
      </c>
      <c r="K2987" s="579"/>
      <c r="L2987" s="579">
        <v>19.72</v>
      </c>
      <c r="M2987" s="579">
        <v>19.72</v>
      </c>
      <c r="N2987" s="573"/>
      <c r="O2987" s="556"/>
      <c r="P2987" s="573"/>
      <c r="Q2987" s="556"/>
      <c r="R2987" s="582"/>
    </row>
    <row r="2988" ht="23.85" customHeight="1" spans="1:18">
      <c r="A2988" s="556"/>
      <c r="B2988" s="557" t="str">
        <f>C2987</f>
        <v>Composição</v>
      </c>
      <c r="C2988" s="79" t="s">
        <v>2921</v>
      </c>
      <c r="D2988" s="78" t="s">
        <v>3153</v>
      </c>
      <c r="E2988" s="79" t="s">
        <v>139</v>
      </c>
      <c r="F2988" s="79" t="s">
        <v>3154</v>
      </c>
      <c r="G2988" s="79" t="s">
        <v>2928</v>
      </c>
      <c r="H2988" s="79"/>
      <c r="I2988" s="80" t="s">
        <v>2897</v>
      </c>
      <c r="J2988" s="583">
        <v>0.109</v>
      </c>
      <c r="K2988" s="583">
        <v>0</v>
      </c>
      <c r="L2988" s="92">
        <v>30.6</v>
      </c>
      <c r="M2988" s="92">
        <v>3.33</v>
      </c>
      <c r="N2988" s="573">
        <v>20.84</v>
      </c>
      <c r="O2988" s="556" t="str">
        <f>IF(N2988=M2988,"OK","DIF")</f>
        <v>DIF</v>
      </c>
      <c r="P2988" s="573"/>
      <c r="Q2988" s="556"/>
      <c r="R2988" s="582"/>
    </row>
    <row r="2989" ht="23.85" customHeight="1" spans="1:18">
      <c r="A2989" s="556" t="str">
        <f>B2989</f>
        <v>Composição</v>
      </c>
      <c r="B2989" s="557" t="str">
        <f>B2988</f>
        <v>Composição</v>
      </c>
      <c r="C2989" s="79" t="s">
        <v>2921</v>
      </c>
      <c r="D2989" s="78" t="s">
        <v>3151</v>
      </c>
      <c r="E2989" s="79" t="s">
        <v>139</v>
      </c>
      <c r="F2989" s="79" t="s">
        <v>3152</v>
      </c>
      <c r="G2989" s="79" t="s">
        <v>2928</v>
      </c>
      <c r="H2989" s="79"/>
      <c r="I2989" s="80" t="s">
        <v>2897</v>
      </c>
      <c r="J2989" s="583">
        <v>0.109</v>
      </c>
      <c r="K2989" s="583">
        <v>0</v>
      </c>
      <c r="L2989" s="92">
        <v>36.82</v>
      </c>
      <c r="M2989" s="92">
        <v>4.01</v>
      </c>
      <c r="N2989" s="573">
        <v>2.85</v>
      </c>
      <c r="O2989" s="556" t="str">
        <f>IF(N2989=M2989,"OK","DIF")</f>
        <v>DIF</v>
      </c>
      <c r="P2989" s="573"/>
      <c r="Q2989" s="556"/>
      <c r="R2989" s="582"/>
    </row>
    <row r="2990" ht="15" customHeight="1" spans="1:18">
      <c r="A2990" s="556" t="str">
        <f>B2990</f>
        <v>Composição</v>
      </c>
      <c r="B2990" s="557" t="str">
        <f>B2989</f>
        <v>Composição</v>
      </c>
      <c r="C2990" s="100" t="s">
        <v>2893</v>
      </c>
      <c r="D2990" s="99" t="s">
        <v>3980</v>
      </c>
      <c r="E2990" s="100" t="s">
        <v>132</v>
      </c>
      <c r="F2990" s="100" t="s">
        <v>3981</v>
      </c>
      <c r="G2990" s="100" t="s">
        <v>2961</v>
      </c>
      <c r="H2990" s="100"/>
      <c r="I2990" s="101" t="s">
        <v>134</v>
      </c>
      <c r="J2990" s="580">
        <v>1</v>
      </c>
      <c r="K2990" s="580">
        <v>0</v>
      </c>
      <c r="L2990" s="102">
        <v>12.38</v>
      </c>
      <c r="M2990" s="102">
        <v>12.38</v>
      </c>
      <c r="N2990" s="573">
        <v>3.63</v>
      </c>
      <c r="O2990" s="556" t="str">
        <f>IF(N2990=M2990,"OK","DIF")</f>
        <v>DIF</v>
      </c>
      <c r="P2990" s="573"/>
      <c r="Q2990" s="556"/>
      <c r="R2990" s="582"/>
    </row>
    <row r="2991" ht="25.5" spans="1:18">
      <c r="A2991" s="556" t="str">
        <f>B2991</f>
        <v>Composição</v>
      </c>
      <c r="B2991" s="557" t="str">
        <f>B2990</f>
        <v>Composição</v>
      </c>
      <c r="C2991" s="108"/>
      <c r="D2991" s="108"/>
      <c r="E2991" s="108"/>
      <c r="F2991" s="108"/>
      <c r="G2991" s="108"/>
      <c r="H2991" s="108" t="s">
        <v>2898</v>
      </c>
      <c r="I2991" s="581">
        <v>5.14</v>
      </c>
      <c r="J2991" s="108" t="s">
        <v>2899</v>
      </c>
      <c r="K2991" s="581">
        <v>0</v>
      </c>
      <c r="L2991" s="108" t="s">
        <v>2900</v>
      </c>
      <c r="M2991" s="581">
        <v>5.14</v>
      </c>
      <c r="N2991" s="573">
        <v>14.36</v>
      </c>
      <c r="O2991" s="556" t="str">
        <f>IF(N2991=M2991,"OK","DIF")</f>
        <v>DIF</v>
      </c>
      <c r="P2991" s="573"/>
      <c r="Q2991" s="556"/>
      <c r="R2991" s="582"/>
    </row>
    <row r="2992" ht="26.25" spans="1:18">
      <c r="A2992" s="556"/>
      <c r="B2992" s="557"/>
      <c r="C2992" s="108"/>
      <c r="D2992" s="108"/>
      <c r="E2992" s="108"/>
      <c r="F2992" s="108"/>
      <c r="G2992" s="108"/>
      <c r="H2992" s="108" t="s">
        <v>2901</v>
      </c>
      <c r="I2992" s="581">
        <v>5.02</v>
      </c>
      <c r="J2992" s="114"/>
      <c r="K2992" s="114" t="s">
        <v>2902</v>
      </c>
      <c r="L2992" s="108"/>
      <c r="M2992" s="581">
        <v>24.74</v>
      </c>
      <c r="N2992" s="573"/>
      <c r="O2992" s="556"/>
      <c r="P2992" s="573"/>
      <c r="Q2992" s="556"/>
      <c r="R2992" s="582"/>
    </row>
    <row r="2993" ht="15" spans="1:18">
      <c r="A2993" s="556"/>
      <c r="B2993" s="557"/>
      <c r="C2993" s="571"/>
      <c r="D2993" s="571"/>
      <c r="E2993" s="571"/>
      <c r="F2993" s="571"/>
      <c r="G2993" s="571"/>
      <c r="H2993" s="571"/>
      <c r="I2993" s="571"/>
      <c r="J2993" s="571"/>
      <c r="K2993" s="571"/>
      <c r="L2993" s="571"/>
      <c r="M2993" s="571"/>
      <c r="N2993" s="573"/>
      <c r="O2993" s="556"/>
      <c r="P2993" s="573"/>
      <c r="Q2993" s="556"/>
      <c r="R2993" s="582"/>
    </row>
    <row r="2994" ht="15" customHeight="1" spans="1:18">
      <c r="A2994" s="556"/>
      <c r="B2994" s="557">
        <f>C2993</f>
        <v>0</v>
      </c>
      <c r="C2994" s="76" t="s">
        <v>1034</v>
      </c>
      <c r="D2994" s="75" t="s">
        <v>63</v>
      </c>
      <c r="E2994" s="76" t="s">
        <v>64</v>
      </c>
      <c r="F2994" s="76" t="s">
        <v>65</v>
      </c>
      <c r="G2994" s="76" t="s">
        <v>2889</v>
      </c>
      <c r="H2994" s="76"/>
      <c r="I2994" s="77" t="s">
        <v>66</v>
      </c>
      <c r="J2994" s="75" t="s">
        <v>67</v>
      </c>
      <c r="K2994" s="75" t="s">
        <v>2890</v>
      </c>
      <c r="L2994" s="75" t="s">
        <v>68</v>
      </c>
      <c r="M2994" s="75" t="s">
        <v>70</v>
      </c>
      <c r="N2994" s="573">
        <v>11.33</v>
      </c>
      <c r="O2994" s="556" t="str">
        <f>IF(N2994=M2994,"OK","DIF")</f>
        <v>DIF</v>
      </c>
      <c r="P2994" s="573"/>
      <c r="Q2994" s="556"/>
      <c r="R2994" s="582"/>
    </row>
    <row r="2995" ht="38.25" spans="1:18">
      <c r="A2995" s="556">
        <f>B2995</f>
        <v>0</v>
      </c>
      <c r="B2995" s="557">
        <f>B2994</f>
        <v>0</v>
      </c>
      <c r="C2995" s="569" t="s">
        <v>2891</v>
      </c>
      <c r="D2995" s="570" t="s">
        <v>1035</v>
      </c>
      <c r="E2995" s="569" t="s">
        <v>132</v>
      </c>
      <c r="F2995" s="569" t="s">
        <v>1036</v>
      </c>
      <c r="G2995" s="569">
        <v>15</v>
      </c>
      <c r="H2995" s="569"/>
      <c r="I2995" s="577" t="s">
        <v>134</v>
      </c>
      <c r="J2995" s="578">
        <v>1</v>
      </c>
      <c r="K2995" s="579"/>
      <c r="L2995" s="579">
        <v>120.65</v>
      </c>
      <c r="M2995" s="579">
        <v>120.65</v>
      </c>
      <c r="N2995" s="573">
        <v>2.14</v>
      </c>
      <c r="O2995" s="556" t="str">
        <f>IF(N2995=M2995,"OK","DIF")</f>
        <v>DIF</v>
      </c>
      <c r="P2995" s="573"/>
      <c r="Q2995" s="556"/>
      <c r="R2995" s="582"/>
    </row>
    <row r="2996" ht="23.85" customHeight="1" spans="1:18">
      <c r="A2996" s="556">
        <f>B2996</f>
        <v>0</v>
      </c>
      <c r="B2996" s="557">
        <f>B2995</f>
        <v>0</v>
      </c>
      <c r="C2996" s="79" t="s">
        <v>2921</v>
      </c>
      <c r="D2996" s="78" t="s">
        <v>3151</v>
      </c>
      <c r="E2996" s="79" t="s">
        <v>139</v>
      </c>
      <c r="F2996" s="79" t="s">
        <v>3152</v>
      </c>
      <c r="G2996" s="79" t="s">
        <v>2928</v>
      </c>
      <c r="H2996" s="79"/>
      <c r="I2996" s="80" t="s">
        <v>2897</v>
      </c>
      <c r="J2996" s="583">
        <v>0.5</v>
      </c>
      <c r="K2996" s="583">
        <v>0</v>
      </c>
      <c r="L2996" s="92">
        <v>36.82</v>
      </c>
      <c r="M2996" s="92">
        <v>18.41</v>
      </c>
      <c r="N2996" s="573">
        <v>1.77</v>
      </c>
      <c r="O2996" s="556" t="str">
        <f>IF(N2996=M2996,"OK","DIF")</f>
        <v>DIF</v>
      </c>
      <c r="P2996" s="573"/>
      <c r="Q2996" s="556"/>
      <c r="R2996" s="582"/>
    </row>
    <row r="2997" ht="23.85" customHeight="1" spans="1:18">
      <c r="A2997" s="556">
        <f>B2997</f>
        <v>0</v>
      </c>
      <c r="B2997" s="557">
        <f>B2996</f>
        <v>0</v>
      </c>
      <c r="C2997" s="79" t="s">
        <v>2921</v>
      </c>
      <c r="D2997" s="78" t="s">
        <v>3153</v>
      </c>
      <c r="E2997" s="79" t="s">
        <v>139</v>
      </c>
      <c r="F2997" s="79" t="s">
        <v>3154</v>
      </c>
      <c r="G2997" s="79" t="s">
        <v>2928</v>
      </c>
      <c r="H2997" s="79"/>
      <c r="I2997" s="80" t="s">
        <v>2897</v>
      </c>
      <c r="J2997" s="583">
        <v>0.5</v>
      </c>
      <c r="K2997" s="583">
        <v>0</v>
      </c>
      <c r="L2997" s="92">
        <v>30.6</v>
      </c>
      <c r="M2997" s="92">
        <v>15.3</v>
      </c>
      <c r="N2997" s="573">
        <v>7.42</v>
      </c>
      <c r="O2997" s="556" t="str">
        <f>IF(N2997=M2997,"OK","DIF")</f>
        <v>DIF</v>
      </c>
      <c r="P2997" s="573"/>
      <c r="Q2997" s="556"/>
      <c r="R2997" s="582"/>
    </row>
    <row r="2998" ht="15" customHeight="1" spans="1:18">
      <c r="A2998" s="556"/>
      <c r="B2998" s="557"/>
      <c r="C2998" s="100" t="s">
        <v>2893</v>
      </c>
      <c r="D2998" s="99" t="s">
        <v>3982</v>
      </c>
      <c r="E2998" s="100" t="s">
        <v>132</v>
      </c>
      <c r="F2998" s="100" t="s">
        <v>3983</v>
      </c>
      <c r="G2998" s="100" t="s">
        <v>2961</v>
      </c>
      <c r="H2998" s="100"/>
      <c r="I2998" s="101" t="s">
        <v>134</v>
      </c>
      <c r="J2998" s="580">
        <v>1</v>
      </c>
      <c r="K2998" s="580">
        <v>0</v>
      </c>
      <c r="L2998" s="102">
        <v>86.94</v>
      </c>
      <c r="M2998" s="102">
        <v>86.94</v>
      </c>
      <c r="N2998" s="573"/>
      <c r="O2998" s="556"/>
      <c r="P2998" s="573"/>
      <c r="Q2998" s="556"/>
      <c r="R2998" s="582"/>
    </row>
    <row r="2999" ht="25.5" spans="1:18">
      <c r="A2999" s="556"/>
      <c r="B2999" s="557"/>
      <c r="C2999" s="108"/>
      <c r="D2999" s="108"/>
      <c r="E2999" s="108"/>
      <c r="F2999" s="108"/>
      <c r="G2999" s="108"/>
      <c r="H2999" s="108" t="s">
        <v>2898</v>
      </c>
      <c r="I2999" s="581">
        <v>23.65</v>
      </c>
      <c r="J2999" s="108" t="s">
        <v>2899</v>
      </c>
      <c r="K2999" s="581">
        <v>0</v>
      </c>
      <c r="L2999" s="108" t="s">
        <v>2900</v>
      </c>
      <c r="M2999" s="581">
        <v>23.65</v>
      </c>
      <c r="N2999" s="573"/>
      <c r="O2999" s="556"/>
      <c r="P2999" s="573"/>
      <c r="Q2999" s="556"/>
      <c r="R2999" s="582"/>
    </row>
    <row r="3000" ht="26.25" spans="1:18">
      <c r="A3000" s="556"/>
      <c r="B3000" s="557">
        <f>C2999</f>
        <v>0</v>
      </c>
      <c r="C3000" s="108"/>
      <c r="D3000" s="108"/>
      <c r="E3000" s="108"/>
      <c r="F3000" s="108"/>
      <c r="G3000" s="108"/>
      <c r="H3000" s="108" t="s">
        <v>2901</v>
      </c>
      <c r="I3000" s="581">
        <v>30.75</v>
      </c>
      <c r="J3000" s="114"/>
      <c r="K3000" s="114" t="s">
        <v>2902</v>
      </c>
      <c r="L3000" s="108"/>
      <c r="M3000" s="581">
        <v>151.4</v>
      </c>
      <c r="N3000" s="573">
        <v>4245.06</v>
      </c>
      <c r="O3000" s="556" t="str">
        <f>IF(N3000=M3000,"OK","DIF")</f>
        <v>DIF</v>
      </c>
      <c r="P3000" s="573"/>
      <c r="Q3000" s="556"/>
      <c r="R3000" s="582"/>
    </row>
    <row r="3001" ht="15" spans="1:18">
      <c r="A3001" s="556">
        <f>B3001</f>
        <v>0</v>
      </c>
      <c r="B3001" s="557">
        <f>B3000</f>
        <v>0</v>
      </c>
      <c r="C3001" s="571"/>
      <c r="D3001" s="571"/>
      <c r="E3001" s="571"/>
      <c r="F3001" s="571"/>
      <c r="G3001" s="571"/>
      <c r="H3001" s="571"/>
      <c r="I3001" s="571"/>
      <c r="J3001" s="571"/>
      <c r="K3001" s="571"/>
      <c r="L3001" s="571"/>
      <c r="M3001" s="571"/>
      <c r="N3001" s="573">
        <v>34.38</v>
      </c>
      <c r="O3001" s="556" t="str">
        <f>IF(N3001=M3001,"OK","DIF")</f>
        <v>DIF</v>
      </c>
      <c r="P3001" s="573"/>
      <c r="Q3001" s="556"/>
      <c r="R3001" s="582"/>
    </row>
    <row r="3002" ht="15" customHeight="1" spans="1:18">
      <c r="A3002" s="556">
        <f>B3002</f>
        <v>0</v>
      </c>
      <c r="B3002" s="557">
        <f>B3001</f>
        <v>0</v>
      </c>
      <c r="C3002" s="76" t="s">
        <v>1037</v>
      </c>
      <c r="D3002" s="75" t="s">
        <v>63</v>
      </c>
      <c r="E3002" s="76" t="s">
        <v>64</v>
      </c>
      <c r="F3002" s="76" t="s">
        <v>65</v>
      </c>
      <c r="G3002" s="76" t="s">
        <v>2889</v>
      </c>
      <c r="H3002" s="76"/>
      <c r="I3002" s="77" t="s">
        <v>66</v>
      </c>
      <c r="J3002" s="75" t="s">
        <v>67</v>
      </c>
      <c r="K3002" s="75" t="s">
        <v>2890</v>
      </c>
      <c r="L3002" s="75" t="s">
        <v>68</v>
      </c>
      <c r="M3002" s="75" t="s">
        <v>70</v>
      </c>
      <c r="N3002" s="573">
        <v>46.53</v>
      </c>
      <c r="O3002" s="556" t="str">
        <f>IF(N3002=M3002,"OK","DIF")</f>
        <v>DIF</v>
      </c>
      <c r="P3002" s="573"/>
      <c r="Q3002" s="556"/>
      <c r="R3002" s="582"/>
    </row>
    <row r="3003" ht="38.25" spans="1:18">
      <c r="A3003" s="556">
        <f>B3003</f>
        <v>0</v>
      </c>
      <c r="B3003" s="557">
        <f>B3002</f>
        <v>0</v>
      </c>
      <c r="C3003" s="569" t="s">
        <v>2891</v>
      </c>
      <c r="D3003" s="570" t="s">
        <v>1038</v>
      </c>
      <c r="E3003" s="569" t="s">
        <v>132</v>
      </c>
      <c r="F3003" s="569" t="s">
        <v>1039</v>
      </c>
      <c r="G3003" s="569">
        <v>15</v>
      </c>
      <c r="H3003" s="569"/>
      <c r="I3003" s="577" t="s">
        <v>134</v>
      </c>
      <c r="J3003" s="578">
        <v>1</v>
      </c>
      <c r="K3003" s="579"/>
      <c r="L3003" s="579">
        <v>114.65</v>
      </c>
      <c r="M3003" s="579">
        <v>114.65</v>
      </c>
      <c r="N3003" s="573">
        <v>4164.15</v>
      </c>
      <c r="O3003" s="556" t="str">
        <f>IF(N3003=M3003,"OK","DIF")</f>
        <v>DIF</v>
      </c>
      <c r="P3003" s="573"/>
      <c r="Q3003" s="556"/>
      <c r="R3003" s="582"/>
    </row>
    <row r="3004" ht="23.85" customHeight="1" spans="1:18">
      <c r="A3004" s="556"/>
      <c r="B3004" s="557"/>
      <c r="C3004" s="79" t="s">
        <v>2921</v>
      </c>
      <c r="D3004" s="78" t="s">
        <v>3153</v>
      </c>
      <c r="E3004" s="79" t="s">
        <v>139</v>
      </c>
      <c r="F3004" s="79" t="s">
        <v>3154</v>
      </c>
      <c r="G3004" s="79" t="s">
        <v>2928</v>
      </c>
      <c r="H3004" s="79"/>
      <c r="I3004" s="80" t="s">
        <v>2897</v>
      </c>
      <c r="J3004" s="583">
        <v>0.5</v>
      </c>
      <c r="K3004" s="583">
        <v>0</v>
      </c>
      <c r="L3004" s="92">
        <v>30.6</v>
      </c>
      <c r="M3004" s="92">
        <v>15.3</v>
      </c>
      <c r="N3004" s="573"/>
      <c r="O3004" s="556"/>
      <c r="P3004" s="573"/>
      <c r="Q3004" s="556"/>
      <c r="R3004" s="582"/>
    </row>
    <row r="3005" ht="23.85" customHeight="1" spans="1:18">
      <c r="A3005" s="556"/>
      <c r="B3005" s="557"/>
      <c r="C3005" s="79" t="s">
        <v>2921</v>
      </c>
      <c r="D3005" s="78" t="s">
        <v>3151</v>
      </c>
      <c r="E3005" s="79" t="s">
        <v>139</v>
      </c>
      <c r="F3005" s="79" t="s">
        <v>3152</v>
      </c>
      <c r="G3005" s="79" t="s">
        <v>2928</v>
      </c>
      <c r="H3005" s="79"/>
      <c r="I3005" s="80" t="s">
        <v>2897</v>
      </c>
      <c r="J3005" s="583">
        <v>0.5</v>
      </c>
      <c r="K3005" s="583">
        <v>0</v>
      </c>
      <c r="L3005" s="92">
        <v>36.82</v>
      </c>
      <c r="M3005" s="92">
        <v>18.41</v>
      </c>
      <c r="N3005" s="573"/>
      <c r="O3005" s="556"/>
      <c r="P3005" s="573"/>
      <c r="Q3005" s="556"/>
      <c r="R3005" s="582"/>
    </row>
    <row r="3006" ht="15" customHeight="1" spans="1:18">
      <c r="A3006" s="556"/>
      <c r="B3006" s="557" t="str">
        <f>C3005</f>
        <v>Composição Auxiliar</v>
      </c>
      <c r="C3006" s="100" t="s">
        <v>2893</v>
      </c>
      <c r="D3006" s="99" t="s">
        <v>3984</v>
      </c>
      <c r="E3006" s="100" t="s">
        <v>132</v>
      </c>
      <c r="F3006" s="100" t="s">
        <v>3985</v>
      </c>
      <c r="G3006" s="100" t="s">
        <v>2961</v>
      </c>
      <c r="H3006" s="100"/>
      <c r="I3006" s="101" t="s">
        <v>134</v>
      </c>
      <c r="J3006" s="580">
        <v>1</v>
      </c>
      <c r="K3006" s="580">
        <v>0</v>
      </c>
      <c r="L3006" s="102">
        <v>80.94</v>
      </c>
      <c r="M3006" s="102">
        <v>80.94</v>
      </c>
      <c r="N3006" s="573">
        <v>6.9</v>
      </c>
      <c r="O3006" s="556" t="str">
        <f>IF(N3006=M3006,"OK","DIF")</f>
        <v>DIF</v>
      </c>
      <c r="P3006" s="573"/>
      <c r="Q3006" s="556"/>
      <c r="R3006" s="582"/>
    </row>
    <row r="3007" ht="25.5" spans="1:18">
      <c r="A3007" s="556" t="str">
        <f>B3007</f>
        <v>Composição Auxiliar</v>
      </c>
      <c r="B3007" s="557" t="str">
        <f>B3006</f>
        <v>Composição Auxiliar</v>
      </c>
      <c r="C3007" s="108"/>
      <c r="D3007" s="108"/>
      <c r="E3007" s="108"/>
      <c r="F3007" s="108"/>
      <c r="G3007" s="108"/>
      <c r="H3007" s="108" t="s">
        <v>2898</v>
      </c>
      <c r="I3007" s="581">
        <v>23.65</v>
      </c>
      <c r="J3007" s="108" t="s">
        <v>2899</v>
      </c>
      <c r="K3007" s="581">
        <v>0</v>
      </c>
      <c r="L3007" s="108" t="s">
        <v>2900</v>
      </c>
      <c r="M3007" s="581">
        <v>23.65</v>
      </c>
      <c r="N3007" s="573">
        <v>0.95</v>
      </c>
      <c r="O3007" s="556" t="str">
        <f>IF(N3007=M3007,"OK","DIF")</f>
        <v>DIF</v>
      </c>
      <c r="P3007" s="573"/>
      <c r="Q3007" s="556"/>
      <c r="R3007" s="582"/>
    </row>
    <row r="3008" ht="26.25" spans="1:18">
      <c r="A3008" s="556" t="str">
        <f>B3008</f>
        <v>Composição Auxiliar</v>
      </c>
      <c r="B3008" s="557" t="str">
        <f>B3007</f>
        <v>Composição Auxiliar</v>
      </c>
      <c r="C3008" s="108"/>
      <c r="D3008" s="108"/>
      <c r="E3008" s="108"/>
      <c r="F3008" s="108"/>
      <c r="G3008" s="108"/>
      <c r="H3008" s="108" t="s">
        <v>2901</v>
      </c>
      <c r="I3008" s="581">
        <v>29.22</v>
      </c>
      <c r="J3008" s="114"/>
      <c r="K3008" s="114" t="s">
        <v>2902</v>
      </c>
      <c r="L3008" s="108"/>
      <c r="M3008" s="581">
        <v>143.87</v>
      </c>
      <c r="N3008" s="573">
        <v>0.79</v>
      </c>
      <c r="O3008" s="556" t="str">
        <f>IF(N3008=M3008,"OK","DIF")</f>
        <v>DIF</v>
      </c>
      <c r="P3008" s="573"/>
      <c r="Q3008" s="556"/>
      <c r="R3008" s="582"/>
    </row>
    <row r="3009" ht="15" spans="1:18">
      <c r="A3009" s="556" t="str">
        <f>B3009</f>
        <v>Composição Auxiliar</v>
      </c>
      <c r="B3009" s="557" t="str">
        <f>B3008</f>
        <v>Composição Auxiliar</v>
      </c>
      <c r="C3009" s="571"/>
      <c r="D3009" s="571"/>
      <c r="E3009" s="571"/>
      <c r="F3009" s="571"/>
      <c r="G3009" s="571"/>
      <c r="H3009" s="571"/>
      <c r="I3009" s="571"/>
      <c r="J3009" s="571"/>
      <c r="K3009" s="571"/>
      <c r="L3009" s="571"/>
      <c r="M3009" s="571"/>
      <c r="N3009" s="573">
        <v>5.07</v>
      </c>
      <c r="O3009" s="556" t="str">
        <f>IF(N3009=M3009,"OK","DIF")</f>
        <v>DIF</v>
      </c>
      <c r="P3009" s="573"/>
      <c r="Q3009" s="556"/>
      <c r="R3009" s="582"/>
    </row>
    <row r="3010" ht="15" customHeight="1" spans="1:18">
      <c r="A3010" s="556" t="str">
        <f>B3010</f>
        <v>Composição Auxiliar</v>
      </c>
      <c r="B3010" s="557" t="str">
        <f>B3009</f>
        <v>Composição Auxiliar</v>
      </c>
      <c r="C3010" s="76" t="s">
        <v>1040</v>
      </c>
      <c r="D3010" s="75" t="s">
        <v>63</v>
      </c>
      <c r="E3010" s="76" t="s">
        <v>64</v>
      </c>
      <c r="F3010" s="76" t="s">
        <v>65</v>
      </c>
      <c r="G3010" s="76" t="s">
        <v>2889</v>
      </c>
      <c r="H3010" s="76"/>
      <c r="I3010" s="77" t="s">
        <v>66</v>
      </c>
      <c r="J3010" s="75" t="s">
        <v>67</v>
      </c>
      <c r="K3010" s="75" t="s">
        <v>2890</v>
      </c>
      <c r="L3010" s="75" t="s">
        <v>68</v>
      </c>
      <c r="M3010" s="75" t="s">
        <v>70</v>
      </c>
      <c r="N3010" s="573">
        <v>0.09</v>
      </c>
      <c r="O3010" s="556" t="str">
        <f>IF(N3010=M3010,"OK","DIF")</f>
        <v>DIF</v>
      </c>
      <c r="P3010" s="573"/>
      <c r="Q3010" s="556"/>
      <c r="R3010" s="582"/>
    </row>
    <row r="3011" ht="38.25" spans="1:18">
      <c r="A3011" s="556"/>
      <c r="B3011" s="557"/>
      <c r="C3011" s="569" t="s">
        <v>2891</v>
      </c>
      <c r="D3011" s="570" t="s">
        <v>1041</v>
      </c>
      <c r="E3011" s="569" t="s">
        <v>132</v>
      </c>
      <c r="F3011" s="569" t="s">
        <v>1042</v>
      </c>
      <c r="G3011" s="569">
        <v>15</v>
      </c>
      <c r="H3011" s="569"/>
      <c r="I3011" s="577" t="s">
        <v>134</v>
      </c>
      <c r="J3011" s="578">
        <v>1</v>
      </c>
      <c r="K3011" s="579"/>
      <c r="L3011" s="579">
        <v>108.66</v>
      </c>
      <c r="M3011" s="579">
        <v>108.66</v>
      </c>
      <c r="N3011" s="573"/>
      <c r="O3011" s="556"/>
      <c r="P3011" s="573"/>
      <c r="Q3011" s="556"/>
      <c r="R3011" s="582"/>
    </row>
    <row r="3012" ht="23.85" customHeight="1" spans="1:18">
      <c r="A3012" s="556"/>
      <c r="B3012" s="557"/>
      <c r="C3012" s="79" t="s">
        <v>2921</v>
      </c>
      <c r="D3012" s="78" t="s">
        <v>3153</v>
      </c>
      <c r="E3012" s="79" t="s">
        <v>139</v>
      </c>
      <c r="F3012" s="79" t="s">
        <v>3154</v>
      </c>
      <c r="G3012" s="79" t="s">
        <v>2928</v>
      </c>
      <c r="H3012" s="79"/>
      <c r="I3012" s="80" t="s">
        <v>2897</v>
      </c>
      <c r="J3012" s="583">
        <v>0.5</v>
      </c>
      <c r="K3012" s="583">
        <v>0</v>
      </c>
      <c r="L3012" s="92">
        <v>30.6</v>
      </c>
      <c r="M3012" s="92">
        <v>15.3</v>
      </c>
      <c r="N3012" s="573"/>
      <c r="O3012" s="556"/>
      <c r="P3012" s="573"/>
      <c r="Q3012" s="556"/>
      <c r="R3012" s="582"/>
    </row>
    <row r="3013" ht="23.85" customHeight="1" spans="1:18">
      <c r="A3013" s="556"/>
      <c r="B3013" s="557" t="str">
        <f>C3012</f>
        <v>Composição Auxiliar</v>
      </c>
      <c r="C3013" s="79" t="s">
        <v>2921</v>
      </c>
      <c r="D3013" s="78" t="s">
        <v>3151</v>
      </c>
      <c r="E3013" s="79" t="s">
        <v>139</v>
      </c>
      <c r="F3013" s="79" t="s">
        <v>3152</v>
      </c>
      <c r="G3013" s="79" t="s">
        <v>2928</v>
      </c>
      <c r="H3013" s="79"/>
      <c r="I3013" s="80" t="s">
        <v>2897</v>
      </c>
      <c r="J3013" s="583">
        <v>0.5</v>
      </c>
      <c r="K3013" s="583">
        <v>0</v>
      </c>
      <c r="L3013" s="92">
        <v>36.82</v>
      </c>
      <c r="M3013" s="92">
        <v>18.41</v>
      </c>
      <c r="N3013" s="573">
        <v>6.79</v>
      </c>
      <c r="O3013" s="556" t="str">
        <f>IF(N3013=M3013,"OK","DIF")</f>
        <v>DIF</v>
      </c>
      <c r="P3013" s="573"/>
      <c r="Q3013" s="556"/>
      <c r="R3013" s="582"/>
    </row>
    <row r="3014" ht="15" customHeight="1" spans="1:18">
      <c r="A3014" s="556" t="str">
        <f>B3014</f>
        <v>Composição Auxiliar</v>
      </c>
      <c r="B3014" s="557" t="str">
        <f>B3013</f>
        <v>Composição Auxiliar</v>
      </c>
      <c r="C3014" s="100" t="s">
        <v>2893</v>
      </c>
      <c r="D3014" s="99" t="s">
        <v>3986</v>
      </c>
      <c r="E3014" s="100" t="s">
        <v>132</v>
      </c>
      <c r="F3014" s="100" t="s">
        <v>3987</v>
      </c>
      <c r="G3014" s="100" t="s">
        <v>2961</v>
      </c>
      <c r="H3014" s="100"/>
      <c r="I3014" s="101" t="s">
        <v>134</v>
      </c>
      <c r="J3014" s="580">
        <v>1</v>
      </c>
      <c r="K3014" s="580">
        <v>0</v>
      </c>
      <c r="L3014" s="102">
        <v>74.95</v>
      </c>
      <c r="M3014" s="102">
        <v>74.95</v>
      </c>
      <c r="N3014" s="573">
        <v>0.79</v>
      </c>
      <c r="O3014" s="556" t="str">
        <f>IF(N3014=M3014,"OK","DIF")</f>
        <v>DIF</v>
      </c>
      <c r="P3014" s="573"/>
      <c r="Q3014" s="556"/>
      <c r="R3014" s="582"/>
    </row>
    <row r="3015" ht="25.5" spans="1:18">
      <c r="A3015" s="556" t="str">
        <f>B3015</f>
        <v>Composição Auxiliar</v>
      </c>
      <c r="B3015" s="557" t="str">
        <f>B3014</f>
        <v>Composição Auxiliar</v>
      </c>
      <c r="C3015" s="108"/>
      <c r="D3015" s="108"/>
      <c r="E3015" s="108"/>
      <c r="F3015" s="108"/>
      <c r="G3015" s="108"/>
      <c r="H3015" s="108" t="s">
        <v>2898</v>
      </c>
      <c r="I3015" s="581">
        <v>23.65</v>
      </c>
      <c r="J3015" s="108" t="s">
        <v>2899</v>
      </c>
      <c r="K3015" s="581">
        <v>0</v>
      </c>
      <c r="L3015" s="108" t="s">
        <v>2900</v>
      </c>
      <c r="M3015" s="581">
        <v>23.65</v>
      </c>
      <c r="N3015" s="573">
        <v>0.95</v>
      </c>
      <c r="O3015" s="556" t="str">
        <f>IF(N3015=M3015,"OK","DIF")</f>
        <v>DIF</v>
      </c>
      <c r="P3015" s="573"/>
      <c r="Q3015" s="556"/>
      <c r="R3015" s="582"/>
    </row>
    <row r="3016" ht="26.25" spans="1:18">
      <c r="A3016" s="556" t="str">
        <f>B3016</f>
        <v>Composição Auxiliar</v>
      </c>
      <c r="B3016" s="557" t="str">
        <f>B3015</f>
        <v>Composição Auxiliar</v>
      </c>
      <c r="C3016" s="108"/>
      <c r="D3016" s="108"/>
      <c r="E3016" s="108"/>
      <c r="F3016" s="108"/>
      <c r="G3016" s="108"/>
      <c r="H3016" s="108" t="s">
        <v>2901</v>
      </c>
      <c r="I3016" s="581">
        <v>27.69</v>
      </c>
      <c r="J3016" s="114"/>
      <c r="K3016" s="114" t="s">
        <v>2902</v>
      </c>
      <c r="L3016" s="108"/>
      <c r="M3016" s="581">
        <v>136.35</v>
      </c>
      <c r="N3016" s="573">
        <v>0.09</v>
      </c>
      <c r="O3016" s="556" t="str">
        <f>IF(N3016=M3016,"OK","DIF")</f>
        <v>DIF</v>
      </c>
      <c r="P3016" s="573"/>
      <c r="Q3016" s="556"/>
      <c r="R3016" s="582"/>
    </row>
    <row r="3017" ht="15" spans="1:18">
      <c r="A3017" s="556" t="str">
        <f>B3017</f>
        <v>Composição Auxiliar</v>
      </c>
      <c r="B3017" s="557" t="str">
        <f>B3016</f>
        <v>Composição Auxiliar</v>
      </c>
      <c r="C3017" s="571"/>
      <c r="D3017" s="571"/>
      <c r="E3017" s="571"/>
      <c r="F3017" s="571"/>
      <c r="G3017" s="571"/>
      <c r="H3017" s="571"/>
      <c r="I3017" s="571"/>
      <c r="J3017" s="571"/>
      <c r="K3017" s="571"/>
      <c r="L3017" s="571"/>
      <c r="M3017" s="571"/>
      <c r="N3017" s="573">
        <v>4.96</v>
      </c>
      <c r="O3017" s="556" t="str">
        <f>IF(N3017=M3017,"OK","DIF")</f>
        <v>DIF</v>
      </c>
      <c r="P3017" s="573"/>
      <c r="Q3017" s="556"/>
      <c r="R3017" s="582"/>
    </row>
    <row r="3018" ht="15" customHeight="1" spans="1:18">
      <c r="A3018" s="556"/>
      <c r="B3018" s="557"/>
      <c r="C3018" s="76" t="s">
        <v>1043</v>
      </c>
      <c r="D3018" s="75" t="s">
        <v>63</v>
      </c>
      <c r="E3018" s="76" t="s">
        <v>64</v>
      </c>
      <c r="F3018" s="76" t="s">
        <v>65</v>
      </c>
      <c r="G3018" s="76" t="s">
        <v>2889</v>
      </c>
      <c r="H3018" s="76"/>
      <c r="I3018" s="77" t="s">
        <v>66</v>
      </c>
      <c r="J3018" s="75" t="s">
        <v>67</v>
      </c>
      <c r="K3018" s="75" t="s">
        <v>2890</v>
      </c>
      <c r="L3018" s="75" t="s">
        <v>68</v>
      </c>
      <c r="M3018" s="75" t="s">
        <v>70</v>
      </c>
      <c r="N3018" s="573"/>
      <c r="O3018" s="556"/>
      <c r="P3018" s="573"/>
      <c r="Q3018" s="556"/>
      <c r="R3018" s="582"/>
    </row>
    <row r="3019" ht="23.85" customHeight="1" spans="1:18">
      <c r="A3019" s="556"/>
      <c r="B3019" s="557"/>
      <c r="C3019" s="569" t="s">
        <v>2891</v>
      </c>
      <c r="D3019" s="570" t="s">
        <v>1044</v>
      </c>
      <c r="E3019" s="569" t="s">
        <v>149</v>
      </c>
      <c r="F3019" s="569" t="s">
        <v>1045</v>
      </c>
      <c r="G3019" s="569" t="s">
        <v>3953</v>
      </c>
      <c r="H3019" s="569"/>
      <c r="I3019" s="577" t="s">
        <v>134</v>
      </c>
      <c r="J3019" s="578">
        <v>1</v>
      </c>
      <c r="K3019" s="579"/>
      <c r="L3019" s="579">
        <v>211.65</v>
      </c>
      <c r="M3019" s="579">
        <v>211.65</v>
      </c>
      <c r="N3019" s="573"/>
      <c r="O3019" s="556"/>
      <c r="P3019" s="573"/>
      <c r="Q3019" s="556"/>
      <c r="R3019" s="582"/>
    </row>
    <row r="3020" ht="23.85" customHeight="1" spans="1:18">
      <c r="A3020" s="556"/>
      <c r="B3020" s="557" t="str">
        <f>C3019</f>
        <v>Composição</v>
      </c>
      <c r="C3020" s="100" t="s">
        <v>2893</v>
      </c>
      <c r="D3020" s="99" t="s">
        <v>3988</v>
      </c>
      <c r="E3020" s="100" t="s">
        <v>149</v>
      </c>
      <c r="F3020" s="100" t="s">
        <v>3989</v>
      </c>
      <c r="G3020" s="100" t="s">
        <v>2961</v>
      </c>
      <c r="H3020" s="100"/>
      <c r="I3020" s="101" t="s">
        <v>134</v>
      </c>
      <c r="J3020" s="580">
        <v>1</v>
      </c>
      <c r="K3020" s="580">
        <v>0</v>
      </c>
      <c r="L3020" s="102">
        <v>187.94</v>
      </c>
      <c r="M3020" s="102">
        <v>187.94</v>
      </c>
      <c r="N3020" s="573">
        <v>58722.9</v>
      </c>
      <c r="O3020" s="556" t="str">
        <f>IF(N3020=M3020,"OK","DIF")</f>
        <v>DIF</v>
      </c>
      <c r="P3020" s="573"/>
      <c r="Q3020" s="556"/>
      <c r="R3020" s="582"/>
    </row>
    <row r="3021" ht="15" customHeight="1" spans="1:18">
      <c r="A3021" s="556" t="str">
        <f>B3021</f>
        <v>Composição</v>
      </c>
      <c r="B3021" s="557" t="str">
        <f>B3020</f>
        <v>Composição</v>
      </c>
      <c r="C3021" s="100" t="s">
        <v>2893</v>
      </c>
      <c r="D3021" s="99" t="s">
        <v>2976</v>
      </c>
      <c r="E3021" s="100" t="s">
        <v>149</v>
      </c>
      <c r="F3021" s="100" t="s">
        <v>2977</v>
      </c>
      <c r="G3021" s="100" t="s">
        <v>2896</v>
      </c>
      <c r="H3021" s="100"/>
      <c r="I3021" s="101" t="s">
        <v>2897</v>
      </c>
      <c r="J3021" s="580">
        <v>0.5</v>
      </c>
      <c r="K3021" s="580">
        <v>0</v>
      </c>
      <c r="L3021" s="102">
        <v>20.515752</v>
      </c>
      <c r="M3021" s="102">
        <v>10.25</v>
      </c>
      <c r="N3021" s="573">
        <v>6.48</v>
      </c>
      <c r="O3021" s="556" t="str">
        <f>IF(N3021=M3021,"OK","DIF")</f>
        <v>DIF</v>
      </c>
      <c r="P3021" s="573"/>
      <c r="Q3021" s="556"/>
      <c r="R3021" s="582"/>
    </row>
    <row r="3022" ht="15" customHeight="1" spans="1:18">
      <c r="A3022" s="556" t="str">
        <f>B3022</f>
        <v>Composição</v>
      </c>
      <c r="B3022" s="557" t="str">
        <f>B3021</f>
        <v>Composição</v>
      </c>
      <c r="C3022" s="100" t="s">
        <v>2893</v>
      </c>
      <c r="D3022" s="99" t="s">
        <v>2986</v>
      </c>
      <c r="E3022" s="100" t="s">
        <v>149</v>
      </c>
      <c r="F3022" s="100" t="s">
        <v>2987</v>
      </c>
      <c r="G3022" s="100" t="s">
        <v>2896</v>
      </c>
      <c r="H3022" s="100"/>
      <c r="I3022" s="101" t="s">
        <v>2897</v>
      </c>
      <c r="J3022" s="580">
        <v>0.5</v>
      </c>
      <c r="K3022" s="580">
        <v>0</v>
      </c>
      <c r="L3022" s="102">
        <v>26.928256</v>
      </c>
      <c r="M3022" s="102">
        <v>13.46</v>
      </c>
      <c r="N3022" s="573">
        <v>10.49</v>
      </c>
      <c r="O3022" s="556" t="str">
        <f>IF(N3022=M3022,"OK","DIF")</f>
        <v>DIF</v>
      </c>
      <c r="P3022" s="573"/>
      <c r="Q3022" s="556"/>
      <c r="R3022" s="582"/>
    </row>
    <row r="3023" ht="25.5" spans="1:18">
      <c r="A3023" s="556" t="str">
        <f>B3023</f>
        <v>Composição</v>
      </c>
      <c r="B3023" s="557" t="str">
        <f>B3022</f>
        <v>Composição</v>
      </c>
      <c r="C3023" s="108"/>
      <c r="D3023" s="108"/>
      <c r="E3023" s="108"/>
      <c r="F3023" s="108"/>
      <c r="G3023" s="108"/>
      <c r="H3023" s="108" t="s">
        <v>2898</v>
      </c>
      <c r="I3023" s="581">
        <v>23.71</v>
      </c>
      <c r="J3023" s="108" t="s">
        <v>2899</v>
      </c>
      <c r="K3023" s="581">
        <v>0</v>
      </c>
      <c r="L3023" s="108" t="s">
        <v>2900</v>
      </c>
      <c r="M3023" s="581">
        <v>23.71</v>
      </c>
      <c r="N3023" s="573">
        <v>58705.9</v>
      </c>
      <c r="O3023" s="556" t="str">
        <f>IF(N3023=M3023,"OK","DIF")</f>
        <v>DIF</v>
      </c>
      <c r="P3023" s="573"/>
      <c r="Q3023" s="556"/>
      <c r="R3023" s="582"/>
    </row>
    <row r="3024" ht="26.25" spans="1:18">
      <c r="A3024" s="556" t="str">
        <f>B3024</f>
        <v>Composição</v>
      </c>
      <c r="B3024" s="557" t="str">
        <f>B3023</f>
        <v>Composição</v>
      </c>
      <c r="C3024" s="108"/>
      <c r="D3024" s="108"/>
      <c r="E3024" s="108"/>
      <c r="F3024" s="108"/>
      <c r="G3024" s="108"/>
      <c r="H3024" s="108" t="s">
        <v>2901</v>
      </c>
      <c r="I3024" s="581">
        <v>53.94</v>
      </c>
      <c r="J3024" s="114"/>
      <c r="K3024" s="114" t="s">
        <v>2902</v>
      </c>
      <c r="L3024" s="108"/>
      <c r="M3024" s="581">
        <v>265.59</v>
      </c>
      <c r="N3024" s="573">
        <v>0.03</v>
      </c>
      <c r="O3024" s="556" t="str">
        <f>IF(N3024=M3024,"OK","DIF")</f>
        <v>DIF</v>
      </c>
      <c r="P3024" s="573"/>
      <c r="Q3024" s="556"/>
      <c r="R3024" s="582"/>
    </row>
    <row r="3025" ht="15" spans="1:18">
      <c r="A3025" s="556"/>
      <c r="B3025" s="557"/>
      <c r="C3025" s="571"/>
      <c r="D3025" s="571"/>
      <c r="E3025" s="571"/>
      <c r="F3025" s="571"/>
      <c r="G3025" s="571"/>
      <c r="H3025" s="571"/>
      <c r="I3025" s="571"/>
      <c r="J3025" s="571"/>
      <c r="K3025" s="571"/>
      <c r="L3025" s="571"/>
      <c r="M3025" s="571"/>
      <c r="N3025" s="573"/>
      <c r="O3025" s="556"/>
      <c r="P3025" s="573"/>
      <c r="Q3025" s="556"/>
      <c r="R3025" s="582"/>
    </row>
    <row r="3026" ht="15" customHeight="1" spans="1:18">
      <c r="A3026" s="556"/>
      <c r="B3026" s="557"/>
      <c r="C3026" s="76" t="s">
        <v>1046</v>
      </c>
      <c r="D3026" s="75" t="s">
        <v>63</v>
      </c>
      <c r="E3026" s="76" t="s">
        <v>64</v>
      </c>
      <c r="F3026" s="76" t="s">
        <v>65</v>
      </c>
      <c r="G3026" s="76" t="s">
        <v>2889</v>
      </c>
      <c r="H3026" s="76"/>
      <c r="I3026" s="77" t="s">
        <v>66</v>
      </c>
      <c r="J3026" s="75" t="s">
        <v>67</v>
      </c>
      <c r="K3026" s="75" t="s">
        <v>2890</v>
      </c>
      <c r="L3026" s="75" t="s">
        <v>68</v>
      </c>
      <c r="M3026" s="75" t="s">
        <v>70</v>
      </c>
      <c r="N3026" s="573"/>
      <c r="O3026" s="556"/>
      <c r="P3026" s="573"/>
      <c r="Q3026" s="556"/>
      <c r="R3026" s="582"/>
    </row>
    <row r="3027" ht="23.85" customHeight="1" spans="1:18">
      <c r="A3027" s="556"/>
      <c r="B3027" s="557" t="str">
        <f>C3026</f>
        <v> 12.1.1.21 </v>
      </c>
      <c r="C3027" s="569" t="s">
        <v>2891</v>
      </c>
      <c r="D3027" s="570" t="s">
        <v>1047</v>
      </c>
      <c r="E3027" s="569" t="s">
        <v>149</v>
      </c>
      <c r="F3027" s="569" t="s">
        <v>1048</v>
      </c>
      <c r="G3027" s="569" t="s">
        <v>3953</v>
      </c>
      <c r="H3027" s="569"/>
      <c r="I3027" s="577" t="s">
        <v>134</v>
      </c>
      <c r="J3027" s="578">
        <v>1</v>
      </c>
      <c r="K3027" s="579"/>
      <c r="L3027" s="579">
        <v>23.71</v>
      </c>
      <c r="M3027" s="579">
        <v>23.71</v>
      </c>
      <c r="N3027" s="573">
        <v>3517.56</v>
      </c>
      <c r="O3027" s="556" t="str">
        <f>IF(N3027=M3027,"OK","DIF")</f>
        <v>DIF</v>
      </c>
      <c r="P3027" s="573"/>
      <c r="Q3027" s="556"/>
      <c r="R3027" s="582"/>
    </row>
    <row r="3028" ht="15" customHeight="1" spans="1:18">
      <c r="A3028" s="556" t="str">
        <f>B3028</f>
        <v> 12.1.1.21 </v>
      </c>
      <c r="B3028" s="557" t="str">
        <f>B3027</f>
        <v> 12.1.1.21 </v>
      </c>
      <c r="C3028" s="100" t="s">
        <v>2893</v>
      </c>
      <c r="D3028" s="99" t="s">
        <v>2976</v>
      </c>
      <c r="E3028" s="100" t="s">
        <v>149</v>
      </c>
      <c r="F3028" s="100" t="s">
        <v>2977</v>
      </c>
      <c r="G3028" s="100" t="s">
        <v>2896</v>
      </c>
      <c r="H3028" s="100"/>
      <c r="I3028" s="101" t="s">
        <v>2897</v>
      </c>
      <c r="J3028" s="580">
        <v>0.5</v>
      </c>
      <c r="K3028" s="580">
        <v>0</v>
      </c>
      <c r="L3028" s="102">
        <v>20.515752</v>
      </c>
      <c r="M3028" s="102">
        <v>10.25</v>
      </c>
      <c r="N3028" s="573">
        <v>10.49</v>
      </c>
      <c r="O3028" s="556" t="str">
        <f>IF(N3028=M3028,"OK","DIF")</f>
        <v>DIF</v>
      </c>
      <c r="P3028" s="573"/>
      <c r="Q3028" s="556"/>
      <c r="R3028" s="582"/>
    </row>
    <row r="3029" ht="15" customHeight="1" spans="1:18">
      <c r="A3029" s="556" t="str">
        <f>B3029</f>
        <v> 12.1.1.21 </v>
      </c>
      <c r="B3029" s="557" t="str">
        <f>B3028</f>
        <v> 12.1.1.21 </v>
      </c>
      <c r="C3029" s="100" t="s">
        <v>2893</v>
      </c>
      <c r="D3029" s="99" t="s">
        <v>2986</v>
      </c>
      <c r="E3029" s="100" t="s">
        <v>149</v>
      </c>
      <c r="F3029" s="100" t="s">
        <v>2987</v>
      </c>
      <c r="G3029" s="100" t="s">
        <v>2896</v>
      </c>
      <c r="H3029" s="100"/>
      <c r="I3029" s="101" t="s">
        <v>2897</v>
      </c>
      <c r="J3029" s="580">
        <v>0.5</v>
      </c>
      <c r="K3029" s="580">
        <v>0</v>
      </c>
      <c r="L3029" s="102">
        <v>26.928256</v>
      </c>
      <c r="M3029" s="102">
        <v>13.46</v>
      </c>
      <c r="N3029" s="573">
        <v>6.48</v>
      </c>
      <c r="O3029" s="556" t="str">
        <f>IF(N3029=M3029,"OK","DIF")</f>
        <v>DIF</v>
      </c>
      <c r="P3029" s="573"/>
      <c r="Q3029" s="556"/>
      <c r="R3029" s="582"/>
    </row>
    <row r="3030" ht="25.5" spans="1:18">
      <c r="A3030" s="556" t="str">
        <f>B3030</f>
        <v> 12.1.1.21 </v>
      </c>
      <c r="B3030" s="557" t="str">
        <f>B3029</f>
        <v> 12.1.1.21 </v>
      </c>
      <c r="C3030" s="108"/>
      <c r="D3030" s="108"/>
      <c r="E3030" s="108"/>
      <c r="F3030" s="108"/>
      <c r="G3030" s="108"/>
      <c r="H3030" s="108" t="s">
        <v>2898</v>
      </c>
      <c r="I3030" s="581">
        <v>23.71</v>
      </c>
      <c r="J3030" s="108" t="s">
        <v>2899</v>
      </c>
      <c r="K3030" s="581">
        <v>0</v>
      </c>
      <c r="L3030" s="108" t="s">
        <v>2900</v>
      </c>
      <c r="M3030" s="581">
        <v>23.71</v>
      </c>
      <c r="N3030" s="573">
        <v>3500.56</v>
      </c>
      <c r="O3030" s="556" t="str">
        <f>IF(N3030=M3030,"OK","DIF")</f>
        <v>DIF</v>
      </c>
      <c r="P3030" s="573"/>
      <c r="Q3030" s="556"/>
      <c r="R3030" s="582"/>
    </row>
    <row r="3031" ht="26.25" spans="1:18">
      <c r="A3031" s="556" t="str">
        <f>B3031</f>
        <v> 12.1.1.21 </v>
      </c>
      <c r="B3031" s="557" t="str">
        <f>B3030</f>
        <v> 12.1.1.21 </v>
      </c>
      <c r="C3031" s="108"/>
      <c r="D3031" s="108"/>
      <c r="E3031" s="108"/>
      <c r="F3031" s="108"/>
      <c r="G3031" s="108"/>
      <c r="H3031" s="108" t="s">
        <v>2901</v>
      </c>
      <c r="I3031" s="581">
        <v>6.04</v>
      </c>
      <c r="J3031" s="114"/>
      <c r="K3031" s="114" t="s">
        <v>2902</v>
      </c>
      <c r="L3031" s="108"/>
      <c r="M3031" s="581">
        <v>29.75</v>
      </c>
      <c r="N3031" s="573">
        <v>0.03</v>
      </c>
      <c r="O3031" s="556" t="str">
        <f>IF(N3031=M3031,"OK","DIF")</f>
        <v>DIF</v>
      </c>
      <c r="P3031" s="573"/>
      <c r="Q3031" s="556"/>
      <c r="R3031" s="582"/>
    </row>
    <row r="3032" ht="15" spans="1:18">
      <c r="A3032" s="556"/>
      <c r="B3032" s="557"/>
      <c r="C3032" s="571"/>
      <c r="D3032" s="571"/>
      <c r="E3032" s="571"/>
      <c r="F3032" s="571"/>
      <c r="G3032" s="571"/>
      <c r="H3032" s="571"/>
      <c r="I3032" s="571"/>
      <c r="J3032" s="571"/>
      <c r="K3032" s="571"/>
      <c r="L3032" s="571"/>
      <c r="M3032" s="571"/>
      <c r="N3032" s="573"/>
      <c r="O3032" s="556"/>
      <c r="P3032" s="573"/>
      <c r="Q3032" s="556"/>
      <c r="R3032" s="582"/>
    </row>
    <row r="3033" ht="15" customHeight="1" spans="1:18">
      <c r="A3033" s="556"/>
      <c r="B3033" s="557"/>
      <c r="C3033" s="76" t="s">
        <v>1049</v>
      </c>
      <c r="D3033" s="75" t="s">
        <v>63</v>
      </c>
      <c r="E3033" s="76" t="s">
        <v>64</v>
      </c>
      <c r="F3033" s="76" t="s">
        <v>65</v>
      </c>
      <c r="G3033" s="76" t="s">
        <v>2889</v>
      </c>
      <c r="H3033" s="76"/>
      <c r="I3033" s="77" t="s">
        <v>66</v>
      </c>
      <c r="J3033" s="75" t="s">
        <v>67</v>
      </c>
      <c r="K3033" s="75" t="s">
        <v>2890</v>
      </c>
      <c r="L3033" s="75" t="s">
        <v>68</v>
      </c>
      <c r="M3033" s="75" t="s">
        <v>70</v>
      </c>
      <c r="N3033" s="573"/>
      <c r="O3033" s="556"/>
      <c r="P3033" s="573"/>
      <c r="Q3033" s="556"/>
      <c r="R3033" s="582"/>
    </row>
    <row r="3034" ht="23.85" customHeight="1" spans="1:18">
      <c r="A3034" s="556"/>
      <c r="B3034" s="557" t="str">
        <f>C3033</f>
        <v> 12.1.1.22 </v>
      </c>
      <c r="C3034" s="569" t="s">
        <v>2891</v>
      </c>
      <c r="D3034" s="570" t="s">
        <v>1050</v>
      </c>
      <c r="E3034" s="569" t="s">
        <v>149</v>
      </c>
      <c r="F3034" s="569" t="s">
        <v>1051</v>
      </c>
      <c r="G3034" s="569" t="s">
        <v>3953</v>
      </c>
      <c r="H3034" s="569"/>
      <c r="I3034" s="577" t="s">
        <v>134</v>
      </c>
      <c r="J3034" s="578">
        <v>1</v>
      </c>
      <c r="K3034" s="579"/>
      <c r="L3034" s="579">
        <v>165.47</v>
      </c>
      <c r="M3034" s="579">
        <v>165.47</v>
      </c>
      <c r="N3034" s="573">
        <v>538.19</v>
      </c>
      <c r="O3034" s="556" t="str">
        <f>IF(N3034=M3034,"OK","DIF")</f>
        <v>DIF</v>
      </c>
      <c r="P3034" s="573"/>
      <c r="Q3034" s="556"/>
      <c r="R3034" s="582"/>
    </row>
    <row r="3035" ht="15" customHeight="1" spans="1:18">
      <c r="A3035" s="556" t="str">
        <f>B3035</f>
        <v> 12.1.1.22 </v>
      </c>
      <c r="B3035" s="557" t="str">
        <f>B3034</f>
        <v> 12.1.1.22 </v>
      </c>
      <c r="C3035" s="100" t="s">
        <v>2893</v>
      </c>
      <c r="D3035" s="99" t="s">
        <v>2976</v>
      </c>
      <c r="E3035" s="100" t="s">
        <v>149</v>
      </c>
      <c r="F3035" s="100" t="s">
        <v>2977</v>
      </c>
      <c r="G3035" s="100" t="s">
        <v>2896</v>
      </c>
      <c r="H3035" s="100"/>
      <c r="I3035" s="101" t="s">
        <v>2897</v>
      </c>
      <c r="J3035" s="580">
        <v>0.5</v>
      </c>
      <c r="K3035" s="580">
        <v>0</v>
      </c>
      <c r="L3035" s="102">
        <v>20.515752</v>
      </c>
      <c r="M3035" s="102">
        <v>10.25</v>
      </c>
      <c r="N3035" s="573">
        <v>6.29</v>
      </c>
      <c r="O3035" s="556" t="str">
        <f>IF(N3035=M3035,"OK","DIF")</f>
        <v>DIF</v>
      </c>
      <c r="P3035" s="573"/>
      <c r="Q3035" s="556"/>
      <c r="R3035" s="582"/>
    </row>
    <row r="3036" ht="23.85" customHeight="1" spans="1:18">
      <c r="A3036" s="556" t="str">
        <f>B3036</f>
        <v> 12.1.1.22 </v>
      </c>
      <c r="B3036" s="557" t="str">
        <f>B3035</f>
        <v> 12.1.1.22 </v>
      </c>
      <c r="C3036" s="100" t="s">
        <v>2893</v>
      </c>
      <c r="D3036" s="99" t="s">
        <v>3990</v>
      </c>
      <c r="E3036" s="100" t="s">
        <v>149</v>
      </c>
      <c r="F3036" s="100" t="s">
        <v>3991</v>
      </c>
      <c r="G3036" s="100" t="s">
        <v>2961</v>
      </c>
      <c r="H3036" s="100"/>
      <c r="I3036" s="101" t="s">
        <v>134</v>
      </c>
      <c r="J3036" s="580">
        <v>1</v>
      </c>
      <c r="K3036" s="580">
        <v>0</v>
      </c>
      <c r="L3036" s="102">
        <v>141.76</v>
      </c>
      <c r="M3036" s="102">
        <v>141.76</v>
      </c>
      <c r="N3036" s="573">
        <v>4.5</v>
      </c>
      <c r="O3036" s="556" t="str">
        <f>IF(N3036=M3036,"OK","DIF")</f>
        <v>DIF</v>
      </c>
      <c r="P3036" s="573"/>
      <c r="Q3036" s="556"/>
      <c r="R3036" s="582"/>
    </row>
    <row r="3037" ht="15" customHeight="1" spans="1:18">
      <c r="A3037" s="556" t="str">
        <f>B3037</f>
        <v> 12.1.1.22 </v>
      </c>
      <c r="B3037" s="557" t="str">
        <f>B3036</f>
        <v> 12.1.1.22 </v>
      </c>
      <c r="C3037" s="100" t="s">
        <v>2893</v>
      </c>
      <c r="D3037" s="99" t="s">
        <v>2986</v>
      </c>
      <c r="E3037" s="100" t="s">
        <v>149</v>
      </c>
      <c r="F3037" s="100" t="s">
        <v>2987</v>
      </c>
      <c r="G3037" s="100" t="s">
        <v>2896</v>
      </c>
      <c r="H3037" s="100"/>
      <c r="I3037" s="101" t="s">
        <v>2897</v>
      </c>
      <c r="J3037" s="580">
        <v>0.5</v>
      </c>
      <c r="K3037" s="580">
        <v>0</v>
      </c>
      <c r="L3037" s="102">
        <v>26.928256</v>
      </c>
      <c r="M3037" s="102">
        <v>13.46</v>
      </c>
      <c r="N3037" s="573">
        <v>0.03</v>
      </c>
      <c r="O3037" s="556" t="str">
        <f>IF(N3037=M3037,"OK","DIF")</f>
        <v>DIF</v>
      </c>
      <c r="P3037" s="573"/>
      <c r="Q3037" s="556"/>
      <c r="R3037" s="582"/>
    </row>
    <row r="3038" ht="25.5" spans="1:18">
      <c r="A3038" s="556" t="str">
        <f>B3038</f>
        <v> 12.1.1.22 </v>
      </c>
      <c r="B3038" s="557" t="str">
        <f>B3037</f>
        <v> 12.1.1.22 </v>
      </c>
      <c r="C3038" s="108"/>
      <c r="D3038" s="108"/>
      <c r="E3038" s="108"/>
      <c r="F3038" s="108"/>
      <c r="G3038" s="108"/>
      <c r="H3038" s="108" t="s">
        <v>2898</v>
      </c>
      <c r="I3038" s="581">
        <v>23.71</v>
      </c>
      <c r="J3038" s="108" t="s">
        <v>2899</v>
      </c>
      <c r="K3038" s="581">
        <v>0</v>
      </c>
      <c r="L3038" s="108" t="s">
        <v>2900</v>
      </c>
      <c r="M3038" s="581">
        <v>23.71</v>
      </c>
      <c r="N3038" s="573">
        <v>527.37</v>
      </c>
      <c r="O3038" s="556" t="str">
        <f>IF(N3038=M3038,"OK","DIF")</f>
        <v>DIF</v>
      </c>
      <c r="P3038" s="573"/>
      <c r="Q3038" s="556"/>
      <c r="R3038" s="582"/>
    </row>
    <row r="3039" ht="26.25" spans="1:18">
      <c r="A3039" s="556"/>
      <c r="B3039" s="557"/>
      <c r="C3039" s="108"/>
      <c r="D3039" s="108"/>
      <c r="E3039" s="108"/>
      <c r="F3039" s="108"/>
      <c r="G3039" s="108"/>
      <c r="H3039" s="108" t="s">
        <v>2901</v>
      </c>
      <c r="I3039" s="581">
        <v>42.17</v>
      </c>
      <c r="J3039" s="114"/>
      <c r="K3039" s="114" t="s">
        <v>2902</v>
      </c>
      <c r="L3039" s="108"/>
      <c r="M3039" s="581">
        <v>207.64</v>
      </c>
      <c r="N3039" s="573"/>
      <c r="O3039" s="556"/>
      <c r="P3039" s="573"/>
      <c r="Q3039" s="556"/>
      <c r="R3039" s="582"/>
    </row>
    <row r="3040" ht="15" spans="1:18">
      <c r="A3040" s="556"/>
      <c r="B3040" s="557"/>
      <c r="C3040" s="571"/>
      <c r="D3040" s="571"/>
      <c r="E3040" s="571"/>
      <c r="F3040" s="571"/>
      <c r="G3040" s="571"/>
      <c r="H3040" s="571"/>
      <c r="I3040" s="571"/>
      <c r="J3040" s="571"/>
      <c r="K3040" s="571"/>
      <c r="L3040" s="571"/>
      <c r="M3040" s="571"/>
      <c r="N3040" s="573"/>
      <c r="O3040" s="556"/>
      <c r="P3040" s="573"/>
      <c r="Q3040" s="556"/>
      <c r="R3040" s="582"/>
    </row>
    <row r="3041" ht="15" customHeight="1" spans="1:18">
      <c r="A3041" s="556"/>
      <c r="B3041" s="557">
        <f>C3040</f>
        <v>0</v>
      </c>
      <c r="C3041" s="76" t="s">
        <v>1052</v>
      </c>
      <c r="D3041" s="75" t="s">
        <v>63</v>
      </c>
      <c r="E3041" s="76" t="s">
        <v>64</v>
      </c>
      <c r="F3041" s="76" t="s">
        <v>65</v>
      </c>
      <c r="G3041" s="76" t="s">
        <v>2889</v>
      </c>
      <c r="H3041" s="76"/>
      <c r="I3041" s="77" t="s">
        <v>66</v>
      </c>
      <c r="J3041" s="75" t="s">
        <v>67</v>
      </c>
      <c r="K3041" s="75" t="s">
        <v>2890</v>
      </c>
      <c r="L3041" s="75" t="s">
        <v>68</v>
      </c>
      <c r="M3041" s="75" t="s">
        <v>70</v>
      </c>
      <c r="N3041" s="573">
        <v>5055.77</v>
      </c>
      <c r="O3041" s="556" t="str">
        <f>IF(N3041=M3041,"OK","DIF")</f>
        <v>DIF</v>
      </c>
      <c r="P3041" s="573"/>
      <c r="Q3041" s="556"/>
      <c r="R3041" s="582"/>
    </row>
    <row r="3042" ht="23.85" customHeight="1" spans="1:18">
      <c r="A3042" s="556">
        <f>B3042</f>
        <v>0</v>
      </c>
      <c r="B3042" s="557">
        <f>B3041</f>
        <v>0</v>
      </c>
      <c r="C3042" s="569" t="s">
        <v>2891</v>
      </c>
      <c r="D3042" s="570" t="s">
        <v>1053</v>
      </c>
      <c r="E3042" s="569" t="s">
        <v>149</v>
      </c>
      <c r="F3042" s="569" t="s">
        <v>1054</v>
      </c>
      <c r="G3042" s="569" t="s">
        <v>3953</v>
      </c>
      <c r="H3042" s="569"/>
      <c r="I3042" s="577" t="s">
        <v>134</v>
      </c>
      <c r="J3042" s="578">
        <v>1</v>
      </c>
      <c r="K3042" s="579"/>
      <c r="L3042" s="579">
        <v>103.31</v>
      </c>
      <c r="M3042" s="579">
        <v>103.31</v>
      </c>
      <c r="N3042" s="573">
        <v>31.48</v>
      </c>
      <c r="O3042" s="556" t="str">
        <f>IF(N3042=M3042,"OK","DIF")</f>
        <v>DIF</v>
      </c>
      <c r="P3042" s="573"/>
      <c r="Q3042" s="556"/>
      <c r="R3042" s="582"/>
    </row>
    <row r="3043" ht="15" customHeight="1" spans="1:18">
      <c r="A3043" s="556">
        <f>B3043</f>
        <v>0</v>
      </c>
      <c r="B3043" s="557">
        <f>B3042</f>
        <v>0</v>
      </c>
      <c r="C3043" s="100" t="s">
        <v>2893</v>
      </c>
      <c r="D3043" s="99" t="s">
        <v>2976</v>
      </c>
      <c r="E3043" s="100" t="s">
        <v>149</v>
      </c>
      <c r="F3043" s="100" t="s">
        <v>2977</v>
      </c>
      <c r="G3043" s="100" t="s">
        <v>2896</v>
      </c>
      <c r="H3043" s="100"/>
      <c r="I3043" s="101" t="s">
        <v>2897</v>
      </c>
      <c r="J3043" s="580">
        <v>0.5</v>
      </c>
      <c r="K3043" s="580">
        <v>0</v>
      </c>
      <c r="L3043" s="102">
        <v>20.515752</v>
      </c>
      <c r="M3043" s="102">
        <v>10.25</v>
      </c>
      <c r="N3043" s="573">
        <v>24.29</v>
      </c>
      <c r="O3043" s="556" t="str">
        <f>IF(N3043=M3043,"OK","DIF")</f>
        <v>DIF</v>
      </c>
      <c r="P3043" s="573"/>
      <c r="Q3043" s="556"/>
      <c r="R3043" s="582"/>
    </row>
    <row r="3044" ht="15" customHeight="1" spans="1:18">
      <c r="A3044" s="556">
        <f>B3044</f>
        <v>0</v>
      </c>
      <c r="B3044" s="557">
        <f>B3043</f>
        <v>0</v>
      </c>
      <c r="C3044" s="100" t="s">
        <v>2893</v>
      </c>
      <c r="D3044" s="99" t="s">
        <v>2986</v>
      </c>
      <c r="E3044" s="100" t="s">
        <v>149</v>
      </c>
      <c r="F3044" s="100" t="s">
        <v>2987</v>
      </c>
      <c r="G3044" s="100" t="s">
        <v>2896</v>
      </c>
      <c r="H3044" s="100"/>
      <c r="I3044" s="101" t="s">
        <v>2897</v>
      </c>
      <c r="J3044" s="580">
        <v>0.5</v>
      </c>
      <c r="K3044" s="580">
        <v>0</v>
      </c>
      <c r="L3044" s="102">
        <v>26.928256</v>
      </c>
      <c r="M3044" s="102">
        <v>13.46</v>
      </c>
      <c r="N3044" s="573">
        <v>5000</v>
      </c>
      <c r="O3044" s="556" t="str">
        <f>IF(N3044=M3044,"OK","DIF")</f>
        <v>DIF</v>
      </c>
      <c r="P3044" s="573"/>
      <c r="Q3044" s="556"/>
      <c r="R3044" s="582"/>
    </row>
    <row r="3045" ht="23.85" customHeight="1" spans="1:18">
      <c r="A3045" s="556"/>
      <c r="B3045" s="557"/>
      <c r="C3045" s="100" t="s">
        <v>2893</v>
      </c>
      <c r="D3045" s="99" t="s">
        <v>3992</v>
      </c>
      <c r="E3045" s="100" t="s">
        <v>149</v>
      </c>
      <c r="F3045" s="100" t="s">
        <v>3993</v>
      </c>
      <c r="G3045" s="100" t="s">
        <v>2961</v>
      </c>
      <c r="H3045" s="100"/>
      <c r="I3045" s="101" t="s">
        <v>134</v>
      </c>
      <c r="J3045" s="580">
        <v>1</v>
      </c>
      <c r="K3045" s="580">
        <v>0</v>
      </c>
      <c r="L3045" s="102">
        <v>79.6</v>
      </c>
      <c r="M3045" s="102">
        <v>79.6</v>
      </c>
      <c r="N3045" s="573"/>
      <c r="O3045" s="556"/>
      <c r="P3045" s="573"/>
      <c r="Q3045" s="556"/>
      <c r="R3045" s="582"/>
    </row>
    <row r="3046" ht="25.5" spans="1:18">
      <c r="A3046" s="556"/>
      <c r="B3046" s="557"/>
      <c r="C3046" s="108"/>
      <c r="D3046" s="108"/>
      <c r="E3046" s="108"/>
      <c r="F3046" s="108"/>
      <c r="G3046" s="108"/>
      <c r="H3046" s="108" t="s">
        <v>2898</v>
      </c>
      <c r="I3046" s="581">
        <v>23.71</v>
      </c>
      <c r="J3046" s="108" t="s">
        <v>2899</v>
      </c>
      <c r="K3046" s="581">
        <v>0</v>
      </c>
      <c r="L3046" s="108" t="s">
        <v>2900</v>
      </c>
      <c r="M3046" s="581">
        <v>23.71</v>
      </c>
      <c r="N3046" s="573"/>
      <c r="O3046" s="556"/>
      <c r="P3046" s="573"/>
      <c r="Q3046" s="556"/>
      <c r="R3046" s="582"/>
    </row>
    <row r="3047" ht="26.25" spans="1:18">
      <c r="A3047" s="556"/>
      <c r="B3047" s="557">
        <f>C3046</f>
        <v>0</v>
      </c>
      <c r="C3047" s="108"/>
      <c r="D3047" s="108"/>
      <c r="E3047" s="108"/>
      <c r="F3047" s="108"/>
      <c r="G3047" s="108"/>
      <c r="H3047" s="108" t="s">
        <v>2901</v>
      </c>
      <c r="I3047" s="581">
        <v>26.33</v>
      </c>
      <c r="J3047" s="114"/>
      <c r="K3047" s="114" t="s">
        <v>2902</v>
      </c>
      <c r="L3047" s="108"/>
      <c r="M3047" s="581">
        <v>129.64</v>
      </c>
      <c r="N3047" s="573">
        <v>4594.92</v>
      </c>
      <c r="O3047" s="556" t="str">
        <f>IF(N3047=M3047,"OK","DIF")</f>
        <v>DIF</v>
      </c>
      <c r="P3047" s="573"/>
      <c r="Q3047" s="556"/>
      <c r="R3047" s="582"/>
    </row>
    <row r="3048" ht="15" spans="1:18">
      <c r="A3048" s="556">
        <f>B3048</f>
        <v>0</v>
      </c>
      <c r="B3048" s="557">
        <f>B3047</f>
        <v>0</v>
      </c>
      <c r="C3048" s="571"/>
      <c r="D3048" s="571"/>
      <c r="E3048" s="571"/>
      <c r="F3048" s="571"/>
      <c r="G3048" s="571"/>
      <c r="H3048" s="571"/>
      <c r="I3048" s="571"/>
      <c r="J3048" s="571"/>
      <c r="K3048" s="571"/>
      <c r="L3048" s="571"/>
      <c r="M3048" s="571"/>
      <c r="N3048" s="573">
        <v>24.29</v>
      </c>
      <c r="O3048" s="556" t="str">
        <f>IF(N3048=M3048,"OK","DIF")</f>
        <v>DIF</v>
      </c>
      <c r="P3048" s="573"/>
      <c r="Q3048" s="556"/>
      <c r="R3048" s="582"/>
    </row>
    <row r="3049" ht="15" customHeight="1" spans="1:18">
      <c r="A3049" s="556">
        <f>B3049</f>
        <v>0</v>
      </c>
      <c r="B3049" s="557">
        <f>B3048</f>
        <v>0</v>
      </c>
      <c r="C3049" s="76" t="s">
        <v>1055</v>
      </c>
      <c r="D3049" s="75" t="s">
        <v>63</v>
      </c>
      <c r="E3049" s="76" t="s">
        <v>64</v>
      </c>
      <c r="F3049" s="76" t="s">
        <v>65</v>
      </c>
      <c r="G3049" s="76" t="s">
        <v>2889</v>
      </c>
      <c r="H3049" s="76"/>
      <c r="I3049" s="77" t="s">
        <v>66</v>
      </c>
      <c r="J3049" s="75" t="s">
        <v>67</v>
      </c>
      <c r="K3049" s="75" t="s">
        <v>2890</v>
      </c>
      <c r="L3049" s="75" t="s">
        <v>68</v>
      </c>
      <c r="M3049" s="75" t="s">
        <v>70</v>
      </c>
      <c r="N3049" s="573">
        <v>31.48</v>
      </c>
      <c r="O3049" s="556" t="str">
        <f>IF(N3049=M3049,"OK","DIF")</f>
        <v>DIF</v>
      </c>
      <c r="P3049" s="573"/>
      <c r="Q3049" s="556"/>
      <c r="R3049" s="582"/>
    </row>
    <row r="3050" ht="38.25" spans="1:18">
      <c r="A3050" s="556">
        <f>B3050</f>
        <v>0</v>
      </c>
      <c r="B3050" s="557">
        <f>B3049</f>
        <v>0</v>
      </c>
      <c r="C3050" s="569" t="s">
        <v>2891</v>
      </c>
      <c r="D3050" s="570" t="s">
        <v>1056</v>
      </c>
      <c r="E3050" s="569" t="s">
        <v>132</v>
      </c>
      <c r="F3050" s="569" t="s">
        <v>1057</v>
      </c>
      <c r="G3050" s="569">
        <v>15</v>
      </c>
      <c r="H3050" s="569"/>
      <c r="I3050" s="577" t="s">
        <v>134</v>
      </c>
      <c r="J3050" s="578">
        <v>1</v>
      </c>
      <c r="K3050" s="579"/>
      <c r="L3050" s="579">
        <v>112.71</v>
      </c>
      <c r="M3050" s="579">
        <v>112.71</v>
      </c>
      <c r="N3050" s="573">
        <v>4539.15</v>
      </c>
      <c r="O3050" s="556" t="str">
        <f>IF(N3050=M3050,"OK","DIF")</f>
        <v>DIF</v>
      </c>
      <c r="P3050" s="573"/>
      <c r="Q3050" s="556"/>
      <c r="R3050" s="582"/>
    </row>
    <row r="3051" ht="23.85" customHeight="1" spans="1:18">
      <c r="A3051" s="556"/>
      <c r="B3051" s="557"/>
      <c r="C3051" s="79" t="s">
        <v>2921</v>
      </c>
      <c r="D3051" s="78" t="s">
        <v>3153</v>
      </c>
      <c r="E3051" s="79" t="s">
        <v>139</v>
      </c>
      <c r="F3051" s="79" t="s">
        <v>3154</v>
      </c>
      <c r="G3051" s="79" t="s">
        <v>2928</v>
      </c>
      <c r="H3051" s="79"/>
      <c r="I3051" s="80" t="s">
        <v>2897</v>
      </c>
      <c r="J3051" s="583">
        <v>0.5</v>
      </c>
      <c r="K3051" s="583">
        <v>0</v>
      </c>
      <c r="L3051" s="92">
        <v>30.6</v>
      </c>
      <c r="M3051" s="92">
        <v>15.3</v>
      </c>
      <c r="N3051" s="573"/>
      <c r="O3051" s="556"/>
      <c r="P3051" s="573"/>
      <c r="Q3051" s="556"/>
      <c r="R3051" s="582"/>
    </row>
    <row r="3052" ht="23.85" customHeight="1" spans="1:18">
      <c r="A3052" s="556"/>
      <c r="B3052" s="557"/>
      <c r="C3052" s="79" t="s">
        <v>2921</v>
      </c>
      <c r="D3052" s="78" t="s">
        <v>3151</v>
      </c>
      <c r="E3052" s="79" t="s">
        <v>139</v>
      </c>
      <c r="F3052" s="79" t="s">
        <v>3152</v>
      </c>
      <c r="G3052" s="79" t="s">
        <v>2928</v>
      </c>
      <c r="H3052" s="79"/>
      <c r="I3052" s="80" t="s">
        <v>2897</v>
      </c>
      <c r="J3052" s="583">
        <v>0.5</v>
      </c>
      <c r="K3052" s="583">
        <v>0</v>
      </c>
      <c r="L3052" s="92">
        <v>36.82</v>
      </c>
      <c r="M3052" s="92">
        <v>18.41</v>
      </c>
      <c r="N3052" s="573"/>
      <c r="O3052" s="556"/>
      <c r="P3052" s="573"/>
      <c r="Q3052" s="556"/>
      <c r="R3052" s="582"/>
    </row>
    <row r="3053" ht="15" customHeight="1" spans="1:18">
      <c r="A3053" s="556"/>
      <c r="B3053" s="557" t="str">
        <f>C3052</f>
        <v>Composição Auxiliar</v>
      </c>
      <c r="C3053" s="100" t="s">
        <v>2893</v>
      </c>
      <c r="D3053" s="99" t="s">
        <v>3994</v>
      </c>
      <c r="E3053" s="100" t="s">
        <v>132</v>
      </c>
      <c r="F3053" s="100" t="s">
        <v>3995</v>
      </c>
      <c r="G3053" s="100" t="s">
        <v>2961</v>
      </c>
      <c r="H3053" s="100"/>
      <c r="I3053" s="101" t="s">
        <v>134</v>
      </c>
      <c r="J3053" s="580">
        <v>1</v>
      </c>
      <c r="K3053" s="580">
        <v>0</v>
      </c>
      <c r="L3053" s="102">
        <v>79</v>
      </c>
      <c r="M3053" s="102">
        <v>79</v>
      </c>
      <c r="N3053" s="573">
        <v>20392.15</v>
      </c>
      <c r="O3053" s="556" t="str">
        <f>IF(N3053=M3053,"OK","DIF")</f>
        <v>DIF</v>
      </c>
      <c r="P3053" s="573"/>
      <c r="Q3053" s="556"/>
      <c r="R3053" s="582"/>
    </row>
    <row r="3054" ht="25.5" spans="1:18">
      <c r="A3054" s="556" t="str">
        <f>B3054</f>
        <v>Composição Auxiliar</v>
      </c>
      <c r="B3054" s="557" t="str">
        <f>B3053</f>
        <v>Composição Auxiliar</v>
      </c>
      <c r="C3054" s="108"/>
      <c r="D3054" s="108"/>
      <c r="E3054" s="108"/>
      <c r="F3054" s="108"/>
      <c r="G3054" s="108"/>
      <c r="H3054" s="108" t="s">
        <v>2898</v>
      </c>
      <c r="I3054" s="581">
        <v>23.65</v>
      </c>
      <c r="J3054" s="108" t="s">
        <v>2899</v>
      </c>
      <c r="K3054" s="581">
        <v>0</v>
      </c>
      <c r="L3054" s="108" t="s">
        <v>2900</v>
      </c>
      <c r="M3054" s="581">
        <v>23.65</v>
      </c>
      <c r="N3054" s="573">
        <v>31.48</v>
      </c>
      <c r="O3054" s="556" t="str">
        <f>IF(N3054=M3054,"OK","DIF")</f>
        <v>DIF</v>
      </c>
      <c r="P3054" s="573"/>
      <c r="Q3054" s="556"/>
      <c r="R3054" s="582"/>
    </row>
    <row r="3055" ht="26.25" spans="1:18">
      <c r="A3055" s="556" t="str">
        <f>B3055</f>
        <v>Composição Auxiliar</v>
      </c>
      <c r="B3055" s="557" t="str">
        <f>B3054</f>
        <v>Composição Auxiliar</v>
      </c>
      <c r="C3055" s="108"/>
      <c r="D3055" s="108"/>
      <c r="E3055" s="108"/>
      <c r="F3055" s="108"/>
      <c r="G3055" s="108"/>
      <c r="H3055" s="108" t="s">
        <v>2901</v>
      </c>
      <c r="I3055" s="581">
        <v>28.72</v>
      </c>
      <c r="J3055" s="114"/>
      <c r="K3055" s="114" t="s">
        <v>2902</v>
      </c>
      <c r="L3055" s="108"/>
      <c r="M3055" s="581">
        <v>141.43</v>
      </c>
      <c r="N3055" s="573">
        <v>24.29</v>
      </c>
      <c r="O3055" s="556" t="str">
        <f>IF(N3055=M3055,"OK","DIF")</f>
        <v>DIF</v>
      </c>
      <c r="P3055" s="573"/>
      <c r="Q3055" s="556"/>
      <c r="R3055" s="582"/>
    </row>
    <row r="3056" ht="15" spans="1:18">
      <c r="A3056" s="556" t="str">
        <f>B3056</f>
        <v>Composição Auxiliar</v>
      </c>
      <c r="B3056" s="557" t="str">
        <f>B3055</f>
        <v>Composição Auxiliar</v>
      </c>
      <c r="C3056" s="571"/>
      <c r="D3056" s="571"/>
      <c r="E3056" s="571"/>
      <c r="F3056" s="571"/>
      <c r="G3056" s="571"/>
      <c r="H3056" s="571"/>
      <c r="I3056" s="571"/>
      <c r="J3056" s="571"/>
      <c r="K3056" s="571"/>
      <c r="L3056" s="571"/>
      <c r="M3056" s="571"/>
      <c r="N3056" s="573">
        <v>20336.38</v>
      </c>
      <c r="O3056" s="556" t="str">
        <f>IF(N3056=M3056,"OK","DIF")</f>
        <v>DIF</v>
      </c>
      <c r="P3056" s="573"/>
      <c r="Q3056" s="556"/>
      <c r="R3056" s="582"/>
    </row>
    <row r="3057" ht="15" customHeight="1" spans="1:18">
      <c r="A3057" s="556"/>
      <c r="B3057" s="557"/>
      <c r="C3057" s="76" t="s">
        <v>1058</v>
      </c>
      <c r="D3057" s="75" t="s">
        <v>63</v>
      </c>
      <c r="E3057" s="76" t="s">
        <v>64</v>
      </c>
      <c r="F3057" s="76" t="s">
        <v>65</v>
      </c>
      <c r="G3057" s="76" t="s">
        <v>2889</v>
      </c>
      <c r="H3057" s="76"/>
      <c r="I3057" s="77" t="s">
        <v>66</v>
      </c>
      <c r="J3057" s="75" t="s">
        <v>67</v>
      </c>
      <c r="K3057" s="75" t="s">
        <v>2890</v>
      </c>
      <c r="L3057" s="75" t="s">
        <v>68</v>
      </c>
      <c r="M3057" s="75" t="s">
        <v>70</v>
      </c>
      <c r="N3057" s="573"/>
      <c r="O3057" s="556"/>
      <c r="P3057" s="573"/>
      <c r="Q3057" s="556"/>
      <c r="R3057" s="582"/>
    </row>
    <row r="3058" ht="35.05" customHeight="1" spans="1:18">
      <c r="A3058" s="556"/>
      <c r="B3058" s="557"/>
      <c r="C3058" s="569" t="s">
        <v>2891</v>
      </c>
      <c r="D3058" s="570" t="s">
        <v>1059</v>
      </c>
      <c r="E3058" s="569" t="s">
        <v>132</v>
      </c>
      <c r="F3058" s="569" t="s">
        <v>1060</v>
      </c>
      <c r="G3058" s="569" t="s">
        <v>3996</v>
      </c>
      <c r="H3058" s="569"/>
      <c r="I3058" s="577" t="s">
        <v>204</v>
      </c>
      <c r="J3058" s="578">
        <v>1</v>
      </c>
      <c r="K3058" s="579"/>
      <c r="L3058" s="579">
        <v>15.34</v>
      </c>
      <c r="M3058" s="579">
        <v>15.34</v>
      </c>
      <c r="N3058" s="573"/>
      <c r="O3058" s="556"/>
      <c r="P3058" s="573"/>
      <c r="Q3058" s="556"/>
      <c r="R3058" s="582"/>
    </row>
    <row r="3059" ht="23.85" customHeight="1" spans="1:18">
      <c r="A3059" s="556"/>
      <c r="B3059" s="557" t="str">
        <f>C3058</f>
        <v>Composição</v>
      </c>
      <c r="C3059" s="79" t="s">
        <v>2921</v>
      </c>
      <c r="D3059" s="78" t="s">
        <v>3151</v>
      </c>
      <c r="E3059" s="79" t="s">
        <v>139</v>
      </c>
      <c r="F3059" s="79" t="s">
        <v>3152</v>
      </c>
      <c r="G3059" s="79" t="s">
        <v>2928</v>
      </c>
      <c r="H3059" s="79"/>
      <c r="I3059" s="80" t="s">
        <v>2897</v>
      </c>
      <c r="J3059" s="583">
        <v>0.0183333</v>
      </c>
      <c r="K3059" s="583">
        <v>0</v>
      </c>
      <c r="L3059" s="92">
        <v>36.82</v>
      </c>
      <c r="M3059" s="92">
        <v>0.67</v>
      </c>
      <c r="N3059" s="573">
        <v>1126.77</v>
      </c>
      <c r="O3059" s="556" t="str">
        <f>IF(N3059=M3059,"OK","DIF")</f>
        <v>DIF</v>
      </c>
      <c r="P3059" s="573"/>
      <c r="Q3059" s="556"/>
      <c r="R3059" s="582"/>
    </row>
    <row r="3060" ht="23.85" customHeight="1" spans="1:18">
      <c r="A3060" s="556" t="str">
        <f>B3060</f>
        <v>Composição</v>
      </c>
      <c r="B3060" s="557" t="str">
        <f>B3059</f>
        <v>Composição</v>
      </c>
      <c r="C3060" s="79" t="s">
        <v>2921</v>
      </c>
      <c r="D3060" s="78" t="s">
        <v>3153</v>
      </c>
      <c r="E3060" s="79" t="s">
        <v>139</v>
      </c>
      <c r="F3060" s="79" t="s">
        <v>3154</v>
      </c>
      <c r="G3060" s="79" t="s">
        <v>2928</v>
      </c>
      <c r="H3060" s="79"/>
      <c r="I3060" s="80" t="s">
        <v>2897</v>
      </c>
      <c r="J3060" s="583">
        <v>0.0733333</v>
      </c>
      <c r="K3060" s="583">
        <v>0</v>
      </c>
      <c r="L3060" s="92">
        <v>30.6</v>
      </c>
      <c r="M3060" s="92">
        <v>2.24</v>
      </c>
      <c r="N3060" s="573">
        <v>31.48</v>
      </c>
      <c r="O3060" s="556" t="str">
        <f>IF(N3060=M3060,"OK","DIF")</f>
        <v>DIF</v>
      </c>
      <c r="P3060" s="573"/>
      <c r="Q3060" s="556"/>
      <c r="R3060" s="582"/>
    </row>
    <row r="3061" ht="15" customHeight="1" spans="1:18">
      <c r="A3061" s="556" t="str">
        <f>B3061</f>
        <v>Composição</v>
      </c>
      <c r="B3061" s="557" t="str">
        <f>B3060</f>
        <v>Composição</v>
      </c>
      <c r="C3061" s="100" t="s">
        <v>2893</v>
      </c>
      <c r="D3061" s="99" t="s">
        <v>3997</v>
      </c>
      <c r="E3061" s="100" t="s">
        <v>139</v>
      </c>
      <c r="F3061" s="100" t="s">
        <v>3998</v>
      </c>
      <c r="G3061" s="100" t="s">
        <v>2961</v>
      </c>
      <c r="H3061" s="100"/>
      <c r="I3061" s="101" t="s">
        <v>204</v>
      </c>
      <c r="J3061" s="580">
        <v>0.292</v>
      </c>
      <c r="K3061" s="580">
        <v>0</v>
      </c>
      <c r="L3061" s="102">
        <v>4.06</v>
      </c>
      <c r="M3061" s="102">
        <v>1.18</v>
      </c>
      <c r="N3061" s="573">
        <v>24.29</v>
      </c>
      <c r="O3061" s="556" t="str">
        <f>IF(N3061=M3061,"OK","DIF")</f>
        <v>DIF</v>
      </c>
      <c r="P3061" s="573"/>
      <c r="Q3061" s="556"/>
      <c r="R3061" s="582"/>
    </row>
    <row r="3062" ht="15" customHeight="1" spans="1:18">
      <c r="A3062" s="556" t="str">
        <f>B3062</f>
        <v>Composição</v>
      </c>
      <c r="B3062" s="557" t="str">
        <f>B3061</f>
        <v>Composição</v>
      </c>
      <c r="C3062" s="100" t="s">
        <v>2893</v>
      </c>
      <c r="D3062" s="99" t="s">
        <v>3999</v>
      </c>
      <c r="E3062" s="100" t="s">
        <v>149</v>
      </c>
      <c r="F3062" s="100" t="s">
        <v>4000</v>
      </c>
      <c r="G3062" s="100" t="s">
        <v>2961</v>
      </c>
      <c r="H3062" s="100"/>
      <c r="I3062" s="101" t="s">
        <v>134</v>
      </c>
      <c r="J3062" s="580">
        <v>0.6666666</v>
      </c>
      <c r="K3062" s="580">
        <v>0</v>
      </c>
      <c r="L3062" s="102">
        <v>3.7</v>
      </c>
      <c r="M3062" s="102">
        <v>2.46</v>
      </c>
      <c r="N3062" s="573">
        <v>1071</v>
      </c>
      <c r="O3062" s="556" t="str">
        <f>IF(N3062=M3062,"OK","DIF")</f>
        <v>DIF</v>
      </c>
      <c r="P3062" s="573"/>
      <c r="Q3062" s="556"/>
      <c r="R3062" s="582"/>
    </row>
    <row r="3063" ht="23.85" customHeight="1" spans="1:18">
      <c r="A3063" s="556"/>
      <c r="B3063" s="557"/>
      <c r="C3063" s="100" t="s">
        <v>2893</v>
      </c>
      <c r="D3063" s="99" t="s">
        <v>3863</v>
      </c>
      <c r="E3063" s="100" t="s">
        <v>139</v>
      </c>
      <c r="F3063" s="100" t="s">
        <v>3864</v>
      </c>
      <c r="G3063" s="100" t="s">
        <v>2961</v>
      </c>
      <c r="H3063" s="100"/>
      <c r="I3063" s="101" t="s">
        <v>134</v>
      </c>
      <c r="J3063" s="580">
        <v>2.6666666</v>
      </c>
      <c r="K3063" s="580">
        <v>0</v>
      </c>
      <c r="L3063" s="102">
        <v>0.79</v>
      </c>
      <c r="M3063" s="102">
        <v>2.1</v>
      </c>
      <c r="N3063" s="573"/>
      <c r="O3063" s="556"/>
      <c r="P3063" s="573"/>
      <c r="Q3063" s="556"/>
      <c r="R3063" s="582"/>
    </row>
    <row r="3064" ht="15" customHeight="1" spans="1:18">
      <c r="A3064" s="556"/>
      <c r="B3064" s="557"/>
      <c r="C3064" s="100" t="s">
        <v>2893</v>
      </c>
      <c r="D3064" s="99" t="s">
        <v>4001</v>
      </c>
      <c r="E3064" s="100" t="s">
        <v>149</v>
      </c>
      <c r="F3064" s="100" t="s">
        <v>4002</v>
      </c>
      <c r="G3064" s="100" t="s">
        <v>2961</v>
      </c>
      <c r="H3064" s="100"/>
      <c r="I3064" s="101" t="s">
        <v>134</v>
      </c>
      <c r="J3064" s="580">
        <v>4</v>
      </c>
      <c r="K3064" s="580">
        <v>0</v>
      </c>
      <c r="L3064" s="102">
        <v>0.16</v>
      </c>
      <c r="M3064" s="102">
        <v>0.64</v>
      </c>
      <c r="N3064" s="573"/>
      <c r="O3064" s="556"/>
      <c r="P3064" s="573"/>
      <c r="Q3064" s="556"/>
      <c r="R3064" s="582"/>
    </row>
    <row r="3065" ht="15" customHeight="1" spans="1:18">
      <c r="A3065" s="556"/>
      <c r="B3065" s="557" t="str">
        <f>C3064</f>
        <v>Insumo</v>
      </c>
      <c r="C3065" s="100" t="s">
        <v>2893</v>
      </c>
      <c r="D3065" s="99" t="s">
        <v>4003</v>
      </c>
      <c r="E3065" s="100" t="s">
        <v>149</v>
      </c>
      <c r="F3065" s="100" t="s">
        <v>4004</v>
      </c>
      <c r="G3065" s="100" t="s">
        <v>2961</v>
      </c>
      <c r="H3065" s="100"/>
      <c r="I3065" s="101" t="s">
        <v>134</v>
      </c>
      <c r="J3065" s="580">
        <v>0.4</v>
      </c>
      <c r="K3065" s="580">
        <v>0</v>
      </c>
      <c r="L3065" s="102">
        <v>12.13</v>
      </c>
      <c r="M3065" s="102">
        <v>4.85</v>
      </c>
      <c r="N3065" s="573">
        <v>877.99</v>
      </c>
      <c r="O3065" s="556" t="str">
        <f>IF(N3065=M3065,"OK","DIF")</f>
        <v>DIF</v>
      </c>
      <c r="P3065" s="573"/>
      <c r="Q3065" s="556"/>
      <c r="R3065" s="582"/>
    </row>
    <row r="3066" ht="15" customHeight="1" spans="1:18">
      <c r="A3066" s="556" t="str">
        <f>B3066</f>
        <v>Insumo</v>
      </c>
      <c r="B3066" s="557" t="str">
        <f>B3065</f>
        <v>Insumo</v>
      </c>
      <c r="C3066" s="100" t="s">
        <v>2893</v>
      </c>
      <c r="D3066" s="99" t="s">
        <v>4005</v>
      </c>
      <c r="E3066" s="100" t="s">
        <v>139</v>
      </c>
      <c r="F3066" s="100" t="s">
        <v>4006</v>
      </c>
      <c r="G3066" s="100" t="s">
        <v>2961</v>
      </c>
      <c r="H3066" s="100"/>
      <c r="I3066" s="101" t="s">
        <v>134</v>
      </c>
      <c r="J3066" s="580">
        <v>4</v>
      </c>
      <c r="K3066" s="580">
        <v>0</v>
      </c>
      <c r="L3066" s="102">
        <v>0.3</v>
      </c>
      <c r="M3066" s="102">
        <v>1.2</v>
      </c>
      <c r="N3066" s="573">
        <v>31.48</v>
      </c>
      <c r="O3066" s="556" t="str">
        <f>IF(N3066=M3066,"OK","DIF")</f>
        <v>DIF</v>
      </c>
      <c r="P3066" s="573"/>
      <c r="Q3066" s="556"/>
      <c r="R3066" s="582"/>
    </row>
    <row r="3067" ht="25.5" spans="1:18">
      <c r="A3067" s="556" t="str">
        <f>B3067</f>
        <v>Insumo</v>
      </c>
      <c r="B3067" s="557" t="str">
        <f>B3066</f>
        <v>Insumo</v>
      </c>
      <c r="C3067" s="108"/>
      <c r="D3067" s="108"/>
      <c r="E3067" s="108"/>
      <c r="F3067" s="108"/>
      <c r="G3067" s="108"/>
      <c r="H3067" s="108" t="s">
        <v>2898</v>
      </c>
      <c r="I3067" s="581">
        <v>1.99</v>
      </c>
      <c r="J3067" s="108" t="s">
        <v>2899</v>
      </c>
      <c r="K3067" s="581">
        <v>0</v>
      </c>
      <c r="L3067" s="108" t="s">
        <v>2900</v>
      </c>
      <c r="M3067" s="581">
        <v>1.99</v>
      </c>
      <c r="N3067" s="573">
        <v>24.29</v>
      </c>
      <c r="O3067" s="556" t="str">
        <f>IF(N3067=M3067,"OK","DIF")</f>
        <v>DIF</v>
      </c>
      <c r="P3067" s="573"/>
      <c r="Q3067" s="556"/>
      <c r="R3067" s="582"/>
    </row>
    <row r="3068" ht="26.25" spans="1:18">
      <c r="A3068" s="556" t="str">
        <f>B3068</f>
        <v>Insumo</v>
      </c>
      <c r="B3068" s="557" t="str">
        <f>B3067</f>
        <v>Insumo</v>
      </c>
      <c r="C3068" s="108"/>
      <c r="D3068" s="108"/>
      <c r="E3068" s="108"/>
      <c r="F3068" s="108"/>
      <c r="G3068" s="108"/>
      <c r="H3068" s="108" t="s">
        <v>2901</v>
      </c>
      <c r="I3068" s="581">
        <v>3.91</v>
      </c>
      <c r="J3068" s="114"/>
      <c r="K3068" s="114" t="s">
        <v>2902</v>
      </c>
      <c r="L3068" s="108"/>
      <c r="M3068" s="581">
        <v>19.25</v>
      </c>
      <c r="N3068" s="573">
        <v>822.22</v>
      </c>
      <c r="O3068" s="556" t="str">
        <f>IF(N3068=M3068,"OK","DIF")</f>
        <v>DIF</v>
      </c>
      <c r="P3068" s="573"/>
      <c r="Q3068" s="556"/>
      <c r="R3068" s="582"/>
    </row>
    <row r="3069" ht="15" spans="1:18">
      <c r="A3069" s="556"/>
      <c r="B3069" s="557"/>
      <c r="C3069" s="571"/>
      <c r="D3069" s="571"/>
      <c r="E3069" s="571"/>
      <c r="F3069" s="571"/>
      <c r="G3069" s="571"/>
      <c r="H3069" s="571"/>
      <c r="I3069" s="571"/>
      <c r="J3069" s="571"/>
      <c r="K3069" s="571"/>
      <c r="L3069" s="571"/>
      <c r="M3069" s="571"/>
      <c r="N3069" s="573"/>
      <c r="O3069" s="556"/>
      <c r="P3069" s="573"/>
      <c r="Q3069" s="556"/>
      <c r="R3069" s="582"/>
    </row>
    <row r="3070" ht="15" customHeight="1" spans="1:18">
      <c r="A3070" s="556"/>
      <c r="B3070" s="557"/>
      <c r="C3070" s="76" t="s">
        <v>1061</v>
      </c>
      <c r="D3070" s="75" t="s">
        <v>63</v>
      </c>
      <c r="E3070" s="76" t="s">
        <v>64</v>
      </c>
      <c r="F3070" s="76" t="s">
        <v>65</v>
      </c>
      <c r="G3070" s="76" t="s">
        <v>2889</v>
      </c>
      <c r="H3070" s="76"/>
      <c r="I3070" s="77" t="s">
        <v>66</v>
      </c>
      <c r="J3070" s="75" t="s">
        <v>67</v>
      </c>
      <c r="K3070" s="75" t="s">
        <v>2890</v>
      </c>
      <c r="L3070" s="75" t="s">
        <v>68</v>
      </c>
      <c r="M3070" s="75" t="s">
        <v>70</v>
      </c>
      <c r="N3070" s="573"/>
      <c r="O3070" s="556"/>
      <c r="P3070" s="573"/>
      <c r="Q3070" s="556"/>
      <c r="R3070" s="582"/>
    </row>
    <row r="3071" ht="15" customHeight="1" spans="1:18">
      <c r="A3071" s="556"/>
      <c r="B3071" s="557" t="str">
        <f>C3070</f>
        <v> 12.1.1.26 </v>
      </c>
      <c r="C3071" s="569" t="s">
        <v>2891</v>
      </c>
      <c r="D3071" s="570" t="s">
        <v>1062</v>
      </c>
      <c r="E3071" s="569" t="s">
        <v>149</v>
      </c>
      <c r="F3071" s="569" t="s">
        <v>1063</v>
      </c>
      <c r="G3071" s="569" t="s">
        <v>4007</v>
      </c>
      <c r="H3071" s="569"/>
      <c r="I3071" s="577" t="s">
        <v>134</v>
      </c>
      <c r="J3071" s="578">
        <v>1</v>
      </c>
      <c r="K3071" s="579"/>
      <c r="L3071" s="579">
        <v>36.03</v>
      </c>
      <c r="M3071" s="579">
        <v>36.03</v>
      </c>
      <c r="N3071" s="573">
        <v>918.54</v>
      </c>
      <c r="O3071" s="556" t="str">
        <f>IF(N3071=M3071,"OK","DIF")</f>
        <v>DIF</v>
      </c>
      <c r="P3071" s="573"/>
      <c r="Q3071" s="556"/>
      <c r="R3071" s="582"/>
    </row>
    <row r="3072" ht="15" customHeight="1" spans="1:18">
      <c r="A3072" s="556" t="str">
        <f>B3072</f>
        <v> 12.1.1.26 </v>
      </c>
      <c r="B3072" s="557" t="str">
        <f>B3071</f>
        <v> 12.1.1.26 </v>
      </c>
      <c r="C3072" s="100" t="s">
        <v>2893</v>
      </c>
      <c r="D3072" s="99" t="s">
        <v>4008</v>
      </c>
      <c r="E3072" s="100" t="s">
        <v>149</v>
      </c>
      <c r="F3072" s="100" t="s">
        <v>4009</v>
      </c>
      <c r="G3072" s="100" t="s">
        <v>2961</v>
      </c>
      <c r="H3072" s="100"/>
      <c r="I3072" s="101" t="s">
        <v>134</v>
      </c>
      <c r="J3072" s="580">
        <v>1</v>
      </c>
      <c r="K3072" s="580">
        <v>0</v>
      </c>
      <c r="L3072" s="102">
        <v>3.6</v>
      </c>
      <c r="M3072" s="102">
        <v>3.6</v>
      </c>
      <c r="N3072" s="573">
        <v>31.48</v>
      </c>
      <c r="O3072" s="556" t="str">
        <f>IF(N3072=M3072,"OK","DIF")</f>
        <v>DIF</v>
      </c>
      <c r="P3072" s="573"/>
      <c r="Q3072" s="556"/>
      <c r="R3072" s="582"/>
    </row>
    <row r="3073" ht="15" customHeight="1" spans="1:18">
      <c r="A3073" s="556" t="str">
        <f>B3073</f>
        <v> 12.1.1.26 </v>
      </c>
      <c r="B3073" s="557" t="str">
        <f>B3072</f>
        <v> 12.1.1.26 </v>
      </c>
      <c r="C3073" s="100" t="s">
        <v>2893</v>
      </c>
      <c r="D3073" s="99" t="s">
        <v>2976</v>
      </c>
      <c r="E3073" s="100" t="s">
        <v>149</v>
      </c>
      <c r="F3073" s="100" t="s">
        <v>2977</v>
      </c>
      <c r="G3073" s="100" t="s">
        <v>2896</v>
      </c>
      <c r="H3073" s="100"/>
      <c r="I3073" s="101" t="s">
        <v>2897</v>
      </c>
      <c r="J3073" s="580">
        <v>0.1</v>
      </c>
      <c r="K3073" s="580">
        <v>0</v>
      </c>
      <c r="L3073" s="102">
        <v>20.515752</v>
      </c>
      <c r="M3073" s="102">
        <v>2.05</v>
      </c>
      <c r="N3073" s="573">
        <v>24.29</v>
      </c>
      <c r="O3073" s="556" t="str">
        <f>IF(N3073=M3073,"OK","DIF")</f>
        <v>DIF</v>
      </c>
      <c r="P3073" s="573"/>
      <c r="Q3073" s="556"/>
      <c r="R3073" s="582"/>
    </row>
    <row r="3074" ht="15" customHeight="1" spans="1:18">
      <c r="A3074" s="556" t="str">
        <f>B3074</f>
        <v> 12.1.1.26 </v>
      </c>
      <c r="B3074" s="557" t="str">
        <f>B3073</f>
        <v> 12.1.1.26 </v>
      </c>
      <c r="C3074" s="100" t="s">
        <v>2893</v>
      </c>
      <c r="D3074" s="99" t="s">
        <v>2986</v>
      </c>
      <c r="E3074" s="100" t="s">
        <v>149</v>
      </c>
      <c r="F3074" s="100" t="s">
        <v>2987</v>
      </c>
      <c r="G3074" s="100" t="s">
        <v>2896</v>
      </c>
      <c r="H3074" s="100"/>
      <c r="I3074" s="101" t="s">
        <v>2897</v>
      </c>
      <c r="J3074" s="580">
        <v>0.2</v>
      </c>
      <c r="K3074" s="580">
        <v>0</v>
      </c>
      <c r="L3074" s="102">
        <v>26.928256</v>
      </c>
      <c r="M3074" s="102">
        <v>5.38</v>
      </c>
      <c r="N3074" s="573">
        <v>862.77</v>
      </c>
      <c r="O3074" s="556" t="str">
        <f>IF(N3074=M3074,"OK","DIF")</f>
        <v>DIF</v>
      </c>
      <c r="P3074" s="573"/>
      <c r="Q3074" s="556"/>
      <c r="R3074" s="582"/>
    </row>
    <row r="3075" ht="15" customHeight="1" spans="1:18">
      <c r="A3075" s="556"/>
      <c r="B3075" s="557"/>
      <c r="C3075" s="100" t="s">
        <v>2893</v>
      </c>
      <c r="D3075" s="99" t="s">
        <v>4010</v>
      </c>
      <c r="E3075" s="100" t="s">
        <v>149</v>
      </c>
      <c r="F3075" s="100" t="s">
        <v>4011</v>
      </c>
      <c r="G3075" s="100" t="s">
        <v>2961</v>
      </c>
      <c r="H3075" s="100"/>
      <c r="I3075" s="101" t="s">
        <v>2925</v>
      </c>
      <c r="J3075" s="580">
        <v>0.1</v>
      </c>
      <c r="K3075" s="580">
        <v>0</v>
      </c>
      <c r="L3075" s="102">
        <v>250</v>
      </c>
      <c r="M3075" s="102">
        <v>25</v>
      </c>
      <c r="N3075" s="573"/>
      <c r="O3075" s="556"/>
      <c r="P3075" s="573"/>
      <c r="Q3075" s="556"/>
      <c r="R3075" s="582"/>
    </row>
    <row r="3076" ht="25.5" spans="1:18">
      <c r="A3076" s="556"/>
      <c r="B3076" s="557"/>
      <c r="C3076" s="108"/>
      <c r="D3076" s="108"/>
      <c r="E3076" s="108"/>
      <c r="F3076" s="108"/>
      <c r="G3076" s="108"/>
      <c r="H3076" s="108" t="s">
        <v>2898</v>
      </c>
      <c r="I3076" s="581">
        <v>7.43</v>
      </c>
      <c r="J3076" s="108" t="s">
        <v>2899</v>
      </c>
      <c r="K3076" s="581">
        <v>0</v>
      </c>
      <c r="L3076" s="108" t="s">
        <v>2900</v>
      </c>
      <c r="M3076" s="581">
        <v>7.43</v>
      </c>
      <c r="N3076" s="573"/>
      <c r="O3076" s="556"/>
      <c r="P3076" s="573"/>
      <c r="Q3076" s="556"/>
      <c r="R3076" s="582"/>
    </row>
    <row r="3077" ht="26.25" spans="1:18">
      <c r="A3077" s="556"/>
      <c r="B3077" s="557">
        <f>C3076</f>
        <v>0</v>
      </c>
      <c r="C3077" s="108"/>
      <c r="D3077" s="108"/>
      <c r="E3077" s="108"/>
      <c r="F3077" s="108"/>
      <c r="G3077" s="108"/>
      <c r="H3077" s="108" t="s">
        <v>2901</v>
      </c>
      <c r="I3077" s="581">
        <v>9.18</v>
      </c>
      <c r="J3077" s="114"/>
      <c r="K3077" s="114" t="s">
        <v>2902</v>
      </c>
      <c r="L3077" s="108"/>
      <c r="M3077" s="581">
        <v>45.21</v>
      </c>
      <c r="N3077" s="573">
        <v>1214.86</v>
      </c>
      <c r="O3077" s="556" t="str">
        <f>IF(N3077=M3077,"OK","DIF")</f>
        <v>DIF</v>
      </c>
      <c r="P3077" s="573"/>
      <c r="Q3077" s="556"/>
      <c r="R3077" s="582"/>
    </row>
    <row r="3078" ht="15" spans="1:18">
      <c r="A3078" s="556">
        <f>B3078</f>
        <v>0</v>
      </c>
      <c r="B3078" s="557">
        <f>B3077</f>
        <v>0</v>
      </c>
      <c r="C3078" s="571"/>
      <c r="D3078" s="571"/>
      <c r="E3078" s="571"/>
      <c r="F3078" s="571"/>
      <c r="G3078" s="571"/>
      <c r="H3078" s="571"/>
      <c r="I3078" s="571"/>
      <c r="J3078" s="571"/>
      <c r="K3078" s="571"/>
      <c r="L3078" s="571"/>
      <c r="M3078" s="571"/>
      <c r="N3078" s="573">
        <v>24.29</v>
      </c>
      <c r="O3078" s="556" t="str">
        <f>IF(N3078=M3078,"OK","DIF")</f>
        <v>DIF</v>
      </c>
      <c r="P3078" s="573"/>
      <c r="Q3078" s="556"/>
      <c r="R3078" s="582"/>
    </row>
    <row r="3079" ht="15" customHeight="1" spans="1:18">
      <c r="A3079" s="556">
        <f>B3079</f>
        <v>0</v>
      </c>
      <c r="B3079" s="557">
        <f>B3078</f>
        <v>0</v>
      </c>
      <c r="C3079" s="76" t="s">
        <v>1064</v>
      </c>
      <c r="D3079" s="75" t="s">
        <v>63</v>
      </c>
      <c r="E3079" s="76" t="s">
        <v>64</v>
      </c>
      <c r="F3079" s="76" t="s">
        <v>65</v>
      </c>
      <c r="G3079" s="76" t="s">
        <v>2889</v>
      </c>
      <c r="H3079" s="76"/>
      <c r="I3079" s="77" t="s">
        <v>66</v>
      </c>
      <c r="J3079" s="75" t="s">
        <v>67</v>
      </c>
      <c r="K3079" s="75" t="s">
        <v>2890</v>
      </c>
      <c r="L3079" s="75" t="s">
        <v>68</v>
      </c>
      <c r="M3079" s="75" t="s">
        <v>70</v>
      </c>
      <c r="N3079" s="573">
        <v>31.48</v>
      </c>
      <c r="O3079" s="556" t="str">
        <f>IF(N3079=M3079,"OK","DIF")</f>
        <v>DIF</v>
      </c>
      <c r="P3079" s="573"/>
      <c r="Q3079" s="556"/>
      <c r="R3079" s="582"/>
    </row>
    <row r="3080" ht="38.25" spans="1:18">
      <c r="A3080" s="556">
        <f>B3080</f>
        <v>0</v>
      </c>
      <c r="B3080" s="557">
        <f>B3079</f>
        <v>0</v>
      </c>
      <c r="C3080" s="569" t="s">
        <v>2891</v>
      </c>
      <c r="D3080" s="570" t="s">
        <v>1065</v>
      </c>
      <c r="E3080" s="569" t="s">
        <v>132</v>
      </c>
      <c r="F3080" s="569" t="s">
        <v>1066</v>
      </c>
      <c r="G3080" s="569">
        <v>15</v>
      </c>
      <c r="H3080" s="569"/>
      <c r="I3080" s="577" t="s">
        <v>204</v>
      </c>
      <c r="J3080" s="578">
        <v>1</v>
      </c>
      <c r="K3080" s="579"/>
      <c r="L3080" s="579">
        <v>67.42</v>
      </c>
      <c r="M3080" s="579">
        <v>67.42</v>
      </c>
      <c r="N3080" s="573">
        <v>1159.09</v>
      </c>
      <c r="O3080" s="556" t="str">
        <f>IF(N3080=M3080,"OK","DIF")</f>
        <v>DIF</v>
      </c>
      <c r="P3080" s="573"/>
      <c r="Q3080" s="556"/>
      <c r="R3080" s="582"/>
    </row>
    <row r="3081" ht="23.85" customHeight="1" spans="1:18">
      <c r="A3081" s="556"/>
      <c r="B3081" s="557"/>
      <c r="C3081" s="79" t="s">
        <v>2921</v>
      </c>
      <c r="D3081" s="78" t="s">
        <v>3151</v>
      </c>
      <c r="E3081" s="79" t="s">
        <v>139</v>
      </c>
      <c r="F3081" s="79" t="s">
        <v>3152</v>
      </c>
      <c r="G3081" s="79" t="s">
        <v>2928</v>
      </c>
      <c r="H3081" s="79"/>
      <c r="I3081" s="80" t="s">
        <v>2897</v>
      </c>
      <c r="J3081" s="583">
        <v>1</v>
      </c>
      <c r="K3081" s="583">
        <v>0</v>
      </c>
      <c r="L3081" s="92">
        <v>36.82</v>
      </c>
      <c r="M3081" s="92">
        <v>36.82</v>
      </c>
      <c r="N3081" s="573"/>
      <c r="O3081" s="556"/>
      <c r="P3081" s="573"/>
      <c r="Q3081" s="556"/>
      <c r="R3081" s="582"/>
    </row>
    <row r="3082" ht="23.85" customHeight="1" spans="1:18">
      <c r="A3082" s="556"/>
      <c r="B3082" s="557"/>
      <c r="C3082" s="79" t="s">
        <v>2921</v>
      </c>
      <c r="D3082" s="78" t="s">
        <v>3153</v>
      </c>
      <c r="E3082" s="79" t="s">
        <v>139</v>
      </c>
      <c r="F3082" s="79" t="s">
        <v>3154</v>
      </c>
      <c r="G3082" s="79" t="s">
        <v>2928</v>
      </c>
      <c r="H3082" s="79"/>
      <c r="I3082" s="80" t="s">
        <v>2897</v>
      </c>
      <c r="J3082" s="583">
        <v>1</v>
      </c>
      <c r="K3082" s="583">
        <v>0</v>
      </c>
      <c r="L3082" s="92">
        <v>30.6</v>
      </c>
      <c r="M3082" s="92">
        <v>30.6</v>
      </c>
      <c r="N3082" s="573"/>
      <c r="O3082" s="556"/>
      <c r="P3082" s="573"/>
      <c r="Q3082" s="556"/>
      <c r="R3082" s="582"/>
    </row>
    <row r="3083" ht="25.5" spans="1:18">
      <c r="A3083" s="556"/>
      <c r="B3083" s="557" t="str">
        <f>C3082</f>
        <v>Composição Auxiliar</v>
      </c>
      <c r="C3083" s="108"/>
      <c r="D3083" s="108"/>
      <c r="E3083" s="108"/>
      <c r="F3083" s="108"/>
      <c r="G3083" s="108"/>
      <c r="H3083" s="108" t="s">
        <v>2898</v>
      </c>
      <c r="I3083" s="581">
        <v>47.32</v>
      </c>
      <c r="J3083" s="108" t="s">
        <v>2899</v>
      </c>
      <c r="K3083" s="581">
        <v>0</v>
      </c>
      <c r="L3083" s="108" t="s">
        <v>2900</v>
      </c>
      <c r="M3083" s="581">
        <v>47.32</v>
      </c>
      <c r="N3083" s="573">
        <v>543.52</v>
      </c>
      <c r="O3083" s="556" t="str">
        <f>IF(N3083=M3083,"OK","DIF")</f>
        <v>DIF</v>
      </c>
      <c r="P3083" s="573"/>
      <c r="Q3083" s="556"/>
      <c r="R3083" s="582"/>
    </row>
    <row r="3084" ht="26.25" spans="1:18">
      <c r="A3084" s="556" t="str">
        <f>B3084</f>
        <v>Composição Auxiliar</v>
      </c>
      <c r="B3084" s="557" t="str">
        <f>B3083</f>
        <v>Composição Auxiliar</v>
      </c>
      <c r="C3084" s="108"/>
      <c r="D3084" s="108"/>
      <c r="E3084" s="108"/>
      <c r="F3084" s="108"/>
      <c r="G3084" s="108"/>
      <c r="H3084" s="108" t="s">
        <v>2901</v>
      </c>
      <c r="I3084" s="581">
        <v>17.18</v>
      </c>
      <c r="J3084" s="114"/>
      <c r="K3084" s="114" t="s">
        <v>2902</v>
      </c>
      <c r="L3084" s="108"/>
      <c r="M3084" s="581">
        <v>84.6</v>
      </c>
      <c r="N3084" s="573">
        <v>222.44</v>
      </c>
      <c r="O3084" s="556" t="str">
        <f>IF(N3084=M3084,"OK","DIF")</f>
        <v>DIF</v>
      </c>
      <c r="P3084" s="573"/>
      <c r="Q3084" s="556"/>
      <c r="R3084" s="582"/>
    </row>
    <row r="3085" ht="15" spans="1:18">
      <c r="A3085" s="556" t="str">
        <f>B3085</f>
        <v>Composição Auxiliar</v>
      </c>
      <c r="B3085" s="557" t="str">
        <f>B3084</f>
        <v>Composição Auxiliar</v>
      </c>
      <c r="C3085" s="571"/>
      <c r="D3085" s="571"/>
      <c r="E3085" s="571"/>
      <c r="F3085" s="571"/>
      <c r="G3085" s="571"/>
      <c r="H3085" s="571"/>
      <c r="I3085" s="571"/>
      <c r="J3085" s="571"/>
      <c r="K3085" s="571"/>
      <c r="L3085" s="571"/>
      <c r="M3085" s="571"/>
      <c r="N3085" s="573">
        <v>154.08</v>
      </c>
      <c r="O3085" s="556" t="str">
        <f>IF(N3085=M3085,"OK","DIF")</f>
        <v>DIF</v>
      </c>
      <c r="P3085" s="573"/>
      <c r="Q3085" s="556"/>
      <c r="R3085" s="582"/>
    </row>
    <row r="3086" ht="15" customHeight="1" spans="1:18">
      <c r="A3086" s="556" t="str">
        <f>B3086</f>
        <v>Composição Auxiliar</v>
      </c>
      <c r="B3086" s="557" t="str">
        <f>B3085</f>
        <v>Composição Auxiliar</v>
      </c>
      <c r="C3086" s="76" t="s">
        <v>1067</v>
      </c>
      <c r="D3086" s="75" t="s">
        <v>63</v>
      </c>
      <c r="E3086" s="76" t="s">
        <v>64</v>
      </c>
      <c r="F3086" s="76" t="s">
        <v>65</v>
      </c>
      <c r="G3086" s="76" t="s">
        <v>2889</v>
      </c>
      <c r="H3086" s="76"/>
      <c r="I3086" s="77" t="s">
        <v>66</v>
      </c>
      <c r="J3086" s="75" t="s">
        <v>67</v>
      </c>
      <c r="K3086" s="75" t="s">
        <v>2890</v>
      </c>
      <c r="L3086" s="75" t="s">
        <v>68</v>
      </c>
      <c r="M3086" s="75" t="s">
        <v>70</v>
      </c>
      <c r="N3086" s="573">
        <v>167</v>
      </c>
      <c r="O3086" s="556" t="str">
        <f>IF(N3086=M3086,"OK","DIF")</f>
        <v>DIF</v>
      </c>
      <c r="P3086" s="573"/>
      <c r="Q3086" s="556"/>
      <c r="R3086" s="582"/>
    </row>
    <row r="3087" ht="38.25" spans="1:18">
      <c r="A3087" s="556"/>
      <c r="B3087" s="557"/>
      <c r="C3087" s="569" t="s">
        <v>2891</v>
      </c>
      <c r="D3087" s="570" t="s">
        <v>1068</v>
      </c>
      <c r="E3087" s="569" t="s">
        <v>132</v>
      </c>
      <c r="F3087" s="569" t="s">
        <v>1069</v>
      </c>
      <c r="G3087" s="569">
        <v>15</v>
      </c>
      <c r="H3087" s="569"/>
      <c r="I3087" s="577" t="s">
        <v>204</v>
      </c>
      <c r="J3087" s="578">
        <v>1</v>
      </c>
      <c r="K3087" s="579"/>
      <c r="L3087" s="579">
        <v>26.96</v>
      </c>
      <c r="M3087" s="579">
        <v>26.96</v>
      </c>
      <c r="N3087" s="573"/>
      <c r="O3087" s="556"/>
      <c r="P3087" s="573"/>
      <c r="Q3087" s="556"/>
      <c r="R3087" s="582"/>
    </row>
    <row r="3088" ht="23.85" customHeight="1" spans="1:18">
      <c r="A3088" s="556"/>
      <c r="B3088" s="557"/>
      <c r="C3088" s="79" t="s">
        <v>2921</v>
      </c>
      <c r="D3088" s="78" t="s">
        <v>3151</v>
      </c>
      <c r="E3088" s="79" t="s">
        <v>139</v>
      </c>
      <c r="F3088" s="79" t="s">
        <v>3152</v>
      </c>
      <c r="G3088" s="79" t="s">
        <v>2928</v>
      </c>
      <c r="H3088" s="79"/>
      <c r="I3088" s="80" t="s">
        <v>2897</v>
      </c>
      <c r="J3088" s="583">
        <v>0.4</v>
      </c>
      <c r="K3088" s="583">
        <v>0</v>
      </c>
      <c r="L3088" s="92">
        <v>36.82</v>
      </c>
      <c r="M3088" s="92">
        <v>14.72</v>
      </c>
      <c r="N3088" s="573"/>
      <c r="O3088" s="556"/>
      <c r="P3088" s="573"/>
      <c r="Q3088" s="556"/>
      <c r="R3088" s="582"/>
    </row>
    <row r="3089" ht="23.85" customHeight="1" spans="1:18">
      <c r="A3089" s="556"/>
      <c r="B3089" s="557" t="str">
        <f>C3088</f>
        <v>Composição Auxiliar</v>
      </c>
      <c r="C3089" s="79" t="s">
        <v>2921</v>
      </c>
      <c r="D3089" s="78" t="s">
        <v>3153</v>
      </c>
      <c r="E3089" s="79" t="s">
        <v>139</v>
      </c>
      <c r="F3089" s="79" t="s">
        <v>3154</v>
      </c>
      <c r="G3089" s="79" t="s">
        <v>2928</v>
      </c>
      <c r="H3089" s="79"/>
      <c r="I3089" s="80" t="s">
        <v>2897</v>
      </c>
      <c r="J3089" s="583">
        <v>0.4</v>
      </c>
      <c r="K3089" s="583">
        <v>0</v>
      </c>
      <c r="L3089" s="92">
        <v>30.6</v>
      </c>
      <c r="M3089" s="92">
        <v>12.24</v>
      </c>
      <c r="N3089" s="573">
        <v>1610.92</v>
      </c>
      <c r="O3089" s="556" t="str">
        <f>IF(N3089=M3089,"OK","DIF")</f>
        <v>DIF</v>
      </c>
      <c r="P3089" s="573"/>
      <c r="Q3089" s="556"/>
      <c r="R3089" s="582"/>
    </row>
    <row r="3090" ht="25.5" spans="1:18">
      <c r="A3090" s="556" t="str">
        <f>B3090</f>
        <v>Composição Auxiliar</v>
      </c>
      <c r="B3090" s="557" t="str">
        <f>B3089</f>
        <v>Composição Auxiliar</v>
      </c>
      <c r="C3090" s="108"/>
      <c r="D3090" s="108"/>
      <c r="E3090" s="108"/>
      <c r="F3090" s="108"/>
      <c r="G3090" s="108"/>
      <c r="H3090" s="108" t="s">
        <v>2898</v>
      </c>
      <c r="I3090" s="581">
        <v>18.92</v>
      </c>
      <c r="J3090" s="108" t="s">
        <v>2899</v>
      </c>
      <c r="K3090" s="581">
        <v>0</v>
      </c>
      <c r="L3090" s="108" t="s">
        <v>2900</v>
      </c>
      <c r="M3090" s="581">
        <v>18.92</v>
      </c>
      <c r="N3090" s="573">
        <v>59.78</v>
      </c>
      <c r="O3090" s="556" t="str">
        <f>IF(N3090=M3090,"OK","DIF")</f>
        <v>DIF</v>
      </c>
      <c r="P3090" s="573"/>
      <c r="Q3090" s="556"/>
      <c r="R3090" s="582"/>
    </row>
    <row r="3091" ht="26.25" spans="1:18">
      <c r="A3091" s="556" t="str">
        <f>B3091</f>
        <v>Composição Auxiliar</v>
      </c>
      <c r="B3091" s="557" t="str">
        <f>B3090</f>
        <v>Composição Auxiliar</v>
      </c>
      <c r="C3091" s="108"/>
      <c r="D3091" s="108"/>
      <c r="E3091" s="108"/>
      <c r="F3091" s="108"/>
      <c r="G3091" s="108"/>
      <c r="H3091" s="108" t="s">
        <v>2901</v>
      </c>
      <c r="I3091" s="581">
        <v>6.87</v>
      </c>
      <c r="J3091" s="114"/>
      <c r="K3091" s="114" t="s">
        <v>2902</v>
      </c>
      <c r="L3091" s="108"/>
      <c r="M3091" s="581">
        <v>33.83</v>
      </c>
      <c r="N3091" s="573">
        <v>107.88</v>
      </c>
      <c r="O3091" s="556" t="str">
        <f>IF(N3091=M3091,"OK","DIF")</f>
        <v>DIF</v>
      </c>
      <c r="P3091" s="573"/>
      <c r="Q3091" s="556"/>
      <c r="R3091" s="582"/>
    </row>
    <row r="3092" ht="15" spans="1:18">
      <c r="A3092" s="556" t="str">
        <f>B3092</f>
        <v>Composição Auxiliar</v>
      </c>
      <c r="B3092" s="557" t="str">
        <f>B3091</f>
        <v>Composição Auxiliar</v>
      </c>
      <c r="C3092" s="571"/>
      <c r="D3092" s="571"/>
      <c r="E3092" s="571"/>
      <c r="F3092" s="571"/>
      <c r="G3092" s="571"/>
      <c r="H3092" s="571"/>
      <c r="I3092" s="571"/>
      <c r="J3092" s="571"/>
      <c r="K3092" s="571"/>
      <c r="L3092" s="571"/>
      <c r="M3092" s="571"/>
      <c r="N3092" s="573">
        <v>1443.26</v>
      </c>
      <c r="O3092" s="556" t="str">
        <f>IF(N3092=M3092,"OK","DIF")</f>
        <v>DIF</v>
      </c>
      <c r="P3092" s="573"/>
      <c r="Q3092" s="556"/>
      <c r="R3092" s="582"/>
    </row>
    <row r="3093" ht="15" customHeight="1" spans="1:18">
      <c r="A3093" s="556"/>
      <c r="B3093" s="557"/>
      <c r="C3093" s="76" t="s">
        <v>1070</v>
      </c>
      <c r="D3093" s="75" t="s">
        <v>63</v>
      </c>
      <c r="E3093" s="76" t="s">
        <v>64</v>
      </c>
      <c r="F3093" s="76" t="s">
        <v>65</v>
      </c>
      <c r="G3093" s="76" t="s">
        <v>2889</v>
      </c>
      <c r="H3093" s="76"/>
      <c r="I3093" s="77" t="s">
        <v>66</v>
      </c>
      <c r="J3093" s="75" t="s">
        <v>67</v>
      </c>
      <c r="K3093" s="75" t="s">
        <v>2890</v>
      </c>
      <c r="L3093" s="75" t="s">
        <v>68</v>
      </c>
      <c r="M3093" s="75" t="s">
        <v>70</v>
      </c>
      <c r="N3093" s="573"/>
      <c r="O3093" s="556"/>
      <c r="P3093" s="573"/>
      <c r="Q3093" s="556"/>
      <c r="R3093" s="582"/>
    </row>
    <row r="3094" ht="51" spans="1:18">
      <c r="A3094" s="556"/>
      <c r="B3094" s="557"/>
      <c r="C3094" s="569" t="s">
        <v>2891</v>
      </c>
      <c r="D3094" s="570" t="s">
        <v>1071</v>
      </c>
      <c r="E3094" s="569" t="s">
        <v>77</v>
      </c>
      <c r="F3094" s="569" t="s">
        <v>4012</v>
      </c>
      <c r="G3094" s="569">
        <v>15</v>
      </c>
      <c r="H3094" s="569"/>
      <c r="I3094" s="577" t="s">
        <v>204</v>
      </c>
      <c r="J3094" s="578">
        <v>1</v>
      </c>
      <c r="K3094" s="579"/>
      <c r="L3094" s="579">
        <v>17.72</v>
      </c>
      <c r="M3094" s="579">
        <v>17.72</v>
      </c>
      <c r="N3094" s="573"/>
      <c r="O3094" s="556"/>
      <c r="P3094" s="573"/>
      <c r="Q3094" s="556"/>
      <c r="R3094" s="582"/>
    </row>
    <row r="3095" ht="23.85" customHeight="1" spans="1:18">
      <c r="A3095" s="556"/>
      <c r="B3095" s="557" t="str">
        <f>C3094</f>
        <v>Composição</v>
      </c>
      <c r="C3095" s="100" t="s">
        <v>2893</v>
      </c>
      <c r="D3095" s="99" t="s">
        <v>4013</v>
      </c>
      <c r="E3095" s="100" t="s">
        <v>77</v>
      </c>
      <c r="F3095" s="100" t="s">
        <v>4014</v>
      </c>
      <c r="G3095" s="100" t="s">
        <v>2896</v>
      </c>
      <c r="H3095" s="100"/>
      <c r="I3095" s="101" t="s">
        <v>2897</v>
      </c>
      <c r="J3095" s="580">
        <v>0.14</v>
      </c>
      <c r="K3095" s="580">
        <v>3</v>
      </c>
      <c r="L3095" s="102">
        <v>26.52</v>
      </c>
      <c r="M3095" s="102">
        <v>3.82</v>
      </c>
      <c r="N3095" s="573">
        <v>10520.93</v>
      </c>
      <c r="O3095" s="556" t="str">
        <f>IF(N3095=M3095,"OK","DIF")</f>
        <v>DIF</v>
      </c>
      <c r="P3095" s="573"/>
      <c r="Q3095" s="556"/>
      <c r="R3095" s="582"/>
    </row>
    <row r="3096" ht="23.85" customHeight="1" spans="1:18">
      <c r="A3096" s="556" t="str">
        <f>B3096</f>
        <v>Composição</v>
      </c>
      <c r="B3096" s="557" t="str">
        <f>B3095</f>
        <v>Composição</v>
      </c>
      <c r="C3096" s="100" t="s">
        <v>2893</v>
      </c>
      <c r="D3096" s="99" t="s">
        <v>3108</v>
      </c>
      <c r="E3096" s="100" t="s">
        <v>77</v>
      </c>
      <c r="F3096" s="100" t="s">
        <v>3109</v>
      </c>
      <c r="G3096" s="100" t="s">
        <v>2896</v>
      </c>
      <c r="H3096" s="100"/>
      <c r="I3096" s="101" t="s">
        <v>2897</v>
      </c>
      <c r="J3096" s="580">
        <v>0.14</v>
      </c>
      <c r="K3096" s="580">
        <v>3</v>
      </c>
      <c r="L3096" s="102">
        <v>19.16</v>
      </c>
      <c r="M3096" s="102">
        <v>2.76</v>
      </c>
      <c r="N3096" s="573">
        <v>83.96</v>
      </c>
      <c r="O3096" s="556" t="str">
        <f>IF(N3096=M3096,"OK","DIF")</f>
        <v>DIF</v>
      </c>
      <c r="P3096" s="573"/>
      <c r="Q3096" s="556"/>
      <c r="R3096" s="582"/>
    </row>
    <row r="3097" ht="23.85" customHeight="1" spans="1:18">
      <c r="A3097" s="556" t="str">
        <f>B3097</f>
        <v>Composição</v>
      </c>
      <c r="B3097" s="557" t="str">
        <f>B3096</f>
        <v>Composição</v>
      </c>
      <c r="C3097" s="100" t="s">
        <v>2893</v>
      </c>
      <c r="D3097" s="99" t="s">
        <v>4015</v>
      </c>
      <c r="E3097" s="100" t="s">
        <v>77</v>
      </c>
      <c r="F3097" s="100" t="s">
        <v>4016</v>
      </c>
      <c r="G3097" s="100" t="s">
        <v>2961</v>
      </c>
      <c r="H3097" s="100"/>
      <c r="I3097" s="101" t="s">
        <v>134</v>
      </c>
      <c r="J3097" s="580">
        <v>0.35</v>
      </c>
      <c r="K3097" s="580">
        <v>10</v>
      </c>
      <c r="L3097" s="102">
        <v>28.96</v>
      </c>
      <c r="M3097" s="102">
        <v>11.14</v>
      </c>
      <c r="N3097" s="573">
        <v>122.09</v>
      </c>
      <c r="O3097" s="556" t="str">
        <f>IF(N3097=M3097,"OK","DIF")</f>
        <v>DIF</v>
      </c>
      <c r="P3097" s="573"/>
      <c r="Q3097" s="556"/>
      <c r="R3097" s="582"/>
    </row>
    <row r="3098" ht="25.5" spans="1:18">
      <c r="A3098" s="556" t="str">
        <f>B3098</f>
        <v>Composição</v>
      </c>
      <c r="B3098" s="557" t="str">
        <f>B3097</f>
        <v>Composição</v>
      </c>
      <c r="C3098" s="108"/>
      <c r="D3098" s="108"/>
      <c r="E3098" s="108"/>
      <c r="F3098" s="108"/>
      <c r="G3098" s="108"/>
      <c r="H3098" s="108" t="s">
        <v>2898</v>
      </c>
      <c r="I3098" s="581">
        <v>6.58</v>
      </c>
      <c r="J3098" s="108" t="s">
        <v>2899</v>
      </c>
      <c r="K3098" s="581">
        <v>0</v>
      </c>
      <c r="L3098" s="108" t="s">
        <v>2900</v>
      </c>
      <c r="M3098" s="581">
        <v>6.58</v>
      </c>
      <c r="N3098" s="573">
        <v>10314.88</v>
      </c>
      <c r="O3098" s="556" t="str">
        <f>IF(N3098=M3098,"OK","DIF")</f>
        <v>DIF</v>
      </c>
      <c r="P3098" s="573"/>
      <c r="Q3098" s="556"/>
      <c r="R3098" s="582"/>
    </row>
    <row r="3099" ht="26.25" spans="1:18">
      <c r="A3099" s="556"/>
      <c r="B3099" s="557"/>
      <c r="C3099" s="108"/>
      <c r="D3099" s="108"/>
      <c r="E3099" s="108"/>
      <c r="F3099" s="108"/>
      <c r="G3099" s="108"/>
      <c r="H3099" s="108" t="s">
        <v>2901</v>
      </c>
      <c r="I3099" s="581">
        <v>4.51</v>
      </c>
      <c r="J3099" s="114"/>
      <c r="K3099" s="114" t="s">
        <v>2902</v>
      </c>
      <c r="L3099" s="108"/>
      <c r="M3099" s="581">
        <v>22.23</v>
      </c>
      <c r="N3099" s="573"/>
      <c r="O3099" s="556"/>
      <c r="P3099" s="573"/>
      <c r="Q3099" s="556"/>
      <c r="R3099" s="582"/>
    </row>
    <row r="3100" ht="15" spans="1:18">
      <c r="A3100" s="556"/>
      <c r="B3100" s="557"/>
      <c r="C3100" s="571"/>
      <c r="D3100" s="571"/>
      <c r="E3100" s="571"/>
      <c r="F3100" s="571"/>
      <c r="G3100" s="571"/>
      <c r="H3100" s="571"/>
      <c r="I3100" s="571"/>
      <c r="J3100" s="571"/>
      <c r="K3100" s="571"/>
      <c r="L3100" s="571"/>
      <c r="M3100" s="571"/>
      <c r="N3100" s="573"/>
      <c r="O3100" s="556"/>
      <c r="P3100" s="573"/>
      <c r="Q3100" s="556"/>
      <c r="R3100" s="582"/>
    </row>
    <row r="3101" ht="15" customHeight="1" spans="1:18">
      <c r="A3101" s="556"/>
      <c r="B3101" s="557">
        <f>C3100</f>
        <v>0</v>
      </c>
      <c r="C3101" s="76" t="s">
        <v>1073</v>
      </c>
      <c r="D3101" s="75" t="s">
        <v>63</v>
      </c>
      <c r="E3101" s="76" t="s">
        <v>64</v>
      </c>
      <c r="F3101" s="76" t="s">
        <v>65</v>
      </c>
      <c r="G3101" s="76" t="s">
        <v>2889</v>
      </c>
      <c r="H3101" s="76"/>
      <c r="I3101" s="77" t="s">
        <v>66</v>
      </c>
      <c r="J3101" s="75" t="s">
        <v>67</v>
      </c>
      <c r="K3101" s="75" t="s">
        <v>2890</v>
      </c>
      <c r="L3101" s="75" t="s">
        <v>68</v>
      </c>
      <c r="M3101" s="75" t="s">
        <v>70</v>
      </c>
      <c r="N3101" s="573">
        <v>3051.28</v>
      </c>
      <c r="O3101" s="556" t="str">
        <f>IF(N3101=M3101,"OK","DIF")</f>
        <v>DIF</v>
      </c>
      <c r="P3101" s="573"/>
      <c r="Q3101" s="556"/>
      <c r="R3101" s="582"/>
    </row>
    <row r="3102" ht="51" spans="1:18">
      <c r="A3102" s="556">
        <f>B3102</f>
        <v>0</v>
      </c>
      <c r="B3102" s="557">
        <f>B3101</f>
        <v>0</v>
      </c>
      <c r="C3102" s="569" t="s">
        <v>2891</v>
      </c>
      <c r="D3102" s="570" t="s">
        <v>1074</v>
      </c>
      <c r="E3102" s="569" t="s">
        <v>77</v>
      </c>
      <c r="F3102" s="569" t="s">
        <v>4017</v>
      </c>
      <c r="G3102" s="569">
        <v>15</v>
      </c>
      <c r="H3102" s="569"/>
      <c r="I3102" s="577" t="s">
        <v>204</v>
      </c>
      <c r="J3102" s="578">
        <v>1</v>
      </c>
      <c r="K3102" s="579"/>
      <c r="L3102" s="579">
        <v>21.39</v>
      </c>
      <c r="M3102" s="579">
        <v>21.39</v>
      </c>
      <c r="N3102" s="573">
        <v>41.98</v>
      </c>
      <c r="O3102" s="556" t="str">
        <f>IF(N3102=M3102,"OK","DIF")</f>
        <v>DIF</v>
      </c>
      <c r="P3102" s="573"/>
      <c r="Q3102" s="556"/>
      <c r="R3102" s="582"/>
    </row>
    <row r="3103" ht="23.85" customHeight="1" spans="1:18">
      <c r="A3103" s="556">
        <f>B3103</f>
        <v>0</v>
      </c>
      <c r="B3103" s="557">
        <f>B3102</f>
        <v>0</v>
      </c>
      <c r="C3103" s="100" t="s">
        <v>2893</v>
      </c>
      <c r="D3103" s="99" t="s">
        <v>3108</v>
      </c>
      <c r="E3103" s="100" t="s">
        <v>77</v>
      </c>
      <c r="F3103" s="100" t="s">
        <v>3109</v>
      </c>
      <c r="G3103" s="100" t="s">
        <v>2896</v>
      </c>
      <c r="H3103" s="100"/>
      <c r="I3103" s="101" t="s">
        <v>2897</v>
      </c>
      <c r="J3103" s="580">
        <v>0.16</v>
      </c>
      <c r="K3103" s="580">
        <v>3</v>
      </c>
      <c r="L3103" s="102">
        <v>19.16</v>
      </c>
      <c r="M3103" s="102">
        <v>3.15</v>
      </c>
      <c r="N3103" s="573">
        <v>33.07</v>
      </c>
      <c r="O3103" s="556" t="str">
        <f>IF(N3103=M3103,"OK","DIF")</f>
        <v>DIF</v>
      </c>
      <c r="P3103" s="573"/>
      <c r="Q3103" s="556"/>
      <c r="R3103" s="582"/>
    </row>
    <row r="3104" ht="23.85" customHeight="1" spans="1:18">
      <c r="A3104" s="556">
        <f>B3104</f>
        <v>0</v>
      </c>
      <c r="B3104" s="557">
        <f>B3103</f>
        <v>0</v>
      </c>
      <c r="C3104" s="100" t="s">
        <v>2893</v>
      </c>
      <c r="D3104" s="99" t="s">
        <v>4013</v>
      </c>
      <c r="E3104" s="100" t="s">
        <v>77</v>
      </c>
      <c r="F3104" s="100" t="s">
        <v>4014</v>
      </c>
      <c r="G3104" s="100" t="s">
        <v>2896</v>
      </c>
      <c r="H3104" s="100"/>
      <c r="I3104" s="101" t="s">
        <v>2897</v>
      </c>
      <c r="J3104" s="580">
        <v>0.16</v>
      </c>
      <c r="K3104" s="580">
        <v>3</v>
      </c>
      <c r="L3104" s="102">
        <v>26.52</v>
      </c>
      <c r="M3104" s="102">
        <v>4.37</v>
      </c>
      <c r="N3104" s="573">
        <v>61.04</v>
      </c>
      <c r="O3104" s="556" t="str">
        <f>IF(N3104=M3104,"OK","DIF")</f>
        <v>DIF</v>
      </c>
      <c r="P3104" s="573"/>
      <c r="Q3104" s="556"/>
      <c r="R3104" s="582"/>
    </row>
    <row r="3105" ht="23.85" customHeight="1" spans="1:18">
      <c r="A3105" s="556">
        <f>B3105</f>
        <v>0</v>
      </c>
      <c r="B3105" s="557">
        <f>B3104</f>
        <v>0</v>
      </c>
      <c r="C3105" s="100" t="s">
        <v>2893</v>
      </c>
      <c r="D3105" s="99" t="s">
        <v>4018</v>
      </c>
      <c r="E3105" s="100" t="s">
        <v>77</v>
      </c>
      <c r="F3105" s="100" t="s">
        <v>4019</v>
      </c>
      <c r="G3105" s="100" t="s">
        <v>2961</v>
      </c>
      <c r="H3105" s="100"/>
      <c r="I3105" s="101" t="s">
        <v>134</v>
      </c>
      <c r="J3105" s="580">
        <v>0.35</v>
      </c>
      <c r="K3105" s="580">
        <v>10</v>
      </c>
      <c r="L3105" s="102">
        <v>36.04</v>
      </c>
      <c r="M3105" s="102">
        <v>13.87</v>
      </c>
      <c r="N3105" s="573">
        <v>2915.19</v>
      </c>
      <c r="O3105" s="556" t="str">
        <f>IF(N3105=M3105,"OK","DIF")</f>
        <v>DIF</v>
      </c>
      <c r="P3105" s="573"/>
      <c r="Q3105" s="556"/>
      <c r="R3105" s="582"/>
    </row>
    <row r="3106" ht="25.5" spans="1:18">
      <c r="A3106" s="556"/>
      <c r="B3106" s="557"/>
      <c r="C3106" s="108"/>
      <c r="D3106" s="108"/>
      <c r="E3106" s="108"/>
      <c r="F3106" s="108"/>
      <c r="G3106" s="108"/>
      <c r="H3106" s="108" t="s">
        <v>2898</v>
      </c>
      <c r="I3106" s="581">
        <v>7.52</v>
      </c>
      <c r="J3106" s="108" t="s">
        <v>2899</v>
      </c>
      <c r="K3106" s="581">
        <v>0</v>
      </c>
      <c r="L3106" s="108" t="s">
        <v>2900</v>
      </c>
      <c r="M3106" s="581">
        <v>7.52</v>
      </c>
      <c r="N3106" s="573"/>
      <c r="O3106" s="556"/>
      <c r="P3106" s="573"/>
      <c r="Q3106" s="556"/>
      <c r="R3106" s="582"/>
    </row>
    <row r="3107" ht="26.25" spans="1:18">
      <c r="A3107" s="556"/>
      <c r="B3107" s="557"/>
      <c r="C3107" s="108"/>
      <c r="D3107" s="108"/>
      <c r="E3107" s="108"/>
      <c r="F3107" s="108"/>
      <c r="G3107" s="108"/>
      <c r="H3107" s="108" t="s">
        <v>2901</v>
      </c>
      <c r="I3107" s="581">
        <v>5.45</v>
      </c>
      <c r="J3107" s="114"/>
      <c r="K3107" s="114" t="s">
        <v>2902</v>
      </c>
      <c r="L3107" s="108"/>
      <c r="M3107" s="581">
        <v>26.84</v>
      </c>
      <c r="N3107" s="573"/>
      <c r="O3107" s="556"/>
      <c r="P3107" s="573"/>
      <c r="Q3107" s="556"/>
      <c r="R3107" s="582"/>
    </row>
    <row r="3108" ht="15" spans="1:18">
      <c r="A3108" s="556"/>
      <c r="B3108" s="557">
        <f>C3107</f>
        <v>0</v>
      </c>
      <c r="C3108" s="571"/>
      <c r="D3108" s="571"/>
      <c r="E3108" s="571"/>
      <c r="F3108" s="571"/>
      <c r="G3108" s="571"/>
      <c r="H3108" s="571"/>
      <c r="I3108" s="571"/>
      <c r="J3108" s="571"/>
      <c r="K3108" s="571"/>
      <c r="L3108" s="571"/>
      <c r="M3108" s="571"/>
      <c r="N3108" s="573">
        <v>3703.58</v>
      </c>
      <c r="O3108" s="556" t="str">
        <f>IF(N3108=M3108,"OK","DIF")</f>
        <v>DIF</v>
      </c>
      <c r="P3108" s="573"/>
      <c r="Q3108" s="556"/>
      <c r="R3108" s="582"/>
    </row>
    <row r="3109" ht="15" customHeight="1" spans="1:18">
      <c r="A3109" s="556">
        <f>B3109</f>
        <v>0</v>
      </c>
      <c r="B3109" s="557">
        <f>B3108</f>
        <v>0</v>
      </c>
      <c r="C3109" s="76" t="s">
        <v>1076</v>
      </c>
      <c r="D3109" s="75" t="s">
        <v>63</v>
      </c>
      <c r="E3109" s="76" t="s">
        <v>64</v>
      </c>
      <c r="F3109" s="76" t="s">
        <v>65</v>
      </c>
      <c r="G3109" s="76" t="s">
        <v>2889</v>
      </c>
      <c r="H3109" s="76"/>
      <c r="I3109" s="77" t="s">
        <v>66</v>
      </c>
      <c r="J3109" s="75" t="s">
        <v>67</v>
      </c>
      <c r="K3109" s="75" t="s">
        <v>2890</v>
      </c>
      <c r="L3109" s="75" t="s">
        <v>68</v>
      </c>
      <c r="M3109" s="75" t="s">
        <v>70</v>
      </c>
      <c r="N3109" s="573">
        <v>122.09</v>
      </c>
      <c r="O3109" s="556" t="str">
        <f>IF(N3109=M3109,"OK","DIF")</f>
        <v>DIF</v>
      </c>
      <c r="P3109" s="573"/>
      <c r="Q3109" s="556"/>
      <c r="R3109" s="582"/>
    </row>
    <row r="3110" ht="51" spans="1:18">
      <c r="A3110" s="556">
        <f>B3110</f>
        <v>0</v>
      </c>
      <c r="B3110" s="557">
        <f>B3109</f>
        <v>0</v>
      </c>
      <c r="C3110" s="569" t="s">
        <v>2891</v>
      </c>
      <c r="D3110" s="570" t="s">
        <v>1077</v>
      </c>
      <c r="E3110" s="569" t="s">
        <v>77</v>
      </c>
      <c r="F3110" s="569" t="s">
        <v>4020</v>
      </c>
      <c r="G3110" s="569">
        <v>15</v>
      </c>
      <c r="H3110" s="569"/>
      <c r="I3110" s="577" t="s">
        <v>204</v>
      </c>
      <c r="J3110" s="578">
        <v>1</v>
      </c>
      <c r="K3110" s="579"/>
      <c r="L3110" s="579">
        <v>32.26</v>
      </c>
      <c r="M3110" s="579">
        <v>32.26</v>
      </c>
      <c r="N3110" s="573">
        <v>33.07</v>
      </c>
      <c r="O3110" s="556" t="str">
        <f>IF(N3110=M3110,"OK","DIF")</f>
        <v>DIF</v>
      </c>
      <c r="P3110" s="573"/>
      <c r="Q3110" s="556"/>
      <c r="R3110" s="582"/>
    </row>
    <row r="3111" ht="23.85" customHeight="1" spans="1:18">
      <c r="A3111" s="556">
        <f>B3111</f>
        <v>0</v>
      </c>
      <c r="B3111" s="557">
        <f>B3110</f>
        <v>0</v>
      </c>
      <c r="C3111" s="100" t="s">
        <v>2893</v>
      </c>
      <c r="D3111" s="99" t="s">
        <v>4013</v>
      </c>
      <c r="E3111" s="100" t="s">
        <v>77</v>
      </c>
      <c r="F3111" s="100" t="s">
        <v>4014</v>
      </c>
      <c r="G3111" s="100" t="s">
        <v>2896</v>
      </c>
      <c r="H3111" s="100"/>
      <c r="I3111" s="101" t="s">
        <v>2897</v>
      </c>
      <c r="J3111" s="580">
        <v>0.21</v>
      </c>
      <c r="K3111" s="580">
        <v>3</v>
      </c>
      <c r="L3111" s="102">
        <v>26.52</v>
      </c>
      <c r="M3111" s="102">
        <v>5.73</v>
      </c>
      <c r="N3111" s="573">
        <v>3548.42</v>
      </c>
      <c r="O3111" s="556" t="str">
        <f>IF(N3111=M3111,"OK","DIF")</f>
        <v>DIF</v>
      </c>
      <c r="P3111" s="573"/>
      <c r="Q3111" s="556"/>
      <c r="R3111" s="582"/>
    </row>
    <row r="3112" ht="23.85" customHeight="1" spans="1:18">
      <c r="A3112" s="556"/>
      <c r="B3112" s="557"/>
      <c r="C3112" s="100" t="s">
        <v>2893</v>
      </c>
      <c r="D3112" s="99" t="s">
        <v>3108</v>
      </c>
      <c r="E3112" s="100" t="s">
        <v>77</v>
      </c>
      <c r="F3112" s="100" t="s">
        <v>3109</v>
      </c>
      <c r="G3112" s="100" t="s">
        <v>2896</v>
      </c>
      <c r="H3112" s="100"/>
      <c r="I3112" s="101" t="s">
        <v>2897</v>
      </c>
      <c r="J3112" s="580">
        <v>0.21</v>
      </c>
      <c r="K3112" s="580">
        <v>3</v>
      </c>
      <c r="L3112" s="102">
        <v>19.16</v>
      </c>
      <c r="M3112" s="102">
        <v>4.14</v>
      </c>
      <c r="N3112" s="573"/>
      <c r="O3112" s="556"/>
      <c r="P3112" s="573"/>
      <c r="Q3112" s="556"/>
      <c r="R3112" s="582"/>
    </row>
    <row r="3113" ht="23.85" customHeight="1" spans="1:18">
      <c r="A3113" s="556"/>
      <c r="B3113" s="557"/>
      <c r="C3113" s="100" t="s">
        <v>2893</v>
      </c>
      <c r="D3113" s="99" t="s">
        <v>4021</v>
      </c>
      <c r="E3113" s="100" t="s">
        <v>77</v>
      </c>
      <c r="F3113" s="100" t="s">
        <v>4022</v>
      </c>
      <c r="G3113" s="100" t="s">
        <v>2961</v>
      </c>
      <c r="H3113" s="100"/>
      <c r="I3113" s="101" t="s">
        <v>134</v>
      </c>
      <c r="J3113" s="580">
        <v>0.35</v>
      </c>
      <c r="K3113" s="580">
        <v>10</v>
      </c>
      <c r="L3113" s="102">
        <v>58.18</v>
      </c>
      <c r="M3113" s="102">
        <v>22.39</v>
      </c>
      <c r="N3113" s="573"/>
      <c r="O3113" s="556"/>
      <c r="P3113" s="573"/>
      <c r="Q3113" s="556"/>
      <c r="R3113" s="582"/>
    </row>
    <row r="3114" ht="25.5" spans="1:18">
      <c r="A3114" s="556"/>
      <c r="B3114" s="557" t="str">
        <f>C3113</f>
        <v>Insumo</v>
      </c>
      <c r="C3114" s="108"/>
      <c r="D3114" s="108"/>
      <c r="E3114" s="108"/>
      <c r="F3114" s="108"/>
      <c r="G3114" s="108"/>
      <c r="H3114" s="108" t="s">
        <v>2898</v>
      </c>
      <c r="I3114" s="581">
        <v>9.87</v>
      </c>
      <c r="J3114" s="108" t="s">
        <v>2899</v>
      </c>
      <c r="K3114" s="581">
        <v>0</v>
      </c>
      <c r="L3114" s="108" t="s">
        <v>2900</v>
      </c>
      <c r="M3114" s="581">
        <v>9.87</v>
      </c>
      <c r="N3114" s="573">
        <v>2488.79</v>
      </c>
      <c r="O3114" s="556" t="str">
        <f>IF(N3114=M3114,"OK","DIF")</f>
        <v>DIF</v>
      </c>
      <c r="P3114" s="573"/>
      <c r="Q3114" s="556"/>
      <c r="R3114" s="582"/>
    </row>
    <row r="3115" ht="26.25" spans="1:18">
      <c r="A3115" s="556" t="str">
        <f>B3115</f>
        <v>Insumo</v>
      </c>
      <c r="B3115" s="557" t="str">
        <f>B3114</f>
        <v>Insumo</v>
      </c>
      <c r="C3115" s="108"/>
      <c r="D3115" s="108"/>
      <c r="E3115" s="108"/>
      <c r="F3115" s="108"/>
      <c r="G3115" s="108"/>
      <c r="H3115" s="108" t="s">
        <v>2901</v>
      </c>
      <c r="I3115" s="581">
        <v>8.22</v>
      </c>
      <c r="J3115" s="114"/>
      <c r="K3115" s="114" t="s">
        <v>2902</v>
      </c>
      <c r="L3115" s="108"/>
      <c r="M3115" s="581">
        <v>40.48</v>
      </c>
      <c r="N3115" s="573">
        <v>41.98</v>
      </c>
      <c r="O3115" s="556" t="str">
        <f>IF(N3115=M3115,"OK","DIF")</f>
        <v>DIF</v>
      </c>
      <c r="P3115" s="573"/>
      <c r="Q3115" s="556"/>
      <c r="R3115" s="582"/>
    </row>
    <row r="3116" ht="15" spans="1:18">
      <c r="A3116" s="556" t="str">
        <f>B3116</f>
        <v>Insumo</v>
      </c>
      <c r="B3116" s="557" t="str">
        <f>B3115</f>
        <v>Insumo</v>
      </c>
      <c r="C3116" s="571"/>
      <c r="D3116" s="571"/>
      <c r="E3116" s="571"/>
      <c r="F3116" s="571"/>
      <c r="G3116" s="571"/>
      <c r="H3116" s="571"/>
      <c r="I3116" s="571"/>
      <c r="J3116" s="571"/>
      <c r="K3116" s="571"/>
      <c r="L3116" s="571"/>
      <c r="M3116" s="571"/>
      <c r="N3116" s="573">
        <v>33.07</v>
      </c>
      <c r="O3116" s="556" t="str">
        <f>IF(N3116=M3116,"OK","DIF")</f>
        <v>DIF</v>
      </c>
      <c r="P3116" s="573"/>
      <c r="Q3116" s="556"/>
      <c r="R3116" s="582"/>
    </row>
    <row r="3117" ht="15" customHeight="1" spans="1:18">
      <c r="A3117" s="556" t="str">
        <f>B3117</f>
        <v>Insumo</v>
      </c>
      <c r="B3117" s="557" t="str">
        <f>B3116</f>
        <v>Insumo</v>
      </c>
      <c r="C3117" s="76" t="s">
        <v>1079</v>
      </c>
      <c r="D3117" s="75" t="s">
        <v>63</v>
      </c>
      <c r="E3117" s="76" t="s">
        <v>64</v>
      </c>
      <c r="F3117" s="76" t="s">
        <v>65</v>
      </c>
      <c r="G3117" s="76" t="s">
        <v>2889</v>
      </c>
      <c r="H3117" s="76"/>
      <c r="I3117" s="77" t="s">
        <v>66</v>
      </c>
      <c r="J3117" s="75" t="s">
        <v>67</v>
      </c>
      <c r="K3117" s="75" t="s">
        <v>2890</v>
      </c>
      <c r="L3117" s="75" t="s">
        <v>68</v>
      </c>
      <c r="M3117" s="75" t="s">
        <v>70</v>
      </c>
      <c r="N3117" s="573">
        <v>61.04</v>
      </c>
      <c r="O3117" s="556" t="str">
        <f>IF(N3117=M3117,"OK","DIF")</f>
        <v>DIF</v>
      </c>
      <c r="P3117" s="573"/>
      <c r="Q3117" s="556"/>
      <c r="R3117" s="582"/>
    </row>
    <row r="3118" ht="51" spans="1:18">
      <c r="A3118" s="556" t="str">
        <f>B3118</f>
        <v>Insumo</v>
      </c>
      <c r="B3118" s="557" t="str">
        <f>B3117</f>
        <v>Insumo</v>
      </c>
      <c r="C3118" s="569" t="s">
        <v>2891</v>
      </c>
      <c r="D3118" s="570" t="s">
        <v>1080</v>
      </c>
      <c r="E3118" s="569" t="s">
        <v>77</v>
      </c>
      <c r="F3118" s="569" t="s">
        <v>4023</v>
      </c>
      <c r="G3118" s="569">
        <v>15</v>
      </c>
      <c r="H3118" s="569"/>
      <c r="I3118" s="577" t="s">
        <v>204</v>
      </c>
      <c r="J3118" s="578">
        <v>1</v>
      </c>
      <c r="K3118" s="579"/>
      <c r="L3118" s="579">
        <v>40.19</v>
      </c>
      <c r="M3118" s="579">
        <v>40.19</v>
      </c>
      <c r="N3118" s="573">
        <v>2352.7</v>
      </c>
      <c r="O3118" s="556" t="str">
        <f>IF(N3118=M3118,"OK","DIF")</f>
        <v>DIF</v>
      </c>
      <c r="P3118" s="573"/>
      <c r="Q3118" s="556"/>
      <c r="R3118" s="582"/>
    </row>
    <row r="3119" ht="23.85" customHeight="1" spans="1:18">
      <c r="A3119" s="556"/>
      <c r="B3119" s="557"/>
      <c r="C3119" s="100" t="s">
        <v>2893</v>
      </c>
      <c r="D3119" s="99" t="s">
        <v>3108</v>
      </c>
      <c r="E3119" s="100" t="s">
        <v>77</v>
      </c>
      <c r="F3119" s="100" t="s">
        <v>3109</v>
      </c>
      <c r="G3119" s="100" t="s">
        <v>2896</v>
      </c>
      <c r="H3119" s="100"/>
      <c r="I3119" s="101" t="s">
        <v>2897</v>
      </c>
      <c r="J3119" s="580">
        <v>0.25</v>
      </c>
      <c r="K3119" s="580">
        <v>3</v>
      </c>
      <c r="L3119" s="102">
        <v>19.16</v>
      </c>
      <c r="M3119" s="102">
        <v>4.93</v>
      </c>
      <c r="N3119" s="573"/>
      <c r="O3119" s="556"/>
      <c r="P3119" s="573"/>
      <c r="Q3119" s="556"/>
      <c r="R3119" s="582"/>
    </row>
    <row r="3120" ht="23.85" customHeight="1" spans="1:18">
      <c r="A3120" s="556"/>
      <c r="B3120" s="557"/>
      <c r="C3120" s="100" t="s">
        <v>2893</v>
      </c>
      <c r="D3120" s="99" t="s">
        <v>4013</v>
      </c>
      <c r="E3120" s="100" t="s">
        <v>77</v>
      </c>
      <c r="F3120" s="100" t="s">
        <v>4014</v>
      </c>
      <c r="G3120" s="100" t="s">
        <v>2896</v>
      </c>
      <c r="H3120" s="100"/>
      <c r="I3120" s="101" t="s">
        <v>2897</v>
      </c>
      <c r="J3120" s="580">
        <v>0.25</v>
      </c>
      <c r="K3120" s="580">
        <v>3</v>
      </c>
      <c r="L3120" s="102">
        <v>26.52</v>
      </c>
      <c r="M3120" s="102">
        <v>6.82</v>
      </c>
      <c r="N3120" s="573"/>
      <c r="O3120" s="556"/>
      <c r="P3120" s="573"/>
      <c r="Q3120" s="556"/>
      <c r="R3120" s="582"/>
    </row>
    <row r="3121" ht="23.85" customHeight="1" spans="1:18">
      <c r="A3121" s="556"/>
      <c r="B3121" s="557" t="str">
        <f>C3120</f>
        <v>Insumo</v>
      </c>
      <c r="C3121" s="100" t="s">
        <v>2893</v>
      </c>
      <c r="D3121" s="99" t="s">
        <v>4024</v>
      </c>
      <c r="E3121" s="100" t="s">
        <v>77</v>
      </c>
      <c r="F3121" s="100" t="s">
        <v>4025</v>
      </c>
      <c r="G3121" s="100" t="s">
        <v>2961</v>
      </c>
      <c r="H3121" s="100"/>
      <c r="I3121" s="101" t="s">
        <v>134</v>
      </c>
      <c r="J3121" s="580">
        <v>0.35</v>
      </c>
      <c r="K3121" s="580">
        <v>10</v>
      </c>
      <c r="L3121" s="102">
        <v>73.88</v>
      </c>
      <c r="M3121" s="102">
        <v>28.44</v>
      </c>
      <c r="N3121" s="573">
        <v>6788.64</v>
      </c>
      <c r="O3121" s="556" t="str">
        <f>IF(N3121=M3121,"OK","DIF")</f>
        <v>DIF</v>
      </c>
      <c r="P3121" s="573"/>
      <c r="Q3121" s="556"/>
      <c r="R3121" s="582"/>
    </row>
    <row r="3122" ht="25.5" spans="1:18">
      <c r="A3122" s="556" t="str">
        <f>B3122</f>
        <v>Insumo</v>
      </c>
      <c r="B3122" s="557" t="str">
        <f>B3121</f>
        <v>Insumo</v>
      </c>
      <c r="C3122" s="108"/>
      <c r="D3122" s="108"/>
      <c r="E3122" s="108"/>
      <c r="F3122" s="108"/>
      <c r="G3122" s="108"/>
      <c r="H3122" s="108" t="s">
        <v>2898</v>
      </c>
      <c r="I3122" s="581">
        <v>11.75</v>
      </c>
      <c r="J3122" s="108" t="s">
        <v>2899</v>
      </c>
      <c r="K3122" s="581">
        <v>0</v>
      </c>
      <c r="L3122" s="108" t="s">
        <v>2900</v>
      </c>
      <c r="M3122" s="581">
        <v>11.75</v>
      </c>
      <c r="N3122" s="573">
        <v>122.09</v>
      </c>
      <c r="O3122" s="556" t="str">
        <f>IF(N3122=M3122,"OK","DIF")</f>
        <v>DIF</v>
      </c>
      <c r="P3122" s="573"/>
      <c r="Q3122" s="556"/>
      <c r="R3122" s="582"/>
    </row>
    <row r="3123" ht="26.25" spans="1:18">
      <c r="A3123" s="556" t="str">
        <f>B3123</f>
        <v>Insumo</v>
      </c>
      <c r="B3123" s="557" t="str">
        <f>B3122</f>
        <v>Insumo</v>
      </c>
      <c r="C3123" s="108"/>
      <c r="D3123" s="108"/>
      <c r="E3123" s="108"/>
      <c r="F3123" s="108"/>
      <c r="G3123" s="108"/>
      <c r="H3123" s="108" t="s">
        <v>2901</v>
      </c>
      <c r="I3123" s="581">
        <v>10.24</v>
      </c>
      <c r="J3123" s="114"/>
      <c r="K3123" s="114" t="s">
        <v>2902</v>
      </c>
      <c r="L3123" s="108"/>
      <c r="M3123" s="581">
        <v>50.43</v>
      </c>
      <c r="N3123" s="573">
        <v>83.96</v>
      </c>
      <c r="O3123" s="556" t="str">
        <f>IF(N3123=M3123,"OK","DIF")</f>
        <v>DIF</v>
      </c>
      <c r="P3123" s="573"/>
      <c r="Q3123" s="556"/>
      <c r="R3123" s="582"/>
    </row>
    <row r="3124" ht="15" spans="1:18">
      <c r="A3124" s="556" t="str">
        <f>B3124</f>
        <v>Insumo</v>
      </c>
      <c r="B3124" s="557" t="str">
        <f>B3123</f>
        <v>Insumo</v>
      </c>
      <c r="C3124" s="571"/>
      <c r="D3124" s="571"/>
      <c r="E3124" s="571"/>
      <c r="F3124" s="571"/>
      <c r="G3124" s="571"/>
      <c r="H3124" s="571"/>
      <c r="I3124" s="571"/>
      <c r="J3124" s="571"/>
      <c r="K3124" s="571"/>
      <c r="L3124" s="571"/>
      <c r="M3124" s="571"/>
      <c r="N3124" s="573">
        <v>6582.59</v>
      </c>
      <c r="O3124" s="556" t="str">
        <f>IF(N3124=M3124,"OK","DIF")</f>
        <v>DIF</v>
      </c>
      <c r="P3124" s="573"/>
      <c r="Q3124" s="556"/>
      <c r="R3124" s="582"/>
    </row>
    <row r="3125" ht="15" customHeight="1" spans="1:18">
      <c r="A3125" s="556"/>
      <c r="B3125" s="557"/>
      <c r="C3125" s="76" t="s">
        <v>1082</v>
      </c>
      <c r="D3125" s="75" t="s">
        <v>63</v>
      </c>
      <c r="E3125" s="76" t="s">
        <v>64</v>
      </c>
      <c r="F3125" s="76" t="s">
        <v>65</v>
      </c>
      <c r="G3125" s="76" t="s">
        <v>2889</v>
      </c>
      <c r="H3125" s="76"/>
      <c r="I3125" s="77" t="s">
        <v>66</v>
      </c>
      <c r="J3125" s="75" t="s">
        <v>67</v>
      </c>
      <c r="K3125" s="75" t="s">
        <v>2890</v>
      </c>
      <c r="L3125" s="75" t="s">
        <v>68</v>
      </c>
      <c r="M3125" s="75" t="s">
        <v>70</v>
      </c>
      <c r="N3125" s="573"/>
      <c r="O3125" s="556"/>
      <c r="P3125" s="573"/>
      <c r="Q3125" s="556"/>
      <c r="R3125" s="582"/>
    </row>
    <row r="3126" ht="51" spans="1:18">
      <c r="A3126" s="556"/>
      <c r="B3126" s="557"/>
      <c r="C3126" s="569" t="s">
        <v>2891</v>
      </c>
      <c r="D3126" s="570" t="s">
        <v>1083</v>
      </c>
      <c r="E3126" s="569" t="s">
        <v>77</v>
      </c>
      <c r="F3126" s="569" t="s">
        <v>4026</v>
      </c>
      <c r="G3126" s="569">
        <v>15</v>
      </c>
      <c r="H3126" s="569"/>
      <c r="I3126" s="577" t="s">
        <v>204</v>
      </c>
      <c r="J3126" s="578">
        <v>1</v>
      </c>
      <c r="K3126" s="579"/>
      <c r="L3126" s="579">
        <v>111.65</v>
      </c>
      <c r="M3126" s="579">
        <v>111.65</v>
      </c>
      <c r="N3126" s="573"/>
      <c r="O3126" s="556"/>
      <c r="P3126" s="573"/>
      <c r="Q3126" s="556"/>
      <c r="R3126" s="582"/>
    </row>
    <row r="3127" ht="23.85" customHeight="1" spans="1:18">
      <c r="A3127" s="556"/>
      <c r="B3127" s="557" t="str">
        <f>C3126</f>
        <v>Composição</v>
      </c>
      <c r="C3127" s="100" t="s">
        <v>2893</v>
      </c>
      <c r="D3127" s="99" t="s">
        <v>3108</v>
      </c>
      <c r="E3127" s="100" t="s">
        <v>77</v>
      </c>
      <c r="F3127" s="100" t="s">
        <v>3109</v>
      </c>
      <c r="G3127" s="100" t="s">
        <v>2896</v>
      </c>
      <c r="H3127" s="100"/>
      <c r="I3127" s="101" t="s">
        <v>2897</v>
      </c>
      <c r="J3127" s="580">
        <v>0.35</v>
      </c>
      <c r="K3127" s="580">
        <v>3</v>
      </c>
      <c r="L3127" s="102">
        <v>19.16</v>
      </c>
      <c r="M3127" s="102">
        <v>6.9</v>
      </c>
      <c r="N3127" s="573">
        <v>9579.29</v>
      </c>
      <c r="O3127" s="556" t="str">
        <f>IF(N3127=M3127,"OK","DIF")</f>
        <v>DIF</v>
      </c>
      <c r="P3127" s="573"/>
      <c r="Q3127" s="556"/>
      <c r="R3127" s="582"/>
    </row>
    <row r="3128" ht="23.85" customHeight="1" spans="1:18">
      <c r="A3128" s="556" t="str">
        <f>B3128</f>
        <v>Composição</v>
      </c>
      <c r="B3128" s="557" t="str">
        <f>B3127</f>
        <v>Composição</v>
      </c>
      <c r="C3128" s="100" t="s">
        <v>2893</v>
      </c>
      <c r="D3128" s="99" t="s">
        <v>4013</v>
      </c>
      <c r="E3128" s="100" t="s">
        <v>77</v>
      </c>
      <c r="F3128" s="100" t="s">
        <v>4014</v>
      </c>
      <c r="G3128" s="100" t="s">
        <v>2896</v>
      </c>
      <c r="H3128" s="100"/>
      <c r="I3128" s="101" t="s">
        <v>2897</v>
      </c>
      <c r="J3128" s="580">
        <v>0.35</v>
      </c>
      <c r="K3128" s="580">
        <v>3</v>
      </c>
      <c r="L3128" s="102">
        <v>26.52</v>
      </c>
      <c r="M3128" s="102">
        <v>9.56</v>
      </c>
      <c r="N3128" s="573">
        <v>33.07</v>
      </c>
      <c r="O3128" s="556" t="str">
        <f>IF(N3128=M3128,"OK","DIF")</f>
        <v>DIF</v>
      </c>
      <c r="P3128" s="573"/>
      <c r="Q3128" s="556"/>
      <c r="R3128" s="582"/>
    </row>
    <row r="3129" ht="23.85" customHeight="1" spans="1:18">
      <c r="A3129" s="556" t="str">
        <f>B3129</f>
        <v>Composição</v>
      </c>
      <c r="B3129" s="557" t="str">
        <f>B3128</f>
        <v>Composição</v>
      </c>
      <c r="C3129" s="100" t="s">
        <v>2893</v>
      </c>
      <c r="D3129" s="99" t="s">
        <v>4027</v>
      </c>
      <c r="E3129" s="100" t="s">
        <v>77</v>
      </c>
      <c r="F3129" s="100" t="s">
        <v>4028</v>
      </c>
      <c r="G3129" s="100" t="s">
        <v>2961</v>
      </c>
      <c r="H3129" s="100"/>
      <c r="I3129" s="101" t="s">
        <v>134</v>
      </c>
      <c r="J3129" s="580">
        <v>0.35</v>
      </c>
      <c r="K3129" s="580">
        <v>10</v>
      </c>
      <c r="L3129" s="102">
        <v>247.25</v>
      </c>
      <c r="M3129" s="102">
        <v>95.19</v>
      </c>
      <c r="N3129" s="573">
        <v>122.09</v>
      </c>
      <c r="O3129" s="556" t="str">
        <f>IF(N3129=M3129,"OK","DIF")</f>
        <v>DIF</v>
      </c>
      <c r="P3129" s="573"/>
      <c r="Q3129" s="556"/>
      <c r="R3129" s="582"/>
    </row>
    <row r="3130" ht="25.5" spans="1:18">
      <c r="A3130" s="556" t="str">
        <f>B3130</f>
        <v>Composição</v>
      </c>
      <c r="B3130" s="557" t="str">
        <f>B3129</f>
        <v>Composição</v>
      </c>
      <c r="C3130" s="108"/>
      <c r="D3130" s="108"/>
      <c r="E3130" s="108"/>
      <c r="F3130" s="108"/>
      <c r="G3130" s="108"/>
      <c r="H3130" s="108" t="s">
        <v>2898</v>
      </c>
      <c r="I3130" s="581">
        <v>16.46</v>
      </c>
      <c r="J3130" s="108" t="s">
        <v>2899</v>
      </c>
      <c r="K3130" s="581">
        <v>0</v>
      </c>
      <c r="L3130" s="108" t="s">
        <v>2900</v>
      </c>
      <c r="M3130" s="581">
        <v>16.46</v>
      </c>
      <c r="N3130" s="573">
        <v>9424.13</v>
      </c>
      <c r="O3130" s="556" t="str">
        <f>IF(N3130=M3130,"OK","DIF")</f>
        <v>DIF</v>
      </c>
      <c r="P3130" s="573"/>
      <c r="Q3130" s="556"/>
      <c r="R3130" s="582"/>
    </row>
    <row r="3131" ht="26.25" spans="1:18">
      <c r="A3131" s="556"/>
      <c r="B3131" s="557"/>
      <c r="C3131" s="108"/>
      <c r="D3131" s="108"/>
      <c r="E3131" s="108"/>
      <c r="F3131" s="108"/>
      <c r="G3131" s="108"/>
      <c r="H3131" s="108" t="s">
        <v>2901</v>
      </c>
      <c r="I3131" s="581">
        <v>28.45</v>
      </c>
      <c r="J3131" s="114"/>
      <c r="K3131" s="114" t="s">
        <v>2902</v>
      </c>
      <c r="L3131" s="108"/>
      <c r="M3131" s="581">
        <v>140.1</v>
      </c>
      <c r="N3131" s="573"/>
      <c r="O3131" s="556"/>
      <c r="P3131" s="573"/>
      <c r="Q3131" s="556"/>
      <c r="R3131" s="582"/>
    </row>
    <row r="3132" ht="15" spans="1:18">
      <c r="A3132" s="556"/>
      <c r="B3132" s="557"/>
      <c r="C3132" s="571"/>
      <c r="D3132" s="571"/>
      <c r="E3132" s="571"/>
      <c r="F3132" s="571"/>
      <c r="G3132" s="571"/>
      <c r="H3132" s="571"/>
      <c r="I3132" s="571"/>
      <c r="J3132" s="571"/>
      <c r="K3132" s="571"/>
      <c r="L3132" s="571"/>
      <c r="M3132" s="571"/>
      <c r="N3132" s="573"/>
      <c r="O3132" s="556"/>
      <c r="P3132" s="573"/>
      <c r="Q3132" s="556"/>
      <c r="R3132" s="582"/>
    </row>
    <row r="3133" ht="15" customHeight="1" spans="1:18">
      <c r="A3133" s="556"/>
      <c r="B3133" s="557">
        <f>C3132</f>
        <v>0</v>
      </c>
      <c r="C3133" s="76" t="s">
        <v>1085</v>
      </c>
      <c r="D3133" s="75" t="s">
        <v>63</v>
      </c>
      <c r="E3133" s="76" t="s">
        <v>64</v>
      </c>
      <c r="F3133" s="76" t="s">
        <v>65</v>
      </c>
      <c r="G3133" s="76" t="s">
        <v>2889</v>
      </c>
      <c r="H3133" s="76"/>
      <c r="I3133" s="77" t="s">
        <v>66</v>
      </c>
      <c r="J3133" s="75" t="s">
        <v>67</v>
      </c>
      <c r="K3133" s="75" t="s">
        <v>2890</v>
      </c>
      <c r="L3133" s="75" t="s">
        <v>68</v>
      </c>
      <c r="M3133" s="75" t="s">
        <v>70</v>
      </c>
      <c r="N3133" s="573">
        <v>7295.45</v>
      </c>
      <c r="O3133" s="556" t="str">
        <f>IF(N3133=M3133,"OK","DIF")</f>
        <v>DIF</v>
      </c>
      <c r="P3133" s="573"/>
      <c r="Q3133" s="556"/>
      <c r="R3133" s="582"/>
    </row>
    <row r="3134" ht="23.85" customHeight="1" spans="1:18">
      <c r="A3134" s="556">
        <f>B3134</f>
        <v>0</v>
      </c>
      <c r="B3134" s="557">
        <f>B3133</f>
        <v>0</v>
      </c>
      <c r="C3134" s="569" t="s">
        <v>2891</v>
      </c>
      <c r="D3134" s="570" t="s">
        <v>1086</v>
      </c>
      <c r="E3134" s="569" t="s">
        <v>149</v>
      </c>
      <c r="F3134" s="569" t="s">
        <v>1087</v>
      </c>
      <c r="G3134" s="569" t="s">
        <v>4029</v>
      </c>
      <c r="H3134" s="569"/>
      <c r="I3134" s="577" t="s">
        <v>204</v>
      </c>
      <c r="J3134" s="578">
        <v>1</v>
      </c>
      <c r="K3134" s="579"/>
      <c r="L3134" s="579">
        <v>116.78</v>
      </c>
      <c r="M3134" s="579">
        <v>116.78</v>
      </c>
      <c r="N3134" s="573">
        <v>33.92</v>
      </c>
      <c r="O3134" s="556" t="str">
        <f>IF(N3134=M3134,"OK","DIF")</f>
        <v>DIF</v>
      </c>
      <c r="P3134" s="573"/>
      <c r="Q3134" s="556"/>
      <c r="R3134" s="582"/>
    </row>
    <row r="3135" ht="15" customHeight="1" spans="1:18">
      <c r="A3135" s="556">
        <f>B3135</f>
        <v>0</v>
      </c>
      <c r="B3135" s="557">
        <f>B3134</f>
        <v>0</v>
      </c>
      <c r="C3135" s="100" t="s">
        <v>2893</v>
      </c>
      <c r="D3135" s="99" t="s">
        <v>2986</v>
      </c>
      <c r="E3135" s="100" t="s">
        <v>149</v>
      </c>
      <c r="F3135" s="100" t="s">
        <v>2987</v>
      </c>
      <c r="G3135" s="100" t="s">
        <v>2896</v>
      </c>
      <c r="H3135" s="100"/>
      <c r="I3135" s="101" t="s">
        <v>2897</v>
      </c>
      <c r="J3135" s="580">
        <v>1.804</v>
      </c>
      <c r="K3135" s="580">
        <v>0</v>
      </c>
      <c r="L3135" s="102">
        <v>26.928256</v>
      </c>
      <c r="M3135" s="102">
        <v>48.57</v>
      </c>
      <c r="N3135" s="573">
        <v>28</v>
      </c>
      <c r="O3135" s="556" t="str">
        <f>IF(N3135=M3135,"OK","DIF")</f>
        <v>DIF</v>
      </c>
      <c r="P3135" s="573"/>
      <c r="Q3135" s="556"/>
      <c r="R3135" s="582"/>
    </row>
    <row r="3136" ht="15" customHeight="1" spans="1:18">
      <c r="A3136" s="556">
        <f>B3136</f>
        <v>0</v>
      </c>
      <c r="B3136" s="557">
        <f>B3135</f>
        <v>0</v>
      </c>
      <c r="C3136" s="100" t="s">
        <v>2893</v>
      </c>
      <c r="D3136" s="99" t="s">
        <v>2976</v>
      </c>
      <c r="E3136" s="100" t="s">
        <v>149</v>
      </c>
      <c r="F3136" s="100" t="s">
        <v>2977</v>
      </c>
      <c r="G3136" s="100" t="s">
        <v>2896</v>
      </c>
      <c r="H3136" s="100"/>
      <c r="I3136" s="101" t="s">
        <v>2897</v>
      </c>
      <c r="J3136" s="580">
        <v>1.804</v>
      </c>
      <c r="K3136" s="580">
        <v>0</v>
      </c>
      <c r="L3136" s="102">
        <v>20.515752</v>
      </c>
      <c r="M3136" s="102">
        <v>37.01</v>
      </c>
      <c r="N3136" s="573">
        <v>7233.53</v>
      </c>
      <c r="O3136" s="556" t="str">
        <f>IF(N3136=M3136,"OK","DIF")</f>
        <v>DIF</v>
      </c>
      <c r="P3136" s="573"/>
      <c r="Q3136" s="556"/>
      <c r="R3136" s="582"/>
    </row>
    <row r="3137" ht="15" customHeight="1" spans="1:18">
      <c r="A3137" s="556"/>
      <c r="B3137" s="557"/>
      <c r="C3137" s="100" t="s">
        <v>2893</v>
      </c>
      <c r="D3137" s="99" t="s">
        <v>4030</v>
      </c>
      <c r="E3137" s="100" t="s">
        <v>149</v>
      </c>
      <c r="F3137" s="100" t="s">
        <v>4031</v>
      </c>
      <c r="G3137" s="100" t="s">
        <v>2961</v>
      </c>
      <c r="H3137" s="100"/>
      <c r="I3137" s="101" t="s">
        <v>204</v>
      </c>
      <c r="J3137" s="580">
        <v>1</v>
      </c>
      <c r="K3137" s="580">
        <v>0</v>
      </c>
      <c r="L3137" s="102">
        <v>31.2</v>
      </c>
      <c r="M3137" s="102">
        <v>31.2</v>
      </c>
      <c r="N3137" s="573"/>
      <c r="O3137" s="556"/>
      <c r="P3137" s="573"/>
      <c r="Q3137" s="556"/>
      <c r="R3137" s="582"/>
    </row>
    <row r="3138" ht="25.5" spans="1:18">
      <c r="A3138" s="556"/>
      <c r="B3138" s="557"/>
      <c r="C3138" s="108"/>
      <c r="D3138" s="108"/>
      <c r="E3138" s="108"/>
      <c r="F3138" s="108"/>
      <c r="G3138" s="108"/>
      <c r="H3138" s="108" t="s">
        <v>2898</v>
      </c>
      <c r="I3138" s="581">
        <v>85.58</v>
      </c>
      <c r="J3138" s="108" t="s">
        <v>2899</v>
      </c>
      <c r="K3138" s="581">
        <v>0</v>
      </c>
      <c r="L3138" s="108" t="s">
        <v>2900</v>
      </c>
      <c r="M3138" s="581">
        <v>85.58</v>
      </c>
      <c r="N3138" s="573"/>
      <c r="O3138" s="556"/>
      <c r="P3138" s="573"/>
      <c r="Q3138" s="556"/>
      <c r="R3138" s="582"/>
    </row>
    <row r="3139" ht="26.25" spans="1:18">
      <c r="A3139" s="556"/>
      <c r="B3139" s="557">
        <f>C3138</f>
        <v>0</v>
      </c>
      <c r="C3139" s="108"/>
      <c r="D3139" s="108"/>
      <c r="E3139" s="108"/>
      <c r="F3139" s="108"/>
      <c r="G3139" s="108"/>
      <c r="H3139" s="108" t="s">
        <v>2901</v>
      </c>
      <c r="I3139" s="581">
        <v>29.76</v>
      </c>
      <c r="J3139" s="114"/>
      <c r="K3139" s="114" t="s">
        <v>2902</v>
      </c>
      <c r="L3139" s="108"/>
      <c r="M3139" s="581">
        <v>146.54</v>
      </c>
      <c r="N3139" s="573">
        <v>1409.74</v>
      </c>
      <c r="O3139" s="556" t="str">
        <f>IF(N3139=M3139,"OK","DIF")</f>
        <v>DIF</v>
      </c>
      <c r="P3139" s="573"/>
      <c r="Q3139" s="556"/>
      <c r="R3139" s="582"/>
    </row>
    <row r="3140" ht="15" spans="1:18">
      <c r="A3140" s="556">
        <f>B3140</f>
        <v>0</v>
      </c>
      <c r="B3140" s="557">
        <f>B3139</f>
        <v>0</v>
      </c>
      <c r="C3140" s="571"/>
      <c r="D3140" s="571"/>
      <c r="E3140" s="571"/>
      <c r="F3140" s="571"/>
      <c r="G3140" s="571"/>
      <c r="H3140" s="571"/>
      <c r="I3140" s="571"/>
      <c r="J3140" s="571"/>
      <c r="K3140" s="571"/>
      <c r="L3140" s="571"/>
      <c r="M3140" s="571"/>
      <c r="N3140" s="573">
        <v>66.14</v>
      </c>
      <c r="O3140" s="556" t="str">
        <f>IF(N3140=M3140,"OK","DIF")</f>
        <v>DIF</v>
      </c>
      <c r="P3140" s="573"/>
      <c r="Q3140" s="556"/>
      <c r="R3140" s="582"/>
    </row>
    <row r="3141" ht="15" customHeight="1" spans="1:18">
      <c r="A3141" s="556">
        <f>B3141</f>
        <v>0</v>
      </c>
      <c r="B3141" s="557">
        <f>B3140</f>
        <v>0</v>
      </c>
      <c r="C3141" s="76" t="s">
        <v>1088</v>
      </c>
      <c r="D3141" s="75" t="s">
        <v>63</v>
      </c>
      <c r="E3141" s="76" t="s">
        <v>64</v>
      </c>
      <c r="F3141" s="76" t="s">
        <v>65</v>
      </c>
      <c r="G3141" s="76" t="s">
        <v>2889</v>
      </c>
      <c r="H3141" s="76"/>
      <c r="I3141" s="77" t="s">
        <v>66</v>
      </c>
      <c r="J3141" s="75" t="s">
        <v>67</v>
      </c>
      <c r="K3141" s="75" t="s">
        <v>2890</v>
      </c>
      <c r="L3141" s="75" t="s">
        <v>68</v>
      </c>
      <c r="M3141" s="75" t="s">
        <v>70</v>
      </c>
      <c r="N3141" s="573">
        <v>54.6</v>
      </c>
      <c r="O3141" s="556" t="str">
        <f>IF(N3141=M3141,"OK","DIF")</f>
        <v>DIF</v>
      </c>
      <c r="P3141" s="573"/>
      <c r="Q3141" s="556"/>
      <c r="R3141" s="582"/>
    </row>
    <row r="3142" ht="38.25" spans="1:18">
      <c r="A3142" s="556">
        <f>B3142</f>
        <v>0</v>
      </c>
      <c r="B3142" s="557">
        <f>B3141</f>
        <v>0</v>
      </c>
      <c r="C3142" s="569" t="s">
        <v>2891</v>
      </c>
      <c r="D3142" s="570" t="s">
        <v>1089</v>
      </c>
      <c r="E3142" s="569" t="s">
        <v>132</v>
      </c>
      <c r="F3142" s="569" t="s">
        <v>1090</v>
      </c>
      <c r="G3142" s="569">
        <v>61</v>
      </c>
      <c r="H3142" s="569"/>
      <c r="I3142" s="577" t="s">
        <v>204</v>
      </c>
      <c r="J3142" s="578">
        <v>1</v>
      </c>
      <c r="K3142" s="579"/>
      <c r="L3142" s="579">
        <v>245.64</v>
      </c>
      <c r="M3142" s="579">
        <v>245.64</v>
      </c>
      <c r="N3142" s="573">
        <v>1289</v>
      </c>
      <c r="O3142" s="556" t="str">
        <f>IF(N3142=M3142,"OK","DIF")</f>
        <v>DIF</v>
      </c>
      <c r="P3142" s="573"/>
      <c r="Q3142" s="556"/>
      <c r="R3142" s="582"/>
    </row>
    <row r="3143" ht="23.85" customHeight="1" spans="1:18">
      <c r="A3143" s="556"/>
      <c r="B3143" s="557"/>
      <c r="C3143" s="79" t="s">
        <v>2921</v>
      </c>
      <c r="D3143" s="78" t="s">
        <v>3151</v>
      </c>
      <c r="E3143" s="79" t="s">
        <v>139</v>
      </c>
      <c r="F3143" s="79" t="s">
        <v>3152</v>
      </c>
      <c r="G3143" s="79" t="s">
        <v>2928</v>
      </c>
      <c r="H3143" s="79"/>
      <c r="I3143" s="80" t="s">
        <v>2897</v>
      </c>
      <c r="J3143" s="583">
        <v>1.804</v>
      </c>
      <c r="K3143" s="583">
        <v>0</v>
      </c>
      <c r="L3143" s="92">
        <v>36.82</v>
      </c>
      <c r="M3143" s="92">
        <v>66.42</v>
      </c>
      <c r="N3143" s="573"/>
      <c r="O3143" s="556"/>
      <c r="P3143" s="573"/>
      <c r="Q3143" s="556"/>
      <c r="R3143" s="582"/>
    </row>
    <row r="3144" ht="23.85" customHeight="1" spans="1:18">
      <c r="A3144" s="556"/>
      <c r="B3144" s="557"/>
      <c r="C3144" s="79" t="s">
        <v>2921</v>
      </c>
      <c r="D3144" s="78" t="s">
        <v>3153</v>
      </c>
      <c r="E3144" s="79" t="s">
        <v>139</v>
      </c>
      <c r="F3144" s="79" t="s">
        <v>3154</v>
      </c>
      <c r="G3144" s="79" t="s">
        <v>2928</v>
      </c>
      <c r="H3144" s="79"/>
      <c r="I3144" s="80" t="s">
        <v>2897</v>
      </c>
      <c r="J3144" s="583">
        <v>1.804</v>
      </c>
      <c r="K3144" s="583">
        <v>0</v>
      </c>
      <c r="L3144" s="92">
        <v>30.6</v>
      </c>
      <c r="M3144" s="92">
        <v>55.2</v>
      </c>
      <c r="N3144" s="573"/>
      <c r="O3144" s="556"/>
      <c r="P3144" s="573"/>
      <c r="Q3144" s="556"/>
      <c r="R3144" s="582"/>
    </row>
    <row r="3145" ht="15" customHeight="1" spans="1:18">
      <c r="A3145" s="556"/>
      <c r="B3145" s="557"/>
      <c r="C3145" s="100" t="s">
        <v>2893</v>
      </c>
      <c r="D3145" s="99" t="s">
        <v>4032</v>
      </c>
      <c r="E3145" s="100" t="s">
        <v>132</v>
      </c>
      <c r="F3145" s="100" t="s">
        <v>4033</v>
      </c>
      <c r="G3145" s="100" t="s">
        <v>2961</v>
      </c>
      <c r="H3145" s="100"/>
      <c r="I3145" s="101" t="s">
        <v>204</v>
      </c>
      <c r="J3145" s="580">
        <v>1</v>
      </c>
      <c r="K3145" s="580">
        <v>0</v>
      </c>
      <c r="L3145" s="102">
        <v>124.02</v>
      </c>
      <c r="M3145" s="102">
        <v>124.02</v>
      </c>
      <c r="N3145" s="573"/>
      <c r="O3145" s="556"/>
      <c r="P3145" s="573"/>
      <c r="Q3145" s="556"/>
      <c r="R3145" s="582"/>
    </row>
    <row r="3146" ht="25.5" spans="1:18">
      <c r="A3146" s="556"/>
      <c r="B3146" s="557" t="str">
        <f>C3145</f>
        <v>Insumo</v>
      </c>
      <c r="C3146" s="108"/>
      <c r="D3146" s="108"/>
      <c r="E3146" s="108"/>
      <c r="F3146" s="108"/>
      <c r="G3146" s="108"/>
      <c r="H3146" s="108" t="s">
        <v>2898</v>
      </c>
      <c r="I3146" s="581">
        <v>85.36</v>
      </c>
      <c r="J3146" s="108" t="s">
        <v>2899</v>
      </c>
      <c r="K3146" s="581">
        <v>0</v>
      </c>
      <c r="L3146" s="108" t="s">
        <v>2900</v>
      </c>
      <c r="M3146" s="581">
        <v>85.36</v>
      </c>
      <c r="N3146" s="573">
        <v>12306.58</v>
      </c>
      <c r="O3146" s="556" t="str">
        <f>IF(N3146=M3146,"OK","DIF")</f>
        <v>DIF</v>
      </c>
      <c r="P3146" s="573"/>
      <c r="Q3146" s="556"/>
      <c r="R3146" s="582"/>
    </row>
    <row r="3147" ht="26.25" spans="1:18">
      <c r="A3147" s="556" t="str">
        <f>B3147</f>
        <v>Insumo</v>
      </c>
      <c r="B3147" s="557" t="str">
        <f>B3146</f>
        <v>Insumo</v>
      </c>
      <c r="C3147" s="108"/>
      <c r="D3147" s="108"/>
      <c r="E3147" s="108"/>
      <c r="F3147" s="108"/>
      <c r="G3147" s="108"/>
      <c r="H3147" s="108" t="s">
        <v>2901</v>
      </c>
      <c r="I3147" s="581">
        <v>62.61</v>
      </c>
      <c r="J3147" s="114"/>
      <c r="K3147" s="114" t="s">
        <v>2902</v>
      </c>
      <c r="L3147" s="108"/>
      <c r="M3147" s="581">
        <v>308.25</v>
      </c>
      <c r="N3147" s="573">
        <v>116.77</v>
      </c>
      <c r="O3147" s="556" t="str">
        <f>IF(N3147=M3147,"OK","DIF")</f>
        <v>DIF</v>
      </c>
      <c r="P3147" s="573"/>
      <c r="Q3147" s="556"/>
      <c r="R3147" s="582"/>
    </row>
    <row r="3148" ht="15" spans="1:18">
      <c r="A3148" s="556" t="str">
        <f>B3148</f>
        <v>Insumo</v>
      </c>
      <c r="B3148" s="557" t="str">
        <f>B3147</f>
        <v>Insumo</v>
      </c>
      <c r="C3148" s="571"/>
      <c r="D3148" s="571"/>
      <c r="E3148" s="571"/>
      <c r="F3148" s="571"/>
      <c r="G3148" s="571"/>
      <c r="H3148" s="571"/>
      <c r="I3148" s="571"/>
      <c r="J3148" s="571"/>
      <c r="K3148" s="571"/>
      <c r="L3148" s="571"/>
      <c r="M3148" s="571"/>
      <c r="N3148" s="573">
        <v>148.81</v>
      </c>
      <c r="O3148" s="556" t="str">
        <f>IF(N3148=M3148,"OK","DIF")</f>
        <v>DIF</v>
      </c>
      <c r="P3148" s="573"/>
      <c r="Q3148" s="556"/>
      <c r="R3148" s="582"/>
    </row>
    <row r="3149" ht="15" customHeight="1" spans="1:18">
      <c r="A3149" s="556" t="str">
        <f>B3149</f>
        <v>Insumo</v>
      </c>
      <c r="B3149" s="557" t="str">
        <f>B3148</f>
        <v>Insumo</v>
      </c>
      <c r="C3149" s="76" t="s">
        <v>1091</v>
      </c>
      <c r="D3149" s="75" t="s">
        <v>63</v>
      </c>
      <c r="E3149" s="76" t="s">
        <v>64</v>
      </c>
      <c r="F3149" s="76" t="s">
        <v>65</v>
      </c>
      <c r="G3149" s="76" t="s">
        <v>2889</v>
      </c>
      <c r="H3149" s="76"/>
      <c r="I3149" s="77" t="s">
        <v>66</v>
      </c>
      <c r="J3149" s="75" t="s">
        <v>67</v>
      </c>
      <c r="K3149" s="75" t="s">
        <v>2890</v>
      </c>
      <c r="L3149" s="75" t="s">
        <v>68</v>
      </c>
      <c r="M3149" s="75" t="s">
        <v>70</v>
      </c>
      <c r="N3149" s="573">
        <v>12041</v>
      </c>
      <c r="O3149" s="556" t="str">
        <f>IF(N3149=M3149,"OK","DIF")</f>
        <v>DIF</v>
      </c>
      <c r="P3149" s="573"/>
      <c r="Q3149" s="556"/>
      <c r="R3149" s="582"/>
    </row>
    <row r="3150" ht="38.25" spans="1:18">
      <c r="A3150" s="556"/>
      <c r="B3150" s="557"/>
      <c r="C3150" s="569" t="s">
        <v>2891</v>
      </c>
      <c r="D3150" s="570" t="s">
        <v>1092</v>
      </c>
      <c r="E3150" s="569" t="s">
        <v>132</v>
      </c>
      <c r="F3150" s="569" t="s">
        <v>1093</v>
      </c>
      <c r="G3150" s="569">
        <v>78</v>
      </c>
      <c r="H3150" s="569"/>
      <c r="I3150" s="577" t="s">
        <v>334</v>
      </c>
      <c r="J3150" s="578">
        <v>1</v>
      </c>
      <c r="K3150" s="579"/>
      <c r="L3150" s="579">
        <v>11.71</v>
      </c>
      <c r="M3150" s="579">
        <v>11.71</v>
      </c>
      <c r="N3150" s="573"/>
      <c r="O3150" s="556"/>
      <c r="P3150" s="573"/>
      <c r="Q3150" s="556"/>
      <c r="R3150" s="582"/>
    </row>
    <row r="3151" ht="23.85" customHeight="1" spans="1:18">
      <c r="A3151" s="556"/>
      <c r="B3151" s="557"/>
      <c r="C3151" s="79" t="s">
        <v>2921</v>
      </c>
      <c r="D3151" s="78" t="s">
        <v>3151</v>
      </c>
      <c r="E3151" s="79" t="s">
        <v>139</v>
      </c>
      <c r="F3151" s="79" t="s">
        <v>3152</v>
      </c>
      <c r="G3151" s="79" t="s">
        <v>2928</v>
      </c>
      <c r="H3151" s="79"/>
      <c r="I3151" s="80" t="s">
        <v>2897</v>
      </c>
      <c r="J3151" s="583">
        <v>0.056</v>
      </c>
      <c r="K3151" s="583">
        <v>0</v>
      </c>
      <c r="L3151" s="92">
        <v>36.82</v>
      </c>
      <c r="M3151" s="92">
        <v>2.06</v>
      </c>
      <c r="N3151" s="573"/>
      <c r="O3151" s="556"/>
      <c r="P3151" s="573"/>
      <c r="Q3151" s="556"/>
      <c r="R3151" s="582"/>
    </row>
    <row r="3152" ht="23.85" customHeight="1" spans="1:18">
      <c r="A3152" s="556"/>
      <c r="B3152" s="557" t="str">
        <f>C3151</f>
        <v>Composição Auxiliar</v>
      </c>
      <c r="C3152" s="100" t="s">
        <v>2893</v>
      </c>
      <c r="D3152" s="99" t="s">
        <v>4034</v>
      </c>
      <c r="E3152" s="100" t="s">
        <v>139</v>
      </c>
      <c r="F3152" s="100" t="s">
        <v>4035</v>
      </c>
      <c r="G3152" s="100" t="s">
        <v>2961</v>
      </c>
      <c r="H3152" s="100"/>
      <c r="I3152" s="101" t="s">
        <v>134</v>
      </c>
      <c r="J3152" s="580">
        <v>1</v>
      </c>
      <c r="K3152" s="580">
        <v>0</v>
      </c>
      <c r="L3152" s="102">
        <v>9.65</v>
      </c>
      <c r="M3152" s="102">
        <v>9.65</v>
      </c>
      <c r="N3152" s="573">
        <v>9994.58</v>
      </c>
      <c r="O3152" s="556" t="str">
        <f>IF(N3152=M3152,"OK","DIF")</f>
        <v>DIF</v>
      </c>
      <c r="P3152" s="573"/>
      <c r="Q3152" s="556"/>
      <c r="R3152" s="582"/>
    </row>
    <row r="3153" ht="25.5" spans="1:18">
      <c r="A3153" s="556" t="str">
        <f>B3153</f>
        <v>Composição Auxiliar</v>
      </c>
      <c r="B3153" s="557" t="str">
        <f>B3152</f>
        <v>Composição Auxiliar</v>
      </c>
      <c r="C3153" s="108"/>
      <c r="D3153" s="108"/>
      <c r="E3153" s="108"/>
      <c r="F3153" s="108"/>
      <c r="G3153" s="108"/>
      <c r="H3153" s="108" t="s">
        <v>2898</v>
      </c>
      <c r="I3153" s="581">
        <v>1.49</v>
      </c>
      <c r="J3153" s="108" t="s">
        <v>2899</v>
      </c>
      <c r="K3153" s="581">
        <v>0</v>
      </c>
      <c r="L3153" s="108" t="s">
        <v>2900</v>
      </c>
      <c r="M3153" s="581">
        <v>1.49</v>
      </c>
      <c r="N3153" s="573">
        <v>148.81</v>
      </c>
      <c r="O3153" s="556" t="str">
        <f>IF(N3153=M3153,"OK","DIF")</f>
        <v>DIF</v>
      </c>
      <c r="P3153" s="573"/>
      <c r="Q3153" s="556"/>
      <c r="R3153" s="582"/>
    </row>
    <row r="3154" ht="26.25" spans="1:18">
      <c r="A3154" s="556" t="str">
        <f>B3154</f>
        <v>Composição Auxiliar</v>
      </c>
      <c r="B3154" s="557" t="str">
        <f>B3153</f>
        <v>Composição Auxiliar</v>
      </c>
      <c r="C3154" s="108"/>
      <c r="D3154" s="108"/>
      <c r="E3154" s="108"/>
      <c r="F3154" s="108"/>
      <c r="G3154" s="108"/>
      <c r="H3154" s="108" t="s">
        <v>2901</v>
      </c>
      <c r="I3154" s="581">
        <v>2.98</v>
      </c>
      <c r="J3154" s="114"/>
      <c r="K3154" s="114" t="s">
        <v>2902</v>
      </c>
      <c r="L3154" s="108"/>
      <c r="M3154" s="581">
        <v>14.69</v>
      </c>
      <c r="N3154" s="573">
        <v>116.77</v>
      </c>
      <c r="O3154" s="556" t="str">
        <f>IF(N3154=M3154,"OK","DIF")</f>
        <v>DIF</v>
      </c>
      <c r="P3154" s="573"/>
      <c r="Q3154" s="556"/>
      <c r="R3154" s="582"/>
    </row>
    <row r="3155" ht="15" spans="1:18">
      <c r="A3155" s="556" t="str">
        <f>B3155</f>
        <v>Composição Auxiliar</v>
      </c>
      <c r="B3155" s="557" t="str">
        <f>B3154</f>
        <v>Composição Auxiliar</v>
      </c>
      <c r="C3155" s="571"/>
      <c r="D3155" s="571"/>
      <c r="E3155" s="571"/>
      <c r="F3155" s="571"/>
      <c r="G3155" s="571"/>
      <c r="H3155" s="571"/>
      <c r="I3155" s="571"/>
      <c r="J3155" s="571"/>
      <c r="K3155" s="571"/>
      <c r="L3155" s="571"/>
      <c r="M3155" s="571"/>
      <c r="N3155" s="573">
        <v>9729</v>
      </c>
      <c r="O3155" s="556" t="str">
        <f>IF(N3155=M3155,"OK","DIF")</f>
        <v>DIF</v>
      </c>
      <c r="P3155" s="573"/>
      <c r="Q3155" s="556"/>
      <c r="R3155" s="582"/>
    </row>
    <row r="3156" ht="15" customHeight="1" spans="1:18">
      <c r="A3156" s="556"/>
      <c r="B3156" s="557"/>
      <c r="C3156" s="76" t="s">
        <v>1094</v>
      </c>
      <c r="D3156" s="75" t="s">
        <v>63</v>
      </c>
      <c r="E3156" s="76" t="s">
        <v>64</v>
      </c>
      <c r="F3156" s="76" t="s">
        <v>65</v>
      </c>
      <c r="G3156" s="76" t="s">
        <v>2889</v>
      </c>
      <c r="H3156" s="76"/>
      <c r="I3156" s="77" t="s">
        <v>66</v>
      </c>
      <c r="J3156" s="75" t="s">
        <v>67</v>
      </c>
      <c r="K3156" s="75" t="s">
        <v>2890</v>
      </c>
      <c r="L3156" s="75" t="s">
        <v>68</v>
      </c>
      <c r="M3156" s="75" t="s">
        <v>70</v>
      </c>
      <c r="N3156" s="573"/>
      <c r="O3156" s="556"/>
      <c r="P3156" s="573"/>
      <c r="Q3156" s="556"/>
      <c r="R3156" s="582"/>
    </row>
    <row r="3157" ht="38.25" spans="1:18">
      <c r="A3157" s="556"/>
      <c r="B3157" s="557"/>
      <c r="C3157" s="569" t="s">
        <v>2891</v>
      </c>
      <c r="D3157" s="570" t="s">
        <v>1095</v>
      </c>
      <c r="E3157" s="569" t="s">
        <v>132</v>
      </c>
      <c r="F3157" s="569" t="s">
        <v>1096</v>
      </c>
      <c r="G3157" s="569">
        <v>78</v>
      </c>
      <c r="H3157" s="569"/>
      <c r="I3157" s="577" t="s">
        <v>334</v>
      </c>
      <c r="J3157" s="578">
        <v>1</v>
      </c>
      <c r="K3157" s="579"/>
      <c r="L3157" s="579">
        <v>51.96</v>
      </c>
      <c r="M3157" s="579">
        <v>51.96</v>
      </c>
      <c r="N3157" s="573"/>
      <c r="O3157" s="556"/>
      <c r="P3157" s="573"/>
      <c r="Q3157" s="556"/>
      <c r="R3157" s="582"/>
    </row>
    <row r="3158" ht="23.85" customHeight="1" spans="1:18">
      <c r="A3158" s="556"/>
      <c r="B3158" s="557" t="str">
        <f>C3157</f>
        <v>Composição</v>
      </c>
      <c r="C3158" s="79" t="s">
        <v>2921</v>
      </c>
      <c r="D3158" s="78" t="s">
        <v>3151</v>
      </c>
      <c r="E3158" s="79" t="s">
        <v>139</v>
      </c>
      <c r="F3158" s="79" t="s">
        <v>3152</v>
      </c>
      <c r="G3158" s="79" t="s">
        <v>2928</v>
      </c>
      <c r="H3158" s="79"/>
      <c r="I3158" s="80" t="s">
        <v>2897</v>
      </c>
      <c r="J3158" s="583">
        <v>0.056</v>
      </c>
      <c r="K3158" s="583">
        <v>0</v>
      </c>
      <c r="L3158" s="92">
        <v>36.82</v>
      </c>
      <c r="M3158" s="92">
        <v>2.06</v>
      </c>
      <c r="N3158" s="573">
        <v>7206.58</v>
      </c>
      <c r="O3158" s="556" t="str">
        <f>IF(N3158=M3158,"OK","DIF")</f>
        <v>DIF</v>
      </c>
      <c r="P3158" s="573"/>
      <c r="Q3158" s="556"/>
      <c r="R3158" s="582"/>
    </row>
    <row r="3159" ht="23.85" customHeight="1" spans="1:18">
      <c r="A3159" s="556" t="str">
        <f>B3159</f>
        <v>Composição</v>
      </c>
      <c r="B3159" s="557" t="str">
        <f>B3158</f>
        <v>Composição</v>
      </c>
      <c r="C3159" s="100" t="s">
        <v>2893</v>
      </c>
      <c r="D3159" s="99" t="s">
        <v>4036</v>
      </c>
      <c r="E3159" s="100" t="s">
        <v>139</v>
      </c>
      <c r="F3159" s="100" t="s">
        <v>4037</v>
      </c>
      <c r="G3159" s="100" t="s">
        <v>2961</v>
      </c>
      <c r="H3159" s="100"/>
      <c r="I3159" s="101" t="s">
        <v>134</v>
      </c>
      <c r="J3159" s="580">
        <v>1</v>
      </c>
      <c r="K3159" s="580">
        <v>0</v>
      </c>
      <c r="L3159" s="102">
        <v>49.9</v>
      </c>
      <c r="M3159" s="102">
        <v>49.9</v>
      </c>
      <c r="N3159" s="573">
        <v>148.81</v>
      </c>
      <c r="O3159" s="556" t="str">
        <f>IF(N3159=M3159,"OK","DIF")</f>
        <v>DIF</v>
      </c>
      <c r="P3159" s="573"/>
      <c r="Q3159" s="556"/>
      <c r="R3159" s="582"/>
    </row>
    <row r="3160" ht="25.5" spans="1:18">
      <c r="A3160" s="556" t="str">
        <f>B3160</f>
        <v>Composição</v>
      </c>
      <c r="B3160" s="557" t="str">
        <f>B3159</f>
        <v>Composição</v>
      </c>
      <c r="C3160" s="108"/>
      <c r="D3160" s="108"/>
      <c r="E3160" s="108"/>
      <c r="F3160" s="108"/>
      <c r="G3160" s="108"/>
      <c r="H3160" s="108" t="s">
        <v>2898</v>
      </c>
      <c r="I3160" s="581">
        <v>1.49</v>
      </c>
      <c r="J3160" s="108" t="s">
        <v>2899</v>
      </c>
      <c r="K3160" s="581">
        <v>0</v>
      </c>
      <c r="L3160" s="108" t="s">
        <v>2900</v>
      </c>
      <c r="M3160" s="581">
        <v>1.49</v>
      </c>
      <c r="N3160" s="573">
        <v>116.77</v>
      </c>
      <c r="O3160" s="556" t="str">
        <f>IF(N3160=M3160,"OK","DIF")</f>
        <v>DIF</v>
      </c>
      <c r="P3160" s="573"/>
      <c r="Q3160" s="556"/>
      <c r="R3160" s="582"/>
    </row>
    <row r="3161" ht="26.25" spans="1:18">
      <c r="A3161" s="556" t="str">
        <f>B3161</f>
        <v>Composição</v>
      </c>
      <c r="B3161" s="557" t="str">
        <f>B3160</f>
        <v>Composição</v>
      </c>
      <c r="C3161" s="108"/>
      <c r="D3161" s="108"/>
      <c r="E3161" s="108"/>
      <c r="F3161" s="108"/>
      <c r="G3161" s="108"/>
      <c r="H3161" s="108" t="s">
        <v>2901</v>
      </c>
      <c r="I3161" s="581">
        <v>13.24</v>
      </c>
      <c r="J3161" s="114"/>
      <c r="K3161" s="114" t="s">
        <v>2902</v>
      </c>
      <c r="L3161" s="108"/>
      <c r="M3161" s="581">
        <v>65.2</v>
      </c>
      <c r="N3161" s="573">
        <v>6941</v>
      </c>
      <c r="O3161" s="556" t="str">
        <f>IF(N3161=M3161,"OK","DIF")</f>
        <v>DIF</v>
      </c>
      <c r="P3161" s="573"/>
      <c r="Q3161" s="556"/>
      <c r="R3161" s="582"/>
    </row>
    <row r="3162" ht="15" spans="1:18">
      <c r="A3162" s="556"/>
      <c r="B3162" s="557"/>
      <c r="C3162" s="571"/>
      <c r="D3162" s="571"/>
      <c r="E3162" s="571"/>
      <c r="F3162" s="571"/>
      <c r="G3162" s="571"/>
      <c r="H3162" s="571"/>
      <c r="I3162" s="571"/>
      <c r="J3162" s="571"/>
      <c r="K3162" s="571"/>
      <c r="L3162" s="571"/>
      <c r="M3162" s="571"/>
      <c r="N3162" s="573"/>
      <c r="O3162" s="556"/>
      <c r="P3162" s="573"/>
      <c r="Q3162" s="556"/>
      <c r="R3162" s="582"/>
    </row>
    <row r="3163" ht="15" customHeight="1" spans="1:18">
      <c r="A3163" s="556"/>
      <c r="B3163" s="557"/>
      <c r="C3163" s="76" t="s">
        <v>1097</v>
      </c>
      <c r="D3163" s="75" t="s">
        <v>63</v>
      </c>
      <c r="E3163" s="76" t="s">
        <v>64</v>
      </c>
      <c r="F3163" s="76" t="s">
        <v>65</v>
      </c>
      <c r="G3163" s="76" t="s">
        <v>2889</v>
      </c>
      <c r="H3163" s="76"/>
      <c r="I3163" s="77" t="s">
        <v>66</v>
      </c>
      <c r="J3163" s="75" t="s">
        <v>67</v>
      </c>
      <c r="K3163" s="75" t="s">
        <v>2890</v>
      </c>
      <c r="L3163" s="75" t="s">
        <v>68</v>
      </c>
      <c r="M3163" s="75" t="s">
        <v>70</v>
      </c>
      <c r="N3163" s="573"/>
      <c r="O3163" s="556"/>
      <c r="P3163" s="573"/>
      <c r="Q3163" s="556"/>
      <c r="R3163" s="582"/>
    </row>
    <row r="3164" ht="35.05" customHeight="1" spans="1:18">
      <c r="A3164" s="556"/>
      <c r="B3164" s="557" t="str">
        <f>C3163</f>
        <v> 12.1.1.38 </v>
      </c>
      <c r="C3164" s="569" t="s">
        <v>2891</v>
      </c>
      <c r="D3164" s="570" t="s">
        <v>1098</v>
      </c>
      <c r="E3164" s="569" t="s">
        <v>139</v>
      </c>
      <c r="F3164" s="569" t="s">
        <v>1099</v>
      </c>
      <c r="G3164" s="569" t="s">
        <v>3235</v>
      </c>
      <c r="H3164" s="569"/>
      <c r="I3164" s="577" t="s">
        <v>134</v>
      </c>
      <c r="J3164" s="578">
        <v>1</v>
      </c>
      <c r="K3164" s="579"/>
      <c r="L3164" s="579">
        <v>32.61</v>
      </c>
      <c r="M3164" s="579">
        <v>32.61</v>
      </c>
      <c r="N3164" s="573">
        <v>13784.58</v>
      </c>
      <c r="O3164" s="556" t="str">
        <f>IF(N3164=M3164,"OK","DIF")</f>
        <v>DIF</v>
      </c>
      <c r="P3164" s="573"/>
      <c r="Q3164" s="556"/>
      <c r="R3164" s="582"/>
    </row>
    <row r="3165" ht="23.85" customHeight="1" spans="1:18">
      <c r="A3165" s="556" t="str">
        <f>B3165</f>
        <v> 12.1.1.38 </v>
      </c>
      <c r="B3165" s="557" t="str">
        <f>B3164</f>
        <v> 12.1.1.38 </v>
      </c>
      <c r="C3165" s="79" t="s">
        <v>2921</v>
      </c>
      <c r="D3165" s="78" t="s">
        <v>3151</v>
      </c>
      <c r="E3165" s="79" t="s">
        <v>139</v>
      </c>
      <c r="F3165" s="79" t="s">
        <v>3152</v>
      </c>
      <c r="G3165" s="79" t="s">
        <v>2928</v>
      </c>
      <c r="H3165" s="79"/>
      <c r="I3165" s="80" t="s">
        <v>2897</v>
      </c>
      <c r="J3165" s="583">
        <v>0.2727</v>
      </c>
      <c r="K3165" s="583">
        <v>0</v>
      </c>
      <c r="L3165" s="92">
        <v>36.82</v>
      </c>
      <c r="M3165" s="92">
        <v>10.04</v>
      </c>
      <c r="N3165" s="573">
        <v>148.81</v>
      </c>
      <c r="O3165" s="556" t="str">
        <f>IF(N3165=M3165,"OK","DIF")</f>
        <v>DIF</v>
      </c>
      <c r="P3165" s="573"/>
      <c r="Q3165" s="556"/>
      <c r="R3165" s="582"/>
    </row>
    <row r="3166" ht="23.85" customHeight="1" spans="1:18">
      <c r="A3166" s="556" t="str">
        <f>B3166</f>
        <v> 12.1.1.38 </v>
      </c>
      <c r="B3166" s="557" t="str">
        <f>B3165</f>
        <v> 12.1.1.38 </v>
      </c>
      <c r="C3166" s="79" t="s">
        <v>2921</v>
      </c>
      <c r="D3166" s="78" t="s">
        <v>3153</v>
      </c>
      <c r="E3166" s="79" t="s">
        <v>139</v>
      </c>
      <c r="F3166" s="79" t="s">
        <v>3154</v>
      </c>
      <c r="G3166" s="79" t="s">
        <v>2928</v>
      </c>
      <c r="H3166" s="79"/>
      <c r="I3166" s="80" t="s">
        <v>2897</v>
      </c>
      <c r="J3166" s="583">
        <v>0.2727</v>
      </c>
      <c r="K3166" s="583">
        <v>0</v>
      </c>
      <c r="L3166" s="92">
        <v>30.6</v>
      </c>
      <c r="M3166" s="92">
        <v>8.34</v>
      </c>
      <c r="N3166" s="573">
        <v>116.77</v>
      </c>
      <c r="O3166" s="556" t="str">
        <f>IF(N3166=M3166,"OK","DIF")</f>
        <v>DIF</v>
      </c>
      <c r="P3166" s="573"/>
      <c r="Q3166" s="556"/>
      <c r="R3166" s="582"/>
    </row>
    <row r="3167" ht="23.85" customHeight="1" spans="1:18">
      <c r="A3167" s="556" t="str">
        <f>B3167</f>
        <v> 12.1.1.38 </v>
      </c>
      <c r="B3167" s="557" t="str">
        <f>B3166</f>
        <v> 12.1.1.38 </v>
      </c>
      <c r="C3167" s="100" t="s">
        <v>2893</v>
      </c>
      <c r="D3167" s="99" t="s">
        <v>4038</v>
      </c>
      <c r="E3167" s="100" t="s">
        <v>139</v>
      </c>
      <c r="F3167" s="100" t="s">
        <v>4039</v>
      </c>
      <c r="G3167" s="100" t="s">
        <v>2961</v>
      </c>
      <c r="H3167" s="100"/>
      <c r="I3167" s="101" t="s">
        <v>134</v>
      </c>
      <c r="J3167" s="580">
        <v>2</v>
      </c>
      <c r="K3167" s="580">
        <v>0</v>
      </c>
      <c r="L3167" s="102">
        <v>0.26</v>
      </c>
      <c r="M3167" s="102">
        <v>0.52</v>
      </c>
      <c r="N3167" s="573">
        <v>13519</v>
      </c>
      <c r="O3167" s="556" t="str">
        <f>IF(N3167=M3167,"OK","DIF")</f>
        <v>DIF</v>
      </c>
      <c r="P3167" s="573"/>
      <c r="Q3167" s="556"/>
      <c r="R3167" s="582"/>
    </row>
    <row r="3168" ht="23.85" customHeight="1" spans="1:18">
      <c r="A3168" s="556"/>
      <c r="B3168" s="557"/>
      <c r="C3168" s="100" t="s">
        <v>2893</v>
      </c>
      <c r="D3168" s="99" t="s">
        <v>4040</v>
      </c>
      <c r="E3168" s="100" t="s">
        <v>139</v>
      </c>
      <c r="F3168" s="100" t="s">
        <v>4041</v>
      </c>
      <c r="G3168" s="100" t="s">
        <v>2961</v>
      </c>
      <c r="H3168" s="100"/>
      <c r="I3168" s="101" t="s">
        <v>134</v>
      </c>
      <c r="J3168" s="580">
        <v>1</v>
      </c>
      <c r="K3168" s="580">
        <v>0</v>
      </c>
      <c r="L3168" s="102">
        <v>13.71</v>
      </c>
      <c r="M3168" s="102">
        <v>13.71</v>
      </c>
      <c r="N3168" s="573"/>
      <c r="O3168" s="556"/>
      <c r="P3168" s="573"/>
      <c r="Q3168" s="556"/>
      <c r="R3168" s="582"/>
    </row>
    <row r="3169" ht="25.5" spans="1:18">
      <c r="A3169" s="556"/>
      <c r="B3169" s="557"/>
      <c r="C3169" s="108"/>
      <c r="D3169" s="108"/>
      <c r="E3169" s="108"/>
      <c r="F3169" s="108"/>
      <c r="G3169" s="108"/>
      <c r="H3169" s="108" t="s">
        <v>2898</v>
      </c>
      <c r="I3169" s="581">
        <v>12.9</v>
      </c>
      <c r="J3169" s="108" t="s">
        <v>2899</v>
      </c>
      <c r="K3169" s="581">
        <v>0</v>
      </c>
      <c r="L3169" s="108" t="s">
        <v>2900</v>
      </c>
      <c r="M3169" s="581">
        <v>12.9</v>
      </c>
      <c r="N3169" s="573"/>
      <c r="O3169" s="556"/>
      <c r="P3169" s="573"/>
      <c r="Q3169" s="556"/>
      <c r="R3169" s="582"/>
    </row>
    <row r="3170" ht="26.25" spans="1:18">
      <c r="A3170" s="556"/>
      <c r="B3170" s="557">
        <f>C3169</f>
        <v>0</v>
      </c>
      <c r="C3170" s="108"/>
      <c r="D3170" s="108"/>
      <c r="E3170" s="108"/>
      <c r="F3170" s="108"/>
      <c r="G3170" s="108"/>
      <c r="H3170" s="108" t="s">
        <v>2901</v>
      </c>
      <c r="I3170" s="581">
        <v>8.31</v>
      </c>
      <c r="J3170" s="114"/>
      <c r="K3170" s="114" t="s">
        <v>2902</v>
      </c>
      <c r="L3170" s="108"/>
      <c r="M3170" s="581">
        <v>40.92</v>
      </c>
      <c r="N3170" s="573">
        <v>9845.58</v>
      </c>
      <c r="O3170" s="556" t="str">
        <f>IF(N3170=M3170,"OK","DIF")</f>
        <v>DIF</v>
      </c>
      <c r="P3170" s="573"/>
      <c r="Q3170" s="556"/>
      <c r="R3170" s="582"/>
    </row>
    <row r="3171" ht="15" spans="1:18">
      <c r="A3171" s="556">
        <f>B3171</f>
        <v>0</v>
      </c>
      <c r="B3171" s="557">
        <f>B3170</f>
        <v>0</v>
      </c>
      <c r="C3171" s="571"/>
      <c r="D3171" s="571"/>
      <c r="E3171" s="571"/>
      <c r="F3171" s="571"/>
      <c r="G3171" s="571"/>
      <c r="H3171" s="571"/>
      <c r="I3171" s="571"/>
      <c r="J3171" s="571"/>
      <c r="K3171" s="571"/>
      <c r="L3171" s="571"/>
      <c r="M3171" s="571"/>
      <c r="N3171" s="573">
        <v>148.81</v>
      </c>
      <c r="O3171" s="556" t="str">
        <f>IF(N3171=M3171,"OK","DIF")</f>
        <v>DIF</v>
      </c>
      <c r="P3171" s="573"/>
      <c r="Q3171" s="556"/>
      <c r="R3171" s="582"/>
    </row>
    <row r="3172" ht="15" customHeight="1" spans="1:18">
      <c r="A3172" s="556">
        <f>B3172</f>
        <v>0</v>
      </c>
      <c r="B3172" s="557">
        <f>B3171</f>
        <v>0</v>
      </c>
      <c r="C3172" s="76" t="s">
        <v>1100</v>
      </c>
      <c r="D3172" s="75" t="s">
        <v>63</v>
      </c>
      <c r="E3172" s="76" t="s">
        <v>64</v>
      </c>
      <c r="F3172" s="76" t="s">
        <v>65</v>
      </c>
      <c r="G3172" s="76" t="s">
        <v>2889</v>
      </c>
      <c r="H3172" s="76"/>
      <c r="I3172" s="77" t="s">
        <v>66</v>
      </c>
      <c r="J3172" s="75" t="s">
        <v>67</v>
      </c>
      <c r="K3172" s="75" t="s">
        <v>2890</v>
      </c>
      <c r="L3172" s="75" t="s">
        <v>68</v>
      </c>
      <c r="M3172" s="75" t="s">
        <v>70</v>
      </c>
      <c r="N3172" s="573">
        <v>116.77</v>
      </c>
      <c r="O3172" s="556" t="str">
        <f>IF(N3172=M3172,"OK","DIF")</f>
        <v>DIF</v>
      </c>
      <c r="P3172" s="573"/>
      <c r="Q3172" s="556"/>
      <c r="R3172" s="582"/>
    </row>
    <row r="3173" ht="35.05" customHeight="1" spans="1:18">
      <c r="A3173" s="556">
        <f>B3173</f>
        <v>0</v>
      </c>
      <c r="B3173" s="557">
        <f>B3172</f>
        <v>0</v>
      </c>
      <c r="C3173" s="569" t="s">
        <v>2891</v>
      </c>
      <c r="D3173" s="570" t="s">
        <v>1101</v>
      </c>
      <c r="E3173" s="569" t="s">
        <v>139</v>
      </c>
      <c r="F3173" s="569" t="s">
        <v>1102</v>
      </c>
      <c r="G3173" s="569" t="s">
        <v>3235</v>
      </c>
      <c r="H3173" s="569"/>
      <c r="I3173" s="577" t="s">
        <v>134</v>
      </c>
      <c r="J3173" s="578">
        <v>1</v>
      </c>
      <c r="K3173" s="579"/>
      <c r="L3173" s="579">
        <v>37.88</v>
      </c>
      <c r="M3173" s="579">
        <v>37.88</v>
      </c>
      <c r="N3173" s="573">
        <v>9580</v>
      </c>
      <c r="O3173" s="556" t="str">
        <f>IF(N3173=M3173,"OK","DIF")</f>
        <v>DIF</v>
      </c>
      <c r="P3173" s="573"/>
      <c r="Q3173" s="556"/>
      <c r="R3173" s="582"/>
    </row>
    <row r="3174" ht="23.85" customHeight="1" spans="1:18">
      <c r="A3174" s="556"/>
      <c r="B3174" s="557"/>
      <c r="C3174" s="79" t="s">
        <v>2921</v>
      </c>
      <c r="D3174" s="78" t="s">
        <v>3153</v>
      </c>
      <c r="E3174" s="79" t="s">
        <v>139</v>
      </c>
      <c r="F3174" s="79" t="s">
        <v>3154</v>
      </c>
      <c r="G3174" s="79" t="s">
        <v>2928</v>
      </c>
      <c r="H3174" s="79"/>
      <c r="I3174" s="80" t="s">
        <v>2897</v>
      </c>
      <c r="J3174" s="583">
        <v>0.3581</v>
      </c>
      <c r="K3174" s="583">
        <v>0</v>
      </c>
      <c r="L3174" s="92">
        <v>30.6</v>
      </c>
      <c r="M3174" s="92">
        <v>10.95</v>
      </c>
      <c r="N3174" s="573"/>
      <c r="O3174" s="556"/>
      <c r="P3174" s="573"/>
      <c r="Q3174" s="556"/>
      <c r="R3174" s="582"/>
    </row>
    <row r="3175" ht="23.85" customHeight="1" spans="1:18">
      <c r="A3175" s="556"/>
      <c r="B3175" s="557"/>
      <c r="C3175" s="79" t="s">
        <v>2921</v>
      </c>
      <c r="D3175" s="78" t="s">
        <v>3151</v>
      </c>
      <c r="E3175" s="79" t="s">
        <v>139</v>
      </c>
      <c r="F3175" s="79" t="s">
        <v>3152</v>
      </c>
      <c r="G3175" s="79" t="s">
        <v>2928</v>
      </c>
      <c r="H3175" s="79"/>
      <c r="I3175" s="80" t="s">
        <v>2897</v>
      </c>
      <c r="J3175" s="583">
        <v>0.3581</v>
      </c>
      <c r="K3175" s="583">
        <v>0</v>
      </c>
      <c r="L3175" s="92">
        <v>36.82</v>
      </c>
      <c r="M3175" s="92">
        <v>13.18</v>
      </c>
      <c r="N3175" s="573"/>
      <c r="O3175" s="556"/>
      <c r="P3175" s="573"/>
      <c r="Q3175" s="556"/>
      <c r="R3175" s="582"/>
    </row>
    <row r="3176" ht="23.85" customHeight="1" spans="1:18">
      <c r="A3176" s="556"/>
      <c r="B3176" s="557" t="str">
        <f>C3175</f>
        <v>Composição Auxiliar</v>
      </c>
      <c r="C3176" s="100" t="s">
        <v>2893</v>
      </c>
      <c r="D3176" s="99" t="s">
        <v>4042</v>
      </c>
      <c r="E3176" s="100" t="s">
        <v>139</v>
      </c>
      <c r="F3176" s="100" t="s">
        <v>4043</v>
      </c>
      <c r="G3176" s="100" t="s">
        <v>2961</v>
      </c>
      <c r="H3176" s="100"/>
      <c r="I3176" s="101" t="s">
        <v>134</v>
      </c>
      <c r="J3176" s="580">
        <v>1</v>
      </c>
      <c r="K3176" s="580">
        <v>0</v>
      </c>
      <c r="L3176" s="102">
        <v>13.23</v>
      </c>
      <c r="M3176" s="102">
        <v>13.23</v>
      </c>
      <c r="N3176" s="573">
        <v>7189.58</v>
      </c>
      <c r="O3176" s="556" t="str">
        <f>IF(N3176=M3176,"OK","DIF")</f>
        <v>DIF</v>
      </c>
      <c r="P3176" s="573"/>
      <c r="Q3176" s="556"/>
      <c r="R3176" s="582"/>
    </row>
    <row r="3177" ht="23.85" customHeight="1" spans="1:18">
      <c r="A3177" s="556" t="str">
        <f>B3177</f>
        <v>Composição Auxiliar</v>
      </c>
      <c r="B3177" s="557" t="str">
        <f>B3176</f>
        <v>Composição Auxiliar</v>
      </c>
      <c r="C3177" s="100" t="s">
        <v>2893</v>
      </c>
      <c r="D3177" s="99" t="s">
        <v>4038</v>
      </c>
      <c r="E3177" s="100" t="s">
        <v>139</v>
      </c>
      <c r="F3177" s="100" t="s">
        <v>4039</v>
      </c>
      <c r="G3177" s="100" t="s">
        <v>2961</v>
      </c>
      <c r="H3177" s="100"/>
      <c r="I3177" s="101" t="s">
        <v>134</v>
      </c>
      <c r="J3177" s="580">
        <v>2</v>
      </c>
      <c r="K3177" s="580">
        <v>0</v>
      </c>
      <c r="L3177" s="102">
        <v>0.26</v>
      </c>
      <c r="M3177" s="102">
        <v>0.52</v>
      </c>
      <c r="N3177" s="573">
        <v>116.77</v>
      </c>
      <c r="O3177" s="556" t="str">
        <f>IF(N3177=M3177,"OK","DIF")</f>
        <v>DIF</v>
      </c>
      <c r="P3177" s="573"/>
      <c r="Q3177" s="556"/>
      <c r="R3177" s="582"/>
    </row>
    <row r="3178" ht="25.5" spans="1:18">
      <c r="A3178" s="556" t="str">
        <f>B3178</f>
        <v>Composição Auxiliar</v>
      </c>
      <c r="B3178" s="557" t="str">
        <f>B3177</f>
        <v>Composição Auxiliar</v>
      </c>
      <c r="C3178" s="108"/>
      <c r="D3178" s="108"/>
      <c r="E3178" s="108"/>
      <c r="F3178" s="108"/>
      <c r="G3178" s="108"/>
      <c r="H3178" s="108" t="s">
        <v>2898</v>
      </c>
      <c r="I3178" s="581">
        <v>16.93</v>
      </c>
      <c r="J3178" s="108" t="s">
        <v>2899</v>
      </c>
      <c r="K3178" s="581">
        <v>0</v>
      </c>
      <c r="L3178" s="108" t="s">
        <v>2900</v>
      </c>
      <c r="M3178" s="581">
        <v>16.93</v>
      </c>
      <c r="N3178" s="573">
        <v>148.81</v>
      </c>
      <c r="O3178" s="556" t="str">
        <f>IF(N3178=M3178,"OK","DIF")</f>
        <v>DIF</v>
      </c>
      <c r="P3178" s="573"/>
      <c r="Q3178" s="556"/>
      <c r="R3178" s="582"/>
    </row>
    <row r="3179" ht="26.25" spans="1:18">
      <c r="A3179" s="556" t="str">
        <f>B3179</f>
        <v>Composição Auxiliar</v>
      </c>
      <c r="B3179" s="557" t="str">
        <f>B3178</f>
        <v>Composição Auxiliar</v>
      </c>
      <c r="C3179" s="108"/>
      <c r="D3179" s="108"/>
      <c r="E3179" s="108"/>
      <c r="F3179" s="108"/>
      <c r="G3179" s="108"/>
      <c r="H3179" s="108" t="s">
        <v>2901</v>
      </c>
      <c r="I3179" s="581">
        <v>9.65</v>
      </c>
      <c r="J3179" s="114"/>
      <c r="K3179" s="114" t="s">
        <v>2902</v>
      </c>
      <c r="L3179" s="108"/>
      <c r="M3179" s="581">
        <v>47.53</v>
      </c>
      <c r="N3179" s="573">
        <v>6924</v>
      </c>
      <c r="O3179" s="556" t="str">
        <f>IF(N3179=M3179,"OK","DIF")</f>
        <v>DIF</v>
      </c>
      <c r="P3179" s="573"/>
      <c r="Q3179" s="556"/>
      <c r="R3179" s="582"/>
    </row>
    <row r="3180" ht="15" spans="1:18">
      <c r="A3180" s="556"/>
      <c r="B3180" s="557"/>
      <c r="C3180" s="571"/>
      <c r="D3180" s="571"/>
      <c r="E3180" s="571"/>
      <c r="F3180" s="571"/>
      <c r="G3180" s="571"/>
      <c r="H3180" s="571"/>
      <c r="I3180" s="571"/>
      <c r="J3180" s="571"/>
      <c r="K3180" s="571"/>
      <c r="L3180" s="571"/>
      <c r="M3180" s="571"/>
      <c r="N3180" s="573"/>
      <c r="O3180" s="556"/>
      <c r="P3180" s="573"/>
      <c r="Q3180" s="556"/>
      <c r="R3180" s="582"/>
    </row>
    <row r="3181" ht="15" customHeight="1" spans="1:18">
      <c r="A3181" s="556"/>
      <c r="B3181" s="557"/>
      <c r="C3181" s="76" t="s">
        <v>1103</v>
      </c>
      <c r="D3181" s="75" t="s">
        <v>63</v>
      </c>
      <c r="E3181" s="76" t="s">
        <v>64</v>
      </c>
      <c r="F3181" s="76" t="s">
        <v>65</v>
      </c>
      <c r="G3181" s="76" t="s">
        <v>2889</v>
      </c>
      <c r="H3181" s="76"/>
      <c r="I3181" s="77" t="s">
        <v>66</v>
      </c>
      <c r="J3181" s="75" t="s">
        <v>67</v>
      </c>
      <c r="K3181" s="75" t="s">
        <v>2890</v>
      </c>
      <c r="L3181" s="75" t="s">
        <v>68</v>
      </c>
      <c r="M3181" s="75" t="s">
        <v>70</v>
      </c>
      <c r="N3181" s="573"/>
      <c r="O3181" s="556"/>
      <c r="P3181" s="573"/>
      <c r="Q3181" s="556"/>
      <c r="R3181" s="582"/>
    </row>
    <row r="3182" ht="35.05" customHeight="1" spans="1:18">
      <c r="A3182" s="556"/>
      <c r="B3182" s="557" t="str">
        <f>C3181</f>
        <v> 12.1.1.40 </v>
      </c>
      <c r="C3182" s="569" t="s">
        <v>2891</v>
      </c>
      <c r="D3182" s="570" t="s">
        <v>1104</v>
      </c>
      <c r="E3182" s="569" t="s">
        <v>139</v>
      </c>
      <c r="F3182" s="569" t="s">
        <v>1105</v>
      </c>
      <c r="G3182" s="569" t="s">
        <v>3235</v>
      </c>
      <c r="H3182" s="569"/>
      <c r="I3182" s="577" t="s">
        <v>134</v>
      </c>
      <c r="J3182" s="578">
        <v>1</v>
      </c>
      <c r="K3182" s="579"/>
      <c r="L3182" s="579">
        <v>33.25</v>
      </c>
      <c r="M3182" s="579">
        <v>33.25</v>
      </c>
      <c r="N3182" s="573">
        <v>18057.58</v>
      </c>
      <c r="O3182" s="556" t="str">
        <f>IF(N3182=M3182,"OK","DIF")</f>
        <v>DIF</v>
      </c>
      <c r="P3182" s="573"/>
      <c r="Q3182" s="556"/>
      <c r="R3182" s="582"/>
    </row>
    <row r="3183" ht="23.85" customHeight="1" spans="1:18">
      <c r="A3183" s="556" t="str">
        <f>B3183</f>
        <v> 12.1.1.40 </v>
      </c>
      <c r="B3183" s="557" t="str">
        <f>B3182</f>
        <v> 12.1.1.40 </v>
      </c>
      <c r="C3183" s="79" t="s">
        <v>2921</v>
      </c>
      <c r="D3183" s="78" t="s">
        <v>3153</v>
      </c>
      <c r="E3183" s="79" t="s">
        <v>139</v>
      </c>
      <c r="F3183" s="79" t="s">
        <v>3154</v>
      </c>
      <c r="G3183" s="79" t="s">
        <v>2928</v>
      </c>
      <c r="H3183" s="79"/>
      <c r="I3183" s="80" t="s">
        <v>2897</v>
      </c>
      <c r="J3183" s="583">
        <v>0.3154</v>
      </c>
      <c r="K3183" s="583">
        <v>0</v>
      </c>
      <c r="L3183" s="92">
        <v>30.6</v>
      </c>
      <c r="M3183" s="92">
        <v>9.65</v>
      </c>
      <c r="N3183" s="573">
        <v>148.81</v>
      </c>
      <c r="O3183" s="556" t="str">
        <f>IF(N3183=M3183,"OK","DIF")</f>
        <v>DIF</v>
      </c>
      <c r="P3183" s="573"/>
      <c r="Q3183" s="556"/>
      <c r="R3183" s="582"/>
    </row>
    <row r="3184" ht="23.85" customHeight="1" spans="1:18">
      <c r="A3184" s="556" t="str">
        <f>B3184</f>
        <v> 12.1.1.40 </v>
      </c>
      <c r="B3184" s="557" t="str">
        <f>B3183</f>
        <v> 12.1.1.40 </v>
      </c>
      <c r="C3184" s="79" t="s">
        <v>2921</v>
      </c>
      <c r="D3184" s="78" t="s">
        <v>3151</v>
      </c>
      <c r="E3184" s="79" t="s">
        <v>139</v>
      </c>
      <c r="F3184" s="79" t="s">
        <v>3152</v>
      </c>
      <c r="G3184" s="79" t="s">
        <v>2928</v>
      </c>
      <c r="H3184" s="79"/>
      <c r="I3184" s="80" t="s">
        <v>2897</v>
      </c>
      <c r="J3184" s="583">
        <v>0.3154</v>
      </c>
      <c r="K3184" s="583">
        <v>0</v>
      </c>
      <c r="L3184" s="92">
        <v>36.82</v>
      </c>
      <c r="M3184" s="92">
        <v>11.61</v>
      </c>
      <c r="N3184" s="573">
        <v>116.77</v>
      </c>
      <c r="O3184" s="556" t="str">
        <f>IF(N3184=M3184,"OK","DIF")</f>
        <v>DIF</v>
      </c>
      <c r="P3184" s="573"/>
      <c r="Q3184" s="556"/>
      <c r="R3184" s="582"/>
    </row>
    <row r="3185" ht="23.85" customHeight="1" spans="1:18">
      <c r="A3185" s="556" t="str">
        <f>B3185</f>
        <v> 12.1.1.40 </v>
      </c>
      <c r="B3185" s="557" t="str">
        <f>B3184</f>
        <v> 12.1.1.40 </v>
      </c>
      <c r="C3185" s="100" t="s">
        <v>2893</v>
      </c>
      <c r="D3185" s="99" t="s">
        <v>4038</v>
      </c>
      <c r="E3185" s="100" t="s">
        <v>139</v>
      </c>
      <c r="F3185" s="100" t="s">
        <v>4039</v>
      </c>
      <c r="G3185" s="100" t="s">
        <v>2961</v>
      </c>
      <c r="H3185" s="100"/>
      <c r="I3185" s="101" t="s">
        <v>134</v>
      </c>
      <c r="J3185" s="580">
        <v>2</v>
      </c>
      <c r="K3185" s="580">
        <v>0</v>
      </c>
      <c r="L3185" s="102">
        <v>0.26</v>
      </c>
      <c r="M3185" s="102">
        <v>0.52</v>
      </c>
      <c r="N3185" s="573">
        <v>17792</v>
      </c>
      <c r="O3185" s="556" t="str">
        <f>IF(N3185=M3185,"OK","DIF")</f>
        <v>DIF</v>
      </c>
      <c r="P3185" s="573"/>
      <c r="Q3185" s="556"/>
      <c r="R3185" s="582"/>
    </row>
    <row r="3186" ht="23.85" customHeight="1" spans="1:18">
      <c r="A3186" s="556"/>
      <c r="B3186" s="557"/>
      <c r="C3186" s="100" t="s">
        <v>2893</v>
      </c>
      <c r="D3186" s="99" t="s">
        <v>4044</v>
      </c>
      <c r="E3186" s="100" t="s">
        <v>139</v>
      </c>
      <c r="F3186" s="100" t="s">
        <v>4045</v>
      </c>
      <c r="G3186" s="100" t="s">
        <v>2961</v>
      </c>
      <c r="H3186" s="100"/>
      <c r="I3186" s="101" t="s">
        <v>134</v>
      </c>
      <c r="J3186" s="580">
        <v>1</v>
      </c>
      <c r="K3186" s="580">
        <v>0</v>
      </c>
      <c r="L3186" s="102">
        <v>11.47</v>
      </c>
      <c r="M3186" s="102">
        <v>11.47</v>
      </c>
      <c r="N3186" s="573"/>
      <c r="O3186" s="556"/>
      <c r="P3186" s="573"/>
      <c r="Q3186" s="556"/>
      <c r="R3186" s="582"/>
    </row>
    <row r="3187" ht="25.5" spans="1:18">
      <c r="A3187" s="556"/>
      <c r="B3187" s="557"/>
      <c r="C3187" s="108"/>
      <c r="D3187" s="108"/>
      <c r="E3187" s="108"/>
      <c r="F3187" s="108"/>
      <c r="G3187" s="108"/>
      <c r="H3187" s="108" t="s">
        <v>2898</v>
      </c>
      <c r="I3187" s="581">
        <v>14.92</v>
      </c>
      <c r="J3187" s="108" t="s">
        <v>2899</v>
      </c>
      <c r="K3187" s="581">
        <v>0</v>
      </c>
      <c r="L3187" s="108" t="s">
        <v>2900</v>
      </c>
      <c r="M3187" s="581">
        <v>14.92</v>
      </c>
      <c r="N3187" s="573"/>
      <c r="O3187" s="556"/>
      <c r="P3187" s="573"/>
      <c r="Q3187" s="556"/>
      <c r="R3187" s="582"/>
    </row>
    <row r="3188" ht="26.25" spans="1:18">
      <c r="A3188" s="556"/>
      <c r="B3188" s="557">
        <f>C3187</f>
        <v>0</v>
      </c>
      <c r="C3188" s="108"/>
      <c r="D3188" s="108"/>
      <c r="E3188" s="108"/>
      <c r="F3188" s="108"/>
      <c r="G3188" s="108"/>
      <c r="H3188" s="108" t="s">
        <v>2901</v>
      </c>
      <c r="I3188" s="581">
        <v>8.47</v>
      </c>
      <c r="J3188" s="114"/>
      <c r="K3188" s="114" t="s">
        <v>2902</v>
      </c>
      <c r="L3188" s="108"/>
      <c r="M3188" s="581">
        <v>41.72</v>
      </c>
      <c r="N3188" s="573">
        <v>12676.58</v>
      </c>
      <c r="O3188" s="556" t="str">
        <f>IF(N3188=M3188,"OK","DIF")</f>
        <v>DIF</v>
      </c>
      <c r="P3188" s="573"/>
      <c r="Q3188" s="556"/>
      <c r="R3188" s="582"/>
    </row>
    <row r="3189" ht="15" spans="1:18">
      <c r="A3189" s="556">
        <f>B3189</f>
        <v>0</v>
      </c>
      <c r="B3189" s="557">
        <f>B3188</f>
        <v>0</v>
      </c>
      <c r="C3189" s="571"/>
      <c r="D3189" s="571"/>
      <c r="E3189" s="571"/>
      <c r="F3189" s="571"/>
      <c r="G3189" s="571"/>
      <c r="H3189" s="571"/>
      <c r="I3189" s="571"/>
      <c r="J3189" s="571"/>
      <c r="K3189" s="571"/>
      <c r="L3189" s="571"/>
      <c r="M3189" s="571"/>
      <c r="N3189" s="573">
        <v>116.77</v>
      </c>
      <c r="O3189" s="556" t="str">
        <f>IF(N3189=M3189,"OK","DIF")</f>
        <v>DIF</v>
      </c>
      <c r="P3189" s="573"/>
      <c r="Q3189" s="556"/>
      <c r="R3189" s="582"/>
    </row>
    <row r="3190" ht="15" customHeight="1" spans="1:18">
      <c r="A3190" s="556">
        <f>B3190</f>
        <v>0</v>
      </c>
      <c r="B3190" s="557">
        <f>B3189</f>
        <v>0</v>
      </c>
      <c r="C3190" s="76" t="s">
        <v>1106</v>
      </c>
      <c r="D3190" s="75" t="s">
        <v>63</v>
      </c>
      <c r="E3190" s="76" t="s">
        <v>64</v>
      </c>
      <c r="F3190" s="76" t="s">
        <v>65</v>
      </c>
      <c r="G3190" s="76" t="s">
        <v>2889</v>
      </c>
      <c r="H3190" s="76"/>
      <c r="I3190" s="77" t="s">
        <v>66</v>
      </c>
      <c r="J3190" s="75" t="s">
        <v>67</v>
      </c>
      <c r="K3190" s="75" t="s">
        <v>2890</v>
      </c>
      <c r="L3190" s="75" t="s">
        <v>68</v>
      </c>
      <c r="M3190" s="75" t="s">
        <v>70</v>
      </c>
      <c r="N3190" s="573">
        <v>148.81</v>
      </c>
      <c r="O3190" s="556" t="str">
        <f>IF(N3190=M3190,"OK","DIF")</f>
        <v>DIF</v>
      </c>
      <c r="P3190" s="573"/>
      <c r="Q3190" s="556"/>
      <c r="R3190" s="582"/>
    </row>
    <row r="3191" ht="35.05" customHeight="1" spans="1:18">
      <c r="A3191" s="556">
        <f>B3191</f>
        <v>0</v>
      </c>
      <c r="B3191" s="557">
        <f>B3190</f>
        <v>0</v>
      </c>
      <c r="C3191" s="569" t="s">
        <v>2891</v>
      </c>
      <c r="D3191" s="570" t="s">
        <v>1107</v>
      </c>
      <c r="E3191" s="569" t="s">
        <v>139</v>
      </c>
      <c r="F3191" s="569" t="s">
        <v>1108</v>
      </c>
      <c r="G3191" s="569" t="s">
        <v>3235</v>
      </c>
      <c r="H3191" s="569"/>
      <c r="I3191" s="577" t="s">
        <v>134</v>
      </c>
      <c r="J3191" s="578">
        <v>1</v>
      </c>
      <c r="K3191" s="579"/>
      <c r="L3191" s="579">
        <v>44.86</v>
      </c>
      <c r="M3191" s="579">
        <v>44.86</v>
      </c>
      <c r="N3191" s="573">
        <v>12411</v>
      </c>
      <c r="O3191" s="556" t="str">
        <f>IF(N3191=M3191,"OK","DIF")</f>
        <v>DIF</v>
      </c>
      <c r="P3191" s="573"/>
      <c r="Q3191" s="556"/>
      <c r="R3191" s="582"/>
    </row>
    <row r="3192" ht="23.85" customHeight="1" spans="1:18">
      <c r="A3192" s="556"/>
      <c r="B3192" s="557"/>
      <c r="C3192" s="79" t="s">
        <v>2921</v>
      </c>
      <c r="D3192" s="78" t="s">
        <v>3151</v>
      </c>
      <c r="E3192" s="79" t="s">
        <v>139</v>
      </c>
      <c r="F3192" s="79" t="s">
        <v>3152</v>
      </c>
      <c r="G3192" s="79" t="s">
        <v>2928</v>
      </c>
      <c r="H3192" s="79"/>
      <c r="I3192" s="80" t="s">
        <v>2897</v>
      </c>
      <c r="J3192" s="583">
        <v>0.3902</v>
      </c>
      <c r="K3192" s="583">
        <v>0</v>
      </c>
      <c r="L3192" s="92">
        <v>36.82</v>
      </c>
      <c r="M3192" s="92">
        <v>14.36</v>
      </c>
      <c r="N3192" s="573"/>
      <c r="O3192" s="556"/>
      <c r="P3192" s="573"/>
      <c r="Q3192" s="556"/>
      <c r="R3192" s="582"/>
    </row>
    <row r="3193" ht="23.85" customHeight="1" spans="1:18">
      <c r="A3193" s="556"/>
      <c r="B3193" s="557"/>
      <c r="C3193" s="79" t="s">
        <v>2921</v>
      </c>
      <c r="D3193" s="78" t="s">
        <v>3153</v>
      </c>
      <c r="E3193" s="79" t="s">
        <v>139</v>
      </c>
      <c r="F3193" s="79" t="s">
        <v>3154</v>
      </c>
      <c r="G3193" s="79" t="s">
        <v>2928</v>
      </c>
      <c r="H3193" s="79"/>
      <c r="I3193" s="80" t="s">
        <v>2897</v>
      </c>
      <c r="J3193" s="583">
        <v>0.3902</v>
      </c>
      <c r="K3193" s="583">
        <v>0</v>
      </c>
      <c r="L3193" s="92">
        <v>30.6</v>
      </c>
      <c r="M3193" s="92">
        <v>11.94</v>
      </c>
      <c r="N3193" s="573"/>
      <c r="O3193" s="556"/>
      <c r="P3193" s="573"/>
      <c r="Q3193" s="556"/>
      <c r="R3193" s="582"/>
    </row>
    <row r="3194" ht="23.85" customHeight="1" spans="1:18">
      <c r="A3194" s="556"/>
      <c r="B3194" s="557" t="str">
        <f>C3193</f>
        <v>Composição Auxiliar</v>
      </c>
      <c r="C3194" s="100" t="s">
        <v>2893</v>
      </c>
      <c r="D3194" s="99" t="s">
        <v>4046</v>
      </c>
      <c r="E3194" s="100" t="s">
        <v>139</v>
      </c>
      <c r="F3194" s="100" t="s">
        <v>4047</v>
      </c>
      <c r="G3194" s="100" t="s">
        <v>2961</v>
      </c>
      <c r="H3194" s="100"/>
      <c r="I3194" s="101" t="s">
        <v>134</v>
      </c>
      <c r="J3194" s="580">
        <v>1</v>
      </c>
      <c r="K3194" s="580">
        <v>0</v>
      </c>
      <c r="L3194" s="102">
        <v>18.04</v>
      </c>
      <c r="M3194" s="102">
        <v>18.04</v>
      </c>
      <c r="N3194" s="573">
        <v>9252.58</v>
      </c>
      <c r="O3194" s="556" t="str">
        <f>IF(N3194=M3194,"OK","DIF")</f>
        <v>DIF</v>
      </c>
      <c r="P3194" s="573"/>
      <c r="Q3194" s="556"/>
      <c r="R3194" s="582"/>
    </row>
    <row r="3195" ht="23.85" customHeight="1" spans="1:18">
      <c r="A3195" s="556" t="str">
        <f>B3195</f>
        <v>Composição Auxiliar</v>
      </c>
      <c r="B3195" s="557" t="str">
        <f>B3194</f>
        <v>Composição Auxiliar</v>
      </c>
      <c r="C3195" s="100" t="s">
        <v>2893</v>
      </c>
      <c r="D3195" s="99" t="s">
        <v>4038</v>
      </c>
      <c r="E3195" s="100" t="s">
        <v>139</v>
      </c>
      <c r="F3195" s="100" t="s">
        <v>4039</v>
      </c>
      <c r="G3195" s="100" t="s">
        <v>2961</v>
      </c>
      <c r="H3195" s="100"/>
      <c r="I3195" s="101" t="s">
        <v>134</v>
      </c>
      <c r="J3195" s="580">
        <v>2</v>
      </c>
      <c r="K3195" s="580">
        <v>0</v>
      </c>
      <c r="L3195" s="102">
        <v>0.26</v>
      </c>
      <c r="M3195" s="102">
        <v>0.52</v>
      </c>
      <c r="N3195" s="573">
        <v>148.81</v>
      </c>
      <c r="O3195" s="556" t="str">
        <f>IF(N3195=M3195,"OK","DIF")</f>
        <v>DIF</v>
      </c>
      <c r="P3195" s="573"/>
      <c r="Q3195" s="556"/>
      <c r="R3195" s="582"/>
    </row>
    <row r="3196" ht="25.5" spans="1:18">
      <c r="A3196" s="556" t="str">
        <f>B3196</f>
        <v>Composição Auxiliar</v>
      </c>
      <c r="B3196" s="557" t="str">
        <f>B3195</f>
        <v>Composição Auxiliar</v>
      </c>
      <c r="C3196" s="108"/>
      <c r="D3196" s="108"/>
      <c r="E3196" s="108"/>
      <c r="F3196" s="108"/>
      <c r="G3196" s="108"/>
      <c r="H3196" s="108" t="s">
        <v>2898</v>
      </c>
      <c r="I3196" s="581">
        <v>18.45</v>
      </c>
      <c r="J3196" s="108" t="s">
        <v>2899</v>
      </c>
      <c r="K3196" s="581">
        <v>0</v>
      </c>
      <c r="L3196" s="108" t="s">
        <v>2900</v>
      </c>
      <c r="M3196" s="581">
        <v>18.45</v>
      </c>
      <c r="N3196" s="573">
        <v>116.77</v>
      </c>
      <c r="O3196" s="556" t="str">
        <f>IF(N3196=M3196,"OK","DIF")</f>
        <v>DIF</v>
      </c>
      <c r="P3196" s="573"/>
      <c r="Q3196" s="556"/>
      <c r="R3196" s="582"/>
    </row>
    <row r="3197" ht="26.25" spans="1:18">
      <c r="A3197" s="556" t="str">
        <f>B3197</f>
        <v>Composição Auxiliar</v>
      </c>
      <c r="B3197" s="557" t="str">
        <f>B3196</f>
        <v>Composição Auxiliar</v>
      </c>
      <c r="C3197" s="108"/>
      <c r="D3197" s="108"/>
      <c r="E3197" s="108"/>
      <c r="F3197" s="108"/>
      <c r="G3197" s="108"/>
      <c r="H3197" s="108" t="s">
        <v>2901</v>
      </c>
      <c r="I3197" s="581">
        <v>11.43</v>
      </c>
      <c r="J3197" s="114"/>
      <c r="K3197" s="114" t="s">
        <v>2902</v>
      </c>
      <c r="L3197" s="108"/>
      <c r="M3197" s="581">
        <v>56.29</v>
      </c>
      <c r="N3197" s="573">
        <v>8987</v>
      </c>
      <c r="O3197" s="556" t="str">
        <f>IF(N3197=M3197,"OK","DIF")</f>
        <v>DIF</v>
      </c>
      <c r="P3197" s="573"/>
      <c r="Q3197" s="556"/>
      <c r="R3197" s="582"/>
    </row>
    <row r="3198" ht="15" spans="1:18">
      <c r="A3198" s="556"/>
      <c r="B3198" s="557"/>
      <c r="C3198" s="571"/>
      <c r="D3198" s="571"/>
      <c r="E3198" s="571"/>
      <c r="F3198" s="571"/>
      <c r="G3198" s="571"/>
      <c r="H3198" s="571"/>
      <c r="I3198" s="571"/>
      <c r="J3198" s="571"/>
      <c r="K3198" s="571"/>
      <c r="L3198" s="571"/>
      <c r="M3198" s="571"/>
      <c r="N3198" s="573"/>
      <c r="O3198" s="556"/>
      <c r="P3198" s="573"/>
      <c r="Q3198" s="556"/>
      <c r="R3198" s="582"/>
    </row>
    <row r="3199" ht="15" customHeight="1" spans="1:18">
      <c r="A3199" s="556"/>
      <c r="B3199" s="557"/>
      <c r="C3199" s="76" t="s">
        <v>1109</v>
      </c>
      <c r="D3199" s="75" t="s">
        <v>63</v>
      </c>
      <c r="E3199" s="76" t="s">
        <v>64</v>
      </c>
      <c r="F3199" s="76" t="s">
        <v>65</v>
      </c>
      <c r="G3199" s="76" t="s">
        <v>2889</v>
      </c>
      <c r="H3199" s="76"/>
      <c r="I3199" s="77" t="s">
        <v>66</v>
      </c>
      <c r="J3199" s="75" t="s">
        <v>67</v>
      </c>
      <c r="K3199" s="75" t="s">
        <v>2890</v>
      </c>
      <c r="L3199" s="75" t="s">
        <v>68</v>
      </c>
      <c r="M3199" s="75" t="s">
        <v>70</v>
      </c>
      <c r="N3199" s="573"/>
      <c r="O3199" s="556"/>
      <c r="P3199" s="573"/>
      <c r="Q3199" s="556"/>
      <c r="R3199" s="582"/>
    </row>
    <row r="3200" ht="23.85" customHeight="1" spans="1:18">
      <c r="A3200" s="556"/>
      <c r="B3200" s="557" t="str">
        <f>C3199</f>
        <v> 12.1.1.42 </v>
      </c>
      <c r="C3200" s="569" t="s">
        <v>2891</v>
      </c>
      <c r="D3200" s="570" t="s">
        <v>1110</v>
      </c>
      <c r="E3200" s="569" t="s">
        <v>149</v>
      </c>
      <c r="F3200" s="569" t="s">
        <v>1111</v>
      </c>
      <c r="G3200" s="569" t="s">
        <v>4029</v>
      </c>
      <c r="H3200" s="569"/>
      <c r="I3200" s="577" t="s">
        <v>134</v>
      </c>
      <c r="J3200" s="578">
        <v>1</v>
      </c>
      <c r="K3200" s="579"/>
      <c r="L3200" s="579">
        <v>88.36</v>
      </c>
      <c r="M3200" s="579">
        <v>88.36</v>
      </c>
      <c r="N3200" s="573">
        <v>7206.58</v>
      </c>
      <c r="O3200" s="556" t="str">
        <f>IF(N3200=M3200,"OK","DIF")</f>
        <v>DIF</v>
      </c>
      <c r="P3200" s="573"/>
      <c r="Q3200" s="556"/>
      <c r="R3200" s="582"/>
    </row>
    <row r="3201" ht="15" customHeight="1" spans="1:18">
      <c r="A3201" s="556" t="str">
        <f>B3201</f>
        <v> 12.1.1.42 </v>
      </c>
      <c r="B3201" s="557" t="str">
        <f>B3200</f>
        <v> 12.1.1.42 </v>
      </c>
      <c r="C3201" s="100" t="s">
        <v>2893</v>
      </c>
      <c r="D3201" s="99" t="s">
        <v>2976</v>
      </c>
      <c r="E3201" s="100" t="s">
        <v>149</v>
      </c>
      <c r="F3201" s="100" t="s">
        <v>2977</v>
      </c>
      <c r="G3201" s="100" t="s">
        <v>2896</v>
      </c>
      <c r="H3201" s="100"/>
      <c r="I3201" s="101" t="s">
        <v>2897</v>
      </c>
      <c r="J3201" s="580">
        <v>0.478</v>
      </c>
      <c r="K3201" s="580">
        <v>0</v>
      </c>
      <c r="L3201" s="102">
        <v>20.515752</v>
      </c>
      <c r="M3201" s="102">
        <v>9.8</v>
      </c>
      <c r="N3201" s="573">
        <v>148.81</v>
      </c>
      <c r="O3201" s="556" t="str">
        <f>IF(N3201=M3201,"OK","DIF")</f>
        <v>DIF</v>
      </c>
      <c r="P3201" s="573"/>
      <c r="Q3201" s="556"/>
      <c r="R3201" s="582"/>
    </row>
    <row r="3202" ht="15" customHeight="1" spans="1:18">
      <c r="A3202" s="556" t="str">
        <f>B3202</f>
        <v> 12.1.1.42 </v>
      </c>
      <c r="B3202" s="557" t="str">
        <f>B3201</f>
        <v> 12.1.1.42 </v>
      </c>
      <c r="C3202" s="100" t="s">
        <v>2893</v>
      </c>
      <c r="D3202" s="99" t="s">
        <v>4048</v>
      </c>
      <c r="E3202" s="100" t="s">
        <v>149</v>
      </c>
      <c r="F3202" s="100" t="s">
        <v>4049</v>
      </c>
      <c r="G3202" s="100" t="s">
        <v>2961</v>
      </c>
      <c r="H3202" s="100"/>
      <c r="I3202" s="101" t="s">
        <v>134</v>
      </c>
      <c r="J3202" s="580">
        <v>1</v>
      </c>
      <c r="K3202" s="580">
        <v>0</v>
      </c>
      <c r="L3202" s="102">
        <v>65.69</v>
      </c>
      <c r="M3202" s="102">
        <v>65.69</v>
      </c>
      <c r="N3202" s="573">
        <v>116.77</v>
      </c>
      <c r="O3202" s="556" t="str">
        <f>IF(N3202=M3202,"OK","DIF")</f>
        <v>DIF</v>
      </c>
      <c r="P3202" s="573"/>
      <c r="Q3202" s="556"/>
      <c r="R3202" s="582"/>
    </row>
    <row r="3203" ht="15" customHeight="1" spans="1:18">
      <c r="A3203" s="556" t="str">
        <f>B3203</f>
        <v> 12.1.1.42 </v>
      </c>
      <c r="B3203" s="557" t="str">
        <f>B3202</f>
        <v> 12.1.1.42 </v>
      </c>
      <c r="C3203" s="100" t="s">
        <v>2893</v>
      </c>
      <c r="D3203" s="99" t="s">
        <v>2986</v>
      </c>
      <c r="E3203" s="100" t="s">
        <v>149</v>
      </c>
      <c r="F3203" s="100" t="s">
        <v>2987</v>
      </c>
      <c r="G3203" s="100" t="s">
        <v>2896</v>
      </c>
      <c r="H3203" s="100"/>
      <c r="I3203" s="101" t="s">
        <v>2897</v>
      </c>
      <c r="J3203" s="580">
        <v>0.478</v>
      </c>
      <c r="K3203" s="580">
        <v>0</v>
      </c>
      <c r="L3203" s="102">
        <v>26.928256</v>
      </c>
      <c r="M3203" s="102">
        <v>12.87</v>
      </c>
      <c r="N3203" s="573">
        <v>6941</v>
      </c>
      <c r="O3203" s="556" t="str">
        <f>IF(N3203=M3203,"OK","DIF")</f>
        <v>DIF</v>
      </c>
      <c r="P3203" s="573"/>
      <c r="Q3203" s="556"/>
      <c r="R3203" s="582"/>
    </row>
    <row r="3204" ht="25.5" spans="1:18">
      <c r="A3204" s="556"/>
      <c r="B3204" s="557"/>
      <c r="C3204" s="108"/>
      <c r="D3204" s="108"/>
      <c r="E3204" s="108"/>
      <c r="F3204" s="108"/>
      <c r="G3204" s="108"/>
      <c r="H3204" s="108" t="s">
        <v>2898</v>
      </c>
      <c r="I3204" s="581">
        <v>22.67</v>
      </c>
      <c r="J3204" s="108" t="s">
        <v>2899</v>
      </c>
      <c r="K3204" s="581">
        <v>0</v>
      </c>
      <c r="L3204" s="108" t="s">
        <v>2900</v>
      </c>
      <c r="M3204" s="581">
        <v>22.67</v>
      </c>
      <c r="N3204" s="573"/>
      <c r="O3204" s="556"/>
      <c r="P3204" s="573"/>
      <c r="Q3204" s="556"/>
      <c r="R3204" s="582"/>
    </row>
    <row r="3205" ht="26.25" spans="1:18">
      <c r="A3205" s="556"/>
      <c r="B3205" s="557"/>
      <c r="C3205" s="108"/>
      <c r="D3205" s="108"/>
      <c r="E3205" s="108"/>
      <c r="F3205" s="108"/>
      <c r="G3205" s="108"/>
      <c r="H3205" s="108" t="s">
        <v>2901</v>
      </c>
      <c r="I3205" s="581">
        <v>22.52</v>
      </c>
      <c r="J3205" s="114"/>
      <c r="K3205" s="114" t="s">
        <v>2902</v>
      </c>
      <c r="L3205" s="108"/>
      <c r="M3205" s="581">
        <v>110.88</v>
      </c>
      <c r="N3205" s="573"/>
      <c r="O3205" s="556"/>
      <c r="P3205" s="573"/>
      <c r="Q3205" s="556"/>
      <c r="R3205" s="582"/>
    </row>
    <row r="3206" ht="15" spans="1:18">
      <c r="A3206" s="556"/>
      <c r="B3206" s="557">
        <f>C3205</f>
        <v>0</v>
      </c>
      <c r="C3206" s="571"/>
      <c r="D3206" s="571"/>
      <c r="E3206" s="571"/>
      <c r="F3206" s="571"/>
      <c r="G3206" s="571"/>
      <c r="H3206" s="571"/>
      <c r="I3206" s="571"/>
      <c r="J3206" s="571"/>
      <c r="K3206" s="571"/>
      <c r="L3206" s="571"/>
      <c r="M3206" s="571"/>
      <c r="N3206" s="573">
        <v>12269.58</v>
      </c>
      <c r="O3206" s="556" t="str">
        <f>IF(N3206=M3206,"OK","DIF")</f>
        <v>DIF</v>
      </c>
      <c r="P3206" s="573"/>
      <c r="Q3206" s="556"/>
      <c r="R3206" s="582"/>
    </row>
    <row r="3207" ht="15" customHeight="1" spans="1:18">
      <c r="A3207" s="556">
        <f>B3207</f>
        <v>0</v>
      </c>
      <c r="B3207" s="557">
        <f>B3206</f>
        <v>0</v>
      </c>
      <c r="C3207" s="76" t="s">
        <v>1112</v>
      </c>
      <c r="D3207" s="75" t="s">
        <v>63</v>
      </c>
      <c r="E3207" s="76" t="s">
        <v>64</v>
      </c>
      <c r="F3207" s="76" t="s">
        <v>65</v>
      </c>
      <c r="G3207" s="76" t="s">
        <v>2889</v>
      </c>
      <c r="H3207" s="76"/>
      <c r="I3207" s="77" t="s">
        <v>66</v>
      </c>
      <c r="J3207" s="75" t="s">
        <v>67</v>
      </c>
      <c r="K3207" s="75" t="s">
        <v>2890</v>
      </c>
      <c r="L3207" s="75" t="s">
        <v>68</v>
      </c>
      <c r="M3207" s="75" t="s">
        <v>70</v>
      </c>
      <c r="N3207" s="573">
        <v>148.81</v>
      </c>
      <c r="O3207" s="556" t="str">
        <f>IF(N3207=M3207,"OK","DIF")</f>
        <v>DIF</v>
      </c>
      <c r="P3207" s="573"/>
      <c r="Q3207" s="556"/>
      <c r="R3207" s="582"/>
    </row>
    <row r="3208" ht="23.85" customHeight="1" spans="1:18">
      <c r="A3208" s="556">
        <f>B3208</f>
        <v>0</v>
      </c>
      <c r="B3208" s="557">
        <f>B3207</f>
        <v>0</v>
      </c>
      <c r="C3208" s="569" t="s">
        <v>2891</v>
      </c>
      <c r="D3208" s="570" t="s">
        <v>1113</v>
      </c>
      <c r="E3208" s="569" t="s">
        <v>149</v>
      </c>
      <c r="F3208" s="569" t="s">
        <v>1114</v>
      </c>
      <c r="G3208" s="569" t="s">
        <v>4029</v>
      </c>
      <c r="H3208" s="569"/>
      <c r="I3208" s="577" t="s">
        <v>134</v>
      </c>
      <c r="J3208" s="578">
        <v>1</v>
      </c>
      <c r="K3208" s="579"/>
      <c r="L3208" s="579">
        <v>328.13</v>
      </c>
      <c r="M3208" s="579">
        <v>328.13</v>
      </c>
      <c r="N3208" s="573">
        <v>116.77</v>
      </c>
      <c r="O3208" s="556" t="str">
        <f>IF(N3208=M3208,"OK","DIF")</f>
        <v>DIF</v>
      </c>
      <c r="P3208" s="573"/>
      <c r="Q3208" s="556"/>
      <c r="R3208" s="582"/>
    </row>
    <row r="3209" ht="15" customHeight="1" spans="1:18">
      <c r="A3209" s="556">
        <f>B3209</f>
        <v>0</v>
      </c>
      <c r="B3209" s="557">
        <f>B3208</f>
        <v>0</v>
      </c>
      <c r="C3209" s="100" t="s">
        <v>2893</v>
      </c>
      <c r="D3209" s="99" t="s">
        <v>4050</v>
      </c>
      <c r="E3209" s="100" t="s">
        <v>149</v>
      </c>
      <c r="F3209" s="100" t="s">
        <v>4051</v>
      </c>
      <c r="G3209" s="100" t="s">
        <v>2961</v>
      </c>
      <c r="H3209" s="100"/>
      <c r="I3209" s="101" t="s">
        <v>134</v>
      </c>
      <c r="J3209" s="580">
        <v>1</v>
      </c>
      <c r="K3209" s="580">
        <v>0</v>
      </c>
      <c r="L3209" s="102">
        <v>305.46</v>
      </c>
      <c r="M3209" s="102">
        <v>305.46</v>
      </c>
      <c r="N3209" s="573">
        <v>12004</v>
      </c>
      <c r="O3209" s="556" t="str">
        <f>IF(N3209=M3209,"OK","DIF")</f>
        <v>DIF</v>
      </c>
      <c r="P3209" s="573"/>
      <c r="Q3209" s="556"/>
      <c r="R3209" s="582"/>
    </row>
    <row r="3210" ht="15" customHeight="1" spans="1:18">
      <c r="A3210" s="556"/>
      <c r="B3210" s="557"/>
      <c r="C3210" s="100" t="s">
        <v>2893</v>
      </c>
      <c r="D3210" s="99" t="s">
        <v>2986</v>
      </c>
      <c r="E3210" s="100" t="s">
        <v>149</v>
      </c>
      <c r="F3210" s="100" t="s">
        <v>2987</v>
      </c>
      <c r="G3210" s="100" t="s">
        <v>2896</v>
      </c>
      <c r="H3210" s="100"/>
      <c r="I3210" s="101" t="s">
        <v>2897</v>
      </c>
      <c r="J3210" s="580">
        <v>0.478</v>
      </c>
      <c r="K3210" s="580">
        <v>0</v>
      </c>
      <c r="L3210" s="102">
        <v>26.928256</v>
      </c>
      <c r="M3210" s="102">
        <v>12.87</v>
      </c>
      <c r="N3210" s="573"/>
      <c r="O3210" s="556"/>
      <c r="P3210" s="573"/>
      <c r="Q3210" s="556"/>
      <c r="R3210" s="582"/>
    </row>
    <row r="3211" ht="15" customHeight="1" spans="1:18">
      <c r="A3211" s="556"/>
      <c r="B3211" s="557"/>
      <c r="C3211" s="100" t="s">
        <v>2893</v>
      </c>
      <c r="D3211" s="99" t="s">
        <v>2976</v>
      </c>
      <c r="E3211" s="100" t="s">
        <v>149</v>
      </c>
      <c r="F3211" s="100" t="s">
        <v>2977</v>
      </c>
      <c r="G3211" s="100" t="s">
        <v>2896</v>
      </c>
      <c r="H3211" s="100"/>
      <c r="I3211" s="101" t="s">
        <v>2897</v>
      </c>
      <c r="J3211" s="580">
        <v>0.478</v>
      </c>
      <c r="K3211" s="580">
        <v>0</v>
      </c>
      <c r="L3211" s="102">
        <v>20.515752</v>
      </c>
      <c r="M3211" s="102">
        <v>9.8</v>
      </c>
      <c r="N3211" s="573"/>
      <c r="O3211" s="556"/>
      <c r="P3211" s="573"/>
      <c r="Q3211" s="556"/>
      <c r="R3211" s="582"/>
    </row>
    <row r="3212" ht="25.5" spans="1:18">
      <c r="A3212" s="556"/>
      <c r="B3212" s="557" t="str">
        <f>C3211</f>
        <v>Insumo</v>
      </c>
      <c r="C3212" s="108"/>
      <c r="D3212" s="108"/>
      <c r="E3212" s="108"/>
      <c r="F3212" s="108"/>
      <c r="G3212" s="108"/>
      <c r="H3212" s="108" t="s">
        <v>2898</v>
      </c>
      <c r="I3212" s="581">
        <v>22.67</v>
      </c>
      <c r="J3212" s="108" t="s">
        <v>2899</v>
      </c>
      <c r="K3212" s="581">
        <v>0</v>
      </c>
      <c r="L3212" s="108" t="s">
        <v>2900</v>
      </c>
      <c r="M3212" s="581">
        <v>22.67</v>
      </c>
      <c r="N3212" s="573">
        <v>7073.58</v>
      </c>
      <c r="O3212" s="556" t="str">
        <f>IF(N3212=M3212,"OK","DIF")</f>
        <v>DIF</v>
      </c>
      <c r="P3212" s="573"/>
      <c r="Q3212" s="556"/>
      <c r="R3212" s="582"/>
    </row>
    <row r="3213" ht="26.25" spans="1:18">
      <c r="A3213" s="556" t="str">
        <f>B3213</f>
        <v>Insumo</v>
      </c>
      <c r="B3213" s="557" t="str">
        <f>B3212</f>
        <v>Insumo</v>
      </c>
      <c r="C3213" s="108"/>
      <c r="D3213" s="108"/>
      <c r="E3213" s="108"/>
      <c r="F3213" s="108"/>
      <c r="G3213" s="108"/>
      <c r="H3213" s="108" t="s">
        <v>2901</v>
      </c>
      <c r="I3213" s="581">
        <v>83.64</v>
      </c>
      <c r="J3213" s="114"/>
      <c r="K3213" s="114" t="s">
        <v>2902</v>
      </c>
      <c r="L3213" s="108"/>
      <c r="M3213" s="581">
        <v>411.77</v>
      </c>
      <c r="N3213" s="573">
        <v>148.81</v>
      </c>
      <c r="O3213" s="556" t="str">
        <f>IF(N3213=M3213,"OK","DIF")</f>
        <v>DIF</v>
      </c>
      <c r="P3213" s="573"/>
      <c r="Q3213" s="556"/>
      <c r="R3213" s="582"/>
    </row>
    <row r="3214" ht="15" spans="1:18">
      <c r="A3214" s="556" t="str">
        <f>B3214</f>
        <v>Insumo</v>
      </c>
      <c r="B3214" s="557" t="str">
        <f>B3213</f>
        <v>Insumo</v>
      </c>
      <c r="C3214" s="571"/>
      <c r="D3214" s="571"/>
      <c r="E3214" s="571"/>
      <c r="F3214" s="571"/>
      <c r="G3214" s="571"/>
      <c r="H3214" s="571"/>
      <c r="I3214" s="571"/>
      <c r="J3214" s="571"/>
      <c r="K3214" s="571"/>
      <c r="L3214" s="571"/>
      <c r="M3214" s="571"/>
      <c r="N3214" s="573">
        <v>116.77</v>
      </c>
      <c r="O3214" s="556" t="str">
        <f>IF(N3214=M3214,"OK","DIF")</f>
        <v>DIF</v>
      </c>
      <c r="P3214" s="573"/>
      <c r="Q3214" s="556"/>
      <c r="R3214" s="582"/>
    </row>
    <row r="3215" ht="15" customHeight="1" spans="1:18">
      <c r="A3215" s="556" t="str">
        <f>B3215</f>
        <v>Insumo</v>
      </c>
      <c r="B3215" s="557" t="str">
        <f>B3214</f>
        <v>Insumo</v>
      </c>
      <c r="C3215" s="76" t="s">
        <v>1115</v>
      </c>
      <c r="D3215" s="75" t="s">
        <v>63</v>
      </c>
      <c r="E3215" s="76" t="s">
        <v>64</v>
      </c>
      <c r="F3215" s="76" t="s">
        <v>65</v>
      </c>
      <c r="G3215" s="76" t="s">
        <v>2889</v>
      </c>
      <c r="H3215" s="76"/>
      <c r="I3215" s="77" t="s">
        <v>66</v>
      </c>
      <c r="J3215" s="75" t="s">
        <v>67</v>
      </c>
      <c r="K3215" s="75" t="s">
        <v>2890</v>
      </c>
      <c r="L3215" s="75" t="s">
        <v>68</v>
      </c>
      <c r="M3215" s="75" t="s">
        <v>70</v>
      </c>
      <c r="N3215" s="573">
        <v>6808</v>
      </c>
      <c r="O3215" s="556" t="str">
        <f>IF(N3215=M3215,"OK","DIF")</f>
        <v>DIF</v>
      </c>
      <c r="P3215" s="573"/>
      <c r="Q3215" s="556"/>
      <c r="R3215" s="582"/>
    </row>
    <row r="3216" ht="35.05" customHeight="1" spans="1:18">
      <c r="A3216" s="556"/>
      <c r="B3216" s="557"/>
      <c r="C3216" s="569" t="s">
        <v>2891</v>
      </c>
      <c r="D3216" s="570" t="s">
        <v>1116</v>
      </c>
      <c r="E3216" s="569" t="s">
        <v>139</v>
      </c>
      <c r="F3216" s="569" t="s">
        <v>1117</v>
      </c>
      <c r="G3216" s="569" t="s">
        <v>3235</v>
      </c>
      <c r="H3216" s="569"/>
      <c r="I3216" s="577" t="s">
        <v>134</v>
      </c>
      <c r="J3216" s="578">
        <v>1</v>
      </c>
      <c r="K3216" s="579"/>
      <c r="L3216" s="579">
        <v>36.35</v>
      </c>
      <c r="M3216" s="579">
        <v>36.35</v>
      </c>
      <c r="N3216" s="573"/>
      <c r="O3216" s="556"/>
      <c r="P3216" s="573"/>
      <c r="Q3216" s="556"/>
      <c r="R3216" s="582"/>
    </row>
    <row r="3217" ht="23.85" customHeight="1" spans="1:18">
      <c r="A3217" s="556"/>
      <c r="B3217" s="557"/>
      <c r="C3217" s="79" t="s">
        <v>2921</v>
      </c>
      <c r="D3217" s="78" t="s">
        <v>3153</v>
      </c>
      <c r="E3217" s="79" t="s">
        <v>139</v>
      </c>
      <c r="F3217" s="79" t="s">
        <v>3154</v>
      </c>
      <c r="G3217" s="79" t="s">
        <v>2928</v>
      </c>
      <c r="H3217" s="79"/>
      <c r="I3217" s="80" t="s">
        <v>2897</v>
      </c>
      <c r="J3217" s="583">
        <v>0.255</v>
      </c>
      <c r="K3217" s="583">
        <v>0</v>
      </c>
      <c r="L3217" s="92">
        <v>30.6</v>
      </c>
      <c r="M3217" s="92">
        <v>7.8</v>
      </c>
      <c r="N3217" s="573"/>
      <c r="O3217" s="556"/>
      <c r="P3217" s="573"/>
      <c r="Q3217" s="556"/>
      <c r="R3217" s="582"/>
    </row>
    <row r="3218" ht="23.85" customHeight="1" spans="1:18">
      <c r="A3218" s="556"/>
      <c r="B3218" s="557" t="str">
        <f>C3217</f>
        <v>Composição Auxiliar</v>
      </c>
      <c r="C3218" s="79" t="s">
        <v>2921</v>
      </c>
      <c r="D3218" s="78" t="s">
        <v>3151</v>
      </c>
      <c r="E3218" s="79" t="s">
        <v>139</v>
      </c>
      <c r="F3218" s="79" t="s">
        <v>3152</v>
      </c>
      <c r="G3218" s="79" t="s">
        <v>2928</v>
      </c>
      <c r="H3218" s="79"/>
      <c r="I3218" s="80" t="s">
        <v>2897</v>
      </c>
      <c r="J3218" s="583">
        <v>0.255</v>
      </c>
      <c r="K3218" s="583">
        <v>0</v>
      </c>
      <c r="L3218" s="92">
        <v>36.82</v>
      </c>
      <c r="M3218" s="92">
        <v>9.38</v>
      </c>
      <c r="N3218" s="573">
        <v>7173.58</v>
      </c>
      <c r="O3218" s="556" t="str">
        <f>IF(N3218=M3218,"OK","DIF")</f>
        <v>DIF</v>
      </c>
      <c r="P3218" s="573"/>
      <c r="Q3218" s="556"/>
      <c r="R3218" s="582"/>
    </row>
    <row r="3219" ht="23.85" customHeight="1" spans="1:18">
      <c r="A3219" s="556" t="str">
        <f>B3219</f>
        <v>Composição Auxiliar</v>
      </c>
      <c r="B3219" s="557" t="str">
        <f>B3218</f>
        <v>Composição Auxiliar</v>
      </c>
      <c r="C3219" s="100" t="s">
        <v>2893</v>
      </c>
      <c r="D3219" s="99" t="s">
        <v>4038</v>
      </c>
      <c r="E3219" s="100" t="s">
        <v>139</v>
      </c>
      <c r="F3219" s="100" t="s">
        <v>4039</v>
      </c>
      <c r="G3219" s="100" t="s">
        <v>2961</v>
      </c>
      <c r="H3219" s="100"/>
      <c r="I3219" s="101" t="s">
        <v>134</v>
      </c>
      <c r="J3219" s="580">
        <v>2</v>
      </c>
      <c r="K3219" s="580">
        <v>0</v>
      </c>
      <c r="L3219" s="102">
        <v>0.26</v>
      </c>
      <c r="M3219" s="102">
        <v>0.52</v>
      </c>
      <c r="N3219" s="573">
        <v>116.77</v>
      </c>
      <c r="O3219" s="556" t="str">
        <f>IF(N3219=M3219,"OK","DIF")</f>
        <v>DIF</v>
      </c>
      <c r="P3219" s="573"/>
      <c r="Q3219" s="556"/>
      <c r="R3219" s="582"/>
    </row>
    <row r="3220" ht="23.85" customHeight="1" spans="1:18">
      <c r="A3220" s="556" t="str">
        <f>B3220</f>
        <v>Composição Auxiliar</v>
      </c>
      <c r="B3220" s="557" t="str">
        <f>B3219</f>
        <v>Composição Auxiliar</v>
      </c>
      <c r="C3220" s="100" t="s">
        <v>2893</v>
      </c>
      <c r="D3220" s="99" t="s">
        <v>4052</v>
      </c>
      <c r="E3220" s="100" t="s">
        <v>139</v>
      </c>
      <c r="F3220" s="100" t="s">
        <v>4053</v>
      </c>
      <c r="G3220" s="100" t="s">
        <v>2961</v>
      </c>
      <c r="H3220" s="100"/>
      <c r="I3220" s="101" t="s">
        <v>134</v>
      </c>
      <c r="J3220" s="580">
        <v>1</v>
      </c>
      <c r="K3220" s="580">
        <v>0</v>
      </c>
      <c r="L3220" s="102">
        <v>18.65</v>
      </c>
      <c r="M3220" s="102">
        <v>18.65</v>
      </c>
      <c r="N3220" s="573">
        <v>148.81</v>
      </c>
      <c r="O3220" s="556" t="str">
        <f>IF(N3220=M3220,"OK","DIF")</f>
        <v>DIF</v>
      </c>
      <c r="P3220" s="573"/>
      <c r="Q3220" s="556"/>
      <c r="R3220" s="582"/>
    </row>
    <row r="3221" ht="25.5" spans="1:18">
      <c r="A3221" s="556" t="str">
        <f>B3221</f>
        <v>Composição Auxiliar</v>
      </c>
      <c r="B3221" s="557" t="str">
        <f>B3220</f>
        <v>Composição Auxiliar</v>
      </c>
      <c r="C3221" s="108"/>
      <c r="D3221" s="108"/>
      <c r="E3221" s="108"/>
      <c r="F3221" s="108"/>
      <c r="G3221" s="108"/>
      <c r="H3221" s="108" t="s">
        <v>2898</v>
      </c>
      <c r="I3221" s="581">
        <v>12.06</v>
      </c>
      <c r="J3221" s="108" t="s">
        <v>2899</v>
      </c>
      <c r="K3221" s="581">
        <v>0</v>
      </c>
      <c r="L3221" s="108" t="s">
        <v>2900</v>
      </c>
      <c r="M3221" s="581">
        <v>12.06</v>
      </c>
      <c r="N3221" s="573">
        <v>6908</v>
      </c>
      <c r="O3221" s="556" t="str">
        <f>IF(N3221=M3221,"OK","DIF")</f>
        <v>DIF</v>
      </c>
      <c r="P3221" s="573"/>
      <c r="Q3221" s="556"/>
      <c r="R3221" s="582"/>
    </row>
    <row r="3222" ht="26.25" spans="1:18">
      <c r="A3222" s="556"/>
      <c r="B3222" s="557"/>
      <c r="C3222" s="108"/>
      <c r="D3222" s="108"/>
      <c r="E3222" s="108"/>
      <c r="F3222" s="108"/>
      <c r="G3222" s="108"/>
      <c r="H3222" s="108" t="s">
        <v>2901</v>
      </c>
      <c r="I3222" s="581">
        <v>9.26</v>
      </c>
      <c r="J3222" s="114"/>
      <c r="K3222" s="114" t="s">
        <v>2902</v>
      </c>
      <c r="L3222" s="108"/>
      <c r="M3222" s="581">
        <v>45.61</v>
      </c>
      <c r="N3222" s="573"/>
      <c r="O3222" s="556"/>
      <c r="P3222" s="573"/>
      <c r="Q3222" s="556"/>
      <c r="R3222" s="582"/>
    </row>
    <row r="3223" ht="15" spans="1:18">
      <c r="A3223" s="556"/>
      <c r="B3223" s="557"/>
      <c r="C3223" s="571"/>
      <c r="D3223" s="571"/>
      <c r="E3223" s="571"/>
      <c r="F3223" s="571"/>
      <c r="G3223" s="571"/>
      <c r="H3223" s="571"/>
      <c r="I3223" s="571"/>
      <c r="J3223" s="571"/>
      <c r="K3223" s="571"/>
      <c r="L3223" s="571"/>
      <c r="M3223" s="571"/>
      <c r="N3223" s="573"/>
      <c r="O3223" s="556"/>
      <c r="P3223" s="573"/>
      <c r="Q3223" s="556"/>
      <c r="R3223" s="582"/>
    </row>
    <row r="3224" ht="15" customHeight="1" spans="1:18">
      <c r="A3224" s="556"/>
      <c r="B3224" s="557">
        <f>C3223</f>
        <v>0</v>
      </c>
      <c r="C3224" s="76" t="s">
        <v>1118</v>
      </c>
      <c r="D3224" s="75" t="s">
        <v>63</v>
      </c>
      <c r="E3224" s="76" t="s">
        <v>64</v>
      </c>
      <c r="F3224" s="76" t="s">
        <v>65</v>
      </c>
      <c r="G3224" s="76" t="s">
        <v>2889</v>
      </c>
      <c r="H3224" s="76"/>
      <c r="I3224" s="77" t="s">
        <v>66</v>
      </c>
      <c r="J3224" s="75" t="s">
        <v>67</v>
      </c>
      <c r="K3224" s="75" t="s">
        <v>2890</v>
      </c>
      <c r="L3224" s="75" t="s">
        <v>68</v>
      </c>
      <c r="M3224" s="75" t="s">
        <v>70</v>
      </c>
      <c r="N3224" s="573">
        <v>16426.58</v>
      </c>
      <c r="O3224" s="556" t="str">
        <f>IF(N3224=M3224,"OK","DIF")</f>
        <v>DIF</v>
      </c>
      <c r="P3224" s="573"/>
      <c r="Q3224" s="556"/>
      <c r="R3224" s="582"/>
    </row>
    <row r="3225" ht="35.05" customHeight="1" spans="1:18">
      <c r="A3225" s="556">
        <f>B3225</f>
        <v>0</v>
      </c>
      <c r="B3225" s="557">
        <f>B3224</f>
        <v>0</v>
      </c>
      <c r="C3225" s="569" t="s">
        <v>2891</v>
      </c>
      <c r="D3225" s="570" t="s">
        <v>1119</v>
      </c>
      <c r="E3225" s="569" t="s">
        <v>132</v>
      </c>
      <c r="F3225" s="569" t="s">
        <v>1120</v>
      </c>
      <c r="G3225" s="569" t="s">
        <v>3177</v>
      </c>
      <c r="H3225" s="569"/>
      <c r="I3225" s="577" t="s">
        <v>134</v>
      </c>
      <c r="J3225" s="578">
        <v>1</v>
      </c>
      <c r="K3225" s="579"/>
      <c r="L3225" s="579">
        <v>11.38</v>
      </c>
      <c r="M3225" s="579">
        <v>11.38</v>
      </c>
      <c r="N3225" s="573">
        <v>148.81</v>
      </c>
      <c r="O3225" s="556" t="str">
        <f>IF(N3225=M3225,"OK","DIF")</f>
        <v>DIF</v>
      </c>
      <c r="P3225" s="573"/>
      <c r="Q3225" s="556"/>
      <c r="R3225" s="582"/>
    </row>
    <row r="3226" ht="23.85" customHeight="1" spans="1:18">
      <c r="A3226" s="556">
        <f>B3226</f>
        <v>0</v>
      </c>
      <c r="B3226" s="557">
        <f>B3225</f>
        <v>0</v>
      </c>
      <c r="C3226" s="79" t="s">
        <v>2921</v>
      </c>
      <c r="D3226" s="78" t="s">
        <v>3153</v>
      </c>
      <c r="E3226" s="79" t="s">
        <v>139</v>
      </c>
      <c r="F3226" s="79" t="s">
        <v>3154</v>
      </c>
      <c r="G3226" s="79" t="s">
        <v>2928</v>
      </c>
      <c r="H3226" s="79"/>
      <c r="I3226" s="80" t="s">
        <v>2897</v>
      </c>
      <c r="J3226" s="583">
        <v>0.0442</v>
      </c>
      <c r="K3226" s="583">
        <v>0</v>
      </c>
      <c r="L3226" s="92">
        <v>30.6</v>
      </c>
      <c r="M3226" s="92">
        <v>1.35</v>
      </c>
      <c r="N3226" s="573">
        <v>116.77</v>
      </c>
      <c r="O3226" s="556" t="str">
        <f>IF(N3226=M3226,"OK","DIF")</f>
        <v>DIF</v>
      </c>
      <c r="P3226" s="573"/>
      <c r="Q3226" s="556"/>
      <c r="R3226" s="582"/>
    </row>
    <row r="3227" ht="23.85" customHeight="1" spans="1:18">
      <c r="A3227" s="556">
        <f>B3227</f>
        <v>0</v>
      </c>
      <c r="B3227" s="557">
        <f>B3226</f>
        <v>0</v>
      </c>
      <c r="C3227" s="79" t="s">
        <v>2921</v>
      </c>
      <c r="D3227" s="78" t="s">
        <v>3151</v>
      </c>
      <c r="E3227" s="79" t="s">
        <v>139</v>
      </c>
      <c r="F3227" s="79" t="s">
        <v>3152</v>
      </c>
      <c r="G3227" s="79" t="s">
        <v>2928</v>
      </c>
      <c r="H3227" s="79"/>
      <c r="I3227" s="80" t="s">
        <v>2897</v>
      </c>
      <c r="J3227" s="583">
        <v>0.1946</v>
      </c>
      <c r="K3227" s="583">
        <v>0</v>
      </c>
      <c r="L3227" s="92">
        <v>36.82</v>
      </c>
      <c r="M3227" s="92">
        <v>7.16</v>
      </c>
      <c r="N3227" s="573">
        <v>16161</v>
      </c>
      <c r="O3227" s="556" t="str">
        <f>IF(N3227=M3227,"OK","DIF")</f>
        <v>DIF</v>
      </c>
      <c r="P3227" s="573"/>
      <c r="Q3227" s="556"/>
      <c r="R3227" s="582"/>
    </row>
    <row r="3228" ht="23.85" customHeight="1" spans="1:18">
      <c r="A3228" s="556"/>
      <c r="B3228" s="557"/>
      <c r="C3228" s="100" t="s">
        <v>2893</v>
      </c>
      <c r="D3228" s="99" t="s">
        <v>4054</v>
      </c>
      <c r="E3228" s="100" t="s">
        <v>139</v>
      </c>
      <c r="F3228" s="100" t="s">
        <v>4055</v>
      </c>
      <c r="G3228" s="100" t="s">
        <v>2961</v>
      </c>
      <c r="H3228" s="100"/>
      <c r="I3228" s="101" t="s">
        <v>134</v>
      </c>
      <c r="J3228" s="580">
        <v>1.25</v>
      </c>
      <c r="K3228" s="580">
        <v>0</v>
      </c>
      <c r="L3228" s="102">
        <v>2.3</v>
      </c>
      <c r="M3228" s="102">
        <v>2.87</v>
      </c>
      <c r="N3228" s="573"/>
      <c r="O3228" s="556"/>
      <c r="P3228" s="573"/>
      <c r="Q3228" s="556"/>
      <c r="R3228" s="582"/>
    </row>
    <row r="3229" ht="25.5" spans="1:18">
      <c r="A3229" s="556"/>
      <c r="B3229" s="557"/>
      <c r="C3229" s="108"/>
      <c r="D3229" s="108"/>
      <c r="E3229" s="108"/>
      <c r="F3229" s="108"/>
      <c r="G3229" s="108"/>
      <c r="H3229" s="108" t="s">
        <v>2898</v>
      </c>
      <c r="I3229" s="581">
        <v>6.1</v>
      </c>
      <c r="J3229" s="108" t="s">
        <v>2899</v>
      </c>
      <c r="K3229" s="581">
        <v>0</v>
      </c>
      <c r="L3229" s="108" t="s">
        <v>2900</v>
      </c>
      <c r="M3229" s="581">
        <v>6.1</v>
      </c>
      <c r="N3229" s="573"/>
      <c r="O3229" s="556"/>
      <c r="P3229" s="573"/>
      <c r="Q3229" s="556"/>
      <c r="R3229" s="582"/>
    </row>
    <row r="3230" ht="26.25" spans="1:18">
      <c r="A3230" s="556"/>
      <c r="B3230" s="557">
        <f>C3229</f>
        <v>0</v>
      </c>
      <c r="C3230" s="108"/>
      <c r="D3230" s="108"/>
      <c r="E3230" s="108"/>
      <c r="F3230" s="108"/>
      <c r="G3230" s="108"/>
      <c r="H3230" s="108" t="s">
        <v>2901</v>
      </c>
      <c r="I3230" s="581">
        <v>2.9</v>
      </c>
      <c r="J3230" s="114"/>
      <c r="K3230" s="114" t="s">
        <v>2902</v>
      </c>
      <c r="L3230" s="108"/>
      <c r="M3230" s="581">
        <v>14.28</v>
      </c>
      <c r="N3230" s="573">
        <v>7891.58</v>
      </c>
      <c r="O3230" s="556" t="str">
        <f>IF(N3230=M3230,"OK","DIF")</f>
        <v>DIF</v>
      </c>
      <c r="P3230" s="573"/>
      <c r="Q3230" s="556"/>
      <c r="R3230" s="582"/>
    </row>
    <row r="3231" ht="15" spans="1:18">
      <c r="A3231" s="556">
        <f>B3231</f>
        <v>0</v>
      </c>
      <c r="B3231" s="557">
        <f>B3230</f>
        <v>0</v>
      </c>
      <c r="C3231" s="571"/>
      <c r="D3231" s="571"/>
      <c r="E3231" s="571"/>
      <c r="F3231" s="571"/>
      <c r="G3231" s="571"/>
      <c r="H3231" s="571"/>
      <c r="I3231" s="571"/>
      <c r="J3231" s="571"/>
      <c r="K3231" s="571"/>
      <c r="L3231" s="571"/>
      <c r="M3231" s="571"/>
      <c r="N3231" s="573">
        <v>116.77</v>
      </c>
      <c r="O3231" s="556" t="str">
        <f>IF(N3231=M3231,"OK","DIF")</f>
        <v>DIF</v>
      </c>
      <c r="P3231" s="573"/>
      <c r="Q3231" s="556"/>
      <c r="R3231" s="582"/>
    </row>
    <row r="3232" ht="15" customHeight="1" spans="1:18">
      <c r="A3232" s="556">
        <f>B3232</f>
        <v>0</v>
      </c>
      <c r="B3232" s="557">
        <f>B3231</f>
        <v>0</v>
      </c>
      <c r="C3232" s="76" t="s">
        <v>1121</v>
      </c>
      <c r="D3232" s="75" t="s">
        <v>63</v>
      </c>
      <c r="E3232" s="76" t="s">
        <v>64</v>
      </c>
      <c r="F3232" s="76" t="s">
        <v>65</v>
      </c>
      <c r="G3232" s="76" t="s">
        <v>2889</v>
      </c>
      <c r="H3232" s="76"/>
      <c r="I3232" s="77" t="s">
        <v>66</v>
      </c>
      <c r="J3232" s="75" t="s">
        <v>67</v>
      </c>
      <c r="K3232" s="75" t="s">
        <v>2890</v>
      </c>
      <c r="L3232" s="75" t="s">
        <v>68</v>
      </c>
      <c r="M3232" s="75" t="s">
        <v>70</v>
      </c>
      <c r="N3232" s="573">
        <v>148.81</v>
      </c>
      <c r="O3232" s="556" t="str">
        <f>IF(N3232=M3232,"OK","DIF")</f>
        <v>DIF</v>
      </c>
      <c r="P3232" s="573"/>
      <c r="Q3232" s="556"/>
      <c r="R3232" s="582"/>
    </row>
    <row r="3233" ht="35.05" customHeight="1" spans="1:18">
      <c r="A3233" s="556">
        <f>B3233</f>
        <v>0</v>
      </c>
      <c r="B3233" s="557">
        <f>B3232</f>
        <v>0</v>
      </c>
      <c r="C3233" s="569" t="s">
        <v>2891</v>
      </c>
      <c r="D3233" s="570" t="s">
        <v>1122</v>
      </c>
      <c r="E3233" s="569" t="s">
        <v>132</v>
      </c>
      <c r="F3233" s="569" t="s">
        <v>1123</v>
      </c>
      <c r="G3233" s="569" t="s">
        <v>3177</v>
      </c>
      <c r="H3233" s="569"/>
      <c r="I3233" s="577" t="s">
        <v>134</v>
      </c>
      <c r="J3233" s="578">
        <v>1</v>
      </c>
      <c r="K3233" s="579"/>
      <c r="L3233" s="579">
        <v>11.59</v>
      </c>
      <c r="M3233" s="579">
        <v>11.59</v>
      </c>
      <c r="N3233" s="573">
        <v>7626</v>
      </c>
      <c r="O3233" s="556" t="str">
        <f>IF(N3233=M3233,"OK","DIF")</f>
        <v>DIF</v>
      </c>
      <c r="P3233" s="573"/>
      <c r="Q3233" s="556"/>
      <c r="R3233" s="582"/>
    </row>
    <row r="3234" ht="23.85" customHeight="1" spans="1:18">
      <c r="A3234" s="556"/>
      <c r="B3234" s="557"/>
      <c r="C3234" s="79" t="s">
        <v>2921</v>
      </c>
      <c r="D3234" s="78" t="s">
        <v>3151</v>
      </c>
      <c r="E3234" s="79" t="s">
        <v>139</v>
      </c>
      <c r="F3234" s="79" t="s">
        <v>3152</v>
      </c>
      <c r="G3234" s="79" t="s">
        <v>2928</v>
      </c>
      <c r="H3234" s="79"/>
      <c r="I3234" s="80" t="s">
        <v>2897</v>
      </c>
      <c r="J3234" s="583">
        <v>0.1946</v>
      </c>
      <c r="K3234" s="583">
        <v>0</v>
      </c>
      <c r="L3234" s="92">
        <v>36.82</v>
      </c>
      <c r="M3234" s="92">
        <v>7.16</v>
      </c>
      <c r="N3234" s="573"/>
      <c r="O3234" s="556"/>
      <c r="P3234" s="573"/>
      <c r="Q3234" s="556"/>
      <c r="R3234" s="582"/>
    </row>
    <row r="3235" ht="23.85" customHeight="1" spans="1:18">
      <c r="A3235" s="556"/>
      <c r="B3235" s="557"/>
      <c r="C3235" s="79" t="s">
        <v>2921</v>
      </c>
      <c r="D3235" s="78" t="s">
        <v>3153</v>
      </c>
      <c r="E3235" s="79" t="s">
        <v>139</v>
      </c>
      <c r="F3235" s="79" t="s">
        <v>3154</v>
      </c>
      <c r="G3235" s="79" t="s">
        <v>2928</v>
      </c>
      <c r="H3235" s="79"/>
      <c r="I3235" s="80" t="s">
        <v>2897</v>
      </c>
      <c r="J3235" s="583">
        <v>0.0442</v>
      </c>
      <c r="K3235" s="583">
        <v>0</v>
      </c>
      <c r="L3235" s="92">
        <v>30.6</v>
      </c>
      <c r="M3235" s="92">
        <v>1.35</v>
      </c>
      <c r="N3235" s="573"/>
      <c r="O3235" s="556"/>
      <c r="P3235" s="573"/>
      <c r="Q3235" s="556"/>
      <c r="R3235" s="582"/>
    </row>
    <row r="3236" ht="23.85" customHeight="1" spans="1:18">
      <c r="A3236" s="556"/>
      <c r="B3236" s="557" t="str">
        <f>C3235</f>
        <v>Composição Auxiliar</v>
      </c>
      <c r="C3236" s="100" t="s">
        <v>2893</v>
      </c>
      <c r="D3236" s="99" t="s">
        <v>4056</v>
      </c>
      <c r="E3236" s="100" t="s">
        <v>139</v>
      </c>
      <c r="F3236" s="100" t="s">
        <v>4057</v>
      </c>
      <c r="G3236" s="100" t="s">
        <v>2961</v>
      </c>
      <c r="H3236" s="100"/>
      <c r="I3236" s="101" t="s">
        <v>134</v>
      </c>
      <c r="J3236" s="580">
        <v>1.25</v>
      </c>
      <c r="K3236" s="580">
        <v>0</v>
      </c>
      <c r="L3236" s="102">
        <v>2.47</v>
      </c>
      <c r="M3236" s="102">
        <v>3.08</v>
      </c>
      <c r="N3236" s="573">
        <v>14869.06</v>
      </c>
      <c r="O3236" s="556" t="str">
        <f>IF(N3236=M3236,"OK","DIF")</f>
        <v>DIF</v>
      </c>
      <c r="P3236" s="573"/>
      <c r="Q3236" s="556"/>
      <c r="R3236" s="582"/>
    </row>
    <row r="3237" ht="25.5" spans="1:18">
      <c r="A3237" s="556" t="str">
        <f>B3237</f>
        <v>Composição Auxiliar</v>
      </c>
      <c r="B3237" s="557" t="str">
        <f>B3236</f>
        <v>Composição Auxiliar</v>
      </c>
      <c r="C3237" s="108"/>
      <c r="D3237" s="108"/>
      <c r="E3237" s="108"/>
      <c r="F3237" s="108"/>
      <c r="G3237" s="108"/>
      <c r="H3237" s="108" t="s">
        <v>2898</v>
      </c>
      <c r="I3237" s="581">
        <v>6.1</v>
      </c>
      <c r="J3237" s="108" t="s">
        <v>2899</v>
      </c>
      <c r="K3237" s="581">
        <v>0</v>
      </c>
      <c r="L3237" s="108" t="s">
        <v>2900</v>
      </c>
      <c r="M3237" s="581">
        <v>6.1</v>
      </c>
      <c r="N3237" s="573">
        <v>77.85</v>
      </c>
      <c r="O3237" s="556" t="str">
        <f>IF(N3237=M3237,"OK","DIF")</f>
        <v>DIF</v>
      </c>
      <c r="P3237" s="573"/>
      <c r="Q3237" s="556"/>
      <c r="R3237" s="582"/>
    </row>
    <row r="3238" ht="26.25" spans="1:18">
      <c r="A3238" s="556" t="str">
        <f>B3238</f>
        <v>Composição Auxiliar</v>
      </c>
      <c r="B3238" s="557" t="str">
        <f>B3237</f>
        <v>Composição Auxiliar</v>
      </c>
      <c r="C3238" s="108"/>
      <c r="D3238" s="108"/>
      <c r="E3238" s="108"/>
      <c r="F3238" s="108"/>
      <c r="G3238" s="108"/>
      <c r="H3238" s="108" t="s">
        <v>2901</v>
      </c>
      <c r="I3238" s="581">
        <v>2.95</v>
      </c>
      <c r="J3238" s="114"/>
      <c r="K3238" s="114" t="s">
        <v>2902</v>
      </c>
      <c r="L3238" s="108"/>
      <c r="M3238" s="581">
        <v>14.54</v>
      </c>
      <c r="N3238" s="573">
        <v>99.21</v>
      </c>
      <c r="O3238" s="556" t="str">
        <f>IF(N3238=M3238,"OK","DIF")</f>
        <v>DIF</v>
      </c>
      <c r="P3238" s="573"/>
      <c r="Q3238" s="556"/>
      <c r="R3238" s="582"/>
    </row>
    <row r="3239" ht="15" spans="1:18">
      <c r="A3239" s="556" t="str">
        <f>B3239</f>
        <v>Composição Auxiliar</v>
      </c>
      <c r="B3239" s="557" t="str">
        <f>B3238</f>
        <v>Composição Auxiliar</v>
      </c>
      <c r="C3239" s="571"/>
      <c r="D3239" s="571"/>
      <c r="E3239" s="571"/>
      <c r="F3239" s="571"/>
      <c r="G3239" s="571"/>
      <c r="H3239" s="571"/>
      <c r="I3239" s="571"/>
      <c r="J3239" s="571"/>
      <c r="K3239" s="571"/>
      <c r="L3239" s="571"/>
      <c r="M3239" s="571"/>
      <c r="N3239" s="573">
        <v>14692</v>
      </c>
      <c r="O3239" s="556" t="str">
        <f>IF(N3239=M3239,"OK","DIF")</f>
        <v>DIF</v>
      </c>
      <c r="P3239" s="573"/>
      <c r="Q3239" s="556"/>
      <c r="R3239" s="582"/>
    </row>
    <row r="3240" ht="15" customHeight="1" spans="1:18">
      <c r="A3240" s="556"/>
      <c r="B3240" s="557"/>
      <c r="C3240" s="76" t="s">
        <v>1124</v>
      </c>
      <c r="D3240" s="75" t="s">
        <v>63</v>
      </c>
      <c r="E3240" s="76" t="s">
        <v>64</v>
      </c>
      <c r="F3240" s="76" t="s">
        <v>65</v>
      </c>
      <c r="G3240" s="76" t="s">
        <v>2889</v>
      </c>
      <c r="H3240" s="76"/>
      <c r="I3240" s="77" t="s">
        <v>66</v>
      </c>
      <c r="J3240" s="75" t="s">
        <v>67</v>
      </c>
      <c r="K3240" s="75" t="s">
        <v>2890</v>
      </c>
      <c r="L3240" s="75" t="s">
        <v>68</v>
      </c>
      <c r="M3240" s="75" t="s">
        <v>70</v>
      </c>
      <c r="N3240" s="573"/>
      <c r="O3240" s="556"/>
      <c r="P3240" s="573"/>
      <c r="Q3240" s="556"/>
      <c r="R3240" s="582"/>
    </row>
    <row r="3241" ht="35.05" customHeight="1" spans="1:18">
      <c r="A3241" s="556"/>
      <c r="B3241" s="557"/>
      <c r="C3241" s="569" t="s">
        <v>2891</v>
      </c>
      <c r="D3241" s="570" t="s">
        <v>1125</v>
      </c>
      <c r="E3241" s="569" t="s">
        <v>132</v>
      </c>
      <c r="F3241" s="569" t="s">
        <v>1126</v>
      </c>
      <c r="G3241" s="569" t="s">
        <v>3177</v>
      </c>
      <c r="H3241" s="569"/>
      <c r="I3241" s="577" t="s">
        <v>134</v>
      </c>
      <c r="J3241" s="578">
        <v>1</v>
      </c>
      <c r="K3241" s="579"/>
      <c r="L3241" s="579">
        <v>13.99</v>
      </c>
      <c r="M3241" s="579">
        <v>13.99</v>
      </c>
      <c r="N3241" s="573"/>
      <c r="O3241" s="556"/>
      <c r="P3241" s="573"/>
      <c r="Q3241" s="556"/>
      <c r="R3241" s="582"/>
    </row>
    <row r="3242" ht="23.85" customHeight="1" spans="1:18">
      <c r="A3242" s="556"/>
      <c r="B3242" s="557" t="str">
        <f>C3241</f>
        <v>Composição</v>
      </c>
      <c r="C3242" s="79" t="s">
        <v>2921</v>
      </c>
      <c r="D3242" s="78" t="s">
        <v>3151</v>
      </c>
      <c r="E3242" s="79" t="s">
        <v>139</v>
      </c>
      <c r="F3242" s="79" t="s">
        <v>3152</v>
      </c>
      <c r="G3242" s="79" t="s">
        <v>2928</v>
      </c>
      <c r="H3242" s="79"/>
      <c r="I3242" s="80" t="s">
        <v>2897</v>
      </c>
      <c r="J3242" s="583">
        <v>0.1946</v>
      </c>
      <c r="K3242" s="583">
        <v>0</v>
      </c>
      <c r="L3242" s="92">
        <v>36.82</v>
      </c>
      <c r="M3242" s="92">
        <v>7.16</v>
      </c>
      <c r="N3242" s="573">
        <v>14869.06</v>
      </c>
      <c r="O3242" s="556" t="str">
        <f>IF(N3242=M3242,"OK","DIF")</f>
        <v>DIF</v>
      </c>
      <c r="P3242" s="573"/>
      <c r="Q3242" s="556"/>
      <c r="R3242" s="582"/>
    </row>
    <row r="3243" ht="23.85" customHeight="1" spans="1:18">
      <c r="A3243" s="556" t="str">
        <f>B3243</f>
        <v>Composição</v>
      </c>
      <c r="B3243" s="557" t="str">
        <f>B3242</f>
        <v>Composição</v>
      </c>
      <c r="C3243" s="79" t="s">
        <v>2921</v>
      </c>
      <c r="D3243" s="78" t="s">
        <v>3153</v>
      </c>
      <c r="E3243" s="79" t="s">
        <v>139</v>
      </c>
      <c r="F3243" s="79" t="s">
        <v>3154</v>
      </c>
      <c r="G3243" s="79" t="s">
        <v>2928</v>
      </c>
      <c r="H3243" s="79"/>
      <c r="I3243" s="80" t="s">
        <v>2897</v>
      </c>
      <c r="J3243" s="583">
        <v>0.0442</v>
      </c>
      <c r="K3243" s="583">
        <v>0</v>
      </c>
      <c r="L3243" s="92">
        <v>30.6</v>
      </c>
      <c r="M3243" s="92">
        <v>1.35</v>
      </c>
      <c r="N3243" s="573">
        <v>77.85</v>
      </c>
      <c r="O3243" s="556" t="str">
        <f>IF(N3243=M3243,"OK","DIF")</f>
        <v>DIF</v>
      </c>
      <c r="P3243" s="573"/>
      <c r="Q3243" s="556"/>
      <c r="R3243" s="582"/>
    </row>
    <row r="3244" ht="23.85" customHeight="1" spans="1:18">
      <c r="A3244" s="556" t="str">
        <f>B3244</f>
        <v>Composição</v>
      </c>
      <c r="B3244" s="557" t="str">
        <f>B3243</f>
        <v>Composição</v>
      </c>
      <c r="C3244" s="100" t="s">
        <v>2893</v>
      </c>
      <c r="D3244" s="99" t="s">
        <v>4058</v>
      </c>
      <c r="E3244" s="100" t="s">
        <v>139</v>
      </c>
      <c r="F3244" s="100" t="s">
        <v>4059</v>
      </c>
      <c r="G3244" s="100" t="s">
        <v>2961</v>
      </c>
      <c r="H3244" s="100"/>
      <c r="I3244" s="101" t="s">
        <v>134</v>
      </c>
      <c r="J3244" s="580">
        <v>1.25</v>
      </c>
      <c r="K3244" s="580">
        <v>0</v>
      </c>
      <c r="L3244" s="102">
        <v>4.39</v>
      </c>
      <c r="M3244" s="102">
        <v>5.48</v>
      </c>
      <c r="N3244" s="573">
        <v>99.21</v>
      </c>
      <c r="O3244" s="556" t="str">
        <f>IF(N3244=M3244,"OK","DIF")</f>
        <v>DIF</v>
      </c>
      <c r="P3244" s="573"/>
      <c r="Q3244" s="556"/>
      <c r="R3244" s="582"/>
    </row>
    <row r="3245" ht="25.5" spans="1:18">
      <c r="A3245" s="556" t="str">
        <f>B3245</f>
        <v>Composição</v>
      </c>
      <c r="B3245" s="557" t="str">
        <f>B3244</f>
        <v>Composição</v>
      </c>
      <c r="C3245" s="108"/>
      <c r="D3245" s="108"/>
      <c r="E3245" s="108"/>
      <c r="F3245" s="108"/>
      <c r="G3245" s="108"/>
      <c r="H3245" s="108" t="s">
        <v>2898</v>
      </c>
      <c r="I3245" s="581">
        <v>6.1</v>
      </c>
      <c r="J3245" s="108" t="s">
        <v>2899</v>
      </c>
      <c r="K3245" s="581">
        <v>0</v>
      </c>
      <c r="L3245" s="108" t="s">
        <v>2900</v>
      </c>
      <c r="M3245" s="581">
        <v>6.1</v>
      </c>
      <c r="N3245" s="573">
        <v>14692</v>
      </c>
      <c r="O3245" s="556" t="str">
        <f>IF(N3245=M3245,"OK","DIF")</f>
        <v>DIF</v>
      </c>
      <c r="P3245" s="573"/>
      <c r="Q3245" s="556"/>
      <c r="R3245" s="582"/>
    </row>
    <row r="3246" ht="26.25" spans="1:18">
      <c r="A3246" s="556"/>
      <c r="B3246" s="557"/>
      <c r="C3246" s="108"/>
      <c r="D3246" s="108"/>
      <c r="E3246" s="108"/>
      <c r="F3246" s="108"/>
      <c r="G3246" s="108"/>
      <c r="H3246" s="108" t="s">
        <v>2901</v>
      </c>
      <c r="I3246" s="581">
        <v>3.56</v>
      </c>
      <c r="J3246" s="114"/>
      <c r="K3246" s="114" t="s">
        <v>2902</v>
      </c>
      <c r="L3246" s="108"/>
      <c r="M3246" s="581">
        <v>17.55</v>
      </c>
      <c r="N3246" s="573"/>
      <c r="O3246" s="556"/>
      <c r="P3246" s="573"/>
      <c r="Q3246" s="556"/>
      <c r="R3246" s="582"/>
    </row>
    <row r="3247" ht="15" spans="1:18">
      <c r="A3247" s="556"/>
      <c r="B3247" s="557"/>
      <c r="C3247" s="571"/>
      <c r="D3247" s="571"/>
      <c r="E3247" s="571"/>
      <c r="F3247" s="571"/>
      <c r="G3247" s="571"/>
      <c r="H3247" s="571"/>
      <c r="I3247" s="571"/>
      <c r="J3247" s="571"/>
      <c r="K3247" s="571"/>
      <c r="L3247" s="571"/>
      <c r="M3247" s="571"/>
      <c r="N3247" s="573"/>
      <c r="O3247" s="556"/>
      <c r="P3247" s="573"/>
      <c r="Q3247" s="556"/>
      <c r="R3247" s="582"/>
    </row>
    <row r="3248" ht="15" customHeight="1" spans="1:18">
      <c r="A3248" s="556"/>
      <c r="B3248" s="557">
        <f>C3247</f>
        <v>0</v>
      </c>
      <c r="C3248" s="76" t="s">
        <v>1127</v>
      </c>
      <c r="D3248" s="75" t="s">
        <v>63</v>
      </c>
      <c r="E3248" s="76" t="s">
        <v>64</v>
      </c>
      <c r="F3248" s="76" t="s">
        <v>65</v>
      </c>
      <c r="G3248" s="76" t="s">
        <v>2889</v>
      </c>
      <c r="H3248" s="76"/>
      <c r="I3248" s="77" t="s">
        <v>66</v>
      </c>
      <c r="J3248" s="75" t="s">
        <v>67</v>
      </c>
      <c r="K3248" s="75" t="s">
        <v>2890</v>
      </c>
      <c r="L3248" s="75" t="s">
        <v>68</v>
      </c>
      <c r="M3248" s="75" t="s">
        <v>70</v>
      </c>
      <c r="N3248" s="573">
        <v>19845.67</v>
      </c>
      <c r="O3248" s="556" t="str">
        <f>IF(N3248=M3248,"OK","DIF")</f>
        <v>DIF</v>
      </c>
      <c r="P3248" s="573"/>
      <c r="Q3248" s="556"/>
      <c r="R3248" s="582"/>
    </row>
    <row r="3249" ht="35.05" customHeight="1" spans="1:18">
      <c r="A3249" s="556">
        <f>B3249</f>
        <v>0</v>
      </c>
      <c r="B3249" s="557">
        <f>B3248</f>
        <v>0</v>
      </c>
      <c r="C3249" s="569" t="s">
        <v>2891</v>
      </c>
      <c r="D3249" s="570" t="s">
        <v>1128</v>
      </c>
      <c r="E3249" s="569" t="s">
        <v>132</v>
      </c>
      <c r="F3249" s="569" t="s">
        <v>1129</v>
      </c>
      <c r="G3249" s="569" t="s">
        <v>3177</v>
      </c>
      <c r="H3249" s="569"/>
      <c r="I3249" s="577" t="s">
        <v>134</v>
      </c>
      <c r="J3249" s="578">
        <v>1</v>
      </c>
      <c r="K3249" s="579"/>
      <c r="L3249" s="579">
        <v>14.27</v>
      </c>
      <c r="M3249" s="579">
        <v>14.27</v>
      </c>
      <c r="N3249" s="573">
        <v>49.6</v>
      </c>
      <c r="O3249" s="556" t="str">
        <f>IF(N3249=M3249,"OK","DIF")</f>
        <v>DIF</v>
      </c>
      <c r="P3249" s="573"/>
      <c r="Q3249" s="556"/>
      <c r="R3249" s="582"/>
    </row>
    <row r="3250" ht="23.85" customHeight="1" spans="1:18">
      <c r="A3250" s="556">
        <f>B3250</f>
        <v>0</v>
      </c>
      <c r="B3250" s="557">
        <f>B3249</f>
        <v>0</v>
      </c>
      <c r="C3250" s="79" t="s">
        <v>2921</v>
      </c>
      <c r="D3250" s="78" t="s">
        <v>3151</v>
      </c>
      <c r="E3250" s="79" t="s">
        <v>139</v>
      </c>
      <c r="F3250" s="79" t="s">
        <v>3152</v>
      </c>
      <c r="G3250" s="79" t="s">
        <v>2928</v>
      </c>
      <c r="H3250" s="79"/>
      <c r="I3250" s="80" t="s">
        <v>2897</v>
      </c>
      <c r="J3250" s="583">
        <v>0.1946</v>
      </c>
      <c r="K3250" s="583">
        <v>0</v>
      </c>
      <c r="L3250" s="92">
        <v>36.82</v>
      </c>
      <c r="M3250" s="92">
        <v>7.16</v>
      </c>
      <c r="N3250" s="573">
        <v>40.95</v>
      </c>
      <c r="O3250" s="556" t="str">
        <f>IF(N3250=M3250,"OK","DIF")</f>
        <v>DIF</v>
      </c>
      <c r="P3250" s="573"/>
      <c r="Q3250" s="556"/>
      <c r="R3250" s="582"/>
    </row>
    <row r="3251" ht="23.85" customHeight="1" spans="1:18">
      <c r="A3251" s="556">
        <f>B3251</f>
        <v>0</v>
      </c>
      <c r="B3251" s="557">
        <f>B3250</f>
        <v>0</v>
      </c>
      <c r="C3251" s="79" t="s">
        <v>2921</v>
      </c>
      <c r="D3251" s="78" t="s">
        <v>3153</v>
      </c>
      <c r="E3251" s="79" t="s">
        <v>139</v>
      </c>
      <c r="F3251" s="79" t="s">
        <v>3154</v>
      </c>
      <c r="G3251" s="79" t="s">
        <v>2928</v>
      </c>
      <c r="H3251" s="79"/>
      <c r="I3251" s="80" t="s">
        <v>2897</v>
      </c>
      <c r="J3251" s="583">
        <v>0.0442</v>
      </c>
      <c r="K3251" s="583">
        <v>0</v>
      </c>
      <c r="L3251" s="92">
        <v>30.6</v>
      </c>
      <c r="M3251" s="92">
        <v>1.35</v>
      </c>
      <c r="N3251" s="573">
        <v>19755.12</v>
      </c>
      <c r="O3251" s="556" t="str">
        <f>IF(N3251=M3251,"OK","DIF")</f>
        <v>DIF</v>
      </c>
      <c r="P3251" s="573"/>
      <c r="Q3251" s="556"/>
      <c r="R3251" s="582"/>
    </row>
    <row r="3252" ht="23.85" customHeight="1" spans="1:18">
      <c r="A3252" s="556"/>
      <c r="B3252" s="557"/>
      <c r="C3252" s="100" t="s">
        <v>2893</v>
      </c>
      <c r="D3252" s="99" t="s">
        <v>4060</v>
      </c>
      <c r="E3252" s="100" t="s">
        <v>139</v>
      </c>
      <c r="F3252" s="100" t="s">
        <v>4061</v>
      </c>
      <c r="G3252" s="100" t="s">
        <v>2961</v>
      </c>
      <c r="H3252" s="100"/>
      <c r="I3252" s="101" t="s">
        <v>134</v>
      </c>
      <c r="J3252" s="580">
        <v>1.25</v>
      </c>
      <c r="K3252" s="580">
        <v>0</v>
      </c>
      <c r="L3252" s="102">
        <v>4.61</v>
      </c>
      <c r="M3252" s="102">
        <v>5.76</v>
      </c>
      <c r="N3252" s="573"/>
      <c r="O3252" s="556"/>
      <c r="P3252" s="573"/>
      <c r="Q3252" s="556"/>
      <c r="R3252" s="582"/>
    </row>
    <row r="3253" ht="25.5" spans="1:18">
      <c r="A3253" s="556"/>
      <c r="B3253" s="557"/>
      <c r="C3253" s="108"/>
      <c r="D3253" s="108"/>
      <c r="E3253" s="108"/>
      <c r="F3253" s="108"/>
      <c r="G3253" s="108"/>
      <c r="H3253" s="108" t="s">
        <v>2898</v>
      </c>
      <c r="I3253" s="581">
        <v>6.1</v>
      </c>
      <c r="J3253" s="108" t="s">
        <v>2899</v>
      </c>
      <c r="K3253" s="581">
        <v>0</v>
      </c>
      <c r="L3253" s="108" t="s">
        <v>2900</v>
      </c>
      <c r="M3253" s="581">
        <v>6.1</v>
      </c>
      <c r="N3253" s="573"/>
      <c r="O3253" s="556"/>
      <c r="P3253" s="573"/>
      <c r="Q3253" s="556"/>
      <c r="R3253" s="582"/>
    </row>
    <row r="3254" ht="26.25" spans="1:18">
      <c r="A3254" s="556"/>
      <c r="B3254" s="557">
        <f>C3253</f>
        <v>0</v>
      </c>
      <c r="C3254" s="108"/>
      <c r="D3254" s="108"/>
      <c r="E3254" s="108"/>
      <c r="F3254" s="108"/>
      <c r="G3254" s="108"/>
      <c r="H3254" s="108" t="s">
        <v>2901</v>
      </c>
      <c r="I3254" s="581">
        <v>3.63</v>
      </c>
      <c r="J3254" s="114"/>
      <c r="K3254" s="114" t="s">
        <v>2902</v>
      </c>
      <c r="L3254" s="108"/>
      <c r="M3254" s="581">
        <v>17.9</v>
      </c>
      <c r="N3254" s="573">
        <v>501045</v>
      </c>
      <c r="O3254" s="556" t="str">
        <f>IF(N3254=M3254,"OK","DIF")</f>
        <v>DIF</v>
      </c>
      <c r="P3254" s="573"/>
      <c r="Q3254" s="556"/>
      <c r="R3254" s="582"/>
    </row>
    <row r="3255" ht="15" spans="1:18">
      <c r="A3255" s="556">
        <f>B3255</f>
        <v>0</v>
      </c>
      <c r="B3255" s="557">
        <f>B3254</f>
        <v>0</v>
      </c>
      <c r="C3255" s="571"/>
      <c r="D3255" s="571"/>
      <c r="E3255" s="571"/>
      <c r="F3255" s="571"/>
      <c r="G3255" s="571"/>
      <c r="H3255" s="571"/>
      <c r="I3255" s="571"/>
      <c r="J3255" s="571"/>
      <c r="K3255" s="571"/>
      <c r="L3255" s="571"/>
      <c r="M3255" s="571"/>
      <c r="N3255" s="573">
        <v>501045</v>
      </c>
      <c r="O3255" s="556" t="str">
        <f>IF(N3255=M3255,"OK","DIF")</f>
        <v>DIF</v>
      </c>
      <c r="P3255" s="573"/>
      <c r="Q3255" s="556"/>
      <c r="R3255" s="582"/>
    </row>
    <row r="3256" ht="15" customHeight="1" spans="1:18">
      <c r="A3256" s="556"/>
      <c r="B3256" s="557"/>
      <c r="C3256" s="76" t="s">
        <v>1130</v>
      </c>
      <c r="D3256" s="75" t="s">
        <v>63</v>
      </c>
      <c r="E3256" s="76" t="s">
        <v>64</v>
      </c>
      <c r="F3256" s="76" t="s">
        <v>65</v>
      </c>
      <c r="G3256" s="76" t="s">
        <v>2889</v>
      </c>
      <c r="H3256" s="76"/>
      <c r="I3256" s="77" t="s">
        <v>66</v>
      </c>
      <c r="J3256" s="75" t="s">
        <v>67</v>
      </c>
      <c r="K3256" s="75" t="s">
        <v>2890</v>
      </c>
      <c r="L3256" s="75" t="s">
        <v>68</v>
      </c>
      <c r="M3256" s="75" t="s">
        <v>70</v>
      </c>
      <c r="N3256" s="573"/>
      <c r="O3256" s="556"/>
      <c r="P3256" s="573"/>
      <c r="Q3256" s="556"/>
      <c r="R3256" s="582"/>
    </row>
    <row r="3257" ht="35.05" customHeight="1" spans="1:18">
      <c r="A3257" s="556"/>
      <c r="B3257" s="557"/>
      <c r="C3257" s="569" t="s">
        <v>2891</v>
      </c>
      <c r="D3257" s="570" t="s">
        <v>1131</v>
      </c>
      <c r="E3257" s="569" t="s">
        <v>132</v>
      </c>
      <c r="F3257" s="569" t="s">
        <v>1132</v>
      </c>
      <c r="G3257" s="569" t="s">
        <v>3177</v>
      </c>
      <c r="H3257" s="569"/>
      <c r="I3257" s="577" t="s">
        <v>134</v>
      </c>
      <c r="J3257" s="578">
        <v>1</v>
      </c>
      <c r="K3257" s="579"/>
      <c r="L3257" s="579">
        <v>21.47</v>
      </c>
      <c r="M3257" s="579">
        <v>21.47</v>
      </c>
      <c r="N3257" s="573"/>
      <c r="O3257" s="556"/>
      <c r="P3257" s="573"/>
      <c r="Q3257" s="556"/>
      <c r="R3257" s="582"/>
    </row>
    <row r="3258" ht="23.85" customHeight="1" spans="1:18">
      <c r="A3258" s="556"/>
      <c r="B3258" s="557" t="str">
        <f>C3257</f>
        <v>Composição</v>
      </c>
      <c r="C3258" s="79" t="s">
        <v>2921</v>
      </c>
      <c r="D3258" s="78" t="s">
        <v>3151</v>
      </c>
      <c r="E3258" s="79" t="s">
        <v>139</v>
      </c>
      <c r="F3258" s="79" t="s">
        <v>3152</v>
      </c>
      <c r="G3258" s="79" t="s">
        <v>2928</v>
      </c>
      <c r="H3258" s="79"/>
      <c r="I3258" s="80" t="s">
        <v>2897</v>
      </c>
      <c r="J3258" s="583">
        <v>0.1946</v>
      </c>
      <c r="K3258" s="583">
        <v>0</v>
      </c>
      <c r="L3258" s="92">
        <v>36.82</v>
      </c>
      <c r="M3258" s="92">
        <v>7.16</v>
      </c>
      <c r="N3258" s="573">
        <v>4191.26</v>
      </c>
      <c r="O3258" s="556" t="str">
        <f>IF(N3258=M3258,"OK","DIF")</f>
        <v>DIF</v>
      </c>
      <c r="P3258" s="573"/>
      <c r="Q3258" s="556"/>
      <c r="R3258" s="582"/>
    </row>
    <row r="3259" ht="23.85" customHeight="1" spans="1:18">
      <c r="A3259" s="556" t="str">
        <f>B3259</f>
        <v>Composição</v>
      </c>
      <c r="B3259" s="557" t="str">
        <f>B3258</f>
        <v>Composição</v>
      </c>
      <c r="C3259" s="79" t="s">
        <v>2921</v>
      </c>
      <c r="D3259" s="78" t="s">
        <v>3153</v>
      </c>
      <c r="E3259" s="79" t="s">
        <v>139</v>
      </c>
      <c r="F3259" s="79" t="s">
        <v>3154</v>
      </c>
      <c r="G3259" s="79" t="s">
        <v>2928</v>
      </c>
      <c r="H3259" s="79"/>
      <c r="I3259" s="80" t="s">
        <v>2897</v>
      </c>
      <c r="J3259" s="583">
        <v>0.0442</v>
      </c>
      <c r="K3259" s="583">
        <v>0</v>
      </c>
      <c r="L3259" s="92">
        <v>30.6</v>
      </c>
      <c r="M3259" s="92">
        <v>1.35</v>
      </c>
      <c r="N3259" s="573">
        <v>584</v>
      </c>
      <c r="O3259" s="556" t="str">
        <f>IF(N3259=M3259,"OK","DIF")</f>
        <v>DIF</v>
      </c>
      <c r="P3259" s="573"/>
      <c r="Q3259" s="556"/>
      <c r="R3259" s="582"/>
    </row>
    <row r="3260" ht="23.85" customHeight="1" spans="1:18">
      <c r="A3260" s="556" t="str">
        <f>B3260</f>
        <v>Composição</v>
      </c>
      <c r="B3260" s="557" t="str">
        <f>B3259</f>
        <v>Composição</v>
      </c>
      <c r="C3260" s="100" t="s">
        <v>2893</v>
      </c>
      <c r="D3260" s="99" t="s">
        <v>4062</v>
      </c>
      <c r="E3260" s="100" t="s">
        <v>139</v>
      </c>
      <c r="F3260" s="100" t="s">
        <v>4063</v>
      </c>
      <c r="G3260" s="100" t="s">
        <v>2961</v>
      </c>
      <c r="H3260" s="100"/>
      <c r="I3260" s="101" t="s">
        <v>134</v>
      </c>
      <c r="J3260" s="580">
        <v>1.25</v>
      </c>
      <c r="K3260" s="580">
        <v>0</v>
      </c>
      <c r="L3260" s="102">
        <v>10.37</v>
      </c>
      <c r="M3260" s="102">
        <v>12.96</v>
      </c>
      <c r="N3260" s="573">
        <v>684.84</v>
      </c>
      <c r="O3260" s="556" t="str">
        <f>IF(N3260=M3260,"OK","DIF")</f>
        <v>DIF</v>
      </c>
      <c r="P3260" s="573"/>
      <c r="Q3260" s="556"/>
      <c r="R3260" s="582"/>
    </row>
    <row r="3261" ht="25.5" spans="1:18">
      <c r="A3261" s="556" t="str">
        <f>B3261</f>
        <v>Composição</v>
      </c>
      <c r="B3261" s="557" t="str">
        <f>B3260</f>
        <v>Composição</v>
      </c>
      <c r="C3261" s="108"/>
      <c r="D3261" s="108"/>
      <c r="E3261" s="108"/>
      <c r="F3261" s="108"/>
      <c r="G3261" s="108"/>
      <c r="H3261" s="108" t="s">
        <v>2898</v>
      </c>
      <c r="I3261" s="581">
        <v>6.1</v>
      </c>
      <c r="J3261" s="108" t="s">
        <v>2899</v>
      </c>
      <c r="K3261" s="581">
        <v>0</v>
      </c>
      <c r="L3261" s="108" t="s">
        <v>2900</v>
      </c>
      <c r="M3261" s="581">
        <v>6.1</v>
      </c>
      <c r="N3261" s="573">
        <v>2352.96</v>
      </c>
      <c r="O3261" s="556" t="str">
        <f>IF(N3261=M3261,"OK","DIF")</f>
        <v>DIF</v>
      </c>
      <c r="P3261" s="573"/>
      <c r="Q3261" s="556"/>
      <c r="R3261" s="582"/>
    </row>
    <row r="3262" ht="26.25" spans="1:18">
      <c r="A3262" s="556" t="str">
        <f>B3262</f>
        <v>Composição</v>
      </c>
      <c r="B3262" s="557" t="str">
        <f>B3261</f>
        <v>Composição</v>
      </c>
      <c r="C3262" s="108"/>
      <c r="D3262" s="108"/>
      <c r="E3262" s="108"/>
      <c r="F3262" s="108"/>
      <c r="G3262" s="108"/>
      <c r="H3262" s="108" t="s">
        <v>2901</v>
      </c>
      <c r="I3262" s="581">
        <v>5.47</v>
      </c>
      <c r="J3262" s="114"/>
      <c r="K3262" s="114" t="s">
        <v>2902</v>
      </c>
      <c r="L3262" s="108"/>
      <c r="M3262" s="581">
        <v>26.94</v>
      </c>
      <c r="N3262" s="573">
        <v>569.46</v>
      </c>
      <c r="O3262" s="556" t="str">
        <f>IF(N3262=M3262,"OK","DIF")</f>
        <v>DIF</v>
      </c>
      <c r="P3262" s="573"/>
      <c r="Q3262" s="556"/>
      <c r="R3262" s="582"/>
    </row>
    <row r="3263" ht="15" spans="1:18">
      <c r="A3263" s="556"/>
      <c r="B3263" s="557"/>
      <c r="C3263" s="571"/>
      <c r="D3263" s="571"/>
      <c r="E3263" s="571"/>
      <c r="F3263" s="571"/>
      <c r="G3263" s="571"/>
      <c r="H3263" s="571"/>
      <c r="I3263" s="571"/>
      <c r="J3263" s="571"/>
      <c r="K3263" s="571"/>
      <c r="L3263" s="571"/>
      <c r="M3263" s="571"/>
      <c r="N3263" s="573"/>
      <c r="O3263" s="556"/>
      <c r="P3263" s="573"/>
      <c r="Q3263" s="556"/>
      <c r="R3263" s="582"/>
    </row>
    <row r="3264" ht="15" customHeight="1" spans="1:18">
      <c r="A3264" s="556"/>
      <c r="B3264" s="557"/>
      <c r="C3264" s="76" t="s">
        <v>1133</v>
      </c>
      <c r="D3264" s="75" t="s">
        <v>63</v>
      </c>
      <c r="E3264" s="76" t="s">
        <v>64</v>
      </c>
      <c r="F3264" s="76" t="s">
        <v>65</v>
      </c>
      <c r="G3264" s="76" t="s">
        <v>2889</v>
      </c>
      <c r="H3264" s="76"/>
      <c r="I3264" s="77" t="s">
        <v>66</v>
      </c>
      <c r="J3264" s="75" t="s">
        <v>67</v>
      </c>
      <c r="K3264" s="75" t="s">
        <v>2890</v>
      </c>
      <c r="L3264" s="75" t="s">
        <v>68</v>
      </c>
      <c r="M3264" s="75" t="s">
        <v>70</v>
      </c>
      <c r="N3264" s="573"/>
      <c r="O3264" s="556"/>
      <c r="P3264" s="573"/>
      <c r="Q3264" s="556"/>
      <c r="R3264" s="582"/>
    </row>
    <row r="3265" ht="35.05" customHeight="1" spans="1:18">
      <c r="A3265" s="556"/>
      <c r="B3265" s="557" t="str">
        <f>C3264</f>
        <v> 12.1.1.50 </v>
      </c>
      <c r="C3265" s="569" t="s">
        <v>2891</v>
      </c>
      <c r="D3265" s="570" t="s">
        <v>859</v>
      </c>
      <c r="E3265" s="569" t="s">
        <v>132</v>
      </c>
      <c r="F3265" s="569" t="s">
        <v>860</v>
      </c>
      <c r="G3265" s="569" t="s">
        <v>3177</v>
      </c>
      <c r="H3265" s="569"/>
      <c r="I3265" s="577" t="s">
        <v>134</v>
      </c>
      <c r="J3265" s="578">
        <v>1</v>
      </c>
      <c r="K3265" s="579"/>
      <c r="L3265" s="579">
        <v>25.31</v>
      </c>
      <c r="M3265" s="579">
        <v>25.31</v>
      </c>
      <c r="N3265" s="573">
        <v>61967.04</v>
      </c>
      <c r="O3265" s="556" t="str">
        <f>IF(N3265=M3265,"OK","DIF")</f>
        <v>DIF</v>
      </c>
      <c r="P3265" s="573"/>
      <c r="Q3265" s="556"/>
      <c r="R3265" s="582"/>
    </row>
    <row r="3266" ht="23.85" customHeight="1" spans="1:18">
      <c r="A3266" s="556" t="str">
        <f>B3266</f>
        <v> 12.1.1.50 </v>
      </c>
      <c r="B3266" s="557" t="str">
        <f>B3265</f>
        <v> 12.1.1.50 </v>
      </c>
      <c r="C3266" s="79" t="s">
        <v>2921</v>
      </c>
      <c r="D3266" s="78" t="s">
        <v>3151</v>
      </c>
      <c r="E3266" s="79" t="s">
        <v>139</v>
      </c>
      <c r="F3266" s="79" t="s">
        <v>3152</v>
      </c>
      <c r="G3266" s="79" t="s">
        <v>2928</v>
      </c>
      <c r="H3266" s="79"/>
      <c r="I3266" s="80" t="s">
        <v>2897</v>
      </c>
      <c r="J3266" s="583">
        <v>0.3</v>
      </c>
      <c r="K3266" s="583">
        <v>0</v>
      </c>
      <c r="L3266" s="92">
        <v>36.82</v>
      </c>
      <c r="M3266" s="92">
        <v>11.04</v>
      </c>
      <c r="N3266" s="573">
        <v>81.9</v>
      </c>
      <c r="O3266" s="556" t="str">
        <f>IF(N3266=M3266,"OK","DIF")</f>
        <v>DIF</v>
      </c>
      <c r="P3266" s="573"/>
      <c r="Q3266" s="556"/>
      <c r="R3266" s="582"/>
    </row>
    <row r="3267" ht="23.85" customHeight="1" spans="1:18">
      <c r="A3267" s="556" t="str">
        <f>B3267</f>
        <v> 12.1.1.50 </v>
      </c>
      <c r="B3267" s="557" t="str">
        <f>B3266</f>
        <v> 12.1.1.50 </v>
      </c>
      <c r="C3267" s="79" t="s">
        <v>2921</v>
      </c>
      <c r="D3267" s="78" t="s">
        <v>2952</v>
      </c>
      <c r="E3267" s="79" t="s">
        <v>139</v>
      </c>
      <c r="F3267" s="79" t="s">
        <v>2953</v>
      </c>
      <c r="G3267" s="79" t="s">
        <v>2928</v>
      </c>
      <c r="H3267" s="79"/>
      <c r="I3267" s="80" t="s">
        <v>2897</v>
      </c>
      <c r="J3267" s="583">
        <v>0.3</v>
      </c>
      <c r="K3267" s="583">
        <v>0</v>
      </c>
      <c r="L3267" s="92">
        <v>29.15</v>
      </c>
      <c r="M3267" s="92">
        <v>8.74</v>
      </c>
      <c r="N3267" s="573">
        <v>66.14</v>
      </c>
      <c r="O3267" s="556" t="str">
        <f>IF(N3267=M3267,"OK","DIF")</f>
        <v>DIF</v>
      </c>
      <c r="P3267" s="573"/>
      <c r="Q3267" s="556"/>
      <c r="R3267" s="582"/>
    </row>
    <row r="3268" ht="15" customHeight="1" spans="1:18">
      <c r="A3268" s="556" t="str">
        <f>B3268</f>
        <v> 12.1.1.50 </v>
      </c>
      <c r="B3268" s="557" t="str">
        <f>B3267</f>
        <v> 12.1.1.50 </v>
      </c>
      <c r="C3268" s="100" t="s">
        <v>2893</v>
      </c>
      <c r="D3268" s="99" t="s">
        <v>3674</v>
      </c>
      <c r="E3268" s="100" t="s">
        <v>139</v>
      </c>
      <c r="F3268" s="100" t="s">
        <v>3675</v>
      </c>
      <c r="G3268" s="100" t="s">
        <v>2961</v>
      </c>
      <c r="H3268" s="100"/>
      <c r="I3268" s="101" t="s">
        <v>134</v>
      </c>
      <c r="J3268" s="580">
        <v>1</v>
      </c>
      <c r="K3268" s="580">
        <v>0</v>
      </c>
      <c r="L3268" s="102">
        <v>0.4</v>
      </c>
      <c r="M3268" s="102">
        <v>0.4</v>
      </c>
      <c r="N3268" s="573">
        <v>61819</v>
      </c>
      <c r="O3268" s="556" t="str">
        <f>IF(N3268=M3268,"OK","DIF")</f>
        <v>DIF</v>
      </c>
      <c r="P3268" s="573"/>
      <c r="Q3268" s="556"/>
      <c r="R3268" s="582"/>
    </row>
    <row r="3269" ht="23.85" customHeight="1" spans="1:18">
      <c r="A3269" s="556"/>
      <c r="B3269" s="557"/>
      <c r="C3269" s="100" t="s">
        <v>2893</v>
      </c>
      <c r="D3269" s="99" t="s">
        <v>3772</v>
      </c>
      <c r="E3269" s="100" t="s">
        <v>139</v>
      </c>
      <c r="F3269" s="100" t="s">
        <v>3773</v>
      </c>
      <c r="G3269" s="100" t="s">
        <v>2961</v>
      </c>
      <c r="H3269" s="100"/>
      <c r="I3269" s="101" t="s">
        <v>134</v>
      </c>
      <c r="J3269" s="580">
        <v>1</v>
      </c>
      <c r="K3269" s="580">
        <v>0</v>
      </c>
      <c r="L3269" s="102">
        <v>1.61</v>
      </c>
      <c r="M3269" s="102">
        <v>1.61</v>
      </c>
      <c r="N3269" s="573"/>
      <c r="O3269" s="556"/>
      <c r="P3269" s="573"/>
      <c r="Q3269" s="556"/>
      <c r="R3269" s="582"/>
    </row>
    <row r="3270" ht="15" customHeight="1" spans="1:18">
      <c r="A3270" s="556"/>
      <c r="B3270" s="557"/>
      <c r="C3270" s="100" t="s">
        <v>2893</v>
      </c>
      <c r="D3270" s="99" t="s">
        <v>3676</v>
      </c>
      <c r="E3270" s="100" t="s">
        <v>139</v>
      </c>
      <c r="F3270" s="100" t="s">
        <v>3677</v>
      </c>
      <c r="G3270" s="100" t="s">
        <v>2961</v>
      </c>
      <c r="H3270" s="100"/>
      <c r="I3270" s="101" t="s">
        <v>204</v>
      </c>
      <c r="J3270" s="580">
        <v>1</v>
      </c>
      <c r="K3270" s="580">
        <v>0</v>
      </c>
      <c r="L3270" s="102">
        <v>3.52</v>
      </c>
      <c r="M3270" s="102">
        <v>3.52</v>
      </c>
      <c r="N3270" s="573"/>
      <c r="O3270" s="556"/>
      <c r="P3270" s="573"/>
      <c r="Q3270" s="556"/>
      <c r="R3270" s="582"/>
    </row>
    <row r="3271" ht="25.5" spans="1:18">
      <c r="A3271" s="556"/>
      <c r="B3271" s="557" t="str">
        <f>C3270</f>
        <v>Insumo</v>
      </c>
      <c r="C3271" s="108"/>
      <c r="D3271" s="108"/>
      <c r="E3271" s="108"/>
      <c r="F3271" s="108"/>
      <c r="G3271" s="108"/>
      <c r="H3271" s="108" t="s">
        <v>2898</v>
      </c>
      <c r="I3271" s="581">
        <v>13.79</v>
      </c>
      <c r="J3271" s="108" t="s">
        <v>2899</v>
      </c>
      <c r="K3271" s="581">
        <v>0</v>
      </c>
      <c r="L3271" s="108" t="s">
        <v>2900</v>
      </c>
      <c r="M3271" s="581">
        <v>13.79</v>
      </c>
      <c r="N3271" s="573">
        <v>833580</v>
      </c>
      <c r="O3271" s="556" t="str">
        <f>IF(N3271=M3271,"OK","DIF")</f>
        <v>DIF</v>
      </c>
      <c r="P3271" s="573"/>
      <c r="Q3271" s="556"/>
      <c r="R3271" s="582"/>
    </row>
    <row r="3272" ht="26.25" spans="1:18">
      <c r="A3272" s="556" t="str">
        <f>B3272</f>
        <v>Insumo</v>
      </c>
      <c r="B3272" s="557" t="str">
        <f>B3271</f>
        <v>Insumo</v>
      </c>
      <c r="C3272" s="108"/>
      <c r="D3272" s="108"/>
      <c r="E3272" s="108"/>
      <c r="F3272" s="108"/>
      <c r="G3272" s="108"/>
      <c r="H3272" s="108" t="s">
        <v>2901</v>
      </c>
      <c r="I3272" s="581">
        <v>6.45</v>
      </c>
      <c r="J3272" s="114"/>
      <c r="K3272" s="114" t="s">
        <v>2902</v>
      </c>
      <c r="L3272" s="108"/>
      <c r="M3272" s="581">
        <v>31.76</v>
      </c>
      <c r="N3272" s="573">
        <v>833580</v>
      </c>
      <c r="O3272" s="556" t="str">
        <f>IF(N3272=M3272,"OK","DIF")</f>
        <v>DIF</v>
      </c>
      <c r="P3272" s="573"/>
      <c r="Q3272" s="556"/>
      <c r="R3272" s="582"/>
    </row>
    <row r="3273" ht="15" spans="1:18">
      <c r="A3273" s="556"/>
      <c r="B3273" s="557"/>
      <c r="C3273" s="571"/>
      <c r="D3273" s="571"/>
      <c r="E3273" s="571"/>
      <c r="F3273" s="571"/>
      <c r="G3273" s="571"/>
      <c r="H3273" s="571"/>
      <c r="I3273" s="571"/>
      <c r="J3273" s="571"/>
      <c r="K3273" s="571"/>
      <c r="L3273" s="571"/>
      <c r="M3273" s="571"/>
      <c r="N3273" s="573"/>
      <c r="O3273" s="556"/>
      <c r="P3273" s="573"/>
      <c r="Q3273" s="556"/>
      <c r="R3273" s="582"/>
    </row>
    <row r="3274" ht="15" customHeight="1" spans="1:18">
      <c r="A3274" s="556"/>
      <c r="B3274" s="557"/>
      <c r="C3274" s="76" t="s">
        <v>1135</v>
      </c>
      <c r="D3274" s="75" t="s">
        <v>63</v>
      </c>
      <c r="E3274" s="76" t="s">
        <v>64</v>
      </c>
      <c r="F3274" s="76" t="s">
        <v>65</v>
      </c>
      <c r="G3274" s="76" t="s">
        <v>2889</v>
      </c>
      <c r="H3274" s="76"/>
      <c r="I3274" s="77" t="s">
        <v>66</v>
      </c>
      <c r="J3274" s="75" t="s">
        <v>67</v>
      </c>
      <c r="K3274" s="75" t="s">
        <v>2890</v>
      </c>
      <c r="L3274" s="75" t="s">
        <v>68</v>
      </c>
      <c r="M3274" s="75" t="s">
        <v>70</v>
      </c>
      <c r="N3274" s="573"/>
      <c r="O3274" s="556"/>
      <c r="P3274" s="573"/>
      <c r="Q3274" s="556"/>
      <c r="R3274" s="582"/>
    </row>
    <row r="3275" ht="35.05" customHeight="1" spans="1:18">
      <c r="A3275" s="556"/>
      <c r="B3275" s="557" t="str">
        <f>C3274</f>
        <v> 12.1.1.52 </v>
      </c>
      <c r="C3275" s="569" t="s">
        <v>2891</v>
      </c>
      <c r="D3275" s="570" t="s">
        <v>865</v>
      </c>
      <c r="E3275" s="569" t="s">
        <v>132</v>
      </c>
      <c r="F3275" s="569" t="s">
        <v>866</v>
      </c>
      <c r="G3275" s="569" t="s">
        <v>3774</v>
      </c>
      <c r="H3275" s="569"/>
      <c r="I3275" s="577" t="s">
        <v>134</v>
      </c>
      <c r="J3275" s="578">
        <v>1</v>
      </c>
      <c r="K3275" s="579"/>
      <c r="L3275" s="579">
        <v>0.12</v>
      </c>
      <c r="M3275" s="579">
        <v>0.12</v>
      </c>
      <c r="N3275" s="573">
        <v>4191.26</v>
      </c>
      <c r="O3275" s="556" t="str">
        <f>IF(N3275=M3275,"OK","DIF")</f>
        <v>DIF</v>
      </c>
      <c r="P3275" s="573"/>
      <c r="Q3275" s="556"/>
      <c r="R3275" s="582"/>
    </row>
    <row r="3276" ht="15" customHeight="1" spans="1:18">
      <c r="A3276" s="556" t="str">
        <f>B3276</f>
        <v> 12.1.1.52 </v>
      </c>
      <c r="B3276" s="557" t="str">
        <f>B3275</f>
        <v> 12.1.1.52 </v>
      </c>
      <c r="C3276" s="100" t="s">
        <v>2893</v>
      </c>
      <c r="D3276" s="99" t="s">
        <v>3775</v>
      </c>
      <c r="E3276" s="100" t="s">
        <v>796</v>
      </c>
      <c r="F3276" s="100" t="s">
        <v>3776</v>
      </c>
      <c r="G3276" s="100" t="s">
        <v>2961</v>
      </c>
      <c r="H3276" s="100"/>
      <c r="I3276" s="101" t="s">
        <v>334</v>
      </c>
      <c r="J3276" s="580">
        <v>1</v>
      </c>
      <c r="K3276" s="580">
        <v>0</v>
      </c>
      <c r="L3276" s="102">
        <v>0.12</v>
      </c>
      <c r="M3276" s="102">
        <v>0.12</v>
      </c>
      <c r="N3276" s="573">
        <v>2352.96</v>
      </c>
      <c r="O3276" s="556" t="str">
        <f>IF(N3276=M3276,"OK","DIF")</f>
        <v>DIF</v>
      </c>
      <c r="P3276" s="573"/>
      <c r="Q3276" s="556"/>
      <c r="R3276" s="582"/>
    </row>
    <row r="3277" ht="25.5" spans="1:18">
      <c r="A3277" s="556" t="str">
        <f>B3277</f>
        <v> 12.1.1.52 </v>
      </c>
      <c r="B3277" s="557" t="str">
        <f>B3276</f>
        <v> 12.1.1.52 </v>
      </c>
      <c r="C3277" s="108"/>
      <c r="D3277" s="108"/>
      <c r="E3277" s="108"/>
      <c r="F3277" s="108"/>
      <c r="G3277" s="108"/>
      <c r="H3277" s="108" t="s">
        <v>2898</v>
      </c>
      <c r="I3277" s="581">
        <v>0</v>
      </c>
      <c r="J3277" s="108" t="s">
        <v>2899</v>
      </c>
      <c r="K3277" s="581">
        <v>0</v>
      </c>
      <c r="L3277" s="108" t="s">
        <v>2900</v>
      </c>
      <c r="M3277" s="581">
        <v>0</v>
      </c>
      <c r="N3277" s="573">
        <v>684.84</v>
      </c>
      <c r="O3277" s="556" t="str">
        <f>IF(N3277=M3277,"OK","DIF")</f>
        <v>DIF</v>
      </c>
      <c r="P3277" s="573"/>
      <c r="Q3277" s="556"/>
      <c r="R3277" s="582"/>
    </row>
    <row r="3278" ht="26.25" spans="1:18">
      <c r="A3278" s="556" t="str">
        <f>B3278</f>
        <v> 12.1.1.52 </v>
      </c>
      <c r="B3278" s="557" t="str">
        <f>B3277</f>
        <v> 12.1.1.52 </v>
      </c>
      <c r="C3278" s="108"/>
      <c r="D3278" s="108"/>
      <c r="E3278" s="108"/>
      <c r="F3278" s="108"/>
      <c r="G3278" s="108"/>
      <c r="H3278" s="108" t="s">
        <v>2901</v>
      </c>
      <c r="I3278" s="581">
        <v>0.03</v>
      </c>
      <c r="J3278" s="114"/>
      <c r="K3278" s="114" t="s">
        <v>2902</v>
      </c>
      <c r="L3278" s="108"/>
      <c r="M3278" s="581">
        <v>0.15</v>
      </c>
      <c r="N3278" s="573">
        <v>584</v>
      </c>
      <c r="O3278" s="556" t="str">
        <f>IF(N3278=M3278,"OK","DIF")</f>
        <v>DIF</v>
      </c>
      <c r="P3278" s="573"/>
      <c r="Q3278" s="556"/>
      <c r="R3278" s="582"/>
    </row>
    <row r="3279" ht="15" spans="1:18">
      <c r="A3279" s="556" t="str">
        <f>B3279</f>
        <v> 12.1.1.52 </v>
      </c>
      <c r="B3279" s="557" t="str">
        <f>B3278</f>
        <v> 12.1.1.52 </v>
      </c>
      <c r="C3279" s="571"/>
      <c r="D3279" s="571"/>
      <c r="E3279" s="571"/>
      <c r="F3279" s="571"/>
      <c r="G3279" s="571"/>
      <c r="H3279" s="571"/>
      <c r="I3279" s="571"/>
      <c r="J3279" s="571"/>
      <c r="K3279" s="571"/>
      <c r="L3279" s="571"/>
      <c r="M3279" s="571"/>
      <c r="N3279" s="573">
        <v>569.46</v>
      </c>
      <c r="O3279" s="556" t="str">
        <f>IF(N3279=M3279,"OK","DIF")</f>
        <v>DIF</v>
      </c>
      <c r="P3279" s="573"/>
      <c r="Q3279" s="556"/>
      <c r="R3279" s="582"/>
    </row>
    <row r="3280" ht="15" customHeight="1" spans="1:18">
      <c r="A3280" s="556"/>
      <c r="B3280" s="557"/>
      <c r="C3280" s="76" t="s">
        <v>1136</v>
      </c>
      <c r="D3280" s="75" t="s">
        <v>63</v>
      </c>
      <c r="E3280" s="76" t="s">
        <v>64</v>
      </c>
      <c r="F3280" s="76" t="s">
        <v>65</v>
      </c>
      <c r="G3280" s="76" t="s">
        <v>2889</v>
      </c>
      <c r="H3280" s="76"/>
      <c r="I3280" s="77" t="s">
        <v>66</v>
      </c>
      <c r="J3280" s="75" t="s">
        <v>67</v>
      </c>
      <c r="K3280" s="75" t="s">
        <v>2890</v>
      </c>
      <c r="L3280" s="75" t="s">
        <v>68</v>
      </c>
      <c r="M3280" s="75" t="s">
        <v>70</v>
      </c>
      <c r="N3280" s="573"/>
      <c r="O3280" s="556"/>
      <c r="P3280" s="573"/>
      <c r="Q3280" s="556"/>
      <c r="R3280" s="582"/>
    </row>
    <row r="3281" ht="35.05" customHeight="1" spans="1:18">
      <c r="A3281" s="556"/>
      <c r="B3281" s="557"/>
      <c r="C3281" s="569" t="s">
        <v>2891</v>
      </c>
      <c r="D3281" s="570" t="s">
        <v>1137</v>
      </c>
      <c r="E3281" s="569" t="s">
        <v>132</v>
      </c>
      <c r="F3281" s="569" t="s">
        <v>1138</v>
      </c>
      <c r="G3281" s="569" t="s">
        <v>3177</v>
      </c>
      <c r="H3281" s="569"/>
      <c r="I3281" s="577" t="s">
        <v>134</v>
      </c>
      <c r="J3281" s="578">
        <v>1</v>
      </c>
      <c r="K3281" s="579"/>
      <c r="L3281" s="579">
        <v>55.5</v>
      </c>
      <c r="M3281" s="579">
        <v>55.5</v>
      </c>
      <c r="N3281" s="573"/>
      <c r="O3281" s="556"/>
      <c r="P3281" s="573"/>
      <c r="Q3281" s="556"/>
      <c r="R3281" s="582"/>
    </row>
    <row r="3282" ht="23.85" customHeight="1" spans="1:18">
      <c r="A3282" s="556"/>
      <c r="B3282" s="557" t="str">
        <f>C3281</f>
        <v>Composição</v>
      </c>
      <c r="C3282" s="79" t="s">
        <v>2921</v>
      </c>
      <c r="D3282" s="78" t="s">
        <v>3151</v>
      </c>
      <c r="E3282" s="79" t="s">
        <v>139</v>
      </c>
      <c r="F3282" s="79" t="s">
        <v>3152</v>
      </c>
      <c r="G3282" s="79" t="s">
        <v>2928</v>
      </c>
      <c r="H3282" s="79"/>
      <c r="I3282" s="80" t="s">
        <v>2897</v>
      </c>
      <c r="J3282" s="583">
        <v>0.3618</v>
      </c>
      <c r="K3282" s="583">
        <v>0</v>
      </c>
      <c r="L3282" s="92">
        <v>36.82</v>
      </c>
      <c r="M3282" s="92">
        <v>13.32</v>
      </c>
      <c r="N3282" s="573">
        <v>84651.66</v>
      </c>
      <c r="O3282" s="556" t="str">
        <f>IF(N3282=M3282,"OK","DIF")</f>
        <v>DIF</v>
      </c>
      <c r="P3282" s="573"/>
      <c r="Q3282" s="556"/>
      <c r="R3282" s="582"/>
    </row>
    <row r="3283" ht="23.85" customHeight="1" spans="1:18">
      <c r="A3283" s="556" t="str">
        <f>B3283</f>
        <v>Composição</v>
      </c>
      <c r="B3283" s="557" t="str">
        <f>B3282</f>
        <v>Composição</v>
      </c>
      <c r="C3283" s="79" t="s">
        <v>2921</v>
      </c>
      <c r="D3283" s="78" t="s">
        <v>3153</v>
      </c>
      <c r="E3283" s="79" t="s">
        <v>139</v>
      </c>
      <c r="F3283" s="79" t="s">
        <v>3154</v>
      </c>
      <c r="G3283" s="79" t="s">
        <v>2928</v>
      </c>
      <c r="H3283" s="79"/>
      <c r="I3283" s="80" t="s">
        <v>2897</v>
      </c>
      <c r="J3283" s="583">
        <v>0.3618</v>
      </c>
      <c r="K3283" s="583">
        <v>0</v>
      </c>
      <c r="L3283" s="92">
        <v>30.6</v>
      </c>
      <c r="M3283" s="92">
        <v>11.07</v>
      </c>
      <c r="N3283" s="573">
        <v>122.85</v>
      </c>
      <c r="O3283" s="556" t="str">
        <f>IF(N3283=M3283,"OK","DIF")</f>
        <v>DIF</v>
      </c>
      <c r="P3283" s="573"/>
      <c r="Q3283" s="556"/>
      <c r="R3283" s="582"/>
    </row>
    <row r="3284" ht="23.85" customHeight="1" spans="1:18">
      <c r="A3284" s="556" t="str">
        <f>B3284</f>
        <v>Composição</v>
      </c>
      <c r="B3284" s="557" t="str">
        <f>B3283</f>
        <v>Composição</v>
      </c>
      <c r="C3284" s="100" t="s">
        <v>2893</v>
      </c>
      <c r="D3284" s="99" t="s">
        <v>4038</v>
      </c>
      <c r="E3284" s="100" t="s">
        <v>139</v>
      </c>
      <c r="F3284" s="100" t="s">
        <v>4039</v>
      </c>
      <c r="G3284" s="100" t="s">
        <v>2961</v>
      </c>
      <c r="H3284" s="100"/>
      <c r="I3284" s="101" t="s">
        <v>134</v>
      </c>
      <c r="J3284" s="580">
        <v>2</v>
      </c>
      <c r="K3284" s="580">
        <v>0</v>
      </c>
      <c r="L3284" s="102">
        <v>0.26</v>
      </c>
      <c r="M3284" s="102">
        <v>0.52</v>
      </c>
      <c r="N3284" s="573">
        <v>148.81</v>
      </c>
      <c r="O3284" s="556" t="str">
        <f>IF(N3284=M3284,"OK","DIF")</f>
        <v>DIF</v>
      </c>
      <c r="P3284" s="573"/>
      <c r="Q3284" s="556"/>
      <c r="R3284" s="582"/>
    </row>
    <row r="3285" ht="15" customHeight="1" spans="1:18">
      <c r="A3285" s="556" t="str">
        <f>B3285</f>
        <v>Composição</v>
      </c>
      <c r="B3285" s="557" t="str">
        <f>B3284</f>
        <v>Composição</v>
      </c>
      <c r="C3285" s="100" t="s">
        <v>2893</v>
      </c>
      <c r="D3285" s="99" t="s">
        <v>4064</v>
      </c>
      <c r="E3285" s="100" t="s">
        <v>132</v>
      </c>
      <c r="F3285" s="100" t="s">
        <v>4065</v>
      </c>
      <c r="G3285" s="100" t="s">
        <v>2961</v>
      </c>
      <c r="H3285" s="100"/>
      <c r="I3285" s="101" t="s">
        <v>134</v>
      </c>
      <c r="J3285" s="580">
        <v>1</v>
      </c>
      <c r="K3285" s="580">
        <v>0</v>
      </c>
      <c r="L3285" s="102">
        <v>30.59</v>
      </c>
      <c r="M3285" s="102">
        <v>30.59</v>
      </c>
      <c r="N3285" s="573">
        <v>84380</v>
      </c>
      <c r="O3285" s="556" t="str">
        <f>IF(N3285=M3285,"OK","DIF")</f>
        <v>DIF</v>
      </c>
      <c r="P3285" s="573"/>
      <c r="Q3285" s="556"/>
      <c r="R3285" s="582"/>
    </row>
    <row r="3286" ht="25.5" spans="1:18">
      <c r="A3286" s="556"/>
      <c r="B3286" s="557"/>
      <c r="C3286" s="108"/>
      <c r="D3286" s="108"/>
      <c r="E3286" s="108"/>
      <c r="F3286" s="108"/>
      <c r="G3286" s="108"/>
      <c r="H3286" s="108" t="s">
        <v>2898</v>
      </c>
      <c r="I3286" s="581">
        <v>17.11</v>
      </c>
      <c r="J3286" s="108" t="s">
        <v>2899</v>
      </c>
      <c r="K3286" s="581">
        <v>0</v>
      </c>
      <c r="L3286" s="108" t="s">
        <v>2900</v>
      </c>
      <c r="M3286" s="581">
        <v>17.11</v>
      </c>
      <c r="N3286" s="573"/>
      <c r="O3286" s="556"/>
      <c r="P3286" s="573"/>
      <c r="Q3286" s="556"/>
      <c r="R3286" s="582"/>
    </row>
    <row r="3287" ht="26.25" spans="1:18">
      <c r="A3287" s="556"/>
      <c r="B3287" s="557"/>
      <c r="C3287" s="108"/>
      <c r="D3287" s="108"/>
      <c r="E3287" s="108"/>
      <c r="F3287" s="108"/>
      <c r="G3287" s="108"/>
      <c r="H3287" s="108" t="s">
        <v>2901</v>
      </c>
      <c r="I3287" s="581">
        <v>14.14</v>
      </c>
      <c r="J3287" s="114"/>
      <c r="K3287" s="114" t="s">
        <v>2902</v>
      </c>
      <c r="L3287" s="108"/>
      <c r="M3287" s="581">
        <v>69.64</v>
      </c>
      <c r="N3287" s="573"/>
      <c r="O3287" s="556"/>
      <c r="P3287" s="573"/>
      <c r="Q3287" s="556"/>
      <c r="R3287" s="582"/>
    </row>
    <row r="3288" ht="15" spans="1:18">
      <c r="A3288" s="556"/>
      <c r="B3288" s="557">
        <f>C3287</f>
        <v>0</v>
      </c>
      <c r="C3288" s="571"/>
      <c r="D3288" s="571"/>
      <c r="E3288" s="571"/>
      <c r="F3288" s="571"/>
      <c r="G3288" s="571"/>
      <c r="H3288" s="571"/>
      <c r="I3288" s="571"/>
      <c r="J3288" s="571"/>
      <c r="K3288" s="571"/>
      <c r="L3288" s="571"/>
      <c r="M3288" s="571"/>
      <c r="N3288" s="573">
        <v>10129.8</v>
      </c>
      <c r="O3288" s="556" t="str">
        <f>IF(N3288=M3288,"OK","DIF")</f>
        <v>DIF</v>
      </c>
      <c r="P3288" s="573"/>
      <c r="Q3288" s="556"/>
      <c r="R3288" s="582"/>
    </row>
    <row r="3289" ht="15" customHeight="1" spans="1:18">
      <c r="A3289" s="556">
        <f>B3289</f>
        <v>0</v>
      </c>
      <c r="B3289" s="557">
        <f>B3288</f>
        <v>0</v>
      </c>
      <c r="C3289" s="76" t="s">
        <v>1139</v>
      </c>
      <c r="D3289" s="75" t="s">
        <v>63</v>
      </c>
      <c r="E3289" s="76" t="s">
        <v>64</v>
      </c>
      <c r="F3289" s="76" t="s">
        <v>65</v>
      </c>
      <c r="G3289" s="76" t="s">
        <v>2889</v>
      </c>
      <c r="H3289" s="76"/>
      <c r="I3289" s="77" t="s">
        <v>66</v>
      </c>
      <c r="J3289" s="75" t="s">
        <v>67</v>
      </c>
      <c r="K3289" s="75" t="s">
        <v>2890</v>
      </c>
      <c r="L3289" s="75" t="s">
        <v>68</v>
      </c>
      <c r="M3289" s="75" t="s">
        <v>70</v>
      </c>
      <c r="N3289" s="573">
        <v>66.76</v>
      </c>
      <c r="O3289" s="556" t="str">
        <f>IF(N3289=M3289,"OK","DIF")</f>
        <v>DIF</v>
      </c>
      <c r="P3289" s="573"/>
      <c r="Q3289" s="556"/>
      <c r="R3289" s="582"/>
    </row>
    <row r="3290" ht="23.85" customHeight="1" spans="1:18">
      <c r="A3290" s="556">
        <f>B3290</f>
        <v>0</v>
      </c>
      <c r="B3290" s="557">
        <f>B3289</f>
        <v>0</v>
      </c>
      <c r="C3290" s="569" t="s">
        <v>2891</v>
      </c>
      <c r="D3290" s="570" t="s">
        <v>1140</v>
      </c>
      <c r="E3290" s="569" t="s">
        <v>149</v>
      </c>
      <c r="F3290" s="569" t="s">
        <v>4066</v>
      </c>
      <c r="G3290" s="569" t="s">
        <v>3953</v>
      </c>
      <c r="H3290" s="569"/>
      <c r="I3290" s="577" t="s">
        <v>134</v>
      </c>
      <c r="J3290" s="578">
        <v>1</v>
      </c>
      <c r="K3290" s="579"/>
      <c r="L3290" s="579">
        <v>18.85</v>
      </c>
      <c r="M3290" s="579">
        <v>18.85</v>
      </c>
      <c r="N3290" s="573">
        <v>51.9</v>
      </c>
      <c r="O3290" s="556" t="str">
        <f>IF(N3290=M3290,"OK","DIF")</f>
        <v>DIF</v>
      </c>
      <c r="P3290" s="573"/>
      <c r="Q3290" s="556"/>
      <c r="R3290" s="582"/>
    </row>
    <row r="3291" ht="15" customHeight="1" spans="1:18">
      <c r="A3291" s="556">
        <f>B3291</f>
        <v>0</v>
      </c>
      <c r="B3291" s="557">
        <f>B3290</f>
        <v>0</v>
      </c>
      <c r="C3291" s="100" t="s">
        <v>2893</v>
      </c>
      <c r="D3291" s="99" t="s">
        <v>4067</v>
      </c>
      <c r="E3291" s="100" t="s">
        <v>149</v>
      </c>
      <c r="F3291" s="100" t="s">
        <v>4068</v>
      </c>
      <c r="G3291" s="100" t="s">
        <v>2961</v>
      </c>
      <c r="H3291" s="100"/>
      <c r="I3291" s="101" t="s">
        <v>134</v>
      </c>
      <c r="J3291" s="580">
        <v>1</v>
      </c>
      <c r="K3291" s="580">
        <v>0</v>
      </c>
      <c r="L3291" s="102">
        <v>4.63</v>
      </c>
      <c r="M3291" s="102">
        <v>4.63</v>
      </c>
      <c r="N3291" s="573">
        <v>66.14</v>
      </c>
      <c r="O3291" s="556" t="str">
        <f>IF(N3291=M3291,"OK","DIF")</f>
        <v>DIF</v>
      </c>
      <c r="P3291" s="573"/>
      <c r="Q3291" s="556"/>
      <c r="R3291" s="582"/>
    </row>
    <row r="3292" ht="15" customHeight="1" spans="1:18">
      <c r="A3292" s="556">
        <f>B3292</f>
        <v>0</v>
      </c>
      <c r="B3292" s="557">
        <f>B3291</f>
        <v>0</v>
      </c>
      <c r="C3292" s="100" t="s">
        <v>2893</v>
      </c>
      <c r="D3292" s="99" t="s">
        <v>2986</v>
      </c>
      <c r="E3292" s="100" t="s">
        <v>149</v>
      </c>
      <c r="F3292" s="100" t="s">
        <v>2987</v>
      </c>
      <c r="G3292" s="100" t="s">
        <v>2896</v>
      </c>
      <c r="H3292" s="100"/>
      <c r="I3292" s="101" t="s">
        <v>2897</v>
      </c>
      <c r="J3292" s="580">
        <v>0.3</v>
      </c>
      <c r="K3292" s="580">
        <v>0</v>
      </c>
      <c r="L3292" s="102">
        <v>26.928256</v>
      </c>
      <c r="M3292" s="102">
        <v>8.07</v>
      </c>
      <c r="N3292" s="573">
        <v>9945</v>
      </c>
      <c r="O3292" s="556" t="str">
        <f>IF(N3292=M3292,"OK","DIF")</f>
        <v>DIF</v>
      </c>
      <c r="P3292" s="573"/>
      <c r="Q3292" s="556"/>
      <c r="R3292" s="582"/>
    </row>
    <row r="3293" ht="15" customHeight="1" spans="1:18">
      <c r="A3293" s="556"/>
      <c r="B3293" s="557"/>
      <c r="C3293" s="100" t="s">
        <v>2893</v>
      </c>
      <c r="D3293" s="99" t="s">
        <v>2976</v>
      </c>
      <c r="E3293" s="100" t="s">
        <v>149</v>
      </c>
      <c r="F3293" s="100" t="s">
        <v>2977</v>
      </c>
      <c r="G3293" s="100" t="s">
        <v>2896</v>
      </c>
      <c r="H3293" s="100"/>
      <c r="I3293" s="101" t="s">
        <v>2897</v>
      </c>
      <c r="J3293" s="580">
        <v>0.3</v>
      </c>
      <c r="K3293" s="580">
        <v>0</v>
      </c>
      <c r="L3293" s="102">
        <v>20.515752</v>
      </c>
      <c r="M3293" s="102">
        <v>6.15</v>
      </c>
      <c r="N3293" s="573"/>
      <c r="O3293" s="556"/>
      <c r="P3293" s="573"/>
      <c r="Q3293" s="556"/>
      <c r="R3293" s="582"/>
    </row>
    <row r="3294" ht="25.5" spans="1:18">
      <c r="A3294" s="556"/>
      <c r="B3294" s="557"/>
      <c r="C3294" s="108"/>
      <c r="D3294" s="108"/>
      <c r="E3294" s="108"/>
      <c r="F3294" s="108"/>
      <c r="G3294" s="108"/>
      <c r="H3294" s="108" t="s">
        <v>2898</v>
      </c>
      <c r="I3294" s="581">
        <v>14.22</v>
      </c>
      <c r="J3294" s="108" t="s">
        <v>2899</v>
      </c>
      <c r="K3294" s="581">
        <v>0</v>
      </c>
      <c r="L3294" s="108" t="s">
        <v>2900</v>
      </c>
      <c r="M3294" s="581">
        <v>14.22</v>
      </c>
      <c r="N3294" s="573"/>
      <c r="O3294" s="556"/>
      <c r="P3294" s="573"/>
      <c r="Q3294" s="556"/>
      <c r="R3294" s="582"/>
    </row>
    <row r="3295" ht="26.25" spans="1:18">
      <c r="A3295" s="556"/>
      <c r="B3295" s="557">
        <f>C3294</f>
        <v>0</v>
      </c>
      <c r="C3295" s="108"/>
      <c r="D3295" s="108"/>
      <c r="E3295" s="108"/>
      <c r="F3295" s="108"/>
      <c r="G3295" s="108"/>
      <c r="H3295" s="108" t="s">
        <v>2901</v>
      </c>
      <c r="I3295" s="581">
        <v>4.8</v>
      </c>
      <c r="J3295" s="114"/>
      <c r="K3295" s="114" t="s">
        <v>2902</v>
      </c>
      <c r="L3295" s="108"/>
      <c r="M3295" s="581">
        <v>23.65</v>
      </c>
      <c r="N3295" s="573">
        <v>6783.95</v>
      </c>
      <c r="O3295" s="556" t="str">
        <f>IF(N3295=M3295,"OK","DIF")</f>
        <v>DIF</v>
      </c>
      <c r="P3295" s="573"/>
      <c r="Q3295" s="556"/>
      <c r="R3295" s="582"/>
    </row>
    <row r="3296" ht="15" spans="1:18">
      <c r="A3296" s="556">
        <f>B3296</f>
        <v>0</v>
      </c>
      <c r="B3296" s="557">
        <f>B3295</f>
        <v>0</v>
      </c>
      <c r="C3296" s="571"/>
      <c r="D3296" s="571"/>
      <c r="E3296" s="571"/>
      <c r="F3296" s="571"/>
      <c r="G3296" s="571"/>
      <c r="H3296" s="571"/>
      <c r="I3296" s="571"/>
      <c r="J3296" s="571"/>
      <c r="K3296" s="571"/>
      <c r="L3296" s="571"/>
      <c r="M3296" s="571"/>
      <c r="N3296" s="573">
        <v>50.37</v>
      </c>
      <c r="O3296" s="556" t="str">
        <f>IF(N3296=M3296,"OK","DIF")</f>
        <v>DIF</v>
      </c>
      <c r="P3296" s="573"/>
      <c r="Q3296" s="556"/>
      <c r="R3296" s="582"/>
    </row>
    <row r="3297" ht="15" customHeight="1" spans="1:18">
      <c r="A3297" s="556">
        <f>B3297</f>
        <v>0</v>
      </c>
      <c r="B3297" s="557">
        <f>B3296</f>
        <v>0</v>
      </c>
      <c r="C3297" s="76" t="s">
        <v>1144</v>
      </c>
      <c r="D3297" s="75" t="s">
        <v>63</v>
      </c>
      <c r="E3297" s="76" t="s">
        <v>64</v>
      </c>
      <c r="F3297" s="76" t="s">
        <v>65</v>
      </c>
      <c r="G3297" s="76" t="s">
        <v>2889</v>
      </c>
      <c r="H3297" s="76"/>
      <c r="I3297" s="77" t="s">
        <v>66</v>
      </c>
      <c r="J3297" s="75" t="s">
        <v>67</v>
      </c>
      <c r="K3297" s="75" t="s">
        <v>2890</v>
      </c>
      <c r="L3297" s="75" t="s">
        <v>68</v>
      </c>
      <c r="M3297" s="75" t="s">
        <v>70</v>
      </c>
      <c r="N3297" s="573">
        <v>41.58</v>
      </c>
      <c r="O3297" s="556" t="str">
        <f>IF(N3297=M3297,"OK","DIF")</f>
        <v>DIF</v>
      </c>
      <c r="P3297" s="573"/>
      <c r="Q3297" s="556"/>
      <c r="R3297" s="582"/>
    </row>
    <row r="3298" ht="46.25" customHeight="1" spans="1:18">
      <c r="A3298" s="556">
        <f>B3298</f>
        <v>0</v>
      </c>
      <c r="B3298" s="557">
        <f>B3297</f>
        <v>0</v>
      </c>
      <c r="C3298" s="569" t="s">
        <v>2891</v>
      </c>
      <c r="D3298" s="570" t="s">
        <v>1145</v>
      </c>
      <c r="E3298" s="569" t="s">
        <v>139</v>
      </c>
      <c r="F3298" s="569" t="s">
        <v>4069</v>
      </c>
      <c r="G3298" s="569" t="s">
        <v>3215</v>
      </c>
      <c r="H3298" s="569"/>
      <c r="I3298" s="577" t="s">
        <v>279</v>
      </c>
      <c r="J3298" s="578">
        <v>1</v>
      </c>
      <c r="K3298" s="579"/>
      <c r="L3298" s="579">
        <v>14.89</v>
      </c>
      <c r="M3298" s="579">
        <v>14.89</v>
      </c>
      <c r="N3298" s="573">
        <v>6692</v>
      </c>
      <c r="O3298" s="556" t="str">
        <f>IF(N3298=M3298,"OK","DIF")</f>
        <v>DIF</v>
      </c>
      <c r="P3298" s="573"/>
      <c r="Q3298" s="556"/>
      <c r="R3298" s="582"/>
    </row>
    <row r="3299" ht="46.25" customHeight="1" spans="1:18">
      <c r="A3299" s="556"/>
      <c r="B3299" s="557"/>
      <c r="C3299" s="79" t="s">
        <v>2921</v>
      </c>
      <c r="D3299" s="78" t="s">
        <v>3912</v>
      </c>
      <c r="E3299" s="79" t="s">
        <v>139</v>
      </c>
      <c r="F3299" s="79" t="s">
        <v>3913</v>
      </c>
      <c r="G3299" s="79" t="s">
        <v>2995</v>
      </c>
      <c r="H3299" s="79"/>
      <c r="I3299" s="80" t="s">
        <v>2996</v>
      </c>
      <c r="J3299" s="583">
        <v>0.0549282</v>
      </c>
      <c r="K3299" s="583">
        <v>0</v>
      </c>
      <c r="L3299" s="92">
        <v>74.56</v>
      </c>
      <c r="M3299" s="92">
        <v>4.09</v>
      </c>
      <c r="N3299" s="573"/>
      <c r="O3299" s="556"/>
      <c r="P3299" s="573"/>
      <c r="Q3299" s="556"/>
      <c r="R3299" s="582"/>
    </row>
    <row r="3300" ht="46.25" customHeight="1" spans="1:18">
      <c r="A3300" s="556"/>
      <c r="B3300" s="557"/>
      <c r="C3300" s="79" t="s">
        <v>2921</v>
      </c>
      <c r="D3300" s="78" t="s">
        <v>3924</v>
      </c>
      <c r="E3300" s="79" t="s">
        <v>139</v>
      </c>
      <c r="F3300" s="79" t="s">
        <v>3925</v>
      </c>
      <c r="G3300" s="79" t="s">
        <v>2995</v>
      </c>
      <c r="H3300" s="79"/>
      <c r="I3300" s="80" t="s">
        <v>3002</v>
      </c>
      <c r="J3300" s="583">
        <v>0.0486957</v>
      </c>
      <c r="K3300" s="583">
        <v>0</v>
      </c>
      <c r="L3300" s="92">
        <v>159.84</v>
      </c>
      <c r="M3300" s="92">
        <v>7.78</v>
      </c>
      <c r="N3300" s="573"/>
      <c r="O3300" s="556"/>
      <c r="P3300" s="573"/>
      <c r="Q3300" s="556"/>
      <c r="R3300" s="582"/>
    </row>
    <row r="3301" ht="23.85" customHeight="1" spans="1:18">
      <c r="A3301" s="556"/>
      <c r="B3301" s="557" t="str">
        <f>C3300</f>
        <v>Composição Auxiliar</v>
      </c>
      <c r="C3301" s="79" t="s">
        <v>2921</v>
      </c>
      <c r="D3301" s="78" t="s">
        <v>2952</v>
      </c>
      <c r="E3301" s="79" t="s">
        <v>139</v>
      </c>
      <c r="F3301" s="79" t="s">
        <v>2953</v>
      </c>
      <c r="G3301" s="79" t="s">
        <v>2928</v>
      </c>
      <c r="H3301" s="79"/>
      <c r="I3301" s="80" t="s">
        <v>2897</v>
      </c>
      <c r="J3301" s="583">
        <v>0.103624</v>
      </c>
      <c r="K3301" s="583">
        <v>0</v>
      </c>
      <c r="L3301" s="92">
        <v>29.15</v>
      </c>
      <c r="M3301" s="92">
        <v>3.02</v>
      </c>
      <c r="N3301" s="573">
        <v>6766.95</v>
      </c>
      <c r="O3301" s="556" t="str">
        <f>IF(N3301=M3301,"OK","DIF")</f>
        <v>DIF</v>
      </c>
      <c r="P3301" s="573"/>
      <c r="Q3301" s="556"/>
      <c r="R3301" s="582"/>
    </row>
    <row r="3302" ht="25.5" spans="1:18">
      <c r="A3302" s="556" t="str">
        <f>B3302</f>
        <v>Composição Auxiliar</v>
      </c>
      <c r="B3302" s="557" t="str">
        <f>B3301</f>
        <v>Composição Auxiliar</v>
      </c>
      <c r="C3302" s="108"/>
      <c r="D3302" s="108"/>
      <c r="E3302" s="108"/>
      <c r="F3302" s="108"/>
      <c r="G3302" s="108"/>
      <c r="H3302" s="108" t="s">
        <v>2898</v>
      </c>
      <c r="I3302" s="581">
        <v>5.22</v>
      </c>
      <c r="J3302" s="108" t="s">
        <v>2899</v>
      </c>
      <c r="K3302" s="581">
        <v>0</v>
      </c>
      <c r="L3302" s="108" t="s">
        <v>2900</v>
      </c>
      <c r="M3302" s="581">
        <v>5.22</v>
      </c>
      <c r="N3302" s="573">
        <v>50.37</v>
      </c>
      <c r="O3302" s="556" t="str">
        <f>IF(N3302=M3302,"OK","DIF")</f>
        <v>DIF</v>
      </c>
      <c r="P3302" s="573"/>
      <c r="Q3302" s="556"/>
      <c r="R3302" s="582"/>
    </row>
    <row r="3303" ht="26.25" spans="1:18">
      <c r="A3303" s="556" t="str">
        <f>B3303</f>
        <v>Composição Auxiliar</v>
      </c>
      <c r="B3303" s="557" t="str">
        <f>B3302</f>
        <v>Composição Auxiliar</v>
      </c>
      <c r="C3303" s="108"/>
      <c r="D3303" s="108"/>
      <c r="E3303" s="108"/>
      <c r="F3303" s="108"/>
      <c r="G3303" s="108"/>
      <c r="H3303" s="108" t="s">
        <v>2901</v>
      </c>
      <c r="I3303" s="581">
        <v>3.79</v>
      </c>
      <c r="J3303" s="114"/>
      <c r="K3303" s="114" t="s">
        <v>2902</v>
      </c>
      <c r="L3303" s="108"/>
      <c r="M3303" s="581">
        <v>18.68</v>
      </c>
      <c r="N3303" s="573">
        <v>41.58</v>
      </c>
      <c r="O3303" s="556" t="str">
        <f>IF(N3303=M3303,"OK","DIF")</f>
        <v>DIF</v>
      </c>
      <c r="P3303" s="573"/>
      <c r="Q3303" s="556"/>
      <c r="R3303" s="582"/>
    </row>
    <row r="3304" ht="15" spans="1:18">
      <c r="A3304" s="556" t="str">
        <f>B3304</f>
        <v>Composição Auxiliar</v>
      </c>
      <c r="B3304" s="557" t="str">
        <f>B3303</f>
        <v>Composição Auxiliar</v>
      </c>
      <c r="C3304" s="571"/>
      <c r="D3304" s="571"/>
      <c r="E3304" s="571"/>
      <c r="F3304" s="571"/>
      <c r="G3304" s="571"/>
      <c r="H3304" s="571"/>
      <c r="I3304" s="571"/>
      <c r="J3304" s="571"/>
      <c r="K3304" s="571"/>
      <c r="L3304" s="571"/>
      <c r="M3304" s="571"/>
      <c r="N3304" s="573">
        <v>6675</v>
      </c>
      <c r="O3304" s="556" t="str">
        <f>IF(N3304=M3304,"OK","DIF")</f>
        <v>DIF</v>
      </c>
      <c r="P3304" s="573"/>
      <c r="Q3304" s="556"/>
      <c r="R3304" s="582"/>
    </row>
    <row r="3305" ht="15" customHeight="1" spans="1:18">
      <c r="A3305" s="556"/>
      <c r="B3305" s="557"/>
      <c r="C3305" s="76" t="s">
        <v>1147</v>
      </c>
      <c r="D3305" s="75" t="s">
        <v>63</v>
      </c>
      <c r="E3305" s="76" t="s">
        <v>64</v>
      </c>
      <c r="F3305" s="76" t="s">
        <v>65</v>
      </c>
      <c r="G3305" s="76" t="s">
        <v>2889</v>
      </c>
      <c r="H3305" s="76"/>
      <c r="I3305" s="77" t="s">
        <v>66</v>
      </c>
      <c r="J3305" s="75" t="s">
        <v>67</v>
      </c>
      <c r="K3305" s="75" t="s">
        <v>2890</v>
      </c>
      <c r="L3305" s="75" t="s">
        <v>68</v>
      </c>
      <c r="M3305" s="75" t="s">
        <v>70</v>
      </c>
      <c r="N3305" s="573"/>
      <c r="O3305" s="556"/>
      <c r="P3305" s="573"/>
      <c r="Q3305" s="556"/>
      <c r="R3305" s="582"/>
    </row>
    <row r="3306" ht="46.25" customHeight="1" spans="1:18">
      <c r="A3306" s="556"/>
      <c r="B3306" s="557"/>
      <c r="C3306" s="569" t="s">
        <v>2891</v>
      </c>
      <c r="D3306" s="570" t="s">
        <v>1148</v>
      </c>
      <c r="E3306" s="569" t="s">
        <v>139</v>
      </c>
      <c r="F3306" s="569" t="s">
        <v>4070</v>
      </c>
      <c r="G3306" s="569" t="s">
        <v>3303</v>
      </c>
      <c r="H3306" s="569"/>
      <c r="I3306" s="577" t="s">
        <v>279</v>
      </c>
      <c r="J3306" s="578">
        <v>1</v>
      </c>
      <c r="K3306" s="579"/>
      <c r="L3306" s="579">
        <v>16</v>
      </c>
      <c r="M3306" s="579">
        <v>16</v>
      </c>
      <c r="N3306" s="573"/>
      <c r="O3306" s="556"/>
      <c r="P3306" s="573"/>
      <c r="Q3306" s="556"/>
      <c r="R3306" s="582"/>
    </row>
    <row r="3307" ht="46.25" customHeight="1" spans="1:18">
      <c r="A3307" s="556"/>
      <c r="B3307" s="557" t="str">
        <f>C3306</f>
        <v>Composição</v>
      </c>
      <c r="C3307" s="79" t="s">
        <v>2921</v>
      </c>
      <c r="D3307" s="78" t="s">
        <v>3308</v>
      </c>
      <c r="E3307" s="79" t="s">
        <v>139</v>
      </c>
      <c r="F3307" s="79" t="s">
        <v>3309</v>
      </c>
      <c r="G3307" s="79" t="s">
        <v>2995</v>
      </c>
      <c r="H3307" s="79"/>
      <c r="I3307" s="80" t="s">
        <v>3002</v>
      </c>
      <c r="J3307" s="583">
        <v>0.0054</v>
      </c>
      <c r="K3307" s="583">
        <v>0</v>
      </c>
      <c r="L3307" s="92">
        <v>339.64</v>
      </c>
      <c r="M3307" s="92">
        <v>1.83</v>
      </c>
      <c r="N3307" s="573">
        <v>9625.59</v>
      </c>
      <c r="O3307" s="556" t="str">
        <f>IF(N3307=M3307,"OK","DIF")</f>
        <v>DIF</v>
      </c>
      <c r="P3307" s="573"/>
      <c r="Q3307" s="556"/>
      <c r="R3307" s="582"/>
    </row>
    <row r="3308" ht="46.25" customHeight="1" spans="1:18">
      <c r="A3308" s="556" t="str">
        <f>B3308</f>
        <v>Composição</v>
      </c>
      <c r="B3308" s="557" t="str">
        <f>B3307</f>
        <v>Composição</v>
      </c>
      <c r="C3308" s="79" t="s">
        <v>2921</v>
      </c>
      <c r="D3308" s="78" t="s">
        <v>3304</v>
      </c>
      <c r="E3308" s="79" t="s">
        <v>139</v>
      </c>
      <c r="F3308" s="79" t="s">
        <v>3305</v>
      </c>
      <c r="G3308" s="79" t="s">
        <v>2995</v>
      </c>
      <c r="H3308" s="79"/>
      <c r="I3308" s="80" t="s">
        <v>2996</v>
      </c>
      <c r="J3308" s="583">
        <v>0.0006</v>
      </c>
      <c r="K3308" s="583">
        <v>0</v>
      </c>
      <c r="L3308" s="92">
        <v>94.91</v>
      </c>
      <c r="M3308" s="92">
        <v>0.05</v>
      </c>
      <c r="N3308" s="573">
        <v>191.1</v>
      </c>
      <c r="O3308" s="556" t="str">
        <f>IF(N3308=M3308,"OK","DIF")</f>
        <v>DIF</v>
      </c>
      <c r="P3308" s="573"/>
      <c r="Q3308" s="556"/>
      <c r="R3308" s="582"/>
    </row>
    <row r="3309" ht="46.25" customHeight="1" spans="1:18">
      <c r="A3309" s="556" t="str">
        <f>B3309</f>
        <v>Composição</v>
      </c>
      <c r="B3309" s="557" t="str">
        <f>B3308</f>
        <v>Composição</v>
      </c>
      <c r="C3309" s="79" t="s">
        <v>2921</v>
      </c>
      <c r="D3309" s="78" t="s">
        <v>3924</v>
      </c>
      <c r="E3309" s="79" t="s">
        <v>139</v>
      </c>
      <c r="F3309" s="79" t="s">
        <v>3925</v>
      </c>
      <c r="G3309" s="79" t="s">
        <v>2995</v>
      </c>
      <c r="H3309" s="79"/>
      <c r="I3309" s="80" t="s">
        <v>3002</v>
      </c>
      <c r="J3309" s="583">
        <v>0.0382</v>
      </c>
      <c r="K3309" s="583">
        <v>0</v>
      </c>
      <c r="L3309" s="92">
        <v>159.84</v>
      </c>
      <c r="M3309" s="92">
        <v>6.1</v>
      </c>
      <c r="N3309" s="573">
        <v>231.49</v>
      </c>
      <c r="O3309" s="556" t="str">
        <f>IF(N3309=M3309,"OK","DIF")</f>
        <v>DIF</v>
      </c>
      <c r="P3309" s="573"/>
      <c r="Q3309" s="556"/>
      <c r="R3309" s="582"/>
    </row>
    <row r="3310" ht="46.25" customHeight="1" spans="1:18">
      <c r="A3310" s="556" t="str">
        <f>B3310</f>
        <v>Composição</v>
      </c>
      <c r="B3310" s="557" t="str">
        <f>B3309</f>
        <v>Composição</v>
      </c>
      <c r="C3310" s="79" t="s">
        <v>2921</v>
      </c>
      <c r="D3310" s="78" t="s">
        <v>3912</v>
      </c>
      <c r="E3310" s="79" t="s">
        <v>139</v>
      </c>
      <c r="F3310" s="79" t="s">
        <v>3913</v>
      </c>
      <c r="G3310" s="79" t="s">
        <v>2995</v>
      </c>
      <c r="H3310" s="79"/>
      <c r="I3310" s="80" t="s">
        <v>2996</v>
      </c>
      <c r="J3310" s="583">
        <v>0.0551</v>
      </c>
      <c r="K3310" s="583">
        <v>0</v>
      </c>
      <c r="L3310" s="92">
        <v>74.56</v>
      </c>
      <c r="M3310" s="92">
        <v>4.1</v>
      </c>
      <c r="N3310" s="573">
        <v>9203</v>
      </c>
      <c r="O3310" s="556" t="str">
        <f>IF(N3310=M3310,"OK","DIF")</f>
        <v>DIF</v>
      </c>
      <c r="P3310" s="573"/>
      <c r="Q3310" s="556"/>
      <c r="R3310" s="582"/>
    </row>
    <row r="3311" ht="23.85" customHeight="1" spans="1:18">
      <c r="A3311" s="556"/>
      <c r="B3311" s="557"/>
      <c r="C3311" s="79" t="s">
        <v>2921</v>
      </c>
      <c r="D3311" s="78" t="s">
        <v>2952</v>
      </c>
      <c r="E3311" s="79" t="s">
        <v>139</v>
      </c>
      <c r="F3311" s="79" t="s">
        <v>2953</v>
      </c>
      <c r="G3311" s="79" t="s">
        <v>2928</v>
      </c>
      <c r="H3311" s="79"/>
      <c r="I3311" s="80" t="s">
        <v>2897</v>
      </c>
      <c r="J3311" s="583">
        <v>0.1135</v>
      </c>
      <c r="K3311" s="583">
        <v>0</v>
      </c>
      <c r="L3311" s="92">
        <v>29.15</v>
      </c>
      <c r="M3311" s="92">
        <v>3.3</v>
      </c>
      <c r="N3311" s="573"/>
      <c r="O3311" s="556"/>
      <c r="P3311" s="573"/>
      <c r="Q3311" s="556"/>
      <c r="R3311" s="582"/>
    </row>
    <row r="3312" ht="35.05" customHeight="1" spans="1:18">
      <c r="A3312" s="556"/>
      <c r="B3312" s="557"/>
      <c r="C3312" s="79" t="s">
        <v>2921</v>
      </c>
      <c r="D3312" s="78" t="s">
        <v>4071</v>
      </c>
      <c r="E3312" s="79" t="s">
        <v>139</v>
      </c>
      <c r="F3312" s="79" t="s">
        <v>4072</v>
      </c>
      <c r="G3312" s="79" t="s">
        <v>2995</v>
      </c>
      <c r="H3312" s="79"/>
      <c r="I3312" s="80" t="s">
        <v>3002</v>
      </c>
      <c r="J3312" s="583">
        <v>0.0614</v>
      </c>
      <c r="K3312" s="583">
        <v>0</v>
      </c>
      <c r="L3312" s="92">
        <v>10.19</v>
      </c>
      <c r="M3312" s="92">
        <v>0.62</v>
      </c>
      <c r="N3312" s="573"/>
      <c r="O3312" s="556"/>
      <c r="P3312" s="573"/>
      <c r="Q3312" s="556"/>
      <c r="R3312" s="582"/>
    </row>
    <row r="3313" ht="25.5" spans="1:18">
      <c r="A3313" s="556"/>
      <c r="B3313" s="557" t="str">
        <f>C3312</f>
        <v>Composição Auxiliar</v>
      </c>
      <c r="C3313" s="108"/>
      <c r="D3313" s="108"/>
      <c r="E3313" s="108"/>
      <c r="F3313" s="108"/>
      <c r="G3313" s="108"/>
      <c r="H3313" s="108" t="s">
        <v>2898</v>
      </c>
      <c r="I3313" s="581">
        <v>5.33</v>
      </c>
      <c r="J3313" s="108" t="s">
        <v>2899</v>
      </c>
      <c r="K3313" s="581">
        <v>0</v>
      </c>
      <c r="L3313" s="108" t="s">
        <v>2900</v>
      </c>
      <c r="M3313" s="581">
        <v>5.33</v>
      </c>
      <c r="N3313" s="573">
        <v>7945.95</v>
      </c>
      <c r="O3313" s="556" t="str">
        <f>IF(N3313=M3313,"OK","DIF")</f>
        <v>DIF</v>
      </c>
      <c r="P3313" s="573"/>
      <c r="Q3313" s="556"/>
      <c r="R3313" s="582"/>
    </row>
    <row r="3314" ht="26.25" spans="1:18">
      <c r="A3314" s="556" t="str">
        <f>B3314</f>
        <v>Composição Auxiliar</v>
      </c>
      <c r="B3314" s="557" t="str">
        <f>B3313</f>
        <v>Composição Auxiliar</v>
      </c>
      <c r="C3314" s="108"/>
      <c r="D3314" s="108"/>
      <c r="E3314" s="108"/>
      <c r="F3314" s="108"/>
      <c r="G3314" s="108"/>
      <c r="H3314" s="108" t="s">
        <v>2901</v>
      </c>
      <c r="I3314" s="581">
        <v>4.07</v>
      </c>
      <c r="J3314" s="114"/>
      <c r="K3314" s="114" t="s">
        <v>2902</v>
      </c>
      <c r="L3314" s="108"/>
      <c r="M3314" s="581">
        <v>20.07</v>
      </c>
      <c r="N3314" s="573">
        <v>41.58</v>
      </c>
      <c r="O3314" s="556" t="str">
        <f>IF(N3314=M3314,"OK","DIF")</f>
        <v>DIF</v>
      </c>
      <c r="P3314" s="573"/>
      <c r="Q3314" s="556"/>
      <c r="R3314" s="582"/>
    </row>
    <row r="3315" ht="15" spans="1:18">
      <c r="A3315" s="556" t="str">
        <f>B3315</f>
        <v>Composição Auxiliar</v>
      </c>
      <c r="B3315" s="557" t="str">
        <f>B3314</f>
        <v>Composição Auxiliar</v>
      </c>
      <c r="C3315" s="571"/>
      <c r="D3315" s="571"/>
      <c r="E3315" s="571"/>
      <c r="F3315" s="571"/>
      <c r="G3315" s="571"/>
      <c r="H3315" s="571"/>
      <c r="I3315" s="571"/>
      <c r="J3315" s="571"/>
      <c r="K3315" s="571"/>
      <c r="L3315" s="571"/>
      <c r="M3315" s="571"/>
      <c r="N3315" s="573">
        <v>50.37</v>
      </c>
      <c r="O3315" s="556" t="str">
        <f>IF(N3315=M3315,"OK","DIF")</f>
        <v>DIF</v>
      </c>
      <c r="P3315" s="573"/>
      <c r="Q3315" s="556"/>
      <c r="R3315" s="582"/>
    </row>
    <row r="3316" ht="15" customHeight="1" spans="1:18">
      <c r="A3316" s="556" t="str">
        <f>B3316</f>
        <v>Composição Auxiliar</v>
      </c>
      <c r="B3316" s="557" t="str">
        <f>B3315</f>
        <v>Composição Auxiliar</v>
      </c>
      <c r="C3316" s="76" t="s">
        <v>1150</v>
      </c>
      <c r="D3316" s="75" t="s">
        <v>63</v>
      </c>
      <c r="E3316" s="76" t="s">
        <v>64</v>
      </c>
      <c r="F3316" s="76" t="s">
        <v>65</v>
      </c>
      <c r="G3316" s="76" t="s">
        <v>2889</v>
      </c>
      <c r="H3316" s="76"/>
      <c r="I3316" s="77" t="s">
        <v>66</v>
      </c>
      <c r="J3316" s="75" t="s">
        <v>67</v>
      </c>
      <c r="K3316" s="75" t="s">
        <v>2890</v>
      </c>
      <c r="L3316" s="75" t="s">
        <v>68</v>
      </c>
      <c r="M3316" s="75" t="s">
        <v>70</v>
      </c>
      <c r="N3316" s="573">
        <v>7854</v>
      </c>
      <c r="O3316" s="556" t="str">
        <f>IF(N3316=M3316,"OK","DIF")</f>
        <v>DIF</v>
      </c>
      <c r="P3316" s="573"/>
      <c r="Q3316" s="556"/>
      <c r="R3316" s="582"/>
    </row>
    <row r="3317" ht="35.05" customHeight="1" spans="1:18">
      <c r="A3317" s="556"/>
      <c r="B3317" s="557"/>
      <c r="C3317" s="569" t="s">
        <v>2891</v>
      </c>
      <c r="D3317" s="570" t="s">
        <v>1151</v>
      </c>
      <c r="E3317" s="569" t="s">
        <v>139</v>
      </c>
      <c r="F3317" s="569" t="s">
        <v>1152</v>
      </c>
      <c r="G3317" s="569" t="s">
        <v>4073</v>
      </c>
      <c r="H3317" s="569"/>
      <c r="I3317" s="577" t="s">
        <v>204</v>
      </c>
      <c r="J3317" s="578">
        <v>1</v>
      </c>
      <c r="K3317" s="579"/>
      <c r="L3317" s="579">
        <v>28.07</v>
      </c>
      <c r="M3317" s="579">
        <v>28.07</v>
      </c>
      <c r="N3317" s="573"/>
      <c r="O3317" s="556"/>
      <c r="P3317" s="573"/>
      <c r="Q3317" s="556"/>
      <c r="R3317" s="582"/>
    </row>
    <row r="3318" ht="23.85" customHeight="1" spans="1:18">
      <c r="A3318" s="556"/>
      <c r="B3318" s="557"/>
      <c r="C3318" s="79" t="s">
        <v>2921</v>
      </c>
      <c r="D3318" s="78" t="s">
        <v>3151</v>
      </c>
      <c r="E3318" s="79" t="s">
        <v>139</v>
      </c>
      <c r="F3318" s="79" t="s">
        <v>3152</v>
      </c>
      <c r="G3318" s="79" t="s">
        <v>2928</v>
      </c>
      <c r="H3318" s="79"/>
      <c r="I3318" s="80" t="s">
        <v>2897</v>
      </c>
      <c r="J3318" s="583">
        <v>0.1721</v>
      </c>
      <c r="K3318" s="583">
        <v>0</v>
      </c>
      <c r="L3318" s="92">
        <v>36.82</v>
      </c>
      <c r="M3318" s="92">
        <v>6.33</v>
      </c>
      <c r="N3318" s="573"/>
      <c r="O3318" s="556"/>
      <c r="P3318" s="573"/>
      <c r="Q3318" s="556"/>
      <c r="R3318" s="582"/>
    </row>
    <row r="3319" ht="23.85" customHeight="1" spans="1:18">
      <c r="A3319" s="556"/>
      <c r="B3319" s="557" t="str">
        <f>C3318</f>
        <v>Composição Auxiliar</v>
      </c>
      <c r="C3319" s="79" t="s">
        <v>2921</v>
      </c>
      <c r="D3319" s="78" t="s">
        <v>3153</v>
      </c>
      <c r="E3319" s="79" t="s">
        <v>139</v>
      </c>
      <c r="F3319" s="79" t="s">
        <v>3154</v>
      </c>
      <c r="G3319" s="79" t="s">
        <v>2928</v>
      </c>
      <c r="H3319" s="79"/>
      <c r="I3319" s="80" t="s">
        <v>2897</v>
      </c>
      <c r="J3319" s="583">
        <v>0.1721</v>
      </c>
      <c r="K3319" s="583">
        <v>0</v>
      </c>
      <c r="L3319" s="92">
        <v>30.6</v>
      </c>
      <c r="M3319" s="92">
        <v>5.26</v>
      </c>
      <c r="N3319" s="573">
        <v>6610.95</v>
      </c>
      <c r="O3319" s="556" t="str">
        <f>IF(N3319=M3319,"OK","DIF")</f>
        <v>DIF</v>
      </c>
      <c r="P3319" s="573"/>
      <c r="Q3319" s="556"/>
      <c r="R3319" s="582"/>
    </row>
    <row r="3320" ht="35.05" customHeight="1" spans="1:18">
      <c r="A3320" s="556" t="str">
        <f>B3320</f>
        <v>Composição Auxiliar</v>
      </c>
      <c r="B3320" s="557" t="str">
        <f>B3319</f>
        <v>Composição Auxiliar</v>
      </c>
      <c r="C3320" s="100" t="s">
        <v>2893</v>
      </c>
      <c r="D3320" s="99" t="s">
        <v>4074</v>
      </c>
      <c r="E3320" s="100" t="s">
        <v>139</v>
      </c>
      <c r="F3320" s="100" t="s">
        <v>4075</v>
      </c>
      <c r="G3320" s="100" t="s">
        <v>2961</v>
      </c>
      <c r="H3320" s="100"/>
      <c r="I3320" s="101" t="s">
        <v>204</v>
      </c>
      <c r="J3320" s="580">
        <v>1.1</v>
      </c>
      <c r="K3320" s="580">
        <v>0</v>
      </c>
      <c r="L3320" s="102">
        <v>14.99</v>
      </c>
      <c r="M3320" s="102">
        <v>16.48</v>
      </c>
      <c r="N3320" s="573">
        <v>41.58</v>
      </c>
      <c r="O3320" s="556" t="str">
        <f>IF(N3320=M3320,"OK","DIF")</f>
        <v>DIF</v>
      </c>
      <c r="P3320" s="573"/>
      <c r="Q3320" s="556"/>
      <c r="R3320" s="582"/>
    </row>
    <row r="3321" ht="25.5" spans="1:18">
      <c r="A3321" s="556" t="str">
        <f>B3321</f>
        <v>Composição Auxiliar</v>
      </c>
      <c r="B3321" s="557" t="str">
        <f>B3320</f>
        <v>Composição Auxiliar</v>
      </c>
      <c r="C3321" s="108"/>
      <c r="D3321" s="108"/>
      <c r="E3321" s="108"/>
      <c r="F3321" s="108"/>
      <c r="G3321" s="108"/>
      <c r="H3321" s="108" t="s">
        <v>2898</v>
      </c>
      <c r="I3321" s="581">
        <v>8.13</v>
      </c>
      <c r="J3321" s="108" t="s">
        <v>2899</v>
      </c>
      <c r="K3321" s="581">
        <v>0</v>
      </c>
      <c r="L3321" s="108" t="s">
        <v>2900</v>
      </c>
      <c r="M3321" s="581">
        <v>8.13</v>
      </c>
      <c r="N3321" s="573">
        <v>50.37</v>
      </c>
      <c r="O3321" s="556" t="str">
        <f>IF(N3321=M3321,"OK","DIF")</f>
        <v>DIF</v>
      </c>
      <c r="P3321" s="573"/>
      <c r="Q3321" s="556"/>
      <c r="R3321" s="582"/>
    </row>
    <row r="3322" ht="26.25" spans="1:18">
      <c r="A3322" s="556" t="str">
        <f>B3322</f>
        <v>Composição Auxiliar</v>
      </c>
      <c r="B3322" s="557" t="str">
        <f>B3321</f>
        <v>Composição Auxiliar</v>
      </c>
      <c r="C3322" s="108"/>
      <c r="D3322" s="108"/>
      <c r="E3322" s="108"/>
      <c r="F3322" s="108"/>
      <c r="G3322" s="108"/>
      <c r="H3322" s="108" t="s">
        <v>2901</v>
      </c>
      <c r="I3322" s="581">
        <v>7.15</v>
      </c>
      <c r="J3322" s="114"/>
      <c r="K3322" s="114" t="s">
        <v>2902</v>
      </c>
      <c r="L3322" s="108"/>
      <c r="M3322" s="581">
        <v>35.22</v>
      </c>
      <c r="N3322" s="573">
        <v>6519</v>
      </c>
      <c r="O3322" s="556" t="str">
        <f>IF(N3322=M3322,"OK","DIF")</f>
        <v>DIF</v>
      </c>
      <c r="P3322" s="573"/>
      <c r="Q3322" s="556"/>
      <c r="R3322" s="582"/>
    </row>
    <row r="3323" ht="15" spans="1:18">
      <c r="A3323" s="556"/>
      <c r="B3323" s="557"/>
      <c r="C3323" s="571"/>
      <c r="D3323" s="571"/>
      <c r="E3323" s="571"/>
      <c r="F3323" s="571"/>
      <c r="G3323" s="571"/>
      <c r="H3323" s="571"/>
      <c r="I3323" s="571"/>
      <c r="J3323" s="571"/>
      <c r="K3323" s="571"/>
      <c r="L3323" s="571"/>
      <c r="M3323" s="571"/>
      <c r="N3323" s="573"/>
      <c r="O3323" s="556"/>
      <c r="P3323" s="573"/>
      <c r="Q3323" s="556"/>
      <c r="R3323" s="582"/>
    </row>
    <row r="3324" ht="15" customHeight="1" spans="1:18">
      <c r="A3324" s="556"/>
      <c r="B3324" s="557"/>
      <c r="C3324" s="76" t="s">
        <v>1153</v>
      </c>
      <c r="D3324" s="75" t="s">
        <v>63</v>
      </c>
      <c r="E3324" s="76" t="s">
        <v>64</v>
      </c>
      <c r="F3324" s="76" t="s">
        <v>65</v>
      </c>
      <c r="G3324" s="76" t="s">
        <v>2889</v>
      </c>
      <c r="H3324" s="76"/>
      <c r="I3324" s="77" t="s">
        <v>66</v>
      </c>
      <c r="J3324" s="75" t="s">
        <v>67</v>
      </c>
      <c r="K3324" s="75" t="s">
        <v>2890</v>
      </c>
      <c r="L3324" s="75" t="s">
        <v>68</v>
      </c>
      <c r="M3324" s="75" t="s">
        <v>70</v>
      </c>
      <c r="N3324" s="573"/>
      <c r="O3324" s="556"/>
      <c r="P3324" s="573"/>
      <c r="Q3324" s="556"/>
      <c r="R3324" s="582"/>
    </row>
    <row r="3325" ht="76.5" spans="1:18">
      <c r="A3325" s="556"/>
      <c r="B3325" s="557"/>
      <c r="C3325" s="569" t="s">
        <v>2891</v>
      </c>
      <c r="D3325" s="570" t="s">
        <v>1154</v>
      </c>
      <c r="E3325" s="569" t="s">
        <v>77</v>
      </c>
      <c r="F3325" s="569" t="s">
        <v>4076</v>
      </c>
      <c r="G3325" s="569">
        <v>6</v>
      </c>
      <c r="H3325" s="569"/>
      <c r="I3325" s="577" t="s">
        <v>204</v>
      </c>
      <c r="J3325" s="578">
        <v>1</v>
      </c>
      <c r="K3325" s="579"/>
      <c r="L3325" s="579">
        <v>36.49</v>
      </c>
      <c r="M3325" s="579">
        <v>36.49</v>
      </c>
      <c r="N3325" s="573"/>
      <c r="O3325" s="556"/>
      <c r="P3325" s="573"/>
      <c r="Q3325" s="556"/>
      <c r="R3325" s="582"/>
    </row>
    <row r="3326" ht="23.85" customHeight="1" spans="1:18">
      <c r="A3326" s="556"/>
      <c r="B3326" s="557"/>
      <c r="C3326" s="100" t="s">
        <v>2893</v>
      </c>
      <c r="D3326" s="99" t="s">
        <v>3108</v>
      </c>
      <c r="E3326" s="100" t="s">
        <v>77</v>
      </c>
      <c r="F3326" s="100" t="s">
        <v>3109</v>
      </c>
      <c r="G3326" s="100" t="s">
        <v>2896</v>
      </c>
      <c r="H3326" s="100"/>
      <c r="I3326" s="101" t="s">
        <v>2897</v>
      </c>
      <c r="J3326" s="580">
        <v>0.45</v>
      </c>
      <c r="K3326" s="580">
        <v>3</v>
      </c>
      <c r="L3326" s="102">
        <v>19.16</v>
      </c>
      <c r="M3326" s="102">
        <v>8.88</v>
      </c>
      <c r="N3326" s="573"/>
      <c r="O3326" s="556"/>
      <c r="P3326" s="573"/>
      <c r="Q3326" s="556"/>
      <c r="R3326" s="582"/>
    </row>
    <row r="3327" ht="23.85" customHeight="1" spans="1:18">
      <c r="A3327" s="556"/>
      <c r="B3327" s="557" t="str">
        <f>C3326</f>
        <v>Insumo</v>
      </c>
      <c r="C3327" s="100" t="s">
        <v>2893</v>
      </c>
      <c r="D3327" s="99" t="s">
        <v>4077</v>
      </c>
      <c r="E3327" s="100" t="s">
        <v>77</v>
      </c>
      <c r="F3327" s="100" t="s">
        <v>4078</v>
      </c>
      <c r="G3327" s="100" t="s">
        <v>2961</v>
      </c>
      <c r="H3327" s="100"/>
      <c r="I3327" s="101" t="s">
        <v>204</v>
      </c>
      <c r="J3327" s="580">
        <v>1</v>
      </c>
      <c r="K3327" s="580">
        <v>0</v>
      </c>
      <c r="L3327" s="102">
        <v>23.3</v>
      </c>
      <c r="M3327" s="102">
        <v>23.3</v>
      </c>
      <c r="N3327" s="573">
        <v>53.86</v>
      </c>
      <c r="O3327" s="556" t="str">
        <f>IF(N3327=M3327,"OK","DIF")</f>
        <v>DIF</v>
      </c>
      <c r="P3327" s="573"/>
      <c r="Q3327" s="556"/>
      <c r="R3327" s="582"/>
    </row>
    <row r="3328" ht="23.85" customHeight="1" spans="1:18">
      <c r="A3328" s="556" t="str">
        <f>B3328</f>
        <v>Insumo</v>
      </c>
      <c r="B3328" s="557" t="str">
        <f>B3327</f>
        <v>Insumo</v>
      </c>
      <c r="C3328" s="100" t="s">
        <v>2893</v>
      </c>
      <c r="D3328" s="99" t="s">
        <v>4079</v>
      </c>
      <c r="E3328" s="100" t="s">
        <v>77</v>
      </c>
      <c r="F3328" s="100" t="s">
        <v>4080</v>
      </c>
      <c r="G3328" s="100" t="s">
        <v>2961</v>
      </c>
      <c r="H3328" s="100"/>
      <c r="I3328" s="101" t="s">
        <v>134</v>
      </c>
      <c r="J3328" s="580">
        <v>0.05</v>
      </c>
      <c r="K3328" s="580">
        <v>0</v>
      </c>
      <c r="L3328" s="102">
        <v>41.19</v>
      </c>
      <c r="M3328" s="102">
        <v>2.05</v>
      </c>
      <c r="N3328" s="573">
        <v>47.43</v>
      </c>
      <c r="O3328" s="556" t="str">
        <f>IF(N3328=M3328,"OK","DIF")</f>
        <v>DIF</v>
      </c>
      <c r="P3328" s="573"/>
      <c r="Q3328" s="556"/>
      <c r="R3328" s="582"/>
    </row>
    <row r="3329" ht="35.05" customHeight="1" spans="1:18">
      <c r="A3329" s="556" t="str">
        <f>B3329</f>
        <v>Insumo</v>
      </c>
      <c r="B3329" s="557" t="str">
        <f>B3328</f>
        <v>Insumo</v>
      </c>
      <c r="C3329" s="100" t="s">
        <v>2893</v>
      </c>
      <c r="D3329" s="99" t="s">
        <v>4081</v>
      </c>
      <c r="E3329" s="100" t="s">
        <v>77</v>
      </c>
      <c r="F3329" s="100" t="s">
        <v>4082</v>
      </c>
      <c r="G3329" s="100" t="s">
        <v>2961</v>
      </c>
      <c r="H3329" s="100"/>
      <c r="I3329" s="101" t="s">
        <v>134</v>
      </c>
      <c r="J3329" s="580">
        <v>0.05</v>
      </c>
      <c r="K3329" s="580">
        <v>0</v>
      </c>
      <c r="L3329" s="102">
        <v>45.23</v>
      </c>
      <c r="M3329" s="102">
        <v>2.26</v>
      </c>
      <c r="N3329" s="573">
        <v>3.73</v>
      </c>
      <c r="O3329" s="556" t="str">
        <f>IF(N3329=M3329,"OK","DIF")</f>
        <v>DIF</v>
      </c>
      <c r="P3329" s="573"/>
      <c r="Q3329" s="556"/>
      <c r="R3329" s="582"/>
    </row>
    <row r="3330" ht="25.5" spans="1:18">
      <c r="A3330" s="556" t="str">
        <f>B3330</f>
        <v>Insumo</v>
      </c>
      <c r="B3330" s="557" t="str">
        <f>B3329</f>
        <v>Insumo</v>
      </c>
      <c r="C3330" s="108"/>
      <c r="D3330" s="108"/>
      <c r="E3330" s="108"/>
      <c r="F3330" s="108"/>
      <c r="G3330" s="108"/>
      <c r="H3330" s="108" t="s">
        <v>2898</v>
      </c>
      <c r="I3330" s="581">
        <v>8.88</v>
      </c>
      <c r="J3330" s="108" t="s">
        <v>2899</v>
      </c>
      <c r="K3330" s="581">
        <v>0</v>
      </c>
      <c r="L3330" s="108" t="s">
        <v>2900</v>
      </c>
      <c r="M3330" s="581">
        <v>8.88</v>
      </c>
      <c r="N3330" s="573">
        <v>2.7</v>
      </c>
      <c r="O3330" s="556" t="str">
        <f>IF(N3330=M3330,"OK","DIF")</f>
        <v>DIF</v>
      </c>
      <c r="P3330" s="573"/>
      <c r="Q3330" s="556"/>
      <c r="R3330" s="582"/>
    </row>
    <row r="3331" ht="26.25" spans="1:18">
      <c r="A3331" s="556"/>
      <c r="B3331" s="557"/>
      <c r="C3331" s="108"/>
      <c r="D3331" s="108"/>
      <c r="E3331" s="108"/>
      <c r="F3331" s="108"/>
      <c r="G3331" s="108"/>
      <c r="H3331" s="108" t="s">
        <v>2901</v>
      </c>
      <c r="I3331" s="581">
        <v>9.3</v>
      </c>
      <c r="J3331" s="114"/>
      <c r="K3331" s="114" t="s">
        <v>2902</v>
      </c>
      <c r="L3331" s="108"/>
      <c r="M3331" s="581">
        <v>45.79</v>
      </c>
      <c r="N3331" s="573"/>
      <c r="O3331" s="556"/>
      <c r="P3331" s="573"/>
      <c r="Q3331" s="556"/>
      <c r="R3331" s="582"/>
    </row>
    <row r="3332" ht="15" spans="1:18">
      <c r="A3332" s="556"/>
      <c r="B3332" s="557"/>
      <c r="C3332" s="571"/>
      <c r="D3332" s="571"/>
      <c r="E3332" s="571"/>
      <c r="F3332" s="571"/>
      <c r="G3332" s="571"/>
      <c r="H3332" s="571"/>
      <c r="I3332" s="571"/>
      <c r="J3332" s="571"/>
      <c r="K3332" s="571"/>
      <c r="L3332" s="571"/>
      <c r="M3332" s="571"/>
      <c r="N3332" s="573"/>
      <c r="O3332" s="556"/>
      <c r="P3332" s="573"/>
      <c r="Q3332" s="556"/>
      <c r="R3332" s="582"/>
    </row>
    <row r="3333" ht="15" customHeight="1" spans="1:18">
      <c r="A3333" s="556"/>
      <c r="B3333" s="557">
        <f>C3332</f>
        <v>0</v>
      </c>
      <c r="C3333" s="76" t="s">
        <v>1156</v>
      </c>
      <c r="D3333" s="75" t="s">
        <v>63</v>
      </c>
      <c r="E3333" s="76" t="s">
        <v>64</v>
      </c>
      <c r="F3333" s="76" t="s">
        <v>65</v>
      </c>
      <c r="G3333" s="76" t="s">
        <v>2889</v>
      </c>
      <c r="H3333" s="76"/>
      <c r="I3333" s="77" t="s">
        <v>66</v>
      </c>
      <c r="J3333" s="75" t="s">
        <v>67</v>
      </c>
      <c r="K3333" s="75" t="s">
        <v>2890</v>
      </c>
      <c r="L3333" s="75" t="s">
        <v>68</v>
      </c>
      <c r="M3333" s="75" t="s">
        <v>70</v>
      </c>
      <c r="N3333" s="573">
        <v>66.94</v>
      </c>
      <c r="O3333" s="556" t="str">
        <f>IF(N3333=M3333,"OK","DIF")</f>
        <v>DIF</v>
      </c>
      <c r="P3333" s="573"/>
      <c r="Q3333" s="556"/>
      <c r="R3333" s="582"/>
    </row>
    <row r="3334" ht="38.25" spans="1:18">
      <c r="A3334" s="556">
        <f>B3334</f>
        <v>0</v>
      </c>
      <c r="B3334" s="557">
        <f>B3333</f>
        <v>0</v>
      </c>
      <c r="C3334" s="569" t="s">
        <v>2891</v>
      </c>
      <c r="D3334" s="570" t="s">
        <v>1157</v>
      </c>
      <c r="E3334" s="569" t="s">
        <v>132</v>
      </c>
      <c r="F3334" s="569" t="s">
        <v>1158</v>
      </c>
      <c r="G3334" s="569">
        <v>61</v>
      </c>
      <c r="H3334" s="569"/>
      <c r="I3334" s="577" t="s">
        <v>204</v>
      </c>
      <c r="J3334" s="578">
        <v>1</v>
      </c>
      <c r="K3334" s="579"/>
      <c r="L3334" s="579">
        <v>158.93</v>
      </c>
      <c r="M3334" s="579">
        <v>158.93</v>
      </c>
      <c r="N3334" s="573">
        <v>58.36</v>
      </c>
      <c r="O3334" s="556" t="str">
        <f>IF(N3334=M3334,"OK","DIF")</f>
        <v>DIF</v>
      </c>
      <c r="P3334" s="573"/>
      <c r="Q3334" s="556"/>
      <c r="R3334" s="582"/>
    </row>
    <row r="3335" ht="23.85" customHeight="1" spans="1:18">
      <c r="A3335" s="556">
        <f>B3335</f>
        <v>0</v>
      </c>
      <c r="B3335" s="557">
        <f>B3334</f>
        <v>0</v>
      </c>
      <c r="C3335" s="79" t="s">
        <v>2921</v>
      </c>
      <c r="D3335" s="78" t="s">
        <v>3017</v>
      </c>
      <c r="E3335" s="79" t="s">
        <v>139</v>
      </c>
      <c r="F3335" s="79" t="s">
        <v>3018</v>
      </c>
      <c r="G3335" s="79" t="s">
        <v>2928</v>
      </c>
      <c r="H3335" s="79"/>
      <c r="I3335" s="80" t="s">
        <v>2897</v>
      </c>
      <c r="J3335" s="583">
        <v>0.66</v>
      </c>
      <c r="K3335" s="583">
        <v>0</v>
      </c>
      <c r="L3335" s="92">
        <v>36.96</v>
      </c>
      <c r="M3335" s="92">
        <v>24.39</v>
      </c>
      <c r="N3335" s="573">
        <v>4.98</v>
      </c>
      <c r="O3335" s="556" t="str">
        <f>IF(N3335=M3335,"OK","DIF")</f>
        <v>DIF</v>
      </c>
      <c r="P3335" s="573"/>
      <c r="Q3335" s="556"/>
      <c r="R3335" s="582"/>
    </row>
    <row r="3336" ht="23.85" customHeight="1" spans="1:18">
      <c r="A3336" s="556">
        <f>B3336</f>
        <v>0</v>
      </c>
      <c r="B3336" s="557">
        <f>B3335</f>
        <v>0</v>
      </c>
      <c r="C3336" s="79" t="s">
        <v>2921</v>
      </c>
      <c r="D3336" s="78" t="s">
        <v>2952</v>
      </c>
      <c r="E3336" s="79" t="s">
        <v>139</v>
      </c>
      <c r="F3336" s="79" t="s">
        <v>2953</v>
      </c>
      <c r="G3336" s="79" t="s">
        <v>2928</v>
      </c>
      <c r="H3336" s="79"/>
      <c r="I3336" s="80" t="s">
        <v>2897</v>
      </c>
      <c r="J3336" s="583">
        <v>2.64</v>
      </c>
      <c r="K3336" s="583">
        <v>0</v>
      </c>
      <c r="L3336" s="92">
        <v>29.15</v>
      </c>
      <c r="M3336" s="92">
        <v>76.95</v>
      </c>
      <c r="N3336" s="573">
        <v>3.6</v>
      </c>
      <c r="O3336" s="556" t="str">
        <f>IF(N3336=M3336,"OK","DIF")</f>
        <v>DIF</v>
      </c>
      <c r="P3336" s="573"/>
      <c r="Q3336" s="556"/>
      <c r="R3336" s="582"/>
    </row>
    <row r="3337" ht="15" customHeight="1" spans="1:18">
      <c r="A3337" s="556"/>
      <c r="B3337" s="557"/>
      <c r="C3337" s="100" t="s">
        <v>2893</v>
      </c>
      <c r="D3337" s="99" t="s">
        <v>4083</v>
      </c>
      <c r="E3337" s="100" t="s">
        <v>149</v>
      </c>
      <c r="F3337" s="100" t="s">
        <v>4084</v>
      </c>
      <c r="G3337" s="100" t="s">
        <v>2961</v>
      </c>
      <c r="H3337" s="100"/>
      <c r="I3337" s="101" t="s">
        <v>279</v>
      </c>
      <c r="J3337" s="580">
        <v>0.128</v>
      </c>
      <c r="K3337" s="580">
        <v>0</v>
      </c>
      <c r="L3337" s="102">
        <v>108.18</v>
      </c>
      <c r="M3337" s="102">
        <v>13.84</v>
      </c>
      <c r="N3337" s="573"/>
      <c r="O3337" s="556"/>
      <c r="P3337" s="573"/>
      <c r="Q3337" s="556"/>
      <c r="R3337" s="582"/>
    </row>
    <row r="3338" ht="15" customHeight="1" spans="1:18">
      <c r="A3338" s="556"/>
      <c r="B3338" s="557"/>
      <c r="C3338" s="100" t="s">
        <v>2893</v>
      </c>
      <c r="D3338" s="99" t="s">
        <v>3575</v>
      </c>
      <c r="E3338" s="100" t="s">
        <v>149</v>
      </c>
      <c r="F3338" s="100" t="s">
        <v>3576</v>
      </c>
      <c r="G3338" s="100" t="s">
        <v>2961</v>
      </c>
      <c r="H3338" s="100"/>
      <c r="I3338" s="101" t="s">
        <v>393</v>
      </c>
      <c r="J3338" s="580">
        <v>49.76</v>
      </c>
      <c r="K3338" s="580">
        <v>0</v>
      </c>
      <c r="L3338" s="102">
        <v>0.68</v>
      </c>
      <c r="M3338" s="102">
        <v>33.83</v>
      </c>
      <c r="N3338" s="573"/>
      <c r="O3338" s="556"/>
      <c r="P3338" s="573"/>
      <c r="Q3338" s="556"/>
      <c r="R3338" s="582"/>
    </row>
    <row r="3339" ht="15" customHeight="1" spans="1:18">
      <c r="A3339" s="556"/>
      <c r="B3339" s="557" t="str">
        <f>C3338</f>
        <v>Insumo</v>
      </c>
      <c r="C3339" s="100" t="s">
        <v>2893</v>
      </c>
      <c r="D3339" s="99" t="s">
        <v>3569</v>
      </c>
      <c r="E3339" s="100" t="s">
        <v>149</v>
      </c>
      <c r="F3339" s="100" t="s">
        <v>3570</v>
      </c>
      <c r="G3339" s="100" t="s">
        <v>2961</v>
      </c>
      <c r="H3339" s="100"/>
      <c r="I3339" s="101" t="s">
        <v>279</v>
      </c>
      <c r="J3339" s="580">
        <v>0.112</v>
      </c>
      <c r="K3339" s="580">
        <v>0</v>
      </c>
      <c r="L3339" s="102">
        <v>88.64</v>
      </c>
      <c r="M3339" s="102">
        <v>9.92</v>
      </c>
      <c r="N3339" s="573">
        <v>378.74</v>
      </c>
      <c r="O3339" s="556" t="str">
        <f>IF(N3339=M3339,"OK","DIF")</f>
        <v>DIF</v>
      </c>
      <c r="P3339" s="573"/>
      <c r="Q3339" s="556"/>
      <c r="R3339" s="582"/>
    </row>
    <row r="3340" ht="25.5" spans="1:18">
      <c r="A3340" s="556" t="str">
        <f>B3340</f>
        <v>Insumo</v>
      </c>
      <c r="B3340" s="557" t="str">
        <f>B3339</f>
        <v>Insumo</v>
      </c>
      <c r="C3340" s="108"/>
      <c r="D3340" s="108"/>
      <c r="E3340" s="108"/>
      <c r="F3340" s="108"/>
      <c r="G3340" s="108"/>
      <c r="H3340" s="108" t="s">
        <v>2898</v>
      </c>
      <c r="I3340" s="581">
        <v>68.52</v>
      </c>
      <c r="J3340" s="108" t="s">
        <v>2899</v>
      </c>
      <c r="K3340" s="581">
        <v>0</v>
      </c>
      <c r="L3340" s="108" t="s">
        <v>2900</v>
      </c>
      <c r="M3340" s="581">
        <v>68.52</v>
      </c>
      <c r="N3340" s="573">
        <v>51.9</v>
      </c>
      <c r="O3340" s="556" t="str">
        <f>IF(N3340=M3340,"OK","DIF")</f>
        <v>DIF</v>
      </c>
      <c r="P3340" s="573"/>
      <c r="Q3340" s="556"/>
      <c r="R3340" s="582"/>
    </row>
    <row r="3341" ht="26.25" spans="1:18">
      <c r="A3341" s="556" t="str">
        <f>B3341</f>
        <v>Insumo</v>
      </c>
      <c r="B3341" s="557" t="str">
        <f>B3340</f>
        <v>Insumo</v>
      </c>
      <c r="C3341" s="108"/>
      <c r="D3341" s="108"/>
      <c r="E3341" s="108"/>
      <c r="F3341" s="108"/>
      <c r="G3341" s="108"/>
      <c r="H3341" s="108" t="s">
        <v>2901</v>
      </c>
      <c r="I3341" s="581">
        <v>40.51</v>
      </c>
      <c r="J3341" s="114"/>
      <c r="K3341" s="114" t="s">
        <v>2902</v>
      </c>
      <c r="L3341" s="108"/>
      <c r="M3341" s="581">
        <v>199.44</v>
      </c>
      <c r="N3341" s="573">
        <v>66.14</v>
      </c>
      <c r="O3341" s="556" t="str">
        <f>IF(N3341=M3341,"OK","DIF")</f>
        <v>DIF</v>
      </c>
      <c r="P3341" s="573"/>
      <c r="Q3341" s="556"/>
      <c r="R3341" s="582"/>
    </row>
    <row r="3342" ht="15" spans="1:18">
      <c r="A3342" s="556" t="str">
        <f>B3342</f>
        <v>Insumo</v>
      </c>
      <c r="B3342" s="557" t="str">
        <f>B3341</f>
        <v>Insumo</v>
      </c>
      <c r="C3342" s="571"/>
      <c r="D3342" s="571"/>
      <c r="E3342" s="571"/>
      <c r="F3342" s="571"/>
      <c r="G3342" s="571"/>
      <c r="H3342" s="571"/>
      <c r="I3342" s="571"/>
      <c r="J3342" s="571"/>
      <c r="K3342" s="571"/>
      <c r="L3342" s="571"/>
      <c r="M3342" s="571"/>
      <c r="N3342" s="573">
        <v>260.7</v>
      </c>
      <c r="O3342" s="556" t="str">
        <f>IF(N3342=M3342,"OK","DIF")</f>
        <v>DIF</v>
      </c>
      <c r="P3342" s="573"/>
      <c r="Q3342" s="556"/>
      <c r="R3342" s="582"/>
    </row>
    <row r="3343" ht="15" customHeight="1" spans="1:18">
      <c r="A3343" s="556"/>
      <c r="B3343" s="557"/>
      <c r="C3343" s="76" t="s">
        <v>1159</v>
      </c>
      <c r="D3343" s="75" t="s">
        <v>63</v>
      </c>
      <c r="E3343" s="76" t="s">
        <v>64</v>
      </c>
      <c r="F3343" s="76" t="s">
        <v>65</v>
      </c>
      <c r="G3343" s="76" t="s">
        <v>2889</v>
      </c>
      <c r="H3343" s="76"/>
      <c r="I3343" s="77" t="s">
        <v>66</v>
      </c>
      <c r="J3343" s="75" t="s">
        <v>67</v>
      </c>
      <c r="K3343" s="75" t="s">
        <v>2890</v>
      </c>
      <c r="L3343" s="75" t="s">
        <v>68</v>
      </c>
      <c r="M3343" s="75" t="s">
        <v>70</v>
      </c>
      <c r="N3343" s="573"/>
      <c r="O3343" s="556"/>
      <c r="P3343" s="573"/>
      <c r="Q3343" s="556"/>
      <c r="R3343" s="582"/>
    </row>
    <row r="3344" ht="38.25" spans="1:18">
      <c r="A3344" s="556"/>
      <c r="B3344" s="557"/>
      <c r="C3344" s="569" t="s">
        <v>2891</v>
      </c>
      <c r="D3344" s="570" t="s">
        <v>1160</v>
      </c>
      <c r="E3344" s="569" t="s">
        <v>132</v>
      </c>
      <c r="F3344" s="569" t="s">
        <v>1161</v>
      </c>
      <c r="G3344" s="569">
        <v>61</v>
      </c>
      <c r="H3344" s="569"/>
      <c r="I3344" s="577" t="s">
        <v>204</v>
      </c>
      <c r="J3344" s="578">
        <v>1</v>
      </c>
      <c r="K3344" s="579"/>
      <c r="L3344" s="579">
        <v>915.2</v>
      </c>
      <c r="M3344" s="579">
        <v>915.2</v>
      </c>
      <c r="N3344" s="573"/>
      <c r="O3344" s="556"/>
      <c r="P3344" s="573"/>
      <c r="Q3344" s="556"/>
      <c r="R3344" s="582"/>
    </row>
    <row r="3345" ht="23.85" customHeight="1" spans="1:18">
      <c r="A3345" s="556"/>
      <c r="B3345" s="557" t="str">
        <f>C3344</f>
        <v>Composição</v>
      </c>
      <c r="C3345" s="79" t="s">
        <v>2921</v>
      </c>
      <c r="D3345" s="78" t="s">
        <v>3017</v>
      </c>
      <c r="E3345" s="79" t="s">
        <v>139</v>
      </c>
      <c r="F3345" s="79" t="s">
        <v>3018</v>
      </c>
      <c r="G3345" s="79" t="s">
        <v>2928</v>
      </c>
      <c r="H3345" s="79"/>
      <c r="I3345" s="80" t="s">
        <v>2897</v>
      </c>
      <c r="J3345" s="583">
        <v>4.0815</v>
      </c>
      <c r="K3345" s="583">
        <v>0</v>
      </c>
      <c r="L3345" s="92">
        <v>36.96</v>
      </c>
      <c r="M3345" s="92">
        <v>150.85</v>
      </c>
      <c r="N3345" s="573">
        <v>271.07</v>
      </c>
      <c r="O3345" s="556" t="str">
        <f>IF(N3345=M3345,"OK","DIF")</f>
        <v>DIF</v>
      </c>
      <c r="P3345" s="573"/>
      <c r="Q3345" s="556"/>
      <c r="R3345" s="582"/>
    </row>
    <row r="3346" ht="23.85" customHeight="1" spans="1:18">
      <c r="A3346" s="556" t="str">
        <f>B3346</f>
        <v>Composição</v>
      </c>
      <c r="B3346" s="557" t="str">
        <f>B3345</f>
        <v>Composição</v>
      </c>
      <c r="C3346" s="79" t="s">
        <v>2921</v>
      </c>
      <c r="D3346" s="78" t="s">
        <v>2952</v>
      </c>
      <c r="E3346" s="79" t="s">
        <v>139</v>
      </c>
      <c r="F3346" s="79" t="s">
        <v>2953</v>
      </c>
      <c r="G3346" s="79" t="s">
        <v>2928</v>
      </c>
      <c r="H3346" s="79"/>
      <c r="I3346" s="80" t="s">
        <v>2897</v>
      </c>
      <c r="J3346" s="583">
        <v>14.1525</v>
      </c>
      <c r="K3346" s="583">
        <v>0</v>
      </c>
      <c r="L3346" s="92">
        <v>29.15</v>
      </c>
      <c r="M3346" s="92">
        <v>412.54</v>
      </c>
      <c r="N3346" s="573">
        <v>36.05</v>
      </c>
      <c r="O3346" s="556" t="str">
        <f>IF(N3346=M3346,"OK","DIF")</f>
        <v>DIF</v>
      </c>
      <c r="P3346" s="58"/>
      <c r="Q3346" s="556"/>
      <c r="R3346" s="582"/>
    </row>
    <row r="3347" ht="15" customHeight="1" spans="1:18">
      <c r="A3347" s="556" t="str">
        <f>B3347</f>
        <v>Composição</v>
      </c>
      <c r="B3347" s="557" t="str">
        <f>B3346</f>
        <v>Composição</v>
      </c>
      <c r="C3347" s="100" t="s">
        <v>2893</v>
      </c>
      <c r="D3347" s="99" t="s">
        <v>3575</v>
      </c>
      <c r="E3347" s="100" t="s">
        <v>149</v>
      </c>
      <c r="F3347" s="100" t="s">
        <v>3576</v>
      </c>
      <c r="G3347" s="100" t="s">
        <v>2961</v>
      </c>
      <c r="H3347" s="100"/>
      <c r="I3347" s="101" t="s">
        <v>393</v>
      </c>
      <c r="J3347" s="580">
        <v>305.1</v>
      </c>
      <c r="K3347" s="580">
        <v>0</v>
      </c>
      <c r="L3347" s="102">
        <v>0.68</v>
      </c>
      <c r="M3347" s="102">
        <v>207.46</v>
      </c>
      <c r="N3347" s="573">
        <v>1.08</v>
      </c>
      <c r="O3347" s="556" t="str">
        <f>IF(N3347=M3347,"OK","DIF")</f>
        <v>DIF</v>
      </c>
      <c r="P3347" s="573" t="s">
        <v>3521</v>
      </c>
      <c r="Q3347" s="556"/>
      <c r="R3347" s="582"/>
    </row>
    <row r="3348" ht="15" customHeight="1" spans="1:18">
      <c r="A3348" s="556" t="str">
        <f>B3348</f>
        <v>Composição</v>
      </c>
      <c r="B3348" s="557" t="str">
        <f>B3347</f>
        <v>Composição</v>
      </c>
      <c r="C3348" s="100" t="s">
        <v>2893</v>
      </c>
      <c r="D3348" s="99" t="s">
        <v>3569</v>
      </c>
      <c r="E3348" s="100" t="s">
        <v>149</v>
      </c>
      <c r="F3348" s="100" t="s">
        <v>3570</v>
      </c>
      <c r="G3348" s="100" t="s">
        <v>2961</v>
      </c>
      <c r="H3348" s="100"/>
      <c r="I3348" s="101" t="s">
        <v>279</v>
      </c>
      <c r="J3348" s="580">
        <v>0.684</v>
      </c>
      <c r="K3348" s="580">
        <v>0</v>
      </c>
      <c r="L3348" s="102">
        <v>88.64</v>
      </c>
      <c r="M3348" s="102">
        <v>60.62</v>
      </c>
      <c r="N3348" s="573">
        <v>233.94</v>
      </c>
      <c r="O3348" s="556" t="str">
        <f>IF(N3348=M3348,"OK","DIF")</f>
        <v>DIF</v>
      </c>
      <c r="P3348" s="573"/>
      <c r="Q3348" s="556"/>
      <c r="R3348" s="582"/>
    </row>
    <row r="3349" ht="15" customHeight="1" spans="1:18">
      <c r="A3349" s="556"/>
      <c r="B3349" s="557"/>
      <c r="C3349" s="100" t="s">
        <v>2893</v>
      </c>
      <c r="D3349" s="99" t="s">
        <v>4083</v>
      </c>
      <c r="E3349" s="100" t="s">
        <v>149</v>
      </c>
      <c r="F3349" s="100" t="s">
        <v>4084</v>
      </c>
      <c r="G3349" s="100" t="s">
        <v>2961</v>
      </c>
      <c r="H3349" s="100"/>
      <c r="I3349" s="101" t="s">
        <v>279</v>
      </c>
      <c r="J3349" s="580">
        <v>0.774</v>
      </c>
      <c r="K3349" s="580">
        <v>0</v>
      </c>
      <c r="L3349" s="102">
        <v>108.18</v>
      </c>
      <c r="M3349" s="102">
        <v>83.73</v>
      </c>
      <c r="N3349" s="573"/>
      <c r="O3349" s="556"/>
      <c r="P3349" s="573"/>
      <c r="Q3349" s="556"/>
      <c r="R3349" s="582"/>
    </row>
    <row r="3350" ht="25.5" spans="1:18">
      <c r="A3350" s="556"/>
      <c r="B3350" s="557"/>
      <c r="C3350" s="108"/>
      <c r="D3350" s="108"/>
      <c r="E3350" s="108"/>
      <c r="F3350" s="108"/>
      <c r="G3350" s="108"/>
      <c r="H3350" s="108" t="s">
        <v>2898</v>
      </c>
      <c r="I3350" s="581">
        <v>381.96</v>
      </c>
      <c r="J3350" s="108" t="s">
        <v>2899</v>
      </c>
      <c r="K3350" s="581">
        <v>0</v>
      </c>
      <c r="L3350" s="108" t="s">
        <v>2900</v>
      </c>
      <c r="M3350" s="581">
        <v>381.96</v>
      </c>
      <c r="N3350" s="573"/>
      <c r="O3350" s="556"/>
      <c r="P3350" s="573"/>
      <c r="Q3350" s="556"/>
      <c r="R3350" s="582"/>
    </row>
    <row r="3351" ht="26.25" spans="1:18">
      <c r="A3351" s="556"/>
      <c r="B3351" s="557">
        <f>C3350</f>
        <v>0</v>
      </c>
      <c r="C3351" s="108"/>
      <c r="D3351" s="108"/>
      <c r="E3351" s="108"/>
      <c r="F3351" s="108"/>
      <c r="G3351" s="108"/>
      <c r="H3351" s="108" t="s">
        <v>2901</v>
      </c>
      <c r="I3351" s="581">
        <v>233.28</v>
      </c>
      <c r="J3351" s="114"/>
      <c r="K3351" s="114" t="s">
        <v>2902</v>
      </c>
      <c r="L3351" s="108"/>
      <c r="M3351" s="581">
        <v>1148.48</v>
      </c>
      <c r="N3351" s="573">
        <v>132000</v>
      </c>
      <c r="O3351" s="556" t="str">
        <f>IF(N3351=M3351,"OK","DIF")</f>
        <v>DIF</v>
      </c>
      <c r="P3351" s="573"/>
      <c r="Q3351" s="556"/>
      <c r="R3351" s="582"/>
    </row>
    <row r="3352" ht="15" spans="1:18">
      <c r="A3352" s="556">
        <f>B3352</f>
        <v>0</v>
      </c>
      <c r="B3352" s="557">
        <f>B3351</f>
        <v>0</v>
      </c>
      <c r="C3352" s="571"/>
      <c r="D3352" s="571"/>
      <c r="E3352" s="571"/>
      <c r="F3352" s="571"/>
      <c r="G3352" s="571"/>
      <c r="H3352" s="571"/>
      <c r="I3352" s="571"/>
      <c r="J3352" s="571"/>
      <c r="K3352" s="571"/>
      <c r="L3352" s="571"/>
      <c r="M3352" s="571"/>
      <c r="N3352" s="573">
        <v>132000</v>
      </c>
      <c r="O3352" s="556" t="str">
        <f>IF(N3352=M3352,"OK","DIF")</f>
        <v>DIF</v>
      </c>
      <c r="P3352" s="573"/>
      <c r="Q3352" s="556"/>
      <c r="R3352" s="582"/>
    </row>
    <row r="3353" ht="15" customHeight="1" spans="1:18">
      <c r="A3353" s="556"/>
      <c r="B3353" s="557"/>
      <c r="C3353" s="76" t="s">
        <v>1162</v>
      </c>
      <c r="D3353" s="75" t="s">
        <v>63</v>
      </c>
      <c r="E3353" s="76" t="s">
        <v>64</v>
      </c>
      <c r="F3353" s="76" t="s">
        <v>65</v>
      </c>
      <c r="G3353" s="76" t="s">
        <v>2889</v>
      </c>
      <c r="H3353" s="76"/>
      <c r="I3353" s="77" t="s">
        <v>66</v>
      </c>
      <c r="J3353" s="75" t="s">
        <v>67</v>
      </c>
      <c r="K3353" s="75" t="s">
        <v>2890</v>
      </c>
      <c r="L3353" s="75" t="s">
        <v>68</v>
      </c>
      <c r="M3353" s="75" t="s">
        <v>70</v>
      </c>
      <c r="N3353" s="573"/>
      <c r="O3353" s="556"/>
      <c r="P3353" s="573"/>
      <c r="Q3353" s="556"/>
      <c r="R3353" s="582"/>
    </row>
    <row r="3354" ht="46.25" customHeight="1" spans="1:18">
      <c r="A3354" s="556"/>
      <c r="B3354" s="557"/>
      <c r="C3354" s="569" t="s">
        <v>2891</v>
      </c>
      <c r="D3354" s="570" t="s">
        <v>1163</v>
      </c>
      <c r="E3354" s="569" t="s">
        <v>132</v>
      </c>
      <c r="F3354" s="569" t="s">
        <v>1164</v>
      </c>
      <c r="G3354" s="569" t="s">
        <v>3996</v>
      </c>
      <c r="H3354" s="569"/>
      <c r="I3354" s="577" t="s">
        <v>134</v>
      </c>
      <c r="J3354" s="578">
        <v>1</v>
      </c>
      <c r="K3354" s="579"/>
      <c r="L3354" s="579">
        <v>970.61</v>
      </c>
      <c r="M3354" s="579">
        <v>970.61</v>
      </c>
      <c r="N3354" s="573"/>
      <c r="O3354" s="556"/>
      <c r="P3354" s="573"/>
      <c r="Q3354" s="556"/>
      <c r="R3354" s="582"/>
    </row>
    <row r="3355" ht="23.85" customHeight="1" spans="1:18">
      <c r="A3355" s="556"/>
      <c r="B3355" s="557" t="str">
        <f>C3354</f>
        <v>Composição</v>
      </c>
      <c r="C3355" s="79" t="s">
        <v>2921</v>
      </c>
      <c r="D3355" s="78" t="s">
        <v>2952</v>
      </c>
      <c r="E3355" s="79" t="s">
        <v>139</v>
      </c>
      <c r="F3355" s="79" t="s">
        <v>2953</v>
      </c>
      <c r="G3355" s="79" t="s">
        <v>2928</v>
      </c>
      <c r="H3355" s="79"/>
      <c r="I3355" s="80" t="s">
        <v>2897</v>
      </c>
      <c r="J3355" s="583">
        <v>15.709</v>
      </c>
      <c r="K3355" s="583">
        <v>0</v>
      </c>
      <c r="L3355" s="92">
        <v>29.15</v>
      </c>
      <c r="M3355" s="92">
        <v>457.91</v>
      </c>
      <c r="N3355" s="573">
        <v>1982.79</v>
      </c>
      <c r="O3355" s="556" t="str">
        <f>IF(N3355=M3355,"OK","DIF")</f>
        <v>DIF</v>
      </c>
      <c r="P3355" s="573"/>
      <c r="Q3355" s="556"/>
      <c r="R3355" s="582"/>
    </row>
    <row r="3356" ht="23.85" customHeight="1" spans="1:18">
      <c r="A3356" s="556" t="str">
        <f>B3356</f>
        <v>Composição</v>
      </c>
      <c r="B3356" s="557" t="str">
        <f>B3355</f>
        <v>Composição</v>
      </c>
      <c r="C3356" s="79" t="s">
        <v>2921</v>
      </c>
      <c r="D3356" s="78" t="s">
        <v>4085</v>
      </c>
      <c r="E3356" s="79" t="s">
        <v>139</v>
      </c>
      <c r="F3356" s="79" t="s">
        <v>4086</v>
      </c>
      <c r="G3356" s="79" t="s">
        <v>2928</v>
      </c>
      <c r="H3356" s="79"/>
      <c r="I3356" s="80" t="s">
        <v>2897</v>
      </c>
      <c r="J3356" s="583">
        <v>1.532</v>
      </c>
      <c r="K3356" s="583">
        <v>0</v>
      </c>
      <c r="L3356" s="92">
        <v>30.13</v>
      </c>
      <c r="M3356" s="92">
        <v>46.15</v>
      </c>
      <c r="N3356" s="573">
        <v>292</v>
      </c>
      <c r="O3356" s="556" t="str">
        <f>IF(N3356=M3356,"OK","DIF")</f>
        <v>DIF</v>
      </c>
      <c r="P3356" s="573"/>
      <c r="Q3356" s="556"/>
      <c r="R3356" s="582"/>
    </row>
    <row r="3357" ht="23.85" customHeight="1" spans="1:18">
      <c r="A3357" s="556" t="str">
        <f>B3357</f>
        <v>Composição</v>
      </c>
      <c r="B3357" s="557" t="str">
        <f>B3356</f>
        <v>Composição</v>
      </c>
      <c r="C3357" s="79" t="s">
        <v>2921</v>
      </c>
      <c r="D3357" s="78" t="s">
        <v>3017</v>
      </c>
      <c r="E3357" s="79" t="s">
        <v>139</v>
      </c>
      <c r="F3357" s="79" t="s">
        <v>3018</v>
      </c>
      <c r="G3357" s="79" t="s">
        <v>2928</v>
      </c>
      <c r="H3357" s="79"/>
      <c r="I3357" s="80" t="s">
        <v>2897</v>
      </c>
      <c r="J3357" s="583">
        <v>5.659</v>
      </c>
      <c r="K3357" s="583">
        <v>0</v>
      </c>
      <c r="L3357" s="92">
        <v>36.96</v>
      </c>
      <c r="M3357" s="92">
        <v>209.15</v>
      </c>
      <c r="N3357" s="573">
        <v>873.6</v>
      </c>
      <c r="O3357" s="556" t="str">
        <f>IF(N3357=M3357,"OK","DIF")</f>
        <v>DIF</v>
      </c>
      <c r="P3357" s="573"/>
      <c r="Q3357" s="556"/>
      <c r="R3357" s="582"/>
    </row>
    <row r="3358" ht="23.85" customHeight="1" spans="1:18">
      <c r="A3358" s="556" t="str">
        <f>B3358</f>
        <v>Composição</v>
      </c>
      <c r="B3358" s="557" t="str">
        <f>B3357</f>
        <v>Composição</v>
      </c>
      <c r="C3358" s="79" t="s">
        <v>2921</v>
      </c>
      <c r="D3358" s="78" t="s">
        <v>2954</v>
      </c>
      <c r="E3358" s="79" t="s">
        <v>139</v>
      </c>
      <c r="F3358" s="79" t="s">
        <v>2955</v>
      </c>
      <c r="G3358" s="79" t="s">
        <v>2928</v>
      </c>
      <c r="H3358" s="79"/>
      <c r="I3358" s="80" t="s">
        <v>2897</v>
      </c>
      <c r="J3358" s="583">
        <v>1.385</v>
      </c>
      <c r="K3358" s="583">
        <v>0</v>
      </c>
      <c r="L3358" s="92">
        <v>37.51</v>
      </c>
      <c r="M3358" s="92">
        <v>51.95</v>
      </c>
      <c r="N3358" s="573">
        <v>529.12</v>
      </c>
      <c r="O3358" s="556" t="str">
        <f>IF(N3358=M3358,"OK","DIF")</f>
        <v>DIF</v>
      </c>
      <c r="P3358" s="573"/>
      <c r="Q3358" s="556"/>
      <c r="R3358" s="582"/>
    </row>
    <row r="3359" ht="23.85" customHeight="1" spans="1:18">
      <c r="A3359" s="556" t="str">
        <f>B3359</f>
        <v>Composição</v>
      </c>
      <c r="B3359" s="557" t="str">
        <f>B3358</f>
        <v>Composição</v>
      </c>
      <c r="C3359" s="79" t="s">
        <v>2921</v>
      </c>
      <c r="D3359" s="78" t="s">
        <v>3313</v>
      </c>
      <c r="E3359" s="79" t="s">
        <v>139</v>
      </c>
      <c r="F3359" s="79" t="s">
        <v>3314</v>
      </c>
      <c r="G3359" s="79" t="s">
        <v>2928</v>
      </c>
      <c r="H3359" s="79"/>
      <c r="I3359" s="80" t="s">
        <v>2897</v>
      </c>
      <c r="J3359" s="583">
        <v>0.147</v>
      </c>
      <c r="K3359" s="583">
        <v>0</v>
      </c>
      <c r="L3359" s="92">
        <v>35.95</v>
      </c>
      <c r="M3359" s="92">
        <v>5.28</v>
      </c>
      <c r="N3359" s="573">
        <v>288.07</v>
      </c>
      <c r="O3359" s="556" t="str">
        <f>IF(N3359=M3359,"OK","DIF")</f>
        <v>DIF</v>
      </c>
      <c r="P3359" s="573"/>
      <c r="Q3359" s="556"/>
      <c r="R3359" s="582"/>
    </row>
    <row r="3360" ht="15" customHeight="1" spans="1:18">
      <c r="A3360" s="556"/>
      <c r="B3360" s="557"/>
      <c r="C3360" s="100" t="s">
        <v>2893</v>
      </c>
      <c r="D3360" s="99" t="s">
        <v>4087</v>
      </c>
      <c r="E3360" s="100" t="s">
        <v>149</v>
      </c>
      <c r="F3360" s="100" t="s">
        <v>4088</v>
      </c>
      <c r="G3360" s="100" t="s">
        <v>2961</v>
      </c>
      <c r="H3360" s="100"/>
      <c r="I3360" s="101" t="s">
        <v>279</v>
      </c>
      <c r="J3360" s="580">
        <v>0.018</v>
      </c>
      <c r="K3360" s="580">
        <v>0</v>
      </c>
      <c r="L3360" s="102">
        <v>108.75</v>
      </c>
      <c r="M3360" s="102">
        <v>1.95</v>
      </c>
      <c r="N3360" s="573"/>
      <c r="O3360" s="556"/>
      <c r="P3360" s="573"/>
      <c r="Q3360" s="556"/>
      <c r="R3360" s="582"/>
    </row>
    <row r="3361" ht="15" customHeight="1" spans="1:18">
      <c r="A3361" s="556"/>
      <c r="B3361" s="557"/>
      <c r="C3361" s="100" t="s">
        <v>2893</v>
      </c>
      <c r="D3361" s="99" t="s">
        <v>4089</v>
      </c>
      <c r="E3361" s="100" t="s">
        <v>149</v>
      </c>
      <c r="F3361" s="100" t="s">
        <v>4090</v>
      </c>
      <c r="G3361" s="100" t="s">
        <v>2961</v>
      </c>
      <c r="H3361" s="100"/>
      <c r="I3361" s="101" t="s">
        <v>3084</v>
      </c>
      <c r="J3361" s="580">
        <v>1.309</v>
      </c>
      <c r="K3361" s="580">
        <v>0</v>
      </c>
      <c r="L3361" s="102">
        <v>4.77</v>
      </c>
      <c r="M3361" s="102">
        <v>6.24</v>
      </c>
      <c r="N3361" s="573"/>
      <c r="O3361" s="556"/>
      <c r="P3361" s="573"/>
      <c r="Q3361" s="556"/>
      <c r="R3361" s="582"/>
    </row>
    <row r="3362" ht="23.85" customHeight="1" spans="1:18">
      <c r="A3362" s="556"/>
      <c r="B3362" s="557" t="str">
        <f>C3361</f>
        <v>Insumo</v>
      </c>
      <c r="C3362" s="100" t="s">
        <v>2893</v>
      </c>
      <c r="D3362" s="99" t="s">
        <v>3338</v>
      </c>
      <c r="E3362" s="100" t="s">
        <v>139</v>
      </c>
      <c r="F3362" s="100" t="s">
        <v>3339</v>
      </c>
      <c r="G3362" s="100" t="s">
        <v>2961</v>
      </c>
      <c r="H3362" s="100"/>
      <c r="I3362" s="101" t="s">
        <v>204</v>
      </c>
      <c r="J3362" s="580">
        <v>1.066</v>
      </c>
      <c r="K3362" s="580">
        <v>0</v>
      </c>
      <c r="L3362" s="102">
        <v>14.58</v>
      </c>
      <c r="M3362" s="102">
        <v>15.54</v>
      </c>
      <c r="N3362" s="573">
        <v>362384.77</v>
      </c>
      <c r="O3362" s="556" t="str">
        <f>IF(N3362=M3362,"OK","DIF")</f>
        <v>DIF</v>
      </c>
      <c r="P3362" s="573"/>
      <c r="Q3362" s="556"/>
      <c r="R3362" s="582"/>
    </row>
    <row r="3363" ht="15" customHeight="1" spans="1:18">
      <c r="A3363" s="556" t="str">
        <f>B3363</f>
        <v>Insumo</v>
      </c>
      <c r="B3363" s="557" t="str">
        <f>B3362</f>
        <v>Insumo</v>
      </c>
      <c r="C3363" s="100" t="s">
        <v>2893</v>
      </c>
      <c r="D3363" s="99" t="s">
        <v>4091</v>
      </c>
      <c r="E3363" s="100" t="s">
        <v>149</v>
      </c>
      <c r="F3363" s="100" t="s">
        <v>4092</v>
      </c>
      <c r="G3363" s="100" t="s">
        <v>2961</v>
      </c>
      <c r="H3363" s="100"/>
      <c r="I3363" s="101" t="s">
        <v>279</v>
      </c>
      <c r="J3363" s="580">
        <v>0.148</v>
      </c>
      <c r="K3363" s="580">
        <v>0</v>
      </c>
      <c r="L3363" s="102">
        <v>87.5</v>
      </c>
      <c r="M3363" s="102">
        <v>12.95</v>
      </c>
      <c r="N3363" s="573">
        <v>362384.77</v>
      </c>
      <c r="O3363" s="556" t="str">
        <f>IF(N3363=M3363,"OK","DIF")</f>
        <v>DIF</v>
      </c>
      <c r="P3363" s="573"/>
      <c r="Q3363" s="556"/>
      <c r="R3363" s="582"/>
    </row>
    <row r="3364" ht="23.85" customHeight="1" spans="1:18">
      <c r="A3364" s="556"/>
      <c r="B3364" s="557"/>
      <c r="C3364" s="100" t="s">
        <v>2893</v>
      </c>
      <c r="D3364" s="99" t="s">
        <v>2964</v>
      </c>
      <c r="E3364" s="100" t="s">
        <v>139</v>
      </c>
      <c r="F3364" s="100" t="s">
        <v>2965</v>
      </c>
      <c r="G3364" s="100" t="s">
        <v>2961</v>
      </c>
      <c r="H3364" s="100"/>
      <c r="I3364" s="101" t="s">
        <v>204</v>
      </c>
      <c r="J3364" s="580">
        <v>0.533</v>
      </c>
      <c r="K3364" s="580">
        <v>0</v>
      </c>
      <c r="L3364" s="102">
        <v>4.46</v>
      </c>
      <c r="M3364" s="102">
        <v>2.37</v>
      </c>
      <c r="N3364" s="573"/>
      <c r="O3364" s="556"/>
      <c r="P3364" s="573"/>
      <c r="Q3364" s="556"/>
      <c r="R3364" s="582"/>
    </row>
    <row r="3365" ht="15" customHeight="1" spans="1:18">
      <c r="A3365" s="556"/>
      <c r="B3365" s="557"/>
      <c r="C3365" s="100" t="s">
        <v>2893</v>
      </c>
      <c r="D3365" s="99" t="s">
        <v>4093</v>
      </c>
      <c r="E3365" s="100" t="s">
        <v>139</v>
      </c>
      <c r="F3365" s="100" t="s">
        <v>4094</v>
      </c>
      <c r="G3365" s="100" t="s">
        <v>2961</v>
      </c>
      <c r="H3365" s="100"/>
      <c r="I3365" s="101" t="s">
        <v>393</v>
      </c>
      <c r="J3365" s="580">
        <v>2.016</v>
      </c>
      <c r="K3365" s="580">
        <v>0</v>
      </c>
      <c r="L3365" s="102">
        <v>9.01</v>
      </c>
      <c r="M3365" s="102">
        <v>18.16</v>
      </c>
      <c r="N3365" s="573"/>
      <c r="O3365" s="556"/>
      <c r="P3365" s="573"/>
      <c r="Q3365" s="556"/>
      <c r="R3365" s="582"/>
    </row>
    <row r="3366" ht="15" customHeight="1" spans="1:18">
      <c r="A3366" s="556"/>
      <c r="B3366" s="557" t="str">
        <f>C3365</f>
        <v>Insumo</v>
      </c>
      <c r="C3366" s="100" t="s">
        <v>2893</v>
      </c>
      <c r="D3366" s="99" t="s">
        <v>4095</v>
      </c>
      <c r="E3366" s="100" t="s">
        <v>149</v>
      </c>
      <c r="F3366" s="100" t="s">
        <v>4096</v>
      </c>
      <c r="G3366" s="100" t="s">
        <v>2961</v>
      </c>
      <c r="H3366" s="100"/>
      <c r="I3366" s="101" t="s">
        <v>393</v>
      </c>
      <c r="J3366" s="580">
        <v>4.675</v>
      </c>
      <c r="K3366" s="580">
        <v>0</v>
      </c>
      <c r="L3366" s="102">
        <v>1.53</v>
      </c>
      <c r="M3366" s="102">
        <v>7.15</v>
      </c>
      <c r="N3366" s="573">
        <v>2625.96</v>
      </c>
      <c r="O3366" s="556" t="str">
        <f>IF(N3366=M3366,"OK","DIF")</f>
        <v>DIF</v>
      </c>
      <c r="P3366" s="573"/>
      <c r="Q3366" s="556"/>
      <c r="R3366" s="582"/>
    </row>
    <row r="3367" ht="23.85" customHeight="1" spans="1:18">
      <c r="A3367" s="556" t="str">
        <f>B3367</f>
        <v>Insumo</v>
      </c>
      <c r="B3367" s="557" t="str">
        <f>B3366</f>
        <v>Insumo</v>
      </c>
      <c r="C3367" s="100" t="s">
        <v>2893</v>
      </c>
      <c r="D3367" s="99" t="s">
        <v>3342</v>
      </c>
      <c r="E3367" s="100" t="s">
        <v>139</v>
      </c>
      <c r="F3367" s="100" t="s">
        <v>3343</v>
      </c>
      <c r="G3367" s="100" t="s">
        <v>2961</v>
      </c>
      <c r="H3367" s="100"/>
      <c r="I3367" s="101" t="s">
        <v>3084</v>
      </c>
      <c r="J3367" s="580">
        <v>0.426</v>
      </c>
      <c r="K3367" s="580">
        <v>0</v>
      </c>
      <c r="L3367" s="102">
        <v>7.97</v>
      </c>
      <c r="M3367" s="102">
        <v>3.39</v>
      </c>
      <c r="N3367" s="573">
        <v>132.28</v>
      </c>
      <c r="O3367" s="556" t="str">
        <f>IF(N3367=M3367,"OK","DIF")</f>
        <v>DIF</v>
      </c>
      <c r="P3367" s="573"/>
      <c r="Q3367" s="556"/>
      <c r="R3367" s="582"/>
    </row>
    <row r="3368" ht="23.85" customHeight="1" spans="1:18">
      <c r="A3368" s="556" t="str">
        <f>B3368</f>
        <v>Insumo</v>
      </c>
      <c r="B3368" s="557" t="str">
        <f>B3367</f>
        <v>Insumo</v>
      </c>
      <c r="C3368" s="100" t="s">
        <v>2893</v>
      </c>
      <c r="D3368" s="99" t="s">
        <v>3318</v>
      </c>
      <c r="E3368" s="100" t="s">
        <v>139</v>
      </c>
      <c r="F3368" s="100" t="s">
        <v>3319</v>
      </c>
      <c r="G3368" s="100" t="s">
        <v>2961</v>
      </c>
      <c r="H3368" s="100"/>
      <c r="I3368" s="101" t="s">
        <v>393</v>
      </c>
      <c r="J3368" s="580">
        <v>0.037</v>
      </c>
      <c r="K3368" s="580">
        <v>0</v>
      </c>
      <c r="L3368" s="102">
        <v>22</v>
      </c>
      <c r="M3368" s="102">
        <v>0.81</v>
      </c>
      <c r="N3368" s="573">
        <v>2352.96</v>
      </c>
      <c r="O3368" s="556" t="str">
        <f>IF(N3368=M3368,"OK","DIF")</f>
        <v>DIF</v>
      </c>
      <c r="P3368" s="573"/>
      <c r="Q3368" s="556"/>
      <c r="R3368" s="582"/>
    </row>
    <row r="3369" ht="15" customHeight="1" spans="1:18">
      <c r="A3369" s="556" t="str">
        <f>B3369</f>
        <v>Insumo</v>
      </c>
      <c r="B3369" s="557" t="str">
        <f>B3368</f>
        <v>Insumo</v>
      </c>
      <c r="C3369" s="100" t="s">
        <v>2893</v>
      </c>
      <c r="D3369" s="99" t="s">
        <v>4097</v>
      </c>
      <c r="E3369" s="100" t="s">
        <v>139</v>
      </c>
      <c r="F3369" s="100" t="s">
        <v>4098</v>
      </c>
      <c r="G3369" s="100" t="s">
        <v>2961</v>
      </c>
      <c r="H3369" s="100"/>
      <c r="I3369" s="101" t="s">
        <v>393</v>
      </c>
      <c r="J3369" s="580">
        <v>41.258</v>
      </c>
      <c r="K3369" s="580">
        <v>0</v>
      </c>
      <c r="L3369" s="102">
        <v>0.57</v>
      </c>
      <c r="M3369" s="102">
        <v>23.51</v>
      </c>
      <c r="N3369" s="573">
        <v>109.2</v>
      </c>
      <c r="O3369" s="556" t="str">
        <f>IF(N3369=M3369,"OK","DIF")</f>
        <v>DIF</v>
      </c>
      <c r="P3369" s="573"/>
      <c r="Q3369" s="556"/>
      <c r="R3369" s="582"/>
    </row>
    <row r="3370" ht="15" customHeight="1" spans="1:18">
      <c r="A3370" s="556" t="str">
        <f>B3370</f>
        <v>Insumo</v>
      </c>
      <c r="B3370" s="557" t="str">
        <f>B3369</f>
        <v>Insumo</v>
      </c>
      <c r="C3370" s="100" t="s">
        <v>2893</v>
      </c>
      <c r="D3370" s="99" t="s">
        <v>4099</v>
      </c>
      <c r="E3370" s="100" t="s">
        <v>149</v>
      </c>
      <c r="F3370" s="100" t="s">
        <v>4100</v>
      </c>
      <c r="G3370" s="100" t="s">
        <v>2961</v>
      </c>
      <c r="H3370" s="100"/>
      <c r="I3370" s="101" t="s">
        <v>279</v>
      </c>
      <c r="J3370" s="580">
        <v>0.039</v>
      </c>
      <c r="K3370" s="580">
        <v>0</v>
      </c>
      <c r="L3370" s="102">
        <v>102.18</v>
      </c>
      <c r="M3370" s="102">
        <v>3.98</v>
      </c>
      <c r="N3370" s="573">
        <v>31.52</v>
      </c>
      <c r="O3370" s="556" t="str">
        <f>IF(N3370=M3370,"OK","DIF")</f>
        <v>DIF</v>
      </c>
      <c r="P3370" s="573"/>
      <c r="Q3370" s="556"/>
      <c r="R3370" s="582"/>
    </row>
    <row r="3371" ht="15" customHeight="1" spans="1:18">
      <c r="A3371" s="556"/>
      <c r="B3371" s="557"/>
      <c r="C3371" s="100" t="s">
        <v>2893</v>
      </c>
      <c r="D3371" s="99" t="s">
        <v>3011</v>
      </c>
      <c r="E3371" s="100" t="s">
        <v>139</v>
      </c>
      <c r="F3371" s="100" t="s">
        <v>3012</v>
      </c>
      <c r="G3371" s="100" t="s">
        <v>2961</v>
      </c>
      <c r="H3371" s="100"/>
      <c r="I3371" s="101" t="s">
        <v>393</v>
      </c>
      <c r="J3371" s="580">
        <v>0.16</v>
      </c>
      <c r="K3371" s="580">
        <v>0</v>
      </c>
      <c r="L3371" s="102">
        <v>18.07</v>
      </c>
      <c r="M3371" s="102">
        <v>2.89</v>
      </c>
      <c r="N3371" s="573"/>
      <c r="O3371" s="556"/>
      <c r="P3371" s="573"/>
      <c r="Q3371" s="556"/>
      <c r="R3371" s="582"/>
    </row>
    <row r="3372" ht="23.85" customHeight="1" spans="1:18">
      <c r="A3372" s="556"/>
      <c r="B3372" s="557"/>
      <c r="C3372" s="100" t="s">
        <v>2893</v>
      </c>
      <c r="D3372" s="99" t="s">
        <v>4101</v>
      </c>
      <c r="E3372" s="100" t="s">
        <v>139</v>
      </c>
      <c r="F3372" s="100" t="s">
        <v>4102</v>
      </c>
      <c r="G3372" s="100" t="s">
        <v>2961</v>
      </c>
      <c r="H3372" s="100"/>
      <c r="I3372" s="101" t="s">
        <v>134</v>
      </c>
      <c r="J3372" s="580">
        <v>37.471</v>
      </c>
      <c r="K3372" s="580">
        <v>0</v>
      </c>
      <c r="L3372" s="102">
        <v>2.65</v>
      </c>
      <c r="M3372" s="102">
        <v>99.29</v>
      </c>
      <c r="N3372" s="573"/>
      <c r="O3372" s="556"/>
      <c r="P3372" s="573"/>
      <c r="Q3372" s="556"/>
      <c r="R3372" s="582"/>
    </row>
    <row r="3373" ht="15" customHeight="1" spans="1:18">
      <c r="A3373" s="556"/>
      <c r="B3373" s="557" t="str">
        <f>C3372</f>
        <v>Insumo</v>
      </c>
      <c r="C3373" s="100" t="s">
        <v>2893</v>
      </c>
      <c r="D3373" s="99" t="s">
        <v>4103</v>
      </c>
      <c r="E3373" s="100" t="s">
        <v>149</v>
      </c>
      <c r="F3373" s="100" t="s">
        <v>4104</v>
      </c>
      <c r="G3373" s="100" t="s">
        <v>2961</v>
      </c>
      <c r="H3373" s="100"/>
      <c r="I3373" s="101" t="s">
        <v>279</v>
      </c>
      <c r="J3373" s="580">
        <v>0.018</v>
      </c>
      <c r="K3373" s="580">
        <v>0</v>
      </c>
      <c r="L3373" s="102">
        <v>108.18</v>
      </c>
      <c r="M3373" s="102">
        <v>1.94</v>
      </c>
      <c r="N3373" s="573">
        <v>623.7</v>
      </c>
      <c r="O3373" s="556" t="str">
        <f>IF(N3373=M3373,"OK","DIF")</f>
        <v>DIF</v>
      </c>
      <c r="P3373" s="573"/>
      <c r="Q3373" s="556"/>
      <c r="R3373" s="582"/>
    </row>
    <row r="3374" ht="25.5" spans="1:18">
      <c r="A3374" s="556" t="str">
        <f>B3374</f>
        <v>Insumo</v>
      </c>
      <c r="B3374" s="557" t="str">
        <f>B3373</f>
        <v>Insumo</v>
      </c>
      <c r="C3374" s="108"/>
      <c r="D3374" s="108"/>
      <c r="E3374" s="108"/>
      <c r="F3374" s="108"/>
      <c r="G3374" s="108"/>
      <c r="H3374" s="108" t="s">
        <v>2898</v>
      </c>
      <c r="I3374" s="581">
        <v>527.35</v>
      </c>
      <c r="J3374" s="108" t="s">
        <v>2899</v>
      </c>
      <c r="K3374" s="581">
        <v>0</v>
      </c>
      <c r="L3374" s="108" t="s">
        <v>2900</v>
      </c>
      <c r="M3374" s="581">
        <v>527.35</v>
      </c>
      <c r="N3374" s="573">
        <v>623.7</v>
      </c>
      <c r="O3374" s="556" t="str">
        <f>IF(N3374=M3374,"OK","DIF")</f>
        <v>DIF</v>
      </c>
      <c r="P3374" s="573"/>
      <c r="Q3374" s="556"/>
      <c r="R3374" s="582"/>
    </row>
    <row r="3375" ht="26.25" spans="1:18">
      <c r="A3375" s="556"/>
      <c r="B3375" s="557"/>
      <c r="C3375" s="108"/>
      <c r="D3375" s="108"/>
      <c r="E3375" s="108"/>
      <c r="F3375" s="108"/>
      <c r="G3375" s="108"/>
      <c r="H3375" s="108" t="s">
        <v>2901</v>
      </c>
      <c r="I3375" s="581">
        <v>247.4</v>
      </c>
      <c r="J3375" s="114"/>
      <c r="K3375" s="114" t="s">
        <v>2902</v>
      </c>
      <c r="L3375" s="108"/>
      <c r="M3375" s="581">
        <v>1218.01</v>
      </c>
      <c r="N3375" s="573"/>
      <c r="O3375" s="556"/>
      <c r="P3375" s="573"/>
      <c r="Q3375" s="556"/>
      <c r="R3375" s="582"/>
    </row>
    <row r="3376" ht="15" spans="1:18">
      <c r="A3376" s="556"/>
      <c r="B3376" s="557"/>
      <c r="C3376" s="571"/>
      <c r="D3376" s="571"/>
      <c r="E3376" s="571"/>
      <c r="F3376" s="571"/>
      <c r="G3376" s="571"/>
      <c r="H3376" s="571"/>
      <c r="I3376" s="571"/>
      <c r="J3376" s="571"/>
      <c r="K3376" s="571"/>
      <c r="L3376" s="571"/>
      <c r="M3376" s="571"/>
      <c r="N3376" s="573"/>
      <c r="O3376" s="556"/>
      <c r="P3376" s="573"/>
      <c r="Q3376" s="556"/>
      <c r="R3376" s="582"/>
    </row>
    <row r="3377" ht="15" customHeight="1" spans="1:18">
      <c r="A3377" s="556"/>
      <c r="B3377" s="557">
        <f>C3376</f>
        <v>0</v>
      </c>
      <c r="C3377" s="76" t="s">
        <v>1165</v>
      </c>
      <c r="D3377" s="75" t="s">
        <v>63</v>
      </c>
      <c r="E3377" s="76" t="s">
        <v>64</v>
      </c>
      <c r="F3377" s="76" t="s">
        <v>65</v>
      </c>
      <c r="G3377" s="76" t="s">
        <v>2889</v>
      </c>
      <c r="H3377" s="76"/>
      <c r="I3377" s="77" t="s">
        <v>66</v>
      </c>
      <c r="J3377" s="75" t="s">
        <v>67</v>
      </c>
      <c r="K3377" s="75" t="s">
        <v>2890</v>
      </c>
      <c r="L3377" s="75" t="s">
        <v>68</v>
      </c>
      <c r="M3377" s="75" t="s">
        <v>70</v>
      </c>
      <c r="N3377" s="573">
        <v>584.47</v>
      </c>
      <c r="O3377" s="556" t="str">
        <f t="shared" ref="O3377:O3382" si="272">IF(N3377=M3377,"OK","DIF")</f>
        <v>DIF</v>
      </c>
      <c r="P3377" s="573"/>
      <c r="Q3377" s="556"/>
      <c r="R3377" s="582"/>
    </row>
    <row r="3378" ht="35.05" customHeight="1" spans="1:18">
      <c r="A3378" s="556">
        <f>B3378</f>
        <v>0</v>
      </c>
      <c r="B3378" s="557">
        <f>B3377</f>
        <v>0</v>
      </c>
      <c r="C3378" s="569" t="s">
        <v>2891</v>
      </c>
      <c r="D3378" s="570" t="s">
        <v>1166</v>
      </c>
      <c r="E3378" s="569" t="s">
        <v>132</v>
      </c>
      <c r="F3378" s="569" t="s">
        <v>1167</v>
      </c>
      <c r="G3378" s="569" t="s">
        <v>3774</v>
      </c>
      <c r="H3378" s="569"/>
      <c r="I3378" s="577" t="s">
        <v>334</v>
      </c>
      <c r="J3378" s="578">
        <v>1</v>
      </c>
      <c r="K3378" s="579"/>
      <c r="L3378" s="579">
        <v>2240.33</v>
      </c>
      <c r="M3378" s="579">
        <v>2240.33</v>
      </c>
      <c r="N3378" s="573">
        <v>144.2</v>
      </c>
      <c r="O3378" s="556" t="str">
        <f t="shared" si="272"/>
        <v>DIF</v>
      </c>
      <c r="P3378" s="573"/>
      <c r="Q3378" s="556"/>
      <c r="R3378" s="582"/>
    </row>
    <row r="3379" ht="35.05" customHeight="1" spans="1:18">
      <c r="A3379" s="556">
        <f>B3379</f>
        <v>0</v>
      </c>
      <c r="B3379" s="557">
        <f>B3378</f>
        <v>0</v>
      </c>
      <c r="C3379" s="79" t="s">
        <v>2921</v>
      </c>
      <c r="D3379" s="78" t="s">
        <v>4105</v>
      </c>
      <c r="E3379" s="79" t="s">
        <v>796</v>
      </c>
      <c r="F3379" s="79" t="s">
        <v>4106</v>
      </c>
      <c r="G3379" s="79" t="s">
        <v>4107</v>
      </c>
      <c r="H3379" s="79"/>
      <c r="I3379" s="80" t="s">
        <v>141</v>
      </c>
      <c r="J3379" s="583">
        <v>9</v>
      </c>
      <c r="K3379" s="583">
        <v>0</v>
      </c>
      <c r="L3379" s="92">
        <v>11.89</v>
      </c>
      <c r="M3379" s="92">
        <v>107.01</v>
      </c>
      <c r="N3379" s="573">
        <v>69.52</v>
      </c>
      <c r="O3379" s="556" t="str">
        <f t="shared" si="272"/>
        <v>DIF</v>
      </c>
      <c r="P3379" s="573"/>
      <c r="Q3379" s="556"/>
      <c r="R3379" s="582"/>
    </row>
    <row r="3380" ht="46.25" customHeight="1" spans="1:18">
      <c r="A3380" s="556">
        <f>B3380</f>
        <v>0</v>
      </c>
      <c r="B3380" s="557">
        <f>B3379</f>
        <v>0</v>
      </c>
      <c r="C3380" s="79" t="s">
        <v>2921</v>
      </c>
      <c r="D3380" s="78" t="s">
        <v>4108</v>
      </c>
      <c r="E3380" s="79" t="s">
        <v>796</v>
      </c>
      <c r="F3380" s="79" t="s">
        <v>4109</v>
      </c>
      <c r="G3380" s="79" t="s">
        <v>4110</v>
      </c>
      <c r="H3380" s="79"/>
      <c r="I3380" s="80" t="s">
        <v>141</v>
      </c>
      <c r="J3380" s="583">
        <v>9</v>
      </c>
      <c r="K3380" s="583">
        <v>0</v>
      </c>
      <c r="L3380" s="92">
        <v>169.39</v>
      </c>
      <c r="M3380" s="92">
        <v>1524.51</v>
      </c>
      <c r="N3380" s="573">
        <v>61.32</v>
      </c>
      <c r="O3380" s="556" t="str">
        <f t="shared" si="272"/>
        <v>DIF</v>
      </c>
      <c r="P3380" s="573"/>
      <c r="Q3380" s="556"/>
      <c r="R3380" s="582"/>
    </row>
    <row r="3381" ht="23.85" customHeight="1" spans="1:18">
      <c r="A3381" s="556">
        <f>B3381</f>
        <v>0</v>
      </c>
      <c r="B3381" s="557">
        <f>B3380</f>
        <v>0</v>
      </c>
      <c r="C3381" s="79" t="s">
        <v>2921</v>
      </c>
      <c r="D3381" s="78" t="s">
        <v>4111</v>
      </c>
      <c r="E3381" s="79" t="s">
        <v>796</v>
      </c>
      <c r="F3381" s="79" t="s">
        <v>4112</v>
      </c>
      <c r="G3381" s="79" t="s">
        <v>4113</v>
      </c>
      <c r="H3381" s="79"/>
      <c r="I3381" s="80" t="s">
        <v>141</v>
      </c>
      <c r="J3381" s="583">
        <v>9</v>
      </c>
      <c r="K3381" s="583">
        <v>0</v>
      </c>
      <c r="L3381" s="92">
        <v>48.9</v>
      </c>
      <c r="M3381" s="92">
        <v>440.1</v>
      </c>
      <c r="N3381" s="573">
        <v>214.65</v>
      </c>
      <c r="O3381" s="556" t="str">
        <f t="shared" si="272"/>
        <v>DIF</v>
      </c>
      <c r="P3381" s="573"/>
      <c r="Q3381" s="556"/>
      <c r="R3381" s="582"/>
    </row>
    <row r="3382" ht="35.05" customHeight="1" spans="1:18">
      <c r="A3382" s="556">
        <f>B3382</f>
        <v>0</v>
      </c>
      <c r="B3382" s="557">
        <f>B3381</f>
        <v>0</v>
      </c>
      <c r="C3382" s="79" t="s">
        <v>2921</v>
      </c>
      <c r="D3382" s="78" t="s">
        <v>4114</v>
      </c>
      <c r="E3382" s="79" t="s">
        <v>796</v>
      </c>
      <c r="F3382" s="79" t="s">
        <v>4115</v>
      </c>
      <c r="G3382" s="79" t="s">
        <v>4116</v>
      </c>
      <c r="H3382" s="79"/>
      <c r="I3382" s="80" t="s">
        <v>279</v>
      </c>
      <c r="J3382" s="583">
        <v>0.472</v>
      </c>
      <c r="K3382" s="583">
        <v>0</v>
      </c>
      <c r="L3382" s="92">
        <v>357.45</v>
      </c>
      <c r="M3382" s="92">
        <v>168.71</v>
      </c>
      <c r="N3382" s="573">
        <v>94.78</v>
      </c>
      <c r="O3382" s="556" t="str">
        <f t="shared" si="272"/>
        <v>DIF</v>
      </c>
      <c r="P3382" s="573"/>
      <c r="Q3382" s="556"/>
      <c r="R3382" s="582"/>
    </row>
    <row r="3383" ht="25.5" spans="1:18">
      <c r="A3383" s="556"/>
      <c r="B3383" s="557"/>
      <c r="C3383" s="108"/>
      <c r="D3383" s="108"/>
      <c r="E3383" s="108"/>
      <c r="F3383" s="108"/>
      <c r="G3383" s="108"/>
      <c r="H3383" s="108" t="s">
        <v>2898</v>
      </c>
      <c r="I3383" s="581">
        <v>1233.99</v>
      </c>
      <c r="J3383" s="108" t="s">
        <v>2899</v>
      </c>
      <c r="K3383" s="581">
        <v>0</v>
      </c>
      <c r="L3383" s="108" t="s">
        <v>2900</v>
      </c>
      <c r="M3383" s="581">
        <v>1233.99</v>
      </c>
      <c r="N3383" s="573"/>
      <c r="O3383" s="556"/>
      <c r="P3383" s="573"/>
      <c r="Q3383" s="556"/>
      <c r="R3383" s="582"/>
    </row>
    <row r="3384" ht="26.25" spans="1:18">
      <c r="A3384" s="556"/>
      <c r="B3384" s="557"/>
      <c r="C3384" s="108"/>
      <c r="D3384" s="108"/>
      <c r="E3384" s="108"/>
      <c r="F3384" s="108"/>
      <c r="G3384" s="108"/>
      <c r="H3384" s="108" t="s">
        <v>2901</v>
      </c>
      <c r="I3384" s="581">
        <v>571.06</v>
      </c>
      <c r="J3384" s="114"/>
      <c r="K3384" s="114" t="s">
        <v>2902</v>
      </c>
      <c r="L3384" s="108"/>
      <c r="M3384" s="581">
        <v>2811.39</v>
      </c>
      <c r="N3384" s="573"/>
      <c r="O3384" s="556"/>
      <c r="P3384" s="573"/>
      <c r="Q3384" s="556"/>
      <c r="R3384" s="582"/>
    </row>
    <row r="3385" ht="15" spans="1:18">
      <c r="A3385" s="556"/>
      <c r="B3385" s="557">
        <f>C3384</f>
        <v>0</v>
      </c>
      <c r="C3385" s="571"/>
      <c r="D3385" s="571"/>
      <c r="E3385" s="571"/>
      <c r="F3385" s="571"/>
      <c r="G3385" s="571"/>
      <c r="H3385" s="571"/>
      <c r="I3385" s="571"/>
      <c r="J3385" s="571"/>
      <c r="K3385" s="571"/>
      <c r="L3385" s="571"/>
      <c r="M3385" s="571"/>
      <c r="N3385" s="573">
        <v>630.58</v>
      </c>
      <c r="O3385" s="556" t="str">
        <f>IF(N3385=M3385,"OK","DIF")</f>
        <v>DIF</v>
      </c>
      <c r="P3385" s="573"/>
      <c r="Q3385" s="556"/>
      <c r="R3385" s="582"/>
    </row>
    <row r="3386" ht="15" customHeight="1" spans="1:18">
      <c r="A3386" s="556">
        <f>B3386</f>
        <v>0</v>
      </c>
      <c r="B3386" s="557">
        <f>B3385</f>
        <v>0</v>
      </c>
      <c r="C3386" s="76" t="s">
        <v>1168</v>
      </c>
      <c r="D3386" s="75" t="s">
        <v>63</v>
      </c>
      <c r="E3386" s="76" t="s">
        <v>64</v>
      </c>
      <c r="F3386" s="76" t="s">
        <v>65</v>
      </c>
      <c r="G3386" s="76" t="s">
        <v>2889</v>
      </c>
      <c r="H3386" s="76"/>
      <c r="I3386" s="77" t="s">
        <v>66</v>
      </c>
      <c r="J3386" s="75" t="s">
        <v>67</v>
      </c>
      <c r="K3386" s="75" t="s">
        <v>2890</v>
      </c>
      <c r="L3386" s="75" t="s">
        <v>68</v>
      </c>
      <c r="M3386" s="75" t="s">
        <v>70</v>
      </c>
      <c r="N3386" s="573">
        <v>33.38</v>
      </c>
      <c r="O3386" s="556" t="str">
        <f>IF(N3386=M3386,"OK","DIF")</f>
        <v>DIF</v>
      </c>
      <c r="P3386" s="573"/>
      <c r="Q3386" s="556"/>
      <c r="R3386" s="582"/>
    </row>
    <row r="3387" ht="38.25" spans="1:18">
      <c r="A3387" s="556">
        <f>B3387</f>
        <v>0</v>
      </c>
      <c r="B3387" s="557">
        <f>B3386</f>
        <v>0</v>
      </c>
      <c r="C3387" s="569" t="s">
        <v>2891</v>
      </c>
      <c r="D3387" s="570" t="s">
        <v>1169</v>
      </c>
      <c r="E3387" s="569" t="s">
        <v>132</v>
      </c>
      <c r="F3387" s="569" t="s">
        <v>1170</v>
      </c>
      <c r="G3387" s="569">
        <v>6</v>
      </c>
      <c r="H3387" s="569"/>
      <c r="I3387" s="577" t="s">
        <v>134</v>
      </c>
      <c r="J3387" s="578">
        <v>1</v>
      </c>
      <c r="K3387" s="579"/>
      <c r="L3387" s="579">
        <v>649.25</v>
      </c>
      <c r="M3387" s="579">
        <v>649.25</v>
      </c>
      <c r="N3387" s="573">
        <v>51.9</v>
      </c>
      <c r="O3387" s="556" t="str">
        <f>IF(N3387=M3387,"OK","DIF")</f>
        <v>DIF</v>
      </c>
      <c r="P3387" s="573"/>
      <c r="Q3387" s="556"/>
      <c r="R3387" s="582"/>
    </row>
    <row r="3388" ht="23.85" customHeight="1" spans="1:18">
      <c r="A3388" s="556">
        <f>B3388</f>
        <v>0</v>
      </c>
      <c r="B3388" s="557">
        <f>B3387</f>
        <v>0</v>
      </c>
      <c r="C3388" s="79" t="s">
        <v>2921</v>
      </c>
      <c r="D3388" s="78" t="s">
        <v>3017</v>
      </c>
      <c r="E3388" s="79" t="s">
        <v>139</v>
      </c>
      <c r="F3388" s="79" t="s">
        <v>3018</v>
      </c>
      <c r="G3388" s="79" t="s">
        <v>2928</v>
      </c>
      <c r="H3388" s="79"/>
      <c r="I3388" s="80" t="s">
        <v>2897</v>
      </c>
      <c r="J3388" s="583">
        <v>2</v>
      </c>
      <c r="K3388" s="583">
        <v>0</v>
      </c>
      <c r="L3388" s="92">
        <v>36.96</v>
      </c>
      <c r="M3388" s="92">
        <v>73.92</v>
      </c>
      <c r="N3388" s="573">
        <v>545.3</v>
      </c>
      <c r="O3388" s="556" t="str">
        <f>IF(N3388=M3388,"OK","DIF")</f>
        <v>DIF</v>
      </c>
      <c r="P3388" s="573"/>
      <c r="Q3388" s="556"/>
      <c r="R3388" s="582"/>
    </row>
    <row r="3389" ht="23.85" customHeight="1" spans="1:18">
      <c r="A3389" s="556"/>
      <c r="B3389" s="557"/>
      <c r="C3389" s="79" t="s">
        <v>2921</v>
      </c>
      <c r="D3389" s="78" t="s">
        <v>2952</v>
      </c>
      <c r="E3389" s="79" t="s">
        <v>139</v>
      </c>
      <c r="F3389" s="79" t="s">
        <v>2953</v>
      </c>
      <c r="G3389" s="79" t="s">
        <v>2928</v>
      </c>
      <c r="H3389" s="79"/>
      <c r="I3389" s="80" t="s">
        <v>2897</v>
      </c>
      <c r="J3389" s="583">
        <v>2</v>
      </c>
      <c r="K3389" s="583">
        <v>0</v>
      </c>
      <c r="L3389" s="92">
        <v>29.15</v>
      </c>
      <c r="M3389" s="92">
        <v>58.3</v>
      </c>
      <c r="N3389" s="573"/>
      <c r="O3389" s="556"/>
      <c r="P3389" s="573"/>
      <c r="Q3389" s="556"/>
      <c r="R3389" s="582"/>
    </row>
    <row r="3390" ht="25.5" spans="1:18">
      <c r="A3390" s="556"/>
      <c r="B3390" s="557"/>
      <c r="C3390" s="79" t="s">
        <v>2921</v>
      </c>
      <c r="D3390" s="78" t="s">
        <v>3881</v>
      </c>
      <c r="E3390" s="79" t="s">
        <v>77</v>
      </c>
      <c r="F3390" s="79" t="s">
        <v>3882</v>
      </c>
      <c r="G3390" s="79">
        <v>7</v>
      </c>
      <c r="H3390" s="79"/>
      <c r="I3390" s="80" t="s">
        <v>279</v>
      </c>
      <c r="J3390" s="583">
        <v>0.005</v>
      </c>
      <c r="K3390" s="583">
        <v>0</v>
      </c>
      <c r="L3390" s="92">
        <v>446.79</v>
      </c>
      <c r="M3390" s="92">
        <v>2.23</v>
      </c>
      <c r="N3390" s="573"/>
      <c r="O3390" s="556"/>
      <c r="P3390" s="573"/>
      <c r="Q3390" s="556"/>
      <c r="R3390" s="582"/>
    </row>
    <row r="3391" ht="23.85" customHeight="1" spans="1:18">
      <c r="A3391" s="556"/>
      <c r="B3391" s="557" t="str">
        <f>C3390</f>
        <v>Composição Auxiliar</v>
      </c>
      <c r="C3391" s="100" t="s">
        <v>2893</v>
      </c>
      <c r="D3391" s="99" t="s">
        <v>4117</v>
      </c>
      <c r="E3391" s="100" t="s">
        <v>77</v>
      </c>
      <c r="F3391" s="100" t="s">
        <v>4118</v>
      </c>
      <c r="G3391" s="100" t="s">
        <v>2961</v>
      </c>
      <c r="H3391" s="100"/>
      <c r="I3391" s="101" t="s">
        <v>134</v>
      </c>
      <c r="J3391" s="580">
        <v>1</v>
      </c>
      <c r="K3391" s="580">
        <v>0</v>
      </c>
      <c r="L3391" s="102">
        <v>514.8</v>
      </c>
      <c r="M3391" s="102">
        <v>514.8</v>
      </c>
      <c r="N3391" s="573">
        <v>643.27</v>
      </c>
      <c r="O3391" s="556" t="str">
        <f t="shared" ref="O3391:O3415" si="273">IF(N3391=M3391,"OK","DIF")</f>
        <v>DIF</v>
      </c>
      <c r="P3391" s="573"/>
      <c r="Q3391" s="556"/>
      <c r="R3391" s="582"/>
    </row>
    <row r="3392" ht="25.5" spans="1:18">
      <c r="A3392" s="556" t="str">
        <f t="shared" ref="A3392:A3415" si="274">B3392</f>
        <v>Composição Auxiliar</v>
      </c>
      <c r="B3392" s="557" t="str">
        <f t="shared" ref="B3392:B3415" si="275">B3391</f>
        <v>Composição Auxiliar</v>
      </c>
      <c r="C3392" s="108"/>
      <c r="D3392" s="108"/>
      <c r="E3392" s="108"/>
      <c r="F3392" s="108"/>
      <c r="G3392" s="108"/>
      <c r="H3392" s="108" t="s">
        <v>2898</v>
      </c>
      <c r="I3392" s="581">
        <v>92.68</v>
      </c>
      <c r="J3392" s="108" t="s">
        <v>2899</v>
      </c>
      <c r="K3392" s="581">
        <v>0</v>
      </c>
      <c r="L3392" s="108" t="s">
        <v>2900</v>
      </c>
      <c r="M3392" s="581">
        <v>92.68</v>
      </c>
      <c r="N3392" s="573">
        <v>32.35</v>
      </c>
      <c r="O3392" s="556" t="str">
        <f t="shared" si="273"/>
        <v>DIF</v>
      </c>
      <c r="P3392" s="573"/>
      <c r="Q3392" s="556"/>
      <c r="R3392" s="582"/>
    </row>
    <row r="3393" ht="26.25" spans="1:18">
      <c r="A3393" s="556" t="str">
        <f t="shared" si="274"/>
        <v>Composição Auxiliar</v>
      </c>
      <c r="B3393" s="557" t="str">
        <f t="shared" si="275"/>
        <v>Composição Auxiliar</v>
      </c>
      <c r="C3393" s="108"/>
      <c r="D3393" s="108"/>
      <c r="E3393" s="108"/>
      <c r="F3393" s="108"/>
      <c r="G3393" s="108"/>
      <c r="H3393" s="108" t="s">
        <v>2901</v>
      </c>
      <c r="I3393" s="581">
        <v>165.49</v>
      </c>
      <c r="J3393" s="114"/>
      <c r="K3393" s="114" t="s">
        <v>2902</v>
      </c>
      <c r="L3393" s="108"/>
      <c r="M3393" s="581">
        <v>814.74</v>
      </c>
      <c r="N3393" s="573">
        <v>36.07</v>
      </c>
      <c r="O3393" s="556" t="str">
        <f t="shared" si="273"/>
        <v>DIF</v>
      </c>
      <c r="P3393" s="573"/>
      <c r="Q3393" s="556"/>
      <c r="R3393" s="582"/>
    </row>
    <row r="3394" ht="15" spans="1:18">
      <c r="A3394" s="556" t="str">
        <f t="shared" si="274"/>
        <v>Composição Auxiliar</v>
      </c>
      <c r="B3394" s="557" t="str">
        <f t="shared" si="275"/>
        <v>Composição Auxiliar</v>
      </c>
      <c r="C3394" s="571"/>
      <c r="D3394" s="571"/>
      <c r="E3394" s="571"/>
      <c r="F3394" s="571"/>
      <c r="G3394" s="571"/>
      <c r="H3394" s="571"/>
      <c r="I3394" s="571"/>
      <c r="J3394" s="571"/>
      <c r="K3394" s="571"/>
      <c r="L3394" s="571"/>
      <c r="M3394" s="571"/>
      <c r="N3394" s="573">
        <v>52.56</v>
      </c>
      <c r="O3394" s="556" t="str">
        <f t="shared" si="273"/>
        <v>DIF</v>
      </c>
      <c r="P3394" s="573"/>
      <c r="Q3394" s="556"/>
      <c r="R3394" s="582"/>
    </row>
    <row r="3395" ht="15" customHeight="1" spans="1:18">
      <c r="A3395" s="556" t="str">
        <f t="shared" si="274"/>
        <v>Composição Auxiliar</v>
      </c>
      <c r="B3395" s="557" t="str">
        <f t="shared" si="275"/>
        <v>Composição Auxiliar</v>
      </c>
      <c r="C3395" s="76" t="s">
        <v>1173</v>
      </c>
      <c r="D3395" s="75" t="s">
        <v>63</v>
      </c>
      <c r="E3395" s="76" t="s">
        <v>64</v>
      </c>
      <c r="F3395" s="76" t="s">
        <v>65</v>
      </c>
      <c r="G3395" s="76" t="s">
        <v>2889</v>
      </c>
      <c r="H3395" s="76"/>
      <c r="I3395" s="77" t="s">
        <v>66</v>
      </c>
      <c r="J3395" s="75" t="s">
        <v>67</v>
      </c>
      <c r="K3395" s="75" t="s">
        <v>2890</v>
      </c>
      <c r="L3395" s="75" t="s">
        <v>68</v>
      </c>
      <c r="M3395" s="75" t="s">
        <v>70</v>
      </c>
      <c r="N3395" s="573">
        <v>14.86</v>
      </c>
      <c r="O3395" s="556" t="str">
        <f t="shared" si="273"/>
        <v>DIF</v>
      </c>
      <c r="P3395" s="573"/>
      <c r="Q3395" s="556"/>
      <c r="R3395" s="582"/>
    </row>
    <row r="3396" ht="35.05" customHeight="1" spans="1:18">
      <c r="A3396" s="556" t="str">
        <f t="shared" si="274"/>
        <v>Composição Auxiliar</v>
      </c>
      <c r="B3396" s="557" t="str">
        <f t="shared" si="275"/>
        <v>Composição Auxiliar</v>
      </c>
      <c r="C3396" s="569" t="s">
        <v>2891</v>
      </c>
      <c r="D3396" s="570" t="s">
        <v>227</v>
      </c>
      <c r="E3396" s="569" t="s">
        <v>139</v>
      </c>
      <c r="F3396" s="569" t="s">
        <v>228</v>
      </c>
      <c r="G3396" s="569" t="s">
        <v>3150</v>
      </c>
      <c r="H3396" s="569"/>
      <c r="I3396" s="577" t="s">
        <v>204</v>
      </c>
      <c r="J3396" s="578">
        <v>1</v>
      </c>
      <c r="K3396" s="579"/>
      <c r="L3396" s="579">
        <v>4.98</v>
      </c>
      <c r="M3396" s="579">
        <v>4.98</v>
      </c>
      <c r="N3396" s="573">
        <v>50.07</v>
      </c>
      <c r="O3396" s="556" t="str">
        <f t="shared" si="273"/>
        <v>DIF</v>
      </c>
      <c r="P3396" s="573"/>
      <c r="Q3396" s="556"/>
      <c r="R3396" s="582"/>
    </row>
    <row r="3397" ht="23.85" customHeight="1" spans="1:18">
      <c r="A3397" s="556" t="str">
        <f t="shared" si="274"/>
        <v>Composição Auxiliar</v>
      </c>
      <c r="B3397" s="557" t="str">
        <f t="shared" si="275"/>
        <v>Composição Auxiliar</v>
      </c>
      <c r="C3397" s="79" t="s">
        <v>2921</v>
      </c>
      <c r="D3397" s="78" t="s">
        <v>3151</v>
      </c>
      <c r="E3397" s="79" t="s">
        <v>139</v>
      </c>
      <c r="F3397" s="79" t="s">
        <v>3152</v>
      </c>
      <c r="G3397" s="79" t="s">
        <v>2928</v>
      </c>
      <c r="H3397" s="79"/>
      <c r="I3397" s="80" t="s">
        <v>2897</v>
      </c>
      <c r="J3397" s="583">
        <v>0.029</v>
      </c>
      <c r="K3397" s="583">
        <v>0</v>
      </c>
      <c r="L3397" s="92">
        <v>36.82</v>
      </c>
      <c r="M3397" s="92">
        <v>1.06</v>
      </c>
      <c r="N3397" s="573">
        <v>30.62</v>
      </c>
      <c r="O3397" s="556" t="str">
        <f t="shared" si="273"/>
        <v>DIF</v>
      </c>
      <c r="P3397" s="573"/>
      <c r="Q3397" s="556"/>
      <c r="R3397" s="582"/>
    </row>
    <row r="3398" ht="23.85" customHeight="1" spans="1:18">
      <c r="A3398" s="556" t="str">
        <f t="shared" si="274"/>
        <v>Composição Auxiliar</v>
      </c>
      <c r="B3398" s="557" t="str">
        <f t="shared" si="275"/>
        <v>Composição Auxiliar</v>
      </c>
      <c r="C3398" s="79" t="s">
        <v>2921</v>
      </c>
      <c r="D3398" s="78" t="s">
        <v>3153</v>
      </c>
      <c r="E3398" s="79" t="s">
        <v>139</v>
      </c>
      <c r="F3398" s="79" t="s">
        <v>3154</v>
      </c>
      <c r="G3398" s="79" t="s">
        <v>2928</v>
      </c>
      <c r="H3398" s="79"/>
      <c r="I3398" s="80" t="s">
        <v>2897</v>
      </c>
      <c r="J3398" s="583">
        <v>0.029</v>
      </c>
      <c r="K3398" s="583">
        <v>0</v>
      </c>
      <c r="L3398" s="92">
        <v>30.6</v>
      </c>
      <c r="M3398" s="92">
        <v>0.88</v>
      </c>
      <c r="N3398" s="573">
        <v>156.22</v>
      </c>
      <c r="O3398" s="556" t="str">
        <f t="shared" si="273"/>
        <v>DIF</v>
      </c>
      <c r="P3398" s="573"/>
      <c r="Q3398" s="556"/>
      <c r="R3398" s="582"/>
    </row>
    <row r="3399" ht="23.85" customHeight="1" spans="1:18">
      <c r="A3399" s="556" t="str">
        <f t="shared" si="274"/>
        <v>Composição Auxiliar</v>
      </c>
      <c r="B3399" s="557" t="str">
        <f t="shared" si="275"/>
        <v>Composição Auxiliar</v>
      </c>
      <c r="C3399" s="100" t="s">
        <v>2893</v>
      </c>
      <c r="D3399" s="99" t="s">
        <v>3161</v>
      </c>
      <c r="E3399" s="100" t="s">
        <v>139</v>
      </c>
      <c r="F3399" s="100" t="s">
        <v>3162</v>
      </c>
      <c r="G3399" s="100" t="s">
        <v>2961</v>
      </c>
      <c r="H3399" s="100"/>
      <c r="I3399" s="101" t="s">
        <v>134</v>
      </c>
      <c r="J3399" s="580">
        <v>0.0094</v>
      </c>
      <c r="K3399" s="580">
        <v>0</v>
      </c>
      <c r="L3399" s="102">
        <v>10.55</v>
      </c>
      <c r="M3399" s="102">
        <v>0.09</v>
      </c>
      <c r="N3399" s="573">
        <v>7.41</v>
      </c>
      <c r="O3399" s="556" t="str">
        <f t="shared" si="273"/>
        <v>DIF</v>
      </c>
      <c r="P3399" s="573"/>
      <c r="Q3399" s="556"/>
      <c r="R3399" s="582"/>
    </row>
    <row r="3400" ht="23.85" customHeight="1" spans="1:18">
      <c r="A3400" s="556" t="str">
        <f t="shared" si="274"/>
        <v>Composição Auxiliar</v>
      </c>
      <c r="B3400" s="557" t="str">
        <f t="shared" si="275"/>
        <v>Composição Auxiliar</v>
      </c>
      <c r="C3400" s="100" t="s">
        <v>2893</v>
      </c>
      <c r="D3400" s="99" t="s">
        <v>3163</v>
      </c>
      <c r="E3400" s="100" t="s">
        <v>139</v>
      </c>
      <c r="F3400" s="100" t="s">
        <v>3164</v>
      </c>
      <c r="G3400" s="100" t="s">
        <v>2961</v>
      </c>
      <c r="H3400" s="100"/>
      <c r="I3400" s="101" t="s">
        <v>204</v>
      </c>
      <c r="J3400" s="580">
        <v>1.2434</v>
      </c>
      <c r="K3400" s="580">
        <v>0</v>
      </c>
      <c r="L3400" s="102">
        <v>2.38</v>
      </c>
      <c r="M3400" s="102">
        <v>2.95</v>
      </c>
      <c r="N3400" s="573">
        <v>19.56</v>
      </c>
      <c r="O3400" s="556" t="str">
        <f t="shared" si="273"/>
        <v>DIF</v>
      </c>
      <c r="P3400" s="573"/>
      <c r="Q3400" s="556"/>
      <c r="R3400" s="582"/>
    </row>
    <row r="3401" ht="25.5" spans="1:18">
      <c r="A3401" s="556" t="str">
        <f t="shared" si="274"/>
        <v>Composição Auxiliar</v>
      </c>
      <c r="B3401" s="557" t="str">
        <f t="shared" si="275"/>
        <v>Composição Auxiliar</v>
      </c>
      <c r="C3401" s="108"/>
      <c r="D3401" s="108"/>
      <c r="E3401" s="108"/>
      <c r="F3401" s="108"/>
      <c r="G3401" s="108"/>
      <c r="H3401" s="108" t="s">
        <v>2898</v>
      </c>
      <c r="I3401" s="581">
        <v>1.36</v>
      </c>
      <c r="J3401" s="108" t="s">
        <v>2899</v>
      </c>
      <c r="K3401" s="581">
        <v>0</v>
      </c>
      <c r="L3401" s="108" t="s">
        <v>2900</v>
      </c>
      <c r="M3401" s="581">
        <v>1.36</v>
      </c>
      <c r="N3401" s="573">
        <v>42.76</v>
      </c>
      <c r="O3401" s="556" t="str">
        <f t="shared" si="273"/>
        <v>DIF</v>
      </c>
      <c r="P3401" s="573"/>
      <c r="Q3401" s="556"/>
      <c r="R3401" s="582"/>
    </row>
    <row r="3402" ht="26.25" spans="1:18">
      <c r="A3402" s="556" t="str">
        <f t="shared" si="274"/>
        <v>Composição Auxiliar</v>
      </c>
      <c r="B3402" s="557" t="str">
        <f t="shared" si="275"/>
        <v>Composição Auxiliar</v>
      </c>
      <c r="C3402" s="108"/>
      <c r="D3402" s="108"/>
      <c r="E3402" s="108"/>
      <c r="F3402" s="108"/>
      <c r="G3402" s="108"/>
      <c r="H3402" s="108" t="s">
        <v>2901</v>
      </c>
      <c r="I3402" s="581">
        <v>1.26</v>
      </c>
      <c r="J3402" s="114"/>
      <c r="K3402" s="114" t="s">
        <v>2902</v>
      </c>
      <c r="L3402" s="108"/>
      <c r="M3402" s="581">
        <v>6.24</v>
      </c>
      <c r="N3402" s="573">
        <v>14.55</v>
      </c>
      <c r="O3402" s="556" t="str">
        <f t="shared" si="273"/>
        <v>DIF</v>
      </c>
      <c r="P3402" s="573"/>
      <c r="Q3402" s="556"/>
      <c r="R3402" s="582"/>
    </row>
    <row r="3403" ht="15" spans="1:18">
      <c r="A3403" s="556" t="str">
        <f t="shared" si="274"/>
        <v>Composição Auxiliar</v>
      </c>
      <c r="B3403" s="557" t="str">
        <f t="shared" si="275"/>
        <v>Composição Auxiliar</v>
      </c>
      <c r="C3403" s="571"/>
      <c r="D3403" s="571"/>
      <c r="E3403" s="571"/>
      <c r="F3403" s="571"/>
      <c r="G3403" s="571"/>
      <c r="H3403" s="571"/>
      <c r="I3403" s="571"/>
      <c r="J3403" s="571"/>
      <c r="K3403" s="571"/>
      <c r="L3403" s="571"/>
      <c r="M3403" s="571"/>
      <c r="N3403" s="573">
        <v>23.86</v>
      </c>
      <c r="O3403" s="556" t="str">
        <f t="shared" si="273"/>
        <v>DIF</v>
      </c>
      <c r="P3403" s="573"/>
      <c r="Q3403" s="556"/>
      <c r="R3403" s="582"/>
    </row>
    <row r="3404" ht="15" customHeight="1" spans="1:18">
      <c r="A3404" s="556" t="str">
        <f t="shared" si="274"/>
        <v>Composição Auxiliar</v>
      </c>
      <c r="B3404" s="557" t="str">
        <f t="shared" si="275"/>
        <v>Composição Auxiliar</v>
      </c>
      <c r="C3404" s="76" t="s">
        <v>1174</v>
      </c>
      <c r="D3404" s="75" t="s">
        <v>63</v>
      </c>
      <c r="E3404" s="76" t="s">
        <v>64</v>
      </c>
      <c r="F3404" s="76" t="s">
        <v>65</v>
      </c>
      <c r="G3404" s="76" t="s">
        <v>2889</v>
      </c>
      <c r="H3404" s="76"/>
      <c r="I3404" s="77" t="s">
        <v>66</v>
      </c>
      <c r="J3404" s="75" t="s">
        <v>67</v>
      </c>
      <c r="K3404" s="75" t="s">
        <v>2890</v>
      </c>
      <c r="L3404" s="75" t="s">
        <v>68</v>
      </c>
      <c r="M3404" s="75" t="s">
        <v>70</v>
      </c>
      <c r="N3404" s="573">
        <v>6.01</v>
      </c>
      <c r="O3404" s="556" t="str">
        <f t="shared" si="273"/>
        <v>DIF</v>
      </c>
      <c r="P3404" s="573"/>
      <c r="Q3404" s="556"/>
      <c r="R3404" s="582"/>
    </row>
    <row r="3405" ht="35.05" customHeight="1" spans="1:18">
      <c r="A3405" s="556" t="str">
        <f t="shared" si="274"/>
        <v>Composição Auxiliar</v>
      </c>
      <c r="B3405" s="557" t="str">
        <f t="shared" si="275"/>
        <v>Composição Auxiliar</v>
      </c>
      <c r="C3405" s="569" t="s">
        <v>2891</v>
      </c>
      <c r="D3405" s="570" t="s">
        <v>1175</v>
      </c>
      <c r="E3405" s="569" t="s">
        <v>139</v>
      </c>
      <c r="F3405" s="569" t="s">
        <v>1176</v>
      </c>
      <c r="G3405" s="569" t="s">
        <v>3150</v>
      </c>
      <c r="H3405" s="569"/>
      <c r="I3405" s="577" t="s">
        <v>204</v>
      </c>
      <c r="J3405" s="578">
        <v>1</v>
      </c>
      <c r="K3405" s="579"/>
      <c r="L3405" s="579">
        <v>7.62</v>
      </c>
      <c r="M3405" s="579">
        <v>7.62</v>
      </c>
      <c r="N3405" s="573">
        <v>9.22</v>
      </c>
      <c r="O3405" s="556" t="str">
        <f t="shared" si="273"/>
        <v>DIF</v>
      </c>
      <c r="P3405" s="573"/>
      <c r="Q3405" s="556"/>
      <c r="R3405" s="582"/>
    </row>
    <row r="3406" ht="23.85" customHeight="1" spans="1:18">
      <c r="A3406" s="556" t="str">
        <f t="shared" si="274"/>
        <v>Composição Auxiliar</v>
      </c>
      <c r="B3406" s="557" t="str">
        <f t="shared" si="275"/>
        <v>Composição Auxiliar</v>
      </c>
      <c r="C3406" s="79" t="s">
        <v>2921</v>
      </c>
      <c r="D3406" s="78" t="s">
        <v>3151</v>
      </c>
      <c r="E3406" s="79" t="s">
        <v>139</v>
      </c>
      <c r="F3406" s="79" t="s">
        <v>3152</v>
      </c>
      <c r="G3406" s="79" t="s">
        <v>2928</v>
      </c>
      <c r="H3406" s="79"/>
      <c r="I3406" s="80" t="s">
        <v>2897</v>
      </c>
      <c r="J3406" s="583">
        <v>0.039</v>
      </c>
      <c r="K3406" s="583">
        <v>0</v>
      </c>
      <c r="L3406" s="92">
        <v>36.82</v>
      </c>
      <c r="M3406" s="92">
        <v>1.43</v>
      </c>
      <c r="N3406" s="573">
        <v>11.05</v>
      </c>
      <c r="O3406" s="556" t="str">
        <f t="shared" si="273"/>
        <v>DIF</v>
      </c>
      <c r="P3406" s="573"/>
      <c r="Q3406" s="556"/>
      <c r="R3406" s="582"/>
    </row>
    <row r="3407" ht="23.85" customHeight="1" spans="1:18">
      <c r="A3407" s="556" t="str">
        <f t="shared" si="274"/>
        <v>Composição Auxiliar</v>
      </c>
      <c r="B3407" s="557" t="str">
        <f t="shared" si="275"/>
        <v>Composição Auxiliar</v>
      </c>
      <c r="C3407" s="79" t="s">
        <v>2921</v>
      </c>
      <c r="D3407" s="78" t="s">
        <v>3153</v>
      </c>
      <c r="E3407" s="79" t="s">
        <v>139</v>
      </c>
      <c r="F3407" s="79" t="s">
        <v>3154</v>
      </c>
      <c r="G3407" s="79" t="s">
        <v>2928</v>
      </c>
      <c r="H3407" s="79"/>
      <c r="I3407" s="80" t="s">
        <v>2897</v>
      </c>
      <c r="J3407" s="583">
        <v>0.039</v>
      </c>
      <c r="K3407" s="583">
        <v>0</v>
      </c>
      <c r="L3407" s="92">
        <v>30.6</v>
      </c>
      <c r="M3407" s="92">
        <v>1.19</v>
      </c>
      <c r="N3407" s="573">
        <v>1.56</v>
      </c>
      <c r="O3407" s="556" t="str">
        <f t="shared" si="273"/>
        <v>DIF</v>
      </c>
      <c r="P3407" s="573"/>
      <c r="Q3407" s="556"/>
      <c r="R3407" s="582"/>
    </row>
    <row r="3408" ht="23.85" customHeight="1" spans="1:18">
      <c r="A3408" s="556" t="str">
        <f t="shared" si="274"/>
        <v>Composição Auxiliar</v>
      </c>
      <c r="B3408" s="557" t="str">
        <f t="shared" si="275"/>
        <v>Composição Auxiliar</v>
      </c>
      <c r="C3408" s="100" t="s">
        <v>2893</v>
      </c>
      <c r="D3408" s="99" t="s">
        <v>4119</v>
      </c>
      <c r="E3408" s="100" t="s">
        <v>139</v>
      </c>
      <c r="F3408" s="100" t="s">
        <v>4120</v>
      </c>
      <c r="G3408" s="100" t="s">
        <v>2961</v>
      </c>
      <c r="H3408" s="100"/>
      <c r="I3408" s="101" t="s">
        <v>204</v>
      </c>
      <c r="J3408" s="580">
        <v>1.2434</v>
      </c>
      <c r="K3408" s="580">
        <v>0</v>
      </c>
      <c r="L3408" s="102">
        <v>3.95</v>
      </c>
      <c r="M3408" s="102">
        <v>4.91</v>
      </c>
      <c r="N3408" s="573">
        <v>9.06</v>
      </c>
      <c r="O3408" s="556" t="str">
        <f t="shared" si="273"/>
        <v>DIF</v>
      </c>
      <c r="P3408" s="573"/>
      <c r="Q3408" s="556"/>
      <c r="R3408" s="582"/>
    </row>
    <row r="3409" ht="23.85" customHeight="1" spans="1:18">
      <c r="A3409" s="556" t="str">
        <f t="shared" si="274"/>
        <v>Composição Auxiliar</v>
      </c>
      <c r="B3409" s="557" t="str">
        <f t="shared" si="275"/>
        <v>Composição Auxiliar</v>
      </c>
      <c r="C3409" s="100" t="s">
        <v>2893</v>
      </c>
      <c r="D3409" s="99" t="s">
        <v>3161</v>
      </c>
      <c r="E3409" s="100" t="s">
        <v>139</v>
      </c>
      <c r="F3409" s="100" t="s">
        <v>3162</v>
      </c>
      <c r="G3409" s="100" t="s">
        <v>2961</v>
      </c>
      <c r="H3409" s="100"/>
      <c r="I3409" s="101" t="s">
        <v>134</v>
      </c>
      <c r="J3409" s="580">
        <v>0.0094</v>
      </c>
      <c r="K3409" s="580">
        <v>0</v>
      </c>
      <c r="L3409" s="102">
        <v>10.55</v>
      </c>
      <c r="M3409" s="102">
        <v>0.09</v>
      </c>
      <c r="N3409" s="573">
        <v>5.38</v>
      </c>
      <c r="O3409" s="556" t="str">
        <f t="shared" si="273"/>
        <v>DIF</v>
      </c>
      <c r="P3409" s="573"/>
      <c r="Q3409" s="556"/>
      <c r="R3409" s="582"/>
    </row>
    <row r="3410" ht="25.5" spans="1:18">
      <c r="A3410" s="556" t="str">
        <f t="shared" si="274"/>
        <v>Composição Auxiliar</v>
      </c>
      <c r="B3410" s="557" t="str">
        <f t="shared" si="275"/>
        <v>Composição Auxiliar</v>
      </c>
      <c r="C3410" s="108"/>
      <c r="D3410" s="108"/>
      <c r="E3410" s="108"/>
      <c r="F3410" s="108"/>
      <c r="G3410" s="108"/>
      <c r="H3410" s="108" t="s">
        <v>2898</v>
      </c>
      <c r="I3410" s="581">
        <v>1.84</v>
      </c>
      <c r="J3410" s="108" t="s">
        <v>2899</v>
      </c>
      <c r="K3410" s="581">
        <v>0</v>
      </c>
      <c r="L3410" s="108" t="s">
        <v>2900</v>
      </c>
      <c r="M3410" s="581">
        <v>1.84</v>
      </c>
      <c r="N3410" s="573">
        <v>73.65</v>
      </c>
      <c r="O3410" s="556" t="str">
        <f t="shared" si="273"/>
        <v>DIF</v>
      </c>
      <c r="P3410" s="573"/>
      <c r="Q3410" s="556"/>
      <c r="R3410" s="582"/>
    </row>
    <row r="3411" ht="26.25" spans="1:18">
      <c r="A3411" s="556" t="str">
        <f t="shared" si="274"/>
        <v>Composição Auxiliar</v>
      </c>
      <c r="B3411" s="557" t="str">
        <f t="shared" si="275"/>
        <v>Composição Auxiliar</v>
      </c>
      <c r="C3411" s="108"/>
      <c r="D3411" s="108"/>
      <c r="E3411" s="108"/>
      <c r="F3411" s="108"/>
      <c r="G3411" s="108"/>
      <c r="H3411" s="108" t="s">
        <v>2901</v>
      </c>
      <c r="I3411" s="581">
        <v>1.94</v>
      </c>
      <c r="J3411" s="114"/>
      <c r="K3411" s="114" t="s">
        <v>2902</v>
      </c>
      <c r="L3411" s="108"/>
      <c r="M3411" s="581">
        <v>9.56</v>
      </c>
      <c r="N3411" s="573">
        <v>32.76</v>
      </c>
      <c r="O3411" s="556" t="str">
        <f t="shared" si="273"/>
        <v>DIF</v>
      </c>
      <c r="P3411" s="573"/>
      <c r="Q3411" s="556"/>
      <c r="R3411" s="582"/>
    </row>
    <row r="3412" ht="15" spans="1:18">
      <c r="A3412" s="556" t="str">
        <f t="shared" si="274"/>
        <v>Composição Auxiliar</v>
      </c>
      <c r="B3412" s="557" t="str">
        <f t="shared" si="275"/>
        <v>Composição Auxiliar</v>
      </c>
      <c r="C3412" s="571"/>
      <c r="D3412" s="571"/>
      <c r="E3412" s="571"/>
      <c r="F3412" s="571"/>
      <c r="G3412" s="571"/>
      <c r="H3412" s="571"/>
      <c r="I3412" s="571"/>
      <c r="J3412" s="571"/>
      <c r="K3412" s="571"/>
      <c r="L3412" s="571"/>
      <c r="M3412" s="571"/>
      <c r="N3412" s="573">
        <v>5.39</v>
      </c>
      <c r="O3412" s="556" t="str">
        <f t="shared" si="273"/>
        <v>DIF</v>
      </c>
      <c r="P3412" s="573"/>
      <c r="Q3412" s="556"/>
      <c r="R3412" s="582"/>
    </row>
    <row r="3413" ht="15" customHeight="1" spans="1:18">
      <c r="A3413" s="556" t="str">
        <f t="shared" si="274"/>
        <v>Composição Auxiliar</v>
      </c>
      <c r="B3413" s="557" t="str">
        <f t="shared" si="275"/>
        <v>Composição Auxiliar</v>
      </c>
      <c r="C3413" s="76" t="s">
        <v>1177</v>
      </c>
      <c r="D3413" s="75" t="s">
        <v>63</v>
      </c>
      <c r="E3413" s="76" t="s">
        <v>64</v>
      </c>
      <c r="F3413" s="76" t="s">
        <v>65</v>
      </c>
      <c r="G3413" s="76" t="s">
        <v>2889</v>
      </c>
      <c r="H3413" s="76"/>
      <c r="I3413" s="77" t="s">
        <v>66</v>
      </c>
      <c r="J3413" s="75" t="s">
        <v>67</v>
      </c>
      <c r="K3413" s="75" t="s">
        <v>2890</v>
      </c>
      <c r="L3413" s="75" t="s">
        <v>68</v>
      </c>
      <c r="M3413" s="75" t="s">
        <v>70</v>
      </c>
      <c r="N3413" s="573">
        <v>1.54</v>
      </c>
      <c r="O3413" s="556" t="str">
        <f t="shared" si="273"/>
        <v>DIF</v>
      </c>
      <c r="P3413" s="573"/>
      <c r="Q3413" s="556"/>
      <c r="R3413" s="582"/>
    </row>
    <row r="3414" ht="35.05" customHeight="1" spans="1:18">
      <c r="A3414" s="556" t="str">
        <f t="shared" si="274"/>
        <v>Composição Auxiliar</v>
      </c>
      <c r="B3414" s="557" t="str">
        <f t="shared" si="275"/>
        <v>Composição Auxiliar</v>
      </c>
      <c r="C3414" s="569" t="s">
        <v>2891</v>
      </c>
      <c r="D3414" s="570" t="s">
        <v>1178</v>
      </c>
      <c r="E3414" s="569" t="s">
        <v>139</v>
      </c>
      <c r="F3414" s="569" t="s">
        <v>1179</v>
      </c>
      <c r="G3414" s="569" t="s">
        <v>3150</v>
      </c>
      <c r="H3414" s="569"/>
      <c r="I3414" s="577" t="s">
        <v>204</v>
      </c>
      <c r="J3414" s="578">
        <v>1</v>
      </c>
      <c r="K3414" s="579"/>
      <c r="L3414" s="579">
        <v>10.58</v>
      </c>
      <c r="M3414" s="579">
        <v>10.58</v>
      </c>
      <c r="N3414" s="573">
        <v>3.21</v>
      </c>
      <c r="O3414" s="556" t="str">
        <f t="shared" si="273"/>
        <v>DIF</v>
      </c>
      <c r="P3414" s="573"/>
      <c r="Q3414" s="556"/>
      <c r="R3414" s="582"/>
    </row>
    <row r="3415" ht="23.85" customHeight="1" spans="1:18">
      <c r="A3415" s="556" t="str">
        <f t="shared" si="274"/>
        <v>Composição Auxiliar</v>
      </c>
      <c r="B3415" s="557" t="str">
        <f t="shared" si="275"/>
        <v>Composição Auxiliar</v>
      </c>
      <c r="C3415" s="79" t="s">
        <v>2921</v>
      </c>
      <c r="D3415" s="78" t="s">
        <v>3153</v>
      </c>
      <c r="E3415" s="79" t="s">
        <v>139</v>
      </c>
      <c r="F3415" s="79" t="s">
        <v>3154</v>
      </c>
      <c r="G3415" s="79" t="s">
        <v>2928</v>
      </c>
      <c r="H3415" s="79"/>
      <c r="I3415" s="80" t="s">
        <v>2897</v>
      </c>
      <c r="J3415" s="583">
        <v>0.051</v>
      </c>
      <c r="K3415" s="583">
        <v>0</v>
      </c>
      <c r="L3415" s="92">
        <v>30.6</v>
      </c>
      <c r="M3415" s="92">
        <v>1.56</v>
      </c>
      <c r="N3415" s="573">
        <v>3.55</v>
      </c>
      <c r="O3415" s="556" t="str">
        <f t="shared" si="273"/>
        <v>DIF</v>
      </c>
      <c r="P3415" s="573"/>
      <c r="Q3415" s="556"/>
      <c r="R3415" s="582"/>
    </row>
    <row r="3416" ht="23.85" customHeight="1" spans="1:18">
      <c r="A3416" s="556"/>
      <c r="B3416" s="557"/>
      <c r="C3416" s="79" t="s">
        <v>2921</v>
      </c>
      <c r="D3416" s="78" t="s">
        <v>3151</v>
      </c>
      <c r="E3416" s="79" t="s">
        <v>139</v>
      </c>
      <c r="F3416" s="79" t="s">
        <v>3152</v>
      </c>
      <c r="G3416" s="79" t="s">
        <v>2928</v>
      </c>
      <c r="H3416" s="79"/>
      <c r="I3416" s="80" t="s">
        <v>2897</v>
      </c>
      <c r="J3416" s="583">
        <v>0.051</v>
      </c>
      <c r="K3416" s="583">
        <v>0</v>
      </c>
      <c r="L3416" s="92">
        <v>36.82</v>
      </c>
      <c r="M3416" s="92">
        <v>1.87</v>
      </c>
      <c r="N3416" s="573"/>
      <c r="O3416" s="556"/>
      <c r="P3416" s="573"/>
      <c r="Q3416" s="556"/>
      <c r="R3416" s="582"/>
    </row>
    <row r="3417" ht="23.85" customHeight="1" spans="1:18">
      <c r="A3417" s="556"/>
      <c r="B3417" s="557"/>
      <c r="C3417" s="100" t="s">
        <v>2893</v>
      </c>
      <c r="D3417" s="99" t="s">
        <v>3161</v>
      </c>
      <c r="E3417" s="100" t="s">
        <v>139</v>
      </c>
      <c r="F3417" s="100" t="s">
        <v>3162</v>
      </c>
      <c r="G3417" s="100" t="s">
        <v>2961</v>
      </c>
      <c r="H3417" s="100"/>
      <c r="I3417" s="101" t="s">
        <v>134</v>
      </c>
      <c r="J3417" s="580">
        <v>0.0094</v>
      </c>
      <c r="K3417" s="580">
        <v>0</v>
      </c>
      <c r="L3417" s="102">
        <v>10.55</v>
      </c>
      <c r="M3417" s="102">
        <v>0.09</v>
      </c>
      <c r="N3417" s="573"/>
      <c r="O3417" s="556"/>
      <c r="P3417" s="573"/>
      <c r="Q3417" s="556"/>
      <c r="R3417" s="582"/>
    </row>
    <row r="3418" ht="23.85" customHeight="1" spans="1:18">
      <c r="A3418" s="556"/>
      <c r="B3418" s="557" t="str">
        <f>C3417</f>
        <v>Insumo</v>
      </c>
      <c r="C3418" s="100" t="s">
        <v>2893</v>
      </c>
      <c r="D3418" s="99" t="s">
        <v>4121</v>
      </c>
      <c r="E3418" s="100" t="s">
        <v>139</v>
      </c>
      <c r="F3418" s="100" t="s">
        <v>4122</v>
      </c>
      <c r="G3418" s="100" t="s">
        <v>2961</v>
      </c>
      <c r="H3418" s="100"/>
      <c r="I3418" s="101" t="s">
        <v>204</v>
      </c>
      <c r="J3418" s="580">
        <v>1.2434</v>
      </c>
      <c r="K3418" s="580">
        <v>0</v>
      </c>
      <c r="L3418" s="102">
        <v>5.68</v>
      </c>
      <c r="M3418" s="102">
        <v>7.06</v>
      </c>
      <c r="N3418" s="573">
        <v>1982.79</v>
      </c>
      <c r="O3418" s="556" t="str">
        <f>IF(N3418=M3418,"OK","DIF")</f>
        <v>DIF</v>
      </c>
      <c r="P3418" s="573"/>
      <c r="Q3418" s="556"/>
      <c r="R3418" s="582"/>
    </row>
    <row r="3419" ht="25.5" spans="1:18">
      <c r="A3419" s="556" t="str">
        <f>B3419</f>
        <v>Insumo</v>
      </c>
      <c r="B3419" s="557" t="str">
        <f>B3418</f>
        <v>Insumo</v>
      </c>
      <c r="C3419" s="108"/>
      <c r="D3419" s="108"/>
      <c r="E3419" s="108"/>
      <c r="F3419" s="108"/>
      <c r="G3419" s="108"/>
      <c r="H3419" s="108" t="s">
        <v>2898</v>
      </c>
      <c r="I3419" s="581">
        <v>2.4</v>
      </c>
      <c r="J3419" s="108" t="s">
        <v>2899</v>
      </c>
      <c r="K3419" s="581">
        <v>0</v>
      </c>
      <c r="L3419" s="108" t="s">
        <v>2900</v>
      </c>
      <c r="M3419" s="581">
        <v>2.4</v>
      </c>
      <c r="N3419" s="573">
        <v>873.6</v>
      </c>
      <c r="O3419" s="556" t="str">
        <f>IF(N3419=M3419,"OK","DIF")</f>
        <v>DIF</v>
      </c>
      <c r="P3419" s="573"/>
      <c r="Q3419" s="556"/>
      <c r="R3419" s="582"/>
    </row>
    <row r="3420" ht="26.25" spans="1:18">
      <c r="A3420" s="556" t="str">
        <f>B3420</f>
        <v>Insumo</v>
      </c>
      <c r="B3420" s="557" t="str">
        <f>B3419</f>
        <v>Insumo</v>
      </c>
      <c r="C3420" s="108"/>
      <c r="D3420" s="108"/>
      <c r="E3420" s="108"/>
      <c r="F3420" s="108"/>
      <c r="G3420" s="108"/>
      <c r="H3420" s="108" t="s">
        <v>2901</v>
      </c>
      <c r="I3420" s="581">
        <v>2.69</v>
      </c>
      <c r="J3420" s="114"/>
      <c r="K3420" s="114" t="s">
        <v>2902</v>
      </c>
      <c r="L3420" s="108"/>
      <c r="M3420" s="581">
        <v>13.27</v>
      </c>
      <c r="N3420" s="573">
        <v>292</v>
      </c>
      <c r="O3420" s="556" t="str">
        <f>IF(N3420=M3420,"OK","DIF")</f>
        <v>DIF</v>
      </c>
      <c r="P3420" s="573"/>
      <c r="Q3420" s="556"/>
      <c r="R3420" s="582"/>
    </row>
    <row r="3421" ht="15" spans="1:18">
      <c r="A3421" s="556" t="str">
        <f>B3421</f>
        <v>Insumo</v>
      </c>
      <c r="B3421" s="557" t="str">
        <f>B3420</f>
        <v>Insumo</v>
      </c>
      <c r="C3421" s="571"/>
      <c r="D3421" s="571"/>
      <c r="E3421" s="571"/>
      <c r="F3421" s="571"/>
      <c r="G3421" s="571"/>
      <c r="H3421" s="571"/>
      <c r="I3421" s="571"/>
      <c r="J3421" s="571"/>
      <c r="K3421" s="571"/>
      <c r="L3421" s="571"/>
      <c r="M3421" s="571"/>
      <c r="N3421" s="573">
        <v>529.12</v>
      </c>
      <c r="O3421" s="556" t="str">
        <f>IF(N3421=M3421,"OK","DIF")</f>
        <v>DIF</v>
      </c>
      <c r="P3421" s="573"/>
      <c r="Q3421" s="556"/>
      <c r="R3421" s="582"/>
    </row>
    <row r="3422" ht="15" customHeight="1" spans="1:18">
      <c r="A3422" s="556" t="str">
        <f>B3422</f>
        <v>Insumo</v>
      </c>
      <c r="B3422" s="557" t="str">
        <f>B3421</f>
        <v>Insumo</v>
      </c>
      <c r="C3422" s="76" t="s">
        <v>1180</v>
      </c>
      <c r="D3422" s="75" t="s">
        <v>63</v>
      </c>
      <c r="E3422" s="76" t="s">
        <v>64</v>
      </c>
      <c r="F3422" s="76" t="s">
        <v>65</v>
      </c>
      <c r="G3422" s="76" t="s">
        <v>2889</v>
      </c>
      <c r="H3422" s="76"/>
      <c r="I3422" s="77" t="s">
        <v>66</v>
      </c>
      <c r="J3422" s="75" t="s">
        <v>67</v>
      </c>
      <c r="K3422" s="75" t="s">
        <v>2890</v>
      </c>
      <c r="L3422" s="75" t="s">
        <v>68</v>
      </c>
      <c r="M3422" s="75" t="s">
        <v>70</v>
      </c>
      <c r="N3422" s="573">
        <v>288.07</v>
      </c>
      <c r="O3422" s="556" t="str">
        <f>IF(N3422=M3422,"OK","DIF")</f>
        <v>DIF</v>
      </c>
      <c r="P3422" s="573"/>
      <c r="Q3422" s="556"/>
      <c r="R3422" s="582"/>
    </row>
    <row r="3423" ht="35.05" customHeight="1" spans="1:18">
      <c r="A3423" s="556"/>
      <c r="B3423" s="557"/>
      <c r="C3423" s="569" t="s">
        <v>2891</v>
      </c>
      <c r="D3423" s="570" t="s">
        <v>1181</v>
      </c>
      <c r="E3423" s="569" t="s">
        <v>139</v>
      </c>
      <c r="F3423" s="569" t="s">
        <v>1182</v>
      </c>
      <c r="G3423" s="569" t="s">
        <v>3150</v>
      </c>
      <c r="H3423" s="569"/>
      <c r="I3423" s="577" t="s">
        <v>204</v>
      </c>
      <c r="J3423" s="578">
        <v>1</v>
      </c>
      <c r="K3423" s="579"/>
      <c r="L3423" s="579">
        <v>18.06</v>
      </c>
      <c r="M3423" s="579">
        <v>18.06</v>
      </c>
      <c r="N3423" s="573"/>
      <c r="O3423" s="556"/>
      <c r="P3423" s="573"/>
      <c r="Q3423" s="556"/>
      <c r="R3423" s="582"/>
    </row>
    <row r="3424" ht="23.85" customHeight="1" spans="1:18">
      <c r="A3424" s="556"/>
      <c r="B3424" s="557"/>
      <c r="C3424" s="79" t="s">
        <v>2921</v>
      </c>
      <c r="D3424" s="78" t="s">
        <v>3151</v>
      </c>
      <c r="E3424" s="79" t="s">
        <v>139</v>
      </c>
      <c r="F3424" s="79" t="s">
        <v>3152</v>
      </c>
      <c r="G3424" s="79" t="s">
        <v>2928</v>
      </c>
      <c r="H3424" s="79"/>
      <c r="I3424" s="80" t="s">
        <v>2897</v>
      </c>
      <c r="J3424" s="583">
        <v>0.076</v>
      </c>
      <c r="K3424" s="583">
        <v>0</v>
      </c>
      <c r="L3424" s="92">
        <v>36.82</v>
      </c>
      <c r="M3424" s="92">
        <v>2.79</v>
      </c>
      <c r="N3424" s="573"/>
      <c r="O3424" s="556"/>
      <c r="P3424" s="573"/>
      <c r="Q3424" s="556"/>
      <c r="R3424" s="582"/>
    </row>
    <row r="3425" ht="23.85" customHeight="1" spans="1:18">
      <c r="A3425" s="556"/>
      <c r="B3425" s="557" t="str">
        <f>C3424</f>
        <v>Composição Auxiliar</v>
      </c>
      <c r="C3425" s="79" t="s">
        <v>2921</v>
      </c>
      <c r="D3425" s="78" t="s">
        <v>3153</v>
      </c>
      <c r="E3425" s="79" t="s">
        <v>139</v>
      </c>
      <c r="F3425" s="79" t="s">
        <v>3154</v>
      </c>
      <c r="G3425" s="79" t="s">
        <v>2928</v>
      </c>
      <c r="H3425" s="79"/>
      <c r="I3425" s="80" t="s">
        <v>2897</v>
      </c>
      <c r="J3425" s="583">
        <v>0.076</v>
      </c>
      <c r="K3425" s="583">
        <v>0</v>
      </c>
      <c r="L3425" s="92">
        <v>30.6</v>
      </c>
      <c r="M3425" s="92">
        <v>2.32</v>
      </c>
      <c r="N3425" s="573">
        <v>53.22</v>
      </c>
      <c r="O3425" s="556" t="str">
        <f>IF(N3425=M3425,"OK","DIF")</f>
        <v>DIF</v>
      </c>
      <c r="P3425" s="573"/>
      <c r="Q3425" s="556"/>
      <c r="R3425" s="582"/>
    </row>
    <row r="3426" ht="23.85" customHeight="1" spans="1:18">
      <c r="A3426" s="556" t="str">
        <f>B3426</f>
        <v>Composição Auxiliar</v>
      </c>
      <c r="B3426" s="557" t="str">
        <f>B3425</f>
        <v>Composição Auxiliar</v>
      </c>
      <c r="C3426" s="100" t="s">
        <v>2893</v>
      </c>
      <c r="D3426" s="99" t="s">
        <v>3161</v>
      </c>
      <c r="E3426" s="100" t="s">
        <v>139</v>
      </c>
      <c r="F3426" s="100" t="s">
        <v>3162</v>
      </c>
      <c r="G3426" s="100" t="s">
        <v>2961</v>
      </c>
      <c r="H3426" s="100"/>
      <c r="I3426" s="101" t="s">
        <v>134</v>
      </c>
      <c r="J3426" s="580">
        <v>0.0094</v>
      </c>
      <c r="K3426" s="580">
        <v>0</v>
      </c>
      <c r="L3426" s="102">
        <v>10.55</v>
      </c>
      <c r="M3426" s="102">
        <v>0.09</v>
      </c>
      <c r="N3426" s="573">
        <v>6.78</v>
      </c>
      <c r="O3426" s="556" t="str">
        <f>IF(N3426=M3426,"OK","DIF")</f>
        <v>DIF</v>
      </c>
      <c r="P3426" s="573"/>
      <c r="Q3426" s="556"/>
      <c r="R3426" s="582"/>
    </row>
    <row r="3427" ht="35.05" customHeight="1" spans="1:18">
      <c r="A3427" s="556" t="str">
        <f>B3427</f>
        <v>Composição Auxiliar</v>
      </c>
      <c r="B3427" s="557" t="str">
        <f>B3426</f>
        <v>Composição Auxiliar</v>
      </c>
      <c r="C3427" s="100" t="s">
        <v>2893</v>
      </c>
      <c r="D3427" s="99" t="s">
        <v>4123</v>
      </c>
      <c r="E3427" s="100" t="s">
        <v>139</v>
      </c>
      <c r="F3427" s="100" t="s">
        <v>4124</v>
      </c>
      <c r="G3427" s="100" t="s">
        <v>2961</v>
      </c>
      <c r="H3427" s="100"/>
      <c r="I3427" s="101" t="s">
        <v>204</v>
      </c>
      <c r="J3427" s="580">
        <v>1.2434</v>
      </c>
      <c r="K3427" s="580">
        <v>0</v>
      </c>
      <c r="L3427" s="102">
        <v>10.35</v>
      </c>
      <c r="M3427" s="102">
        <v>12.86</v>
      </c>
      <c r="N3427" s="573">
        <v>8.21</v>
      </c>
      <c r="O3427" s="556" t="str">
        <f>IF(N3427=M3427,"OK","DIF")</f>
        <v>DIF</v>
      </c>
      <c r="P3427" s="573"/>
      <c r="Q3427" s="556"/>
      <c r="R3427" s="582"/>
    </row>
    <row r="3428" ht="25.5" spans="1:18">
      <c r="A3428" s="556" t="str">
        <f>B3428</f>
        <v>Composição Auxiliar</v>
      </c>
      <c r="B3428" s="557" t="str">
        <f>B3427</f>
        <v>Composição Auxiliar</v>
      </c>
      <c r="C3428" s="108"/>
      <c r="D3428" s="108"/>
      <c r="E3428" s="108"/>
      <c r="F3428" s="108"/>
      <c r="G3428" s="108"/>
      <c r="H3428" s="108" t="s">
        <v>2898</v>
      </c>
      <c r="I3428" s="581">
        <v>3.59</v>
      </c>
      <c r="J3428" s="108" t="s">
        <v>2899</v>
      </c>
      <c r="K3428" s="581">
        <v>0</v>
      </c>
      <c r="L3428" s="108" t="s">
        <v>2900</v>
      </c>
      <c r="M3428" s="581">
        <v>3.59</v>
      </c>
      <c r="N3428" s="573">
        <v>38.23</v>
      </c>
      <c r="O3428" s="556" t="str">
        <f>IF(N3428=M3428,"OK","DIF")</f>
        <v>DIF</v>
      </c>
      <c r="P3428" s="573"/>
      <c r="Q3428" s="556"/>
      <c r="R3428" s="582"/>
    </row>
    <row r="3429" ht="26.25" spans="1:18">
      <c r="A3429" s="556"/>
      <c r="B3429" s="557"/>
      <c r="C3429" s="108"/>
      <c r="D3429" s="108"/>
      <c r="E3429" s="108"/>
      <c r="F3429" s="108"/>
      <c r="G3429" s="108"/>
      <c r="H3429" s="108" t="s">
        <v>2901</v>
      </c>
      <c r="I3429" s="581">
        <v>4.6</v>
      </c>
      <c r="J3429" s="114"/>
      <c r="K3429" s="114" t="s">
        <v>2902</v>
      </c>
      <c r="L3429" s="108"/>
      <c r="M3429" s="581">
        <v>22.66</v>
      </c>
      <c r="N3429" s="573"/>
      <c r="O3429" s="556"/>
      <c r="P3429" s="573"/>
      <c r="Q3429" s="556"/>
      <c r="R3429" s="582"/>
    </row>
    <row r="3430" ht="15" spans="1:18">
      <c r="A3430" s="556"/>
      <c r="B3430" s="557"/>
      <c r="C3430" s="571"/>
      <c r="D3430" s="571"/>
      <c r="E3430" s="571"/>
      <c r="F3430" s="571"/>
      <c r="G3430" s="571"/>
      <c r="H3430" s="571"/>
      <c r="I3430" s="571"/>
      <c r="J3430" s="571"/>
      <c r="K3430" s="571"/>
      <c r="L3430" s="571"/>
      <c r="M3430" s="571"/>
      <c r="N3430" s="573"/>
      <c r="O3430" s="556"/>
      <c r="P3430" s="573"/>
      <c r="Q3430" s="556"/>
      <c r="R3430" s="582"/>
    </row>
    <row r="3431" ht="15" customHeight="1" spans="1:18">
      <c r="A3431" s="556"/>
      <c r="B3431" s="557">
        <f>C3430</f>
        <v>0</v>
      </c>
      <c r="C3431" s="76" t="s">
        <v>1183</v>
      </c>
      <c r="D3431" s="75" t="s">
        <v>63</v>
      </c>
      <c r="E3431" s="76" t="s">
        <v>64</v>
      </c>
      <c r="F3431" s="76" t="s">
        <v>65</v>
      </c>
      <c r="G3431" s="76" t="s">
        <v>2889</v>
      </c>
      <c r="H3431" s="76"/>
      <c r="I3431" s="77" t="s">
        <v>66</v>
      </c>
      <c r="J3431" s="75" t="s">
        <v>67</v>
      </c>
      <c r="K3431" s="75" t="s">
        <v>2890</v>
      </c>
      <c r="L3431" s="75" t="s">
        <v>68</v>
      </c>
      <c r="M3431" s="75" t="s">
        <v>70</v>
      </c>
      <c r="N3431" s="573">
        <v>56.45</v>
      </c>
      <c r="O3431" s="556" t="str">
        <f>IF(N3431=M3431,"OK","DIF")</f>
        <v>DIF</v>
      </c>
      <c r="P3431" s="573"/>
      <c r="Q3431" s="556"/>
      <c r="R3431" s="582"/>
    </row>
    <row r="3432" ht="35.05" customHeight="1" spans="1:18">
      <c r="A3432" s="556">
        <f>B3432</f>
        <v>0</v>
      </c>
      <c r="B3432" s="557">
        <f>B3431</f>
        <v>0</v>
      </c>
      <c r="C3432" s="569" t="s">
        <v>2891</v>
      </c>
      <c r="D3432" s="570" t="s">
        <v>1184</v>
      </c>
      <c r="E3432" s="569" t="s">
        <v>139</v>
      </c>
      <c r="F3432" s="569" t="s">
        <v>1185</v>
      </c>
      <c r="G3432" s="569" t="s">
        <v>3150</v>
      </c>
      <c r="H3432" s="569"/>
      <c r="I3432" s="577" t="s">
        <v>204</v>
      </c>
      <c r="J3432" s="578">
        <v>1</v>
      </c>
      <c r="K3432" s="579"/>
      <c r="L3432" s="579">
        <v>28.25</v>
      </c>
      <c r="M3432" s="579">
        <v>28.25</v>
      </c>
      <c r="N3432" s="573">
        <v>0.9</v>
      </c>
      <c r="O3432" s="556" t="str">
        <f>IF(N3432=M3432,"OK","DIF")</f>
        <v>DIF</v>
      </c>
      <c r="P3432" s="573"/>
      <c r="Q3432" s="556"/>
      <c r="R3432" s="582"/>
    </row>
    <row r="3433" ht="23.85" customHeight="1" spans="1:18">
      <c r="A3433" s="556">
        <f>B3433</f>
        <v>0</v>
      </c>
      <c r="B3433" s="557">
        <f>B3432</f>
        <v>0</v>
      </c>
      <c r="C3433" s="79" t="s">
        <v>2921</v>
      </c>
      <c r="D3433" s="78" t="s">
        <v>3153</v>
      </c>
      <c r="E3433" s="79" t="s">
        <v>139</v>
      </c>
      <c r="F3433" s="79" t="s">
        <v>3154</v>
      </c>
      <c r="G3433" s="79" t="s">
        <v>2928</v>
      </c>
      <c r="H3433" s="79"/>
      <c r="I3433" s="80" t="s">
        <v>2897</v>
      </c>
      <c r="J3433" s="583">
        <v>0.114</v>
      </c>
      <c r="K3433" s="583">
        <v>0</v>
      </c>
      <c r="L3433" s="92">
        <v>30.6</v>
      </c>
      <c r="M3433" s="92">
        <v>3.48</v>
      </c>
      <c r="N3433" s="573">
        <v>1.09</v>
      </c>
      <c r="O3433" s="556" t="str">
        <f>IF(N3433=M3433,"OK","DIF")</f>
        <v>DIF</v>
      </c>
      <c r="P3433" s="573"/>
      <c r="Q3433" s="556"/>
      <c r="R3433" s="582"/>
    </row>
    <row r="3434" ht="23.85" customHeight="1" spans="1:18">
      <c r="A3434" s="556">
        <f>B3434</f>
        <v>0</v>
      </c>
      <c r="B3434" s="557">
        <f>B3433</f>
        <v>0</v>
      </c>
      <c r="C3434" s="79" t="s">
        <v>2921</v>
      </c>
      <c r="D3434" s="78" t="s">
        <v>3151</v>
      </c>
      <c r="E3434" s="79" t="s">
        <v>139</v>
      </c>
      <c r="F3434" s="79" t="s">
        <v>3152</v>
      </c>
      <c r="G3434" s="79" t="s">
        <v>2928</v>
      </c>
      <c r="H3434" s="79"/>
      <c r="I3434" s="80" t="s">
        <v>2897</v>
      </c>
      <c r="J3434" s="583">
        <v>0.114</v>
      </c>
      <c r="K3434" s="583">
        <v>0</v>
      </c>
      <c r="L3434" s="92">
        <v>36.82</v>
      </c>
      <c r="M3434" s="92">
        <v>4.19</v>
      </c>
      <c r="N3434" s="573">
        <v>54.46</v>
      </c>
      <c r="O3434" s="556" t="str">
        <f>IF(N3434=M3434,"OK","DIF")</f>
        <v>DIF</v>
      </c>
      <c r="P3434" s="573"/>
      <c r="Q3434" s="556"/>
      <c r="R3434" s="582"/>
    </row>
    <row r="3435" ht="23.85" customHeight="1" spans="1:18">
      <c r="A3435" s="556"/>
      <c r="B3435" s="557"/>
      <c r="C3435" s="100" t="s">
        <v>2893</v>
      </c>
      <c r="D3435" s="99" t="s">
        <v>3161</v>
      </c>
      <c r="E3435" s="100" t="s">
        <v>139</v>
      </c>
      <c r="F3435" s="100" t="s">
        <v>3162</v>
      </c>
      <c r="G3435" s="100" t="s">
        <v>2961</v>
      </c>
      <c r="H3435" s="100"/>
      <c r="I3435" s="101" t="s">
        <v>134</v>
      </c>
      <c r="J3435" s="580">
        <v>0.0094</v>
      </c>
      <c r="K3435" s="580">
        <v>0</v>
      </c>
      <c r="L3435" s="102">
        <v>10.55</v>
      </c>
      <c r="M3435" s="102">
        <v>0.09</v>
      </c>
      <c r="N3435" s="573"/>
      <c r="O3435" s="556"/>
      <c r="P3435" s="573"/>
      <c r="Q3435" s="556"/>
      <c r="R3435" s="582"/>
    </row>
    <row r="3436" ht="35.05" customHeight="1" spans="1:18">
      <c r="A3436" s="556"/>
      <c r="B3436" s="557"/>
      <c r="C3436" s="100" t="s">
        <v>2893</v>
      </c>
      <c r="D3436" s="99" t="s">
        <v>4125</v>
      </c>
      <c r="E3436" s="100" t="s">
        <v>139</v>
      </c>
      <c r="F3436" s="100" t="s">
        <v>4126</v>
      </c>
      <c r="G3436" s="100" t="s">
        <v>2961</v>
      </c>
      <c r="H3436" s="100"/>
      <c r="I3436" s="101" t="s">
        <v>204</v>
      </c>
      <c r="J3436" s="580">
        <v>1.2434</v>
      </c>
      <c r="K3436" s="580">
        <v>0</v>
      </c>
      <c r="L3436" s="102">
        <v>16.48</v>
      </c>
      <c r="M3436" s="102">
        <v>20.49</v>
      </c>
      <c r="N3436" s="573"/>
      <c r="O3436" s="556"/>
      <c r="P3436" s="573"/>
      <c r="Q3436" s="556"/>
      <c r="R3436" s="582"/>
    </row>
    <row r="3437" ht="25.5" spans="1:18">
      <c r="A3437" s="556"/>
      <c r="B3437" s="557" t="str">
        <f>C3436</f>
        <v>Insumo</v>
      </c>
      <c r="C3437" s="108"/>
      <c r="D3437" s="108"/>
      <c r="E3437" s="108"/>
      <c r="F3437" s="108"/>
      <c r="G3437" s="108"/>
      <c r="H3437" s="108" t="s">
        <v>2898</v>
      </c>
      <c r="I3437" s="581">
        <v>5.39</v>
      </c>
      <c r="J3437" s="108" t="s">
        <v>2899</v>
      </c>
      <c r="K3437" s="581">
        <v>0</v>
      </c>
      <c r="L3437" s="108" t="s">
        <v>2900</v>
      </c>
      <c r="M3437" s="581">
        <v>5.39</v>
      </c>
      <c r="N3437" s="573">
        <v>106.25</v>
      </c>
      <c r="O3437" s="556" t="str">
        <f>IF(N3437=M3437,"OK","DIF")</f>
        <v>DIF</v>
      </c>
      <c r="P3437" s="573"/>
      <c r="Q3437" s="556"/>
      <c r="R3437" s="582"/>
    </row>
    <row r="3438" ht="26.25" spans="1:18">
      <c r="A3438" s="556" t="str">
        <f>B3438</f>
        <v>Insumo</v>
      </c>
      <c r="B3438" s="557" t="str">
        <f>B3437</f>
        <v>Insumo</v>
      </c>
      <c r="C3438" s="108"/>
      <c r="D3438" s="108"/>
      <c r="E3438" s="108"/>
      <c r="F3438" s="108"/>
      <c r="G3438" s="108"/>
      <c r="H3438" s="108" t="s">
        <v>2901</v>
      </c>
      <c r="I3438" s="581">
        <v>7.2</v>
      </c>
      <c r="J3438" s="114"/>
      <c r="K3438" s="114" t="s">
        <v>2902</v>
      </c>
      <c r="L3438" s="108"/>
      <c r="M3438" s="581">
        <v>35.45</v>
      </c>
      <c r="N3438" s="573">
        <v>1.52</v>
      </c>
      <c r="O3438" s="556" t="str">
        <f>IF(N3438=M3438,"OK","DIF")</f>
        <v>DIF</v>
      </c>
      <c r="P3438" s="573"/>
      <c r="Q3438" s="556"/>
      <c r="R3438" s="582"/>
    </row>
    <row r="3439" ht="15" spans="1:18">
      <c r="A3439" s="556" t="str">
        <f>B3439</f>
        <v>Insumo</v>
      </c>
      <c r="B3439" s="557" t="str">
        <f>B3438</f>
        <v>Insumo</v>
      </c>
      <c r="C3439" s="571"/>
      <c r="D3439" s="571"/>
      <c r="E3439" s="571"/>
      <c r="F3439" s="571"/>
      <c r="G3439" s="571"/>
      <c r="H3439" s="571"/>
      <c r="I3439" s="571"/>
      <c r="J3439" s="571"/>
      <c r="K3439" s="571"/>
      <c r="L3439" s="571"/>
      <c r="M3439" s="571"/>
      <c r="N3439" s="573">
        <v>1.26</v>
      </c>
      <c r="O3439" s="556" t="str">
        <f>IF(N3439=M3439,"OK","DIF")</f>
        <v>DIF</v>
      </c>
      <c r="P3439" s="573"/>
      <c r="Q3439" s="556"/>
      <c r="R3439" s="582"/>
    </row>
    <row r="3440" ht="15" customHeight="1" spans="1:18">
      <c r="A3440" s="556" t="str">
        <f>B3440</f>
        <v>Insumo</v>
      </c>
      <c r="B3440" s="557" t="str">
        <f>B3439</f>
        <v>Insumo</v>
      </c>
      <c r="C3440" s="76" t="s">
        <v>1186</v>
      </c>
      <c r="D3440" s="75" t="s">
        <v>63</v>
      </c>
      <c r="E3440" s="76" t="s">
        <v>64</v>
      </c>
      <c r="F3440" s="76" t="s">
        <v>65</v>
      </c>
      <c r="G3440" s="76" t="s">
        <v>2889</v>
      </c>
      <c r="H3440" s="76"/>
      <c r="I3440" s="77" t="s">
        <v>66</v>
      </c>
      <c r="J3440" s="75" t="s">
        <v>67</v>
      </c>
      <c r="K3440" s="75" t="s">
        <v>2890</v>
      </c>
      <c r="L3440" s="75" t="s">
        <v>68</v>
      </c>
      <c r="M3440" s="75" t="s">
        <v>70</v>
      </c>
      <c r="N3440" s="573">
        <v>103.47</v>
      </c>
      <c r="O3440" s="556" t="str">
        <f>IF(N3440=M3440,"OK","DIF")</f>
        <v>DIF</v>
      </c>
      <c r="P3440" s="573"/>
      <c r="Q3440" s="556"/>
      <c r="R3440" s="582"/>
    </row>
    <row r="3441" ht="35.05" customHeight="1" spans="1:18">
      <c r="A3441" s="556"/>
      <c r="B3441" s="557"/>
      <c r="C3441" s="569" t="s">
        <v>2891</v>
      </c>
      <c r="D3441" s="570" t="s">
        <v>1187</v>
      </c>
      <c r="E3441" s="569" t="s">
        <v>139</v>
      </c>
      <c r="F3441" s="569" t="s">
        <v>1188</v>
      </c>
      <c r="G3441" s="569" t="s">
        <v>4073</v>
      </c>
      <c r="H3441" s="569"/>
      <c r="I3441" s="577" t="s">
        <v>204</v>
      </c>
      <c r="J3441" s="578">
        <v>1</v>
      </c>
      <c r="K3441" s="579"/>
      <c r="L3441" s="579">
        <v>30.11</v>
      </c>
      <c r="M3441" s="579">
        <v>30.11</v>
      </c>
      <c r="N3441" s="573"/>
      <c r="O3441" s="556"/>
      <c r="P3441" s="573"/>
      <c r="Q3441" s="556"/>
      <c r="R3441" s="582"/>
    </row>
    <row r="3442" ht="23.85" customHeight="1" spans="1:18">
      <c r="A3442" s="556"/>
      <c r="B3442" s="557"/>
      <c r="C3442" s="79" t="s">
        <v>2921</v>
      </c>
      <c r="D3442" s="78" t="s">
        <v>3153</v>
      </c>
      <c r="E3442" s="79" t="s">
        <v>139</v>
      </c>
      <c r="F3442" s="79" t="s">
        <v>3154</v>
      </c>
      <c r="G3442" s="79" t="s">
        <v>2928</v>
      </c>
      <c r="H3442" s="79"/>
      <c r="I3442" s="80" t="s">
        <v>2897</v>
      </c>
      <c r="J3442" s="583">
        <v>0.0608</v>
      </c>
      <c r="K3442" s="583">
        <v>0</v>
      </c>
      <c r="L3442" s="92">
        <v>30.6</v>
      </c>
      <c r="M3442" s="92">
        <v>1.86</v>
      </c>
      <c r="N3442" s="573"/>
      <c r="O3442" s="556"/>
      <c r="P3442" s="573"/>
      <c r="Q3442" s="556"/>
      <c r="R3442" s="582"/>
    </row>
    <row r="3443" ht="23.85" customHeight="1" spans="1:18">
      <c r="A3443" s="556"/>
      <c r="B3443" s="557" t="str">
        <f>C3442</f>
        <v>Composição Auxiliar</v>
      </c>
      <c r="C3443" s="79" t="s">
        <v>2921</v>
      </c>
      <c r="D3443" s="78" t="s">
        <v>3151</v>
      </c>
      <c r="E3443" s="79" t="s">
        <v>139</v>
      </c>
      <c r="F3443" s="79" t="s">
        <v>3152</v>
      </c>
      <c r="G3443" s="79" t="s">
        <v>2928</v>
      </c>
      <c r="H3443" s="79"/>
      <c r="I3443" s="80" t="s">
        <v>2897</v>
      </c>
      <c r="J3443" s="583">
        <v>0.0608</v>
      </c>
      <c r="K3443" s="583">
        <v>0</v>
      </c>
      <c r="L3443" s="92">
        <v>36.82</v>
      </c>
      <c r="M3443" s="92">
        <v>2.23</v>
      </c>
      <c r="N3443" s="573">
        <v>61.83</v>
      </c>
      <c r="O3443" s="556" t="str">
        <f t="shared" ref="O3443:O3449" si="276">IF(N3443=M3443,"OK","DIF")</f>
        <v>DIF</v>
      </c>
      <c r="P3443" s="573"/>
      <c r="Q3443" s="556"/>
      <c r="R3443" s="582"/>
    </row>
    <row r="3444" ht="23.85" customHeight="1" spans="1:18">
      <c r="A3444" s="556" t="str">
        <f t="shared" ref="A3444:A3449" si="277">B3444</f>
        <v>Composição Auxiliar</v>
      </c>
      <c r="B3444" s="557" t="str">
        <f t="shared" ref="B3444:B3449" si="278">B3443</f>
        <v>Composição Auxiliar</v>
      </c>
      <c r="C3444" s="100" t="s">
        <v>2893</v>
      </c>
      <c r="D3444" s="99" t="s">
        <v>3161</v>
      </c>
      <c r="E3444" s="100" t="s">
        <v>139</v>
      </c>
      <c r="F3444" s="100" t="s">
        <v>3162</v>
      </c>
      <c r="G3444" s="100" t="s">
        <v>2961</v>
      </c>
      <c r="H3444" s="100"/>
      <c r="I3444" s="101" t="s">
        <v>134</v>
      </c>
      <c r="J3444" s="580">
        <v>0.009</v>
      </c>
      <c r="K3444" s="580">
        <v>0</v>
      </c>
      <c r="L3444" s="102">
        <v>10.55</v>
      </c>
      <c r="M3444" s="102">
        <v>0.09</v>
      </c>
      <c r="N3444" s="573">
        <v>13.33</v>
      </c>
      <c r="O3444" s="556" t="str">
        <f t="shared" si="276"/>
        <v>DIF</v>
      </c>
      <c r="P3444" s="573"/>
      <c r="Q3444" s="556"/>
      <c r="R3444" s="582"/>
    </row>
    <row r="3445" ht="35.05" customHeight="1" spans="1:18">
      <c r="A3445" s="556" t="str">
        <f t="shared" si="277"/>
        <v>Composição Auxiliar</v>
      </c>
      <c r="B3445" s="557" t="str">
        <f t="shared" si="278"/>
        <v>Composição Auxiliar</v>
      </c>
      <c r="C3445" s="100" t="s">
        <v>2893</v>
      </c>
      <c r="D3445" s="99" t="s">
        <v>4127</v>
      </c>
      <c r="E3445" s="100" t="s">
        <v>139</v>
      </c>
      <c r="F3445" s="100" t="s">
        <v>4128</v>
      </c>
      <c r="G3445" s="100" t="s">
        <v>2961</v>
      </c>
      <c r="H3445" s="100"/>
      <c r="I3445" s="101" t="s">
        <v>204</v>
      </c>
      <c r="J3445" s="580">
        <v>1.015</v>
      </c>
      <c r="K3445" s="580">
        <v>0</v>
      </c>
      <c r="L3445" s="102">
        <v>25.55</v>
      </c>
      <c r="M3445" s="102">
        <v>25.93</v>
      </c>
      <c r="N3445" s="573">
        <v>27.92</v>
      </c>
      <c r="O3445" s="556" t="str">
        <f t="shared" si="276"/>
        <v>DIF</v>
      </c>
      <c r="P3445" s="573"/>
      <c r="Q3445" s="556"/>
      <c r="R3445" s="582"/>
    </row>
    <row r="3446" ht="25.5" spans="1:18">
      <c r="A3446" s="556" t="str">
        <f t="shared" si="277"/>
        <v>Composição Auxiliar</v>
      </c>
      <c r="B3446" s="557" t="str">
        <f t="shared" si="278"/>
        <v>Composição Auxiliar</v>
      </c>
      <c r="C3446" s="108"/>
      <c r="D3446" s="108"/>
      <c r="E3446" s="108"/>
      <c r="F3446" s="108"/>
      <c r="G3446" s="108"/>
      <c r="H3446" s="108" t="s">
        <v>2898</v>
      </c>
      <c r="I3446" s="581">
        <v>2.86</v>
      </c>
      <c r="J3446" s="108" t="s">
        <v>2899</v>
      </c>
      <c r="K3446" s="581">
        <v>0</v>
      </c>
      <c r="L3446" s="108" t="s">
        <v>2900</v>
      </c>
      <c r="M3446" s="581">
        <v>2.86</v>
      </c>
      <c r="N3446" s="573">
        <v>5.79</v>
      </c>
      <c r="O3446" s="556" t="str">
        <f t="shared" si="276"/>
        <v>DIF</v>
      </c>
      <c r="P3446" s="573"/>
      <c r="Q3446" s="556"/>
      <c r="R3446" s="582"/>
    </row>
    <row r="3447" ht="26.25" spans="1:18">
      <c r="A3447" s="556" t="str">
        <f t="shared" si="277"/>
        <v>Composição Auxiliar</v>
      </c>
      <c r="B3447" s="557" t="str">
        <f t="shared" si="278"/>
        <v>Composição Auxiliar</v>
      </c>
      <c r="C3447" s="108"/>
      <c r="D3447" s="108"/>
      <c r="E3447" s="108"/>
      <c r="F3447" s="108"/>
      <c r="G3447" s="108"/>
      <c r="H3447" s="108" t="s">
        <v>2901</v>
      </c>
      <c r="I3447" s="581">
        <v>7.67</v>
      </c>
      <c r="J3447" s="114"/>
      <c r="K3447" s="114" t="s">
        <v>2902</v>
      </c>
      <c r="L3447" s="108"/>
      <c r="M3447" s="581">
        <v>37.78</v>
      </c>
      <c r="N3447" s="573">
        <v>10.15</v>
      </c>
      <c r="O3447" s="556" t="str">
        <f t="shared" si="276"/>
        <v>DIF</v>
      </c>
      <c r="P3447" s="573"/>
      <c r="Q3447" s="556"/>
      <c r="R3447" s="582"/>
    </row>
    <row r="3448" ht="15" spans="1:18">
      <c r="A3448" s="556" t="str">
        <f t="shared" si="277"/>
        <v>Composição Auxiliar</v>
      </c>
      <c r="B3448" s="557" t="str">
        <f t="shared" si="278"/>
        <v>Composição Auxiliar</v>
      </c>
      <c r="C3448" s="571"/>
      <c r="D3448" s="571"/>
      <c r="E3448" s="571"/>
      <c r="F3448" s="571"/>
      <c r="G3448" s="571"/>
      <c r="H3448" s="571"/>
      <c r="I3448" s="571"/>
      <c r="J3448" s="571"/>
      <c r="K3448" s="571"/>
      <c r="L3448" s="571"/>
      <c r="M3448" s="571"/>
      <c r="N3448" s="573">
        <v>0.68</v>
      </c>
      <c r="O3448" s="556" t="str">
        <f t="shared" si="276"/>
        <v>DIF</v>
      </c>
      <c r="P3448" s="573"/>
      <c r="Q3448" s="556"/>
      <c r="R3448" s="582"/>
    </row>
    <row r="3449" ht="15" customHeight="1" spans="1:18">
      <c r="A3449" s="556" t="str">
        <f t="shared" si="277"/>
        <v>Composição Auxiliar</v>
      </c>
      <c r="B3449" s="557" t="str">
        <f t="shared" si="278"/>
        <v>Composição Auxiliar</v>
      </c>
      <c r="C3449" s="76" t="s">
        <v>1189</v>
      </c>
      <c r="D3449" s="75" t="s">
        <v>63</v>
      </c>
      <c r="E3449" s="76" t="s">
        <v>64</v>
      </c>
      <c r="F3449" s="76" t="s">
        <v>65</v>
      </c>
      <c r="G3449" s="76" t="s">
        <v>2889</v>
      </c>
      <c r="H3449" s="76"/>
      <c r="I3449" s="77" t="s">
        <v>66</v>
      </c>
      <c r="J3449" s="75" t="s">
        <v>67</v>
      </c>
      <c r="K3449" s="75" t="s">
        <v>2890</v>
      </c>
      <c r="L3449" s="75" t="s">
        <v>68</v>
      </c>
      <c r="M3449" s="75" t="s">
        <v>70</v>
      </c>
      <c r="N3449" s="573">
        <v>3.96</v>
      </c>
      <c r="O3449" s="556" t="str">
        <f t="shared" si="276"/>
        <v>DIF</v>
      </c>
      <c r="P3449" s="573"/>
      <c r="Q3449" s="556"/>
      <c r="R3449" s="582"/>
    </row>
    <row r="3450" ht="35.05" customHeight="1" spans="1:18">
      <c r="A3450" s="556"/>
      <c r="B3450" s="557"/>
      <c r="C3450" s="569" t="s">
        <v>2891</v>
      </c>
      <c r="D3450" s="570" t="s">
        <v>1190</v>
      </c>
      <c r="E3450" s="569" t="s">
        <v>139</v>
      </c>
      <c r="F3450" s="569" t="s">
        <v>1191</v>
      </c>
      <c r="G3450" s="569" t="s">
        <v>4073</v>
      </c>
      <c r="H3450" s="569"/>
      <c r="I3450" s="577" t="s">
        <v>204</v>
      </c>
      <c r="J3450" s="578">
        <v>1</v>
      </c>
      <c r="K3450" s="579"/>
      <c r="L3450" s="579">
        <v>41.42</v>
      </c>
      <c r="M3450" s="579">
        <v>41.42</v>
      </c>
      <c r="N3450" s="573"/>
      <c r="O3450" s="556"/>
      <c r="P3450" s="573"/>
      <c r="Q3450" s="556"/>
      <c r="R3450" s="582"/>
    </row>
    <row r="3451" ht="23.85" customHeight="1" spans="1:18">
      <c r="A3451" s="556"/>
      <c r="B3451" s="557"/>
      <c r="C3451" s="79" t="s">
        <v>2921</v>
      </c>
      <c r="D3451" s="78" t="s">
        <v>3153</v>
      </c>
      <c r="E3451" s="79" t="s">
        <v>139</v>
      </c>
      <c r="F3451" s="79" t="s">
        <v>3154</v>
      </c>
      <c r="G3451" s="79" t="s">
        <v>2928</v>
      </c>
      <c r="H3451" s="79"/>
      <c r="I3451" s="80" t="s">
        <v>2897</v>
      </c>
      <c r="J3451" s="583">
        <v>0.0697</v>
      </c>
      <c r="K3451" s="583">
        <v>0</v>
      </c>
      <c r="L3451" s="92">
        <v>30.6</v>
      </c>
      <c r="M3451" s="92">
        <v>2.13</v>
      </c>
      <c r="N3451" s="573"/>
      <c r="O3451" s="556"/>
      <c r="P3451" s="573"/>
      <c r="Q3451" s="556"/>
      <c r="R3451" s="582"/>
    </row>
    <row r="3452" ht="23.85" customHeight="1" spans="1:18">
      <c r="A3452" s="556"/>
      <c r="B3452" s="557" t="str">
        <f>C3451</f>
        <v>Composição Auxiliar</v>
      </c>
      <c r="C3452" s="79" t="s">
        <v>2921</v>
      </c>
      <c r="D3452" s="78" t="s">
        <v>3151</v>
      </c>
      <c r="E3452" s="79" t="s">
        <v>139</v>
      </c>
      <c r="F3452" s="79" t="s">
        <v>3152</v>
      </c>
      <c r="G3452" s="79" t="s">
        <v>2928</v>
      </c>
      <c r="H3452" s="79"/>
      <c r="I3452" s="80" t="s">
        <v>2897</v>
      </c>
      <c r="J3452" s="583">
        <v>0.0697</v>
      </c>
      <c r="K3452" s="583">
        <v>0</v>
      </c>
      <c r="L3452" s="92">
        <v>36.82</v>
      </c>
      <c r="M3452" s="92">
        <v>2.56</v>
      </c>
      <c r="N3452" s="573">
        <v>15.45</v>
      </c>
      <c r="O3452" s="556" t="str">
        <f>IF(N3452=M3452,"OK","DIF")</f>
        <v>DIF</v>
      </c>
      <c r="P3452" s="573"/>
      <c r="Q3452" s="556"/>
      <c r="R3452" s="582"/>
    </row>
    <row r="3453" ht="35.05" customHeight="1" spans="1:18">
      <c r="A3453" s="556" t="str">
        <f>B3453</f>
        <v>Composição Auxiliar</v>
      </c>
      <c r="B3453" s="557" t="str">
        <f>B3452</f>
        <v>Composição Auxiliar</v>
      </c>
      <c r="C3453" s="100" t="s">
        <v>2893</v>
      </c>
      <c r="D3453" s="99" t="s">
        <v>4129</v>
      </c>
      <c r="E3453" s="100" t="s">
        <v>139</v>
      </c>
      <c r="F3453" s="100" t="s">
        <v>4130</v>
      </c>
      <c r="G3453" s="100" t="s">
        <v>2961</v>
      </c>
      <c r="H3453" s="100"/>
      <c r="I3453" s="101" t="s">
        <v>204</v>
      </c>
      <c r="J3453" s="580">
        <v>1.015</v>
      </c>
      <c r="K3453" s="580">
        <v>0</v>
      </c>
      <c r="L3453" s="102">
        <v>36.1</v>
      </c>
      <c r="M3453" s="102">
        <v>36.64</v>
      </c>
      <c r="N3453" s="573">
        <v>2.15</v>
      </c>
      <c r="O3453" s="556" t="str">
        <f>IF(N3453=M3453,"OK","DIF")</f>
        <v>DIF</v>
      </c>
      <c r="P3453" s="573"/>
      <c r="Q3453" s="556"/>
      <c r="R3453" s="582"/>
    </row>
    <row r="3454" ht="23.85" customHeight="1" spans="1:18">
      <c r="A3454" s="556" t="str">
        <f>B3454</f>
        <v>Composição Auxiliar</v>
      </c>
      <c r="B3454" s="557" t="str">
        <f>B3453</f>
        <v>Composição Auxiliar</v>
      </c>
      <c r="C3454" s="100" t="s">
        <v>2893</v>
      </c>
      <c r="D3454" s="99" t="s">
        <v>3161</v>
      </c>
      <c r="E3454" s="100" t="s">
        <v>139</v>
      </c>
      <c r="F3454" s="100" t="s">
        <v>3162</v>
      </c>
      <c r="G3454" s="100" t="s">
        <v>2961</v>
      </c>
      <c r="H3454" s="100"/>
      <c r="I3454" s="101" t="s">
        <v>134</v>
      </c>
      <c r="J3454" s="580">
        <v>0.009</v>
      </c>
      <c r="K3454" s="580">
        <v>0</v>
      </c>
      <c r="L3454" s="102">
        <v>10.55</v>
      </c>
      <c r="M3454" s="102">
        <v>0.09</v>
      </c>
      <c r="N3454" s="573">
        <v>7.72</v>
      </c>
      <c r="O3454" s="556" t="str">
        <f>IF(N3454=M3454,"OK","DIF")</f>
        <v>DIF</v>
      </c>
      <c r="P3454" s="573"/>
      <c r="Q3454" s="556"/>
      <c r="R3454" s="582"/>
    </row>
    <row r="3455" ht="25.5" spans="1:18">
      <c r="A3455" s="556" t="str">
        <f>B3455</f>
        <v>Composição Auxiliar</v>
      </c>
      <c r="B3455" s="557" t="str">
        <f>B3454</f>
        <v>Composição Auxiliar</v>
      </c>
      <c r="C3455" s="108"/>
      <c r="D3455" s="108"/>
      <c r="E3455" s="108"/>
      <c r="F3455" s="108"/>
      <c r="G3455" s="108"/>
      <c r="H3455" s="108" t="s">
        <v>2898</v>
      </c>
      <c r="I3455" s="581">
        <v>3.29</v>
      </c>
      <c r="J3455" s="108" t="s">
        <v>2899</v>
      </c>
      <c r="K3455" s="581">
        <v>0</v>
      </c>
      <c r="L3455" s="108" t="s">
        <v>2900</v>
      </c>
      <c r="M3455" s="581">
        <v>3.29</v>
      </c>
      <c r="N3455" s="573">
        <v>5.58</v>
      </c>
      <c r="O3455" s="556" t="str">
        <f>IF(N3455=M3455,"OK","DIF")</f>
        <v>DIF</v>
      </c>
      <c r="P3455" s="573"/>
      <c r="Q3455" s="556"/>
      <c r="R3455" s="582"/>
    </row>
    <row r="3456" ht="26.25" spans="1:18">
      <c r="A3456" s="556"/>
      <c r="B3456" s="557"/>
      <c r="C3456" s="108"/>
      <c r="D3456" s="108"/>
      <c r="E3456" s="108"/>
      <c r="F3456" s="108"/>
      <c r="G3456" s="108"/>
      <c r="H3456" s="108" t="s">
        <v>2901</v>
      </c>
      <c r="I3456" s="581">
        <v>10.55</v>
      </c>
      <c r="J3456" s="114"/>
      <c r="K3456" s="114" t="s">
        <v>2902</v>
      </c>
      <c r="L3456" s="108"/>
      <c r="M3456" s="581">
        <v>51.97</v>
      </c>
      <c r="N3456" s="573"/>
      <c r="O3456" s="556"/>
      <c r="P3456" s="573"/>
      <c r="Q3456" s="556"/>
      <c r="R3456" s="582"/>
    </row>
    <row r="3457" ht="15" spans="1:18">
      <c r="A3457" s="556"/>
      <c r="B3457" s="557"/>
      <c r="C3457" s="571"/>
      <c r="D3457" s="571"/>
      <c r="E3457" s="571"/>
      <c r="F3457" s="571"/>
      <c r="G3457" s="571"/>
      <c r="H3457" s="571"/>
      <c r="I3457" s="571"/>
      <c r="J3457" s="571"/>
      <c r="K3457" s="571"/>
      <c r="L3457" s="571"/>
      <c r="M3457" s="571"/>
      <c r="N3457" s="573"/>
      <c r="O3457" s="556"/>
      <c r="P3457" s="573"/>
      <c r="Q3457" s="556"/>
      <c r="R3457" s="582"/>
    </row>
    <row r="3458" ht="15" customHeight="1" spans="1:18">
      <c r="A3458" s="556"/>
      <c r="B3458" s="557">
        <f>C3457</f>
        <v>0</v>
      </c>
      <c r="C3458" s="76" t="s">
        <v>1192</v>
      </c>
      <c r="D3458" s="75" t="s">
        <v>63</v>
      </c>
      <c r="E3458" s="76" t="s">
        <v>64</v>
      </c>
      <c r="F3458" s="76" t="s">
        <v>65</v>
      </c>
      <c r="G3458" s="76" t="s">
        <v>2889</v>
      </c>
      <c r="H3458" s="76"/>
      <c r="I3458" s="77" t="s">
        <v>66</v>
      </c>
      <c r="J3458" s="75" t="s">
        <v>67</v>
      </c>
      <c r="K3458" s="75" t="s">
        <v>2890</v>
      </c>
      <c r="L3458" s="75" t="s">
        <v>68</v>
      </c>
      <c r="M3458" s="75" t="s">
        <v>70</v>
      </c>
      <c r="N3458" s="573">
        <v>511.84</v>
      </c>
      <c r="O3458" s="556" t="str">
        <f>IF(N3458=M3458,"OK","DIF")</f>
        <v>DIF</v>
      </c>
      <c r="P3458" s="573"/>
      <c r="Q3458" s="556"/>
      <c r="R3458" s="582"/>
    </row>
    <row r="3459" ht="35.05" customHeight="1" spans="1:18">
      <c r="A3459" s="556">
        <f>B3459</f>
        <v>0</v>
      </c>
      <c r="B3459" s="557">
        <f>B3458</f>
        <v>0</v>
      </c>
      <c r="C3459" s="569" t="s">
        <v>2891</v>
      </c>
      <c r="D3459" s="570" t="s">
        <v>1193</v>
      </c>
      <c r="E3459" s="569" t="s">
        <v>139</v>
      </c>
      <c r="F3459" s="569" t="s">
        <v>1194</v>
      </c>
      <c r="G3459" s="569" t="s">
        <v>4073</v>
      </c>
      <c r="H3459" s="569"/>
      <c r="I3459" s="577" t="s">
        <v>204</v>
      </c>
      <c r="J3459" s="578">
        <v>1</v>
      </c>
      <c r="K3459" s="579"/>
      <c r="L3459" s="579">
        <v>59.86</v>
      </c>
      <c r="M3459" s="579">
        <v>59.86</v>
      </c>
      <c r="N3459" s="573">
        <v>21.98</v>
      </c>
      <c r="O3459" s="556" t="str">
        <f>IF(N3459=M3459,"OK","DIF")</f>
        <v>DIF</v>
      </c>
      <c r="P3459" s="573"/>
      <c r="Q3459" s="556"/>
      <c r="R3459" s="582"/>
    </row>
    <row r="3460" ht="23.85" customHeight="1" spans="1:18">
      <c r="A3460" s="556">
        <f>B3460</f>
        <v>0</v>
      </c>
      <c r="B3460" s="557">
        <f>B3459</f>
        <v>0</v>
      </c>
      <c r="C3460" s="79" t="s">
        <v>2921</v>
      </c>
      <c r="D3460" s="78" t="s">
        <v>3151</v>
      </c>
      <c r="E3460" s="79" t="s">
        <v>139</v>
      </c>
      <c r="F3460" s="79" t="s">
        <v>3152</v>
      </c>
      <c r="G3460" s="79" t="s">
        <v>2928</v>
      </c>
      <c r="H3460" s="79"/>
      <c r="I3460" s="80" t="s">
        <v>2897</v>
      </c>
      <c r="J3460" s="583">
        <v>0.083</v>
      </c>
      <c r="K3460" s="583">
        <v>0</v>
      </c>
      <c r="L3460" s="92">
        <v>36.82</v>
      </c>
      <c r="M3460" s="92">
        <v>3.05</v>
      </c>
      <c r="N3460" s="573">
        <v>16.75</v>
      </c>
      <c r="O3460" s="556" t="str">
        <f>IF(N3460=M3460,"OK","DIF")</f>
        <v>DIF</v>
      </c>
      <c r="P3460" s="573"/>
      <c r="Q3460" s="556"/>
      <c r="R3460" s="582"/>
    </row>
    <row r="3461" ht="23.85" customHeight="1" spans="1:18">
      <c r="A3461" s="556">
        <f>B3461</f>
        <v>0</v>
      </c>
      <c r="B3461" s="557">
        <f>B3460</f>
        <v>0</v>
      </c>
      <c r="C3461" s="79" t="s">
        <v>2921</v>
      </c>
      <c r="D3461" s="78" t="s">
        <v>3153</v>
      </c>
      <c r="E3461" s="79" t="s">
        <v>139</v>
      </c>
      <c r="F3461" s="79" t="s">
        <v>3154</v>
      </c>
      <c r="G3461" s="79" t="s">
        <v>2928</v>
      </c>
      <c r="H3461" s="79"/>
      <c r="I3461" s="80" t="s">
        <v>2897</v>
      </c>
      <c r="J3461" s="583">
        <v>0.083</v>
      </c>
      <c r="K3461" s="583">
        <v>0</v>
      </c>
      <c r="L3461" s="92">
        <v>30.6</v>
      </c>
      <c r="M3461" s="92">
        <v>2.53</v>
      </c>
      <c r="N3461" s="573">
        <v>473.11</v>
      </c>
      <c r="O3461" s="556" t="str">
        <f>IF(N3461=M3461,"OK","DIF")</f>
        <v>DIF</v>
      </c>
      <c r="P3461" s="573"/>
      <c r="Q3461" s="556"/>
      <c r="R3461" s="582"/>
    </row>
    <row r="3462" ht="35.05" customHeight="1" spans="1:18">
      <c r="A3462" s="556"/>
      <c r="B3462" s="557"/>
      <c r="C3462" s="100" t="s">
        <v>2893</v>
      </c>
      <c r="D3462" s="99" t="s">
        <v>4131</v>
      </c>
      <c r="E3462" s="100" t="s">
        <v>139</v>
      </c>
      <c r="F3462" s="100" t="s">
        <v>4132</v>
      </c>
      <c r="G3462" s="100" t="s">
        <v>2961</v>
      </c>
      <c r="H3462" s="100"/>
      <c r="I3462" s="101" t="s">
        <v>204</v>
      </c>
      <c r="J3462" s="580">
        <v>1.015</v>
      </c>
      <c r="K3462" s="580">
        <v>0</v>
      </c>
      <c r="L3462" s="102">
        <v>53.39</v>
      </c>
      <c r="M3462" s="102">
        <v>54.19</v>
      </c>
      <c r="N3462" s="573"/>
      <c r="O3462" s="556"/>
      <c r="P3462" s="573"/>
      <c r="Q3462" s="556"/>
      <c r="R3462" s="582"/>
    </row>
    <row r="3463" ht="23.85" customHeight="1" spans="1:18">
      <c r="A3463" s="556"/>
      <c r="B3463" s="557"/>
      <c r="C3463" s="100" t="s">
        <v>2893</v>
      </c>
      <c r="D3463" s="99" t="s">
        <v>3161</v>
      </c>
      <c r="E3463" s="100" t="s">
        <v>139</v>
      </c>
      <c r="F3463" s="100" t="s">
        <v>3162</v>
      </c>
      <c r="G3463" s="100" t="s">
        <v>2961</v>
      </c>
      <c r="H3463" s="100"/>
      <c r="I3463" s="101" t="s">
        <v>134</v>
      </c>
      <c r="J3463" s="580">
        <v>0.009</v>
      </c>
      <c r="K3463" s="580">
        <v>0</v>
      </c>
      <c r="L3463" s="102">
        <v>10.55</v>
      </c>
      <c r="M3463" s="102">
        <v>0.09</v>
      </c>
      <c r="N3463" s="573"/>
      <c r="O3463" s="556"/>
      <c r="P3463" s="573"/>
      <c r="Q3463" s="556"/>
      <c r="R3463" s="582"/>
    </row>
    <row r="3464" ht="25.5" spans="1:18">
      <c r="A3464" s="556"/>
      <c r="B3464" s="557" t="str">
        <f>C3463</f>
        <v>Insumo</v>
      </c>
      <c r="C3464" s="108"/>
      <c r="D3464" s="108"/>
      <c r="E3464" s="108"/>
      <c r="F3464" s="108"/>
      <c r="G3464" s="108"/>
      <c r="H3464" s="108" t="s">
        <v>2898</v>
      </c>
      <c r="I3464" s="581">
        <v>3.92</v>
      </c>
      <c r="J3464" s="108" t="s">
        <v>2899</v>
      </c>
      <c r="K3464" s="581">
        <v>0</v>
      </c>
      <c r="L3464" s="108" t="s">
        <v>2900</v>
      </c>
      <c r="M3464" s="581">
        <v>3.92</v>
      </c>
      <c r="N3464" s="573">
        <v>15.57</v>
      </c>
      <c r="O3464" s="556" t="str">
        <f>IF(N3464=M3464,"OK","DIF")</f>
        <v>DIF</v>
      </c>
      <c r="P3464" s="573"/>
      <c r="Q3464" s="556"/>
      <c r="R3464" s="582"/>
    </row>
    <row r="3465" ht="26.25" spans="1:18">
      <c r="A3465" s="556" t="str">
        <f>B3465</f>
        <v>Insumo</v>
      </c>
      <c r="B3465" s="557" t="str">
        <f>B3464</f>
        <v>Insumo</v>
      </c>
      <c r="C3465" s="108"/>
      <c r="D3465" s="108"/>
      <c r="E3465" s="108"/>
      <c r="F3465" s="108"/>
      <c r="G3465" s="108"/>
      <c r="H3465" s="108" t="s">
        <v>2901</v>
      </c>
      <c r="I3465" s="581">
        <v>15.25</v>
      </c>
      <c r="J3465" s="114"/>
      <c r="K3465" s="114" t="s">
        <v>2902</v>
      </c>
      <c r="L3465" s="108"/>
      <c r="M3465" s="581">
        <v>75.11</v>
      </c>
      <c r="N3465" s="573">
        <v>3.48</v>
      </c>
      <c r="O3465" s="556" t="str">
        <f>IF(N3465=M3465,"OK","DIF")</f>
        <v>DIF</v>
      </c>
      <c r="P3465" s="573"/>
      <c r="Q3465" s="556"/>
      <c r="R3465" s="582"/>
    </row>
    <row r="3466" ht="15" spans="1:18">
      <c r="A3466" s="556" t="str">
        <f>B3466</f>
        <v>Insumo</v>
      </c>
      <c r="B3466" s="557" t="str">
        <f>B3465</f>
        <v>Insumo</v>
      </c>
      <c r="C3466" s="571"/>
      <c r="D3466" s="571"/>
      <c r="E3466" s="571"/>
      <c r="F3466" s="571"/>
      <c r="G3466" s="571"/>
      <c r="H3466" s="571"/>
      <c r="I3466" s="571"/>
      <c r="J3466" s="571"/>
      <c r="K3466" s="571"/>
      <c r="L3466" s="571"/>
      <c r="M3466" s="571"/>
      <c r="N3466" s="573">
        <v>2.52</v>
      </c>
      <c r="O3466" s="556" t="str">
        <f>IF(N3466=M3466,"OK","DIF")</f>
        <v>DIF</v>
      </c>
      <c r="P3466" s="573"/>
      <c r="Q3466" s="556"/>
      <c r="R3466" s="582"/>
    </row>
    <row r="3467" ht="15" customHeight="1" spans="1:18">
      <c r="A3467" s="556" t="str">
        <f>B3467</f>
        <v>Insumo</v>
      </c>
      <c r="B3467" s="557" t="str">
        <f>B3466</f>
        <v>Insumo</v>
      </c>
      <c r="C3467" s="76" t="s">
        <v>1195</v>
      </c>
      <c r="D3467" s="75" t="s">
        <v>63</v>
      </c>
      <c r="E3467" s="76" t="s">
        <v>64</v>
      </c>
      <c r="F3467" s="76" t="s">
        <v>65</v>
      </c>
      <c r="G3467" s="76" t="s">
        <v>2889</v>
      </c>
      <c r="H3467" s="76"/>
      <c r="I3467" s="77" t="s">
        <v>66</v>
      </c>
      <c r="J3467" s="75" t="s">
        <v>67</v>
      </c>
      <c r="K3467" s="75" t="s">
        <v>2890</v>
      </c>
      <c r="L3467" s="75" t="s">
        <v>68</v>
      </c>
      <c r="M3467" s="75" t="s">
        <v>70</v>
      </c>
      <c r="N3467" s="573">
        <v>9.57</v>
      </c>
      <c r="O3467" s="556" t="str">
        <f>IF(N3467=M3467,"OK","DIF")</f>
        <v>DIF</v>
      </c>
      <c r="P3467" s="573"/>
      <c r="Q3467" s="556"/>
      <c r="R3467" s="582"/>
    </row>
    <row r="3468" ht="35.05" customHeight="1" spans="1:18">
      <c r="A3468" s="556"/>
      <c r="B3468" s="557"/>
      <c r="C3468" s="569" t="s">
        <v>2891</v>
      </c>
      <c r="D3468" s="570" t="s">
        <v>1196</v>
      </c>
      <c r="E3468" s="569" t="s">
        <v>139</v>
      </c>
      <c r="F3468" s="569" t="s">
        <v>1197</v>
      </c>
      <c r="G3468" s="569" t="s">
        <v>4073</v>
      </c>
      <c r="H3468" s="569"/>
      <c r="I3468" s="577" t="s">
        <v>204</v>
      </c>
      <c r="J3468" s="578">
        <v>1</v>
      </c>
      <c r="K3468" s="579"/>
      <c r="L3468" s="579">
        <v>82.68</v>
      </c>
      <c r="M3468" s="579">
        <v>82.68</v>
      </c>
      <c r="N3468" s="573"/>
      <c r="O3468" s="556"/>
      <c r="P3468" s="573"/>
      <c r="Q3468" s="556"/>
      <c r="R3468" s="582"/>
    </row>
    <row r="3469" ht="23.85" customHeight="1" spans="1:18">
      <c r="A3469" s="556"/>
      <c r="B3469" s="557"/>
      <c r="C3469" s="79" t="s">
        <v>2921</v>
      </c>
      <c r="D3469" s="78" t="s">
        <v>3151</v>
      </c>
      <c r="E3469" s="79" t="s">
        <v>139</v>
      </c>
      <c r="F3469" s="79" t="s">
        <v>3152</v>
      </c>
      <c r="G3469" s="79" t="s">
        <v>2928</v>
      </c>
      <c r="H3469" s="79"/>
      <c r="I3469" s="80" t="s">
        <v>2897</v>
      </c>
      <c r="J3469" s="583">
        <v>0.1007</v>
      </c>
      <c r="K3469" s="583">
        <v>0</v>
      </c>
      <c r="L3469" s="92">
        <v>36.82</v>
      </c>
      <c r="M3469" s="92">
        <v>3.7</v>
      </c>
      <c r="N3469" s="573"/>
      <c r="O3469" s="556"/>
      <c r="P3469" s="573"/>
      <c r="Q3469" s="556"/>
      <c r="R3469" s="582"/>
    </row>
    <row r="3470" ht="23.85" customHeight="1" spans="1:18">
      <c r="A3470" s="556"/>
      <c r="B3470" s="557" t="str">
        <f>C3469</f>
        <v>Composição Auxiliar</v>
      </c>
      <c r="C3470" s="79" t="s">
        <v>2921</v>
      </c>
      <c r="D3470" s="78" t="s">
        <v>3153</v>
      </c>
      <c r="E3470" s="79" t="s">
        <v>139</v>
      </c>
      <c r="F3470" s="79" t="s">
        <v>3154</v>
      </c>
      <c r="G3470" s="79" t="s">
        <v>2928</v>
      </c>
      <c r="H3470" s="79"/>
      <c r="I3470" s="80" t="s">
        <v>2897</v>
      </c>
      <c r="J3470" s="583">
        <v>0.1007</v>
      </c>
      <c r="K3470" s="583">
        <v>0</v>
      </c>
      <c r="L3470" s="92">
        <v>30.6</v>
      </c>
      <c r="M3470" s="92">
        <v>3.08</v>
      </c>
      <c r="N3470" s="573">
        <v>10.8</v>
      </c>
      <c r="O3470" s="556" t="str">
        <f>IF(N3470=M3470,"OK","DIF")</f>
        <v>DIF</v>
      </c>
      <c r="P3470" s="573"/>
      <c r="Q3470" s="556"/>
      <c r="R3470" s="582"/>
    </row>
    <row r="3471" ht="35.05" customHeight="1" spans="1:18">
      <c r="A3471" s="556" t="str">
        <f>B3471</f>
        <v>Composição Auxiliar</v>
      </c>
      <c r="B3471" s="557" t="str">
        <f>B3470</f>
        <v>Composição Auxiliar</v>
      </c>
      <c r="C3471" s="100" t="s">
        <v>2893</v>
      </c>
      <c r="D3471" s="99" t="s">
        <v>4133</v>
      </c>
      <c r="E3471" s="100" t="s">
        <v>139</v>
      </c>
      <c r="F3471" s="100" t="s">
        <v>4134</v>
      </c>
      <c r="G3471" s="100" t="s">
        <v>2961</v>
      </c>
      <c r="H3471" s="100"/>
      <c r="I3471" s="101" t="s">
        <v>204</v>
      </c>
      <c r="J3471" s="580">
        <v>1.015</v>
      </c>
      <c r="K3471" s="580">
        <v>0</v>
      </c>
      <c r="L3471" s="102">
        <v>74.69</v>
      </c>
      <c r="M3471" s="102">
        <v>75.81</v>
      </c>
      <c r="N3471" s="573">
        <v>1.2</v>
      </c>
      <c r="O3471" s="556" t="str">
        <f>IF(N3471=M3471,"OK","DIF")</f>
        <v>DIF</v>
      </c>
      <c r="P3471" s="573"/>
      <c r="Q3471" s="556"/>
      <c r="R3471" s="582"/>
    </row>
    <row r="3472" ht="23.85" customHeight="1" spans="1:18">
      <c r="A3472" s="556" t="str">
        <f>B3472</f>
        <v>Composição Auxiliar</v>
      </c>
      <c r="B3472" s="557" t="str">
        <f>B3471</f>
        <v>Composição Auxiliar</v>
      </c>
      <c r="C3472" s="100" t="s">
        <v>2893</v>
      </c>
      <c r="D3472" s="99" t="s">
        <v>3161</v>
      </c>
      <c r="E3472" s="100" t="s">
        <v>139</v>
      </c>
      <c r="F3472" s="100" t="s">
        <v>3162</v>
      </c>
      <c r="G3472" s="100" t="s">
        <v>2961</v>
      </c>
      <c r="H3472" s="100"/>
      <c r="I3472" s="101" t="s">
        <v>134</v>
      </c>
      <c r="J3472" s="580">
        <v>0.009</v>
      </c>
      <c r="K3472" s="580">
        <v>0</v>
      </c>
      <c r="L3472" s="102">
        <v>10.55</v>
      </c>
      <c r="M3472" s="102">
        <v>0.09</v>
      </c>
      <c r="N3472" s="573">
        <v>6.43</v>
      </c>
      <c r="O3472" s="556" t="str">
        <f>IF(N3472=M3472,"OK","DIF")</f>
        <v>DIF</v>
      </c>
      <c r="P3472" s="573"/>
      <c r="Q3472" s="556"/>
      <c r="R3472" s="582"/>
    </row>
    <row r="3473" ht="25.5" spans="1:18">
      <c r="A3473" s="556" t="str">
        <f>B3473</f>
        <v>Composição Auxiliar</v>
      </c>
      <c r="B3473" s="557" t="str">
        <f>B3472</f>
        <v>Composição Auxiliar</v>
      </c>
      <c r="C3473" s="108"/>
      <c r="D3473" s="108"/>
      <c r="E3473" s="108"/>
      <c r="F3473" s="108"/>
      <c r="G3473" s="108"/>
      <c r="H3473" s="108" t="s">
        <v>2898</v>
      </c>
      <c r="I3473" s="581">
        <v>4.75</v>
      </c>
      <c r="J3473" s="108" t="s">
        <v>2899</v>
      </c>
      <c r="K3473" s="581">
        <v>0</v>
      </c>
      <c r="L3473" s="108" t="s">
        <v>2900</v>
      </c>
      <c r="M3473" s="581">
        <v>4.75</v>
      </c>
      <c r="N3473" s="573">
        <v>3.17</v>
      </c>
      <c r="O3473" s="556" t="str">
        <f>IF(N3473=M3473,"OK","DIF")</f>
        <v>DIF</v>
      </c>
      <c r="P3473" s="573"/>
      <c r="Q3473" s="556"/>
      <c r="R3473" s="582"/>
    </row>
    <row r="3474" ht="26.25" spans="1:18">
      <c r="A3474" s="556"/>
      <c r="B3474" s="557"/>
      <c r="C3474" s="108"/>
      <c r="D3474" s="108"/>
      <c r="E3474" s="108"/>
      <c r="F3474" s="108"/>
      <c r="G3474" s="108"/>
      <c r="H3474" s="108" t="s">
        <v>2901</v>
      </c>
      <c r="I3474" s="581">
        <v>21.07</v>
      </c>
      <c r="J3474" s="114"/>
      <c r="K3474" s="114" t="s">
        <v>2902</v>
      </c>
      <c r="L3474" s="108"/>
      <c r="M3474" s="581">
        <v>103.75</v>
      </c>
      <c r="N3474" s="573"/>
      <c r="O3474" s="556"/>
      <c r="P3474" s="573"/>
      <c r="Q3474" s="556"/>
      <c r="R3474" s="582"/>
    </row>
    <row r="3475" ht="15" spans="1:18">
      <c r="A3475" s="556"/>
      <c r="B3475" s="557"/>
      <c r="C3475" s="571"/>
      <c r="D3475" s="571"/>
      <c r="E3475" s="571"/>
      <c r="F3475" s="571"/>
      <c r="G3475" s="571"/>
      <c r="H3475" s="571"/>
      <c r="I3475" s="571"/>
      <c r="J3475" s="571"/>
      <c r="K3475" s="571"/>
      <c r="L3475" s="571"/>
      <c r="M3475" s="571"/>
      <c r="N3475" s="573"/>
      <c r="O3475" s="556"/>
      <c r="P3475" s="573"/>
      <c r="Q3475" s="556"/>
      <c r="R3475" s="582"/>
    </row>
    <row r="3476" ht="15" customHeight="1" spans="1:18">
      <c r="A3476" s="556"/>
      <c r="B3476" s="557">
        <f>C3475</f>
        <v>0</v>
      </c>
      <c r="C3476" s="76" t="s">
        <v>1198</v>
      </c>
      <c r="D3476" s="75" t="s">
        <v>63</v>
      </c>
      <c r="E3476" s="76" t="s">
        <v>64</v>
      </c>
      <c r="F3476" s="76" t="s">
        <v>65</v>
      </c>
      <c r="G3476" s="76" t="s">
        <v>2889</v>
      </c>
      <c r="H3476" s="76"/>
      <c r="I3476" s="77" t="s">
        <v>66</v>
      </c>
      <c r="J3476" s="75" t="s">
        <v>67</v>
      </c>
      <c r="K3476" s="75" t="s">
        <v>2890</v>
      </c>
      <c r="L3476" s="75" t="s">
        <v>68</v>
      </c>
      <c r="M3476" s="75" t="s">
        <v>70</v>
      </c>
      <c r="N3476" s="573">
        <v>23.18</v>
      </c>
      <c r="O3476" s="556" t="str">
        <f t="shared" ref="O3476:O3481" si="279">IF(N3476=M3476,"OK","DIF")</f>
        <v>DIF</v>
      </c>
      <c r="P3476" s="573"/>
      <c r="Q3476" s="556"/>
      <c r="R3476" s="582"/>
    </row>
    <row r="3477" ht="35.05" customHeight="1" spans="1:18">
      <c r="A3477" s="556">
        <f>B3477</f>
        <v>0</v>
      </c>
      <c r="B3477" s="557">
        <f>B3476</f>
        <v>0</v>
      </c>
      <c r="C3477" s="569" t="s">
        <v>2891</v>
      </c>
      <c r="D3477" s="570" t="s">
        <v>1199</v>
      </c>
      <c r="E3477" s="569" t="s">
        <v>139</v>
      </c>
      <c r="F3477" s="569" t="s">
        <v>1200</v>
      </c>
      <c r="G3477" s="569" t="s">
        <v>4073</v>
      </c>
      <c r="H3477" s="569"/>
      <c r="I3477" s="577" t="s">
        <v>204</v>
      </c>
      <c r="J3477" s="578">
        <v>1</v>
      </c>
      <c r="K3477" s="579"/>
      <c r="L3477" s="579">
        <v>106.78</v>
      </c>
      <c r="M3477" s="579">
        <v>106.78</v>
      </c>
      <c r="N3477" s="573">
        <v>9.92</v>
      </c>
      <c r="O3477" s="556" t="str">
        <f t="shared" si="279"/>
        <v>DIF</v>
      </c>
      <c r="P3477" s="573"/>
      <c r="Q3477" s="556"/>
      <c r="R3477" s="582"/>
    </row>
    <row r="3478" ht="23.85" customHeight="1" spans="1:18">
      <c r="A3478" s="556">
        <f>B3478</f>
        <v>0</v>
      </c>
      <c r="B3478" s="557">
        <f>B3477</f>
        <v>0</v>
      </c>
      <c r="C3478" s="79" t="s">
        <v>2921</v>
      </c>
      <c r="D3478" s="78" t="s">
        <v>3153</v>
      </c>
      <c r="E3478" s="79" t="s">
        <v>139</v>
      </c>
      <c r="F3478" s="79" t="s">
        <v>3154</v>
      </c>
      <c r="G3478" s="79" t="s">
        <v>2928</v>
      </c>
      <c r="H3478" s="79"/>
      <c r="I3478" s="80" t="s">
        <v>2897</v>
      </c>
      <c r="J3478" s="583">
        <v>0.1228</v>
      </c>
      <c r="K3478" s="583">
        <v>0</v>
      </c>
      <c r="L3478" s="92">
        <v>30.6</v>
      </c>
      <c r="M3478" s="92">
        <v>3.75</v>
      </c>
      <c r="N3478" s="573">
        <v>7.78</v>
      </c>
      <c r="O3478" s="556" t="str">
        <f t="shared" si="279"/>
        <v>DIF</v>
      </c>
      <c r="P3478" s="573"/>
      <c r="Q3478" s="556"/>
      <c r="R3478" s="582"/>
    </row>
    <row r="3479" ht="23.85" customHeight="1" spans="1:18">
      <c r="A3479" s="556">
        <f>B3479</f>
        <v>0</v>
      </c>
      <c r="B3479" s="557">
        <f>B3478</f>
        <v>0</v>
      </c>
      <c r="C3479" s="79" t="s">
        <v>2921</v>
      </c>
      <c r="D3479" s="78" t="s">
        <v>3151</v>
      </c>
      <c r="E3479" s="79" t="s">
        <v>139</v>
      </c>
      <c r="F3479" s="79" t="s">
        <v>3152</v>
      </c>
      <c r="G3479" s="79" t="s">
        <v>2928</v>
      </c>
      <c r="H3479" s="79"/>
      <c r="I3479" s="80" t="s">
        <v>2897</v>
      </c>
      <c r="J3479" s="583">
        <v>0.1228</v>
      </c>
      <c r="K3479" s="583">
        <v>0</v>
      </c>
      <c r="L3479" s="92">
        <v>36.82</v>
      </c>
      <c r="M3479" s="92">
        <v>4.52</v>
      </c>
      <c r="N3479" s="573">
        <v>0.42</v>
      </c>
      <c r="O3479" s="556" t="str">
        <f t="shared" si="279"/>
        <v>DIF</v>
      </c>
      <c r="P3479" s="573"/>
      <c r="Q3479" s="556"/>
      <c r="R3479" s="582"/>
    </row>
    <row r="3480" ht="35.05" customHeight="1" spans="1:18">
      <c r="A3480" s="556">
        <f>B3480</f>
        <v>0</v>
      </c>
      <c r="B3480" s="557">
        <f>B3479</f>
        <v>0</v>
      </c>
      <c r="C3480" s="100" t="s">
        <v>2893</v>
      </c>
      <c r="D3480" s="99" t="s">
        <v>4135</v>
      </c>
      <c r="E3480" s="100" t="s">
        <v>139</v>
      </c>
      <c r="F3480" s="100" t="s">
        <v>4136</v>
      </c>
      <c r="G3480" s="100" t="s">
        <v>2961</v>
      </c>
      <c r="H3480" s="100"/>
      <c r="I3480" s="101" t="s">
        <v>204</v>
      </c>
      <c r="J3480" s="580">
        <v>1.015</v>
      </c>
      <c r="K3480" s="580">
        <v>0</v>
      </c>
      <c r="L3480" s="102">
        <v>96.97</v>
      </c>
      <c r="M3480" s="102">
        <v>98.42</v>
      </c>
      <c r="N3480" s="573">
        <v>1.66</v>
      </c>
      <c r="O3480" s="556" t="str">
        <f t="shared" si="279"/>
        <v>DIF</v>
      </c>
      <c r="P3480" s="573"/>
      <c r="Q3480" s="556"/>
      <c r="R3480" s="582"/>
    </row>
    <row r="3481" ht="23.85" customHeight="1" spans="1:18">
      <c r="A3481" s="556">
        <f>B3481</f>
        <v>0</v>
      </c>
      <c r="B3481" s="557">
        <f>B3480</f>
        <v>0</v>
      </c>
      <c r="C3481" s="100" t="s">
        <v>2893</v>
      </c>
      <c r="D3481" s="99" t="s">
        <v>3161</v>
      </c>
      <c r="E3481" s="100" t="s">
        <v>139</v>
      </c>
      <c r="F3481" s="100" t="s">
        <v>3162</v>
      </c>
      <c r="G3481" s="100" t="s">
        <v>2961</v>
      </c>
      <c r="H3481" s="100"/>
      <c r="I3481" s="101" t="s">
        <v>134</v>
      </c>
      <c r="J3481" s="580">
        <v>0.009</v>
      </c>
      <c r="K3481" s="580">
        <v>0</v>
      </c>
      <c r="L3481" s="102">
        <v>10.55</v>
      </c>
      <c r="M3481" s="102">
        <v>0.09</v>
      </c>
      <c r="N3481" s="573">
        <v>3.4</v>
      </c>
      <c r="O3481" s="556" t="str">
        <f t="shared" si="279"/>
        <v>DIF</v>
      </c>
      <c r="P3481" s="573"/>
      <c r="Q3481" s="556"/>
      <c r="R3481" s="582"/>
    </row>
    <row r="3482" ht="25.5" spans="1:18">
      <c r="A3482" s="556"/>
      <c r="B3482" s="557"/>
      <c r="C3482" s="108"/>
      <c r="D3482" s="108"/>
      <c r="E3482" s="108"/>
      <c r="F3482" s="108"/>
      <c r="G3482" s="108"/>
      <c r="H3482" s="108" t="s">
        <v>2898</v>
      </c>
      <c r="I3482" s="581">
        <v>5.8</v>
      </c>
      <c r="J3482" s="108" t="s">
        <v>2899</v>
      </c>
      <c r="K3482" s="581">
        <v>0</v>
      </c>
      <c r="L3482" s="108" t="s">
        <v>2900</v>
      </c>
      <c r="M3482" s="581">
        <v>5.8</v>
      </c>
      <c r="N3482" s="573"/>
      <c r="O3482" s="556"/>
      <c r="P3482" s="573"/>
      <c r="Q3482" s="556"/>
      <c r="R3482" s="582"/>
    </row>
    <row r="3483" ht="26.25" spans="1:18">
      <c r="A3483" s="556"/>
      <c r="B3483" s="557"/>
      <c r="C3483" s="108"/>
      <c r="D3483" s="108"/>
      <c r="E3483" s="108"/>
      <c r="F3483" s="108"/>
      <c r="G3483" s="108"/>
      <c r="H3483" s="108" t="s">
        <v>2901</v>
      </c>
      <c r="I3483" s="581">
        <v>27.21</v>
      </c>
      <c r="J3483" s="114"/>
      <c r="K3483" s="114" t="s">
        <v>2902</v>
      </c>
      <c r="L3483" s="108"/>
      <c r="M3483" s="581">
        <v>133.99</v>
      </c>
      <c r="N3483" s="573"/>
      <c r="O3483" s="556"/>
      <c r="P3483" s="573"/>
      <c r="Q3483" s="556"/>
      <c r="R3483" s="582"/>
    </row>
    <row r="3484" ht="15" spans="1:18">
      <c r="A3484" s="556"/>
      <c r="B3484" s="557">
        <f>C3483</f>
        <v>0</v>
      </c>
      <c r="C3484" s="571"/>
      <c r="D3484" s="571"/>
      <c r="E3484" s="571"/>
      <c r="F3484" s="571"/>
      <c r="G3484" s="571"/>
      <c r="H3484" s="571"/>
      <c r="I3484" s="571"/>
      <c r="J3484" s="571"/>
      <c r="K3484" s="571"/>
      <c r="L3484" s="571"/>
      <c r="M3484" s="571"/>
      <c r="N3484" s="573">
        <v>0.06</v>
      </c>
      <c r="O3484" s="556" t="str">
        <f>IF(N3484=M3484,"OK","DIF")</f>
        <v>DIF</v>
      </c>
      <c r="P3484" s="573"/>
      <c r="Q3484" s="556"/>
      <c r="R3484" s="582"/>
    </row>
    <row r="3485" ht="15" customHeight="1" spans="1:18">
      <c r="A3485" s="556"/>
      <c r="B3485" s="557"/>
      <c r="C3485" s="76" t="s">
        <v>1201</v>
      </c>
      <c r="D3485" s="75" t="s">
        <v>63</v>
      </c>
      <c r="E3485" s="76" t="s">
        <v>64</v>
      </c>
      <c r="F3485" s="76" t="s">
        <v>65</v>
      </c>
      <c r="G3485" s="76" t="s">
        <v>2889</v>
      </c>
      <c r="H3485" s="76"/>
      <c r="I3485" s="77" t="s">
        <v>66</v>
      </c>
      <c r="J3485" s="75" t="s">
        <v>67</v>
      </c>
      <c r="K3485" s="75" t="s">
        <v>2890</v>
      </c>
      <c r="L3485" s="75" t="s">
        <v>68</v>
      </c>
      <c r="M3485" s="75" t="s">
        <v>70</v>
      </c>
      <c r="N3485" s="573"/>
      <c r="O3485" s="556"/>
      <c r="P3485" s="573"/>
      <c r="Q3485" s="556"/>
      <c r="R3485" s="582"/>
    </row>
    <row r="3486" ht="35.05" customHeight="1" spans="1:18">
      <c r="A3486" s="556"/>
      <c r="B3486" s="557"/>
      <c r="C3486" s="569" t="s">
        <v>2891</v>
      </c>
      <c r="D3486" s="570" t="s">
        <v>1202</v>
      </c>
      <c r="E3486" s="569" t="s">
        <v>139</v>
      </c>
      <c r="F3486" s="569" t="s">
        <v>1203</v>
      </c>
      <c r="G3486" s="569" t="s">
        <v>4073</v>
      </c>
      <c r="H3486" s="569"/>
      <c r="I3486" s="577" t="s">
        <v>204</v>
      </c>
      <c r="J3486" s="578">
        <v>1</v>
      </c>
      <c r="K3486" s="579"/>
      <c r="L3486" s="579">
        <v>138.56</v>
      </c>
      <c r="M3486" s="579">
        <v>138.56</v>
      </c>
      <c r="N3486" s="573"/>
      <c r="O3486" s="556"/>
      <c r="P3486" s="573"/>
      <c r="Q3486" s="556"/>
      <c r="R3486" s="582"/>
    </row>
    <row r="3487" ht="23.85" customHeight="1" spans="1:18">
      <c r="A3487" s="556"/>
      <c r="B3487" s="557" t="str">
        <f>C3486</f>
        <v>Composição</v>
      </c>
      <c r="C3487" s="79" t="s">
        <v>2921</v>
      </c>
      <c r="D3487" s="78" t="s">
        <v>3153</v>
      </c>
      <c r="E3487" s="79" t="s">
        <v>139</v>
      </c>
      <c r="F3487" s="79" t="s">
        <v>3154</v>
      </c>
      <c r="G3487" s="79" t="s">
        <v>2928</v>
      </c>
      <c r="H3487" s="79"/>
      <c r="I3487" s="80" t="s">
        <v>2897</v>
      </c>
      <c r="J3487" s="583">
        <v>0.145</v>
      </c>
      <c r="K3487" s="583">
        <v>0</v>
      </c>
      <c r="L3487" s="92">
        <v>30.6</v>
      </c>
      <c r="M3487" s="92">
        <v>4.43</v>
      </c>
      <c r="N3487" s="573">
        <v>0.12</v>
      </c>
      <c r="O3487" s="556" t="str">
        <f>IF(N3487=M3487,"OK","DIF")</f>
        <v>DIF</v>
      </c>
      <c r="P3487" s="573"/>
      <c r="Q3487" s="556"/>
      <c r="R3487" s="582"/>
    </row>
    <row r="3488" ht="23.85" customHeight="1" spans="1:18">
      <c r="A3488" s="556" t="str">
        <f>B3488</f>
        <v>Composição</v>
      </c>
      <c r="B3488" s="557" t="str">
        <f>B3487</f>
        <v>Composição</v>
      </c>
      <c r="C3488" s="79" t="s">
        <v>2921</v>
      </c>
      <c r="D3488" s="78" t="s">
        <v>3151</v>
      </c>
      <c r="E3488" s="79" t="s">
        <v>139</v>
      </c>
      <c r="F3488" s="79" t="s">
        <v>3152</v>
      </c>
      <c r="G3488" s="79" t="s">
        <v>2928</v>
      </c>
      <c r="H3488" s="79"/>
      <c r="I3488" s="80" t="s">
        <v>2897</v>
      </c>
      <c r="J3488" s="583">
        <v>0.145</v>
      </c>
      <c r="K3488" s="583">
        <v>0</v>
      </c>
      <c r="L3488" s="92">
        <v>36.82</v>
      </c>
      <c r="M3488" s="92">
        <v>5.33</v>
      </c>
      <c r="N3488" s="573">
        <v>0.12</v>
      </c>
      <c r="O3488" s="556" t="str">
        <f>IF(N3488=M3488,"OK","DIF")</f>
        <v>DIF</v>
      </c>
      <c r="P3488" s="573"/>
      <c r="Q3488" s="556"/>
      <c r="R3488" s="582"/>
    </row>
    <row r="3489" ht="35.05" customHeight="1" spans="1:18">
      <c r="A3489" s="556"/>
      <c r="B3489" s="557"/>
      <c r="C3489" s="100" t="s">
        <v>2893</v>
      </c>
      <c r="D3489" s="99" t="s">
        <v>4137</v>
      </c>
      <c r="E3489" s="100" t="s">
        <v>139</v>
      </c>
      <c r="F3489" s="100" t="s">
        <v>4138</v>
      </c>
      <c r="G3489" s="100" t="s">
        <v>2961</v>
      </c>
      <c r="H3489" s="100"/>
      <c r="I3489" s="101" t="s">
        <v>204</v>
      </c>
      <c r="J3489" s="580">
        <v>1.015</v>
      </c>
      <c r="K3489" s="580">
        <v>0</v>
      </c>
      <c r="L3489" s="102">
        <v>126.81</v>
      </c>
      <c r="M3489" s="102">
        <v>128.71</v>
      </c>
      <c r="N3489" s="573"/>
      <c r="O3489" s="556"/>
      <c r="P3489" s="573"/>
      <c r="Q3489" s="556"/>
      <c r="R3489" s="582"/>
    </row>
    <row r="3490" ht="23.85" customHeight="1" spans="1:18">
      <c r="A3490" s="556"/>
      <c r="B3490" s="557"/>
      <c r="C3490" s="100" t="s">
        <v>2893</v>
      </c>
      <c r="D3490" s="99" t="s">
        <v>3161</v>
      </c>
      <c r="E3490" s="100" t="s">
        <v>139</v>
      </c>
      <c r="F3490" s="100" t="s">
        <v>3162</v>
      </c>
      <c r="G3490" s="100" t="s">
        <v>2961</v>
      </c>
      <c r="H3490" s="100"/>
      <c r="I3490" s="101" t="s">
        <v>134</v>
      </c>
      <c r="J3490" s="580">
        <v>0.009</v>
      </c>
      <c r="K3490" s="580">
        <v>0</v>
      </c>
      <c r="L3490" s="102">
        <v>10.55</v>
      </c>
      <c r="M3490" s="102">
        <v>0.09</v>
      </c>
      <c r="N3490" s="573"/>
      <c r="O3490" s="556"/>
      <c r="P3490" s="573"/>
      <c r="Q3490" s="556"/>
      <c r="R3490" s="582"/>
    </row>
    <row r="3491" ht="25.5" spans="1:18">
      <c r="A3491" s="556"/>
      <c r="B3491" s="557" t="str">
        <f>C3490</f>
        <v>Insumo</v>
      </c>
      <c r="C3491" s="108"/>
      <c r="D3491" s="108"/>
      <c r="E3491" s="108"/>
      <c r="F3491" s="108"/>
      <c r="G3491" s="108"/>
      <c r="H3491" s="108" t="s">
        <v>2898</v>
      </c>
      <c r="I3491" s="581">
        <v>6.85</v>
      </c>
      <c r="J3491" s="108" t="s">
        <v>2899</v>
      </c>
      <c r="K3491" s="581">
        <v>0</v>
      </c>
      <c r="L3491" s="108" t="s">
        <v>2900</v>
      </c>
      <c r="M3491" s="581">
        <v>6.85</v>
      </c>
      <c r="N3491" s="573">
        <v>2.92</v>
      </c>
      <c r="O3491" s="556" t="str">
        <f>IF(N3491=M3491,"OK","DIF")</f>
        <v>DIF</v>
      </c>
      <c r="P3491" s="573"/>
      <c r="Q3491" s="556"/>
      <c r="R3491" s="582"/>
    </row>
    <row r="3492" ht="26.25" spans="1:18">
      <c r="A3492" s="556" t="str">
        <f>B3492</f>
        <v>Insumo</v>
      </c>
      <c r="B3492" s="557" t="str">
        <f>B3491</f>
        <v>Insumo</v>
      </c>
      <c r="C3492" s="108"/>
      <c r="D3492" s="108"/>
      <c r="E3492" s="108"/>
      <c r="F3492" s="108"/>
      <c r="G3492" s="108"/>
      <c r="H3492" s="108" t="s">
        <v>2901</v>
      </c>
      <c r="I3492" s="581">
        <v>35.31</v>
      </c>
      <c r="J3492" s="114"/>
      <c r="K3492" s="114" t="s">
        <v>2902</v>
      </c>
      <c r="L3492" s="108"/>
      <c r="M3492" s="581">
        <v>173.87</v>
      </c>
      <c r="N3492" s="573">
        <v>0.27</v>
      </c>
      <c r="O3492" s="556" t="str">
        <f>IF(N3492=M3492,"OK","DIF")</f>
        <v>DIF</v>
      </c>
      <c r="P3492" s="573"/>
      <c r="Q3492" s="556"/>
      <c r="R3492" s="582"/>
    </row>
    <row r="3493" ht="15" spans="1:18">
      <c r="A3493" s="556" t="str">
        <f>B3493</f>
        <v>Insumo</v>
      </c>
      <c r="B3493" s="557" t="str">
        <f>B3492</f>
        <v>Insumo</v>
      </c>
      <c r="C3493" s="571"/>
      <c r="D3493" s="571"/>
      <c r="E3493" s="571"/>
      <c r="F3493" s="571"/>
      <c r="G3493" s="571"/>
      <c r="H3493" s="571"/>
      <c r="I3493" s="571"/>
      <c r="J3493" s="571"/>
      <c r="K3493" s="571"/>
      <c r="L3493" s="571"/>
      <c r="M3493" s="571"/>
      <c r="N3493" s="573">
        <v>0.33</v>
      </c>
      <c r="O3493" s="556" t="str">
        <f>IF(N3493=M3493,"OK","DIF")</f>
        <v>DIF</v>
      </c>
      <c r="P3493" s="573"/>
      <c r="Q3493" s="556"/>
      <c r="R3493" s="582"/>
    </row>
    <row r="3494" ht="15" customHeight="1" spans="1:18">
      <c r="A3494" s="556" t="str">
        <f>B3494</f>
        <v>Insumo</v>
      </c>
      <c r="B3494" s="557" t="str">
        <f>B3493</f>
        <v>Insumo</v>
      </c>
      <c r="C3494" s="76" t="s">
        <v>1204</v>
      </c>
      <c r="D3494" s="75" t="s">
        <v>63</v>
      </c>
      <c r="E3494" s="76" t="s">
        <v>64</v>
      </c>
      <c r="F3494" s="76" t="s">
        <v>65</v>
      </c>
      <c r="G3494" s="76" t="s">
        <v>2889</v>
      </c>
      <c r="H3494" s="76"/>
      <c r="I3494" s="77" t="s">
        <v>66</v>
      </c>
      <c r="J3494" s="75" t="s">
        <v>67</v>
      </c>
      <c r="K3494" s="75" t="s">
        <v>2890</v>
      </c>
      <c r="L3494" s="75" t="s">
        <v>68</v>
      </c>
      <c r="M3494" s="75" t="s">
        <v>70</v>
      </c>
      <c r="N3494" s="573">
        <v>2.32</v>
      </c>
      <c r="O3494" s="556" t="str">
        <f>IF(N3494=M3494,"OK","DIF")</f>
        <v>DIF</v>
      </c>
      <c r="P3494" s="573"/>
      <c r="Q3494" s="556"/>
      <c r="R3494" s="582"/>
    </row>
    <row r="3495" ht="35.05" customHeight="1" spans="1:18">
      <c r="A3495" s="556"/>
      <c r="B3495" s="557"/>
      <c r="C3495" s="569" t="s">
        <v>2891</v>
      </c>
      <c r="D3495" s="570" t="s">
        <v>1205</v>
      </c>
      <c r="E3495" s="569" t="s">
        <v>139</v>
      </c>
      <c r="F3495" s="569" t="s">
        <v>1206</v>
      </c>
      <c r="G3495" s="569" t="s">
        <v>4073</v>
      </c>
      <c r="H3495" s="569"/>
      <c r="I3495" s="577" t="s">
        <v>204</v>
      </c>
      <c r="J3495" s="578">
        <v>1</v>
      </c>
      <c r="K3495" s="579"/>
      <c r="L3495" s="579">
        <v>350.84</v>
      </c>
      <c r="M3495" s="579">
        <v>350.84</v>
      </c>
      <c r="N3495" s="573"/>
      <c r="O3495" s="556"/>
      <c r="P3495" s="573"/>
      <c r="Q3495" s="556"/>
      <c r="R3495" s="582"/>
    </row>
    <row r="3496" ht="23.85" customHeight="1" spans="1:18">
      <c r="A3496" s="556"/>
      <c r="B3496" s="557"/>
      <c r="C3496" s="79" t="s">
        <v>2921</v>
      </c>
      <c r="D3496" s="78" t="s">
        <v>3153</v>
      </c>
      <c r="E3496" s="79" t="s">
        <v>139</v>
      </c>
      <c r="F3496" s="79" t="s">
        <v>3154</v>
      </c>
      <c r="G3496" s="79" t="s">
        <v>2928</v>
      </c>
      <c r="H3496" s="79"/>
      <c r="I3496" s="80" t="s">
        <v>2897</v>
      </c>
      <c r="J3496" s="583">
        <v>0.3044</v>
      </c>
      <c r="K3496" s="583">
        <v>0</v>
      </c>
      <c r="L3496" s="92">
        <v>30.6</v>
      </c>
      <c r="M3496" s="92">
        <v>9.31</v>
      </c>
      <c r="N3496" s="573"/>
      <c r="O3496" s="556"/>
      <c r="P3496" s="573"/>
      <c r="Q3496" s="556"/>
      <c r="R3496" s="582"/>
    </row>
    <row r="3497" ht="23.85" customHeight="1" spans="1:18">
      <c r="A3497" s="556"/>
      <c r="B3497" s="557" t="str">
        <f>C3496</f>
        <v>Composição Auxiliar</v>
      </c>
      <c r="C3497" s="79" t="s">
        <v>2921</v>
      </c>
      <c r="D3497" s="78" t="s">
        <v>3151</v>
      </c>
      <c r="E3497" s="79" t="s">
        <v>139</v>
      </c>
      <c r="F3497" s="79" t="s">
        <v>3152</v>
      </c>
      <c r="G3497" s="79" t="s">
        <v>2928</v>
      </c>
      <c r="H3497" s="79"/>
      <c r="I3497" s="80" t="s">
        <v>2897</v>
      </c>
      <c r="J3497" s="583">
        <v>0.3044</v>
      </c>
      <c r="K3497" s="583">
        <v>0</v>
      </c>
      <c r="L3497" s="92">
        <v>36.82</v>
      </c>
      <c r="M3497" s="92">
        <v>11.2</v>
      </c>
      <c r="N3497" s="573">
        <v>25.76</v>
      </c>
      <c r="O3497" s="556" t="str">
        <f>IF(N3497=M3497,"OK","DIF")</f>
        <v>DIF</v>
      </c>
      <c r="P3497" s="573"/>
      <c r="Q3497" s="556"/>
      <c r="R3497" s="582"/>
    </row>
    <row r="3498" ht="35.05" customHeight="1" spans="1:18">
      <c r="A3498" s="556" t="str">
        <f>B3498</f>
        <v>Composição Auxiliar</v>
      </c>
      <c r="B3498" s="557" t="str">
        <f>B3497</f>
        <v>Composição Auxiliar</v>
      </c>
      <c r="C3498" s="100" t="s">
        <v>2893</v>
      </c>
      <c r="D3498" s="99" t="s">
        <v>4139</v>
      </c>
      <c r="E3498" s="100" t="s">
        <v>139</v>
      </c>
      <c r="F3498" s="100" t="s">
        <v>4140</v>
      </c>
      <c r="G3498" s="100" t="s">
        <v>2961</v>
      </c>
      <c r="H3498" s="100"/>
      <c r="I3498" s="101" t="s">
        <v>204</v>
      </c>
      <c r="J3498" s="580">
        <v>1.015</v>
      </c>
      <c r="K3498" s="580">
        <v>0</v>
      </c>
      <c r="L3498" s="102">
        <v>325.36</v>
      </c>
      <c r="M3498" s="102">
        <v>330.24</v>
      </c>
      <c r="N3498" s="573">
        <v>7.6</v>
      </c>
      <c r="O3498" s="556" t="str">
        <f>IF(N3498=M3498,"OK","DIF")</f>
        <v>DIF</v>
      </c>
      <c r="P3498" s="573"/>
      <c r="Q3498" s="556"/>
      <c r="R3498" s="582"/>
    </row>
    <row r="3499" ht="23.85" customHeight="1" spans="1:18">
      <c r="A3499" s="556" t="str">
        <f>B3499</f>
        <v>Composição Auxiliar</v>
      </c>
      <c r="B3499" s="557" t="str">
        <f>B3498</f>
        <v>Composição Auxiliar</v>
      </c>
      <c r="C3499" s="100" t="s">
        <v>2893</v>
      </c>
      <c r="D3499" s="99" t="s">
        <v>3161</v>
      </c>
      <c r="E3499" s="100" t="s">
        <v>139</v>
      </c>
      <c r="F3499" s="100" t="s">
        <v>3162</v>
      </c>
      <c r="G3499" s="100" t="s">
        <v>2961</v>
      </c>
      <c r="H3499" s="100"/>
      <c r="I3499" s="101" t="s">
        <v>134</v>
      </c>
      <c r="J3499" s="580">
        <v>0.009</v>
      </c>
      <c r="K3499" s="580">
        <v>0</v>
      </c>
      <c r="L3499" s="102">
        <v>10.55</v>
      </c>
      <c r="M3499" s="102">
        <v>0.09</v>
      </c>
      <c r="N3499" s="573">
        <v>6.28</v>
      </c>
      <c r="O3499" s="556" t="str">
        <f>IF(N3499=M3499,"OK","DIF")</f>
        <v>DIF</v>
      </c>
      <c r="P3499" s="573"/>
      <c r="Q3499" s="556"/>
      <c r="R3499" s="582"/>
    </row>
    <row r="3500" ht="25.5" spans="1:18">
      <c r="A3500" s="556" t="str">
        <f>B3500</f>
        <v>Composição Auxiliar</v>
      </c>
      <c r="B3500" s="557" t="str">
        <f>B3499</f>
        <v>Composição Auxiliar</v>
      </c>
      <c r="C3500" s="108"/>
      <c r="D3500" s="108"/>
      <c r="E3500" s="108"/>
      <c r="F3500" s="108"/>
      <c r="G3500" s="108"/>
      <c r="H3500" s="108" t="s">
        <v>2898</v>
      </c>
      <c r="I3500" s="581">
        <v>14.39</v>
      </c>
      <c r="J3500" s="108" t="s">
        <v>2899</v>
      </c>
      <c r="K3500" s="581">
        <v>0</v>
      </c>
      <c r="L3500" s="108" t="s">
        <v>2900</v>
      </c>
      <c r="M3500" s="581">
        <v>14.39</v>
      </c>
      <c r="N3500" s="573">
        <v>0.62</v>
      </c>
      <c r="O3500" s="556" t="str">
        <f>IF(N3500=M3500,"OK","DIF")</f>
        <v>DIF</v>
      </c>
      <c r="P3500" s="573"/>
      <c r="Q3500" s="556"/>
      <c r="R3500" s="582"/>
    </row>
    <row r="3501" ht="26.25" spans="1:18">
      <c r="A3501" s="556" t="str">
        <f>B3501</f>
        <v>Composição Auxiliar</v>
      </c>
      <c r="B3501" s="557" t="str">
        <f>B3500</f>
        <v>Composição Auxiliar</v>
      </c>
      <c r="C3501" s="108"/>
      <c r="D3501" s="108"/>
      <c r="E3501" s="108"/>
      <c r="F3501" s="108"/>
      <c r="G3501" s="108"/>
      <c r="H3501" s="108" t="s">
        <v>2901</v>
      </c>
      <c r="I3501" s="581">
        <v>89.42</v>
      </c>
      <c r="J3501" s="114"/>
      <c r="K3501" s="114" t="s">
        <v>2902</v>
      </c>
      <c r="L3501" s="108"/>
      <c r="M3501" s="581">
        <v>440.26</v>
      </c>
      <c r="N3501" s="573">
        <v>11.26</v>
      </c>
      <c r="O3501" s="556" t="str">
        <f>IF(N3501=M3501,"OK","DIF")</f>
        <v>DIF</v>
      </c>
      <c r="P3501" s="573"/>
      <c r="Q3501" s="556"/>
      <c r="R3501" s="582"/>
    </row>
    <row r="3502" ht="15" spans="1:18">
      <c r="A3502" s="556"/>
      <c r="B3502" s="557"/>
      <c r="C3502" s="571"/>
      <c r="D3502" s="571"/>
      <c r="E3502" s="571"/>
      <c r="F3502" s="571"/>
      <c r="G3502" s="571"/>
      <c r="H3502" s="571"/>
      <c r="I3502" s="571"/>
      <c r="J3502" s="571"/>
      <c r="K3502" s="571"/>
      <c r="L3502" s="571"/>
      <c r="M3502" s="571"/>
      <c r="N3502" s="573"/>
      <c r="O3502" s="556"/>
      <c r="P3502" s="573"/>
      <c r="Q3502" s="556"/>
      <c r="R3502" s="582"/>
    </row>
    <row r="3503" ht="15" customHeight="1" spans="1:18">
      <c r="A3503" s="556"/>
      <c r="B3503" s="557"/>
      <c r="C3503" s="76" t="s">
        <v>1207</v>
      </c>
      <c r="D3503" s="75" t="s">
        <v>63</v>
      </c>
      <c r="E3503" s="76" t="s">
        <v>64</v>
      </c>
      <c r="F3503" s="76" t="s">
        <v>65</v>
      </c>
      <c r="G3503" s="76" t="s">
        <v>2889</v>
      </c>
      <c r="H3503" s="76"/>
      <c r="I3503" s="77" t="s">
        <v>66</v>
      </c>
      <c r="J3503" s="75" t="s">
        <v>67</v>
      </c>
      <c r="K3503" s="75" t="s">
        <v>2890</v>
      </c>
      <c r="L3503" s="75" t="s">
        <v>68</v>
      </c>
      <c r="M3503" s="75" t="s">
        <v>70</v>
      </c>
      <c r="N3503" s="573"/>
      <c r="O3503" s="556"/>
      <c r="P3503" s="573"/>
      <c r="Q3503" s="556"/>
      <c r="R3503" s="582"/>
    </row>
    <row r="3504" ht="35.05" customHeight="1" spans="1:18">
      <c r="A3504" s="556"/>
      <c r="B3504" s="557" t="str">
        <f>C3503</f>
        <v> 12.2.13 </v>
      </c>
      <c r="C3504" s="569" t="s">
        <v>2891</v>
      </c>
      <c r="D3504" s="570" t="s">
        <v>1208</v>
      </c>
      <c r="E3504" s="569" t="s">
        <v>132</v>
      </c>
      <c r="F3504" s="569" t="s">
        <v>1209</v>
      </c>
      <c r="G3504" s="569" t="s">
        <v>3177</v>
      </c>
      <c r="H3504" s="569"/>
      <c r="I3504" s="577" t="s">
        <v>134</v>
      </c>
      <c r="J3504" s="578">
        <v>1</v>
      </c>
      <c r="K3504" s="579"/>
      <c r="L3504" s="579">
        <v>267442.62</v>
      </c>
      <c r="M3504" s="579">
        <v>267442.62</v>
      </c>
      <c r="N3504" s="573">
        <v>30.97</v>
      </c>
      <c r="O3504" s="556" t="str">
        <f>IF(N3504=M3504,"OK","DIF")</f>
        <v>DIF</v>
      </c>
      <c r="P3504" s="573"/>
      <c r="Q3504" s="556"/>
      <c r="R3504" s="582"/>
    </row>
    <row r="3505" ht="68.65" customHeight="1" spans="1:18">
      <c r="A3505" s="556" t="str">
        <f>B3505</f>
        <v> 12.2.13 </v>
      </c>
      <c r="B3505" s="557" t="str">
        <f>B3504</f>
        <v> 12.2.13 </v>
      </c>
      <c r="C3505" s="100" t="s">
        <v>2893</v>
      </c>
      <c r="D3505" s="99" t="s">
        <v>4141</v>
      </c>
      <c r="E3505" s="100" t="s">
        <v>132</v>
      </c>
      <c r="F3505" s="100" t="s">
        <v>4142</v>
      </c>
      <c r="G3505" s="100" t="s">
        <v>2961</v>
      </c>
      <c r="H3505" s="100"/>
      <c r="I3505" s="101" t="s">
        <v>134</v>
      </c>
      <c r="J3505" s="580">
        <v>1</v>
      </c>
      <c r="K3505" s="580">
        <v>0</v>
      </c>
      <c r="L3505" s="102">
        <v>32026.32</v>
      </c>
      <c r="M3505" s="102">
        <v>32026.32</v>
      </c>
      <c r="N3505" s="573">
        <v>9.01</v>
      </c>
      <c r="O3505" s="556" t="str">
        <f>IF(N3505=M3505,"OK","DIF")</f>
        <v>DIF</v>
      </c>
      <c r="P3505" s="573"/>
      <c r="Q3505" s="556"/>
      <c r="R3505" s="582"/>
    </row>
    <row r="3506" ht="23.85" customHeight="1" spans="1:18">
      <c r="A3506" s="556" t="str">
        <f>B3506</f>
        <v> 12.2.13 </v>
      </c>
      <c r="B3506" s="557" t="str">
        <f>B3505</f>
        <v> 12.2.13 </v>
      </c>
      <c r="C3506" s="100" t="s">
        <v>2893</v>
      </c>
      <c r="D3506" s="99" t="s">
        <v>4143</v>
      </c>
      <c r="E3506" s="100" t="s">
        <v>132</v>
      </c>
      <c r="F3506" s="100" t="s">
        <v>4144</v>
      </c>
      <c r="G3506" s="100" t="s">
        <v>4145</v>
      </c>
      <c r="H3506" s="100"/>
      <c r="I3506" s="101" t="s">
        <v>134</v>
      </c>
      <c r="J3506" s="580">
        <v>1</v>
      </c>
      <c r="K3506" s="580">
        <v>0</v>
      </c>
      <c r="L3506" s="102">
        <v>52650</v>
      </c>
      <c r="M3506" s="102">
        <v>52650</v>
      </c>
      <c r="N3506" s="573">
        <v>7.44</v>
      </c>
      <c r="O3506" s="556" t="str">
        <f>IF(N3506=M3506,"OK","DIF")</f>
        <v>DIF</v>
      </c>
      <c r="P3506" s="573"/>
      <c r="Q3506" s="556"/>
      <c r="R3506" s="582"/>
    </row>
    <row r="3507" ht="57.45" customHeight="1" spans="1:18">
      <c r="A3507" s="556" t="str">
        <f>B3507</f>
        <v> 12.2.13 </v>
      </c>
      <c r="B3507" s="557" t="str">
        <f>B3506</f>
        <v> 12.2.13 </v>
      </c>
      <c r="C3507" s="100" t="s">
        <v>2893</v>
      </c>
      <c r="D3507" s="99" t="s">
        <v>4146</v>
      </c>
      <c r="E3507" s="100" t="s">
        <v>132</v>
      </c>
      <c r="F3507" s="100" t="s">
        <v>4147</v>
      </c>
      <c r="G3507" s="100" t="s">
        <v>2961</v>
      </c>
      <c r="H3507" s="100"/>
      <c r="I3507" s="101" t="s">
        <v>134</v>
      </c>
      <c r="J3507" s="580">
        <v>1</v>
      </c>
      <c r="K3507" s="580">
        <v>0</v>
      </c>
      <c r="L3507" s="102">
        <v>182766.3</v>
      </c>
      <c r="M3507" s="102">
        <v>182766.3</v>
      </c>
      <c r="N3507" s="573">
        <v>0.62</v>
      </c>
      <c r="O3507" s="556" t="str">
        <f>IF(N3507=M3507,"OK","DIF")</f>
        <v>DIF</v>
      </c>
      <c r="P3507" s="573"/>
      <c r="Q3507" s="556"/>
      <c r="R3507" s="582"/>
    </row>
    <row r="3508" ht="25.5" spans="1:18">
      <c r="A3508" s="556" t="str">
        <f>B3508</f>
        <v> 12.2.13 </v>
      </c>
      <c r="B3508" s="557" t="str">
        <f>B3507</f>
        <v> 12.2.13 </v>
      </c>
      <c r="C3508" s="108"/>
      <c r="D3508" s="108"/>
      <c r="E3508" s="108"/>
      <c r="F3508" s="108"/>
      <c r="G3508" s="108"/>
      <c r="H3508" s="108" t="s">
        <v>2898</v>
      </c>
      <c r="I3508" s="581">
        <v>0</v>
      </c>
      <c r="J3508" s="108" t="s">
        <v>2899</v>
      </c>
      <c r="K3508" s="581">
        <v>0</v>
      </c>
      <c r="L3508" s="108" t="s">
        <v>2900</v>
      </c>
      <c r="M3508" s="581">
        <v>0</v>
      </c>
      <c r="N3508" s="573">
        <v>13.9</v>
      </c>
      <c r="O3508" s="556" t="str">
        <f>IF(N3508=M3508,"OK","DIF")</f>
        <v>DIF</v>
      </c>
      <c r="P3508" s="573"/>
      <c r="Q3508" s="556"/>
      <c r="R3508" s="582"/>
    </row>
    <row r="3509" ht="26.25" spans="1:18">
      <c r="A3509" s="556"/>
      <c r="B3509" s="557"/>
      <c r="C3509" s="108"/>
      <c r="D3509" s="108"/>
      <c r="E3509" s="108"/>
      <c r="F3509" s="108"/>
      <c r="G3509" s="108"/>
      <c r="H3509" s="108" t="s">
        <v>2901</v>
      </c>
      <c r="I3509" s="581">
        <v>68171.12</v>
      </c>
      <c r="J3509" s="114"/>
      <c r="K3509" s="114" t="s">
        <v>2902</v>
      </c>
      <c r="L3509" s="108"/>
      <c r="M3509" s="581">
        <v>335613.74</v>
      </c>
      <c r="N3509" s="573"/>
      <c r="O3509" s="556"/>
      <c r="P3509" s="573"/>
      <c r="Q3509" s="556"/>
      <c r="R3509" s="582"/>
    </row>
    <row r="3510" ht="15" spans="1:18">
      <c r="A3510" s="556"/>
      <c r="B3510" s="557"/>
      <c r="C3510" s="571"/>
      <c r="D3510" s="571"/>
      <c r="E3510" s="571"/>
      <c r="F3510" s="571"/>
      <c r="G3510" s="571"/>
      <c r="H3510" s="571"/>
      <c r="I3510" s="571"/>
      <c r="J3510" s="571"/>
      <c r="K3510" s="571"/>
      <c r="L3510" s="571"/>
      <c r="M3510" s="571"/>
      <c r="N3510" s="573"/>
      <c r="O3510" s="556"/>
      <c r="P3510" s="573"/>
      <c r="Q3510" s="556"/>
      <c r="R3510" s="582"/>
    </row>
    <row r="3511" ht="15" customHeight="1" spans="1:18">
      <c r="A3511" s="556"/>
      <c r="B3511" s="557">
        <f>C3510</f>
        <v>0</v>
      </c>
      <c r="C3511" s="76" t="s">
        <v>1212</v>
      </c>
      <c r="D3511" s="75" t="s">
        <v>63</v>
      </c>
      <c r="E3511" s="76" t="s">
        <v>64</v>
      </c>
      <c r="F3511" s="76" t="s">
        <v>65</v>
      </c>
      <c r="G3511" s="76" t="s">
        <v>2889</v>
      </c>
      <c r="H3511" s="76"/>
      <c r="I3511" s="77" t="s">
        <v>66</v>
      </c>
      <c r="J3511" s="75" t="s">
        <v>67</v>
      </c>
      <c r="K3511" s="75" t="s">
        <v>2890</v>
      </c>
      <c r="L3511" s="75" t="s">
        <v>68</v>
      </c>
      <c r="M3511" s="75" t="s">
        <v>70</v>
      </c>
      <c r="N3511" s="573">
        <v>35.65</v>
      </c>
      <c r="O3511" s="556" t="str">
        <f>IF(N3511=M3511,"OK","DIF")</f>
        <v>DIF</v>
      </c>
      <c r="P3511" s="573"/>
      <c r="Q3511" s="556"/>
      <c r="R3511" s="582"/>
    </row>
    <row r="3512" ht="51" spans="1:18">
      <c r="A3512" s="556">
        <f>B3512</f>
        <v>0</v>
      </c>
      <c r="B3512" s="557">
        <f>B3511</f>
        <v>0</v>
      </c>
      <c r="C3512" s="569" t="s">
        <v>2891</v>
      </c>
      <c r="D3512" s="570" t="s">
        <v>1213</v>
      </c>
      <c r="E3512" s="569" t="s">
        <v>77</v>
      </c>
      <c r="F3512" s="569" t="s">
        <v>4148</v>
      </c>
      <c r="G3512" s="569">
        <v>15</v>
      </c>
      <c r="H3512" s="569"/>
      <c r="I3512" s="577" t="s">
        <v>204</v>
      </c>
      <c r="J3512" s="578">
        <v>1</v>
      </c>
      <c r="K3512" s="579"/>
      <c r="L3512" s="579">
        <v>77.62</v>
      </c>
      <c r="M3512" s="579">
        <v>77.62</v>
      </c>
      <c r="N3512" s="573">
        <v>9.77</v>
      </c>
      <c r="O3512" s="556" t="str">
        <f>IF(N3512=M3512,"OK","DIF")</f>
        <v>DIF</v>
      </c>
      <c r="P3512" s="573"/>
      <c r="Q3512" s="556"/>
      <c r="R3512" s="582"/>
    </row>
    <row r="3513" ht="23.85" customHeight="1" spans="1:18">
      <c r="A3513" s="556">
        <f>B3513</f>
        <v>0</v>
      </c>
      <c r="B3513" s="557">
        <f>B3512</f>
        <v>0</v>
      </c>
      <c r="C3513" s="100" t="s">
        <v>2893</v>
      </c>
      <c r="D3513" s="99" t="s">
        <v>4149</v>
      </c>
      <c r="E3513" s="100" t="s">
        <v>77</v>
      </c>
      <c r="F3513" s="100" t="s">
        <v>4150</v>
      </c>
      <c r="G3513" s="100" t="s">
        <v>2961</v>
      </c>
      <c r="H3513" s="100"/>
      <c r="I3513" s="101" t="s">
        <v>134</v>
      </c>
      <c r="J3513" s="580">
        <v>0.33</v>
      </c>
      <c r="K3513" s="580">
        <v>20</v>
      </c>
      <c r="L3513" s="102">
        <v>43</v>
      </c>
      <c r="M3513" s="102">
        <v>17.02</v>
      </c>
      <c r="N3513" s="573">
        <v>11.84</v>
      </c>
      <c r="O3513" s="556" t="str">
        <f>IF(N3513=M3513,"OK","DIF")</f>
        <v>DIF</v>
      </c>
      <c r="P3513" s="573"/>
      <c r="Q3513" s="556"/>
      <c r="R3513" s="582"/>
    </row>
    <row r="3514" ht="15" customHeight="1" spans="1:18">
      <c r="A3514" s="556">
        <f>B3514</f>
        <v>0</v>
      </c>
      <c r="B3514" s="557">
        <f>B3513</f>
        <v>0</v>
      </c>
      <c r="C3514" s="100" t="s">
        <v>2893</v>
      </c>
      <c r="D3514" s="99" t="s">
        <v>3947</v>
      </c>
      <c r="E3514" s="100" t="s">
        <v>77</v>
      </c>
      <c r="F3514" s="100" t="s">
        <v>3948</v>
      </c>
      <c r="G3514" s="100" t="s">
        <v>2961</v>
      </c>
      <c r="H3514" s="100"/>
      <c r="I3514" s="101" t="s">
        <v>134</v>
      </c>
      <c r="J3514" s="580">
        <v>2.66</v>
      </c>
      <c r="K3514" s="580">
        <v>20</v>
      </c>
      <c r="L3514" s="102">
        <v>0.08</v>
      </c>
      <c r="M3514" s="102">
        <v>0.25</v>
      </c>
      <c r="N3514" s="573">
        <v>13.42</v>
      </c>
      <c r="O3514" s="556" t="str">
        <f>IF(N3514=M3514,"OK","DIF")</f>
        <v>DIF</v>
      </c>
      <c r="P3514" s="573"/>
      <c r="Q3514" s="556"/>
      <c r="R3514" s="582"/>
    </row>
    <row r="3515" ht="23.85" customHeight="1" spans="1:18">
      <c r="A3515" s="556">
        <f>B3515</f>
        <v>0</v>
      </c>
      <c r="B3515" s="557">
        <f>B3514</f>
        <v>0</v>
      </c>
      <c r="C3515" s="100" t="s">
        <v>2893</v>
      </c>
      <c r="D3515" s="99" t="s">
        <v>3941</v>
      </c>
      <c r="E3515" s="100" t="s">
        <v>77</v>
      </c>
      <c r="F3515" s="100" t="s">
        <v>3942</v>
      </c>
      <c r="G3515" s="100" t="s">
        <v>2961</v>
      </c>
      <c r="H3515" s="100"/>
      <c r="I3515" s="101" t="s">
        <v>134</v>
      </c>
      <c r="J3515" s="580">
        <v>0.0133</v>
      </c>
      <c r="K3515" s="580">
        <v>20</v>
      </c>
      <c r="L3515" s="102">
        <v>41.44</v>
      </c>
      <c r="M3515" s="102">
        <v>0.66</v>
      </c>
      <c r="N3515" s="573">
        <v>0.62</v>
      </c>
      <c r="O3515" s="556" t="str">
        <f>IF(N3515=M3515,"OK","DIF")</f>
        <v>DIF</v>
      </c>
      <c r="P3515" s="573"/>
      <c r="Q3515" s="556"/>
      <c r="R3515" s="582"/>
    </row>
    <row r="3516" ht="15" customHeight="1" spans="1:18">
      <c r="A3516" s="556"/>
      <c r="B3516" s="557"/>
      <c r="C3516" s="100" t="s">
        <v>2893</v>
      </c>
      <c r="D3516" s="99" t="s">
        <v>3937</v>
      </c>
      <c r="E3516" s="100" t="s">
        <v>77</v>
      </c>
      <c r="F3516" s="100" t="s">
        <v>3938</v>
      </c>
      <c r="G3516" s="100" t="s">
        <v>2961</v>
      </c>
      <c r="H3516" s="100"/>
      <c r="I3516" s="101" t="s">
        <v>134</v>
      </c>
      <c r="J3516" s="580">
        <v>1.33</v>
      </c>
      <c r="K3516" s="580">
        <v>20</v>
      </c>
      <c r="L3516" s="102">
        <v>1.43</v>
      </c>
      <c r="M3516" s="102">
        <v>2.28</v>
      </c>
      <c r="N3516" s="573"/>
      <c r="O3516" s="556"/>
      <c r="P3516" s="573"/>
      <c r="Q3516" s="556"/>
      <c r="R3516" s="582"/>
    </row>
    <row r="3517" ht="23.85" customHeight="1" spans="1:18">
      <c r="A3517" s="556"/>
      <c r="B3517" s="557"/>
      <c r="C3517" s="100" t="s">
        <v>2893</v>
      </c>
      <c r="D3517" s="99" t="s">
        <v>3108</v>
      </c>
      <c r="E3517" s="100" t="s">
        <v>77</v>
      </c>
      <c r="F3517" s="100" t="s">
        <v>3109</v>
      </c>
      <c r="G3517" s="100" t="s">
        <v>2896</v>
      </c>
      <c r="H3517" s="100"/>
      <c r="I3517" s="101" t="s">
        <v>2897</v>
      </c>
      <c r="J3517" s="580">
        <v>1</v>
      </c>
      <c r="K3517" s="580">
        <v>3</v>
      </c>
      <c r="L3517" s="102">
        <v>19.16</v>
      </c>
      <c r="M3517" s="102">
        <v>19.73</v>
      </c>
      <c r="N3517" s="573"/>
      <c r="O3517" s="556"/>
      <c r="P3517" s="573"/>
      <c r="Q3517" s="556"/>
      <c r="R3517" s="582"/>
    </row>
    <row r="3518" ht="23.85" customHeight="1" spans="1:18">
      <c r="A3518" s="556"/>
      <c r="B3518" s="557" t="str">
        <f>C3517</f>
        <v>Insumo</v>
      </c>
      <c r="C3518" s="100" t="s">
        <v>2893</v>
      </c>
      <c r="D3518" s="99" t="s">
        <v>4013</v>
      </c>
      <c r="E3518" s="100" t="s">
        <v>77</v>
      </c>
      <c r="F3518" s="100" t="s">
        <v>4014</v>
      </c>
      <c r="G3518" s="100" t="s">
        <v>2896</v>
      </c>
      <c r="H3518" s="100"/>
      <c r="I3518" s="101" t="s">
        <v>2897</v>
      </c>
      <c r="J3518" s="580">
        <v>1</v>
      </c>
      <c r="K3518" s="580">
        <v>3</v>
      </c>
      <c r="L3518" s="102">
        <v>26.52</v>
      </c>
      <c r="M3518" s="102">
        <v>27.31</v>
      </c>
      <c r="N3518" s="573">
        <v>31.29</v>
      </c>
      <c r="O3518" s="556" t="str">
        <f>IF(N3518=M3518,"OK","DIF")</f>
        <v>DIF</v>
      </c>
      <c r="P3518" s="573"/>
      <c r="Q3518" s="556"/>
      <c r="R3518" s="582"/>
    </row>
    <row r="3519" ht="15" customHeight="1" spans="1:18">
      <c r="A3519" s="556" t="str">
        <f>B3519</f>
        <v>Insumo</v>
      </c>
      <c r="B3519" s="557" t="str">
        <f>B3518</f>
        <v>Insumo</v>
      </c>
      <c r="C3519" s="100" t="s">
        <v>2893</v>
      </c>
      <c r="D3519" s="99" t="s">
        <v>3943</v>
      </c>
      <c r="E3519" s="100" t="s">
        <v>77</v>
      </c>
      <c r="F3519" s="100" t="s">
        <v>3944</v>
      </c>
      <c r="G3519" s="100" t="s">
        <v>2961</v>
      </c>
      <c r="H3519" s="100"/>
      <c r="I3519" s="101" t="s">
        <v>134</v>
      </c>
      <c r="J3519" s="580">
        <v>2.66</v>
      </c>
      <c r="K3519" s="580">
        <v>20</v>
      </c>
      <c r="L3519" s="102">
        <v>0.08</v>
      </c>
      <c r="M3519" s="102">
        <v>0.25</v>
      </c>
      <c r="N3519" s="573">
        <v>10.43</v>
      </c>
      <c r="O3519" s="556" t="str">
        <f>IF(N3519=M3519,"OK","DIF")</f>
        <v>DIF</v>
      </c>
      <c r="P3519" s="573"/>
      <c r="Q3519" s="556"/>
      <c r="R3519" s="582"/>
    </row>
    <row r="3520" ht="23.85" customHeight="1" spans="1:18">
      <c r="A3520" s="556" t="str">
        <f>B3520</f>
        <v>Insumo</v>
      </c>
      <c r="B3520" s="557" t="str">
        <f>B3519</f>
        <v>Insumo</v>
      </c>
      <c r="C3520" s="100" t="s">
        <v>2893</v>
      </c>
      <c r="D3520" s="99" t="s">
        <v>3945</v>
      </c>
      <c r="E3520" s="100" t="s">
        <v>77</v>
      </c>
      <c r="F3520" s="100" t="s">
        <v>3946</v>
      </c>
      <c r="G3520" s="100" t="s">
        <v>2961</v>
      </c>
      <c r="H3520" s="100"/>
      <c r="I3520" s="101" t="s">
        <v>134</v>
      </c>
      <c r="J3520" s="580">
        <v>0.666</v>
      </c>
      <c r="K3520" s="580">
        <v>20</v>
      </c>
      <c r="L3520" s="102">
        <v>2.95</v>
      </c>
      <c r="M3520" s="102">
        <v>2.35</v>
      </c>
      <c r="N3520" s="573">
        <v>8.61</v>
      </c>
      <c r="O3520" s="556" t="str">
        <f>IF(N3520=M3520,"OK","DIF")</f>
        <v>DIF</v>
      </c>
      <c r="P3520" s="573"/>
      <c r="Q3520" s="556"/>
      <c r="R3520" s="582"/>
    </row>
    <row r="3521" ht="15" customHeight="1" spans="1:18">
      <c r="A3521" s="556" t="str">
        <f>B3521</f>
        <v>Insumo</v>
      </c>
      <c r="B3521" s="557" t="str">
        <f>B3520</f>
        <v>Insumo</v>
      </c>
      <c r="C3521" s="100" t="s">
        <v>2893</v>
      </c>
      <c r="D3521" s="99" t="s">
        <v>3939</v>
      </c>
      <c r="E3521" s="100" t="s">
        <v>77</v>
      </c>
      <c r="F3521" s="100" t="s">
        <v>3940</v>
      </c>
      <c r="G3521" s="100" t="s">
        <v>2961</v>
      </c>
      <c r="H3521" s="100"/>
      <c r="I3521" s="101" t="s">
        <v>134</v>
      </c>
      <c r="J3521" s="580">
        <v>0.666</v>
      </c>
      <c r="K3521" s="580">
        <v>20</v>
      </c>
      <c r="L3521" s="102">
        <v>9.73</v>
      </c>
      <c r="M3521" s="102">
        <v>7.77</v>
      </c>
      <c r="N3521" s="573">
        <v>0.62</v>
      </c>
      <c r="O3521" s="556" t="str">
        <f>IF(N3521=M3521,"OK","DIF")</f>
        <v>DIF</v>
      </c>
      <c r="P3521" s="573"/>
      <c r="Q3521" s="556"/>
      <c r="R3521" s="582"/>
    </row>
    <row r="3522" ht="25.5" spans="1:18">
      <c r="A3522" s="556" t="str">
        <f>B3522</f>
        <v>Insumo</v>
      </c>
      <c r="B3522" s="557" t="str">
        <f>B3521</f>
        <v>Insumo</v>
      </c>
      <c r="C3522" s="108"/>
      <c r="D3522" s="108"/>
      <c r="E3522" s="108"/>
      <c r="F3522" s="108"/>
      <c r="G3522" s="108"/>
      <c r="H3522" s="108" t="s">
        <v>2898</v>
      </c>
      <c r="I3522" s="581">
        <v>47.04</v>
      </c>
      <c r="J3522" s="108" t="s">
        <v>2899</v>
      </c>
      <c r="K3522" s="581">
        <v>0</v>
      </c>
      <c r="L3522" s="108" t="s">
        <v>2900</v>
      </c>
      <c r="M3522" s="581">
        <v>47.04</v>
      </c>
      <c r="N3522" s="573">
        <v>11.63</v>
      </c>
      <c r="O3522" s="556" t="str">
        <f>IF(N3522=M3522,"OK","DIF")</f>
        <v>DIF</v>
      </c>
      <c r="P3522" s="573"/>
      <c r="Q3522" s="556"/>
      <c r="R3522" s="582"/>
    </row>
    <row r="3523" ht="26.25" spans="1:18">
      <c r="A3523" s="556"/>
      <c r="B3523" s="557"/>
      <c r="C3523" s="108"/>
      <c r="D3523" s="108"/>
      <c r="E3523" s="108"/>
      <c r="F3523" s="108"/>
      <c r="G3523" s="108"/>
      <c r="H3523" s="108" t="s">
        <v>2901</v>
      </c>
      <c r="I3523" s="581">
        <v>19.78</v>
      </c>
      <c r="J3523" s="114"/>
      <c r="K3523" s="114" t="s">
        <v>2902</v>
      </c>
      <c r="L3523" s="108"/>
      <c r="M3523" s="581">
        <v>97.4</v>
      </c>
      <c r="N3523" s="573"/>
      <c r="O3523" s="556"/>
      <c r="P3523" s="573"/>
      <c r="Q3523" s="556"/>
      <c r="R3523" s="582"/>
    </row>
    <row r="3524" ht="15" spans="1:18">
      <c r="A3524" s="556"/>
      <c r="B3524" s="557"/>
      <c r="C3524" s="571"/>
      <c r="D3524" s="571"/>
      <c r="E3524" s="571"/>
      <c r="F3524" s="571"/>
      <c r="G3524" s="571"/>
      <c r="H3524" s="571"/>
      <c r="I3524" s="571"/>
      <c r="J3524" s="571"/>
      <c r="K3524" s="571"/>
      <c r="L3524" s="571"/>
      <c r="M3524" s="571"/>
      <c r="N3524" s="573"/>
      <c r="O3524" s="556"/>
      <c r="P3524" s="573"/>
      <c r="Q3524" s="556"/>
      <c r="R3524" s="582"/>
    </row>
    <row r="3525" ht="15" customHeight="1" spans="1:18">
      <c r="A3525" s="556"/>
      <c r="B3525" s="557">
        <f>C3524</f>
        <v>0</v>
      </c>
      <c r="C3525" s="76" t="s">
        <v>1215</v>
      </c>
      <c r="D3525" s="75" t="s">
        <v>63</v>
      </c>
      <c r="E3525" s="76" t="s">
        <v>64</v>
      </c>
      <c r="F3525" s="76" t="s">
        <v>65</v>
      </c>
      <c r="G3525" s="76" t="s">
        <v>2889</v>
      </c>
      <c r="H3525" s="76"/>
      <c r="I3525" s="77" t="s">
        <v>66</v>
      </c>
      <c r="J3525" s="75" t="s">
        <v>67</v>
      </c>
      <c r="K3525" s="75" t="s">
        <v>2890</v>
      </c>
      <c r="L3525" s="75" t="s">
        <v>68</v>
      </c>
      <c r="M3525" s="75" t="s">
        <v>70</v>
      </c>
      <c r="N3525" s="573">
        <v>4.56</v>
      </c>
      <c r="O3525" s="556" t="str">
        <f>IF(N3525=M3525,"OK","DIF")</f>
        <v>DIF</v>
      </c>
      <c r="P3525" s="573"/>
      <c r="Q3525" s="556"/>
      <c r="R3525" s="582"/>
    </row>
    <row r="3526" ht="38.25" spans="1:18">
      <c r="A3526" s="556">
        <f>B3526</f>
        <v>0</v>
      </c>
      <c r="B3526" s="557">
        <f>B3525</f>
        <v>0</v>
      </c>
      <c r="C3526" s="569" t="s">
        <v>2891</v>
      </c>
      <c r="D3526" s="570" t="s">
        <v>1216</v>
      </c>
      <c r="E3526" s="569" t="s">
        <v>77</v>
      </c>
      <c r="F3526" s="569" t="s">
        <v>4151</v>
      </c>
      <c r="G3526" s="569">
        <v>15</v>
      </c>
      <c r="H3526" s="569"/>
      <c r="I3526" s="577" t="s">
        <v>134</v>
      </c>
      <c r="J3526" s="578">
        <v>1</v>
      </c>
      <c r="K3526" s="579"/>
      <c r="L3526" s="579">
        <v>40.23</v>
      </c>
      <c r="M3526" s="579">
        <v>40.23</v>
      </c>
      <c r="N3526" s="573">
        <v>0.95</v>
      </c>
      <c r="O3526" s="556" t="str">
        <f>IF(N3526=M3526,"OK","DIF")</f>
        <v>DIF</v>
      </c>
      <c r="P3526" s="573"/>
      <c r="Q3526" s="556"/>
      <c r="R3526" s="582"/>
    </row>
    <row r="3527" ht="23.85" customHeight="1" spans="1:18">
      <c r="A3527" s="556">
        <f>B3527</f>
        <v>0</v>
      </c>
      <c r="B3527" s="557">
        <f>B3526</f>
        <v>0</v>
      </c>
      <c r="C3527" s="100" t="s">
        <v>2893</v>
      </c>
      <c r="D3527" s="99" t="s">
        <v>3108</v>
      </c>
      <c r="E3527" s="100" t="s">
        <v>77</v>
      </c>
      <c r="F3527" s="100" t="s">
        <v>3109</v>
      </c>
      <c r="G3527" s="100" t="s">
        <v>2896</v>
      </c>
      <c r="H3527" s="100"/>
      <c r="I3527" s="101" t="s">
        <v>2897</v>
      </c>
      <c r="J3527" s="580">
        <v>0.5</v>
      </c>
      <c r="K3527" s="580">
        <v>3</v>
      </c>
      <c r="L3527" s="102">
        <v>19.16</v>
      </c>
      <c r="M3527" s="102">
        <v>9.86</v>
      </c>
      <c r="N3527" s="573">
        <v>0.79</v>
      </c>
      <c r="O3527" s="556" t="str">
        <f>IF(N3527=M3527,"OK","DIF")</f>
        <v>DIF</v>
      </c>
      <c r="P3527" s="573"/>
      <c r="Q3527" s="556"/>
      <c r="R3527" s="582"/>
    </row>
    <row r="3528" ht="23.85" customHeight="1" spans="1:18">
      <c r="A3528" s="556">
        <f>B3528</f>
        <v>0</v>
      </c>
      <c r="B3528" s="557">
        <f>B3527</f>
        <v>0</v>
      </c>
      <c r="C3528" s="100" t="s">
        <v>2893</v>
      </c>
      <c r="D3528" s="99" t="s">
        <v>4013</v>
      </c>
      <c r="E3528" s="100" t="s">
        <v>77</v>
      </c>
      <c r="F3528" s="100" t="s">
        <v>4014</v>
      </c>
      <c r="G3528" s="100" t="s">
        <v>2896</v>
      </c>
      <c r="H3528" s="100"/>
      <c r="I3528" s="101" t="s">
        <v>2897</v>
      </c>
      <c r="J3528" s="580">
        <v>0.5</v>
      </c>
      <c r="K3528" s="580">
        <v>3</v>
      </c>
      <c r="L3528" s="102">
        <v>26.52</v>
      </c>
      <c r="M3528" s="102">
        <v>13.65</v>
      </c>
      <c r="N3528" s="573">
        <v>2.73</v>
      </c>
      <c r="O3528" s="556" t="str">
        <f>IF(N3528=M3528,"OK","DIF")</f>
        <v>DIF</v>
      </c>
      <c r="P3528" s="573"/>
      <c r="Q3528" s="556"/>
      <c r="R3528" s="582"/>
    </row>
    <row r="3529" ht="23.85" customHeight="1" spans="1:18">
      <c r="A3529" s="556">
        <f>B3529</f>
        <v>0</v>
      </c>
      <c r="B3529" s="557">
        <f>B3528</f>
        <v>0</v>
      </c>
      <c r="C3529" s="100" t="s">
        <v>2893</v>
      </c>
      <c r="D3529" s="99" t="s">
        <v>4152</v>
      </c>
      <c r="E3529" s="100" t="s">
        <v>77</v>
      </c>
      <c r="F3529" s="100" t="s">
        <v>4153</v>
      </c>
      <c r="G3529" s="100" t="s">
        <v>2961</v>
      </c>
      <c r="H3529" s="100"/>
      <c r="I3529" s="101" t="s">
        <v>134</v>
      </c>
      <c r="J3529" s="580">
        <v>1</v>
      </c>
      <c r="K3529" s="580">
        <v>0</v>
      </c>
      <c r="L3529" s="102">
        <v>16.72</v>
      </c>
      <c r="M3529" s="102">
        <v>16.72</v>
      </c>
      <c r="N3529" s="573">
        <v>0.09</v>
      </c>
      <c r="O3529" s="556" t="str">
        <f>IF(N3529=M3529,"OK","DIF")</f>
        <v>DIF</v>
      </c>
      <c r="P3529" s="573"/>
      <c r="Q3529" s="556"/>
      <c r="R3529" s="582"/>
    </row>
    <row r="3530" ht="25.5" spans="1:18">
      <c r="A3530" s="556"/>
      <c r="B3530" s="557"/>
      <c r="C3530" s="108"/>
      <c r="D3530" s="108"/>
      <c r="E3530" s="108"/>
      <c r="F3530" s="108"/>
      <c r="G3530" s="108"/>
      <c r="H3530" s="108" t="s">
        <v>2898</v>
      </c>
      <c r="I3530" s="581">
        <v>23.51</v>
      </c>
      <c r="J3530" s="108" t="s">
        <v>2899</v>
      </c>
      <c r="K3530" s="581">
        <v>0</v>
      </c>
      <c r="L3530" s="108" t="s">
        <v>2900</v>
      </c>
      <c r="M3530" s="581">
        <v>23.51</v>
      </c>
      <c r="N3530" s="573"/>
      <c r="O3530" s="556"/>
      <c r="P3530" s="573"/>
      <c r="Q3530" s="556"/>
      <c r="R3530" s="582"/>
    </row>
    <row r="3531" ht="26.25" spans="1:18">
      <c r="A3531" s="556"/>
      <c r="B3531" s="557"/>
      <c r="C3531" s="108"/>
      <c r="D3531" s="108"/>
      <c r="E3531" s="108"/>
      <c r="F3531" s="108"/>
      <c r="G3531" s="108"/>
      <c r="H3531" s="108" t="s">
        <v>2901</v>
      </c>
      <c r="I3531" s="581">
        <v>10.25</v>
      </c>
      <c r="J3531" s="114"/>
      <c r="K3531" s="114" t="s">
        <v>2902</v>
      </c>
      <c r="L3531" s="108"/>
      <c r="M3531" s="581">
        <v>50.48</v>
      </c>
      <c r="N3531" s="573"/>
      <c r="O3531" s="556"/>
      <c r="P3531" s="573"/>
      <c r="Q3531" s="556"/>
      <c r="R3531" s="582"/>
    </row>
    <row r="3532" ht="15" spans="1:18">
      <c r="A3532" s="556"/>
      <c r="B3532" s="557">
        <f>C3531</f>
        <v>0</v>
      </c>
      <c r="C3532" s="571"/>
      <c r="D3532" s="571"/>
      <c r="E3532" s="571"/>
      <c r="F3532" s="571"/>
      <c r="G3532" s="571"/>
      <c r="H3532" s="571"/>
      <c r="I3532" s="571"/>
      <c r="J3532" s="571"/>
      <c r="K3532" s="571"/>
      <c r="L3532" s="571"/>
      <c r="M3532" s="571"/>
      <c r="N3532" s="573">
        <v>7970</v>
      </c>
      <c r="O3532" s="556" t="str">
        <f>IF(N3532=M3532,"OK","DIF")</f>
        <v>DIF</v>
      </c>
      <c r="P3532" s="573"/>
      <c r="Q3532" s="556"/>
      <c r="R3532" s="582"/>
    </row>
    <row r="3533" ht="15" customHeight="1" spans="1:18">
      <c r="A3533" s="556">
        <f>B3533</f>
        <v>0</v>
      </c>
      <c r="B3533" s="557">
        <f>B3532</f>
        <v>0</v>
      </c>
      <c r="C3533" s="76" t="s">
        <v>1218</v>
      </c>
      <c r="D3533" s="75" t="s">
        <v>63</v>
      </c>
      <c r="E3533" s="76" t="s">
        <v>64</v>
      </c>
      <c r="F3533" s="76" t="s">
        <v>65</v>
      </c>
      <c r="G3533" s="76" t="s">
        <v>2889</v>
      </c>
      <c r="H3533" s="76"/>
      <c r="I3533" s="77" t="s">
        <v>66</v>
      </c>
      <c r="J3533" s="75" t="s">
        <v>67</v>
      </c>
      <c r="K3533" s="75" t="s">
        <v>2890</v>
      </c>
      <c r="L3533" s="75" t="s">
        <v>68</v>
      </c>
      <c r="M3533" s="75" t="s">
        <v>70</v>
      </c>
      <c r="N3533" s="573">
        <v>7970</v>
      </c>
      <c r="O3533" s="556" t="str">
        <f>IF(N3533=M3533,"OK","DIF")</f>
        <v>DIF</v>
      </c>
      <c r="P3533" s="573"/>
      <c r="Q3533" s="556"/>
      <c r="R3533" s="582"/>
    </row>
    <row r="3534" ht="38.25" spans="1:18">
      <c r="A3534" s="556"/>
      <c r="B3534" s="557"/>
      <c r="C3534" s="569" t="s">
        <v>2891</v>
      </c>
      <c r="D3534" s="570" t="s">
        <v>1219</v>
      </c>
      <c r="E3534" s="569" t="s">
        <v>77</v>
      </c>
      <c r="F3534" s="569" t="s">
        <v>4154</v>
      </c>
      <c r="G3534" s="569">
        <v>15</v>
      </c>
      <c r="H3534" s="569"/>
      <c r="I3534" s="577" t="s">
        <v>134</v>
      </c>
      <c r="J3534" s="578">
        <v>1</v>
      </c>
      <c r="K3534" s="579"/>
      <c r="L3534" s="579">
        <v>34.93</v>
      </c>
      <c r="M3534" s="579">
        <v>34.93</v>
      </c>
      <c r="N3534" s="573"/>
      <c r="O3534" s="556"/>
      <c r="P3534" s="573"/>
      <c r="Q3534" s="556"/>
      <c r="R3534" s="582"/>
    </row>
    <row r="3535" ht="23.85" customHeight="1" spans="1:18">
      <c r="A3535" s="556"/>
      <c r="B3535" s="557"/>
      <c r="C3535" s="100" t="s">
        <v>2893</v>
      </c>
      <c r="D3535" s="99" t="s">
        <v>4013</v>
      </c>
      <c r="E3535" s="100" t="s">
        <v>77</v>
      </c>
      <c r="F3535" s="100" t="s">
        <v>4014</v>
      </c>
      <c r="G3535" s="100" t="s">
        <v>2896</v>
      </c>
      <c r="H3535" s="100"/>
      <c r="I3535" s="101" t="s">
        <v>2897</v>
      </c>
      <c r="J3535" s="580">
        <v>0.5</v>
      </c>
      <c r="K3535" s="580">
        <v>3</v>
      </c>
      <c r="L3535" s="102">
        <v>26.52</v>
      </c>
      <c r="M3535" s="102">
        <v>13.65</v>
      </c>
      <c r="N3535" s="573"/>
      <c r="O3535" s="556"/>
      <c r="P3535" s="573"/>
      <c r="Q3535" s="556"/>
      <c r="R3535" s="582"/>
    </row>
    <row r="3536" ht="23.85" customHeight="1" spans="1:18">
      <c r="A3536" s="556"/>
      <c r="B3536" s="557"/>
      <c r="C3536" s="100" t="s">
        <v>2893</v>
      </c>
      <c r="D3536" s="99" t="s">
        <v>4155</v>
      </c>
      <c r="E3536" s="100" t="s">
        <v>77</v>
      </c>
      <c r="F3536" s="100" t="s">
        <v>4156</v>
      </c>
      <c r="G3536" s="100" t="s">
        <v>2961</v>
      </c>
      <c r="H3536" s="100"/>
      <c r="I3536" s="101" t="s">
        <v>134</v>
      </c>
      <c r="J3536" s="580">
        <v>1</v>
      </c>
      <c r="K3536" s="580">
        <v>0</v>
      </c>
      <c r="L3536" s="102">
        <v>11.42</v>
      </c>
      <c r="M3536" s="102">
        <v>11.42</v>
      </c>
      <c r="N3536" s="573"/>
      <c r="O3536" s="556"/>
      <c r="P3536" s="573"/>
      <c r="Q3536" s="556"/>
      <c r="R3536" s="582"/>
    </row>
    <row r="3537" ht="23.85" customHeight="1" spans="1:18">
      <c r="A3537" s="556"/>
      <c r="B3537" s="557" t="str">
        <f>C3536</f>
        <v>Insumo</v>
      </c>
      <c r="C3537" s="100" t="s">
        <v>2893</v>
      </c>
      <c r="D3537" s="99" t="s">
        <v>3108</v>
      </c>
      <c r="E3537" s="100" t="s">
        <v>77</v>
      </c>
      <c r="F3537" s="100" t="s">
        <v>3109</v>
      </c>
      <c r="G3537" s="100" t="s">
        <v>2896</v>
      </c>
      <c r="H3537" s="100"/>
      <c r="I3537" s="101" t="s">
        <v>2897</v>
      </c>
      <c r="J3537" s="580">
        <v>0.5</v>
      </c>
      <c r="K3537" s="580">
        <v>3</v>
      </c>
      <c r="L3537" s="102">
        <v>19.16</v>
      </c>
      <c r="M3537" s="102">
        <v>9.86</v>
      </c>
      <c r="N3537" s="573">
        <v>55.76</v>
      </c>
      <c r="O3537" s="556" t="str">
        <f t="shared" ref="O3537:O3542" si="280">IF(N3537=M3537,"OK","DIF")</f>
        <v>DIF</v>
      </c>
      <c r="P3537" s="573"/>
      <c r="Q3537" s="556"/>
      <c r="R3537" s="582"/>
    </row>
    <row r="3538" ht="25.5" spans="1:18">
      <c r="A3538" s="556" t="str">
        <f>B3538</f>
        <v>Insumo</v>
      </c>
      <c r="B3538" s="557" t="str">
        <f>B3537</f>
        <v>Insumo</v>
      </c>
      <c r="C3538" s="108"/>
      <c r="D3538" s="108"/>
      <c r="E3538" s="108"/>
      <c r="F3538" s="108"/>
      <c r="G3538" s="108"/>
      <c r="H3538" s="108" t="s">
        <v>2898</v>
      </c>
      <c r="I3538" s="581">
        <v>23.51</v>
      </c>
      <c r="J3538" s="108" t="s">
        <v>2899</v>
      </c>
      <c r="K3538" s="581">
        <v>0</v>
      </c>
      <c r="L3538" s="108" t="s">
        <v>2900</v>
      </c>
      <c r="M3538" s="581">
        <v>23.51</v>
      </c>
      <c r="N3538" s="573">
        <v>44.05</v>
      </c>
      <c r="O3538" s="556" t="str">
        <f t="shared" si="280"/>
        <v>DIF</v>
      </c>
      <c r="P3538" s="573"/>
      <c r="Q3538" s="556"/>
      <c r="R3538" s="582"/>
    </row>
    <row r="3539" ht="26.25" spans="1:18">
      <c r="A3539" s="556" t="str">
        <f>B3539</f>
        <v>Insumo</v>
      </c>
      <c r="B3539" s="557" t="str">
        <f>B3538</f>
        <v>Insumo</v>
      </c>
      <c r="C3539" s="108"/>
      <c r="D3539" s="108"/>
      <c r="E3539" s="108"/>
      <c r="F3539" s="108"/>
      <c r="G3539" s="108"/>
      <c r="H3539" s="108" t="s">
        <v>2901</v>
      </c>
      <c r="I3539" s="581">
        <v>8.9</v>
      </c>
      <c r="J3539" s="114"/>
      <c r="K3539" s="114" t="s">
        <v>2902</v>
      </c>
      <c r="L3539" s="108"/>
      <c r="M3539" s="581">
        <v>43.83</v>
      </c>
      <c r="N3539" s="573">
        <v>0.28</v>
      </c>
      <c r="O3539" s="556" t="str">
        <f t="shared" si="280"/>
        <v>DIF</v>
      </c>
      <c r="P3539" s="573"/>
      <c r="Q3539" s="556"/>
      <c r="R3539" s="582"/>
    </row>
    <row r="3540" ht="15" spans="1:18">
      <c r="A3540" s="556" t="str">
        <f>B3540</f>
        <v>Insumo</v>
      </c>
      <c r="B3540" s="557" t="str">
        <f>B3539</f>
        <v>Insumo</v>
      </c>
      <c r="C3540" s="571"/>
      <c r="D3540" s="571"/>
      <c r="E3540" s="571"/>
      <c r="F3540" s="571"/>
      <c r="G3540" s="571"/>
      <c r="H3540" s="571"/>
      <c r="I3540" s="571"/>
      <c r="J3540" s="571"/>
      <c r="K3540" s="571"/>
      <c r="L3540" s="571"/>
      <c r="M3540" s="571"/>
      <c r="N3540" s="573">
        <v>0.1</v>
      </c>
      <c r="O3540" s="556" t="str">
        <f t="shared" si="280"/>
        <v>DIF</v>
      </c>
      <c r="P3540" s="573"/>
      <c r="Q3540" s="556"/>
      <c r="R3540" s="582"/>
    </row>
    <row r="3541" ht="15" customHeight="1" spans="1:18">
      <c r="A3541" s="556" t="str">
        <f>B3541</f>
        <v>Insumo</v>
      </c>
      <c r="B3541" s="557" t="str">
        <f>B3540</f>
        <v>Insumo</v>
      </c>
      <c r="C3541" s="76" t="s">
        <v>1221</v>
      </c>
      <c r="D3541" s="75" t="s">
        <v>63</v>
      </c>
      <c r="E3541" s="76" t="s">
        <v>64</v>
      </c>
      <c r="F3541" s="76" t="s">
        <v>65</v>
      </c>
      <c r="G3541" s="76" t="s">
        <v>2889</v>
      </c>
      <c r="H3541" s="76"/>
      <c r="I3541" s="77" t="s">
        <v>66</v>
      </c>
      <c r="J3541" s="75" t="s">
        <v>67</v>
      </c>
      <c r="K3541" s="75" t="s">
        <v>2890</v>
      </c>
      <c r="L3541" s="75" t="s">
        <v>68</v>
      </c>
      <c r="M3541" s="75" t="s">
        <v>70</v>
      </c>
      <c r="N3541" s="573">
        <v>9.23</v>
      </c>
      <c r="O3541" s="556" t="str">
        <f t="shared" si="280"/>
        <v>DIF</v>
      </c>
      <c r="P3541" s="573"/>
      <c r="Q3541" s="556"/>
      <c r="R3541" s="582"/>
    </row>
    <row r="3542" ht="25.5" spans="1:18">
      <c r="A3542" s="556" t="str">
        <f>B3542</f>
        <v>Insumo</v>
      </c>
      <c r="B3542" s="557" t="str">
        <f>B3541</f>
        <v>Insumo</v>
      </c>
      <c r="C3542" s="569" t="s">
        <v>2891</v>
      </c>
      <c r="D3542" s="570" t="s">
        <v>1222</v>
      </c>
      <c r="E3542" s="569" t="s">
        <v>77</v>
      </c>
      <c r="F3542" s="569" t="s">
        <v>4157</v>
      </c>
      <c r="G3542" s="569">
        <v>15</v>
      </c>
      <c r="H3542" s="569"/>
      <c r="I3542" s="577" t="s">
        <v>134</v>
      </c>
      <c r="J3542" s="578">
        <v>1</v>
      </c>
      <c r="K3542" s="579"/>
      <c r="L3542" s="579">
        <v>48.95</v>
      </c>
      <c r="M3542" s="579">
        <v>48.95</v>
      </c>
      <c r="N3542" s="573">
        <v>2.1</v>
      </c>
      <c r="O3542" s="556" t="str">
        <f t="shared" si="280"/>
        <v>DIF</v>
      </c>
      <c r="P3542" s="573"/>
      <c r="Q3542" s="556"/>
      <c r="R3542" s="582"/>
    </row>
    <row r="3543" ht="23.85" customHeight="1" spans="1:18">
      <c r="A3543" s="556"/>
      <c r="B3543" s="557"/>
      <c r="C3543" s="100" t="s">
        <v>2893</v>
      </c>
      <c r="D3543" s="99" t="s">
        <v>4158</v>
      </c>
      <c r="E3543" s="100" t="s">
        <v>77</v>
      </c>
      <c r="F3543" s="100" t="s">
        <v>4159</v>
      </c>
      <c r="G3543" s="100" t="s">
        <v>2961</v>
      </c>
      <c r="H3543" s="100"/>
      <c r="I3543" s="101" t="s">
        <v>134</v>
      </c>
      <c r="J3543" s="580">
        <v>1</v>
      </c>
      <c r="K3543" s="580">
        <v>0</v>
      </c>
      <c r="L3543" s="102">
        <v>25.44</v>
      </c>
      <c r="M3543" s="102">
        <v>25.44</v>
      </c>
      <c r="N3543" s="573"/>
      <c r="O3543" s="556"/>
      <c r="P3543" s="573"/>
      <c r="Q3543" s="556"/>
      <c r="R3543" s="582"/>
    </row>
    <row r="3544" ht="23.85" customHeight="1" spans="1:18">
      <c r="A3544" s="556"/>
      <c r="B3544" s="557"/>
      <c r="C3544" s="100" t="s">
        <v>2893</v>
      </c>
      <c r="D3544" s="99" t="s">
        <v>4013</v>
      </c>
      <c r="E3544" s="100" t="s">
        <v>77</v>
      </c>
      <c r="F3544" s="100" t="s">
        <v>4014</v>
      </c>
      <c r="G3544" s="100" t="s">
        <v>2896</v>
      </c>
      <c r="H3544" s="100"/>
      <c r="I3544" s="101" t="s">
        <v>2897</v>
      </c>
      <c r="J3544" s="580">
        <v>0.5</v>
      </c>
      <c r="K3544" s="580">
        <v>3</v>
      </c>
      <c r="L3544" s="102">
        <v>26.52</v>
      </c>
      <c r="M3544" s="102">
        <v>13.65</v>
      </c>
      <c r="N3544" s="573"/>
      <c r="O3544" s="556"/>
      <c r="P3544" s="573"/>
      <c r="Q3544" s="556"/>
      <c r="R3544" s="582"/>
    </row>
    <row r="3545" ht="23.85" customHeight="1" spans="1:18">
      <c r="A3545" s="556"/>
      <c r="B3545" s="557" t="str">
        <f>C3544</f>
        <v>Insumo</v>
      </c>
      <c r="C3545" s="100" t="s">
        <v>2893</v>
      </c>
      <c r="D3545" s="99" t="s">
        <v>3108</v>
      </c>
      <c r="E3545" s="100" t="s">
        <v>77</v>
      </c>
      <c r="F3545" s="100" t="s">
        <v>3109</v>
      </c>
      <c r="G3545" s="100" t="s">
        <v>2896</v>
      </c>
      <c r="H3545" s="100"/>
      <c r="I3545" s="101" t="s">
        <v>2897</v>
      </c>
      <c r="J3545" s="580">
        <v>0.5</v>
      </c>
      <c r="K3545" s="580">
        <v>3</v>
      </c>
      <c r="L3545" s="102">
        <v>19.16</v>
      </c>
      <c r="M3545" s="102">
        <v>9.86</v>
      </c>
      <c r="N3545" s="573">
        <v>15.1</v>
      </c>
      <c r="O3545" s="556" t="str">
        <f>IF(N3545=M3545,"OK","DIF")</f>
        <v>DIF</v>
      </c>
      <c r="P3545" s="573"/>
      <c r="Q3545" s="556"/>
      <c r="R3545" s="582"/>
    </row>
    <row r="3546" ht="25.5" spans="1:18">
      <c r="A3546" s="556" t="str">
        <f>B3546</f>
        <v>Insumo</v>
      </c>
      <c r="B3546" s="557" t="str">
        <f>B3545</f>
        <v>Insumo</v>
      </c>
      <c r="C3546" s="108"/>
      <c r="D3546" s="108"/>
      <c r="E3546" s="108"/>
      <c r="F3546" s="108"/>
      <c r="G3546" s="108"/>
      <c r="H3546" s="108" t="s">
        <v>2898</v>
      </c>
      <c r="I3546" s="581">
        <v>23.51</v>
      </c>
      <c r="J3546" s="108" t="s">
        <v>2899</v>
      </c>
      <c r="K3546" s="581">
        <v>0</v>
      </c>
      <c r="L3546" s="108" t="s">
        <v>2900</v>
      </c>
      <c r="M3546" s="581">
        <v>23.51</v>
      </c>
      <c r="N3546" s="573">
        <v>2.86</v>
      </c>
      <c r="O3546" s="556" t="str">
        <f>IF(N3546=M3546,"OK","DIF")</f>
        <v>DIF</v>
      </c>
      <c r="P3546" s="573"/>
      <c r="Q3546" s="556"/>
      <c r="R3546" s="582"/>
    </row>
    <row r="3547" ht="26.25" spans="1:18">
      <c r="A3547" s="556" t="str">
        <f>B3547</f>
        <v>Insumo</v>
      </c>
      <c r="B3547" s="557" t="str">
        <f>B3546</f>
        <v>Insumo</v>
      </c>
      <c r="C3547" s="108"/>
      <c r="D3547" s="108"/>
      <c r="E3547" s="108"/>
      <c r="F3547" s="108"/>
      <c r="G3547" s="108"/>
      <c r="H3547" s="108" t="s">
        <v>2901</v>
      </c>
      <c r="I3547" s="581">
        <v>12.47</v>
      </c>
      <c r="J3547" s="114"/>
      <c r="K3547" s="114" t="s">
        <v>2902</v>
      </c>
      <c r="L3547" s="108"/>
      <c r="M3547" s="581">
        <v>61.42</v>
      </c>
      <c r="N3547" s="573">
        <v>7.91</v>
      </c>
      <c r="O3547" s="556" t="str">
        <f>IF(N3547=M3547,"OK","DIF")</f>
        <v>DIF</v>
      </c>
      <c r="P3547" s="573"/>
      <c r="Q3547" s="556"/>
      <c r="R3547" s="582"/>
    </row>
    <row r="3548" ht="15" spans="1:18">
      <c r="A3548" s="556" t="str">
        <f>B3548</f>
        <v>Insumo</v>
      </c>
      <c r="B3548" s="557" t="str">
        <f>B3547</f>
        <v>Insumo</v>
      </c>
      <c r="C3548" s="571"/>
      <c r="D3548" s="571"/>
      <c r="E3548" s="571"/>
      <c r="F3548" s="571"/>
      <c r="G3548" s="571"/>
      <c r="H3548" s="571"/>
      <c r="I3548" s="571"/>
      <c r="J3548" s="571"/>
      <c r="K3548" s="571"/>
      <c r="L3548" s="571"/>
      <c r="M3548" s="571"/>
      <c r="N3548" s="573">
        <v>4.33</v>
      </c>
      <c r="O3548" s="556" t="str">
        <f>IF(N3548=M3548,"OK","DIF")</f>
        <v>DIF</v>
      </c>
      <c r="P3548" s="573"/>
      <c r="Q3548" s="556"/>
      <c r="R3548" s="582"/>
    </row>
    <row r="3549" ht="15" customHeight="1" spans="1:18">
      <c r="A3549" s="556"/>
      <c r="B3549" s="557"/>
      <c r="C3549" s="76" t="s">
        <v>1224</v>
      </c>
      <c r="D3549" s="75" t="s">
        <v>63</v>
      </c>
      <c r="E3549" s="76" t="s">
        <v>64</v>
      </c>
      <c r="F3549" s="76" t="s">
        <v>65</v>
      </c>
      <c r="G3549" s="76" t="s">
        <v>2889</v>
      </c>
      <c r="H3549" s="76"/>
      <c r="I3549" s="77" t="s">
        <v>66</v>
      </c>
      <c r="J3549" s="75" t="s">
        <v>67</v>
      </c>
      <c r="K3549" s="75" t="s">
        <v>2890</v>
      </c>
      <c r="L3549" s="75" t="s">
        <v>68</v>
      </c>
      <c r="M3549" s="75" t="s">
        <v>70</v>
      </c>
      <c r="N3549" s="573"/>
      <c r="O3549" s="556"/>
      <c r="P3549" s="573"/>
      <c r="Q3549" s="556"/>
      <c r="R3549" s="582"/>
    </row>
    <row r="3550" ht="38.25" spans="1:18">
      <c r="A3550" s="556"/>
      <c r="B3550" s="557"/>
      <c r="C3550" s="569" t="s">
        <v>2891</v>
      </c>
      <c r="D3550" s="570" t="s">
        <v>1225</v>
      </c>
      <c r="E3550" s="569" t="s">
        <v>77</v>
      </c>
      <c r="F3550" s="569" t="s">
        <v>4160</v>
      </c>
      <c r="G3550" s="569">
        <v>15</v>
      </c>
      <c r="H3550" s="569"/>
      <c r="I3550" s="577" t="s">
        <v>134</v>
      </c>
      <c r="J3550" s="578">
        <v>1</v>
      </c>
      <c r="K3550" s="579"/>
      <c r="L3550" s="579">
        <v>42.3</v>
      </c>
      <c r="M3550" s="579">
        <v>42.3</v>
      </c>
      <c r="N3550" s="573"/>
      <c r="O3550" s="556"/>
      <c r="P3550" s="573"/>
      <c r="Q3550" s="556"/>
      <c r="R3550" s="582"/>
    </row>
    <row r="3551" ht="23.85" customHeight="1" spans="1:18">
      <c r="A3551" s="556"/>
      <c r="B3551" s="557" t="str">
        <f>C3550</f>
        <v>Composição</v>
      </c>
      <c r="C3551" s="100" t="s">
        <v>2893</v>
      </c>
      <c r="D3551" s="99" t="s">
        <v>4013</v>
      </c>
      <c r="E3551" s="100" t="s">
        <v>77</v>
      </c>
      <c r="F3551" s="100" t="s">
        <v>4014</v>
      </c>
      <c r="G3551" s="100" t="s">
        <v>2896</v>
      </c>
      <c r="H3551" s="100"/>
      <c r="I3551" s="101" t="s">
        <v>2897</v>
      </c>
      <c r="J3551" s="580">
        <v>0.5</v>
      </c>
      <c r="K3551" s="580">
        <v>3</v>
      </c>
      <c r="L3551" s="102">
        <v>26.52</v>
      </c>
      <c r="M3551" s="102">
        <v>13.65</v>
      </c>
      <c r="N3551" s="573">
        <v>15.37</v>
      </c>
      <c r="O3551" s="556" t="str">
        <f t="shared" ref="O3551:O3557" si="281">IF(N3551=M3551,"OK","DIF")</f>
        <v>DIF</v>
      </c>
      <c r="P3551" s="573"/>
      <c r="Q3551" s="556"/>
      <c r="R3551" s="582"/>
    </row>
    <row r="3552" ht="23.85" customHeight="1" spans="1:18">
      <c r="A3552" s="556" t="str">
        <f t="shared" ref="A3552:A3557" si="282">B3552</f>
        <v>Composição</v>
      </c>
      <c r="B3552" s="557" t="str">
        <f t="shared" ref="B3552:B3557" si="283">B3551</f>
        <v>Composição</v>
      </c>
      <c r="C3552" s="100" t="s">
        <v>2893</v>
      </c>
      <c r="D3552" s="99" t="s">
        <v>4161</v>
      </c>
      <c r="E3552" s="100" t="s">
        <v>77</v>
      </c>
      <c r="F3552" s="100" t="s">
        <v>4162</v>
      </c>
      <c r="G3552" s="100" t="s">
        <v>2961</v>
      </c>
      <c r="H3552" s="100"/>
      <c r="I3552" s="101" t="s">
        <v>134</v>
      </c>
      <c r="J3552" s="580">
        <v>1</v>
      </c>
      <c r="K3552" s="580">
        <v>0</v>
      </c>
      <c r="L3552" s="102">
        <v>18.79</v>
      </c>
      <c r="M3552" s="102">
        <v>18.79</v>
      </c>
      <c r="N3552" s="573">
        <v>6.05</v>
      </c>
      <c r="O3552" s="556" t="str">
        <f t="shared" si="281"/>
        <v>DIF</v>
      </c>
      <c r="P3552" s="573"/>
      <c r="Q3552" s="556"/>
      <c r="R3552" s="582"/>
    </row>
    <row r="3553" ht="23.85" customHeight="1" spans="1:18">
      <c r="A3553" s="556" t="str">
        <f t="shared" si="282"/>
        <v>Composição</v>
      </c>
      <c r="B3553" s="557" t="str">
        <f t="shared" si="283"/>
        <v>Composição</v>
      </c>
      <c r="C3553" s="100" t="s">
        <v>2893</v>
      </c>
      <c r="D3553" s="99" t="s">
        <v>3108</v>
      </c>
      <c r="E3553" s="100" t="s">
        <v>77</v>
      </c>
      <c r="F3553" s="100" t="s">
        <v>3109</v>
      </c>
      <c r="G3553" s="100" t="s">
        <v>2896</v>
      </c>
      <c r="H3553" s="100"/>
      <c r="I3553" s="101" t="s">
        <v>2897</v>
      </c>
      <c r="J3553" s="580">
        <v>0.5</v>
      </c>
      <c r="K3553" s="580">
        <v>3</v>
      </c>
      <c r="L3553" s="102">
        <v>19.16</v>
      </c>
      <c r="M3553" s="102">
        <v>9.86</v>
      </c>
      <c r="N3553" s="573">
        <v>2.94</v>
      </c>
      <c r="O3553" s="556" t="str">
        <f t="shared" si="281"/>
        <v>DIF</v>
      </c>
      <c r="P3553" s="573"/>
      <c r="Q3553" s="556"/>
      <c r="R3553" s="582"/>
    </row>
    <row r="3554" ht="25.5" spans="1:18">
      <c r="A3554" s="556" t="str">
        <f t="shared" si="282"/>
        <v>Composição</v>
      </c>
      <c r="B3554" s="557" t="str">
        <f t="shared" si="283"/>
        <v>Composição</v>
      </c>
      <c r="C3554" s="108"/>
      <c r="D3554" s="108"/>
      <c r="E3554" s="108"/>
      <c r="F3554" s="108"/>
      <c r="G3554" s="108"/>
      <c r="H3554" s="108" t="s">
        <v>2898</v>
      </c>
      <c r="I3554" s="581">
        <v>23.51</v>
      </c>
      <c r="J3554" s="108" t="s">
        <v>2899</v>
      </c>
      <c r="K3554" s="581">
        <v>0</v>
      </c>
      <c r="L3554" s="108" t="s">
        <v>2900</v>
      </c>
      <c r="M3554" s="581">
        <v>23.51</v>
      </c>
      <c r="N3554" s="573">
        <v>1.79</v>
      </c>
      <c r="O3554" s="556" t="str">
        <f t="shared" si="281"/>
        <v>DIF</v>
      </c>
      <c r="P3554" s="573"/>
      <c r="Q3554" s="556"/>
      <c r="R3554" s="582"/>
    </row>
    <row r="3555" ht="26.25" spans="1:18">
      <c r="A3555" s="556" t="str">
        <f t="shared" si="282"/>
        <v>Composição</v>
      </c>
      <c r="B3555" s="557" t="str">
        <f t="shared" si="283"/>
        <v>Composição</v>
      </c>
      <c r="C3555" s="108"/>
      <c r="D3555" s="108"/>
      <c r="E3555" s="108"/>
      <c r="F3555" s="108"/>
      <c r="G3555" s="108"/>
      <c r="H3555" s="108" t="s">
        <v>2901</v>
      </c>
      <c r="I3555" s="581">
        <v>10.78</v>
      </c>
      <c r="J3555" s="114"/>
      <c r="K3555" s="114" t="s">
        <v>2902</v>
      </c>
      <c r="L3555" s="108"/>
      <c r="M3555" s="581">
        <v>53.08</v>
      </c>
      <c r="N3555" s="573">
        <v>0.05</v>
      </c>
      <c r="O3555" s="556" t="str">
        <f t="shared" si="281"/>
        <v>DIF</v>
      </c>
      <c r="P3555" s="573"/>
      <c r="Q3555" s="556"/>
      <c r="R3555" s="582"/>
    </row>
    <row r="3556" ht="15" spans="1:18">
      <c r="A3556" s="556" t="str">
        <f t="shared" si="282"/>
        <v>Composição</v>
      </c>
      <c r="B3556" s="557" t="str">
        <f t="shared" si="283"/>
        <v>Composição</v>
      </c>
      <c r="C3556" s="571"/>
      <c r="D3556" s="571"/>
      <c r="E3556" s="571"/>
      <c r="F3556" s="571"/>
      <c r="G3556" s="571"/>
      <c r="H3556" s="571"/>
      <c r="I3556" s="571"/>
      <c r="J3556" s="571"/>
      <c r="K3556" s="571"/>
      <c r="L3556" s="571"/>
      <c r="M3556" s="571"/>
      <c r="N3556" s="573">
        <v>3.95</v>
      </c>
      <c r="O3556" s="556" t="str">
        <f t="shared" si="281"/>
        <v>DIF</v>
      </c>
      <c r="P3556" s="573"/>
      <c r="Q3556" s="556"/>
      <c r="R3556" s="582"/>
    </row>
    <row r="3557" ht="15" customHeight="1" spans="1:18">
      <c r="A3557" s="556" t="str">
        <f t="shared" si="282"/>
        <v>Composição</v>
      </c>
      <c r="B3557" s="557" t="str">
        <f t="shared" si="283"/>
        <v>Composição</v>
      </c>
      <c r="C3557" s="76" t="s">
        <v>1227</v>
      </c>
      <c r="D3557" s="75" t="s">
        <v>63</v>
      </c>
      <c r="E3557" s="76" t="s">
        <v>64</v>
      </c>
      <c r="F3557" s="76" t="s">
        <v>65</v>
      </c>
      <c r="G3557" s="76" t="s">
        <v>2889</v>
      </c>
      <c r="H3557" s="76"/>
      <c r="I3557" s="77" t="s">
        <v>66</v>
      </c>
      <c r="J3557" s="75" t="s">
        <v>67</v>
      </c>
      <c r="K3557" s="75" t="s">
        <v>2890</v>
      </c>
      <c r="L3557" s="75" t="s">
        <v>68</v>
      </c>
      <c r="M3557" s="75" t="s">
        <v>70</v>
      </c>
      <c r="N3557" s="573">
        <v>0.59</v>
      </c>
      <c r="O3557" s="556" t="str">
        <f t="shared" si="281"/>
        <v>DIF</v>
      </c>
      <c r="P3557" s="573"/>
      <c r="Q3557" s="556"/>
      <c r="R3557" s="582"/>
    </row>
    <row r="3558" ht="23.85" customHeight="1" spans="1:18">
      <c r="A3558" s="556"/>
      <c r="B3558" s="557"/>
      <c r="C3558" s="569" t="s">
        <v>2891</v>
      </c>
      <c r="D3558" s="570" t="s">
        <v>1228</v>
      </c>
      <c r="E3558" s="569" t="s">
        <v>149</v>
      </c>
      <c r="F3558" s="569" t="s">
        <v>1229</v>
      </c>
      <c r="G3558" s="569" t="s">
        <v>3953</v>
      </c>
      <c r="H3558" s="569"/>
      <c r="I3558" s="577" t="s">
        <v>134</v>
      </c>
      <c r="J3558" s="578">
        <v>1</v>
      </c>
      <c r="K3558" s="579"/>
      <c r="L3558" s="579">
        <v>11.93</v>
      </c>
      <c r="M3558" s="579">
        <v>11.93</v>
      </c>
      <c r="N3558" s="573"/>
      <c r="O3558" s="556"/>
      <c r="P3558" s="573"/>
      <c r="Q3558" s="556"/>
      <c r="R3558" s="582"/>
    </row>
    <row r="3559" ht="15" customHeight="1" spans="1:18">
      <c r="A3559" s="556"/>
      <c r="B3559" s="557"/>
      <c r="C3559" s="100" t="s">
        <v>2893</v>
      </c>
      <c r="D3559" s="99" t="s">
        <v>4163</v>
      </c>
      <c r="E3559" s="100" t="s">
        <v>149</v>
      </c>
      <c r="F3559" s="100" t="s">
        <v>4164</v>
      </c>
      <c r="G3559" s="100" t="s">
        <v>2961</v>
      </c>
      <c r="H3559" s="100"/>
      <c r="I3559" s="101" t="s">
        <v>134</v>
      </c>
      <c r="J3559" s="580">
        <v>1</v>
      </c>
      <c r="K3559" s="580">
        <v>0</v>
      </c>
      <c r="L3559" s="102">
        <v>5.3</v>
      </c>
      <c r="M3559" s="102">
        <v>5.3</v>
      </c>
      <c r="N3559" s="573"/>
      <c r="O3559" s="556"/>
      <c r="P3559" s="573"/>
      <c r="Q3559" s="556"/>
      <c r="R3559" s="582"/>
    </row>
    <row r="3560" ht="15" customHeight="1" spans="1:18">
      <c r="A3560" s="556"/>
      <c r="B3560" s="557" t="str">
        <f>C3559</f>
        <v>Insumo</v>
      </c>
      <c r="C3560" s="100" t="s">
        <v>2893</v>
      </c>
      <c r="D3560" s="99" t="s">
        <v>2976</v>
      </c>
      <c r="E3560" s="100" t="s">
        <v>149</v>
      </c>
      <c r="F3560" s="100" t="s">
        <v>2977</v>
      </c>
      <c r="G3560" s="100" t="s">
        <v>2896</v>
      </c>
      <c r="H3560" s="100"/>
      <c r="I3560" s="101" t="s">
        <v>2897</v>
      </c>
      <c r="J3560" s="580">
        <v>0.14</v>
      </c>
      <c r="K3560" s="580">
        <v>0</v>
      </c>
      <c r="L3560" s="102">
        <v>20.515752</v>
      </c>
      <c r="M3560" s="102">
        <v>2.87</v>
      </c>
      <c r="N3560" s="573">
        <v>889.57</v>
      </c>
      <c r="O3560" s="556" t="str">
        <f t="shared" ref="O3560:O3579" si="284">IF(N3560=M3560,"OK","DIF")</f>
        <v>DIF</v>
      </c>
      <c r="P3560" s="573"/>
      <c r="Q3560" s="556"/>
      <c r="R3560" s="582"/>
    </row>
    <row r="3561" ht="15" customHeight="1" spans="1:18">
      <c r="A3561" s="556" t="str">
        <f t="shared" ref="A3561:A3579" si="285">B3561</f>
        <v>Insumo</v>
      </c>
      <c r="B3561" s="557" t="str">
        <f t="shared" ref="B3561:B3579" si="286">B3560</f>
        <v>Insumo</v>
      </c>
      <c r="C3561" s="100" t="s">
        <v>2893</v>
      </c>
      <c r="D3561" s="99" t="s">
        <v>2986</v>
      </c>
      <c r="E3561" s="100" t="s">
        <v>149</v>
      </c>
      <c r="F3561" s="100" t="s">
        <v>2987</v>
      </c>
      <c r="G3561" s="100" t="s">
        <v>2896</v>
      </c>
      <c r="H3561" s="100"/>
      <c r="I3561" s="101" t="s">
        <v>2897</v>
      </c>
      <c r="J3561" s="580">
        <v>0.14</v>
      </c>
      <c r="K3561" s="580">
        <v>0</v>
      </c>
      <c r="L3561" s="102">
        <v>26.928256</v>
      </c>
      <c r="M3561" s="102">
        <v>3.76</v>
      </c>
      <c r="N3561" s="573">
        <v>407.64</v>
      </c>
      <c r="O3561" s="556" t="str">
        <f t="shared" si="284"/>
        <v>DIF</v>
      </c>
      <c r="P3561" s="573"/>
      <c r="Q3561" s="556"/>
      <c r="R3561" s="582"/>
    </row>
    <row r="3562" ht="25.5" spans="1:18">
      <c r="A3562" s="556" t="str">
        <f t="shared" si="285"/>
        <v>Insumo</v>
      </c>
      <c r="B3562" s="557" t="str">
        <f t="shared" si="286"/>
        <v>Insumo</v>
      </c>
      <c r="C3562" s="108"/>
      <c r="D3562" s="108"/>
      <c r="E3562" s="108"/>
      <c r="F3562" s="108"/>
      <c r="G3562" s="108"/>
      <c r="H3562" s="108" t="s">
        <v>2898</v>
      </c>
      <c r="I3562" s="581">
        <v>6.63</v>
      </c>
      <c r="J3562" s="108" t="s">
        <v>2899</v>
      </c>
      <c r="K3562" s="581">
        <v>0</v>
      </c>
      <c r="L3562" s="108" t="s">
        <v>2900</v>
      </c>
      <c r="M3562" s="581">
        <v>6.63</v>
      </c>
      <c r="N3562" s="573">
        <v>41.14</v>
      </c>
      <c r="O3562" s="556" t="str">
        <f t="shared" si="284"/>
        <v>DIF</v>
      </c>
      <c r="P3562" s="573"/>
      <c r="Q3562" s="556"/>
      <c r="R3562" s="582"/>
    </row>
    <row r="3563" ht="26.25" spans="1:18">
      <c r="A3563" s="556" t="str">
        <f t="shared" si="285"/>
        <v>Insumo</v>
      </c>
      <c r="B3563" s="557" t="str">
        <f t="shared" si="286"/>
        <v>Insumo</v>
      </c>
      <c r="C3563" s="108"/>
      <c r="D3563" s="108"/>
      <c r="E3563" s="108"/>
      <c r="F3563" s="108"/>
      <c r="G3563" s="108"/>
      <c r="H3563" s="108" t="s">
        <v>2901</v>
      </c>
      <c r="I3563" s="581">
        <v>3.04</v>
      </c>
      <c r="J3563" s="114"/>
      <c r="K3563" s="114" t="s">
        <v>2902</v>
      </c>
      <c r="L3563" s="108"/>
      <c r="M3563" s="581">
        <v>14.97</v>
      </c>
      <c r="N3563" s="573">
        <v>188.89</v>
      </c>
      <c r="O3563" s="556" t="str">
        <f t="shared" si="284"/>
        <v>DIF</v>
      </c>
      <c r="P3563" s="573"/>
      <c r="Q3563" s="556"/>
      <c r="R3563" s="582"/>
    </row>
    <row r="3564" ht="15" spans="1:18">
      <c r="A3564" s="556" t="str">
        <f t="shared" si="285"/>
        <v>Insumo</v>
      </c>
      <c r="B3564" s="557" t="str">
        <f t="shared" si="286"/>
        <v>Insumo</v>
      </c>
      <c r="C3564" s="571"/>
      <c r="D3564" s="571"/>
      <c r="E3564" s="571"/>
      <c r="F3564" s="571"/>
      <c r="G3564" s="571"/>
      <c r="H3564" s="571"/>
      <c r="I3564" s="571"/>
      <c r="J3564" s="571"/>
      <c r="K3564" s="571"/>
      <c r="L3564" s="571"/>
      <c r="M3564" s="571"/>
      <c r="N3564" s="573">
        <v>45.91</v>
      </c>
      <c r="O3564" s="556" t="str">
        <f t="shared" si="284"/>
        <v>DIF</v>
      </c>
      <c r="P3564" s="573"/>
      <c r="Q3564" s="556"/>
      <c r="R3564" s="582"/>
    </row>
    <row r="3565" ht="15" customHeight="1" spans="1:18">
      <c r="A3565" s="556" t="str">
        <f t="shared" si="285"/>
        <v>Insumo</v>
      </c>
      <c r="B3565" s="557" t="str">
        <f t="shared" si="286"/>
        <v>Insumo</v>
      </c>
      <c r="C3565" s="76" t="s">
        <v>1230</v>
      </c>
      <c r="D3565" s="75" t="s">
        <v>63</v>
      </c>
      <c r="E3565" s="76" t="s">
        <v>64</v>
      </c>
      <c r="F3565" s="76" t="s">
        <v>65</v>
      </c>
      <c r="G3565" s="76" t="s">
        <v>2889</v>
      </c>
      <c r="H3565" s="76"/>
      <c r="I3565" s="77" t="s">
        <v>66</v>
      </c>
      <c r="J3565" s="75" t="s">
        <v>67</v>
      </c>
      <c r="K3565" s="75" t="s">
        <v>2890</v>
      </c>
      <c r="L3565" s="75" t="s">
        <v>68</v>
      </c>
      <c r="M3565" s="75" t="s">
        <v>70</v>
      </c>
      <c r="N3565" s="573">
        <v>4.76</v>
      </c>
      <c r="O3565" s="556" t="str">
        <f t="shared" si="284"/>
        <v>DIF</v>
      </c>
      <c r="P3565" s="573"/>
      <c r="Q3565" s="556"/>
      <c r="R3565" s="582"/>
    </row>
    <row r="3566" ht="51" spans="1:18">
      <c r="A3566" s="556" t="str">
        <f t="shared" si="285"/>
        <v>Insumo</v>
      </c>
      <c r="B3566" s="557" t="str">
        <f t="shared" si="286"/>
        <v>Insumo</v>
      </c>
      <c r="C3566" s="569" t="s">
        <v>2891</v>
      </c>
      <c r="D3566" s="570" t="s">
        <v>1071</v>
      </c>
      <c r="E3566" s="569" t="s">
        <v>77</v>
      </c>
      <c r="F3566" s="569" t="s">
        <v>4012</v>
      </c>
      <c r="G3566" s="569">
        <v>15</v>
      </c>
      <c r="H3566" s="569"/>
      <c r="I3566" s="577" t="s">
        <v>204</v>
      </c>
      <c r="J3566" s="578">
        <v>1</v>
      </c>
      <c r="K3566" s="579"/>
      <c r="L3566" s="579">
        <v>17.72</v>
      </c>
      <c r="M3566" s="579">
        <v>17.72</v>
      </c>
      <c r="N3566" s="573">
        <v>1.98</v>
      </c>
      <c r="O3566" s="556" t="str">
        <f t="shared" si="284"/>
        <v>DIF</v>
      </c>
      <c r="P3566" s="573"/>
      <c r="Q3566" s="556"/>
      <c r="R3566" s="582"/>
    </row>
    <row r="3567" ht="23.85" customHeight="1" spans="1:18">
      <c r="A3567" s="556" t="str">
        <f t="shared" si="285"/>
        <v>Insumo</v>
      </c>
      <c r="B3567" s="557" t="str">
        <f t="shared" si="286"/>
        <v>Insumo</v>
      </c>
      <c r="C3567" s="100" t="s">
        <v>2893</v>
      </c>
      <c r="D3567" s="99" t="s">
        <v>4013</v>
      </c>
      <c r="E3567" s="100" t="s">
        <v>77</v>
      </c>
      <c r="F3567" s="100" t="s">
        <v>4014</v>
      </c>
      <c r="G3567" s="100" t="s">
        <v>2896</v>
      </c>
      <c r="H3567" s="100"/>
      <c r="I3567" s="101" t="s">
        <v>2897</v>
      </c>
      <c r="J3567" s="580">
        <v>0.14</v>
      </c>
      <c r="K3567" s="580">
        <v>3</v>
      </c>
      <c r="L3567" s="102">
        <v>26.52</v>
      </c>
      <c r="M3567" s="102">
        <v>3.82</v>
      </c>
      <c r="N3567" s="573">
        <v>9.96</v>
      </c>
      <c r="O3567" s="556" t="str">
        <f t="shared" si="284"/>
        <v>DIF</v>
      </c>
      <c r="P3567" s="573"/>
      <c r="Q3567" s="556"/>
      <c r="R3567" s="582"/>
    </row>
    <row r="3568" ht="23.85" customHeight="1" spans="1:18">
      <c r="A3568" s="556" t="str">
        <f t="shared" si="285"/>
        <v>Insumo</v>
      </c>
      <c r="B3568" s="557" t="str">
        <f t="shared" si="286"/>
        <v>Insumo</v>
      </c>
      <c r="C3568" s="100" t="s">
        <v>2893</v>
      </c>
      <c r="D3568" s="99" t="s">
        <v>3108</v>
      </c>
      <c r="E3568" s="100" t="s">
        <v>77</v>
      </c>
      <c r="F3568" s="100" t="s">
        <v>3109</v>
      </c>
      <c r="G3568" s="100" t="s">
        <v>2896</v>
      </c>
      <c r="H3568" s="100"/>
      <c r="I3568" s="101" t="s">
        <v>2897</v>
      </c>
      <c r="J3568" s="580">
        <v>0.14</v>
      </c>
      <c r="K3568" s="580">
        <v>3</v>
      </c>
      <c r="L3568" s="102">
        <v>19.16</v>
      </c>
      <c r="M3568" s="102">
        <v>2.76</v>
      </c>
      <c r="N3568" s="573">
        <v>14.81</v>
      </c>
      <c r="O3568" s="556" t="str">
        <f t="shared" si="284"/>
        <v>DIF</v>
      </c>
      <c r="P3568" s="573"/>
      <c r="Q3568" s="556"/>
      <c r="R3568" s="582"/>
    </row>
    <row r="3569" ht="23.85" customHeight="1" spans="1:18">
      <c r="A3569" s="556" t="str">
        <f t="shared" si="285"/>
        <v>Insumo</v>
      </c>
      <c r="B3569" s="557" t="str">
        <f t="shared" si="286"/>
        <v>Insumo</v>
      </c>
      <c r="C3569" s="100" t="s">
        <v>2893</v>
      </c>
      <c r="D3569" s="99" t="s">
        <v>4015</v>
      </c>
      <c r="E3569" s="100" t="s">
        <v>77</v>
      </c>
      <c r="F3569" s="100" t="s">
        <v>4016</v>
      </c>
      <c r="G3569" s="100" t="s">
        <v>2961</v>
      </c>
      <c r="H3569" s="100"/>
      <c r="I3569" s="101" t="s">
        <v>134</v>
      </c>
      <c r="J3569" s="580">
        <v>0.35</v>
      </c>
      <c r="K3569" s="580">
        <v>10</v>
      </c>
      <c r="L3569" s="102">
        <v>28.96</v>
      </c>
      <c r="M3569" s="102">
        <v>11.14</v>
      </c>
      <c r="N3569" s="573">
        <v>11.84</v>
      </c>
      <c r="O3569" s="556" t="str">
        <f t="shared" si="284"/>
        <v>DIF</v>
      </c>
      <c r="P3569" s="573"/>
      <c r="Q3569" s="556"/>
      <c r="R3569" s="582"/>
    </row>
    <row r="3570" ht="25.5" spans="1:18">
      <c r="A3570" s="556" t="str">
        <f t="shared" si="285"/>
        <v>Insumo</v>
      </c>
      <c r="B3570" s="557" t="str">
        <f t="shared" si="286"/>
        <v>Insumo</v>
      </c>
      <c r="C3570" s="108"/>
      <c r="D3570" s="108"/>
      <c r="E3570" s="108"/>
      <c r="F3570" s="108"/>
      <c r="G3570" s="108"/>
      <c r="H3570" s="108" t="s">
        <v>2898</v>
      </c>
      <c r="I3570" s="581">
        <v>6.58</v>
      </c>
      <c r="J3570" s="108" t="s">
        <v>2899</v>
      </c>
      <c r="K3570" s="581">
        <v>0</v>
      </c>
      <c r="L3570" s="108" t="s">
        <v>2900</v>
      </c>
      <c r="M3570" s="581">
        <v>6.58</v>
      </c>
      <c r="N3570" s="573">
        <v>2.26</v>
      </c>
      <c r="O3570" s="556" t="str">
        <f t="shared" si="284"/>
        <v>DIF</v>
      </c>
      <c r="P3570" s="573"/>
      <c r="Q3570" s="556"/>
      <c r="R3570" s="582"/>
    </row>
    <row r="3571" ht="26.25" spans="1:18">
      <c r="A3571" s="556" t="str">
        <f t="shared" si="285"/>
        <v>Insumo</v>
      </c>
      <c r="B3571" s="557" t="str">
        <f t="shared" si="286"/>
        <v>Insumo</v>
      </c>
      <c r="C3571" s="108"/>
      <c r="D3571" s="108"/>
      <c r="E3571" s="108"/>
      <c r="F3571" s="108"/>
      <c r="G3571" s="108"/>
      <c r="H3571" s="108" t="s">
        <v>2901</v>
      </c>
      <c r="I3571" s="581">
        <v>4.51</v>
      </c>
      <c r="J3571" s="114"/>
      <c r="K3571" s="114" t="s">
        <v>2902</v>
      </c>
      <c r="L3571" s="108"/>
      <c r="M3571" s="581">
        <v>22.23</v>
      </c>
      <c r="N3571" s="573">
        <v>16.36</v>
      </c>
      <c r="O3571" s="556" t="str">
        <f t="shared" si="284"/>
        <v>DIF</v>
      </c>
      <c r="P3571" s="573"/>
      <c r="Q3571" s="556"/>
      <c r="R3571" s="582"/>
    </row>
    <row r="3572" ht="15" spans="1:18">
      <c r="A3572" s="556" t="str">
        <f t="shared" si="285"/>
        <v>Insumo</v>
      </c>
      <c r="B3572" s="557" t="str">
        <f t="shared" si="286"/>
        <v>Insumo</v>
      </c>
      <c r="C3572" s="571"/>
      <c r="D3572" s="571"/>
      <c r="E3572" s="571"/>
      <c r="F3572" s="571"/>
      <c r="G3572" s="571"/>
      <c r="H3572" s="571"/>
      <c r="I3572" s="571"/>
      <c r="J3572" s="571"/>
      <c r="K3572" s="571"/>
      <c r="L3572" s="571"/>
      <c r="M3572" s="571"/>
      <c r="N3572" s="573">
        <v>4.67</v>
      </c>
      <c r="O3572" s="556" t="str">
        <f t="shared" si="284"/>
        <v>DIF</v>
      </c>
      <c r="P3572" s="573"/>
      <c r="Q3572" s="556"/>
      <c r="R3572" s="582"/>
    </row>
    <row r="3573" ht="15" customHeight="1" spans="1:18">
      <c r="A3573" s="556" t="str">
        <f t="shared" si="285"/>
        <v>Insumo</v>
      </c>
      <c r="B3573" s="557" t="str">
        <f t="shared" si="286"/>
        <v>Insumo</v>
      </c>
      <c r="C3573" s="76" t="s">
        <v>1231</v>
      </c>
      <c r="D3573" s="75" t="s">
        <v>63</v>
      </c>
      <c r="E3573" s="76" t="s">
        <v>64</v>
      </c>
      <c r="F3573" s="76" t="s">
        <v>65</v>
      </c>
      <c r="G3573" s="76" t="s">
        <v>2889</v>
      </c>
      <c r="H3573" s="76"/>
      <c r="I3573" s="77" t="s">
        <v>66</v>
      </c>
      <c r="J3573" s="75" t="s">
        <v>67</v>
      </c>
      <c r="K3573" s="75" t="s">
        <v>2890</v>
      </c>
      <c r="L3573" s="75" t="s">
        <v>68</v>
      </c>
      <c r="M3573" s="75" t="s">
        <v>70</v>
      </c>
      <c r="N3573" s="573">
        <v>3.39</v>
      </c>
      <c r="O3573" s="556" t="str">
        <f t="shared" si="284"/>
        <v>DIF</v>
      </c>
      <c r="P3573" s="573"/>
      <c r="Q3573" s="556"/>
      <c r="R3573" s="582"/>
    </row>
    <row r="3574" ht="51" spans="1:18">
      <c r="A3574" s="556" t="str">
        <f t="shared" si="285"/>
        <v>Insumo</v>
      </c>
      <c r="B3574" s="557" t="str">
        <f t="shared" si="286"/>
        <v>Insumo</v>
      </c>
      <c r="C3574" s="569" t="s">
        <v>2891</v>
      </c>
      <c r="D3574" s="570" t="s">
        <v>1077</v>
      </c>
      <c r="E3574" s="569" t="s">
        <v>77</v>
      </c>
      <c r="F3574" s="569" t="s">
        <v>4020</v>
      </c>
      <c r="G3574" s="569">
        <v>15</v>
      </c>
      <c r="H3574" s="569"/>
      <c r="I3574" s="577" t="s">
        <v>204</v>
      </c>
      <c r="J3574" s="578">
        <v>1</v>
      </c>
      <c r="K3574" s="579"/>
      <c r="L3574" s="579">
        <v>32.26</v>
      </c>
      <c r="M3574" s="579">
        <v>32.26</v>
      </c>
      <c r="N3574" s="573">
        <v>0.95</v>
      </c>
      <c r="O3574" s="556" t="str">
        <f t="shared" si="284"/>
        <v>DIF</v>
      </c>
      <c r="P3574" s="573"/>
      <c r="Q3574" s="556"/>
      <c r="R3574" s="582"/>
    </row>
    <row r="3575" ht="23.85" customHeight="1" spans="1:18">
      <c r="A3575" s="556" t="str">
        <f t="shared" si="285"/>
        <v>Insumo</v>
      </c>
      <c r="B3575" s="557" t="str">
        <f t="shared" si="286"/>
        <v>Insumo</v>
      </c>
      <c r="C3575" s="100" t="s">
        <v>2893</v>
      </c>
      <c r="D3575" s="99" t="s">
        <v>4013</v>
      </c>
      <c r="E3575" s="100" t="s">
        <v>77</v>
      </c>
      <c r="F3575" s="100" t="s">
        <v>4014</v>
      </c>
      <c r="G3575" s="100" t="s">
        <v>2896</v>
      </c>
      <c r="H3575" s="100"/>
      <c r="I3575" s="101" t="s">
        <v>2897</v>
      </c>
      <c r="J3575" s="580">
        <v>0.21</v>
      </c>
      <c r="K3575" s="580">
        <v>3</v>
      </c>
      <c r="L3575" s="102">
        <v>26.52</v>
      </c>
      <c r="M3575" s="102">
        <v>5.73</v>
      </c>
      <c r="N3575" s="573">
        <v>23.1</v>
      </c>
      <c r="O3575" s="556" t="str">
        <f t="shared" si="284"/>
        <v>DIF</v>
      </c>
      <c r="P3575" s="573"/>
      <c r="Q3575" s="556"/>
      <c r="R3575" s="582"/>
    </row>
    <row r="3576" ht="23.85" customHeight="1" spans="1:18">
      <c r="A3576" s="556" t="str">
        <f t="shared" si="285"/>
        <v>Insumo</v>
      </c>
      <c r="B3576" s="557" t="str">
        <f t="shared" si="286"/>
        <v>Insumo</v>
      </c>
      <c r="C3576" s="100" t="s">
        <v>2893</v>
      </c>
      <c r="D3576" s="99" t="s">
        <v>3108</v>
      </c>
      <c r="E3576" s="100" t="s">
        <v>77</v>
      </c>
      <c r="F3576" s="100" t="s">
        <v>3109</v>
      </c>
      <c r="G3576" s="100" t="s">
        <v>2896</v>
      </c>
      <c r="H3576" s="100"/>
      <c r="I3576" s="101" t="s">
        <v>2897</v>
      </c>
      <c r="J3576" s="580">
        <v>0.21</v>
      </c>
      <c r="K3576" s="580">
        <v>3</v>
      </c>
      <c r="L3576" s="102">
        <v>19.16</v>
      </c>
      <c r="M3576" s="102">
        <v>4.14</v>
      </c>
      <c r="N3576" s="573">
        <v>4.03</v>
      </c>
      <c r="O3576" s="556" t="str">
        <f t="shared" si="284"/>
        <v>DIF</v>
      </c>
      <c r="P3576" s="573"/>
      <c r="Q3576" s="556"/>
      <c r="R3576" s="582"/>
    </row>
    <row r="3577" ht="23.85" customHeight="1" spans="1:18">
      <c r="A3577" s="556" t="str">
        <f t="shared" si="285"/>
        <v>Insumo</v>
      </c>
      <c r="B3577" s="557" t="str">
        <f t="shared" si="286"/>
        <v>Insumo</v>
      </c>
      <c r="C3577" s="100" t="s">
        <v>2893</v>
      </c>
      <c r="D3577" s="99" t="s">
        <v>4021</v>
      </c>
      <c r="E3577" s="100" t="s">
        <v>77</v>
      </c>
      <c r="F3577" s="100" t="s">
        <v>4022</v>
      </c>
      <c r="G3577" s="100" t="s">
        <v>2961</v>
      </c>
      <c r="H3577" s="100"/>
      <c r="I3577" s="101" t="s">
        <v>134</v>
      </c>
      <c r="J3577" s="580">
        <v>0.35</v>
      </c>
      <c r="K3577" s="580">
        <v>10</v>
      </c>
      <c r="L3577" s="102">
        <v>58.18</v>
      </c>
      <c r="M3577" s="102">
        <v>22.39</v>
      </c>
      <c r="N3577" s="573">
        <v>2.88</v>
      </c>
      <c r="O3577" s="556" t="str">
        <f t="shared" si="284"/>
        <v>DIF</v>
      </c>
      <c r="P3577" s="573"/>
      <c r="Q3577" s="556"/>
      <c r="R3577" s="582"/>
    </row>
    <row r="3578" ht="25.5" spans="1:18">
      <c r="A3578" s="556" t="str">
        <f t="shared" si="285"/>
        <v>Insumo</v>
      </c>
      <c r="B3578" s="557" t="str">
        <f t="shared" si="286"/>
        <v>Insumo</v>
      </c>
      <c r="C3578" s="108"/>
      <c r="D3578" s="108"/>
      <c r="E3578" s="108"/>
      <c r="F3578" s="108"/>
      <c r="G3578" s="108"/>
      <c r="H3578" s="108" t="s">
        <v>2898</v>
      </c>
      <c r="I3578" s="581">
        <v>9.87</v>
      </c>
      <c r="J3578" s="108" t="s">
        <v>2899</v>
      </c>
      <c r="K3578" s="581">
        <v>0</v>
      </c>
      <c r="L3578" s="108" t="s">
        <v>2900</v>
      </c>
      <c r="M3578" s="581">
        <v>9.87</v>
      </c>
      <c r="N3578" s="573">
        <v>103.04</v>
      </c>
      <c r="O3578" s="556" t="str">
        <f t="shared" si="284"/>
        <v>DIF</v>
      </c>
      <c r="P3578" s="573"/>
      <c r="Q3578" s="556"/>
      <c r="R3578" s="582"/>
    </row>
    <row r="3579" ht="26.25" spans="1:18">
      <c r="A3579" s="556" t="str">
        <f t="shared" si="285"/>
        <v>Insumo</v>
      </c>
      <c r="B3579" s="557" t="str">
        <f t="shared" si="286"/>
        <v>Insumo</v>
      </c>
      <c r="C3579" s="108"/>
      <c r="D3579" s="108"/>
      <c r="E3579" s="108"/>
      <c r="F3579" s="108"/>
      <c r="G3579" s="108"/>
      <c r="H3579" s="108" t="s">
        <v>2901</v>
      </c>
      <c r="I3579" s="581">
        <v>8.22</v>
      </c>
      <c r="J3579" s="114"/>
      <c r="K3579" s="114" t="s">
        <v>2902</v>
      </c>
      <c r="L3579" s="108"/>
      <c r="M3579" s="581">
        <v>40.48</v>
      </c>
      <c r="N3579" s="573">
        <v>1.96</v>
      </c>
      <c r="O3579" s="556" t="str">
        <f t="shared" si="284"/>
        <v>DIF</v>
      </c>
      <c r="P3579" s="573"/>
      <c r="Q3579" s="556"/>
      <c r="R3579" s="582"/>
    </row>
    <row r="3580" ht="15" spans="1:18">
      <c r="A3580" s="556"/>
      <c r="B3580" s="557"/>
      <c r="C3580" s="571"/>
      <c r="D3580" s="571"/>
      <c r="E3580" s="571"/>
      <c r="F3580" s="571"/>
      <c r="G3580" s="571"/>
      <c r="H3580" s="571"/>
      <c r="I3580" s="571"/>
      <c r="J3580" s="571"/>
      <c r="K3580" s="571"/>
      <c r="L3580" s="571"/>
      <c r="M3580" s="571"/>
      <c r="N3580" s="573"/>
      <c r="O3580" s="556"/>
      <c r="P3580" s="573"/>
      <c r="Q3580" s="556"/>
      <c r="R3580" s="582"/>
    </row>
    <row r="3581" ht="15" customHeight="1" spans="1:18">
      <c r="A3581" s="556"/>
      <c r="B3581" s="557"/>
      <c r="C3581" s="76" t="s">
        <v>1232</v>
      </c>
      <c r="D3581" s="75" t="s">
        <v>63</v>
      </c>
      <c r="E3581" s="76" t="s">
        <v>64</v>
      </c>
      <c r="F3581" s="76" t="s">
        <v>65</v>
      </c>
      <c r="G3581" s="76" t="s">
        <v>2889</v>
      </c>
      <c r="H3581" s="76"/>
      <c r="I3581" s="77" t="s">
        <v>66</v>
      </c>
      <c r="J3581" s="75" t="s">
        <v>67</v>
      </c>
      <c r="K3581" s="75" t="s">
        <v>2890</v>
      </c>
      <c r="L3581" s="75" t="s">
        <v>68</v>
      </c>
      <c r="M3581" s="75" t="s">
        <v>70</v>
      </c>
      <c r="N3581" s="573"/>
      <c r="O3581" s="556"/>
      <c r="P3581" s="573"/>
      <c r="Q3581" s="556"/>
      <c r="R3581" s="582"/>
    </row>
    <row r="3582" ht="35.05" customHeight="1" spans="1:18">
      <c r="A3582" s="556"/>
      <c r="B3582" s="557" t="str">
        <f>C3581</f>
        <v> 12.3.9 </v>
      </c>
      <c r="C3582" s="569" t="s">
        <v>2891</v>
      </c>
      <c r="D3582" s="570" t="s">
        <v>1098</v>
      </c>
      <c r="E3582" s="569" t="s">
        <v>139</v>
      </c>
      <c r="F3582" s="569" t="s">
        <v>1099</v>
      </c>
      <c r="G3582" s="569" t="s">
        <v>3235</v>
      </c>
      <c r="H3582" s="569"/>
      <c r="I3582" s="577" t="s">
        <v>134</v>
      </c>
      <c r="J3582" s="578">
        <v>1</v>
      </c>
      <c r="K3582" s="579"/>
      <c r="L3582" s="579">
        <v>32.61</v>
      </c>
      <c r="M3582" s="579">
        <v>32.61</v>
      </c>
      <c r="N3582" s="573">
        <v>588.89</v>
      </c>
      <c r="O3582" s="556" t="str">
        <f>IF(N3582=M3582,"OK","DIF")</f>
        <v>DIF</v>
      </c>
      <c r="P3582" s="573"/>
      <c r="Q3582" s="556"/>
      <c r="R3582" s="582"/>
    </row>
    <row r="3583" ht="23.85" customHeight="1" spans="1:18">
      <c r="A3583" s="556" t="str">
        <f>B3583</f>
        <v> 12.3.9 </v>
      </c>
      <c r="B3583" s="557" t="str">
        <f>B3582</f>
        <v> 12.3.9 </v>
      </c>
      <c r="C3583" s="79" t="s">
        <v>2921</v>
      </c>
      <c r="D3583" s="78" t="s">
        <v>3151</v>
      </c>
      <c r="E3583" s="79" t="s">
        <v>139</v>
      </c>
      <c r="F3583" s="79" t="s">
        <v>3152</v>
      </c>
      <c r="G3583" s="79" t="s">
        <v>2928</v>
      </c>
      <c r="H3583" s="79"/>
      <c r="I3583" s="80" t="s">
        <v>2897</v>
      </c>
      <c r="J3583" s="583">
        <v>0.2727</v>
      </c>
      <c r="K3583" s="583">
        <v>0</v>
      </c>
      <c r="L3583" s="92">
        <v>36.82</v>
      </c>
      <c r="M3583" s="92">
        <v>10.04</v>
      </c>
      <c r="N3583" s="573">
        <v>66.76</v>
      </c>
      <c r="O3583" s="556" t="str">
        <f>IF(N3583=M3583,"OK","DIF")</f>
        <v>DIF</v>
      </c>
      <c r="P3583" s="573"/>
      <c r="Q3583" s="556"/>
      <c r="R3583" s="582"/>
    </row>
    <row r="3584" ht="23.85" customHeight="1" spans="1:18">
      <c r="A3584" s="556" t="str">
        <f>B3584</f>
        <v> 12.3.9 </v>
      </c>
      <c r="B3584" s="557" t="str">
        <f>B3583</f>
        <v> 12.3.9 </v>
      </c>
      <c r="C3584" s="79" t="s">
        <v>2921</v>
      </c>
      <c r="D3584" s="78" t="s">
        <v>3153</v>
      </c>
      <c r="E3584" s="79" t="s">
        <v>139</v>
      </c>
      <c r="F3584" s="79" t="s">
        <v>3154</v>
      </c>
      <c r="G3584" s="79" t="s">
        <v>2928</v>
      </c>
      <c r="H3584" s="79"/>
      <c r="I3584" s="80" t="s">
        <v>2897</v>
      </c>
      <c r="J3584" s="583">
        <v>0.2727</v>
      </c>
      <c r="K3584" s="583">
        <v>0</v>
      </c>
      <c r="L3584" s="92">
        <v>30.6</v>
      </c>
      <c r="M3584" s="92">
        <v>8.34</v>
      </c>
      <c r="N3584" s="573">
        <v>51.9</v>
      </c>
      <c r="O3584" s="556" t="str">
        <f>IF(N3584=M3584,"OK","DIF")</f>
        <v>DIF</v>
      </c>
      <c r="P3584" s="573"/>
      <c r="Q3584" s="556"/>
      <c r="R3584" s="582"/>
    </row>
    <row r="3585" ht="23.85" customHeight="1" spans="1:18">
      <c r="A3585" s="556" t="str">
        <f>B3585</f>
        <v> 12.3.9 </v>
      </c>
      <c r="B3585" s="557" t="str">
        <f>B3584</f>
        <v> 12.3.9 </v>
      </c>
      <c r="C3585" s="100" t="s">
        <v>2893</v>
      </c>
      <c r="D3585" s="99" t="s">
        <v>4038</v>
      </c>
      <c r="E3585" s="100" t="s">
        <v>139</v>
      </c>
      <c r="F3585" s="100" t="s">
        <v>4039</v>
      </c>
      <c r="G3585" s="100" t="s">
        <v>2961</v>
      </c>
      <c r="H3585" s="100"/>
      <c r="I3585" s="101" t="s">
        <v>134</v>
      </c>
      <c r="J3585" s="580">
        <v>2</v>
      </c>
      <c r="K3585" s="580">
        <v>0</v>
      </c>
      <c r="L3585" s="102">
        <v>0.26</v>
      </c>
      <c r="M3585" s="102">
        <v>0.52</v>
      </c>
      <c r="N3585" s="573">
        <v>2.23</v>
      </c>
      <c r="O3585" s="556" t="str">
        <f>IF(N3585=M3585,"OK","DIF")</f>
        <v>DIF</v>
      </c>
      <c r="P3585" s="573"/>
      <c r="Q3585" s="556"/>
      <c r="R3585" s="582"/>
    </row>
    <row r="3586" ht="23.85" customHeight="1" spans="1:18">
      <c r="A3586" s="556" t="str">
        <f>B3586</f>
        <v> 12.3.9 </v>
      </c>
      <c r="B3586" s="557" t="str">
        <f>B3585</f>
        <v> 12.3.9 </v>
      </c>
      <c r="C3586" s="100" t="s">
        <v>2893</v>
      </c>
      <c r="D3586" s="99" t="s">
        <v>4040</v>
      </c>
      <c r="E3586" s="100" t="s">
        <v>139</v>
      </c>
      <c r="F3586" s="100" t="s">
        <v>4041</v>
      </c>
      <c r="G3586" s="100" t="s">
        <v>2961</v>
      </c>
      <c r="H3586" s="100"/>
      <c r="I3586" s="101" t="s">
        <v>134</v>
      </c>
      <c r="J3586" s="580">
        <v>1</v>
      </c>
      <c r="K3586" s="580">
        <v>0</v>
      </c>
      <c r="L3586" s="102">
        <v>13.71</v>
      </c>
      <c r="M3586" s="102">
        <v>13.71</v>
      </c>
      <c r="N3586" s="573">
        <v>468</v>
      </c>
      <c r="O3586" s="556" t="str">
        <f>IF(N3586=M3586,"OK","DIF")</f>
        <v>DIF</v>
      </c>
      <c r="P3586" s="573"/>
      <c r="Q3586" s="556"/>
      <c r="R3586" s="582"/>
    </row>
    <row r="3587" ht="25.5" spans="1:18">
      <c r="A3587" s="556"/>
      <c r="B3587" s="557"/>
      <c r="C3587" s="108"/>
      <c r="D3587" s="108"/>
      <c r="E3587" s="108"/>
      <c r="F3587" s="108"/>
      <c r="G3587" s="108"/>
      <c r="H3587" s="108" t="s">
        <v>2898</v>
      </c>
      <c r="I3587" s="581">
        <v>12.9</v>
      </c>
      <c r="J3587" s="108" t="s">
        <v>2899</v>
      </c>
      <c r="K3587" s="581">
        <v>0</v>
      </c>
      <c r="L3587" s="108" t="s">
        <v>2900</v>
      </c>
      <c r="M3587" s="581">
        <v>12.9</v>
      </c>
      <c r="N3587" s="573"/>
      <c r="O3587" s="556"/>
      <c r="P3587" s="573"/>
      <c r="Q3587" s="556"/>
      <c r="R3587" s="582"/>
    </row>
    <row r="3588" ht="26.25" spans="1:18">
      <c r="A3588" s="556"/>
      <c r="B3588" s="557"/>
      <c r="C3588" s="108"/>
      <c r="D3588" s="108"/>
      <c r="E3588" s="108"/>
      <c r="F3588" s="108"/>
      <c r="G3588" s="108"/>
      <c r="H3588" s="108" t="s">
        <v>2901</v>
      </c>
      <c r="I3588" s="581">
        <v>8.31</v>
      </c>
      <c r="J3588" s="114"/>
      <c r="K3588" s="114" t="s">
        <v>2902</v>
      </c>
      <c r="L3588" s="108"/>
      <c r="M3588" s="581">
        <v>40.92</v>
      </c>
      <c r="N3588" s="573"/>
      <c r="O3588" s="556"/>
      <c r="P3588" s="573"/>
      <c r="Q3588" s="556"/>
      <c r="R3588" s="582"/>
    </row>
    <row r="3589" ht="15" spans="1:18">
      <c r="A3589" s="556"/>
      <c r="B3589" s="557">
        <f>C3588</f>
        <v>0</v>
      </c>
      <c r="C3589" s="571"/>
      <c r="D3589" s="571"/>
      <c r="E3589" s="571"/>
      <c r="F3589" s="571"/>
      <c r="G3589" s="571"/>
      <c r="H3589" s="571"/>
      <c r="I3589" s="571"/>
      <c r="J3589" s="571"/>
      <c r="K3589" s="571"/>
      <c r="L3589" s="571"/>
      <c r="M3589" s="571"/>
      <c r="N3589" s="573">
        <v>35.49</v>
      </c>
      <c r="O3589" s="556" t="str">
        <f>IF(N3589=M3589,"OK","DIF")</f>
        <v>DIF</v>
      </c>
      <c r="P3589" s="573"/>
      <c r="Q3589" s="556"/>
      <c r="R3589" s="582"/>
    </row>
    <row r="3590" ht="15" customHeight="1" spans="1:18">
      <c r="A3590" s="556">
        <f>B3590</f>
        <v>0</v>
      </c>
      <c r="B3590" s="557">
        <f>B3589</f>
        <v>0</v>
      </c>
      <c r="C3590" s="76" t="s">
        <v>1233</v>
      </c>
      <c r="D3590" s="75" t="s">
        <v>63</v>
      </c>
      <c r="E3590" s="76" t="s">
        <v>64</v>
      </c>
      <c r="F3590" s="76" t="s">
        <v>65</v>
      </c>
      <c r="G3590" s="76" t="s">
        <v>2889</v>
      </c>
      <c r="H3590" s="76"/>
      <c r="I3590" s="77" t="s">
        <v>66</v>
      </c>
      <c r="J3590" s="75" t="s">
        <v>67</v>
      </c>
      <c r="K3590" s="75" t="s">
        <v>2890</v>
      </c>
      <c r="L3590" s="75" t="s">
        <v>68</v>
      </c>
      <c r="M3590" s="75" t="s">
        <v>70</v>
      </c>
      <c r="N3590" s="573">
        <v>23.3</v>
      </c>
      <c r="O3590" s="556" t="str">
        <f>IF(N3590=M3590,"OK","DIF")</f>
        <v>DIF</v>
      </c>
      <c r="P3590" s="573"/>
      <c r="Q3590" s="556"/>
      <c r="R3590" s="582"/>
    </row>
    <row r="3591" ht="35.05" customHeight="1" spans="1:18">
      <c r="A3591" s="556">
        <f>B3591</f>
        <v>0</v>
      </c>
      <c r="B3591" s="557">
        <f>B3590</f>
        <v>0</v>
      </c>
      <c r="C3591" s="569" t="s">
        <v>2891</v>
      </c>
      <c r="D3591" s="570" t="s">
        <v>1101</v>
      </c>
      <c r="E3591" s="569" t="s">
        <v>139</v>
      </c>
      <c r="F3591" s="569" t="s">
        <v>1102</v>
      </c>
      <c r="G3591" s="569" t="s">
        <v>3235</v>
      </c>
      <c r="H3591" s="569"/>
      <c r="I3591" s="577" t="s">
        <v>134</v>
      </c>
      <c r="J3591" s="578">
        <v>1</v>
      </c>
      <c r="K3591" s="579"/>
      <c r="L3591" s="579">
        <v>37.88</v>
      </c>
      <c r="M3591" s="579">
        <v>37.88</v>
      </c>
      <c r="N3591" s="573">
        <v>8.11</v>
      </c>
      <c r="O3591" s="556" t="str">
        <f>IF(N3591=M3591,"OK","DIF")</f>
        <v>DIF</v>
      </c>
      <c r="P3591" s="573"/>
      <c r="Q3591" s="556"/>
      <c r="R3591" s="582"/>
    </row>
    <row r="3592" ht="23.85" customHeight="1" spans="1:18">
      <c r="A3592" s="556">
        <f>B3592</f>
        <v>0</v>
      </c>
      <c r="B3592" s="557">
        <f>B3591</f>
        <v>0</v>
      </c>
      <c r="C3592" s="79" t="s">
        <v>2921</v>
      </c>
      <c r="D3592" s="78" t="s">
        <v>3153</v>
      </c>
      <c r="E3592" s="79" t="s">
        <v>139</v>
      </c>
      <c r="F3592" s="79" t="s">
        <v>3154</v>
      </c>
      <c r="G3592" s="79" t="s">
        <v>2928</v>
      </c>
      <c r="H3592" s="79"/>
      <c r="I3592" s="80" t="s">
        <v>2897</v>
      </c>
      <c r="J3592" s="583">
        <v>0.3581</v>
      </c>
      <c r="K3592" s="583">
        <v>0</v>
      </c>
      <c r="L3592" s="92">
        <v>30.6</v>
      </c>
      <c r="M3592" s="92">
        <v>10.95</v>
      </c>
      <c r="N3592" s="573">
        <v>2.26</v>
      </c>
      <c r="O3592" s="556" t="str">
        <f>IF(N3592=M3592,"OK","DIF")</f>
        <v>DIF</v>
      </c>
      <c r="P3592" s="573"/>
      <c r="Q3592" s="556"/>
      <c r="R3592" s="582"/>
    </row>
    <row r="3593" ht="23.85" customHeight="1" spans="1:18">
      <c r="A3593" s="556">
        <f>B3593</f>
        <v>0</v>
      </c>
      <c r="B3593" s="557">
        <f>B3592</f>
        <v>0</v>
      </c>
      <c r="C3593" s="79" t="s">
        <v>2921</v>
      </c>
      <c r="D3593" s="78" t="s">
        <v>3151</v>
      </c>
      <c r="E3593" s="79" t="s">
        <v>139</v>
      </c>
      <c r="F3593" s="79" t="s">
        <v>3152</v>
      </c>
      <c r="G3593" s="79" t="s">
        <v>2928</v>
      </c>
      <c r="H3593" s="79"/>
      <c r="I3593" s="80" t="s">
        <v>2897</v>
      </c>
      <c r="J3593" s="583">
        <v>0.3581</v>
      </c>
      <c r="K3593" s="583">
        <v>0</v>
      </c>
      <c r="L3593" s="92">
        <v>36.82</v>
      </c>
      <c r="M3593" s="92">
        <v>13.18</v>
      </c>
      <c r="N3593" s="573">
        <v>1.82</v>
      </c>
      <c r="O3593" s="556" t="str">
        <f>IF(N3593=M3593,"OK","DIF")</f>
        <v>DIF</v>
      </c>
      <c r="P3593" s="573"/>
      <c r="Q3593" s="556"/>
      <c r="R3593" s="582"/>
    </row>
    <row r="3594" ht="23.85" customHeight="1" spans="1:18">
      <c r="A3594" s="556"/>
      <c r="B3594" s="557"/>
      <c r="C3594" s="100" t="s">
        <v>2893</v>
      </c>
      <c r="D3594" s="99" t="s">
        <v>4042</v>
      </c>
      <c r="E3594" s="100" t="s">
        <v>139</v>
      </c>
      <c r="F3594" s="100" t="s">
        <v>4043</v>
      </c>
      <c r="G3594" s="100" t="s">
        <v>2961</v>
      </c>
      <c r="H3594" s="100"/>
      <c r="I3594" s="101" t="s">
        <v>134</v>
      </c>
      <c r="J3594" s="580">
        <v>1</v>
      </c>
      <c r="K3594" s="580">
        <v>0</v>
      </c>
      <c r="L3594" s="102">
        <v>13.23</v>
      </c>
      <c r="M3594" s="102">
        <v>13.23</v>
      </c>
      <c r="N3594" s="573"/>
      <c r="O3594" s="556"/>
      <c r="P3594" s="573"/>
      <c r="Q3594" s="556"/>
      <c r="R3594" s="582"/>
    </row>
    <row r="3595" ht="23.85" customHeight="1" spans="1:18">
      <c r="A3595" s="556"/>
      <c r="B3595" s="557"/>
      <c r="C3595" s="100" t="s">
        <v>2893</v>
      </c>
      <c r="D3595" s="99" t="s">
        <v>4038</v>
      </c>
      <c r="E3595" s="100" t="s">
        <v>139</v>
      </c>
      <c r="F3595" s="100" t="s">
        <v>4039</v>
      </c>
      <c r="G3595" s="100" t="s">
        <v>2961</v>
      </c>
      <c r="H3595" s="100"/>
      <c r="I3595" s="101" t="s">
        <v>134</v>
      </c>
      <c r="J3595" s="580">
        <v>2</v>
      </c>
      <c r="K3595" s="580">
        <v>0</v>
      </c>
      <c r="L3595" s="102">
        <v>0.26</v>
      </c>
      <c r="M3595" s="102">
        <v>0.52</v>
      </c>
      <c r="N3595" s="573"/>
      <c r="O3595" s="556"/>
      <c r="P3595" s="573"/>
      <c r="Q3595" s="556"/>
      <c r="R3595" s="582"/>
    </row>
    <row r="3596" ht="25.5" spans="1:18">
      <c r="A3596" s="556"/>
      <c r="B3596" s="557" t="str">
        <f>C3595</f>
        <v>Insumo</v>
      </c>
      <c r="C3596" s="108"/>
      <c r="D3596" s="108"/>
      <c r="E3596" s="108"/>
      <c r="F3596" s="108"/>
      <c r="G3596" s="108"/>
      <c r="H3596" s="108" t="s">
        <v>2898</v>
      </c>
      <c r="I3596" s="581">
        <v>16.93</v>
      </c>
      <c r="J3596" s="108" t="s">
        <v>2899</v>
      </c>
      <c r="K3596" s="581">
        <v>0</v>
      </c>
      <c r="L3596" s="108" t="s">
        <v>2900</v>
      </c>
      <c r="M3596" s="581">
        <v>16.93</v>
      </c>
      <c r="N3596" s="573">
        <v>208.21</v>
      </c>
      <c r="O3596" s="556" t="str">
        <f t="shared" ref="O3596:O3601" si="287">IF(N3596=M3596,"OK","DIF")</f>
        <v>DIF</v>
      </c>
      <c r="P3596" s="573"/>
      <c r="Q3596" s="556"/>
      <c r="R3596" s="582"/>
    </row>
    <row r="3597" ht="26.25" spans="1:18">
      <c r="A3597" s="556" t="str">
        <f>B3597</f>
        <v>Insumo</v>
      </c>
      <c r="B3597" s="557" t="str">
        <f>B3596</f>
        <v>Insumo</v>
      </c>
      <c r="C3597" s="108"/>
      <c r="D3597" s="108"/>
      <c r="E3597" s="108"/>
      <c r="F3597" s="108"/>
      <c r="G3597" s="108"/>
      <c r="H3597" s="108" t="s">
        <v>2901</v>
      </c>
      <c r="I3597" s="581">
        <v>9.65</v>
      </c>
      <c r="J3597" s="114"/>
      <c r="K3597" s="114" t="s">
        <v>2902</v>
      </c>
      <c r="L3597" s="108"/>
      <c r="M3597" s="581">
        <v>47.53</v>
      </c>
      <c r="N3597" s="573">
        <v>34.04</v>
      </c>
      <c r="O3597" s="556" t="str">
        <f t="shared" si="287"/>
        <v>DIF</v>
      </c>
      <c r="P3597" s="573"/>
      <c r="Q3597" s="556"/>
      <c r="R3597" s="582"/>
    </row>
    <row r="3598" ht="15" spans="1:18">
      <c r="A3598" s="556" t="str">
        <f>B3598</f>
        <v>Insumo</v>
      </c>
      <c r="B3598" s="557" t="str">
        <f>B3597</f>
        <v>Insumo</v>
      </c>
      <c r="C3598" s="571"/>
      <c r="D3598" s="571"/>
      <c r="E3598" s="571"/>
      <c r="F3598" s="571"/>
      <c r="G3598" s="571"/>
      <c r="H3598" s="571"/>
      <c r="I3598" s="571"/>
      <c r="J3598" s="571"/>
      <c r="K3598" s="571"/>
      <c r="L3598" s="571"/>
      <c r="M3598" s="571"/>
      <c r="N3598" s="573">
        <v>91.81</v>
      </c>
      <c r="O3598" s="556" t="str">
        <f t="shared" si="287"/>
        <v>DIF</v>
      </c>
      <c r="P3598" s="573"/>
      <c r="Q3598" s="556"/>
      <c r="R3598" s="582"/>
    </row>
    <row r="3599" ht="15" customHeight="1" spans="1:18">
      <c r="A3599" s="556" t="str">
        <f>B3599</f>
        <v>Insumo</v>
      </c>
      <c r="B3599" s="557" t="str">
        <f>B3598</f>
        <v>Insumo</v>
      </c>
      <c r="C3599" s="76" t="s">
        <v>1234</v>
      </c>
      <c r="D3599" s="75" t="s">
        <v>63</v>
      </c>
      <c r="E3599" s="76" t="s">
        <v>64</v>
      </c>
      <c r="F3599" s="76" t="s">
        <v>65</v>
      </c>
      <c r="G3599" s="76" t="s">
        <v>2889</v>
      </c>
      <c r="H3599" s="76"/>
      <c r="I3599" s="77" t="s">
        <v>66</v>
      </c>
      <c r="J3599" s="75" t="s">
        <v>67</v>
      </c>
      <c r="K3599" s="75" t="s">
        <v>2890</v>
      </c>
      <c r="L3599" s="75" t="s">
        <v>68</v>
      </c>
      <c r="M3599" s="75" t="s">
        <v>70</v>
      </c>
      <c r="N3599" s="573">
        <v>13.85</v>
      </c>
      <c r="O3599" s="556" t="str">
        <f t="shared" si="287"/>
        <v>DIF</v>
      </c>
      <c r="P3599" s="573"/>
      <c r="Q3599" s="556"/>
      <c r="R3599" s="582"/>
    </row>
    <row r="3600" ht="35.05" customHeight="1" spans="1:18">
      <c r="A3600" s="556" t="str">
        <f>B3600</f>
        <v>Insumo</v>
      </c>
      <c r="B3600" s="557" t="str">
        <f>B3599</f>
        <v>Insumo</v>
      </c>
      <c r="C3600" s="569" t="s">
        <v>2891</v>
      </c>
      <c r="D3600" s="570" t="s">
        <v>1235</v>
      </c>
      <c r="E3600" s="569" t="s">
        <v>132</v>
      </c>
      <c r="F3600" s="569" t="s">
        <v>1236</v>
      </c>
      <c r="G3600" s="569" t="s">
        <v>3177</v>
      </c>
      <c r="H3600" s="569"/>
      <c r="I3600" s="577" t="s">
        <v>134</v>
      </c>
      <c r="J3600" s="578">
        <v>1</v>
      </c>
      <c r="K3600" s="579"/>
      <c r="L3600" s="579">
        <v>82.9</v>
      </c>
      <c r="M3600" s="579">
        <v>82.9</v>
      </c>
      <c r="N3600" s="573">
        <v>47.29</v>
      </c>
      <c r="O3600" s="556" t="str">
        <f t="shared" si="287"/>
        <v>DIF</v>
      </c>
      <c r="P3600" s="573"/>
      <c r="Q3600" s="556"/>
      <c r="R3600" s="582"/>
    </row>
    <row r="3601" ht="23.85" customHeight="1" spans="1:18">
      <c r="A3601" s="556" t="str">
        <f>B3601</f>
        <v>Insumo</v>
      </c>
      <c r="B3601" s="557" t="str">
        <f>B3600</f>
        <v>Insumo</v>
      </c>
      <c r="C3601" s="79" t="s">
        <v>2921</v>
      </c>
      <c r="D3601" s="78" t="s">
        <v>3153</v>
      </c>
      <c r="E3601" s="79" t="s">
        <v>139</v>
      </c>
      <c r="F3601" s="79" t="s">
        <v>3154</v>
      </c>
      <c r="G3601" s="79" t="s">
        <v>2928</v>
      </c>
      <c r="H3601" s="79"/>
      <c r="I3601" s="80" t="s">
        <v>2897</v>
      </c>
      <c r="J3601" s="583">
        <v>0.5973</v>
      </c>
      <c r="K3601" s="583">
        <v>0</v>
      </c>
      <c r="L3601" s="92">
        <v>30.6</v>
      </c>
      <c r="M3601" s="92">
        <v>18.27</v>
      </c>
      <c r="N3601" s="573">
        <v>21.22</v>
      </c>
      <c r="O3601" s="556" t="str">
        <f t="shared" si="287"/>
        <v>DIF</v>
      </c>
      <c r="P3601" s="573"/>
      <c r="Q3601" s="556"/>
      <c r="R3601" s="582"/>
    </row>
    <row r="3602" ht="23.85" customHeight="1" spans="1:18">
      <c r="A3602" s="556"/>
      <c r="B3602" s="557"/>
      <c r="C3602" s="79" t="s">
        <v>2921</v>
      </c>
      <c r="D3602" s="78" t="s">
        <v>3151</v>
      </c>
      <c r="E3602" s="79" t="s">
        <v>139</v>
      </c>
      <c r="F3602" s="79" t="s">
        <v>3152</v>
      </c>
      <c r="G3602" s="79" t="s">
        <v>2928</v>
      </c>
      <c r="H3602" s="79"/>
      <c r="I3602" s="80" t="s">
        <v>2897</v>
      </c>
      <c r="J3602" s="583">
        <v>0.5973</v>
      </c>
      <c r="K3602" s="583">
        <v>0</v>
      </c>
      <c r="L3602" s="92">
        <v>36.82</v>
      </c>
      <c r="M3602" s="92">
        <v>21.99</v>
      </c>
      <c r="N3602" s="573"/>
      <c r="O3602" s="556"/>
      <c r="P3602" s="573"/>
      <c r="Q3602" s="556"/>
      <c r="R3602" s="582"/>
    </row>
    <row r="3603" ht="23.85" customHeight="1" spans="1:18">
      <c r="A3603" s="556"/>
      <c r="B3603" s="557"/>
      <c r="C3603" s="100" t="s">
        <v>2893</v>
      </c>
      <c r="D3603" s="99" t="s">
        <v>4165</v>
      </c>
      <c r="E3603" s="100" t="s">
        <v>139</v>
      </c>
      <c r="F3603" s="100" t="s">
        <v>4166</v>
      </c>
      <c r="G3603" s="100" t="s">
        <v>2961</v>
      </c>
      <c r="H3603" s="100"/>
      <c r="I3603" s="101" t="s">
        <v>134</v>
      </c>
      <c r="J3603" s="580">
        <v>1</v>
      </c>
      <c r="K3603" s="580">
        <v>0</v>
      </c>
      <c r="L3603" s="102">
        <v>42.12</v>
      </c>
      <c r="M3603" s="102">
        <v>42.12</v>
      </c>
      <c r="N3603" s="573"/>
      <c r="O3603" s="556"/>
      <c r="P3603" s="573"/>
      <c r="Q3603" s="556"/>
      <c r="R3603" s="582"/>
    </row>
    <row r="3604" ht="23.85" customHeight="1" spans="1:18">
      <c r="A3604" s="556"/>
      <c r="B3604" s="557" t="str">
        <f>C3603</f>
        <v>Insumo</v>
      </c>
      <c r="C3604" s="100" t="s">
        <v>2893</v>
      </c>
      <c r="D3604" s="99" t="s">
        <v>4038</v>
      </c>
      <c r="E3604" s="100" t="s">
        <v>139</v>
      </c>
      <c r="F3604" s="100" t="s">
        <v>4039</v>
      </c>
      <c r="G3604" s="100" t="s">
        <v>2961</v>
      </c>
      <c r="H3604" s="100"/>
      <c r="I3604" s="101" t="s">
        <v>134</v>
      </c>
      <c r="J3604" s="580">
        <v>2</v>
      </c>
      <c r="K3604" s="580">
        <v>0</v>
      </c>
      <c r="L3604" s="102">
        <v>0.26</v>
      </c>
      <c r="M3604" s="102">
        <v>0.52</v>
      </c>
      <c r="N3604" s="573">
        <v>218.35</v>
      </c>
      <c r="O3604" s="556" t="str">
        <f>IF(N3604=M3604,"OK","DIF")</f>
        <v>DIF</v>
      </c>
      <c r="P3604" s="573"/>
      <c r="Q3604" s="556"/>
      <c r="R3604" s="582"/>
    </row>
    <row r="3605" ht="25.5" spans="1:18">
      <c r="A3605" s="556" t="str">
        <f>B3605</f>
        <v>Insumo</v>
      </c>
      <c r="B3605" s="557" t="str">
        <f>B3604</f>
        <v>Insumo</v>
      </c>
      <c r="C3605" s="108"/>
      <c r="D3605" s="108"/>
      <c r="E3605" s="108"/>
      <c r="F3605" s="108"/>
      <c r="G3605" s="108"/>
      <c r="H3605" s="108" t="s">
        <v>2898</v>
      </c>
      <c r="I3605" s="581">
        <v>28.25</v>
      </c>
      <c r="J3605" s="108" t="s">
        <v>2899</v>
      </c>
      <c r="K3605" s="581">
        <v>0</v>
      </c>
      <c r="L3605" s="108" t="s">
        <v>2900</v>
      </c>
      <c r="M3605" s="581">
        <v>28.25</v>
      </c>
      <c r="N3605" s="573">
        <v>49.14</v>
      </c>
      <c r="O3605" s="556" t="str">
        <f>IF(N3605=M3605,"OK","DIF")</f>
        <v>DIF</v>
      </c>
      <c r="P3605" s="573"/>
      <c r="Q3605" s="556"/>
      <c r="R3605" s="582"/>
    </row>
    <row r="3606" ht="26.25" spans="1:18">
      <c r="A3606" s="556" t="str">
        <f>B3606</f>
        <v>Insumo</v>
      </c>
      <c r="B3606" s="557" t="str">
        <f>B3605</f>
        <v>Insumo</v>
      </c>
      <c r="C3606" s="108"/>
      <c r="D3606" s="108"/>
      <c r="E3606" s="108"/>
      <c r="F3606" s="108"/>
      <c r="G3606" s="108"/>
      <c r="H3606" s="108" t="s">
        <v>2901</v>
      </c>
      <c r="I3606" s="581">
        <v>21.13</v>
      </c>
      <c r="J3606" s="114"/>
      <c r="K3606" s="114" t="s">
        <v>2902</v>
      </c>
      <c r="L3606" s="108"/>
      <c r="M3606" s="581">
        <v>104.03</v>
      </c>
      <c r="N3606" s="573">
        <v>19.84</v>
      </c>
      <c r="O3606" s="556" t="str">
        <f>IF(N3606=M3606,"OK","DIF")</f>
        <v>DIF</v>
      </c>
      <c r="P3606" s="573"/>
      <c r="Q3606" s="556"/>
      <c r="R3606" s="582"/>
    </row>
    <row r="3607" ht="15" spans="1:18">
      <c r="A3607" s="556" t="str">
        <f>B3607</f>
        <v>Insumo</v>
      </c>
      <c r="B3607" s="557" t="str">
        <f>B3606</f>
        <v>Insumo</v>
      </c>
      <c r="C3607" s="571"/>
      <c r="D3607" s="571"/>
      <c r="E3607" s="571"/>
      <c r="F3607" s="571"/>
      <c r="G3607" s="571"/>
      <c r="H3607" s="571"/>
      <c r="I3607" s="571"/>
      <c r="J3607" s="571"/>
      <c r="K3607" s="571"/>
      <c r="L3607" s="571"/>
      <c r="M3607" s="571"/>
      <c r="N3607" s="573">
        <v>149.37</v>
      </c>
      <c r="O3607" s="556" t="str">
        <f>IF(N3607=M3607,"OK","DIF")</f>
        <v>DIF</v>
      </c>
      <c r="P3607" s="573"/>
      <c r="Q3607" s="556"/>
      <c r="R3607" s="582"/>
    </row>
    <row r="3608" ht="15" customHeight="1" spans="1:18">
      <c r="A3608" s="556"/>
      <c r="B3608" s="557"/>
      <c r="C3608" s="76" t="s">
        <v>1237</v>
      </c>
      <c r="D3608" s="75" t="s">
        <v>63</v>
      </c>
      <c r="E3608" s="76" t="s">
        <v>64</v>
      </c>
      <c r="F3608" s="76" t="s">
        <v>65</v>
      </c>
      <c r="G3608" s="76" t="s">
        <v>2889</v>
      </c>
      <c r="H3608" s="76"/>
      <c r="I3608" s="77" t="s">
        <v>66</v>
      </c>
      <c r="J3608" s="75" t="s">
        <v>67</v>
      </c>
      <c r="K3608" s="75" t="s">
        <v>2890</v>
      </c>
      <c r="L3608" s="75" t="s">
        <v>68</v>
      </c>
      <c r="M3608" s="75" t="s">
        <v>70</v>
      </c>
      <c r="N3608" s="573"/>
      <c r="O3608" s="556"/>
      <c r="P3608" s="573"/>
      <c r="Q3608" s="556"/>
      <c r="R3608" s="582"/>
    </row>
    <row r="3609" ht="35.05" customHeight="1" spans="1:18">
      <c r="A3609" s="556"/>
      <c r="B3609" s="557"/>
      <c r="C3609" s="569" t="s">
        <v>2891</v>
      </c>
      <c r="D3609" s="570" t="s">
        <v>1104</v>
      </c>
      <c r="E3609" s="569" t="s">
        <v>139</v>
      </c>
      <c r="F3609" s="569" t="s">
        <v>1105</v>
      </c>
      <c r="G3609" s="569" t="s">
        <v>3235</v>
      </c>
      <c r="H3609" s="569"/>
      <c r="I3609" s="577" t="s">
        <v>134</v>
      </c>
      <c r="J3609" s="578">
        <v>1</v>
      </c>
      <c r="K3609" s="579"/>
      <c r="L3609" s="579">
        <v>33.25</v>
      </c>
      <c r="M3609" s="579">
        <v>33.25</v>
      </c>
      <c r="N3609" s="573"/>
      <c r="O3609" s="556"/>
      <c r="P3609" s="573"/>
      <c r="Q3609" s="556"/>
      <c r="R3609" s="582"/>
    </row>
    <row r="3610" ht="23.85" customHeight="1" spans="1:18">
      <c r="A3610" s="556"/>
      <c r="B3610" s="557" t="str">
        <f>C3609</f>
        <v>Composição</v>
      </c>
      <c r="C3610" s="79" t="s">
        <v>2921</v>
      </c>
      <c r="D3610" s="78" t="s">
        <v>3153</v>
      </c>
      <c r="E3610" s="79" t="s">
        <v>139</v>
      </c>
      <c r="F3610" s="79" t="s">
        <v>3154</v>
      </c>
      <c r="G3610" s="79" t="s">
        <v>2928</v>
      </c>
      <c r="H3610" s="79"/>
      <c r="I3610" s="80" t="s">
        <v>2897</v>
      </c>
      <c r="J3610" s="583">
        <v>0.3154</v>
      </c>
      <c r="K3610" s="583">
        <v>0</v>
      </c>
      <c r="L3610" s="92">
        <v>30.6</v>
      </c>
      <c r="M3610" s="92">
        <v>9.65</v>
      </c>
      <c r="N3610" s="573">
        <v>378.74</v>
      </c>
      <c r="O3610" s="556" t="str">
        <f>IF(N3610=M3610,"OK","DIF")</f>
        <v>DIF</v>
      </c>
      <c r="P3610" s="573"/>
      <c r="Q3610" s="556"/>
      <c r="R3610" s="582"/>
    </row>
    <row r="3611" ht="23.85" customHeight="1" spans="1:18">
      <c r="A3611" s="556" t="str">
        <f>B3611</f>
        <v>Composição</v>
      </c>
      <c r="B3611" s="557" t="str">
        <f>B3610</f>
        <v>Composição</v>
      </c>
      <c r="C3611" s="79" t="s">
        <v>2921</v>
      </c>
      <c r="D3611" s="78" t="s">
        <v>3151</v>
      </c>
      <c r="E3611" s="79" t="s">
        <v>139</v>
      </c>
      <c r="F3611" s="79" t="s">
        <v>3152</v>
      </c>
      <c r="G3611" s="79" t="s">
        <v>2928</v>
      </c>
      <c r="H3611" s="79"/>
      <c r="I3611" s="80" t="s">
        <v>2897</v>
      </c>
      <c r="J3611" s="583">
        <v>0.3154</v>
      </c>
      <c r="K3611" s="583">
        <v>0</v>
      </c>
      <c r="L3611" s="92">
        <v>36.82</v>
      </c>
      <c r="M3611" s="92">
        <v>11.61</v>
      </c>
      <c r="N3611" s="573">
        <v>66.14</v>
      </c>
      <c r="O3611" s="556" t="str">
        <f>IF(N3611=M3611,"OK","DIF")</f>
        <v>DIF</v>
      </c>
      <c r="P3611" s="573"/>
      <c r="Q3611" s="556"/>
      <c r="R3611" s="582"/>
    </row>
    <row r="3612" ht="23.85" customHeight="1" spans="1:18">
      <c r="A3612" s="556" t="str">
        <f>B3612</f>
        <v>Composição</v>
      </c>
      <c r="B3612" s="557" t="str">
        <f>B3611</f>
        <v>Composição</v>
      </c>
      <c r="C3612" s="100" t="s">
        <v>2893</v>
      </c>
      <c r="D3612" s="99" t="s">
        <v>4038</v>
      </c>
      <c r="E3612" s="100" t="s">
        <v>139</v>
      </c>
      <c r="F3612" s="100" t="s">
        <v>4039</v>
      </c>
      <c r="G3612" s="100" t="s">
        <v>2961</v>
      </c>
      <c r="H3612" s="100"/>
      <c r="I3612" s="101" t="s">
        <v>134</v>
      </c>
      <c r="J3612" s="580">
        <v>2</v>
      </c>
      <c r="K3612" s="580">
        <v>0</v>
      </c>
      <c r="L3612" s="102">
        <v>0.26</v>
      </c>
      <c r="M3612" s="102">
        <v>0.52</v>
      </c>
      <c r="N3612" s="573">
        <v>51.9</v>
      </c>
      <c r="O3612" s="556" t="str">
        <f>IF(N3612=M3612,"OK","DIF")</f>
        <v>DIF</v>
      </c>
      <c r="P3612" s="573"/>
      <c r="Q3612" s="556"/>
      <c r="R3612" s="582"/>
    </row>
    <row r="3613" ht="23.85" customHeight="1" spans="1:18">
      <c r="A3613" s="556" t="str">
        <f>B3613</f>
        <v>Composição</v>
      </c>
      <c r="B3613" s="557" t="str">
        <f>B3612</f>
        <v>Composição</v>
      </c>
      <c r="C3613" s="100" t="s">
        <v>2893</v>
      </c>
      <c r="D3613" s="99" t="s">
        <v>4044</v>
      </c>
      <c r="E3613" s="100" t="s">
        <v>139</v>
      </c>
      <c r="F3613" s="100" t="s">
        <v>4045</v>
      </c>
      <c r="G3613" s="100" t="s">
        <v>2961</v>
      </c>
      <c r="H3613" s="100"/>
      <c r="I3613" s="101" t="s">
        <v>134</v>
      </c>
      <c r="J3613" s="580">
        <v>1</v>
      </c>
      <c r="K3613" s="580">
        <v>0</v>
      </c>
      <c r="L3613" s="102">
        <v>11.47</v>
      </c>
      <c r="M3613" s="102">
        <v>11.47</v>
      </c>
      <c r="N3613" s="573">
        <v>260.7</v>
      </c>
      <c r="O3613" s="556" t="str">
        <f>IF(N3613=M3613,"OK","DIF")</f>
        <v>DIF</v>
      </c>
      <c r="P3613" s="573"/>
      <c r="Q3613" s="556"/>
      <c r="R3613" s="582"/>
    </row>
    <row r="3614" ht="25.5" spans="1:18">
      <c r="A3614" s="556"/>
      <c r="B3614" s="557"/>
      <c r="C3614" s="108"/>
      <c r="D3614" s="108"/>
      <c r="E3614" s="108"/>
      <c r="F3614" s="108"/>
      <c r="G3614" s="108"/>
      <c r="H3614" s="108" t="s">
        <v>2898</v>
      </c>
      <c r="I3614" s="581">
        <v>14.92</v>
      </c>
      <c r="J3614" s="108" t="s">
        <v>2899</v>
      </c>
      <c r="K3614" s="581">
        <v>0</v>
      </c>
      <c r="L3614" s="108" t="s">
        <v>2900</v>
      </c>
      <c r="M3614" s="581">
        <v>14.92</v>
      </c>
      <c r="N3614" s="573"/>
      <c r="O3614" s="556"/>
      <c r="P3614" s="573"/>
      <c r="Q3614" s="556"/>
      <c r="R3614" s="582"/>
    </row>
    <row r="3615" ht="26.25" spans="1:18">
      <c r="A3615" s="556"/>
      <c r="B3615" s="557"/>
      <c r="C3615" s="108"/>
      <c r="D3615" s="108"/>
      <c r="E3615" s="108"/>
      <c r="F3615" s="108"/>
      <c r="G3615" s="108"/>
      <c r="H3615" s="108" t="s">
        <v>2901</v>
      </c>
      <c r="I3615" s="581">
        <v>8.47</v>
      </c>
      <c r="J3615" s="114"/>
      <c r="K3615" s="114" t="s">
        <v>2902</v>
      </c>
      <c r="L3615" s="108"/>
      <c r="M3615" s="581">
        <v>41.72</v>
      </c>
      <c r="N3615" s="573"/>
      <c r="O3615" s="556"/>
      <c r="P3615" s="573"/>
      <c r="Q3615" s="556"/>
      <c r="R3615" s="582"/>
    </row>
    <row r="3616" ht="15" spans="1:18">
      <c r="A3616" s="556"/>
      <c r="B3616" s="557"/>
      <c r="C3616" s="571"/>
      <c r="D3616" s="571"/>
      <c r="E3616" s="571"/>
      <c r="F3616" s="571"/>
      <c r="G3616" s="571"/>
      <c r="H3616" s="571"/>
      <c r="I3616" s="571"/>
      <c r="J3616" s="571"/>
      <c r="K3616" s="571"/>
      <c r="L3616" s="571"/>
      <c r="M3616" s="571"/>
      <c r="N3616" s="573"/>
      <c r="O3616" s="556"/>
      <c r="P3616" s="573"/>
      <c r="Q3616" s="556"/>
      <c r="R3616" s="582"/>
    </row>
    <row r="3617" ht="15" customHeight="1" spans="1:18">
      <c r="A3617" s="556"/>
      <c r="B3617" s="557">
        <f>C3616</f>
        <v>0</v>
      </c>
      <c r="C3617" s="76" t="s">
        <v>1238</v>
      </c>
      <c r="D3617" s="75" t="s">
        <v>63</v>
      </c>
      <c r="E3617" s="76" t="s">
        <v>64</v>
      </c>
      <c r="F3617" s="76" t="s">
        <v>65</v>
      </c>
      <c r="G3617" s="76" t="s">
        <v>2889</v>
      </c>
      <c r="H3617" s="76"/>
      <c r="I3617" s="77" t="s">
        <v>66</v>
      </c>
      <c r="J3617" s="75" t="s">
        <v>67</v>
      </c>
      <c r="K3617" s="75" t="s">
        <v>2890</v>
      </c>
      <c r="L3617" s="75" t="s">
        <v>68</v>
      </c>
      <c r="M3617" s="75" t="s">
        <v>70</v>
      </c>
      <c r="N3617" s="573">
        <v>32.81</v>
      </c>
      <c r="O3617" s="556" t="str">
        <f>IF(N3617=M3617,"OK","DIF")</f>
        <v>DIF</v>
      </c>
      <c r="P3617" s="573"/>
      <c r="Q3617" s="556"/>
      <c r="R3617" s="582"/>
    </row>
    <row r="3618" ht="35.05" customHeight="1" spans="1:18">
      <c r="A3618" s="556">
        <f>B3618</f>
        <v>0</v>
      </c>
      <c r="B3618" s="557">
        <f>B3617</f>
        <v>0</v>
      </c>
      <c r="C3618" s="569" t="s">
        <v>2891</v>
      </c>
      <c r="D3618" s="570" t="s">
        <v>1239</v>
      </c>
      <c r="E3618" s="569" t="s">
        <v>132</v>
      </c>
      <c r="F3618" s="569" t="s">
        <v>1240</v>
      </c>
      <c r="G3618" s="569" t="s">
        <v>3177</v>
      </c>
      <c r="H3618" s="569"/>
      <c r="I3618" s="577" t="s">
        <v>134</v>
      </c>
      <c r="J3618" s="578">
        <v>1</v>
      </c>
      <c r="K3618" s="579"/>
      <c r="L3618" s="579">
        <v>69.03</v>
      </c>
      <c r="M3618" s="579">
        <v>69.03</v>
      </c>
      <c r="N3618" s="573">
        <v>20.75</v>
      </c>
      <c r="O3618" s="556" t="str">
        <f>IF(N3618=M3618,"OK","DIF")</f>
        <v>DIF</v>
      </c>
      <c r="P3618" s="573"/>
      <c r="Q3618" s="556"/>
      <c r="R3618" s="582"/>
    </row>
    <row r="3619" ht="23.85" customHeight="1" spans="1:18">
      <c r="A3619" s="556">
        <f>B3619</f>
        <v>0</v>
      </c>
      <c r="B3619" s="557">
        <f>B3618</f>
        <v>0</v>
      </c>
      <c r="C3619" s="79" t="s">
        <v>2921</v>
      </c>
      <c r="D3619" s="78" t="s">
        <v>3153</v>
      </c>
      <c r="E3619" s="79" t="s">
        <v>139</v>
      </c>
      <c r="F3619" s="79" t="s">
        <v>3154</v>
      </c>
      <c r="G3619" s="79" t="s">
        <v>2928</v>
      </c>
      <c r="H3619" s="79"/>
      <c r="I3619" s="80" t="s">
        <v>2897</v>
      </c>
      <c r="J3619" s="583">
        <v>0.4948</v>
      </c>
      <c r="K3619" s="583">
        <v>0</v>
      </c>
      <c r="L3619" s="92">
        <v>30.6</v>
      </c>
      <c r="M3619" s="92">
        <v>15.14</v>
      </c>
      <c r="N3619" s="573">
        <v>12.06</v>
      </c>
      <c r="O3619" s="556" t="str">
        <f>IF(N3619=M3619,"OK","DIF")</f>
        <v>DIF</v>
      </c>
      <c r="P3619" s="573"/>
      <c r="Q3619" s="556"/>
      <c r="R3619" s="582"/>
    </row>
    <row r="3620" ht="23.85" customHeight="1" spans="1:18">
      <c r="A3620" s="556"/>
      <c r="B3620" s="557"/>
      <c r="C3620" s="79" t="s">
        <v>2921</v>
      </c>
      <c r="D3620" s="78" t="s">
        <v>3151</v>
      </c>
      <c r="E3620" s="79" t="s">
        <v>139</v>
      </c>
      <c r="F3620" s="79" t="s">
        <v>3152</v>
      </c>
      <c r="G3620" s="79" t="s">
        <v>2928</v>
      </c>
      <c r="H3620" s="79"/>
      <c r="I3620" s="80" t="s">
        <v>2897</v>
      </c>
      <c r="J3620" s="583">
        <v>0.4948</v>
      </c>
      <c r="K3620" s="583">
        <v>0</v>
      </c>
      <c r="L3620" s="92">
        <v>36.82</v>
      </c>
      <c r="M3620" s="92">
        <v>18.21</v>
      </c>
      <c r="N3620" s="573"/>
      <c r="O3620" s="556"/>
      <c r="P3620" s="573"/>
      <c r="Q3620" s="556"/>
      <c r="R3620" s="582"/>
    </row>
    <row r="3621" ht="23.85" customHeight="1" spans="1:18">
      <c r="A3621" s="556"/>
      <c r="B3621" s="557"/>
      <c r="C3621" s="100" t="s">
        <v>2893</v>
      </c>
      <c r="D3621" s="99" t="s">
        <v>4167</v>
      </c>
      <c r="E3621" s="100" t="s">
        <v>139</v>
      </c>
      <c r="F3621" s="100" t="s">
        <v>4168</v>
      </c>
      <c r="G3621" s="100" t="s">
        <v>2961</v>
      </c>
      <c r="H3621" s="100"/>
      <c r="I3621" s="101" t="s">
        <v>134</v>
      </c>
      <c r="J3621" s="580">
        <v>1</v>
      </c>
      <c r="K3621" s="580">
        <v>0</v>
      </c>
      <c r="L3621" s="102">
        <v>35.16</v>
      </c>
      <c r="M3621" s="102">
        <v>35.16</v>
      </c>
      <c r="N3621" s="573"/>
      <c r="O3621" s="556"/>
      <c r="P3621" s="573"/>
      <c r="Q3621" s="556"/>
      <c r="R3621" s="582"/>
    </row>
    <row r="3622" ht="23.85" customHeight="1" spans="1:18">
      <c r="A3622" s="556"/>
      <c r="B3622" s="557" t="str">
        <f>C3621</f>
        <v>Insumo</v>
      </c>
      <c r="C3622" s="100" t="s">
        <v>2893</v>
      </c>
      <c r="D3622" s="99" t="s">
        <v>4038</v>
      </c>
      <c r="E3622" s="100" t="s">
        <v>139</v>
      </c>
      <c r="F3622" s="100" t="s">
        <v>4039</v>
      </c>
      <c r="G3622" s="100" t="s">
        <v>2961</v>
      </c>
      <c r="H3622" s="100"/>
      <c r="I3622" s="101" t="s">
        <v>134</v>
      </c>
      <c r="J3622" s="580">
        <v>2</v>
      </c>
      <c r="K3622" s="580">
        <v>0</v>
      </c>
      <c r="L3622" s="102">
        <v>0.26</v>
      </c>
      <c r="M3622" s="102">
        <v>0.52</v>
      </c>
      <c r="N3622" s="573">
        <v>49.82</v>
      </c>
      <c r="O3622" s="556" t="str">
        <f>IF(N3622=M3622,"OK","DIF")</f>
        <v>DIF</v>
      </c>
      <c r="P3622" s="573"/>
      <c r="Q3622" s="556"/>
      <c r="R3622" s="582"/>
    </row>
    <row r="3623" ht="25.5" spans="1:18">
      <c r="A3623" s="556" t="str">
        <f>B3623</f>
        <v>Insumo</v>
      </c>
      <c r="B3623" s="557" t="str">
        <f>B3622</f>
        <v>Insumo</v>
      </c>
      <c r="C3623" s="108"/>
      <c r="D3623" s="108"/>
      <c r="E3623" s="108"/>
      <c r="F3623" s="108"/>
      <c r="G3623" s="108"/>
      <c r="H3623" s="108" t="s">
        <v>2898</v>
      </c>
      <c r="I3623" s="581">
        <v>23.4</v>
      </c>
      <c r="J3623" s="108" t="s">
        <v>2899</v>
      </c>
      <c r="K3623" s="581">
        <v>0</v>
      </c>
      <c r="L3623" s="108" t="s">
        <v>2900</v>
      </c>
      <c r="M3623" s="581">
        <v>23.4</v>
      </c>
      <c r="N3623" s="573">
        <v>12.06</v>
      </c>
      <c r="O3623" s="556" t="str">
        <f>IF(N3623=M3623,"OK","DIF")</f>
        <v>DIF</v>
      </c>
      <c r="P3623" s="573"/>
      <c r="Q3623" s="556"/>
      <c r="R3623" s="582"/>
    </row>
    <row r="3624" ht="26.25" spans="1:18">
      <c r="A3624" s="556" t="str">
        <f>B3624</f>
        <v>Insumo</v>
      </c>
      <c r="B3624" s="557" t="str">
        <f>B3623</f>
        <v>Insumo</v>
      </c>
      <c r="C3624" s="108"/>
      <c r="D3624" s="108"/>
      <c r="E3624" s="108"/>
      <c r="F3624" s="108"/>
      <c r="G3624" s="108"/>
      <c r="H3624" s="108" t="s">
        <v>2901</v>
      </c>
      <c r="I3624" s="581">
        <v>17.59</v>
      </c>
      <c r="J3624" s="114"/>
      <c r="K3624" s="114" t="s">
        <v>2902</v>
      </c>
      <c r="L3624" s="108"/>
      <c r="M3624" s="581">
        <v>86.62</v>
      </c>
      <c r="N3624" s="573">
        <v>37.76</v>
      </c>
      <c r="O3624" s="556" t="str">
        <f>IF(N3624=M3624,"OK","DIF")</f>
        <v>DIF</v>
      </c>
      <c r="P3624" s="573"/>
      <c r="Q3624" s="556"/>
      <c r="R3624" s="582"/>
    </row>
    <row r="3625" ht="15" spans="1:18">
      <c r="A3625" s="556"/>
      <c r="B3625" s="557"/>
      <c r="C3625" s="571"/>
      <c r="D3625" s="571"/>
      <c r="E3625" s="571"/>
      <c r="F3625" s="571"/>
      <c r="G3625" s="571"/>
      <c r="H3625" s="571"/>
      <c r="I3625" s="571"/>
      <c r="J3625" s="571"/>
      <c r="K3625" s="571"/>
      <c r="L3625" s="571"/>
      <c r="M3625" s="571"/>
      <c r="N3625" s="573"/>
      <c r="O3625" s="556"/>
      <c r="P3625" s="573"/>
      <c r="Q3625" s="556"/>
      <c r="R3625" s="582"/>
    </row>
    <row r="3626" ht="15" customHeight="1" spans="1:18">
      <c r="A3626" s="556"/>
      <c r="B3626" s="557"/>
      <c r="C3626" s="76" t="s">
        <v>1241</v>
      </c>
      <c r="D3626" s="75" t="s">
        <v>63</v>
      </c>
      <c r="E3626" s="76" t="s">
        <v>64</v>
      </c>
      <c r="F3626" s="76" t="s">
        <v>65</v>
      </c>
      <c r="G3626" s="76" t="s">
        <v>2889</v>
      </c>
      <c r="H3626" s="76"/>
      <c r="I3626" s="77" t="s">
        <v>66</v>
      </c>
      <c r="J3626" s="75" t="s">
        <v>67</v>
      </c>
      <c r="K3626" s="75" t="s">
        <v>2890</v>
      </c>
      <c r="L3626" s="75" t="s">
        <v>68</v>
      </c>
      <c r="M3626" s="75" t="s">
        <v>70</v>
      </c>
      <c r="N3626" s="573"/>
      <c r="O3626" s="556"/>
      <c r="P3626" s="573"/>
      <c r="Q3626" s="556"/>
      <c r="R3626" s="582"/>
    </row>
    <row r="3627" ht="35.05" customHeight="1" spans="1:18">
      <c r="A3627" s="556"/>
      <c r="B3627" s="557" t="str">
        <f>C3626</f>
        <v> 12.3.14 </v>
      </c>
      <c r="C3627" s="569" t="s">
        <v>2891</v>
      </c>
      <c r="D3627" s="570" t="s">
        <v>1242</v>
      </c>
      <c r="E3627" s="569" t="s">
        <v>139</v>
      </c>
      <c r="F3627" s="569" t="s">
        <v>1243</v>
      </c>
      <c r="G3627" s="569" t="s">
        <v>3235</v>
      </c>
      <c r="H3627" s="569"/>
      <c r="I3627" s="577" t="s">
        <v>134</v>
      </c>
      <c r="J3627" s="578">
        <v>1</v>
      </c>
      <c r="K3627" s="579"/>
      <c r="L3627" s="579">
        <v>27.14</v>
      </c>
      <c r="M3627" s="579">
        <v>27.14</v>
      </c>
      <c r="N3627" s="573">
        <v>38.87</v>
      </c>
      <c r="O3627" s="556" t="str">
        <f>IF(N3627=M3627,"OK","DIF")</f>
        <v>DIF</v>
      </c>
      <c r="P3627" s="573"/>
      <c r="Q3627" s="556"/>
      <c r="R3627" s="582"/>
    </row>
    <row r="3628" ht="23.85" customHeight="1" spans="1:18">
      <c r="A3628" s="556" t="str">
        <f>B3628</f>
        <v> 12.3.14 </v>
      </c>
      <c r="B3628" s="557" t="str">
        <f>B3627</f>
        <v> 12.3.14 </v>
      </c>
      <c r="C3628" s="79" t="s">
        <v>2921</v>
      </c>
      <c r="D3628" s="78" t="s">
        <v>3151</v>
      </c>
      <c r="E3628" s="79" t="s">
        <v>139</v>
      </c>
      <c r="F3628" s="79" t="s">
        <v>3152</v>
      </c>
      <c r="G3628" s="79" t="s">
        <v>2928</v>
      </c>
      <c r="H3628" s="79"/>
      <c r="I3628" s="80" t="s">
        <v>2897</v>
      </c>
      <c r="J3628" s="583">
        <v>0.2301</v>
      </c>
      <c r="K3628" s="583">
        <v>0</v>
      </c>
      <c r="L3628" s="92">
        <v>36.82</v>
      </c>
      <c r="M3628" s="92">
        <v>8.47</v>
      </c>
      <c r="N3628" s="573">
        <v>26.81</v>
      </c>
      <c r="O3628" s="556" t="str">
        <f>IF(N3628=M3628,"OK","DIF")</f>
        <v>DIF</v>
      </c>
      <c r="P3628" s="573"/>
      <c r="Q3628" s="556"/>
      <c r="R3628" s="582"/>
    </row>
    <row r="3629" ht="23.85" customHeight="1" spans="1:18">
      <c r="A3629" s="556" t="str">
        <f>B3629</f>
        <v> 12.3.14 </v>
      </c>
      <c r="B3629" s="557" t="str">
        <f>B3628</f>
        <v> 12.3.14 </v>
      </c>
      <c r="C3629" s="79" t="s">
        <v>2921</v>
      </c>
      <c r="D3629" s="78" t="s">
        <v>3153</v>
      </c>
      <c r="E3629" s="79" t="s">
        <v>139</v>
      </c>
      <c r="F3629" s="79" t="s">
        <v>3154</v>
      </c>
      <c r="G3629" s="79" t="s">
        <v>2928</v>
      </c>
      <c r="H3629" s="79"/>
      <c r="I3629" s="80" t="s">
        <v>2897</v>
      </c>
      <c r="J3629" s="583">
        <v>0.2301</v>
      </c>
      <c r="K3629" s="583">
        <v>0</v>
      </c>
      <c r="L3629" s="92">
        <v>30.6</v>
      </c>
      <c r="M3629" s="92">
        <v>7.04</v>
      </c>
      <c r="N3629" s="573">
        <v>12.06</v>
      </c>
      <c r="O3629" s="556" t="str">
        <f>IF(N3629=M3629,"OK","DIF")</f>
        <v>DIF</v>
      </c>
      <c r="P3629" s="573"/>
      <c r="Q3629" s="556"/>
      <c r="R3629" s="582"/>
    </row>
    <row r="3630" ht="23.85" customHeight="1" spans="1:18">
      <c r="A3630" s="556"/>
      <c r="B3630" s="557"/>
      <c r="C3630" s="100" t="s">
        <v>2893</v>
      </c>
      <c r="D3630" s="99" t="s">
        <v>4038</v>
      </c>
      <c r="E3630" s="100" t="s">
        <v>139</v>
      </c>
      <c r="F3630" s="100" t="s">
        <v>4039</v>
      </c>
      <c r="G3630" s="100" t="s">
        <v>2961</v>
      </c>
      <c r="H3630" s="100"/>
      <c r="I3630" s="101" t="s">
        <v>134</v>
      </c>
      <c r="J3630" s="580">
        <v>2</v>
      </c>
      <c r="K3630" s="580">
        <v>0</v>
      </c>
      <c r="L3630" s="102">
        <v>0.26</v>
      </c>
      <c r="M3630" s="102">
        <v>0.52</v>
      </c>
      <c r="N3630" s="573"/>
      <c r="O3630" s="556"/>
      <c r="P3630" s="573"/>
      <c r="Q3630" s="556"/>
      <c r="R3630" s="582"/>
    </row>
    <row r="3631" ht="23.85" customHeight="1" spans="1:18">
      <c r="A3631" s="556"/>
      <c r="B3631" s="557"/>
      <c r="C3631" s="100" t="s">
        <v>2893</v>
      </c>
      <c r="D3631" s="99" t="s">
        <v>4169</v>
      </c>
      <c r="E3631" s="100" t="s">
        <v>139</v>
      </c>
      <c r="F3631" s="100" t="s">
        <v>4170</v>
      </c>
      <c r="G3631" s="100" t="s">
        <v>2961</v>
      </c>
      <c r="H3631" s="100"/>
      <c r="I3631" s="101" t="s">
        <v>134</v>
      </c>
      <c r="J3631" s="580">
        <v>1</v>
      </c>
      <c r="K3631" s="580">
        <v>0</v>
      </c>
      <c r="L3631" s="102">
        <v>11.11</v>
      </c>
      <c r="M3631" s="102">
        <v>11.11</v>
      </c>
      <c r="N3631" s="573"/>
      <c r="O3631" s="556"/>
      <c r="P3631" s="573"/>
      <c r="Q3631" s="556"/>
      <c r="R3631" s="582"/>
    </row>
    <row r="3632" ht="25.5" spans="1:18">
      <c r="A3632" s="556"/>
      <c r="B3632" s="557" t="str">
        <f>C3631</f>
        <v>Insumo</v>
      </c>
      <c r="C3632" s="108"/>
      <c r="D3632" s="108"/>
      <c r="E3632" s="108"/>
      <c r="F3632" s="108"/>
      <c r="G3632" s="108"/>
      <c r="H3632" s="108" t="s">
        <v>2898</v>
      </c>
      <c r="I3632" s="581">
        <v>10.87</v>
      </c>
      <c r="J3632" s="108" t="s">
        <v>2899</v>
      </c>
      <c r="K3632" s="581">
        <v>0</v>
      </c>
      <c r="L3632" s="108" t="s">
        <v>2900</v>
      </c>
      <c r="M3632" s="581">
        <v>10.87</v>
      </c>
      <c r="N3632" s="573">
        <v>26.81</v>
      </c>
      <c r="O3632" s="556" t="str">
        <f>IF(N3632=M3632,"OK","DIF")</f>
        <v>DIF</v>
      </c>
      <c r="P3632" s="573"/>
      <c r="Q3632" s="556"/>
      <c r="R3632" s="582"/>
    </row>
    <row r="3633" ht="26.25" spans="1:18">
      <c r="A3633" s="556" t="str">
        <f>B3633</f>
        <v>Insumo</v>
      </c>
      <c r="B3633" s="557" t="str">
        <f>B3632</f>
        <v>Insumo</v>
      </c>
      <c r="C3633" s="108"/>
      <c r="D3633" s="108"/>
      <c r="E3633" s="108"/>
      <c r="F3633" s="108"/>
      <c r="G3633" s="108"/>
      <c r="H3633" s="108" t="s">
        <v>2901</v>
      </c>
      <c r="I3633" s="581">
        <v>6.91</v>
      </c>
      <c r="J3633" s="114"/>
      <c r="K3633" s="114" t="s">
        <v>2902</v>
      </c>
      <c r="L3633" s="108"/>
      <c r="M3633" s="581">
        <v>34.05</v>
      </c>
      <c r="N3633" s="573">
        <v>8.65</v>
      </c>
      <c r="O3633" s="556" t="str">
        <f>IF(N3633=M3633,"OK","DIF")</f>
        <v>DIF</v>
      </c>
      <c r="P3633" s="573"/>
      <c r="Q3633" s="556"/>
      <c r="R3633" s="582"/>
    </row>
    <row r="3634" ht="15" spans="1:18">
      <c r="A3634" s="556" t="str">
        <f>B3634</f>
        <v>Insumo</v>
      </c>
      <c r="B3634" s="557" t="str">
        <f>B3633</f>
        <v>Insumo</v>
      </c>
      <c r="C3634" s="571"/>
      <c r="D3634" s="571"/>
      <c r="E3634" s="571"/>
      <c r="F3634" s="571"/>
      <c r="G3634" s="571"/>
      <c r="H3634" s="571"/>
      <c r="I3634" s="571"/>
      <c r="J3634" s="571"/>
      <c r="K3634" s="571"/>
      <c r="L3634" s="571"/>
      <c r="M3634" s="571"/>
      <c r="N3634" s="573">
        <v>10.48</v>
      </c>
      <c r="O3634" s="556" t="str">
        <f>IF(N3634=M3634,"OK","DIF")</f>
        <v>DIF</v>
      </c>
      <c r="P3634" s="573"/>
      <c r="Q3634" s="556"/>
      <c r="R3634" s="582"/>
    </row>
    <row r="3635" ht="15" customHeight="1" spans="1:18">
      <c r="A3635" s="556" t="str">
        <f>B3635</f>
        <v>Insumo</v>
      </c>
      <c r="B3635" s="557" t="str">
        <f>B3634</f>
        <v>Insumo</v>
      </c>
      <c r="C3635" s="76" t="s">
        <v>1244</v>
      </c>
      <c r="D3635" s="75" t="s">
        <v>63</v>
      </c>
      <c r="E3635" s="76" t="s">
        <v>64</v>
      </c>
      <c r="F3635" s="76" t="s">
        <v>65</v>
      </c>
      <c r="G3635" s="76" t="s">
        <v>2889</v>
      </c>
      <c r="H3635" s="76"/>
      <c r="I3635" s="77" t="s">
        <v>66</v>
      </c>
      <c r="J3635" s="75" t="s">
        <v>67</v>
      </c>
      <c r="K3635" s="75" t="s">
        <v>2890</v>
      </c>
      <c r="L3635" s="75" t="s">
        <v>68</v>
      </c>
      <c r="M3635" s="75" t="s">
        <v>70</v>
      </c>
      <c r="N3635" s="573">
        <v>7.68</v>
      </c>
      <c r="O3635" s="556" t="str">
        <f>IF(N3635=M3635,"OK","DIF")</f>
        <v>DIF</v>
      </c>
      <c r="P3635" s="573"/>
      <c r="Q3635" s="556"/>
      <c r="R3635" s="582"/>
    </row>
    <row r="3636" ht="35.05" customHeight="1" spans="1:18">
      <c r="A3636" s="556"/>
      <c r="B3636" s="557"/>
      <c r="C3636" s="569" t="s">
        <v>2891</v>
      </c>
      <c r="D3636" s="570" t="s">
        <v>1119</v>
      </c>
      <c r="E3636" s="569" t="s">
        <v>132</v>
      </c>
      <c r="F3636" s="569" t="s">
        <v>1120</v>
      </c>
      <c r="G3636" s="569" t="s">
        <v>3177</v>
      </c>
      <c r="H3636" s="569"/>
      <c r="I3636" s="577" t="s">
        <v>134</v>
      </c>
      <c r="J3636" s="578">
        <v>1</v>
      </c>
      <c r="K3636" s="579"/>
      <c r="L3636" s="579">
        <v>11.38</v>
      </c>
      <c r="M3636" s="579">
        <v>11.38</v>
      </c>
      <c r="N3636" s="573"/>
      <c r="O3636" s="556"/>
      <c r="P3636" s="573"/>
      <c r="Q3636" s="556"/>
      <c r="R3636" s="582"/>
    </row>
    <row r="3637" ht="23.85" customHeight="1" spans="1:18">
      <c r="A3637" s="556"/>
      <c r="B3637" s="557"/>
      <c r="C3637" s="79" t="s">
        <v>2921</v>
      </c>
      <c r="D3637" s="78" t="s">
        <v>3153</v>
      </c>
      <c r="E3637" s="79" t="s">
        <v>139</v>
      </c>
      <c r="F3637" s="79" t="s">
        <v>3154</v>
      </c>
      <c r="G3637" s="79" t="s">
        <v>2928</v>
      </c>
      <c r="H3637" s="79"/>
      <c r="I3637" s="80" t="s">
        <v>2897</v>
      </c>
      <c r="J3637" s="583">
        <v>0.0442</v>
      </c>
      <c r="K3637" s="583">
        <v>0</v>
      </c>
      <c r="L3637" s="92">
        <v>30.6</v>
      </c>
      <c r="M3637" s="92">
        <v>1.35</v>
      </c>
      <c r="N3637" s="573"/>
      <c r="O3637" s="556"/>
      <c r="P3637" s="573"/>
      <c r="Q3637" s="556"/>
      <c r="R3637" s="582"/>
    </row>
    <row r="3638" ht="23.85" customHeight="1" spans="1:18">
      <c r="A3638" s="556"/>
      <c r="B3638" s="557" t="str">
        <f>C3637</f>
        <v>Composição Auxiliar</v>
      </c>
      <c r="C3638" s="79" t="s">
        <v>2921</v>
      </c>
      <c r="D3638" s="78" t="s">
        <v>3151</v>
      </c>
      <c r="E3638" s="79" t="s">
        <v>139</v>
      </c>
      <c r="F3638" s="79" t="s">
        <v>3152</v>
      </c>
      <c r="G3638" s="79" t="s">
        <v>2928</v>
      </c>
      <c r="H3638" s="79"/>
      <c r="I3638" s="80" t="s">
        <v>2897</v>
      </c>
      <c r="J3638" s="583">
        <v>0.1946</v>
      </c>
      <c r="K3638" s="583">
        <v>0</v>
      </c>
      <c r="L3638" s="92">
        <v>36.82</v>
      </c>
      <c r="M3638" s="92">
        <v>7.16</v>
      </c>
      <c r="N3638" s="573">
        <v>41.02</v>
      </c>
      <c r="O3638" s="556" t="str">
        <f>IF(N3638=M3638,"OK","DIF")</f>
        <v>DIF</v>
      </c>
      <c r="P3638" s="573"/>
      <c r="Q3638" s="556"/>
      <c r="R3638" s="582"/>
    </row>
    <row r="3639" ht="23.85" customHeight="1" spans="1:18">
      <c r="A3639" s="556" t="str">
        <f>B3639</f>
        <v>Composição Auxiliar</v>
      </c>
      <c r="B3639" s="557" t="str">
        <f>B3638</f>
        <v>Composição Auxiliar</v>
      </c>
      <c r="C3639" s="100" t="s">
        <v>2893</v>
      </c>
      <c r="D3639" s="99" t="s">
        <v>4054</v>
      </c>
      <c r="E3639" s="100" t="s">
        <v>139</v>
      </c>
      <c r="F3639" s="100" t="s">
        <v>4055</v>
      </c>
      <c r="G3639" s="100" t="s">
        <v>2961</v>
      </c>
      <c r="H3639" s="100"/>
      <c r="I3639" s="101" t="s">
        <v>134</v>
      </c>
      <c r="J3639" s="580">
        <v>1.25</v>
      </c>
      <c r="K3639" s="580">
        <v>0</v>
      </c>
      <c r="L3639" s="102">
        <v>2.3</v>
      </c>
      <c r="M3639" s="102">
        <v>2.87</v>
      </c>
      <c r="N3639" s="573">
        <v>28.96</v>
      </c>
      <c r="O3639" s="556" t="str">
        <f>IF(N3639=M3639,"OK","DIF")</f>
        <v>DIF</v>
      </c>
      <c r="P3639" s="573"/>
      <c r="Q3639" s="556"/>
      <c r="R3639" s="582"/>
    </row>
    <row r="3640" ht="25.5" spans="1:18">
      <c r="A3640" s="556" t="str">
        <f>B3640</f>
        <v>Composição Auxiliar</v>
      </c>
      <c r="B3640" s="557" t="str">
        <f>B3639</f>
        <v>Composição Auxiliar</v>
      </c>
      <c r="C3640" s="108"/>
      <c r="D3640" s="108"/>
      <c r="E3640" s="108"/>
      <c r="F3640" s="108"/>
      <c r="G3640" s="108"/>
      <c r="H3640" s="108" t="s">
        <v>2898</v>
      </c>
      <c r="I3640" s="581">
        <v>6.1</v>
      </c>
      <c r="J3640" s="108" t="s">
        <v>2899</v>
      </c>
      <c r="K3640" s="581">
        <v>0</v>
      </c>
      <c r="L3640" s="108" t="s">
        <v>2900</v>
      </c>
      <c r="M3640" s="581">
        <v>6.1</v>
      </c>
      <c r="N3640" s="573">
        <v>12.06</v>
      </c>
      <c r="O3640" s="556" t="str">
        <f>IF(N3640=M3640,"OK","DIF")</f>
        <v>DIF</v>
      </c>
      <c r="P3640" s="573"/>
      <c r="Q3640" s="556"/>
      <c r="R3640" s="582"/>
    </row>
    <row r="3641" ht="26.25" spans="1:18">
      <c r="A3641" s="556"/>
      <c r="B3641" s="557"/>
      <c r="C3641" s="108"/>
      <c r="D3641" s="108"/>
      <c r="E3641" s="108"/>
      <c r="F3641" s="108"/>
      <c r="G3641" s="108"/>
      <c r="H3641" s="108" t="s">
        <v>2901</v>
      </c>
      <c r="I3641" s="581">
        <v>2.9</v>
      </c>
      <c r="J3641" s="114"/>
      <c r="K3641" s="114" t="s">
        <v>2902</v>
      </c>
      <c r="L3641" s="108"/>
      <c r="M3641" s="581">
        <v>14.28</v>
      </c>
      <c r="N3641" s="573"/>
      <c r="O3641" s="556"/>
      <c r="P3641" s="573"/>
      <c r="Q3641" s="556"/>
      <c r="R3641" s="582"/>
    </row>
    <row r="3642" ht="15" spans="1:18">
      <c r="A3642" s="556"/>
      <c r="B3642" s="557"/>
      <c r="C3642" s="571"/>
      <c r="D3642" s="571"/>
      <c r="E3642" s="571"/>
      <c r="F3642" s="571"/>
      <c r="G3642" s="571"/>
      <c r="H3642" s="571"/>
      <c r="I3642" s="571"/>
      <c r="J3642" s="571"/>
      <c r="K3642" s="571"/>
      <c r="L3642" s="571"/>
      <c r="M3642" s="571"/>
      <c r="N3642" s="573"/>
      <c r="O3642" s="556"/>
      <c r="P3642" s="573"/>
      <c r="Q3642" s="556"/>
      <c r="R3642" s="582"/>
    </row>
    <row r="3643" ht="15" customHeight="1" spans="1:18">
      <c r="A3643" s="556"/>
      <c r="B3643" s="557">
        <f>C3642</f>
        <v>0</v>
      </c>
      <c r="C3643" s="76" t="s">
        <v>1245</v>
      </c>
      <c r="D3643" s="75" t="s">
        <v>63</v>
      </c>
      <c r="E3643" s="76" t="s">
        <v>64</v>
      </c>
      <c r="F3643" s="76" t="s">
        <v>65</v>
      </c>
      <c r="G3643" s="76" t="s">
        <v>2889</v>
      </c>
      <c r="H3643" s="76"/>
      <c r="I3643" s="77" t="s">
        <v>66</v>
      </c>
      <c r="J3643" s="75" t="s">
        <v>67</v>
      </c>
      <c r="K3643" s="75" t="s">
        <v>2890</v>
      </c>
      <c r="L3643" s="75" t="s">
        <v>68</v>
      </c>
      <c r="M3643" s="75" t="s">
        <v>70</v>
      </c>
      <c r="N3643" s="573">
        <v>110.49</v>
      </c>
      <c r="O3643" s="556" t="str">
        <f>IF(N3643=M3643,"OK","DIF")</f>
        <v>DIF</v>
      </c>
      <c r="P3643" s="573"/>
      <c r="Q3643" s="556"/>
      <c r="R3643" s="582"/>
    </row>
    <row r="3644" ht="35.05" customHeight="1" spans="1:18">
      <c r="A3644" s="556">
        <f>B3644</f>
        <v>0</v>
      </c>
      <c r="B3644" s="557">
        <f>B3643</f>
        <v>0</v>
      </c>
      <c r="C3644" s="569" t="s">
        <v>2891</v>
      </c>
      <c r="D3644" s="570" t="s">
        <v>1125</v>
      </c>
      <c r="E3644" s="569" t="s">
        <v>132</v>
      </c>
      <c r="F3644" s="569" t="s">
        <v>1126</v>
      </c>
      <c r="G3644" s="569" t="s">
        <v>3177</v>
      </c>
      <c r="H3644" s="569"/>
      <c r="I3644" s="577" t="s">
        <v>134</v>
      </c>
      <c r="J3644" s="578">
        <v>1</v>
      </c>
      <c r="K3644" s="579"/>
      <c r="L3644" s="579">
        <v>13.99</v>
      </c>
      <c r="M3644" s="579">
        <v>13.99</v>
      </c>
      <c r="N3644" s="573">
        <v>18.66</v>
      </c>
      <c r="O3644" s="556" t="str">
        <f>IF(N3644=M3644,"OK","DIF")</f>
        <v>DIF</v>
      </c>
      <c r="P3644" s="573"/>
      <c r="Q3644" s="556"/>
      <c r="R3644" s="582"/>
    </row>
    <row r="3645" ht="23.85" customHeight="1" spans="1:18">
      <c r="A3645" s="556">
        <f>B3645</f>
        <v>0</v>
      </c>
      <c r="B3645" s="557">
        <f>B3644</f>
        <v>0</v>
      </c>
      <c r="C3645" s="79" t="s">
        <v>2921</v>
      </c>
      <c r="D3645" s="78" t="s">
        <v>3151</v>
      </c>
      <c r="E3645" s="79" t="s">
        <v>139</v>
      </c>
      <c r="F3645" s="79" t="s">
        <v>3152</v>
      </c>
      <c r="G3645" s="79" t="s">
        <v>2928</v>
      </c>
      <c r="H3645" s="79"/>
      <c r="I3645" s="80" t="s">
        <v>2897</v>
      </c>
      <c r="J3645" s="583">
        <v>0.1946</v>
      </c>
      <c r="K3645" s="583">
        <v>0</v>
      </c>
      <c r="L3645" s="92">
        <v>36.82</v>
      </c>
      <c r="M3645" s="92">
        <v>7.16</v>
      </c>
      <c r="N3645" s="573">
        <v>6.42</v>
      </c>
      <c r="O3645" s="556" t="str">
        <f>IF(N3645=M3645,"OK","DIF")</f>
        <v>DIF</v>
      </c>
      <c r="P3645" s="573"/>
      <c r="Q3645" s="556"/>
      <c r="R3645" s="582"/>
    </row>
    <row r="3646" ht="23.85" customHeight="1" spans="1:18">
      <c r="A3646" s="556">
        <f>B3646</f>
        <v>0</v>
      </c>
      <c r="B3646" s="557">
        <f>B3645</f>
        <v>0</v>
      </c>
      <c r="C3646" s="79" t="s">
        <v>2921</v>
      </c>
      <c r="D3646" s="78" t="s">
        <v>3153</v>
      </c>
      <c r="E3646" s="79" t="s">
        <v>139</v>
      </c>
      <c r="F3646" s="79" t="s">
        <v>3154</v>
      </c>
      <c r="G3646" s="79" t="s">
        <v>2928</v>
      </c>
      <c r="H3646" s="79"/>
      <c r="I3646" s="80" t="s">
        <v>2897</v>
      </c>
      <c r="J3646" s="583">
        <v>0.0442</v>
      </c>
      <c r="K3646" s="583">
        <v>0</v>
      </c>
      <c r="L3646" s="92">
        <v>30.6</v>
      </c>
      <c r="M3646" s="92">
        <v>1.35</v>
      </c>
      <c r="N3646" s="573">
        <v>85.41</v>
      </c>
      <c r="O3646" s="556" t="str">
        <f>IF(N3646=M3646,"OK","DIF")</f>
        <v>DIF</v>
      </c>
      <c r="P3646" s="573"/>
      <c r="Q3646" s="556"/>
      <c r="R3646" s="582"/>
    </row>
    <row r="3647" ht="23.85" customHeight="1" spans="1:18">
      <c r="A3647" s="556"/>
      <c r="B3647" s="557"/>
      <c r="C3647" s="100" t="s">
        <v>2893</v>
      </c>
      <c r="D3647" s="99" t="s">
        <v>4058</v>
      </c>
      <c r="E3647" s="100" t="s">
        <v>139</v>
      </c>
      <c r="F3647" s="100" t="s">
        <v>4059</v>
      </c>
      <c r="G3647" s="100" t="s">
        <v>2961</v>
      </c>
      <c r="H3647" s="100"/>
      <c r="I3647" s="101" t="s">
        <v>134</v>
      </c>
      <c r="J3647" s="580">
        <v>1.25</v>
      </c>
      <c r="K3647" s="580">
        <v>0</v>
      </c>
      <c r="L3647" s="102">
        <v>4.39</v>
      </c>
      <c r="M3647" s="102">
        <v>5.48</v>
      </c>
      <c r="N3647" s="573"/>
      <c r="O3647" s="556"/>
      <c r="P3647" s="573"/>
      <c r="Q3647" s="556"/>
      <c r="R3647" s="582"/>
    </row>
    <row r="3648" ht="25.5" spans="1:18">
      <c r="A3648" s="556"/>
      <c r="B3648" s="557"/>
      <c r="C3648" s="108"/>
      <c r="D3648" s="108"/>
      <c r="E3648" s="108"/>
      <c r="F3648" s="108"/>
      <c r="G3648" s="108"/>
      <c r="H3648" s="108" t="s">
        <v>2898</v>
      </c>
      <c r="I3648" s="581">
        <v>6.1</v>
      </c>
      <c r="J3648" s="108" t="s">
        <v>2899</v>
      </c>
      <c r="K3648" s="581">
        <v>0</v>
      </c>
      <c r="L3648" s="108" t="s">
        <v>2900</v>
      </c>
      <c r="M3648" s="581">
        <v>6.1</v>
      </c>
      <c r="N3648" s="573"/>
      <c r="O3648" s="556"/>
      <c r="P3648" s="573"/>
      <c r="Q3648" s="556"/>
      <c r="R3648" s="582"/>
    </row>
    <row r="3649" ht="26.25" spans="1:18">
      <c r="A3649" s="556"/>
      <c r="B3649" s="557"/>
      <c r="C3649" s="108"/>
      <c r="D3649" s="108"/>
      <c r="E3649" s="108"/>
      <c r="F3649" s="108"/>
      <c r="G3649" s="108"/>
      <c r="H3649" s="108" t="s">
        <v>2901</v>
      </c>
      <c r="I3649" s="581">
        <v>3.56</v>
      </c>
      <c r="J3649" s="114"/>
      <c r="K3649" s="114" t="s">
        <v>2902</v>
      </c>
      <c r="L3649" s="108"/>
      <c r="M3649" s="581">
        <v>17.55</v>
      </c>
      <c r="N3649" s="573"/>
      <c r="O3649" s="556"/>
      <c r="P3649" s="573"/>
      <c r="Q3649" s="556"/>
      <c r="R3649" s="582"/>
    </row>
    <row r="3650" ht="15" spans="1:18">
      <c r="A3650" s="556"/>
      <c r="B3650" s="557"/>
      <c r="C3650" s="571"/>
      <c r="D3650" s="571"/>
      <c r="E3650" s="571"/>
      <c r="F3650" s="571"/>
      <c r="G3650" s="571"/>
      <c r="H3650" s="571"/>
      <c r="I3650" s="571"/>
      <c r="J3650" s="571"/>
      <c r="K3650" s="571"/>
      <c r="L3650" s="571"/>
      <c r="M3650" s="571"/>
      <c r="N3650" s="573"/>
      <c r="O3650" s="556"/>
      <c r="P3650" s="573"/>
      <c r="Q3650" s="556"/>
      <c r="R3650" s="582"/>
    </row>
    <row r="3651" ht="15" customHeight="1" spans="1:18">
      <c r="A3651" s="556"/>
      <c r="B3651" s="557">
        <f>C3650</f>
        <v>0</v>
      </c>
      <c r="C3651" s="76" t="s">
        <v>1246</v>
      </c>
      <c r="D3651" s="75" t="s">
        <v>63</v>
      </c>
      <c r="E3651" s="76" t="s">
        <v>64</v>
      </c>
      <c r="F3651" s="76" t="s">
        <v>65</v>
      </c>
      <c r="G3651" s="76" t="s">
        <v>2889</v>
      </c>
      <c r="H3651" s="76"/>
      <c r="I3651" s="77" t="s">
        <v>66</v>
      </c>
      <c r="J3651" s="75" t="s">
        <v>67</v>
      </c>
      <c r="K3651" s="75" t="s">
        <v>2890</v>
      </c>
      <c r="L3651" s="75" t="s">
        <v>68</v>
      </c>
      <c r="M3651" s="75" t="s">
        <v>70</v>
      </c>
      <c r="N3651" s="573">
        <v>91.61</v>
      </c>
      <c r="O3651" s="556" t="str">
        <f>IF(N3651=M3651,"OK","DIF")</f>
        <v>DIF</v>
      </c>
      <c r="P3651" s="573"/>
      <c r="Q3651" s="556"/>
      <c r="R3651" s="582"/>
    </row>
    <row r="3652" ht="35.05" customHeight="1" spans="1:18">
      <c r="A3652" s="556">
        <f>B3652</f>
        <v>0</v>
      </c>
      <c r="B3652" s="557">
        <f>B3651</f>
        <v>0</v>
      </c>
      <c r="C3652" s="569" t="s">
        <v>2891</v>
      </c>
      <c r="D3652" s="570" t="s">
        <v>859</v>
      </c>
      <c r="E3652" s="569" t="s">
        <v>132</v>
      </c>
      <c r="F3652" s="569" t="s">
        <v>860</v>
      </c>
      <c r="G3652" s="569" t="s">
        <v>3177</v>
      </c>
      <c r="H3652" s="569"/>
      <c r="I3652" s="577" t="s">
        <v>134</v>
      </c>
      <c r="J3652" s="578">
        <v>1</v>
      </c>
      <c r="K3652" s="579"/>
      <c r="L3652" s="579">
        <v>25.31</v>
      </c>
      <c r="M3652" s="579">
        <v>25.31</v>
      </c>
      <c r="N3652" s="573">
        <v>46</v>
      </c>
      <c r="O3652" s="556" t="str">
        <f>IF(N3652=M3652,"OK","DIF")</f>
        <v>DIF</v>
      </c>
      <c r="P3652" s="573"/>
      <c r="Q3652" s="556"/>
      <c r="R3652" s="582"/>
    </row>
    <row r="3653" ht="23.85" customHeight="1" spans="1:18">
      <c r="A3653" s="556">
        <f>B3653</f>
        <v>0</v>
      </c>
      <c r="B3653" s="557">
        <f>B3652</f>
        <v>0</v>
      </c>
      <c r="C3653" s="79" t="s">
        <v>2921</v>
      </c>
      <c r="D3653" s="78" t="s">
        <v>3151</v>
      </c>
      <c r="E3653" s="79" t="s">
        <v>139</v>
      </c>
      <c r="F3653" s="79" t="s">
        <v>3152</v>
      </c>
      <c r="G3653" s="79" t="s">
        <v>2928</v>
      </c>
      <c r="H3653" s="79"/>
      <c r="I3653" s="80" t="s">
        <v>2897</v>
      </c>
      <c r="J3653" s="583">
        <v>0.3</v>
      </c>
      <c r="K3653" s="583">
        <v>0</v>
      </c>
      <c r="L3653" s="92">
        <v>36.82</v>
      </c>
      <c r="M3653" s="92">
        <v>11.04</v>
      </c>
      <c r="N3653" s="573">
        <v>25.83</v>
      </c>
      <c r="O3653" s="556" t="str">
        <f>IF(N3653=M3653,"OK","DIF")</f>
        <v>DIF</v>
      </c>
      <c r="P3653" s="573"/>
      <c r="Q3653" s="556"/>
      <c r="R3653" s="582"/>
    </row>
    <row r="3654" ht="23.85" customHeight="1" spans="1:18">
      <c r="A3654" s="556">
        <f>B3654</f>
        <v>0</v>
      </c>
      <c r="B3654" s="557">
        <f>B3653</f>
        <v>0</v>
      </c>
      <c r="C3654" s="79" t="s">
        <v>2921</v>
      </c>
      <c r="D3654" s="78" t="s">
        <v>2952</v>
      </c>
      <c r="E3654" s="79" t="s">
        <v>139</v>
      </c>
      <c r="F3654" s="79" t="s">
        <v>2953</v>
      </c>
      <c r="G3654" s="79" t="s">
        <v>2928</v>
      </c>
      <c r="H3654" s="79"/>
      <c r="I3654" s="80" t="s">
        <v>2897</v>
      </c>
      <c r="J3654" s="583">
        <v>0.3</v>
      </c>
      <c r="K3654" s="583">
        <v>0</v>
      </c>
      <c r="L3654" s="92">
        <v>29.15</v>
      </c>
      <c r="M3654" s="92">
        <v>8.74</v>
      </c>
      <c r="N3654" s="573">
        <v>19.68</v>
      </c>
      <c r="O3654" s="556" t="str">
        <f>IF(N3654=M3654,"OK","DIF")</f>
        <v>DIF</v>
      </c>
      <c r="P3654" s="573"/>
      <c r="Q3654" s="556"/>
      <c r="R3654" s="582"/>
    </row>
    <row r="3655" ht="15" customHeight="1" spans="1:18">
      <c r="A3655" s="556">
        <f>B3655</f>
        <v>0</v>
      </c>
      <c r="B3655" s="557">
        <f>B3654</f>
        <v>0</v>
      </c>
      <c r="C3655" s="100" t="s">
        <v>2893</v>
      </c>
      <c r="D3655" s="99" t="s">
        <v>3674</v>
      </c>
      <c r="E3655" s="100" t="s">
        <v>139</v>
      </c>
      <c r="F3655" s="100" t="s">
        <v>3675</v>
      </c>
      <c r="G3655" s="100" t="s">
        <v>2961</v>
      </c>
      <c r="H3655" s="100"/>
      <c r="I3655" s="101" t="s">
        <v>134</v>
      </c>
      <c r="J3655" s="580">
        <v>1</v>
      </c>
      <c r="K3655" s="580">
        <v>0</v>
      </c>
      <c r="L3655" s="102">
        <v>0.4</v>
      </c>
      <c r="M3655" s="102">
        <v>0.4</v>
      </c>
      <c r="N3655" s="573">
        <v>0.1</v>
      </c>
      <c r="O3655" s="556" t="str">
        <f>IF(N3655=M3655,"OK","DIF")</f>
        <v>DIF</v>
      </c>
      <c r="P3655" s="573"/>
      <c r="Q3655" s="556"/>
      <c r="R3655" s="582"/>
    </row>
    <row r="3656" ht="23.85" customHeight="1" spans="1:18">
      <c r="A3656" s="556"/>
      <c r="B3656" s="557"/>
      <c r="C3656" s="100" t="s">
        <v>2893</v>
      </c>
      <c r="D3656" s="99" t="s">
        <v>3772</v>
      </c>
      <c r="E3656" s="100" t="s">
        <v>139</v>
      </c>
      <c r="F3656" s="100" t="s">
        <v>3773</v>
      </c>
      <c r="G3656" s="100" t="s">
        <v>2961</v>
      </c>
      <c r="H3656" s="100"/>
      <c r="I3656" s="101" t="s">
        <v>134</v>
      </c>
      <c r="J3656" s="580">
        <v>1</v>
      </c>
      <c r="K3656" s="580">
        <v>0</v>
      </c>
      <c r="L3656" s="102">
        <v>1.61</v>
      </c>
      <c r="M3656" s="102">
        <v>1.61</v>
      </c>
      <c r="N3656" s="573"/>
      <c r="O3656" s="556"/>
      <c r="P3656" s="573"/>
      <c r="Q3656" s="556"/>
      <c r="R3656" s="582"/>
    </row>
    <row r="3657" ht="15" customHeight="1" spans="1:18">
      <c r="A3657" s="556"/>
      <c r="B3657" s="557"/>
      <c r="C3657" s="100" t="s">
        <v>2893</v>
      </c>
      <c r="D3657" s="99" t="s">
        <v>3676</v>
      </c>
      <c r="E3657" s="100" t="s">
        <v>139</v>
      </c>
      <c r="F3657" s="100" t="s">
        <v>3677</v>
      </c>
      <c r="G3657" s="100" t="s">
        <v>2961</v>
      </c>
      <c r="H3657" s="100"/>
      <c r="I3657" s="101" t="s">
        <v>204</v>
      </c>
      <c r="J3657" s="580">
        <v>1</v>
      </c>
      <c r="K3657" s="580">
        <v>0</v>
      </c>
      <c r="L3657" s="102">
        <v>3.52</v>
      </c>
      <c r="M3657" s="102">
        <v>3.52</v>
      </c>
      <c r="N3657" s="573"/>
      <c r="O3657" s="556"/>
      <c r="P3657" s="573"/>
      <c r="Q3657" s="556"/>
      <c r="R3657" s="582"/>
    </row>
    <row r="3658" ht="25.5" spans="1:18">
      <c r="A3658" s="556"/>
      <c r="B3658" s="557" t="str">
        <f>C3657</f>
        <v>Insumo</v>
      </c>
      <c r="C3658" s="108"/>
      <c r="D3658" s="108"/>
      <c r="E3658" s="108"/>
      <c r="F3658" s="108"/>
      <c r="G3658" s="108"/>
      <c r="H3658" s="108" t="s">
        <v>2898</v>
      </c>
      <c r="I3658" s="581">
        <v>13.79</v>
      </c>
      <c r="J3658" s="108" t="s">
        <v>2899</v>
      </c>
      <c r="K3658" s="581">
        <v>0</v>
      </c>
      <c r="L3658" s="108" t="s">
        <v>2900</v>
      </c>
      <c r="M3658" s="581">
        <v>13.79</v>
      </c>
      <c r="N3658" s="573">
        <v>38.15</v>
      </c>
      <c r="O3658" s="556" t="str">
        <f>IF(N3658=M3658,"OK","DIF")</f>
        <v>DIF</v>
      </c>
      <c r="P3658" s="573"/>
      <c r="Q3658" s="556"/>
      <c r="R3658" s="582"/>
    </row>
    <row r="3659" ht="26.25" spans="1:18">
      <c r="A3659" s="556" t="str">
        <f>B3659</f>
        <v>Insumo</v>
      </c>
      <c r="B3659" s="557" t="str">
        <f>B3658</f>
        <v>Insumo</v>
      </c>
      <c r="C3659" s="108"/>
      <c r="D3659" s="108"/>
      <c r="E3659" s="108"/>
      <c r="F3659" s="108"/>
      <c r="G3659" s="108"/>
      <c r="H3659" s="108" t="s">
        <v>2901</v>
      </c>
      <c r="I3659" s="581">
        <v>6.45</v>
      </c>
      <c r="J3659" s="114"/>
      <c r="K3659" s="114" t="s">
        <v>2902</v>
      </c>
      <c r="L3659" s="108"/>
      <c r="M3659" s="581">
        <v>31.76</v>
      </c>
      <c r="N3659" s="573">
        <v>1.65</v>
      </c>
      <c r="O3659" s="556" t="str">
        <f>IF(N3659=M3659,"OK","DIF")</f>
        <v>DIF</v>
      </c>
      <c r="P3659" s="573"/>
      <c r="Q3659" s="556"/>
      <c r="R3659" s="582"/>
    </row>
    <row r="3660" ht="15" spans="1:18">
      <c r="A3660" s="556" t="str">
        <f>B3660</f>
        <v>Insumo</v>
      </c>
      <c r="B3660" s="557" t="str">
        <f>B3659</f>
        <v>Insumo</v>
      </c>
      <c r="C3660" s="571"/>
      <c r="D3660" s="571"/>
      <c r="E3660" s="571"/>
      <c r="F3660" s="571"/>
      <c r="G3660" s="571"/>
      <c r="H3660" s="571"/>
      <c r="I3660" s="571"/>
      <c r="J3660" s="571"/>
      <c r="K3660" s="571"/>
      <c r="L3660" s="571"/>
      <c r="M3660" s="571"/>
      <c r="N3660" s="573">
        <v>36.5</v>
      </c>
      <c r="O3660" s="556" t="str">
        <f>IF(N3660=M3660,"OK","DIF")</f>
        <v>DIF</v>
      </c>
      <c r="P3660" s="573"/>
      <c r="Q3660" s="556"/>
      <c r="R3660" s="582"/>
    </row>
    <row r="3661" ht="15" customHeight="1" spans="1:18">
      <c r="A3661" s="556"/>
      <c r="B3661" s="557"/>
      <c r="C3661" s="76" t="s">
        <v>1248</v>
      </c>
      <c r="D3661" s="75" t="s">
        <v>63</v>
      </c>
      <c r="E3661" s="76" t="s">
        <v>64</v>
      </c>
      <c r="F3661" s="76" t="s">
        <v>65</v>
      </c>
      <c r="G3661" s="76" t="s">
        <v>2889</v>
      </c>
      <c r="H3661" s="76"/>
      <c r="I3661" s="77" t="s">
        <v>66</v>
      </c>
      <c r="J3661" s="75" t="s">
        <v>67</v>
      </c>
      <c r="K3661" s="75" t="s">
        <v>2890</v>
      </c>
      <c r="L3661" s="75" t="s">
        <v>68</v>
      </c>
      <c r="M3661" s="75" t="s">
        <v>70</v>
      </c>
      <c r="N3661" s="573"/>
      <c r="O3661" s="556"/>
      <c r="P3661" s="573"/>
      <c r="Q3661" s="556"/>
      <c r="R3661" s="582"/>
    </row>
    <row r="3662" ht="35.05" customHeight="1" spans="1:18">
      <c r="A3662" s="556"/>
      <c r="B3662" s="557"/>
      <c r="C3662" s="569" t="s">
        <v>2891</v>
      </c>
      <c r="D3662" s="570" t="s">
        <v>865</v>
      </c>
      <c r="E3662" s="569" t="s">
        <v>132</v>
      </c>
      <c r="F3662" s="569" t="s">
        <v>866</v>
      </c>
      <c r="G3662" s="569" t="s">
        <v>3774</v>
      </c>
      <c r="H3662" s="569"/>
      <c r="I3662" s="577" t="s">
        <v>134</v>
      </c>
      <c r="J3662" s="578">
        <v>1</v>
      </c>
      <c r="K3662" s="579"/>
      <c r="L3662" s="579">
        <v>0.12</v>
      </c>
      <c r="M3662" s="579">
        <v>0.12</v>
      </c>
      <c r="N3662" s="573"/>
      <c r="O3662" s="556"/>
      <c r="P3662" s="573"/>
      <c r="Q3662" s="556"/>
      <c r="R3662" s="582"/>
    </row>
    <row r="3663" ht="15" customHeight="1" spans="1:18">
      <c r="A3663" s="556"/>
      <c r="B3663" s="557" t="str">
        <f>C3662</f>
        <v>Composição</v>
      </c>
      <c r="C3663" s="100" t="s">
        <v>2893</v>
      </c>
      <c r="D3663" s="99" t="s">
        <v>3775</v>
      </c>
      <c r="E3663" s="100" t="s">
        <v>796</v>
      </c>
      <c r="F3663" s="100" t="s">
        <v>3776</v>
      </c>
      <c r="G3663" s="100" t="s">
        <v>2961</v>
      </c>
      <c r="H3663" s="100"/>
      <c r="I3663" s="101" t="s">
        <v>334</v>
      </c>
      <c r="J3663" s="580">
        <v>1</v>
      </c>
      <c r="K3663" s="580">
        <v>0</v>
      </c>
      <c r="L3663" s="102">
        <v>0.12</v>
      </c>
      <c r="M3663" s="102">
        <v>0.12</v>
      </c>
      <c r="N3663" s="573">
        <v>239.57</v>
      </c>
      <c r="O3663" s="556" t="str">
        <f>IF(N3663=M3663,"OK","DIF")</f>
        <v>DIF</v>
      </c>
      <c r="P3663" s="573"/>
      <c r="Q3663" s="556"/>
      <c r="R3663" s="582"/>
    </row>
    <row r="3664" ht="25.5" spans="1:18">
      <c r="A3664" s="556" t="str">
        <f>B3664</f>
        <v>Composição</v>
      </c>
      <c r="B3664" s="557" t="str">
        <f>B3663</f>
        <v>Composição</v>
      </c>
      <c r="C3664" s="108"/>
      <c r="D3664" s="108"/>
      <c r="E3664" s="108"/>
      <c r="F3664" s="108"/>
      <c r="G3664" s="108"/>
      <c r="H3664" s="108" t="s">
        <v>2898</v>
      </c>
      <c r="I3664" s="581">
        <v>0</v>
      </c>
      <c r="J3664" s="108" t="s">
        <v>2899</v>
      </c>
      <c r="K3664" s="581">
        <v>0</v>
      </c>
      <c r="L3664" s="108" t="s">
        <v>2900</v>
      </c>
      <c r="M3664" s="581">
        <v>0</v>
      </c>
      <c r="N3664" s="573">
        <v>166.45</v>
      </c>
      <c r="O3664" s="556" t="str">
        <f>IF(N3664=M3664,"OK","DIF")</f>
        <v>DIF</v>
      </c>
      <c r="P3664" s="573"/>
      <c r="Q3664" s="556"/>
      <c r="R3664" s="582"/>
    </row>
    <row r="3665" ht="26.25" spans="1:18">
      <c r="A3665" s="556" t="str">
        <f>B3665</f>
        <v>Composição</v>
      </c>
      <c r="B3665" s="557" t="str">
        <f>B3664</f>
        <v>Composição</v>
      </c>
      <c r="C3665" s="108"/>
      <c r="D3665" s="108"/>
      <c r="E3665" s="108"/>
      <c r="F3665" s="108"/>
      <c r="G3665" s="108"/>
      <c r="H3665" s="108" t="s">
        <v>2901</v>
      </c>
      <c r="I3665" s="581">
        <v>0.03</v>
      </c>
      <c r="J3665" s="114"/>
      <c r="K3665" s="114" t="s">
        <v>2902</v>
      </c>
      <c r="L3665" s="108"/>
      <c r="M3665" s="581">
        <v>0.15</v>
      </c>
      <c r="N3665" s="573">
        <v>23.74</v>
      </c>
      <c r="O3665" s="556" t="str">
        <f>IF(N3665=M3665,"OK","DIF")</f>
        <v>DIF</v>
      </c>
      <c r="P3665" s="573"/>
      <c r="Q3665" s="556"/>
      <c r="R3665" s="582"/>
    </row>
    <row r="3666" ht="15" spans="1:18">
      <c r="A3666" s="556" t="str">
        <f>B3666</f>
        <v>Composição</v>
      </c>
      <c r="B3666" s="557" t="str">
        <f>B3665</f>
        <v>Composição</v>
      </c>
      <c r="C3666" s="571"/>
      <c r="D3666" s="571"/>
      <c r="E3666" s="571"/>
      <c r="F3666" s="571"/>
      <c r="G3666" s="571"/>
      <c r="H3666" s="571"/>
      <c r="I3666" s="571"/>
      <c r="J3666" s="571"/>
      <c r="K3666" s="571"/>
      <c r="L3666" s="571"/>
      <c r="M3666" s="571"/>
      <c r="N3666" s="573">
        <v>28.66</v>
      </c>
      <c r="O3666" s="556" t="str">
        <f>IF(N3666=M3666,"OK","DIF")</f>
        <v>DIF</v>
      </c>
      <c r="P3666" s="573"/>
      <c r="Q3666" s="556"/>
      <c r="R3666" s="582"/>
    </row>
    <row r="3667" ht="15" customHeight="1" spans="1:18">
      <c r="A3667" s="556" t="str">
        <f>B3667</f>
        <v>Composição</v>
      </c>
      <c r="B3667" s="557" t="str">
        <f>B3666</f>
        <v>Composição</v>
      </c>
      <c r="C3667" s="76" t="s">
        <v>1249</v>
      </c>
      <c r="D3667" s="75" t="s">
        <v>63</v>
      </c>
      <c r="E3667" s="76" t="s">
        <v>64</v>
      </c>
      <c r="F3667" s="76" t="s">
        <v>65</v>
      </c>
      <c r="G3667" s="76" t="s">
        <v>2889</v>
      </c>
      <c r="H3667" s="76"/>
      <c r="I3667" s="77" t="s">
        <v>66</v>
      </c>
      <c r="J3667" s="75" t="s">
        <v>67</v>
      </c>
      <c r="K3667" s="75" t="s">
        <v>2890</v>
      </c>
      <c r="L3667" s="75" t="s">
        <v>68</v>
      </c>
      <c r="M3667" s="75" t="s">
        <v>70</v>
      </c>
      <c r="N3667" s="573">
        <v>20.72</v>
      </c>
      <c r="O3667" s="556" t="str">
        <f>IF(N3667=M3667,"OK","DIF")</f>
        <v>DIF</v>
      </c>
      <c r="P3667" s="573"/>
      <c r="Q3667" s="556"/>
      <c r="R3667" s="582"/>
    </row>
    <row r="3668" ht="35.05" customHeight="1" spans="1:18">
      <c r="A3668" s="556"/>
      <c r="B3668" s="557"/>
      <c r="C3668" s="569" t="s">
        <v>2891</v>
      </c>
      <c r="D3668" s="570" t="s">
        <v>1250</v>
      </c>
      <c r="E3668" s="569" t="s">
        <v>132</v>
      </c>
      <c r="F3668" s="569" t="s">
        <v>1251</v>
      </c>
      <c r="G3668" s="569" t="s">
        <v>3177</v>
      </c>
      <c r="H3668" s="569"/>
      <c r="I3668" s="577" t="s">
        <v>134</v>
      </c>
      <c r="J3668" s="578">
        <v>1</v>
      </c>
      <c r="K3668" s="579"/>
      <c r="L3668" s="579">
        <v>3.33</v>
      </c>
      <c r="M3668" s="579">
        <v>3.33</v>
      </c>
      <c r="N3668" s="573"/>
      <c r="O3668" s="556"/>
      <c r="P3668" s="573"/>
      <c r="Q3668" s="556"/>
      <c r="R3668" s="582"/>
    </row>
    <row r="3669" ht="23.85" customHeight="1" spans="1:18">
      <c r="A3669" s="556"/>
      <c r="B3669" s="557"/>
      <c r="C3669" s="79" t="s">
        <v>2921</v>
      </c>
      <c r="D3669" s="78" t="s">
        <v>3153</v>
      </c>
      <c r="E3669" s="79" t="s">
        <v>139</v>
      </c>
      <c r="F3669" s="79" t="s">
        <v>3154</v>
      </c>
      <c r="G3669" s="79" t="s">
        <v>2928</v>
      </c>
      <c r="H3669" s="79"/>
      <c r="I3669" s="80" t="s">
        <v>2897</v>
      </c>
      <c r="J3669" s="583">
        <v>0.01</v>
      </c>
      <c r="K3669" s="583">
        <v>0</v>
      </c>
      <c r="L3669" s="92">
        <v>30.6</v>
      </c>
      <c r="M3669" s="92">
        <v>0.3</v>
      </c>
      <c r="N3669" s="573"/>
      <c r="O3669" s="556"/>
      <c r="P3669" s="573"/>
      <c r="Q3669" s="556"/>
      <c r="R3669" s="582"/>
    </row>
    <row r="3670" ht="23.85" customHeight="1" spans="1:18">
      <c r="A3670" s="556"/>
      <c r="B3670" s="557" t="str">
        <f>C3669</f>
        <v>Composição Auxiliar</v>
      </c>
      <c r="C3670" s="79" t="s">
        <v>2921</v>
      </c>
      <c r="D3670" s="78" t="s">
        <v>3151</v>
      </c>
      <c r="E3670" s="79" t="s">
        <v>139</v>
      </c>
      <c r="F3670" s="79" t="s">
        <v>3152</v>
      </c>
      <c r="G3670" s="79" t="s">
        <v>2928</v>
      </c>
      <c r="H3670" s="79"/>
      <c r="I3670" s="80" t="s">
        <v>2897</v>
      </c>
      <c r="J3670" s="583">
        <v>0.01</v>
      </c>
      <c r="K3670" s="583">
        <v>0</v>
      </c>
      <c r="L3670" s="92">
        <v>36.82</v>
      </c>
      <c r="M3670" s="92">
        <v>0.36</v>
      </c>
      <c r="N3670" s="573">
        <v>69.11</v>
      </c>
      <c r="O3670" s="556" t="str">
        <f>IF(N3670=M3670,"OK","DIF")</f>
        <v>DIF</v>
      </c>
      <c r="P3670" s="573"/>
      <c r="Q3670" s="556"/>
      <c r="R3670" s="582"/>
    </row>
    <row r="3671" ht="15" customHeight="1" spans="1:18">
      <c r="A3671" s="556" t="str">
        <f>B3671</f>
        <v>Composição Auxiliar</v>
      </c>
      <c r="B3671" s="557" t="str">
        <f>B3670</f>
        <v>Composição Auxiliar</v>
      </c>
      <c r="C3671" s="100" t="s">
        <v>2893</v>
      </c>
      <c r="D3671" s="99" t="s">
        <v>4171</v>
      </c>
      <c r="E3671" s="100" t="s">
        <v>149</v>
      </c>
      <c r="F3671" s="100" t="s">
        <v>4172</v>
      </c>
      <c r="G3671" s="100" t="s">
        <v>2961</v>
      </c>
      <c r="H3671" s="100"/>
      <c r="I3671" s="101" t="s">
        <v>1491</v>
      </c>
      <c r="J3671" s="580">
        <v>1</v>
      </c>
      <c r="K3671" s="580">
        <v>0</v>
      </c>
      <c r="L3671" s="102">
        <v>2.67</v>
      </c>
      <c r="M3671" s="102">
        <v>2.67</v>
      </c>
      <c r="N3671" s="573">
        <v>0.1</v>
      </c>
      <c r="O3671" s="556" t="str">
        <f>IF(N3671=M3671,"OK","DIF")</f>
        <v>DIF</v>
      </c>
      <c r="P3671" s="573"/>
      <c r="Q3671" s="556"/>
      <c r="R3671" s="582"/>
    </row>
    <row r="3672" ht="25.5" spans="1:18">
      <c r="A3672" s="556" t="str">
        <f>B3672</f>
        <v>Composição Auxiliar</v>
      </c>
      <c r="B3672" s="557" t="str">
        <f>B3671</f>
        <v>Composição Auxiliar</v>
      </c>
      <c r="C3672" s="108"/>
      <c r="D3672" s="108"/>
      <c r="E3672" s="108"/>
      <c r="F3672" s="108"/>
      <c r="G3672" s="108"/>
      <c r="H3672" s="108" t="s">
        <v>2898</v>
      </c>
      <c r="I3672" s="581">
        <v>0.46</v>
      </c>
      <c r="J3672" s="108" t="s">
        <v>2899</v>
      </c>
      <c r="K3672" s="581">
        <v>0</v>
      </c>
      <c r="L3672" s="108" t="s">
        <v>2900</v>
      </c>
      <c r="M3672" s="581">
        <v>0.46</v>
      </c>
      <c r="N3672" s="573">
        <v>25.83</v>
      </c>
      <c r="O3672" s="556" t="str">
        <f>IF(N3672=M3672,"OK","DIF")</f>
        <v>DIF</v>
      </c>
      <c r="P3672" s="573"/>
      <c r="Q3672" s="556"/>
      <c r="R3672" s="582"/>
    </row>
    <row r="3673" ht="26.25" spans="1:18">
      <c r="A3673" s="556" t="str">
        <f>B3673</f>
        <v>Composição Auxiliar</v>
      </c>
      <c r="B3673" s="557" t="str">
        <f>B3672</f>
        <v>Composição Auxiliar</v>
      </c>
      <c r="C3673" s="108"/>
      <c r="D3673" s="108"/>
      <c r="E3673" s="108"/>
      <c r="F3673" s="108"/>
      <c r="G3673" s="108"/>
      <c r="H3673" s="108" t="s">
        <v>2901</v>
      </c>
      <c r="I3673" s="581">
        <v>0.84</v>
      </c>
      <c r="J3673" s="114"/>
      <c r="K3673" s="114" t="s">
        <v>2902</v>
      </c>
      <c r="L3673" s="108"/>
      <c r="M3673" s="581">
        <v>4.17</v>
      </c>
      <c r="N3673" s="573">
        <v>19.68</v>
      </c>
      <c r="O3673" s="556" t="str">
        <f>IF(N3673=M3673,"OK","DIF")</f>
        <v>DIF</v>
      </c>
      <c r="P3673" s="573"/>
      <c r="Q3673" s="556"/>
      <c r="R3673" s="582"/>
    </row>
    <row r="3674" ht="15" spans="1:18">
      <c r="A3674" s="556" t="str">
        <f>B3674</f>
        <v>Composição Auxiliar</v>
      </c>
      <c r="B3674" s="557" t="str">
        <f>B3673</f>
        <v>Composição Auxiliar</v>
      </c>
      <c r="C3674" s="571"/>
      <c r="D3674" s="571"/>
      <c r="E3674" s="571"/>
      <c r="F3674" s="571"/>
      <c r="G3674" s="571"/>
      <c r="H3674" s="571"/>
      <c r="I3674" s="571"/>
      <c r="J3674" s="571"/>
      <c r="K3674" s="571"/>
      <c r="L3674" s="571"/>
      <c r="M3674" s="571"/>
      <c r="N3674" s="573">
        <v>23.5</v>
      </c>
      <c r="O3674" s="556" t="str">
        <f>IF(N3674=M3674,"OK","DIF")</f>
        <v>DIF</v>
      </c>
      <c r="P3674" s="573"/>
      <c r="Q3674" s="556"/>
      <c r="R3674" s="582"/>
    </row>
    <row r="3675" ht="15" customHeight="1" spans="1:18">
      <c r="A3675" s="556"/>
      <c r="B3675" s="557"/>
      <c r="C3675" s="76" t="s">
        <v>1252</v>
      </c>
      <c r="D3675" s="75" t="s">
        <v>63</v>
      </c>
      <c r="E3675" s="76" t="s">
        <v>64</v>
      </c>
      <c r="F3675" s="76" t="s">
        <v>65</v>
      </c>
      <c r="G3675" s="76" t="s">
        <v>2889</v>
      </c>
      <c r="H3675" s="76"/>
      <c r="I3675" s="77" t="s">
        <v>66</v>
      </c>
      <c r="J3675" s="75" t="s">
        <v>67</v>
      </c>
      <c r="K3675" s="75" t="s">
        <v>2890</v>
      </c>
      <c r="L3675" s="75" t="s">
        <v>68</v>
      </c>
      <c r="M3675" s="75" t="s">
        <v>70</v>
      </c>
      <c r="N3675" s="573"/>
      <c r="O3675" s="556"/>
      <c r="P3675" s="573"/>
      <c r="Q3675" s="556"/>
      <c r="R3675" s="582"/>
    </row>
    <row r="3676" ht="35.05" customHeight="1" spans="1:18">
      <c r="A3676" s="556"/>
      <c r="B3676" s="557"/>
      <c r="C3676" s="569" t="s">
        <v>2891</v>
      </c>
      <c r="D3676" s="570" t="s">
        <v>1253</v>
      </c>
      <c r="E3676" s="569" t="s">
        <v>132</v>
      </c>
      <c r="F3676" s="569" t="s">
        <v>1254</v>
      </c>
      <c r="G3676" s="569" t="s">
        <v>3177</v>
      </c>
      <c r="H3676" s="569"/>
      <c r="I3676" s="577" t="s">
        <v>134</v>
      </c>
      <c r="J3676" s="578">
        <v>1</v>
      </c>
      <c r="K3676" s="579"/>
      <c r="L3676" s="579">
        <v>6.47</v>
      </c>
      <c r="M3676" s="579">
        <v>6.47</v>
      </c>
      <c r="N3676" s="573"/>
      <c r="O3676" s="556"/>
      <c r="P3676" s="573"/>
      <c r="Q3676" s="556"/>
      <c r="R3676" s="582"/>
    </row>
    <row r="3677" ht="23.85" customHeight="1" spans="1:18">
      <c r="A3677" s="556"/>
      <c r="B3677" s="557" t="str">
        <f>C3676</f>
        <v>Composição</v>
      </c>
      <c r="C3677" s="79" t="s">
        <v>2921</v>
      </c>
      <c r="D3677" s="78" t="s">
        <v>3153</v>
      </c>
      <c r="E3677" s="79" t="s">
        <v>139</v>
      </c>
      <c r="F3677" s="79" t="s">
        <v>3154</v>
      </c>
      <c r="G3677" s="79" t="s">
        <v>2928</v>
      </c>
      <c r="H3677" s="79"/>
      <c r="I3677" s="80" t="s">
        <v>2897</v>
      </c>
      <c r="J3677" s="583">
        <v>0.04</v>
      </c>
      <c r="K3677" s="583">
        <v>0</v>
      </c>
      <c r="L3677" s="92">
        <v>30.6</v>
      </c>
      <c r="M3677" s="92">
        <v>1.22</v>
      </c>
      <c r="N3677" s="573">
        <v>101.79</v>
      </c>
      <c r="O3677" s="556" t="str">
        <f>IF(N3677=M3677,"OK","DIF")</f>
        <v>DIF</v>
      </c>
      <c r="P3677" s="573"/>
      <c r="Q3677" s="556"/>
      <c r="R3677" s="582"/>
    </row>
    <row r="3678" ht="23.85" customHeight="1" spans="1:18">
      <c r="A3678" s="556" t="str">
        <f>B3678</f>
        <v>Composição</v>
      </c>
      <c r="B3678" s="557" t="str">
        <f>B3677</f>
        <v>Composição</v>
      </c>
      <c r="C3678" s="79" t="s">
        <v>2921</v>
      </c>
      <c r="D3678" s="78" t="s">
        <v>3151</v>
      </c>
      <c r="E3678" s="79" t="s">
        <v>139</v>
      </c>
      <c r="F3678" s="79" t="s">
        <v>3152</v>
      </c>
      <c r="G3678" s="79" t="s">
        <v>2928</v>
      </c>
      <c r="H3678" s="79"/>
      <c r="I3678" s="80" t="s">
        <v>2897</v>
      </c>
      <c r="J3678" s="583">
        <v>0.04</v>
      </c>
      <c r="K3678" s="583">
        <v>0</v>
      </c>
      <c r="L3678" s="92">
        <v>36.82</v>
      </c>
      <c r="M3678" s="92">
        <v>1.47</v>
      </c>
      <c r="N3678" s="573">
        <v>27.3</v>
      </c>
      <c r="O3678" s="556" t="str">
        <f>IF(N3678=M3678,"OK","DIF")</f>
        <v>DIF</v>
      </c>
      <c r="P3678" s="573"/>
      <c r="Q3678" s="556"/>
      <c r="R3678" s="582"/>
    </row>
    <row r="3679" ht="15" customHeight="1" spans="1:18">
      <c r="A3679" s="556" t="str">
        <f>B3679</f>
        <v>Composição</v>
      </c>
      <c r="B3679" s="557" t="str">
        <f>B3678</f>
        <v>Composição</v>
      </c>
      <c r="C3679" s="100" t="s">
        <v>2893</v>
      </c>
      <c r="D3679" s="99" t="s">
        <v>4173</v>
      </c>
      <c r="E3679" s="100" t="s">
        <v>149</v>
      </c>
      <c r="F3679" s="100" t="s">
        <v>4174</v>
      </c>
      <c r="G3679" s="100" t="s">
        <v>2961</v>
      </c>
      <c r="H3679" s="100"/>
      <c r="I3679" s="101" t="s">
        <v>134</v>
      </c>
      <c r="J3679" s="580">
        <v>1</v>
      </c>
      <c r="K3679" s="580">
        <v>0</v>
      </c>
      <c r="L3679" s="102">
        <v>3.78</v>
      </c>
      <c r="M3679" s="102">
        <v>3.78</v>
      </c>
      <c r="N3679" s="573">
        <v>33.07</v>
      </c>
      <c r="O3679" s="556" t="str">
        <f>IF(N3679=M3679,"OK","DIF")</f>
        <v>DIF</v>
      </c>
      <c r="P3679" s="573"/>
      <c r="Q3679" s="556"/>
      <c r="R3679" s="582"/>
    </row>
    <row r="3680" ht="25.5" spans="1:18">
      <c r="A3680" s="556" t="str">
        <f>B3680</f>
        <v>Composição</v>
      </c>
      <c r="B3680" s="557" t="str">
        <f>B3679</f>
        <v>Composição</v>
      </c>
      <c r="C3680" s="108"/>
      <c r="D3680" s="108"/>
      <c r="E3680" s="108"/>
      <c r="F3680" s="108"/>
      <c r="G3680" s="108"/>
      <c r="H3680" s="108" t="s">
        <v>2898</v>
      </c>
      <c r="I3680" s="581">
        <v>1.89</v>
      </c>
      <c r="J3680" s="108" t="s">
        <v>2899</v>
      </c>
      <c r="K3680" s="581">
        <v>0</v>
      </c>
      <c r="L3680" s="108" t="s">
        <v>2900</v>
      </c>
      <c r="M3680" s="581">
        <v>1.89</v>
      </c>
      <c r="N3680" s="573">
        <v>41.12</v>
      </c>
      <c r="O3680" s="556" t="str">
        <f>IF(N3680=M3680,"OK","DIF")</f>
        <v>DIF</v>
      </c>
      <c r="P3680" s="573"/>
      <c r="Q3680" s="556"/>
      <c r="R3680" s="582"/>
    </row>
    <row r="3681" ht="26.25" spans="1:18">
      <c r="A3681" s="556" t="str">
        <f>B3681</f>
        <v>Composição</v>
      </c>
      <c r="B3681" s="557" t="str">
        <f>B3680</f>
        <v>Composição</v>
      </c>
      <c r="C3681" s="108"/>
      <c r="D3681" s="108"/>
      <c r="E3681" s="108"/>
      <c r="F3681" s="108"/>
      <c r="G3681" s="108"/>
      <c r="H3681" s="108" t="s">
        <v>2901</v>
      </c>
      <c r="I3681" s="581">
        <v>1.64</v>
      </c>
      <c r="J3681" s="114"/>
      <c r="K3681" s="114" t="s">
        <v>2902</v>
      </c>
      <c r="L3681" s="108"/>
      <c r="M3681" s="581">
        <v>8.11</v>
      </c>
      <c r="N3681" s="573">
        <v>0.3</v>
      </c>
      <c r="O3681" s="556" t="str">
        <f>IF(N3681=M3681,"OK","DIF")</f>
        <v>DIF</v>
      </c>
      <c r="P3681" s="573"/>
      <c r="Q3681" s="556"/>
      <c r="R3681" s="582"/>
    </row>
    <row r="3682" ht="15" spans="1:18">
      <c r="A3682" s="556"/>
      <c r="B3682" s="557"/>
      <c r="C3682" s="571"/>
      <c r="D3682" s="571"/>
      <c r="E3682" s="571"/>
      <c r="F3682" s="571"/>
      <c r="G3682" s="571"/>
      <c r="H3682" s="571"/>
      <c r="I3682" s="571"/>
      <c r="J3682" s="571"/>
      <c r="K3682" s="571"/>
      <c r="L3682" s="571"/>
      <c r="M3682" s="571"/>
      <c r="N3682" s="573"/>
      <c r="O3682" s="556"/>
      <c r="P3682" s="573"/>
      <c r="Q3682" s="556"/>
      <c r="R3682" s="582"/>
    </row>
    <row r="3683" ht="15" customHeight="1" spans="1:18">
      <c r="A3683" s="556"/>
      <c r="B3683" s="557"/>
      <c r="C3683" s="76" t="s">
        <v>1255</v>
      </c>
      <c r="D3683" s="75" t="s">
        <v>63</v>
      </c>
      <c r="E3683" s="76" t="s">
        <v>64</v>
      </c>
      <c r="F3683" s="76" t="s">
        <v>65</v>
      </c>
      <c r="G3683" s="76" t="s">
        <v>2889</v>
      </c>
      <c r="H3683" s="76"/>
      <c r="I3683" s="77" t="s">
        <v>66</v>
      </c>
      <c r="J3683" s="75" t="s">
        <v>67</v>
      </c>
      <c r="K3683" s="75" t="s">
        <v>2890</v>
      </c>
      <c r="L3683" s="75" t="s">
        <v>68</v>
      </c>
      <c r="M3683" s="75" t="s">
        <v>70</v>
      </c>
      <c r="N3683" s="573"/>
      <c r="O3683" s="556"/>
      <c r="P3683" s="573"/>
      <c r="Q3683" s="556"/>
      <c r="R3683" s="582"/>
    </row>
    <row r="3684" ht="35.05" customHeight="1" spans="1:18">
      <c r="A3684" s="556"/>
      <c r="B3684" s="557" t="str">
        <f>C3683</f>
        <v> 12.3.22 </v>
      </c>
      <c r="C3684" s="569" t="s">
        <v>2891</v>
      </c>
      <c r="D3684" s="570" t="s">
        <v>1256</v>
      </c>
      <c r="E3684" s="569" t="s">
        <v>139</v>
      </c>
      <c r="F3684" s="569" t="s">
        <v>1257</v>
      </c>
      <c r="G3684" s="569" t="s">
        <v>4073</v>
      </c>
      <c r="H3684" s="569"/>
      <c r="I3684" s="577" t="s">
        <v>204</v>
      </c>
      <c r="J3684" s="578">
        <v>1</v>
      </c>
      <c r="K3684" s="579"/>
      <c r="L3684" s="579">
        <v>14.8</v>
      </c>
      <c r="M3684" s="579">
        <v>14.8</v>
      </c>
      <c r="N3684" s="573">
        <v>272.19</v>
      </c>
      <c r="O3684" s="556" t="str">
        <f t="shared" ref="O3684:O3689" si="288">IF(N3684=M3684,"OK","DIF")</f>
        <v>DIF</v>
      </c>
      <c r="P3684" s="573"/>
      <c r="Q3684" s="556"/>
      <c r="R3684" s="582"/>
    </row>
    <row r="3685" ht="23.85" customHeight="1" spans="1:18">
      <c r="A3685" s="556" t="str">
        <f>B3685</f>
        <v> 12.3.22 </v>
      </c>
      <c r="B3685" s="557" t="str">
        <f>B3684</f>
        <v> 12.3.22 </v>
      </c>
      <c r="C3685" s="79" t="s">
        <v>2921</v>
      </c>
      <c r="D3685" s="78" t="s">
        <v>3151</v>
      </c>
      <c r="E3685" s="79" t="s">
        <v>139</v>
      </c>
      <c r="F3685" s="79" t="s">
        <v>3152</v>
      </c>
      <c r="G3685" s="79" t="s">
        <v>2928</v>
      </c>
      <c r="H3685" s="79"/>
      <c r="I3685" s="80" t="s">
        <v>2897</v>
      </c>
      <c r="J3685" s="583">
        <v>0.0945</v>
      </c>
      <c r="K3685" s="583">
        <v>0</v>
      </c>
      <c r="L3685" s="92">
        <v>36.82</v>
      </c>
      <c r="M3685" s="92">
        <v>3.47</v>
      </c>
      <c r="N3685" s="573">
        <v>27.3</v>
      </c>
      <c r="O3685" s="556" t="str">
        <f t="shared" si="288"/>
        <v>DIF</v>
      </c>
      <c r="P3685" s="573"/>
      <c r="Q3685" s="556"/>
      <c r="R3685" s="582"/>
    </row>
    <row r="3686" ht="23.85" customHeight="1" spans="1:18">
      <c r="A3686" s="556" t="str">
        <f>B3686</f>
        <v> 12.3.22 </v>
      </c>
      <c r="B3686" s="557" t="str">
        <f>B3685</f>
        <v> 12.3.22 </v>
      </c>
      <c r="C3686" s="79" t="s">
        <v>2921</v>
      </c>
      <c r="D3686" s="78" t="s">
        <v>3153</v>
      </c>
      <c r="E3686" s="79" t="s">
        <v>139</v>
      </c>
      <c r="F3686" s="79" t="s">
        <v>3154</v>
      </c>
      <c r="G3686" s="79" t="s">
        <v>2928</v>
      </c>
      <c r="H3686" s="79"/>
      <c r="I3686" s="80" t="s">
        <v>2897</v>
      </c>
      <c r="J3686" s="583">
        <v>0.0945</v>
      </c>
      <c r="K3686" s="583">
        <v>0</v>
      </c>
      <c r="L3686" s="92">
        <v>30.6</v>
      </c>
      <c r="M3686" s="92">
        <v>2.89</v>
      </c>
      <c r="N3686" s="573">
        <v>33.07</v>
      </c>
      <c r="O3686" s="556" t="str">
        <f t="shared" si="288"/>
        <v>DIF</v>
      </c>
      <c r="P3686" s="573"/>
      <c r="Q3686" s="556"/>
      <c r="R3686" s="582"/>
    </row>
    <row r="3687" ht="35.05" customHeight="1" spans="1:18">
      <c r="A3687" s="556" t="str">
        <f>B3687</f>
        <v> 12.3.22 </v>
      </c>
      <c r="B3687" s="557" t="str">
        <f>B3686</f>
        <v> 12.3.22 </v>
      </c>
      <c r="C3687" s="100" t="s">
        <v>2893</v>
      </c>
      <c r="D3687" s="99" t="s">
        <v>4175</v>
      </c>
      <c r="E3687" s="100" t="s">
        <v>139</v>
      </c>
      <c r="F3687" s="100" t="s">
        <v>4176</v>
      </c>
      <c r="G3687" s="100" t="s">
        <v>2961</v>
      </c>
      <c r="H3687" s="100"/>
      <c r="I3687" s="101" t="s">
        <v>204</v>
      </c>
      <c r="J3687" s="580">
        <v>1.1</v>
      </c>
      <c r="K3687" s="580">
        <v>0</v>
      </c>
      <c r="L3687" s="102">
        <v>7.68</v>
      </c>
      <c r="M3687" s="102">
        <v>8.44</v>
      </c>
      <c r="N3687" s="573">
        <v>0.3</v>
      </c>
      <c r="O3687" s="556" t="str">
        <f t="shared" si="288"/>
        <v>DIF</v>
      </c>
      <c r="P3687" s="573"/>
      <c r="Q3687" s="556"/>
      <c r="R3687" s="582"/>
    </row>
    <row r="3688" ht="25.5" spans="1:18">
      <c r="A3688" s="556" t="str">
        <f>B3688</f>
        <v> 12.3.22 </v>
      </c>
      <c r="B3688" s="557" t="str">
        <f>B3687</f>
        <v> 12.3.22 </v>
      </c>
      <c r="C3688" s="108"/>
      <c r="D3688" s="108"/>
      <c r="E3688" s="108"/>
      <c r="F3688" s="108"/>
      <c r="G3688" s="108"/>
      <c r="H3688" s="108" t="s">
        <v>2898</v>
      </c>
      <c r="I3688" s="581">
        <v>4.46</v>
      </c>
      <c r="J3688" s="108" t="s">
        <v>2899</v>
      </c>
      <c r="K3688" s="581">
        <v>0</v>
      </c>
      <c r="L3688" s="108" t="s">
        <v>2900</v>
      </c>
      <c r="M3688" s="581">
        <v>4.46</v>
      </c>
      <c r="N3688" s="573">
        <v>170.4</v>
      </c>
      <c r="O3688" s="556" t="str">
        <f t="shared" si="288"/>
        <v>DIF</v>
      </c>
      <c r="P3688" s="573"/>
      <c r="Q3688" s="556"/>
      <c r="R3688" s="582"/>
    </row>
    <row r="3689" ht="26.25" spans="1:18">
      <c r="A3689" s="556" t="str">
        <f>B3689</f>
        <v> 12.3.22 </v>
      </c>
      <c r="B3689" s="557" t="str">
        <f>B3688</f>
        <v> 12.3.22 </v>
      </c>
      <c r="C3689" s="108"/>
      <c r="D3689" s="108"/>
      <c r="E3689" s="108"/>
      <c r="F3689" s="108"/>
      <c r="G3689" s="108"/>
      <c r="H3689" s="108" t="s">
        <v>2901</v>
      </c>
      <c r="I3689" s="581">
        <v>3.77</v>
      </c>
      <c r="J3689" s="114"/>
      <c r="K3689" s="114" t="s">
        <v>2902</v>
      </c>
      <c r="L3689" s="108"/>
      <c r="M3689" s="581">
        <v>18.57</v>
      </c>
      <c r="N3689" s="573">
        <v>41.12</v>
      </c>
      <c r="O3689" s="556" t="str">
        <f t="shared" si="288"/>
        <v>DIF</v>
      </c>
      <c r="P3689" s="573"/>
      <c r="Q3689" s="556"/>
      <c r="R3689" s="582"/>
    </row>
    <row r="3690" ht="15" spans="1:18">
      <c r="A3690" s="556"/>
      <c r="B3690" s="557"/>
      <c r="C3690" s="571"/>
      <c r="D3690" s="571"/>
      <c r="E3690" s="571"/>
      <c r="F3690" s="571"/>
      <c r="G3690" s="571"/>
      <c r="H3690" s="571"/>
      <c r="I3690" s="571"/>
      <c r="J3690" s="571"/>
      <c r="K3690" s="571"/>
      <c r="L3690" s="571"/>
      <c r="M3690" s="571"/>
      <c r="N3690" s="573"/>
      <c r="O3690" s="556"/>
      <c r="P3690" s="573"/>
      <c r="Q3690" s="556"/>
      <c r="R3690" s="582"/>
    </row>
    <row r="3691" ht="15" customHeight="1" spans="1:18">
      <c r="A3691" s="556"/>
      <c r="B3691" s="557"/>
      <c r="C3691" s="76" t="s">
        <v>1258</v>
      </c>
      <c r="D3691" s="75" t="s">
        <v>63</v>
      </c>
      <c r="E3691" s="76" t="s">
        <v>64</v>
      </c>
      <c r="F3691" s="76" t="s">
        <v>65</v>
      </c>
      <c r="G3691" s="76" t="s">
        <v>2889</v>
      </c>
      <c r="H3691" s="76"/>
      <c r="I3691" s="77" t="s">
        <v>66</v>
      </c>
      <c r="J3691" s="75" t="s">
        <v>67</v>
      </c>
      <c r="K3691" s="75" t="s">
        <v>2890</v>
      </c>
      <c r="L3691" s="75" t="s">
        <v>68</v>
      </c>
      <c r="M3691" s="75" t="s">
        <v>70</v>
      </c>
      <c r="N3691" s="573"/>
      <c r="O3691" s="556"/>
      <c r="P3691" s="573"/>
      <c r="Q3691" s="556"/>
      <c r="R3691" s="582"/>
    </row>
    <row r="3692" ht="23.85" customHeight="1" spans="1:18">
      <c r="A3692" s="556"/>
      <c r="B3692" s="557" t="str">
        <f>C3691</f>
        <v> 12.3.23 </v>
      </c>
      <c r="C3692" s="569" t="s">
        <v>2891</v>
      </c>
      <c r="D3692" s="570" t="s">
        <v>1259</v>
      </c>
      <c r="E3692" s="569" t="s">
        <v>149</v>
      </c>
      <c r="F3692" s="569" t="s">
        <v>1260</v>
      </c>
      <c r="G3692" s="569" t="s">
        <v>4029</v>
      </c>
      <c r="H3692" s="569"/>
      <c r="I3692" s="577" t="s">
        <v>204</v>
      </c>
      <c r="J3692" s="578">
        <v>1</v>
      </c>
      <c r="K3692" s="579"/>
      <c r="L3692" s="579">
        <v>76.33</v>
      </c>
      <c r="M3692" s="579">
        <v>76.33</v>
      </c>
      <c r="N3692" s="573">
        <v>244.6</v>
      </c>
      <c r="O3692" s="556" t="str">
        <f>IF(N3692=M3692,"OK","DIF")</f>
        <v>DIF</v>
      </c>
      <c r="P3692" s="573"/>
      <c r="Q3692" s="556"/>
      <c r="R3692" s="582"/>
    </row>
    <row r="3693" ht="15" customHeight="1" spans="1:18">
      <c r="A3693" s="556" t="str">
        <f>B3693</f>
        <v> 12.3.23 </v>
      </c>
      <c r="B3693" s="557" t="str">
        <f>B3692</f>
        <v> 12.3.23 </v>
      </c>
      <c r="C3693" s="100" t="s">
        <v>2893</v>
      </c>
      <c r="D3693" s="99" t="s">
        <v>3575</v>
      </c>
      <c r="E3693" s="100" t="s">
        <v>149</v>
      </c>
      <c r="F3693" s="100" t="s">
        <v>3576</v>
      </c>
      <c r="G3693" s="100" t="s">
        <v>2961</v>
      </c>
      <c r="H3693" s="100"/>
      <c r="I3693" s="101" t="s">
        <v>393</v>
      </c>
      <c r="J3693" s="580">
        <v>24.88</v>
      </c>
      <c r="K3693" s="580">
        <v>0</v>
      </c>
      <c r="L3693" s="102">
        <v>0.68</v>
      </c>
      <c r="M3693" s="102">
        <v>16.91</v>
      </c>
      <c r="N3693" s="573">
        <v>19.68</v>
      </c>
      <c r="O3693" s="556" t="str">
        <f>IF(N3693=M3693,"OK","DIF")</f>
        <v>DIF</v>
      </c>
      <c r="P3693" s="573"/>
      <c r="Q3693" s="556"/>
      <c r="R3693" s="582"/>
    </row>
    <row r="3694" ht="15" customHeight="1" spans="1:18">
      <c r="A3694" s="556" t="str">
        <f>B3694</f>
        <v> 12.3.23 </v>
      </c>
      <c r="B3694" s="557" t="str">
        <f>B3693</f>
        <v> 12.3.23 </v>
      </c>
      <c r="C3694" s="100" t="s">
        <v>2893</v>
      </c>
      <c r="D3694" s="99" t="s">
        <v>3283</v>
      </c>
      <c r="E3694" s="100" t="s">
        <v>149</v>
      </c>
      <c r="F3694" s="100" t="s">
        <v>3284</v>
      </c>
      <c r="G3694" s="100" t="s">
        <v>2896</v>
      </c>
      <c r="H3694" s="100"/>
      <c r="I3694" s="101" t="s">
        <v>2897</v>
      </c>
      <c r="J3694" s="580">
        <v>0.33</v>
      </c>
      <c r="K3694" s="580">
        <v>0</v>
      </c>
      <c r="L3694" s="102">
        <v>28.994744</v>
      </c>
      <c r="M3694" s="102">
        <v>9.56</v>
      </c>
      <c r="N3694" s="573">
        <v>198.99</v>
      </c>
      <c r="O3694" s="556" t="str">
        <f>IF(N3694=M3694,"OK","DIF")</f>
        <v>DIF</v>
      </c>
      <c r="P3694" s="573"/>
      <c r="Q3694" s="556"/>
      <c r="R3694" s="582"/>
    </row>
    <row r="3695" ht="15" customHeight="1" spans="1:18">
      <c r="A3695" s="556" t="str">
        <f>B3695</f>
        <v> 12.3.23 </v>
      </c>
      <c r="B3695" s="557" t="str">
        <f>B3694</f>
        <v> 12.3.23 </v>
      </c>
      <c r="C3695" s="100" t="s">
        <v>2893</v>
      </c>
      <c r="D3695" s="99" t="s">
        <v>2974</v>
      </c>
      <c r="E3695" s="100" t="s">
        <v>149</v>
      </c>
      <c r="F3695" s="100" t="s">
        <v>2975</v>
      </c>
      <c r="G3695" s="100" t="s">
        <v>2896</v>
      </c>
      <c r="H3695" s="100"/>
      <c r="I3695" s="101" t="s">
        <v>2897</v>
      </c>
      <c r="J3695" s="580">
        <v>1.32</v>
      </c>
      <c r="K3695" s="580">
        <v>0</v>
      </c>
      <c r="L3695" s="102">
        <v>19.471856</v>
      </c>
      <c r="M3695" s="102">
        <v>25.7</v>
      </c>
      <c r="N3695" s="573">
        <v>0.1</v>
      </c>
      <c r="O3695" s="556" t="str">
        <f>IF(N3695=M3695,"OK","DIF")</f>
        <v>DIF</v>
      </c>
      <c r="P3695" s="573"/>
      <c r="Q3695" s="556"/>
      <c r="R3695" s="582"/>
    </row>
    <row r="3696" ht="15" customHeight="1" spans="1:18">
      <c r="A3696" s="556" t="str">
        <f>B3696</f>
        <v> 12.3.23 </v>
      </c>
      <c r="B3696" s="557" t="str">
        <f>B3695</f>
        <v> 12.3.23 </v>
      </c>
      <c r="C3696" s="100" t="s">
        <v>2893</v>
      </c>
      <c r="D3696" s="99" t="s">
        <v>3569</v>
      </c>
      <c r="E3696" s="100" t="s">
        <v>149</v>
      </c>
      <c r="F3696" s="100" t="s">
        <v>3570</v>
      </c>
      <c r="G3696" s="100" t="s">
        <v>2961</v>
      </c>
      <c r="H3696" s="100"/>
      <c r="I3696" s="101" t="s">
        <v>279</v>
      </c>
      <c r="J3696" s="580">
        <v>0.056</v>
      </c>
      <c r="K3696" s="580">
        <v>0</v>
      </c>
      <c r="L3696" s="102">
        <v>88.64</v>
      </c>
      <c r="M3696" s="102">
        <v>4.96</v>
      </c>
      <c r="N3696" s="573">
        <v>25.83</v>
      </c>
      <c r="O3696" s="556" t="str">
        <f>IF(N3696=M3696,"OK","DIF")</f>
        <v>DIF</v>
      </c>
      <c r="P3696" s="573"/>
      <c r="Q3696" s="556"/>
      <c r="R3696" s="582"/>
    </row>
    <row r="3697" ht="15" customHeight="1" spans="1:18">
      <c r="A3697" s="556"/>
      <c r="B3697" s="557"/>
      <c r="C3697" s="100" t="s">
        <v>2893</v>
      </c>
      <c r="D3697" s="99" t="s">
        <v>4177</v>
      </c>
      <c r="E3697" s="100" t="s">
        <v>149</v>
      </c>
      <c r="F3697" s="100" t="s">
        <v>4178</v>
      </c>
      <c r="G3697" s="100" t="s">
        <v>2961</v>
      </c>
      <c r="H3697" s="100"/>
      <c r="I3697" s="101" t="s">
        <v>204</v>
      </c>
      <c r="J3697" s="580">
        <v>2.4</v>
      </c>
      <c r="K3697" s="580">
        <v>0</v>
      </c>
      <c r="L3697" s="102">
        <v>5.12</v>
      </c>
      <c r="M3697" s="102">
        <v>12.28</v>
      </c>
      <c r="N3697" s="573"/>
      <c r="O3697" s="556"/>
      <c r="P3697" s="573"/>
      <c r="Q3697" s="556"/>
      <c r="R3697" s="582"/>
    </row>
    <row r="3698" ht="15" customHeight="1" spans="1:18">
      <c r="A3698" s="556"/>
      <c r="B3698" s="557"/>
      <c r="C3698" s="100" t="s">
        <v>2893</v>
      </c>
      <c r="D3698" s="99" t="s">
        <v>4083</v>
      </c>
      <c r="E3698" s="100" t="s">
        <v>149</v>
      </c>
      <c r="F3698" s="100" t="s">
        <v>4084</v>
      </c>
      <c r="G3698" s="100" t="s">
        <v>2961</v>
      </c>
      <c r="H3698" s="100"/>
      <c r="I3698" s="101" t="s">
        <v>279</v>
      </c>
      <c r="J3698" s="580">
        <v>0.064</v>
      </c>
      <c r="K3698" s="580">
        <v>0</v>
      </c>
      <c r="L3698" s="102">
        <v>108.18</v>
      </c>
      <c r="M3698" s="102">
        <v>6.92</v>
      </c>
      <c r="N3698" s="573"/>
      <c r="O3698" s="556"/>
      <c r="P3698" s="573"/>
      <c r="Q3698" s="556"/>
      <c r="R3698" s="582"/>
    </row>
    <row r="3699" ht="25.5" spans="1:18">
      <c r="A3699" s="556"/>
      <c r="B3699" s="557" t="str">
        <f>C3698</f>
        <v>Insumo</v>
      </c>
      <c r="C3699" s="108"/>
      <c r="D3699" s="108"/>
      <c r="E3699" s="108"/>
      <c r="F3699" s="108"/>
      <c r="G3699" s="108"/>
      <c r="H3699" s="108" t="s">
        <v>2898</v>
      </c>
      <c r="I3699" s="581">
        <v>35.26</v>
      </c>
      <c r="J3699" s="108" t="s">
        <v>2899</v>
      </c>
      <c r="K3699" s="581">
        <v>0</v>
      </c>
      <c r="L3699" s="108" t="s">
        <v>2900</v>
      </c>
      <c r="M3699" s="581">
        <v>35.26</v>
      </c>
      <c r="N3699" s="573">
        <v>105.08</v>
      </c>
      <c r="O3699" s="556" t="str">
        <f>IF(N3699=M3699,"OK","DIF")</f>
        <v>DIF</v>
      </c>
      <c r="P3699" s="573"/>
      <c r="Q3699" s="556"/>
      <c r="R3699" s="582"/>
    </row>
    <row r="3700" ht="26.25" spans="1:18">
      <c r="A3700" s="556" t="str">
        <f>B3700</f>
        <v>Insumo</v>
      </c>
      <c r="B3700" s="557" t="str">
        <f>B3699</f>
        <v>Insumo</v>
      </c>
      <c r="C3700" s="108"/>
      <c r="D3700" s="108"/>
      <c r="E3700" s="108"/>
      <c r="F3700" s="108"/>
      <c r="G3700" s="108"/>
      <c r="H3700" s="108" t="s">
        <v>2901</v>
      </c>
      <c r="I3700" s="581">
        <v>19.45</v>
      </c>
      <c r="J3700" s="114"/>
      <c r="K3700" s="114" t="s">
        <v>2902</v>
      </c>
      <c r="L3700" s="108"/>
      <c r="M3700" s="581">
        <v>95.78</v>
      </c>
      <c r="N3700" s="573">
        <v>18.24</v>
      </c>
      <c r="O3700" s="556" t="str">
        <f>IF(N3700=M3700,"OK","DIF")</f>
        <v>DIF</v>
      </c>
      <c r="P3700" s="573"/>
      <c r="Q3700" s="556"/>
      <c r="R3700" s="582"/>
    </row>
    <row r="3701" ht="15" spans="1:18">
      <c r="A3701" s="556" t="str">
        <f>B3701</f>
        <v>Insumo</v>
      </c>
      <c r="B3701" s="557" t="str">
        <f>B3700</f>
        <v>Insumo</v>
      </c>
      <c r="C3701" s="571"/>
      <c r="D3701" s="571"/>
      <c r="E3701" s="571"/>
      <c r="F3701" s="571"/>
      <c r="G3701" s="571"/>
      <c r="H3701" s="571"/>
      <c r="I3701" s="571"/>
      <c r="J3701" s="571"/>
      <c r="K3701" s="571"/>
      <c r="L3701" s="571"/>
      <c r="M3701" s="571"/>
      <c r="N3701" s="573">
        <v>6.27</v>
      </c>
      <c r="O3701" s="556" t="str">
        <f>IF(N3701=M3701,"OK","DIF")</f>
        <v>DIF</v>
      </c>
      <c r="P3701" s="573"/>
      <c r="Q3701" s="556"/>
      <c r="R3701" s="582"/>
    </row>
    <row r="3702" ht="15" customHeight="1" spans="1:18">
      <c r="A3702" s="556" t="str">
        <f>B3702</f>
        <v>Insumo</v>
      </c>
      <c r="B3702" s="557" t="str">
        <f>B3701</f>
        <v>Insumo</v>
      </c>
      <c r="C3702" s="76" t="s">
        <v>1261</v>
      </c>
      <c r="D3702" s="75" t="s">
        <v>63</v>
      </c>
      <c r="E3702" s="76" t="s">
        <v>64</v>
      </c>
      <c r="F3702" s="76" t="s">
        <v>65</v>
      </c>
      <c r="G3702" s="76" t="s">
        <v>2889</v>
      </c>
      <c r="H3702" s="76"/>
      <c r="I3702" s="77" t="s">
        <v>66</v>
      </c>
      <c r="J3702" s="75" t="s">
        <v>67</v>
      </c>
      <c r="K3702" s="75" t="s">
        <v>2890</v>
      </c>
      <c r="L3702" s="75" t="s">
        <v>68</v>
      </c>
      <c r="M3702" s="75" t="s">
        <v>70</v>
      </c>
      <c r="N3702" s="573">
        <v>60.11</v>
      </c>
      <c r="O3702" s="556" t="str">
        <f>IF(N3702=M3702,"OK","DIF")</f>
        <v>DIF</v>
      </c>
      <c r="P3702" s="573"/>
      <c r="Q3702" s="556"/>
      <c r="R3702" s="582"/>
    </row>
    <row r="3703" ht="46.25" customHeight="1" spans="1:18">
      <c r="A3703" s="556" t="str">
        <f>B3703</f>
        <v>Insumo</v>
      </c>
      <c r="B3703" s="557" t="str">
        <f>B3702</f>
        <v>Insumo</v>
      </c>
      <c r="C3703" s="569" t="s">
        <v>2891</v>
      </c>
      <c r="D3703" s="570" t="s">
        <v>1262</v>
      </c>
      <c r="E3703" s="569" t="s">
        <v>132</v>
      </c>
      <c r="F3703" s="569" t="s">
        <v>1263</v>
      </c>
      <c r="G3703" s="569" t="s">
        <v>3996</v>
      </c>
      <c r="H3703" s="569"/>
      <c r="I3703" s="577" t="s">
        <v>134</v>
      </c>
      <c r="J3703" s="578">
        <v>1</v>
      </c>
      <c r="K3703" s="579"/>
      <c r="L3703" s="579">
        <v>1081.08</v>
      </c>
      <c r="M3703" s="579">
        <v>1081.08</v>
      </c>
      <c r="N3703" s="573">
        <v>20.46</v>
      </c>
      <c r="O3703" s="556" t="str">
        <f>IF(N3703=M3703,"OK","DIF")</f>
        <v>DIF</v>
      </c>
      <c r="P3703" s="573"/>
      <c r="Q3703" s="556"/>
      <c r="R3703" s="582"/>
    </row>
    <row r="3704" ht="23.85" customHeight="1" spans="1:18">
      <c r="A3704" s="556"/>
      <c r="B3704" s="557"/>
      <c r="C3704" s="79" t="s">
        <v>2921</v>
      </c>
      <c r="D3704" s="78" t="s">
        <v>2954</v>
      </c>
      <c r="E3704" s="79" t="s">
        <v>139</v>
      </c>
      <c r="F3704" s="79" t="s">
        <v>2955</v>
      </c>
      <c r="G3704" s="79" t="s">
        <v>2928</v>
      </c>
      <c r="H3704" s="79"/>
      <c r="I3704" s="80" t="s">
        <v>2897</v>
      </c>
      <c r="J3704" s="583">
        <v>0.808</v>
      </c>
      <c r="K3704" s="583">
        <v>0</v>
      </c>
      <c r="L3704" s="92">
        <v>37.51</v>
      </c>
      <c r="M3704" s="92">
        <v>30.3</v>
      </c>
      <c r="N3704" s="573"/>
      <c r="O3704" s="556"/>
      <c r="P3704" s="573"/>
      <c r="Q3704" s="556"/>
      <c r="R3704" s="582"/>
    </row>
    <row r="3705" ht="23.85" customHeight="1" spans="1:18">
      <c r="A3705" s="556"/>
      <c r="B3705" s="557"/>
      <c r="C3705" s="79" t="s">
        <v>2921</v>
      </c>
      <c r="D3705" s="78" t="s">
        <v>4085</v>
      </c>
      <c r="E3705" s="79" t="s">
        <v>139</v>
      </c>
      <c r="F3705" s="79" t="s">
        <v>4086</v>
      </c>
      <c r="G3705" s="79" t="s">
        <v>2928</v>
      </c>
      <c r="H3705" s="79"/>
      <c r="I3705" s="80" t="s">
        <v>2897</v>
      </c>
      <c r="J3705" s="583">
        <v>0.894</v>
      </c>
      <c r="K3705" s="583">
        <v>0</v>
      </c>
      <c r="L3705" s="92">
        <v>30.13</v>
      </c>
      <c r="M3705" s="92">
        <v>26.93</v>
      </c>
      <c r="N3705" s="573"/>
      <c r="O3705" s="556"/>
      <c r="P3705" s="573"/>
      <c r="Q3705" s="556"/>
      <c r="R3705" s="582"/>
    </row>
    <row r="3706" ht="23.85" customHeight="1" spans="1:18">
      <c r="A3706" s="556"/>
      <c r="B3706" s="557" t="str">
        <f>C3705</f>
        <v>Composição Auxiliar</v>
      </c>
      <c r="C3706" s="79" t="s">
        <v>2921</v>
      </c>
      <c r="D3706" s="78" t="s">
        <v>3313</v>
      </c>
      <c r="E3706" s="79" t="s">
        <v>139</v>
      </c>
      <c r="F3706" s="79" t="s">
        <v>3314</v>
      </c>
      <c r="G3706" s="79" t="s">
        <v>2928</v>
      </c>
      <c r="H3706" s="79"/>
      <c r="I3706" s="80" t="s">
        <v>2897</v>
      </c>
      <c r="J3706" s="583">
        <v>0.086</v>
      </c>
      <c r="K3706" s="583">
        <v>0</v>
      </c>
      <c r="L3706" s="92">
        <v>35.95</v>
      </c>
      <c r="M3706" s="92">
        <v>3.09</v>
      </c>
      <c r="N3706" s="573">
        <v>7.4</v>
      </c>
      <c r="O3706" s="556" t="str">
        <f>IF(N3706=M3706,"OK","DIF")</f>
        <v>DIF</v>
      </c>
      <c r="P3706" s="573"/>
      <c r="Q3706" s="556"/>
      <c r="R3706" s="582"/>
    </row>
    <row r="3707" ht="23.85" customHeight="1" spans="1:18">
      <c r="A3707" s="556" t="str">
        <f>B3707</f>
        <v>Composição Auxiliar</v>
      </c>
      <c r="B3707" s="557" t="str">
        <f>B3706</f>
        <v>Composição Auxiliar</v>
      </c>
      <c r="C3707" s="79" t="s">
        <v>2921</v>
      </c>
      <c r="D3707" s="78" t="s">
        <v>3017</v>
      </c>
      <c r="E3707" s="79" t="s">
        <v>139</v>
      </c>
      <c r="F3707" s="79" t="s">
        <v>3018</v>
      </c>
      <c r="G3707" s="79" t="s">
        <v>2928</v>
      </c>
      <c r="H3707" s="79"/>
      <c r="I3707" s="80" t="s">
        <v>2897</v>
      </c>
      <c r="J3707" s="583">
        <v>3.301</v>
      </c>
      <c r="K3707" s="583">
        <v>0</v>
      </c>
      <c r="L3707" s="92">
        <v>36.96</v>
      </c>
      <c r="M3707" s="92">
        <v>122</v>
      </c>
      <c r="N3707" s="573">
        <v>5.13</v>
      </c>
      <c r="O3707" s="556" t="str">
        <f>IF(N3707=M3707,"OK","DIF")</f>
        <v>DIF</v>
      </c>
      <c r="P3707" s="573"/>
      <c r="Q3707" s="556"/>
      <c r="R3707" s="582"/>
    </row>
    <row r="3708" ht="23.85" customHeight="1" spans="1:18">
      <c r="A3708" s="556" t="str">
        <f>B3708</f>
        <v>Composição Auxiliar</v>
      </c>
      <c r="B3708" s="557" t="str">
        <f>B3707</f>
        <v>Composição Auxiliar</v>
      </c>
      <c r="C3708" s="79" t="s">
        <v>2921</v>
      </c>
      <c r="D3708" s="78" t="s">
        <v>2952</v>
      </c>
      <c r="E3708" s="79" t="s">
        <v>139</v>
      </c>
      <c r="F3708" s="79" t="s">
        <v>2953</v>
      </c>
      <c r="G3708" s="79" t="s">
        <v>2928</v>
      </c>
      <c r="H3708" s="79"/>
      <c r="I3708" s="80" t="s">
        <v>2897</v>
      </c>
      <c r="J3708" s="583">
        <v>9.164</v>
      </c>
      <c r="K3708" s="583">
        <v>0</v>
      </c>
      <c r="L3708" s="92">
        <v>29.15</v>
      </c>
      <c r="M3708" s="92">
        <v>267.13</v>
      </c>
      <c r="N3708" s="573">
        <v>1.29</v>
      </c>
      <c r="O3708" s="556" t="str">
        <f>IF(N3708=M3708,"OK","DIF")</f>
        <v>DIF</v>
      </c>
      <c r="P3708" s="573"/>
      <c r="Q3708" s="556"/>
      <c r="R3708" s="582"/>
    </row>
    <row r="3709" ht="15" customHeight="1" spans="1:18">
      <c r="A3709" s="556" t="str">
        <f>B3709</f>
        <v>Composição Auxiliar</v>
      </c>
      <c r="B3709" s="557" t="str">
        <f>B3708</f>
        <v>Composição Auxiliar</v>
      </c>
      <c r="C3709" s="100" t="s">
        <v>2893</v>
      </c>
      <c r="D3709" s="99" t="s">
        <v>4095</v>
      </c>
      <c r="E3709" s="100" t="s">
        <v>149</v>
      </c>
      <c r="F3709" s="100" t="s">
        <v>4096</v>
      </c>
      <c r="G3709" s="100" t="s">
        <v>2961</v>
      </c>
      <c r="H3709" s="100"/>
      <c r="I3709" s="101" t="s">
        <v>393</v>
      </c>
      <c r="J3709" s="580">
        <v>2.727</v>
      </c>
      <c r="K3709" s="580">
        <v>0</v>
      </c>
      <c r="L3709" s="102">
        <v>1.53</v>
      </c>
      <c r="M3709" s="102">
        <v>4.17</v>
      </c>
      <c r="N3709" s="573">
        <v>0.98</v>
      </c>
      <c r="O3709" s="556" t="str">
        <f>IF(N3709=M3709,"OK","DIF")</f>
        <v>DIF</v>
      </c>
      <c r="P3709" s="573"/>
      <c r="Q3709" s="556"/>
      <c r="R3709" s="582"/>
    </row>
    <row r="3710" ht="23.85" customHeight="1" spans="1:18">
      <c r="A3710" s="556"/>
      <c r="B3710" s="557"/>
      <c r="C3710" s="100" t="s">
        <v>2893</v>
      </c>
      <c r="D3710" s="99" t="s">
        <v>4117</v>
      </c>
      <c r="E3710" s="100" t="s">
        <v>77</v>
      </c>
      <c r="F3710" s="100" t="s">
        <v>4118</v>
      </c>
      <c r="G3710" s="100" t="s">
        <v>2961</v>
      </c>
      <c r="H3710" s="100"/>
      <c r="I3710" s="101" t="s">
        <v>134</v>
      </c>
      <c r="J3710" s="580">
        <v>1</v>
      </c>
      <c r="K3710" s="580">
        <v>0</v>
      </c>
      <c r="L3710" s="102">
        <v>514.8</v>
      </c>
      <c r="M3710" s="102">
        <v>514.8</v>
      </c>
      <c r="N3710" s="573"/>
      <c r="O3710" s="556"/>
      <c r="P3710" s="573"/>
      <c r="Q3710" s="556"/>
      <c r="R3710" s="582"/>
    </row>
    <row r="3711" ht="15" customHeight="1" spans="1:18">
      <c r="A3711" s="556"/>
      <c r="B3711" s="557"/>
      <c r="C3711" s="100" t="s">
        <v>2893</v>
      </c>
      <c r="D3711" s="99" t="s">
        <v>4089</v>
      </c>
      <c r="E3711" s="100" t="s">
        <v>149</v>
      </c>
      <c r="F3711" s="100" t="s">
        <v>4090</v>
      </c>
      <c r="G3711" s="100" t="s">
        <v>2961</v>
      </c>
      <c r="H3711" s="100"/>
      <c r="I3711" s="101" t="s">
        <v>3084</v>
      </c>
      <c r="J3711" s="580">
        <v>0.764</v>
      </c>
      <c r="K3711" s="580">
        <v>0</v>
      </c>
      <c r="L3711" s="102">
        <v>4.77</v>
      </c>
      <c r="M3711" s="102">
        <v>3.64</v>
      </c>
      <c r="N3711" s="573"/>
      <c r="O3711" s="556"/>
      <c r="P3711" s="573"/>
      <c r="Q3711" s="556"/>
      <c r="R3711" s="582"/>
    </row>
    <row r="3712" ht="15" customHeight="1" spans="1:18">
      <c r="A3712" s="556"/>
      <c r="B3712" s="557" t="str">
        <f>C3711</f>
        <v>Insumo</v>
      </c>
      <c r="C3712" s="100" t="s">
        <v>2893</v>
      </c>
      <c r="D3712" s="99" t="s">
        <v>4099</v>
      </c>
      <c r="E3712" s="100" t="s">
        <v>149</v>
      </c>
      <c r="F3712" s="100" t="s">
        <v>4100</v>
      </c>
      <c r="G3712" s="100" t="s">
        <v>2961</v>
      </c>
      <c r="H3712" s="100"/>
      <c r="I3712" s="101" t="s">
        <v>279</v>
      </c>
      <c r="J3712" s="580">
        <v>0.023</v>
      </c>
      <c r="K3712" s="580">
        <v>0</v>
      </c>
      <c r="L3712" s="102">
        <v>102.18</v>
      </c>
      <c r="M3712" s="102">
        <v>2.35</v>
      </c>
      <c r="N3712" s="573">
        <v>24.06</v>
      </c>
      <c r="O3712" s="556" t="str">
        <f>IF(N3712=M3712,"OK","DIF")</f>
        <v>DIF</v>
      </c>
      <c r="P3712" s="573"/>
      <c r="Q3712" s="556"/>
      <c r="R3712" s="582"/>
    </row>
    <row r="3713" ht="15" customHeight="1" spans="1:18">
      <c r="A3713" s="556" t="str">
        <f>B3713</f>
        <v>Insumo</v>
      </c>
      <c r="B3713" s="557" t="str">
        <f>B3712</f>
        <v>Insumo</v>
      </c>
      <c r="C3713" s="100" t="s">
        <v>2893</v>
      </c>
      <c r="D3713" s="99" t="s">
        <v>3011</v>
      </c>
      <c r="E3713" s="100" t="s">
        <v>139</v>
      </c>
      <c r="F3713" s="100" t="s">
        <v>3012</v>
      </c>
      <c r="G3713" s="100" t="s">
        <v>2961</v>
      </c>
      <c r="H3713" s="100"/>
      <c r="I3713" s="101" t="s">
        <v>393</v>
      </c>
      <c r="J3713" s="580">
        <v>0.093</v>
      </c>
      <c r="K3713" s="580">
        <v>0</v>
      </c>
      <c r="L3713" s="102">
        <v>18.07</v>
      </c>
      <c r="M3713" s="102">
        <v>1.68</v>
      </c>
      <c r="N3713" s="573">
        <v>9.32</v>
      </c>
      <c r="O3713" s="556" t="str">
        <f>IF(N3713=M3713,"OK","DIF")</f>
        <v>DIF</v>
      </c>
      <c r="P3713" s="573"/>
      <c r="Q3713" s="556"/>
      <c r="R3713" s="582"/>
    </row>
    <row r="3714" ht="23.85" customHeight="1" spans="1:18">
      <c r="A3714" s="556" t="str">
        <f>B3714</f>
        <v>Insumo</v>
      </c>
      <c r="B3714" s="557" t="str">
        <f>B3713</f>
        <v>Insumo</v>
      </c>
      <c r="C3714" s="100" t="s">
        <v>2893</v>
      </c>
      <c r="D3714" s="99" t="s">
        <v>3338</v>
      </c>
      <c r="E3714" s="100" t="s">
        <v>139</v>
      </c>
      <c r="F3714" s="100" t="s">
        <v>3339</v>
      </c>
      <c r="G3714" s="100" t="s">
        <v>2961</v>
      </c>
      <c r="H3714" s="100"/>
      <c r="I3714" s="101" t="s">
        <v>204</v>
      </c>
      <c r="J3714" s="580">
        <v>0.622</v>
      </c>
      <c r="K3714" s="580">
        <v>0</v>
      </c>
      <c r="L3714" s="102">
        <v>14.58</v>
      </c>
      <c r="M3714" s="102">
        <v>9.06</v>
      </c>
      <c r="N3714" s="573">
        <v>7.1</v>
      </c>
      <c r="O3714" s="556" t="str">
        <f>IF(N3714=M3714,"OK","DIF")</f>
        <v>DIF</v>
      </c>
      <c r="P3714" s="573"/>
      <c r="Q3714" s="556"/>
      <c r="R3714" s="582"/>
    </row>
    <row r="3715" ht="15" customHeight="1" spans="1:18">
      <c r="A3715" s="556" t="str">
        <f>B3715</f>
        <v>Insumo</v>
      </c>
      <c r="B3715" s="557" t="str">
        <f>B3714</f>
        <v>Insumo</v>
      </c>
      <c r="C3715" s="100" t="s">
        <v>2893</v>
      </c>
      <c r="D3715" s="99" t="s">
        <v>4091</v>
      </c>
      <c r="E3715" s="100" t="s">
        <v>149</v>
      </c>
      <c r="F3715" s="100" t="s">
        <v>4092</v>
      </c>
      <c r="G3715" s="100" t="s">
        <v>2961</v>
      </c>
      <c r="H3715" s="100"/>
      <c r="I3715" s="101" t="s">
        <v>279</v>
      </c>
      <c r="J3715" s="580">
        <v>0.086</v>
      </c>
      <c r="K3715" s="580">
        <v>0</v>
      </c>
      <c r="L3715" s="102">
        <v>87.5</v>
      </c>
      <c r="M3715" s="102">
        <v>7.52</v>
      </c>
      <c r="N3715" s="573">
        <v>7.64</v>
      </c>
      <c r="O3715" s="556" t="str">
        <f>IF(N3715=M3715,"OK","DIF")</f>
        <v>DIF</v>
      </c>
      <c r="P3715" s="573"/>
      <c r="Q3715" s="556"/>
      <c r="R3715" s="582"/>
    </row>
    <row r="3716" ht="23.85" customHeight="1" spans="1:18">
      <c r="A3716" s="556"/>
      <c r="B3716" s="557"/>
      <c r="C3716" s="100" t="s">
        <v>2893</v>
      </c>
      <c r="D3716" s="99" t="s">
        <v>3342</v>
      </c>
      <c r="E3716" s="100" t="s">
        <v>139</v>
      </c>
      <c r="F3716" s="100" t="s">
        <v>3343</v>
      </c>
      <c r="G3716" s="100" t="s">
        <v>2961</v>
      </c>
      <c r="H3716" s="100"/>
      <c r="I3716" s="101" t="s">
        <v>3084</v>
      </c>
      <c r="J3716" s="580">
        <v>0.249</v>
      </c>
      <c r="K3716" s="580">
        <v>0</v>
      </c>
      <c r="L3716" s="102">
        <v>7.97</v>
      </c>
      <c r="M3716" s="102">
        <v>1.98</v>
      </c>
      <c r="N3716" s="573"/>
      <c r="O3716" s="556"/>
      <c r="P3716" s="573"/>
      <c r="Q3716" s="556"/>
      <c r="R3716" s="582"/>
    </row>
    <row r="3717" ht="15" customHeight="1" spans="1:18">
      <c r="A3717" s="556"/>
      <c r="B3717" s="557"/>
      <c r="C3717" s="100" t="s">
        <v>2893</v>
      </c>
      <c r="D3717" s="99" t="s">
        <v>4103</v>
      </c>
      <c r="E3717" s="100" t="s">
        <v>149</v>
      </c>
      <c r="F3717" s="100" t="s">
        <v>4104</v>
      </c>
      <c r="G3717" s="100" t="s">
        <v>2961</v>
      </c>
      <c r="H3717" s="100"/>
      <c r="I3717" s="101" t="s">
        <v>279</v>
      </c>
      <c r="J3717" s="580">
        <v>0.011</v>
      </c>
      <c r="K3717" s="580">
        <v>0</v>
      </c>
      <c r="L3717" s="102">
        <v>108.18</v>
      </c>
      <c r="M3717" s="102">
        <v>1.18</v>
      </c>
      <c r="N3717" s="573"/>
      <c r="O3717" s="556"/>
      <c r="P3717" s="573"/>
      <c r="Q3717" s="556"/>
      <c r="R3717" s="582"/>
    </row>
    <row r="3718" ht="23.85" customHeight="1" spans="1:18">
      <c r="A3718" s="556"/>
      <c r="B3718" s="557" t="str">
        <f>C3717</f>
        <v>Insumo</v>
      </c>
      <c r="C3718" s="100" t="s">
        <v>2893</v>
      </c>
      <c r="D3718" s="99" t="s">
        <v>4101</v>
      </c>
      <c r="E3718" s="100" t="s">
        <v>139</v>
      </c>
      <c r="F3718" s="100" t="s">
        <v>4102</v>
      </c>
      <c r="G3718" s="100" t="s">
        <v>2961</v>
      </c>
      <c r="H3718" s="100"/>
      <c r="I3718" s="101" t="s">
        <v>134</v>
      </c>
      <c r="J3718" s="580">
        <v>21.858</v>
      </c>
      <c r="K3718" s="580">
        <v>0</v>
      </c>
      <c r="L3718" s="102">
        <v>2.65</v>
      </c>
      <c r="M3718" s="102">
        <v>57.92</v>
      </c>
      <c r="N3718" s="573">
        <v>31.79</v>
      </c>
      <c r="O3718" s="556" t="str">
        <f>IF(N3718=M3718,"OK","DIF")</f>
        <v>DIF</v>
      </c>
      <c r="P3718" s="573"/>
      <c r="Q3718" s="556"/>
      <c r="R3718" s="582"/>
    </row>
    <row r="3719" ht="15" customHeight="1" spans="1:18">
      <c r="A3719" s="556" t="str">
        <f>B3719</f>
        <v>Insumo</v>
      </c>
      <c r="B3719" s="557" t="str">
        <f>B3718</f>
        <v>Insumo</v>
      </c>
      <c r="C3719" s="100" t="s">
        <v>2893</v>
      </c>
      <c r="D3719" s="99" t="s">
        <v>4097</v>
      </c>
      <c r="E3719" s="100" t="s">
        <v>139</v>
      </c>
      <c r="F3719" s="100" t="s">
        <v>4098</v>
      </c>
      <c r="G3719" s="100" t="s">
        <v>2961</v>
      </c>
      <c r="H3719" s="100"/>
      <c r="I3719" s="101" t="s">
        <v>393</v>
      </c>
      <c r="J3719" s="580">
        <v>24.067</v>
      </c>
      <c r="K3719" s="580">
        <v>0</v>
      </c>
      <c r="L3719" s="102">
        <v>0.57</v>
      </c>
      <c r="M3719" s="102">
        <v>13.71</v>
      </c>
      <c r="N3719" s="573">
        <v>11.6</v>
      </c>
      <c r="O3719" s="556" t="str">
        <f>IF(N3719=M3719,"OK","DIF")</f>
        <v>DIF</v>
      </c>
      <c r="P3719" s="573"/>
      <c r="Q3719" s="556"/>
      <c r="R3719" s="582"/>
    </row>
    <row r="3720" ht="23.85" customHeight="1" spans="1:18">
      <c r="A3720" s="556" t="str">
        <f>B3720</f>
        <v>Insumo</v>
      </c>
      <c r="B3720" s="557" t="str">
        <f>B3719</f>
        <v>Insumo</v>
      </c>
      <c r="C3720" s="100" t="s">
        <v>2893</v>
      </c>
      <c r="D3720" s="99" t="s">
        <v>3318</v>
      </c>
      <c r="E3720" s="100" t="s">
        <v>139</v>
      </c>
      <c r="F3720" s="100" t="s">
        <v>3319</v>
      </c>
      <c r="G3720" s="100" t="s">
        <v>2961</v>
      </c>
      <c r="H3720" s="100"/>
      <c r="I3720" s="101" t="s">
        <v>393</v>
      </c>
      <c r="J3720" s="580">
        <v>0.021</v>
      </c>
      <c r="K3720" s="580">
        <v>0</v>
      </c>
      <c r="L3720" s="102">
        <v>22</v>
      </c>
      <c r="M3720" s="102">
        <v>0.46</v>
      </c>
      <c r="N3720" s="573">
        <v>14.05</v>
      </c>
      <c r="O3720" s="556" t="str">
        <f>IF(N3720=M3720,"OK","DIF")</f>
        <v>DIF</v>
      </c>
      <c r="P3720" s="573"/>
      <c r="Q3720" s="556"/>
      <c r="R3720" s="582"/>
    </row>
    <row r="3721" ht="23.85" customHeight="1" spans="1:18">
      <c r="A3721" s="556" t="str">
        <f>B3721</f>
        <v>Insumo</v>
      </c>
      <c r="B3721" s="557" t="str">
        <f>B3720</f>
        <v>Insumo</v>
      </c>
      <c r="C3721" s="100" t="s">
        <v>2893</v>
      </c>
      <c r="D3721" s="99" t="s">
        <v>2964</v>
      </c>
      <c r="E3721" s="100" t="s">
        <v>139</v>
      </c>
      <c r="F3721" s="100" t="s">
        <v>2965</v>
      </c>
      <c r="G3721" s="100" t="s">
        <v>2961</v>
      </c>
      <c r="H3721" s="100"/>
      <c r="I3721" s="101" t="s">
        <v>204</v>
      </c>
      <c r="J3721" s="580">
        <v>0.311</v>
      </c>
      <c r="K3721" s="580">
        <v>0</v>
      </c>
      <c r="L3721" s="102">
        <v>4.46</v>
      </c>
      <c r="M3721" s="102">
        <v>1.38</v>
      </c>
      <c r="N3721" s="573">
        <v>6.14</v>
      </c>
      <c r="O3721" s="556" t="str">
        <f>IF(N3721=M3721,"OK","DIF")</f>
        <v>DIF</v>
      </c>
      <c r="P3721" s="573"/>
      <c r="Q3721" s="556"/>
      <c r="R3721" s="582"/>
    </row>
    <row r="3722" ht="15" customHeight="1" spans="1:18">
      <c r="A3722" s="556"/>
      <c r="B3722" s="557"/>
      <c r="C3722" s="100" t="s">
        <v>2893</v>
      </c>
      <c r="D3722" s="99" t="s">
        <v>4087</v>
      </c>
      <c r="E3722" s="100" t="s">
        <v>149</v>
      </c>
      <c r="F3722" s="100" t="s">
        <v>4088</v>
      </c>
      <c r="G3722" s="100" t="s">
        <v>2961</v>
      </c>
      <c r="H3722" s="100"/>
      <c r="I3722" s="101" t="s">
        <v>279</v>
      </c>
      <c r="J3722" s="580">
        <v>0.011</v>
      </c>
      <c r="K3722" s="580">
        <v>0</v>
      </c>
      <c r="L3722" s="102">
        <v>108.75</v>
      </c>
      <c r="M3722" s="102">
        <v>1.19</v>
      </c>
      <c r="N3722" s="573"/>
      <c r="O3722" s="556"/>
      <c r="P3722" s="573"/>
      <c r="Q3722" s="556"/>
      <c r="R3722" s="582"/>
    </row>
    <row r="3723" ht="15" customHeight="1" spans="1:18">
      <c r="A3723" s="556"/>
      <c r="B3723" s="557"/>
      <c r="C3723" s="100" t="s">
        <v>2893</v>
      </c>
      <c r="D3723" s="99" t="s">
        <v>4093</v>
      </c>
      <c r="E3723" s="100" t="s">
        <v>139</v>
      </c>
      <c r="F3723" s="100" t="s">
        <v>4094</v>
      </c>
      <c r="G3723" s="100" t="s">
        <v>2961</v>
      </c>
      <c r="H3723" s="100"/>
      <c r="I3723" s="101" t="s">
        <v>393</v>
      </c>
      <c r="J3723" s="580">
        <v>1.176</v>
      </c>
      <c r="K3723" s="580">
        <v>0</v>
      </c>
      <c r="L3723" s="102">
        <v>9.01</v>
      </c>
      <c r="M3723" s="102">
        <v>10.59</v>
      </c>
      <c r="N3723" s="573"/>
      <c r="O3723" s="556"/>
      <c r="P3723" s="573"/>
      <c r="Q3723" s="556"/>
      <c r="R3723" s="582"/>
    </row>
    <row r="3724" ht="25.5" spans="1:18">
      <c r="A3724" s="556"/>
      <c r="B3724" s="557" t="str">
        <f>C3723</f>
        <v>Insumo</v>
      </c>
      <c r="C3724" s="108"/>
      <c r="D3724" s="108"/>
      <c r="E3724" s="108"/>
      <c r="F3724" s="108"/>
      <c r="G3724" s="108"/>
      <c r="H3724" s="108" t="s">
        <v>2898</v>
      </c>
      <c r="I3724" s="581">
        <v>307.62</v>
      </c>
      <c r="J3724" s="108" t="s">
        <v>2899</v>
      </c>
      <c r="K3724" s="581">
        <v>0</v>
      </c>
      <c r="L3724" s="108" t="s">
        <v>2900</v>
      </c>
      <c r="M3724" s="581">
        <v>307.62</v>
      </c>
      <c r="N3724" s="573">
        <v>6.24</v>
      </c>
      <c r="O3724" s="556" t="str">
        <f>IF(N3724=M3724,"OK","DIF")</f>
        <v>DIF</v>
      </c>
      <c r="P3724" s="573"/>
      <c r="Q3724" s="556"/>
      <c r="R3724" s="582"/>
    </row>
    <row r="3725" ht="26.25" spans="1:18">
      <c r="A3725" s="556" t="str">
        <f>B3725</f>
        <v>Insumo</v>
      </c>
      <c r="B3725" s="557" t="str">
        <f>B3724</f>
        <v>Insumo</v>
      </c>
      <c r="C3725" s="108"/>
      <c r="D3725" s="108"/>
      <c r="E3725" s="108"/>
      <c r="F3725" s="108"/>
      <c r="G3725" s="108"/>
      <c r="H3725" s="108" t="s">
        <v>2901</v>
      </c>
      <c r="I3725" s="581">
        <v>275.56</v>
      </c>
      <c r="J3725" s="114"/>
      <c r="K3725" s="114" t="s">
        <v>2902</v>
      </c>
      <c r="L3725" s="108"/>
      <c r="M3725" s="581">
        <v>1356.64</v>
      </c>
      <c r="N3725" s="573">
        <v>0.81</v>
      </c>
      <c r="O3725" s="556" t="str">
        <f>IF(N3725=M3725,"OK","DIF")</f>
        <v>DIF</v>
      </c>
      <c r="P3725" s="573"/>
      <c r="Q3725" s="556"/>
      <c r="R3725" s="582"/>
    </row>
    <row r="3726" ht="15" spans="1:18">
      <c r="A3726" s="556" t="str">
        <f>B3726</f>
        <v>Insumo</v>
      </c>
      <c r="B3726" s="557" t="str">
        <f>B3725</f>
        <v>Insumo</v>
      </c>
      <c r="C3726" s="571"/>
      <c r="D3726" s="571"/>
      <c r="E3726" s="571"/>
      <c r="F3726" s="571"/>
      <c r="G3726" s="571"/>
      <c r="H3726" s="571"/>
      <c r="I3726" s="571"/>
      <c r="J3726" s="571"/>
      <c r="K3726" s="571"/>
      <c r="L3726" s="571"/>
      <c r="M3726" s="571"/>
      <c r="N3726" s="573">
        <v>1.98</v>
      </c>
      <c r="O3726" s="556" t="str">
        <f>IF(N3726=M3726,"OK","DIF")</f>
        <v>DIF</v>
      </c>
      <c r="P3726" s="573"/>
      <c r="Q3726" s="556"/>
      <c r="R3726" s="582"/>
    </row>
    <row r="3727" ht="15" customHeight="1" spans="1:18">
      <c r="A3727" s="556" t="str">
        <f>B3727</f>
        <v>Insumo</v>
      </c>
      <c r="B3727" s="557" t="str">
        <f>B3726</f>
        <v>Insumo</v>
      </c>
      <c r="C3727" s="76" t="s">
        <v>1264</v>
      </c>
      <c r="D3727" s="75" t="s">
        <v>63</v>
      </c>
      <c r="E3727" s="76" t="s">
        <v>64</v>
      </c>
      <c r="F3727" s="76" t="s">
        <v>65</v>
      </c>
      <c r="G3727" s="76" t="s">
        <v>2889</v>
      </c>
      <c r="H3727" s="76"/>
      <c r="I3727" s="77" t="s">
        <v>66</v>
      </c>
      <c r="J3727" s="75" t="s">
        <v>67</v>
      </c>
      <c r="K3727" s="75" t="s">
        <v>2890</v>
      </c>
      <c r="L3727" s="75" t="s">
        <v>68</v>
      </c>
      <c r="M3727" s="75" t="s">
        <v>70</v>
      </c>
      <c r="N3727" s="573">
        <v>3.45</v>
      </c>
      <c r="O3727" s="556" t="str">
        <f>IF(N3727=M3727,"OK","DIF")</f>
        <v>DIF</v>
      </c>
      <c r="P3727" s="573"/>
      <c r="Q3727" s="556"/>
      <c r="R3727" s="582"/>
    </row>
    <row r="3728" ht="23.85" customHeight="1" spans="1:18">
      <c r="A3728" s="556"/>
      <c r="B3728" s="557"/>
      <c r="C3728" s="569" t="s">
        <v>2891</v>
      </c>
      <c r="D3728" s="570" t="s">
        <v>1265</v>
      </c>
      <c r="E3728" s="569" t="s">
        <v>149</v>
      </c>
      <c r="F3728" s="569" t="s">
        <v>4179</v>
      </c>
      <c r="G3728" s="569" t="s">
        <v>3953</v>
      </c>
      <c r="H3728" s="569"/>
      <c r="I3728" s="577" t="s">
        <v>204</v>
      </c>
      <c r="J3728" s="578">
        <v>1</v>
      </c>
      <c r="K3728" s="579"/>
      <c r="L3728" s="579">
        <v>3.84</v>
      </c>
      <c r="M3728" s="579">
        <v>3.84</v>
      </c>
      <c r="N3728" s="573"/>
      <c r="O3728" s="556"/>
      <c r="P3728" s="573"/>
      <c r="Q3728" s="556"/>
      <c r="R3728" s="582"/>
    </row>
    <row r="3729" ht="15" customHeight="1" spans="1:18">
      <c r="A3729" s="556"/>
      <c r="B3729" s="557"/>
      <c r="C3729" s="100" t="s">
        <v>2893</v>
      </c>
      <c r="D3729" s="99" t="s">
        <v>2976</v>
      </c>
      <c r="E3729" s="100" t="s">
        <v>149</v>
      </c>
      <c r="F3729" s="100" t="s">
        <v>2977</v>
      </c>
      <c r="G3729" s="100" t="s">
        <v>2896</v>
      </c>
      <c r="H3729" s="100"/>
      <c r="I3729" s="101" t="s">
        <v>2897</v>
      </c>
      <c r="J3729" s="580">
        <v>0.05</v>
      </c>
      <c r="K3729" s="580">
        <v>0</v>
      </c>
      <c r="L3729" s="102">
        <v>20.515752</v>
      </c>
      <c r="M3729" s="102">
        <v>1.02</v>
      </c>
      <c r="N3729" s="573"/>
      <c r="O3729" s="556"/>
      <c r="P3729" s="573"/>
      <c r="Q3729" s="556"/>
      <c r="R3729" s="582"/>
    </row>
    <row r="3730" ht="15" customHeight="1" spans="1:18">
      <c r="A3730" s="556"/>
      <c r="B3730" s="557"/>
      <c r="C3730" s="100" t="s">
        <v>2893</v>
      </c>
      <c r="D3730" s="99" t="s">
        <v>2986</v>
      </c>
      <c r="E3730" s="100" t="s">
        <v>149</v>
      </c>
      <c r="F3730" s="100" t="s">
        <v>2987</v>
      </c>
      <c r="G3730" s="100" t="s">
        <v>2896</v>
      </c>
      <c r="H3730" s="100"/>
      <c r="I3730" s="101" t="s">
        <v>2897</v>
      </c>
      <c r="J3730" s="580">
        <v>0.05</v>
      </c>
      <c r="K3730" s="580">
        <v>0</v>
      </c>
      <c r="L3730" s="102">
        <v>26.928256</v>
      </c>
      <c r="M3730" s="102">
        <v>1.34</v>
      </c>
      <c r="N3730" s="573"/>
      <c r="O3730" s="556"/>
      <c r="P3730" s="573"/>
      <c r="Q3730" s="556"/>
      <c r="R3730" s="582"/>
    </row>
    <row r="3731" ht="15" customHeight="1" spans="1:18">
      <c r="A3731" s="556"/>
      <c r="B3731" s="557" t="str">
        <f>C3730</f>
        <v>Insumo</v>
      </c>
      <c r="C3731" s="100" t="s">
        <v>2893</v>
      </c>
      <c r="D3731" s="99" t="s">
        <v>4180</v>
      </c>
      <c r="E3731" s="100" t="s">
        <v>149</v>
      </c>
      <c r="F3731" s="100" t="s">
        <v>4181</v>
      </c>
      <c r="G3731" s="100" t="s">
        <v>2961</v>
      </c>
      <c r="H3731" s="100"/>
      <c r="I3731" s="101" t="s">
        <v>204</v>
      </c>
      <c r="J3731" s="580">
        <v>1</v>
      </c>
      <c r="K3731" s="580">
        <v>0</v>
      </c>
      <c r="L3731" s="102">
        <v>1.48</v>
      </c>
      <c r="M3731" s="102">
        <v>1.48</v>
      </c>
      <c r="N3731" s="573">
        <v>148.52</v>
      </c>
      <c r="O3731" s="556" t="str">
        <f>IF(N3731=M3731,"OK","DIF")</f>
        <v>DIF</v>
      </c>
      <c r="P3731" s="573"/>
      <c r="Q3731" s="556"/>
      <c r="R3731" s="582"/>
    </row>
    <row r="3732" ht="25.5" spans="1:18">
      <c r="A3732" s="556" t="str">
        <f>B3732</f>
        <v>Insumo</v>
      </c>
      <c r="B3732" s="557" t="str">
        <f>B3731</f>
        <v>Insumo</v>
      </c>
      <c r="C3732" s="108"/>
      <c r="D3732" s="108"/>
      <c r="E3732" s="108"/>
      <c r="F3732" s="108"/>
      <c r="G3732" s="108"/>
      <c r="H3732" s="108" t="s">
        <v>2898</v>
      </c>
      <c r="I3732" s="581">
        <v>2.36</v>
      </c>
      <c r="J3732" s="108" t="s">
        <v>2899</v>
      </c>
      <c r="K3732" s="581">
        <v>0</v>
      </c>
      <c r="L3732" s="108" t="s">
        <v>2900</v>
      </c>
      <c r="M3732" s="581">
        <v>2.36</v>
      </c>
      <c r="N3732" s="573">
        <v>4.32</v>
      </c>
      <c r="O3732" s="556" t="str">
        <f>IF(N3732=M3732,"OK","DIF")</f>
        <v>DIF</v>
      </c>
      <c r="P3732" s="573" t="s">
        <v>3521</v>
      </c>
      <c r="Q3732" s="556"/>
      <c r="R3732" s="582"/>
    </row>
    <row r="3733" ht="26.25" spans="1:18">
      <c r="A3733" s="556" t="str">
        <f>B3733</f>
        <v>Insumo</v>
      </c>
      <c r="B3733" s="557" t="str">
        <f>B3732</f>
        <v>Insumo</v>
      </c>
      <c r="C3733" s="108"/>
      <c r="D3733" s="108"/>
      <c r="E3733" s="108"/>
      <c r="F3733" s="108"/>
      <c r="G3733" s="108"/>
      <c r="H3733" s="108" t="s">
        <v>2901</v>
      </c>
      <c r="I3733" s="581">
        <v>0.97</v>
      </c>
      <c r="J3733" s="114"/>
      <c r="K3733" s="114" t="s">
        <v>2902</v>
      </c>
      <c r="L3733" s="108"/>
      <c r="M3733" s="581">
        <v>4.81</v>
      </c>
      <c r="N3733" s="573">
        <v>144.2</v>
      </c>
      <c r="O3733" s="556" t="str">
        <f>IF(N3733=M3733,"OK","DIF")</f>
        <v>DIF</v>
      </c>
      <c r="P3733" s="58"/>
      <c r="Q3733" s="556"/>
      <c r="R3733" s="582"/>
    </row>
    <row r="3734" ht="15" spans="1:18">
      <c r="A3734" s="556"/>
      <c r="B3734" s="557"/>
      <c r="C3734" s="571"/>
      <c r="D3734" s="571"/>
      <c r="E3734" s="571"/>
      <c r="F3734" s="571"/>
      <c r="G3734" s="571"/>
      <c r="H3734" s="571"/>
      <c r="I3734" s="571"/>
      <c r="J3734" s="571"/>
      <c r="K3734" s="571"/>
      <c r="L3734" s="571"/>
      <c r="M3734" s="571"/>
      <c r="N3734" s="573"/>
      <c r="O3734" s="556"/>
      <c r="P3734" s="573"/>
      <c r="Q3734" s="556"/>
      <c r="R3734" s="582"/>
    </row>
    <row r="3735" ht="15" customHeight="1" spans="1:18">
      <c r="A3735" s="556"/>
      <c r="B3735" s="557"/>
      <c r="C3735" s="76" t="s">
        <v>1267</v>
      </c>
      <c r="D3735" s="75" t="s">
        <v>63</v>
      </c>
      <c r="E3735" s="76" t="s">
        <v>64</v>
      </c>
      <c r="F3735" s="76" t="s">
        <v>65</v>
      </c>
      <c r="G3735" s="76" t="s">
        <v>2889</v>
      </c>
      <c r="H3735" s="76"/>
      <c r="I3735" s="77" t="s">
        <v>66</v>
      </c>
      <c r="J3735" s="75" t="s">
        <v>67</v>
      </c>
      <c r="K3735" s="75" t="s">
        <v>2890</v>
      </c>
      <c r="L3735" s="75" t="s">
        <v>68</v>
      </c>
      <c r="M3735" s="75" t="s">
        <v>70</v>
      </c>
      <c r="N3735" s="573"/>
      <c r="O3735" s="556"/>
      <c r="P3735" s="573"/>
      <c r="Q3735" s="556"/>
      <c r="R3735" s="582"/>
    </row>
    <row r="3736" ht="38.25" spans="1:18">
      <c r="A3736" s="556"/>
      <c r="B3736" s="557" t="str">
        <f>C3735</f>
        <v> 12.3.26 </v>
      </c>
      <c r="C3736" s="569" t="s">
        <v>2891</v>
      </c>
      <c r="D3736" s="570" t="s">
        <v>1268</v>
      </c>
      <c r="E3736" s="569" t="s">
        <v>132</v>
      </c>
      <c r="F3736" s="569" t="s">
        <v>1269</v>
      </c>
      <c r="G3736" s="569">
        <v>86</v>
      </c>
      <c r="H3736" s="569"/>
      <c r="I3736" s="577" t="s">
        <v>204</v>
      </c>
      <c r="J3736" s="578">
        <v>1</v>
      </c>
      <c r="K3736" s="579"/>
      <c r="L3736" s="579">
        <v>14.83</v>
      </c>
      <c r="M3736" s="579">
        <v>14.83</v>
      </c>
      <c r="N3736" s="573">
        <v>11.59</v>
      </c>
      <c r="O3736" s="556" t="str">
        <f>IF(N3736=M3736,"OK","DIF")</f>
        <v>DIF</v>
      </c>
      <c r="P3736" s="573"/>
      <c r="Q3736" s="556"/>
      <c r="R3736" s="582"/>
    </row>
    <row r="3737" ht="23.85" customHeight="1" spans="1:18">
      <c r="A3737" s="556" t="str">
        <f>B3737</f>
        <v> 12.3.26 </v>
      </c>
      <c r="B3737" s="557" t="str">
        <f>B3736</f>
        <v> 12.3.26 </v>
      </c>
      <c r="C3737" s="79" t="s">
        <v>2921</v>
      </c>
      <c r="D3737" s="78" t="s">
        <v>2952</v>
      </c>
      <c r="E3737" s="79" t="s">
        <v>139</v>
      </c>
      <c r="F3737" s="79" t="s">
        <v>2953</v>
      </c>
      <c r="G3737" s="79" t="s">
        <v>2928</v>
      </c>
      <c r="H3737" s="79"/>
      <c r="I3737" s="80" t="s">
        <v>2897</v>
      </c>
      <c r="J3737" s="583">
        <v>0.11</v>
      </c>
      <c r="K3737" s="583">
        <v>0</v>
      </c>
      <c r="L3737" s="92">
        <v>29.15</v>
      </c>
      <c r="M3737" s="92">
        <v>3.2</v>
      </c>
      <c r="N3737" s="573">
        <v>1.83</v>
      </c>
      <c r="O3737" s="556" t="str">
        <f>IF(N3737=M3737,"OK","DIF")</f>
        <v>DIF</v>
      </c>
      <c r="P3737" s="573"/>
      <c r="Q3737" s="556"/>
      <c r="R3737" s="582"/>
    </row>
    <row r="3738" ht="23.85" customHeight="1" spans="1:18">
      <c r="A3738" s="556" t="str">
        <f>B3738</f>
        <v> 12.3.26 </v>
      </c>
      <c r="B3738" s="557" t="str">
        <f>B3737</f>
        <v> 12.3.26 </v>
      </c>
      <c r="C3738" s="79" t="s">
        <v>2921</v>
      </c>
      <c r="D3738" s="78" t="s">
        <v>3151</v>
      </c>
      <c r="E3738" s="79" t="s">
        <v>139</v>
      </c>
      <c r="F3738" s="79" t="s">
        <v>3152</v>
      </c>
      <c r="G3738" s="79" t="s">
        <v>2928</v>
      </c>
      <c r="H3738" s="79"/>
      <c r="I3738" s="80" t="s">
        <v>2897</v>
      </c>
      <c r="J3738" s="583">
        <v>0.11</v>
      </c>
      <c r="K3738" s="583">
        <v>0</v>
      </c>
      <c r="L3738" s="92">
        <v>36.82</v>
      </c>
      <c r="M3738" s="92">
        <v>4.05</v>
      </c>
      <c r="N3738" s="573">
        <v>2.22</v>
      </c>
      <c r="O3738" s="556" t="str">
        <f>IF(N3738=M3738,"OK","DIF")</f>
        <v>DIF</v>
      </c>
      <c r="P3738" s="573"/>
      <c r="Q3738" s="556"/>
      <c r="R3738" s="582"/>
    </row>
    <row r="3739" ht="15" customHeight="1" spans="1:18">
      <c r="A3739" s="556" t="str">
        <f>B3739</f>
        <v> 12.3.26 </v>
      </c>
      <c r="B3739" s="557" t="str">
        <f>B3738</f>
        <v> 12.3.26 </v>
      </c>
      <c r="C3739" s="100" t="s">
        <v>2893</v>
      </c>
      <c r="D3739" s="99" t="s">
        <v>4182</v>
      </c>
      <c r="E3739" s="100" t="s">
        <v>149</v>
      </c>
      <c r="F3739" s="100" t="s">
        <v>4183</v>
      </c>
      <c r="G3739" s="100" t="s">
        <v>2961</v>
      </c>
      <c r="H3739" s="100"/>
      <c r="I3739" s="101" t="s">
        <v>204</v>
      </c>
      <c r="J3739" s="580">
        <v>1.02</v>
      </c>
      <c r="K3739" s="580">
        <v>0</v>
      </c>
      <c r="L3739" s="102">
        <v>7.44</v>
      </c>
      <c r="M3739" s="102">
        <v>7.58</v>
      </c>
      <c r="N3739" s="573">
        <v>7.54</v>
      </c>
      <c r="O3739" s="556" t="str">
        <f>IF(N3739=M3739,"OK","DIF")</f>
        <v>DIF</v>
      </c>
      <c r="P3739" s="573"/>
      <c r="Q3739" s="556"/>
      <c r="R3739" s="582"/>
    </row>
    <row r="3740" ht="25.5" spans="1:18">
      <c r="A3740" s="556"/>
      <c r="B3740" s="557"/>
      <c r="C3740" s="108"/>
      <c r="D3740" s="108"/>
      <c r="E3740" s="108"/>
      <c r="F3740" s="108"/>
      <c r="G3740" s="108"/>
      <c r="H3740" s="108" t="s">
        <v>2898</v>
      </c>
      <c r="I3740" s="581">
        <v>5.05</v>
      </c>
      <c r="J3740" s="108" t="s">
        <v>2899</v>
      </c>
      <c r="K3740" s="581">
        <v>0</v>
      </c>
      <c r="L3740" s="108" t="s">
        <v>2900</v>
      </c>
      <c r="M3740" s="581">
        <v>5.05</v>
      </c>
      <c r="N3740" s="573"/>
      <c r="O3740" s="556"/>
      <c r="P3740" s="573"/>
      <c r="Q3740" s="556"/>
      <c r="R3740" s="582"/>
    </row>
    <row r="3741" ht="26.25" spans="1:18">
      <c r="A3741" s="556"/>
      <c r="B3741" s="557"/>
      <c r="C3741" s="108"/>
      <c r="D3741" s="108"/>
      <c r="E3741" s="108"/>
      <c r="F3741" s="108"/>
      <c r="G3741" s="108"/>
      <c r="H3741" s="108" t="s">
        <v>2901</v>
      </c>
      <c r="I3741" s="581">
        <v>3.78</v>
      </c>
      <c r="J3741" s="114"/>
      <c r="K3741" s="114" t="s">
        <v>2902</v>
      </c>
      <c r="L3741" s="108"/>
      <c r="M3741" s="581">
        <v>18.61</v>
      </c>
      <c r="N3741" s="573"/>
      <c r="O3741" s="556"/>
      <c r="P3741" s="573"/>
      <c r="Q3741" s="556"/>
      <c r="R3741" s="582"/>
    </row>
    <row r="3742" ht="15" spans="1:18">
      <c r="A3742" s="556"/>
      <c r="B3742" s="557">
        <f>C3741</f>
        <v>0</v>
      </c>
      <c r="C3742" s="571"/>
      <c r="D3742" s="571"/>
      <c r="E3742" s="571"/>
      <c r="F3742" s="571"/>
      <c r="G3742" s="571"/>
      <c r="H3742" s="571"/>
      <c r="I3742" s="571"/>
      <c r="J3742" s="571"/>
      <c r="K3742" s="571"/>
      <c r="L3742" s="571"/>
      <c r="M3742" s="571"/>
      <c r="N3742" s="573">
        <v>211.05</v>
      </c>
      <c r="O3742" s="556" t="str">
        <f>IF(N3742=M3742,"OK","DIF")</f>
        <v>DIF</v>
      </c>
      <c r="P3742" s="573"/>
      <c r="Q3742" s="556"/>
      <c r="R3742" s="582"/>
    </row>
    <row r="3743" ht="15" customHeight="1" spans="1:18">
      <c r="A3743" s="556">
        <f>B3743</f>
        <v>0</v>
      </c>
      <c r="B3743" s="557">
        <f>B3742</f>
        <v>0</v>
      </c>
      <c r="C3743" s="76" t="s">
        <v>1270</v>
      </c>
      <c r="D3743" s="75" t="s">
        <v>63</v>
      </c>
      <c r="E3743" s="76" t="s">
        <v>64</v>
      </c>
      <c r="F3743" s="76" t="s">
        <v>65</v>
      </c>
      <c r="G3743" s="76" t="s">
        <v>2889</v>
      </c>
      <c r="H3743" s="76"/>
      <c r="I3743" s="77" t="s">
        <v>66</v>
      </c>
      <c r="J3743" s="75" t="s">
        <v>67</v>
      </c>
      <c r="K3743" s="75" t="s">
        <v>2890</v>
      </c>
      <c r="L3743" s="75" t="s">
        <v>68</v>
      </c>
      <c r="M3743" s="75" t="s">
        <v>70</v>
      </c>
      <c r="N3743" s="573">
        <v>45.28</v>
      </c>
      <c r="O3743" s="556" t="str">
        <f>IF(N3743=M3743,"OK","DIF")</f>
        <v>DIF</v>
      </c>
      <c r="P3743" s="573"/>
      <c r="Q3743" s="556"/>
      <c r="R3743" s="582"/>
    </row>
    <row r="3744" ht="38.25" spans="1:18">
      <c r="A3744" s="556">
        <f>B3744</f>
        <v>0</v>
      </c>
      <c r="B3744" s="557">
        <f>B3743</f>
        <v>0</v>
      </c>
      <c r="C3744" s="569" t="s">
        <v>2891</v>
      </c>
      <c r="D3744" s="570" t="s">
        <v>1271</v>
      </c>
      <c r="E3744" s="569" t="s">
        <v>132</v>
      </c>
      <c r="F3744" s="569" t="s">
        <v>1272</v>
      </c>
      <c r="G3744" s="569">
        <v>86</v>
      </c>
      <c r="H3744" s="569"/>
      <c r="I3744" s="577" t="s">
        <v>204</v>
      </c>
      <c r="J3744" s="578">
        <v>1</v>
      </c>
      <c r="K3744" s="579"/>
      <c r="L3744" s="579">
        <v>20.31</v>
      </c>
      <c r="M3744" s="579">
        <v>20.31</v>
      </c>
      <c r="N3744" s="573">
        <v>59.42</v>
      </c>
      <c r="O3744" s="556" t="str">
        <f>IF(N3744=M3744,"OK","DIF")</f>
        <v>DIF</v>
      </c>
      <c r="P3744" s="573"/>
      <c r="Q3744" s="556"/>
      <c r="R3744" s="582"/>
    </row>
    <row r="3745" ht="23.85" customHeight="1" spans="1:18">
      <c r="A3745" s="556">
        <f>B3745</f>
        <v>0</v>
      </c>
      <c r="B3745" s="557">
        <f>B3744</f>
        <v>0</v>
      </c>
      <c r="C3745" s="79" t="s">
        <v>2921</v>
      </c>
      <c r="D3745" s="78" t="s">
        <v>3151</v>
      </c>
      <c r="E3745" s="79" t="s">
        <v>139</v>
      </c>
      <c r="F3745" s="79" t="s">
        <v>3152</v>
      </c>
      <c r="G3745" s="79" t="s">
        <v>2928</v>
      </c>
      <c r="H3745" s="79"/>
      <c r="I3745" s="80" t="s">
        <v>2897</v>
      </c>
      <c r="J3745" s="583">
        <v>0.11</v>
      </c>
      <c r="K3745" s="583">
        <v>0</v>
      </c>
      <c r="L3745" s="92">
        <v>36.82</v>
      </c>
      <c r="M3745" s="92">
        <v>4.05</v>
      </c>
      <c r="N3745" s="573">
        <v>106.35</v>
      </c>
      <c r="O3745" s="556" t="str">
        <f>IF(N3745=M3745,"OK","DIF")</f>
        <v>DIF</v>
      </c>
      <c r="P3745" s="573"/>
      <c r="Q3745" s="556"/>
      <c r="R3745" s="582"/>
    </row>
    <row r="3746" ht="23.85" customHeight="1" spans="1:18">
      <c r="A3746" s="556"/>
      <c r="B3746" s="557"/>
      <c r="C3746" s="79" t="s">
        <v>2921</v>
      </c>
      <c r="D3746" s="78" t="s">
        <v>2952</v>
      </c>
      <c r="E3746" s="79" t="s">
        <v>139</v>
      </c>
      <c r="F3746" s="79" t="s">
        <v>2953</v>
      </c>
      <c r="G3746" s="79" t="s">
        <v>2928</v>
      </c>
      <c r="H3746" s="79"/>
      <c r="I3746" s="80" t="s">
        <v>2897</v>
      </c>
      <c r="J3746" s="583">
        <v>0.11</v>
      </c>
      <c r="K3746" s="583">
        <v>0</v>
      </c>
      <c r="L3746" s="92">
        <v>29.15</v>
      </c>
      <c r="M3746" s="92">
        <v>3.2</v>
      </c>
      <c r="N3746" s="573"/>
      <c r="O3746" s="556"/>
      <c r="P3746" s="573"/>
      <c r="Q3746" s="556"/>
      <c r="R3746" s="582"/>
    </row>
    <row r="3747" ht="15" customHeight="1" spans="1:18">
      <c r="A3747" s="556"/>
      <c r="B3747" s="557"/>
      <c r="C3747" s="100" t="s">
        <v>2893</v>
      </c>
      <c r="D3747" s="99" t="s">
        <v>4184</v>
      </c>
      <c r="E3747" s="100" t="s">
        <v>132</v>
      </c>
      <c r="F3747" s="100" t="s">
        <v>4185</v>
      </c>
      <c r="G3747" s="100" t="s">
        <v>2961</v>
      </c>
      <c r="H3747" s="100"/>
      <c r="I3747" s="101" t="s">
        <v>204</v>
      </c>
      <c r="J3747" s="580">
        <v>1.02</v>
      </c>
      <c r="K3747" s="580">
        <v>0</v>
      </c>
      <c r="L3747" s="102">
        <v>12.81</v>
      </c>
      <c r="M3747" s="102">
        <v>13.06</v>
      </c>
      <c r="N3747" s="573"/>
      <c r="O3747" s="556"/>
      <c r="P3747" s="573"/>
      <c r="Q3747" s="556"/>
      <c r="R3747" s="582"/>
    </row>
    <row r="3748" ht="25.5" spans="1:18">
      <c r="A3748" s="556"/>
      <c r="B3748" s="557" t="str">
        <f>C3747</f>
        <v>Insumo</v>
      </c>
      <c r="C3748" s="108"/>
      <c r="D3748" s="108"/>
      <c r="E3748" s="108"/>
      <c r="F3748" s="108"/>
      <c r="G3748" s="108"/>
      <c r="H3748" s="108" t="s">
        <v>2898</v>
      </c>
      <c r="I3748" s="581">
        <v>5.05</v>
      </c>
      <c r="J3748" s="108" t="s">
        <v>2899</v>
      </c>
      <c r="K3748" s="581">
        <v>0</v>
      </c>
      <c r="L3748" s="108" t="s">
        <v>2900</v>
      </c>
      <c r="M3748" s="581">
        <v>5.05</v>
      </c>
      <c r="N3748" s="573">
        <v>396.28</v>
      </c>
      <c r="O3748" s="556" t="str">
        <f t="shared" ref="O3748:O3755" si="289">IF(N3748=M3748,"OK","DIF")</f>
        <v>DIF</v>
      </c>
      <c r="P3748" s="573"/>
      <c r="Q3748" s="556"/>
      <c r="R3748" s="582"/>
    </row>
    <row r="3749" ht="26.25" spans="1:18">
      <c r="A3749" s="556" t="str">
        <f t="shared" ref="A3749:A3755" si="290">B3749</f>
        <v>Insumo</v>
      </c>
      <c r="B3749" s="557" t="str">
        <f t="shared" ref="B3749:B3755" si="291">B3748</f>
        <v>Insumo</v>
      </c>
      <c r="C3749" s="108"/>
      <c r="D3749" s="108"/>
      <c r="E3749" s="108"/>
      <c r="F3749" s="108"/>
      <c r="G3749" s="108"/>
      <c r="H3749" s="108" t="s">
        <v>2901</v>
      </c>
      <c r="I3749" s="581">
        <v>5.17</v>
      </c>
      <c r="J3749" s="114"/>
      <c r="K3749" s="114" t="s">
        <v>2902</v>
      </c>
      <c r="L3749" s="108"/>
      <c r="M3749" s="581">
        <v>25.48</v>
      </c>
      <c r="N3749" s="573">
        <v>12.22</v>
      </c>
      <c r="O3749" s="556" t="str">
        <f t="shared" si="289"/>
        <v>DIF</v>
      </c>
      <c r="P3749" s="573"/>
      <c r="Q3749" s="556"/>
      <c r="R3749" s="582"/>
    </row>
    <row r="3750" ht="15" spans="1:18">
      <c r="A3750" s="556" t="str">
        <f t="shared" si="290"/>
        <v>Insumo</v>
      </c>
      <c r="B3750" s="557" t="str">
        <f t="shared" si="291"/>
        <v>Insumo</v>
      </c>
      <c r="C3750" s="571"/>
      <c r="D3750" s="571"/>
      <c r="E3750" s="571"/>
      <c r="F3750" s="571"/>
      <c r="G3750" s="571"/>
      <c r="H3750" s="571"/>
      <c r="I3750" s="571"/>
      <c r="J3750" s="571"/>
      <c r="K3750" s="571"/>
      <c r="L3750" s="571"/>
      <c r="M3750" s="571"/>
      <c r="N3750" s="573">
        <v>39.68</v>
      </c>
      <c r="O3750" s="556" t="str">
        <f t="shared" si="289"/>
        <v>DIF</v>
      </c>
      <c r="P3750" s="573"/>
      <c r="Q3750" s="556"/>
      <c r="R3750" s="582"/>
    </row>
    <row r="3751" ht="15" customHeight="1" spans="1:18">
      <c r="A3751" s="556" t="str">
        <f t="shared" si="290"/>
        <v>Insumo</v>
      </c>
      <c r="B3751" s="557" t="str">
        <f t="shared" si="291"/>
        <v>Insumo</v>
      </c>
      <c r="C3751" s="76" t="s">
        <v>1273</v>
      </c>
      <c r="D3751" s="75" t="s">
        <v>63</v>
      </c>
      <c r="E3751" s="76" t="s">
        <v>64</v>
      </c>
      <c r="F3751" s="76" t="s">
        <v>65</v>
      </c>
      <c r="G3751" s="76" t="s">
        <v>2889</v>
      </c>
      <c r="H3751" s="76"/>
      <c r="I3751" s="77" t="s">
        <v>66</v>
      </c>
      <c r="J3751" s="75" t="s">
        <v>67</v>
      </c>
      <c r="K3751" s="75" t="s">
        <v>2890</v>
      </c>
      <c r="L3751" s="75" t="s">
        <v>68</v>
      </c>
      <c r="M3751" s="75" t="s">
        <v>70</v>
      </c>
      <c r="N3751" s="573">
        <v>33.3</v>
      </c>
      <c r="O3751" s="556" t="str">
        <f t="shared" si="289"/>
        <v>DIF</v>
      </c>
      <c r="P3751" s="573"/>
      <c r="Q3751" s="556"/>
      <c r="R3751" s="582"/>
    </row>
    <row r="3752" ht="38.25" spans="1:18">
      <c r="A3752" s="556" t="str">
        <f t="shared" si="290"/>
        <v>Insumo</v>
      </c>
      <c r="B3752" s="557" t="str">
        <f t="shared" si="291"/>
        <v>Insumo</v>
      </c>
      <c r="C3752" s="569" t="s">
        <v>2891</v>
      </c>
      <c r="D3752" s="570" t="s">
        <v>1274</v>
      </c>
      <c r="E3752" s="569" t="s">
        <v>132</v>
      </c>
      <c r="F3752" s="569" t="s">
        <v>1275</v>
      </c>
      <c r="G3752" s="569">
        <v>86</v>
      </c>
      <c r="H3752" s="569"/>
      <c r="I3752" s="577" t="s">
        <v>204</v>
      </c>
      <c r="J3752" s="578">
        <v>1</v>
      </c>
      <c r="K3752" s="579"/>
      <c r="L3752" s="579">
        <v>24.04</v>
      </c>
      <c r="M3752" s="579">
        <v>24.04</v>
      </c>
      <c r="N3752" s="573">
        <v>31.14</v>
      </c>
      <c r="O3752" s="556" t="str">
        <f t="shared" si="289"/>
        <v>DIF</v>
      </c>
      <c r="P3752" s="573"/>
      <c r="Q3752" s="556"/>
      <c r="R3752" s="582"/>
    </row>
    <row r="3753" ht="23.85" customHeight="1" spans="1:18">
      <c r="A3753" s="556" t="str">
        <f t="shared" si="290"/>
        <v>Insumo</v>
      </c>
      <c r="B3753" s="557" t="str">
        <f t="shared" si="291"/>
        <v>Insumo</v>
      </c>
      <c r="C3753" s="79" t="s">
        <v>2921</v>
      </c>
      <c r="D3753" s="78" t="s">
        <v>2952</v>
      </c>
      <c r="E3753" s="79" t="s">
        <v>139</v>
      </c>
      <c r="F3753" s="79" t="s">
        <v>2953</v>
      </c>
      <c r="G3753" s="79" t="s">
        <v>2928</v>
      </c>
      <c r="H3753" s="79"/>
      <c r="I3753" s="80" t="s">
        <v>2897</v>
      </c>
      <c r="J3753" s="583">
        <v>0.11</v>
      </c>
      <c r="K3753" s="583">
        <v>0</v>
      </c>
      <c r="L3753" s="92">
        <v>29.15</v>
      </c>
      <c r="M3753" s="92">
        <v>3.2</v>
      </c>
      <c r="N3753" s="573">
        <v>138.46</v>
      </c>
      <c r="O3753" s="556" t="str">
        <f t="shared" si="289"/>
        <v>DIF</v>
      </c>
      <c r="P3753" s="573"/>
      <c r="Q3753" s="556"/>
      <c r="R3753" s="582"/>
    </row>
    <row r="3754" ht="23.85" customHeight="1" spans="1:18">
      <c r="A3754" s="556" t="str">
        <f t="shared" si="290"/>
        <v>Insumo</v>
      </c>
      <c r="B3754" s="557" t="str">
        <f t="shared" si="291"/>
        <v>Insumo</v>
      </c>
      <c r="C3754" s="79" t="s">
        <v>2921</v>
      </c>
      <c r="D3754" s="78" t="s">
        <v>3151</v>
      </c>
      <c r="E3754" s="79" t="s">
        <v>139</v>
      </c>
      <c r="F3754" s="79" t="s">
        <v>3152</v>
      </c>
      <c r="G3754" s="79" t="s">
        <v>2928</v>
      </c>
      <c r="H3754" s="79"/>
      <c r="I3754" s="80" t="s">
        <v>2897</v>
      </c>
      <c r="J3754" s="583">
        <v>0.11</v>
      </c>
      <c r="K3754" s="583">
        <v>0</v>
      </c>
      <c r="L3754" s="92">
        <v>36.82</v>
      </c>
      <c r="M3754" s="92">
        <v>4.05</v>
      </c>
      <c r="N3754" s="573">
        <v>17.58</v>
      </c>
      <c r="O3754" s="556" t="str">
        <f t="shared" si="289"/>
        <v>DIF</v>
      </c>
      <c r="P3754" s="573"/>
      <c r="Q3754" s="556"/>
      <c r="R3754" s="582"/>
    </row>
    <row r="3755" ht="15" customHeight="1" spans="1:18">
      <c r="A3755" s="556" t="str">
        <f t="shared" si="290"/>
        <v>Insumo</v>
      </c>
      <c r="B3755" s="557" t="str">
        <f t="shared" si="291"/>
        <v>Insumo</v>
      </c>
      <c r="C3755" s="100" t="s">
        <v>2893</v>
      </c>
      <c r="D3755" s="99" t="s">
        <v>4186</v>
      </c>
      <c r="E3755" s="100" t="s">
        <v>132</v>
      </c>
      <c r="F3755" s="100" t="s">
        <v>4187</v>
      </c>
      <c r="G3755" s="100" t="s">
        <v>2961</v>
      </c>
      <c r="H3755" s="100"/>
      <c r="I3755" s="101" t="s">
        <v>204</v>
      </c>
      <c r="J3755" s="580">
        <v>1.02</v>
      </c>
      <c r="K3755" s="580">
        <v>0</v>
      </c>
      <c r="L3755" s="102">
        <v>16.47</v>
      </c>
      <c r="M3755" s="102">
        <v>16.79</v>
      </c>
      <c r="N3755" s="573">
        <v>123.9</v>
      </c>
      <c r="O3755" s="556" t="str">
        <f t="shared" si="289"/>
        <v>DIF</v>
      </c>
      <c r="P3755" s="573"/>
      <c r="Q3755" s="556"/>
      <c r="R3755" s="582"/>
    </row>
    <row r="3756" ht="25.5" spans="1:18">
      <c r="A3756" s="556"/>
      <c r="B3756" s="557"/>
      <c r="C3756" s="108"/>
      <c r="D3756" s="108"/>
      <c r="E3756" s="108"/>
      <c r="F3756" s="108"/>
      <c r="G3756" s="108"/>
      <c r="H3756" s="108" t="s">
        <v>2898</v>
      </c>
      <c r="I3756" s="581">
        <v>5.05</v>
      </c>
      <c r="J3756" s="108" t="s">
        <v>2899</v>
      </c>
      <c r="K3756" s="581">
        <v>0</v>
      </c>
      <c r="L3756" s="108" t="s">
        <v>2900</v>
      </c>
      <c r="M3756" s="581">
        <v>5.05</v>
      </c>
      <c r="N3756" s="573"/>
      <c r="O3756" s="556"/>
      <c r="P3756" s="573"/>
      <c r="Q3756" s="556"/>
      <c r="R3756" s="582"/>
    </row>
    <row r="3757" ht="26.25" spans="1:18">
      <c r="A3757" s="556"/>
      <c r="B3757" s="557"/>
      <c r="C3757" s="108"/>
      <c r="D3757" s="108"/>
      <c r="E3757" s="108"/>
      <c r="F3757" s="108"/>
      <c r="G3757" s="108"/>
      <c r="H3757" s="108" t="s">
        <v>2901</v>
      </c>
      <c r="I3757" s="581">
        <v>6.12</v>
      </c>
      <c r="J3757" s="114"/>
      <c r="K3757" s="114" t="s">
        <v>2902</v>
      </c>
      <c r="L3757" s="108"/>
      <c r="M3757" s="581">
        <v>30.16</v>
      </c>
      <c r="N3757" s="573"/>
      <c r="O3757" s="556"/>
      <c r="P3757" s="573"/>
      <c r="Q3757" s="556"/>
      <c r="R3757" s="582"/>
    </row>
    <row r="3758" ht="15" spans="1:18">
      <c r="A3758" s="556"/>
      <c r="B3758" s="557">
        <f>C3757</f>
        <v>0</v>
      </c>
      <c r="C3758" s="571"/>
      <c r="D3758" s="571"/>
      <c r="E3758" s="571"/>
      <c r="F3758" s="571"/>
      <c r="G3758" s="571"/>
      <c r="H3758" s="571"/>
      <c r="I3758" s="571"/>
      <c r="J3758" s="571"/>
      <c r="K3758" s="571"/>
      <c r="L3758" s="571"/>
      <c r="M3758" s="571"/>
      <c r="N3758" s="573">
        <v>541.29</v>
      </c>
      <c r="O3758" s="556" t="str">
        <f t="shared" ref="O3758:O3765" si="292">IF(N3758=M3758,"OK","DIF")</f>
        <v>DIF</v>
      </c>
      <c r="P3758" s="573"/>
      <c r="Q3758" s="556"/>
      <c r="R3758" s="582"/>
    </row>
    <row r="3759" ht="15" customHeight="1" spans="1:18">
      <c r="A3759" s="556">
        <f t="shared" ref="A3759:A3765" si="293">B3759</f>
        <v>0</v>
      </c>
      <c r="B3759" s="557">
        <f t="shared" ref="B3759:B3765" si="294">B3758</f>
        <v>0</v>
      </c>
      <c r="C3759" s="76" t="s">
        <v>1276</v>
      </c>
      <c r="D3759" s="75" t="s">
        <v>63</v>
      </c>
      <c r="E3759" s="76" t="s">
        <v>64</v>
      </c>
      <c r="F3759" s="76" t="s">
        <v>65</v>
      </c>
      <c r="G3759" s="76" t="s">
        <v>2889</v>
      </c>
      <c r="H3759" s="76"/>
      <c r="I3759" s="77" t="s">
        <v>66</v>
      </c>
      <c r="J3759" s="75" t="s">
        <v>67</v>
      </c>
      <c r="K3759" s="75" t="s">
        <v>2890</v>
      </c>
      <c r="L3759" s="75" t="s">
        <v>68</v>
      </c>
      <c r="M3759" s="75" t="s">
        <v>70</v>
      </c>
      <c r="N3759" s="573">
        <v>41.66</v>
      </c>
      <c r="O3759" s="556" t="str">
        <f t="shared" si="292"/>
        <v>DIF</v>
      </c>
      <c r="P3759" s="573"/>
      <c r="Q3759" s="556"/>
      <c r="R3759" s="582"/>
    </row>
    <row r="3760" ht="38.25" spans="1:18">
      <c r="A3760" s="556">
        <f t="shared" si="293"/>
        <v>0</v>
      </c>
      <c r="B3760" s="557">
        <f t="shared" si="294"/>
        <v>0</v>
      </c>
      <c r="C3760" s="569" t="s">
        <v>2891</v>
      </c>
      <c r="D3760" s="570" t="s">
        <v>1277</v>
      </c>
      <c r="E3760" s="569" t="s">
        <v>132</v>
      </c>
      <c r="F3760" s="569" t="s">
        <v>1278</v>
      </c>
      <c r="G3760" s="569">
        <v>706</v>
      </c>
      <c r="H3760" s="569"/>
      <c r="I3760" s="577" t="s">
        <v>204</v>
      </c>
      <c r="J3760" s="578">
        <v>1</v>
      </c>
      <c r="K3760" s="579"/>
      <c r="L3760" s="579">
        <v>12.15</v>
      </c>
      <c r="M3760" s="579">
        <v>12.15</v>
      </c>
      <c r="N3760" s="573">
        <v>12.22</v>
      </c>
      <c r="O3760" s="556" t="str">
        <f t="shared" si="292"/>
        <v>DIF</v>
      </c>
      <c r="P3760" s="573"/>
      <c r="Q3760" s="556"/>
      <c r="R3760" s="582"/>
    </row>
    <row r="3761" ht="23.85" customHeight="1" spans="1:18">
      <c r="A3761" s="556">
        <f t="shared" si="293"/>
        <v>0</v>
      </c>
      <c r="B3761" s="557">
        <f t="shared" si="294"/>
        <v>0</v>
      </c>
      <c r="C3761" s="79" t="s">
        <v>2921</v>
      </c>
      <c r="D3761" s="78" t="s">
        <v>3151</v>
      </c>
      <c r="E3761" s="79" t="s">
        <v>139</v>
      </c>
      <c r="F3761" s="79" t="s">
        <v>3152</v>
      </c>
      <c r="G3761" s="79" t="s">
        <v>2928</v>
      </c>
      <c r="H3761" s="79"/>
      <c r="I3761" s="80" t="s">
        <v>2897</v>
      </c>
      <c r="J3761" s="583">
        <v>0.065</v>
      </c>
      <c r="K3761" s="583">
        <v>0</v>
      </c>
      <c r="L3761" s="92">
        <v>36.82</v>
      </c>
      <c r="M3761" s="92">
        <v>2.39</v>
      </c>
      <c r="N3761" s="573">
        <v>32.69</v>
      </c>
      <c r="O3761" s="556" t="str">
        <f t="shared" si="292"/>
        <v>DIF</v>
      </c>
      <c r="P3761" s="573"/>
      <c r="Q3761" s="556"/>
      <c r="R3761" s="582"/>
    </row>
    <row r="3762" ht="23.85" customHeight="1" spans="1:18">
      <c r="A3762" s="556">
        <f t="shared" si="293"/>
        <v>0</v>
      </c>
      <c r="B3762" s="557">
        <f t="shared" si="294"/>
        <v>0</v>
      </c>
      <c r="C3762" s="79" t="s">
        <v>2921</v>
      </c>
      <c r="D3762" s="78" t="s">
        <v>3153</v>
      </c>
      <c r="E3762" s="79" t="s">
        <v>139</v>
      </c>
      <c r="F3762" s="79" t="s">
        <v>3154</v>
      </c>
      <c r="G3762" s="79" t="s">
        <v>2928</v>
      </c>
      <c r="H3762" s="79"/>
      <c r="I3762" s="80" t="s">
        <v>2897</v>
      </c>
      <c r="J3762" s="583">
        <v>0.065</v>
      </c>
      <c r="K3762" s="583">
        <v>0</v>
      </c>
      <c r="L3762" s="92">
        <v>30.6</v>
      </c>
      <c r="M3762" s="92">
        <v>1.98</v>
      </c>
      <c r="N3762" s="573">
        <v>33.3</v>
      </c>
      <c r="O3762" s="556" t="str">
        <f t="shared" si="292"/>
        <v>DIF</v>
      </c>
      <c r="P3762" s="573"/>
      <c r="Q3762" s="556"/>
      <c r="R3762" s="582"/>
    </row>
    <row r="3763" ht="23.85" customHeight="1" spans="1:18">
      <c r="A3763" s="556">
        <f t="shared" si="293"/>
        <v>0</v>
      </c>
      <c r="B3763" s="557">
        <f t="shared" si="294"/>
        <v>0</v>
      </c>
      <c r="C3763" s="100" t="s">
        <v>2893</v>
      </c>
      <c r="D3763" s="99" t="s">
        <v>4188</v>
      </c>
      <c r="E3763" s="100" t="s">
        <v>139</v>
      </c>
      <c r="F3763" s="100" t="s">
        <v>4189</v>
      </c>
      <c r="G3763" s="100" t="s">
        <v>2961</v>
      </c>
      <c r="H3763" s="100"/>
      <c r="I3763" s="101" t="s">
        <v>204</v>
      </c>
      <c r="J3763" s="580">
        <v>1.02</v>
      </c>
      <c r="K3763" s="580">
        <v>0</v>
      </c>
      <c r="L3763" s="102">
        <v>7.63</v>
      </c>
      <c r="M3763" s="102">
        <v>7.78</v>
      </c>
      <c r="N3763" s="573">
        <v>35.16</v>
      </c>
      <c r="O3763" s="556" t="str">
        <f t="shared" si="292"/>
        <v>DIF</v>
      </c>
      <c r="P3763" s="573"/>
      <c r="Q3763" s="556"/>
      <c r="R3763" s="582"/>
    </row>
    <row r="3764" ht="25.5" spans="1:18">
      <c r="A3764" s="556">
        <f t="shared" si="293"/>
        <v>0</v>
      </c>
      <c r="B3764" s="557">
        <f t="shared" si="294"/>
        <v>0</v>
      </c>
      <c r="C3764" s="108"/>
      <c r="D3764" s="108"/>
      <c r="E3764" s="108"/>
      <c r="F3764" s="108"/>
      <c r="G3764" s="108"/>
      <c r="H3764" s="108" t="s">
        <v>2898</v>
      </c>
      <c r="I3764" s="581">
        <v>3.07</v>
      </c>
      <c r="J3764" s="108" t="s">
        <v>2899</v>
      </c>
      <c r="K3764" s="581">
        <v>0</v>
      </c>
      <c r="L3764" s="108" t="s">
        <v>2900</v>
      </c>
      <c r="M3764" s="581">
        <v>3.07</v>
      </c>
      <c r="N3764" s="573">
        <v>247.8</v>
      </c>
      <c r="O3764" s="556" t="str">
        <f t="shared" si="292"/>
        <v>DIF</v>
      </c>
      <c r="P3764" s="573"/>
      <c r="Q3764" s="556"/>
      <c r="R3764" s="582"/>
    </row>
    <row r="3765" ht="26.25" spans="1:18">
      <c r="A3765" s="556">
        <f t="shared" si="293"/>
        <v>0</v>
      </c>
      <c r="B3765" s="557">
        <f t="shared" si="294"/>
        <v>0</v>
      </c>
      <c r="C3765" s="108"/>
      <c r="D3765" s="108"/>
      <c r="E3765" s="108"/>
      <c r="F3765" s="108"/>
      <c r="G3765" s="108"/>
      <c r="H3765" s="108" t="s">
        <v>2901</v>
      </c>
      <c r="I3765" s="581">
        <v>3.09</v>
      </c>
      <c r="J3765" s="114"/>
      <c r="K3765" s="114" t="s">
        <v>2902</v>
      </c>
      <c r="L3765" s="108"/>
      <c r="M3765" s="581">
        <v>15.24</v>
      </c>
      <c r="N3765" s="573">
        <v>138.46</v>
      </c>
      <c r="O3765" s="556" t="str">
        <f t="shared" si="292"/>
        <v>DIF</v>
      </c>
      <c r="P3765" s="573"/>
      <c r="Q3765" s="556"/>
      <c r="R3765" s="582"/>
    </row>
    <row r="3766" ht="15" spans="1:18">
      <c r="A3766" s="556"/>
      <c r="B3766" s="557"/>
      <c r="C3766" s="571"/>
      <c r="D3766" s="571"/>
      <c r="E3766" s="571"/>
      <c r="F3766" s="571"/>
      <c r="G3766" s="571"/>
      <c r="H3766" s="571"/>
      <c r="I3766" s="571"/>
      <c r="J3766" s="571"/>
      <c r="K3766" s="571"/>
      <c r="L3766" s="571"/>
      <c r="M3766" s="571"/>
      <c r="N3766" s="573"/>
      <c r="O3766" s="556"/>
      <c r="P3766" s="573"/>
      <c r="Q3766" s="556"/>
      <c r="R3766" s="582"/>
    </row>
    <row r="3767" ht="15" customHeight="1" spans="1:18">
      <c r="A3767" s="556"/>
      <c r="B3767" s="557"/>
      <c r="C3767" s="76" t="s">
        <v>1279</v>
      </c>
      <c r="D3767" s="75" t="s">
        <v>63</v>
      </c>
      <c r="E3767" s="76" t="s">
        <v>64</v>
      </c>
      <c r="F3767" s="76" t="s">
        <v>65</v>
      </c>
      <c r="G3767" s="76" t="s">
        <v>2889</v>
      </c>
      <c r="H3767" s="76"/>
      <c r="I3767" s="77" t="s">
        <v>66</v>
      </c>
      <c r="J3767" s="75" t="s">
        <v>67</v>
      </c>
      <c r="K3767" s="75" t="s">
        <v>2890</v>
      </c>
      <c r="L3767" s="75" t="s">
        <v>68</v>
      </c>
      <c r="M3767" s="75" t="s">
        <v>70</v>
      </c>
      <c r="N3767" s="573"/>
      <c r="O3767" s="556"/>
      <c r="P3767" s="573"/>
      <c r="Q3767" s="556"/>
      <c r="R3767" s="582"/>
    </row>
    <row r="3768" ht="38.25" spans="1:18">
      <c r="A3768" s="556"/>
      <c r="B3768" s="557" t="str">
        <f>C3767</f>
        <v> 12.3.30 </v>
      </c>
      <c r="C3768" s="569" t="s">
        <v>2891</v>
      </c>
      <c r="D3768" s="570" t="s">
        <v>1280</v>
      </c>
      <c r="E3768" s="569" t="s">
        <v>132</v>
      </c>
      <c r="F3768" s="569" t="s">
        <v>1281</v>
      </c>
      <c r="G3768" s="569">
        <v>59</v>
      </c>
      <c r="H3768" s="569"/>
      <c r="I3768" s="577" t="s">
        <v>134</v>
      </c>
      <c r="J3768" s="578">
        <v>1</v>
      </c>
      <c r="K3768" s="579"/>
      <c r="L3768" s="579">
        <v>4254.61</v>
      </c>
      <c r="M3768" s="579">
        <v>4254.61</v>
      </c>
      <c r="N3768" s="573">
        <v>280.73</v>
      </c>
      <c r="O3768" s="556" t="str">
        <f>IF(N3768=M3768,"OK","DIF")</f>
        <v>DIF</v>
      </c>
      <c r="P3768" s="573"/>
      <c r="Q3768" s="556"/>
      <c r="R3768" s="582"/>
    </row>
    <row r="3769" ht="23.85" customHeight="1" spans="1:18">
      <c r="A3769" s="556" t="str">
        <f>B3769</f>
        <v> 12.3.30 </v>
      </c>
      <c r="B3769" s="557" t="str">
        <f>B3768</f>
        <v> 12.3.30 </v>
      </c>
      <c r="C3769" s="79" t="s">
        <v>2921</v>
      </c>
      <c r="D3769" s="78" t="s">
        <v>3487</v>
      </c>
      <c r="E3769" s="79" t="s">
        <v>139</v>
      </c>
      <c r="F3769" s="79" t="s">
        <v>3488</v>
      </c>
      <c r="G3769" s="79" t="s">
        <v>2928</v>
      </c>
      <c r="H3769" s="79"/>
      <c r="I3769" s="80" t="s">
        <v>2897</v>
      </c>
      <c r="J3769" s="583">
        <v>1.275</v>
      </c>
      <c r="K3769" s="583">
        <v>0</v>
      </c>
      <c r="L3769" s="92">
        <v>30.31</v>
      </c>
      <c r="M3769" s="92">
        <v>38.64</v>
      </c>
      <c r="N3769" s="573">
        <v>2.73</v>
      </c>
      <c r="O3769" s="556" t="str">
        <f>IF(N3769=M3769,"OK","DIF")</f>
        <v>DIF</v>
      </c>
      <c r="P3769" s="573"/>
      <c r="Q3769" s="556"/>
      <c r="R3769" s="582"/>
    </row>
    <row r="3770" ht="23.85" customHeight="1" spans="1:18">
      <c r="A3770" s="556" t="str">
        <f>B3770</f>
        <v> 12.3.30 </v>
      </c>
      <c r="B3770" s="557" t="str">
        <f>B3769</f>
        <v> 12.3.30 </v>
      </c>
      <c r="C3770" s="79" t="s">
        <v>2921</v>
      </c>
      <c r="D3770" s="78" t="s">
        <v>4190</v>
      </c>
      <c r="E3770" s="79" t="s">
        <v>139</v>
      </c>
      <c r="F3770" s="79" t="s">
        <v>4191</v>
      </c>
      <c r="G3770" s="79" t="s">
        <v>2928</v>
      </c>
      <c r="H3770" s="79"/>
      <c r="I3770" s="80" t="s">
        <v>2897</v>
      </c>
      <c r="J3770" s="583">
        <v>1.275</v>
      </c>
      <c r="K3770" s="583">
        <v>0</v>
      </c>
      <c r="L3770" s="92">
        <v>40.65</v>
      </c>
      <c r="M3770" s="92">
        <v>51.82</v>
      </c>
      <c r="N3770" s="573">
        <v>278</v>
      </c>
      <c r="O3770" s="556" t="str">
        <f>IF(N3770=M3770,"OK","DIF")</f>
        <v>DIF</v>
      </c>
      <c r="P3770" s="573"/>
      <c r="Q3770" s="556"/>
      <c r="R3770" s="582"/>
    </row>
    <row r="3771" ht="15" customHeight="1" spans="1:18">
      <c r="A3771" s="556"/>
      <c r="B3771" s="557"/>
      <c r="C3771" s="100" t="s">
        <v>2893</v>
      </c>
      <c r="D3771" s="99" t="s">
        <v>4192</v>
      </c>
      <c r="E3771" s="100" t="s">
        <v>132</v>
      </c>
      <c r="F3771" s="100" t="s">
        <v>4193</v>
      </c>
      <c r="G3771" s="100" t="s">
        <v>2961</v>
      </c>
      <c r="H3771" s="100"/>
      <c r="I3771" s="101" t="s">
        <v>134</v>
      </c>
      <c r="J3771" s="580">
        <v>1</v>
      </c>
      <c r="K3771" s="580">
        <v>0</v>
      </c>
      <c r="L3771" s="102">
        <v>4164.15</v>
      </c>
      <c r="M3771" s="102">
        <v>4164.15</v>
      </c>
      <c r="N3771" s="573"/>
      <c r="O3771" s="556"/>
      <c r="P3771" s="573"/>
      <c r="Q3771" s="556"/>
      <c r="R3771" s="582"/>
    </row>
    <row r="3772" ht="25.5" spans="1:18">
      <c r="A3772" s="556"/>
      <c r="B3772" s="557"/>
      <c r="C3772" s="108"/>
      <c r="D3772" s="108"/>
      <c r="E3772" s="108"/>
      <c r="F3772" s="108"/>
      <c r="G3772" s="108"/>
      <c r="H3772" s="108" t="s">
        <v>2898</v>
      </c>
      <c r="I3772" s="581">
        <v>64.99</v>
      </c>
      <c r="J3772" s="108" t="s">
        <v>2899</v>
      </c>
      <c r="K3772" s="581">
        <v>0</v>
      </c>
      <c r="L3772" s="108" t="s">
        <v>2900</v>
      </c>
      <c r="M3772" s="581">
        <v>64.99</v>
      </c>
      <c r="N3772" s="573"/>
      <c r="O3772" s="556"/>
      <c r="P3772" s="573"/>
      <c r="Q3772" s="556"/>
      <c r="R3772" s="582"/>
    </row>
    <row r="3773" ht="26.25" spans="1:18">
      <c r="A3773" s="556"/>
      <c r="B3773" s="557">
        <f>C3772</f>
        <v>0</v>
      </c>
      <c r="C3773" s="108"/>
      <c r="D3773" s="108"/>
      <c r="E3773" s="108"/>
      <c r="F3773" s="108"/>
      <c r="G3773" s="108"/>
      <c r="H3773" s="108" t="s">
        <v>2901</v>
      </c>
      <c r="I3773" s="581">
        <v>1084.5</v>
      </c>
      <c r="J3773" s="114"/>
      <c r="K3773" s="114" t="s">
        <v>2902</v>
      </c>
      <c r="L3773" s="108"/>
      <c r="M3773" s="581">
        <v>5339.11</v>
      </c>
      <c r="N3773" s="573">
        <v>4.56</v>
      </c>
      <c r="O3773" s="556" t="str">
        <f>IF(N3773=M3773,"OK","DIF")</f>
        <v>DIF</v>
      </c>
      <c r="P3773" s="573"/>
      <c r="Q3773" s="556"/>
      <c r="R3773" s="582"/>
    </row>
    <row r="3774" ht="15" spans="1:18">
      <c r="A3774" s="556">
        <f>B3774</f>
        <v>0</v>
      </c>
      <c r="B3774" s="557">
        <f>B3773</f>
        <v>0</v>
      </c>
      <c r="C3774" s="571"/>
      <c r="D3774" s="571"/>
      <c r="E3774" s="571"/>
      <c r="F3774" s="571"/>
      <c r="G3774" s="571"/>
      <c r="H3774" s="571"/>
      <c r="I3774" s="571"/>
      <c r="J3774" s="571"/>
      <c r="K3774" s="571"/>
      <c r="L3774" s="571"/>
      <c r="M3774" s="571"/>
      <c r="N3774" s="573">
        <v>0.95</v>
      </c>
      <c r="O3774" s="556" t="str">
        <f>IF(N3774=M3774,"OK","DIF")</f>
        <v>DIF</v>
      </c>
      <c r="P3774" s="573"/>
      <c r="Q3774" s="556"/>
      <c r="R3774" s="582"/>
    </row>
    <row r="3775" ht="15" customHeight="1" spans="1:18">
      <c r="A3775" s="556">
        <f>B3775</f>
        <v>0</v>
      </c>
      <c r="B3775" s="557">
        <f>B3774</f>
        <v>0</v>
      </c>
      <c r="C3775" s="76" t="s">
        <v>1282</v>
      </c>
      <c r="D3775" s="75" t="s">
        <v>63</v>
      </c>
      <c r="E3775" s="76" t="s">
        <v>64</v>
      </c>
      <c r="F3775" s="76" t="s">
        <v>65</v>
      </c>
      <c r="G3775" s="76" t="s">
        <v>2889</v>
      </c>
      <c r="H3775" s="76"/>
      <c r="I3775" s="77" t="s">
        <v>66</v>
      </c>
      <c r="J3775" s="75" t="s">
        <v>67</v>
      </c>
      <c r="K3775" s="75" t="s">
        <v>2890</v>
      </c>
      <c r="L3775" s="75" t="s">
        <v>68</v>
      </c>
      <c r="M3775" s="75" t="s">
        <v>70</v>
      </c>
      <c r="N3775" s="573">
        <v>0.79</v>
      </c>
      <c r="O3775" s="556" t="str">
        <f>IF(N3775=M3775,"OK","DIF")</f>
        <v>DIF</v>
      </c>
      <c r="P3775" s="573"/>
      <c r="Q3775" s="556"/>
      <c r="R3775" s="582"/>
    </row>
    <row r="3776" ht="35.05" customHeight="1" spans="1:18">
      <c r="A3776" s="556">
        <f>B3776</f>
        <v>0</v>
      </c>
      <c r="B3776" s="557">
        <f>B3775</f>
        <v>0</v>
      </c>
      <c r="C3776" s="569" t="s">
        <v>2891</v>
      </c>
      <c r="D3776" s="570" t="s">
        <v>1283</v>
      </c>
      <c r="E3776" s="569" t="s">
        <v>132</v>
      </c>
      <c r="F3776" s="569" t="s">
        <v>1284</v>
      </c>
      <c r="G3776" s="569" t="s">
        <v>3177</v>
      </c>
      <c r="H3776" s="569"/>
      <c r="I3776" s="577" t="s">
        <v>204</v>
      </c>
      <c r="J3776" s="578">
        <v>1</v>
      </c>
      <c r="K3776" s="579"/>
      <c r="L3776" s="579">
        <v>7.61</v>
      </c>
      <c r="M3776" s="579">
        <v>7.61</v>
      </c>
      <c r="N3776" s="573">
        <v>2.73</v>
      </c>
      <c r="O3776" s="556" t="str">
        <f>IF(N3776=M3776,"OK","DIF")</f>
        <v>DIF</v>
      </c>
      <c r="P3776" s="573"/>
      <c r="Q3776" s="556"/>
      <c r="R3776" s="582"/>
    </row>
    <row r="3777" ht="23.85" customHeight="1" spans="1:18">
      <c r="A3777" s="556">
        <f>B3777</f>
        <v>0</v>
      </c>
      <c r="B3777" s="557">
        <f>B3776</f>
        <v>0</v>
      </c>
      <c r="C3777" s="79" t="s">
        <v>2921</v>
      </c>
      <c r="D3777" s="78" t="s">
        <v>3151</v>
      </c>
      <c r="E3777" s="79" t="s">
        <v>139</v>
      </c>
      <c r="F3777" s="79" t="s">
        <v>3152</v>
      </c>
      <c r="G3777" s="79" t="s">
        <v>2928</v>
      </c>
      <c r="H3777" s="79"/>
      <c r="I3777" s="80" t="s">
        <v>2897</v>
      </c>
      <c r="J3777" s="583">
        <v>0.029</v>
      </c>
      <c r="K3777" s="583">
        <v>0</v>
      </c>
      <c r="L3777" s="92">
        <v>36.82</v>
      </c>
      <c r="M3777" s="92">
        <v>1.06</v>
      </c>
      <c r="N3777" s="573">
        <v>0.09</v>
      </c>
      <c r="O3777" s="556" t="str">
        <f>IF(N3777=M3777,"OK","DIF")</f>
        <v>DIF</v>
      </c>
      <c r="P3777" s="573"/>
      <c r="Q3777" s="556"/>
      <c r="R3777" s="582"/>
    </row>
    <row r="3778" ht="23.85" customHeight="1" spans="1:18">
      <c r="A3778" s="556"/>
      <c r="B3778" s="557"/>
      <c r="C3778" s="79" t="s">
        <v>2921</v>
      </c>
      <c r="D3778" s="78" t="s">
        <v>3153</v>
      </c>
      <c r="E3778" s="79" t="s">
        <v>139</v>
      </c>
      <c r="F3778" s="79" t="s">
        <v>3154</v>
      </c>
      <c r="G3778" s="79" t="s">
        <v>2928</v>
      </c>
      <c r="H3778" s="79"/>
      <c r="I3778" s="80" t="s">
        <v>2897</v>
      </c>
      <c r="J3778" s="583">
        <v>0.029</v>
      </c>
      <c r="K3778" s="583">
        <v>0</v>
      </c>
      <c r="L3778" s="92">
        <v>30.6</v>
      </c>
      <c r="M3778" s="92">
        <v>0.88</v>
      </c>
      <c r="N3778" s="573"/>
      <c r="O3778" s="556"/>
      <c r="P3778" s="573"/>
      <c r="Q3778" s="556"/>
      <c r="R3778" s="582"/>
    </row>
    <row r="3779" ht="15" customHeight="1" spans="1:18">
      <c r="A3779" s="556"/>
      <c r="B3779" s="557"/>
      <c r="C3779" s="100" t="s">
        <v>2893</v>
      </c>
      <c r="D3779" s="99" t="s">
        <v>4194</v>
      </c>
      <c r="E3779" s="100" t="s">
        <v>132</v>
      </c>
      <c r="F3779" s="100" t="s">
        <v>1284</v>
      </c>
      <c r="G3779" s="100" t="s">
        <v>2961</v>
      </c>
      <c r="H3779" s="100"/>
      <c r="I3779" s="101" t="s">
        <v>134</v>
      </c>
      <c r="J3779" s="580">
        <v>1.2434</v>
      </c>
      <c r="K3779" s="580">
        <v>0</v>
      </c>
      <c r="L3779" s="102">
        <v>4.49</v>
      </c>
      <c r="M3779" s="102">
        <v>5.58</v>
      </c>
      <c r="N3779" s="573"/>
      <c r="O3779" s="556"/>
      <c r="P3779" s="573"/>
      <c r="Q3779" s="556"/>
      <c r="R3779" s="582"/>
    </row>
    <row r="3780" ht="23.85" customHeight="1" spans="1:18">
      <c r="A3780" s="556"/>
      <c r="B3780" s="557"/>
      <c r="C3780" s="100" t="s">
        <v>2893</v>
      </c>
      <c r="D3780" s="99" t="s">
        <v>3161</v>
      </c>
      <c r="E3780" s="100" t="s">
        <v>139</v>
      </c>
      <c r="F3780" s="100" t="s">
        <v>3162</v>
      </c>
      <c r="G3780" s="100" t="s">
        <v>2961</v>
      </c>
      <c r="H3780" s="100"/>
      <c r="I3780" s="101" t="s">
        <v>134</v>
      </c>
      <c r="J3780" s="580">
        <v>0.0094</v>
      </c>
      <c r="K3780" s="580">
        <v>0</v>
      </c>
      <c r="L3780" s="102">
        <v>10.55</v>
      </c>
      <c r="M3780" s="102">
        <v>0.09</v>
      </c>
      <c r="N3780" s="573"/>
      <c r="O3780" s="556"/>
      <c r="P3780" s="573"/>
      <c r="Q3780" s="556"/>
      <c r="R3780" s="582"/>
    </row>
    <row r="3781" ht="25.5" spans="1:18">
      <c r="A3781" s="556"/>
      <c r="B3781" s="557" t="str">
        <f>C3780</f>
        <v>Insumo</v>
      </c>
      <c r="C3781" s="108"/>
      <c r="D3781" s="108"/>
      <c r="E3781" s="108"/>
      <c r="F3781" s="108"/>
      <c r="G3781" s="108"/>
      <c r="H3781" s="108" t="s">
        <v>2898</v>
      </c>
      <c r="I3781" s="581">
        <v>1.36</v>
      </c>
      <c r="J3781" s="108" t="s">
        <v>2899</v>
      </c>
      <c r="K3781" s="581">
        <v>0</v>
      </c>
      <c r="L3781" s="108" t="s">
        <v>2900</v>
      </c>
      <c r="M3781" s="581">
        <v>1.36</v>
      </c>
      <c r="N3781" s="573">
        <v>17.78</v>
      </c>
      <c r="O3781" s="556" t="str">
        <f>IF(N3781=M3781,"OK","DIF")</f>
        <v>DIF</v>
      </c>
      <c r="P3781" s="573"/>
      <c r="Q3781" s="556"/>
      <c r="R3781" s="582"/>
    </row>
    <row r="3782" ht="26.25" spans="1:18">
      <c r="A3782" s="556" t="str">
        <f>B3782</f>
        <v>Insumo</v>
      </c>
      <c r="B3782" s="557" t="str">
        <f>B3781</f>
        <v>Insumo</v>
      </c>
      <c r="C3782" s="108"/>
      <c r="D3782" s="108"/>
      <c r="E3782" s="108"/>
      <c r="F3782" s="108"/>
      <c r="G3782" s="108"/>
      <c r="H3782" s="108" t="s">
        <v>2901</v>
      </c>
      <c r="I3782" s="581">
        <v>1.93</v>
      </c>
      <c r="J3782" s="114"/>
      <c r="K3782" s="114" t="s">
        <v>2902</v>
      </c>
      <c r="L3782" s="108"/>
      <c r="M3782" s="581">
        <v>9.54</v>
      </c>
      <c r="N3782" s="573">
        <v>3.36</v>
      </c>
      <c r="O3782" s="556" t="str">
        <f>IF(N3782=M3782,"OK","DIF")</f>
        <v>DIF</v>
      </c>
      <c r="P3782" s="573"/>
      <c r="Q3782" s="556"/>
      <c r="R3782" s="582"/>
    </row>
    <row r="3783" ht="15" spans="1:18">
      <c r="A3783" s="556" t="str">
        <f>B3783</f>
        <v>Insumo</v>
      </c>
      <c r="B3783" s="557" t="str">
        <f>B3782</f>
        <v>Insumo</v>
      </c>
      <c r="C3783" s="571"/>
      <c r="D3783" s="571"/>
      <c r="E3783" s="571"/>
      <c r="F3783" s="571"/>
      <c r="G3783" s="571"/>
      <c r="H3783" s="571"/>
      <c r="I3783" s="571"/>
      <c r="J3783" s="571"/>
      <c r="K3783" s="571"/>
      <c r="L3783" s="571"/>
      <c r="M3783" s="571"/>
      <c r="N3783" s="573">
        <v>5.1</v>
      </c>
      <c r="O3783" s="556" t="str">
        <f>IF(N3783=M3783,"OK","DIF")</f>
        <v>DIF</v>
      </c>
      <c r="P3783" s="573"/>
      <c r="Q3783" s="556"/>
      <c r="R3783" s="582"/>
    </row>
    <row r="3784" ht="15" customHeight="1" spans="1:18">
      <c r="A3784" s="556" t="str">
        <f>B3784</f>
        <v>Insumo</v>
      </c>
      <c r="B3784" s="557" t="str">
        <f>B3783</f>
        <v>Insumo</v>
      </c>
      <c r="C3784" s="76" t="s">
        <v>1285</v>
      </c>
      <c r="D3784" s="75" t="s">
        <v>63</v>
      </c>
      <c r="E3784" s="76" t="s">
        <v>64</v>
      </c>
      <c r="F3784" s="76" t="s">
        <v>65</v>
      </c>
      <c r="G3784" s="76" t="s">
        <v>2889</v>
      </c>
      <c r="H3784" s="76"/>
      <c r="I3784" s="77" t="s">
        <v>66</v>
      </c>
      <c r="J3784" s="75" t="s">
        <v>67</v>
      </c>
      <c r="K3784" s="75" t="s">
        <v>2890</v>
      </c>
      <c r="L3784" s="75" t="s">
        <v>68</v>
      </c>
      <c r="M3784" s="75" t="s">
        <v>70</v>
      </c>
      <c r="N3784" s="573">
        <v>9.32</v>
      </c>
      <c r="O3784" s="556" t="str">
        <f>IF(N3784=M3784,"OK","DIF")</f>
        <v>DIF</v>
      </c>
      <c r="P3784" s="573"/>
      <c r="Q3784" s="556"/>
      <c r="R3784" s="582"/>
    </row>
    <row r="3785" ht="35.05" customHeight="1" spans="1:18">
      <c r="A3785" s="556"/>
      <c r="B3785" s="557"/>
      <c r="C3785" s="569" t="s">
        <v>2891</v>
      </c>
      <c r="D3785" s="570" t="s">
        <v>1286</v>
      </c>
      <c r="E3785" s="569" t="s">
        <v>132</v>
      </c>
      <c r="F3785" s="569" t="s">
        <v>1287</v>
      </c>
      <c r="G3785" s="569" t="s">
        <v>3177</v>
      </c>
      <c r="H3785" s="569"/>
      <c r="I3785" s="577" t="s">
        <v>204</v>
      </c>
      <c r="J3785" s="578">
        <v>1</v>
      </c>
      <c r="K3785" s="579"/>
      <c r="L3785" s="579">
        <v>24.19</v>
      </c>
      <c r="M3785" s="579">
        <v>24.19</v>
      </c>
      <c r="N3785" s="573"/>
      <c r="O3785" s="556"/>
      <c r="P3785" s="573"/>
      <c r="Q3785" s="556"/>
      <c r="R3785" s="582"/>
    </row>
    <row r="3786" ht="23.85" customHeight="1" spans="1:18">
      <c r="A3786" s="556"/>
      <c r="B3786" s="557"/>
      <c r="C3786" s="79" t="s">
        <v>2921</v>
      </c>
      <c r="D3786" s="78" t="s">
        <v>3153</v>
      </c>
      <c r="E3786" s="79" t="s">
        <v>139</v>
      </c>
      <c r="F3786" s="79" t="s">
        <v>3154</v>
      </c>
      <c r="G3786" s="79" t="s">
        <v>2928</v>
      </c>
      <c r="H3786" s="79"/>
      <c r="I3786" s="80" t="s">
        <v>2897</v>
      </c>
      <c r="J3786" s="583">
        <v>0.029</v>
      </c>
      <c r="K3786" s="583">
        <v>0</v>
      </c>
      <c r="L3786" s="92">
        <v>30.6</v>
      </c>
      <c r="M3786" s="92">
        <v>0.88</v>
      </c>
      <c r="N3786" s="573"/>
      <c r="O3786" s="556"/>
      <c r="P3786" s="573"/>
      <c r="Q3786" s="556"/>
      <c r="R3786" s="582"/>
    </row>
    <row r="3787" ht="23.85" customHeight="1" spans="1:18">
      <c r="A3787" s="556"/>
      <c r="B3787" s="557" t="str">
        <f>C3786</f>
        <v>Composição Auxiliar</v>
      </c>
      <c r="C3787" s="79" t="s">
        <v>2921</v>
      </c>
      <c r="D3787" s="78" t="s">
        <v>3151</v>
      </c>
      <c r="E3787" s="79" t="s">
        <v>139</v>
      </c>
      <c r="F3787" s="79" t="s">
        <v>3152</v>
      </c>
      <c r="G3787" s="79" t="s">
        <v>2928</v>
      </c>
      <c r="H3787" s="79"/>
      <c r="I3787" s="80" t="s">
        <v>2897</v>
      </c>
      <c r="J3787" s="583">
        <v>0.029</v>
      </c>
      <c r="K3787" s="583">
        <v>0</v>
      </c>
      <c r="L3787" s="92">
        <v>36.82</v>
      </c>
      <c r="M3787" s="92">
        <v>1.06</v>
      </c>
      <c r="N3787" s="573">
        <v>21.19</v>
      </c>
      <c r="O3787" s="556" t="str">
        <f t="shared" ref="O3787:O3793" si="295">IF(N3787=M3787,"OK","DIF")</f>
        <v>DIF</v>
      </c>
      <c r="P3787" s="573"/>
      <c r="Q3787" s="556"/>
      <c r="R3787" s="582"/>
    </row>
    <row r="3788" ht="23.85" customHeight="1" spans="1:18">
      <c r="A3788" s="556" t="str">
        <f t="shared" ref="A3788:A3793" si="296">B3788</f>
        <v>Composição Auxiliar</v>
      </c>
      <c r="B3788" s="557" t="str">
        <f t="shared" ref="B3788:B3793" si="297">B3787</f>
        <v>Composição Auxiliar</v>
      </c>
      <c r="C3788" s="100" t="s">
        <v>2893</v>
      </c>
      <c r="D3788" s="99" t="s">
        <v>3161</v>
      </c>
      <c r="E3788" s="100" t="s">
        <v>139</v>
      </c>
      <c r="F3788" s="100" t="s">
        <v>3162</v>
      </c>
      <c r="G3788" s="100" t="s">
        <v>2961</v>
      </c>
      <c r="H3788" s="100"/>
      <c r="I3788" s="101" t="s">
        <v>134</v>
      </c>
      <c r="J3788" s="580">
        <v>0.0094</v>
      </c>
      <c r="K3788" s="580">
        <v>0</v>
      </c>
      <c r="L3788" s="102">
        <v>10.55</v>
      </c>
      <c r="M3788" s="102">
        <v>0.09</v>
      </c>
      <c r="N3788" s="573">
        <v>5.58</v>
      </c>
      <c r="O3788" s="556" t="str">
        <f t="shared" si="295"/>
        <v>DIF</v>
      </c>
      <c r="P3788" s="573"/>
      <c r="Q3788" s="556"/>
      <c r="R3788" s="582"/>
    </row>
    <row r="3789" ht="15" customHeight="1" spans="1:18">
      <c r="A3789" s="556" t="str">
        <f t="shared" si="296"/>
        <v>Composição Auxiliar</v>
      </c>
      <c r="B3789" s="557" t="str">
        <f t="shared" si="297"/>
        <v>Composição Auxiliar</v>
      </c>
      <c r="C3789" s="100" t="s">
        <v>2893</v>
      </c>
      <c r="D3789" s="99" t="s">
        <v>4195</v>
      </c>
      <c r="E3789" s="100" t="s">
        <v>132</v>
      </c>
      <c r="F3789" s="100" t="s">
        <v>1287</v>
      </c>
      <c r="G3789" s="100" t="s">
        <v>2961</v>
      </c>
      <c r="H3789" s="100"/>
      <c r="I3789" s="101" t="s">
        <v>134</v>
      </c>
      <c r="J3789" s="580">
        <v>1.2434</v>
      </c>
      <c r="K3789" s="580">
        <v>0</v>
      </c>
      <c r="L3789" s="102">
        <v>17.83</v>
      </c>
      <c r="M3789" s="102">
        <v>22.16</v>
      </c>
      <c r="N3789" s="573">
        <v>0.05</v>
      </c>
      <c r="O3789" s="556" t="str">
        <f t="shared" si="295"/>
        <v>DIF</v>
      </c>
      <c r="P3789" s="573"/>
      <c r="Q3789" s="556"/>
      <c r="R3789" s="582"/>
    </row>
    <row r="3790" ht="25.5" spans="1:18">
      <c r="A3790" s="556" t="str">
        <f t="shared" si="296"/>
        <v>Composição Auxiliar</v>
      </c>
      <c r="B3790" s="557" t="str">
        <f t="shared" si="297"/>
        <v>Composição Auxiliar</v>
      </c>
      <c r="C3790" s="108"/>
      <c r="D3790" s="108"/>
      <c r="E3790" s="108"/>
      <c r="F3790" s="108"/>
      <c r="G3790" s="108"/>
      <c r="H3790" s="108" t="s">
        <v>2898</v>
      </c>
      <c r="I3790" s="581">
        <v>1.36</v>
      </c>
      <c r="J3790" s="108" t="s">
        <v>2899</v>
      </c>
      <c r="K3790" s="581">
        <v>0</v>
      </c>
      <c r="L3790" s="108" t="s">
        <v>2900</v>
      </c>
      <c r="M3790" s="581">
        <v>1.36</v>
      </c>
      <c r="N3790" s="573">
        <v>0.9</v>
      </c>
      <c r="O3790" s="556" t="str">
        <f t="shared" si="295"/>
        <v>DIF</v>
      </c>
      <c r="P3790" s="573"/>
      <c r="Q3790" s="556"/>
      <c r="R3790" s="582"/>
    </row>
    <row r="3791" ht="26.25" spans="1:18">
      <c r="A3791" s="556" t="str">
        <f t="shared" si="296"/>
        <v>Composição Auxiliar</v>
      </c>
      <c r="B3791" s="557" t="str">
        <f t="shared" si="297"/>
        <v>Composição Auxiliar</v>
      </c>
      <c r="C3791" s="108"/>
      <c r="D3791" s="108"/>
      <c r="E3791" s="108"/>
      <c r="F3791" s="108"/>
      <c r="G3791" s="108"/>
      <c r="H3791" s="108" t="s">
        <v>2901</v>
      </c>
      <c r="I3791" s="581">
        <v>6.16</v>
      </c>
      <c r="J3791" s="114"/>
      <c r="K3791" s="114" t="s">
        <v>2902</v>
      </c>
      <c r="L3791" s="108"/>
      <c r="M3791" s="581">
        <v>30.35</v>
      </c>
      <c r="N3791" s="573">
        <v>1.79</v>
      </c>
      <c r="O3791" s="556" t="str">
        <f t="shared" si="295"/>
        <v>DIF</v>
      </c>
      <c r="P3791" s="573"/>
      <c r="Q3791" s="556"/>
      <c r="R3791" s="582"/>
    </row>
    <row r="3792" ht="15" spans="1:18">
      <c r="A3792" s="556" t="str">
        <f t="shared" si="296"/>
        <v>Composição Auxiliar</v>
      </c>
      <c r="B3792" s="557" t="str">
        <f t="shared" si="297"/>
        <v>Composição Auxiliar</v>
      </c>
      <c r="C3792" s="571"/>
      <c r="D3792" s="571"/>
      <c r="E3792" s="571"/>
      <c r="F3792" s="571"/>
      <c r="G3792" s="571"/>
      <c r="H3792" s="571"/>
      <c r="I3792" s="571"/>
      <c r="J3792" s="571"/>
      <c r="K3792" s="571"/>
      <c r="L3792" s="571"/>
      <c r="M3792" s="571"/>
      <c r="N3792" s="573">
        <v>8.53</v>
      </c>
      <c r="O3792" s="556" t="str">
        <f t="shared" si="295"/>
        <v>DIF</v>
      </c>
      <c r="P3792" s="573"/>
      <c r="Q3792" s="556"/>
      <c r="R3792" s="582"/>
    </row>
    <row r="3793" ht="15" customHeight="1" spans="1:18">
      <c r="A3793" s="556" t="str">
        <f t="shared" si="296"/>
        <v>Composição Auxiliar</v>
      </c>
      <c r="B3793" s="557" t="str">
        <f t="shared" si="297"/>
        <v>Composição Auxiliar</v>
      </c>
      <c r="C3793" s="76" t="s">
        <v>1288</v>
      </c>
      <c r="D3793" s="75" t="s">
        <v>63</v>
      </c>
      <c r="E3793" s="76" t="s">
        <v>64</v>
      </c>
      <c r="F3793" s="76" t="s">
        <v>65</v>
      </c>
      <c r="G3793" s="76" t="s">
        <v>2889</v>
      </c>
      <c r="H3793" s="76"/>
      <c r="I3793" s="77" t="s">
        <v>66</v>
      </c>
      <c r="J3793" s="75" t="s">
        <v>67</v>
      </c>
      <c r="K3793" s="75" t="s">
        <v>2890</v>
      </c>
      <c r="L3793" s="75" t="s">
        <v>68</v>
      </c>
      <c r="M3793" s="75" t="s">
        <v>70</v>
      </c>
      <c r="N3793" s="573">
        <v>4.34</v>
      </c>
      <c r="O3793" s="556" t="str">
        <f t="shared" si="295"/>
        <v>DIF</v>
      </c>
      <c r="P3793" s="573"/>
      <c r="Q3793" s="556"/>
      <c r="R3793" s="582"/>
    </row>
    <row r="3794" ht="35.05" customHeight="1" spans="1:18">
      <c r="A3794" s="556"/>
      <c r="B3794" s="557"/>
      <c r="C3794" s="569" t="s">
        <v>2891</v>
      </c>
      <c r="D3794" s="570" t="s">
        <v>1289</v>
      </c>
      <c r="E3794" s="569" t="s">
        <v>132</v>
      </c>
      <c r="F3794" s="569" t="s">
        <v>1290</v>
      </c>
      <c r="G3794" s="569" t="s">
        <v>3177</v>
      </c>
      <c r="H3794" s="569"/>
      <c r="I3794" s="577" t="s">
        <v>134</v>
      </c>
      <c r="J3794" s="578">
        <v>1</v>
      </c>
      <c r="K3794" s="579"/>
      <c r="L3794" s="579">
        <v>61302.17</v>
      </c>
      <c r="M3794" s="579">
        <v>61302.17</v>
      </c>
      <c r="N3794" s="573"/>
      <c r="O3794" s="556"/>
      <c r="P3794" s="573"/>
      <c r="Q3794" s="556"/>
      <c r="R3794" s="582"/>
    </row>
    <row r="3795" ht="23.85" customHeight="1" spans="1:18">
      <c r="A3795" s="556"/>
      <c r="B3795" s="557"/>
      <c r="C3795" s="79" t="s">
        <v>2921</v>
      </c>
      <c r="D3795" s="78" t="s">
        <v>2952</v>
      </c>
      <c r="E3795" s="79" t="s">
        <v>139</v>
      </c>
      <c r="F3795" s="79" t="s">
        <v>2953</v>
      </c>
      <c r="G3795" s="79" t="s">
        <v>2928</v>
      </c>
      <c r="H3795" s="79"/>
      <c r="I3795" s="80" t="s">
        <v>2897</v>
      </c>
      <c r="J3795" s="583">
        <v>0.25</v>
      </c>
      <c r="K3795" s="583">
        <v>0</v>
      </c>
      <c r="L3795" s="92">
        <v>29.15</v>
      </c>
      <c r="M3795" s="92">
        <v>7.28</v>
      </c>
      <c r="N3795" s="573"/>
      <c r="O3795" s="556"/>
      <c r="P3795" s="573"/>
      <c r="Q3795" s="556"/>
      <c r="R3795" s="582"/>
    </row>
    <row r="3796" ht="23.85" customHeight="1" spans="1:18">
      <c r="A3796" s="556"/>
      <c r="B3796" s="557" t="str">
        <f>C3795</f>
        <v>Composição Auxiliar</v>
      </c>
      <c r="C3796" s="79" t="s">
        <v>2921</v>
      </c>
      <c r="D3796" s="78" t="s">
        <v>4196</v>
      </c>
      <c r="E3796" s="79" t="s">
        <v>139</v>
      </c>
      <c r="F3796" s="79" t="s">
        <v>4197</v>
      </c>
      <c r="G3796" s="79" t="s">
        <v>2928</v>
      </c>
      <c r="H3796" s="79"/>
      <c r="I3796" s="80" t="s">
        <v>2897</v>
      </c>
      <c r="J3796" s="583">
        <v>0.25</v>
      </c>
      <c r="K3796" s="583">
        <v>0</v>
      </c>
      <c r="L3796" s="92">
        <v>47.1</v>
      </c>
      <c r="M3796" s="92">
        <v>11.77</v>
      </c>
      <c r="N3796" s="573">
        <v>72.02</v>
      </c>
      <c r="O3796" s="556" t="str">
        <f>IF(N3796=M3796,"OK","DIF")</f>
        <v>DIF</v>
      </c>
      <c r="P3796" s="573"/>
      <c r="Q3796" s="556"/>
      <c r="R3796" s="582"/>
    </row>
    <row r="3797" ht="23.85" customHeight="1" spans="1:18">
      <c r="A3797" s="556" t="str">
        <f>B3797</f>
        <v>Composição Auxiliar</v>
      </c>
      <c r="B3797" s="557" t="str">
        <f>B3796</f>
        <v>Composição Auxiliar</v>
      </c>
      <c r="C3797" s="100" t="s">
        <v>2893</v>
      </c>
      <c r="D3797" s="99" t="s">
        <v>4198</v>
      </c>
      <c r="E3797" s="100" t="s">
        <v>132</v>
      </c>
      <c r="F3797" s="100" t="s">
        <v>1290</v>
      </c>
      <c r="G3797" s="100" t="s">
        <v>2961</v>
      </c>
      <c r="H3797" s="100"/>
      <c r="I3797" s="101" t="s">
        <v>134</v>
      </c>
      <c r="J3797" s="580">
        <v>1</v>
      </c>
      <c r="K3797" s="580">
        <v>0</v>
      </c>
      <c r="L3797" s="102">
        <v>61283.09</v>
      </c>
      <c r="M3797" s="102">
        <v>61283.09</v>
      </c>
      <c r="N3797" s="573">
        <v>8.21</v>
      </c>
      <c r="O3797" s="556" t="str">
        <f>IF(N3797=M3797,"OK","DIF")</f>
        <v>DIF</v>
      </c>
      <c r="P3797" s="573"/>
      <c r="Q3797" s="556"/>
      <c r="R3797" s="582"/>
    </row>
    <row r="3798" ht="15" customHeight="1" spans="1:18">
      <c r="A3798" s="556" t="str">
        <f>B3798</f>
        <v>Composição Auxiliar</v>
      </c>
      <c r="B3798" s="557" t="str">
        <f>B3797</f>
        <v>Composição Auxiliar</v>
      </c>
      <c r="C3798" s="100" t="s">
        <v>2893</v>
      </c>
      <c r="D3798" s="99" t="s">
        <v>4199</v>
      </c>
      <c r="E3798" s="100" t="s">
        <v>77</v>
      </c>
      <c r="F3798" s="100" t="s">
        <v>4200</v>
      </c>
      <c r="G3798" s="100" t="s">
        <v>2961</v>
      </c>
      <c r="H3798" s="100"/>
      <c r="I3798" s="101" t="s">
        <v>134</v>
      </c>
      <c r="J3798" s="580">
        <v>0.0084</v>
      </c>
      <c r="K3798" s="580">
        <v>0</v>
      </c>
      <c r="L3798" s="102">
        <v>3.98</v>
      </c>
      <c r="M3798" s="102">
        <v>0.03</v>
      </c>
      <c r="N3798" s="573">
        <v>6.78</v>
      </c>
      <c r="O3798" s="556" t="str">
        <f>IF(N3798=M3798,"OK","DIF")</f>
        <v>DIF</v>
      </c>
      <c r="P3798" s="573"/>
      <c r="Q3798" s="556"/>
      <c r="R3798" s="582"/>
    </row>
    <row r="3799" ht="25.5" spans="1:18">
      <c r="A3799" s="556" t="str">
        <f>B3799</f>
        <v>Composição Auxiliar</v>
      </c>
      <c r="B3799" s="557" t="str">
        <f>B3798</f>
        <v>Composição Auxiliar</v>
      </c>
      <c r="C3799" s="108"/>
      <c r="D3799" s="108"/>
      <c r="E3799" s="108"/>
      <c r="F3799" s="108"/>
      <c r="G3799" s="108"/>
      <c r="H3799" s="108" t="s">
        <v>2898</v>
      </c>
      <c r="I3799" s="581">
        <v>14.06</v>
      </c>
      <c r="J3799" s="108" t="s">
        <v>2899</v>
      </c>
      <c r="K3799" s="581">
        <v>0</v>
      </c>
      <c r="L3799" s="108" t="s">
        <v>2900</v>
      </c>
      <c r="M3799" s="581">
        <v>14.06</v>
      </c>
      <c r="N3799" s="573">
        <v>18.8</v>
      </c>
      <c r="O3799" s="556" t="str">
        <f>IF(N3799=M3799,"OK","DIF")</f>
        <v>DIF</v>
      </c>
      <c r="P3799" s="573"/>
      <c r="Q3799" s="556"/>
      <c r="R3799" s="582"/>
    </row>
    <row r="3800" ht="26.25" spans="1:18">
      <c r="A3800" s="556" t="str">
        <f>B3800</f>
        <v>Composição Auxiliar</v>
      </c>
      <c r="B3800" s="557" t="str">
        <f>B3799</f>
        <v>Composição Auxiliar</v>
      </c>
      <c r="C3800" s="108"/>
      <c r="D3800" s="108"/>
      <c r="E3800" s="108"/>
      <c r="F3800" s="108"/>
      <c r="G3800" s="108"/>
      <c r="H3800" s="108" t="s">
        <v>2901</v>
      </c>
      <c r="I3800" s="581">
        <v>15625.92</v>
      </c>
      <c r="J3800" s="114"/>
      <c r="K3800" s="114" t="s">
        <v>2902</v>
      </c>
      <c r="L3800" s="108"/>
      <c r="M3800" s="581">
        <v>76928.09</v>
      </c>
      <c r="N3800" s="573">
        <v>38.23</v>
      </c>
      <c r="O3800" s="556" t="str">
        <f>IF(N3800=M3800,"OK","DIF")</f>
        <v>DIF</v>
      </c>
      <c r="P3800" s="573"/>
      <c r="Q3800" s="556"/>
      <c r="R3800" s="582"/>
    </row>
    <row r="3801" ht="15" spans="1:18">
      <c r="A3801" s="556"/>
      <c r="B3801" s="557"/>
      <c r="C3801" s="571"/>
      <c r="D3801" s="571"/>
      <c r="E3801" s="571"/>
      <c r="F3801" s="571"/>
      <c r="G3801" s="571"/>
      <c r="H3801" s="571"/>
      <c r="I3801" s="571"/>
      <c r="J3801" s="571"/>
      <c r="K3801" s="571"/>
      <c r="L3801" s="571"/>
      <c r="M3801" s="571"/>
      <c r="N3801" s="573"/>
      <c r="O3801" s="556"/>
      <c r="P3801" s="573"/>
      <c r="Q3801" s="556"/>
      <c r="R3801" s="582"/>
    </row>
    <row r="3802" ht="15" customHeight="1" spans="1:18">
      <c r="A3802" s="556"/>
      <c r="B3802" s="557"/>
      <c r="C3802" s="76" t="s">
        <v>1291</v>
      </c>
      <c r="D3802" s="75" t="s">
        <v>63</v>
      </c>
      <c r="E3802" s="76" t="s">
        <v>64</v>
      </c>
      <c r="F3802" s="76" t="s">
        <v>65</v>
      </c>
      <c r="G3802" s="76" t="s">
        <v>2889</v>
      </c>
      <c r="H3802" s="76"/>
      <c r="I3802" s="77" t="s">
        <v>66</v>
      </c>
      <c r="J3802" s="75" t="s">
        <v>67</v>
      </c>
      <c r="K3802" s="75" t="s">
        <v>2890</v>
      </c>
      <c r="L3802" s="75" t="s">
        <v>68</v>
      </c>
      <c r="M3802" s="75" t="s">
        <v>70</v>
      </c>
      <c r="N3802" s="573"/>
      <c r="O3802" s="556"/>
      <c r="P3802" s="573"/>
      <c r="Q3802" s="556"/>
      <c r="R3802" s="582"/>
    </row>
    <row r="3803" ht="35.05" customHeight="1" spans="1:18">
      <c r="A3803" s="556"/>
      <c r="B3803" s="557" t="str">
        <f>C3802</f>
        <v> 12.3.34 </v>
      </c>
      <c r="C3803" s="569" t="s">
        <v>2891</v>
      </c>
      <c r="D3803" s="570" t="s">
        <v>1292</v>
      </c>
      <c r="E3803" s="569" t="s">
        <v>132</v>
      </c>
      <c r="F3803" s="569" t="s">
        <v>1293</v>
      </c>
      <c r="G3803" s="569" t="s">
        <v>3177</v>
      </c>
      <c r="H3803" s="569"/>
      <c r="I3803" s="577" t="s">
        <v>134</v>
      </c>
      <c r="J3803" s="578">
        <v>1</v>
      </c>
      <c r="K3803" s="579"/>
      <c r="L3803" s="579">
        <v>3673.31</v>
      </c>
      <c r="M3803" s="579">
        <v>3673.31</v>
      </c>
      <c r="N3803" s="573">
        <v>56.45</v>
      </c>
      <c r="O3803" s="556" t="str">
        <f>IF(N3803=M3803,"OK","DIF")</f>
        <v>DIF</v>
      </c>
      <c r="P3803" s="573"/>
      <c r="Q3803" s="556"/>
      <c r="R3803" s="582"/>
    </row>
    <row r="3804" ht="23.85" customHeight="1" spans="1:18">
      <c r="A3804" s="556" t="str">
        <f>B3804</f>
        <v> 12.3.34 </v>
      </c>
      <c r="B3804" s="557" t="str">
        <f>B3803</f>
        <v> 12.3.34 </v>
      </c>
      <c r="C3804" s="79" t="s">
        <v>2921</v>
      </c>
      <c r="D3804" s="78" t="s">
        <v>4196</v>
      </c>
      <c r="E3804" s="79" t="s">
        <v>139</v>
      </c>
      <c r="F3804" s="79" t="s">
        <v>4197</v>
      </c>
      <c r="G3804" s="79" t="s">
        <v>2928</v>
      </c>
      <c r="H3804" s="79"/>
      <c r="I3804" s="80" t="s">
        <v>2897</v>
      </c>
      <c r="J3804" s="583">
        <v>0.25</v>
      </c>
      <c r="K3804" s="583">
        <v>0</v>
      </c>
      <c r="L3804" s="92">
        <v>47.1</v>
      </c>
      <c r="M3804" s="92">
        <v>11.77</v>
      </c>
      <c r="N3804" s="573">
        <v>0.9</v>
      </c>
      <c r="O3804" s="556" t="str">
        <f>IF(N3804=M3804,"OK","DIF")</f>
        <v>DIF</v>
      </c>
      <c r="P3804" s="573"/>
      <c r="Q3804" s="556"/>
      <c r="R3804" s="582"/>
    </row>
    <row r="3805" ht="23.85" customHeight="1" spans="1:18">
      <c r="A3805" s="556" t="str">
        <f>B3805</f>
        <v> 12.3.34 </v>
      </c>
      <c r="B3805" s="557" t="str">
        <f>B3804</f>
        <v> 12.3.34 </v>
      </c>
      <c r="C3805" s="79" t="s">
        <v>2921</v>
      </c>
      <c r="D3805" s="78" t="s">
        <v>2952</v>
      </c>
      <c r="E3805" s="79" t="s">
        <v>139</v>
      </c>
      <c r="F3805" s="79" t="s">
        <v>2953</v>
      </c>
      <c r="G3805" s="79" t="s">
        <v>2928</v>
      </c>
      <c r="H3805" s="79"/>
      <c r="I3805" s="80" t="s">
        <v>2897</v>
      </c>
      <c r="J3805" s="583">
        <v>0.25</v>
      </c>
      <c r="K3805" s="583">
        <v>0</v>
      </c>
      <c r="L3805" s="92">
        <v>29.15</v>
      </c>
      <c r="M3805" s="92">
        <v>7.28</v>
      </c>
      <c r="N3805" s="573">
        <v>1.09</v>
      </c>
      <c r="O3805" s="556" t="str">
        <f>IF(N3805=M3805,"OK","DIF")</f>
        <v>DIF</v>
      </c>
      <c r="P3805" s="573"/>
      <c r="Q3805" s="556"/>
      <c r="R3805" s="582"/>
    </row>
    <row r="3806" ht="15" customHeight="1" spans="1:18">
      <c r="A3806" s="556" t="str">
        <f>B3806</f>
        <v> 12.3.34 </v>
      </c>
      <c r="B3806" s="557" t="str">
        <f>B3805</f>
        <v> 12.3.34 </v>
      </c>
      <c r="C3806" s="100" t="s">
        <v>2893</v>
      </c>
      <c r="D3806" s="99" t="s">
        <v>4201</v>
      </c>
      <c r="E3806" s="100" t="s">
        <v>132</v>
      </c>
      <c r="F3806" s="100" t="s">
        <v>4202</v>
      </c>
      <c r="G3806" s="100" t="s">
        <v>2961</v>
      </c>
      <c r="H3806" s="100"/>
      <c r="I3806" s="101" t="s">
        <v>134</v>
      </c>
      <c r="J3806" s="580">
        <v>1</v>
      </c>
      <c r="K3806" s="580">
        <v>0</v>
      </c>
      <c r="L3806" s="102">
        <v>3654.23</v>
      </c>
      <c r="M3806" s="102">
        <v>3654.23</v>
      </c>
      <c r="N3806" s="573">
        <v>54.46</v>
      </c>
      <c r="O3806" s="556" t="str">
        <f>IF(N3806=M3806,"OK","DIF")</f>
        <v>DIF</v>
      </c>
      <c r="P3806" s="573"/>
      <c r="Q3806" s="556"/>
      <c r="R3806" s="582"/>
    </row>
    <row r="3807" ht="15" customHeight="1" spans="1:18">
      <c r="A3807" s="556"/>
      <c r="B3807" s="557"/>
      <c r="C3807" s="100" t="s">
        <v>2893</v>
      </c>
      <c r="D3807" s="99" t="s">
        <v>4199</v>
      </c>
      <c r="E3807" s="100" t="s">
        <v>77</v>
      </c>
      <c r="F3807" s="100" t="s">
        <v>4200</v>
      </c>
      <c r="G3807" s="100" t="s">
        <v>2961</v>
      </c>
      <c r="H3807" s="100"/>
      <c r="I3807" s="101" t="s">
        <v>134</v>
      </c>
      <c r="J3807" s="580">
        <v>0.0084</v>
      </c>
      <c r="K3807" s="580">
        <v>0</v>
      </c>
      <c r="L3807" s="102">
        <v>3.98</v>
      </c>
      <c r="M3807" s="102">
        <v>0.03</v>
      </c>
      <c r="N3807" s="573"/>
      <c r="O3807" s="556"/>
      <c r="P3807" s="573"/>
      <c r="Q3807" s="556"/>
      <c r="R3807" s="582"/>
    </row>
    <row r="3808" ht="25.5" spans="1:18">
      <c r="A3808" s="556"/>
      <c r="B3808" s="557"/>
      <c r="C3808" s="108"/>
      <c r="D3808" s="108"/>
      <c r="E3808" s="108"/>
      <c r="F3808" s="108"/>
      <c r="G3808" s="108"/>
      <c r="H3808" s="108" t="s">
        <v>2898</v>
      </c>
      <c r="I3808" s="581">
        <v>14.06</v>
      </c>
      <c r="J3808" s="108" t="s">
        <v>2899</v>
      </c>
      <c r="K3808" s="581">
        <v>0</v>
      </c>
      <c r="L3808" s="108" t="s">
        <v>2900</v>
      </c>
      <c r="M3808" s="581">
        <v>14.06</v>
      </c>
      <c r="N3808" s="573"/>
      <c r="O3808" s="556"/>
      <c r="P3808" s="573"/>
      <c r="Q3808" s="556"/>
      <c r="R3808" s="582"/>
    </row>
    <row r="3809" ht="26.25" spans="1:18">
      <c r="A3809" s="556"/>
      <c r="B3809" s="557">
        <f>C3808</f>
        <v>0</v>
      </c>
      <c r="C3809" s="108"/>
      <c r="D3809" s="108"/>
      <c r="E3809" s="108"/>
      <c r="F3809" s="108"/>
      <c r="G3809" s="108"/>
      <c r="H3809" s="108" t="s">
        <v>2901</v>
      </c>
      <c r="I3809" s="581">
        <v>936.32</v>
      </c>
      <c r="J3809" s="114"/>
      <c r="K3809" s="114" t="s">
        <v>2902</v>
      </c>
      <c r="L3809" s="108"/>
      <c r="M3809" s="581">
        <v>4609.63</v>
      </c>
      <c r="N3809" s="573">
        <v>37.17</v>
      </c>
      <c r="O3809" s="556" t="str">
        <f>IF(N3809=M3809,"OK","DIF")</f>
        <v>DIF</v>
      </c>
      <c r="P3809" s="573"/>
      <c r="Q3809" s="556"/>
      <c r="R3809" s="582"/>
    </row>
    <row r="3810" ht="15" spans="1:18">
      <c r="A3810" s="556">
        <f>B3810</f>
        <v>0</v>
      </c>
      <c r="B3810" s="557">
        <f>B3809</f>
        <v>0</v>
      </c>
      <c r="C3810" s="571"/>
      <c r="D3810" s="571"/>
      <c r="E3810" s="571"/>
      <c r="F3810" s="571"/>
      <c r="G3810" s="571"/>
      <c r="H3810" s="571"/>
      <c r="I3810" s="571"/>
      <c r="J3810" s="571"/>
      <c r="K3810" s="571"/>
      <c r="L3810" s="571"/>
      <c r="M3810" s="571"/>
      <c r="N3810" s="573">
        <v>15.7</v>
      </c>
      <c r="O3810" s="556" t="str">
        <f>IF(N3810=M3810,"OK","DIF")</f>
        <v>DIF</v>
      </c>
      <c r="P3810" s="573"/>
      <c r="Q3810" s="556"/>
      <c r="R3810" s="582"/>
    </row>
    <row r="3811" ht="15" customHeight="1" spans="1:18">
      <c r="A3811" s="556">
        <f>B3811</f>
        <v>0</v>
      </c>
      <c r="B3811" s="557">
        <f>B3810</f>
        <v>0</v>
      </c>
      <c r="C3811" s="76" t="s">
        <v>1294</v>
      </c>
      <c r="D3811" s="75" t="s">
        <v>63</v>
      </c>
      <c r="E3811" s="76" t="s">
        <v>64</v>
      </c>
      <c r="F3811" s="76" t="s">
        <v>65</v>
      </c>
      <c r="G3811" s="76" t="s">
        <v>2889</v>
      </c>
      <c r="H3811" s="76"/>
      <c r="I3811" s="77" t="s">
        <v>66</v>
      </c>
      <c r="J3811" s="75" t="s">
        <v>67</v>
      </c>
      <c r="K3811" s="75" t="s">
        <v>2890</v>
      </c>
      <c r="L3811" s="75" t="s">
        <v>68</v>
      </c>
      <c r="M3811" s="75" t="s">
        <v>70</v>
      </c>
      <c r="N3811" s="573">
        <v>12.46</v>
      </c>
      <c r="O3811" s="556" t="str">
        <f>IF(N3811=M3811,"OK","DIF")</f>
        <v>DIF</v>
      </c>
      <c r="P3811" s="573"/>
      <c r="Q3811" s="556"/>
      <c r="R3811" s="582"/>
    </row>
    <row r="3812" ht="25.5" spans="1:18">
      <c r="A3812" s="556">
        <f>B3812</f>
        <v>0</v>
      </c>
      <c r="B3812" s="557">
        <f>B3811</f>
        <v>0</v>
      </c>
      <c r="C3812" s="569" t="s">
        <v>2891</v>
      </c>
      <c r="D3812" s="570" t="s">
        <v>1295</v>
      </c>
      <c r="E3812" s="569" t="s">
        <v>77</v>
      </c>
      <c r="F3812" s="569" t="s">
        <v>4203</v>
      </c>
      <c r="G3812" s="569">
        <v>15</v>
      </c>
      <c r="H3812" s="569"/>
      <c r="I3812" s="577" t="s">
        <v>134</v>
      </c>
      <c r="J3812" s="578">
        <v>1</v>
      </c>
      <c r="K3812" s="579"/>
      <c r="L3812" s="579">
        <v>887.22</v>
      </c>
      <c r="M3812" s="579">
        <v>887.22</v>
      </c>
      <c r="N3812" s="573">
        <v>9.01</v>
      </c>
      <c r="O3812" s="556" t="str">
        <f>IF(N3812=M3812,"OK","DIF")</f>
        <v>DIF</v>
      </c>
      <c r="P3812" s="573"/>
      <c r="Q3812" s="556"/>
      <c r="R3812" s="582"/>
    </row>
    <row r="3813" spans="1:18">
      <c r="A3813" s="556"/>
      <c r="B3813" s="557"/>
      <c r="C3813" s="100" t="s">
        <v>2893</v>
      </c>
      <c r="D3813" s="99" t="s">
        <v>4204</v>
      </c>
      <c r="E3813" s="100" t="s">
        <v>77</v>
      </c>
      <c r="F3813" s="100" t="s">
        <v>4205</v>
      </c>
      <c r="G3813" s="100">
        <v>0</v>
      </c>
      <c r="H3813" s="100"/>
      <c r="I3813" s="101" t="s">
        <v>134</v>
      </c>
      <c r="J3813" s="580">
        <v>1</v>
      </c>
      <c r="K3813" s="580">
        <v>0</v>
      </c>
      <c r="L3813" s="102">
        <v>875.4</v>
      </c>
      <c r="M3813" s="102">
        <v>875.4</v>
      </c>
      <c r="N3813" s="573"/>
      <c r="O3813" s="556"/>
      <c r="P3813" s="573"/>
      <c r="Q3813" s="556"/>
      <c r="R3813" s="582"/>
    </row>
    <row r="3814" ht="23.85" customHeight="1" spans="1:18">
      <c r="A3814" s="556"/>
      <c r="B3814" s="557"/>
      <c r="C3814" s="100" t="s">
        <v>2893</v>
      </c>
      <c r="D3814" s="99" t="s">
        <v>4206</v>
      </c>
      <c r="E3814" s="100" t="s">
        <v>77</v>
      </c>
      <c r="F3814" s="100" t="s">
        <v>4207</v>
      </c>
      <c r="G3814" s="100" t="s">
        <v>2896</v>
      </c>
      <c r="H3814" s="100"/>
      <c r="I3814" s="101" t="s">
        <v>2897</v>
      </c>
      <c r="J3814" s="580">
        <v>0.25</v>
      </c>
      <c r="K3814" s="580">
        <v>3</v>
      </c>
      <c r="L3814" s="102">
        <v>26.66</v>
      </c>
      <c r="M3814" s="102">
        <v>6.86</v>
      </c>
      <c r="N3814" s="573"/>
      <c r="O3814" s="556"/>
      <c r="P3814" s="573"/>
      <c r="Q3814" s="556"/>
      <c r="R3814" s="582"/>
    </row>
    <row r="3815" ht="15" customHeight="1" spans="1:18">
      <c r="A3815" s="556"/>
      <c r="B3815" s="557" t="str">
        <f>C3814</f>
        <v>Insumo</v>
      </c>
      <c r="C3815" s="100" t="s">
        <v>2893</v>
      </c>
      <c r="D3815" s="99" t="s">
        <v>4199</v>
      </c>
      <c r="E3815" s="100" t="s">
        <v>77</v>
      </c>
      <c r="F3815" s="100" t="s">
        <v>4200</v>
      </c>
      <c r="G3815" s="100" t="s">
        <v>2961</v>
      </c>
      <c r="H3815" s="100"/>
      <c r="I3815" s="101" t="s">
        <v>134</v>
      </c>
      <c r="J3815" s="580">
        <v>0.0084</v>
      </c>
      <c r="K3815" s="580">
        <v>0</v>
      </c>
      <c r="L3815" s="102">
        <v>3.98</v>
      </c>
      <c r="M3815" s="102">
        <v>0.03</v>
      </c>
      <c r="N3815" s="573">
        <v>192.19</v>
      </c>
      <c r="O3815" s="556" t="str">
        <f t="shared" ref="O3815:O3820" si="298">IF(N3815=M3815,"OK","DIF")</f>
        <v>DIF</v>
      </c>
      <c r="P3815" s="573"/>
      <c r="Q3815" s="556"/>
      <c r="R3815" s="582"/>
    </row>
    <row r="3816" ht="23.85" customHeight="1" spans="1:18">
      <c r="A3816" s="556" t="str">
        <f>B3816</f>
        <v>Insumo</v>
      </c>
      <c r="B3816" s="557" t="str">
        <f>B3815</f>
        <v>Insumo</v>
      </c>
      <c r="C3816" s="100" t="s">
        <v>2893</v>
      </c>
      <c r="D3816" s="99" t="s">
        <v>3108</v>
      </c>
      <c r="E3816" s="100" t="s">
        <v>77</v>
      </c>
      <c r="F3816" s="100" t="s">
        <v>3109</v>
      </c>
      <c r="G3816" s="100" t="s">
        <v>2896</v>
      </c>
      <c r="H3816" s="100"/>
      <c r="I3816" s="101" t="s">
        <v>2897</v>
      </c>
      <c r="J3816" s="580">
        <v>0.25</v>
      </c>
      <c r="K3816" s="580">
        <v>3</v>
      </c>
      <c r="L3816" s="102">
        <v>19.16</v>
      </c>
      <c r="M3816" s="102">
        <v>4.93</v>
      </c>
      <c r="N3816" s="573">
        <v>60.6</v>
      </c>
      <c r="O3816" s="556" t="str">
        <f t="shared" si="298"/>
        <v>DIF</v>
      </c>
      <c r="P3816" s="573"/>
      <c r="Q3816" s="556"/>
      <c r="R3816" s="582"/>
    </row>
    <row r="3817" ht="25.5" spans="1:18">
      <c r="A3817" s="556" t="str">
        <f>B3817</f>
        <v>Insumo</v>
      </c>
      <c r="B3817" s="557" t="str">
        <f>B3816</f>
        <v>Insumo</v>
      </c>
      <c r="C3817" s="108"/>
      <c r="D3817" s="108"/>
      <c r="E3817" s="108"/>
      <c r="F3817" s="108"/>
      <c r="G3817" s="108"/>
      <c r="H3817" s="108" t="s">
        <v>2898</v>
      </c>
      <c r="I3817" s="581">
        <v>11.79</v>
      </c>
      <c r="J3817" s="108" t="s">
        <v>2899</v>
      </c>
      <c r="K3817" s="581">
        <v>0</v>
      </c>
      <c r="L3817" s="108" t="s">
        <v>2900</v>
      </c>
      <c r="M3817" s="581">
        <v>11.79</v>
      </c>
      <c r="N3817" s="573">
        <v>32.06</v>
      </c>
      <c r="O3817" s="556" t="str">
        <f t="shared" si="298"/>
        <v>DIF</v>
      </c>
      <c r="P3817" s="573"/>
      <c r="Q3817" s="556"/>
      <c r="R3817" s="582"/>
    </row>
    <row r="3818" ht="26.25" spans="1:18">
      <c r="A3818" s="556" t="str">
        <f>B3818</f>
        <v>Insumo</v>
      </c>
      <c r="B3818" s="557" t="str">
        <f>B3817</f>
        <v>Insumo</v>
      </c>
      <c r="C3818" s="108"/>
      <c r="D3818" s="108"/>
      <c r="E3818" s="108"/>
      <c r="F3818" s="108"/>
      <c r="G3818" s="108"/>
      <c r="H3818" s="108" t="s">
        <v>2901</v>
      </c>
      <c r="I3818" s="581">
        <v>226.15</v>
      </c>
      <c r="J3818" s="114"/>
      <c r="K3818" s="114" t="s">
        <v>2902</v>
      </c>
      <c r="L3818" s="108"/>
      <c r="M3818" s="581">
        <v>1113.37</v>
      </c>
      <c r="N3818" s="573">
        <v>44.34</v>
      </c>
      <c r="O3818" s="556" t="str">
        <f t="shared" si="298"/>
        <v>DIF</v>
      </c>
      <c r="P3818" s="573"/>
      <c r="Q3818" s="556"/>
      <c r="R3818" s="582"/>
    </row>
    <row r="3819" ht="15" spans="1:18">
      <c r="A3819" s="556" t="str">
        <f>B3819</f>
        <v>Insumo</v>
      </c>
      <c r="B3819" s="557" t="str">
        <f>B3818</f>
        <v>Insumo</v>
      </c>
      <c r="C3819" s="571"/>
      <c r="D3819" s="571"/>
      <c r="E3819" s="571"/>
      <c r="F3819" s="571"/>
      <c r="G3819" s="571"/>
      <c r="H3819" s="571"/>
      <c r="I3819" s="571"/>
      <c r="J3819" s="571"/>
      <c r="K3819" s="571"/>
      <c r="L3819" s="571"/>
      <c r="M3819" s="571"/>
      <c r="N3819" s="573">
        <v>52.9</v>
      </c>
      <c r="O3819" s="556" t="str">
        <f t="shared" si="298"/>
        <v>DIF</v>
      </c>
      <c r="P3819" s="573"/>
      <c r="Q3819" s="556"/>
      <c r="R3819" s="582"/>
    </row>
    <row r="3820" ht="15" customHeight="1" spans="1:18">
      <c r="A3820" s="556" t="str">
        <f>B3820</f>
        <v>Insumo</v>
      </c>
      <c r="B3820" s="557" t="str">
        <f>B3819</f>
        <v>Insumo</v>
      </c>
      <c r="C3820" s="76" t="s">
        <v>1297</v>
      </c>
      <c r="D3820" s="75" t="s">
        <v>63</v>
      </c>
      <c r="E3820" s="76" t="s">
        <v>64</v>
      </c>
      <c r="F3820" s="76" t="s">
        <v>65</v>
      </c>
      <c r="G3820" s="76" t="s">
        <v>2889</v>
      </c>
      <c r="H3820" s="76"/>
      <c r="I3820" s="77" t="s">
        <v>66</v>
      </c>
      <c r="J3820" s="75" t="s">
        <v>67</v>
      </c>
      <c r="K3820" s="75" t="s">
        <v>2890</v>
      </c>
      <c r="L3820" s="75" t="s">
        <v>68</v>
      </c>
      <c r="M3820" s="75" t="s">
        <v>70</v>
      </c>
      <c r="N3820" s="573">
        <v>2.29</v>
      </c>
      <c r="O3820" s="556" t="str">
        <f t="shared" si="298"/>
        <v>DIF</v>
      </c>
      <c r="P3820" s="573" t="s">
        <v>3521</v>
      </c>
      <c r="Q3820" s="556"/>
      <c r="R3820" s="582"/>
    </row>
    <row r="3821" ht="38.25" spans="1:18">
      <c r="A3821" s="556"/>
      <c r="B3821" s="557"/>
      <c r="C3821" s="569" t="s">
        <v>2891</v>
      </c>
      <c r="D3821" s="570" t="s">
        <v>1298</v>
      </c>
      <c r="E3821" s="569" t="s">
        <v>132</v>
      </c>
      <c r="F3821" s="569" t="s">
        <v>1299</v>
      </c>
      <c r="G3821" s="569">
        <v>61.15</v>
      </c>
      <c r="H3821" s="569"/>
      <c r="I3821" s="577" t="s">
        <v>134</v>
      </c>
      <c r="J3821" s="578">
        <v>1</v>
      </c>
      <c r="K3821" s="579"/>
      <c r="L3821" s="579">
        <v>5361.98</v>
      </c>
      <c r="M3821" s="579">
        <v>5361.98</v>
      </c>
      <c r="N3821" s="573"/>
      <c r="O3821" s="556"/>
      <c r="P3821" s="573"/>
      <c r="Q3821" s="556"/>
      <c r="R3821" s="582"/>
    </row>
    <row r="3822" ht="23.85" customHeight="1" spans="1:18">
      <c r="A3822" s="556"/>
      <c r="B3822" s="557"/>
      <c r="C3822" s="79" t="s">
        <v>2921</v>
      </c>
      <c r="D3822" s="78" t="s">
        <v>4196</v>
      </c>
      <c r="E3822" s="79" t="s">
        <v>139</v>
      </c>
      <c r="F3822" s="79" t="s">
        <v>4197</v>
      </c>
      <c r="G3822" s="79" t="s">
        <v>2928</v>
      </c>
      <c r="H3822" s="79"/>
      <c r="I3822" s="80" t="s">
        <v>2897</v>
      </c>
      <c r="J3822" s="583">
        <v>0.75</v>
      </c>
      <c r="K3822" s="583">
        <v>0</v>
      </c>
      <c r="L3822" s="92">
        <v>47.1</v>
      </c>
      <c r="M3822" s="92">
        <v>35.32</v>
      </c>
      <c r="N3822" s="573"/>
      <c r="O3822" s="556"/>
      <c r="P3822" s="573"/>
      <c r="Q3822" s="556"/>
      <c r="R3822" s="582"/>
    </row>
    <row r="3823" ht="23.85" customHeight="1" spans="1:18">
      <c r="A3823" s="556"/>
      <c r="B3823" s="557" t="str">
        <f>C3822</f>
        <v>Composição Auxiliar</v>
      </c>
      <c r="C3823" s="79" t="s">
        <v>2921</v>
      </c>
      <c r="D3823" s="78" t="s">
        <v>3144</v>
      </c>
      <c r="E3823" s="79" t="s">
        <v>139</v>
      </c>
      <c r="F3823" s="79" t="s">
        <v>3145</v>
      </c>
      <c r="G3823" s="79" t="s">
        <v>2928</v>
      </c>
      <c r="H3823" s="79"/>
      <c r="I3823" s="80" t="s">
        <v>2897</v>
      </c>
      <c r="J3823" s="583">
        <v>0.75</v>
      </c>
      <c r="K3823" s="583">
        <v>0</v>
      </c>
      <c r="L3823" s="92">
        <v>35.55</v>
      </c>
      <c r="M3823" s="92">
        <v>26.66</v>
      </c>
      <c r="N3823" s="573">
        <v>2877.04</v>
      </c>
      <c r="O3823" s="556" t="str">
        <f>IF(N3823=M3823,"OK","DIF")</f>
        <v>DIF</v>
      </c>
      <c r="P3823" s="573"/>
      <c r="Q3823" s="556"/>
      <c r="R3823" s="582"/>
    </row>
    <row r="3824" ht="15" customHeight="1" spans="1:18">
      <c r="A3824" s="556" t="str">
        <f>B3824</f>
        <v>Composição Auxiliar</v>
      </c>
      <c r="B3824" s="557" t="str">
        <f>B3823</f>
        <v>Composição Auxiliar</v>
      </c>
      <c r="C3824" s="100" t="s">
        <v>2893</v>
      </c>
      <c r="D3824" s="99" t="s">
        <v>4208</v>
      </c>
      <c r="E3824" s="100" t="s">
        <v>132</v>
      </c>
      <c r="F3824" s="100" t="s">
        <v>1299</v>
      </c>
      <c r="G3824" s="100" t="s">
        <v>2961</v>
      </c>
      <c r="H3824" s="100"/>
      <c r="I3824" s="101" t="s">
        <v>134</v>
      </c>
      <c r="J3824" s="580">
        <v>1</v>
      </c>
      <c r="K3824" s="580">
        <v>0</v>
      </c>
      <c r="L3824" s="102">
        <v>5300</v>
      </c>
      <c r="M3824" s="102">
        <v>5300</v>
      </c>
      <c r="N3824" s="573">
        <v>1248.4</v>
      </c>
      <c r="O3824" s="556" t="str">
        <f>IF(N3824=M3824,"OK","DIF")</f>
        <v>DIF</v>
      </c>
      <c r="P3824" s="573"/>
      <c r="Q3824" s="556"/>
      <c r="R3824" s="582"/>
    </row>
    <row r="3825" ht="25.5" spans="1:18">
      <c r="A3825" s="556" t="str">
        <f>B3825</f>
        <v>Composição Auxiliar</v>
      </c>
      <c r="B3825" s="557" t="str">
        <f>B3824</f>
        <v>Composição Auxiliar</v>
      </c>
      <c r="C3825" s="108"/>
      <c r="D3825" s="108"/>
      <c r="E3825" s="108"/>
      <c r="F3825" s="108"/>
      <c r="G3825" s="108"/>
      <c r="H3825" s="108" t="s">
        <v>2898</v>
      </c>
      <c r="I3825" s="581">
        <v>47.41</v>
      </c>
      <c r="J3825" s="108" t="s">
        <v>2899</v>
      </c>
      <c r="K3825" s="581">
        <v>0</v>
      </c>
      <c r="L3825" s="108" t="s">
        <v>2900</v>
      </c>
      <c r="M3825" s="581">
        <v>47.41</v>
      </c>
      <c r="N3825" s="573">
        <v>1628.64</v>
      </c>
      <c r="O3825" s="556" t="str">
        <f>IF(N3825=M3825,"OK","DIF")</f>
        <v>DIF</v>
      </c>
      <c r="P3825" s="573"/>
      <c r="Q3825" s="556"/>
      <c r="R3825" s="582"/>
    </row>
    <row r="3826" ht="26.25" spans="1:18">
      <c r="A3826" s="556"/>
      <c r="B3826" s="557"/>
      <c r="C3826" s="108"/>
      <c r="D3826" s="108"/>
      <c r="E3826" s="108"/>
      <c r="F3826" s="108"/>
      <c r="G3826" s="108"/>
      <c r="H3826" s="108" t="s">
        <v>2901</v>
      </c>
      <c r="I3826" s="581">
        <v>1366.76</v>
      </c>
      <c r="J3826" s="114"/>
      <c r="K3826" s="114" t="s">
        <v>2902</v>
      </c>
      <c r="L3826" s="108"/>
      <c r="M3826" s="581">
        <v>6728.74</v>
      </c>
      <c r="N3826" s="573"/>
      <c r="O3826" s="556"/>
      <c r="P3826" s="573"/>
      <c r="Q3826" s="556"/>
      <c r="R3826" s="582"/>
    </row>
    <row r="3827" ht="15" spans="1:18">
      <c r="A3827" s="556"/>
      <c r="B3827" s="557"/>
      <c r="C3827" s="571"/>
      <c r="D3827" s="571"/>
      <c r="E3827" s="571"/>
      <c r="F3827" s="571"/>
      <c r="G3827" s="571"/>
      <c r="H3827" s="571"/>
      <c r="I3827" s="571"/>
      <c r="J3827" s="571"/>
      <c r="K3827" s="571"/>
      <c r="L3827" s="571"/>
      <c r="M3827" s="571"/>
      <c r="N3827" s="573"/>
      <c r="O3827" s="556"/>
      <c r="P3827" s="573"/>
      <c r="Q3827" s="556"/>
      <c r="R3827" s="582"/>
    </row>
    <row r="3828" ht="15" customHeight="1" spans="1:18">
      <c r="A3828" s="556"/>
      <c r="B3828" s="557">
        <f>C3827</f>
        <v>0</v>
      </c>
      <c r="C3828" s="76" t="s">
        <v>1300</v>
      </c>
      <c r="D3828" s="75" t="s">
        <v>63</v>
      </c>
      <c r="E3828" s="76" t="s">
        <v>64</v>
      </c>
      <c r="F3828" s="76" t="s">
        <v>65</v>
      </c>
      <c r="G3828" s="76" t="s">
        <v>2889</v>
      </c>
      <c r="H3828" s="76"/>
      <c r="I3828" s="77" t="s">
        <v>66</v>
      </c>
      <c r="J3828" s="75" t="s">
        <v>67</v>
      </c>
      <c r="K3828" s="75" t="s">
        <v>2890</v>
      </c>
      <c r="L3828" s="75" t="s">
        <v>68</v>
      </c>
      <c r="M3828" s="75" t="s">
        <v>70</v>
      </c>
      <c r="N3828" s="573">
        <v>35.18</v>
      </c>
      <c r="O3828" s="556" t="str">
        <f>IF(N3828=M3828,"OK","DIF")</f>
        <v>DIF</v>
      </c>
      <c r="P3828" s="573"/>
      <c r="Q3828" s="556"/>
      <c r="R3828" s="582"/>
    </row>
    <row r="3829" ht="38.25" spans="1:18">
      <c r="A3829" s="556">
        <f>B3829</f>
        <v>0</v>
      </c>
      <c r="B3829" s="557">
        <f>B3828</f>
        <v>0</v>
      </c>
      <c r="C3829" s="569" t="s">
        <v>2891</v>
      </c>
      <c r="D3829" s="570" t="s">
        <v>1301</v>
      </c>
      <c r="E3829" s="569" t="s">
        <v>132</v>
      </c>
      <c r="F3829" s="569" t="s">
        <v>1302</v>
      </c>
      <c r="G3829" s="569">
        <v>61.15</v>
      </c>
      <c r="H3829" s="569"/>
      <c r="I3829" s="577" t="s">
        <v>134</v>
      </c>
      <c r="J3829" s="578">
        <v>1</v>
      </c>
      <c r="K3829" s="579"/>
      <c r="L3829" s="579">
        <v>4602.15</v>
      </c>
      <c r="M3829" s="579">
        <v>4602.15</v>
      </c>
      <c r="N3829" s="573">
        <v>8.7</v>
      </c>
      <c r="O3829" s="556" t="str">
        <f>IF(N3829=M3829,"OK","DIF")</f>
        <v>DIF</v>
      </c>
      <c r="P3829" s="573"/>
      <c r="Q3829" s="556"/>
      <c r="R3829" s="582"/>
    </row>
    <row r="3830" ht="23.85" customHeight="1" spans="1:18">
      <c r="A3830" s="556">
        <f>B3830</f>
        <v>0</v>
      </c>
      <c r="B3830" s="557">
        <f>B3829</f>
        <v>0</v>
      </c>
      <c r="C3830" s="79" t="s">
        <v>2921</v>
      </c>
      <c r="D3830" s="78" t="s">
        <v>3144</v>
      </c>
      <c r="E3830" s="79" t="s">
        <v>139</v>
      </c>
      <c r="F3830" s="79" t="s">
        <v>3145</v>
      </c>
      <c r="G3830" s="79" t="s">
        <v>2928</v>
      </c>
      <c r="H3830" s="79"/>
      <c r="I3830" s="80" t="s">
        <v>2897</v>
      </c>
      <c r="J3830" s="583">
        <v>0.75</v>
      </c>
      <c r="K3830" s="583">
        <v>0</v>
      </c>
      <c r="L3830" s="92">
        <v>35.55</v>
      </c>
      <c r="M3830" s="92">
        <v>26.66</v>
      </c>
      <c r="N3830" s="573">
        <v>10.54</v>
      </c>
      <c r="O3830" s="556" t="str">
        <f>IF(N3830=M3830,"OK","DIF")</f>
        <v>DIF</v>
      </c>
      <c r="P3830" s="573"/>
      <c r="Q3830" s="556"/>
      <c r="R3830" s="582"/>
    </row>
    <row r="3831" ht="23.85" customHeight="1" spans="1:18">
      <c r="A3831" s="556">
        <f>B3831</f>
        <v>0</v>
      </c>
      <c r="B3831" s="557">
        <f>B3830</f>
        <v>0</v>
      </c>
      <c r="C3831" s="79" t="s">
        <v>2921</v>
      </c>
      <c r="D3831" s="78" t="s">
        <v>4196</v>
      </c>
      <c r="E3831" s="79" t="s">
        <v>139</v>
      </c>
      <c r="F3831" s="79" t="s">
        <v>4197</v>
      </c>
      <c r="G3831" s="79" t="s">
        <v>2928</v>
      </c>
      <c r="H3831" s="79"/>
      <c r="I3831" s="80" t="s">
        <v>2897</v>
      </c>
      <c r="J3831" s="583">
        <v>0.75</v>
      </c>
      <c r="K3831" s="583">
        <v>0</v>
      </c>
      <c r="L3831" s="92">
        <v>47.1</v>
      </c>
      <c r="M3831" s="92">
        <v>35.32</v>
      </c>
      <c r="N3831" s="573">
        <v>15.94</v>
      </c>
      <c r="O3831" s="556" t="str">
        <f>IF(N3831=M3831,"OK","DIF")</f>
        <v>DIF</v>
      </c>
      <c r="P3831" s="573"/>
      <c r="Q3831" s="556"/>
      <c r="R3831" s="582"/>
    </row>
    <row r="3832" ht="15" customHeight="1" spans="1:18">
      <c r="A3832" s="556"/>
      <c r="B3832" s="557"/>
      <c r="C3832" s="100" t="s">
        <v>2893</v>
      </c>
      <c r="D3832" s="99" t="s">
        <v>4209</v>
      </c>
      <c r="E3832" s="100" t="s">
        <v>132</v>
      </c>
      <c r="F3832" s="100" t="s">
        <v>1302</v>
      </c>
      <c r="G3832" s="100" t="s">
        <v>2961</v>
      </c>
      <c r="H3832" s="100"/>
      <c r="I3832" s="101" t="s">
        <v>134</v>
      </c>
      <c r="J3832" s="580">
        <v>1</v>
      </c>
      <c r="K3832" s="580">
        <v>0</v>
      </c>
      <c r="L3832" s="102">
        <v>4540.17</v>
      </c>
      <c r="M3832" s="102">
        <v>4540.17</v>
      </c>
      <c r="N3832" s="573"/>
      <c r="O3832" s="556"/>
      <c r="P3832" s="573"/>
      <c r="Q3832" s="556"/>
      <c r="R3832" s="582"/>
    </row>
    <row r="3833" ht="25.5" spans="1:18">
      <c r="A3833" s="556"/>
      <c r="B3833" s="557"/>
      <c r="C3833" s="108"/>
      <c r="D3833" s="108"/>
      <c r="E3833" s="108"/>
      <c r="F3833" s="108"/>
      <c r="G3833" s="108"/>
      <c r="H3833" s="108" t="s">
        <v>2898</v>
      </c>
      <c r="I3833" s="581">
        <v>47.41</v>
      </c>
      <c r="J3833" s="108" t="s">
        <v>2899</v>
      </c>
      <c r="K3833" s="581">
        <v>0</v>
      </c>
      <c r="L3833" s="108" t="s">
        <v>2900</v>
      </c>
      <c r="M3833" s="581">
        <v>47.41</v>
      </c>
      <c r="N3833" s="573"/>
      <c r="O3833" s="556"/>
      <c r="P3833" s="573"/>
      <c r="Q3833" s="556"/>
      <c r="R3833" s="582"/>
    </row>
    <row r="3834" ht="26.25" spans="1:18">
      <c r="A3834" s="556"/>
      <c r="B3834" s="557">
        <f>C3833</f>
        <v>0</v>
      </c>
      <c r="C3834" s="108"/>
      <c r="D3834" s="108"/>
      <c r="E3834" s="108"/>
      <c r="F3834" s="108"/>
      <c r="G3834" s="108"/>
      <c r="H3834" s="108" t="s">
        <v>2901</v>
      </c>
      <c r="I3834" s="581">
        <v>1173.08</v>
      </c>
      <c r="J3834" s="114"/>
      <c r="K3834" s="114" t="s">
        <v>2902</v>
      </c>
      <c r="L3834" s="108"/>
      <c r="M3834" s="581">
        <v>5775.23</v>
      </c>
      <c r="N3834" s="573">
        <v>51.38</v>
      </c>
      <c r="O3834" s="556" t="str">
        <f>IF(N3834=M3834,"OK","DIF")</f>
        <v>DIF</v>
      </c>
      <c r="P3834" s="573"/>
      <c r="Q3834" s="556"/>
      <c r="R3834" s="582"/>
    </row>
    <row r="3835" ht="15" spans="1:18">
      <c r="A3835" s="556">
        <f>B3835</f>
        <v>0</v>
      </c>
      <c r="B3835" s="557">
        <f>B3834</f>
        <v>0</v>
      </c>
      <c r="C3835" s="571"/>
      <c r="D3835" s="571"/>
      <c r="E3835" s="571"/>
      <c r="F3835" s="571"/>
      <c r="G3835" s="571"/>
      <c r="H3835" s="571"/>
      <c r="I3835" s="571"/>
      <c r="J3835" s="571"/>
      <c r="K3835" s="571"/>
      <c r="L3835" s="571"/>
      <c r="M3835" s="571"/>
      <c r="N3835" s="573">
        <v>23.62</v>
      </c>
      <c r="O3835" s="556" t="str">
        <f>IF(N3835=M3835,"OK","DIF")</f>
        <v>DIF</v>
      </c>
      <c r="P3835" s="573"/>
      <c r="Q3835" s="556"/>
      <c r="R3835" s="582"/>
    </row>
    <row r="3836" ht="15" customHeight="1" spans="1:18">
      <c r="A3836" s="556">
        <f>B3836</f>
        <v>0</v>
      </c>
      <c r="B3836" s="557">
        <f>B3835</f>
        <v>0</v>
      </c>
      <c r="C3836" s="76" t="s">
        <v>1303</v>
      </c>
      <c r="D3836" s="75" t="s">
        <v>63</v>
      </c>
      <c r="E3836" s="76" t="s">
        <v>64</v>
      </c>
      <c r="F3836" s="76" t="s">
        <v>65</v>
      </c>
      <c r="G3836" s="76" t="s">
        <v>2889</v>
      </c>
      <c r="H3836" s="76"/>
      <c r="I3836" s="77" t="s">
        <v>66</v>
      </c>
      <c r="J3836" s="75" t="s">
        <v>67</v>
      </c>
      <c r="K3836" s="75" t="s">
        <v>2890</v>
      </c>
      <c r="L3836" s="75" t="s">
        <v>68</v>
      </c>
      <c r="M3836" s="75" t="s">
        <v>70</v>
      </c>
      <c r="N3836" s="573">
        <v>15.76</v>
      </c>
      <c r="O3836" s="556" t="str">
        <f>IF(N3836=M3836,"OK","DIF")</f>
        <v>DIF</v>
      </c>
      <c r="P3836" s="573"/>
      <c r="Q3836" s="556"/>
      <c r="R3836" s="582"/>
    </row>
    <row r="3837" ht="38.25" spans="1:18">
      <c r="A3837" s="556">
        <f>B3837</f>
        <v>0</v>
      </c>
      <c r="B3837" s="557">
        <f>B3836</f>
        <v>0</v>
      </c>
      <c r="C3837" s="569" t="s">
        <v>2891</v>
      </c>
      <c r="D3837" s="570" t="s">
        <v>1304</v>
      </c>
      <c r="E3837" s="569" t="s">
        <v>132</v>
      </c>
      <c r="F3837" s="569" t="s">
        <v>1305</v>
      </c>
      <c r="G3837" s="569">
        <v>61.15</v>
      </c>
      <c r="H3837" s="569"/>
      <c r="I3837" s="577" t="s">
        <v>134</v>
      </c>
      <c r="J3837" s="578">
        <v>1</v>
      </c>
      <c r="K3837" s="579"/>
      <c r="L3837" s="579">
        <v>17561.97</v>
      </c>
      <c r="M3837" s="579">
        <v>17561.97</v>
      </c>
      <c r="N3837" s="573">
        <v>12</v>
      </c>
      <c r="O3837" s="556" t="str">
        <f>IF(N3837=M3837,"OK","DIF")</f>
        <v>DIF</v>
      </c>
      <c r="P3837" s="573"/>
      <c r="Q3837" s="556"/>
      <c r="R3837" s="582"/>
    </row>
    <row r="3838" ht="23.85" customHeight="1" spans="1:18">
      <c r="A3838" s="556"/>
      <c r="B3838" s="557"/>
      <c r="C3838" s="79" t="s">
        <v>2921</v>
      </c>
      <c r="D3838" s="78" t="s">
        <v>4196</v>
      </c>
      <c r="E3838" s="79" t="s">
        <v>139</v>
      </c>
      <c r="F3838" s="79" t="s">
        <v>4197</v>
      </c>
      <c r="G3838" s="79" t="s">
        <v>2928</v>
      </c>
      <c r="H3838" s="79"/>
      <c r="I3838" s="80" t="s">
        <v>2897</v>
      </c>
      <c r="J3838" s="583">
        <v>0.75</v>
      </c>
      <c r="K3838" s="583">
        <v>0</v>
      </c>
      <c r="L3838" s="92">
        <v>47.1</v>
      </c>
      <c r="M3838" s="92">
        <v>35.32</v>
      </c>
      <c r="N3838" s="573"/>
      <c r="O3838" s="556"/>
      <c r="P3838" s="573"/>
      <c r="Q3838" s="556"/>
      <c r="R3838" s="582"/>
    </row>
    <row r="3839" ht="23.85" customHeight="1" spans="1:18">
      <c r="A3839" s="556"/>
      <c r="B3839" s="557"/>
      <c r="C3839" s="79" t="s">
        <v>2921</v>
      </c>
      <c r="D3839" s="78" t="s">
        <v>3144</v>
      </c>
      <c r="E3839" s="79" t="s">
        <v>139</v>
      </c>
      <c r="F3839" s="79" t="s">
        <v>3145</v>
      </c>
      <c r="G3839" s="79" t="s">
        <v>2928</v>
      </c>
      <c r="H3839" s="79"/>
      <c r="I3839" s="80" t="s">
        <v>2897</v>
      </c>
      <c r="J3839" s="583">
        <v>0.75</v>
      </c>
      <c r="K3839" s="583">
        <v>0</v>
      </c>
      <c r="L3839" s="92">
        <v>35.55</v>
      </c>
      <c r="M3839" s="92">
        <v>26.66</v>
      </c>
      <c r="N3839" s="573"/>
      <c r="O3839" s="556"/>
      <c r="P3839" s="573"/>
      <c r="Q3839" s="556"/>
      <c r="R3839" s="582"/>
    </row>
    <row r="3840" ht="15" customHeight="1" spans="1:18">
      <c r="A3840" s="556"/>
      <c r="B3840" s="557" t="str">
        <f>C3839</f>
        <v>Composição Auxiliar</v>
      </c>
      <c r="C3840" s="100" t="s">
        <v>2893</v>
      </c>
      <c r="D3840" s="99" t="s">
        <v>4210</v>
      </c>
      <c r="E3840" s="100" t="s">
        <v>132</v>
      </c>
      <c r="F3840" s="100" t="s">
        <v>1305</v>
      </c>
      <c r="G3840" s="100" t="s">
        <v>2961</v>
      </c>
      <c r="H3840" s="100"/>
      <c r="I3840" s="101" t="s">
        <v>134</v>
      </c>
      <c r="J3840" s="580">
        <v>1</v>
      </c>
      <c r="K3840" s="580">
        <v>0</v>
      </c>
      <c r="L3840" s="102">
        <v>17499.99</v>
      </c>
      <c r="M3840" s="102">
        <v>17499.99</v>
      </c>
      <c r="N3840" s="573">
        <v>67.39</v>
      </c>
      <c r="O3840" s="556" t="str">
        <f>IF(N3840=M3840,"OK","DIF")</f>
        <v>DIF</v>
      </c>
      <c r="P3840" s="573"/>
      <c r="Q3840" s="556"/>
      <c r="R3840" s="582"/>
    </row>
    <row r="3841" ht="25.5" spans="1:18">
      <c r="A3841" s="556" t="str">
        <f>B3841</f>
        <v>Composição Auxiliar</v>
      </c>
      <c r="B3841" s="557" t="str">
        <f>B3840</f>
        <v>Composição Auxiliar</v>
      </c>
      <c r="C3841" s="108"/>
      <c r="D3841" s="108"/>
      <c r="E3841" s="108"/>
      <c r="F3841" s="108"/>
      <c r="G3841" s="108"/>
      <c r="H3841" s="108" t="s">
        <v>2898</v>
      </c>
      <c r="I3841" s="581">
        <v>47.41</v>
      </c>
      <c r="J3841" s="108" t="s">
        <v>2899</v>
      </c>
      <c r="K3841" s="581">
        <v>0</v>
      </c>
      <c r="L3841" s="108" t="s">
        <v>2900</v>
      </c>
      <c r="M3841" s="581">
        <v>47.41</v>
      </c>
      <c r="N3841" s="573">
        <v>3.38</v>
      </c>
      <c r="O3841" s="556" t="str">
        <f>IF(N3841=M3841,"OK","DIF")</f>
        <v>DIF</v>
      </c>
      <c r="P3841" s="573"/>
      <c r="Q3841" s="556"/>
      <c r="R3841" s="582"/>
    </row>
    <row r="3842" ht="26.25" spans="1:18">
      <c r="A3842" s="556" t="str">
        <f>B3842</f>
        <v>Composição Auxiliar</v>
      </c>
      <c r="B3842" s="557" t="str">
        <f>B3841</f>
        <v>Composição Auxiliar</v>
      </c>
      <c r="C3842" s="108"/>
      <c r="D3842" s="108"/>
      <c r="E3842" s="108"/>
      <c r="F3842" s="108"/>
      <c r="G3842" s="108"/>
      <c r="H3842" s="108" t="s">
        <v>2901</v>
      </c>
      <c r="I3842" s="581">
        <v>4476.54</v>
      </c>
      <c r="J3842" s="114"/>
      <c r="K3842" s="114" t="s">
        <v>2902</v>
      </c>
      <c r="L3842" s="108"/>
      <c r="M3842" s="581">
        <v>22038.51</v>
      </c>
      <c r="N3842" s="573">
        <v>2.82</v>
      </c>
      <c r="O3842" s="556" t="str">
        <f>IF(N3842=M3842,"OK","DIF")</f>
        <v>DIF</v>
      </c>
      <c r="P3842" s="573"/>
      <c r="Q3842" s="556"/>
      <c r="R3842" s="582"/>
    </row>
    <row r="3843" ht="15" spans="1:18">
      <c r="A3843" s="556" t="str">
        <f>B3843</f>
        <v>Composição Auxiliar</v>
      </c>
      <c r="B3843" s="557" t="str">
        <f>B3842</f>
        <v>Composição Auxiliar</v>
      </c>
      <c r="C3843" s="571"/>
      <c r="D3843" s="571"/>
      <c r="E3843" s="571"/>
      <c r="F3843" s="571"/>
      <c r="G3843" s="571"/>
      <c r="H3843" s="571"/>
      <c r="I3843" s="571"/>
      <c r="J3843" s="571"/>
      <c r="K3843" s="571"/>
      <c r="L3843" s="571"/>
      <c r="M3843" s="571"/>
      <c r="N3843" s="573">
        <v>4.61</v>
      </c>
      <c r="O3843" s="556" t="str">
        <f>IF(N3843=M3843,"OK","DIF")</f>
        <v>DIF</v>
      </c>
      <c r="P3843" s="573"/>
      <c r="Q3843" s="556"/>
      <c r="R3843" s="582"/>
    </row>
    <row r="3844" ht="15" customHeight="1" spans="1:18">
      <c r="A3844" s="556" t="str">
        <f>B3844</f>
        <v>Composição Auxiliar</v>
      </c>
      <c r="B3844" s="557" t="str">
        <f>B3843</f>
        <v>Composição Auxiliar</v>
      </c>
      <c r="C3844" s="76" t="s">
        <v>1306</v>
      </c>
      <c r="D3844" s="75" t="s">
        <v>63</v>
      </c>
      <c r="E3844" s="76" t="s">
        <v>64</v>
      </c>
      <c r="F3844" s="76" t="s">
        <v>65</v>
      </c>
      <c r="G3844" s="76" t="s">
        <v>2889</v>
      </c>
      <c r="H3844" s="76"/>
      <c r="I3844" s="77" t="s">
        <v>66</v>
      </c>
      <c r="J3844" s="75" t="s">
        <v>67</v>
      </c>
      <c r="K3844" s="75" t="s">
        <v>2890</v>
      </c>
      <c r="L3844" s="75" t="s">
        <v>68</v>
      </c>
      <c r="M3844" s="75" t="s">
        <v>70</v>
      </c>
      <c r="N3844" s="573">
        <v>56.58</v>
      </c>
      <c r="O3844" s="556" t="str">
        <f>IF(N3844=M3844,"OK","DIF")</f>
        <v>DIF</v>
      </c>
      <c r="P3844" s="573"/>
      <c r="Q3844" s="556"/>
      <c r="R3844" s="582"/>
    </row>
    <row r="3845" ht="38.25" spans="1:18">
      <c r="A3845" s="556"/>
      <c r="B3845" s="557"/>
      <c r="C3845" s="569" t="s">
        <v>2891</v>
      </c>
      <c r="D3845" s="570" t="s">
        <v>1307</v>
      </c>
      <c r="E3845" s="569" t="s">
        <v>132</v>
      </c>
      <c r="F3845" s="569" t="s">
        <v>1308</v>
      </c>
      <c r="G3845" s="569">
        <v>61.15</v>
      </c>
      <c r="H3845" s="569"/>
      <c r="I3845" s="577" t="s">
        <v>134</v>
      </c>
      <c r="J3845" s="578">
        <v>1</v>
      </c>
      <c r="K3845" s="579"/>
      <c r="L3845" s="579">
        <v>1132.98</v>
      </c>
      <c r="M3845" s="579">
        <v>1132.98</v>
      </c>
      <c r="N3845" s="573"/>
      <c r="O3845" s="556"/>
      <c r="P3845" s="573"/>
      <c r="Q3845" s="556"/>
      <c r="R3845" s="582"/>
    </row>
    <row r="3846" ht="23.85" customHeight="1" spans="1:18">
      <c r="A3846" s="556"/>
      <c r="B3846" s="557"/>
      <c r="C3846" s="79" t="s">
        <v>2921</v>
      </c>
      <c r="D3846" s="78" t="s">
        <v>4196</v>
      </c>
      <c r="E3846" s="79" t="s">
        <v>139</v>
      </c>
      <c r="F3846" s="79" t="s">
        <v>4197</v>
      </c>
      <c r="G3846" s="79" t="s">
        <v>2928</v>
      </c>
      <c r="H3846" s="79"/>
      <c r="I3846" s="80" t="s">
        <v>2897</v>
      </c>
      <c r="J3846" s="583">
        <v>0.75</v>
      </c>
      <c r="K3846" s="583">
        <v>0</v>
      </c>
      <c r="L3846" s="92">
        <v>47.1</v>
      </c>
      <c r="M3846" s="92">
        <v>35.32</v>
      </c>
      <c r="N3846" s="573"/>
      <c r="O3846" s="556"/>
      <c r="P3846" s="573"/>
      <c r="Q3846" s="556"/>
      <c r="R3846" s="582"/>
    </row>
    <row r="3847" ht="23.85" customHeight="1" spans="1:18">
      <c r="A3847" s="556"/>
      <c r="B3847" s="557" t="str">
        <f>C3846</f>
        <v>Composição Auxiliar</v>
      </c>
      <c r="C3847" s="79" t="s">
        <v>2921</v>
      </c>
      <c r="D3847" s="78" t="s">
        <v>3144</v>
      </c>
      <c r="E3847" s="79" t="s">
        <v>139</v>
      </c>
      <c r="F3847" s="79" t="s">
        <v>3145</v>
      </c>
      <c r="G3847" s="79" t="s">
        <v>2928</v>
      </c>
      <c r="H3847" s="79"/>
      <c r="I3847" s="80" t="s">
        <v>2897</v>
      </c>
      <c r="J3847" s="583">
        <v>0.75</v>
      </c>
      <c r="K3847" s="583">
        <v>0</v>
      </c>
      <c r="L3847" s="92">
        <v>35.55</v>
      </c>
      <c r="M3847" s="92">
        <v>26.66</v>
      </c>
      <c r="N3847" s="573">
        <v>74.77</v>
      </c>
      <c r="O3847" s="556" t="str">
        <f>IF(N3847=M3847,"OK","DIF")</f>
        <v>DIF</v>
      </c>
      <c r="P3847" s="573"/>
      <c r="Q3847" s="556"/>
      <c r="R3847" s="582"/>
    </row>
    <row r="3848" ht="15" customHeight="1" spans="1:18">
      <c r="A3848" s="556" t="str">
        <f>B3848</f>
        <v>Composição Auxiliar</v>
      </c>
      <c r="B3848" s="557" t="str">
        <f>B3847</f>
        <v>Composição Auxiliar</v>
      </c>
      <c r="C3848" s="100" t="s">
        <v>2893</v>
      </c>
      <c r="D3848" s="99" t="s">
        <v>4211</v>
      </c>
      <c r="E3848" s="100" t="s">
        <v>132</v>
      </c>
      <c r="F3848" s="100" t="s">
        <v>1308</v>
      </c>
      <c r="G3848" s="100" t="s">
        <v>2961</v>
      </c>
      <c r="H3848" s="100"/>
      <c r="I3848" s="101" t="s">
        <v>134</v>
      </c>
      <c r="J3848" s="580">
        <v>1</v>
      </c>
      <c r="K3848" s="580">
        <v>0</v>
      </c>
      <c r="L3848" s="102">
        <v>1071</v>
      </c>
      <c r="M3848" s="102">
        <v>1071</v>
      </c>
      <c r="N3848" s="573">
        <v>64.08</v>
      </c>
      <c r="O3848" s="556" t="str">
        <f>IF(N3848=M3848,"OK","DIF")</f>
        <v>DIF</v>
      </c>
      <c r="P3848" s="573"/>
      <c r="Q3848" s="556"/>
      <c r="R3848" s="582"/>
    </row>
    <row r="3849" ht="25.5" spans="1:18">
      <c r="A3849" s="556" t="str">
        <f>B3849</f>
        <v>Composição Auxiliar</v>
      </c>
      <c r="B3849" s="557" t="str">
        <f>B3848</f>
        <v>Composição Auxiliar</v>
      </c>
      <c r="C3849" s="108"/>
      <c r="D3849" s="108"/>
      <c r="E3849" s="108"/>
      <c r="F3849" s="108"/>
      <c r="G3849" s="108"/>
      <c r="H3849" s="108" t="s">
        <v>2898</v>
      </c>
      <c r="I3849" s="581">
        <v>47.41</v>
      </c>
      <c r="J3849" s="108" t="s">
        <v>2899</v>
      </c>
      <c r="K3849" s="581">
        <v>0</v>
      </c>
      <c r="L3849" s="108" t="s">
        <v>2900</v>
      </c>
      <c r="M3849" s="581">
        <v>47.41</v>
      </c>
      <c r="N3849" s="573">
        <v>4.62</v>
      </c>
      <c r="O3849" s="556" t="str">
        <f>IF(N3849=M3849,"OK","DIF")</f>
        <v>DIF</v>
      </c>
      <c r="P3849" s="573"/>
      <c r="Q3849" s="556"/>
      <c r="R3849" s="582"/>
    </row>
    <row r="3850" ht="26.25" spans="1:18">
      <c r="A3850" s="556" t="str">
        <f>B3850</f>
        <v>Composição Auxiliar</v>
      </c>
      <c r="B3850" s="557" t="str">
        <f>B3849</f>
        <v>Composição Auxiliar</v>
      </c>
      <c r="C3850" s="108"/>
      <c r="D3850" s="108"/>
      <c r="E3850" s="108"/>
      <c r="F3850" s="108"/>
      <c r="G3850" s="108"/>
      <c r="H3850" s="108" t="s">
        <v>2901</v>
      </c>
      <c r="I3850" s="581">
        <v>288.79</v>
      </c>
      <c r="J3850" s="114"/>
      <c r="K3850" s="114" t="s">
        <v>2902</v>
      </c>
      <c r="L3850" s="108"/>
      <c r="M3850" s="581">
        <v>1421.77</v>
      </c>
      <c r="N3850" s="573">
        <v>6.07</v>
      </c>
      <c r="O3850" s="556" t="str">
        <f>IF(N3850=M3850,"OK","DIF")</f>
        <v>DIF</v>
      </c>
      <c r="P3850" s="573"/>
      <c r="Q3850" s="556"/>
      <c r="R3850" s="582"/>
    </row>
    <row r="3851" ht="15" spans="1:18">
      <c r="A3851" s="556"/>
      <c r="B3851" s="557"/>
      <c r="C3851" s="571"/>
      <c r="D3851" s="571"/>
      <c r="E3851" s="571"/>
      <c r="F3851" s="571"/>
      <c r="G3851" s="571"/>
      <c r="H3851" s="571"/>
      <c r="I3851" s="571"/>
      <c r="J3851" s="571"/>
      <c r="K3851" s="571"/>
      <c r="L3851" s="571"/>
      <c r="M3851" s="571"/>
      <c r="N3851" s="573"/>
      <c r="O3851" s="556"/>
      <c r="P3851" s="573"/>
      <c r="Q3851" s="556"/>
      <c r="R3851" s="582"/>
    </row>
    <row r="3852" ht="15" customHeight="1" spans="1:18">
      <c r="A3852" s="556"/>
      <c r="B3852" s="557"/>
      <c r="C3852" s="76" t="s">
        <v>1309</v>
      </c>
      <c r="D3852" s="75" t="s">
        <v>63</v>
      </c>
      <c r="E3852" s="76" t="s">
        <v>64</v>
      </c>
      <c r="F3852" s="76" t="s">
        <v>65</v>
      </c>
      <c r="G3852" s="76" t="s">
        <v>2889</v>
      </c>
      <c r="H3852" s="76"/>
      <c r="I3852" s="77" t="s">
        <v>66</v>
      </c>
      <c r="J3852" s="75" t="s">
        <v>67</v>
      </c>
      <c r="K3852" s="75" t="s">
        <v>2890</v>
      </c>
      <c r="L3852" s="75" t="s">
        <v>68</v>
      </c>
      <c r="M3852" s="75" t="s">
        <v>70</v>
      </c>
      <c r="N3852" s="573"/>
      <c r="O3852" s="556"/>
      <c r="P3852" s="573"/>
      <c r="Q3852" s="556"/>
      <c r="R3852" s="582"/>
    </row>
    <row r="3853" ht="38.25" spans="1:18">
      <c r="A3853" s="556"/>
      <c r="B3853" s="557" t="str">
        <f>C3852</f>
        <v> 12.3.40 </v>
      </c>
      <c r="C3853" s="569" t="s">
        <v>2891</v>
      </c>
      <c r="D3853" s="570" t="s">
        <v>1310</v>
      </c>
      <c r="E3853" s="569" t="s">
        <v>132</v>
      </c>
      <c r="F3853" s="569" t="s">
        <v>1311</v>
      </c>
      <c r="G3853" s="569">
        <v>61.15</v>
      </c>
      <c r="H3853" s="569"/>
      <c r="I3853" s="577" t="s">
        <v>134</v>
      </c>
      <c r="J3853" s="578">
        <v>1</v>
      </c>
      <c r="K3853" s="579"/>
      <c r="L3853" s="579">
        <v>970.15</v>
      </c>
      <c r="M3853" s="579">
        <v>970.15</v>
      </c>
      <c r="N3853" s="573">
        <v>15.45</v>
      </c>
      <c r="O3853" s="556" t="str">
        <f>IF(N3853=M3853,"OK","DIF")</f>
        <v>DIF</v>
      </c>
      <c r="P3853" s="573"/>
      <c r="Q3853" s="556"/>
      <c r="R3853" s="582"/>
    </row>
    <row r="3854" ht="23.85" customHeight="1" spans="1:18">
      <c r="A3854" s="556" t="str">
        <f>B3854</f>
        <v> 12.3.40 </v>
      </c>
      <c r="B3854" s="557" t="str">
        <f>B3853</f>
        <v> 12.3.40 </v>
      </c>
      <c r="C3854" s="79" t="s">
        <v>2921</v>
      </c>
      <c r="D3854" s="78" t="s">
        <v>4196</v>
      </c>
      <c r="E3854" s="79" t="s">
        <v>139</v>
      </c>
      <c r="F3854" s="79" t="s">
        <v>4197</v>
      </c>
      <c r="G3854" s="79" t="s">
        <v>2928</v>
      </c>
      <c r="H3854" s="79"/>
      <c r="I3854" s="80" t="s">
        <v>2897</v>
      </c>
      <c r="J3854" s="583">
        <v>0.75</v>
      </c>
      <c r="K3854" s="583">
        <v>0</v>
      </c>
      <c r="L3854" s="92">
        <v>47.1</v>
      </c>
      <c r="M3854" s="92">
        <v>35.32</v>
      </c>
      <c r="N3854" s="573">
        <v>2.15</v>
      </c>
      <c r="O3854" s="556" t="str">
        <f>IF(N3854=M3854,"OK","DIF")</f>
        <v>DIF</v>
      </c>
      <c r="P3854" s="573"/>
      <c r="Q3854" s="556"/>
      <c r="R3854" s="582"/>
    </row>
    <row r="3855" ht="23.85" customHeight="1" spans="1:18">
      <c r="A3855" s="556" t="str">
        <f>B3855</f>
        <v> 12.3.40 </v>
      </c>
      <c r="B3855" s="557" t="str">
        <f>B3854</f>
        <v> 12.3.40 </v>
      </c>
      <c r="C3855" s="79" t="s">
        <v>2921</v>
      </c>
      <c r="D3855" s="78" t="s">
        <v>3144</v>
      </c>
      <c r="E3855" s="79" t="s">
        <v>139</v>
      </c>
      <c r="F3855" s="79" t="s">
        <v>3145</v>
      </c>
      <c r="G3855" s="79" t="s">
        <v>2928</v>
      </c>
      <c r="H3855" s="79"/>
      <c r="I3855" s="80" t="s">
        <v>2897</v>
      </c>
      <c r="J3855" s="583">
        <v>0.75</v>
      </c>
      <c r="K3855" s="583">
        <v>0</v>
      </c>
      <c r="L3855" s="92">
        <v>35.55</v>
      </c>
      <c r="M3855" s="92">
        <v>26.66</v>
      </c>
      <c r="N3855" s="573">
        <v>7.72</v>
      </c>
      <c r="O3855" s="556" t="str">
        <f>IF(N3855=M3855,"OK","DIF")</f>
        <v>DIF</v>
      </c>
      <c r="P3855" s="573"/>
      <c r="Q3855" s="556"/>
      <c r="R3855" s="582"/>
    </row>
    <row r="3856" ht="15" customHeight="1" spans="1:18">
      <c r="A3856" s="556" t="str">
        <f>B3856</f>
        <v> 12.3.40 </v>
      </c>
      <c r="B3856" s="557" t="str">
        <f>B3855</f>
        <v> 12.3.40 </v>
      </c>
      <c r="C3856" s="100" t="s">
        <v>2893</v>
      </c>
      <c r="D3856" s="99" t="s">
        <v>4212</v>
      </c>
      <c r="E3856" s="100" t="s">
        <v>132</v>
      </c>
      <c r="F3856" s="100" t="s">
        <v>1311</v>
      </c>
      <c r="G3856" s="100" t="s">
        <v>2961</v>
      </c>
      <c r="H3856" s="100"/>
      <c r="I3856" s="101" t="s">
        <v>134</v>
      </c>
      <c r="J3856" s="580">
        <v>1</v>
      </c>
      <c r="K3856" s="580">
        <v>0</v>
      </c>
      <c r="L3856" s="102">
        <v>908.17</v>
      </c>
      <c r="M3856" s="102">
        <v>908.17</v>
      </c>
      <c r="N3856" s="573">
        <v>5.58</v>
      </c>
      <c r="O3856" s="556" t="str">
        <f>IF(N3856=M3856,"OK","DIF")</f>
        <v>DIF</v>
      </c>
      <c r="P3856" s="573"/>
      <c r="Q3856" s="556"/>
      <c r="R3856" s="582"/>
    </row>
    <row r="3857" ht="25.5" spans="1:18">
      <c r="A3857" s="556"/>
      <c r="B3857" s="557"/>
      <c r="C3857" s="108"/>
      <c r="D3857" s="108"/>
      <c r="E3857" s="108"/>
      <c r="F3857" s="108"/>
      <c r="G3857" s="108"/>
      <c r="H3857" s="108" t="s">
        <v>2898</v>
      </c>
      <c r="I3857" s="581">
        <v>47.41</v>
      </c>
      <c r="J3857" s="108" t="s">
        <v>2899</v>
      </c>
      <c r="K3857" s="581">
        <v>0</v>
      </c>
      <c r="L3857" s="108" t="s">
        <v>2900</v>
      </c>
      <c r="M3857" s="581">
        <v>47.41</v>
      </c>
      <c r="N3857" s="573"/>
      <c r="O3857" s="556"/>
      <c r="P3857" s="573"/>
      <c r="Q3857" s="556"/>
      <c r="R3857" s="582"/>
    </row>
    <row r="3858" ht="26.25" spans="1:18">
      <c r="A3858" s="556"/>
      <c r="B3858" s="557"/>
      <c r="C3858" s="108"/>
      <c r="D3858" s="108"/>
      <c r="E3858" s="108"/>
      <c r="F3858" s="108"/>
      <c r="G3858" s="108"/>
      <c r="H3858" s="108" t="s">
        <v>2901</v>
      </c>
      <c r="I3858" s="581">
        <v>247.29</v>
      </c>
      <c r="J3858" s="114"/>
      <c r="K3858" s="114" t="s">
        <v>2902</v>
      </c>
      <c r="L3858" s="108"/>
      <c r="M3858" s="581">
        <v>1217.44</v>
      </c>
      <c r="N3858" s="573"/>
      <c r="O3858" s="556"/>
      <c r="P3858" s="573"/>
      <c r="Q3858" s="556"/>
      <c r="R3858" s="582"/>
    </row>
    <row r="3859" ht="15" spans="1:18">
      <c r="A3859" s="556"/>
      <c r="B3859" s="557">
        <f>C3858</f>
        <v>0</v>
      </c>
      <c r="C3859" s="571"/>
      <c r="D3859" s="571"/>
      <c r="E3859" s="571"/>
      <c r="F3859" s="571"/>
      <c r="G3859" s="571"/>
      <c r="H3859" s="571"/>
      <c r="I3859" s="571"/>
      <c r="J3859" s="571"/>
      <c r="K3859" s="571"/>
      <c r="L3859" s="571"/>
      <c r="M3859" s="571"/>
      <c r="N3859" s="573">
        <v>10.4</v>
      </c>
      <c r="O3859" s="556" t="str">
        <f>IF(N3859=M3859,"OK","DIF")</f>
        <v>DIF</v>
      </c>
      <c r="P3859" s="573"/>
      <c r="Q3859" s="556"/>
      <c r="R3859" s="582"/>
    </row>
    <row r="3860" ht="15" customHeight="1" spans="1:18">
      <c r="A3860" s="556">
        <f>B3860</f>
        <v>0</v>
      </c>
      <c r="B3860" s="557">
        <f>B3859</f>
        <v>0</v>
      </c>
      <c r="C3860" s="76" t="s">
        <v>1312</v>
      </c>
      <c r="D3860" s="75" t="s">
        <v>63</v>
      </c>
      <c r="E3860" s="76" t="s">
        <v>64</v>
      </c>
      <c r="F3860" s="76" t="s">
        <v>65</v>
      </c>
      <c r="G3860" s="76" t="s">
        <v>2889</v>
      </c>
      <c r="H3860" s="76"/>
      <c r="I3860" s="77" t="s">
        <v>66</v>
      </c>
      <c r="J3860" s="75" t="s">
        <v>67</v>
      </c>
      <c r="K3860" s="75" t="s">
        <v>2890</v>
      </c>
      <c r="L3860" s="75" t="s">
        <v>68</v>
      </c>
      <c r="M3860" s="75" t="s">
        <v>70</v>
      </c>
      <c r="N3860" s="573">
        <v>8.13</v>
      </c>
      <c r="O3860" s="556" t="str">
        <f>IF(N3860=M3860,"OK","DIF")</f>
        <v>DIF</v>
      </c>
      <c r="P3860" s="573"/>
      <c r="Q3860" s="556"/>
      <c r="R3860" s="582"/>
    </row>
    <row r="3861" ht="38.25" spans="1:18">
      <c r="A3861" s="556">
        <f>B3861</f>
        <v>0</v>
      </c>
      <c r="B3861" s="557">
        <f>B3860</f>
        <v>0</v>
      </c>
      <c r="C3861" s="569" t="s">
        <v>2891</v>
      </c>
      <c r="D3861" s="570" t="s">
        <v>1313</v>
      </c>
      <c r="E3861" s="569" t="s">
        <v>132</v>
      </c>
      <c r="F3861" s="569" t="s">
        <v>1314</v>
      </c>
      <c r="G3861" s="569">
        <v>61.15</v>
      </c>
      <c r="H3861" s="569"/>
      <c r="I3861" s="577" t="s">
        <v>134</v>
      </c>
      <c r="J3861" s="578">
        <v>1</v>
      </c>
      <c r="K3861" s="579"/>
      <c r="L3861" s="579">
        <v>1016.79</v>
      </c>
      <c r="M3861" s="579">
        <v>1016.79</v>
      </c>
      <c r="N3861" s="573">
        <v>1.29</v>
      </c>
      <c r="O3861" s="556" t="str">
        <f>IF(N3861=M3861,"OK","DIF")</f>
        <v>DIF</v>
      </c>
      <c r="P3861" s="573"/>
      <c r="Q3861" s="556"/>
      <c r="R3861" s="582"/>
    </row>
    <row r="3862" ht="23.85" customHeight="1" spans="1:18">
      <c r="A3862" s="556">
        <f>B3862</f>
        <v>0</v>
      </c>
      <c r="B3862" s="557">
        <f>B3861</f>
        <v>0</v>
      </c>
      <c r="C3862" s="79" t="s">
        <v>2921</v>
      </c>
      <c r="D3862" s="78" t="s">
        <v>4196</v>
      </c>
      <c r="E3862" s="79" t="s">
        <v>139</v>
      </c>
      <c r="F3862" s="79" t="s">
        <v>4197</v>
      </c>
      <c r="G3862" s="79" t="s">
        <v>2928</v>
      </c>
      <c r="H3862" s="79"/>
      <c r="I3862" s="80" t="s">
        <v>2897</v>
      </c>
      <c r="J3862" s="583">
        <v>0.75</v>
      </c>
      <c r="K3862" s="583">
        <v>0</v>
      </c>
      <c r="L3862" s="92">
        <v>47.1</v>
      </c>
      <c r="M3862" s="92">
        <v>35.32</v>
      </c>
      <c r="N3862" s="573">
        <v>0.98</v>
      </c>
      <c r="O3862" s="556" t="str">
        <f>IF(N3862=M3862,"OK","DIF")</f>
        <v>DIF</v>
      </c>
      <c r="P3862" s="573"/>
      <c r="Q3862" s="556"/>
      <c r="R3862" s="582"/>
    </row>
    <row r="3863" ht="23.85" customHeight="1" spans="1:18">
      <c r="A3863" s="556"/>
      <c r="B3863" s="557"/>
      <c r="C3863" s="79" t="s">
        <v>2921</v>
      </c>
      <c r="D3863" s="78" t="s">
        <v>3144</v>
      </c>
      <c r="E3863" s="79" t="s">
        <v>139</v>
      </c>
      <c r="F3863" s="79" t="s">
        <v>3145</v>
      </c>
      <c r="G3863" s="79" t="s">
        <v>2928</v>
      </c>
      <c r="H3863" s="79"/>
      <c r="I3863" s="80" t="s">
        <v>2897</v>
      </c>
      <c r="J3863" s="583">
        <v>0.75</v>
      </c>
      <c r="K3863" s="583">
        <v>0</v>
      </c>
      <c r="L3863" s="92">
        <v>35.55</v>
      </c>
      <c r="M3863" s="92">
        <v>26.66</v>
      </c>
      <c r="N3863" s="573"/>
      <c r="O3863" s="556"/>
      <c r="P3863" s="573"/>
      <c r="Q3863" s="556"/>
      <c r="R3863" s="582"/>
    </row>
    <row r="3864" ht="15" customHeight="1" spans="1:18">
      <c r="A3864" s="556"/>
      <c r="B3864" s="557"/>
      <c r="C3864" s="100" t="s">
        <v>2893</v>
      </c>
      <c r="D3864" s="99" t="s">
        <v>4213</v>
      </c>
      <c r="E3864" s="100" t="s">
        <v>132</v>
      </c>
      <c r="F3864" s="100" t="s">
        <v>1314</v>
      </c>
      <c r="G3864" s="100" t="s">
        <v>2961</v>
      </c>
      <c r="H3864" s="100"/>
      <c r="I3864" s="101" t="s">
        <v>134</v>
      </c>
      <c r="J3864" s="580">
        <v>1</v>
      </c>
      <c r="K3864" s="580">
        <v>0</v>
      </c>
      <c r="L3864" s="102">
        <v>954.81</v>
      </c>
      <c r="M3864" s="102">
        <v>954.81</v>
      </c>
      <c r="N3864" s="573"/>
      <c r="O3864" s="556"/>
      <c r="P3864" s="573"/>
      <c r="Q3864" s="556"/>
      <c r="R3864" s="582"/>
    </row>
    <row r="3865" ht="25.5" spans="1:18">
      <c r="A3865" s="556"/>
      <c r="B3865" s="557" t="str">
        <f>C3864</f>
        <v>Insumo</v>
      </c>
      <c r="C3865" s="108"/>
      <c r="D3865" s="108"/>
      <c r="E3865" s="108"/>
      <c r="F3865" s="108"/>
      <c r="G3865" s="108"/>
      <c r="H3865" s="108" t="s">
        <v>2898</v>
      </c>
      <c r="I3865" s="581">
        <v>47.41</v>
      </c>
      <c r="J3865" s="108" t="s">
        <v>2899</v>
      </c>
      <c r="K3865" s="581">
        <v>0</v>
      </c>
      <c r="L3865" s="108" t="s">
        <v>2900</v>
      </c>
      <c r="M3865" s="581">
        <v>47.41</v>
      </c>
      <c r="N3865" s="573">
        <v>43</v>
      </c>
      <c r="O3865" s="556" t="str">
        <f t="shared" ref="O3865:O3871" si="299">IF(N3865=M3865,"OK","DIF")</f>
        <v>DIF</v>
      </c>
      <c r="P3865" s="573"/>
      <c r="Q3865" s="556"/>
      <c r="R3865" s="582"/>
    </row>
    <row r="3866" ht="26.25" spans="1:18">
      <c r="A3866" s="556" t="str">
        <f t="shared" ref="A3866:A3871" si="300">B3866</f>
        <v>Insumo</v>
      </c>
      <c r="B3866" s="557" t="str">
        <f t="shared" ref="B3866:B3871" si="301">B3865</f>
        <v>Insumo</v>
      </c>
      <c r="C3866" s="108"/>
      <c r="D3866" s="108"/>
      <c r="E3866" s="108"/>
      <c r="F3866" s="108"/>
      <c r="G3866" s="108"/>
      <c r="H3866" s="108" t="s">
        <v>2901</v>
      </c>
      <c r="I3866" s="581">
        <v>259.17</v>
      </c>
      <c r="J3866" s="114"/>
      <c r="K3866" s="114" t="s">
        <v>2902</v>
      </c>
      <c r="L3866" s="108"/>
      <c r="M3866" s="581">
        <v>1275.96</v>
      </c>
      <c r="N3866" s="573">
        <v>16.53</v>
      </c>
      <c r="O3866" s="556" t="str">
        <f t="shared" si="299"/>
        <v>DIF</v>
      </c>
      <c r="P3866" s="573"/>
      <c r="Q3866" s="556"/>
      <c r="R3866" s="582"/>
    </row>
    <row r="3867" ht="15" spans="1:18">
      <c r="A3867" s="556" t="str">
        <f t="shared" si="300"/>
        <v>Insumo</v>
      </c>
      <c r="B3867" s="557" t="str">
        <f t="shared" si="301"/>
        <v>Insumo</v>
      </c>
      <c r="C3867" s="571"/>
      <c r="D3867" s="571"/>
      <c r="E3867" s="571"/>
      <c r="F3867" s="571"/>
      <c r="G3867" s="571"/>
      <c r="H3867" s="571"/>
      <c r="I3867" s="571"/>
      <c r="J3867" s="571"/>
      <c r="K3867" s="571"/>
      <c r="L3867" s="571"/>
      <c r="M3867" s="571"/>
      <c r="N3867" s="573">
        <v>13.65</v>
      </c>
      <c r="O3867" s="556" t="str">
        <f t="shared" si="299"/>
        <v>DIF</v>
      </c>
      <c r="P3867" s="573"/>
      <c r="Q3867" s="556"/>
      <c r="R3867" s="582"/>
    </row>
    <row r="3868" ht="15" customHeight="1" spans="1:18">
      <c r="A3868" s="556" t="str">
        <f t="shared" si="300"/>
        <v>Insumo</v>
      </c>
      <c r="B3868" s="557" t="str">
        <f t="shared" si="301"/>
        <v>Insumo</v>
      </c>
      <c r="C3868" s="76" t="s">
        <v>1315</v>
      </c>
      <c r="D3868" s="75" t="s">
        <v>63</v>
      </c>
      <c r="E3868" s="76" t="s">
        <v>64</v>
      </c>
      <c r="F3868" s="76" t="s">
        <v>65</v>
      </c>
      <c r="G3868" s="76" t="s">
        <v>2889</v>
      </c>
      <c r="H3868" s="76"/>
      <c r="I3868" s="77" t="s">
        <v>66</v>
      </c>
      <c r="J3868" s="75" t="s">
        <v>67</v>
      </c>
      <c r="K3868" s="75" t="s">
        <v>2890</v>
      </c>
      <c r="L3868" s="75" t="s">
        <v>68</v>
      </c>
      <c r="M3868" s="75" t="s">
        <v>70</v>
      </c>
      <c r="N3868" s="573">
        <v>0.12</v>
      </c>
      <c r="O3868" s="556" t="str">
        <f t="shared" si="299"/>
        <v>DIF</v>
      </c>
      <c r="P3868" s="573"/>
      <c r="Q3868" s="556"/>
      <c r="R3868" s="582"/>
    </row>
    <row r="3869" ht="38.25" spans="1:18">
      <c r="A3869" s="556" t="str">
        <f t="shared" si="300"/>
        <v>Insumo</v>
      </c>
      <c r="B3869" s="557" t="str">
        <f t="shared" si="301"/>
        <v>Insumo</v>
      </c>
      <c r="C3869" s="569" t="s">
        <v>2891</v>
      </c>
      <c r="D3869" s="570" t="s">
        <v>1316</v>
      </c>
      <c r="E3869" s="569" t="s">
        <v>132</v>
      </c>
      <c r="F3869" s="569" t="s">
        <v>1317</v>
      </c>
      <c r="G3869" s="569">
        <v>61.15</v>
      </c>
      <c r="H3869" s="569"/>
      <c r="I3869" s="577" t="s">
        <v>134</v>
      </c>
      <c r="J3869" s="578">
        <v>1</v>
      </c>
      <c r="K3869" s="579"/>
      <c r="L3869" s="579">
        <v>1936.88</v>
      </c>
      <c r="M3869" s="579">
        <v>1936.88</v>
      </c>
      <c r="N3869" s="573">
        <v>0.12</v>
      </c>
      <c r="O3869" s="556" t="str">
        <f t="shared" si="299"/>
        <v>DIF</v>
      </c>
      <c r="P3869" s="573"/>
      <c r="Q3869" s="556"/>
      <c r="R3869" s="582"/>
    </row>
    <row r="3870" ht="23.85" customHeight="1" spans="1:18">
      <c r="A3870" s="556" t="str">
        <f t="shared" si="300"/>
        <v>Insumo</v>
      </c>
      <c r="B3870" s="557" t="str">
        <f t="shared" si="301"/>
        <v>Insumo</v>
      </c>
      <c r="C3870" s="79" t="s">
        <v>2921</v>
      </c>
      <c r="D3870" s="78" t="s">
        <v>3144</v>
      </c>
      <c r="E3870" s="79" t="s">
        <v>139</v>
      </c>
      <c r="F3870" s="79" t="s">
        <v>3145</v>
      </c>
      <c r="G3870" s="79" t="s">
        <v>2928</v>
      </c>
      <c r="H3870" s="79"/>
      <c r="I3870" s="80" t="s">
        <v>2897</v>
      </c>
      <c r="J3870" s="583">
        <v>0.75</v>
      </c>
      <c r="K3870" s="583">
        <v>0</v>
      </c>
      <c r="L3870" s="92">
        <v>35.55</v>
      </c>
      <c r="M3870" s="92">
        <v>26.66</v>
      </c>
      <c r="N3870" s="573">
        <v>12.16</v>
      </c>
      <c r="O3870" s="556" t="str">
        <f t="shared" si="299"/>
        <v>DIF</v>
      </c>
      <c r="P3870" s="573"/>
      <c r="Q3870" s="556"/>
      <c r="R3870" s="582"/>
    </row>
    <row r="3871" ht="23.85" customHeight="1" spans="1:18">
      <c r="A3871" s="556" t="str">
        <f t="shared" si="300"/>
        <v>Insumo</v>
      </c>
      <c r="B3871" s="557" t="str">
        <f t="shared" si="301"/>
        <v>Insumo</v>
      </c>
      <c r="C3871" s="79" t="s">
        <v>2921</v>
      </c>
      <c r="D3871" s="78" t="s">
        <v>4196</v>
      </c>
      <c r="E3871" s="79" t="s">
        <v>139</v>
      </c>
      <c r="F3871" s="79" t="s">
        <v>4197</v>
      </c>
      <c r="G3871" s="79" t="s">
        <v>2928</v>
      </c>
      <c r="H3871" s="79"/>
      <c r="I3871" s="80" t="s">
        <v>2897</v>
      </c>
      <c r="J3871" s="583">
        <v>0.75</v>
      </c>
      <c r="K3871" s="583">
        <v>0</v>
      </c>
      <c r="L3871" s="92">
        <v>47.1</v>
      </c>
      <c r="M3871" s="92">
        <v>35.32</v>
      </c>
      <c r="N3871" s="573">
        <v>0.42</v>
      </c>
      <c r="O3871" s="556" t="str">
        <f t="shared" si="299"/>
        <v>DIF</v>
      </c>
      <c r="P3871" s="573"/>
      <c r="Q3871" s="556"/>
      <c r="R3871" s="582"/>
    </row>
    <row r="3872" ht="15" customHeight="1" spans="1:18">
      <c r="A3872" s="556"/>
      <c r="B3872" s="557"/>
      <c r="C3872" s="100" t="s">
        <v>2893</v>
      </c>
      <c r="D3872" s="99" t="s">
        <v>4214</v>
      </c>
      <c r="E3872" s="100" t="s">
        <v>132</v>
      </c>
      <c r="F3872" s="100" t="s">
        <v>1317</v>
      </c>
      <c r="G3872" s="100" t="s">
        <v>2961</v>
      </c>
      <c r="H3872" s="100"/>
      <c r="I3872" s="101" t="s">
        <v>134</v>
      </c>
      <c r="J3872" s="580">
        <v>1</v>
      </c>
      <c r="K3872" s="580">
        <v>0</v>
      </c>
      <c r="L3872" s="102">
        <v>1874.9</v>
      </c>
      <c r="M3872" s="102">
        <v>1874.9</v>
      </c>
      <c r="N3872" s="573"/>
      <c r="O3872" s="556"/>
      <c r="P3872" s="573"/>
      <c r="Q3872" s="556"/>
      <c r="R3872" s="582"/>
    </row>
    <row r="3873" ht="25.5" spans="1:18">
      <c r="A3873" s="556"/>
      <c r="B3873" s="557"/>
      <c r="C3873" s="108"/>
      <c r="D3873" s="108"/>
      <c r="E3873" s="108"/>
      <c r="F3873" s="108"/>
      <c r="G3873" s="108"/>
      <c r="H3873" s="108" t="s">
        <v>2898</v>
      </c>
      <c r="I3873" s="581">
        <v>47.41</v>
      </c>
      <c r="J3873" s="108" t="s">
        <v>2899</v>
      </c>
      <c r="K3873" s="581">
        <v>0</v>
      </c>
      <c r="L3873" s="108" t="s">
        <v>2900</v>
      </c>
      <c r="M3873" s="581">
        <v>47.41</v>
      </c>
      <c r="N3873" s="573"/>
      <c r="O3873" s="556"/>
      <c r="P3873" s="573"/>
      <c r="Q3873" s="556"/>
      <c r="R3873" s="582"/>
    </row>
    <row r="3874" ht="26.25" spans="1:18">
      <c r="A3874" s="556"/>
      <c r="B3874" s="557">
        <f>C3873</f>
        <v>0</v>
      </c>
      <c r="C3874" s="108"/>
      <c r="D3874" s="108"/>
      <c r="E3874" s="108"/>
      <c r="F3874" s="108"/>
      <c r="G3874" s="108"/>
      <c r="H3874" s="108" t="s">
        <v>2901</v>
      </c>
      <c r="I3874" s="581">
        <v>493.71</v>
      </c>
      <c r="J3874" s="114"/>
      <c r="K3874" s="114" t="s">
        <v>2902</v>
      </c>
      <c r="L3874" s="108"/>
      <c r="M3874" s="581">
        <v>2430.59</v>
      </c>
      <c r="N3874" s="573">
        <v>22.24</v>
      </c>
      <c r="O3874" s="556" t="str">
        <f>IF(N3874=M3874,"OK","DIF")</f>
        <v>DIF</v>
      </c>
      <c r="P3874" s="573"/>
      <c r="Q3874" s="556"/>
      <c r="R3874" s="582"/>
    </row>
    <row r="3875" ht="15" spans="1:18">
      <c r="A3875" s="556">
        <f>B3875</f>
        <v>0</v>
      </c>
      <c r="B3875" s="557">
        <f>B3874</f>
        <v>0</v>
      </c>
      <c r="C3875" s="571"/>
      <c r="D3875" s="571"/>
      <c r="E3875" s="571"/>
      <c r="F3875" s="571"/>
      <c r="G3875" s="571"/>
      <c r="H3875" s="571"/>
      <c r="I3875" s="571"/>
      <c r="J3875" s="571"/>
      <c r="K3875" s="571"/>
      <c r="L3875" s="571"/>
      <c r="M3875" s="571"/>
      <c r="N3875" s="573">
        <v>6.16</v>
      </c>
      <c r="O3875" s="556" t="str">
        <f>IF(N3875=M3875,"OK","DIF")</f>
        <v>DIF</v>
      </c>
      <c r="P3875" s="573"/>
      <c r="Q3875" s="556"/>
      <c r="R3875" s="582"/>
    </row>
    <row r="3876" ht="15" customHeight="1" spans="1:18">
      <c r="A3876" s="556">
        <f>B3876</f>
        <v>0</v>
      </c>
      <c r="B3876" s="557">
        <f>B3875</f>
        <v>0</v>
      </c>
      <c r="C3876" s="76" t="s">
        <v>1318</v>
      </c>
      <c r="D3876" s="75" t="s">
        <v>63</v>
      </c>
      <c r="E3876" s="76" t="s">
        <v>64</v>
      </c>
      <c r="F3876" s="76" t="s">
        <v>65</v>
      </c>
      <c r="G3876" s="76" t="s">
        <v>2889</v>
      </c>
      <c r="H3876" s="76"/>
      <c r="I3876" s="77" t="s">
        <v>66</v>
      </c>
      <c r="J3876" s="75" t="s">
        <v>67</v>
      </c>
      <c r="K3876" s="75" t="s">
        <v>2890</v>
      </c>
      <c r="L3876" s="75" t="s">
        <v>68</v>
      </c>
      <c r="M3876" s="75" t="s">
        <v>70</v>
      </c>
      <c r="N3876" s="573">
        <v>5.08</v>
      </c>
      <c r="O3876" s="556" t="str">
        <f>IF(N3876=M3876,"OK","DIF")</f>
        <v>DIF</v>
      </c>
      <c r="P3876" s="573"/>
      <c r="Q3876" s="556"/>
      <c r="R3876" s="582"/>
    </row>
    <row r="3877" ht="25.5" spans="1:18">
      <c r="A3877" s="556">
        <f>B3877</f>
        <v>0</v>
      </c>
      <c r="B3877" s="557">
        <f>B3876</f>
        <v>0</v>
      </c>
      <c r="C3877" s="569" t="s">
        <v>2891</v>
      </c>
      <c r="D3877" s="570" t="s">
        <v>1319</v>
      </c>
      <c r="E3877" s="569" t="s">
        <v>132</v>
      </c>
      <c r="F3877" s="569" t="s">
        <v>1320</v>
      </c>
      <c r="G3877" s="569">
        <v>70</v>
      </c>
      <c r="H3877" s="569"/>
      <c r="I3877" s="577" t="s">
        <v>134</v>
      </c>
      <c r="J3877" s="578">
        <v>1</v>
      </c>
      <c r="K3877" s="579"/>
      <c r="L3877" s="579">
        <v>588.85</v>
      </c>
      <c r="M3877" s="579">
        <v>588.85</v>
      </c>
      <c r="N3877" s="573">
        <v>11</v>
      </c>
      <c r="O3877" s="556" t="str">
        <f>IF(N3877=M3877,"OK","DIF")</f>
        <v>DIF</v>
      </c>
      <c r="P3877" s="573"/>
      <c r="Q3877" s="556"/>
      <c r="R3877" s="582"/>
    </row>
    <row r="3878" ht="23.85" customHeight="1" spans="1:18">
      <c r="A3878" s="556"/>
      <c r="B3878" s="557"/>
      <c r="C3878" s="79" t="s">
        <v>2921</v>
      </c>
      <c r="D3878" s="78" t="s">
        <v>3487</v>
      </c>
      <c r="E3878" s="79" t="s">
        <v>139</v>
      </c>
      <c r="F3878" s="79" t="s">
        <v>3488</v>
      </c>
      <c r="G3878" s="79" t="s">
        <v>2928</v>
      </c>
      <c r="H3878" s="79"/>
      <c r="I3878" s="80" t="s">
        <v>2897</v>
      </c>
      <c r="J3878" s="583">
        <v>8.248</v>
      </c>
      <c r="K3878" s="583">
        <v>0</v>
      </c>
      <c r="L3878" s="92">
        <v>30.31</v>
      </c>
      <c r="M3878" s="92">
        <v>249.99</v>
      </c>
      <c r="N3878" s="573"/>
      <c r="O3878" s="556"/>
      <c r="P3878" s="573"/>
      <c r="Q3878" s="556"/>
      <c r="R3878" s="582"/>
    </row>
    <row r="3879" ht="23.85" customHeight="1" spans="1:18">
      <c r="A3879" s="556"/>
      <c r="B3879" s="557"/>
      <c r="C3879" s="79" t="s">
        <v>2921</v>
      </c>
      <c r="D3879" s="78" t="s">
        <v>4215</v>
      </c>
      <c r="E3879" s="79" t="s">
        <v>139</v>
      </c>
      <c r="F3879" s="79" t="s">
        <v>4216</v>
      </c>
      <c r="G3879" s="79" t="s">
        <v>2928</v>
      </c>
      <c r="H3879" s="79"/>
      <c r="I3879" s="80" t="s">
        <v>2897</v>
      </c>
      <c r="J3879" s="583">
        <v>5.155</v>
      </c>
      <c r="K3879" s="583">
        <v>0</v>
      </c>
      <c r="L3879" s="92">
        <v>33.34</v>
      </c>
      <c r="M3879" s="92">
        <v>171.86</v>
      </c>
      <c r="N3879" s="573"/>
      <c r="O3879" s="556"/>
      <c r="P3879" s="573"/>
      <c r="Q3879" s="556"/>
      <c r="R3879" s="582"/>
    </row>
    <row r="3880" ht="15" customHeight="1" spans="1:18">
      <c r="A3880" s="556"/>
      <c r="B3880" s="557"/>
      <c r="C3880" s="100" t="s">
        <v>2893</v>
      </c>
      <c r="D3880" s="99" t="s">
        <v>4217</v>
      </c>
      <c r="E3880" s="100" t="s">
        <v>132</v>
      </c>
      <c r="F3880" s="100" t="s">
        <v>1320</v>
      </c>
      <c r="G3880" s="100" t="s">
        <v>2961</v>
      </c>
      <c r="H3880" s="100"/>
      <c r="I3880" s="101" t="s">
        <v>134</v>
      </c>
      <c r="J3880" s="580">
        <v>1</v>
      </c>
      <c r="K3880" s="580">
        <v>0</v>
      </c>
      <c r="L3880" s="102">
        <v>167</v>
      </c>
      <c r="M3880" s="102">
        <v>167</v>
      </c>
      <c r="N3880" s="573"/>
      <c r="O3880" s="556"/>
      <c r="P3880" s="573"/>
      <c r="Q3880" s="556"/>
      <c r="R3880" s="582"/>
    </row>
    <row r="3881" ht="25.5" spans="1:18">
      <c r="A3881" s="556"/>
      <c r="B3881" s="557" t="str">
        <f>C3880</f>
        <v>Insumo</v>
      </c>
      <c r="C3881" s="108"/>
      <c r="D3881" s="108"/>
      <c r="E3881" s="108"/>
      <c r="F3881" s="108"/>
      <c r="G3881" s="108"/>
      <c r="H3881" s="108" t="s">
        <v>2898</v>
      </c>
      <c r="I3881" s="581">
        <v>288.14</v>
      </c>
      <c r="J3881" s="108" t="s">
        <v>2899</v>
      </c>
      <c r="K3881" s="581">
        <v>0</v>
      </c>
      <c r="L3881" s="108" t="s">
        <v>2900</v>
      </c>
      <c r="M3881" s="581">
        <v>288.14</v>
      </c>
      <c r="N3881" s="573">
        <v>96354</v>
      </c>
      <c r="O3881" s="556" t="str">
        <f>IF(N3881=M3881,"OK","DIF")</f>
        <v>DIF</v>
      </c>
      <c r="P3881" s="573"/>
      <c r="Q3881" s="556"/>
      <c r="R3881" s="582"/>
    </row>
    <row r="3882" ht="26.25" spans="1:18">
      <c r="A3882" s="556" t="str">
        <f>B3882</f>
        <v>Insumo</v>
      </c>
      <c r="B3882" s="557" t="str">
        <f>B3881</f>
        <v>Insumo</v>
      </c>
      <c r="C3882" s="108"/>
      <c r="D3882" s="108"/>
      <c r="E3882" s="108"/>
      <c r="F3882" s="108"/>
      <c r="G3882" s="108"/>
      <c r="H3882" s="108" t="s">
        <v>2901</v>
      </c>
      <c r="I3882" s="581">
        <v>150.09</v>
      </c>
      <c r="J3882" s="114"/>
      <c r="K3882" s="114" t="s">
        <v>2902</v>
      </c>
      <c r="L3882" s="108"/>
      <c r="M3882" s="581">
        <v>738.94</v>
      </c>
      <c r="N3882" s="573">
        <v>96354</v>
      </c>
      <c r="O3882" s="556" t="str">
        <f>IF(N3882=M3882,"OK","DIF")</f>
        <v>DIF</v>
      </c>
      <c r="P3882" s="573"/>
      <c r="Q3882" s="556"/>
      <c r="R3882" s="582"/>
    </row>
    <row r="3883" ht="15" spans="1:18">
      <c r="A3883" s="556"/>
      <c r="B3883" s="557"/>
      <c r="C3883" s="571"/>
      <c r="D3883" s="571"/>
      <c r="E3883" s="571"/>
      <c r="F3883" s="571"/>
      <c r="G3883" s="571"/>
      <c r="H3883" s="571"/>
      <c r="I3883" s="571"/>
      <c r="J3883" s="571"/>
      <c r="K3883" s="571"/>
      <c r="L3883" s="571"/>
      <c r="M3883" s="571"/>
      <c r="N3883" s="573"/>
      <c r="O3883" s="556"/>
      <c r="P3883" s="573"/>
      <c r="Q3883" s="556"/>
      <c r="R3883" s="582"/>
    </row>
    <row r="3884" ht="15" customHeight="1" spans="1:18">
      <c r="A3884" s="556"/>
      <c r="B3884" s="557"/>
      <c r="C3884" s="76" t="s">
        <v>1321</v>
      </c>
      <c r="D3884" s="75" t="s">
        <v>63</v>
      </c>
      <c r="E3884" s="76" t="s">
        <v>64</v>
      </c>
      <c r="F3884" s="76" t="s">
        <v>65</v>
      </c>
      <c r="G3884" s="76" t="s">
        <v>2889</v>
      </c>
      <c r="H3884" s="76"/>
      <c r="I3884" s="77" t="s">
        <v>66</v>
      </c>
      <c r="J3884" s="75" t="s">
        <v>67</v>
      </c>
      <c r="K3884" s="75" t="s">
        <v>2890</v>
      </c>
      <c r="L3884" s="75" t="s">
        <v>68</v>
      </c>
      <c r="M3884" s="75" t="s">
        <v>70</v>
      </c>
      <c r="N3884" s="573"/>
      <c r="O3884" s="556"/>
      <c r="P3884" s="573"/>
      <c r="Q3884" s="556"/>
      <c r="R3884" s="582"/>
    </row>
    <row r="3885" ht="25.5" spans="1:18">
      <c r="A3885" s="556"/>
      <c r="B3885" s="557" t="str">
        <f>C3884</f>
        <v> 12.3.44 </v>
      </c>
      <c r="C3885" s="569" t="s">
        <v>2891</v>
      </c>
      <c r="D3885" s="570" t="s">
        <v>1322</v>
      </c>
      <c r="E3885" s="569" t="s">
        <v>132</v>
      </c>
      <c r="F3885" s="569" t="s">
        <v>1323</v>
      </c>
      <c r="G3885" s="569">
        <v>70</v>
      </c>
      <c r="H3885" s="569"/>
      <c r="I3885" s="577" t="s">
        <v>134</v>
      </c>
      <c r="J3885" s="578">
        <v>1</v>
      </c>
      <c r="K3885" s="579"/>
      <c r="L3885" s="579">
        <v>1694.54</v>
      </c>
      <c r="M3885" s="579">
        <v>1694.54</v>
      </c>
      <c r="N3885" s="573">
        <v>2072.68</v>
      </c>
      <c r="O3885" s="556" t="str">
        <f>IF(N3885=M3885,"OK","DIF")</f>
        <v>DIF</v>
      </c>
      <c r="P3885" s="573"/>
      <c r="Q3885" s="556"/>
      <c r="R3885" s="582"/>
    </row>
    <row r="3886" ht="23.85" customHeight="1" spans="1:18">
      <c r="A3886" s="556" t="str">
        <f>B3886</f>
        <v> 12.3.44 </v>
      </c>
      <c r="B3886" s="557" t="str">
        <f>B3885</f>
        <v> 12.3.44 </v>
      </c>
      <c r="C3886" s="79" t="s">
        <v>2921</v>
      </c>
      <c r="D3886" s="78" t="s">
        <v>4215</v>
      </c>
      <c r="E3886" s="79" t="s">
        <v>139</v>
      </c>
      <c r="F3886" s="79" t="s">
        <v>4216</v>
      </c>
      <c r="G3886" s="79" t="s">
        <v>2928</v>
      </c>
      <c r="H3886" s="79"/>
      <c r="I3886" s="80" t="s">
        <v>2897</v>
      </c>
      <c r="J3886" s="583">
        <v>2</v>
      </c>
      <c r="K3886" s="583">
        <v>0</v>
      </c>
      <c r="L3886" s="92">
        <v>33.34</v>
      </c>
      <c r="M3886" s="92">
        <v>66.68</v>
      </c>
      <c r="N3886" s="573">
        <v>1135.39</v>
      </c>
      <c r="O3886" s="556" t="str">
        <f>IF(N3886=M3886,"OK","DIF")</f>
        <v>DIF</v>
      </c>
      <c r="P3886" s="573"/>
      <c r="Q3886" s="556"/>
      <c r="R3886" s="582"/>
    </row>
    <row r="3887" ht="23.85" customHeight="1" spans="1:18">
      <c r="A3887" s="556" t="str">
        <f>B3887</f>
        <v> 12.3.44 </v>
      </c>
      <c r="B3887" s="557" t="str">
        <f>B3886</f>
        <v> 12.3.44 </v>
      </c>
      <c r="C3887" s="79" t="s">
        <v>2921</v>
      </c>
      <c r="D3887" s="78" t="s">
        <v>3487</v>
      </c>
      <c r="E3887" s="79" t="s">
        <v>139</v>
      </c>
      <c r="F3887" s="79" t="s">
        <v>3488</v>
      </c>
      <c r="G3887" s="79" t="s">
        <v>2928</v>
      </c>
      <c r="H3887" s="79"/>
      <c r="I3887" s="80" t="s">
        <v>2897</v>
      </c>
      <c r="J3887" s="583">
        <v>4</v>
      </c>
      <c r="K3887" s="583">
        <v>0</v>
      </c>
      <c r="L3887" s="92">
        <v>30.31</v>
      </c>
      <c r="M3887" s="92">
        <v>121.24</v>
      </c>
      <c r="N3887" s="573">
        <v>937.29</v>
      </c>
      <c r="O3887" s="556" t="str">
        <f>IF(N3887=M3887,"OK","DIF")</f>
        <v>DIF</v>
      </c>
      <c r="P3887" s="573"/>
      <c r="Q3887" s="556"/>
      <c r="R3887" s="582"/>
    </row>
    <row r="3888" ht="23.85" customHeight="1" spans="1:18">
      <c r="A3888" s="556"/>
      <c r="B3888" s="557"/>
      <c r="C3888" s="100" t="s">
        <v>2893</v>
      </c>
      <c r="D3888" s="99" t="s">
        <v>4218</v>
      </c>
      <c r="E3888" s="100" t="s">
        <v>132</v>
      </c>
      <c r="F3888" s="100" t="s">
        <v>4219</v>
      </c>
      <c r="G3888" s="100" t="s">
        <v>2961</v>
      </c>
      <c r="H3888" s="100"/>
      <c r="I3888" s="101" t="s">
        <v>134</v>
      </c>
      <c r="J3888" s="580">
        <v>1</v>
      </c>
      <c r="K3888" s="580">
        <v>0</v>
      </c>
      <c r="L3888" s="102">
        <v>1506.62</v>
      </c>
      <c r="M3888" s="102">
        <v>1506.62</v>
      </c>
      <c r="N3888" s="573"/>
      <c r="O3888" s="556"/>
      <c r="P3888" s="573"/>
      <c r="Q3888" s="556"/>
      <c r="R3888" s="582"/>
    </row>
    <row r="3889" ht="25.5" spans="1:18">
      <c r="A3889" s="556"/>
      <c r="B3889" s="557"/>
      <c r="C3889" s="108"/>
      <c r="D3889" s="108"/>
      <c r="E3889" s="108"/>
      <c r="F3889" s="108"/>
      <c r="G3889" s="108"/>
      <c r="H3889" s="108" t="s">
        <v>2898</v>
      </c>
      <c r="I3889" s="581">
        <v>128.1</v>
      </c>
      <c r="J3889" s="108" t="s">
        <v>2899</v>
      </c>
      <c r="K3889" s="581">
        <v>0</v>
      </c>
      <c r="L3889" s="108" t="s">
        <v>2900</v>
      </c>
      <c r="M3889" s="581">
        <v>128.1</v>
      </c>
      <c r="N3889" s="573"/>
      <c r="O3889" s="556"/>
      <c r="P3889" s="573"/>
      <c r="Q3889" s="556"/>
      <c r="R3889" s="582"/>
    </row>
    <row r="3890" ht="26.25" spans="1:18">
      <c r="A3890" s="556"/>
      <c r="B3890" s="557"/>
      <c r="C3890" s="108"/>
      <c r="D3890" s="108"/>
      <c r="E3890" s="108"/>
      <c r="F3890" s="108"/>
      <c r="G3890" s="108"/>
      <c r="H3890" s="108" t="s">
        <v>2901</v>
      </c>
      <c r="I3890" s="581">
        <v>431.93</v>
      </c>
      <c r="J3890" s="114"/>
      <c r="K3890" s="114" t="s">
        <v>2902</v>
      </c>
      <c r="L3890" s="108"/>
      <c r="M3890" s="581">
        <v>2126.47</v>
      </c>
      <c r="N3890" s="573"/>
      <c r="O3890" s="556"/>
      <c r="P3890" s="573"/>
      <c r="Q3890" s="556"/>
      <c r="R3890" s="582"/>
    </row>
    <row r="3891" ht="15" spans="1:18">
      <c r="A3891" s="556"/>
      <c r="B3891" s="557">
        <f>C3890</f>
        <v>0</v>
      </c>
      <c r="C3891" s="571"/>
      <c r="D3891" s="571"/>
      <c r="E3891" s="571"/>
      <c r="F3891" s="571"/>
      <c r="G3891" s="571"/>
      <c r="H3891" s="571"/>
      <c r="I3891" s="571"/>
      <c r="J3891" s="571"/>
      <c r="K3891" s="571"/>
      <c r="L3891" s="571"/>
      <c r="M3891" s="571"/>
      <c r="N3891" s="573">
        <v>70.77</v>
      </c>
      <c r="O3891" s="556" t="str">
        <f t="shared" ref="O3891:O3900" si="302">IF(N3891=M3891,"OK","DIF")</f>
        <v>DIF</v>
      </c>
      <c r="P3891" s="573"/>
      <c r="Q3891" s="556"/>
      <c r="R3891" s="582"/>
    </row>
    <row r="3892" ht="15" customHeight="1" spans="1:18">
      <c r="A3892" s="556">
        <f t="shared" ref="A3892:A3900" si="303">B3892</f>
        <v>0</v>
      </c>
      <c r="B3892" s="557">
        <f t="shared" ref="B3892:B3900" si="304">B3891</f>
        <v>0</v>
      </c>
      <c r="C3892" s="76" t="s">
        <v>1324</v>
      </c>
      <c r="D3892" s="75" t="s">
        <v>63</v>
      </c>
      <c r="E3892" s="76" t="s">
        <v>64</v>
      </c>
      <c r="F3892" s="76" t="s">
        <v>65</v>
      </c>
      <c r="G3892" s="76" t="s">
        <v>2889</v>
      </c>
      <c r="H3892" s="76"/>
      <c r="I3892" s="77" t="s">
        <v>66</v>
      </c>
      <c r="J3892" s="75" t="s">
        <v>67</v>
      </c>
      <c r="K3892" s="75" t="s">
        <v>2890</v>
      </c>
      <c r="L3892" s="75" t="s">
        <v>68</v>
      </c>
      <c r="M3892" s="75" t="s">
        <v>70</v>
      </c>
      <c r="N3892" s="573">
        <v>7.09</v>
      </c>
      <c r="O3892" s="556" t="str">
        <f t="shared" si="302"/>
        <v>DIF</v>
      </c>
      <c r="P3892" s="573"/>
      <c r="Q3892" s="556"/>
      <c r="R3892" s="582"/>
    </row>
    <row r="3893" ht="38.25" spans="1:18">
      <c r="A3893" s="556">
        <f t="shared" si="303"/>
        <v>0</v>
      </c>
      <c r="B3893" s="557">
        <f t="shared" si="304"/>
        <v>0</v>
      </c>
      <c r="C3893" s="569" t="s">
        <v>2891</v>
      </c>
      <c r="D3893" s="570" t="s">
        <v>1325</v>
      </c>
      <c r="E3893" s="569" t="s">
        <v>132</v>
      </c>
      <c r="F3893" s="569" t="s">
        <v>1326</v>
      </c>
      <c r="G3893" s="569">
        <v>61.15</v>
      </c>
      <c r="H3893" s="569"/>
      <c r="I3893" s="577" t="s">
        <v>134</v>
      </c>
      <c r="J3893" s="578">
        <v>1</v>
      </c>
      <c r="K3893" s="579"/>
      <c r="L3893" s="579">
        <v>10765.68</v>
      </c>
      <c r="M3893" s="579">
        <v>10765.68</v>
      </c>
      <c r="N3893" s="573">
        <v>18.02</v>
      </c>
      <c r="O3893" s="556" t="str">
        <f t="shared" si="302"/>
        <v>DIF</v>
      </c>
      <c r="P3893" s="573"/>
      <c r="Q3893" s="556"/>
      <c r="R3893" s="582"/>
    </row>
    <row r="3894" ht="23.85" customHeight="1" spans="1:18">
      <c r="A3894" s="556">
        <f t="shared" si="303"/>
        <v>0</v>
      </c>
      <c r="B3894" s="557">
        <f t="shared" si="304"/>
        <v>0</v>
      </c>
      <c r="C3894" s="79" t="s">
        <v>2921</v>
      </c>
      <c r="D3894" s="78" t="s">
        <v>4196</v>
      </c>
      <c r="E3894" s="79" t="s">
        <v>139</v>
      </c>
      <c r="F3894" s="79" t="s">
        <v>4197</v>
      </c>
      <c r="G3894" s="79" t="s">
        <v>2928</v>
      </c>
      <c r="H3894" s="79"/>
      <c r="I3894" s="80" t="s">
        <v>2897</v>
      </c>
      <c r="J3894" s="583">
        <v>2</v>
      </c>
      <c r="K3894" s="583">
        <v>0</v>
      </c>
      <c r="L3894" s="92">
        <v>47.1</v>
      </c>
      <c r="M3894" s="92">
        <v>94.2</v>
      </c>
      <c r="N3894" s="573">
        <v>0.63</v>
      </c>
      <c r="O3894" s="556" t="str">
        <f t="shared" si="302"/>
        <v>DIF</v>
      </c>
      <c r="P3894" s="573"/>
      <c r="Q3894" s="556"/>
      <c r="R3894" s="582"/>
    </row>
    <row r="3895" ht="35.05" customHeight="1" spans="1:18">
      <c r="A3895" s="556">
        <f t="shared" si="303"/>
        <v>0</v>
      </c>
      <c r="B3895" s="557">
        <f t="shared" si="304"/>
        <v>0</v>
      </c>
      <c r="C3895" s="79" t="s">
        <v>2921</v>
      </c>
      <c r="D3895" s="78" t="s">
        <v>4220</v>
      </c>
      <c r="E3895" s="79" t="s">
        <v>132</v>
      </c>
      <c r="F3895" s="79" t="s">
        <v>2932</v>
      </c>
      <c r="G3895" s="79" t="s">
        <v>2924</v>
      </c>
      <c r="H3895" s="79"/>
      <c r="I3895" s="80" t="s">
        <v>2897</v>
      </c>
      <c r="J3895" s="583">
        <v>1</v>
      </c>
      <c r="K3895" s="583">
        <v>0</v>
      </c>
      <c r="L3895" s="92">
        <v>126.78</v>
      </c>
      <c r="M3895" s="92">
        <v>126.78</v>
      </c>
      <c r="N3895" s="573">
        <v>15.05</v>
      </c>
      <c r="O3895" s="556" t="str">
        <f t="shared" si="302"/>
        <v>DIF</v>
      </c>
      <c r="P3895" s="573"/>
      <c r="Q3895" s="556"/>
      <c r="R3895" s="582"/>
    </row>
    <row r="3896" ht="23.85" customHeight="1" spans="1:18">
      <c r="A3896" s="556">
        <f t="shared" si="303"/>
        <v>0</v>
      </c>
      <c r="B3896" s="557">
        <f t="shared" si="304"/>
        <v>0</v>
      </c>
      <c r="C3896" s="100" t="s">
        <v>2893</v>
      </c>
      <c r="D3896" s="99" t="s">
        <v>4221</v>
      </c>
      <c r="E3896" s="100" t="s">
        <v>132</v>
      </c>
      <c r="F3896" s="100" t="s">
        <v>1326</v>
      </c>
      <c r="G3896" s="100" t="s">
        <v>2961</v>
      </c>
      <c r="H3896" s="100"/>
      <c r="I3896" s="101" t="s">
        <v>134</v>
      </c>
      <c r="J3896" s="580">
        <v>1</v>
      </c>
      <c r="K3896" s="580">
        <v>0</v>
      </c>
      <c r="L3896" s="102">
        <v>10544.7</v>
      </c>
      <c r="M3896" s="102">
        <v>10544.7</v>
      </c>
      <c r="N3896" s="573">
        <v>0.25</v>
      </c>
      <c r="O3896" s="556" t="str">
        <f t="shared" si="302"/>
        <v>DIF</v>
      </c>
      <c r="P3896" s="573"/>
      <c r="Q3896" s="556"/>
      <c r="R3896" s="582"/>
    </row>
    <row r="3897" ht="25.5" spans="1:18">
      <c r="A3897" s="556">
        <f t="shared" si="303"/>
        <v>0</v>
      </c>
      <c r="B3897" s="557">
        <f t="shared" si="304"/>
        <v>0</v>
      </c>
      <c r="C3897" s="108"/>
      <c r="D3897" s="108"/>
      <c r="E3897" s="108"/>
      <c r="F3897" s="108"/>
      <c r="G3897" s="108"/>
      <c r="H3897" s="108" t="s">
        <v>2898</v>
      </c>
      <c r="I3897" s="581">
        <v>198.59</v>
      </c>
      <c r="J3897" s="108" t="s">
        <v>2899</v>
      </c>
      <c r="K3897" s="581">
        <v>0</v>
      </c>
      <c r="L3897" s="108" t="s">
        <v>2900</v>
      </c>
      <c r="M3897" s="581">
        <v>198.59</v>
      </c>
      <c r="N3897" s="573">
        <v>24.92</v>
      </c>
      <c r="O3897" s="556" t="str">
        <f t="shared" si="302"/>
        <v>DIF</v>
      </c>
      <c r="P3897" s="573"/>
      <c r="Q3897" s="556"/>
      <c r="R3897" s="582"/>
    </row>
    <row r="3898" ht="26.25" spans="1:18">
      <c r="A3898" s="556">
        <f t="shared" si="303"/>
        <v>0</v>
      </c>
      <c r="B3898" s="557">
        <f t="shared" si="304"/>
        <v>0</v>
      </c>
      <c r="C3898" s="108"/>
      <c r="D3898" s="108"/>
      <c r="E3898" s="108"/>
      <c r="F3898" s="108"/>
      <c r="G3898" s="108"/>
      <c r="H3898" s="108" t="s">
        <v>2901</v>
      </c>
      <c r="I3898" s="581">
        <v>2744.17</v>
      </c>
      <c r="J3898" s="114"/>
      <c r="K3898" s="114" t="s">
        <v>2902</v>
      </c>
      <c r="L3898" s="108"/>
      <c r="M3898" s="581">
        <v>13509.85</v>
      </c>
      <c r="N3898" s="573">
        <v>2.21</v>
      </c>
      <c r="O3898" s="556" t="str">
        <f t="shared" si="302"/>
        <v>DIF</v>
      </c>
      <c r="P3898" s="573"/>
      <c r="Q3898" s="556"/>
      <c r="R3898" s="582"/>
    </row>
    <row r="3899" ht="15" spans="1:18">
      <c r="A3899" s="556">
        <f t="shared" si="303"/>
        <v>0</v>
      </c>
      <c r="B3899" s="557">
        <f t="shared" si="304"/>
        <v>0</v>
      </c>
      <c r="C3899" s="571"/>
      <c r="D3899" s="571"/>
      <c r="E3899" s="571"/>
      <c r="F3899" s="571"/>
      <c r="G3899" s="571"/>
      <c r="H3899" s="571"/>
      <c r="I3899" s="571"/>
      <c r="J3899" s="571"/>
      <c r="K3899" s="571"/>
      <c r="L3899" s="571"/>
      <c r="M3899" s="571"/>
      <c r="N3899" s="573">
        <v>0.25</v>
      </c>
      <c r="O3899" s="556" t="str">
        <f t="shared" si="302"/>
        <v>DIF</v>
      </c>
      <c r="P3899" s="573"/>
      <c r="Q3899" s="556"/>
      <c r="R3899" s="582"/>
    </row>
    <row r="3900" ht="15" customHeight="1" spans="1:18">
      <c r="A3900" s="556">
        <f t="shared" si="303"/>
        <v>0</v>
      </c>
      <c r="B3900" s="557">
        <f t="shared" si="304"/>
        <v>0</v>
      </c>
      <c r="C3900" s="76" t="s">
        <v>1327</v>
      </c>
      <c r="D3900" s="75" t="s">
        <v>63</v>
      </c>
      <c r="E3900" s="76" t="s">
        <v>64</v>
      </c>
      <c r="F3900" s="76" t="s">
        <v>65</v>
      </c>
      <c r="G3900" s="76" t="s">
        <v>2889</v>
      </c>
      <c r="H3900" s="76"/>
      <c r="I3900" s="77" t="s">
        <v>66</v>
      </c>
      <c r="J3900" s="75" t="s">
        <v>67</v>
      </c>
      <c r="K3900" s="75" t="s">
        <v>2890</v>
      </c>
      <c r="L3900" s="75" t="s">
        <v>68</v>
      </c>
      <c r="M3900" s="75" t="s">
        <v>70</v>
      </c>
      <c r="N3900" s="573">
        <v>2.35</v>
      </c>
      <c r="O3900" s="556" t="str">
        <f t="shared" si="302"/>
        <v>DIF</v>
      </c>
      <c r="P3900" s="573"/>
      <c r="Q3900" s="556"/>
      <c r="R3900" s="582"/>
    </row>
    <row r="3901" ht="38.25" spans="1:18">
      <c r="A3901" s="556"/>
      <c r="B3901" s="557"/>
      <c r="C3901" s="569" t="s">
        <v>2891</v>
      </c>
      <c r="D3901" s="570" t="s">
        <v>1328</v>
      </c>
      <c r="E3901" s="569" t="s">
        <v>132</v>
      </c>
      <c r="F3901" s="569" t="s">
        <v>1329</v>
      </c>
      <c r="G3901" s="569">
        <v>61.15</v>
      </c>
      <c r="H3901" s="569"/>
      <c r="I3901" s="577" t="s">
        <v>134</v>
      </c>
      <c r="J3901" s="578">
        <v>1</v>
      </c>
      <c r="K3901" s="579"/>
      <c r="L3901" s="579">
        <v>2401.73</v>
      </c>
      <c r="M3901" s="579">
        <v>2401.73</v>
      </c>
      <c r="N3901" s="573"/>
      <c r="O3901" s="556"/>
      <c r="P3901" s="573"/>
      <c r="Q3901" s="556"/>
      <c r="R3901" s="582"/>
    </row>
    <row r="3902" ht="23.85" customHeight="1" spans="1:18">
      <c r="A3902" s="556"/>
      <c r="B3902" s="557"/>
      <c r="C3902" s="79" t="s">
        <v>2921</v>
      </c>
      <c r="D3902" s="78" t="s">
        <v>4196</v>
      </c>
      <c r="E3902" s="79" t="s">
        <v>139</v>
      </c>
      <c r="F3902" s="79" t="s">
        <v>4197</v>
      </c>
      <c r="G3902" s="79" t="s">
        <v>2928</v>
      </c>
      <c r="H3902" s="79"/>
      <c r="I3902" s="80" t="s">
        <v>2897</v>
      </c>
      <c r="J3902" s="583">
        <v>1</v>
      </c>
      <c r="K3902" s="583">
        <v>0</v>
      </c>
      <c r="L3902" s="92">
        <v>47.1</v>
      </c>
      <c r="M3902" s="92">
        <v>47.1</v>
      </c>
      <c r="N3902" s="573"/>
      <c r="O3902" s="556"/>
      <c r="P3902" s="573"/>
      <c r="Q3902" s="556"/>
      <c r="R3902" s="582"/>
    </row>
    <row r="3903" ht="23.85" customHeight="1" spans="1:18">
      <c r="A3903" s="556"/>
      <c r="B3903" s="557" t="str">
        <f>C3902</f>
        <v>Composição Auxiliar</v>
      </c>
      <c r="C3903" s="79" t="s">
        <v>2921</v>
      </c>
      <c r="D3903" s="78" t="s">
        <v>3151</v>
      </c>
      <c r="E3903" s="79" t="s">
        <v>139</v>
      </c>
      <c r="F3903" s="79" t="s">
        <v>3152</v>
      </c>
      <c r="G3903" s="79" t="s">
        <v>2928</v>
      </c>
      <c r="H3903" s="79"/>
      <c r="I3903" s="80" t="s">
        <v>2897</v>
      </c>
      <c r="J3903" s="583">
        <v>1</v>
      </c>
      <c r="K3903" s="583">
        <v>0</v>
      </c>
      <c r="L3903" s="92">
        <v>36.82</v>
      </c>
      <c r="M3903" s="92">
        <v>36.82</v>
      </c>
      <c r="N3903" s="573">
        <v>83.43</v>
      </c>
      <c r="O3903" s="556" t="str">
        <f t="shared" ref="O3903:O3912" si="305">IF(N3903=M3903,"OK","DIF")</f>
        <v>DIF</v>
      </c>
      <c r="P3903" s="573"/>
      <c r="Q3903" s="556"/>
      <c r="R3903" s="582"/>
    </row>
    <row r="3904" ht="35.05" customHeight="1" spans="1:18">
      <c r="A3904" s="556" t="str">
        <f t="shared" ref="A3904:A3912" si="306">B3904</f>
        <v>Composição Auxiliar</v>
      </c>
      <c r="B3904" s="557" t="str">
        <f t="shared" ref="B3904:B3912" si="307">B3903</f>
        <v>Composição Auxiliar</v>
      </c>
      <c r="C3904" s="79" t="s">
        <v>2921</v>
      </c>
      <c r="D3904" s="78" t="s">
        <v>4220</v>
      </c>
      <c r="E3904" s="79" t="s">
        <v>132</v>
      </c>
      <c r="F3904" s="79" t="s">
        <v>2932</v>
      </c>
      <c r="G3904" s="79" t="s">
        <v>2924</v>
      </c>
      <c r="H3904" s="79"/>
      <c r="I3904" s="80" t="s">
        <v>2897</v>
      </c>
      <c r="J3904" s="583">
        <v>0.5</v>
      </c>
      <c r="K3904" s="583">
        <v>0</v>
      </c>
      <c r="L3904" s="92">
        <v>126.78</v>
      </c>
      <c r="M3904" s="92">
        <v>63.39</v>
      </c>
      <c r="N3904" s="573">
        <v>24.92</v>
      </c>
      <c r="O3904" s="556" t="str">
        <f t="shared" si="305"/>
        <v>DIF</v>
      </c>
      <c r="P3904" s="573"/>
      <c r="Q3904" s="556"/>
      <c r="R3904" s="582"/>
    </row>
    <row r="3905" ht="23.85" customHeight="1" spans="1:18">
      <c r="A3905" s="556" t="str">
        <f t="shared" si="306"/>
        <v>Composição Auxiliar</v>
      </c>
      <c r="B3905" s="557" t="str">
        <f t="shared" si="307"/>
        <v>Composição Auxiliar</v>
      </c>
      <c r="C3905" s="100" t="s">
        <v>2893</v>
      </c>
      <c r="D3905" s="99" t="s">
        <v>4222</v>
      </c>
      <c r="E3905" s="100" t="s">
        <v>132</v>
      </c>
      <c r="F3905" s="100" t="s">
        <v>1329</v>
      </c>
      <c r="G3905" s="100" t="s">
        <v>2961</v>
      </c>
      <c r="H3905" s="100"/>
      <c r="I3905" s="101" t="s">
        <v>134</v>
      </c>
      <c r="J3905" s="580">
        <v>1</v>
      </c>
      <c r="K3905" s="580">
        <v>0</v>
      </c>
      <c r="L3905" s="102">
        <v>2254.42</v>
      </c>
      <c r="M3905" s="102">
        <v>2254.42</v>
      </c>
      <c r="N3905" s="573">
        <v>2.21</v>
      </c>
      <c r="O3905" s="556" t="str">
        <f t="shared" si="305"/>
        <v>DIF</v>
      </c>
      <c r="P3905" s="573"/>
      <c r="Q3905" s="556"/>
      <c r="R3905" s="582"/>
    </row>
    <row r="3906" ht="25.5" spans="1:18">
      <c r="A3906" s="556" t="str">
        <f t="shared" si="306"/>
        <v>Composição Auxiliar</v>
      </c>
      <c r="B3906" s="557" t="str">
        <f t="shared" si="307"/>
        <v>Composição Auxiliar</v>
      </c>
      <c r="C3906" s="108"/>
      <c r="D3906" s="108"/>
      <c r="E3906" s="108"/>
      <c r="F3906" s="108"/>
      <c r="G3906" s="108"/>
      <c r="H3906" s="108" t="s">
        <v>2898</v>
      </c>
      <c r="I3906" s="581">
        <v>126.06</v>
      </c>
      <c r="J3906" s="108" t="s">
        <v>2899</v>
      </c>
      <c r="K3906" s="581">
        <v>0</v>
      </c>
      <c r="L3906" s="108" t="s">
        <v>2900</v>
      </c>
      <c r="M3906" s="581">
        <v>126.06</v>
      </c>
      <c r="N3906" s="573">
        <v>0.63</v>
      </c>
      <c r="O3906" s="556" t="str">
        <f t="shared" si="305"/>
        <v>DIF</v>
      </c>
      <c r="P3906" s="573"/>
      <c r="Q3906" s="556"/>
      <c r="R3906" s="582"/>
    </row>
    <row r="3907" ht="26.25" spans="1:18">
      <c r="A3907" s="556" t="str">
        <f t="shared" si="306"/>
        <v>Composição Auxiliar</v>
      </c>
      <c r="B3907" s="557" t="str">
        <f t="shared" si="307"/>
        <v>Composição Auxiliar</v>
      </c>
      <c r="C3907" s="108"/>
      <c r="D3907" s="108"/>
      <c r="E3907" s="108"/>
      <c r="F3907" s="108"/>
      <c r="G3907" s="108"/>
      <c r="H3907" s="108" t="s">
        <v>2901</v>
      </c>
      <c r="I3907" s="581">
        <v>612.2</v>
      </c>
      <c r="J3907" s="114"/>
      <c r="K3907" s="114" t="s">
        <v>2902</v>
      </c>
      <c r="L3907" s="108"/>
      <c r="M3907" s="581">
        <v>3013.93</v>
      </c>
      <c r="N3907" s="573">
        <v>0.25</v>
      </c>
      <c r="O3907" s="556" t="str">
        <f t="shared" si="305"/>
        <v>DIF</v>
      </c>
      <c r="P3907" s="573"/>
      <c r="Q3907" s="556"/>
      <c r="R3907" s="582"/>
    </row>
    <row r="3908" ht="15" spans="1:18">
      <c r="A3908" s="556" t="str">
        <f t="shared" si="306"/>
        <v>Composição Auxiliar</v>
      </c>
      <c r="B3908" s="557" t="str">
        <f t="shared" si="307"/>
        <v>Composição Auxiliar</v>
      </c>
      <c r="C3908" s="571"/>
      <c r="D3908" s="571"/>
      <c r="E3908" s="571"/>
      <c r="F3908" s="571"/>
      <c r="G3908" s="571"/>
      <c r="H3908" s="571"/>
      <c r="I3908" s="571"/>
      <c r="J3908" s="571"/>
      <c r="K3908" s="571"/>
      <c r="L3908" s="571"/>
      <c r="M3908" s="571"/>
      <c r="N3908" s="573">
        <v>18.02</v>
      </c>
      <c r="O3908" s="556" t="str">
        <f t="shared" si="305"/>
        <v>DIF</v>
      </c>
      <c r="P3908" s="573"/>
      <c r="Q3908" s="556"/>
      <c r="R3908" s="582"/>
    </row>
    <row r="3909" ht="15" customHeight="1" spans="1:18">
      <c r="A3909" s="556" t="str">
        <f t="shared" si="306"/>
        <v>Composição Auxiliar</v>
      </c>
      <c r="B3909" s="557" t="str">
        <f t="shared" si="307"/>
        <v>Composição Auxiliar</v>
      </c>
      <c r="C3909" s="76" t="s">
        <v>1330</v>
      </c>
      <c r="D3909" s="75" t="s">
        <v>63</v>
      </c>
      <c r="E3909" s="76" t="s">
        <v>64</v>
      </c>
      <c r="F3909" s="76" t="s">
        <v>65</v>
      </c>
      <c r="G3909" s="76" t="s">
        <v>2889</v>
      </c>
      <c r="H3909" s="76"/>
      <c r="I3909" s="77" t="s">
        <v>66</v>
      </c>
      <c r="J3909" s="75" t="s">
        <v>67</v>
      </c>
      <c r="K3909" s="75" t="s">
        <v>2890</v>
      </c>
      <c r="L3909" s="75" t="s">
        <v>68</v>
      </c>
      <c r="M3909" s="75" t="s">
        <v>70</v>
      </c>
      <c r="N3909" s="573">
        <v>25.69</v>
      </c>
      <c r="O3909" s="556" t="str">
        <f t="shared" si="305"/>
        <v>DIF</v>
      </c>
      <c r="P3909" s="573"/>
      <c r="Q3909" s="556"/>
      <c r="R3909" s="582"/>
    </row>
    <row r="3910" ht="38.25" spans="1:18">
      <c r="A3910" s="556" t="str">
        <f t="shared" si="306"/>
        <v>Composição Auxiliar</v>
      </c>
      <c r="B3910" s="557" t="str">
        <f t="shared" si="307"/>
        <v>Composição Auxiliar</v>
      </c>
      <c r="C3910" s="569" t="s">
        <v>2891</v>
      </c>
      <c r="D3910" s="570" t="s">
        <v>1331</v>
      </c>
      <c r="E3910" s="569" t="s">
        <v>132</v>
      </c>
      <c r="F3910" s="569" t="s">
        <v>1332</v>
      </c>
      <c r="G3910" s="569">
        <v>61.15</v>
      </c>
      <c r="H3910" s="569"/>
      <c r="I3910" s="577" t="s">
        <v>134</v>
      </c>
      <c r="J3910" s="578">
        <v>1</v>
      </c>
      <c r="K3910" s="579"/>
      <c r="L3910" s="579">
        <v>4281.52</v>
      </c>
      <c r="M3910" s="579">
        <v>4281.52</v>
      </c>
      <c r="N3910" s="573">
        <v>4.37</v>
      </c>
      <c r="O3910" s="556" t="str">
        <f t="shared" si="305"/>
        <v>DIF</v>
      </c>
      <c r="P3910" s="573"/>
      <c r="Q3910" s="556"/>
      <c r="R3910" s="582"/>
    </row>
    <row r="3911" ht="35.05" customHeight="1" spans="1:18">
      <c r="A3911" s="556" t="str">
        <f t="shared" si="306"/>
        <v>Composição Auxiliar</v>
      </c>
      <c r="B3911" s="557" t="str">
        <f t="shared" si="307"/>
        <v>Composição Auxiliar</v>
      </c>
      <c r="C3911" s="79" t="s">
        <v>2921</v>
      </c>
      <c r="D3911" s="78" t="s">
        <v>4220</v>
      </c>
      <c r="E3911" s="79" t="s">
        <v>132</v>
      </c>
      <c r="F3911" s="79" t="s">
        <v>2932</v>
      </c>
      <c r="G3911" s="79" t="s">
        <v>2924</v>
      </c>
      <c r="H3911" s="79"/>
      <c r="I3911" s="80" t="s">
        <v>2897</v>
      </c>
      <c r="J3911" s="583">
        <v>1</v>
      </c>
      <c r="K3911" s="583">
        <v>0</v>
      </c>
      <c r="L3911" s="92">
        <v>126.78</v>
      </c>
      <c r="M3911" s="92">
        <v>126.78</v>
      </c>
      <c r="N3911" s="573">
        <v>0.25</v>
      </c>
      <c r="O3911" s="556" t="str">
        <f t="shared" si="305"/>
        <v>DIF</v>
      </c>
      <c r="P3911" s="573"/>
      <c r="Q3911" s="556"/>
      <c r="R3911" s="582"/>
    </row>
    <row r="3912" ht="23.85" customHeight="1" spans="1:18">
      <c r="A3912" s="556" t="str">
        <f t="shared" si="306"/>
        <v>Composição Auxiliar</v>
      </c>
      <c r="B3912" s="557" t="str">
        <f t="shared" si="307"/>
        <v>Composição Auxiliar</v>
      </c>
      <c r="C3912" s="79" t="s">
        <v>2921</v>
      </c>
      <c r="D3912" s="78" t="s">
        <v>3151</v>
      </c>
      <c r="E3912" s="79" t="s">
        <v>139</v>
      </c>
      <c r="F3912" s="79" t="s">
        <v>3152</v>
      </c>
      <c r="G3912" s="79" t="s">
        <v>2928</v>
      </c>
      <c r="H3912" s="79"/>
      <c r="I3912" s="80" t="s">
        <v>2897</v>
      </c>
      <c r="J3912" s="583">
        <v>1</v>
      </c>
      <c r="K3912" s="583">
        <v>0</v>
      </c>
      <c r="L3912" s="92">
        <v>36.82</v>
      </c>
      <c r="M3912" s="92">
        <v>36.82</v>
      </c>
      <c r="N3912" s="573">
        <v>7.09</v>
      </c>
      <c r="O3912" s="556" t="str">
        <f t="shared" si="305"/>
        <v>DIF</v>
      </c>
      <c r="P3912" s="573"/>
      <c r="Q3912" s="556"/>
      <c r="R3912" s="582"/>
    </row>
    <row r="3913" ht="23.85" customHeight="1" spans="1:18">
      <c r="A3913" s="556"/>
      <c r="B3913" s="557"/>
      <c r="C3913" s="100" t="s">
        <v>2893</v>
      </c>
      <c r="D3913" s="99" t="s">
        <v>4223</v>
      </c>
      <c r="E3913" s="100" t="s">
        <v>132</v>
      </c>
      <c r="F3913" s="100" t="s">
        <v>1332</v>
      </c>
      <c r="G3913" s="100" t="s">
        <v>2961</v>
      </c>
      <c r="H3913" s="100"/>
      <c r="I3913" s="101" t="s">
        <v>134</v>
      </c>
      <c r="J3913" s="580">
        <v>1</v>
      </c>
      <c r="K3913" s="580">
        <v>0</v>
      </c>
      <c r="L3913" s="102">
        <v>4117.92</v>
      </c>
      <c r="M3913" s="102">
        <v>4117.92</v>
      </c>
      <c r="N3913" s="573"/>
      <c r="O3913" s="556"/>
      <c r="P3913" s="573"/>
      <c r="Q3913" s="556"/>
      <c r="R3913" s="582"/>
    </row>
    <row r="3914" ht="25.5" spans="1:18">
      <c r="A3914" s="556"/>
      <c r="B3914" s="557"/>
      <c r="C3914" s="108"/>
      <c r="D3914" s="108"/>
      <c r="E3914" s="108"/>
      <c r="F3914" s="108"/>
      <c r="G3914" s="108"/>
      <c r="H3914" s="108" t="s">
        <v>2898</v>
      </c>
      <c r="I3914" s="581">
        <v>151.26</v>
      </c>
      <c r="J3914" s="108" t="s">
        <v>2899</v>
      </c>
      <c r="K3914" s="581">
        <v>0</v>
      </c>
      <c r="L3914" s="108" t="s">
        <v>2900</v>
      </c>
      <c r="M3914" s="581">
        <v>151.26</v>
      </c>
      <c r="N3914" s="573"/>
      <c r="O3914" s="556"/>
      <c r="P3914" s="573"/>
      <c r="Q3914" s="556"/>
      <c r="R3914" s="582"/>
    </row>
    <row r="3915" ht="26.25" spans="1:18">
      <c r="A3915" s="556"/>
      <c r="B3915" s="557">
        <f>C3914</f>
        <v>0</v>
      </c>
      <c r="C3915" s="108"/>
      <c r="D3915" s="108"/>
      <c r="E3915" s="108"/>
      <c r="F3915" s="108"/>
      <c r="G3915" s="108"/>
      <c r="H3915" s="108" t="s">
        <v>2901</v>
      </c>
      <c r="I3915" s="581">
        <v>1091.35</v>
      </c>
      <c r="J3915" s="114"/>
      <c r="K3915" s="114" t="s">
        <v>2902</v>
      </c>
      <c r="L3915" s="108"/>
      <c r="M3915" s="581">
        <v>5372.87</v>
      </c>
      <c r="N3915" s="573">
        <v>98.75</v>
      </c>
      <c r="O3915" s="556" t="str">
        <f t="shared" ref="O3915:O3924" si="308">IF(N3915=M3915,"OK","DIF")</f>
        <v>DIF</v>
      </c>
      <c r="P3915" s="573"/>
      <c r="Q3915" s="556"/>
      <c r="R3915" s="582"/>
    </row>
    <row r="3916" ht="15" spans="1:18">
      <c r="A3916" s="556">
        <f t="shared" ref="A3916:A3924" si="309">B3916</f>
        <v>0</v>
      </c>
      <c r="B3916" s="557">
        <f t="shared" ref="B3916:B3924" si="310">B3915</f>
        <v>0</v>
      </c>
      <c r="C3916" s="571"/>
      <c r="D3916" s="571"/>
      <c r="E3916" s="571"/>
      <c r="F3916" s="571"/>
      <c r="G3916" s="571"/>
      <c r="H3916" s="571"/>
      <c r="I3916" s="571"/>
      <c r="J3916" s="571"/>
      <c r="K3916" s="571"/>
      <c r="L3916" s="571"/>
      <c r="M3916" s="571"/>
      <c r="N3916" s="573">
        <v>0.25</v>
      </c>
      <c r="O3916" s="556" t="str">
        <f t="shared" si="308"/>
        <v>DIF</v>
      </c>
      <c r="P3916" s="573"/>
      <c r="Q3916" s="556"/>
      <c r="R3916" s="582"/>
    </row>
    <row r="3917" ht="15" customHeight="1" spans="1:18">
      <c r="A3917" s="556">
        <f t="shared" si="309"/>
        <v>0</v>
      </c>
      <c r="B3917" s="557">
        <f t="shared" si="310"/>
        <v>0</v>
      </c>
      <c r="C3917" s="76" t="s">
        <v>1333</v>
      </c>
      <c r="D3917" s="75" t="s">
        <v>63</v>
      </c>
      <c r="E3917" s="76" t="s">
        <v>64</v>
      </c>
      <c r="F3917" s="76" t="s">
        <v>65</v>
      </c>
      <c r="G3917" s="76" t="s">
        <v>2889</v>
      </c>
      <c r="H3917" s="76"/>
      <c r="I3917" s="77" t="s">
        <v>66</v>
      </c>
      <c r="J3917" s="75" t="s">
        <v>67</v>
      </c>
      <c r="K3917" s="75" t="s">
        <v>2890</v>
      </c>
      <c r="L3917" s="75" t="s">
        <v>68</v>
      </c>
      <c r="M3917" s="75" t="s">
        <v>70</v>
      </c>
      <c r="N3917" s="573">
        <v>24.92</v>
      </c>
      <c r="O3917" s="556" t="str">
        <f t="shared" si="308"/>
        <v>DIF</v>
      </c>
      <c r="P3917" s="573"/>
      <c r="Q3917" s="556"/>
      <c r="R3917" s="582"/>
    </row>
    <row r="3918" ht="38.25" spans="1:18">
      <c r="A3918" s="556">
        <f t="shared" si="309"/>
        <v>0</v>
      </c>
      <c r="B3918" s="557">
        <f t="shared" si="310"/>
        <v>0</v>
      </c>
      <c r="C3918" s="569" t="s">
        <v>2891</v>
      </c>
      <c r="D3918" s="570" t="s">
        <v>1334</v>
      </c>
      <c r="E3918" s="569" t="s">
        <v>132</v>
      </c>
      <c r="F3918" s="569" t="s">
        <v>1335</v>
      </c>
      <c r="G3918" s="569">
        <v>61.15</v>
      </c>
      <c r="H3918" s="569"/>
      <c r="I3918" s="577" t="s">
        <v>134</v>
      </c>
      <c r="J3918" s="578">
        <v>1</v>
      </c>
      <c r="K3918" s="579"/>
      <c r="L3918" s="579">
        <v>2033.13</v>
      </c>
      <c r="M3918" s="579">
        <v>2033.13</v>
      </c>
      <c r="N3918" s="573">
        <v>2.21</v>
      </c>
      <c r="O3918" s="556" t="str">
        <f t="shared" si="308"/>
        <v>DIF</v>
      </c>
      <c r="P3918" s="573"/>
      <c r="Q3918" s="556"/>
      <c r="R3918" s="582"/>
    </row>
    <row r="3919" ht="23.85" customHeight="1" spans="1:18">
      <c r="A3919" s="556">
        <f t="shared" si="309"/>
        <v>0</v>
      </c>
      <c r="B3919" s="557">
        <f t="shared" si="310"/>
        <v>0</v>
      </c>
      <c r="C3919" s="79" t="s">
        <v>2921</v>
      </c>
      <c r="D3919" s="78" t="s">
        <v>4196</v>
      </c>
      <c r="E3919" s="79" t="s">
        <v>139</v>
      </c>
      <c r="F3919" s="79" t="s">
        <v>4197</v>
      </c>
      <c r="G3919" s="79" t="s">
        <v>2928</v>
      </c>
      <c r="H3919" s="79"/>
      <c r="I3919" s="80" t="s">
        <v>2897</v>
      </c>
      <c r="J3919" s="583">
        <v>1</v>
      </c>
      <c r="K3919" s="583">
        <v>0</v>
      </c>
      <c r="L3919" s="92">
        <v>47.1</v>
      </c>
      <c r="M3919" s="92">
        <v>47.1</v>
      </c>
      <c r="N3919" s="573">
        <v>0.25</v>
      </c>
      <c r="O3919" s="556" t="str">
        <f t="shared" si="308"/>
        <v>DIF</v>
      </c>
      <c r="P3919" s="573"/>
      <c r="Q3919" s="556"/>
      <c r="R3919" s="582"/>
    </row>
    <row r="3920" ht="23.85" customHeight="1" spans="1:18">
      <c r="A3920" s="556">
        <f t="shared" si="309"/>
        <v>0</v>
      </c>
      <c r="B3920" s="557">
        <f t="shared" si="310"/>
        <v>0</v>
      </c>
      <c r="C3920" s="79" t="s">
        <v>2921</v>
      </c>
      <c r="D3920" s="78" t="s">
        <v>3151</v>
      </c>
      <c r="E3920" s="79" t="s">
        <v>139</v>
      </c>
      <c r="F3920" s="79" t="s">
        <v>3152</v>
      </c>
      <c r="G3920" s="79" t="s">
        <v>2928</v>
      </c>
      <c r="H3920" s="79"/>
      <c r="I3920" s="80" t="s">
        <v>2897</v>
      </c>
      <c r="J3920" s="583">
        <v>1</v>
      </c>
      <c r="K3920" s="583">
        <v>0</v>
      </c>
      <c r="L3920" s="92">
        <v>36.82</v>
      </c>
      <c r="M3920" s="92">
        <v>36.82</v>
      </c>
      <c r="N3920" s="573">
        <v>18.02</v>
      </c>
      <c r="O3920" s="556" t="str">
        <f t="shared" si="308"/>
        <v>DIF</v>
      </c>
      <c r="P3920" s="573"/>
      <c r="Q3920" s="556"/>
      <c r="R3920" s="582"/>
    </row>
    <row r="3921" ht="35.05" customHeight="1" spans="1:18">
      <c r="A3921" s="556">
        <f t="shared" si="309"/>
        <v>0</v>
      </c>
      <c r="B3921" s="557">
        <f t="shared" si="310"/>
        <v>0</v>
      </c>
      <c r="C3921" s="79" t="s">
        <v>2921</v>
      </c>
      <c r="D3921" s="78" t="s">
        <v>4220</v>
      </c>
      <c r="E3921" s="79" t="s">
        <v>132</v>
      </c>
      <c r="F3921" s="79" t="s">
        <v>2932</v>
      </c>
      <c r="G3921" s="79" t="s">
        <v>2924</v>
      </c>
      <c r="H3921" s="79"/>
      <c r="I3921" s="80" t="s">
        <v>2897</v>
      </c>
      <c r="J3921" s="583">
        <v>0.5</v>
      </c>
      <c r="K3921" s="583">
        <v>0</v>
      </c>
      <c r="L3921" s="92">
        <v>126.78</v>
      </c>
      <c r="M3921" s="92">
        <v>63.39</v>
      </c>
      <c r="N3921" s="573">
        <v>40.76</v>
      </c>
      <c r="O3921" s="556" t="str">
        <f t="shared" si="308"/>
        <v>DIF</v>
      </c>
      <c r="P3921" s="573"/>
      <c r="Q3921" s="556"/>
      <c r="R3921" s="582"/>
    </row>
    <row r="3922" ht="23.85" customHeight="1" spans="1:18">
      <c r="A3922" s="556">
        <f t="shared" si="309"/>
        <v>0</v>
      </c>
      <c r="B3922" s="557">
        <f t="shared" si="310"/>
        <v>0</v>
      </c>
      <c r="C3922" s="100" t="s">
        <v>2893</v>
      </c>
      <c r="D3922" s="99" t="s">
        <v>4224</v>
      </c>
      <c r="E3922" s="100" t="s">
        <v>132</v>
      </c>
      <c r="F3922" s="100" t="s">
        <v>1335</v>
      </c>
      <c r="G3922" s="100" t="s">
        <v>2961</v>
      </c>
      <c r="H3922" s="100"/>
      <c r="I3922" s="101" t="s">
        <v>134</v>
      </c>
      <c r="J3922" s="580">
        <v>1</v>
      </c>
      <c r="K3922" s="580">
        <v>0</v>
      </c>
      <c r="L3922" s="102">
        <v>1885.82</v>
      </c>
      <c r="M3922" s="102">
        <v>1885.82</v>
      </c>
      <c r="N3922" s="573">
        <v>7.09</v>
      </c>
      <c r="O3922" s="556" t="str">
        <f t="shared" si="308"/>
        <v>DIF</v>
      </c>
      <c r="P3922" s="573"/>
      <c r="Q3922" s="556"/>
      <c r="R3922" s="582"/>
    </row>
    <row r="3923" ht="25.5" spans="1:18">
      <c r="A3923" s="556">
        <f t="shared" si="309"/>
        <v>0</v>
      </c>
      <c r="B3923" s="557">
        <f t="shared" si="310"/>
        <v>0</v>
      </c>
      <c r="C3923" s="108"/>
      <c r="D3923" s="108"/>
      <c r="E3923" s="108"/>
      <c r="F3923" s="108"/>
      <c r="G3923" s="108"/>
      <c r="H3923" s="108" t="s">
        <v>2898</v>
      </c>
      <c r="I3923" s="581">
        <v>126.06</v>
      </c>
      <c r="J3923" s="108" t="s">
        <v>2899</v>
      </c>
      <c r="K3923" s="581">
        <v>0</v>
      </c>
      <c r="L3923" s="108" t="s">
        <v>2900</v>
      </c>
      <c r="M3923" s="581">
        <v>126.06</v>
      </c>
      <c r="N3923" s="573">
        <v>0.63</v>
      </c>
      <c r="O3923" s="556" t="str">
        <f t="shared" si="308"/>
        <v>DIF</v>
      </c>
      <c r="P3923" s="573"/>
      <c r="Q3923" s="556"/>
      <c r="R3923" s="582"/>
    </row>
    <row r="3924" ht="26.25" spans="1:18">
      <c r="A3924" s="556">
        <f t="shared" si="309"/>
        <v>0</v>
      </c>
      <c r="B3924" s="557">
        <f t="shared" si="310"/>
        <v>0</v>
      </c>
      <c r="C3924" s="108"/>
      <c r="D3924" s="108"/>
      <c r="E3924" s="108"/>
      <c r="F3924" s="108"/>
      <c r="G3924" s="108"/>
      <c r="H3924" s="108" t="s">
        <v>2901</v>
      </c>
      <c r="I3924" s="581">
        <v>518.24</v>
      </c>
      <c r="J3924" s="114"/>
      <c r="K3924" s="114" t="s">
        <v>2902</v>
      </c>
      <c r="L3924" s="108"/>
      <c r="M3924" s="581">
        <v>2551.37</v>
      </c>
      <c r="N3924" s="573">
        <v>4.62</v>
      </c>
      <c r="O3924" s="556" t="str">
        <f t="shared" si="308"/>
        <v>DIF</v>
      </c>
      <c r="P3924" s="573"/>
      <c r="Q3924" s="556"/>
      <c r="R3924" s="582"/>
    </row>
    <row r="3925" ht="15" spans="1:18">
      <c r="A3925" s="556"/>
      <c r="B3925" s="557"/>
      <c r="C3925" s="571"/>
      <c r="D3925" s="571"/>
      <c r="E3925" s="571"/>
      <c r="F3925" s="571"/>
      <c r="G3925" s="571"/>
      <c r="H3925" s="571"/>
      <c r="I3925" s="571"/>
      <c r="J3925" s="571"/>
      <c r="K3925" s="571"/>
      <c r="L3925" s="571"/>
      <c r="M3925" s="571"/>
      <c r="N3925" s="573"/>
      <c r="O3925" s="556"/>
      <c r="P3925" s="573"/>
      <c r="Q3925" s="556"/>
      <c r="R3925" s="582"/>
    </row>
    <row r="3926" ht="15" customHeight="1" spans="1:18">
      <c r="A3926" s="556"/>
      <c r="B3926" s="557"/>
      <c r="C3926" s="76" t="s">
        <v>1336</v>
      </c>
      <c r="D3926" s="75" t="s">
        <v>63</v>
      </c>
      <c r="E3926" s="76" t="s">
        <v>64</v>
      </c>
      <c r="F3926" s="76" t="s">
        <v>65</v>
      </c>
      <c r="G3926" s="76" t="s">
        <v>2889</v>
      </c>
      <c r="H3926" s="76"/>
      <c r="I3926" s="77" t="s">
        <v>66</v>
      </c>
      <c r="J3926" s="75" t="s">
        <v>67</v>
      </c>
      <c r="K3926" s="75" t="s">
        <v>2890</v>
      </c>
      <c r="L3926" s="75" t="s">
        <v>68</v>
      </c>
      <c r="M3926" s="75" t="s">
        <v>70</v>
      </c>
      <c r="N3926" s="573"/>
      <c r="O3926" s="556"/>
      <c r="P3926" s="573"/>
      <c r="Q3926" s="556"/>
      <c r="R3926" s="582"/>
    </row>
    <row r="3927" ht="38.25" spans="1:18">
      <c r="A3927" s="556"/>
      <c r="B3927" s="557" t="str">
        <f>C3926</f>
        <v> 12.3.49 </v>
      </c>
      <c r="C3927" s="569" t="s">
        <v>2891</v>
      </c>
      <c r="D3927" s="570" t="s">
        <v>1337</v>
      </c>
      <c r="E3927" s="569" t="s">
        <v>132</v>
      </c>
      <c r="F3927" s="569" t="s">
        <v>1338</v>
      </c>
      <c r="G3927" s="569">
        <v>61.15</v>
      </c>
      <c r="H3927" s="569"/>
      <c r="I3927" s="577" t="s">
        <v>134</v>
      </c>
      <c r="J3927" s="578">
        <v>1</v>
      </c>
      <c r="K3927" s="579"/>
      <c r="L3927" s="579">
        <v>6673.05</v>
      </c>
      <c r="M3927" s="579">
        <v>6673.05</v>
      </c>
      <c r="N3927" s="573">
        <v>24.14</v>
      </c>
      <c r="O3927" s="556" t="str">
        <f>IF(N3927=M3927,"OK","DIF")</f>
        <v>DIF</v>
      </c>
      <c r="P3927" s="573"/>
      <c r="Q3927" s="556"/>
      <c r="R3927" s="582"/>
    </row>
    <row r="3928" ht="35.05" customHeight="1" spans="1:18">
      <c r="A3928" s="556" t="str">
        <f>B3928</f>
        <v> 12.3.49 </v>
      </c>
      <c r="B3928" s="557" t="str">
        <f>B3927</f>
        <v> 12.3.49 </v>
      </c>
      <c r="C3928" s="79" t="s">
        <v>2921</v>
      </c>
      <c r="D3928" s="78" t="s">
        <v>4220</v>
      </c>
      <c r="E3928" s="79" t="s">
        <v>132</v>
      </c>
      <c r="F3928" s="79" t="s">
        <v>2932</v>
      </c>
      <c r="G3928" s="79" t="s">
        <v>2924</v>
      </c>
      <c r="H3928" s="79"/>
      <c r="I3928" s="80" t="s">
        <v>2897</v>
      </c>
      <c r="J3928" s="583">
        <v>1</v>
      </c>
      <c r="K3928" s="583">
        <v>0</v>
      </c>
      <c r="L3928" s="92">
        <v>126.78</v>
      </c>
      <c r="M3928" s="92">
        <v>126.78</v>
      </c>
      <c r="N3928" s="573">
        <v>10.92</v>
      </c>
      <c r="O3928" s="556" t="str">
        <f>IF(N3928=M3928,"OK","DIF")</f>
        <v>DIF</v>
      </c>
      <c r="P3928" s="573"/>
      <c r="Q3928" s="556"/>
      <c r="R3928" s="582"/>
    </row>
    <row r="3929" ht="23.85" customHeight="1" spans="1:18">
      <c r="A3929" s="556" t="str">
        <f>B3929</f>
        <v> 12.3.49 </v>
      </c>
      <c r="B3929" s="557" t="str">
        <f>B3928</f>
        <v> 12.3.49 </v>
      </c>
      <c r="C3929" s="79" t="s">
        <v>2921</v>
      </c>
      <c r="D3929" s="78" t="s">
        <v>4196</v>
      </c>
      <c r="E3929" s="79" t="s">
        <v>139</v>
      </c>
      <c r="F3929" s="79" t="s">
        <v>4197</v>
      </c>
      <c r="G3929" s="79" t="s">
        <v>2928</v>
      </c>
      <c r="H3929" s="79"/>
      <c r="I3929" s="80" t="s">
        <v>2897</v>
      </c>
      <c r="J3929" s="583">
        <v>2</v>
      </c>
      <c r="K3929" s="583">
        <v>0</v>
      </c>
      <c r="L3929" s="92">
        <v>47.1</v>
      </c>
      <c r="M3929" s="92">
        <v>94.2</v>
      </c>
      <c r="N3929" s="573">
        <v>13.22</v>
      </c>
      <c r="O3929" s="556" t="str">
        <f>IF(N3929=M3929,"OK","DIF")</f>
        <v>DIF</v>
      </c>
      <c r="P3929" s="573"/>
      <c r="Q3929" s="556"/>
      <c r="R3929" s="582"/>
    </row>
    <row r="3930" ht="15" customHeight="1" spans="1:18">
      <c r="A3930" s="556"/>
      <c r="B3930" s="557"/>
      <c r="C3930" s="100" t="s">
        <v>2893</v>
      </c>
      <c r="D3930" s="99" t="s">
        <v>4225</v>
      </c>
      <c r="E3930" s="100" t="s">
        <v>132</v>
      </c>
      <c r="F3930" s="100" t="s">
        <v>1338</v>
      </c>
      <c r="G3930" s="100" t="s">
        <v>2961</v>
      </c>
      <c r="H3930" s="100"/>
      <c r="I3930" s="101" t="s">
        <v>134</v>
      </c>
      <c r="J3930" s="580">
        <v>1</v>
      </c>
      <c r="K3930" s="580">
        <v>0</v>
      </c>
      <c r="L3930" s="102">
        <v>6452.07</v>
      </c>
      <c r="M3930" s="102">
        <v>6452.07</v>
      </c>
      <c r="N3930" s="573"/>
      <c r="O3930" s="556"/>
      <c r="P3930" s="573"/>
      <c r="Q3930" s="556"/>
      <c r="R3930" s="582"/>
    </row>
    <row r="3931" ht="25.5" spans="1:18">
      <c r="A3931" s="556"/>
      <c r="B3931" s="557"/>
      <c r="C3931" s="108"/>
      <c r="D3931" s="108"/>
      <c r="E3931" s="108"/>
      <c r="F3931" s="108"/>
      <c r="G3931" s="108"/>
      <c r="H3931" s="108" t="s">
        <v>2898</v>
      </c>
      <c r="I3931" s="581">
        <v>198.59</v>
      </c>
      <c r="J3931" s="108" t="s">
        <v>2899</v>
      </c>
      <c r="K3931" s="581">
        <v>0</v>
      </c>
      <c r="L3931" s="108" t="s">
        <v>2900</v>
      </c>
      <c r="M3931" s="581">
        <v>198.59</v>
      </c>
      <c r="N3931" s="573"/>
      <c r="O3931" s="556"/>
      <c r="P3931" s="573"/>
      <c r="Q3931" s="556"/>
      <c r="R3931" s="582"/>
    </row>
    <row r="3932" ht="26.25" spans="1:18">
      <c r="A3932" s="556"/>
      <c r="B3932" s="557">
        <f>C3931</f>
        <v>0</v>
      </c>
      <c r="C3932" s="108"/>
      <c r="D3932" s="108"/>
      <c r="E3932" s="108"/>
      <c r="F3932" s="108"/>
      <c r="G3932" s="108"/>
      <c r="H3932" s="108" t="s">
        <v>2901</v>
      </c>
      <c r="I3932" s="581">
        <v>1700.96</v>
      </c>
      <c r="J3932" s="114"/>
      <c r="K3932" s="114" t="s">
        <v>2902</v>
      </c>
      <c r="L3932" s="108"/>
      <c r="M3932" s="581">
        <v>8374.01</v>
      </c>
      <c r="N3932" s="573">
        <v>72.91</v>
      </c>
      <c r="O3932" s="556" t="str">
        <f t="shared" ref="O3932:O3940" si="311">IF(N3932=M3932,"OK","DIF")</f>
        <v>DIF</v>
      </c>
      <c r="P3932" s="573"/>
      <c r="Q3932" s="556"/>
      <c r="R3932" s="582"/>
    </row>
    <row r="3933" ht="15" spans="1:18">
      <c r="A3933" s="556">
        <f t="shared" ref="A3933:A3940" si="312">B3933</f>
        <v>0</v>
      </c>
      <c r="B3933" s="557">
        <f t="shared" ref="B3933:B3940" si="313">B3932</f>
        <v>0</v>
      </c>
      <c r="C3933" s="571"/>
      <c r="D3933" s="571"/>
      <c r="E3933" s="571"/>
      <c r="F3933" s="571"/>
      <c r="G3933" s="571"/>
      <c r="H3933" s="571"/>
      <c r="I3933" s="571"/>
      <c r="J3933" s="571"/>
      <c r="K3933" s="571"/>
      <c r="L3933" s="571"/>
      <c r="M3933" s="571"/>
      <c r="N3933" s="573">
        <v>27.3</v>
      </c>
      <c r="O3933" s="556" t="str">
        <f t="shared" si="311"/>
        <v>DIF</v>
      </c>
      <c r="P3933" s="573"/>
      <c r="Q3933" s="556"/>
      <c r="R3933" s="582"/>
    </row>
    <row r="3934" ht="15" customHeight="1" spans="1:18">
      <c r="A3934" s="556">
        <f t="shared" si="312"/>
        <v>0</v>
      </c>
      <c r="B3934" s="557">
        <f t="shared" si="313"/>
        <v>0</v>
      </c>
      <c r="C3934" s="76" t="s">
        <v>1339</v>
      </c>
      <c r="D3934" s="75" t="s">
        <v>63</v>
      </c>
      <c r="E3934" s="76" t="s">
        <v>64</v>
      </c>
      <c r="F3934" s="76" t="s">
        <v>65</v>
      </c>
      <c r="G3934" s="76" t="s">
        <v>2889</v>
      </c>
      <c r="H3934" s="76"/>
      <c r="I3934" s="77" t="s">
        <v>66</v>
      </c>
      <c r="J3934" s="75" t="s">
        <v>67</v>
      </c>
      <c r="K3934" s="75" t="s">
        <v>2890</v>
      </c>
      <c r="L3934" s="75" t="s">
        <v>68</v>
      </c>
      <c r="M3934" s="75" t="s">
        <v>70</v>
      </c>
      <c r="N3934" s="573">
        <v>33.07</v>
      </c>
      <c r="O3934" s="556" t="str">
        <f t="shared" si="311"/>
        <v>DIF</v>
      </c>
      <c r="P3934" s="573"/>
      <c r="Q3934" s="556"/>
      <c r="R3934" s="582"/>
    </row>
    <row r="3935" ht="38.25" spans="1:18">
      <c r="A3935" s="556">
        <f t="shared" si="312"/>
        <v>0</v>
      </c>
      <c r="B3935" s="557">
        <f t="shared" si="313"/>
        <v>0</v>
      </c>
      <c r="C3935" s="569" t="s">
        <v>2891</v>
      </c>
      <c r="D3935" s="570" t="s">
        <v>1340</v>
      </c>
      <c r="E3935" s="569" t="s">
        <v>132</v>
      </c>
      <c r="F3935" s="569" t="s">
        <v>1341</v>
      </c>
      <c r="G3935" s="569">
        <v>61.15</v>
      </c>
      <c r="H3935" s="569"/>
      <c r="I3935" s="577" t="s">
        <v>134</v>
      </c>
      <c r="J3935" s="578">
        <v>1</v>
      </c>
      <c r="K3935" s="579"/>
      <c r="L3935" s="579">
        <v>11296.13</v>
      </c>
      <c r="M3935" s="579">
        <v>11296.13</v>
      </c>
      <c r="N3935" s="573">
        <v>3.85</v>
      </c>
      <c r="O3935" s="556" t="str">
        <f t="shared" si="311"/>
        <v>DIF</v>
      </c>
      <c r="P3935" s="573"/>
      <c r="Q3935" s="556"/>
      <c r="R3935" s="582"/>
    </row>
    <row r="3936" ht="23.85" customHeight="1" spans="1:18">
      <c r="A3936" s="556">
        <f t="shared" si="312"/>
        <v>0</v>
      </c>
      <c r="B3936" s="557">
        <f t="shared" si="313"/>
        <v>0</v>
      </c>
      <c r="C3936" s="79" t="s">
        <v>2921</v>
      </c>
      <c r="D3936" s="78" t="s">
        <v>3151</v>
      </c>
      <c r="E3936" s="79" t="s">
        <v>139</v>
      </c>
      <c r="F3936" s="79" t="s">
        <v>3152</v>
      </c>
      <c r="G3936" s="79" t="s">
        <v>2928</v>
      </c>
      <c r="H3936" s="79"/>
      <c r="I3936" s="80" t="s">
        <v>2897</v>
      </c>
      <c r="J3936" s="583">
        <v>1</v>
      </c>
      <c r="K3936" s="583">
        <v>0</v>
      </c>
      <c r="L3936" s="92">
        <v>36.82</v>
      </c>
      <c r="M3936" s="92">
        <v>36.82</v>
      </c>
      <c r="N3936" s="573">
        <v>5.91</v>
      </c>
      <c r="O3936" s="556" t="str">
        <f t="shared" si="311"/>
        <v>DIF</v>
      </c>
      <c r="P3936" s="573"/>
      <c r="Q3936" s="556"/>
      <c r="R3936" s="582"/>
    </row>
    <row r="3937" ht="35.05" customHeight="1" spans="1:18">
      <c r="A3937" s="556">
        <f t="shared" si="312"/>
        <v>0</v>
      </c>
      <c r="B3937" s="557">
        <f t="shared" si="313"/>
        <v>0</v>
      </c>
      <c r="C3937" s="79" t="s">
        <v>2921</v>
      </c>
      <c r="D3937" s="78" t="s">
        <v>4220</v>
      </c>
      <c r="E3937" s="79" t="s">
        <v>132</v>
      </c>
      <c r="F3937" s="79" t="s">
        <v>2932</v>
      </c>
      <c r="G3937" s="79" t="s">
        <v>2924</v>
      </c>
      <c r="H3937" s="79"/>
      <c r="I3937" s="80" t="s">
        <v>2897</v>
      </c>
      <c r="J3937" s="583">
        <v>1</v>
      </c>
      <c r="K3937" s="583">
        <v>0</v>
      </c>
      <c r="L3937" s="92">
        <v>126.78</v>
      </c>
      <c r="M3937" s="92">
        <v>126.78</v>
      </c>
      <c r="N3937" s="573">
        <v>1.84</v>
      </c>
      <c r="O3937" s="556" t="str">
        <f t="shared" si="311"/>
        <v>DIF</v>
      </c>
      <c r="P3937" s="573"/>
      <c r="Q3937" s="556"/>
      <c r="R3937" s="582"/>
    </row>
    <row r="3938" ht="15" customHeight="1" spans="1:18">
      <c r="A3938" s="556">
        <f t="shared" si="312"/>
        <v>0</v>
      </c>
      <c r="B3938" s="557">
        <f t="shared" si="313"/>
        <v>0</v>
      </c>
      <c r="C3938" s="100" t="s">
        <v>2893</v>
      </c>
      <c r="D3938" s="99" t="s">
        <v>4226</v>
      </c>
      <c r="E3938" s="100" t="s">
        <v>132</v>
      </c>
      <c r="F3938" s="100" t="s">
        <v>1341</v>
      </c>
      <c r="G3938" s="100" t="s">
        <v>2961</v>
      </c>
      <c r="H3938" s="100"/>
      <c r="I3938" s="101" t="s">
        <v>134</v>
      </c>
      <c r="J3938" s="580">
        <v>1</v>
      </c>
      <c r="K3938" s="580">
        <v>0</v>
      </c>
      <c r="L3938" s="102">
        <v>11132.53</v>
      </c>
      <c r="M3938" s="102">
        <v>11132.53</v>
      </c>
      <c r="N3938" s="573">
        <v>0.21</v>
      </c>
      <c r="O3938" s="556" t="str">
        <f t="shared" si="311"/>
        <v>DIF</v>
      </c>
      <c r="P3938" s="573"/>
      <c r="Q3938" s="556"/>
      <c r="R3938" s="582"/>
    </row>
    <row r="3939" ht="25.5" spans="1:18">
      <c r="A3939" s="556">
        <f t="shared" si="312"/>
        <v>0</v>
      </c>
      <c r="B3939" s="557">
        <f t="shared" si="313"/>
        <v>0</v>
      </c>
      <c r="C3939" s="108"/>
      <c r="D3939" s="108"/>
      <c r="E3939" s="108"/>
      <c r="F3939" s="108"/>
      <c r="G3939" s="108"/>
      <c r="H3939" s="108" t="s">
        <v>2898</v>
      </c>
      <c r="I3939" s="581">
        <v>151.26</v>
      </c>
      <c r="J3939" s="108" t="s">
        <v>2899</v>
      </c>
      <c r="K3939" s="581">
        <v>0</v>
      </c>
      <c r="L3939" s="108" t="s">
        <v>2900</v>
      </c>
      <c r="M3939" s="581">
        <v>151.26</v>
      </c>
      <c r="N3939" s="573">
        <v>0.52</v>
      </c>
      <c r="O3939" s="556" t="str">
        <f t="shared" si="311"/>
        <v>DIF</v>
      </c>
      <c r="P3939" s="573"/>
      <c r="Q3939" s="556"/>
      <c r="R3939" s="582"/>
    </row>
    <row r="3940" ht="26.25" spans="1:18">
      <c r="A3940" s="556">
        <f t="shared" si="312"/>
        <v>0</v>
      </c>
      <c r="B3940" s="557">
        <f t="shared" si="313"/>
        <v>0</v>
      </c>
      <c r="C3940" s="108"/>
      <c r="D3940" s="108"/>
      <c r="E3940" s="108"/>
      <c r="F3940" s="108"/>
      <c r="G3940" s="108"/>
      <c r="H3940" s="108" t="s">
        <v>2901</v>
      </c>
      <c r="I3940" s="581">
        <v>2879.38</v>
      </c>
      <c r="J3940" s="114"/>
      <c r="K3940" s="114" t="s">
        <v>2902</v>
      </c>
      <c r="L3940" s="108"/>
      <c r="M3940" s="581">
        <v>14175.51</v>
      </c>
      <c r="N3940" s="573">
        <v>0.21</v>
      </c>
      <c r="O3940" s="556" t="str">
        <f t="shared" si="311"/>
        <v>DIF</v>
      </c>
      <c r="P3940" s="573"/>
      <c r="Q3940" s="556"/>
      <c r="R3940" s="582"/>
    </row>
    <row r="3941" ht="15" spans="1:18">
      <c r="A3941" s="556"/>
      <c r="B3941" s="557"/>
      <c r="C3941" s="571"/>
      <c r="D3941" s="571"/>
      <c r="E3941" s="571"/>
      <c r="F3941" s="571"/>
      <c r="G3941" s="571"/>
      <c r="H3941" s="571"/>
      <c r="I3941" s="571"/>
      <c r="J3941" s="571"/>
      <c r="K3941" s="571"/>
      <c r="L3941" s="571"/>
      <c r="M3941" s="571"/>
      <c r="N3941" s="573"/>
      <c r="O3941" s="556"/>
      <c r="P3941" s="573"/>
      <c r="Q3941" s="556"/>
      <c r="R3941" s="582"/>
    </row>
    <row r="3942" ht="15" customHeight="1" spans="1:18">
      <c r="A3942" s="556"/>
      <c r="B3942" s="557"/>
      <c r="C3942" s="76" t="s">
        <v>1342</v>
      </c>
      <c r="D3942" s="75" t="s">
        <v>63</v>
      </c>
      <c r="E3942" s="76" t="s">
        <v>64</v>
      </c>
      <c r="F3942" s="76" t="s">
        <v>65</v>
      </c>
      <c r="G3942" s="76" t="s">
        <v>2889</v>
      </c>
      <c r="H3942" s="76"/>
      <c r="I3942" s="77" t="s">
        <v>66</v>
      </c>
      <c r="J3942" s="75" t="s">
        <v>67</v>
      </c>
      <c r="K3942" s="75" t="s">
        <v>2890</v>
      </c>
      <c r="L3942" s="75" t="s">
        <v>68</v>
      </c>
      <c r="M3942" s="75" t="s">
        <v>70</v>
      </c>
      <c r="N3942" s="573"/>
      <c r="O3942" s="556"/>
      <c r="P3942" s="573"/>
      <c r="Q3942" s="556"/>
      <c r="R3942" s="582"/>
    </row>
    <row r="3943" ht="35.05" customHeight="1" spans="1:18">
      <c r="A3943" s="556"/>
      <c r="B3943" s="557" t="str">
        <f>C3942</f>
        <v> 12.3.51 </v>
      </c>
      <c r="C3943" s="569" t="s">
        <v>2891</v>
      </c>
      <c r="D3943" s="570" t="s">
        <v>1343</v>
      </c>
      <c r="E3943" s="569" t="s">
        <v>132</v>
      </c>
      <c r="F3943" s="569" t="s">
        <v>1344</v>
      </c>
      <c r="G3943" s="569" t="s">
        <v>4227</v>
      </c>
      <c r="H3943" s="569"/>
      <c r="I3943" s="577" t="s">
        <v>134</v>
      </c>
      <c r="J3943" s="578">
        <v>1</v>
      </c>
      <c r="K3943" s="579"/>
      <c r="L3943" s="579">
        <v>4469.49</v>
      </c>
      <c r="M3943" s="579">
        <v>4469.49</v>
      </c>
      <c r="N3943" s="573">
        <v>59.68</v>
      </c>
      <c r="O3943" s="556" t="str">
        <f>IF(N3943=M3943,"OK","DIF")</f>
        <v>DIF</v>
      </c>
      <c r="P3943" s="573"/>
      <c r="Q3943" s="556"/>
      <c r="R3943" s="582"/>
    </row>
    <row r="3944" ht="23.85" customHeight="1" spans="1:18">
      <c r="A3944" s="556" t="str">
        <f>B3944</f>
        <v> 12.3.51 </v>
      </c>
      <c r="B3944" s="557" t="str">
        <f>B3943</f>
        <v> 12.3.51 </v>
      </c>
      <c r="C3944" s="79" t="s">
        <v>2921</v>
      </c>
      <c r="D3944" s="78" t="s">
        <v>3151</v>
      </c>
      <c r="E3944" s="79" t="s">
        <v>139</v>
      </c>
      <c r="F3944" s="79" t="s">
        <v>3152</v>
      </c>
      <c r="G3944" s="79" t="s">
        <v>2928</v>
      </c>
      <c r="H3944" s="79"/>
      <c r="I3944" s="80" t="s">
        <v>2897</v>
      </c>
      <c r="J3944" s="583">
        <v>1.026</v>
      </c>
      <c r="K3944" s="583">
        <v>0</v>
      </c>
      <c r="L3944" s="92">
        <v>36.82</v>
      </c>
      <c r="M3944" s="92">
        <v>37.77</v>
      </c>
      <c r="N3944" s="573">
        <v>9.01</v>
      </c>
      <c r="O3944" s="556" t="str">
        <f>IF(N3944=M3944,"OK","DIF")</f>
        <v>DIF</v>
      </c>
      <c r="P3944" s="573"/>
      <c r="Q3944" s="556"/>
      <c r="R3944" s="582"/>
    </row>
    <row r="3945" ht="23.85" customHeight="1" spans="1:18">
      <c r="A3945" s="556" t="str">
        <f>B3945</f>
        <v> 12.3.51 </v>
      </c>
      <c r="B3945" s="557" t="str">
        <f>B3944</f>
        <v> 12.3.51 </v>
      </c>
      <c r="C3945" s="79" t="s">
        <v>2921</v>
      </c>
      <c r="D3945" s="78" t="s">
        <v>3153</v>
      </c>
      <c r="E3945" s="79" t="s">
        <v>139</v>
      </c>
      <c r="F3945" s="79" t="s">
        <v>3154</v>
      </c>
      <c r="G3945" s="79" t="s">
        <v>2928</v>
      </c>
      <c r="H3945" s="79"/>
      <c r="I3945" s="80" t="s">
        <v>2897</v>
      </c>
      <c r="J3945" s="583">
        <v>1.026</v>
      </c>
      <c r="K3945" s="583">
        <v>0</v>
      </c>
      <c r="L3945" s="92">
        <v>30.6</v>
      </c>
      <c r="M3945" s="92">
        <v>31.39</v>
      </c>
      <c r="N3945" s="573">
        <v>12.46</v>
      </c>
      <c r="O3945" s="556" t="str">
        <f>IF(N3945=M3945,"OK","DIF")</f>
        <v>DIF</v>
      </c>
      <c r="P3945" s="573"/>
      <c r="Q3945" s="556"/>
      <c r="R3945" s="582"/>
    </row>
    <row r="3946" ht="15" customHeight="1" spans="1:18">
      <c r="A3946" s="556" t="str">
        <f>B3946</f>
        <v> 12.3.51 </v>
      </c>
      <c r="B3946" s="557" t="str">
        <f>B3945</f>
        <v> 12.3.51 </v>
      </c>
      <c r="C3946" s="100" t="s">
        <v>2893</v>
      </c>
      <c r="D3946" s="99" t="s">
        <v>4228</v>
      </c>
      <c r="E3946" s="100" t="s">
        <v>132</v>
      </c>
      <c r="F3946" s="100" t="s">
        <v>1344</v>
      </c>
      <c r="G3946" s="100" t="s">
        <v>2961</v>
      </c>
      <c r="H3946" s="100"/>
      <c r="I3946" s="101" t="s">
        <v>134</v>
      </c>
      <c r="J3946" s="580">
        <v>1</v>
      </c>
      <c r="K3946" s="580">
        <v>0</v>
      </c>
      <c r="L3946" s="102">
        <v>4400.33</v>
      </c>
      <c r="M3946" s="102">
        <v>4400.33</v>
      </c>
      <c r="N3946" s="573">
        <v>38.21</v>
      </c>
      <c r="O3946" s="556" t="str">
        <f>IF(N3946=M3946,"OK","DIF")</f>
        <v>DIF</v>
      </c>
      <c r="P3946" s="573"/>
      <c r="Q3946" s="556"/>
      <c r="R3946" s="582"/>
    </row>
    <row r="3947" ht="25.5" spans="1:18">
      <c r="A3947" s="556"/>
      <c r="B3947" s="557"/>
      <c r="C3947" s="108"/>
      <c r="D3947" s="108"/>
      <c r="E3947" s="108"/>
      <c r="F3947" s="108"/>
      <c r="G3947" s="108"/>
      <c r="H3947" s="108" t="s">
        <v>2898</v>
      </c>
      <c r="I3947" s="581">
        <v>48.54</v>
      </c>
      <c r="J3947" s="108" t="s">
        <v>2899</v>
      </c>
      <c r="K3947" s="581">
        <v>0</v>
      </c>
      <c r="L3947" s="108" t="s">
        <v>2900</v>
      </c>
      <c r="M3947" s="581">
        <v>48.54</v>
      </c>
      <c r="N3947" s="573"/>
      <c r="O3947" s="556"/>
      <c r="P3947" s="573"/>
      <c r="Q3947" s="556"/>
      <c r="R3947" s="582"/>
    </row>
    <row r="3948" ht="26.25" spans="1:18">
      <c r="A3948" s="556"/>
      <c r="B3948" s="557"/>
      <c r="C3948" s="108"/>
      <c r="D3948" s="108"/>
      <c r="E3948" s="108"/>
      <c r="F3948" s="108"/>
      <c r="G3948" s="108"/>
      <c r="H3948" s="108" t="s">
        <v>2901</v>
      </c>
      <c r="I3948" s="581">
        <v>1139.27</v>
      </c>
      <c r="J3948" s="114"/>
      <c r="K3948" s="114" t="s">
        <v>2902</v>
      </c>
      <c r="L3948" s="108"/>
      <c r="M3948" s="581">
        <v>5608.76</v>
      </c>
      <c r="N3948" s="573"/>
      <c r="O3948" s="556"/>
      <c r="P3948" s="573"/>
      <c r="Q3948" s="556"/>
      <c r="R3948" s="582"/>
    </row>
    <row r="3949" ht="15" spans="1:18">
      <c r="A3949" s="556"/>
      <c r="B3949" s="557">
        <f>C3948</f>
        <v>0</v>
      </c>
      <c r="C3949" s="571"/>
      <c r="D3949" s="571"/>
      <c r="E3949" s="571"/>
      <c r="F3949" s="571"/>
      <c r="G3949" s="571"/>
      <c r="H3949" s="571"/>
      <c r="I3949" s="571"/>
      <c r="J3949" s="571"/>
      <c r="K3949" s="571"/>
      <c r="L3949" s="571"/>
      <c r="M3949" s="571"/>
      <c r="N3949" s="573">
        <v>89.45</v>
      </c>
      <c r="O3949" s="556" t="str">
        <f>IF(N3949=M3949,"OK","DIF")</f>
        <v>DIF</v>
      </c>
      <c r="P3949" s="573"/>
      <c r="Q3949" s="556"/>
      <c r="R3949" s="582"/>
    </row>
    <row r="3950" ht="15" customHeight="1" spans="1:18">
      <c r="A3950" s="556">
        <f>B3950</f>
        <v>0</v>
      </c>
      <c r="B3950" s="557">
        <f>B3949</f>
        <v>0</v>
      </c>
      <c r="C3950" s="76" t="s">
        <v>1345</v>
      </c>
      <c r="D3950" s="75" t="s">
        <v>63</v>
      </c>
      <c r="E3950" s="76" t="s">
        <v>64</v>
      </c>
      <c r="F3950" s="76" t="s">
        <v>65</v>
      </c>
      <c r="G3950" s="76" t="s">
        <v>2889</v>
      </c>
      <c r="H3950" s="76"/>
      <c r="I3950" s="77" t="s">
        <v>66</v>
      </c>
      <c r="J3950" s="75" t="s">
        <v>67</v>
      </c>
      <c r="K3950" s="75" t="s">
        <v>2890</v>
      </c>
      <c r="L3950" s="75" t="s">
        <v>68</v>
      </c>
      <c r="M3950" s="75" t="s">
        <v>70</v>
      </c>
      <c r="N3950" s="573">
        <v>67.98</v>
      </c>
      <c r="O3950" s="556" t="str">
        <f>IF(N3950=M3950,"OK","DIF")</f>
        <v>DIF</v>
      </c>
      <c r="P3950" s="573"/>
      <c r="Q3950" s="556"/>
      <c r="R3950" s="582"/>
    </row>
    <row r="3951" ht="38.25" spans="1:18">
      <c r="A3951" s="556">
        <f>B3951</f>
        <v>0</v>
      </c>
      <c r="B3951" s="557">
        <f>B3950</f>
        <v>0</v>
      </c>
      <c r="C3951" s="569" t="s">
        <v>2891</v>
      </c>
      <c r="D3951" s="570" t="s">
        <v>1346</v>
      </c>
      <c r="E3951" s="569" t="s">
        <v>132</v>
      </c>
      <c r="F3951" s="569" t="s">
        <v>1347</v>
      </c>
      <c r="G3951" s="569">
        <v>707</v>
      </c>
      <c r="H3951" s="569"/>
      <c r="I3951" s="577" t="s">
        <v>334</v>
      </c>
      <c r="J3951" s="578">
        <v>1</v>
      </c>
      <c r="K3951" s="579"/>
      <c r="L3951" s="579">
        <v>1547.83</v>
      </c>
      <c r="M3951" s="579">
        <v>1547.83</v>
      </c>
      <c r="N3951" s="573">
        <v>9.01</v>
      </c>
      <c r="O3951" s="556" t="str">
        <f>IF(N3951=M3951,"OK","DIF")</f>
        <v>DIF</v>
      </c>
      <c r="P3951" s="573"/>
      <c r="Q3951" s="556"/>
      <c r="R3951" s="582"/>
    </row>
    <row r="3952" ht="23.85" customHeight="1" spans="1:18">
      <c r="A3952" s="556">
        <f>B3952</f>
        <v>0</v>
      </c>
      <c r="B3952" s="557">
        <f>B3951</f>
        <v>0</v>
      </c>
      <c r="C3952" s="79" t="s">
        <v>2921</v>
      </c>
      <c r="D3952" s="78" t="s">
        <v>3151</v>
      </c>
      <c r="E3952" s="79" t="s">
        <v>139</v>
      </c>
      <c r="F3952" s="79" t="s">
        <v>3152</v>
      </c>
      <c r="G3952" s="79" t="s">
        <v>2928</v>
      </c>
      <c r="H3952" s="79"/>
      <c r="I3952" s="80" t="s">
        <v>2897</v>
      </c>
      <c r="J3952" s="583">
        <v>2</v>
      </c>
      <c r="K3952" s="583">
        <v>0</v>
      </c>
      <c r="L3952" s="92">
        <v>36.82</v>
      </c>
      <c r="M3952" s="92">
        <v>73.64</v>
      </c>
      <c r="N3952" s="573">
        <v>12.46</v>
      </c>
      <c r="O3952" s="556" t="str">
        <f>IF(N3952=M3952,"OK","DIF")</f>
        <v>DIF</v>
      </c>
      <c r="P3952" s="573"/>
      <c r="Q3952" s="556"/>
      <c r="R3952" s="582"/>
    </row>
    <row r="3953" ht="23.85" customHeight="1" spans="1:18">
      <c r="A3953" s="556"/>
      <c r="B3953" s="557"/>
      <c r="C3953" s="79" t="s">
        <v>2921</v>
      </c>
      <c r="D3953" s="78" t="s">
        <v>3153</v>
      </c>
      <c r="E3953" s="79" t="s">
        <v>139</v>
      </c>
      <c r="F3953" s="79" t="s">
        <v>3154</v>
      </c>
      <c r="G3953" s="79" t="s">
        <v>2928</v>
      </c>
      <c r="H3953" s="79"/>
      <c r="I3953" s="80" t="s">
        <v>2897</v>
      </c>
      <c r="J3953" s="583">
        <v>2</v>
      </c>
      <c r="K3953" s="583">
        <v>0</v>
      </c>
      <c r="L3953" s="92">
        <v>30.6</v>
      </c>
      <c r="M3953" s="92">
        <v>61.2</v>
      </c>
      <c r="N3953" s="573"/>
      <c r="O3953" s="556"/>
      <c r="P3953" s="573"/>
      <c r="Q3953" s="556"/>
      <c r="R3953" s="582"/>
    </row>
    <row r="3954" ht="23.85" customHeight="1" spans="1:18">
      <c r="A3954" s="556"/>
      <c r="B3954" s="557"/>
      <c r="C3954" s="100" t="s">
        <v>2893</v>
      </c>
      <c r="D3954" s="99" t="s">
        <v>4229</v>
      </c>
      <c r="E3954" s="100" t="s">
        <v>132</v>
      </c>
      <c r="F3954" s="100" t="s">
        <v>1347</v>
      </c>
      <c r="G3954" s="100" t="s">
        <v>2961</v>
      </c>
      <c r="H3954" s="100"/>
      <c r="I3954" s="101" t="s">
        <v>134</v>
      </c>
      <c r="J3954" s="580">
        <v>1</v>
      </c>
      <c r="K3954" s="580">
        <v>0</v>
      </c>
      <c r="L3954" s="102">
        <v>1412.99</v>
      </c>
      <c r="M3954" s="102">
        <v>1412.99</v>
      </c>
      <c r="N3954" s="573"/>
      <c r="O3954" s="556"/>
      <c r="P3954" s="573"/>
      <c r="Q3954" s="556"/>
      <c r="R3954" s="582"/>
    </row>
    <row r="3955" ht="25.5" spans="1:18">
      <c r="A3955" s="556"/>
      <c r="B3955" s="557" t="str">
        <f>C3954</f>
        <v>Insumo</v>
      </c>
      <c r="C3955" s="108"/>
      <c r="D3955" s="108"/>
      <c r="E3955" s="108"/>
      <c r="F3955" s="108"/>
      <c r="G3955" s="108"/>
      <c r="H3955" s="108" t="s">
        <v>2898</v>
      </c>
      <c r="I3955" s="581">
        <v>94.64</v>
      </c>
      <c r="J3955" s="108" t="s">
        <v>2899</v>
      </c>
      <c r="K3955" s="581">
        <v>0</v>
      </c>
      <c r="L3955" s="108" t="s">
        <v>2900</v>
      </c>
      <c r="M3955" s="581">
        <v>94.64</v>
      </c>
      <c r="N3955" s="573">
        <v>97.96</v>
      </c>
      <c r="O3955" s="556" t="str">
        <f>IF(N3955=M3955,"OK","DIF")</f>
        <v>DIF</v>
      </c>
      <c r="P3955" s="573"/>
      <c r="Q3955" s="556"/>
      <c r="R3955" s="582"/>
    </row>
    <row r="3956" ht="26.25" spans="1:18">
      <c r="A3956" s="556" t="str">
        <f>B3956</f>
        <v>Insumo</v>
      </c>
      <c r="B3956" s="557" t="str">
        <f>B3955</f>
        <v>Insumo</v>
      </c>
      <c r="C3956" s="108"/>
      <c r="D3956" s="108"/>
      <c r="E3956" s="108"/>
      <c r="F3956" s="108"/>
      <c r="G3956" s="108"/>
      <c r="H3956" s="108" t="s">
        <v>2901</v>
      </c>
      <c r="I3956" s="581">
        <v>394.54</v>
      </c>
      <c r="J3956" s="114"/>
      <c r="K3956" s="114" t="s">
        <v>2902</v>
      </c>
      <c r="L3956" s="108"/>
      <c r="M3956" s="581">
        <v>1942.37</v>
      </c>
      <c r="N3956" s="573">
        <v>12.46</v>
      </c>
      <c r="O3956" s="556" t="str">
        <f>IF(N3956=M3956,"OK","DIF")</f>
        <v>DIF</v>
      </c>
      <c r="P3956" s="573"/>
      <c r="Q3956" s="556"/>
      <c r="R3956" s="582"/>
    </row>
    <row r="3957" ht="15" spans="1:18">
      <c r="A3957" s="556" t="str">
        <f>B3957</f>
        <v>Insumo</v>
      </c>
      <c r="B3957" s="557" t="str">
        <f>B3956</f>
        <v>Insumo</v>
      </c>
      <c r="C3957" s="571"/>
      <c r="D3957" s="571"/>
      <c r="E3957" s="571"/>
      <c r="F3957" s="571"/>
      <c r="G3957" s="571"/>
      <c r="H3957" s="571"/>
      <c r="I3957" s="571"/>
      <c r="J3957" s="571"/>
      <c r="K3957" s="571"/>
      <c r="L3957" s="571"/>
      <c r="M3957" s="571"/>
      <c r="N3957" s="573">
        <v>9.01</v>
      </c>
      <c r="O3957" s="556" t="str">
        <f>IF(N3957=M3957,"OK","DIF")</f>
        <v>DIF</v>
      </c>
      <c r="P3957" s="573"/>
      <c r="Q3957" s="556"/>
      <c r="R3957" s="582"/>
    </row>
    <row r="3958" ht="15" customHeight="1" spans="1:18">
      <c r="A3958" s="556" t="str">
        <f>B3958</f>
        <v>Insumo</v>
      </c>
      <c r="B3958" s="557" t="str">
        <f>B3957</f>
        <v>Insumo</v>
      </c>
      <c r="C3958" s="76" t="s">
        <v>1350</v>
      </c>
      <c r="D3958" s="75" t="s">
        <v>63</v>
      </c>
      <c r="E3958" s="76" t="s">
        <v>64</v>
      </c>
      <c r="F3958" s="76" t="s">
        <v>65</v>
      </c>
      <c r="G3958" s="76" t="s">
        <v>2889</v>
      </c>
      <c r="H3958" s="76"/>
      <c r="I3958" s="77" t="s">
        <v>66</v>
      </c>
      <c r="J3958" s="75" t="s">
        <v>67</v>
      </c>
      <c r="K3958" s="75" t="s">
        <v>2890</v>
      </c>
      <c r="L3958" s="75" t="s">
        <v>68</v>
      </c>
      <c r="M3958" s="75" t="s">
        <v>70</v>
      </c>
      <c r="N3958" s="573">
        <v>76.49</v>
      </c>
      <c r="O3958" s="556" t="str">
        <f>IF(N3958=M3958,"OK","DIF")</f>
        <v>DIF</v>
      </c>
      <c r="P3958" s="573"/>
      <c r="Q3958" s="556"/>
      <c r="R3958" s="582"/>
    </row>
    <row r="3959" ht="91" customHeight="1" spans="1:18">
      <c r="A3959" s="556"/>
      <c r="B3959" s="557"/>
      <c r="C3959" s="569" t="s">
        <v>2891</v>
      </c>
      <c r="D3959" s="570" t="s">
        <v>1351</v>
      </c>
      <c r="E3959" s="569" t="s">
        <v>132</v>
      </c>
      <c r="F3959" s="569" t="s">
        <v>1352</v>
      </c>
      <c r="G3959" s="569" t="s">
        <v>3177</v>
      </c>
      <c r="H3959" s="569"/>
      <c r="I3959" s="577" t="s">
        <v>134</v>
      </c>
      <c r="J3959" s="578">
        <v>1</v>
      </c>
      <c r="K3959" s="579"/>
      <c r="L3959" s="579">
        <v>13850.21</v>
      </c>
      <c r="M3959" s="579">
        <v>13850.21</v>
      </c>
      <c r="N3959" s="573"/>
      <c r="O3959" s="556"/>
      <c r="P3959" s="573"/>
      <c r="Q3959" s="556"/>
      <c r="R3959" s="582"/>
    </row>
    <row r="3960" ht="23.85" customHeight="1" spans="1:18">
      <c r="A3960" s="556"/>
      <c r="B3960" s="557"/>
      <c r="C3960" s="79" t="s">
        <v>2921</v>
      </c>
      <c r="D3960" s="78" t="s">
        <v>2952</v>
      </c>
      <c r="E3960" s="79" t="s">
        <v>139</v>
      </c>
      <c r="F3960" s="79" t="s">
        <v>2953</v>
      </c>
      <c r="G3960" s="79" t="s">
        <v>2928</v>
      </c>
      <c r="H3960" s="79"/>
      <c r="I3960" s="80" t="s">
        <v>2897</v>
      </c>
      <c r="J3960" s="583">
        <v>4.5</v>
      </c>
      <c r="K3960" s="583">
        <v>0</v>
      </c>
      <c r="L3960" s="92">
        <v>29.15</v>
      </c>
      <c r="M3960" s="92">
        <v>131.17</v>
      </c>
      <c r="N3960" s="573"/>
      <c r="O3960" s="556"/>
      <c r="P3960" s="573"/>
      <c r="Q3960" s="556"/>
      <c r="R3960" s="582"/>
    </row>
    <row r="3961" ht="23.85" customHeight="1" spans="1:18">
      <c r="A3961" s="556"/>
      <c r="B3961" s="557" t="str">
        <f>C3960</f>
        <v>Composição Auxiliar</v>
      </c>
      <c r="C3961" s="79" t="s">
        <v>2921</v>
      </c>
      <c r="D3961" s="78" t="s">
        <v>3151</v>
      </c>
      <c r="E3961" s="79" t="s">
        <v>139</v>
      </c>
      <c r="F3961" s="79" t="s">
        <v>3152</v>
      </c>
      <c r="G3961" s="79" t="s">
        <v>2928</v>
      </c>
      <c r="H3961" s="79"/>
      <c r="I3961" s="80" t="s">
        <v>2897</v>
      </c>
      <c r="J3961" s="583">
        <v>4.5</v>
      </c>
      <c r="K3961" s="583">
        <v>0</v>
      </c>
      <c r="L3961" s="92">
        <v>36.82</v>
      </c>
      <c r="M3961" s="92">
        <v>165.69</v>
      </c>
      <c r="N3961" s="573">
        <v>67.63</v>
      </c>
      <c r="O3961" s="556" t="str">
        <f>IF(N3961=M3961,"OK","DIF")</f>
        <v>DIF</v>
      </c>
      <c r="P3961" s="573"/>
      <c r="Q3961" s="556"/>
      <c r="R3961" s="582"/>
    </row>
    <row r="3962" ht="91" customHeight="1" spans="1:18">
      <c r="A3962" s="556" t="str">
        <f>B3962</f>
        <v>Composição Auxiliar</v>
      </c>
      <c r="B3962" s="557" t="str">
        <f>B3961</f>
        <v>Composição Auxiliar</v>
      </c>
      <c r="C3962" s="100" t="s">
        <v>2893</v>
      </c>
      <c r="D3962" s="99" t="s">
        <v>4230</v>
      </c>
      <c r="E3962" s="100" t="s">
        <v>132</v>
      </c>
      <c r="F3962" s="100" t="s">
        <v>4231</v>
      </c>
      <c r="G3962" s="100" t="s">
        <v>2961</v>
      </c>
      <c r="H3962" s="100"/>
      <c r="I3962" s="101" t="s">
        <v>134</v>
      </c>
      <c r="J3962" s="580">
        <v>1</v>
      </c>
      <c r="K3962" s="580">
        <v>0</v>
      </c>
      <c r="L3962" s="102">
        <v>13553.35</v>
      </c>
      <c r="M3962" s="102">
        <v>13553.35</v>
      </c>
      <c r="N3962" s="573">
        <v>12.46</v>
      </c>
      <c r="O3962" s="556" t="str">
        <f>IF(N3962=M3962,"OK","DIF")</f>
        <v>DIF</v>
      </c>
      <c r="P3962" s="573"/>
      <c r="Q3962" s="556"/>
      <c r="R3962" s="582"/>
    </row>
    <row r="3963" ht="25.5" spans="1:18">
      <c r="A3963" s="556" t="str">
        <f>B3963</f>
        <v>Composição Auxiliar</v>
      </c>
      <c r="B3963" s="557" t="str">
        <f>B3962</f>
        <v>Composição Auxiliar</v>
      </c>
      <c r="C3963" s="108"/>
      <c r="D3963" s="108"/>
      <c r="E3963" s="108"/>
      <c r="F3963" s="108"/>
      <c r="G3963" s="108"/>
      <c r="H3963" s="108" t="s">
        <v>2898</v>
      </c>
      <c r="I3963" s="581">
        <v>206.95</v>
      </c>
      <c r="J3963" s="108" t="s">
        <v>2899</v>
      </c>
      <c r="K3963" s="581">
        <v>0</v>
      </c>
      <c r="L3963" s="108" t="s">
        <v>2900</v>
      </c>
      <c r="M3963" s="581">
        <v>206.95</v>
      </c>
      <c r="N3963" s="573">
        <v>9.01</v>
      </c>
      <c r="O3963" s="556" t="str">
        <f>IF(N3963=M3963,"OK","DIF")</f>
        <v>DIF</v>
      </c>
      <c r="P3963" s="573"/>
      <c r="Q3963" s="556"/>
      <c r="R3963" s="582"/>
    </row>
    <row r="3964" ht="26.25" spans="1:18">
      <c r="A3964" s="556" t="str">
        <f>B3964</f>
        <v>Composição Auxiliar</v>
      </c>
      <c r="B3964" s="557" t="str">
        <f>B3963</f>
        <v>Composição Auxiliar</v>
      </c>
      <c r="C3964" s="108"/>
      <c r="D3964" s="108"/>
      <c r="E3964" s="108"/>
      <c r="F3964" s="108"/>
      <c r="G3964" s="108"/>
      <c r="H3964" s="108" t="s">
        <v>2901</v>
      </c>
      <c r="I3964" s="581">
        <v>2232.65</v>
      </c>
      <c r="J3964" s="114"/>
      <c r="K3964" s="114" t="s">
        <v>2902</v>
      </c>
      <c r="L3964" s="108"/>
      <c r="M3964" s="581">
        <v>16082.86</v>
      </c>
      <c r="N3964" s="573">
        <v>46.16</v>
      </c>
      <c r="O3964" s="556" t="str">
        <f>IF(N3964=M3964,"OK","DIF")</f>
        <v>DIF</v>
      </c>
      <c r="P3964" s="573"/>
      <c r="Q3964" s="556"/>
      <c r="R3964" s="582"/>
    </row>
    <row r="3965" ht="15" spans="1:18">
      <c r="A3965" s="556"/>
      <c r="B3965" s="557"/>
      <c r="C3965" s="571"/>
      <c r="D3965" s="571"/>
      <c r="E3965" s="571"/>
      <c r="F3965" s="571"/>
      <c r="G3965" s="571"/>
      <c r="H3965" s="571"/>
      <c r="I3965" s="571"/>
      <c r="J3965" s="571"/>
      <c r="K3965" s="571"/>
      <c r="L3965" s="571"/>
      <c r="M3965" s="571"/>
      <c r="N3965" s="573"/>
      <c r="O3965" s="556"/>
      <c r="P3965" s="573"/>
      <c r="Q3965" s="556"/>
      <c r="R3965" s="582"/>
    </row>
    <row r="3966" ht="15" customHeight="1" spans="1:18">
      <c r="A3966" s="556"/>
      <c r="B3966" s="557"/>
      <c r="C3966" s="76" t="s">
        <v>1354</v>
      </c>
      <c r="D3966" s="75" t="s">
        <v>63</v>
      </c>
      <c r="E3966" s="76" t="s">
        <v>64</v>
      </c>
      <c r="F3966" s="76" t="s">
        <v>65</v>
      </c>
      <c r="G3966" s="76" t="s">
        <v>2889</v>
      </c>
      <c r="H3966" s="76"/>
      <c r="I3966" s="77" t="s">
        <v>66</v>
      </c>
      <c r="J3966" s="75" t="s">
        <v>67</v>
      </c>
      <c r="K3966" s="75" t="s">
        <v>2890</v>
      </c>
      <c r="L3966" s="75" t="s">
        <v>68</v>
      </c>
      <c r="M3966" s="75" t="s">
        <v>70</v>
      </c>
      <c r="N3966" s="573"/>
      <c r="O3966" s="556"/>
      <c r="P3966" s="573"/>
      <c r="Q3966" s="556"/>
      <c r="R3966" s="582"/>
    </row>
    <row r="3967" ht="91" customHeight="1" spans="1:18">
      <c r="A3967" s="556"/>
      <c r="B3967" s="557" t="str">
        <f>C3966</f>
        <v> 12.4.2 </v>
      </c>
      <c r="C3967" s="569" t="s">
        <v>2891</v>
      </c>
      <c r="D3967" s="570" t="s">
        <v>1355</v>
      </c>
      <c r="E3967" s="569" t="s">
        <v>132</v>
      </c>
      <c r="F3967" s="569" t="s">
        <v>1356</v>
      </c>
      <c r="G3967" s="569" t="s">
        <v>3177</v>
      </c>
      <c r="H3967" s="569"/>
      <c r="I3967" s="577" t="s">
        <v>134</v>
      </c>
      <c r="J3967" s="578">
        <v>1</v>
      </c>
      <c r="K3967" s="579"/>
      <c r="L3967" s="579">
        <v>11247.82</v>
      </c>
      <c r="M3967" s="579">
        <v>11247.82</v>
      </c>
      <c r="N3967" s="573">
        <v>47.28</v>
      </c>
      <c r="O3967" s="556" t="str">
        <f>IF(N3967=M3967,"OK","DIF")</f>
        <v>DIF</v>
      </c>
      <c r="P3967" s="573"/>
      <c r="Q3967" s="556"/>
      <c r="R3967" s="582"/>
    </row>
    <row r="3968" ht="23.85" customHeight="1" spans="1:18">
      <c r="A3968" s="556" t="str">
        <f>B3968</f>
        <v> 12.4.2 </v>
      </c>
      <c r="B3968" s="557" t="str">
        <f>B3967</f>
        <v> 12.4.2 </v>
      </c>
      <c r="C3968" s="79" t="s">
        <v>2921</v>
      </c>
      <c r="D3968" s="78" t="s">
        <v>3151</v>
      </c>
      <c r="E3968" s="79" t="s">
        <v>139</v>
      </c>
      <c r="F3968" s="79" t="s">
        <v>3152</v>
      </c>
      <c r="G3968" s="79" t="s">
        <v>2928</v>
      </c>
      <c r="H3968" s="79"/>
      <c r="I3968" s="80" t="s">
        <v>2897</v>
      </c>
      <c r="J3968" s="583">
        <v>4.5</v>
      </c>
      <c r="K3968" s="583">
        <v>0</v>
      </c>
      <c r="L3968" s="92">
        <v>36.82</v>
      </c>
      <c r="M3968" s="92">
        <v>165.69</v>
      </c>
      <c r="N3968" s="573">
        <v>25.81</v>
      </c>
      <c r="O3968" s="556" t="str">
        <f>IF(N3968=M3968,"OK","DIF")</f>
        <v>DIF</v>
      </c>
      <c r="P3968" s="573"/>
      <c r="Q3968" s="556"/>
      <c r="R3968" s="582"/>
    </row>
    <row r="3969" ht="23.85" customHeight="1" spans="1:18">
      <c r="A3969" s="556" t="str">
        <f>B3969</f>
        <v> 12.4.2 </v>
      </c>
      <c r="B3969" s="557" t="str">
        <f>B3968</f>
        <v> 12.4.2 </v>
      </c>
      <c r="C3969" s="79" t="s">
        <v>2921</v>
      </c>
      <c r="D3969" s="78" t="s">
        <v>2952</v>
      </c>
      <c r="E3969" s="79" t="s">
        <v>139</v>
      </c>
      <c r="F3969" s="79" t="s">
        <v>2953</v>
      </c>
      <c r="G3969" s="79" t="s">
        <v>2928</v>
      </c>
      <c r="H3969" s="79"/>
      <c r="I3969" s="80" t="s">
        <v>2897</v>
      </c>
      <c r="J3969" s="583">
        <v>4.5</v>
      </c>
      <c r="K3969" s="583">
        <v>0</v>
      </c>
      <c r="L3969" s="92">
        <v>29.15</v>
      </c>
      <c r="M3969" s="92">
        <v>131.17</v>
      </c>
      <c r="N3969" s="573">
        <v>12.46</v>
      </c>
      <c r="O3969" s="556" t="str">
        <f>IF(N3969=M3969,"OK","DIF")</f>
        <v>DIF</v>
      </c>
      <c r="P3969" s="573"/>
      <c r="Q3969" s="556"/>
      <c r="R3969" s="582"/>
    </row>
    <row r="3970" ht="91" customHeight="1" spans="1:18">
      <c r="A3970" s="556" t="str">
        <f>B3970</f>
        <v> 12.4.2 </v>
      </c>
      <c r="B3970" s="557" t="str">
        <f>B3969</f>
        <v> 12.4.2 </v>
      </c>
      <c r="C3970" s="100" t="s">
        <v>2893</v>
      </c>
      <c r="D3970" s="99" t="s">
        <v>4232</v>
      </c>
      <c r="E3970" s="100" t="s">
        <v>132</v>
      </c>
      <c r="F3970" s="100" t="s">
        <v>4233</v>
      </c>
      <c r="G3970" s="100" t="s">
        <v>2961</v>
      </c>
      <c r="H3970" s="100"/>
      <c r="I3970" s="101" t="s">
        <v>134</v>
      </c>
      <c r="J3970" s="580">
        <v>1</v>
      </c>
      <c r="K3970" s="580">
        <v>0</v>
      </c>
      <c r="L3970" s="102">
        <v>10950.96</v>
      </c>
      <c r="M3970" s="102">
        <v>10950.96</v>
      </c>
      <c r="N3970" s="573">
        <v>9.01</v>
      </c>
      <c r="O3970" s="556" t="str">
        <f>IF(N3970=M3970,"OK","DIF")</f>
        <v>DIF</v>
      </c>
      <c r="P3970" s="573"/>
      <c r="Q3970" s="556"/>
      <c r="R3970" s="582"/>
    </row>
    <row r="3971" ht="25.5" spans="1:18">
      <c r="A3971" s="556"/>
      <c r="B3971" s="557"/>
      <c r="C3971" s="108"/>
      <c r="D3971" s="108"/>
      <c r="E3971" s="108"/>
      <c r="F3971" s="108"/>
      <c r="G3971" s="108"/>
      <c r="H3971" s="108" t="s">
        <v>2898</v>
      </c>
      <c r="I3971" s="581">
        <v>206.95</v>
      </c>
      <c r="J3971" s="108" t="s">
        <v>2899</v>
      </c>
      <c r="K3971" s="581">
        <v>0</v>
      </c>
      <c r="L3971" s="108" t="s">
        <v>2900</v>
      </c>
      <c r="M3971" s="581">
        <v>206.95</v>
      </c>
      <c r="N3971" s="573"/>
      <c r="O3971" s="556"/>
      <c r="P3971" s="573"/>
      <c r="Q3971" s="556"/>
      <c r="R3971" s="582"/>
    </row>
    <row r="3972" ht="26.25" spans="1:18">
      <c r="A3972" s="556"/>
      <c r="B3972" s="557"/>
      <c r="C3972" s="108"/>
      <c r="D3972" s="108"/>
      <c r="E3972" s="108"/>
      <c r="F3972" s="108"/>
      <c r="G3972" s="108"/>
      <c r="H3972" s="108" t="s">
        <v>2901</v>
      </c>
      <c r="I3972" s="581">
        <v>1813.14</v>
      </c>
      <c r="J3972" s="114"/>
      <c r="K3972" s="114" t="s">
        <v>2902</v>
      </c>
      <c r="L3972" s="108"/>
      <c r="M3972" s="581">
        <v>13060.96</v>
      </c>
      <c r="N3972" s="573"/>
      <c r="O3972" s="556"/>
      <c r="P3972" s="573"/>
      <c r="Q3972" s="556"/>
      <c r="R3972" s="582"/>
    </row>
    <row r="3973" ht="15" spans="1:18">
      <c r="A3973" s="556"/>
      <c r="B3973" s="557">
        <f>C3972</f>
        <v>0</v>
      </c>
      <c r="C3973" s="571"/>
      <c r="D3973" s="571"/>
      <c r="E3973" s="571"/>
      <c r="F3973" s="571"/>
      <c r="G3973" s="571"/>
      <c r="H3973" s="571"/>
      <c r="I3973" s="571"/>
      <c r="J3973" s="571"/>
      <c r="K3973" s="571"/>
      <c r="L3973" s="571"/>
      <c r="M3973" s="571"/>
      <c r="N3973" s="573">
        <v>77.61</v>
      </c>
      <c r="O3973" s="556" t="str">
        <f>IF(N3973=M3973,"OK","DIF")</f>
        <v>DIF</v>
      </c>
      <c r="P3973" s="573"/>
      <c r="Q3973" s="556"/>
      <c r="R3973" s="582"/>
    </row>
    <row r="3974" ht="15" customHeight="1" spans="1:18">
      <c r="A3974" s="556">
        <f>B3974</f>
        <v>0</v>
      </c>
      <c r="B3974" s="557">
        <f>B3973</f>
        <v>0</v>
      </c>
      <c r="C3974" s="76" t="s">
        <v>1358</v>
      </c>
      <c r="D3974" s="75" t="s">
        <v>63</v>
      </c>
      <c r="E3974" s="76" t="s">
        <v>64</v>
      </c>
      <c r="F3974" s="76" t="s">
        <v>65</v>
      </c>
      <c r="G3974" s="76" t="s">
        <v>2889</v>
      </c>
      <c r="H3974" s="76"/>
      <c r="I3974" s="77" t="s">
        <v>66</v>
      </c>
      <c r="J3974" s="75" t="s">
        <v>67</v>
      </c>
      <c r="K3974" s="75" t="s">
        <v>2890</v>
      </c>
      <c r="L3974" s="75" t="s">
        <v>68</v>
      </c>
      <c r="M3974" s="75" t="s">
        <v>70</v>
      </c>
      <c r="N3974" s="573">
        <v>12.46</v>
      </c>
      <c r="O3974" s="556" t="str">
        <f>IF(N3974=M3974,"OK","DIF")</f>
        <v>DIF</v>
      </c>
      <c r="P3974" s="573"/>
      <c r="Q3974" s="556"/>
      <c r="R3974" s="582"/>
    </row>
    <row r="3975" ht="91" customHeight="1" spans="1:18">
      <c r="A3975" s="556">
        <f>B3975</f>
        <v>0</v>
      </c>
      <c r="B3975" s="557">
        <f>B3974</f>
        <v>0</v>
      </c>
      <c r="C3975" s="569" t="s">
        <v>2891</v>
      </c>
      <c r="D3975" s="570" t="s">
        <v>1359</v>
      </c>
      <c r="E3975" s="569" t="s">
        <v>132</v>
      </c>
      <c r="F3975" s="569" t="s">
        <v>1360</v>
      </c>
      <c r="G3975" s="569" t="s">
        <v>3177</v>
      </c>
      <c r="H3975" s="569"/>
      <c r="I3975" s="577" t="s">
        <v>134</v>
      </c>
      <c r="J3975" s="578">
        <v>1</v>
      </c>
      <c r="K3975" s="579"/>
      <c r="L3975" s="579">
        <v>8109.65</v>
      </c>
      <c r="M3975" s="579">
        <v>8109.65</v>
      </c>
      <c r="N3975" s="573">
        <v>56.14</v>
      </c>
      <c r="O3975" s="556" t="str">
        <f>IF(N3975=M3975,"OK","DIF")</f>
        <v>DIF</v>
      </c>
      <c r="P3975" s="573"/>
      <c r="Q3975" s="556"/>
      <c r="R3975" s="582"/>
    </row>
    <row r="3976" ht="23.85" customHeight="1" spans="1:18">
      <c r="A3976" s="556">
        <f>B3976</f>
        <v>0</v>
      </c>
      <c r="B3976" s="557">
        <f>B3975</f>
        <v>0</v>
      </c>
      <c r="C3976" s="79" t="s">
        <v>2921</v>
      </c>
      <c r="D3976" s="78" t="s">
        <v>3151</v>
      </c>
      <c r="E3976" s="79" t="s">
        <v>139</v>
      </c>
      <c r="F3976" s="79" t="s">
        <v>3152</v>
      </c>
      <c r="G3976" s="79" t="s">
        <v>2928</v>
      </c>
      <c r="H3976" s="79"/>
      <c r="I3976" s="80" t="s">
        <v>2897</v>
      </c>
      <c r="J3976" s="583">
        <v>4.5</v>
      </c>
      <c r="K3976" s="583">
        <v>0</v>
      </c>
      <c r="L3976" s="92">
        <v>36.82</v>
      </c>
      <c r="M3976" s="92">
        <v>165.69</v>
      </c>
      <c r="N3976" s="573">
        <v>9.01</v>
      </c>
      <c r="O3976" s="556" t="str">
        <f>IF(N3976=M3976,"OK","DIF")</f>
        <v>DIF</v>
      </c>
      <c r="P3976" s="573"/>
      <c r="Q3976" s="556"/>
      <c r="R3976" s="582"/>
    </row>
    <row r="3977" ht="23.85" customHeight="1" spans="1:18">
      <c r="A3977" s="556"/>
      <c r="B3977" s="557"/>
      <c r="C3977" s="79" t="s">
        <v>2921</v>
      </c>
      <c r="D3977" s="78" t="s">
        <v>2952</v>
      </c>
      <c r="E3977" s="79" t="s">
        <v>139</v>
      </c>
      <c r="F3977" s="79" t="s">
        <v>2953</v>
      </c>
      <c r="G3977" s="79" t="s">
        <v>2928</v>
      </c>
      <c r="H3977" s="79"/>
      <c r="I3977" s="80" t="s">
        <v>2897</v>
      </c>
      <c r="J3977" s="583">
        <v>4.5</v>
      </c>
      <c r="K3977" s="583">
        <v>0</v>
      </c>
      <c r="L3977" s="92">
        <v>29.15</v>
      </c>
      <c r="M3977" s="92">
        <v>131.17</v>
      </c>
      <c r="N3977" s="573"/>
      <c r="O3977" s="556"/>
      <c r="P3977" s="573"/>
      <c r="Q3977" s="556"/>
      <c r="R3977" s="582"/>
    </row>
    <row r="3978" ht="91" customHeight="1" spans="1:18">
      <c r="A3978" s="556"/>
      <c r="B3978" s="557"/>
      <c r="C3978" s="100" t="s">
        <v>2893</v>
      </c>
      <c r="D3978" s="99" t="s">
        <v>4234</v>
      </c>
      <c r="E3978" s="100" t="s">
        <v>132</v>
      </c>
      <c r="F3978" s="100" t="s">
        <v>4235</v>
      </c>
      <c r="G3978" s="100" t="s">
        <v>2961</v>
      </c>
      <c r="H3978" s="100"/>
      <c r="I3978" s="101" t="s">
        <v>134</v>
      </c>
      <c r="J3978" s="580">
        <v>1</v>
      </c>
      <c r="K3978" s="580">
        <v>0</v>
      </c>
      <c r="L3978" s="102">
        <v>7812.79</v>
      </c>
      <c r="M3978" s="102">
        <v>7812.79</v>
      </c>
      <c r="N3978" s="573"/>
      <c r="O3978" s="556"/>
      <c r="P3978" s="573"/>
      <c r="Q3978" s="556"/>
      <c r="R3978" s="582"/>
    </row>
    <row r="3979" ht="25.5" spans="1:18">
      <c r="A3979" s="556"/>
      <c r="B3979" s="557" t="str">
        <f>C3978</f>
        <v>Insumo</v>
      </c>
      <c r="C3979" s="108"/>
      <c r="D3979" s="108"/>
      <c r="E3979" s="108"/>
      <c r="F3979" s="108"/>
      <c r="G3979" s="108"/>
      <c r="H3979" s="108" t="s">
        <v>2898</v>
      </c>
      <c r="I3979" s="581">
        <v>206.95</v>
      </c>
      <c r="J3979" s="108" t="s">
        <v>2899</v>
      </c>
      <c r="K3979" s="581">
        <v>0</v>
      </c>
      <c r="L3979" s="108" t="s">
        <v>2900</v>
      </c>
      <c r="M3979" s="581">
        <v>206.95</v>
      </c>
      <c r="N3979" s="573">
        <v>56.74</v>
      </c>
      <c r="O3979" s="556" t="str">
        <f>IF(N3979=M3979,"OK","DIF")</f>
        <v>DIF</v>
      </c>
      <c r="P3979" s="573"/>
      <c r="Q3979" s="556"/>
      <c r="R3979" s="582"/>
    </row>
    <row r="3980" ht="26.25" spans="1:18">
      <c r="A3980" s="556" t="str">
        <f>B3980</f>
        <v>Insumo</v>
      </c>
      <c r="B3980" s="557" t="str">
        <f>B3979</f>
        <v>Insumo</v>
      </c>
      <c r="C3980" s="108"/>
      <c r="D3980" s="108"/>
      <c r="E3980" s="108"/>
      <c r="F3980" s="108"/>
      <c r="G3980" s="108"/>
      <c r="H3980" s="108" t="s">
        <v>2901</v>
      </c>
      <c r="I3980" s="581">
        <v>1307.27</v>
      </c>
      <c r="J3980" s="114"/>
      <c r="K3980" s="114" t="s">
        <v>2902</v>
      </c>
      <c r="L3980" s="108"/>
      <c r="M3980" s="581">
        <v>9416.92</v>
      </c>
      <c r="N3980" s="573">
        <v>9.01</v>
      </c>
      <c r="O3980" s="556" t="str">
        <f>IF(N3980=M3980,"OK","DIF")</f>
        <v>DIF</v>
      </c>
      <c r="P3980" s="573"/>
      <c r="Q3980" s="556"/>
      <c r="R3980" s="582"/>
    </row>
    <row r="3981" ht="15" spans="1:18">
      <c r="A3981" s="556" t="str">
        <f>B3981</f>
        <v>Insumo</v>
      </c>
      <c r="B3981" s="557" t="str">
        <f>B3980</f>
        <v>Insumo</v>
      </c>
      <c r="C3981" s="571"/>
      <c r="D3981" s="571"/>
      <c r="E3981" s="571"/>
      <c r="F3981" s="571"/>
      <c r="G3981" s="571"/>
      <c r="H3981" s="571"/>
      <c r="I3981" s="571"/>
      <c r="J3981" s="571"/>
      <c r="K3981" s="571"/>
      <c r="L3981" s="571"/>
      <c r="M3981" s="571"/>
      <c r="N3981" s="573">
        <v>35.27</v>
      </c>
      <c r="O3981" s="556" t="str">
        <f>IF(N3981=M3981,"OK","DIF")</f>
        <v>DIF</v>
      </c>
      <c r="P3981" s="573"/>
      <c r="Q3981" s="556"/>
      <c r="R3981" s="582"/>
    </row>
    <row r="3982" ht="15" customHeight="1" spans="1:18">
      <c r="A3982" s="556" t="str">
        <f>B3982</f>
        <v>Insumo</v>
      </c>
      <c r="B3982" s="557" t="str">
        <f>B3981</f>
        <v>Insumo</v>
      </c>
      <c r="C3982" s="76" t="s">
        <v>1362</v>
      </c>
      <c r="D3982" s="75" t="s">
        <v>63</v>
      </c>
      <c r="E3982" s="76" t="s">
        <v>64</v>
      </c>
      <c r="F3982" s="76" t="s">
        <v>65</v>
      </c>
      <c r="G3982" s="76" t="s">
        <v>2889</v>
      </c>
      <c r="H3982" s="76"/>
      <c r="I3982" s="77" t="s">
        <v>66</v>
      </c>
      <c r="J3982" s="75" t="s">
        <v>67</v>
      </c>
      <c r="K3982" s="75" t="s">
        <v>2890</v>
      </c>
      <c r="L3982" s="75" t="s">
        <v>68</v>
      </c>
      <c r="M3982" s="75" t="s">
        <v>70</v>
      </c>
      <c r="N3982" s="573">
        <v>12.46</v>
      </c>
      <c r="O3982" s="556" t="str">
        <f>IF(N3982=M3982,"OK","DIF")</f>
        <v>DIF</v>
      </c>
      <c r="P3982" s="573"/>
      <c r="Q3982" s="556"/>
      <c r="R3982" s="582"/>
    </row>
    <row r="3983" ht="91" customHeight="1" spans="1:18">
      <c r="A3983" s="556"/>
      <c r="B3983" s="557"/>
      <c r="C3983" s="569" t="s">
        <v>2891</v>
      </c>
      <c r="D3983" s="570" t="s">
        <v>1363</v>
      </c>
      <c r="E3983" s="569" t="s">
        <v>132</v>
      </c>
      <c r="F3983" s="569" t="s">
        <v>1364</v>
      </c>
      <c r="G3983" s="569" t="s">
        <v>3177</v>
      </c>
      <c r="H3983" s="569"/>
      <c r="I3983" s="577" t="s">
        <v>134</v>
      </c>
      <c r="J3983" s="578">
        <v>1</v>
      </c>
      <c r="K3983" s="579"/>
      <c r="L3983" s="579">
        <v>15513.85</v>
      </c>
      <c r="M3983" s="579">
        <v>15513.85</v>
      </c>
      <c r="N3983" s="573"/>
      <c r="O3983" s="556"/>
      <c r="P3983" s="573"/>
      <c r="Q3983" s="556"/>
      <c r="R3983" s="582"/>
    </row>
    <row r="3984" ht="23.85" customHeight="1" spans="1:18">
      <c r="A3984" s="556"/>
      <c r="B3984" s="557"/>
      <c r="C3984" s="79" t="s">
        <v>2921</v>
      </c>
      <c r="D3984" s="78" t="s">
        <v>3151</v>
      </c>
      <c r="E3984" s="79" t="s">
        <v>139</v>
      </c>
      <c r="F3984" s="79" t="s">
        <v>3152</v>
      </c>
      <c r="G3984" s="79" t="s">
        <v>2928</v>
      </c>
      <c r="H3984" s="79"/>
      <c r="I3984" s="80" t="s">
        <v>2897</v>
      </c>
      <c r="J3984" s="583">
        <v>4.5</v>
      </c>
      <c r="K3984" s="583">
        <v>0</v>
      </c>
      <c r="L3984" s="92">
        <v>36.82</v>
      </c>
      <c r="M3984" s="92">
        <v>165.69</v>
      </c>
      <c r="N3984" s="573"/>
      <c r="O3984" s="556"/>
      <c r="P3984" s="573"/>
      <c r="Q3984" s="556"/>
      <c r="R3984" s="582"/>
    </row>
    <row r="3985" ht="23.85" customHeight="1" spans="1:18">
      <c r="A3985" s="556"/>
      <c r="B3985" s="557" t="str">
        <f>C3984</f>
        <v>Composição Auxiliar</v>
      </c>
      <c r="C3985" s="79" t="s">
        <v>2921</v>
      </c>
      <c r="D3985" s="78" t="s">
        <v>2952</v>
      </c>
      <c r="E3985" s="79" t="s">
        <v>139</v>
      </c>
      <c r="F3985" s="79" t="s">
        <v>2953</v>
      </c>
      <c r="G3985" s="79" t="s">
        <v>2928</v>
      </c>
      <c r="H3985" s="79"/>
      <c r="I3985" s="80" t="s">
        <v>2897</v>
      </c>
      <c r="J3985" s="583">
        <v>4.5</v>
      </c>
      <c r="K3985" s="583">
        <v>0</v>
      </c>
      <c r="L3985" s="92">
        <v>29.15</v>
      </c>
      <c r="M3985" s="92">
        <v>131.17</v>
      </c>
      <c r="N3985" s="573">
        <v>9.43</v>
      </c>
      <c r="O3985" s="556" t="str">
        <f>IF(N3985=M3985,"OK","DIF")</f>
        <v>DIF</v>
      </c>
      <c r="P3985" s="573"/>
      <c r="Q3985" s="556"/>
      <c r="R3985" s="582"/>
    </row>
    <row r="3986" ht="91" customHeight="1" spans="1:18">
      <c r="A3986" s="556" t="str">
        <f>B3986</f>
        <v>Composição Auxiliar</v>
      </c>
      <c r="B3986" s="557" t="str">
        <f>B3985</f>
        <v>Composição Auxiliar</v>
      </c>
      <c r="C3986" s="100" t="s">
        <v>2893</v>
      </c>
      <c r="D3986" s="99" t="s">
        <v>4236</v>
      </c>
      <c r="E3986" s="100" t="s">
        <v>132</v>
      </c>
      <c r="F3986" s="100" t="s">
        <v>4237</v>
      </c>
      <c r="G3986" s="100" t="s">
        <v>2961</v>
      </c>
      <c r="H3986" s="100"/>
      <c r="I3986" s="101" t="s">
        <v>134</v>
      </c>
      <c r="J3986" s="580">
        <v>1</v>
      </c>
      <c r="K3986" s="580">
        <v>0</v>
      </c>
      <c r="L3986" s="102">
        <v>15216.99</v>
      </c>
      <c r="M3986" s="102">
        <v>15216.99</v>
      </c>
      <c r="N3986" s="573">
        <v>3.61</v>
      </c>
      <c r="O3986" s="556" t="str">
        <f>IF(N3986=M3986,"OK","DIF")</f>
        <v>DIF</v>
      </c>
      <c r="P3986" s="573"/>
      <c r="Q3986" s="556"/>
      <c r="R3986" s="582"/>
    </row>
    <row r="3987" ht="25.5" spans="1:18">
      <c r="A3987" s="556" t="str">
        <f>B3987</f>
        <v>Composição Auxiliar</v>
      </c>
      <c r="B3987" s="557" t="str">
        <f>B3986</f>
        <v>Composição Auxiliar</v>
      </c>
      <c r="C3987" s="108"/>
      <c r="D3987" s="108"/>
      <c r="E3987" s="108"/>
      <c r="F3987" s="108"/>
      <c r="G3987" s="108"/>
      <c r="H3987" s="108" t="s">
        <v>2898</v>
      </c>
      <c r="I3987" s="581">
        <v>206.95</v>
      </c>
      <c r="J3987" s="108" t="s">
        <v>2899</v>
      </c>
      <c r="K3987" s="581">
        <v>0</v>
      </c>
      <c r="L3987" s="108" t="s">
        <v>2900</v>
      </c>
      <c r="M3987" s="581">
        <v>206.95</v>
      </c>
      <c r="N3987" s="573">
        <v>3.07</v>
      </c>
      <c r="O3987" s="556" t="str">
        <f>IF(N3987=M3987,"OK","DIF")</f>
        <v>DIF</v>
      </c>
      <c r="P3987" s="573"/>
      <c r="Q3987" s="556"/>
      <c r="R3987" s="582"/>
    </row>
    <row r="3988" ht="26.25" spans="1:18">
      <c r="A3988" s="556" t="str">
        <f>B3988</f>
        <v>Composição Auxiliar</v>
      </c>
      <c r="B3988" s="557" t="str">
        <f>B3987</f>
        <v>Composição Auxiliar</v>
      </c>
      <c r="C3988" s="108"/>
      <c r="D3988" s="108"/>
      <c r="E3988" s="108"/>
      <c r="F3988" s="108"/>
      <c r="G3988" s="108"/>
      <c r="H3988" s="108" t="s">
        <v>2901</v>
      </c>
      <c r="I3988" s="581">
        <v>2500.83</v>
      </c>
      <c r="J3988" s="114"/>
      <c r="K3988" s="114" t="s">
        <v>2902</v>
      </c>
      <c r="L3988" s="108"/>
      <c r="M3988" s="581">
        <v>18014.68</v>
      </c>
      <c r="N3988" s="573">
        <v>2.75</v>
      </c>
      <c r="O3988" s="556" t="str">
        <f>IF(N3988=M3988,"OK","DIF")</f>
        <v>DIF</v>
      </c>
      <c r="P3988" s="573"/>
      <c r="Q3988" s="556"/>
      <c r="R3988" s="582"/>
    </row>
    <row r="3989" ht="15" spans="1:18">
      <c r="A3989" s="556"/>
      <c r="B3989" s="557"/>
      <c r="C3989" s="571"/>
      <c r="D3989" s="571"/>
      <c r="E3989" s="571"/>
      <c r="F3989" s="571"/>
      <c r="G3989" s="571"/>
      <c r="H3989" s="571"/>
      <c r="I3989" s="571"/>
      <c r="J3989" s="571"/>
      <c r="K3989" s="571"/>
      <c r="L3989" s="571"/>
      <c r="M3989" s="571"/>
      <c r="N3989" s="573"/>
      <c r="O3989" s="556"/>
      <c r="P3989" s="573"/>
      <c r="Q3989" s="556"/>
      <c r="R3989" s="582"/>
    </row>
    <row r="3990" ht="15" customHeight="1" spans="1:18">
      <c r="A3990" s="556"/>
      <c r="B3990" s="557"/>
      <c r="C3990" s="76" t="s">
        <v>1366</v>
      </c>
      <c r="D3990" s="75" t="s">
        <v>63</v>
      </c>
      <c r="E3990" s="76" t="s">
        <v>64</v>
      </c>
      <c r="F3990" s="76" t="s">
        <v>65</v>
      </c>
      <c r="G3990" s="76" t="s">
        <v>2889</v>
      </c>
      <c r="H3990" s="76"/>
      <c r="I3990" s="77" t="s">
        <v>66</v>
      </c>
      <c r="J3990" s="75" t="s">
        <v>67</v>
      </c>
      <c r="K3990" s="75" t="s">
        <v>2890</v>
      </c>
      <c r="L3990" s="75" t="s">
        <v>68</v>
      </c>
      <c r="M3990" s="75" t="s">
        <v>70</v>
      </c>
      <c r="N3990" s="573"/>
      <c r="O3990" s="556"/>
      <c r="P3990" s="573"/>
      <c r="Q3990" s="556"/>
      <c r="R3990" s="582"/>
    </row>
    <row r="3991" ht="91" customHeight="1" spans="1:18">
      <c r="A3991" s="556"/>
      <c r="B3991" s="557" t="str">
        <f>C3990</f>
        <v> 12.4.5 </v>
      </c>
      <c r="C3991" s="569" t="s">
        <v>2891</v>
      </c>
      <c r="D3991" s="570" t="s">
        <v>1367</v>
      </c>
      <c r="E3991" s="569" t="s">
        <v>132</v>
      </c>
      <c r="F3991" s="569" t="s">
        <v>1368</v>
      </c>
      <c r="G3991" s="569" t="s">
        <v>3177</v>
      </c>
      <c r="H3991" s="569"/>
      <c r="I3991" s="577" t="s">
        <v>134</v>
      </c>
      <c r="J3991" s="578">
        <v>1</v>
      </c>
      <c r="K3991" s="579"/>
      <c r="L3991" s="579">
        <v>11080.11</v>
      </c>
      <c r="M3991" s="579">
        <v>11080.11</v>
      </c>
      <c r="N3991" s="573">
        <v>73.72</v>
      </c>
      <c r="O3991" s="556" t="str">
        <f>IF(N3991=M3991,"OK","DIF")</f>
        <v>DIF</v>
      </c>
      <c r="P3991" s="573"/>
      <c r="Q3991" s="556"/>
      <c r="R3991" s="582"/>
    </row>
    <row r="3992" ht="23.85" customHeight="1" spans="1:18">
      <c r="A3992" s="556" t="str">
        <f>B3992</f>
        <v> 12.4.5 </v>
      </c>
      <c r="B3992" s="557" t="str">
        <f>B3991</f>
        <v> 12.4.5 </v>
      </c>
      <c r="C3992" s="79" t="s">
        <v>2921</v>
      </c>
      <c r="D3992" s="78" t="s">
        <v>3151</v>
      </c>
      <c r="E3992" s="79" t="s">
        <v>139</v>
      </c>
      <c r="F3992" s="79" t="s">
        <v>3152</v>
      </c>
      <c r="G3992" s="79" t="s">
        <v>2928</v>
      </c>
      <c r="H3992" s="79"/>
      <c r="I3992" s="80" t="s">
        <v>2897</v>
      </c>
      <c r="J3992" s="583">
        <v>4.5</v>
      </c>
      <c r="K3992" s="583">
        <v>0</v>
      </c>
      <c r="L3992" s="92">
        <v>36.82</v>
      </c>
      <c r="M3992" s="92">
        <v>165.69</v>
      </c>
      <c r="N3992" s="573">
        <v>12.46</v>
      </c>
      <c r="O3992" s="556" t="str">
        <f>IF(N3992=M3992,"OK","DIF")</f>
        <v>DIF</v>
      </c>
      <c r="P3992" s="573"/>
      <c r="Q3992" s="556"/>
      <c r="R3992" s="582"/>
    </row>
    <row r="3993" ht="23.85" customHeight="1" spans="1:18">
      <c r="A3993" s="556" t="str">
        <f>B3993</f>
        <v> 12.4.5 </v>
      </c>
      <c r="B3993" s="557" t="str">
        <f>B3992</f>
        <v> 12.4.5 </v>
      </c>
      <c r="C3993" s="79" t="s">
        <v>2921</v>
      </c>
      <c r="D3993" s="78" t="s">
        <v>2952</v>
      </c>
      <c r="E3993" s="79" t="s">
        <v>139</v>
      </c>
      <c r="F3993" s="79" t="s">
        <v>2953</v>
      </c>
      <c r="G3993" s="79" t="s">
        <v>2928</v>
      </c>
      <c r="H3993" s="79"/>
      <c r="I3993" s="80" t="s">
        <v>2897</v>
      </c>
      <c r="J3993" s="583">
        <v>4.5</v>
      </c>
      <c r="K3993" s="583">
        <v>0</v>
      </c>
      <c r="L3993" s="92">
        <v>29.15</v>
      </c>
      <c r="M3993" s="92">
        <v>131.17</v>
      </c>
      <c r="N3993" s="573">
        <v>52.25</v>
      </c>
      <c r="O3993" s="556" t="str">
        <f>IF(N3993=M3993,"OK","DIF")</f>
        <v>DIF</v>
      </c>
      <c r="P3993" s="573"/>
      <c r="Q3993" s="556"/>
      <c r="R3993" s="582"/>
    </row>
    <row r="3994" ht="91" customHeight="1" spans="1:18">
      <c r="A3994" s="556" t="str">
        <f>B3994</f>
        <v> 12.4.5 </v>
      </c>
      <c r="B3994" s="557" t="str">
        <f>B3993</f>
        <v> 12.4.5 </v>
      </c>
      <c r="C3994" s="100" t="s">
        <v>2893</v>
      </c>
      <c r="D3994" s="99" t="s">
        <v>4238</v>
      </c>
      <c r="E3994" s="100" t="s">
        <v>132</v>
      </c>
      <c r="F3994" s="100" t="s">
        <v>4239</v>
      </c>
      <c r="G3994" s="100" t="s">
        <v>2961</v>
      </c>
      <c r="H3994" s="100"/>
      <c r="I3994" s="101" t="s">
        <v>134</v>
      </c>
      <c r="J3994" s="580">
        <v>1</v>
      </c>
      <c r="K3994" s="580">
        <v>0</v>
      </c>
      <c r="L3994" s="102">
        <v>10783.25</v>
      </c>
      <c r="M3994" s="102">
        <v>10783.25</v>
      </c>
      <c r="N3994" s="573">
        <v>9.01</v>
      </c>
      <c r="O3994" s="556" t="str">
        <f>IF(N3994=M3994,"OK","DIF")</f>
        <v>DIF</v>
      </c>
      <c r="P3994" s="573"/>
      <c r="Q3994" s="556"/>
      <c r="R3994" s="582"/>
    </row>
    <row r="3995" ht="25.5" spans="1:18">
      <c r="A3995" s="556"/>
      <c r="B3995" s="557"/>
      <c r="C3995" s="108"/>
      <c r="D3995" s="108"/>
      <c r="E3995" s="108"/>
      <c r="F3995" s="108"/>
      <c r="G3995" s="108"/>
      <c r="H3995" s="108" t="s">
        <v>2898</v>
      </c>
      <c r="I3995" s="581">
        <v>206.95</v>
      </c>
      <c r="J3995" s="108" t="s">
        <v>2899</v>
      </c>
      <c r="K3995" s="581">
        <v>0</v>
      </c>
      <c r="L3995" s="108" t="s">
        <v>2900</v>
      </c>
      <c r="M3995" s="581">
        <v>206.95</v>
      </c>
      <c r="N3995" s="573"/>
      <c r="O3995" s="556"/>
      <c r="P3995" s="573"/>
      <c r="Q3995" s="556"/>
      <c r="R3995" s="582"/>
    </row>
    <row r="3996" ht="26.25" spans="1:18">
      <c r="A3996" s="556"/>
      <c r="B3996" s="557"/>
      <c r="C3996" s="108"/>
      <c r="D3996" s="108"/>
      <c r="E3996" s="108"/>
      <c r="F3996" s="108"/>
      <c r="G3996" s="108"/>
      <c r="H3996" s="108" t="s">
        <v>2901</v>
      </c>
      <c r="I3996" s="581">
        <v>1786.11</v>
      </c>
      <c r="J3996" s="114"/>
      <c r="K3996" s="114" t="s">
        <v>2902</v>
      </c>
      <c r="L3996" s="108"/>
      <c r="M3996" s="581">
        <v>12866.22</v>
      </c>
      <c r="N3996" s="573"/>
      <c r="O3996" s="556"/>
      <c r="P3996" s="573"/>
      <c r="Q3996" s="556"/>
      <c r="R3996" s="582"/>
    </row>
    <row r="3997" ht="15" spans="1:18">
      <c r="A3997" s="556"/>
      <c r="B3997" s="557">
        <f>C3996</f>
        <v>0</v>
      </c>
      <c r="C3997" s="571"/>
      <c r="D3997" s="571"/>
      <c r="E3997" s="571"/>
      <c r="F3997" s="571"/>
      <c r="G3997" s="571"/>
      <c r="H3997" s="571"/>
      <c r="I3997" s="571"/>
      <c r="J3997" s="571"/>
      <c r="K3997" s="571"/>
      <c r="L3997" s="571"/>
      <c r="M3997" s="571"/>
      <c r="N3997" s="573">
        <v>65.23</v>
      </c>
      <c r="O3997" s="556" t="str">
        <f>IF(N3997=M3997,"OK","DIF")</f>
        <v>DIF</v>
      </c>
      <c r="P3997" s="573"/>
      <c r="Q3997" s="556"/>
      <c r="R3997" s="582"/>
    </row>
    <row r="3998" ht="15" customHeight="1" spans="1:18">
      <c r="A3998" s="556">
        <f>B3998</f>
        <v>0</v>
      </c>
      <c r="B3998" s="557">
        <f>B3997</f>
        <v>0</v>
      </c>
      <c r="C3998" s="76" t="s">
        <v>1370</v>
      </c>
      <c r="D3998" s="75" t="s">
        <v>63</v>
      </c>
      <c r="E3998" s="76" t="s">
        <v>64</v>
      </c>
      <c r="F3998" s="76" t="s">
        <v>65</v>
      </c>
      <c r="G3998" s="76" t="s">
        <v>2889</v>
      </c>
      <c r="H3998" s="76"/>
      <c r="I3998" s="77" t="s">
        <v>66</v>
      </c>
      <c r="J3998" s="75" t="s">
        <v>67</v>
      </c>
      <c r="K3998" s="75" t="s">
        <v>2890</v>
      </c>
      <c r="L3998" s="75" t="s">
        <v>68</v>
      </c>
      <c r="M3998" s="75" t="s">
        <v>70</v>
      </c>
      <c r="N3998" s="573">
        <v>9.01</v>
      </c>
      <c r="O3998" s="556" t="str">
        <f>IF(N3998=M3998,"OK","DIF")</f>
        <v>DIF</v>
      </c>
      <c r="P3998" s="573"/>
      <c r="Q3998" s="556"/>
      <c r="R3998" s="582"/>
    </row>
    <row r="3999" ht="91" customHeight="1" spans="1:18">
      <c r="A3999" s="556">
        <f>B3999</f>
        <v>0</v>
      </c>
      <c r="B3999" s="557">
        <f>B3998</f>
        <v>0</v>
      </c>
      <c r="C3999" s="569" t="s">
        <v>2891</v>
      </c>
      <c r="D3999" s="570" t="s">
        <v>1371</v>
      </c>
      <c r="E3999" s="569" t="s">
        <v>132</v>
      </c>
      <c r="F3999" s="569" t="s">
        <v>1372</v>
      </c>
      <c r="G3999" s="569" t="s">
        <v>3177</v>
      </c>
      <c r="H3999" s="569"/>
      <c r="I3999" s="577" t="s">
        <v>134</v>
      </c>
      <c r="J3999" s="578">
        <v>1</v>
      </c>
      <c r="K3999" s="579"/>
      <c r="L3999" s="579">
        <v>8090.51</v>
      </c>
      <c r="M3999" s="579">
        <v>8090.51</v>
      </c>
      <c r="N3999" s="573">
        <v>12.46</v>
      </c>
      <c r="O3999" s="556" t="str">
        <f>IF(N3999=M3999,"OK","DIF")</f>
        <v>DIF</v>
      </c>
      <c r="P3999" s="573"/>
      <c r="Q3999" s="556"/>
      <c r="R3999" s="582"/>
    </row>
    <row r="4000" ht="23.85" customHeight="1" spans="1:18">
      <c r="A4000" s="556">
        <f>B4000</f>
        <v>0</v>
      </c>
      <c r="B4000" s="557">
        <f>B3999</f>
        <v>0</v>
      </c>
      <c r="C4000" s="79" t="s">
        <v>2921</v>
      </c>
      <c r="D4000" s="78" t="s">
        <v>2952</v>
      </c>
      <c r="E4000" s="79" t="s">
        <v>139</v>
      </c>
      <c r="F4000" s="79" t="s">
        <v>2953</v>
      </c>
      <c r="G4000" s="79" t="s">
        <v>2928</v>
      </c>
      <c r="H4000" s="79"/>
      <c r="I4000" s="80" t="s">
        <v>2897</v>
      </c>
      <c r="J4000" s="583">
        <v>4.5</v>
      </c>
      <c r="K4000" s="583">
        <v>0</v>
      </c>
      <c r="L4000" s="92">
        <v>29.15</v>
      </c>
      <c r="M4000" s="92">
        <v>131.17</v>
      </c>
      <c r="N4000" s="573">
        <v>43.76</v>
      </c>
      <c r="O4000" s="556" t="str">
        <f>IF(N4000=M4000,"OK","DIF")</f>
        <v>DIF</v>
      </c>
      <c r="P4000" s="573"/>
      <c r="Q4000" s="556"/>
      <c r="R4000" s="582"/>
    </row>
    <row r="4001" ht="23.85" customHeight="1" spans="1:18">
      <c r="A4001" s="556"/>
      <c r="B4001" s="557"/>
      <c r="C4001" s="79" t="s">
        <v>2921</v>
      </c>
      <c r="D4001" s="78" t="s">
        <v>3151</v>
      </c>
      <c r="E4001" s="79" t="s">
        <v>139</v>
      </c>
      <c r="F4001" s="79" t="s">
        <v>3152</v>
      </c>
      <c r="G4001" s="79" t="s">
        <v>2928</v>
      </c>
      <c r="H4001" s="79"/>
      <c r="I4001" s="80" t="s">
        <v>2897</v>
      </c>
      <c r="J4001" s="583">
        <v>4.5</v>
      </c>
      <c r="K4001" s="583">
        <v>0</v>
      </c>
      <c r="L4001" s="92">
        <v>36.82</v>
      </c>
      <c r="M4001" s="92">
        <v>165.69</v>
      </c>
      <c r="N4001" s="573"/>
      <c r="O4001" s="556"/>
      <c r="P4001" s="573"/>
      <c r="Q4001" s="556"/>
      <c r="R4001" s="582"/>
    </row>
    <row r="4002" ht="91" customHeight="1" spans="1:18">
      <c r="A4002" s="556"/>
      <c r="B4002" s="557"/>
      <c r="C4002" s="100" t="s">
        <v>2893</v>
      </c>
      <c r="D4002" s="99" t="s">
        <v>4240</v>
      </c>
      <c r="E4002" s="100" t="s">
        <v>132</v>
      </c>
      <c r="F4002" s="100" t="s">
        <v>4241</v>
      </c>
      <c r="G4002" s="100" t="s">
        <v>2961</v>
      </c>
      <c r="H4002" s="100"/>
      <c r="I4002" s="101" t="s">
        <v>134</v>
      </c>
      <c r="J4002" s="580">
        <v>1</v>
      </c>
      <c r="K4002" s="580">
        <v>0</v>
      </c>
      <c r="L4002" s="102">
        <v>7793.65</v>
      </c>
      <c r="M4002" s="102">
        <v>7793.65</v>
      </c>
      <c r="N4002" s="573"/>
      <c r="O4002" s="556"/>
      <c r="P4002" s="573"/>
      <c r="Q4002" s="556"/>
      <c r="R4002" s="582"/>
    </row>
    <row r="4003" ht="25.5" spans="1:18">
      <c r="A4003" s="556"/>
      <c r="B4003" s="557" t="str">
        <f>C4002</f>
        <v>Insumo</v>
      </c>
      <c r="C4003" s="108"/>
      <c r="D4003" s="108"/>
      <c r="E4003" s="108"/>
      <c r="F4003" s="108"/>
      <c r="G4003" s="108"/>
      <c r="H4003" s="108" t="s">
        <v>2898</v>
      </c>
      <c r="I4003" s="581">
        <v>206.95</v>
      </c>
      <c r="J4003" s="108" t="s">
        <v>2899</v>
      </c>
      <c r="K4003" s="581">
        <v>0</v>
      </c>
      <c r="L4003" s="108" t="s">
        <v>2900</v>
      </c>
      <c r="M4003" s="581">
        <v>206.95</v>
      </c>
      <c r="N4003" s="573">
        <v>18.94</v>
      </c>
      <c r="O4003" s="556" t="str">
        <f>IF(N4003=M4003,"OK","DIF")</f>
        <v>DIF</v>
      </c>
      <c r="P4003" s="573"/>
      <c r="Q4003" s="556"/>
      <c r="R4003" s="582"/>
    </row>
    <row r="4004" ht="26.25" spans="1:18">
      <c r="A4004" s="556" t="str">
        <f>B4004</f>
        <v>Insumo</v>
      </c>
      <c r="B4004" s="557" t="str">
        <f>B4003</f>
        <v>Insumo</v>
      </c>
      <c r="C4004" s="108"/>
      <c r="D4004" s="108"/>
      <c r="E4004" s="108"/>
      <c r="F4004" s="108"/>
      <c r="G4004" s="108"/>
      <c r="H4004" s="108" t="s">
        <v>2901</v>
      </c>
      <c r="I4004" s="581">
        <v>1304.19</v>
      </c>
      <c r="J4004" s="114"/>
      <c r="K4004" s="114" t="s">
        <v>2902</v>
      </c>
      <c r="L4004" s="108"/>
      <c r="M4004" s="581">
        <v>9394.7</v>
      </c>
      <c r="N4004" s="573">
        <v>2.88</v>
      </c>
      <c r="O4004" s="556" t="str">
        <f>IF(N4004=M4004,"OK","DIF")</f>
        <v>DIF</v>
      </c>
      <c r="P4004" s="573"/>
      <c r="Q4004" s="556"/>
      <c r="R4004" s="582"/>
    </row>
    <row r="4005" ht="15" spans="1:18">
      <c r="A4005" s="556" t="str">
        <f>B4005</f>
        <v>Insumo</v>
      </c>
      <c r="B4005" s="557" t="str">
        <f>B4004</f>
        <v>Insumo</v>
      </c>
      <c r="C4005" s="571"/>
      <c r="D4005" s="571"/>
      <c r="E4005" s="571"/>
      <c r="F4005" s="571"/>
      <c r="G4005" s="571"/>
      <c r="H4005" s="571"/>
      <c r="I4005" s="571"/>
      <c r="J4005" s="571"/>
      <c r="K4005" s="571"/>
      <c r="L4005" s="571"/>
      <c r="M4005" s="571"/>
      <c r="N4005" s="573">
        <v>3.98</v>
      </c>
      <c r="O4005" s="556" t="str">
        <f>IF(N4005=M4005,"OK","DIF")</f>
        <v>DIF</v>
      </c>
      <c r="P4005" s="573"/>
      <c r="Q4005" s="556"/>
      <c r="R4005" s="582"/>
    </row>
    <row r="4006" ht="15" customHeight="1" spans="1:18">
      <c r="A4006" s="556" t="str">
        <f>B4006</f>
        <v>Insumo</v>
      </c>
      <c r="B4006" s="557" t="str">
        <f>B4005</f>
        <v>Insumo</v>
      </c>
      <c r="C4006" s="76" t="s">
        <v>1374</v>
      </c>
      <c r="D4006" s="75" t="s">
        <v>63</v>
      </c>
      <c r="E4006" s="76" t="s">
        <v>64</v>
      </c>
      <c r="F4006" s="76" t="s">
        <v>65</v>
      </c>
      <c r="G4006" s="76" t="s">
        <v>2889</v>
      </c>
      <c r="H4006" s="76"/>
      <c r="I4006" s="77" t="s">
        <v>66</v>
      </c>
      <c r="J4006" s="75" t="s">
        <v>67</v>
      </c>
      <c r="K4006" s="75" t="s">
        <v>2890</v>
      </c>
      <c r="L4006" s="75" t="s">
        <v>68</v>
      </c>
      <c r="M4006" s="75" t="s">
        <v>70</v>
      </c>
      <c r="N4006" s="573">
        <v>12.08</v>
      </c>
      <c r="O4006" s="556" t="str">
        <f>IF(N4006=M4006,"OK","DIF")</f>
        <v>DIF</v>
      </c>
      <c r="P4006" s="573"/>
      <c r="Q4006" s="556"/>
      <c r="R4006" s="582"/>
    </row>
    <row r="4007" ht="91" customHeight="1" spans="1:18">
      <c r="A4007" s="556"/>
      <c r="B4007" s="557"/>
      <c r="C4007" s="569" t="s">
        <v>2891</v>
      </c>
      <c r="D4007" s="570" t="s">
        <v>1375</v>
      </c>
      <c r="E4007" s="569" t="s">
        <v>132</v>
      </c>
      <c r="F4007" s="569" t="s">
        <v>1376</v>
      </c>
      <c r="G4007" s="569" t="s">
        <v>3177</v>
      </c>
      <c r="H4007" s="569"/>
      <c r="I4007" s="577" t="s">
        <v>134</v>
      </c>
      <c r="J4007" s="578">
        <v>1</v>
      </c>
      <c r="K4007" s="579"/>
      <c r="L4007" s="579">
        <v>20323.54</v>
      </c>
      <c r="M4007" s="579">
        <v>20323.54</v>
      </c>
      <c r="N4007" s="573"/>
      <c r="O4007" s="556"/>
      <c r="P4007" s="573"/>
      <c r="Q4007" s="556"/>
      <c r="R4007" s="582"/>
    </row>
    <row r="4008" ht="23.85" customHeight="1" spans="1:18">
      <c r="A4008" s="556"/>
      <c r="B4008" s="557"/>
      <c r="C4008" s="79" t="s">
        <v>2921</v>
      </c>
      <c r="D4008" s="78" t="s">
        <v>3151</v>
      </c>
      <c r="E4008" s="79" t="s">
        <v>139</v>
      </c>
      <c r="F4008" s="79" t="s">
        <v>3152</v>
      </c>
      <c r="G4008" s="79" t="s">
        <v>2928</v>
      </c>
      <c r="H4008" s="79"/>
      <c r="I4008" s="80" t="s">
        <v>2897</v>
      </c>
      <c r="J4008" s="583">
        <v>4.5</v>
      </c>
      <c r="K4008" s="583">
        <v>0</v>
      </c>
      <c r="L4008" s="92">
        <v>36.82</v>
      </c>
      <c r="M4008" s="92">
        <v>165.69</v>
      </c>
      <c r="N4008" s="573"/>
      <c r="O4008" s="556"/>
      <c r="P4008" s="573"/>
      <c r="Q4008" s="556"/>
      <c r="R4008" s="582"/>
    </row>
    <row r="4009" ht="23.85" customHeight="1" spans="1:18">
      <c r="A4009" s="556"/>
      <c r="B4009" s="557" t="str">
        <f>C4008</f>
        <v>Composição Auxiliar</v>
      </c>
      <c r="C4009" s="79" t="s">
        <v>2921</v>
      </c>
      <c r="D4009" s="78" t="s">
        <v>2952</v>
      </c>
      <c r="E4009" s="79" t="s">
        <v>139</v>
      </c>
      <c r="F4009" s="79" t="s">
        <v>2953</v>
      </c>
      <c r="G4009" s="79" t="s">
        <v>2928</v>
      </c>
      <c r="H4009" s="79"/>
      <c r="I4009" s="80" t="s">
        <v>2897</v>
      </c>
      <c r="J4009" s="583">
        <v>4.5</v>
      </c>
      <c r="K4009" s="583">
        <v>0</v>
      </c>
      <c r="L4009" s="92">
        <v>29.15</v>
      </c>
      <c r="M4009" s="92">
        <v>131.17</v>
      </c>
      <c r="N4009" s="573">
        <v>49.85</v>
      </c>
      <c r="O4009" s="556" t="str">
        <f>IF(N4009=M4009,"OK","DIF")</f>
        <v>DIF</v>
      </c>
      <c r="P4009" s="573"/>
      <c r="Q4009" s="556"/>
      <c r="R4009" s="582"/>
    </row>
    <row r="4010" ht="91" customHeight="1" spans="1:18">
      <c r="A4010" s="556" t="str">
        <f>B4010</f>
        <v>Composição Auxiliar</v>
      </c>
      <c r="B4010" s="557" t="str">
        <f>B4009</f>
        <v>Composição Auxiliar</v>
      </c>
      <c r="C4010" s="100" t="s">
        <v>2893</v>
      </c>
      <c r="D4010" s="99" t="s">
        <v>4242</v>
      </c>
      <c r="E4010" s="100" t="s">
        <v>132</v>
      </c>
      <c r="F4010" s="100" t="s">
        <v>4243</v>
      </c>
      <c r="G4010" s="100" t="s">
        <v>2961</v>
      </c>
      <c r="H4010" s="100"/>
      <c r="I4010" s="101" t="s">
        <v>134</v>
      </c>
      <c r="J4010" s="580">
        <v>1</v>
      </c>
      <c r="K4010" s="580">
        <v>0</v>
      </c>
      <c r="L4010" s="102">
        <v>20026.68</v>
      </c>
      <c r="M4010" s="102">
        <v>20026.68</v>
      </c>
      <c r="N4010" s="573">
        <v>12.49</v>
      </c>
      <c r="O4010" s="556" t="str">
        <f>IF(N4010=M4010,"OK","DIF")</f>
        <v>DIF</v>
      </c>
      <c r="P4010" s="573"/>
      <c r="Q4010" s="556"/>
      <c r="R4010" s="582"/>
    </row>
    <row r="4011" ht="25.5" spans="1:18">
      <c r="A4011" s="556" t="str">
        <f>B4011</f>
        <v>Composição Auxiliar</v>
      </c>
      <c r="B4011" s="557" t="str">
        <f>B4010</f>
        <v>Composição Auxiliar</v>
      </c>
      <c r="C4011" s="108"/>
      <c r="D4011" s="108"/>
      <c r="E4011" s="108"/>
      <c r="F4011" s="108"/>
      <c r="G4011" s="108"/>
      <c r="H4011" s="108" t="s">
        <v>2898</v>
      </c>
      <c r="I4011" s="581">
        <v>206.95</v>
      </c>
      <c r="J4011" s="108" t="s">
        <v>2899</v>
      </c>
      <c r="K4011" s="581">
        <v>0</v>
      </c>
      <c r="L4011" s="108" t="s">
        <v>2900</v>
      </c>
      <c r="M4011" s="581">
        <v>206.95</v>
      </c>
      <c r="N4011" s="573">
        <v>15.13</v>
      </c>
      <c r="O4011" s="556" t="str">
        <f>IF(N4011=M4011,"OK","DIF")</f>
        <v>DIF</v>
      </c>
      <c r="P4011" s="573"/>
      <c r="Q4011" s="556"/>
      <c r="R4011" s="582"/>
    </row>
    <row r="4012" ht="26.25" spans="1:18">
      <c r="A4012" s="556" t="str">
        <f>B4012</f>
        <v>Composição Auxiliar</v>
      </c>
      <c r="B4012" s="557" t="str">
        <f>B4011</f>
        <v>Composição Auxiliar</v>
      </c>
      <c r="C4012" s="108"/>
      <c r="D4012" s="108"/>
      <c r="E4012" s="108"/>
      <c r="F4012" s="108"/>
      <c r="G4012" s="108"/>
      <c r="H4012" s="108" t="s">
        <v>2901</v>
      </c>
      <c r="I4012" s="581">
        <v>3276.15</v>
      </c>
      <c r="J4012" s="114"/>
      <c r="K4012" s="114" t="s">
        <v>2902</v>
      </c>
      <c r="L4012" s="108"/>
      <c r="M4012" s="581">
        <v>23599.69</v>
      </c>
      <c r="N4012" s="573">
        <v>21.61</v>
      </c>
      <c r="O4012" s="556" t="str">
        <f>IF(N4012=M4012,"OK","DIF")</f>
        <v>DIF</v>
      </c>
      <c r="P4012" s="573"/>
      <c r="Q4012" s="556"/>
      <c r="R4012" s="582"/>
    </row>
    <row r="4013" ht="15" spans="1:18">
      <c r="A4013" s="556" t="str">
        <f>B4013</f>
        <v>Composição Auxiliar</v>
      </c>
      <c r="B4013" s="557" t="str">
        <f>B4012</f>
        <v>Composição Auxiliar</v>
      </c>
      <c r="C4013" s="571"/>
      <c r="D4013" s="571"/>
      <c r="E4013" s="571"/>
      <c r="F4013" s="571"/>
      <c r="G4013" s="571"/>
      <c r="H4013" s="571"/>
      <c r="I4013" s="571"/>
      <c r="J4013" s="571"/>
      <c r="K4013" s="571"/>
      <c r="L4013" s="571"/>
      <c r="M4013" s="571"/>
      <c r="N4013" s="573">
        <v>0.62</v>
      </c>
      <c r="O4013" s="556" t="str">
        <f>IF(N4013=M4013,"OK","DIF")</f>
        <v>DIF</v>
      </c>
      <c r="P4013" s="573"/>
      <c r="Q4013" s="556"/>
      <c r="R4013" s="582"/>
    </row>
    <row r="4014" ht="15" customHeight="1" spans="1:18">
      <c r="A4014" s="556"/>
      <c r="B4014" s="557"/>
      <c r="C4014" s="76" t="s">
        <v>1378</v>
      </c>
      <c r="D4014" s="75" t="s">
        <v>63</v>
      </c>
      <c r="E4014" s="76" t="s">
        <v>64</v>
      </c>
      <c r="F4014" s="76" t="s">
        <v>65</v>
      </c>
      <c r="G4014" s="76" t="s">
        <v>2889</v>
      </c>
      <c r="H4014" s="76"/>
      <c r="I4014" s="77" t="s">
        <v>66</v>
      </c>
      <c r="J4014" s="75" t="s">
        <v>67</v>
      </c>
      <c r="K4014" s="75" t="s">
        <v>2890</v>
      </c>
      <c r="L4014" s="75" t="s">
        <v>68</v>
      </c>
      <c r="M4014" s="75" t="s">
        <v>70</v>
      </c>
      <c r="N4014" s="573"/>
      <c r="O4014" s="556"/>
      <c r="P4014" s="573"/>
      <c r="Q4014" s="556"/>
      <c r="R4014" s="582"/>
    </row>
    <row r="4015" ht="91" customHeight="1" spans="1:18">
      <c r="A4015" s="556"/>
      <c r="B4015" s="557"/>
      <c r="C4015" s="569" t="s">
        <v>2891</v>
      </c>
      <c r="D4015" s="570" t="s">
        <v>1379</v>
      </c>
      <c r="E4015" s="569" t="s">
        <v>132</v>
      </c>
      <c r="F4015" s="569" t="s">
        <v>1380</v>
      </c>
      <c r="G4015" s="569" t="s">
        <v>3177</v>
      </c>
      <c r="H4015" s="569"/>
      <c r="I4015" s="577" t="s">
        <v>134</v>
      </c>
      <c r="J4015" s="578">
        <v>1</v>
      </c>
      <c r="K4015" s="579"/>
      <c r="L4015" s="579">
        <v>14266.68</v>
      </c>
      <c r="M4015" s="579">
        <v>14266.68</v>
      </c>
      <c r="N4015" s="573"/>
      <c r="O4015" s="556"/>
      <c r="P4015" s="573"/>
      <c r="Q4015" s="556"/>
      <c r="R4015" s="582"/>
    </row>
    <row r="4016" ht="23.85" customHeight="1" spans="1:18">
      <c r="A4016" s="556"/>
      <c r="B4016" s="557" t="str">
        <f>C4015</f>
        <v>Composição</v>
      </c>
      <c r="C4016" s="79" t="s">
        <v>2921</v>
      </c>
      <c r="D4016" s="78" t="s">
        <v>2952</v>
      </c>
      <c r="E4016" s="79" t="s">
        <v>139</v>
      </c>
      <c r="F4016" s="79" t="s">
        <v>2953</v>
      </c>
      <c r="G4016" s="79" t="s">
        <v>2928</v>
      </c>
      <c r="H4016" s="79"/>
      <c r="I4016" s="80" t="s">
        <v>2897</v>
      </c>
      <c r="J4016" s="583">
        <v>4.5</v>
      </c>
      <c r="K4016" s="583">
        <v>0</v>
      </c>
      <c r="L4016" s="92">
        <v>29.15</v>
      </c>
      <c r="M4016" s="92">
        <v>131.17</v>
      </c>
      <c r="N4016" s="573">
        <v>42.46</v>
      </c>
      <c r="O4016" s="556" t="str">
        <f>IF(N4016=M4016,"OK","DIF")</f>
        <v>DIF</v>
      </c>
      <c r="P4016" s="573"/>
      <c r="Q4016" s="556"/>
      <c r="R4016" s="582"/>
    </row>
    <row r="4017" ht="23.85" customHeight="1" spans="1:18">
      <c r="A4017" s="556" t="str">
        <f>B4017</f>
        <v>Composição</v>
      </c>
      <c r="B4017" s="557" t="str">
        <f>B4016</f>
        <v>Composição</v>
      </c>
      <c r="C4017" s="79" t="s">
        <v>2921</v>
      </c>
      <c r="D4017" s="78" t="s">
        <v>3151</v>
      </c>
      <c r="E4017" s="79" t="s">
        <v>139</v>
      </c>
      <c r="F4017" s="79" t="s">
        <v>3152</v>
      </c>
      <c r="G4017" s="79" t="s">
        <v>2928</v>
      </c>
      <c r="H4017" s="79"/>
      <c r="I4017" s="80" t="s">
        <v>2897</v>
      </c>
      <c r="J4017" s="583">
        <v>4.5</v>
      </c>
      <c r="K4017" s="583">
        <v>0</v>
      </c>
      <c r="L4017" s="92">
        <v>36.82</v>
      </c>
      <c r="M4017" s="92">
        <v>165.69</v>
      </c>
      <c r="N4017" s="573">
        <v>12.9</v>
      </c>
      <c r="O4017" s="556" t="str">
        <f>IF(N4017=M4017,"OK","DIF")</f>
        <v>DIF</v>
      </c>
      <c r="P4017" s="573"/>
      <c r="Q4017" s="556"/>
      <c r="R4017" s="582"/>
    </row>
    <row r="4018" ht="91" customHeight="1" spans="1:18">
      <c r="A4018" s="556" t="str">
        <f>B4018</f>
        <v>Composição</v>
      </c>
      <c r="B4018" s="557" t="str">
        <f>B4017</f>
        <v>Composição</v>
      </c>
      <c r="C4018" s="100" t="s">
        <v>2893</v>
      </c>
      <c r="D4018" s="99" t="s">
        <v>4244</v>
      </c>
      <c r="E4018" s="100" t="s">
        <v>132</v>
      </c>
      <c r="F4018" s="100" t="s">
        <v>4245</v>
      </c>
      <c r="G4018" s="100" t="s">
        <v>2961</v>
      </c>
      <c r="H4018" s="100"/>
      <c r="I4018" s="101" t="s">
        <v>134</v>
      </c>
      <c r="J4018" s="580">
        <v>1</v>
      </c>
      <c r="K4018" s="580">
        <v>0</v>
      </c>
      <c r="L4018" s="102">
        <v>13969.82</v>
      </c>
      <c r="M4018" s="102">
        <v>13969.82</v>
      </c>
      <c r="N4018" s="573">
        <v>10.65</v>
      </c>
      <c r="O4018" s="556" t="str">
        <f>IF(N4018=M4018,"OK","DIF")</f>
        <v>DIF</v>
      </c>
      <c r="P4018" s="573"/>
      <c r="Q4018" s="556"/>
      <c r="R4018" s="582"/>
    </row>
    <row r="4019" ht="25.5" spans="1:18">
      <c r="A4019" s="556" t="str">
        <f>B4019</f>
        <v>Composição</v>
      </c>
      <c r="B4019" s="557" t="str">
        <f>B4018</f>
        <v>Composição</v>
      </c>
      <c r="C4019" s="108"/>
      <c r="D4019" s="108"/>
      <c r="E4019" s="108"/>
      <c r="F4019" s="108"/>
      <c r="G4019" s="108"/>
      <c r="H4019" s="108" t="s">
        <v>2898</v>
      </c>
      <c r="I4019" s="581">
        <v>206.95</v>
      </c>
      <c r="J4019" s="108" t="s">
        <v>2899</v>
      </c>
      <c r="K4019" s="581">
        <v>0</v>
      </c>
      <c r="L4019" s="108" t="s">
        <v>2900</v>
      </c>
      <c r="M4019" s="581">
        <v>206.95</v>
      </c>
      <c r="N4019" s="573">
        <v>18.29</v>
      </c>
      <c r="O4019" s="556" t="str">
        <f>IF(N4019=M4019,"OK","DIF")</f>
        <v>DIF</v>
      </c>
      <c r="P4019" s="573"/>
      <c r="Q4019" s="556"/>
      <c r="R4019" s="582"/>
    </row>
    <row r="4020" ht="26.25" spans="1:18">
      <c r="A4020" s="556" t="str">
        <f>B4020</f>
        <v>Composição</v>
      </c>
      <c r="B4020" s="557" t="str">
        <f>B4019</f>
        <v>Composição</v>
      </c>
      <c r="C4020" s="108"/>
      <c r="D4020" s="108"/>
      <c r="E4020" s="108"/>
      <c r="F4020" s="108"/>
      <c r="G4020" s="108"/>
      <c r="H4020" s="108" t="s">
        <v>2901</v>
      </c>
      <c r="I4020" s="581">
        <v>2299.78</v>
      </c>
      <c r="J4020" s="114"/>
      <c r="K4020" s="114" t="s">
        <v>2902</v>
      </c>
      <c r="L4020" s="108"/>
      <c r="M4020" s="581">
        <v>16566.46</v>
      </c>
      <c r="N4020" s="573">
        <v>0.62</v>
      </c>
      <c r="O4020" s="556" t="str">
        <f>IF(N4020=M4020,"OK","DIF")</f>
        <v>DIF</v>
      </c>
      <c r="P4020" s="573"/>
      <c r="Q4020" s="556"/>
      <c r="R4020" s="582"/>
    </row>
    <row r="4021" ht="15" spans="1:18">
      <c r="A4021" s="556"/>
      <c r="B4021" s="557"/>
      <c r="C4021" s="571"/>
      <c r="D4021" s="571"/>
      <c r="E4021" s="571"/>
      <c r="F4021" s="571"/>
      <c r="G4021" s="571"/>
      <c r="H4021" s="571"/>
      <c r="I4021" s="571"/>
      <c r="J4021" s="571"/>
      <c r="K4021" s="571"/>
      <c r="L4021" s="571"/>
      <c r="M4021" s="571"/>
      <c r="N4021" s="573"/>
      <c r="O4021" s="556"/>
      <c r="P4021" s="573"/>
      <c r="Q4021" s="556"/>
      <c r="R4021" s="582"/>
    </row>
    <row r="4022" ht="15" customHeight="1" spans="1:18">
      <c r="A4022" s="556"/>
      <c r="B4022" s="557"/>
      <c r="C4022" s="76" t="s">
        <v>1382</v>
      </c>
      <c r="D4022" s="75" t="s">
        <v>63</v>
      </c>
      <c r="E4022" s="76" t="s">
        <v>64</v>
      </c>
      <c r="F4022" s="76" t="s">
        <v>65</v>
      </c>
      <c r="G4022" s="76" t="s">
        <v>2889</v>
      </c>
      <c r="H4022" s="76"/>
      <c r="I4022" s="77" t="s">
        <v>66</v>
      </c>
      <c r="J4022" s="75" t="s">
        <v>67</v>
      </c>
      <c r="K4022" s="75" t="s">
        <v>2890</v>
      </c>
      <c r="L4022" s="75" t="s">
        <v>68</v>
      </c>
      <c r="M4022" s="75" t="s">
        <v>70</v>
      </c>
      <c r="N4022" s="573"/>
      <c r="O4022" s="556"/>
      <c r="P4022" s="573"/>
      <c r="Q4022" s="556"/>
      <c r="R4022" s="582"/>
    </row>
    <row r="4023" ht="91" customHeight="1" spans="1:18">
      <c r="A4023" s="556"/>
      <c r="B4023" s="557" t="str">
        <f>C4022</f>
        <v> 12.4.9 </v>
      </c>
      <c r="C4023" s="569" t="s">
        <v>2891</v>
      </c>
      <c r="D4023" s="570" t="s">
        <v>1383</v>
      </c>
      <c r="E4023" s="569" t="s">
        <v>132</v>
      </c>
      <c r="F4023" s="569" t="s">
        <v>1384</v>
      </c>
      <c r="G4023" s="569" t="s">
        <v>3177</v>
      </c>
      <c r="H4023" s="569"/>
      <c r="I4023" s="577" t="s">
        <v>134</v>
      </c>
      <c r="J4023" s="578">
        <v>1</v>
      </c>
      <c r="K4023" s="579"/>
      <c r="L4023" s="579">
        <v>10412.63</v>
      </c>
      <c r="M4023" s="579">
        <v>10412.63</v>
      </c>
      <c r="N4023" s="573">
        <v>11.03</v>
      </c>
      <c r="O4023" s="556" t="str">
        <f>IF(N4023=M4023,"OK","DIF")</f>
        <v>DIF</v>
      </c>
      <c r="P4023" s="573"/>
      <c r="Q4023" s="556"/>
      <c r="R4023" s="582"/>
    </row>
    <row r="4024" ht="23.85" customHeight="1" spans="1:18">
      <c r="A4024" s="556" t="str">
        <f>B4024</f>
        <v> 12.4.9 </v>
      </c>
      <c r="B4024" s="557" t="str">
        <f>B4023</f>
        <v> 12.4.9 </v>
      </c>
      <c r="C4024" s="79" t="s">
        <v>2921</v>
      </c>
      <c r="D4024" s="78" t="s">
        <v>3151</v>
      </c>
      <c r="E4024" s="79" t="s">
        <v>139</v>
      </c>
      <c r="F4024" s="79" t="s">
        <v>3152</v>
      </c>
      <c r="G4024" s="79" t="s">
        <v>2928</v>
      </c>
      <c r="H4024" s="79"/>
      <c r="I4024" s="80" t="s">
        <v>2897</v>
      </c>
      <c r="J4024" s="583">
        <v>4.5</v>
      </c>
      <c r="K4024" s="583">
        <v>0</v>
      </c>
      <c r="L4024" s="92">
        <v>36.82</v>
      </c>
      <c r="M4024" s="92">
        <v>165.69</v>
      </c>
      <c r="N4024" s="573">
        <v>6.43</v>
      </c>
      <c r="O4024" s="556" t="str">
        <f>IF(N4024=M4024,"OK","DIF")</f>
        <v>DIF</v>
      </c>
      <c r="P4024" s="573"/>
      <c r="Q4024" s="556"/>
      <c r="R4024" s="582"/>
    </row>
    <row r="4025" ht="23.85" customHeight="1" spans="1:18">
      <c r="A4025" s="556" t="str">
        <f>B4025</f>
        <v> 12.4.9 </v>
      </c>
      <c r="B4025" s="557" t="str">
        <f>B4024</f>
        <v> 12.4.9 </v>
      </c>
      <c r="C4025" s="79" t="s">
        <v>2921</v>
      </c>
      <c r="D4025" s="78" t="s">
        <v>2952</v>
      </c>
      <c r="E4025" s="79" t="s">
        <v>139</v>
      </c>
      <c r="F4025" s="79" t="s">
        <v>2953</v>
      </c>
      <c r="G4025" s="79" t="s">
        <v>2928</v>
      </c>
      <c r="H4025" s="79"/>
      <c r="I4025" s="80" t="s">
        <v>2897</v>
      </c>
      <c r="J4025" s="583">
        <v>4.5</v>
      </c>
      <c r="K4025" s="583">
        <v>0</v>
      </c>
      <c r="L4025" s="92">
        <v>29.15</v>
      </c>
      <c r="M4025" s="92">
        <v>131.17</v>
      </c>
      <c r="N4025" s="573">
        <v>1.2</v>
      </c>
      <c r="O4025" s="556" t="str">
        <f>IF(N4025=M4025,"OK","DIF")</f>
        <v>DIF</v>
      </c>
      <c r="P4025" s="573"/>
      <c r="Q4025" s="556"/>
      <c r="R4025" s="582"/>
    </row>
    <row r="4026" ht="91" customHeight="1" spans="1:18">
      <c r="A4026" s="556" t="str">
        <f>B4026</f>
        <v> 12.4.9 </v>
      </c>
      <c r="B4026" s="557" t="str">
        <f>B4025</f>
        <v> 12.4.9 </v>
      </c>
      <c r="C4026" s="100" t="s">
        <v>2893</v>
      </c>
      <c r="D4026" s="99" t="s">
        <v>4246</v>
      </c>
      <c r="E4026" s="100" t="s">
        <v>132</v>
      </c>
      <c r="F4026" s="100" t="s">
        <v>4247</v>
      </c>
      <c r="G4026" s="100" t="s">
        <v>2961</v>
      </c>
      <c r="H4026" s="100"/>
      <c r="I4026" s="101" t="s">
        <v>134</v>
      </c>
      <c r="J4026" s="580">
        <v>1</v>
      </c>
      <c r="K4026" s="580">
        <v>0</v>
      </c>
      <c r="L4026" s="102">
        <v>10115.77</v>
      </c>
      <c r="M4026" s="102">
        <v>10115.77</v>
      </c>
      <c r="N4026" s="573">
        <v>3.4</v>
      </c>
      <c r="O4026" s="556" t="str">
        <f>IF(N4026=M4026,"OK","DIF")</f>
        <v>DIF</v>
      </c>
      <c r="P4026" s="573"/>
      <c r="Q4026" s="556"/>
      <c r="R4026" s="582"/>
    </row>
    <row r="4027" ht="25.5" spans="1:18">
      <c r="A4027" s="556"/>
      <c r="B4027" s="557"/>
      <c r="C4027" s="108"/>
      <c r="D4027" s="108"/>
      <c r="E4027" s="108"/>
      <c r="F4027" s="108"/>
      <c r="G4027" s="108"/>
      <c r="H4027" s="108" t="s">
        <v>2898</v>
      </c>
      <c r="I4027" s="581">
        <v>206.95</v>
      </c>
      <c r="J4027" s="108" t="s">
        <v>2899</v>
      </c>
      <c r="K4027" s="581">
        <v>0</v>
      </c>
      <c r="L4027" s="108" t="s">
        <v>2900</v>
      </c>
      <c r="M4027" s="581">
        <v>206.95</v>
      </c>
      <c r="N4027" s="573"/>
      <c r="O4027" s="556"/>
      <c r="P4027" s="573"/>
      <c r="Q4027" s="556"/>
      <c r="R4027" s="582"/>
    </row>
    <row r="4028" ht="26.25" spans="1:18">
      <c r="A4028" s="556"/>
      <c r="B4028" s="557"/>
      <c r="C4028" s="108"/>
      <c r="D4028" s="108"/>
      <c r="E4028" s="108"/>
      <c r="F4028" s="108"/>
      <c r="G4028" s="108"/>
      <c r="H4028" s="108" t="s">
        <v>2901</v>
      </c>
      <c r="I4028" s="581">
        <v>1678.51</v>
      </c>
      <c r="J4028" s="114"/>
      <c r="K4028" s="114" t="s">
        <v>2902</v>
      </c>
      <c r="L4028" s="108"/>
      <c r="M4028" s="581">
        <v>12091.14</v>
      </c>
      <c r="N4028" s="573"/>
      <c r="O4028" s="556"/>
      <c r="P4028" s="573"/>
      <c r="Q4028" s="556"/>
      <c r="R4028" s="582"/>
    </row>
    <row r="4029" ht="15" spans="1:18">
      <c r="A4029" s="556"/>
      <c r="B4029" s="557">
        <f>C4028</f>
        <v>0</v>
      </c>
      <c r="C4029" s="571"/>
      <c r="D4029" s="571"/>
      <c r="E4029" s="571"/>
      <c r="F4029" s="571"/>
      <c r="G4029" s="571"/>
      <c r="H4029" s="571"/>
      <c r="I4029" s="571"/>
      <c r="J4029" s="571"/>
      <c r="K4029" s="571"/>
      <c r="L4029" s="571"/>
      <c r="M4029" s="571"/>
      <c r="N4029" s="573">
        <v>23.18</v>
      </c>
      <c r="O4029" s="556" t="str">
        <f t="shared" ref="O4029:O4034" si="314">IF(N4029=M4029,"OK","DIF")</f>
        <v>DIF</v>
      </c>
      <c r="P4029" s="573"/>
      <c r="Q4029" s="556"/>
      <c r="R4029" s="582"/>
    </row>
    <row r="4030" ht="15" customHeight="1" spans="1:18">
      <c r="A4030" s="556">
        <f>B4030</f>
        <v>0</v>
      </c>
      <c r="B4030" s="557">
        <f>B4029</f>
        <v>0</v>
      </c>
      <c r="C4030" s="76" t="s">
        <v>1386</v>
      </c>
      <c r="D4030" s="75" t="s">
        <v>63</v>
      </c>
      <c r="E4030" s="76" t="s">
        <v>64</v>
      </c>
      <c r="F4030" s="76" t="s">
        <v>65</v>
      </c>
      <c r="G4030" s="76" t="s">
        <v>2889</v>
      </c>
      <c r="H4030" s="76"/>
      <c r="I4030" s="77" t="s">
        <v>66</v>
      </c>
      <c r="J4030" s="75" t="s">
        <v>67</v>
      </c>
      <c r="K4030" s="75" t="s">
        <v>2890</v>
      </c>
      <c r="L4030" s="75" t="s">
        <v>68</v>
      </c>
      <c r="M4030" s="75" t="s">
        <v>70</v>
      </c>
      <c r="N4030" s="573">
        <v>9.92</v>
      </c>
      <c r="O4030" s="556" t="str">
        <f t="shared" si="314"/>
        <v>DIF</v>
      </c>
      <c r="P4030" s="573"/>
      <c r="Q4030" s="556"/>
      <c r="R4030" s="582"/>
    </row>
    <row r="4031" ht="91" customHeight="1" spans="1:18">
      <c r="A4031" s="556">
        <f>B4031</f>
        <v>0</v>
      </c>
      <c r="B4031" s="557">
        <f>B4030</f>
        <v>0</v>
      </c>
      <c r="C4031" s="569" t="s">
        <v>2891</v>
      </c>
      <c r="D4031" s="570" t="s">
        <v>1387</v>
      </c>
      <c r="E4031" s="569" t="s">
        <v>132</v>
      </c>
      <c r="F4031" s="569" t="s">
        <v>1388</v>
      </c>
      <c r="G4031" s="569" t="s">
        <v>3177</v>
      </c>
      <c r="H4031" s="569"/>
      <c r="I4031" s="577" t="s">
        <v>134</v>
      </c>
      <c r="J4031" s="578">
        <v>1</v>
      </c>
      <c r="K4031" s="579"/>
      <c r="L4031" s="579">
        <v>8109.65</v>
      </c>
      <c r="M4031" s="579">
        <v>8109.65</v>
      </c>
      <c r="N4031" s="573">
        <v>7.78</v>
      </c>
      <c r="O4031" s="556" t="str">
        <f t="shared" si="314"/>
        <v>DIF</v>
      </c>
      <c r="P4031" s="573"/>
      <c r="Q4031" s="556"/>
      <c r="R4031" s="582"/>
    </row>
    <row r="4032" ht="23.85" customHeight="1" spans="1:18">
      <c r="A4032" s="556">
        <f>B4032</f>
        <v>0</v>
      </c>
      <c r="B4032" s="557">
        <f>B4031</f>
        <v>0</v>
      </c>
      <c r="C4032" s="79" t="s">
        <v>2921</v>
      </c>
      <c r="D4032" s="78" t="s">
        <v>3151</v>
      </c>
      <c r="E4032" s="79" t="s">
        <v>139</v>
      </c>
      <c r="F4032" s="79" t="s">
        <v>3152</v>
      </c>
      <c r="G4032" s="79" t="s">
        <v>2928</v>
      </c>
      <c r="H4032" s="79"/>
      <c r="I4032" s="80" t="s">
        <v>2897</v>
      </c>
      <c r="J4032" s="583">
        <v>4.5</v>
      </c>
      <c r="K4032" s="583">
        <v>0</v>
      </c>
      <c r="L4032" s="92">
        <v>36.82</v>
      </c>
      <c r="M4032" s="92">
        <v>165.69</v>
      </c>
      <c r="N4032" s="573">
        <v>0.42</v>
      </c>
      <c r="O4032" s="556" t="str">
        <f t="shared" si="314"/>
        <v>DIF</v>
      </c>
      <c r="P4032" s="573"/>
      <c r="Q4032" s="556"/>
      <c r="R4032" s="582"/>
    </row>
    <row r="4033" ht="23.85" customHeight="1" spans="1:18">
      <c r="A4033" s="556">
        <f>B4033</f>
        <v>0</v>
      </c>
      <c r="B4033" s="557">
        <f>B4032</f>
        <v>0</v>
      </c>
      <c r="C4033" s="79" t="s">
        <v>2921</v>
      </c>
      <c r="D4033" s="78" t="s">
        <v>2952</v>
      </c>
      <c r="E4033" s="79" t="s">
        <v>139</v>
      </c>
      <c r="F4033" s="79" t="s">
        <v>2953</v>
      </c>
      <c r="G4033" s="79" t="s">
        <v>2928</v>
      </c>
      <c r="H4033" s="79"/>
      <c r="I4033" s="80" t="s">
        <v>2897</v>
      </c>
      <c r="J4033" s="583">
        <v>4.5</v>
      </c>
      <c r="K4033" s="583">
        <v>0</v>
      </c>
      <c r="L4033" s="92">
        <v>29.15</v>
      </c>
      <c r="M4033" s="92">
        <v>131.17</v>
      </c>
      <c r="N4033" s="573">
        <v>1.66</v>
      </c>
      <c r="O4033" s="556" t="str">
        <f t="shared" si="314"/>
        <v>DIF</v>
      </c>
      <c r="P4033" s="573"/>
      <c r="Q4033" s="556"/>
      <c r="R4033" s="582"/>
    </row>
    <row r="4034" ht="91" customHeight="1" spans="1:18">
      <c r="A4034" s="556">
        <f>B4034</f>
        <v>0</v>
      </c>
      <c r="B4034" s="557">
        <f>B4033</f>
        <v>0</v>
      </c>
      <c r="C4034" s="100" t="s">
        <v>2893</v>
      </c>
      <c r="D4034" s="99" t="s">
        <v>4248</v>
      </c>
      <c r="E4034" s="100" t="s">
        <v>132</v>
      </c>
      <c r="F4034" s="100" t="s">
        <v>4249</v>
      </c>
      <c r="G4034" s="100" t="s">
        <v>2961</v>
      </c>
      <c r="H4034" s="100"/>
      <c r="I4034" s="101" t="s">
        <v>134</v>
      </c>
      <c r="J4034" s="580">
        <v>1</v>
      </c>
      <c r="K4034" s="580">
        <v>0</v>
      </c>
      <c r="L4034" s="102">
        <v>7812.79</v>
      </c>
      <c r="M4034" s="102">
        <v>7812.79</v>
      </c>
      <c r="N4034" s="573">
        <v>3.4</v>
      </c>
      <c r="O4034" s="556" t="str">
        <f t="shared" si="314"/>
        <v>DIF</v>
      </c>
      <c r="P4034" s="573"/>
      <c r="Q4034" s="556"/>
      <c r="R4034" s="582"/>
    </row>
    <row r="4035" ht="25.5" spans="1:18">
      <c r="A4035" s="556"/>
      <c r="B4035" s="557"/>
      <c r="C4035" s="108"/>
      <c r="D4035" s="108"/>
      <c r="E4035" s="108"/>
      <c r="F4035" s="108"/>
      <c r="G4035" s="108"/>
      <c r="H4035" s="108" t="s">
        <v>2898</v>
      </c>
      <c r="I4035" s="581">
        <v>206.95</v>
      </c>
      <c r="J4035" s="108" t="s">
        <v>2899</v>
      </c>
      <c r="K4035" s="581">
        <v>0</v>
      </c>
      <c r="L4035" s="108" t="s">
        <v>2900</v>
      </c>
      <c r="M4035" s="581">
        <v>206.95</v>
      </c>
      <c r="N4035" s="573"/>
      <c r="O4035" s="556"/>
      <c r="P4035" s="573"/>
      <c r="Q4035" s="556"/>
      <c r="R4035" s="582"/>
    </row>
    <row r="4036" ht="26.25" spans="1:18">
      <c r="A4036" s="556"/>
      <c r="B4036" s="557"/>
      <c r="C4036" s="108"/>
      <c r="D4036" s="108"/>
      <c r="E4036" s="108"/>
      <c r="F4036" s="108"/>
      <c r="G4036" s="108"/>
      <c r="H4036" s="108" t="s">
        <v>2901</v>
      </c>
      <c r="I4036" s="581">
        <v>1307.27</v>
      </c>
      <c r="J4036" s="114"/>
      <c r="K4036" s="114" t="s">
        <v>2902</v>
      </c>
      <c r="L4036" s="108"/>
      <c r="M4036" s="581">
        <v>9416.92</v>
      </c>
      <c r="N4036" s="573"/>
      <c r="O4036" s="556"/>
      <c r="P4036" s="573"/>
      <c r="Q4036" s="556"/>
      <c r="R4036" s="582"/>
    </row>
    <row r="4037" ht="15" spans="1:18">
      <c r="A4037" s="556"/>
      <c r="B4037" s="557">
        <f>C4036</f>
        <v>0</v>
      </c>
      <c r="C4037" s="571"/>
      <c r="D4037" s="571"/>
      <c r="E4037" s="571"/>
      <c r="F4037" s="571"/>
      <c r="G4037" s="571"/>
      <c r="H4037" s="571"/>
      <c r="I4037" s="571"/>
      <c r="J4037" s="571"/>
      <c r="K4037" s="571"/>
      <c r="L4037" s="571"/>
      <c r="M4037" s="571"/>
      <c r="N4037" s="573">
        <v>0.06</v>
      </c>
      <c r="O4037" s="556" t="str">
        <f>IF(N4037=M4037,"OK","DIF")</f>
        <v>DIF</v>
      </c>
      <c r="P4037" s="573"/>
      <c r="Q4037" s="556"/>
      <c r="R4037" s="582"/>
    </row>
    <row r="4038" ht="15" customHeight="1" spans="1:18">
      <c r="A4038" s="556"/>
      <c r="B4038" s="557"/>
      <c r="C4038" s="76" t="s">
        <v>1389</v>
      </c>
      <c r="D4038" s="75" t="s">
        <v>63</v>
      </c>
      <c r="E4038" s="76" t="s">
        <v>64</v>
      </c>
      <c r="F4038" s="76" t="s">
        <v>65</v>
      </c>
      <c r="G4038" s="76" t="s">
        <v>2889</v>
      </c>
      <c r="H4038" s="76"/>
      <c r="I4038" s="77" t="s">
        <v>66</v>
      </c>
      <c r="J4038" s="75" t="s">
        <v>67</v>
      </c>
      <c r="K4038" s="75" t="s">
        <v>2890</v>
      </c>
      <c r="L4038" s="75" t="s">
        <v>68</v>
      </c>
      <c r="M4038" s="75" t="s">
        <v>70</v>
      </c>
      <c r="N4038" s="573"/>
      <c r="O4038" s="556"/>
      <c r="P4038" s="573"/>
      <c r="Q4038" s="556"/>
      <c r="R4038" s="582"/>
    </row>
    <row r="4039" ht="91" customHeight="1" spans="1:18">
      <c r="A4039" s="556"/>
      <c r="B4039" s="557"/>
      <c r="C4039" s="569" t="s">
        <v>2891</v>
      </c>
      <c r="D4039" s="570" t="s">
        <v>1390</v>
      </c>
      <c r="E4039" s="569" t="s">
        <v>132</v>
      </c>
      <c r="F4039" s="569" t="s">
        <v>1391</v>
      </c>
      <c r="G4039" s="569" t="s">
        <v>3177</v>
      </c>
      <c r="H4039" s="569"/>
      <c r="I4039" s="577" t="s">
        <v>134</v>
      </c>
      <c r="J4039" s="578">
        <v>1</v>
      </c>
      <c r="K4039" s="579"/>
      <c r="L4039" s="579">
        <v>13808.56</v>
      </c>
      <c r="M4039" s="579">
        <v>13808.56</v>
      </c>
      <c r="N4039" s="573"/>
      <c r="O4039" s="556"/>
      <c r="P4039" s="573"/>
      <c r="Q4039" s="556"/>
      <c r="R4039" s="582"/>
    </row>
    <row r="4040" ht="23.85" customHeight="1" spans="1:18">
      <c r="A4040" s="556"/>
      <c r="B4040" s="557" t="str">
        <f>C4039</f>
        <v>Composição</v>
      </c>
      <c r="C4040" s="79" t="s">
        <v>2921</v>
      </c>
      <c r="D4040" s="78" t="s">
        <v>3151</v>
      </c>
      <c r="E4040" s="79" t="s">
        <v>139</v>
      </c>
      <c r="F4040" s="79" t="s">
        <v>3152</v>
      </c>
      <c r="G4040" s="79" t="s">
        <v>2928</v>
      </c>
      <c r="H4040" s="79"/>
      <c r="I4040" s="80" t="s">
        <v>2897</v>
      </c>
      <c r="J4040" s="583">
        <v>4.5</v>
      </c>
      <c r="K4040" s="583">
        <v>0</v>
      </c>
      <c r="L4040" s="92">
        <v>36.82</v>
      </c>
      <c r="M4040" s="92">
        <v>165.69</v>
      </c>
      <c r="N4040" s="573">
        <v>0.12</v>
      </c>
      <c r="O4040" s="556" t="str">
        <f>IF(N4040=M4040,"OK","DIF")</f>
        <v>DIF</v>
      </c>
      <c r="P4040" s="573"/>
      <c r="Q4040" s="556"/>
      <c r="R4040" s="582"/>
    </row>
    <row r="4041" ht="23.85" customHeight="1" spans="1:18">
      <c r="A4041" s="556" t="str">
        <f>B4041</f>
        <v>Composição</v>
      </c>
      <c r="B4041" s="557" t="str">
        <f>B4040</f>
        <v>Composição</v>
      </c>
      <c r="C4041" s="79" t="s">
        <v>2921</v>
      </c>
      <c r="D4041" s="78" t="s">
        <v>2952</v>
      </c>
      <c r="E4041" s="79" t="s">
        <v>139</v>
      </c>
      <c r="F4041" s="79" t="s">
        <v>2953</v>
      </c>
      <c r="G4041" s="79" t="s">
        <v>2928</v>
      </c>
      <c r="H4041" s="79"/>
      <c r="I4041" s="80" t="s">
        <v>2897</v>
      </c>
      <c r="J4041" s="583">
        <v>4.5</v>
      </c>
      <c r="K4041" s="583">
        <v>0</v>
      </c>
      <c r="L4041" s="92">
        <v>29.15</v>
      </c>
      <c r="M4041" s="92">
        <v>131.17</v>
      </c>
      <c r="N4041" s="573">
        <v>0.12</v>
      </c>
      <c r="O4041" s="556" t="str">
        <f>IF(N4041=M4041,"OK","DIF")</f>
        <v>DIF</v>
      </c>
      <c r="P4041" s="573"/>
      <c r="Q4041" s="556"/>
      <c r="R4041" s="582"/>
    </row>
    <row r="4042" ht="91" customHeight="1" spans="1:18">
      <c r="A4042" s="556"/>
      <c r="B4042" s="557"/>
      <c r="C4042" s="100" t="s">
        <v>2893</v>
      </c>
      <c r="D4042" s="99" t="s">
        <v>4250</v>
      </c>
      <c r="E4042" s="100" t="s">
        <v>132</v>
      </c>
      <c r="F4042" s="100" t="s">
        <v>4251</v>
      </c>
      <c r="G4042" s="100" t="s">
        <v>2961</v>
      </c>
      <c r="H4042" s="100"/>
      <c r="I4042" s="101" t="s">
        <v>134</v>
      </c>
      <c r="J4042" s="580">
        <v>1</v>
      </c>
      <c r="K4042" s="580">
        <v>0</v>
      </c>
      <c r="L4042" s="102">
        <v>13511.7</v>
      </c>
      <c r="M4042" s="102">
        <v>13511.7</v>
      </c>
      <c r="N4042" s="573"/>
      <c r="O4042" s="556"/>
      <c r="P4042" s="573"/>
      <c r="Q4042" s="556"/>
      <c r="R4042" s="582"/>
    </row>
    <row r="4043" ht="25.5" spans="1:18">
      <c r="A4043" s="556"/>
      <c r="B4043" s="557"/>
      <c r="C4043" s="108"/>
      <c r="D4043" s="108"/>
      <c r="E4043" s="108"/>
      <c r="F4043" s="108"/>
      <c r="G4043" s="108"/>
      <c r="H4043" s="108" t="s">
        <v>2898</v>
      </c>
      <c r="I4043" s="581">
        <v>206.95</v>
      </c>
      <c r="J4043" s="108" t="s">
        <v>2899</v>
      </c>
      <c r="K4043" s="581">
        <v>0</v>
      </c>
      <c r="L4043" s="108" t="s">
        <v>2900</v>
      </c>
      <c r="M4043" s="581">
        <v>206.95</v>
      </c>
      <c r="N4043" s="573"/>
      <c r="O4043" s="556"/>
      <c r="P4043" s="573"/>
      <c r="Q4043" s="556"/>
      <c r="R4043" s="582"/>
    </row>
    <row r="4044" ht="26.25" spans="1:18">
      <c r="A4044" s="556"/>
      <c r="B4044" s="557">
        <f>C4043</f>
        <v>0</v>
      </c>
      <c r="C4044" s="108"/>
      <c r="D4044" s="108"/>
      <c r="E4044" s="108"/>
      <c r="F4044" s="108"/>
      <c r="G4044" s="108"/>
      <c r="H4044" s="108" t="s">
        <v>2901</v>
      </c>
      <c r="I4044" s="581">
        <v>2225.93</v>
      </c>
      <c r="J4044" s="114"/>
      <c r="K4044" s="114" t="s">
        <v>2902</v>
      </c>
      <c r="L4044" s="108"/>
      <c r="M4044" s="581">
        <v>16034.49</v>
      </c>
      <c r="N4044" s="573">
        <v>3.95</v>
      </c>
      <c r="O4044" s="556" t="str">
        <f>IF(N4044=M4044,"OK","DIF")</f>
        <v>DIF</v>
      </c>
      <c r="P4044" s="573"/>
      <c r="Q4044" s="556"/>
      <c r="R4044" s="582"/>
    </row>
    <row r="4045" ht="15" spans="1:18">
      <c r="A4045" s="556">
        <f>B4045</f>
        <v>0</v>
      </c>
      <c r="B4045" s="557">
        <f>B4044</f>
        <v>0</v>
      </c>
      <c r="C4045" s="571"/>
      <c r="D4045" s="571"/>
      <c r="E4045" s="571"/>
      <c r="F4045" s="571"/>
      <c r="G4045" s="571"/>
      <c r="H4045" s="571"/>
      <c r="I4045" s="571"/>
      <c r="J4045" s="571"/>
      <c r="K4045" s="571"/>
      <c r="L4045" s="571"/>
      <c r="M4045" s="571"/>
      <c r="N4045" s="573">
        <v>0.27</v>
      </c>
      <c r="O4045" s="556" t="str">
        <f>IF(N4045=M4045,"OK","DIF")</f>
        <v>DIF</v>
      </c>
      <c r="P4045" s="573"/>
      <c r="Q4045" s="556"/>
      <c r="R4045" s="582"/>
    </row>
    <row r="4046" ht="15" customHeight="1" spans="1:18">
      <c r="A4046" s="556">
        <f>B4046</f>
        <v>0</v>
      </c>
      <c r="B4046" s="557">
        <f>B4045</f>
        <v>0</v>
      </c>
      <c r="C4046" s="76" t="s">
        <v>1393</v>
      </c>
      <c r="D4046" s="75" t="s">
        <v>63</v>
      </c>
      <c r="E4046" s="76" t="s">
        <v>64</v>
      </c>
      <c r="F4046" s="76" t="s">
        <v>65</v>
      </c>
      <c r="G4046" s="76" t="s">
        <v>2889</v>
      </c>
      <c r="H4046" s="76"/>
      <c r="I4046" s="77" t="s">
        <v>66</v>
      </c>
      <c r="J4046" s="75" t="s">
        <v>67</v>
      </c>
      <c r="K4046" s="75" t="s">
        <v>2890</v>
      </c>
      <c r="L4046" s="75" t="s">
        <v>68</v>
      </c>
      <c r="M4046" s="75" t="s">
        <v>70</v>
      </c>
      <c r="N4046" s="573">
        <v>0.33</v>
      </c>
      <c r="O4046" s="556" t="str">
        <f>IF(N4046=M4046,"OK","DIF")</f>
        <v>DIF</v>
      </c>
      <c r="P4046" s="573"/>
      <c r="Q4046" s="556"/>
      <c r="R4046" s="582"/>
    </row>
    <row r="4047" ht="91" customHeight="1" spans="1:18">
      <c r="A4047" s="556">
        <f>B4047</f>
        <v>0</v>
      </c>
      <c r="B4047" s="557">
        <f>B4046</f>
        <v>0</v>
      </c>
      <c r="C4047" s="569" t="s">
        <v>2891</v>
      </c>
      <c r="D4047" s="570" t="s">
        <v>1394</v>
      </c>
      <c r="E4047" s="569" t="s">
        <v>132</v>
      </c>
      <c r="F4047" s="569" t="s">
        <v>1395</v>
      </c>
      <c r="G4047" s="569" t="s">
        <v>3177</v>
      </c>
      <c r="H4047" s="569"/>
      <c r="I4047" s="577" t="s">
        <v>134</v>
      </c>
      <c r="J4047" s="578">
        <v>1</v>
      </c>
      <c r="K4047" s="579"/>
      <c r="L4047" s="579">
        <v>7959.94</v>
      </c>
      <c r="M4047" s="579">
        <v>7959.94</v>
      </c>
      <c r="N4047" s="573">
        <v>3.35</v>
      </c>
      <c r="O4047" s="556" t="str">
        <f>IF(N4047=M4047,"OK","DIF")</f>
        <v>DIF</v>
      </c>
      <c r="P4047" s="573"/>
      <c r="Q4047" s="556"/>
      <c r="R4047" s="582"/>
    </row>
    <row r="4048" ht="23.85" customHeight="1" spans="1:18">
      <c r="A4048" s="556"/>
      <c r="B4048" s="557"/>
      <c r="C4048" s="79" t="s">
        <v>2921</v>
      </c>
      <c r="D4048" s="78" t="s">
        <v>3151</v>
      </c>
      <c r="E4048" s="79" t="s">
        <v>139</v>
      </c>
      <c r="F4048" s="79" t="s">
        <v>3152</v>
      </c>
      <c r="G4048" s="79" t="s">
        <v>2928</v>
      </c>
      <c r="H4048" s="79"/>
      <c r="I4048" s="80" t="s">
        <v>2897</v>
      </c>
      <c r="J4048" s="583">
        <v>4.5</v>
      </c>
      <c r="K4048" s="583">
        <v>0</v>
      </c>
      <c r="L4048" s="92">
        <v>36.82</v>
      </c>
      <c r="M4048" s="92">
        <v>165.69</v>
      </c>
      <c r="N4048" s="573"/>
      <c r="O4048" s="556"/>
      <c r="P4048" s="573"/>
      <c r="Q4048" s="556"/>
      <c r="R4048" s="582"/>
    </row>
    <row r="4049" ht="23.85" customHeight="1" spans="1:18">
      <c r="A4049" s="556"/>
      <c r="B4049" s="557"/>
      <c r="C4049" s="79" t="s">
        <v>2921</v>
      </c>
      <c r="D4049" s="78" t="s">
        <v>2952</v>
      </c>
      <c r="E4049" s="79" t="s">
        <v>139</v>
      </c>
      <c r="F4049" s="79" t="s">
        <v>2953</v>
      </c>
      <c r="G4049" s="79" t="s">
        <v>2928</v>
      </c>
      <c r="H4049" s="79"/>
      <c r="I4049" s="80" t="s">
        <v>2897</v>
      </c>
      <c r="J4049" s="583">
        <v>4.5</v>
      </c>
      <c r="K4049" s="583">
        <v>0</v>
      </c>
      <c r="L4049" s="92">
        <v>29.15</v>
      </c>
      <c r="M4049" s="92">
        <v>131.17</v>
      </c>
      <c r="N4049" s="573"/>
      <c r="O4049" s="556"/>
      <c r="P4049" s="573"/>
      <c r="Q4049" s="556"/>
      <c r="R4049" s="582"/>
    </row>
    <row r="4050" ht="91" customHeight="1" spans="1:18">
      <c r="A4050" s="556"/>
      <c r="B4050" s="557" t="str">
        <f>C4049</f>
        <v>Composição Auxiliar</v>
      </c>
      <c r="C4050" s="100" t="s">
        <v>2893</v>
      </c>
      <c r="D4050" s="99" t="s">
        <v>4252</v>
      </c>
      <c r="E4050" s="100" t="s">
        <v>132</v>
      </c>
      <c r="F4050" s="100" t="s">
        <v>4253</v>
      </c>
      <c r="G4050" s="100" t="s">
        <v>2961</v>
      </c>
      <c r="H4050" s="100"/>
      <c r="I4050" s="101" t="s">
        <v>134</v>
      </c>
      <c r="J4050" s="580">
        <v>1</v>
      </c>
      <c r="K4050" s="580">
        <v>0</v>
      </c>
      <c r="L4050" s="102">
        <v>7663.08</v>
      </c>
      <c r="M4050" s="102">
        <v>7663.08</v>
      </c>
      <c r="N4050" s="573">
        <v>7.28</v>
      </c>
      <c r="O4050" s="556" t="str">
        <f>IF(N4050=M4050,"OK","DIF")</f>
        <v>DIF</v>
      </c>
      <c r="P4050" s="573"/>
      <c r="Q4050" s="556"/>
      <c r="R4050" s="582"/>
    </row>
    <row r="4051" ht="25.5" spans="1:18">
      <c r="A4051" s="556"/>
      <c r="B4051" s="557"/>
      <c r="C4051" s="108"/>
      <c r="D4051" s="108"/>
      <c r="E4051" s="108"/>
      <c r="F4051" s="108"/>
      <c r="G4051" s="108"/>
      <c r="H4051" s="108" t="s">
        <v>2898</v>
      </c>
      <c r="I4051" s="581">
        <v>206.95</v>
      </c>
      <c r="J4051" s="108" t="s">
        <v>2899</v>
      </c>
      <c r="K4051" s="581">
        <v>0</v>
      </c>
      <c r="L4051" s="108" t="s">
        <v>2900</v>
      </c>
      <c r="M4051" s="581">
        <v>206.95</v>
      </c>
      <c r="N4051" s="573"/>
      <c r="O4051" s="556"/>
      <c r="P4051" s="573"/>
      <c r="Q4051" s="556"/>
      <c r="R4051" s="582"/>
    </row>
    <row r="4052" ht="26.25" spans="1:18">
      <c r="A4052" s="556"/>
      <c r="B4052" s="557"/>
      <c r="C4052" s="108"/>
      <c r="D4052" s="108"/>
      <c r="E4052" s="108"/>
      <c r="F4052" s="108"/>
      <c r="G4052" s="108"/>
      <c r="H4052" s="108" t="s">
        <v>2901</v>
      </c>
      <c r="I4052" s="581">
        <v>1283.14</v>
      </c>
      <c r="J4052" s="114"/>
      <c r="K4052" s="114" t="s">
        <v>2902</v>
      </c>
      <c r="L4052" s="108"/>
      <c r="M4052" s="581">
        <v>9243.08</v>
      </c>
      <c r="N4052" s="573"/>
      <c r="O4052" s="556"/>
      <c r="P4052" s="573"/>
      <c r="Q4052" s="556"/>
      <c r="R4052" s="582"/>
    </row>
    <row r="4053" ht="15" spans="1:18">
      <c r="A4053" s="556"/>
      <c r="B4053" s="557">
        <f>C4052</f>
        <v>0</v>
      </c>
      <c r="C4053" s="571"/>
      <c r="D4053" s="571"/>
      <c r="E4053" s="571"/>
      <c r="F4053" s="571"/>
      <c r="G4053" s="571"/>
      <c r="H4053" s="571"/>
      <c r="I4053" s="571"/>
      <c r="J4053" s="571"/>
      <c r="K4053" s="571"/>
      <c r="L4053" s="571"/>
      <c r="M4053" s="571"/>
      <c r="N4053" s="573">
        <v>7.53</v>
      </c>
      <c r="O4053" s="556" t="str">
        <f>IF(N4053=M4053,"OK","DIF")</f>
        <v>DIF</v>
      </c>
      <c r="P4053" s="573"/>
      <c r="Q4053" s="556"/>
      <c r="R4053" s="582"/>
    </row>
    <row r="4054" ht="15" customHeight="1" spans="1:18">
      <c r="A4054" s="556">
        <f>B4054</f>
        <v>0</v>
      </c>
      <c r="B4054" s="557">
        <f>B4053</f>
        <v>0</v>
      </c>
      <c r="C4054" s="76" t="s">
        <v>1397</v>
      </c>
      <c r="D4054" s="75" t="s">
        <v>63</v>
      </c>
      <c r="E4054" s="76" t="s">
        <v>64</v>
      </c>
      <c r="F4054" s="76" t="s">
        <v>65</v>
      </c>
      <c r="G4054" s="76" t="s">
        <v>2889</v>
      </c>
      <c r="H4054" s="76"/>
      <c r="I4054" s="77" t="s">
        <v>66</v>
      </c>
      <c r="J4054" s="75" t="s">
        <v>67</v>
      </c>
      <c r="K4054" s="75" t="s">
        <v>2890</v>
      </c>
      <c r="L4054" s="75" t="s">
        <v>68</v>
      </c>
      <c r="M4054" s="75" t="s">
        <v>70</v>
      </c>
      <c r="N4054" s="573">
        <v>1.09</v>
      </c>
      <c r="O4054" s="556" t="str">
        <f>IF(N4054=M4054,"OK","DIF")</f>
        <v>DIF</v>
      </c>
      <c r="P4054" s="573"/>
      <c r="Q4054" s="556"/>
      <c r="R4054" s="582"/>
    </row>
    <row r="4055" ht="91" customHeight="1" spans="1:18">
      <c r="A4055" s="556">
        <f>B4055</f>
        <v>0</v>
      </c>
      <c r="B4055" s="557">
        <f>B4054</f>
        <v>0</v>
      </c>
      <c r="C4055" s="569" t="s">
        <v>2891</v>
      </c>
      <c r="D4055" s="570" t="s">
        <v>1398</v>
      </c>
      <c r="E4055" s="569" t="s">
        <v>132</v>
      </c>
      <c r="F4055" s="569" t="s">
        <v>1399</v>
      </c>
      <c r="G4055" s="569" t="s">
        <v>3177</v>
      </c>
      <c r="H4055" s="569"/>
      <c r="I4055" s="577" t="s">
        <v>134</v>
      </c>
      <c r="J4055" s="578">
        <v>1</v>
      </c>
      <c r="K4055" s="579"/>
      <c r="L4055" s="579">
        <v>8072.5</v>
      </c>
      <c r="M4055" s="579">
        <v>8072.5</v>
      </c>
      <c r="N4055" s="573">
        <v>0.8</v>
      </c>
      <c r="O4055" s="556" t="str">
        <f>IF(N4055=M4055,"OK","DIF")</f>
        <v>DIF</v>
      </c>
      <c r="P4055" s="573"/>
      <c r="Q4055" s="556"/>
      <c r="R4055" s="582"/>
    </row>
    <row r="4056" ht="23.85" customHeight="1" spans="1:18">
      <c r="A4056" s="556">
        <f>B4056</f>
        <v>0</v>
      </c>
      <c r="B4056" s="557">
        <f>B4055</f>
        <v>0</v>
      </c>
      <c r="C4056" s="79" t="s">
        <v>2921</v>
      </c>
      <c r="D4056" s="78" t="s">
        <v>2952</v>
      </c>
      <c r="E4056" s="79" t="s">
        <v>139</v>
      </c>
      <c r="F4056" s="79" t="s">
        <v>2953</v>
      </c>
      <c r="G4056" s="79" t="s">
        <v>2928</v>
      </c>
      <c r="H4056" s="79"/>
      <c r="I4056" s="80" t="s">
        <v>2897</v>
      </c>
      <c r="J4056" s="583">
        <v>4.5</v>
      </c>
      <c r="K4056" s="583">
        <v>0</v>
      </c>
      <c r="L4056" s="92">
        <v>29.15</v>
      </c>
      <c r="M4056" s="92">
        <v>131.17</v>
      </c>
      <c r="N4056" s="573">
        <v>5.64</v>
      </c>
      <c r="O4056" s="556" t="str">
        <f>IF(N4056=M4056,"OK","DIF")</f>
        <v>DIF</v>
      </c>
      <c r="P4056" s="573"/>
      <c r="Q4056" s="556"/>
      <c r="R4056" s="582"/>
    </row>
    <row r="4057" ht="23.85" customHeight="1" spans="1:18">
      <c r="A4057" s="556"/>
      <c r="B4057" s="557"/>
      <c r="C4057" s="79" t="s">
        <v>2921</v>
      </c>
      <c r="D4057" s="78" t="s">
        <v>3151</v>
      </c>
      <c r="E4057" s="79" t="s">
        <v>139</v>
      </c>
      <c r="F4057" s="79" t="s">
        <v>3152</v>
      </c>
      <c r="G4057" s="79" t="s">
        <v>2928</v>
      </c>
      <c r="H4057" s="79"/>
      <c r="I4057" s="80" t="s">
        <v>2897</v>
      </c>
      <c r="J4057" s="583">
        <v>4.5</v>
      </c>
      <c r="K4057" s="583">
        <v>0</v>
      </c>
      <c r="L4057" s="92">
        <v>36.82</v>
      </c>
      <c r="M4057" s="92">
        <v>165.69</v>
      </c>
      <c r="N4057" s="573"/>
      <c r="O4057" s="556"/>
      <c r="P4057" s="573"/>
      <c r="Q4057" s="556"/>
      <c r="R4057" s="582"/>
    </row>
    <row r="4058" ht="91" customHeight="1" spans="1:18">
      <c r="A4058" s="556"/>
      <c r="B4058" s="557"/>
      <c r="C4058" s="100" t="s">
        <v>2893</v>
      </c>
      <c r="D4058" s="99" t="s">
        <v>4254</v>
      </c>
      <c r="E4058" s="100" t="s">
        <v>132</v>
      </c>
      <c r="F4058" s="100" t="s">
        <v>4255</v>
      </c>
      <c r="G4058" s="100" t="s">
        <v>2961</v>
      </c>
      <c r="H4058" s="100"/>
      <c r="I4058" s="101" t="s">
        <v>134</v>
      </c>
      <c r="J4058" s="580">
        <v>1</v>
      </c>
      <c r="K4058" s="580">
        <v>0</v>
      </c>
      <c r="L4058" s="102">
        <v>7775.64</v>
      </c>
      <c r="M4058" s="102">
        <v>7775.64</v>
      </c>
      <c r="N4058" s="573"/>
      <c r="O4058" s="556"/>
      <c r="P4058" s="573"/>
      <c r="Q4058" s="556"/>
      <c r="R4058" s="582"/>
    </row>
    <row r="4059" ht="25.5" spans="1:18">
      <c r="A4059" s="556"/>
      <c r="B4059" s="557" t="str">
        <f>C4058</f>
        <v>Insumo</v>
      </c>
      <c r="C4059" s="108"/>
      <c r="D4059" s="108"/>
      <c r="E4059" s="108"/>
      <c r="F4059" s="108"/>
      <c r="G4059" s="108"/>
      <c r="H4059" s="108" t="s">
        <v>2898</v>
      </c>
      <c r="I4059" s="581">
        <v>206.95</v>
      </c>
      <c r="J4059" s="108" t="s">
        <v>2899</v>
      </c>
      <c r="K4059" s="581">
        <v>0</v>
      </c>
      <c r="L4059" s="108" t="s">
        <v>2900</v>
      </c>
      <c r="M4059" s="581">
        <v>206.95</v>
      </c>
      <c r="N4059" s="573">
        <v>7.78</v>
      </c>
      <c r="O4059" s="556" t="str">
        <f>IF(N4059=M4059,"OK","DIF")</f>
        <v>DIF</v>
      </c>
      <c r="P4059" s="573"/>
      <c r="Q4059" s="556"/>
      <c r="R4059" s="582"/>
    </row>
    <row r="4060" ht="26.25" spans="1:18">
      <c r="A4060" s="556" t="str">
        <f>B4060</f>
        <v>Insumo</v>
      </c>
      <c r="B4060" s="557" t="str">
        <f>B4059</f>
        <v>Insumo</v>
      </c>
      <c r="C4060" s="108"/>
      <c r="D4060" s="108"/>
      <c r="E4060" s="108"/>
      <c r="F4060" s="108"/>
      <c r="G4060" s="108"/>
      <c r="H4060" s="108" t="s">
        <v>2901</v>
      </c>
      <c r="I4060" s="581">
        <v>1301.28</v>
      </c>
      <c r="J4060" s="114"/>
      <c r="K4060" s="114" t="s">
        <v>2902</v>
      </c>
      <c r="L4060" s="108"/>
      <c r="M4060" s="581">
        <v>9373.78</v>
      </c>
      <c r="N4060" s="573">
        <v>1.09</v>
      </c>
      <c r="O4060" s="556" t="str">
        <f>IF(N4060=M4060,"OK","DIF")</f>
        <v>DIF</v>
      </c>
      <c r="P4060" s="573"/>
      <c r="Q4060" s="556"/>
      <c r="R4060" s="582"/>
    </row>
    <row r="4061" ht="15" spans="1:18">
      <c r="A4061" s="556" t="str">
        <f>B4061</f>
        <v>Insumo</v>
      </c>
      <c r="B4061" s="557" t="str">
        <f>B4060</f>
        <v>Insumo</v>
      </c>
      <c r="C4061" s="571"/>
      <c r="D4061" s="571"/>
      <c r="E4061" s="571"/>
      <c r="F4061" s="571"/>
      <c r="G4061" s="571"/>
      <c r="H4061" s="571"/>
      <c r="I4061" s="571"/>
      <c r="J4061" s="571"/>
      <c r="K4061" s="571"/>
      <c r="L4061" s="571"/>
      <c r="M4061" s="571"/>
      <c r="N4061" s="573">
        <v>0.8</v>
      </c>
      <c r="O4061" s="556" t="str">
        <f>IF(N4061=M4061,"OK","DIF")</f>
        <v>DIF</v>
      </c>
      <c r="P4061" s="573"/>
      <c r="Q4061" s="556"/>
      <c r="R4061" s="582"/>
    </row>
    <row r="4062" ht="15" customHeight="1" spans="1:18">
      <c r="A4062" s="556" t="str">
        <f>B4062</f>
        <v>Insumo</v>
      </c>
      <c r="B4062" s="557" t="str">
        <f>B4061</f>
        <v>Insumo</v>
      </c>
      <c r="C4062" s="76" t="s">
        <v>1401</v>
      </c>
      <c r="D4062" s="75" t="s">
        <v>63</v>
      </c>
      <c r="E4062" s="76" t="s">
        <v>64</v>
      </c>
      <c r="F4062" s="76" t="s">
        <v>65</v>
      </c>
      <c r="G4062" s="76" t="s">
        <v>2889</v>
      </c>
      <c r="H4062" s="76"/>
      <c r="I4062" s="77" t="s">
        <v>66</v>
      </c>
      <c r="J4062" s="75" t="s">
        <v>67</v>
      </c>
      <c r="K4062" s="75" t="s">
        <v>2890</v>
      </c>
      <c r="L4062" s="75" t="s">
        <v>68</v>
      </c>
      <c r="M4062" s="75" t="s">
        <v>70</v>
      </c>
      <c r="N4062" s="573">
        <v>5.89</v>
      </c>
      <c r="O4062" s="556" t="str">
        <f>IF(N4062=M4062,"OK","DIF")</f>
        <v>DIF</v>
      </c>
      <c r="P4062" s="573"/>
      <c r="Q4062" s="556"/>
      <c r="R4062" s="582"/>
    </row>
    <row r="4063" ht="91" customHeight="1" spans="1:18">
      <c r="A4063" s="556"/>
      <c r="B4063" s="557"/>
      <c r="C4063" s="569" t="s">
        <v>2891</v>
      </c>
      <c r="D4063" s="570" t="s">
        <v>1402</v>
      </c>
      <c r="E4063" s="569" t="s">
        <v>132</v>
      </c>
      <c r="F4063" s="569" t="s">
        <v>1403</v>
      </c>
      <c r="G4063" s="569" t="s">
        <v>3177</v>
      </c>
      <c r="H4063" s="569"/>
      <c r="I4063" s="577" t="s">
        <v>134</v>
      </c>
      <c r="J4063" s="578">
        <v>1</v>
      </c>
      <c r="K4063" s="579"/>
      <c r="L4063" s="579">
        <v>18487.68</v>
      </c>
      <c r="M4063" s="579">
        <v>18487.68</v>
      </c>
      <c r="N4063" s="573"/>
      <c r="O4063" s="556"/>
      <c r="P4063" s="573"/>
      <c r="Q4063" s="556"/>
      <c r="R4063" s="582"/>
    </row>
    <row r="4064" ht="23.85" customHeight="1" spans="1:18">
      <c r="A4064" s="556"/>
      <c r="B4064" s="557"/>
      <c r="C4064" s="79" t="s">
        <v>2921</v>
      </c>
      <c r="D4064" s="78" t="s">
        <v>3151</v>
      </c>
      <c r="E4064" s="79" t="s">
        <v>139</v>
      </c>
      <c r="F4064" s="79" t="s">
        <v>3152</v>
      </c>
      <c r="G4064" s="79" t="s">
        <v>2928</v>
      </c>
      <c r="H4064" s="79"/>
      <c r="I4064" s="80" t="s">
        <v>2897</v>
      </c>
      <c r="J4064" s="583">
        <v>4.5</v>
      </c>
      <c r="K4064" s="583">
        <v>0</v>
      </c>
      <c r="L4064" s="92">
        <v>36.82</v>
      </c>
      <c r="M4064" s="92">
        <v>165.69</v>
      </c>
      <c r="N4064" s="573"/>
      <c r="O4064" s="556"/>
      <c r="P4064" s="573"/>
      <c r="Q4064" s="556"/>
      <c r="R4064" s="582"/>
    </row>
    <row r="4065" ht="23.85" customHeight="1" spans="1:18">
      <c r="A4065" s="556"/>
      <c r="B4065" s="557" t="str">
        <f>C4064</f>
        <v>Composição Auxiliar</v>
      </c>
      <c r="C4065" s="79" t="s">
        <v>2921</v>
      </c>
      <c r="D4065" s="78" t="s">
        <v>2952</v>
      </c>
      <c r="E4065" s="79" t="s">
        <v>139</v>
      </c>
      <c r="F4065" s="79" t="s">
        <v>2953</v>
      </c>
      <c r="G4065" s="79" t="s">
        <v>2928</v>
      </c>
      <c r="H4065" s="79"/>
      <c r="I4065" s="80" t="s">
        <v>2897</v>
      </c>
      <c r="J4065" s="583">
        <v>4.5</v>
      </c>
      <c r="K4065" s="583">
        <v>0</v>
      </c>
      <c r="L4065" s="92">
        <v>29.15</v>
      </c>
      <c r="M4065" s="92">
        <v>131.17</v>
      </c>
      <c r="N4065" s="573">
        <v>52.07</v>
      </c>
      <c r="O4065" s="556" t="str">
        <f>IF(N4065=M4065,"OK","DIF")</f>
        <v>DIF</v>
      </c>
      <c r="P4065" s="573"/>
      <c r="Q4065" s="556"/>
      <c r="R4065" s="582"/>
    </row>
    <row r="4066" ht="91" customHeight="1" spans="1:18">
      <c r="A4066" s="556" t="str">
        <f>B4066</f>
        <v>Composição Auxiliar</v>
      </c>
      <c r="B4066" s="557" t="str">
        <f>B4065</f>
        <v>Composição Auxiliar</v>
      </c>
      <c r="C4066" s="100" t="s">
        <v>2893</v>
      </c>
      <c r="D4066" s="99" t="s">
        <v>4256</v>
      </c>
      <c r="E4066" s="100" t="s">
        <v>132</v>
      </c>
      <c r="F4066" s="100" t="s">
        <v>4257</v>
      </c>
      <c r="G4066" s="100" t="s">
        <v>2961</v>
      </c>
      <c r="H4066" s="100"/>
      <c r="I4066" s="101" t="s">
        <v>134</v>
      </c>
      <c r="J4066" s="580">
        <v>1</v>
      </c>
      <c r="K4066" s="580">
        <v>0</v>
      </c>
      <c r="L4066" s="102">
        <v>18190.82</v>
      </c>
      <c r="M4066" s="102">
        <v>18190.82</v>
      </c>
      <c r="N4066" s="573">
        <v>11.96</v>
      </c>
      <c r="O4066" s="556" t="str">
        <f>IF(N4066=M4066,"OK","DIF")</f>
        <v>DIF</v>
      </c>
      <c r="P4066" s="573"/>
      <c r="Q4066" s="556"/>
      <c r="R4066" s="582"/>
    </row>
    <row r="4067" ht="25.5" spans="1:18">
      <c r="A4067" s="556" t="str">
        <f>B4067</f>
        <v>Composição Auxiliar</v>
      </c>
      <c r="B4067" s="557" t="str">
        <f>B4066</f>
        <v>Composição Auxiliar</v>
      </c>
      <c r="C4067" s="108"/>
      <c r="D4067" s="108"/>
      <c r="E4067" s="108"/>
      <c r="F4067" s="108"/>
      <c r="G4067" s="108"/>
      <c r="H4067" s="108" t="s">
        <v>2898</v>
      </c>
      <c r="I4067" s="581">
        <v>206.95</v>
      </c>
      <c r="J4067" s="108" t="s">
        <v>2899</v>
      </c>
      <c r="K4067" s="581">
        <v>0</v>
      </c>
      <c r="L4067" s="108" t="s">
        <v>2900</v>
      </c>
      <c r="M4067" s="581">
        <v>206.95</v>
      </c>
      <c r="N4067" s="573">
        <v>9.87</v>
      </c>
      <c r="O4067" s="556" t="str">
        <f>IF(N4067=M4067,"OK","DIF")</f>
        <v>DIF</v>
      </c>
      <c r="P4067" s="573"/>
      <c r="Q4067" s="556"/>
      <c r="R4067" s="582"/>
    </row>
    <row r="4068" ht="26.25" spans="1:18">
      <c r="A4068" s="556" t="str">
        <f>B4068</f>
        <v>Composição Auxiliar</v>
      </c>
      <c r="B4068" s="557" t="str">
        <f>B4067</f>
        <v>Composição Auxiliar</v>
      </c>
      <c r="C4068" s="108"/>
      <c r="D4068" s="108"/>
      <c r="E4068" s="108"/>
      <c r="F4068" s="108"/>
      <c r="G4068" s="108"/>
      <c r="H4068" s="108" t="s">
        <v>2901</v>
      </c>
      <c r="I4068" s="581">
        <v>2980.21</v>
      </c>
      <c r="J4068" s="114"/>
      <c r="K4068" s="114" t="s">
        <v>2902</v>
      </c>
      <c r="L4068" s="108"/>
      <c r="M4068" s="581">
        <v>21467.89</v>
      </c>
      <c r="N4068" s="573">
        <v>0.62</v>
      </c>
      <c r="O4068" s="556" t="str">
        <f>IF(N4068=M4068,"OK","DIF")</f>
        <v>DIF</v>
      </c>
      <c r="P4068" s="573"/>
      <c r="Q4068" s="556"/>
      <c r="R4068" s="582"/>
    </row>
    <row r="4069" ht="15" spans="1:18">
      <c r="A4069" s="556" t="str">
        <f>B4069</f>
        <v>Composição Auxiliar</v>
      </c>
      <c r="B4069" s="557" t="str">
        <f>B4068</f>
        <v>Composição Auxiliar</v>
      </c>
      <c r="C4069" s="571"/>
      <c r="D4069" s="571"/>
      <c r="E4069" s="571"/>
      <c r="F4069" s="571"/>
      <c r="G4069" s="571"/>
      <c r="H4069" s="571"/>
      <c r="I4069" s="571"/>
      <c r="J4069" s="571"/>
      <c r="K4069" s="571"/>
      <c r="L4069" s="571"/>
      <c r="M4069" s="571"/>
      <c r="N4069" s="573">
        <v>29.62</v>
      </c>
      <c r="O4069" s="556" t="str">
        <f>IF(N4069=M4069,"OK","DIF")</f>
        <v>DIF</v>
      </c>
      <c r="P4069" s="573"/>
      <c r="Q4069" s="556"/>
      <c r="R4069" s="582"/>
    </row>
    <row r="4070" ht="15" customHeight="1" spans="1:18">
      <c r="A4070" s="556"/>
      <c r="B4070" s="557"/>
      <c r="C4070" s="76" t="s">
        <v>1405</v>
      </c>
      <c r="D4070" s="75" t="s">
        <v>63</v>
      </c>
      <c r="E4070" s="76" t="s">
        <v>64</v>
      </c>
      <c r="F4070" s="76" t="s">
        <v>65</v>
      </c>
      <c r="G4070" s="76" t="s">
        <v>2889</v>
      </c>
      <c r="H4070" s="76"/>
      <c r="I4070" s="77" t="s">
        <v>66</v>
      </c>
      <c r="J4070" s="75" t="s">
        <v>67</v>
      </c>
      <c r="K4070" s="75" t="s">
        <v>2890</v>
      </c>
      <c r="L4070" s="75" t="s">
        <v>68</v>
      </c>
      <c r="M4070" s="75" t="s">
        <v>70</v>
      </c>
      <c r="N4070" s="573"/>
      <c r="O4070" s="556"/>
      <c r="P4070" s="573"/>
      <c r="Q4070" s="556"/>
      <c r="R4070" s="582"/>
    </row>
    <row r="4071" ht="91" customHeight="1" spans="1:18">
      <c r="A4071" s="556"/>
      <c r="B4071" s="557"/>
      <c r="C4071" s="569" t="s">
        <v>2891</v>
      </c>
      <c r="D4071" s="570" t="s">
        <v>1406</v>
      </c>
      <c r="E4071" s="569" t="s">
        <v>132</v>
      </c>
      <c r="F4071" s="569" t="s">
        <v>1407</v>
      </c>
      <c r="G4071" s="569" t="s">
        <v>3177</v>
      </c>
      <c r="H4071" s="569"/>
      <c r="I4071" s="577" t="s">
        <v>134</v>
      </c>
      <c r="J4071" s="578">
        <v>1</v>
      </c>
      <c r="K4071" s="579"/>
      <c r="L4071" s="579">
        <v>8880.69</v>
      </c>
      <c r="M4071" s="579">
        <v>8880.69</v>
      </c>
      <c r="N4071" s="573"/>
      <c r="O4071" s="556"/>
      <c r="P4071" s="573"/>
      <c r="Q4071" s="556"/>
      <c r="R4071" s="582"/>
    </row>
    <row r="4072" ht="23.85" customHeight="1" spans="1:18">
      <c r="A4072" s="556"/>
      <c r="B4072" s="557" t="str">
        <f>C4071</f>
        <v>Composição</v>
      </c>
      <c r="C4072" s="79" t="s">
        <v>2921</v>
      </c>
      <c r="D4072" s="78" t="s">
        <v>2952</v>
      </c>
      <c r="E4072" s="79" t="s">
        <v>139</v>
      </c>
      <c r="F4072" s="79" t="s">
        <v>2953</v>
      </c>
      <c r="G4072" s="79" t="s">
        <v>2928</v>
      </c>
      <c r="H4072" s="79"/>
      <c r="I4072" s="80" t="s">
        <v>2897</v>
      </c>
      <c r="J4072" s="583">
        <v>4.5</v>
      </c>
      <c r="K4072" s="583">
        <v>0</v>
      </c>
      <c r="L4072" s="92">
        <v>29.15</v>
      </c>
      <c r="M4072" s="92">
        <v>131.17</v>
      </c>
      <c r="N4072" s="573">
        <v>20.72</v>
      </c>
      <c r="O4072" s="556" t="str">
        <f>IF(N4072=M4072,"OK","DIF")</f>
        <v>DIF</v>
      </c>
      <c r="P4072" s="573"/>
      <c r="Q4072" s="556"/>
      <c r="R4072" s="582"/>
    </row>
    <row r="4073" ht="23.85" customHeight="1" spans="1:18">
      <c r="A4073" s="556" t="str">
        <f>B4073</f>
        <v>Composição</v>
      </c>
      <c r="B4073" s="557" t="str">
        <f>B4072</f>
        <v>Composição</v>
      </c>
      <c r="C4073" s="79" t="s">
        <v>2921</v>
      </c>
      <c r="D4073" s="78" t="s">
        <v>3151</v>
      </c>
      <c r="E4073" s="79" t="s">
        <v>139</v>
      </c>
      <c r="F4073" s="79" t="s">
        <v>3152</v>
      </c>
      <c r="G4073" s="79" t="s">
        <v>2928</v>
      </c>
      <c r="H4073" s="79"/>
      <c r="I4073" s="80" t="s">
        <v>2897</v>
      </c>
      <c r="J4073" s="583">
        <v>4.5</v>
      </c>
      <c r="K4073" s="583">
        <v>0</v>
      </c>
      <c r="L4073" s="92">
        <v>36.82</v>
      </c>
      <c r="M4073" s="92">
        <v>165.69</v>
      </c>
      <c r="N4073" s="573">
        <v>15.74</v>
      </c>
      <c r="O4073" s="556" t="str">
        <f>IF(N4073=M4073,"OK","DIF")</f>
        <v>DIF</v>
      </c>
      <c r="P4073" s="573"/>
      <c r="Q4073" s="556"/>
      <c r="R4073" s="582"/>
    </row>
    <row r="4074" ht="91" customHeight="1" spans="1:18">
      <c r="A4074" s="556" t="str">
        <f>B4074</f>
        <v>Composição</v>
      </c>
      <c r="B4074" s="557" t="str">
        <f>B4073</f>
        <v>Composição</v>
      </c>
      <c r="C4074" s="100" t="s">
        <v>2893</v>
      </c>
      <c r="D4074" s="99" t="s">
        <v>4258</v>
      </c>
      <c r="E4074" s="100" t="s">
        <v>132</v>
      </c>
      <c r="F4074" s="100" t="s">
        <v>1407</v>
      </c>
      <c r="G4074" s="100" t="s">
        <v>2961</v>
      </c>
      <c r="H4074" s="100"/>
      <c r="I4074" s="101" t="s">
        <v>134</v>
      </c>
      <c r="J4074" s="580">
        <v>1</v>
      </c>
      <c r="K4074" s="580">
        <v>0</v>
      </c>
      <c r="L4074" s="102">
        <v>8583.83</v>
      </c>
      <c r="M4074" s="102">
        <v>8583.83</v>
      </c>
      <c r="N4074" s="573">
        <v>4.98</v>
      </c>
      <c r="O4074" s="556" t="str">
        <f>IF(N4074=M4074,"OK","DIF")</f>
        <v>DIF</v>
      </c>
      <c r="P4074" s="573"/>
      <c r="Q4074" s="556"/>
      <c r="R4074" s="582"/>
    </row>
    <row r="4075" ht="25.5" spans="1:18">
      <c r="A4075" s="556"/>
      <c r="B4075" s="557"/>
      <c r="C4075" s="108"/>
      <c r="D4075" s="108"/>
      <c r="E4075" s="108"/>
      <c r="F4075" s="108"/>
      <c r="G4075" s="108"/>
      <c r="H4075" s="108" t="s">
        <v>2898</v>
      </c>
      <c r="I4075" s="581">
        <v>206.95</v>
      </c>
      <c r="J4075" s="108" t="s">
        <v>2899</v>
      </c>
      <c r="K4075" s="581">
        <v>0</v>
      </c>
      <c r="L4075" s="108" t="s">
        <v>2900</v>
      </c>
      <c r="M4075" s="581">
        <v>206.95</v>
      </c>
      <c r="N4075" s="573"/>
      <c r="O4075" s="556"/>
      <c r="P4075" s="573"/>
      <c r="Q4075" s="556"/>
      <c r="R4075" s="582"/>
    </row>
    <row r="4076" ht="26.25" spans="1:18">
      <c r="A4076" s="556"/>
      <c r="B4076" s="557"/>
      <c r="C4076" s="108"/>
      <c r="D4076" s="108"/>
      <c r="E4076" s="108"/>
      <c r="F4076" s="108"/>
      <c r="G4076" s="108"/>
      <c r="H4076" s="108" t="s">
        <v>2901</v>
      </c>
      <c r="I4076" s="581">
        <v>1431.56</v>
      </c>
      <c r="J4076" s="114"/>
      <c r="K4076" s="114" t="s">
        <v>2902</v>
      </c>
      <c r="L4076" s="108"/>
      <c r="M4076" s="581">
        <v>10312.25</v>
      </c>
      <c r="N4076" s="573"/>
      <c r="O4076" s="556"/>
      <c r="P4076" s="573"/>
      <c r="Q4076" s="556"/>
      <c r="R4076" s="582"/>
    </row>
    <row r="4077" ht="15" spans="1:18">
      <c r="A4077" s="556"/>
      <c r="B4077" s="557">
        <f>C4076</f>
        <v>0</v>
      </c>
      <c r="C4077" s="571"/>
      <c r="D4077" s="571"/>
      <c r="E4077" s="571"/>
      <c r="F4077" s="571"/>
      <c r="G4077" s="571"/>
      <c r="H4077" s="571"/>
      <c r="I4077" s="571"/>
      <c r="J4077" s="571"/>
      <c r="K4077" s="571"/>
      <c r="L4077" s="571"/>
      <c r="M4077" s="571"/>
      <c r="N4077" s="573">
        <v>1311.65</v>
      </c>
      <c r="O4077" s="556" t="str">
        <f>IF(N4077=M4077,"OK","DIF")</f>
        <v>DIF</v>
      </c>
      <c r="P4077" s="573"/>
      <c r="Q4077" s="556"/>
      <c r="R4077" s="582"/>
    </row>
    <row r="4078" ht="15" customHeight="1" spans="1:18">
      <c r="A4078" s="556">
        <f>B4078</f>
        <v>0</v>
      </c>
      <c r="B4078" s="557">
        <f>B4077</f>
        <v>0</v>
      </c>
      <c r="C4078" s="76" t="s">
        <v>1409</v>
      </c>
      <c r="D4078" s="75" t="s">
        <v>63</v>
      </c>
      <c r="E4078" s="76" t="s">
        <v>64</v>
      </c>
      <c r="F4078" s="76" t="s">
        <v>65</v>
      </c>
      <c r="G4078" s="76" t="s">
        <v>2889</v>
      </c>
      <c r="H4078" s="76"/>
      <c r="I4078" s="77" t="s">
        <v>66</v>
      </c>
      <c r="J4078" s="75" t="s">
        <v>67</v>
      </c>
      <c r="K4078" s="75" t="s">
        <v>2890</v>
      </c>
      <c r="L4078" s="75" t="s">
        <v>68</v>
      </c>
      <c r="M4078" s="75" t="s">
        <v>70</v>
      </c>
      <c r="N4078" s="573">
        <v>169.27</v>
      </c>
      <c r="O4078" s="556" t="str">
        <f>IF(N4078=M4078,"OK","DIF")</f>
        <v>DIF</v>
      </c>
      <c r="P4078" s="573"/>
      <c r="Q4078" s="556"/>
      <c r="R4078" s="582"/>
    </row>
    <row r="4079" ht="35.05" customHeight="1" spans="1:18">
      <c r="A4079" s="556">
        <f>B4079</f>
        <v>0</v>
      </c>
      <c r="B4079" s="557">
        <f>B4078</f>
        <v>0</v>
      </c>
      <c r="C4079" s="569" t="s">
        <v>2891</v>
      </c>
      <c r="D4079" s="570" t="s">
        <v>1410</v>
      </c>
      <c r="E4079" s="569" t="s">
        <v>132</v>
      </c>
      <c r="F4079" s="569" t="s">
        <v>1411</v>
      </c>
      <c r="G4079" s="569" t="s">
        <v>4227</v>
      </c>
      <c r="H4079" s="569"/>
      <c r="I4079" s="577" t="s">
        <v>134</v>
      </c>
      <c r="J4079" s="578">
        <v>1</v>
      </c>
      <c r="K4079" s="579"/>
      <c r="L4079" s="579">
        <v>16735.23</v>
      </c>
      <c r="M4079" s="579">
        <v>16735.23</v>
      </c>
      <c r="N4079" s="573">
        <v>205.05</v>
      </c>
      <c r="O4079" s="556" t="str">
        <f>IF(N4079=M4079,"OK","DIF")</f>
        <v>DIF</v>
      </c>
      <c r="P4079" s="573"/>
      <c r="Q4079" s="556"/>
      <c r="R4079" s="582"/>
    </row>
    <row r="4080" ht="23.85" customHeight="1" spans="1:18">
      <c r="A4080" s="556">
        <f>B4080</f>
        <v>0</v>
      </c>
      <c r="B4080" s="557">
        <f>B4079</f>
        <v>0</v>
      </c>
      <c r="C4080" s="79" t="s">
        <v>2921</v>
      </c>
      <c r="D4080" s="78" t="s">
        <v>2952</v>
      </c>
      <c r="E4080" s="79" t="s">
        <v>139</v>
      </c>
      <c r="F4080" s="79" t="s">
        <v>2953</v>
      </c>
      <c r="G4080" s="79" t="s">
        <v>2928</v>
      </c>
      <c r="H4080" s="79"/>
      <c r="I4080" s="80" t="s">
        <v>2897</v>
      </c>
      <c r="J4080" s="583">
        <v>3</v>
      </c>
      <c r="K4080" s="583">
        <v>0</v>
      </c>
      <c r="L4080" s="92">
        <v>29.15</v>
      </c>
      <c r="M4080" s="92">
        <v>87.45</v>
      </c>
      <c r="N4080" s="573">
        <v>937.33</v>
      </c>
      <c r="O4080" s="556" t="str">
        <f>IF(N4080=M4080,"OK","DIF")</f>
        <v>DIF</v>
      </c>
      <c r="P4080" s="573"/>
      <c r="Q4080" s="556"/>
      <c r="R4080" s="582"/>
    </row>
    <row r="4081" ht="23.85" customHeight="1" spans="1:18">
      <c r="A4081" s="556"/>
      <c r="B4081" s="557"/>
      <c r="C4081" s="79" t="s">
        <v>2921</v>
      </c>
      <c r="D4081" s="78" t="s">
        <v>3151</v>
      </c>
      <c r="E4081" s="79" t="s">
        <v>139</v>
      </c>
      <c r="F4081" s="79" t="s">
        <v>3152</v>
      </c>
      <c r="G4081" s="79" t="s">
        <v>2928</v>
      </c>
      <c r="H4081" s="79"/>
      <c r="I4081" s="80" t="s">
        <v>2897</v>
      </c>
      <c r="J4081" s="583">
        <v>3</v>
      </c>
      <c r="K4081" s="583">
        <v>0</v>
      </c>
      <c r="L4081" s="92">
        <v>36.82</v>
      </c>
      <c r="M4081" s="92">
        <v>110.46</v>
      </c>
      <c r="N4081" s="573"/>
      <c r="O4081" s="556"/>
      <c r="P4081" s="573"/>
      <c r="Q4081" s="556"/>
      <c r="R4081" s="582"/>
    </row>
    <row r="4082" ht="23.85" customHeight="1" spans="1:18">
      <c r="A4082" s="556"/>
      <c r="B4082" s="557"/>
      <c r="C4082" s="100" t="s">
        <v>2893</v>
      </c>
      <c r="D4082" s="99" t="s">
        <v>4259</v>
      </c>
      <c r="E4082" s="100" t="s">
        <v>132</v>
      </c>
      <c r="F4082" s="100" t="s">
        <v>4260</v>
      </c>
      <c r="G4082" s="100" t="s">
        <v>2961</v>
      </c>
      <c r="H4082" s="100"/>
      <c r="I4082" s="101" t="s">
        <v>134</v>
      </c>
      <c r="J4082" s="580">
        <v>1</v>
      </c>
      <c r="K4082" s="580">
        <v>0</v>
      </c>
      <c r="L4082" s="102">
        <v>16537.32</v>
      </c>
      <c r="M4082" s="102">
        <v>16537.32</v>
      </c>
      <c r="N4082" s="573"/>
      <c r="O4082" s="556"/>
      <c r="P4082" s="573"/>
      <c r="Q4082" s="556"/>
      <c r="R4082" s="582"/>
    </row>
    <row r="4083" ht="25.5" spans="1:18">
      <c r="A4083" s="556"/>
      <c r="B4083" s="557" t="str">
        <f>C4082</f>
        <v>Insumo</v>
      </c>
      <c r="C4083" s="108"/>
      <c r="D4083" s="108"/>
      <c r="E4083" s="108"/>
      <c r="F4083" s="108"/>
      <c r="G4083" s="108"/>
      <c r="H4083" s="108" t="s">
        <v>2898</v>
      </c>
      <c r="I4083" s="581">
        <v>137.97</v>
      </c>
      <c r="J4083" s="108" t="s">
        <v>2899</v>
      </c>
      <c r="K4083" s="581">
        <v>0</v>
      </c>
      <c r="L4083" s="108" t="s">
        <v>2900</v>
      </c>
      <c r="M4083" s="581">
        <v>137.97</v>
      </c>
      <c r="N4083" s="573">
        <v>36.35</v>
      </c>
      <c r="O4083" s="556" t="str">
        <f>IF(N4083=M4083,"OK","DIF")</f>
        <v>DIF</v>
      </c>
      <c r="P4083" s="573"/>
      <c r="Q4083" s="556"/>
      <c r="R4083" s="582"/>
    </row>
    <row r="4084" ht="26.25" spans="1:18">
      <c r="A4084" s="556" t="str">
        <f>B4084</f>
        <v>Insumo</v>
      </c>
      <c r="B4084" s="557" t="str">
        <f>B4083</f>
        <v>Insumo</v>
      </c>
      <c r="C4084" s="108"/>
      <c r="D4084" s="108"/>
      <c r="E4084" s="108"/>
      <c r="F4084" s="108"/>
      <c r="G4084" s="108"/>
      <c r="H4084" s="108" t="s">
        <v>2901</v>
      </c>
      <c r="I4084" s="581">
        <v>2697.71</v>
      </c>
      <c r="J4084" s="114"/>
      <c r="K4084" s="114" t="s">
        <v>2902</v>
      </c>
      <c r="L4084" s="108"/>
      <c r="M4084" s="581">
        <v>19432.94</v>
      </c>
      <c r="N4084" s="573">
        <v>9.84</v>
      </c>
      <c r="O4084" s="556" t="str">
        <f>IF(N4084=M4084,"OK","DIF")</f>
        <v>DIF</v>
      </c>
      <c r="P4084" s="573"/>
      <c r="Q4084" s="556"/>
      <c r="R4084" s="582"/>
    </row>
    <row r="4085" ht="15" spans="1:18">
      <c r="A4085" s="556" t="str">
        <f>B4085</f>
        <v>Insumo</v>
      </c>
      <c r="B4085" s="557" t="str">
        <f>B4084</f>
        <v>Insumo</v>
      </c>
      <c r="C4085" s="571"/>
      <c r="D4085" s="571"/>
      <c r="E4085" s="571"/>
      <c r="F4085" s="571"/>
      <c r="G4085" s="571"/>
      <c r="H4085" s="571"/>
      <c r="I4085" s="571"/>
      <c r="J4085" s="571"/>
      <c r="K4085" s="571"/>
      <c r="L4085" s="571"/>
      <c r="M4085" s="571"/>
      <c r="N4085" s="573">
        <v>26.51</v>
      </c>
      <c r="O4085" s="556" t="str">
        <f>IF(N4085=M4085,"OK","DIF")</f>
        <v>DIF</v>
      </c>
      <c r="P4085" s="573"/>
      <c r="Q4085" s="556"/>
      <c r="R4085" s="582"/>
    </row>
    <row r="4086" ht="15" customHeight="1" spans="1:18">
      <c r="A4086" s="556"/>
      <c r="B4086" s="557"/>
      <c r="C4086" s="76" t="s">
        <v>1413</v>
      </c>
      <c r="D4086" s="75" t="s">
        <v>63</v>
      </c>
      <c r="E4086" s="76" t="s">
        <v>64</v>
      </c>
      <c r="F4086" s="76" t="s">
        <v>65</v>
      </c>
      <c r="G4086" s="76" t="s">
        <v>2889</v>
      </c>
      <c r="H4086" s="76"/>
      <c r="I4086" s="77" t="s">
        <v>66</v>
      </c>
      <c r="J4086" s="75" t="s">
        <v>67</v>
      </c>
      <c r="K4086" s="75" t="s">
        <v>2890</v>
      </c>
      <c r="L4086" s="75" t="s">
        <v>68</v>
      </c>
      <c r="M4086" s="75" t="s">
        <v>70</v>
      </c>
      <c r="N4086" s="573"/>
      <c r="O4086" s="556"/>
      <c r="P4086" s="573"/>
      <c r="Q4086" s="556"/>
      <c r="R4086" s="582"/>
    </row>
    <row r="4087" ht="35.05" customHeight="1" spans="1:18">
      <c r="A4087" s="556"/>
      <c r="B4087" s="557"/>
      <c r="C4087" s="569" t="s">
        <v>2891</v>
      </c>
      <c r="D4087" s="570" t="s">
        <v>1414</v>
      </c>
      <c r="E4087" s="569" t="s">
        <v>132</v>
      </c>
      <c r="F4087" s="569" t="s">
        <v>1415</v>
      </c>
      <c r="G4087" s="569" t="s">
        <v>4227</v>
      </c>
      <c r="H4087" s="569"/>
      <c r="I4087" s="577" t="s">
        <v>134</v>
      </c>
      <c r="J4087" s="578">
        <v>1</v>
      </c>
      <c r="K4087" s="579"/>
      <c r="L4087" s="579">
        <v>16735.23</v>
      </c>
      <c r="M4087" s="579">
        <v>16735.23</v>
      </c>
      <c r="N4087" s="573"/>
      <c r="O4087" s="556"/>
      <c r="P4087" s="573"/>
      <c r="Q4087" s="556"/>
      <c r="R4087" s="582"/>
    </row>
    <row r="4088" ht="23.85" customHeight="1" spans="1:18">
      <c r="A4088" s="556"/>
      <c r="B4088" s="557" t="str">
        <f>C4087</f>
        <v>Composição</v>
      </c>
      <c r="C4088" s="79" t="s">
        <v>2921</v>
      </c>
      <c r="D4088" s="78" t="s">
        <v>2952</v>
      </c>
      <c r="E4088" s="79" t="s">
        <v>139</v>
      </c>
      <c r="F4088" s="79" t="s">
        <v>2953</v>
      </c>
      <c r="G4088" s="79" t="s">
        <v>2928</v>
      </c>
      <c r="H4088" s="79"/>
      <c r="I4088" s="80" t="s">
        <v>2897</v>
      </c>
      <c r="J4088" s="583">
        <v>3</v>
      </c>
      <c r="K4088" s="583">
        <v>0</v>
      </c>
      <c r="L4088" s="92">
        <v>29.15</v>
      </c>
      <c r="M4088" s="92">
        <v>87.45</v>
      </c>
      <c r="N4088" s="573">
        <v>429.11</v>
      </c>
      <c r="O4088" s="556" t="str">
        <f>IF(N4088=M4088,"OK","DIF")</f>
        <v>DIF</v>
      </c>
      <c r="P4088" s="573"/>
      <c r="Q4088" s="556"/>
      <c r="R4088" s="582"/>
    </row>
    <row r="4089" ht="23.85" customHeight="1" spans="1:18">
      <c r="A4089" s="556" t="str">
        <f>B4089</f>
        <v>Composição</v>
      </c>
      <c r="B4089" s="557" t="str">
        <f>B4088</f>
        <v>Composição</v>
      </c>
      <c r="C4089" s="79" t="s">
        <v>2921</v>
      </c>
      <c r="D4089" s="78" t="s">
        <v>3151</v>
      </c>
      <c r="E4089" s="79" t="s">
        <v>139</v>
      </c>
      <c r="F4089" s="79" t="s">
        <v>3152</v>
      </c>
      <c r="G4089" s="79" t="s">
        <v>2928</v>
      </c>
      <c r="H4089" s="79"/>
      <c r="I4089" s="80" t="s">
        <v>2897</v>
      </c>
      <c r="J4089" s="583">
        <v>3</v>
      </c>
      <c r="K4089" s="583">
        <v>0</v>
      </c>
      <c r="L4089" s="92">
        <v>36.82</v>
      </c>
      <c r="M4089" s="92">
        <v>110.46</v>
      </c>
      <c r="N4089" s="573">
        <v>41.34</v>
      </c>
      <c r="O4089" s="556" t="str">
        <f>IF(N4089=M4089,"OK","DIF")</f>
        <v>DIF</v>
      </c>
      <c r="P4089" s="573"/>
      <c r="Q4089" s="556"/>
      <c r="R4089" s="582"/>
    </row>
    <row r="4090" ht="23.85" customHeight="1" spans="1:18">
      <c r="A4090" s="556" t="str">
        <f>B4090</f>
        <v>Composição</v>
      </c>
      <c r="B4090" s="557" t="str">
        <f>B4089</f>
        <v>Composição</v>
      </c>
      <c r="C4090" s="100" t="s">
        <v>2893</v>
      </c>
      <c r="D4090" s="99" t="s">
        <v>4261</v>
      </c>
      <c r="E4090" s="100" t="s">
        <v>132</v>
      </c>
      <c r="F4090" s="100" t="s">
        <v>4262</v>
      </c>
      <c r="G4090" s="100" t="s">
        <v>2961</v>
      </c>
      <c r="H4090" s="100"/>
      <c r="I4090" s="101" t="s">
        <v>134</v>
      </c>
      <c r="J4090" s="580">
        <v>1</v>
      </c>
      <c r="K4090" s="580">
        <v>0</v>
      </c>
      <c r="L4090" s="102">
        <v>16537.32</v>
      </c>
      <c r="M4090" s="102">
        <v>16537.32</v>
      </c>
      <c r="N4090" s="573">
        <v>62.77</v>
      </c>
      <c r="O4090" s="556" t="str">
        <f>IF(N4090=M4090,"OK","DIF")</f>
        <v>DIF</v>
      </c>
      <c r="P4090" s="573"/>
      <c r="Q4090" s="556"/>
      <c r="R4090" s="582"/>
    </row>
    <row r="4091" ht="25.5" spans="1:18">
      <c r="A4091" s="556" t="str">
        <f>B4091</f>
        <v>Composição</v>
      </c>
      <c r="B4091" s="557" t="str">
        <f>B4090</f>
        <v>Composição</v>
      </c>
      <c r="C4091" s="108"/>
      <c r="D4091" s="108"/>
      <c r="E4091" s="108"/>
      <c r="F4091" s="108"/>
      <c r="G4091" s="108"/>
      <c r="H4091" s="108" t="s">
        <v>2898</v>
      </c>
      <c r="I4091" s="581">
        <v>137.97</v>
      </c>
      <c r="J4091" s="108" t="s">
        <v>2899</v>
      </c>
      <c r="K4091" s="581">
        <v>0</v>
      </c>
      <c r="L4091" s="108" t="s">
        <v>2900</v>
      </c>
      <c r="M4091" s="581">
        <v>137.97</v>
      </c>
      <c r="N4091" s="573">
        <v>325</v>
      </c>
      <c r="O4091" s="556" t="str">
        <f>IF(N4091=M4091,"OK","DIF")</f>
        <v>DIF</v>
      </c>
      <c r="P4091" s="573"/>
      <c r="Q4091" s="556"/>
      <c r="R4091" s="582"/>
    </row>
    <row r="4092" ht="26.25" spans="1:18">
      <c r="A4092" s="556"/>
      <c r="B4092" s="557"/>
      <c r="C4092" s="108"/>
      <c r="D4092" s="108"/>
      <c r="E4092" s="108"/>
      <c r="F4092" s="108"/>
      <c r="G4092" s="108"/>
      <c r="H4092" s="108" t="s">
        <v>2901</v>
      </c>
      <c r="I4092" s="581">
        <v>2697.71</v>
      </c>
      <c r="J4092" s="114"/>
      <c r="K4092" s="114" t="s">
        <v>2902</v>
      </c>
      <c r="L4092" s="108"/>
      <c r="M4092" s="581">
        <v>19432.94</v>
      </c>
      <c r="N4092" s="573"/>
      <c r="O4092" s="556"/>
      <c r="P4092" s="573"/>
      <c r="Q4092" s="556"/>
      <c r="R4092" s="582"/>
    </row>
    <row r="4093" ht="15" spans="1:18">
      <c r="A4093" s="556"/>
      <c r="B4093" s="557"/>
      <c r="C4093" s="571"/>
      <c r="D4093" s="571"/>
      <c r="E4093" s="571"/>
      <c r="F4093" s="571"/>
      <c r="G4093" s="571"/>
      <c r="H4093" s="571"/>
      <c r="I4093" s="571"/>
      <c r="J4093" s="571"/>
      <c r="K4093" s="571"/>
      <c r="L4093" s="571"/>
      <c r="M4093" s="571"/>
      <c r="N4093" s="573"/>
      <c r="O4093" s="556"/>
      <c r="P4093" s="573"/>
      <c r="Q4093" s="556"/>
      <c r="R4093" s="582"/>
    </row>
    <row r="4094" ht="15" customHeight="1" spans="1:18">
      <c r="A4094" s="556"/>
      <c r="B4094" s="557">
        <f>C4093</f>
        <v>0</v>
      </c>
      <c r="C4094" s="76" t="s">
        <v>1416</v>
      </c>
      <c r="D4094" s="75" t="s">
        <v>63</v>
      </c>
      <c r="E4094" s="76" t="s">
        <v>64</v>
      </c>
      <c r="F4094" s="76" t="s">
        <v>65</v>
      </c>
      <c r="G4094" s="76" t="s">
        <v>2889</v>
      </c>
      <c r="H4094" s="76"/>
      <c r="I4094" s="77" t="s">
        <v>66</v>
      </c>
      <c r="J4094" s="75" t="s">
        <v>67</v>
      </c>
      <c r="K4094" s="75" t="s">
        <v>2890</v>
      </c>
      <c r="L4094" s="75" t="s">
        <v>68</v>
      </c>
      <c r="M4094" s="75" t="s">
        <v>70</v>
      </c>
      <c r="N4094" s="573">
        <v>2910.16</v>
      </c>
      <c r="O4094" s="556" t="str">
        <f>IF(N4094=M4094,"OK","DIF")</f>
        <v>DIF</v>
      </c>
      <c r="P4094" s="573"/>
      <c r="Q4094" s="556"/>
      <c r="R4094" s="582"/>
    </row>
    <row r="4095" ht="38.25" spans="1:18">
      <c r="A4095" s="556">
        <f>B4095</f>
        <v>0</v>
      </c>
      <c r="B4095" s="557">
        <f>B4094</f>
        <v>0</v>
      </c>
      <c r="C4095" s="569" t="s">
        <v>2891</v>
      </c>
      <c r="D4095" s="570" t="s">
        <v>1417</v>
      </c>
      <c r="E4095" s="569" t="s">
        <v>132</v>
      </c>
      <c r="F4095" s="569" t="s">
        <v>1418</v>
      </c>
      <c r="G4095" s="569">
        <v>69.05</v>
      </c>
      <c r="H4095" s="569"/>
      <c r="I4095" s="577" t="s">
        <v>134</v>
      </c>
      <c r="J4095" s="578">
        <v>1</v>
      </c>
      <c r="K4095" s="579"/>
      <c r="L4095" s="579">
        <v>25101.13</v>
      </c>
      <c r="M4095" s="579">
        <v>25101.13</v>
      </c>
      <c r="N4095" s="573">
        <v>28</v>
      </c>
      <c r="O4095" s="556" t="str">
        <f>IF(N4095=M4095,"OK","DIF")</f>
        <v>DIF</v>
      </c>
      <c r="P4095" s="573"/>
      <c r="Q4095" s="556"/>
      <c r="R4095" s="582"/>
    </row>
    <row r="4096" ht="23.85" customHeight="1" spans="1:18">
      <c r="A4096" s="556">
        <f>B4096</f>
        <v>0</v>
      </c>
      <c r="B4096" s="557">
        <f>B4095</f>
        <v>0</v>
      </c>
      <c r="C4096" s="79" t="s">
        <v>2921</v>
      </c>
      <c r="D4096" s="78" t="s">
        <v>3151</v>
      </c>
      <c r="E4096" s="79" t="s">
        <v>139</v>
      </c>
      <c r="F4096" s="79" t="s">
        <v>3152</v>
      </c>
      <c r="G4096" s="79" t="s">
        <v>2928</v>
      </c>
      <c r="H4096" s="79"/>
      <c r="I4096" s="80" t="s">
        <v>2897</v>
      </c>
      <c r="J4096" s="583">
        <v>1.5</v>
      </c>
      <c r="K4096" s="583">
        <v>0</v>
      </c>
      <c r="L4096" s="92">
        <v>36.82</v>
      </c>
      <c r="M4096" s="92">
        <v>55.23</v>
      </c>
      <c r="N4096" s="573">
        <v>33.92</v>
      </c>
      <c r="O4096" s="556" t="str">
        <f>IF(N4096=M4096,"OK","DIF")</f>
        <v>DIF</v>
      </c>
      <c r="P4096" s="573"/>
      <c r="Q4096" s="556"/>
      <c r="R4096" s="582"/>
    </row>
    <row r="4097" ht="23.85" customHeight="1" spans="1:18">
      <c r="A4097" s="556">
        <f>B4097</f>
        <v>0</v>
      </c>
      <c r="B4097" s="557">
        <f>B4096</f>
        <v>0</v>
      </c>
      <c r="C4097" s="79" t="s">
        <v>2921</v>
      </c>
      <c r="D4097" s="78" t="s">
        <v>3153</v>
      </c>
      <c r="E4097" s="79" t="s">
        <v>139</v>
      </c>
      <c r="F4097" s="79" t="s">
        <v>3154</v>
      </c>
      <c r="G4097" s="79" t="s">
        <v>2928</v>
      </c>
      <c r="H4097" s="79"/>
      <c r="I4097" s="80" t="s">
        <v>2897</v>
      </c>
      <c r="J4097" s="583">
        <v>1.5</v>
      </c>
      <c r="K4097" s="583">
        <v>0</v>
      </c>
      <c r="L4097" s="92">
        <v>30.6</v>
      </c>
      <c r="M4097" s="92">
        <v>45.9</v>
      </c>
      <c r="N4097" s="573">
        <v>2848.24</v>
      </c>
      <c r="O4097" s="556" t="str">
        <f>IF(N4097=M4097,"OK","DIF")</f>
        <v>DIF</v>
      </c>
      <c r="P4097" s="573"/>
      <c r="Q4097" s="556"/>
      <c r="R4097" s="582"/>
    </row>
    <row r="4098" ht="23.85" customHeight="1" spans="1:18">
      <c r="A4098" s="556"/>
      <c r="B4098" s="557"/>
      <c r="C4098" s="100" t="s">
        <v>2893</v>
      </c>
      <c r="D4098" s="99" t="s">
        <v>4263</v>
      </c>
      <c r="E4098" s="100" t="s">
        <v>132</v>
      </c>
      <c r="F4098" s="100" t="s">
        <v>1418</v>
      </c>
      <c r="G4098" s="100" t="s">
        <v>2961</v>
      </c>
      <c r="H4098" s="100"/>
      <c r="I4098" s="101" t="s">
        <v>334</v>
      </c>
      <c r="J4098" s="580">
        <v>1</v>
      </c>
      <c r="K4098" s="580">
        <v>0</v>
      </c>
      <c r="L4098" s="102">
        <v>25000</v>
      </c>
      <c r="M4098" s="102">
        <v>25000</v>
      </c>
      <c r="N4098" s="573"/>
      <c r="O4098" s="556"/>
      <c r="P4098" s="573"/>
      <c r="Q4098" s="556"/>
      <c r="R4098" s="582"/>
    </row>
    <row r="4099" ht="25.5" spans="1:18">
      <c r="A4099" s="556"/>
      <c r="B4099" s="557"/>
      <c r="C4099" s="108"/>
      <c r="D4099" s="108"/>
      <c r="E4099" s="108"/>
      <c r="F4099" s="108"/>
      <c r="G4099" s="108"/>
      <c r="H4099" s="108" t="s">
        <v>2898</v>
      </c>
      <c r="I4099" s="581">
        <v>70.97</v>
      </c>
      <c r="J4099" s="108" t="s">
        <v>2899</v>
      </c>
      <c r="K4099" s="581">
        <v>0</v>
      </c>
      <c r="L4099" s="108" t="s">
        <v>2900</v>
      </c>
      <c r="M4099" s="581">
        <v>70.97</v>
      </c>
      <c r="N4099" s="573"/>
      <c r="O4099" s="556"/>
      <c r="P4099" s="573"/>
      <c r="Q4099" s="556"/>
      <c r="R4099" s="582"/>
    </row>
    <row r="4100" ht="26.25" spans="1:18">
      <c r="A4100" s="556"/>
      <c r="B4100" s="557">
        <f>C4099</f>
        <v>0</v>
      </c>
      <c r="C4100" s="108"/>
      <c r="D4100" s="108"/>
      <c r="E4100" s="108"/>
      <c r="F4100" s="108"/>
      <c r="G4100" s="108"/>
      <c r="H4100" s="108" t="s">
        <v>2901</v>
      </c>
      <c r="I4100" s="581">
        <v>4046.3</v>
      </c>
      <c r="J4100" s="114"/>
      <c r="K4100" s="114" t="s">
        <v>2902</v>
      </c>
      <c r="L4100" s="108"/>
      <c r="M4100" s="581">
        <v>29147.43</v>
      </c>
      <c r="N4100" s="573">
        <v>1480.99</v>
      </c>
      <c r="O4100" s="556" t="str">
        <f>IF(N4100=M4100,"OK","DIF")</f>
        <v>DIF</v>
      </c>
      <c r="P4100" s="573"/>
      <c r="Q4100" s="556"/>
      <c r="R4100" s="582"/>
    </row>
    <row r="4101" ht="15" spans="1:18">
      <c r="A4101" s="556">
        <f>B4101</f>
        <v>0</v>
      </c>
      <c r="B4101" s="557">
        <f>B4100</f>
        <v>0</v>
      </c>
      <c r="C4101" s="571"/>
      <c r="D4101" s="571"/>
      <c r="E4101" s="571"/>
      <c r="F4101" s="571"/>
      <c r="G4101" s="571"/>
      <c r="H4101" s="571"/>
      <c r="I4101" s="571"/>
      <c r="J4101" s="571"/>
      <c r="K4101" s="571"/>
      <c r="L4101" s="571"/>
      <c r="M4101" s="571"/>
      <c r="N4101" s="573">
        <v>53.94</v>
      </c>
      <c r="O4101" s="556" t="str">
        <f>IF(N4101=M4101,"OK","DIF")</f>
        <v>DIF</v>
      </c>
      <c r="P4101" s="573"/>
      <c r="Q4101" s="556"/>
      <c r="R4101" s="582"/>
    </row>
    <row r="4102" ht="15" customHeight="1" spans="1:18">
      <c r="A4102" s="556">
        <f>B4102</f>
        <v>0</v>
      </c>
      <c r="B4102" s="557">
        <f>B4101</f>
        <v>0</v>
      </c>
      <c r="C4102" s="76" t="s">
        <v>1420</v>
      </c>
      <c r="D4102" s="75" t="s">
        <v>63</v>
      </c>
      <c r="E4102" s="76" t="s">
        <v>64</v>
      </c>
      <c r="F4102" s="76" t="s">
        <v>65</v>
      </c>
      <c r="G4102" s="76" t="s">
        <v>2889</v>
      </c>
      <c r="H4102" s="76"/>
      <c r="I4102" s="77" t="s">
        <v>66</v>
      </c>
      <c r="J4102" s="75" t="s">
        <v>67</v>
      </c>
      <c r="K4102" s="75" t="s">
        <v>2890</v>
      </c>
      <c r="L4102" s="75" t="s">
        <v>68</v>
      </c>
      <c r="M4102" s="75" t="s">
        <v>70</v>
      </c>
      <c r="N4102" s="573">
        <v>73</v>
      </c>
      <c r="O4102" s="556" t="str">
        <f>IF(N4102=M4102,"OK","DIF")</f>
        <v>DIF</v>
      </c>
      <c r="P4102" s="573"/>
      <c r="Q4102" s="556"/>
      <c r="R4102" s="582"/>
    </row>
    <row r="4103" ht="76.5" spans="1:18">
      <c r="A4103" s="556">
        <f>B4103</f>
        <v>0</v>
      </c>
      <c r="B4103" s="557">
        <f>B4102</f>
        <v>0</v>
      </c>
      <c r="C4103" s="569" t="s">
        <v>2891</v>
      </c>
      <c r="D4103" s="570" t="s">
        <v>1421</v>
      </c>
      <c r="E4103" s="569" t="s">
        <v>132</v>
      </c>
      <c r="F4103" s="569" t="s">
        <v>1422</v>
      </c>
      <c r="G4103" s="569">
        <v>80</v>
      </c>
      <c r="H4103" s="569"/>
      <c r="I4103" s="577" t="s">
        <v>334</v>
      </c>
      <c r="J4103" s="578">
        <v>1</v>
      </c>
      <c r="K4103" s="579"/>
      <c r="L4103" s="579">
        <v>563976.25</v>
      </c>
      <c r="M4103" s="579">
        <v>563976.25</v>
      </c>
      <c r="N4103" s="573">
        <v>1354.05</v>
      </c>
      <c r="O4103" s="556" t="str">
        <f>IF(N4103=M4103,"OK","DIF")</f>
        <v>DIF</v>
      </c>
      <c r="P4103" s="573"/>
      <c r="Q4103" s="556"/>
      <c r="R4103" s="582"/>
    </row>
    <row r="4104" ht="68.65" customHeight="1" spans="1:18">
      <c r="A4104" s="556"/>
      <c r="B4104" s="557"/>
      <c r="C4104" s="100" t="s">
        <v>2893</v>
      </c>
      <c r="D4104" s="99" t="s">
        <v>4264</v>
      </c>
      <c r="E4104" s="100" t="s">
        <v>132</v>
      </c>
      <c r="F4104" s="100" t="s">
        <v>4265</v>
      </c>
      <c r="G4104" s="100" t="s">
        <v>2961</v>
      </c>
      <c r="H4104" s="100"/>
      <c r="I4104" s="101" t="s">
        <v>134</v>
      </c>
      <c r="J4104" s="580">
        <v>1</v>
      </c>
      <c r="K4104" s="580">
        <v>0</v>
      </c>
      <c r="L4104" s="102">
        <v>563976.25</v>
      </c>
      <c r="M4104" s="102">
        <v>563976.25</v>
      </c>
      <c r="N4104" s="573"/>
      <c r="O4104" s="556"/>
      <c r="P4104" s="573"/>
      <c r="Q4104" s="556"/>
      <c r="R4104" s="582"/>
    </row>
    <row r="4105" ht="25.5" spans="1:18">
      <c r="A4105" s="556"/>
      <c r="B4105" s="557"/>
      <c r="C4105" s="108"/>
      <c r="D4105" s="108"/>
      <c r="E4105" s="108"/>
      <c r="F4105" s="108"/>
      <c r="G4105" s="108"/>
      <c r="H4105" s="108" t="s">
        <v>2898</v>
      </c>
      <c r="I4105" s="581">
        <v>0</v>
      </c>
      <c r="J4105" s="108" t="s">
        <v>2899</v>
      </c>
      <c r="K4105" s="581">
        <v>0</v>
      </c>
      <c r="L4105" s="108" t="s">
        <v>2900</v>
      </c>
      <c r="M4105" s="581">
        <v>0</v>
      </c>
      <c r="N4105" s="573"/>
      <c r="O4105" s="556"/>
      <c r="P4105" s="573"/>
      <c r="Q4105" s="556"/>
      <c r="R4105" s="582"/>
    </row>
    <row r="4106" ht="26.25" spans="1:18">
      <c r="A4106" s="556"/>
      <c r="B4106" s="557">
        <f>C4105</f>
        <v>0</v>
      </c>
      <c r="C4106" s="108"/>
      <c r="D4106" s="108"/>
      <c r="E4106" s="108"/>
      <c r="F4106" s="108"/>
      <c r="G4106" s="108"/>
      <c r="H4106" s="108" t="s">
        <v>2901</v>
      </c>
      <c r="I4106" s="581">
        <v>90912.97</v>
      </c>
      <c r="J4106" s="114"/>
      <c r="K4106" s="114" t="s">
        <v>2902</v>
      </c>
      <c r="L4106" s="108"/>
      <c r="M4106" s="581">
        <v>654889.22</v>
      </c>
      <c r="N4106" s="573">
        <v>17.78</v>
      </c>
      <c r="O4106" s="556" t="str">
        <f>IF(N4106=M4106,"OK","DIF")</f>
        <v>DIF</v>
      </c>
      <c r="P4106" s="573"/>
      <c r="Q4106" s="556"/>
      <c r="R4106" s="582"/>
    </row>
    <row r="4107" ht="15" spans="1:18">
      <c r="A4107" s="556">
        <f>B4107</f>
        <v>0</v>
      </c>
      <c r="B4107" s="557">
        <f>B4106</f>
        <v>0</v>
      </c>
      <c r="C4107" s="571"/>
      <c r="D4107" s="571"/>
      <c r="E4107" s="571"/>
      <c r="F4107" s="571"/>
      <c r="G4107" s="571"/>
      <c r="H4107" s="571"/>
      <c r="I4107" s="571"/>
      <c r="J4107" s="571"/>
      <c r="K4107" s="571"/>
      <c r="L4107" s="571"/>
      <c r="M4107" s="571"/>
      <c r="N4107" s="573">
        <v>3.36</v>
      </c>
      <c r="O4107" s="556" t="str">
        <f>IF(N4107=M4107,"OK","DIF")</f>
        <v>DIF</v>
      </c>
      <c r="P4107" s="573"/>
      <c r="Q4107" s="556"/>
      <c r="R4107" s="582"/>
    </row>
    <row r="4108" ht="15" customHeight="1" spans="1:18">
      <c r="A4108" s="556">
        <f>B4108</f>
        <v>0</v>
      </c>
      <c r="B4108" s="557">
        <f>B4107</f>
        <v>0</v>
      </c>
      <c r="C4108" s="76" t="s">
        <v>1424</v>
      </c>
      <c r="D4108" s="75" t="s">
        <v>63</v>
      </c>
      <c r="E4108" s="76" t="s">
        <v>64</v>
      </c>
      <c r="F4108" s="76" t="s">
        <v>65</v>
      </c>
      <c r="G4108" s="76" t="s">
        <v>2889</v>
      </c>
      <c r="H4108" s="76"/>
      <c r="I4108" s="77" t="s">
        <v>66</v>
      </c>
      <c r="J4108" s="75" t="s">
        <v>67</v>
      </c>
      <c r="K4108" s="75" t="s">
        <v>2890</v>
      </c>
      <c r="L4108" s="75" t="s">
        <v>68</v>
      </c>
      <c r="M4108" s="75" t="s">
        <v>70</v>
      </c>
      <c r="N4108" s="573">
        <v>5.1</v>
      </c>
      <c r="O4108" s="556" t="str">
        <f>IF(N4108=M4108,"OK","DIF")</f>
        <v>DIF</v>
      </c>
      <c r="P4108" s="573"/>
      <c r="Q4108" s="556"/>
      <c r="R4108" s="582"/>
    </row>
    <row r="4109" ht="68.65" customHeight="1" spans="1:18">
      <c r="A4109" s="556">
        <f>B4109</f>
        <v>0</v>
      </c>
      <c r="B4109" s="557">
        <f>B4108</f>
        <v>0</v>
      </c>
      <c r="C4109" s="569" t="s">
        <v>2891</v>
      </c>
      <c r="D4109" s="570" t="s">
        <v>1425</v>
      </c>
      <c r="E4109" s="569" t="s">
        <v>132</v>
      </c>
      <c r="F4109" s="569" t="s">
        <v>1426</v>
      </c>
      <c r="G4109" s="569" t="s">
        <v>3177</v>
      </c>
      <c r="H4109" s="569"/>
      <c r="I4109" s="577" t="s">
        <v>134</v>
      </c>
      <c r="J4109" s="578">
        <v>1</v>
      </c>
      <c r="K4109" s="579"/>
      <c r="L4109" s="579">
        <v>4456.95</v>
      </c>
      <c r="M4109" s="579">
        <v>4456.95</v>
      </c>
      <c r="N4109" s="573">
        <v>9.32</v>
      </c>
      <c r="O4109" s="556" t="str">
        <f>IF(N4109=M4109,"OK","DIF")</f>
        <v>DIF</v>
      </c>
      <c r="P4109" s="573"/>
      <c r="Q4109" s="556"/>
      <c r="R4109" s="582"/>
    </row>
    <row r="4110" ht="23.85" customHeight="1" spans="1:18">
      <c r="A4110" s="556"/>
      <c r="B4110" s="557"/>
      <c r="C4110" s="79" t="s">
        <v>2921</v>
      </c>
      <c r="D4110" s="78" t="s">
        <v>4190</v>
      </c>
      <c r="E4110" s="79" t="s">
        <v>139</v>
      </c>
      <c r="F4110" s="79" t="s">
        <v>4191</v>
      </c>
      <c r="G4110" s="79" t="s">
        <v>2928</v>
      </c>
      <c r="H4110" s="79"/>
      <c r="I4110" s="80" t="s">
        <v>2897</v>
      </c>
      <c r="J4110" s="583">
        <v>16</v>
      </c>
      <c r="K4110" s="583">
        <v>0</v>
      </c>
      <c r="L4110" s="92">
        <v>40.65</v>
      </c>
      <c r="M4110" s="92">
        <v>650.4</v>
      </c>
      <c r="N4110" s="573"/>
      <c r="O4110" s="556"/>
      <c r="P4110" s="573"/>
      <c r="Q4110" s="556"/>
      <c r="R4110" s="582"/>
    </row>
    <row r="4111" ht="23.85" customHeight="1" spans="1:18">
      <c r="A4111" s="556"/>
      <c r="B4111" s="557"/>
      <c r="C4111" s="79" t="s">
        <v>2921</v>
      </c>
      <c r="D4111" s="78" t="s">
        <v>3153</v>
      </c>
      <c r="E4111" s="79" t="s">
        <v>139</v>
      </c>
      <c r="F4111" s="79" t="s">
        <v>3154</v>
      </c>
      <c r="G4111" s="79" t="s">
        <v>2928</v>
      </c>
      <c r="H4111" s="79"/>
      <c r="I4111" s="80" t="s">
        <v>2897</v>
      </c>
      <c r="J4111" s="583">
        <v>25.086</v>
      </c>
      <c r="K4111" s="583">
        <v>0</v>
      </c>
      <c r="L4111" s="92">
        <v>30.6</v>
      </c>
      <c r="M4111" s="92">
        <v>767.63</v>
      </c>
      <c r="N4111" s="573"/>
      <c r="O4111" s="556"/>
      <c r="P4111" s="573"/>
      <c r="Q4111" s="556"/>
      <c r="R4111" s="582"/>
    </row>
    <row r="4112" ht="46.25" customHeight="1" spans="1:18">
      <c r="A4112" s="556"/>
      <c r="B4112" s="557" t="str">
        <f>C4111</f>
        <v>Composição Auxiliar</v>
      </c>
      <c r="C4112" s="79" t="s">
        <v>2921</v>
      </c>
      <c r="D4112" s="78" t="s">
        <v>4266</v>
      </c>
      <c r="E4112" s="79" t="s">
        <v>139</v>
      </c>
      <c r="F4112" s="79" t="s">
        <v>4267</v>
      </c>
      <c r="G4112" s="79" t="s">
        <v>2995</v>
      </c>
      <c r="H4112" s="79"/>
      <c r="I4112" s="80" t="s">
        <v>3002</v>
      </c>
      <c r="J4112" s="583">
        <v>8</v>
      </c>
      <c r="K4112" s="583">
        <v>0</v>
      </c>
      <c r="L4112" s="92">
        <v>300.61</v>
      </c>
      <c r="M4112" s="92">
        <v>2404.88</v>
      </c>
      <c r="N4112" s="573">
        <v>21.19</v>
      </c>
      <c r="O4112" s="556" t="str">
        <f t="shared" ref="O4112:O4118" si="315">IF(N4112=M4112,"OK","DIF")</f>
        <v>DIF</v>
      </c>
      <c r="P4112" s="573"/>
      <c r="Q4112" s="556"/>
      <c r="R4112" s="582"/>
    </row>
    <row r="4113" ht="23.85" customHeight="1" spans="1:18">
      <c r="A4113" s="556" t="str">
        <f t="shared" ref="A4113:A4118" si="316">B4113</f>
        <v>Composição Auxiliar</v>
      </c>
      <c r="B4113" s="557" t="str">
        <f t="shared" ref="B4113:B4118" si="317">B4112</f>
        <v>Composição Auxiliar</v>
      </c>
      <c r="C4113" s="79" t="s">
        <v>2921</v>
      </c>
      <c r="D4113" s="78" t="s">
        <v>3151</v>
      </c>
      <c r="E4113" s="79" t="s">
        <v>139</v>
      </c>
      <c r="F4113" s="79" t="s">
        <v>3152</v>
      </c>
      <c r="G4113" s="79" t="s">
        <v>2928</v>
      </c>
      <c r="H4113" s="79"/>
      <c r="I4113" s="80" t="s">
        <v>2897</v>
      </c>
      <c r="J4113" s="583">
        <v>17.22</v>
      </c>
      <c r="K4113" s="583">
        <v>0</v>
      </c>
      <c r="L4113" s="92">
        <v>36.82</v>
      </c>
      <c r="M4113" s="92">
        <v>634.04</v>
      </c>
      <c r="N4113" s="573">
        <v>5.58</v>
      </c>
      <c r="O4113" s="556" t="str">
        <f t="shared" si="315"/>
        <v>DIF</v>
      </c>
      <c r="P4113" s="573"/>
      <c r="Q4113" s="556"/>
      <c r="R4113" s="582"/>
    </row>
    <row r="4114" ht="25.5" spans="1:18">
      <c r="A4114" s="556" t="str">
        <f t="shared" si="316"/>
        <v>Composição Auxiliar</v>
      </c>
      <c r="B4114" s="557" t="str">
        <f t="shared" si="317"/>
        <v>Composição Auxiliar</v>
      </c>
      <c r="C4114" s="108"/>
      <c r="D4114" s="108"/>
      <c r="E4114" s="108"/>
      <c r="F4114" s="108"/>
      <c r="G4114" s="108"/>
      <c r="H4114" s="108" t="s">
        <v>2898</v>
      </c>
      <c r="I4114" s="581">
        <v>1830.16</v>
      </c>
      <c r="J4114" s="108" t="s">
        <v>2899</v>
      </c>
      <c r="K4114" s="581">
        <v>0</v>
      </c>
      <c r="L4114" s="108" t="s">
        <v>2900</v>
      </c>
      <c r="M4114" s="581">
        <v>1830.16</v>
      </c>
      <c r="N4114" s="573">
        <v>0.05</v>
      </c>
      <c r="O4114" s="556" t="str">
        <f t="shared" si="315"/>
        <v>DIF</v>
      </c>
      <c r="P4114" s="573"/>
      <c r="Q4114" s="556"/>
      <c r="R4114" s="582"/>
    </row>
    <row r="4115" ht="26.25" spans="1:18">
      <c r="A4115" s="556" t="str">
        <f t="shared" si="316"/>
        <v>Composição Auxiliar</v>
      </c>
      <c r="B4115" s="557" t="str">
        <f t="shared" si="317"/>
        <v>Composição Auxiliar</v>
      </c>
      <c r="C4115" s="108"/>
      <c r="D4115" s="108"/>
      <c r="E4115" s="108"/>
      <c r="F4115" s="108"/>
      <c r="G4115" s="108"/>
      <c r="H4115" s="108" t="s">
        <v>2901</v>
      </c>
      <c r="I4115" s="581">
        <v>1136.07</v>
      </c>
      <c r="J4115" s="114"/>
      <c r="K4115" s="114" t="s">
        <v>2902</v>
      </c>
      <c r="L4115" s="108"/>
      <c r="M4115" s="581">
        <v>5593.02</v>
      </c>
      <c r="N4115" s="573">
        <v>0.9</v>
      </c>
      <c r="O4115" s="556" t="str">
        <f t="shared" si="315"/>
        <v>DIF</v>
      </c>
      <c r="P4115" s="573"/>
      <c r="Q4115" s="556"/>
      <c r="R4115" s="582"/>
    </row>
    <row r="4116" ht="15" spans="1:18">
      <c r="A4116" s="556" t="str">
        <f t="shared" si="316"/>
        <v>Composição Auxiliar</v>
      </c>
      <c r="B4116" s="557" t="str">
        <f t="shared" si="317"/>
        <v>Composição Auxiliar</v>
      </c>
      <c r="C4116" s="571"/>
      <c r="D4116" s="571"/>
      <c r="E4116" s="571"/>
      <c r="F4116" s="571"/>
      <c r="G4116" s="571"/>
      <c r="H4116" s="571"/>
      <c r="I4116" s="571"/>
      <c r="J4116" s="571"/>
      <c r="K4116" s="571"/>
      <c r="L4116" s="571"/>
      <c r="M4116" s="571"/>
      <c r="N4116" s="573">
        <v>1.79</v>
      </c>
      <c r="O4116" s="556" t="str">
        <f t="shared" si="315"/>
        <v>DIF</v>
      </c>
      <c r="P4116" s="573"/>
      <c r="Q4116" s="556"/>
      <c r="R4116" s="582"/>
    </row>
    <row r="4117" ht="15" customHeight="1" spans="1:18">
      <c r="A4117" s="556" t="str">
        <f t="shared" si="316"/>
        <v>Composição Auxiliar</v>
      </c>
      <c r="B4117" s="557" t="str">
        <f t="shared" si="317"/>
        <v>Composição Auxiliar</v>
      </c>
      <c r="C4117" s="76" t="s">
        <v>1427</v>
      </c>
      <c r="D4117" s="75" t="s">
        <v>63</v>
      </c>
      <c r="E4117" s="76" t="s">
        <v>64</v>
      </c>
      <c r="F4117" s="76" t="s">
        <v>65</v>
      </c>
      <c r="G4117" s="76" t="s">
        <v>2889</v>
      </c>
      <c r="H4117" s="76"/>
      <c r="I4117" s="77" t="s">
        <v>66</v>
      </c>
      <c r="J4117" s="75" t="s">
        <v>67</v>
      </c>
      <c r="K4117" s="75" t="s">
        <v>2890</v>
      </c>
      <c r="L4117" s="75" t="s">
        <v>68</v>
      </c>
      <c r="M4117" s="75" t="s">
        <v>70</v>
      </c>
      <c r="N4117" s="573">
        <v>8.53</v>
      </c>
      <c r="O4117" s="556" t="str">
        <f t="shared" si="315"/>
        <v>DIF</v>
      </c>
      <c r="P4117" s="573"/>
      <c r="Q4117" s="556"/>
      <c r="R4117" s="582"/>
    </row>
    <row r="4118" ht="76.5" spans="1:18">
      <c r="A4118" s="556" t="str">
        <f t="shared" si="316"/>
        <v>Composição Auxiliar</v>
      </c>
      <c r="B4118" s="557" t="str">
        <f t="shared" si="317"/>
        <v>Composição Auxiliar</v>
      </c>
      <c r="C4118" s="569" t="s">
        <v>2891</v>
      </c>
      <c r="D4118" s="570" t="s">
        <v>1428</v>
      </c>
      <c r="E4118" s="569" t="s">
        <v>132</v>
      </c>
      <c r="F4118" s="569" t="s">
        <v>1429</v>
      </c>
      <c r="G4118" s="569">
        <v>80</v>
      </c>
      <c r="H4118" s="569"/>
      <c r="I4118" s="577" t="s">
        <v>334</v>
      </c>
      <c r="J4118" s="578">
        <v>1</v>
      </c>
      <c r="K4118" s="579"/>
      <c r="L4118" s="579">
        <v>83948.65</v>
      </c>
      <c r="M4118" s="579">
        <v>83948.65</v>
      </c>
      <c r="N4118" s="573">
        <v>4.34</v>
      </c>
      <c r="O4118" s="556" t="str">
        <f t="shared" si="315"/>
        <v>DIF</v>
      </c>
      <c r="P4118" s="573"/>
      <c r="Q4118" s="556"/>
      <c r="R4118" s="582"/>
    </row>
    <row r="4119" ht="23.85" customHeight="1" spans="1:18">
      <c r="A4119" s="556"/>
      <c r="B4119" s="557"/>
      <c r="C4119" s="79" t="s">
        <v>2921</v>
      </c>
      <c r="D4119" s="78" t="s">
        <v>3153</v>
      </c>
      <c r="E4119" s="79" t="s">
        <v>139</v>
      </c>
      <c r="F4119" s="79" t="s">
        <v>3154</v>
      </c>
      <c r="G4119" s="79" t="s">
        <v>2928</v>
      </c>
      <c r="H4119" s="79"/>
      <c r="I4119" s="80" t="s">
        <v>2897</v>
      </c>
      <c r="J4119" s="583">
        <v>3</v>
      </c>
      <c r="K4119" s="583">
        <v>0</v>
      </c>
      <c r="L4119" s="92">
        <v>30.6</v>
      </c>
      <c r="M4119" s="92">
        <v>91.8</v>
      </c>
      <c r="N4119" s="573"/>
      <c r="O4119" s="556"/>
      <c r="P4119" s="573"/>
      <c r="Q4119" s="556"/>
      <c r="R4119" s="582"/>
    </row>
    <row r="4120" ht="23.85" customHeight="1" spans="1:18">
      <c r="A4120" s="556"/>
      <c r="B4120" s="557"/>
      <c r="C4120" s="79" t="s">
        <v>2921</v>
      </c>
      <c r="D4120" s="78" t="s">
        <v>3151</v>
      </c>
      <c r="E4120" s="79" t="s">
        <v>139</v>
      </c>
      <c r="F4120" s="79" t="s">
        <v>3152</v>
      </c>
      <c r="G4120" s="79" t="s">
        <v>2928</v>
      </c>
      <c r="H4120" s="79"/>
      <c r="I4120" s="80" t="s">
        <v>2897</v>
      </c>
      <c r="J4120" s="583">
        <v>2</v>
      </c>
      <c r="K4120" s="583">
        <v>0</v>
      </c>
      <c r="L4120" s="92">
        <v>36.82</v>
      </c>
      <c r="M4120" s="92">
        <v>73.64</v>
      </c>
      <c r="N4120" s="573"/>
      <c r="O4120" s="556"/>
      <c r="P4120" s="573"/>
      <c r="Q4120" s="556"/>
      <c r="R4120" s="582"/>
    </row>
    <row r="4121" ht="68.65" customHeight="1" spans="1:18">
      <c r="A4121" s="556"/>
      <c r="B4121" s="557" t="str">
        <f>C4120</f>
        <v>Composição Auxiliar</v>
      </c>
      <c r="C4121" s="100" t="s">
        <v>2893</v>
      </c>
      <c r="D4121" s="99" t="s">
        <v>4268</v>
      </c>
      <c r="E4121" s="100" t="s">
        <v>132</v>
      </c>
      <c r="F4121" s="100" t="s">
        <v>4269</v>
      </c>
      <c r="G4121" s="100" t="s">
        <v>2961</v>
      </c>
      <c r="H4121" s="100"/>
      <c r="I4121" s="101" t="s">
        <v>134</v>
      </c>
      <c r="J4121" s="580">
        <v>1</v>
      </c>
      <c r="K4121" s="580">
        <v>0</v>
      </c>
      <c r="L4121" s="102">
        <v>83783.21</v>
      </c>
      <c r="M4121" s="102">
        <v>83783.21</v>
      </c>
      <c r="N4121" s="573">
        <v>31.53</v>
      </c>
      <c r="O4121" s="556" t="str">
        <f>IF(N4121=M4121,"OK","DIF")</f>
        <v>DIF</v>
      </c>
      <c r="P4121" s="573"/>
      <c r="Q4121" s="556"/>
      <c r="R4121" s="582"/>
    </row>
    <row r="4122" ht="25.5" spans="1:18">
      <c r="A4122" s="556" t="str">
        <f>B4122</f>
        <v>Composição Auxiliar</v>
      </c>
      <c r="B4122" s="557" t="str">
        <f>B4121</f>
        <v>Composição Auxiliar</v>
      </c>
      <c r="C4122" s="108"/>
      <c r="D4122" s="108"/>
      <c r="E4122" s="108"/>
      <c r="F4122" s="108"/>
      <c r="G4122" s="108"/>
      <c r="H4122" s="108" t="s">
        <v>2898</v>
      </c>
      <c r="I4122" s="581">
        <v>115.19</v>
      </c>
      <c r="J4122" s="108" t="s">
        <v>2899</v>
      </c>
      <c r="K4122" s="581">
        <v>0</v>
      </c>
      <c r="L4122" s="108" t="s">
        <v>2900</v>
      </c>
      <c r="M4122" s="581">
        <v>115.19</v>
      </c>
      <c r="N4122" s="573">
        <v>5.69</v>
      </c>
      <c r="O4122" s="556" t="str">
        <f>IF(N4122=M4122,"OK","DIF")</f>
        <v>DIF</v>
      </c>
      <c r="P4122" s="573"/>
      <c r="Q4122" s="556"/>
      <c r="R4122" s="582"/>
    </row>
    <row r="4123" ht="26.25" spans="1:18">
      <c r="A4123" s="556" t="str">
        <f>B4123</f>
        <v>Composição Auxiliar</v>
      </c>
      <c r="B4123" s="557" t="str">
        <f>B4122</f>
        <v>Composição Auxiliar</v>
      </c>
      <c r="C4123" s="108"/>
      <c r="D4123" s="108"/>
      <c r="E4123" s="108"/>
      <c r="F4123" s="108"/>
      <c r="G4123" s="108"/>
      <c r="H4123" s="108" t="s">
        <v>2901</v>
      </c>
      <c r="I4123" s="581">
        <v>13532.52</v>
      </c>
      <c r="J4123" s="114"/>
      <c r="K4123" s="114" t="s">
        <v>2902</v>
      </c>
      <c r="L4123" s="108"/>
      <c r="M4123" s="581">
        <v>97481.17</v>
      </c>
      <c r="N4123" s="573">
        <v>4.69</v>
      </c>
      <c r="O4123" s="556" t="str">
        <f>IF(N4123=M4123,"OK","DIF")</f>
        <v>DIF</v>
      </c>
      <c r="P4123" s="573"/>
      <c r="Q4123" s="556"/>
      <c r="R4123" s="582"/>
    </row>
    <row r="4124" ht="15" spans="1:18">
      <c r="A4124" s="556" t="str">
        <f>B4124</f>
        <v>Composição Auxiliar</v>
      </c>
      <c r="B4124" s="557" t="str">
        <f>B4123</f>
        <v>Composição Auxiliar</v>
      </c>
      <c r="C4124" s="571"/>
      <c r="D4124" s="571"/>
      <c r="E4124" s="571"/>
      <c r="F4124" s="571"/>
      <c r="G4124" s="571"/>
      <c r="H4124" s="571"/>
      <c r="I4124" s="571"/>
      <c r="J4124" s="571"/>
      <c r="K4124" s="571"/>
      <c r="L4124" s="571"/>
      <c r="M4124" s="571"/>
      <c r="N4124" s="573">
        <v>21.15</v>
      </c>
      <c r="O4124" s="556" t="str">
        <f>IF(N4124=M4124,"OK","DIF")</f>
        <v>DIF</v>
      </c>
      <c r="P4124" s="573"/>
      <c r="Q4124" s="556"/>
      <c r="R4124" s="582"/>
    </row>
    <row r="4125" ht="15" customHeight="1" spans="1:18">
      <c r="A4125" s="556"/>
      <c r="B4125" s="557"/>
      <c r="C4125" s="76" t="s">
        <v>1431</v>
      </c>
      <c r="D4125" s="75" t="s">
        <v>63</v>
      </c>
      <c r="E4125" s="76" t="s">
        <v>64</v>
      </c>
      <c r="F4125" s="76" t="s">
        <v>65</v>
      </c>
      <c r="G4125" s="76" t="s">
        <v>2889</v>
      </c>
      <c r="H4125" s="76"/>
      <c r="I4125" s="77" t="s">
        <v>66</v>
      </c>
      <c r="J4125" s="75" t="s">
        <v>67</v>
      </c>
      <c r="K4125" s="75" t="s">
        <v>2890</v>
      </c>
      <c r="L4125" s="75" t="s">
        <v>68</v>
      </c>
      <c r="M4125" s="75" t="s">
        <v>70</v>
      </c>
      <c r="N4125" s="573"/>
      <c r="O4125" s="556"/>
      <c r="P4125" s="573"/>
      <c r="Q4125" s="556"/>
      <c r="R4125" s="582"/>
    </row>
    <row r="4126" ht="76.5" spans="1:18">
      <c r="A4126" s="556"/>
      <c r="B4126" s="557"/>
      <c r="C4126" s="569" t="s">
        <v>2891</v>
      </c>
      <c r="D4126" s="570" t="s">
        <v>1432</v>
      </c>
      <c r="E4126" s="569" t="s">
        <v>132</v>
      </c>
      <c r="F4126" s="569" t="s">
        <v>1433</v>
      </c>
      <c r="G4126" s="569">
        <v>80</v>
      </c>
      <c r="H4126" s="569"/>
      <c r="I4126" s="577" t="s">
        <v>334</v>
      </c>
      <c r="J4126" s="578">
        <v>1</v>
      </c>
      <c r="K4126" s="579"/>
      <c r="L4126" s="579">
        <v>968388.69</v>
      </c>
      <c r="M4126" s="579">
        <v>968388.69</v>
      </c>
      <c r="N4126" s="573"/>
      <c r="O4126" s="556"/>
      <c r="P4126" s="573"/>
      <c r="Q4126" s="556"/>
      <c r="R4126" s="582"/>
    </row>
    <row r="4127" ht="68.65" customHeight="1" spans="1:18">
      <c r="A4127" s="556"/>
      <c r="B4127" s="557" t="str">
        <f>C4126</f>
        <v>Composição</v>
      </c>
      <c r="C4127" s="100" t="s">
        <v>2893</v>
      </c>
      <c r="D4127" s="99" t="s">
        <v>4270</v>
      </c>
      <c r="E4127" s="100" t="s">
        <v>132</v>
      </c>
      <c r="F4127" s="100" t="s">
        <v>4271</v>
      </c>
      <c r="G4127" s="100" t="s">
        <v>2961</v>
      </c>
      <c r="H4127" s="100"/>
      <c r="I4127" s="101" t="s">
        <v>134</v>
      </c>
      <c r="J4127" s="580">
        <v>1</v>
      </c>
      <c r="K4127" s="580">
        <v>0</v>
      </c>
      <c r="L4127" s="102">
        <v>968388.69</v>
      </c>
      <c r="M4127" s="102">
        <v>968388.69</v>
      </c>
      <c r="N4127" s="573">
        <v>16.52</v>
      </c>
      <c r="O4127" s="556" t="str">
        <f>IF(N4127=M4127,"OK","DIF")</f>
        <v>DIF</v>
      </c>
      <c r="P4127" s="573"/>
      <c r="Q4127" s="556"/>
      <c r="R4127" s="582"/>
    </row>
    <row r="4128" ht="25.5" spans="1:18">
      <c r="A4128" s="556" t="str">
        <f>B4128</f>
        <v>Composição</v>
      </c>
      <c r="B4128" s="557" t="str">
        <f>B4127</f>
        <v>Composição</v>
      </c>
      <c r="C4128" s="108"/>
      <c r="D4128" s="108"/>
      <c r="E4128" s="108"/>
      <c r="F4128" s="108"/>
      <c r="G4128" s="108"/>
      <c r="H4128" s="108" t="s">
        <v>2898</v>
      </c>
      <c r="I4128" s="581">
        <v>0</v>
      </c>
      <c r="J4128" s="108" t="s">
        <v>2899</v>
      </c>
      <c r="K4128" s="581">
        <v>0</v>
      </c>
      <c r="L4128" s="108" t="s">
        <v>2900</v>
      </c>
      <c r="M4128" s="581">
        <v>0</v>
      </c>
      <c r="N4128" s="573">
        <v>3.12</v>
      </c>
      <c r="O4128" s="556" t="str">
        <f>IF(N4128=M4128,"OK","DIF")</f>
        <v>DIF</v>
      </c>
      <c r="P4128" s="573"/>
      <c r="Q4128" s="556"/>
      <c r="R4128" s="582"/>
    </row>
    <row r="4129" ht="26.25" spans="1:18">
      <c r="A4129" s="556" t="str">
        <f>B4129</f>
        <v>Composição</v>
      </c>
      <c r="B4129" s="557" t="str">
        <f>B4128</f>
        <v>Composição</v>
      </c>
      <c r="C4129" s="108"/>
      <c r="D4129" s="108"/>
      <c r="E4129" s="108"/>
      <c r="F4129" s="108"/>
      <c r="G4129" s="108"/>
      <c r="H4129" s="108" t="s">
        <v>2901</v>
      </c>
      <c r="I4129" s="581">
        <v>156104.25</v>
      </c>
      <c r="J4129" s="114"/>
      <c r="K4129" s="114" t="s">
        <v>2902</v>
      </c>
      <c r="L4129" s="108"/>
      <c r="M4129" s="581">
        <v>1124492.94</v>
      </c>
      <c r="N4129" s="573">
        <v>2.57</v>
      </c>
      <c r="O4129" s="556" t="str">
        <f>IF(N4129=M4129,"OK","DIF")</f>
        <v>DIF</v>
      </c>
      <c r="P4129" s="573"/>
      <c r="Q4129" s="556"/>
      <c r="R4129" s="582"/>
    </row>
    <row r="4130" ht="15" spans="1:18">
      <c r="A4130" s="556" t="str">
        <f>B4130</f>
        <v>Composição</v>
      </c>
      <c r="B4130" s="557" t="str">
        <f>B4129</f>
        <v>Composição</v>
      </c>
      <c r="C4130" s="571"/>
      <c r="D4130" s="571"/>
      <c r="E4130" s="571"/>
      <c r="F4130" s="571"/>
      <c r="G4130" s="571"/>
      <c r="H4130" s="571"/>
      <c r="I4130" s="571"/>
      <c r="J4130" s="571"/>
      <c r="K4130" s="571"/>
      <c r="L4130" s="571"/>
      <c r="M4130" s="571"/>
      <c r="N4130" s="573">
        <v>10.83</v>
      </c>
      <c r="O4130" s="556" t="str">
        <f>IF(N4130=M4130,"OK","DIF")</f>
        <v>DIF</v>
      </c>
      <c r="P4130" s="573"/>
      <c r="Q4130" s="556"/>
      <c r="R4130" s="582"/>
    </row>
    <row r="4131" ht="15" customHeight="1" spans="1:18">
      <c r="A4131" s="556"/>
      <c r="B4131" s="557"/>
      <c r="C4131" s="76" t="s">
        <v>1435</v>
      </c>
      <c r="D4131" s="75" t="s">
        <v>63</v>
      </c>
      <c r="E4131" s="76" t="s">
        <v>64</v>
      </c>
      <c r="F4131" s="76" t="s">
        <v>65</v>
      </c>
      <c r="G4131" s="76" t="s">
        <v>2889</v>
      </c>
      <c r="H4131" s="76"/>
      <c r="I4131" s="77" t="s">
        <v>66</v>
      </c>
      <c r="J4131" s="75" t="s">
        <v>67</v>
      </c>
      <c r="K4131" s="75" t="s">
        <v>2890</v>
      </c>
      <c r="L4131" s="75" t="s">
        <v>68</v>
      </c>
      <c r="M4131" s="75" t="s">
        <v>70</v>
      </c>
      <c r="N4131" s="573"/>
      <c r="O4131" s="556"/>
      <c r="P4131" s="573"/>
      <c r="Q4131" s="556"/>
      <c r="R4131" s="582"/>
    </row>
    <row r="4132" ht="68.65" customHeight="1" spans="1:18">
      <c r="A4132" s="556"/>
      <c r="B4132" s="557"/>
      <c r="C4132" s="569" t="s">
        <v>2891</v>
      </c>
      <c r="D4132" s="570" t="s">
        <v>1436</v>
      </c>
      <c r="E4132" s="569" t="s">
        <v>132</v>
      </c>
      <c r="F4132" s="569" t="s">
        <v>1437</v>
      </c>
      <c r="G4132" s="569" t="s">
        <v>3177</v>
      </c>
      <c r="H4132" s="569"/>
      <c r="I4132" s="577" t="s">
        <v>134</v>
      </c>
      <c r="J4132" s="578">
        <v>1</v>
      </c>
      <c r="K4132" s="579"/>
      <c r="L4132" s="579">
        <v>4456.95</v>
      </c>
      <c r="M4132" s="579">
        <v>4456.95</v>
      </c>
      <c r="N4132" s="573"/>
      <c r="O4132" s="556"/>
      <c r="P4132" s="573"/>
      <c r="Q4132" s="556"/>
      <c r="R4132" s="582"/>
    </row>
    <row r="4133" ht="46.25" customHeight="1" spans="1:18">
      <c r="A4133" s="556"/>
      <c r="B4133" s="557" t="str">
        <f>C4132</f>
        <v>Composição</v>
      </c>
      <c r="C4133" s="79" t="s">
        <v>2921</v>
      </c>
      <c r="D4133" s="78" t="s">
        <v>4266</v>
      </c>
      <c r="E4133" s="79" t="s">
        <v>139</v>
      </c>
      <c r="F4133" s="79" t="s">
        <v>4267</v>
      </c>
      <c r="G4133" s="79" t="s">
        <v>2995</v>
      </c>
      <c r="H4133" s="79"/>
      <c r="I4133" s="80" t="s">
        <v>3002</v>
      </c>
      <c r="J4133" s="583">
        <v>8</v>
      </c>
      <c r="K4133" s="583">
        <v>0</v>
      </c>
      <c r="L4133" s="92">
        <v>300.61</v>
      </c>
      <c r="M4133" s="92">
        <v>2404.88</v>
      </c>
      <c r="N4133" s="573">
        <v>144.45</v>
      </c>
      <c r="O4133" s="556" t="str">
        <f t="shared" ref="O4133:O4138" si="318">IF(N4133=M4133,"OK","DIF")</f>
        <v>DIF</v>
      </c>
      <c r="P4133" s="573"/>
      <c r="Q4133" s="556"/>
      <c r="R4133" s="582"/>
    </row>
    <row r="4134" ht="23.85" customHeight="1" spans="1:18">
      <c r="A4134" s="556" t="str">
        <f>B4134</f>
        <v>Composição</v>
      </c>
      <c r="B4134" s="557" t="str">
        <f>B4133</f>
        <v>Composição</v>
      </c>
      <c r="C4134" s="79" t="s">
        <v>2921</v>
      </c>
      <c r="D4134" s="78" t="s">
        <v>3153</v>
      </c>
      <c r="E4134" s="79" t="s">
        <v>139</v>
      </c>
      <c r="F4134" s="79" t="s">
        <v>3154</v>
      </c>
      <c r="G4134" s="79" t="s">
        <v>2928</v>
      </c>
      <c r="H4134" s="79"/>
      <c r="I4134" s="80" t="s">
        <v>2897</v>
      </c>
      <c r="J4134" s="583">
        <v>25.086</v>
      </c>
      <c r="K4134" s="583">
        <v>0</v>
      </c>
      <c r="L4134" s="92">
        <v>30.6</v>
      </c>
      <c r="M4134" s="92">
        <v>767.63</v>
      </c>
      <c r="N4134" s="573">
        <v>22.03</v>
      </c>
      <c r="O4134" s="556" t="str">
        <f t="shared" si="318"/>
        <v>DIF</v>
      </c>
      <c r="P4134" s="573"/>
      <c r="Q4134" s="556"/>
      <c r="R4134" s="582"/>
    </row>
    <row r="4135" ht="23.85" customHeight="1" spans="1:18">
      <c r="A4135" s="556" t="str">
        <f>B4135</f>
        <v>Composição</v>
      </c>
      <c r="B4135" s="557" t="str">
        <f>B4134</f>
        <v>Composição</v>
      </c>
      <c r="C4135" s="79" t="s">
        <v>2921</v>
      </c>
      <c r="D4135" s="78" t="s">
        <v>4190</v>
      </c>
      <c r="E4135" s="79" t="s">
        <v>139</v>
      </c>
      <c r="F4135" s="79" t="s">
        <v>4191</v>
      </c>
      <c r="G4135" s="79" t="s">
        <v>2928</v>
      </c>
      <c r="H4135" s="79"/>
      <c r="I4135" s="80" t="s">
        <v>2897</v>
      </c>
      <c r="J4135" s="583">
        <v>16</v>
      </c>
      <c r="K4135" s="583">
        <v>0</v>
      </c>
      <c r="L4135" s="92">
        <v>40.65</v>
      </c>
      <c r="M4135" s="92">
        <v>650.4</v>
      </c>
      <c r="N4135" s="573">
        <v>68.5</v>
      </c>
      <c r="O4135" s="556" t="str">
        <f t="shared" si="318"/>
        <v>DIF</v>
      </c>
      <c r="P4135" s="573"/>
      <c r="Q4135" s="556"/>
      <c r="R4135" s="582"/>
    </row>
    <row r="4136" ht="23.85" customHeight="1" spans="1:18">
      <c r="A4136" s="556" t="str">
        <f>B4136</f>
        <v>Composição</v>
      </c>
      <c r="B4136" s="557" t="str">
        <f>B4135</f>
        <v>Composição</v>
      </c>
      <c r="C4136" s="79" t="s">
        <v>2921</v>
      </c>
      <c r="D4136" s="78" t="s">
        <v>3151</v>
      </c>
      <c r="E4136" s="79" t="s">
        <v>139</v>
      </c>
      <c r="F4136" s="79" t="s">
        <v>3152</v>
      </c>
      <c r="G4136" s="79" t="s">
        <v>2928</v>
      </c>
      <c r="H4136" s="79"/>
      <c r="I4136" s="80" t="s">
        <v>2897</v>
      </c>
      <c r="J4136" s="583">
        <v>17.22</v>
      </c>
      <c r="K4136" s="583">
        <v>0</v>
      </c>
      <c r="L4136" s="92">
        <v>36.82</v>
      </c>
      <c r="M4136" s="92">
        <v>634.04</v>
      </c>
      <c r="N4136" s="573">
        <v>14</v>
      </c>
      <c r="O4136" s="556" t="str">
        <f t="shared" si="318"/>
        <v>DIF</v>
      </c>
      <c r="P4136" s="573"/>
      <c r="Q4136" s="556"/>
      <c r="R4136" s="582"/>
    </row>
    <row r="4137" ht="25.5" spans="1:18">
      <c r="A4137" s="556" t="str">
        <f>B4137</f>
        <v>Composição</v>
      </c>
      <c r="B4137" s="557" t="str">
        <f>B4136</f>
        <v>Composição</v>
      </c>
      <c r="C4137" s="108"/>
      <c r="D4137" s="108"/>
      <c r="E4137" s="108"/>
      <c r="F4137" s="108"/>
      <c r="G4137" s="108"/>
      <c r="H4137" s="108" t="s">
        <v>2898</v>
      </c>
      <c r="I4137" s="581">
        <v>1830.16</v>
      </c>
      <c r="J4137" s="108" t="s">
        <v>2899</v>
      </c>
      <c r="K4137" s="581">
        <v>0</v>
      </c>
      <c r="L4137" s="108" t="s">
        <v>2900</v>
      </c>
      <c r="M4137" s="581">
        <v>1830.16</v>
      </c>
      <c r="N4137" s="573">
        <v>30.85</v>
      </c>
      <c r="O4137" s="556" t="str">
        <f t="shared" si="318"/>
        <v>DIF</v>
      </c>
      <c r="P4137" s="573"/>
      <c r="Q4137" s="556"/>
      <c r="R4137" s="582"/>
    </row>
    <row r="4138" ht="26.25" spans="1:18">
      <c r="A4138" s="556" t="str">
        <f>B4138</f>
        <v>Composição</v>
      </c>
      <c r="B4138" s="557" t="str">
        <f>B4137</f>
        <v>Composição</v>
      </c>
      <c r="C4138" s="108"/>
      <c r="D4138" s="108"/>
      <c r="E4138" s="108"/>
      <c r="F4138" s="108"/>
      <c r="G4138" s="108"/>
      <c r="H4138" s="108" t="s">
        <v>2901</v>
      </c>
      <c r="I4138" s="581">
        <v>1136.07</v>
      </c>
      <c r="J4138" s="114"/>
      <c r="K4138" s="114" t="s">
        <v>2902</v>
      </c>
      <c r="L4138" s="108"/>
      <c r="M4138" s="581">
        <v>5593.02</v>
      </c>
      <c r="N4138" s="573">
        <v>9.07</v>
      </c>
      <c r="O4138" s="556" t="str">
        <f t="shared" si="318"/>
        <v>DIF</v>
      </c>
      <c r="P4138" s="573"/>
      <c r="Q4138" s="556"/>
      <c r="R4138" s="582"/>
    </row>
    <row r="4139" ht="15" spans="1:18">
      <c r="A4139" s="556"/>
      <c r="B4139" s="557"/>
      <c r="C4139" s="571"/>
      <c r="D4139" s="571"/>
      <c r="E4139" s="571"/>
      <c r="F4139" s="571"/>
      <c r="G4139" s="571"/>
      <c r="H4139" s="571"/>
      <c r="I4139" s="571"/>
      <c r="J4139" s="571"/>
      <c r="K4139" s="571"/>
      <c r="L4139" s="571"/>
      <c r="M4139" s="571"/>
      <c r="N4139" s="573"/>
      <c r="O4139" s="556"/>
      <c r="P4139" s="573"/>
      <c r="Q4139" s="556"/>
      <c r="R4139" s="582"/>
    </row>
    <row r="4140" ht="15" customHeight="1" spans="1:18">
      <c r="A4140" s="556"/>
      <c r="B4140" s="557"/>
      <c r="C4140" s="76" t="s">
        <v>1438</v>
      </c>
      <c r="D4140" s="75" t="s">
        <v>63</v>
      </c>
      <c r="E4140" s="76" t="s">
        <v>64</v>
      </c>
      <c r="F4140" s="76" t="s">
        <v>65</v>
      </c>
      <c r="G4140" s="76" t="s">
        <v>2889</v>
      </c>
      <c r="H4140" s="76"/>
      <c r="I4140" s="77" t="s">
        <v>66</v>
      </c>
      <c r="J4140" s="75" t="s">
        <v>67</v>
      </c>
      <c r="K4140" s="75" t="s">
        <v>2890</v>
      </c>
      <c r="L4140" s="75" t="s">
        <v>68</v>
      </c>
      <c r="M4140" s="75" t="s">
        <v>70</v>
      </c>
      <c r="N4140" s="573"/>
      <c r="O4140" s="556"/>
      <c r="P4140" s="573"/>
      <c r="Q4140" s="556"/>
      <c r="R4140" s="582"/>
    </row>
    <row r="4141" ht="79.85" customHeight="1" spans="1:18">
      <c r="A4141" s="556"/>
      <c r="B4141" s="557" t="str">
        <f>C4140</f>
        <v> 12.4.24 </v>
      </c>
      <c r="C4141" s="569" t="s">
        <v>2891</v>
      </c>
      <c r="D4141" s="570" t="s">
        <v>1439</v>
      </c>
      <c r="E4141" s="569" t="s">
        <v>132</v>
      </c>
      <c r="F4141" s="569" t="s">
        <v>1440</v>
      </c>
      <c r="G4141" s="569" t="s">
        <v>3177</v>
      </c>
      <c r="H4141" s="569"/>
      <c r="I4141" s="577" t="s">
        <v>134</v>
      </c>
      <c r="J4141" s="578">
        <v>1</v>
      </c>
      <c r="K4141" s="579"/>
      <c r="L4141" s="579">
        <v>95281.52</v>
      </c>
      <c r="M4141" s="579">
        <v>95281.52</v>
      </c>
      <c r="N4141" s="573">
        <v>88.9</v>
      </c>
      <c r="O4141" s="556" t="str">
        <f t="shared" ref="O4141:O4147" si="319">IF(N4141=M4141,"OK","DIF")</f>
        <v>DIF</v>
      </c>
      <c r="P4141" s="573"/>
      <c r="Q4141" s="556"/>
      <c r="R4141" s="582"/>
    </row>
    <row r="4142" ht="23.85" customHeight="1" spans="1:18">
      <c r="A4142" s="556" t="str">
        <f t="shared" ref="A4142:A4147" si="320">B4142</f>
        <v> 12.4.24 </v>
      </c>
      <c r="B4142" s="557" t="str">
        <f t="shared" ref="B4142:B4147" si="321">B4141</f>
        <v> 12.4.24 </v>
      </c>
      <c r="C4142" s="79" t="s">
        <v>2921</v>
      </c>
      <c r="D4142" s="78" t="s">
        <v>3153</v>
      </c>
      <c r="E4142" s="79" t="s">
        <v>139</v>
      </c>
      <c r="F4142" s="79" t="s">
        <v>3154</v>
      </c>
      <c r="G4142" s="79" t="s">
        <v>2928</v>
      </c>
      <c r="H4142" s="79"/>
      <c r="I4142" s="80" t="s">
        <v>2897</v>
      </c>
      <c r="J4142" s="583">
        <v>4.5</v>
      </c>
      <c r="K4142" s="583">
        <v>0</v>
      </c>
      <c r="L4142" s="92">
        <v>30.6</v>
      </c>
      <c r="M4142" s="92">
        <v>137.7</v>
      </c>
      <c r="N4142" s="573">
        <v>7</v>
      </c>
      <c r="O4142" s="556" t="str">
        <f t="shared" si="319"/>
        <v>DIF</v>
      </c>
      <c r="P4142" s="573"/>
      <c r="Q4142" s="556"/>
      <c r="R4142" s="582"/>
    </row>
    <row r="4143" ht="23.85" customHeight="1" spans="1:18">
      <c r="A4143" s="556" t="str">
        <f t="shared" si="320"/>
        <v> 12.4.24 </v>
      </c>
      <c r="B4143" s="557" t="str">
        <f t="shared" si="321"/>
        <v> 12.4.24 </v>
      </c>
      <c r="C4143" s="79" t="s">
        <v>2921</v>
      </c>
      <c r="D4143" s="78" t="s">
        <v>3151</v>
      </c>
      <c r="E4143" s="79" t="s">
        <v>139</v>
      </c>
      <c r="F4143" s="79" t="s">
        <v>3152</v>
      </c>
      <c r="G4143" s="79" t="s">
        <v>2928</v>
      </c>
      <c r="H4143" s="79"/>
      <c r="I4143" s="80" t="s">
        <v>2897</v>
      </c>
      <c r="J4143" s="583">
        <v>4.5</v>
      </c>
      <c r="K4143" s="583">
        <v>0</v>
      </c>
      <c r="L4143" s="92">
        <v>36.82</v>
      </c>
      <c r="M4143" s="92">
        <v>165.69</v>
      </c>
      <c r="N4143" s="573">
        <v>28.77</v>
      </c>
      <c r="O4143" s="556" t="str">
        <f t="shared" si="319"/>
        <v>DIF</v>
      </c>
      <c r="P4143" s="573"/>
      <c r="Q4143" s="556"/>
      <c r="R4143" s="582"/>
    </row>
    <row r="4144" ht="79.85" customHeight="1" spans="1:18">
      <c r="A4144" s="556" t="str">
        <f t="shared" si="320"/>
        <v> 12.4.24 </v>
      </c>
      <c r="B4144" s="557" t="str">
        <f t="shared" si="321"/>
        <v> 12.4.24 </v>
      </c>
      <c r="C4144" s="100" t="s">
        <v>2893</v>
      </c>
      <c r="D4144" s="99" t="s">
        <v>4272</v>
      </c>
      <c r="E4144" s="100" t="s">
        <v>132</v>
      </c>
      <c r="F4144" s="100" t="s">
        <v>4273</v>
      </c>
      <c r="G4144" s="100" t="s">
        <v>2961</v>
      </c>
      <c r="H4144" s="100"/>
      <c r="I4144" s="101" t="s">
        <v>134</v>
      </c>
      <c r="J4144" s="580">
        <v>1</v>
      </c>
      <c r="K4144" s="580">
        <v>0</v>
      </c>
      <c r="L4144" s="102">
        <v>94978.13</v>
      </c>
      <c r="M4144" s="102">
        <v>94978.13</v>
      </c>
      <c r="N4144" s="573">
        <v>4.53</v>
      </c>
      <c r="O4144" s="556" t="str">
        <f t="shared" si="319"/>
        <v>DIF</v>
      </c>
      <c r="P4144" s="573"/>
      <c r="Q4144" s="556"/>
      <c r="R4144" s="582"/>
    </row>
    <row r="4145" ht="25.5" spans="1:18">
      <c r="A4145" s="556" t="str">
        <f t="shared" si="320"/>
        <v> 12.4.24 </v>
      </c>
      <c r="B4145" s="557" t="str">
        <f t="shared" si="321"/>
        <v> 12.4.24 </v>
      </c>
      <c r="C4145" s="108"/>
      <c r="D4145" s="108"/>
      <c r="E4145" s="108"/>
      <c r="F4145" s="108"/>
      <c r="G4145" s="108"/>
      <c r="H4145" s="108" t="s">
        <v>2898</v>
      </c>
      <c r="I4145" s="581">
        <v>212.93</v>
      </c>
      <c r="J4145" s="108" t="s">
        <v>2899</v>
      </c>
      <c r="K4145" s="581">
        <v>0</v>
      </c>
      <c r="L4145" s="108" t="s">
        <v>2900</v>
      </c>
      <c r="M4145" s="581">
        <v>212.93</v>
      </c>
      <c r="N4145" s="573">
        <v>15.42</v>
      </c>
      <c r="O4145" s="556" t="str">
        <f t="shared" si="319"/>
        <v>DIF</v>
      </c>
      <c r="P4145" s="573"/>
      <c r="Q4145" s="556"/>
      <c r="R4145" s="582"/>
    </row>
    <row r="4146" ht="26.25" spans="1:18">
      <c r="A4146" s="556" t="str">
        <f t="shared" si="320"/>
        <v> 12.4.24 </v>
      </c>
      <c r="B4146" s="557" t="str">
        <f t="shared" si="321"/>
        <v> 12.4.24 </v>
      </c>
      <c r="C4146" s="108"/>
      <c r="D4146" s="108"/>
      <c r="E4146" s="108"/>
      <c r="F4146" s="108"/>
      <c r="G4146" s="108"/>
      <c r="H4146" s="108" t="s">
        <v>2901</v>
      </c>
      <c r="I4146" s="581">
        <v>15359.38</v>
      </c>
      <c r="J4146" s="114"/>
      <c r="K4146" s="114" t="s">
        <v>2902</v>
      </c>
      <c r="L4146" s="108"/>
      <c r="M4146" s="581">
        <v>110640.9</v>
      </c>
      <c r="N4146" s="573">
        <v>24.66</v>
      </c>
      <c r="O4146" s="556" t="str">
        <f t="shared" si="319"/>
        <v>DIF</v>
      </c>
      <c r="P4146" s="573"/>
      <c r="Q4146" s="556"/>
      <c r="R4146" s="582"/>
    </row>
    <row r="4147" ht="15" spans="1:18">
      <c r="A4147" s="556" t="str">
        <f t="shared" si="320"/>
        <v> 12.4.24 </v>
      </c>
      <c r="B4147" s="557" t="str">
        <f t="shared" si="321"/>
        <v> 12.4.24 </v>
      </c>
      <c r="C4147" s="571"/>
      <c r="D4147" s="571"/>
      <c r="E4147" s="571"/>
      <c r="F4147" s="571"/>
      <c r="G4147" s="571"/>
      <c r="H4147" s="571"/>
      <c r="I4147" s="571"/>
      <c r="J4147" s="571"/>
      <c r="K4147" s="571"/>
      <c r="L4147" s="571"/>
      <c r="M4147" s="571"/>
      <c r="N4147" s="573">
        <v>8.52</v>
      </c>
      <c r="O4147" s="556" t="str">
        <f t="shared" si="319"/>
        <v>DIF</v>
      </c>
      <c r="P4147" s="573"/>
      <c r="Q4147" s="556"/>
      <c r="R4147" s="582"/>
    </row>
    <row r="4148" ht="15" customHeight="1" spans="1:18">
      <c r="A4148" s="556"/>
      <c r="B4148" s="557"/>
      <c r="C4148" s="76" t="s">
        <v>1442</v>
      </c>
      <c r="D4148" s="75" t="s">
        <v>63</v>
      </c>
      <c r="E4148" s="76" t="s">
        <v>64</v>
      </c>
      <c r="F4148" s="76" t="s">
        <v>65</v>
      </c>
      <c r="G4148" s="76" t="s">
        <v>2889</v>
      </c>
      <c r="H4148" s="76"/>
      <c r="I4148" s="77" t="s">
        <v>66</v>
      </c>
      <c r="J4148" s="75" t="s">
        <v>67</v>
      </c>
      <c r="K4148" s="75" t="s">
        <v>2890</v>
      </c>
      <c r="L4148" s="75" t="s">
        <v>68</v>
      </c>
      <c r="M4148" s="75" t="s">
        <v>70</v>
      </c>
      <c r="N4148" s="573"/>
      <c r="O4148" s="556"/>
      <c r="P4148" s="573"/>
      <c r="Q4148" s="556"/>
      <c r="R4148" s="582"/>
    </row>
    <row r="4149" ht="46.25" customHeight="1" spans="1:18">
      <c r="A4149" s="556"/>
      <c r="B4149" s="557"/>
      <c r="C4149" s="569" t="s">
        <v>2891</v>
      </c>
      <c r="D4149" s="570" t="s">
        <v>1443</v>
      </c>
      <c r="E4149" s="569" t="s">
        <v>132</v>
      </c>
      <c r="F4149" s="569" t="s">
        <v>1444</v>
      </c>
      <c r="G4149" s="569" t="s">
        <v>3177</v>
      </c>
      <c r="H4149" s="569"/>
      <c r="I4149" s="577" t="s">
        <v>134</v>
      </c>
      <c r="J4149" s="578">
        <v>1</v>
      </c>
      <c r="K4149" s="579"/>
      <c r="L4149" s="579">
        <v>11399.95</v>
      </c>
      <c r="M4149" s="579">
        <v>11399.95</v>
      </c>
      <c r="N4149" s="573"/>
      <c r="O4149" s="556"/>
      <c r="P4149" s="573"/>
      <c r="Q4149" s="556"/>
      <c r="R4149" s="582"/>
    </row>
    <row r="4150" ht="23.85" customHeight="1" spans="1:18">
      <c r="A4150" s="556"/>
      <c r="B4150" s="557" t="str">
        <f>C4149</f>
        <v>Composição</v>
      </c>
      <c r="C4150" s="79" t="s">
        <v>2921</v>
      </c>
      <c r="D4150" s="78" t="s">
        <v>3017</v>
      </c>
      <c r="E4150" s="79" t="s">
        <v>139</v>
      </c>
      <c r="F4150" s="79" t="s">
        <v>3018</v>
      </c>
      <c r="G4150" s="79" t="s">
        <v>2928</v>
      </c>
      <c r="H4150" s="79"/>
      <c r="I4150" s="80" t="s">
        <v>2897</v>
      </c>
      <c r="J4150" s="583">
        <v>2</v>
      </c>
      <c r="K4150" s="583">
        <v>0</v>
      </c>
      <c r="L4150" s="92">
        <v>36.96</v>
      </c>
      <c r="M4150" s="92">
        <v>73.92</v>
      </c>
      <c r="N4150" s="573">
        <v>986.99</v>
      </c>
      <c r="O4150" s="556" t="str">
        <f t="shared" ref="O4150:O4170" si="322">IF(N4150=M4150,"OK","DIF")</f>
        <v>DIF</v>
      </c>
      <c r="P4150" s="573"/>
      <c r="Q4150" s="556"/>
      <c r="R4150" s="582"/>
    </row>
    <row r="4151" ht="23.85" customHeight="1" spans="1:18">
      <c r="A4151" s="556" t="str">
        <f t="shared" ref="A4151:A4170" si="323">B4151</f>
        <v>Composição</v>
      </c>
      <c r="B4151" s="557" t="str">
        <f t="shared" ref="B4151:B4170" si="324">B4150</f>
        <v>Composição</v>
      </c>
      <c r="C4151" s="79" t="s">
        <v>2921</v>
      </c>
      <c r="D4151" s="78" t="s">
        <v>2952</v>
      </c>
      <c r="E4151" s="79" t="s">
        <v>139</v>
      </c>
      <c r="F4151" s="79" t="s">
        <v>2953</v>
      </c>
      <c r="G4151" s="79" t="s">
        <v>2928</v>
      </c>
      <c r="H4151" s="79"/>
      <c r="I4151" s="80" t="s">
        <v>2897</v>
      </c>
      <c r="J4151" s="583">
        <v>2</v>
      </c>
      <c r="K4151" s="583">
        <v>0</v>
      </c>
      <c r="L4151" s="92">
        <v>29.15</v>
      </c>
      <c r="M4151" s="92">
        <v>58.3</v>
      </c>
      <c r="N4151" s="573">
        <v>26.78</v>
      </c>
      <c r="O4151" s="556" t="str">
        <f t="shared" si="322"/>
        <v>DIF</v>
      </c>
      <c r="P4151" s="573"/>
      <c r="Q4151" s="556"/>
      <c r="R4151" s="582"/>
    </row>
    <row r="4152" ht="23.85" customHeight="1" spans="1:18">
      <c r="A4152" s="556" t="str">
        <f t="shared" si="323"/>
        <v>Composição</v>
      </c>
      <c r="B4152" s="557" t="str">
        <f t="shared" si="324"/>
        <v>Composição</v>
      </c>
      <c r="C4152" s="79" t="s">
        <v>2921</v>
      </c>
      <c r="D4152" s="78" t="s">
        <v>3151</v>
      </c>
      <c r="E4152" s="79" t="s">
        <v>139</v>
      </c>
      <c r="F4152" s="79" t="s">
        <v>3152</v>
      </c>
      <c r="G4152" s="79" t="s">
        <v>2928</v>
      </c>
      <c r="H4152" s="79"/>
      <c r="I4152" s="80" t="s">
        <v>2897</v>
      </c>
      <c r="J4152" s="583">
        <v>2</v>
      </c>
      <c r="K4152" s="583">
        <v>0</v>
      </c>
      <c r="L4152" s="92">
        <v>36.82</v>
      </c>
      <c r="M4152" s="92">
        <v>73.64</v>
      </c>
      <c r="N4152" s="573">
        <v>24.01</v>
      </c>
      <c r="O4152" s="556" t="str">
        <f t="shared" si="322"/>
        <v>DIF</v>
      </c>
      <c r="P4152" s="573"/>
      <c r="Q4152" s="556"/>
      <c r="R4152" s="582"/>
    </row>
    <row r="4153" ht="46.25" customHeight="1" spans="1:18">
      <c r="A4153" s="556" t="str">
        <f t="shared" si="323"/>
        <v>Composição</v>
      </c>
      <c r="B4153" s="557" t="str">
        <f t="shared" si="324"/>
        <v>Composição</v>
      </c>
      <c r="C4153" s="100" t="s">
        <v>2893</v>
      </c>
      <c r="D4153" s="99" t="s">
        <v>4274</v>
      </c>
      <c r="E4153" s="100" t="s">
        <v>132</v>
      </c>
      <c r="F4153" s="100" t="s">
        <v>4275</v>
      </c>
      <c r="G4153" s="100" t="s">
        <v>2961</v>
      </c>
      <c r="H4153" s="100"/>
      <c r="I4153" s="101" t="s">
        <v>134</v>
      </c>
      <c r="J4153" s="580">
        <v>1</v>
      </c>
      <c r="K4153" s="580">
        <v>0</v>
      </c>
      <c r="L4153" s="102">
        <v>11194.09</v>
      </c>
      <c r="M4153" s="102">
        <v>11194.09</v>
      </c>
      <c r="N4153" s="573">
        <v>2.78</v>
      </c>
      <c r="O4153" s="556" t="str">
        <f t="shared" si="322"/>
        <v>DIF</v>
      </c>
      <c r="P4153" s="573"/>
      <c r="Q4153" s="556"/>
      <c r="R4153" s="582"/>
    </row>
    <row r="4154" ht="25.5" spans="1:18">
      <c r="A4154" s="556" t="str">
        <f t="shared" si="323"/>
        <v>Composição</v>
      </c>
      <c r="B4154" s="557" t="str">
        <f t="shared" si="324"/>
        <v>Composição</v>
      </c>
      <c r="C4154" s="108"/>
      <c r="D4154" s="108"/>
      <c r="E4154" s="108"/>
      <c r="F4154" s="108"/>
      <c r="G4154" s="108"/>
      <c r="H4154" s="108" t="s">
        <v>2898</v>
      </c>
      <c r="I4154" s="581">
        <v>145.86</v>
      </c>
      <c r="J4154" s="108" t="s">
        <v>2899</v>
      </c>
      <c r="K4154" s="581">
        <v>0</v>
      </c>
      <c r="L4154" s="108" t="s">
        <v>2900</v>
      </c>
      <c r="M4154" s="581">
        <v>145.86</v>
      </c>
      <c r="N4154" s="573">
        <v>110.18</v>
      </c>
      <c r="O4154" s="556" t="str">
        <f t="shared" si="322"/>
        <v>DIF</v>
      </c>
      <c r="P4154" s="573"/>
      <c r="Q4154" s="556"/>
      <c r="R4154" s="582"/>
    </row>
    <row r="4155" ht="26.25" spans="1:18">
      <c r="A4155" s="556" t="str">
        <f t="shared" si="323"/>
        <v>Composição</v>
      </c>
      <c r="B4155" s="557" t="str">
        <f t="shared" si="324"/>
        <v>Composição</v>
      </c>
      <c r="C4155" s="108"/>
      <c r="D4155" s="108"/>
      <c r="E4155" s="108"/>
      <c r="F4155" s="108"/>
      <c r="G4155" s="108"/>
      <c r="H4155" s="108" t="s">
        <v>2901</v>
      </c>
      <c r="I4155" s="581">
        <v>1837.67</v>
      </c>
      <c r="J4155" s="114"/>
      <c r="K4155" s="114" t="s">
        <v>2902</v>
      </c>
      <c r="L4155" s="108"/>
      <c r="M4155" s="581">
        <v>13237.62</v>
      </c>
      <c r="N4155" s="573">
        <v>237.8</v>
      </c>
      <c r="O4155" s="556" t="str">
        <f t="shared" si="322"/>
        <v>DIF</v>
      </c>
      <c r="P4155" s="573"/>
      <c r="Q4155" s="556"/>
      <c r="R4155" s="582"/>
    </row>
    <row r="4156" ht="15" spans="1:18">
      <c r="A4156" s="556" t="str">
        <f t="shared" si="323"/>
        <v>Composição</v>
      </c>
      <c r="B4156" s="557" t="str">
        <f t="shared" si="324"/>
        <v>Composição</v>
      </c>
      <c r="C4156" s="571"/>
      <c r="D4156" s="571"/>
      <c r="E4156" s="571"/>
      <c r="F4156" s="571"/>
      <c r="G4156" s="571"/>
      <c r="H4156" s="571"/>
      <c r="I4156" s="571"/>
      <c r="J4156" s="571"/>
      <c r="K4156" s="571"/>
      <c r="L4156" s="571"/>
      <c r="M4156" s="571"/>
      <c r="N4156" s="573">
        <v>2.72</v>
      </c>
      <c r="O4156" s="556" t="str">
        <f t="shared" si="322"/>
        <v>DIF</v>
      </c>
      <c r="P4156" s="573"/>
      <c r="Q4156" s="556"/>
      <c r="R4156" s="582"/>
    </row>
    <row r="4157" ht="15" customHeight="1" spans="1:18">
      <c r="A4157" s="556" t="str">
        <f t="shared" si="323"/>
        <v>Composição</v>
      </c>
      <c r="B4157" s="557" t="str">
        <f t="shared" si="324"/>
        <v>Composição</v>
      </c>
      <c r="C4157" s="76" t="s">
        <v>1446</v>
      </c>
      <c r="D4157" s="75" t="s">
        <v>63</v>
      </c>
      <c r="E4157" s="76" t="s">
        <v>64</v>
      </c>
      <c r="F4157" s="76" t="s">
        <v>65</v>
      </c>
      <c r="G4157" s="76" t="s">
        <v>2889</v>
      </c>
      <c r="H4157" s="76"/>
      <c r="I4157" s="77" t="s">
        <v>66</v>
      </c>
      <c r="J4157" s="75" t="s">
        <v>67</v>
      </c>
      <c r="K4157" s="75" t="s">
        <v>2890</v>
      </c>
      <c r="L4157" s="75" t="s">
        <v>68</v>
      </c>
      <c r="M4157" s="75" t="s">
        <v>70</v>
      </c>
      <c r="N4157" s="573">
        <v>468</v>
      </c>
      <c r="O4157" s="556" t="str">
        <f t="shared" si="322"/>
        <v>DIF</v>
      </c>
      <c r="P4157" s="573"/>
      <c r="Q4157" s="556"/>
      <c r="R4157" s="582"/>
    </row>
    <row r="4158" ht="46.25" customHeight="1" spans="1:18">
      <c r="A4158" s="556" t="str">
        <f t="shared" si="323"/>
        <v>Composição</v>
      </c>
      <c r="B4158" s="557" t="str">
        <f t="shared" si="324"/>
        <v>Composição</v>
      </c>
      <c r="C4158" s="569" t="s">
        <v>2891</v>
      </c>
      <c r="D4158" s="570" t="s">
        <v>1447</v>
      </c>
      <c r="E4158" s="569" t="s">
        <v>132</v>
      </c>
      <c r="F4158" s="569" t="s">
        <v>1448</v>
      </c>
      <c r="G4158" s="569" t="s">
        <v>3177</v>
      </c>
      <c r="H4158" s="569"/>
      <c r="I4158" s="577" t="s">
        <v>134</v>
      </c>
      <c r="J4158" s="578">
        <v>1</v>
      </c>
      <c r="K4158" s="579"/>
      <c r="L4158" s="579">
        <v>7635.21</v>
      </c>
      <c r="M4158" s="579">
        <v>7635.21</v>
      </c>
      <c r="N4158" s="573">
        <v>5.81</v>
      </c>
      <c r="O4158" s="556" t="str">
        <f t="shared" si="322"/>
        <v>DIF</v>
      </c>
      <c r="P4158" s="573"/>
      <c r="Q4158" s="556"/>
      <c r="R4158" s="582"/>
    </row>
    <row r="4159" ht="23.85" customHeight="1" spans="1:18">
      <c r="A4159" s="556" t="str">
        <f t="shared" si="323"/>
        <v>Composição</v>
      </c>
      <c r="B4159" s="557" t="str">
        <f t="shared" si="324"/>
        <v>Composição</v>
      </c>
      <c r="C4159" s="79" t="s">
        <v>2921</v>
      </c>
      <c r="D4159" s="78" t="s">
        <v>3151</v>
      </c>
      <c r="E4159" s="79" t="s">
        <v>139</v>
      </c>
      <c r="F4159" s="79" t="s">
        <v>3152</v>
      </c>
      <c r="G4159" s="79" t="s">
        <v>2928</v>
      </c>
      <c r="H4159" s="79"/>
      <c r="I4159" s="80" t="s">
        <v>2897</v>
      </c>
      <c r="J4159" s="583">
        <v>1.5233</v>
      </c>
      <c r="K4159" s="583">
        <v>0</v>
      </c>
      <c r="L4159" s="92">
        <v>36.82</v>
      </c>
      <c r="M4159" s="92">
        <v>56.08</v>
      </c>
      <c r="N4159" s="573">
        <v>2.37</v>
      </c>
      <c r="O4159" s="556" t="str">
        <f t="shared" si="322"/>
        <v>DIF</v>
      </c>
      <c r="P4159" s="573"/>
      <c r="Q4159" s="556"/>
      <c r="R4159" s="582"/>
    </row>
    <row r="4160" ht="23.85" customHeight="1" spans="1:18">
      <c r="A4160" s="556" t="str">
        <f t="shared" si="323"/>
        <v>Composição</v>
      </c>
      <c r="B4160" s="557" t="str">
        <f t="shared" si="324"/>
        <v>Composição</v>
      </c>
      <c r="C4160" s="79" t="s">
        <v>2921</v>
      </c>
      <c r="D4160" s="78" t="s">
        <v>3153</v>
      </c>
      <c r="E4160" s="79" t="s">
        <v>139</v>
      </c>
      <c r="F4160" s="79" t="s">
        <v>3154</v>
      </c>
      <c r="G4160" s="79" t="s">
        <v>2928</v>
      </c>
      <c r="H4160" s="79"/>
      <c r="I4160" s="80" t="s">
        <v>2897</v>
      </c>
      <c r="J4160" s="583">
        <v>1.5233</v>
      </c>
      <c r="K4160" s="583">
        <v>0</v>
      </c>
      <c r="L4160" s="92">
        <v>30.6</v>
      </c>
      <c r="M4160" s="92">
        <v>46.61</v>
      </c>
      <c r="N4160" s="573">
        <v>1.67</v>
      </c>
      <c r="O4160" s="556" t="str">
        <f t="shared" si="322"/>
        <v>DIF</v>
      </c>
      <c r="P4160" s="573"/>
      <c r="Q4160" s="556"/>
      <c r="R4160" s="582"/>
    </row>
    <row r="4161" ht="46.25" customHeight="1" spans="1:18">
      <c r="A4161" s="556" t="str">
        <f t="shared" si="323"/>
        <v>Composição</v>
      </c>
      <c r="B4161" s="557" t="str">
        <f t="shared" si="324"/>
        <v>Composição</v>
      </c>
      <c r="C4161" s="100" t="s">
        <v>2893</v>
      </c>
      <c r="D4161" s="99" t="s">
        <v>4276</v>
      </c>
      <c r="E4161" s="100" t="s">
        <v>132</v>
      </c>
      <c r="F4161" s="100" t="s">
        <v>4277</v>
      </c>
      <c r="G4161" s="100" t="s">
        <v>2961</v>
      </c>
      <c r="H4161" s="100"/>
      <c r="I4161" s="101" t="s">
        <v>134</v>
      </c>
      <c r="J4161" s="580">
        <v>1</v>
      </c>
      <c r="K4161" s="580">
        <v>0</v>
      </c>
      <c r="L4161" s="102">
        <v>7532.52</v>
      </c>
      <c r="M4161" s="102">
        <v>7532.52</v>
      </c>
      <c r="N4161" s="573">
        <v>8.64</v>
      </c>
      <c r="O4161" s="556" t="str">
        <f t="shared" si="322"/>
        <v>DIF</v>
      </c>
      <c r="P4161" s="573"/>
      <c r="Q4161" s="556"/>
      <c r="R4161" s="582"/>
    </row>
    <row r="4162" ht="25.5" spans="1:18">
      <c r="A4162" s="556" t="str">
        <f t="shared" si="323"/>
        <v>Composição</v>
      </c>
      <c r="B4162" s="557" t="str">
        <f t="shared" si="324"/>
        <v>Composição</v>
      </c>
      <c r="C4162" s="108"/>
      <c r="D4162" s="108"/>
      <c r="E4162" s="108"/>
      <c r="F4162" s="108"/>
      <c r="G4162" s="108"/>
      <c r="H4162" s="108" t="s">
        <v>2898</v>
      </c>
      <c r="I4162" s="581">
        <v>72.07</v>
      </c>
      <c r="J4162" s="108" t="s">
        <v>2899</v>
      </c>
      <c r="K4162" s="581">
        <v>0</v>
      </c>
      <c r="L4162" s="108" t="s">
        <v>2900</v>
      </c>
      <c r="M4162" s="581">
        <v>72.07</v>
      </c>
      <c r="N4162" s="573">
        <v>6.88</v>
      </c>
      <c r="O4162" s="556" t="str">
        <f t="shared" si="322"/>
        <v>DIF</v>
      </c>
      <c r="P4162" s="573"/>
      <c r="Q4162" s="556"/>
      <c r="R4162" s="582"/>
    </row>
    <row r="4163" ht="26.25" spans="1:18">
      <c r="A4163" s="556" t="str">
        <f t="shared" si="323"/>
        <v>Composição</v>
      </c>
      <c r="B4163" s="557" t="str">
        <f t="shared" si="324"/>
        <v>Composição</v>
      </c>
      <c r="C4163" s="108"/>
      <c r="D4163" s="108"/>
      <c r="E4163" s="108"/>
      <c r="F4163" s="108"/>
      <c r="G4163" s="108"/>
      <c r="H4163" s="108" t="s">
        <v>2901</v>
      </c>
      <c r="I4163" s="581">
        <v>1230.79</v>
      </c>
      <c r="J4163" s="114"/>
      <c r="K4163" s="114" t="s">
        <v>2902</v>
      </c>
      <c r="L4163" s="108"/>
      <c r="M4163" s="581">
        <v>8866</v>
      </c>
      <c r="N4163" s="573">
        <v>1.98</v>
      </c>
      <c r="O4163" s="556" t="str">
        <f t="shared" si="322"/>
        <v>DIF</v>
      </c>
      <c r="P4163" s="573"/>
      <c r="Q4163" s="556"/>
      <c r="R4163" s="582"/>
    </row>
    <row r="4164" ht="15" spans="1:18">
      <c r="A4164" s="556" t="str">
        <f t="shared" si="323"/>
        <v>Composição</v>
      </c>
      <c r="B4164" s="557" t="str">
        <f t="shared" si="324"/>
        <v>Composição</v>
      </c>
      <c r="C4164" s="571"/>
      <c r="D4164" s="571"/>
      <c r="E4164" s="571"/>
      <c r="F4164" s="571"/>
      <c r="G4164" s="571"/>
      <c r="H4164" s="571"/>
      <c r="I4164" s="571"/>
      <c r="J4164" s="571"/>
      <c r="K4164" s="571"/>
      <c r="L4164" s="571"/>
      <c r="M4164" s="571"/>
      <c r="N4164" s="573">
        <v>1.2</v>
      </c>
      <c r="O4164" s="556" t="str">
        <f t="shared" si="322"/>
        <v>DIF</v>
      </c>
      <c r="P4164" s="573"/>
      <c r="Q4164" s="556"/>
      <c r="R4164" s="582"/>
    </row>
    <row r="4165" ht="15" customHeight="1" spans="1:18">
      <c r="A4165" s="556" t="str">
        <f t="shared" si="323"/>
        <v>Composição</v>
      </c>
      <c r="B4165" s="557" t="str">
        <f t="shared" si="324"/>
        <v>Composição</v>
      </c>
      <c r="C4165" s="76" t="s">
        <v>1450</v>
      </c>
      <c r="D4165" s="75" t="s">
        <v>63</v>
      </c>
      <c r="E4165" s="76" t="s">
        <v>64</v>
      </c>
      <c r="F4165" s="76" t="s">
        <v>65</v>
      </c>
      <c r="G4165" s="76" t="s">
        <v>2889</v>
      </c>
      <c r="H4165" s="76"/>
      <c r="I4165" s="77" t="s">
        <v>66</v>
      </c>
      <c r="J4165" s="75" t="s">
        <v>67</v>
      </c>
      <c r="K4165" s="75" t="s">
        <v>2890</v>
      </c>
      <c r="L4165" s="75" t="s">
        <v>68</v>
      </c>
      <c r="M4165" s="75" t="s">
        <v>70</v>
      </c>
      <c r="N4165" s="573">
        <v>60.1</v>
      </c>
      <c r="O4165" s="556" t="str">
        <f t="shared" si="322"/>
        <v>DIF</v>
      </c>
      <c r="P4165" s="573"/>
      <c r="Q4165" s="556"/>
      <c r="R4165" s="582"/>
    </row>
    <row r="4166" ht="46.25" customHeight="1" spans="1:18">
      <c r="A4166" s="556" t="str">
        <f t="shared" si="323"/>
        <v>Composição</v>
      </c>
      <c r="B4166" s="557" t="str">
        <f t="shared" si="324"/>
        <v>Composição</v>
      </c>
      <c r="C4166" s="569" t="s">
        <v>2891</v>
      </c>
      <c r="D4166" s="570" t="s">
        <v>1451</v>
      </c>
      <c r="E4166" s="569" t="s">
        <v>132</v>
      </c>
      <c r="F4166" s="569" t="s">
        <v>1452</v>
      </c>
      <c r="G4166" s="569" t="s">
        <v>3177</v>
      </c>
      <c r="H4166" s="569"/>
      <c r="I4166" s="577" t="s">
        <v>134</v>
      </c>
      <c r="J4166" s="578">
        <v>1</v>
      </c>
      <c r="K4166" s="579"/>
      <c r="L4166" s="579">
        <v>7616.07</v>
      </c>
      <c r="M4166" s="579">
        <v>7616.07</v>
      </c>
      <c r="N4166" s="573">
        <v>13.47</v>
      </c>
      <c r="O4166" s="556" t="str">
        <f t="shared" si="322"/>
        <v>DIF</v>
      </c>
      <c r="P4166" s="573"/>
      <c r="Q4166" s="556"/>
      <c r="R4166" s="582"/>
    </row>
    <row r="4167" ht="23.85" customHeight="1" spans="1:18">
      <c r="A4167" s="556" t="str">
        <f t="shared" si="323"/>
        <v>Composição</v>
      </c>
      <c r="B4167" s="557" t="str">
        <f t="shared" si="324"/>
        <v>Composição</v>
      </c>
      <c r="C4167" s="79" t="s">
        <v>2921</v>
      </c>
      <c r="D4167" s="78" t="s">
        <v>3151</v>
      </c>
      <c r="E4167" s="79" t="s">
        <v>139</v>
      </c>
      <c r="F4167" s="79" t="s">
        <v>3152</v>
      </c>
      <c r="G4167" s="79" t="s">
        <v>2928</v>
      </c>
      <c r="H4167" s="79"/>
      <c r="I4167" s="80" t="s">
        <v>2897</v>
      </c>
      <c r="J4167" s="583">
        <v>1.5233</v>
      </c>
      <c r="K4167" s="583">
        <v>0</v>
      </c>
      <c r="L4167" s="92">
        <v>36.82</v>
      </c>
      <c r="M4167" s="92">
        <v>56.08</v>
      </c>
      <c r="N4167" s="573">
        <v>0.53</v>
      </c>
      <c r="O4167" s="556" t="str">
        <f t="shared" si="322"/>
        <v>DIF</v>
      </c>
      <c r="P4167" s="573"/>
      <c r="Q4167" s="556"/>
      <c r="R4167" s="582"/>
    </row>
    <row r="4168" ht="23.85" customHeight="1" spans="1:18">
      <c r="A4168" s="556" t="str">
        <f t="shared" si="323"/>
        <v>Composição</v>
      </c>
      <c r="B4168" s="557" t="str">
        <f t="shared" si="324"/>
        <v>Composição</v>
      </c>
      <c r="C4168" s="79" t="s">
        <v>2921</v>
      </c>
      <c r="D4168" s="78" t="s">
        <v>3153</v>
      </c>
      <c r="E4168" s="79" t="s">
        <v>139</v>
      </c>
      <c r="F4168" s="79" t="s">
        <v>3154</v>
      </c>
      <c r="G4168" s="79" t="s">
        <v>2928</v>
      </c>
      <c r="H4168" s="79"/>
      <c r="I4168" s="80" t="s">
        <v>2897</v>
      </c>
      <c r="J4168" s="583">
        <v>1.5233</v>
      </c>
      <c r="K4168" s="583">
        <v>0</v>
      </c>
      <c r="L4168" s="92">
        <v>30.6</v>
      </c>
      <c r="M4168" s="92">
        <v>46.61</v>
      </c>
      <c r="N4168" s="573">
        <v>1.32</v>
      </c>
      <c r="O4168" s="556" t="str">
        <f t="shared" si="322"/>
        <v>DIF</v>
      </c>
      <c r="P4168" s="573"/>
      <c r="Q4168" s="556"/>
      <c r="R4168" s="582"/>
    </row>
    <row r="4169" ht="46.25" customHeight="1" spans="1:18">
      <c r="A4169" s="556" t="str">
        <f t="shared" si="323"/>
        <v>Composição</v>
      </c>
      <c r="B4169" s="557" t="str">
        <f t="shared" si="324"/>
        <v>Composição</v>
      </c>
      <c r="C4169" s="100" t="s">
        <v>2893</v>
      </c>
      <c r="D4169" s="99" t="s">
        <v>4278</v>
      </c>
      <c r="E4169" s="100" t="s">
        <v>132</v>
      </c>
      <c r="F4169" s="100" t="s">
        <v>4279</v>
      </c>
      <c r="G4169" s="100" t="s">
        <v>2961</v>
      </c>
      <c r="H4169" s="100"/>
      <c r="I4169" s="101" t="s">
        <v>134</v>
      </c>
      <c r="J4169" s="580">
        <v>1</v>
      </c>
      <c r="K4169" s="580">
        <v>0</v>
      </c>
      <c r="L4169" s="102">
        <v>7513.38</v>
      </c>
      <c r="M4169" s="102">
        <v>7513.38</v>
      </c>
      <c r="N4169" s="573">
        <v>1.21</v>
      </c>
      <c r="O4169" s="556" t="str">
        <f t="shared" si="322"/>
        <v>DIF</v>
      </c>
      <c r="P4169" s="573"/>
      <c r="Q4169" s="556"/>
      <c r="R4169" s="582"/>
    </row>
    <row r="4170" ht="25.5" spans="1:18">
      <c r="A4170" s="556" t="str">
        <f t="shared" si="323"/>
        <v>Composição</v>
      </c>
      <c r="B4170" s="557" t="str">
        <f t="shared" si="324"/>
        <v>Composição</v>
      </c>
      <c r="C4170" s="108"/>
      <c r="D4170" s="108"/>
      <c r="E4170" s="108"/>
      <c r="F4170" s="108"/>
      <c r="G4170" s="108"/>
      <c r="H4170" s="108" t="s">
        <v>2898</v>
      </c>
      <c r="I4170" s="581">
        <v>72.07</v>
      </c>
      <c r="J4170" s="108" t="s">
        <v>2899</v>
      </c>
      <c r="K4170" s="581">
        <v>0</v>
      </c>
      <c r="L4170" s="108" t="s">
        <v>2900</v>
      </c>
      <c r="M4170" s="581">
        <v>72.07</v>
      </c>
      <c r="N4170" s="573">
        <v>9.54</v>
      </c>
      <c r="O4170" s="556" t="str">
        <f t="shared" si="322"/>
        <v>DIF</v>
      </c>
      <c r="P4170" s="573"/>
      <c r="Q4170" s="556"/>
      <c r="R4170" s="582"/>
    </row>
    <row r="4171" ht="26.25" spans="1:18">
      <c r="A4171" s="556"/>
      <c r="B4171" s="557"/>
      <c r="C4171" s="108"/>
      <c r="D4171" s="108"/>
      <c r="E4171" s="108"/>
      <c r="F4171" s="108"/>
      <c r="G4171" s="108"/>
      <c r="H4171" s="108" t="s">
        <v>2901</v>
      </c>
      <c r="I4171" s="581">
        <v>1227.71</v>
      </c>
      <c r="J4171" s="114"/>
      <c r="K4171" s="114" t="s">
        <v>2902</v>
      </c>
      <c r="L4171" s="108"/>
      <c r="M4171" s="581">
        <v>8843.78</v>
      </c>
      <c r="N4171" s="573"/>
      <c r="O4171" s="556"/>
      <c r="P4171" s="573"/>
      <c r="Q4171" s="556"/>
      <c r="R4171" s="582"/>
    </row>
    <row r="4172" ht="15" spans="1:18">
      <c r="A4172" s="556"/>
      <c r="B4172" s="557"/>
      <c r="C4172" s="571"/>
      <c r="D4172" s="571"/>
      <c r="E4172" s="571"/>
      <c r="F4172" s="571"/>
      <c r="G4172" s="571"/>
      <c r="H4172" s="571"/>
      <c r="I4172" s="571"/>
      <c r="J4172" s="571"/>
      <c r="K4172" s="571"/>
      <c r="L4172" s="571"/>
      <c r="M4172" s="571"/>
      <c r="N4172" s="573"/>
      <c r="O4172" s="556"/>
      <c r="P4172" s="573"/>
      <c r="Q4172" s="556"/>
      <c r="R4172" s="582"/>
    </row>
    <row r="4173" ht="15" customHeight="1" spans="1:18">
      <c r="A4173" s="556"/>
      <c r="B4173" s="557"/>
      <c r="C4173" s="76" t="s">
        <v>1454</v>
      </c>
      <c r="D4173" s="75" t="s">
        <v>63</v>
      </c>
      <c r="E4173" s="76" t="s">
        <v>64</v>
      </c>
      <c r="F4173" s="76" t="s">
        <v>65</v>
      </c>
      <c r="G4173" s="76" t="s">
        <v>2889</v>
      </c>
      <c r="H4173" s="76"/>
      <c r="I4173" s="77" t="s">
        <v>66</v>
      </c>
      <c r="J4173" s="75" t="s">
        <v>67</v>
      </c>
      <c r="K4173" s="75" t="s">
        <v>2890</v>
      </c>
      <c r="L4173" s="75" t="s">
        <v>68</v>
      </c>
      <c r="M4173" s="75" t="s">
        <v>70</v>
      </c>
      <c r="N4173" s="573"/>
      <c r="O4173" s="556"/>
      <c r="P4173" s="573"/>
      <c r="Q4173" s="556"/>
      <c r="R4173" s="582"/>
    </row>
    <row r="4174" ht="51" spans="1:18">
      <c r="A4174" s="556"/>
      <c r="B4174" s="557"/>
      <c r="C4174" s="569" t="s">
        <v>2891</v>
      </c>
      <c r="D4174" s="570" t="s">
        <v>1455</v>
      </c>
      <c r="E4174" s="569" t="s">
        <v>132</v>
      </c>
      <c r="F4174" s="569" t="s">
        <v>1456</v>
      </c>
      <c r="G4174" s="569">
        <v>64</v>
      </c>
      <c r="H4174" s="569"/>
      <c r="I4174" s="577" t="s">
        <v>134</v>
      </c>
      <c r="J4174" s="578">
        <v>1</v>
      </c>
      <c r="K4174" s="579"/>
      <c r="L4174" s="579">
        <v>10830.84</v>
      </c>
      <c r="M4174" s="579">
        <v>10830.84</v>
      </c>
      <c r="N4174" s="573"/>
      <c r="O4174" s="556"/>
      <c r="P4174" s="573"/>
      <c r="Q4174" s="556"/>
      <c r="R4174" s="582"/>
    </row>
    <row r="4175" ht="23.85" customHeight="1" spans="1:18">
      <c r="A4175" s="556"/>
      <c r="B4175" s="557"/>
      <c r="C4175" s="79" t="s">
        <v>2921</v>
      </c>
      <c r="D4175" s="78" t="s">
        <v>3153</v>
      </c>
      <c r="E4175" s="79" t="s">
        <v>139</v>
      </c>
      <c r="F4175" s="79" t="s">
        <v>3154</v>
      </c>
      <c r="G4175" s="79" t="s">
        <v>2928</v>
      </c>
      <c r="H4175" s="79"/>
      <c r="I4175" s="80" t="s">
        <v>2897</v>
      </c>
      <c r="J4175" s="583">
        <v>7</v>
      </c>
      <c r="K4175" s="583">
        <v>0</v>
      </c>
      <c r="L4175" s="92">
        <v>30.6</v>
      </c>
      <c r="M4175" s="92">
        <v>214.2</v>
      </c>
      <c r="N4175" s="573"/>
      <c r="O4175" s="556"/>
      <c r="P4175" s="573"/>
      <c r="Q4175" s="556"/>
      <c r="R4175" s="582"/>
    </row>
    <row r="4176" ht="23.85" customHeight="1" spans="1:18">
      <c r="A4176" s="556"/>
      <c r="B4176" s="557" t="str">
        <f>C4175</f>
        <v>Composição Auxiliar</v>
      </c>
      <c r="C4176" s="79" t="s">
        <v>2921</v>
      </c>
      <c r="D4176" s="78" t="s">
        <v>3151</v>
      </c>
      <c r="E4176" s="79" t="s">
        <v>139</v>
      </c>
      <c r="F4176" s="79" t="s">
        <v>3152</v>
      </c>
      <c r="G4176" s="79" t="s">
        <v>2928</v>
      </c>
      <c r="H4176" s="79"/>
      <c r="I4176" s="80" t="s">
        <v>2897</v>
      </c>
      <c r="J4176" s="583">
        <v>7</v>
      </c>
      <c r="K4176" s="583">
        <v>0</v>
      </c>
      <c r="L4176" s="92">
        <v>36.82</v>
      </c>
      <c r="M4176" s="92">
        <v>257.74</v>
      </c>
      <c r="N4176" s="573">
        <v>9.44</v>
      </c>
      <c r="O4176" s="556" t="str">
        <f>IF(N4176=M4176,"OK","DIF")</f>
        <v>DIF</v>
      </c>
      <c r="P4176" s="573"/>
      <c r="Q4176" s="556"/>
      <c r="R4176" s="582"/>
    </row>
    <row r="4177" ht="46.25" customHeight="1" spans="1:18">
      <c r="A4177" s="556" t="str">
        <f>B4177</f>
        <v>Composição Auxiliar</v>
      </c>
      <c r="B4177" s="557" t="str">
        <f>B4176</f>
        <v>Composição Auxiliar</v>
      </c>
      <c r="C4177" s="100" t="s">
        <v>2893</v>
      </c>
      <c r="D4177" s="99" t="s">
        <v>4280</v>
      </c>
      <c r="E4177" s="100" t="s">
        <v>132</v>
      </c>
      <c r="F4177" s="100" t="s">
        <v>4281</v>
      </c>
      <c r="G4177" s="100" t="s">
        <v>2961</v>
      </c>
      <c r="H4177" s="100"/>
      <c r="I4177" s="101" t="s">
        <v>134</v>
      </c>
      <c r="J4177" s="580">
        <v>1</v>
      </c>
      <c r="K4177" s="580">
        <v>0</v>
      </c>
      <c r="L4177" s="102">
        <v>10358.9</v>
      </c>
      <c r="M4177" s="102">
        <v>10358.9</v>
      </c>
      <c r="N4177" s="573">
        <v>5.29</v>
      </c>
      <c r="O4177" s="556" t="str">
        <f>IF(N4177=M4177,"OK","DIF")</f>
        <v>DIF</v>
      </c>
      <c r="P4177" s="573"/>
      <c r="Q4177" s="556"/>
      <c r="R4177" s="582"/>
    </row>
    <row r="4178" ht="25.5" spans="1:18">
      <c r="A4178" s="556" t="str">
        <f>B4178</f>
        <v>Composição Auxiliar</v>
      </c>
      <c r="B4178" s="557" t="str">
        <f>B4177</f>
        <v>Composição Auxiliar</v>
      </c>
      <c r="C4178" s="108"/>
      <c r="D4178" s="108"/>
      <c r="E4178" s="108"/>
      <c r="F4178" s="108"/>
      <c r="G4178" s="108"/>
      <c r="H4178" s="108" t="s">
        <v>2898</v>
      </c>
      <c r="I4178" s="581">
        <v>331.24</v>
      </c>
      <c r="J4178" s="108" t="s">
        <v>2899</v>
      </c>
      <c r="K4178" s="581">
        <v>0</v>
      </c>
      <c r="L4178" s="108" t="s">
        <v>2900</v>
      </c>
      <c r="M4178" s="581">
        <v>331.24</v>
      </c>
      <c r="N4178" s="573">
        <v>4.15</v>
      </c>
      <c r="O4178" s="556" t="str">
        <f>IF(N4178=M4178,"OK","DIF")</f>
        <v>DIF</v>
      </c>
      <c r="P4178" s="573"/>
      <c r="Q4178" s="556"/>
      <c r="R4178" s="582"/>
    </row>
    <row r="4179" ht="26.25" spans="1:18">
      <c r="A4179" s="556"/>
      <c r="B4179" s="557"/>
      <c r="C4179" s="108"/>
      <c r="D4179" s="108"/>
      <c r="E4179" s="108"/>
      <c r="F4179" s="108"/>
      <c r="G4179" s="108"/>
      <c r="H4179" s="108" t="s">
        <v>2901</v>
      </c>
      <c r="I4179" s="581">
        <v>1745.93</v>
      </c>
      <c r="J4179" s="114"/>
      <c r="K4179" s="114" t="s">
        <v>2902</v>
      </c>
      <c r="L4179" s="108"/>
      <c r="M4179" s="581">
        <v>12576.77</v>
      </c>
      <c r="N4179" s="573"/>
      <c r="O4179" s="556"/>
      <c r="P4179" s="573"/>
      <c r="Q4179" s="556"/>
      <c r="R4179" s="582"/>
    </row>
    <row r="4180" ht="15" spans="1:18">
      <c r="A4180" s="556"/>
      <c r="B4180" s="557"/>
      <c r="C4180" s="571"/>
      <c r="D4180" s="571"/>
      <c r="E4180" s="571"/>
      <c r="F4180" s="571"/>
      <c r="G4180" s="571"/>
      <c r="H4180" s="571"/>
      <c r="I4180" s="571"/>
      <c r="J4180" s="571"/>
      <c r="K4180" s="571"/>
      <c r="L4180" s="571"/>
      <c r="M4180" s="571"/>
      <c r="N4180" s="573"/>
      <c r="O4180" s="556"/>
      <c r="P4180" s="573"/>
      <c r="Q4180" s="556"/>
      <c r="R4180" s="582"/>
    </row>
    <row r="4181" ht="15" customHeight="1" spans="1:18">
      <c r="A4181" s="556"/>
      <c r="B4181" s="557">
        <f>C4180</f>
        <v>0</v>
      </c>
      <c r="C4181" s="76" t="s">
        <v>1458</v>
      </c>
      <c r="D4181" s="75" t="s">
        <v>63</v>
      </c>
      <c r="E4181" s="76" t="s">
        <v>64</v>
      </c>
      <c r="F4181" s="76" t="s">
        <v>65</v>
      </c>
      <c r="G4181" s="76" t="s">
        <v>2889</v>
      </c>
      <c r="H4181" s="76"/>
      <c r="I4181" s="77" t="s">
        <v>66</v>
      </c>
      <c r="J4181" s="75" t="s">
        <v>67</v>
      </c>
      <c r="K4181" s="75" t="s">
        <v>2890</v>
      </c>
      <c r="L4181" s="75" t="s">
        <v>68</v>
      </c>
      <c r="M4181" s="75" t="s">
        <v>70</v>
      </c>
      <c r="N4181" s="573">
        <v>18.94</v>
      </c>
      <c r="O4181" s="556" t="str">
        <f>IF(N4181=M4181,"OK","DIF")</f>
        <v>DIF</v>
      </c>
      <c r="P4181" s="573"/>
      <c r="Q4181" s="556"/>
      <c r="R4181" s="582"/>
    </row>
    <row r="4182" ht="46.25" customHeight="1" spans="1:18">
      <c r="A4182" s="556">
        <f>B4182</f>
        <v>0</v>
      </c>
      <c r="B4182" s="557">
        <f>B4181</f>
        <v>0</v>
      </c>
      <c r="C4182" s="569" t="s">
        <v>2891</v>
      </c>
      <c r="D4182" s="570" t="s">
        <v>1459</v>
      </c>
      <c r="E4182" s="569" t="s">
        <v>132</v>
      </c>
      <c r="F4182" s="569" t="s">
        <v>1460</v>
      </c>
      <c r="G4182" s="569" t="s">
        <v>3177</v>
      </c>
      <c r="H4182" s="569"/>
      <c r="I4182" s="577" t="s">
        <v>134</v>
      </c>
      <c r="J4182" s="578">
        <v>1</v>
      </c>
      <c r="K4182" s="579"/>
      <c r="L4182" s="579">
        <v>8943.15</v>
      </c>
      <c r="M4182" s="579">
        <v>8943.15</v>
      </c>
      <c r="N4182" s="573">
        <v>2.88</v>
      </c>
      <c r="O4182" s="556" t="str">
        <f>IF(N4182=M4182,"OK","DIF")</f>
        <v>DIF</v>
      </c>
      <c r="P4182" s="573"/>
      <c r="Q4182" s="556"/>
      <c r="R4182" s="582"/>
    </row>
    <row r="4183" ht="23.85" customHeight="1" spans="1:18">
      <c r="A4183" s="556">
        <f>B4183</f>
        <v>0</v>
      </c>
      <c r="B4183" s="557">
        <f>B4182</f>
        <v>0</v>
      </c>
      <c r="C4183" s="79" t="s">
        <v>2921</v>
      </c>
      <c r="D4183" s="78" t="s">
        <v>3153</v>
      </c>
      <c r="E4183" s="79" t="s">
        <v>139</v>
      </c>
      <c r="F4183" s="79" t="s">
        <v>3154</v>
      </c>
      <c r="G4183" s="79" t="s">
        <v>2928</v>
      </c>
      <c r="H4183" s="79"/>
      <c r="I4183" s="80" t="s">
        <v>2897</v>
      </c>
      <c r="J4183" s="583">
        <v>1.5233</v>
      </c>
      <c r="K4183" s="583">
        <v>0</v>
      </c>
      <c r="L4183" s="92">
        <v>30.6</v>
      </c>
      <c r="M4183" s="92">
        <v>46.61</v>
      </c>
      <c r="N4183" s="573">
        <v>3.98</v>
      </c>
      <c r="O4183" s="556" t="str">
        <f>IF(N4183=M4183,"OK","DIF")</f>
        <v>DIF</v>
      </c>
      <c r="P4183" s="573"/>
      <c r="Q4183" s="556"/>
      <c r="R4183" s="582"/>
    </row>
    <row r="4184" ht="23.85" customHeight="1" spans="1:18">
      <c r="A4184" s="556">
        <f>B4184</f>
        <v>0</v>
      </c>
      <c r="B4184" s="557">
        <f>B4183</f>
        <v>0</v>
      </c>
      <c r="C4184" s="79" t="s">
        <v>2921</v>
      </c>
      <c r="D4184" s="78" t="s">
        <v>3151</v>
      </c>
      <c r="E4184" s="79" t="s">
        <v>139</v>
      </c>
      <c r="F4184" s="79" t="s">
        <v>3152</v>
      </c>
      <c r="G4184" s="79" t="s">
        <v>2928</v>
      </c>
      <c r="H4184" s="79"/>
      <c r="I4184" s="80" t="s">
        <v>2897</v>
      </c>
      <c r="J4184" s="583">
        <v>1.5233</v>
      </c>
      <c r="K4184" s="583">
        <v>0</v>
      </c>
      <c r="L4184" s="92">
        <v>36.82</v>
      </c>
      <c r="M4184" s="92">
        <v>56.08</v>
      </c>
      <c r="N4184" s="573">
        <v>12.08</v>
      </c>
      <c r="O4184" s="556" t="str">
        <f>IF(N4184=M4184,"OK","DIF")</f>
        <v>DIF</v>
      </c>
      <c r="P4184" s="573"/>
      <c r="Q4184" s="556"/>
      <c r="R4184" s="582"/>
    </row>
    <row r="4185" ht="46.25" customHeight="1" spans="1:18">
      <c r="A4185" s="556"/>
      <c r="B4185" s="557"/>
      <c r="C4185" s="100" t="s">
        <v>2893</v>
      </c>
      <c r="D4185" s="99" t="s">
        <v>4282</v>
      </c>
      <c r="E4185" s="100" t="s">
        <v>132</v>
      </c>
      <c r="F4185" s="100" t="s">
        <v>4283</v>
      </c>
      <c r="G4185" s="100" t="s">
        <v>2961</v>
      </c>
      <c r="H4185" s="100"/>
      <c r="I4185" s="101" t="s">
        <v>134</v>
      </c>
      <c r="J4185" s="580">
        <v>1</v>
      </c>
      <c r="K4185" s="580">
        <v>0</v>
      </c>
      <c r="L4185" s="102">
        <v>8840.46</v>
      </c>
      <c r="M4185" s="102">
        <v>8840.46</v>
      </c>
      <c r="N4185" s="573"/>
      <c r="O4185" s="556"/>
      <c r="P4185" s="573"/>
      <c r="Q4185" s="556"/>
      <c r="R4185" s="582"/>
    </row>
    <row r="4186" ht="25.5" spans="1:18">
      <c r="A4186" s="556"/>
      <c r="B4186" s="557"/>
      <c r="C4186" s="108"/>
      <c r="D4186" s="108"/>
      <c r="E4186" s="108"/>
      <c r="F4186" s="108"/>
      <c r="G4186" s="108"/>
      <c r="H4186" s="108" t="s">
        <v>2898</v>
      </c>
      <c r="I4186" s="581">
        <v>72.07</v>
      </c>
      <c r="J4186" s="108" t="s">
        <v>2899</v>
      </c>
      <c r="K4186" s="581">
        <v>0</v>
      </c>
      <c r="L4186" s="108" t="s">
        <v>2900</v>
      </c>
      <c r="M4186" s="581">
        <v>72.07</v>
      </c>
      <c r="N4186" s="573"/>
      <c r="O4186" s="556"/>
      <c r="P4186" s="573"/>
      <c r="Q4186" s="556"/>
      <c r="R4186" s="582"/>
    </row>
    <row r="4187" ht="26.25" spans="1:18">
      <c r="A4187" s="556"/>
      <c r="B4187" s="557">
        <f>C4186</f>
        <v>0</v>
      </c>
      <c r="C4187" s="108"/>
      <c r="D4187" s="108"/>
      <c r="E4187" s="108"/>
      <c r="F4187" s="108"/>
      <c r="G4187" s="108"/>
      <c r="H4187" s="108" t="s">
        <v>2901</v>
      </c>
      <c r="I4187" s="581">
        <v>1441.63</v>
      </c>
      <c r="J4187" s="114"/>
      <c r="K4187" s="114" t="s">
        <v>2902</v>
      </c>
      <c r="L4187" s="108"/>
      <c r="M4187" s="581">
        <v>10384.78</v>
      </c>
      <c r="N4187" s="573">
        <v>34.18</v>
      </c>
      <c r="O4187" s="556" t="str">
        <f>IF(N4187=M4187,"OK","DIF")</f>
        <v>DIF</v>
      </c>
      <c r="P4187" s="573"/>
      <c r="Q4187" s="556"/>
      <c r="R4187" s="582"/>
    </row>
    <row r="4188" ht="15" spans="1:18">
      <c r="A4188" s="556">
        <f>B4188</f>
        <v>0</v>
      </c>
      <c r="B4188" s="557">
        <f>B4187</f>
        <v>0</v>
      </c>
      <c r="C4188" s="571"/>
      <c r="D4188" s="571"/>
      <c r="E4188" s="571"/>
      <c r="F4188" s="571"/>
      <c r="G4188" s="571"/>
      <c r="H4188" s="571"/>
      <c r="I4188" s="571"/>
      <c r="J4188" s="571"/>
      <c r="K4188" s="571"/>
      <c r="L4188" s="571"/>
      <c r="M4188" s="571"/>
      <c r="N4188" s="573">
        <v>4.62</v>
      </c>
      <c r="O4188" s="556" t="str">
        <f>IF(N4188=M4188,"OK","DIF")</f>
        <v>DIF</v>
      </c>
      <c r="P4188" s="573"/>
      <c r="Q4188" s="556"/>
      <c r="R4188" s="582"/>
    </row>
    <row r="4189" ht="15" customHeight="1" spans="1:18">
      <c r="A4189" s="556">
        <f>B4189</f>
        <v>0</v>
      </c>
      <c r="B4189" s="557">
        <f>B4188</f>
        <v>0</v>
      </c>
      <c r="C4189" s="76" t="s">
        <v>1462</v>
      </c>
      <c r="D4189" s="75" t="s">
        <v>63</v>
      </c>
      <c r="E4189" s="76" t="s">
        <v>64</v>
      </c>
      <c r="F4189" s="76" t="s">
        <v>65</v>
      </c>
      <c r="G4189" s="76" t="s">
        <v>2889</v>
      </c>
      <c r="H4189" s="76"/>
      <c r="I4189" s="77" t="s">
        <v>66</v>
      </c>
      <c r="J4189" s="75" t="s">
        <v>67</v>
      </c>
      <c r="K4189" s="75" t="s">
        <v>2890</v>
      </c>
      <c r="L4189" s="75" t="s">
        <v>68</v>
      </c>
      <c r="M4189" s="75" t="s">
        <v>70</v>
      </c>
      <c r="N4189" s="573">
        <v>3.82</v>
      </c>
      <c r="O4189" s="556" t="str">
        <f>IF(N4189=M4189,"OK","DIF")</f>
        <v>DIF</v>
      </c>
      <c r="P4189" s="573"/>
      <c r="Q4189" s="556"/>
      <c r="R4189" s="582"/>
    </row>
    <row r="4190" ht="46.25" customHeight="1" spans="1:18">
      <c r="A4190" s="556">
        <f>B4190</f>
        <v>0</v>
      </c>
      <c r="B4190" s="557">
        <f>B4189</f>
        <v>0</v>
      </c>
      <c r="C4190" s="569" t="s">
        <v>2891</v>
      </c>
      <c r="D4190" s="570" t="s">
        <v>1463</v>
      </c>
      <c r="E4190" s="569" t="s">
        <v>132</v>
      </c>
      <c r="F4190" s="569" t="s">
        <v>1464</v>
      </c>
      <c r="G4190" s="569" t="s">
        <v>3177</v>
      </c>
      <c r="H4190" s="569"/>
      <c r="I4190" s="577" t="s">
        <v>134</v>
      </c>
      <c r="J4190" s="578">
        <v>1</v>
      </c>
      <c r="K4190" s="579"/>
      <c r="L4190" s="579">
        <v>7440.48</v>
      </c>
      <c r="M4190" s="579">
        <v>7440.48</v>
      </c>
      <c r="N4190" s="573">
        <v>25.74</v>
      </c>
      <c r="O4190" s="556" t="str">
        <f>IF(N4190=M4190,"OK","DIF")</f>
        <v>DIF</v>
      </c>
      <c r="P4190" s="573"/>
      <c r="Q4190" s="556"/>
      <c r="R4190" s="582"/>
    </row>
    <row r="4191" ht="23.85" customHeight="1" spans="1:18">
      <c r="A4191" s="556"/>
      <c r="B4191" s="557"/>
      <c r="C4191" s="79" t="s">
        <v>2921</v>
      </c>
      <c r="D4191" s="78" t="s">
        <v>3153</v>
      </c>
      <c r="E4191" s="79" t="s">
        <v>139</v>
      </c>
      <c r="F4191" s="79" t="s">
        <v>3154</v>
      </c>
      <c r="G4191" s="79" t="s">
        <v>2928</v>
      </c>
      <c r="H4191" s="79"/>
      <c r="I4191" s="80" t="s">
        <v>2897</v>
      </c>
      <c r="J4191" s="583">
        <v>1.5233</v>
      </c>
      <c r="K4191" s="583">
        <v>0</v>
      </c>
      <c r="L4191" s="92">
        <v>30.6</v>
      </c>
      <c r="M4191" s="92">
        <v>46.61</v>
      </c>
      <c r="N4191" s="573"/>
      <c r="O4191" s="556"/>
      <c r="P4191" s="573"/>
      <c r="Q4191" s="556"/>
      <c r="R4191" s="582"/>
    </row>
    <row r="4192" ht="23.85" customHeight="1" spans="1:18">
      <c r="A4192" s="556"/>
      <c r="B4192" s="557"/>
      <c r="C4192" s="79" t="s">
        <v>2921</v>
      </c>
      <c r="D4192" s="78" t="s">
        <v>3151</v>
      </c>
      <c r="E4192" s="79" t="s">
        <v>139</v>
      </c>
      <c r="F4192" s="79" t="s">
        <v>3152</v>
      </c>
      <c r="G4192" s="79" t="s">
        <v>2928</v>
      </c>
      <c r="H4192" s="79"/>
      <c r="I4192" s="80" t="s">
        <v>2897</v>
      </c>
      <c r="J4192" s="583">
        <v>1.5233</v>
      </c>
      <c r="K4192" s="583">
        <v>0</v>
      </c>
      <c r="L4192" s="92">
        <v>36.82</v>
      </c>
      <c r="M4192" s="92">
        <v>56.08</v>
      </c>
      <c r="N4192" s="573"/>
      <c r="O4192" s="556"/>
      <c r="P4192" s="573"/>
      <c r="Q4192" s="556"/>
      <c r="R4192" s="582"/>
    </row>
    <row r="4193" ht="46.25" customHeight="1" spans="1:18">
      <c r="A4193" s="556"/>
      <c r="B4193" s="557" t="str">
        <f>C4192</f>
        <v>Composição Auxiliar</v>
      </c>
      <c r="C4193" s="100" t="s">
        <v>2893</v>
      </c>
      <c r="D4193" s="99" t="s">
        <v>4284</v>
      </c>
      <c r="E4193" s="100" t="s">
        <v>132</v>
      </c>
      <c r="F4193" s="100" t="s">
        <v>4285</v>
      </c>
      <c r="G4193" s="100" t="s">
        <v>2961</v>
      </c>
      <c r="H4193" s="100"/>
      <c r="I4193" s="101" t="s">
        <v>134</v>
      </c>
      <c r="J4193" s="580">
        <v>1</v>
      </c>
      <c r="K4193" s="580">
        <v>0</v>
      </c>
      <c r="L4193" s="102">
        <v>7337.79</v>
      </c>
      <c r="M4193" s="102">
        <v>7337.79</v>
      </c>
      <c r="N4193" s="573">
        <v>29.26</v>
      </c>
      <c r="O4193" s="556" t="str">
        <f>IF(N4193=M4193,"OK","DIF")</f>
        <v>DIF</v>
      </c>
      <c r="P4193" s="573"/>
      <c r="Q4193" s="556"/>
      <c r="R4193" s="582"/>
    </row>
    <row r="4194" ht="25.5" spans="1:18">
      <c r="A4194" s="556" t="str">
        <f>B4194</f>
        <v>Composição Auxiliar</v>
      </c>
      <c r="B4194" s="557" t="str">
        <f>B4193</f>
        <v>Composição Auxiliar</v>
      </c>
      <c r="C4194" s="108"/>
      <c r="D4194" s="108"/>
      <c r="E4194" s="108"/>
      <c r="F4194" s="108"/>
      <c r="G4194" s="108"/>
      <c r="H4194" s="108" t="s">
        <v>2898</v>
      </c>
      <c r="I4194" s="581">
        <v>72.07</v>
      </c>
      <c r="J4194" s="108" t="s">
        <v>2899</v>
      </c>
      <c r="K4194" s="581">
        <v>0</v>
      </c>
      <c r="L4194" s="108" t="s">
        <v>2900</v>
      </c>
      <c r="M4194" s="581">
        <v>72.07</v>
      </c>
      <c r="N4194" s="573">
        <v>6</v>
      </c>
      <c r="O4194" s="556" t="str">
        <f>IF(N4194=M4194,"OK","DIF")</f>
        <v>DIF</v>
      </c>
      <c r="P4194" s="573"/>
      <c r="Q4194" s="556"/>
      <c r="R4194" s="582"/>
    </row>
    <row r="4195" ht="26.25" spans="1:18">
      <c r="A4195" s="556" t="str">
        <f>B4195</f>
        <v>Composição Auxiliar</v>
      </c>
      <c r="B4195" s="557" t="str">
        <f>B4194</f>
        <v>Composição Auxiliar</v>
      </c>
      <c r="C4195" s="108"/>
      <c r="D4195" s="108"/>
      <c r="E4195" s="108"/>
      <c r="F4195" s="108"/>
      <c r="G4195" s="108"/>
      <c r="H4195" s="108" t="s">
        <v>2901</v>
      </c>
      <c r="I4195" s="581">
        <v>1199.4</v>
      </c>
      <c r="J4195" s="114"/>
      <c r="K4195" s="114" t="s">
        <v>2902</v>
      </c>
      <c r="L4195" s="108"/>
      <c r="M4195" s="581">
        <v>8639.88</v>
      </c>
      <c r="N4195" s="573">
        <v>15.38</v>
      </c>
      <c r="O4195" s="556" t="str">
        <f>IF(N4195=M4195,"OK","DIF")</f>
        <v>DIF</v>
      </c>
      <c r="P4195" s="573"/>
      <c r="Q4195" s="556"/>
      <c r="R4195" s="582"/>
    </row>
    <row r="4196" ht="15" spans="1:18">
      <c r="A4196" s="556" t="str">
        <f>B4196</f>
        <v>Composição Auxiliar</v>
      </c>
      <c r="B4196" s="557" t="str">
        <f>B4195</f>
        <v>Composição Auxiliar</v>
      </c>
      <c r="C4196" s="571"/>
      <c r="D4196" s="571"/>
      <c r="E4196" s="571"/>
      <c r="F4196" s="571"/>
      <c r="G4196" s="571"/>
      <c r="H4196" s="571"/>
      <c r="I4196" s="571"/>
      <c r="J4196" s="571"/>
      <c r="K4196" s="571"/>
      <c r="L4196" s="571"/>
      <c r="M4196" s="571"/>
      <c r="N4196" s="573">
        <v>7.88</v>
      </c>
      <c r="O4196" s="556" t="str">
        <f>IF(N4196=M4196,"OK","DIF")</f>
        <v>DIF</v>
      </c>
      <c r="P4196" s="573"/>
      <c r="Q4196" s="556"/>
      <c r="R4196" s="582"/>
    </row>
    <row r="4197" ht="15" customHeight="1" spans="1:18">
      <c r="A4197" s="556"/>
      <c r="B4197" s="557"/>
      <c r="C4197" s="76" t="s">
        <v>1469</v>
      </c>
      <c r="D4197" s="75" t="s">
        <v>63</v>
      </c>
      <c r="E4197" s="76" t="s">
        <v>64</v>
      </c>
      <c r="F4197" s="76" t="s">
        <v>65</v>
      </c>
      <c r="G4197" s="76" t="s">
        <v>2889</v>
      </c>
      <c r="H4197" s="76"/>
      <c r="I4197" s="77" t="s">
        <v>66</v>
      </c>
      <c r="J4197" s="75" t="s">
        <v>67</v>
      </c>
      <c r="K4197" s="75" t="s">
        <v>2890</v>
      </c>
      <c r="L4197" s="75" t="s">
        <v>68</v>
      </c>
      <c r="M4197" s="75" t="s">
        <v>70</v>
      </c>
      <c r="N4197" s="573"/>
      <c r="O4197" s="556"/>
      <c r="P4197" s="573"/>
      <c r="Q4197" s="556"/>
      <c r="R4197" s="582"/>
    </row>
    <row r="4198" ht="51" spans="1:18">
      <c r="A4198" s="556"/>
      <c r="B4198" s="557"/>
      <c r="C4198" s="569" t="s">
        <v>2891</v>
      </c>
      <c r="D4198" s="570" t="s">
        <v>1470</v>
      </c>
      <c r="E4198" s="569" t="s">
        <v>77</v>
      </c>
      <c r="F4198" s="569" t="s">
        <v>4286</v>
      </c>
      <c r="G4198" s="569">
        <v>15</v>
      </c>
      <c r="H4198" s="569"/>
      <c r="I4198" s="577" t="s">
        <v>204</v>
      </c>
      <c r="J4198" s="578">
        <v>1</v>
      </c>
      <c r="K4198" s="579"/>
      <c r="L4198" s="579">
        <v>66.53</v>
      </c>
      <c r="M4198" s="579">
        <v>66.53</v>
      </c>
      <c r="N4198" s="573"/>
      <c r="O4198" s="556"/>
      <c r="P4198" s="573"/>
      <c r="Q4198" s="556"/>
      <c r="R4198" s="582"/>
    </row>
    <row r="4199" ht="15" customHeight="1" spans="1:18">
      <c r="A4199" s="556"/>
      <c r="B4199" s="557" t="str">
        <f>C4198</f>
        <v>Composição</v>
      </c>
      <c r="C4199" s="100" t="s">
        <v>2893</v>
      </c>
      <c r="D4199" s="99" t="s">
        <v>4287</v>
      </c>
      <c r="E4199" s="100" t="s">
        <v>77</v>
      </c>
      <c r="F4199" s="100" t="s">
        <v>4288</v>
      </c>
      <c r="G4199" s="100" t="s">
        <v>2961</v>
      </c>
      <c r="H4199" s="100"/>
      <c r="I4199" s="101" t="s">
        <v>204</v>
      </c>
      <c r="J4199" s="580">
        <v>1</v>
      </c>
      <c r="K4199" s="580">
        <v>0</v>
      </c>
      <c r="L4199" s="102">
        <v>59.48</v>
      </c>
      <c r="M4199" s="102">
        <v>59.48</v>
      </c>
      <c r="N4199" s="573">
        <v>13.28</v>
      </c>
      <c r="O4199" s="556" t="str">
        <f>IF(N4199=M4199,"OK","DIF")</f>
        <v>DIF</v>
      </c>
      <c r="P4199" s="573"/>
      <c r="Q4199" s="556"/>
      <c r="R4199" s="582"/>
    </row>
    <row r="4200" ht="23.85" customHeight="1" spans="1:18">
      <c r="A4200" s="556" t="str">
        <f>B4200</f>
        <v>Composição</v>
      </c>
      <c r="B4200" s="557" t="str">
        <f>B4199</f>
        <v>Composição</v>
      </c>
      <c r="C4200" s="100" t="s">
        <v>2893</v>
      </c>
      <c r="D4200" s="99" t="s">
        <v>3108</v>
      </c>
      <c r="E4200" s="100" t="s">
        <v>77</v>
      </c>
      <c r="F4200" s="100" t="s">
        <v>3109</v>
      </c>
      <c r="G4200" s="100" t="s">
        <v>2896</v>
      </c>
      <c r="H4200" s="100"/>
      <c r="I4200" s="101" t="s">
        <v>2897</v>
      </c>
      <c r="J4200" s="580">
        <v>0.15</v>
      </c>
      <c r="K4200" s="580">
        <v>3</v>
      </c>
      <c r="L4200" s="102">
        <v>19.16</v>
      </c>
      <c r="M4200" s="102">
        <v>2.96</v>
      </c>
      <c r="N4200" s="573">
        <v>4.14</v>
      </c>
      <c r="O4200" s="556" t="str">
        <f>IF(N4200=M4200,"OK","DIF")</f>
        <v>DIF</v>
      </c>
      <c r="P4200" s="573"/>
      <c r="Q4200" s="556"/>
      <c r="R4200" s="582"/>
    </row>
    <row r="4201" ht="23.85" customHeight="1" spans="1:18">
      <c r="A4201" s="556" t="str">
        <f>B4201</f>
        <v>Composição</v>
      </c>
      <c r="B4201" s="557" t="str">
        <f>B4200</f>
        <v>Composição</v>
      </c>
      <c r="C4201" s="100" t="s">
        <v>2893</v>
      </c>
      <c r="D4201" s="99" t="s">
        <v>4013</v>
      </c>
      <c r="E4201" s="100" t="s">
        <v>77</v>
      </c>
      <c r="F4201" s="100" t="s">
        <v>4014</v>
      </c>
      <c r="G4201" s="100" t="s">
        <v>2896</v>
      </c>
      <c r="H4201" s="100"/>
      <c r="I4201" s="101" t="s">
        <v>2897</v>
      </c>
      <c r="J4201" s="580">
        <v>0.15</v>
      </c>
      <c r="K4201" s="580">
        <v>3</v>
      </c>
      <c r="L4201" s="102">
        <v>26.52</v>
      </c>
      <c r="M4201" s="102">
        <v>4.09</v>
      </c>
      <c r="N4201" s="573">
        <v>5.11</v>
      </c>
      <c r="O4201" s="556" t="str">
        <f>IF(N4201=M4201,"OK","DIF")</f>
        <v>DIF</v>
      </c>
      <c r="P4201" s="573"/>
      <c r="Q4201" s="556"/>
      <c r="R4201" s="582"/>
    </row>
    <row r="4202" ht="25.5" spans="1:18">
      <c r="A4202" s="556" t="str">
        <f>B4202</f>
        <v>Composição</v>
      </c>
      <c r="B4202" s="557" t="str">
        <f>B4201</f>
        <v>Composição</v>
      </c>
      <c r="C4202" s="108"/>
      <c r="D4202" s="108"/>
      <c r="E4202" s="108"/>
      <c r="F4202" s="108"/>
      <c r="G4202" s="108"/>
      <c r="H4202" s="108" t="s">
        <v>2898</v>
      </c>
      <c r="I4202" s="581">
        <v>7.05</v>
      </c>
      <c r="J4202" s="108" t="s">
        <v>2899</v>
      </c>
      <c r="K4202" s="581">
        <v>0</v>
      </c>
      <c r="L4202" s="108" t="s">
        <v>2900</v>
      </c>
      <c r="M4202" s="581">
        <v>7.05</v>
      </c>
      <c r="N4202" s="573">
        <v>4.03</v>
      </c>
      <c r="O4202" s="556" t="str">
        <f>IF(N4202=M4202,"OK","DIF")</f>
        <v>DIF</v>
      </c>
      <c r="P4202" s="573"/>
      <c r="Q4202" s="556"/>
      <c r="R4202" s="582"/>
    </row>
    <row r="4203" ht="26.25" spans="1:18">
      <c r="A4203" s="556"/>
      <c r="B4203" s="557"/>
      <c r="C4203" s="108"/>
      <c r="D4203" s="108"/>
      <c r="E4203" s="108"/>
      <c r="F4203" s="108"/>
      <c r="G4203" s="108"/>
      <c r="H4203" s="108" t="s">
        <v>2901</v>
      </c>
      <c r="I4203" s="581">
        <v>16.95</v>
      </c>
      <c r="J4203" s="114"/>
      <c r="K4203" s="114" t="s">
        <v>2902</v>
      </c>
      <c r="L4203" s="108"/>
      <c r="M4203" s="581">
        <v>83.48</v>
      </c>
      <c r="N4203" s="573"/>
      <c r="O4203" s="556"/>
      <c r="P4203" s="573"/>
      <c r="Q4203" s="556"/>
      <c r="R4203" s="582"/>
    </row>
    <row r="4204" ht="15" spans="1:18">
      <c r="A4204" s="556"/>
      <c r="B4204" s="557"/>
      <c r="C4204" s="571"/>
      <c r="D4204" s="571"/>
      <c r="E4204" s="571"/>
      <c r="F4204" s="571"/>
      <c r="G4204" s="571"/>
      <c r="H4204" s="571"/>
      <c r="I4204" s="571"/>
      <c r="J4204" s="571"/>
      <c r="K4204" s="571"/>
      <c r="L4204" s="571"/>
      <c r="M4204" s="571"/>
      <c r="N4204" s="573"/>
      <c r="O4204" s="556"/>
      <c r="P4204" s="573"/>
      <c r="Q4204" s="556"/>
      <c r="R4204" s="582"/>
    </row>
    <row r="4205" ht="15" customHeight="1" spans="1:18">
      <c r="A4205" s="556"/>
      <c r="B4205" s="557">
        <f>C4204</f>
        <v>0</v>
      </c>
      <c r="C4205" s="76" t="s">
        <v>1472</v>
      </c>
      <c r="D4205" s="75" t="s">
        <v>63</v>
      </c>
      <c r="E4205" s="76" t="s">
        <v>64</v>
      </c>
      <c r="F4205" s="76" t="s">
        <v>65</v>
      </c>
      <c r="G4205" s="76" t="s">
        <v>2889</v>
      </c>
      <c r="H4205" s="76"/>
      <c r="I4205" s="77" t="s">
        <v>66</v>
      </c>
      <c r="J4205" s="75" t="s">
        <v>67</v>
      </c>
      <c r="K4205" s="75" t="s">
        <v>2890</v>
      </c>
      <c r="L4205" s="75" t="s">
        <v>68</v>
      </c>
      <c r="M4205" s="75" t="s">
        <v>70</v>
      </c>
      <c r="N4205" s="573">
        <v>49.85</v>
      </c>
      <c r="O4205" s="556" t="str">
        <f>IF(N4205=M4205,"OK","DIF")</f>
        <v>DIF</v>
      </c>
      <c r="P4205" s="573"/>
      <c r="Q4205" s="556"/>
      <c r="R4205" s="582"/>
    </row>
    <row r="4206" ht="51" spans="1:18">
      <c r="A4206" s="556">
        <f>B4206</f>
        <v>0</v>
      </c>
      <c r="B4206" s="557">
        <f>B4205</f>
        <v>0</v>
      </c>
      <c r="C4206" s="569" t="s">
        <v>2891</v>
      </c>
      <c r="D4206" s="570" t="s">
        <v>1473</v>
      </c>
      <c r="E4206" s="569" t="s">
        <v>77</v>
      </c>
      <c r="F4206" s="569" t="s">
        <v>4289</v>
      </c>
      <c r="G4206" s="569">
        <v>15</v>
      </c>
      <c r="H4206" s="569"/>
      <c r="I4206" s="577" t="s">
        <v>204</v>
      </c>
      <c r="J4206" s="578">
        <v>1</v>
      </c>
      <c r="K4206" s="579"/>
      <c r="L4206" s="579">
        <v>82.58</v>
      </c>
      <c r="M4206" s="579">
        <v>82.58</v>
      </c>
      <c r="N4206" s="573">
        <v>12.49</v>
      </c>
      <c r="O4206" s="556" t="str">
        <f>IF(N4206=M4206,"OK","DIF")</f>
        <v>DIF</v>
      </c>
      <c r="P4206" s="573"/>
      <c r="Q4206" s="556"/>
      <c r="R4206" s="582"/>
    </row>
    <row r="4207" ht="23.85" customHeight="1" spans="1:18">
      <c r="A4207" s="556">
        <f>B4207</f>
        <v>0</v>
      </c>
      <c r="B4207" s="557">
        <f>B4206</f>
        <v>0</v>
      </c>
      <c r="C4207" s="100" t="s">
        <v>2893</v>
      </c>
      <c r="D4207" s="99" t="s">
        <v>3108</v>
      </c>
      <c r="E4207" s="100" t="s">
        <v>77</v>
      </c>
      <c r="F4207" s="100" t="s">
        <v>3109</v>
      </c>
      <c r="G4207" s="100" t="s">
        <v>2896</v>
      </c>
      <c r="H4207" s="100"/>
      <c r="I4207" s="101" t="s">
        <v>2897</v>
      </c>
      <c r="J4207" s="580">
        <v>0.2</v>
      </c>
      <c r="K4207" s="580">
        <v>3</v>
      </c>
      <c r="L4207" s="102">
        <v>19.16</v>
      </c>
      <c r="M4207" s="102">
        <v>3.94</v>
      </c>
      <c r="N4207" s="573">
        <v>15.13</v>
      </c>
      <c r="O4207" s="556" t="str">
        <f>IF(N4207=M4207,"OK","DIF")</f>
        <v>DIF</v>
      </c>
      <c r="P4207" s="573"/>
      <c r="Q4207" s="556"/>
      <c r="R4207" s="582"/>
    </row>
    <row r="4208" ht="15" customHeight="1" spans="1:18">
      <c r="A4208" s="556">
        <f>B4208</f>
        <v>0</v>
      </c>
      <c r="B4208" s="557">
        <f>B4207</f>
        <v>0</v>
      </c>
      <c r="C4208" s="100" t="s">
        <v>2893</v>
      </c>
      <c r="D4208" s="99" t="s">
        <v>4290</v>
      </c>
      <c r="E4208" s="100" t="s">
        <v>77</v>
      </c>
      <c r="F4208" s="100" t="s">
        <v>4291</v>
      </c>
      <c r="G4208" s="100" t="s">
        <v>2961</v>
      </c>
      <c r="H4208" s="100"/>
      <c r="I4208" s="101" t="s">
        <v>204</v>
      </c>
      <c r="J4208" s="580">
        <v>1</v>
      </c>
      <c r="K4208" s="580">
        <v>0</v>
      </c>
      <c r="L4208" s="102">
        <v>73.18</v>
      </c>
      <c r="M4208" s="102">
        <v>73.18</v>
      </c>
      <c r="N4208" s="573">
        <v>21.61</v>
      </c>
      <c r="O4208" s="556" t="str">
        <f>IF(N4208=M4208,"OK","DIF")</f>
        <v>DIF</v>
      </c>
      <c r="P4208" s="573"/>
      <c r="Q4208" s="556"/>
      <c r="R4208" s="582"/>
    </row>
    <row r="4209" ht="23.85" customHeight="1" spans="1:18">
      <c r="A4209" s="556">
        <f>B4209</f>
        <v>0</v>
      </c>
      <c r="B4209" s="557">
        <f>B4208</f>
        <v>0</v>
      </c>
      <c r="C4209" s="100" t="s">
        <v>2893</v>
      </c>
      <c r="D4209" s="99" t="s">
        <v>4013</v>
      </c>
      <c r="E4209" s="100" t="s">
        <v>77</v>
      </c>
      <c r="F4209" s="100" t="s">
        <v>4014</v>
      </c>
      <c r="G4209" s="100" t="s">
        <v>2896</v>
      </c>
      <c r="H4209" s="100"/>
      <c r="I4209" s="101" t="s">
        <v>2897</v>
      </c>
      <c r="J4209" s="580">
        <v>0.2</v>
      </c>
      <c r="K4209" s="580">
        <v>3</v>
      </c>
      <c r="L4209" s="102">
        <v>26.52</v>
      </c>
      <c r="M4209" s="102">
        <v>5.46</v>
      </c>
      <c r="N4209" s="573">
        <v>0.62</v>
      </c>
      <c r="O4209" s="556" t="str">
        <f>IF(N4209=M4209,"OK","DIF")</f>
        <v>DIF</v>
      </c>
      <c r="P4209" s="573"/>
      <c r="Q4209" s="556"/>
      <c r="R4209" s="582"/>
    </row>
    <row r="4210" ht="25.5" spans="1:18">
      <c r="A4210" s="556"/>
      <c r="B4210" s="557"/>
      <c r="C4210" s="108"/>
      <c r="D4210" s="108"/>
      <c r="E4210" s="108"/>
      <c r="F4210" s="108"/>
      <c r="G4210" s="108"/>
      <c r="H4210" s="108" t="s">
        <v>2898</v>
      </c>
      <c r="I4210" s="581">
        <v>9.4</v>
      </c>
      <c r="J4210" s="108" t="s">
        <v>2899</v>
      </c>
      <c r="K4210" s="581">
        <v>0</v>
      </c>
      <c r="L4210" s="108" t="s">
        <v>2900</v>
      </c>
      <c r="M4210" s="581">
        <v>9.4</v>
      </c>
      <c r="N4210" s="573"/>
      <c r="O4210" s="556"/>
      <c r="P4210" s="573"/>
      <c r="Q4210" s="556"/>
      <c r="R4210" s="582"/>
    </row>
    <row r="4211" ht="26.25" spans="1:18">
      <c r="A4211" s="556"/>
      <c r="B4211" s="557"/>
      <c r="C4211" s="108"/>
      <c r="D4211" s="108"/>
      <c r="E4211" s="108"/>
      <c r="F4211" s="108"/>
      <c r="G4211" s="108"/>
      <c r="H4211" s="108" t="s">
        <v>2901</v>
      </c>
      <c r="I4211" s="581">
        <v>21.04</v>
      </c>
      <c r="J4211" s="114"/>
      <c r="K4211" s="114" t="s">
        <v>2902</v>
      </c>
      <c r="L4211" s="108"/>
      <c r="M4211" s="581">
        <v>103.62</v>
      </c>
      <c r="N4211" s="573"/>
      <c r="O4211" s="556"/>
      <c r="P4211" s="573"/>
      <c r="Q4211" s="556"/>
      <c r="R4211" s="582"/>
    </row>
    <row r="4212" ht="15" spans="1:18">
      <c r="A4212" s="556"/>
      <c r="B4212" s="557">
        <f>C4211</f>
        <v>0</v>
      </c>
      <c r="C4212" s="571"/>
      <c r="D4212" s="571"/>
      <c r="E4212" s="571"/>
      <c r="F4212" s="571"/>
      <c r="G4212" s="571"/>
      <c r="H4212" s="571"/>
      <c r="I4212" s="571"/>
      <c r="J4212" s="571"/>
      <c r="K4212" s="571"/>
      <c r="L4212" s="571"/>
      <c r="M4212" s="571"/>
      <c r="N4212" s="573">
        <v>42.46</v>
      </c>
      <c r="O4212" s="556" t="str">
        <f>IF(N4212=M4212,"OK","DIF")</f>
        <v>DIF</v>
      </c>
      <c r="P4212" s="573"/>
      <c r="Q4212" s="556"/>
      <c r="R4212" s="582"/>
    </row>
    <row r="4213" ht="15" customHeight="1" spans="1:18">
      <c r="A4213" s="556">
        <f>B4213</f>
        <v>0</v>
      </c>
      <c r="B4213" s="557">
        <f>B4212</f>
        <v>0</v>
      </c>
      <c r="C4213" s="76" t="s">
        <v>1475</v>
      </c>
      <c r="D4213" s="75" t="s">
        <v>63</v>
      </c>
      <c r="E4213" s="76" t="s">
        <v>64</v>
      </c>
      <c r="F4213" s="76" t="s">
        <v>65</v>
      </c>
      <c r="G4213" s="76" t="s">
        <v>2889</v>
      </c>
      <c r="H4213" s="76"/>
      <c r="I4213" s="77" t="s">
        <v>66</v>
      </c>
      <c r="J4213" s="75" t="s">
        <v>67</v>
      </c>
      <c r="K4213" s="75" t="s">
        <v>2890</v>
      </c>
      <c r="L4213" s="75" t="s">
        <v>68</v>
      </c>
      <c r="M4213" s="75" t="s">
        <v>70</v>
      </c>
      <c r="N4213" s="573">
        <v>12.9</v>
      </c>
      <c r="O4213" s="556" t="str">
        <f>IF(N4213=M4213,"OK","DIF")</f>
        <v>DIF</v>
      </c>
      <c r="P4213" s="573"/>
      <c r="Q4213" s="556"/>
      <c r="R4213" s="582"/>
    </row>
    <row r="4214" ht="35.05" customHeight="1" spans="1:18">
      <c r="A4214" s="556">
        <f>B4214</f>
        <v>0</v>
      </c>
      <c r="B4214" s="557">
        <f>B4213</f>
        <v>0</v>
      </c>
      <c r="C4214" s="569" t="s">
        <v>2891</v>
      </c>
      <c r="D4214" s="570" t="s">
        <v>1476</v>
      </c>
      <c r="E4214" s="569" t="s">
        <v>132</v>
      </c>
      <c r="F4214" s="569" t="s">
        <v>1477</v>
      </c>
      <c r="G4214" s="569" t="s">
        <v>3177</v>
      </c>
      <c r="H4214" s="569"/>
      <c r="I4214" s="577" t="s">
        <v>134</v>
      </c>
      <c r="J4214" s="578">
        <v>1</v>
      </c>
      <c r="K4214" s="579"/>
      <c r="L4214" s="579">
        <v>392.64</v>
      </c>
      <c r="M4214" s="579">
        <v>392.64</v>
      </c>
      <c r="N4214" s="573">
        <v>10.65</v>
      </c>
      <c r="O4214" s="556" t="str">
        <f>IF(N4214=M4214,"OK","DIF")</f>
        <v>DIF</v>
      </c>
      <c r="P4214" s="573"/>
      <c r="Q4214" s="556"/>
      <c r="R4214" s="582"/>
    </row>
    <row r="4215" ht="23.85" customHeight="1" spans="1:18">
      <c r="A4215" s="556">
        <f>B4215</f>
        <v>0</v>
      </c>
      <c r="B4215" s="557">
        <f>B4214</f>
        <v>0</v>
      </c>
      <c r="C4215" s="79" t="s">
        <v>2921</v>
      </c>
      <c r="D4215" s="78" t="s">
        <v>2952</v>
      </c>
      <c r="E4215" s="79" t="s">
        <v>139</v>
      </c>
      <c r="F4215" s="79" t="s">
        <v>2953</v>
      </c>
      <c r="G4215" s="79" t="s">
        <v>2928</v>
      </c>
      <c r="H4215" s="79"/>
      <c r="I4215" s="80" t="s">
        <v>2897</v>
      </c>
      <c r="J4215" s="583">
        <v>2</v>
      </c>
      <c r="K4215" s="583">
        <v>0</v>
      </c>
      <c r="L4215" s="92">
        <v>29.15</v>
      </c>
      <c r="M4215" s="92">
        <v>58.3</v>
      </c>
      <c r="N4215" s="573">
        <v>18.29</v>
      </c>
      <c r="O4215" s="556" t="str">
        <f>IF(N4215=M4215,"OK","DIF")</f>
        <v>DIF</v>
      </c>
      <c r="P4215" s="573"/>
      <c r="Q4215" s="556"/>
      <c r="R4215" s="582"/>
    </row>
    <row r="4216" ht="23.85" customHeight="1" spans="1:18">
      <c r="A4216" s="556">
        <f>B4216</f>
        <v>0</v>
      </c>
      <c r="B4216" s="557">
        <f>B4215</f>
        <v>0</v>
      </c>
      <c r="C4216" s="79" t="s">
        <v>2921</v>
      </c>
      <c r="D4216" s="78" t="s">
        <v>3151</v>
      </c>
      <c r="E4216" s="79" t="s">
        <v>139</v>
      </c>
      <c r="F4216" s="79" t="s">
        <v>3152</v>
      </c>
      <c r="G4216" s="79" t="s">
        <v>2928</v>
      </c>
      <c r="H4216" s="79"/>
      <c r="I4216" s="80" t="s">
        <v>2897</v>
      </c>
      <c r="J4216" s="583">
        <v>2</v>
      </c>
      <c r="K4216" s="583">
        <v>0</v>
      </c>
      <c r="L4216" s="92">
        <v>36.82</v>
      </c>
      <c r="M4216" s="92">
        <v>73.64</v>
      </c>
      <c r="N4216" s="573">
        <v>0.62</v>
      </c>
      <c r="O4216" s="556" t="str">
        <f>IF(N4216=M4216,"OK","DIF")</f>
        <v>DIF</v>
      </c>
      <c r="P4216" s="573"/>
      <c r="Q4216" s="556"/>
      <c r="R4216" s="582"/>
    </row>
    <row r="4217" ht="35.05" customHeight="1" spans="1:18">
      <c r="A4217" s="556"/>
      <c r="B4217" s="557"/>
      <c r="C4217" s="100" t="s">
        <v>2893</v>
      </c>
      <c r="D4217" s="99" t="s">
        <v>4292</v>
      </c>
      <c r="E4217" s="100" t="s">
        <v>149</v>
      </c>
      <c r="F4217" s="100" t="s">
        <v>4293</v>
      </c>
      <c r="G4217" s="100" t="s">
        <v>2961</v>
      </c>
      <c r="H4217" s="100"/>
      <c r="I4217" s="101" t="s">
        <v>134</v>
      </c>
      <c r="J4217" s="580">
        <v>1</v>
      </c>
      <c r="K4217" s="580">
        <v>0</v>
      </c>
      <c r="L4217" s="102">
        <v>260.7</v>
      </c>
      <c r="M4217" s="102">
        <v>260.7</v>
      </c>
      <c r="N4217" s="573"/>
      <c r="O4217" s="556"/>
      <c r="P4217" s="573"/>
      <c r="Q4217" s="556"/>
      <c r="R4217" s="582"/>
    </row>
    <row r="4218" ht="25.5" spans="1:18">
      <c r="A4218" s="556"/>
      <c r="B4218" s="557"/>
      <c r="C4218" s="108"/>
      <c r="D4218" s="108"/>
      <c r="E4218" s="108"/>
      <c r="F4218" s="108"/>
      <c r="G4218" s="108"/>
      <c r="H4218" s="108" t="s">
        <v>2898</v>
      </c>
      <c r="I4218" s="581">
        <v>91.98</v>
      </c>
      <c r="J4218" s="108" t="s">
        <v>2899</v>
      </c>
      <c r="K4218" s="581">
        <v>0</v>
      </c>
      <c r="L4218" s="108" t="s">
        <v>2900</v>
      </c>
      <c r="M4218" s="581">
        <v>91.98</v>
      </c>
      <c r="N4218" s="573"/>
      <c r="O4218" s="556"/>
      <c r="P4218" s="573"/>
      <c r="Q4218" s="556"/>
      <c r="R4218" s="582"/>
    </row>
    <row r="4219" ht="26.25" spans="1:18">
      <c r="A4219" s="556"/>
      <c r="B4219" s="557">
        <f>C4218</f>
        <v>0</v>
      </c>
      <c r="C4219" s="108"/>
      <c r="D4219" s="108"/>
      <c r="E4219" s="108"/>
      <c r="F4219" s="108"/>
      <c r="G4219" s="108"/>
      <c r="H4219" s="108" t="s">
        <v>2901</v>
      </c>
      <c r="I4219" s="581">
        <v>100.08</v>
      </c>
      <c r="J4219" s="114"/>
      <c r="K4219" s="114" t="s">
        <v>2902</v>
      </c>
      <c r="L4219" s="108"/>
      <c r="M4219" s="581">
        <v>492.72</v>
      </c>
      <c r="N4219" s="573">
        <v>37.46</v>
      </c>
      <c r="O4219" s="556" t="str">
        <f>IF(N4219=M4219,"OK","DIF")</f>
        <v>DIF</v>
      </c>
      <c r="P4219" s="573"/>
      <c r="Q4219" s="556"/>
      <c r="R4219" s="582"/>
    </row>
    <row r="4220" ht="15" spans="1:18">
      <c r="A4220" s="556">
        <f>B4220</f>
        <v>0</v>
      </c>
      <c r="B4220" s="557">
        <f>B4219</f>
        <v>0</v>
      </c>
      <c r="C4220" s="571"/>
      <c r="D4220" s="571"/>
      <c r="E4220" s="571"/>
      <c r="F4220" s="571"/>
      <c r="G4220" s="571"/>
      <c r="H4220" s="571"/>
      <c r="I4220" s="571"/>
      <c r="J4220" s="571"/>
      <c r="K4220" s="571"/>
      <c r="L4220" s="571"/>
      <c r="M4220" s="571"/>
      <c r="N4220" s="573">
        <v>10.66</v>
      </c>
      <c r="O4220" s="556" t="str">
        <f>IF(N4220=M4220,"OK","DIF")</f>
        <v>DIF</v>
      </c>
      <c r="P4220" s="573"/>
      <c r="Q4220" s="556"/>
      <c r="R4220" s="582"/>
    </row>
    <row r="4221" ht="15" customHeight="1" spans="1:18">
      <c r="A4221" s="556">
        <f>B4221</f>
        <v>0</v>
      </c>
      <c r="B4221" s="557">
        <f>B4220</f>
        <v>0</v>
      </c>
      <c r="C4221" s="76" t="s">
        <v>1478</v>
      </c>
      <c r="D4221" s="75" t="s">
        <v>63</v>
      </c>
      <c r="E4221" s="76" t="s">
        <v>64</v>
      </c>
      <c r="F4221" s="76" t="s">
        <v>65</v>
      </c>
      <c r="G4221" s="76" t="s">
        <v>2889</v>
      </c>
      <c r="H4221" s="76"/>
      <c r="I4221" s="77" t="s">
        <v>66</v>
      </c>
      <c r="J4221" s="75" t="s">
        <v>67</v>
      </c>
      <c r="K4221" s="75" t="s">
        <v>2890</v>
      </c>
      <c r="L4221" s="75" t="s">
        <v>68</v>
      </c>
      <c r="M4221" s="75" t="s">
        <v>70</v>
      </c>
      <c r="N4221" s="573">
        <v>8.8</v>
      </c>
      <c r="O4221" s="556" t="str">
        <f>IF(N4221=M4221,"OK","DIF")</f>
        <v>DIF</v>
      </c>
      <c r="P4221" s="573"/>
      <c r="Q4221" s="556"/>
      <c r="R4221" s="582"/>
    </row>
    <row r="4222" ht="23.85" customHeight="1" spans="1:18">
      <c r="A4222" s="556">
        <f>B4222</f>
        <v>0</v>
      </c>
      <c r="B4222" s="557">
        <f>B4221</f>
        <v>0</v>
      </c>
      <c r="C4222" s="569" t="s">
        <v>2891</v>
      </c>
      <c r="D4222" s="570" t="s">
        <v>1479</v>
      </c>
      <c r="E4222" s="569" t="s">
        <v>796</v>
      </c>
      <c r="F4222" s="569" t="s">
        <v>1480</v>
      </c>
      <c r="G4222" s="569" t="s">
        <v>3774</v>
      </c>
      <c r="H4222" s="569"/>
      <c r="I4222" s="577" t="s">
        <v>334</v>
      </c>
      <c r="J4222" s="578">
        <v>1</v>
      </c>
      <c r="K4222" s="579"/>
      <c r="L4222" s="579">
        <v>295.5</v>
      </c>
      <c r="M4222" s="579">
        <v>295.5</v>
      </c>
      <c r="N4222" s="573">
        <v>17.38</v>
      </c>
      <c r="O4222" s="556" t="str">
        <f>IF(N4222=M4222,"OK","DIF")</f>
        <v>DIF</v>
      </c>
      <c r="P4222" s="573"/>
      <c r="Q4222" s="556"/>
      <c r="R4222" s="582"/>
    </row>
    <row r="4223" ht="15" customHeight="1" spans="1:18">
      <c r="A4223" s="556">
        <f>B4223</f>
        <v>0</v>
      </c>
      <c r="B4223" s="557">
        <f>B4222</f>
        <v>0</v>
      </c>
      <c r="C4223" s="100" t="s">
        <v>2893</v>
      </c>
      <c r="D4223" s="99" t="s">
        <v>4294</v>
      </c>
      <c r="E4223" s="100" t="s">
        <v>796</v>
      </c>
      <c r="F4223" s="100" t="s">
        <v>4295</v>
      </c>
      <c r="G4223" s="100" t="s">
        <v>2896</v>
      </c>
      <c r="H4223" s="100"/>
      <c r="I4223" s="101" t="s">
        <v>3707</v>
      </c>
      <c r="J4223" s="580">
        <v>2.5</v>
      </c>
      <c r="K4223" s="580">
        <v>0</v>
      </c>
      <c r="L4223" s="102">
        <v>21.19</v>
      </c>
      <c r="M4223" s="102">
        <v>52.97</v>
      </c>
      <c r="N4223" s="573">
        <v>0.62</v>
      </c>
      <c r="O4223" s="556" t="str">
        <f>IF(N4223=M4223,"OK","DIF")</f>
        <v>DIF</v>
      </c>
      <c r="P4223" s="573"/>
      <c r="Q4223" s="556"/>
      <c r="R4223" s="582"/>
    </row>
    <row r="4224" ht="15" customHeight="1" spans="1:18">
      <c r="A4224" s="556"/>
      <c r="B4224" s="557"/>
      <c r="C4224" s="100" t="s">
        <v>2893</v>
      </c>
      <c r="D4224" s="99" t="s">
        <v>4296</v>
      </c>
      <c r="E4224" s="100" t="s">
        <v>796</v>
      </c>
      <c r="F4224" s="100" t="s">
        <v>4297</v>
      </c>
      <c r="G4224" s="100" t="s">
        <v>2961</v>
      </c>
      <c r="H4224" s="100"/>
      <c r="I4224" s="101" t="s">
        <v>334</v>
      </c>
      <c r="J4224" s="580">
        <v>1</v>
      </c>
      <c r="K4224" s="580">
        <v>0</v>
      </c>
      <c r="L4224" s="102">
        <v>240.95</v>
      </c>
      <c r="M4224" s="102">
        <v>240.95</v>
      </c>
      <c r="N4224" s="573"/>
      <c r="O4224" s="556"/>
      <c r="P4224" s="573"/>
      <c r="Q4224" s="556"/>
      <c r="R4224" s="582"/>
    </row>
    <row r="4225" ht="35.05" customHeight="1" spans="1:18">
      <c r="A4225" s="556"/>
      <c r="B4225" s="557"/>
      <c r="C4225" s="100" t="s">
        <v>2893</v>
      </c>
      <c r="D4225" s="99" t="s">
        <v>3713</v>
      </c>
      <c r="E4225" s="100" t="s">
        <v>796</v>
      </c>
      <c r="F4225" s="100" t="s">
        <v>3714</v>
      </c>
      <c r="G4225" s="100" t="s">
        <v>3715</v>
      </c>
      <c r="H4225" s="100"/>
      <c r="I4225" s="101" t="s">
        <v>3716</v>
      </c>
      <c r="J4225" s="580">
        <v>52.97</v>
      </c>
      <c r="K4225" s="580">
        <v>3</v>
      </c>
      <c r="L4225" s="102">
        <v>1</v>
      </c>
      <c r="M4225" s="102">
        <v>1.58</v>
      </c>
      <c r="N4225" s="573"/>
      <c r="O4225" s="556"/>
      <c r="P4225" s="573"/>
      <c r="Q4225" s="556"/>
      <c r="R4225" s="582"/>
    </row>
    <row r="4226" ht="25.5" spans="1:18">
      <c r="A4226" s="556"/>
      <c r="B4226" s="557" t="str">
        <f>C4225</f>
        <v>Insumo</v>
      </c>
      <c r="C4226" s="108"/>
      <c r="D4226" s="108"/>
      <c r="E4226" s="108"/>
      <c r="F4226" s="108"/>
      <c r="G4226" s="108"/>
      <c r="H4226" s="108" t="s">
        <v>2898</v>
      </c>
      <c r="I4226" s="581">
        <v>52.97</v>
      </c>
      <c r="J4226" s="108" t="s">
        <v>2899</v>
      </c>
      <c r="K4226" s="581">
        <v>0</v>
      </c>
      <c r="L4226" s="108" t="s">
        <v>2900</v>
      </c>
      <c r="M4226" s="581">
        <v>52.97</v>
      </c>
      <c r="N4226" s="573">
        <v>34.92</v>
      </c>
      <c r="O4226" s="556" t="str">
        <f>IF(N4226=M4226,"OK","DIF")</f>
        <v>DIF</v>
      </c>
      <c r="P4226" s="573"/>
      <c r="Q4226" s="556"/>
      <c r="R4226" s="582"/>
    </row>
    <row r="4227" ht="26.25" spans="1:18">
      <c r="A4227" s="556" t="str">
        <f>B4227</f>
        <v>Insumo</v>
      </c>
      <c r="B4227" s="557" t="str">
        <f>B4226</f>
        <v>Insumo</v>
      </c>
      <c r="C4227" s="108"/>
      <c r="D4227" s="108"/>
      <c r="E4227" s="108"/>
      <c r="F4227" s="108"/>
      <c r="G4227" s="108"/>
      <c r="H4227" s="108" t="s">
        <v>2901</v>
      </c>
      <c r="I4227" s="581">
        <v>75.32</v>
      </c>
      <c r="J4227" s="114"/>
      <c r="K4227" s="114" t="s">
        <v>2902</v>
      </c>
      <c r="L4227" s="108"/>
      <c r="M4227" s="581">
        <v>370.82</v>
      </c>
      <c r="N4227" s="573">
        <v>6.96</v>
      </c>
      <c r="O4227" s="556" t="str">
        <f>IF(N4227=M4227,"OK","DIF")</f>
        <v>DIF</v>
      </c>
      <c r="P4227" s="573"/>
      <c r="Q4227" s="556"/>
      <c r="R4227" s="582"/>
    </row>
    <row r="4228" ht="15" spans="1:18">
      <c r="A4228" s="556" t="str">
        <f>B4228</f>
        <v>Insumo</v>
      </c>
      <c r="B4228" s="557" t="str">
        <f>B4227</f>
        <v>Insumo</v>
      </c>
      <c r="C4228" s="571"/>
      <c r="D4228" s="571"/>
      <c r="E4228" s="571"/>
      <c r="F4228" s="571"/>
      <c r="G4228" s="571"/>
      <c r="H4228" s="571"/>
      <c r="I4228" s="571"/>
      <c r="J4228" s="571"/>
      <c r="K4228" s="571"/>
      <c r="L4228" s="571"/>
      <c r="M4228" s="571"/>
      <c r="N4228" s="573">
        <v>8.43</v>
      </c>
      <c r="O4228" s="556" t="str">
        <f>IF(N4228=M4228,"OK","DIF")</f>
        <v>DIF</v>
      </c>
      <c r="P4228" s="573"/>
      <c r="Q4228" s="556"/>
      <c r="R4228" s="582"/>
    </row>
    <row r="4229" ht="15" customHeight="1" spans="1:18">
      <c r="A4229" s="556" t="str">
        <f>B4229</f>
        <v>Insumo</v>
      </c>
      <c r="B4229" s="557" t="str">
        <f>B4228</f>
        <v>Insumo</v>
      </c>
      <c r="C4229" s="76" t="s">
        <v>1481</v>
      </c>
      <c r="D4229" s="75" t="s">
        <v>63</v>
      </c>
      <c r="E4229" s="76" t="s">
        <v>64</v>
      </c>
      <c r="F4229" s="76" t="s">
        <v>65</v>
      </c>
      <c r="G4229" s="76" t="s">
        <v>2889</v>
      </c>
      <c r="H4229" s="76"/>
      <c r="I4229" s="77" t="s">
        <v>66</v>
      </c>
      <c r="J4229" s="75" t="s">
        <v>67</v>
      </c>
      <c r="K4229" s="75" t="s">
        <v>2890</v>
      </c>
      <c r="L4229" s="75" t="s">
        <v>68</v>
      </c>
      <c r="M4229" s="75" t="s">
        <v>70</v>
      </c>
      <c r="N4229" s="573">
        <v>0.62</v>
      </c>
      <c r="O4229" s="556" t="str">
        <f>IF(N4229=M4229,"OK","DIF")</f>
        <v>DIF</v>
      </c>
      <c r="P4229" s="573"/>
      <c r="Q4229" s="556"/>
      <c r="R4229" s="582"/>
    </row>
    <row r="4230" ht="38.25" spans="1:18">
      <c r="A4230" s="556" t="str">
        <f>B4230</f>
        <v>Insumo</v>
      </c>
      <c r="B4230" s="557" t="str">
        <f>B4229</f>
        <v>Insumo</v>
      </c>
      <c r="C4230" s="569" t="s">
        <v>2891</v>
      </c>
      <c r="D4230" s="570" t="s">
        <v>1482</v>
      </c>
      <c r="E4230" s="569" t="s">
        <v>132</v>
      </c>
      <c r="F4230" s="569" t="s">
        <v>1483</v>
      </c>
      <c r="G4230" s="569">
        <v>18</v>
      </c>
      <c r="H4230" s="569"/>
      <c r="I4230" s="577" t="s">
        <v>134</v>
      </c>
      <c r="J4230" s="578">
        <v>1</v>
      </c>
      <c r="K4230" s="579"/>
      <c r="L4230" s="579">
        <v>132000</v>
      </c>
      <c r="M4230" s="579">
        <v>132000</v>
      </c>
      <c r="N4230" s="573">
        <v>18.91</v>
      </c>
      <c r="O4230" s="556" t="str">
        <f>IF(N4230=M4230,"OK","DIF")</f>
        <v>DIF</v>
      </c>
      <c r="P4230" s="573"/>
      <c r="Q4230" s="556"/>
      <c r="R4230" s="582"/>
    </row>
    <row r="4231" ht="35.05" customHeight="1" spans="1:18">
      <c r="A4231" s="556"/>
      <c r="B4231" s="557"/>
      <c r="C4231" s="100" t="s">
        <v>2893</v>
      </c>
      <c r="D4231" s="99" t="s">
        <v>4298</v>
      </c>
      <c r="E4231" s="100" t="s">
        <v>77</v>
      </c>
      <c r="F4231" s="100" t="s">
        <v>4299</v>
      </c>
      <c r="G4231" s="100" t="s">
        <v>2961</v>
      </c>
      <c r="H4231" s="100"/>
      <c r="I4231" s="101" t="s">
        <v>134</v>
      </c>
      <c r="J4231" s="580">
        <v>1</v>
      </c>
      <c r="K4231" s="580">
        <v>0</v>
      </c>
      <c r="L4231" s="102">
        <v>132000</v>
      </c>
      <c r="M4231" s="102">
        <v>132000</v>
      </c>
      <c r="N4231" s="573"/>
      <c r="O4231" s="556"/>
      <c r="P4231" s="573"/>
      <c r="Q4231" s="556"/>
      <c r="R4231" s="582"/>
    </row>
    <row r="4232" ht="25.5" spans="1:18">
      <c r="A4232" s="556"/>
      <c r="B4232" s="557"/>
      <c r="C4232" s="108"/>
      <c r="D4232" s="108"/>
      <c r="E4232" s="108"/>
      <c r="F4232" s="108"/>
      <c r="G4232" s="108"/>
      <c r="H4232" s="108" t="s">
        <v>2898</v>
      </c>
      <c r="I4232" s="581">
        <v>0</v>
      </c>
      <c r="J4232" s="108" t="s">
        <v>2899</v>
      </c>
      <c r="K4232" s="581">
        <v>0</v>
      </c>
      <c r="L4232" s="108" t="s">
        <v>2900</v>
      </c>
      <c r="M4232" s="581">
        <v>0</v>
      </c>
      <c r="N4232" s="573"/>
      <c r="O4232" s="556"/>
      <c r="P4232" s="573"/>
      <c r="Q4232" s="556"/>
      <c r="R4232" s="582"/>
    </row>
    <row r="4233" ht="26.25" spans="1:18">
      <c r="A4233" s="556"/>
      <c r="B4233" s="557">
        <f>C4232</f>
        <v>0</v>
      </c>
      <c r="C4233" s="108"/>
      <c r="D4233" s="108"/>
      <c r="E4233" s="108"/>
      <c r="F4233" s="108"/>
      <c r="G4233" s="108"/>
      <c r="H4233" s="108" t="s">
        <v>2901</v>
      </c>
      <c r="I4233" s="581">
        <v>21278.4</v>
      </c>
      <c r="J4233" s="114"/>
      <c r="K4233" s="114" t="s">
        <v>2902</v>
      </c>
      <c r="L4233" s="108"/>
      <c r="M4233" s="581">
        <v>153278.4</v>
      </c>
      <c r="N4233" s="573">
        <v>53.01</v>
      </c>
      <c r="O4233" s="556" t="str">
        <f>IF(N4233=M4233,"OK","DIF")</f>
        <v>DIF</v>
      </c>
      <c r="P4233" s="573"/>
      <c r="Q4233" s="556"/>
      <c r="R4233" s="582"/>
    </row>
    <row r="4234" ht="15" spans="1:18">
      <c r="A4234" s="556">
        <f>B4234</f>
        <v>0</v>
      </c>
      <c r="B4234" s="557">
        <f>B4233</f>
        <v>0</v>
      </c>
      <c r="C4234" s="571"/>
      <c r="D4234" s="571"/>
      <c r="E4234" s="571"/>
      <c r="F4234" s="571"/>
      <c r="G4234" s="571"/>
      <c r="H4234" s="571"/>
      <c r="I4234" s="571"/>
      <c r="J4234" s="571"/>
      <c r="K4234" s="571"/>
      <c r="L4234" s="571"/>
      <c r="M4234" s="571"/>
      <c r="N4234" s="573">
        <v>14.34</v>
      </c>
      <c r="O4234" s="556" t="str">
        <f>IF(N4234=M4234,"OK","DIF")</f>
        <v>DIF</v>
      </c>
      <c r="P4234" s="573"/>
      <c r="Q4234" s="556"/>
      <c r="R4234" s="582"/>
    </row>
    <row r="4235" ht="15" customHeight="1" spans="1:18">
      <c r="A4235" s="556">
        <f>B4235</f>
        <v>0</v>
      </c>
      <c r="B4235" s="557">
        <f>B4234</f>
        <v>0</v>
      </c>
      <c r="C4235" s="76" t="s">
        <v>1485</v>
      </c>
      <c r="D4235" s="75" t="s">
        <v>63</v>
      </c>
      <c r="E4235" s="76" t="s">
        <v>64</v>
      </c>
      <c r="F4235" s="76" t="s">
        <v>65</v>
      </c>
      <c r="G4235" s="76" t="s">
        <v>2889</v>
      </c>
      <c r="H4235" s="76"/>
      <c r="I4235" s="77" t="s">
        <v>66</v>
      </c>
      <c r="J4235" s="75" t="s">
        <v>67</v>
      </c>
      <c r="K4235" s="75" t="s">
        <v>2890</v>
      </c>
      <c r="L4235" s="75" t="s">
        <v>68</v>
      </c>
      <c r="M4235" s="75" t="s">
        <v>70</v>
      </c>
      <c r="N4235" s="573">
        <v>17.37</v>
      </c>
      <c r="O4235" s="556" t="str">
        <f>IF(N4235=M4235,"OK","DIF")</f>
        <v>DIF</v>
      </c>
      <c r="P4235" s="573"/>
      <c r="Q4235" s="556"/>
      <c r="R4235" s="582"/>
    </row>
    <row r="4236" ht="35.05" customHeight="1" spans="1:18">
      <c r="A4236" s="556">
        <f>B4236</f>
        <v>0</v>
      </c>
      <c r="B4236" s="557">
        <f>B4235</f>
        <v>0</v>
      </c>
      <c r="C4236" s="569" t="s">
        <v>2891</v>
      </c>
      <c r="D4236" s="570" t="s">
        <v>1486</v>
      </c>
      <c r="E4236" s="569" t="s">
        <v>132</v>
      </c>
      <c r="F4236" s="569" t="s">
        <v>1487</v>
      </c>
      <c r="G4236" s="569" t="s">
        <v>3177</v>
      </c>
      <c r="H4236" s="569"/>
      <c r="I4236" s="577" t="s">
        <v>134</v>
      </c>
      <c r="J4236" s="578">
        <v>1</v>
      </c>
      <c r="K4236" s="579"/>
      <c r="L4236" s="579">
        <v>2188.14</v>
      </c>
      <c r="M4236" s="579">
        <v>2188.14</v>
      </c>
      <c r="N4236" s="573">
        <v>0.62</v>
      </c>
      <c r="O4236" s="556" t="str">
        <f>IF(N4236=M4236,"OK","DIF")</f>
        <v>DIF</v>
      </c>
      <c r="P4236" s="573"/>
      <c r="Q4236" s="556"/>
      <c r="R4236" s="582"/>
    </row>
    <row r="4237" ht="23.85" customHeight="1" spans="1:18">
      <c r="A4237" s="556">
        <f>B4237</f>
        <v>0</v>
      </c>
      <c r="B4237" s="557">
        <f>B4236</f>
        <v>0</v>
      </c>
      <c r="C4237" s="79" t="s">
        <v>2921</v>
      </c>
      <c r="D4237" s="78" t="s">
        <v>4190</v>
      </c>
      <c r="E4237" s="79" t="s">
        <v>139</v>
      </c>
      <c r="F4237" s="79" t="s">
        <v>4191</v>
      </c>
      <c r="G4237" s="79" t="s">
        <v>2928</v>
      </c>
      <c r="H4237" s="79"/>
      <c r="I4237" s="80" t="s">
        <v>2897</v>
      </c>
      <c r="J4237" s="583">
        <v>8</v>
      </c>
      <c r="K4237" s="583">
        <v>0</v>
      </c>
      <c r="L4237" s="92">
        <v>40.65</v>
      </c>
      <c r="M4237" s="92">
        <v>325.2</v>
      </c>
      <c r="N4237" s="573">
        <v>20.68</v>
      </c>
      <c r="O4237" s="556" t="str">
        <f>IF(N4237=M4237,"OK","DIF")</f>
        <v>DIF</v>
      </c>
      <c r="P4237" s="573"/>
      <c r="Q4237" s="556"/>
      <c r="R4237" s="582"/>
    </row>
    <row r="4238" ht="23.85" customHeight="1" spans="1:18">
      <c r="A4238" s="556"/>
      <c r="B4238" s="557"/>
      <c r="C4238" s="79" t="s">
        <v>2921</v>
      </c>
      <c r="D4238" s="78" t="s">
        <v>3153</v>
      </c>
      <c r="E4238" s="79" t="s">
        <v>139</v>
      </c>
      <c r="F4238" s="79" t="s">
        <v>3154</v>
      </c>
      <c r="G4238" s="79" t="s">
        <v>2928</v>
      </c>
      <c r="H4238" s="79"/>
      <c r="I4238" s="80" t="s">
        <v>2897</v>
      </c>
      <c r="J4238" s="583">
        <v>32</v>
      </c>
      <c r="K4238" s="583">
        <v>0</v>
      </c>
      <c r="L4238" s="92">
        <v>30.6</v>
      </c>
      <c r="M4238" s="92">
        <v>979.2</v>
      </c>
      <c r="N4238" s="573"/>
      <c r="O4238" s="556"/>
      <c r="P4238" s="573"/>
      <c r="Q4238" s="556"/>
      <c r="R4238" s="582"/>
    </row>
    <row r="4239" ht="23.85" customHeight="1" spans="1:18">
      <c r="A4239" s="556"/>
      <c r="B4239" s="557"/>
      <c r="C4239" s="79" t="s">
        <v>2921</v>
      </c>
      <c r="D4239" s="78" t="s">
        <v>3151</v>
      </c>
      <c r="E4239" s="79" t="s">
        <v>139</v>
      </c>
      <c r="F4239" s="79" t="s">
        <v>3152</v>
      </c>
      <c r="G4239" s="79" t="s">
        <v>2928</v>
      </c>
      <c r="H4239" s="79"/>
      <c r="I4239" s="80" t="s">
        <v>2897</v>
      </c>
      <c r="J4239" s="583">
        <v>16</v>
      </c>
      <c r="K4239" s="583">
        <v>0</v>
      </c>
      <c r="L4239" s="92">
        <v>36.82</v>
      </c>
      <c r="M4239" s="92">
        <v>589.12</v>
      </c>
      <c r="N4239" s="573"/>
      <c r="O4239" s="556"/>
      <c r="P4239" s="573"/>
      <c r="Q4239" s="556"/>
      <c r="R4239" s="582"/>
    </row>
    <row r="4240" ht="46.25" customHeight="1" spans="1:18">
      <c r="A4240" s="556"/>
      <c r="B4240" s="557" t="str">
        <f>C4239</f>
        <v>Composição Auxiliar</v>
      </c>
      <c r="C4240" s="79" t="s">
        <v>2921</v>
      </c>
      <c r="D4240" s="78" t="s">
        <v>4300</v>
      </c>
      <c r="E4240" s="79" t="s">
        <v>139</v>
      </c>
      <c r="F4240" s="79" t="s">
        <v>4301</v>
      </c>
      <c r="G4240" s="79" t="s">
        <v>2995</v>
      </c>
      <c r="H4240" s="79"/>
      <c r="I4240" s="80" t="s">
        <v>3002</v>
      </c>
      <c r="J4240" s="583">
        <v>1</v>
      </c>
      <c r="K4240" s="583">
        <v>0</v>
      </c>
      <c r="L4240" s="92">
        <v>294.62</v>
      </c>
      <c r="M4240" s="92">
        <v>294.62</v>
      </c>
      <c r="N4240" s="573">
        <v>11.03</v>
      </c>
      <c r="O4240" s="556" t="str">
        <f>IF(N4240=M4240,"OK","DIF")</f>
        <v>DIF</v>
      </c>
      <c r="P4240" s="573"/>
      <c r="Q4240" s="556"/>
      <c r="R4240" s="582"/>
    </row>
    <row r="4241" ht="25.5" spans="1:18">
      <c r="A4241" s="556" t="str">
        <f>B4241</f>
        <v>Composição Auxiliar</v>
      </c>
      <c r="B4241" s="557" t="str">
        <f>B4240</f>
        <v>Composição Auxiliar</v>
      </c>
      <c r="C4241" s="108"/>
      <c r="D4241" s="108"/>
      <c r="E4241" s="108"/>
      <c r="F4241" s="108"/>
      <c r="G4241" s="108"/>
      <c r="H4241" s="108" t="s">
        <v>2898</v>
      </c>
      <c r="I4241" s="581">
        <v>1376.23</v>
      </c>
      <c r="J4241" s="108" t="s">
        <v>2899</v>
      </c>
      <c r="K4241" s="581">
        <v>0</v>
      </c>
      <c r="L4241" s="108" t="s">
        <v>2900</v>
      </c>
      <c r="M4241" s="581">
        <v>1376.23</v>
      </c>
      <c r="N4241" s="573">
        <v>6.43</v>
      </c>
      <c r="O4241" s="556" t="str">
        <f>IF(N4241=M4241,"OK","DIF")</f>
        <v>DIF</v>
      </c>
      <c r="P4241" s="573"/>
      <c r="Q4241" s="556"/>
      <c r="R4241" s="582"/>
    </row>
    <row r="4242" ht="26.25" spans="1:18">
      <c r="A4242" s="556" t="str">
        <f>B4242</f>
        <v>Composição Auxiliar</v>
      </c>
      <c r="B4242" s="557" t="str">
        <f>B4241</f>
        <v>Composição Auxiliar</v>
      </c>
      <c r="C4242" s="108"/>
      <c r="D4242" s="108"/>
      <c r="E4242" s="108"/>
      <c r="F4242" s="108"/>
      <c r="G4242" s="108"/>
      <c r="H4242" s="108" t="s">
        <v>2901</v>
      </c>
      <c r="I4242" s="581">
        <v>557.75</v>
      </c>
      <c r="J4242" s="114"/>
      <c r="K4242" s="114" t="s">
        <v>2902</v>
      </c>
      <c r="L4242" s="108"/>
      <c r="M4242" s="581">
        <v>2745.89</v>
      </c>
      <c r="N4242" s="573">
        <v>1.2</v>
      </c>
      <c r="O4242" s="556" t="str">
        <f>IF(N4242=M4242,"OK","DIF")</f>
        <v>DIF</v>
      </c>
      <c r="P4242" s="573"/>
      <c r="Q4242" s="556"/>
      <c r="R4242" s="582"/>
    </row>
    <row r="4243" ht="15" spans="1:18">
      <c r="A4243" s="556" t="str">
        <f>B4243</f>
        <v>Composição Auxiliar</v>
      </c>
      <c r="B4243" s="557" t="str">
        <f>B4242</f>
        <v>Composição Auxiliar</v>
      </c>
      <c r="C4243" s="571"/>
      <c r="D4243" s="571"/>
      <c r="E4243" s="571"/>
      <c r="F4243" s="571"/>
      <c r="G4243" s="571"/>
      <c r="H4243" s="571"/>
      <c r="I4243" s="571"/>
      <c r="J4243" s="571"/>
      <c r="K4243" s="571"/>
      <c r="L4243" s="571"/>
      <c r="M4243" s="571"/>
      <c r="N4243" s="573">
        <v>3.4</v>
      </c>
      <c r="O4243" s="556" t="str">
        <f>IF(N4243=M4243,"OK","DIF")</f>
        <v>DIF</v>
      </c>
      <c r="P4243" s="573"/>
      <c r="Q4243" s="556"/>
      <c r="R4243" s="582"/>
    </row>
    <row r="4244" ht="15" customHeight="1" spans="1:18">
      <c r="A4244" s="556"/>
      <c r="B4244" s="557"/>
      <c r="C4244" s="76" t="s">
        <v>1488</v>
      </c>
      <c r="D4244" s="75" t="s">
        <v>63</v>
      </c>
      <c r="E4244" s="76" t="s">
        <v>64</v>
      </c>
      <c r="F4244" s="76" t="s">
        <v>65</v>
      </c>
      <c r="G4244" s="76" t="s">
        <v>2889</v>
      </c>
      <c r="H4244" s="76"/>
      <c r="I4244" s="77" t="s">
        <v>66</v>
      </c>
      <c r="J4244" s="75" t="s">
        <v>67</v>
      </c>
      <c r="K4244" s="75" t="s">
        <v>2890</v>
      </c>
      <c r="L4244" s="75" t="s">
        <v>68</v>
      </c>
      <c r="M4244" s="75" t="s">
        <v>70</v>
      </c>
      <c r="N4244" s="573"/>
      <c r="O4244" s="556"/>
      <c r="P4244" s="573"/>
      <c r="Q4244" s="556"/>
      <c r="R4244" s="582"/>
    </row>
    <row r="4245" ht="38.25" spans="1:18">
      <c r="A4245" s="556"/>
      <c r="B4245" s="557"/>
      <c r="C4245" s="569" t="s">
        <v>2891</v>
      </c>
      <c r="D4245" s="570" t="s">
        <v>1489</v>
      </c>
      <c r="E4245" s="569" t="s">
        <v>132</v>
      </c>
      <c r="F4245" s="569" t="s">
        <v>1490</v>
      </c>
      <c r="G4245" s="569">
        <v>36.01</v>
      </c>
      <c r="H4245" s="569"/>
      <c r="I4245" s="577" t="s">
        <v>1491</v>
      </c>
      <c r="J4245" s="578">
        <v>1</v>
      </c>
      <c r="K4245" s="579"/>
      <c r="L4245" s="579">
        <v>267355.8</v>
      </c>
      <c r="M4245" s="579">
        <v>267355.8</v>
      </c>
      <c r="N4245" s="573"/>
      <c r="O4245" s="556"/>
      <c r="P4245" s="573"/>
      <c r="Q4245" s="556"/>
      <c r="R4245" s="582"/>
    </row>
    <row r="4246" ht="15" customHeight="1" spans="1:18">
      <c r="A4246" s="556"/>
      <c r="B4246" s="557" t="str">
        <f>C4245</f>
        <v>Composição</v>
      </c>
      <c r="C4246" s="100" t="s">
        <v>2893</v>
      </c>
      <c r="D4246" s="99" t="s">
        <v>4302</v>
      </c>
      <c r="E4246" s="100" t="s">
        <v>132</v>
      </c>
      <c r="F4246" s="100" t="s">
        <v>1490</v>
      </c>
      <c r="G4246" s="100" t="s">
        <v>2961</v>
      </c>
      <c r="H4246" s="100"/>
      <c r="I4246" s="101" t="s">
        <v>1491</v>
      </c>
      <c r="J4246" s="580">
        <v>1</v>
      </c>
      <c r="K4246" s="580">
        <v>0</v>
      </c>
      <c r="L4246" s="102">
        <v>267355.8</v>
      </c>
      <c r="M4246" s="102">
        <v>267355.8</v>
      </c>
      <c r="N4246" s="573">
        <v>10.8</v>
      </c>
      <c r="O4246" s="556" t="str">
        <f>IF(N4246=M4246,"OK","DIF")</f>
        <v>DIF</v>
      </c>
      <c r="P4246" s="573"/>
      <c r="Q4246" s="556"/>
      <c r="R4246" s="582"/>
    </row>
    <row r="4247" ht="25.5" spans="1:18">
      <c r="A4247" s="556" t="str">
        <f>B4247</f>
        <v>Composição</v>
      </c>
      <c r="B4247" s="557" t="str">
        <f>B4246</f>
        <v>Composição</v>
      </c>
      <c r="C4247" s="108"/>
      <c r="D4247" s="108"/>
      <c r="E4247" s="108"/>
      <c r="F4247" s="108"/>
      <c r="G4247" s="108"/>
      <c r="H4247" s="108" t="s">
        <v>2898</v>
      </c>
      <c r="I4247" s="581">
        <v>0</v>
      </c>
      <c r="J4247" s="108" t="s">
        <v>2899</v>
      </c>
      <c r="K4247" s="581">
        <v>0</v>
      </c>
      <c r="L4247" s="108" t="s">
        <v>2900</v>
      </c>
      <c r="M4247" s="581">
        <v>0</v>
      </c>
      <c r="N4247" s="573">
        <v>1.2</v>
      </c>
      <c r="O4247" s="556" t="str">
        <f>IF(N4247=M4247,"OK","DIF")</f>
        <v>DIF</v>
      </c>
      <c r="P4247" s="573"/>
      <c r="Q4247" s="556"/>
      <c r="R4247" s="582"/>
    </row>
    <row r="4248" ht="26.25" spans="1:18">
      <c r="A4248" s="556" t="str">
        <f>B4248</f>
        <v>Composição</v>
      </c>
      <c r="B4248" s="557" t="str">
        <f>B4247</f>
        <v>Composição</v>
      </c>
      <c r="C4248" s="108"/>
      <c r="D4248" s="108"/>
      <c r="E4248" s="108"/>
      <c r="F4248" s="108"/>
      <c r="G4248" s="108"/>
      <c r="H4248" s="108" t="s">
        <v>2901</v>
      </c>
      <c r="I4248" s="581">
        <v>43097.75</v>
      </c>
      <c r="J4248" s="114"/>
      <c r="K4248" s="114" t="s">
        <v>2902</v>
      </c>
      <c r="L4248" s="108"/>
      <c r="M4248" s="581">
        <v>310453.55</v>
      </c>
      <c r="N4248" s="573">
        <v>6.43</v>
      </c>
      <c r="O4248" s="556" t="str">
        <f>IF(N4248=M4248,"OK","DIF")</f>
        <v>DIF</v>
      </c>
      <c r="P4248" s="573"/>
      <c r="Q4248" s="556"/>
      <c r="R4248" s="582"/>
    </row>
    <row r="4249" ht="15" spans="1:18">
      <c r="A4249" s="556" t="str">
        <f>B4249</f>
        <v>Composição</v>
      </c>
      <c r="B4249" s="557" t="str">
        <f>B4248</f>
        <v>Composição</v>
      </c>
      <c r="C4249" s="571"/>
      <c r="D4249" s="571"/>
      <c r="E4249" s="571"/>
      <c r="F4249" s="571"/>
      <c r="G4249" s="571"/>
      <c r="H4249" s="571"/>
      <c r="I4249" s="571"/>
      <c r="J4249" s="571"/>
      <c r="K4249" s="571"/>
      <c r="L4249" s="571"/>
      <c r="M4249" s="571"/>
      <c r="N4249" s="573">
        <v>3.17</v>
      </c>
      <c r="O4249" s="556" t="str">
        <f>IF(N4249=M4249,"OK","DIF")</f>
        <v>DIF</v>
      </c>
      <c r="P4249" s="573"/>
      <c r="Q4249" s="556"/>
      <c r="R4249" s="582"/>
    </row>
    <row r="4250" ht="15" customHeight="1" spans="1:18">
      <c r="A4250" s="556"/>
      <c r="B4250" s="557"/>
      <c r="C4250" s="76" t="s">
        <v>1493</v>
      </c>
      <c r="D4250" s="75" t="s">
        <v>63</v>
      </c>
      <c r="E4250" s="76" t="s">
        <v>64</v>
      </c>
      <c r="F4250" s="76" t="s">
        <v>65</v>
      </c>
      <c r="G4250" s="76" t="s">
        <v>2889</v>
      </c>
      <c r="H4250" s="76"/>
      <c r="I4250" s="77" t="s">
        <v>66</v>
      </c>
      <c r="J4250" s="75" t="s">
        <v>67</v>
      </c>
      <c r="K4250" s="75" t="s">
        <v>2890</v>
      </c>
      <c r="L4250" s="75" t="s">
        <v>68</v>
      </c>
      <c r="M4250" s="75" t="s">
        <v>70</v>
      </c>
      <c r="N4250" s="573"/>
      <c r="O4250" s="556"/>
      <c r="P4250" s="573"/>
      <c r="Q4250" s="556"/>
      <c r="R4250" s="582"/>
    </row>
    <row r="4251" ht="35.05" customHeight="1" spans="1:18">
      <c r="A4251" s="556"/>
      <c r="B4251" s="557"/>
      <c r="C4251" s="569" t="s">
        <v>2891</v>
      </c>
      <c r="D4251" s="570" t="s">
        <v>1494</v>
      </c>
      <c r="E4251" s="569" t="s">
        <v>132</v>
      </c>
      <c r="F4251" s="569" t="s">
        <v>1495</v>
      </c>
      <c r="G4251" s="569" t="s">
        <v>3177</v>
      </c>
      <c r="H4251" s="569"/>
      <c r="I4251" s="577" t="s">
        <v>134</v>
      </c>
      <c r="J4251" s="578">
        <v>1</v>
      </c>
      <c r="K4251" s="579"/>
      <c r="L4251" s="579">
        <v>2709.7</v>
      </c>
      <c r="M4251" s="579">
        <v>2709.7</v>
      </c>
      <c r="N4251" s="573"/>
      <c r="O4251" s="556"/>
      <c r="P4251" s="573"/>
      <c r="Q4251" s="556"/>
      <c r="R4251" s="582"/>
    </row>
    <row r="4252" ht="23.85" customHeight="1" spans="1:18">
      <c r="A4252" s="556"/>
      <c r="B4252" s="557" t="str">
        <f>C4251</f>
        <v>Composição</v>
      </c>
      <c r="C4252" s="79" t="s">
        <v>2921</v>
      </c>
      <c r="D4252" s="78" t="s">
        <v>3151</v>
      </c>
      <c r="E4252" s="79" t="s">
        <v>139</v>
      </c>
      <c r="F4252" s="79" t="s">
        <v>3152</v>
      </c>
      <c r="G4252" s="79" t="s">
        <v>2928</v>
      </c>
      <c r="H4252" s="79"/>
      <c r="I4252" s="80" t="s">
        <v>2897</v>
      </c>
      <c r="J4252" s="583">
        <v>4</v>
      </c>
      <c r="K4252" s="583">
        <v>0</v>
      </c>
      <c r="L4252" s="92">
        <v>36.82</v>
      </c>
      <c r="M4252" s="92">
        <v>147.28</v>
      </c>
      <c r="N4252" s="573">
        <v>23.18</v>
      </c>
      <c r="O4252" s="556" t="str">
        <f t="shared" ref="O4252:O4257" si="325">IF(N4252=M4252,"OK","DIF")</f>
        <v>DIF</v>
      </c>
      <c r="P4252" s="573"/>
      <c r="Q4252" s="556"/>
      <c r="R4252" s="582"/>
    </row>
    <row r="4253" ht="46.25" customHeight="1" spans="1:18">
      <c r="A4253" s="556" t="str">
        <f>B4253</f>
        <v>Composição</v>
      </c>
      <c r="B4253" s="557" t="str">
        <f>B4252</f>
        <v>Composição</v>
      </c>
      <c r="C4253" s="79" t="s">
        <v>2921</v>
      </c>
      <c r="D4253" s="78" t="s">
        <v>4266</v>
      </c>
      <c r="E4253" s="79" t="s">
        <v>139</v>
      </c>
      <c r="F4253" s="79" t="s">
        <v>4267</v>
      </c>
      <c r="G4253" s="79" t="s">
        <v>2995</v>
      </c>
      <c r="H4253" s="79"/>
      <c r="I4253" s="80" t="s">
        <v>3002</v>
      </c>
      <c r="J4253" s="583">
        <v>8</v>
      </c>
      <c r="K4253" s="583">
        <v>0</v>
      </c>
      <c r="L4253" s="92">
        <v>300.61</v>
      </c>
      <c r="M4253" s="92">
        <v>2404.88</v>
      </c>
      <c r="N4253" s="573">
        <v>9.92</v>
      </c>
      <c r="O4253" s="556" t="str">
        <f t="shared" si="325"/>
        <v>DIF</v>
      </c>
      <c r="P4253" s="573"/>
      <c r="Q4253" s="556"/>
      <c r="R4253" s="582"/>
    </row>
    <row r="4254" ht="23.85" customHeight="1" spans="1:18">
      <c r="A4254" s="556" t="str">
        <f>B4254</f>
        <v>Composição</v>
      </c>
      <c r="B4254" s="557" t="str">
        <f>B4253</f>
        <v>Composição</v>
      </c>
      <c r="C4254" s="79" t="s">
        <v>2921</v>
      </c>
      <c r="D4254" s="78" t="s">
        <v>3153</v>
      </c>
      <c r="E4254" s="79" t="s">
        <v>139</v>
      </c>
      <c r="F4254" s="79" t="s">
        <v>3154</v>
      </c>
      <c r="G4254" s="79" t="s">
        <v>2928</v>
      </c>
      <c r="H4254" s="79"/>
      <c r="I4254" s="80" t="s">
        <v>2897</v>
      </c>
      <c r="J4254" s="583">
        <v>4</v>
      </c>
      <c r="K4254" s="583">
        <v>0</v>
      </c>
      <c r="L4254" s="92">
        <v>30.6</v>
      </c>
      <c r="M4254" s="92">
        <v>122.4</v>
      </c>
      <c r="N4254" s="573">
        <v>7.78</v>
      </c>
      <c r="O4254" s="556" t="str">
        <f t="shared" si="325"/>
        <v>DIF</v>
      </c>
      <c r="P4254" s="573"/>
      <c r="Q4254" s="556"/>
      <c r="R4254" s="582"/>
    </row>
    <row r="4255" ht="23.85" customHeight="1" spans="1:18">
      <c r="A4255" s="556" t="str">
        <f>B4255</f>
        <v>Composição</v>
      </c>
      <c r="B4255" s="557" t="str">
        <f>B4254</f>
        <v>Composição</v>
      </c>
      <c r="C4255" s="79" t="s">
        <v>2921</v>
      </c>
      <c r="D4255" s="78" t="s">
        <v>4303</v>
      </c>
      <c r="E4255" s="79" t="s">
        <v>139</v>
      </c>
      <c r="F4255" s="79" t="s">
        <v>4304</v>
      </c>
      <c r="G4255" s="79" t="s">
        <v>2928</v>
      </c>
      <c r="H4255" s="79"/>
      <c r="I4255" s="80" t="s">
        <v>2897</v>
      </c>
      <c r="J4255" s="583">
        <v>1</v>
      </c>
      <c r="K4255" s="583">
        <v>0</v>
      </c>
      <c r="L4255" s="92">
        <v>35.14</v>
      </c>
      <c r="M4255" s="92">
        <v>35.14</v>
      </c>
      <c r="N4255" s="573">
        <v>0.42</v>
      </c>
      <c r="O4255" s="556" t="str">
        <f t="shared" si="325"/>
        <v>DIF</v>
      </c>
      <c r="P4255" s="573"/>
      <c r="Q4255" s="556"/>
      <c r="R4255" s="582"/>
    </row>
    <row r="4256" ht="25.5" spans="1:18">
      <c r="A4256" s="556" t="str">
        <f>B4256</f>
        <v>Composição</v>
      </c>
      <c r="B4256" s="557" t="str">
        <f>B4255</f>
        <v>Composição</v>
      </c>
      <c r="C4256" s="108"/>
      <c r="D4256" s="108"/>
      <c r="E4256" s="108"/>
      <c r="F4256" s="108"/>
      <c r="G4256" s="108"/>
      <c r="H4256" s="108" t="s">
        <v>2898</v>
      </c>
      <c r="I4256" s="581">
        <v>578.45</v>
      </c>
      <c r="J4256" s="108" t="s">
        <v>2899</v>
      </c>
      <c r="K4256" s="581">
        <v>0</v>
      </c>
      <c r="L4256" s="108" t="s">
        <v>2900</v>
      </c>
      <c r="M4256" s="581">
        <v>578.45</v>
      </c>
      <c r="N4256" s="573">
        <v>1.66</v>
      </c>
      <c r="O4256" s="556" t="str">
        <f t="shared" si="325"/>
        <v>DIF</v>
      </c>
      <c r="P4256" s="573"/>
      <c r="Q4256" s="556"/>
      <c r="R4256" s="582"/>
    </row>
    <row r="4257" ht="26.25" spans="1:18">
      <c r="A4257" s="556" t="str">
        <f>B4257</f>
        <v>Composição</v>
      </c>
      <c r="B4257" s="557" t="str">
        <f>B4256</f>
        <v>Composição</v>
      </c>
      <c r="C4257" s="108"/>
      <c r="D4257" s="108"/>
      <c r="E4257" s="108"/>
      <c r="F4257" s="108"/>
      <c r="G4257" s="108"/>
      <c r="H4257" s="108" t="s">
        <v>2901</v>
      </c>
      <c r="I4257" s="581">
        <v>690.7</v>
      </c>
      <c r="J4257" s="114"/>
      <c r="K4257" s="114" t="s">
        <v>2902</v>
      </c>
      <c r="L4257" s="108"/>
      <c r="M4257" s="581">
        <v>3400.4</v>
      </c>
      <c r="N4257" s="573">
        <v>3.4</v>
      </c>
      <c r="O4257" s="556" t="str">
        <f t="shared" si="325"/>
        <v>DIF</v>
      </c>
      <c r="P4257" s="573"/>
      <c r="Q4257" s="556"/>
      <c r="R4257" s="582"/>
    </row>
    <row r="4258" ht="15" spans="1:18">
      <c r="A4258" s="556"/>
      <c r="B4258" s="557"/>
      <c r="C4258" s="571"/>
      <c r="D4258" s="571"/>
      <c r="E4258" s="571"/>
      <c r="F4258" s="571"/>
      <c r="G4258" s="571"/>
      <c r="H4258" s="571"/>
      <c r="I4258" s="571"/>
      <c r="J4258" s="571"/>
      <c r="K4258" s="571"/>
      <c r="L4258" s="571"/>
      <c r="M4258" s="571"/>
      <c r="N4258" s="573"/>
      <c r="O4258" s="556"/>
      <c r="P4258" s="573"/>
      <c r="Q4258" s="556"/>
      <c r="R4258" s="582"/>
    </row>
    <row r="4259" ht="15" customHeight="1" spans="1:18">
      <c r="A4259" s="556"/>
      <c r="B4259" s="557"/>
      <c r="C4259" s="76" t="s">
        <v>1496</v>
      </c>
      <c r="D4259" s="75" t="s">
        <v>63</v>
      </c>
      <c r="E4259" s="76" t="s">
        <v>64</v>
      </c>
      <c r="F4259" s="76" t="s">
        <v>65</v>
      </c>
      <c r="G4259" s="76" t="s">
        <v>2889</v>
      </c>
      <c r="H4259" s="76"/>
      <c r="I4259" s="77" t="s">
        <v>66</v>
      </c>
      <c r="J4259" s="75" t="s">
        <v>67</v>
      </c>
      <c r="K4259" s="75" t="s">
        <v>2890</v>
      </c>
      <c r="L4259" s="75" t="s">
        <v>68</v>
      </c>
      <c r="M4259" s="75" t="s">
        <v>70</v>
      </c>
      <c r="N4259" s="573"/>
      <c r="O4259" s="556"/>
      <c r="P4259" s="573"/>
      <c r="Q4259" s="556"/>
      <c r="R4259" s="582"/>
    </row>
    <row r="4260" ht="23.85" customHeight="1" spans="1:18">
      <c r="A4260" s="556"/>
      <c r="B4260" s="557" t="str">
        <f>C4259</f>
        <v> 12.5.1.9 </v>
      </c>
      <c r="C4260" s="569" t="s">
        <v>2891</v>
      </c>
      <c r="D4260" s="570" t="s">
        <v>1497</v>
      </c>
      <c r="E4260" s="569" t="s">
        <v>149</v>
      </c>
      <c r="F4260" s="569" t="s">
        <v>1498</v>
      </c>
      <c r="G4260" s="569" t="s">
        <v>4305</v>
      </c>
      <c r="H4260" s="569"/>
      <c r="I4260" s="577" t="s">
        <v>134</v>
      </c>
      <c r="J4260" s="578">
        <v>1</v>
      </c>
      <c r="K4260" s="579"/>
      <c r="L4260" s="579">
        <v>387</v>
      </c>
      <c r="M4260" s="579">
        <v>387</v>
      </c>
      <c r="N4260" s="573">
        <v>0.06</v>
      </c>
      <c r="O4260" s="556" t="str">
        <f>IF(N4260=M4260,"OK","DIF")</f>
        <v>DIF</v>
      </c>
      <c r="P4260" s="573"/>
      <c r="Q4260" s="556"/>
      <c r="R4260" s="582"/>
    </row>
    <row r="4261" ht="15" customHeight="1" spans="1:18">
      <c r="A4261" s="556"/>
      <c r="B4261" s="557"/>
      <c r="C4261" s="100" t="s">
        <v>2893</v>
      </c>
      <c r="D4261" s="99" t="s">
        <v>4306</v>
      </c>
      <c r="E4261" s="100" t="s">
        <v>149</v>
      </c>
      <c r="F4261" s="100" t="s">
        <v>4307</v>
      </c>
      <c r="G4261" s="100" t="s">
        <v>2961</v>
      </c>
      <c r="H4261" s="100"/>
      <c r="I4261" s="101" t="s">
        <v>134</v>
      </c>
      <c r="J4261" s="580">
        <v>1</v>
      </c>
      <c r="K4261" s="580">
        <v>0</v>
      </c>
      <c r="L4261" s="102">
        <v>387</v>
      </c>
      <c r="M4261" s="102">
        <v>387</v>
      </c>
      <c r="N4261" s="573"/>
      <c r="O4261" s="556"/>
      <c r="P4261" s="573"/>
      <c r="Q4261" s="556"/>
      <c r="R4261" s="582"/>
    </row>
    <row r="4262" ht="25.5" spans="1:18">
      <c r="A4262" s="556"/>
      <c r="B4262" s="557"/>
      <c r="C4262" s="108"/>
      <c r="D4262" s="108"/>
      <c r="E4262" s="108"/>
      <c r="F4262" s="108"/>
      <c r="G4262" s="108"/>
      <c r="H4262" s="108" t="s">
        <v>2898</v>
      </c>
      <c r="I4262" s="581">
        <v>0</v>
      </c>
      <c r="J4262" s="108" t="s">
        <v>2899</v>
      </c>
      <c r="K4262" s="581">
        <v>0</v>
      </c>
      <c r="L4262" s="108" t="s">
        <v>2900</v>
      </c>
      <c r="M4262" s="581">
        <v>0</v>
      </c>
      <c r="N4262" s="573"/>
      <c r="O4262" s="556"/>
      <c r="P4262" s="573"/>
      <c r="Q4262" s="556"/>
      <c r="R4262" s="582"/>
    </row>
    <row r="4263" ht="26.25" spans="1:18">
      <c r="A4263" s="556"/>
      <c r="B4263" s="557">
        <f>C4262</f>
        <v>0</v>
      </c>
      <c r="C4263" s="108"/>
      <c r="D4263" s="108"/>
      <c r="E4263" s="108"/>
      <c r="F4263" s="108"/>
      <c r="G4263" s="108"/>
      <c r="H4263" s="108" t="s">
        <v>2901</v>
      </c>
      <c r="I4263" s="581">
        <v>98.64</v>
      </c>
      <c r="J4263" s="114"/>
      <c r="K4263" s="114" t="s">
        <v>2902</v>
      </c>
      <c r="L4263" s="108"/>
      <c r="M4263" s="581">
        <v>485.64</v>
      </c>
      <c r="N4263" s="573">
        <v>0.12</v>
      </c>
      <c r="O4263" s="556" t="str">
        <f>IF(N4263=M4263,"OK","DIF")</f>
        <v>DIF</v>
      </c>
      <c r="P4263" s="573"/>
      <c r="Q4263" s="556"/>
      <c r="R4263" s="582"/>
    </row>
    <row r="4264" ht="15" spans="1:18">
      <c r="A4264" s="556">
        <f>B4264</f>
        <v>0</v>
      </c>
      <c r="B4264" s="557">
        <f>B4263</f>
        <v>0</v>
      </c>
      <c r="C4264" s="571"/>
      <c r="D4264" s="571"/>
      <c r="E4264" s="571"/>
      <c r="F4264" s="571"/>
      <c r="G4264" s="571"/>
      <c r="H4264" s="571"/>
      <c r="I4264" s="571"/>
      <c r="J4264" s="571"/>
      <c r="K4264" s="571"/>
      <c r="L4264" s="571"/>
      <c r="M4264" s="571"/>
      <c r="N4264" s="573">
        <v>0.12</v>
      </c>
      <c r="O4264" s="556" t="str">
        <f>IF(N4264=M4264,"OK","DIF")</f>
        <v>DIF</v>
      </c>
      <c r="P4264" s="573"/>
      <c r="Q4264" s="556"/>
      <c r="R4264" s="582"/>
    </row>
    <row r="4265" ht="15" customHeight="1" spans="1:18">
      <c r="A4265" s="556"/>
      <c r="B4265" s="557"/>
      <c r="C4265" s="76" t="s">
        <v>1499</v>
      </c>
      <c r="D4265" s="75" t="s">
        <v>63</v>
      </c>
      <c r="E4265" s="76" t="s">
        <v>64</v>
      </c>
      <c r="F4265" s="76" t="s">
        <v>65</v>
      </c>
      <c r="G4265" s="76" t="s">
        <v>2889</v>
      </c>
      <c r="H4265" s="76"/>
      <c r="I4265" s="77" t="s">
        <v>66</v>
      </c>
      <c r="J4265" s="75" t="s">
        <v>67</v>
      </c>
      <c r="K4265" s="75" t="s">
        <v>2890</v>
      </c>
      <c r="L4265" s="75" t="s">
        <v>68</v>
      </c>
      <c r="M4265" s="75" t="s">
        <v>70</v>
      </c>
      <c r="N4265" s="573"/>
      <c r="O4265" s="556"/>
      <c r="P4265" s="573"/>
      <c r="Q4265" s="556"/>
      <c r="R4265" s="582"/>
    </row>
    <row r="4266" ht="102" spans="1:18">
      <c r="A4266" s="556"/>
      <c r="B4266" s="557"/>
      <c r="C4266" s="569" t="s">
        <v>2891</v>
      </c>
      <c r="D4266" s="570" t="s">
        <v>1500</v>
      </c>
      <c r="E4266" s="569" t="s">
        <v>77</v>
      </c>
      <c r="F4266" s="569" t="s">
        <v>4308</v>
      </c>
      <c r="G4266" s="569">
        <v>14</v>
      </c>
      <c r="H4266" s="569"/>
      <c r="I4266" s="577" t="s">
        <v>141</v>
      </c>
      <c r="J4266" s="578">
        <v>1</v>
      </c>
      <c r="K4266" s="579"/>
      <c r="L4266" s="579">
        <v>628.92</v>
      </c>
      <c r="M4266" s="579">
        <v>628.92</v>
      </c>
      <c r="N4266" s="573"/>
      <c r="O4266" s="556"/>
      <c r="P4266" s="573"/>
      <c r="Q4266" s="556"/>
      <c r="R4266" s="582"/>
    </row>
    <row r="4267" ht="23.85" customHeight="1" spans="1:18">
      <c r="A4267" s="556"/>
      <c r="B4267" s="557" t="str">
        <f>C4266</f>
        <v>Composição</v>
      </c>
      <c r="C4267" s="100" t="s">
        <v>2893</v>
      </c>
      <c r="D4267" s="99" t="s">
        <v>3108</v>
      </c>
      <c r="E4267" s="100" t="s">
        <v>77</v>
      </c>
      <c r="F4267" s="100" t="s">
        <v>3109</v>
      </c>
      <c r="G4267" s="100" t="s">
        <v>2896</v>
      </c>
      <c r="H4267" s="100"/>
      <c r="I4267" s="101" t="s">
        <v>2897</v>
      </c>
      <c r="J4267" s="580">
        <v>8</v>
      </c>
      <c r="K4267" s="580">
        <v>3</v>
      </c>
      <c r="L4267" s="102">
        <v>19.16</v>
      </c>
      <c r="M4267" s="102">
        <v>157.87</v>
      </c>
      <c r="N4267" s="573">
        <v>3.95</v>
      </c>
      <c r="O4267" s="556" t="str">
        <f>IF(N4267=M4267,"OK","DIF")</f>
        <v>DIF</v>
      </c>
      <c r="P4267" s="573"/>
      <c r="Q4267" s="556"/>
      <c r="R4267" s="582"/>
    </row>
    <row r="4268" ht="23.85" customHeight="1" spans="1:18">
      <c r="A4268" s="556" t="str">
        <f>B4268</f>
        <v>Composição</v>
      </c>
      <c r="B4268" s="557" t="str">
        <f>B4267</f>
        <v>Composição</v>
      </c>
      <c r="C4268" s="100" t="s">
        <v>2893</v>
      </c>
      <c r="D4268" s="99" t="s">
        <v>3586</v>
      </c>
      <c r="E4268" s="100" t="s">
        <v>77</v>
      </c>
      <c r="F4268" s="100" t="s">
        <v>3587</v>
      </c>
      <c r="G4268" s="100" t="s">
        <v>2896</v>
      </c>
      <c r="H4268" s="100"/>
      <c r="I4268" s="101" t="s">
        <v>2897</v>
      </c>
      <c r="J4268" s="580">
        <v>8</v>
      </c>
      <c r="K4268" s="580">
        <v>3</v>
      </c>
      <c r="L4268" s="102">
        <v>28.55</v>
      </c>
      <c r="M4268" s="102">
        <v>235.25</v>
      </c>
      <c r="N4268" s="573">
        <v>0.27</v>
      </c>
      <c r="O4268" s="556" t="str">
        <f>IF(N4268=M4268,"OK","DIF")</f>
        <v>DIF</v>
      </c>
      <c r="P4268" s="573"/>
      <c r="Q4268" s="556"/>
      <c r="R4268" s="582"/>
    </row>
    <row r="4269" ht="23.85" customHeight="1" spans="1:18">
      <c r="A4269" s="556" t="str">
        <f>B4269</f>
        <v>Composição</v>
      </c>
      <c r="B4269" s="557" t="str">
        <f>B4268</f>
        <v>Composição</v>
      </c>
      <c r="C4269" s="100" t="s">
        <v>2893</v>
      </c>
      <c r="D4269" s="99" t="s">
        <v>4309</v>
      </c>
      <c r="E4269" s="100" t="s">
        <v>77</v>
      </c>
      <c r="F4269" s="100" t="s">
        <v>4310</v>
      </c>
      <c r="G4269" s="100" t="s">
        <v>2961</v>
      </c>
      <c r="H4269" s="100"/>
      <c r="I4269" s="101" t="s">
        <v>141</v>
      </c>
      <c r="J4269" s="580">
        <v>1.1</v>
      </c>
      <c r="K4269" s="580">
        <v>0</v>
      </c>
      <c r="L4269" s="102">
        <v>62.54</v>
      </c>
      <c r="M4269" s="102">
        <v>68.79</v>
      </c>
      <c r="N4269" s="573">
        <v>0.33</v>
      </c>
      <c r="O4269" s="556" t="str">
        <f>IF(N4269=M4269,"OK","DIF")</f>
        <v>DIF</v>
      </c>
      <c r="P4269" s="573"/>
      <c r="Q4269" s="556"/>
      <c r="R4269" s="582"/>
    </row>
    <row r="4270" ht="23.85" customHeight="1" spans="1:18">
      <c r="A4270" s="556" t="str">
        <f>B4270</f>
        <v>Composição</v>
      </c>
      <c r="B4270" s="557" t="str">
        <f>B4269</f>
        <v>Composição</v>
      </c>
      <c r="C4270" s="100" t="s">
        <v>2893</v>
      </c>
      <c r="D4270" s="99" t="s">
        <v>4311</v>
      </c>
      <c r="E4270" s="100" t="s">
        <v>77</v>
      </c>
      <c r="F4270" s="100" t="s">
        <v>4312</v>
      </c>
      <c r="G4270" s="100" t="s">
        <v>2961</v>
      </c>
      <c r="H4270" s="100"/>
      <c r="I4270" s="101" t="s">
        <v>393</v>
      </c>
      <c r="J4270" s="580">
        <v>7.68</v>
      </c>
      <c r="K4270" s="580">
        <v>10</v>
      </c>
      <c r="L4270" s="102">
        <v>8.55</v>
      </c>
      <c r="M4270" s="102">
        <v>72.23</v>
      </c>
      <c r="N4270" s="573">
        <v>3.35</v>
      </c>
      <c r="O4270" s="556" t="str">
        <f>IF(N4270=M4270,"OK","DIF")</f>
        <v>DIF</v>
      </c>
      <c r="P4270" s="573"/>
      <c r="Q4270" s="556"/>
      <c r="R4270" s="582"/>
    </row>
    <row r="4271" ht="15" customHeight="1" spans="1:18">
      <c r="A4271" s="556"/>
      <c r="B4271" s="557"/>
      <c r="C4271" s="100" t="s">
        <v>2893</v>
      </c>
      <c r="D4271" s="99" t="s">
        <v>4313</v>
      </c>
      <c r="E4271" s="100" t="s">
        <v>77</v>
      </c>
      <c r="F4271" s="100" t="s">
        <v>4314</v>
      </c>
      <c r="G4271" s="100" t="s">
        <v>2961</v>
      </c>
      <c r="H4271" s="100"/>
      <c r="I4271" s="101" t="s">
        <v>204</v>
      </c>
      <c r="J4271" s="580">
        <v>1.2551</v>
      </c>
      <c r="K4271" s="580">
        <v>20</v>
      </c>
      <c r="L4271" s="102">
        <v>62.93</v>
      </c>
      <c r="M4271" s="102">
        <v>94.78</v>
      </c>
      <c r="N4271" s="573"/>
      <c r="O4271" s="556"/>
      <c r="P4271" s="573"/>
      <c r="Q4271" s="556"/>
      <c r="R4271" s="582"/>
    </row>
    <row r="4272" ht="25.5" spans="1:18">
      <c r="A4272" s="556"/>
      <c r="B4272" s="557"/>
      <c r="C4272" s="108"/>
      <c r="D4272" s="108"/>
      <c r="E4272" s="108"/>
      <c r="F4272" s="108"/>
      <c r="G4272" s="108"/>
      <c r="H4272" s="108" t="s">
        <v>2898</v>
      </c>
      <c r="I4272" s="581">
        <v>393.12</v>
      </c>
      <c r="J4272" s="108" t="s">
        <v>2899</v>
      </c>
      <c r="K4272" s="581">
        <v>0</v>
      </c>
      <c r="L4272" s="108" t="s">
        <v>2900</v>
      </c>
      <c r="M4272" s="581">
        <v>393.12</v>
      </c>
      <c r="N4272" s="573"/>
      <c r="O4272" s="556"/>
      <c r="P4272" s="573"/>
      <c r="Q4272" s="556"/>
      <c r="R4272" s="582"/>
    </row>
    <row r="4273" ht="26.25" spans="1:18">
      <c r="A4273" s="556"/>
      <c r="B4273" s="557">
        <f>C4272</f>
        <v>0</v>
      </c>
      <c r="C4273" s="108"/>
      <c r="D4273" s="108"/>
      <c r="E4273" s="108"/>
      <c r="F4273" s="108"/>
      <c r="G4273" s="108"/>
      <c r="H4273" s="108" t="s">
        <v>2901</v>
      </c>
      <c r="I4273" s="581">
        <v>160.31</v>
      </c>
      <c r="J4273" s="114"/>
      <c r="K4273" s="114" t="s">
        <v>2902</v>
      </c>
      <c r="L4273" s="108"/>
      <c r="M4273" s="581">
        <v>789.23</v>
      </c>
      <c r="N4273" s="573">
        <v>2.92</v>
      </c>
      <c r="O4273" s="556" t="str">
        <f>IF(N4273=M4273,"OK","DIF")</f>
        <v>DIF</v>
      </c>
      <c r="P4273" s="573"/>
      <c r="Q4273" s="556"/>
      <c r="R4273" s="582"/>
    </row>
    <row r="4274" ht="15" spans="1:18">
      <c r="A4274" s="556">
        <f>B4274</f>
        <v>0</v>
      </c>
      <c r="B4274" s="557">
        <f>B4273</f>
        <v>0</v>
      </c>
      <c r="C4274" s="571"/>
      <c r="D4274" s="571"/>
      <c r="E4274" s="571"/>
      <c r="F4274" s="571"/>
      <c r="G4274" s="571"/>
      <c r="H4274" s="571"/>
      <c r="I4274" s="571"/>
      <c r="J4274" s="571"/>
      <c r="K4274" s="571"/>
      <c r="L4274" s="571"/>
      <c r="M4274" s="571"/>
      <c r="N4274" s="573">
        <v>0.27</v>
      </c>
      <c r="O4274" s="556" t="str">
        <f>IF(N4274=M4274,"OK","DIF")</f>
        <v>DIF</v>
      </c>
      <c r="P4274" s="573"/>
      <c r="Q4274" s="556"/>
      <c r="R4274" s="582"/>
    </row>
    <row r="4275" ht="15" customHeight="1" spans="1:18">
      <c r="A4275" s="556">
        <f>B4275</f>
        <v>0</v>
      </c>
      <c r="B4275" s="557">
        <f>B4274</f>
        <v>0</v>
      </c>
      <c r="C4275" s="76" t="s">
        <v>1502</v>
      </c>
      <c r="D4275" s="75" t="s">
        <v>63</v>
      </c>
      <c r="E4275" s="76" t="s">
        <v>64</v>
      </c>
      <c r="F4275" s="76" t="s">
        <v>65</v>
      </c>
      <c r="G4275" s="76" t="s">
        <v>2889</v>
      </c>
      <c r="H4275" s="76"/>
      <c r="I4275" s="77" t="s">
        <v>66</v>
      </c>
      <c r="J4275" s="75" t="s">
        <v>67</v>
      </c>
      <c r="K4275" s="75" t="s">
        <v>2890</v>
      </c>
      <c r="L4275" s="75" t="s">
        <v>68</v>
      </c>
      <c r="M4275" s="75" t="s">
        <v>70</v>
      </c>
      <c r="N4275" s="573">
        <v>0.33</v>
      </c>
      <c r="O4275" s="556" t="str">
        <f>IF(N4275=M4275,"OK","DIF")</f>
        <v>DIF</v>
      </c>
      <c r="P4275" s="573"/>
      <c r="Q4275" s="556"/>
      <c r="R4275" s="582"/>
    </row>
    <row r="4276" ht="35.05" customHeight="1" spans="1:18">
      <c r="A4276" s="556">
        <f>B4276</f>
        <v>0</v>
      </c>
      <c r="B4276" s="557">
        <f>B4275</f>
        <v>0</v>
      </c>
      <c r="C4276" s="569" t="s">
        <v>2891</v>
      </c>
      <c r="D4276" s="570" t="s">
        <v>1503</v>
      </c>
      <c r="E4276" s="569" t="s">
        <v>132</v>
      </c>
      <c r="F4276" s="569" t="s">
        <v>1504</v>
      </c>
      <c r="G4276" s="569" t="s">
        <v>3996</v>
      </c>
      <c r="H4276" s="569"/>
      <c r="I4276" s="577" t="s">
        <v>141</v>
      </c>
      <c r="J4276" s="578">
        <v>1</v>
      </c>
      <c r="K4276" s="579"/>
      <c r="L4276" s="579">
        <v>654.73</v>
      </c>
      <c r="M4276" s="579">
        <v>654.73</v>
      </c>
      <c r="N4276" s="573">
        <v>2.32</v>
      </c>
      <c r="O4276" s="556" t="str">
        <f>IF(N4276=M4276,"OK","DIF")</f>
        <v>DIF</v>
      </c>
      <c r="P4276" s="573"/>
      <c r="Q4276" s="556"/>
      <c r="R4276" s="582"/>
    </row>
    <row r="4277" ht="23.85" customHeight="1" spans="1:18">
      <c r="A4277" s="556"/>
      <c r="B4277" s="557"/>
      <c r="C4277" s="79" t="s">
        <v>2921</v>
      </c>
      <c r="D4277" s="78" t="s">
        <v>3017</v>
      </c>
      <c r="E4277" s="79" t="s">
        <v>139</v>
      </c>
      <c r="F4277" s="79" t="s">
        <v>3018</v>
      </c>
      <c r="G4277" s="79" t="s">
        <v>2928</v>
      </c>
      <c r="H4277" s="79"/>
      <c r="I4277" s="80" t="s">
        <v>2897</v>
      </c>
      <c r="J4277" s="583">
        <v>1</v>
      </c>
      <c r="K4277" s="583">
        <v>0</v>
      </c>
      <c r="L4277" s="92">
        <v>36.96</v>
      </c>
      <c r="M4277" s="92">
        <v>36.96</v>
      </c>
      <c r="N4277" s="573"/>
      <c r="O4277" s="556"/>
      <c r="P4277" s="573"/>
      <c r="Q4277" s="556"/>
      <c r="R4277" s="582"/>
    </row>
    <row r="4278" ht="23.85" customHeight="1" spans="1:18">
      <c r="A4278" s="556"/>
      <c r="B4278" s="557"/>
      <c r="C4278" s="79" t="s">
        <v>2921</v>
      </c>
      <c r="D4278" s="78" t="s">
        <v>2952</v>
      </c>
      <c r="E4278" s="79" t="s">
        <v>139</v>
      </c>
      <c r="F4278" s="79" t="s">
        <v>2953</v>
      </c>
      <c r="G4278" s="79" t="s">
        <v>2928</v>
      </c>
      <c r="H4278" s="79"/>
      <c r="I4278" s="80" t="s">
        <v>2897</v>
      </c>
      <c r="J4278" s="583">
        <v>2</v>
      </c>
      <c r="K4278" s="583">
        <v>0</v>
      </c>
      <c r="L4278" s="92">
        <v>29.15</v>
      </c>
      <c r="M4278" s="92">
        <v>58.3</v>
      </c>
      <c r="N4278" s="573"/>
      <c r="O4278" s="556"/>
      <c r="P4278" s="573"/>
      <c r="Q4278" s="556"/>
      <c r="R4278" s="582"/>
    </row>
    <row r="4279" ht="15" customHeight="1" spans="1:18">
      <c r="A4279" s="556"/>
      <c r="B4279" s="557" t="str">
        <f>C4278</f>
        <v>Composição Auxiliar</v>
      </c>
      <c r="C4279" s="100" t="s">
        <v>2893</v>
      </c>
      <c r="D4279" s="99" t="s">
        <v>4315</v>
      </c>
      <c r="E4279" s="100" t="s">
        <v>139</v>
      </c>
      <c r="F4279" s="100" t="s">
        <v>4316</v>
      </c>
      <c r="G4279" s="100" t="s">
        <v>2961</v>
      </c>
      <c r="H4279" s="100"/>
      <c r="I4279" s="101" t="s">
        <v>393</v>
      </c>
      <c r="J4279" s="580">
        <v>54.53</v>
      </c>
      <c r="K4279" s="580">
        <v>0</v>
      </c>
      <c r="L4279" s="102">
        <v>10.26</v>
      </c>
      <c r="M4279" s="102">
        <v>559.47</v>
      </c>
      <c r="N4279" s="573">
        <v>7.28</v>
      </c>
      <c r="O4279" s="556" t="str">
        <f>IF(N4279=M4279,"OK","DIF")</f>
        <v>DIF</v>
      </c>
      <c r="P4279" s="573"/>
      <c r="Q4279" s="556"/>
      <c r="R4279" s="582"/>
    </row>
    <row r="4280" ht="25.5" spans="1:18">
      <c r="A4280" s="556" t="str">
        <f>B4280</f>
        <v>Composição Auxiliar</v>
      </c>
      <c r="B4280" s="557" t="str">
        <f>B4279</f>
        <v>Composição Auxiliar</v>
      </c>
      <c r="C4280" s="108"/>
      <c r="D4280" s="108"/>
      <c r="E4280" s="108"/>
      <c r="F4280" s="108"/>
      <c r="G4280" s="108"/>
      <c r="H4280" s="108" t="s">
        <v>2898</v>
      </c>
      <c r="I4280" s="581">
        <v>65.38</v>
      </c>
      <c r="J4280" s="108" t="s">
        <v>2899</v>
      </c>
      <c r="K4280" s="581">
        <v>0</v>
      </c>
      <c r="L4280" s="108" t="s">
        <v>2900</v>
      </c>
      <c r="M4280" s="581">
        <v>65.38</v>
      </c>
      <c r="N4280" s="573">
        <v>1.24</v>
      </c>
      <c r="O4280" s="556" t="str">
        <f>IF(N4280=M4280,"OK","DIF")</f>
        <v>DIF</v>
      </c>
      <c r="P4280" s="573"/>
      <c r="Q4280" s="556"/>
      <c r="R4280" s="582"/>
    </row>
    <row r="4281" ht="26.25" spans="1:18">
      <c r="A4281" s="556" t="str">
        <f>B4281</f>
        <v>Composição Auxiliar</v>
      </c>
      <c r="B4281" s="557" t="str">
        <f>B4280</f>
        <v>Composição Auxiliar</v>
      </c>
      <c r="C4281" s="108"/>
      <c r="D4281" s="108"/>
      <c r="E4281" s="108"/>
      <c r="F4281" s="108"/>
      <c r="G4281" s="108"/>
      <c r="H4281" s="108" t="s">
        <v>2901</v>
      </c>
      <c r="I4281" s="581">
        <v>166.89</v>
      </c>
      <c r="J4281" s="114"/>
      <c r="K4281" s="114" t="s">
        <v>2902</v>
      </c>
      <c r="L4281" s="108"/>
      <c r="M4281" s="581">
        <v>821.62</v>
      </c>
      <c r="N4281" s="573">
        <v>5.14</v>
      </c>
      <c r="O4281" s="556" t="str">
        <f>IF(N4281=M4281,"OK","DIF")</f>
        <v>DIF</v>
      </c>
      <c r="P4281" s="573"/>
      <c r="Q4281" s="556"/>
      <c r="R4281" s="582"/>
    </row>
    <row r="4282" ht="15" spans="1:18">
      <c r="A4282" s="556" t="str">
        <f>B4282</f>
        <v>Composição Auxiliar</v>
      </c>
      <c r="B4282" s="557" t="str">
        <f>B4281</f>
        <v>Composição Auxiliar</v>
      </c>
      <c r="C4282" s="571"/>
      <c r="D4282" s="571"/>
      <c r="E4282" s="571"/>
      <c r="F4282" s="571"/>
      <c r="G4282" s="571"/>
      <c r="H4282" s="571"/>
      <c r="I4282" s="571"/>
      <c r="J4282" s="571"/>
      <c r="K4282" s="571"/>
      <c r="L4282" s="571"/>
      <c r="M4282" s="571"/>
      <c r="N4282" s="573">
        <v>0.9</v>
      </c>
      <c r="O4282" s="556" t="str">
        <f>IF(N4282=M4282,"OK","DIF")</f>
        <v>DIF</v>
      </c>
      <c r="P4282" s="573"/>
      <c r="Q4282" s="556"/>
      <c r="R4282" s="582"/>
    </row>
    <row r="4283" ht="15" customHeight="1" spans="1:18">
      <c r="A4283" s="556"/>
      <c r="B4283" s="557"/>
      <c r="C4283" s="76" t="s">
        <v>1505</v>
      </c>
      <c r="D4283" s="75" t="s">
        <v>63</v>
      </c>
      <c r="E4283" s="76" t="s">
        <v>64</v>
      </c>
      <c r="F4283" s="76" t="s">
        <v>65</v>
      </c>
      <c r="G4283" s="76" t="s">
        <v>2889</v>
      </c>
      <c r="H4283" s="76"/>
      <c r="I4283" s="77" t="s">
        <v>66</v>
      </c>
      <c r="J4283" s="75" t="s">
        <v>67</v>
      </c>
      <c r="K4283" s="75" t="s">
        <v>2890</v>
      </c>
      <c r="L4283" s="75" t="s">
        <v>68</v>
      </c>
      <c r="M4283" s="75" t="s">
        <v>70</v>
      </c>
      <c r="N4283" s="573"/>
      <c r="O4283" s="556"/>
      <c r="P4283" s="573"/>
      <c r="Q4283" s="556"/>
      <c r="R4283" s="582"/>
    </row>
    <row r="4284" ht="68.65" customHeight="1" spans="1:18">
      <c r="A4284" s="556"/>
      <c r="B4284" s="557"/>
      <c r="C4284" s="569" t="s">
        <v>2891</v>
      </c>
      <c r="D4284" s="570" t="s">
        <v>1506</v>
      </c>
      <c r="E4284" s="569" t="s">
        <v>132</v>
      </c>
      <c r="F4284" s="569" t="s">
        <v>1507</v>
      </c>
      <c r="G4284" s="569" t="s">
        <v>3727</v>
      </c>
      <c r="H4284" s="569"/>
      <c r="I4284" s="577" t="s">
        <v>1508</v>
      </c>
      <c r="J4284" s="578">
        <v>1</v>
      </c>
      <c r="K4284" s="579"/>
      <c r="L4284" s="579">
        <v>742.26</v>
      </c>
      <c r="M4284" s="579">
        <v>742.26</v>
      </c>
      <c r="N4284" s="573"/>
      <c r="O4284" s="556"/>
      <c r="P4284" s="573"/>
      <c r="Q4284" s="556"/>
      <c r="R4284" s="582"/>
    </row>
    <row r="4285" ht="23.85" customHeight="1" spans="1:18">
      <c r="A4285" s="556"/>
      <c r="B4285" s="557" t="str">
        <f>C4284</f>
        <v>Composição</v>
      </c>
      <c r="C4285" s="79" t="s">
        <v>2921</v>
      </c>
      <c r="D4285" s="78" t="s">
        <v>4317</v>
      </c>
      <c r="E4285" s="79" t="s">
        <v>796</v>
      </c>
      <c r="F4285" s="79" t="s">
        <v>4318</v>
      </c>
      <c r="G4285" s="79" t="s">
        <v>4319</v>
      </c>
      <c r="H4285" s="79"/>
      <c r="I4285" s="80" t="s">
        <v>279</v>
      </c>
      <c r="J4285" s="583">
        <v>0.98</v>
      </c>
      <c r="K4285" s="583">
        <v>0</v>
      </c>
      <c r="L4285" s="92">
        <v>49.21</v>
      </c>
      <c r="M4285" s="92">
        <v>48.22</v>
      </c>
      <c r="N4285" s="573">
        <v>11.31</v>
      </c>
      <c r="O4285" s="556" t="str">
        <f>IF(N4285=M4285,"OK","DIF")</f>
        <v>DIF</v>
      </c>
      <c r="P4285" s="573"/>
      <c r="Q4285" s="556"/>
      <c r="R4285" s="582"/>
    </row>
    <row r="4286" ht="23.85" customHeight="1" spans="1:18">
      <c r="A4286" s="556" t="str">
        <f>B4286</f>
        <v>Composição</v>
      </c>
      <c r="B4286" s="557" t="str">
        <f>B4285</f>
        <v>Composição</v>
      </c>
      <c r="C4286" s="79" t="s">
        <v>2921</v>
      </c>
      <c r="D4286" s="78" t="s">
        <v>4111</v>
      </c>
      <c r="E4286" s="79" t="s">
        <v>796</v>
      </c>
      <c r="F4286" s="79" t="s">
        <v>4112</v>
      </c>
      <c r="G4286" s="79" t="s">
        <v>4113</v>
      </c>
      <c r="H4286" s="79"/>
      <c r="I4286" s="80" t="s">
        <v>141</v>
      </c>
      <c r="J4286" s="583">
        <v>1</v>
      </c>
      <c r="K4286" s="583">
        <v>0</v>
      </c>
      <c r="L4286" s="92">
        <v>48.9</v>
      </c>
      <c r="M4286" s="92">
        <v>48.9</v>
      </c>
      <c r="N4286" s="573">
        <v>2.73</v>
      </c>
      <c r="O4286" s="556" t="str">
        <f>IF(N4286=M4286,"OK","DIF")</f>
        <v>DIF</v>
      </c>
      <c r="P4286" s="573"/>
      <c r="Q4286" s="556"/>
      <c r="R4286" s="582"/>
    </row>
    <row r="4287" ht="35.05" customHeight="1" spans="1:18">
      <c r="A4287" s="556" t="str">
        <f>B4287</f>
        <v>Composição</v>
      </c>
      <c r="B4287" s="557" t="str">
        <f>B4286</f>
        <v>Composição</v>
      </c>
      <c r="C4287" s="79" t="s">
        <v>2921</v>
      </c>
      <c r="D4287" s="78" t="s">
        <v>4320</v>
      </c>
      <c r="E4287" s="79" t="s">
        <v>796</v>
      </c>
      <c r="F4287" s="79" t="s">
        <v>4321</v>
      </c>
      <c r="G4287" s="79" t="s">
        <v>4116</v>
      </c>
      <c r="H4287" s="79"/>
      <c r="I4287" s="80" t="s">
        <v>279</v>
      </c>
      <c r="J4287" s="583">
        <v>0.15</v>
      </c>
      <c r="K4287" s="583">
        <v>0</v>
      </c>
      <c r="L4287" s="92">
        <v>358.54</v>
      </c>
      <c r="M4287" s="92">
        <v>53.78</v>
      </c>
      <c r="N4287" s="573">
        <v>3.3</v>
      </c>
      <c r="O4287" s="556" t="str">
        <f>IF(N4287=M4287,"OK","DIF")</f>
        <v>DIF</v>
      </c>
      <c r="P4287" s="573"/>
      <c r="Q4287" s="556"/>
      <c r="R4287" s="582"/>
    </row>
    <row r="4288" ht="35.05" customHeight="1" spans="1:18">
      <c r="A4288" s="556" t="str">
        <f>B4288</f>
        <v>Composição</v>
      </c>
      <c r="B4288" s="557" t="str">
        <f>B4287</f>
        <v>Composição</v>
      </c>
      <c r="C4288" s="79" t="s">
        <v>2921</v>
      </c>
      <c r="D4288" s="78" t="s">
        <v>4322</v>
      </c>
      <c r="E4288" s="79" t="s">
        <v>796</v>
      </c>
      <c r="F4288" s="79" t="s">
        <v>4323</v>
      </c>
      <c r="G4288" s="79" t="s">
        <v>4116</v>
      </c>
      <c r="H4288" s="79"/>
      <c r="I4288" s="80" t="s">
        <v>279</v>
      </c>
      <c r="J4288" s="583">
        <v>0.048</v>
      </c>
      <c r="K4288" s="583">
        <v>0</v>
      </c>
      <c r="L4288" s="92">
        <v>309.29</v>
      </c>
      <c r="M4288" s="92">
        <v>14.84</v>
      </c>
      <c r="N4288" s="573">
        <v>5.28</v>
      </c>
      <c r="O4288" s="556" t="str">
        <f>IF(N4288=M4288,"OK","DIF")</f>
        <v>DIF</v>
      </c>
      <c r="P4288" s="573"/>
      <c r="Q4288" s="556"/>
      <c r="R4288" s="582"/>
    </row>
    <row r="4289" ht="23.85" customHeight="1" spans="1:18">
      <c r="A4289" s="556"/>
      <c r="B4289" s="557"/>
      <c r="C4289" s="79" t="s">
        <v>2921</v>
      </c>
      <c r="D4289" s="78" t="s">
        <v>3017</v>
      </c>
      <c r="E4289" s="79" t="s">
        <v>139</v>
      </c>
      <c r="F4289" s="79" t="s">
        <v>3018</v>
      </c>
      <c r="G4289" s="79" t="s">
        <v>2928</v>
      </c>
      <c r="H4289" s="79"/>
      <c r="I4289" s="80" t="s">
        <v>2897</v>
      </c>
      <c r="J4289" s="583">
        <v>1.5</v>
      </c>
      <c r="K4289" s="583">
        <v>0</v>
      </c>
      <c r="L4289" s="92">
        <v>36.96</v>
      </c>
      <c r="M4289" s="92">
        <v>55.44</v>
      </c>
      <c r="N4289" s="573"/>
      <c r="O4289" s="556"/>
      <c r="P4289" s="573"/>
      <c r="Q4289" s="556"/>
      <c r="R4289" s="582"/>
    </row>
    <row r="4290" ht="23.85" customHeight="1" spans="1:18">
      <c r="A4290" s="556"/>
      <c r="B4290" s="557"/>
      <c r="C4290" s="79" t="s">
        <v>2921</v>
      </c>
      <c r="D4290" s="78" t="s">
        <v>3313</v>
      </c>
      <c r="E4290" s="79" t="s">
        <v>139</v>
      </c>
      <c r="F4290" s="79" t="s">
        <v>3314</v>
      </c>
      <c r="G4290" s="79" t="s">
        <v>2928</v>
      </c>
      <c r="H4290" s="79"/>
      <c r="I4290" s="80" t="s">
        <v>2897</v>
      </c>
      <c r="J4290" s="583">
        <v>0.945</v>
      </c>
      <c r="K4290" s="583">
        <v>0</v>
      </c>
      <c r="L4290" s="92">
        <v>35.95</v>
      </c>
      <c r="M4290" s="92">
        <v>33.97</v>
      </c>
      <c r="N4290" s="573"/>
      <c r="O4290" s="556"/>
      <c r="P4290" s="573"/>
      <c r="Q4290" s="556"/>
      <c r="R4290" s="582"/>
    </row>
    <row r="4291" ht="23.85" customHeight="1" spans="1:18">
      <c r="A4291" s="556"/>
      <c r="B4291" s="557" t="str">
        <f>C4290</f>
        <v>Composição Auxiliar</v>
      </c>
      <c r="C4291" s="79" t="s">
        <v>2921</v>
      </c>
      <c r="D4291" s="78" t="s">
        <v>2952</v>
      </c>
      <c r="E4291" s="79" t="s">
        <v>139</v>
      </c>
      <c r="F4291" s="79" t="s">
        <v>2953</v>
      </c>
      <c r="G4291" s="79" t="s">
        <v>2928</v>
      </c>
      <c r="H4291" s="79"/>
      <c r="I4291" s="80" t="s">
        <v>2897</v>
      </c>
      <c r="J4291" s="583">
        <v>6.0203</v>
      </c>
      <c r="K4291" s="583">
        <v>0</v>
      </c>
      <c r="L4291" s="92">
        <v>29.15</v>
      </c>
      <c r="M4291" s="92">
        <v>175.49</v>
      </c>
      <c r="N4291" s="573">
        <v>51712.39</v>
      </c>
      <c r="O4291" s="556" t="str">
        <f>IF(N4291=M4291,"OK","DIF")</f>
        <v>DIF</v>
      </c>
      <c r="P4291" s="573"/>
      <c r="Q4291" s="556"/>
      <c r="R4291" s="582"/>
    </row>
    <row r="4292" ht="35.05" customHeight="1" spans="1:18">
      <c r="A4292" s="556" t="str">
        <f>B4292</f>
        <v>Composição Auxiliar</v>
      </c>
      <c r="B4292" s="557" t="str">
        <f>B4291</f>
        <v>Composição Auxiliar</v>
      </c>
      <c r="C4292" s="79" t="s">
        <v>2921</v>
      </c>
      <c r="D4292" s="78" t="s">
        <v>4324</v>
      </c>
      <c r="E4292" s="79" t="s">
        <v>796</v>
      </c>
      <c r="F4292" s="79" t="s">
        <v>4325</v>
      </c>
      <c r="G4292" s="79" t="s">
        <v>4116</v>
      </c>
      <c r="H4292" s="79"/>
      <c r="I4292" s="80" t="s">
        <v>279</v>
      </c>
      <c r="J4292" s="583">
        <v>0.15</v>
      </c>
      <c r="K4292" s="583">
        <v>0</v>
      </c>
      <c r="L4292" s="92">
        <v>70.23</v>
      </c>
      <c r="M4292" s="92">
        <v>10.53</v>
      </c>
      <c r="N4292" s="573">
        <v>33.07</v>
      </c>
      <c r="O4292" s="556" t="str">
        <f>IF(N4292=M4292,"OK","DIF")</f>
        <v>DIF</v>
      </c>
      <c r="P4292" s="573"/>
      <c r="Q4292" s="556"/>
      <c r="R4292" s="582"/>
    </row>
    <row r="4293" ht="15" customHeight="1" spans="1:18">
      <c r="A4293" s="556" t="str">
        <f>B4293</f>
        <v>Composição Auxiliar</v>
      </c>
      <c r="B4293" s="557" t="str">
        <f>B4292</f>
        <v>Composição Auxiliar</v>
      </c>
      <c r="C4293" s="79" t="s">
        <v>2921</v>
      </c>
      <c r="D4293" s="78" t="s">
        <v>4326</v>
      </c>
      <c r="E4293" s="79" t="s">
        <v>796</v>
      </c>
      <c r="F4293" s="79" t="s">
        <v>4327</v>
      </c>
      <c r="G4293" s="79" t="s">
        <v>4113</v>
      </c>
      <c r="H4293" s="79"/>
      <c r="I4293" s="80" t="s">
        <v>279</v>
      </c>
      <c r="J4293" s="583">
        <v>0.0358</v>
      </c>
      <c r="K4293" s="583">
        <v>0</v>
      </c>
      <c r="L4293" s="92">
        <v>656.45</v>
      </c>
      <c r="M4293" s="92">
        <v>23.5</v>
      </c>
      <c r="N4293" s="573">
        <v>51679.32</v>
      </c>
      <c r="O4293" s="556" t="str">
        <f>IF(N4293=M4293,"OK","DIF")</f>
        <v>DIF</v>
      </c>
      <c r="P4293" s="573"/>
      <c r="Q4293" s="556"/>
      <c r="R4293" s="582"/>
    </row>
    <row r="4294" ht="23.85" customHeight="1" spans="1:18">
      <c r="A4294" s="556"/>
      <c r="B4294" s="557"/>
      <c r="C4294" s="79" t="s">
        <v>2921</v>
      </c>
      <c r="D4294" s="78" t="s">
        <v>4328</v>
      </c>
      <c r="E4294" s="79" t="s">
        <v>796</v>
      </c>
      <c r="F4294" s="79" t="s">
        <v>4329</v>
      </c>
      <c r="G4294" s="79" t="s">
        <v>4116</v>
      </c>
      <c r="H4294" s="79"/>
      <c r="I4294" s="80" t="s">
        <v>3712</v>
      </c>
      <c r="J4294" s="583">
        <v>10.38</v>
      </c>
      <c r="K4294" s="583">
        <v>0</v>
      </c>
      <c r="L4294" s="92">
        <v>5.87</v>
      </c>
      <c r="M4294" s="92">
        <v>60.93</v>
      </c>
      <c r="N4294" s="573"/>
      <c r="O4294" s="556"/>
      <c r="P4294" s="573"/>
      <c r="Q4294" s="556"/>
      <c r="R4294" s="582"/>
    </row>
    <row r="4295" ht="23.85" customHeight="1" spans="1:18">
      <c r="A4295" s="556"/>
      <c r="B4295" s="557"/>
      <c r="C4295" s="79" t="s">
        <v>2921</v>
      </c>
      <c r="D4295" s="78" t="s">
        <v>4330</v>
      </c>
      <c r="E4295" s="79" t="s">
        <v>796</v>
      </c>
      <c r="F4295" s="79" t="s">
        <v>4331</v>
      </c>
      <c r="G4295" s="79" t="s">
        <v>4319</v>
      </c>
      <c r="H4295" s="79"/>
      <c r="I4295" s="80" t="s">
        <v>279</v>
      </c>
      <c r="J4295" s="583">
        <v>0.42</v>
      </c>
      <c r="K4295" s="583">
        <v>0</v>
      </c>
      <c r="L4295" s="92">
        <v>51.66</v>
      </c>
      <c r="M4295" s="92">
        <v>21.69</v>
      </c>
      <c r="N4295" s="573"/>
      <c r="O4295" s="556"/>
      <c r="P4295" s="573"/>
      <c r="Q4295" s="556"/>
      <c r="R4295" s="582"/>
    </row>
    <row r="4296" ht="23.85" customHeight="1" spans="1:18">
      <c r="A4296" s="556"/>
      <c r="B4296" s="557" t="str">
        <f>C4295</f>
        <v>Composição Auxiliar</v>
      </c>
      <c r="C4296" s="79" t="s">
        <v>2921</v>
      </c>
      <c r="D4296" s="78" t="s">
        <v>2954</v>
      </c>
      <c r="E4296" s="79" t="s">
        <v>139</v>
      </c>
      <c r="F4296" s="79" t="s">
        <v>2955</v>
      </c>
      <c r="G4296" s="79" t="s">
        <v>2928</v>
      </c>
      <c r="H4296" s="79"/>
      <c r="I4296" s="80" t="s">
        <v>2897</v>
      </c>
      <c r="J4296" s="583">
        <v>0.72</v>
      </c>
      <c r="K4296" s="583">
        <v>0</v>
      </c>
      <c r="L4296" s="92">
        <v>37.51</v>
      </c>
      <c r="M4296" s="92">
        <v>27</v>
      </c>
      <c r="N4296" s="573">
        <v>841.25</v>
      </c>
      <c r="O4296" s="556" t="str">
        <f>IF(N4296=M4296,"OK","DIF")</f>
        <v>DIF</v>
      </c>
      <c r="P4296" s="573"/>
      <c r="Q4296" s="556"/>
      <c r="R4296" s="582"/>
    </row>
    <row r="4297" ht="23.85" customHeight="1" spans="1:18">
      <c r="A4297" s="556" t="str">
        <f>B4297</f>
        <v>Composição Auxiliar</v>
      </c>
      <c r="B4297" s="557" t="str">
        <f>B4296</f>
        <v>Composição Auxiliar</v>
      </c>
      <c r="C4297" s="79" t="s">
        <v>2921</v>
      </c>
      <c r="D4297" s="78" t="s">
        <v>4332</v>
      </c>
      <c r="E4297" s="79" t="s">
        <v>139</v>
      </c>
      <c r="F4297" s="79" t="s">
        <v>2950</v>
      </c>
      <c r="G4297" s="79" t="s">
        <v>2928</v>
      </c>
      <c r="H4297" s="79"/>
      <c r="I4297" s="80" t="s">
        <v>2897</v>
      </c>
      <c r="J4297" s="583">
        <v>0.25</v>
      </c>
      <c r="K4297" s="583">
        <v>0</v>
      </c>
      <c r="L4297" s="92">
        <v>27.17</v>
      </c>
      <c r="M4297" s="92">
        <v>6.79</v>
      </c>
      <c r="N4297" s="573">
        <v>98.41</v>
      </c>
      <c r="O4297" s="556" t="str">
        <f>IF(N4297=M4297,"OK","DIF")</f>
        <v>DIF</v>
      </c>
      <c r="P4297" s="573"/>
      <c r="Q4297" s="556"/>
      <c r="R4297" s="582"/>
    </row>
    <row r="4298" ht="23.85" customHeight="1" spans="1:18">
      <c r="A4298" s="556" t="str">
        <f>B4298</f>
        <v>Composição Auxiliar</v>
      </c>
      <c r="B4298" s="557" t="str">
        <f>B4297</f>
        <v>Composição Auxiliar</v>
      </c>
      <c r="C4298" s="79" t="s">
        <v>2921</v>
      </c>
      <c r="D4298" s="78" t="s">
        <v>4333</v>
      </c>
      <c r="E4298" s="79" t="s">
        <v>796</v>
      </c>
      <c r="F4298" s="79" t="s">
        <v>4334</v>
      </c>
      <c r="G4298" s="79" t="s">
        <v>4116</v>
      </c>
      <c r="H4298" s="79"/>
      <c r="I4298" s="80" t="s">
        <v>279</v>
      </c>
      <c r="J4298" s="583">
        <v>0.15</v>
      </c>
      <c r="K4298" s="583">
        <v>0</v>
      </c>
      <c r="L4298" s="92">
        <v>89.12</v>
      </c>
      <c r="M4298" s="92">
        <v>13.36</v>
      </c>
      <c r="N4298" s="573">
        <v>92.84</v>
      </c>
      <c r="O4298" s="556" t="str">
        <f>IF(N4298=M4298,"OK","DIF")</f>
        <v>DIF</v>
      </c>
      <c r="P4298" s="573"/>
      <c r="Q4298" s="556"/>
      <c r="R4298" s="582"/>
    </row>
    <row r="4299" ht="23.85" customHeight="1" spans="1:18">
      <c r="A4299" s="556" t="str">
        <f>B4299</f>
        <v>Composição Auxiliar</v>
      </c>
      <c r="B4299" s="557" t="str">
        <f>B4298</f>
        <v>Composição Auxiliar</v>
      </c>
      <c r="C4299" s="79" t="s">
        <v>2921</v>
      </c>
      <c r="D4299" s="78" t="s">
        <v>4335</v>
      </c>
      <c r="E4299" s="79" t="s">
        <v>796</v>
      </c>
      <c r="F4299" s="79" t="s">
        <v>4336</v>
      </c>
      <c r="G4299" s="79" t="s">
        <v>4113</v>
      </c>
      <c r="H4299" s="79"/>
      <c r="I4299" s="80" t="s">
        <v>141</v>
      </c>
      <c r="J4299" s="583">
        <v>1</v>
      </c>
      <c r="K4299" s="583">
        <v>0</v>
      </c>
      <c r="L4299" s="92">
        <v>14.8</v>
      </c>
      <c r="M4299" s="92">
        <v>14.8</v>
      </c>
      <c r="N4299" s="573">
        <v>650</v>
      </c>
      <c r="O4299" s="556" t="str">
        <f>IF(N4299=M4299,"OK","DIF")</f>
        <v>DIF</v>
      </c>
      <c r="P4299" s="573"/>
      <c r="Q4299" s="556"/>
      <c r="R4299" s="582"/>
    </row>
    <row r="4300" ht="15" customHeight="1" spans="1:18">
      <c r="A4300" s="556"/>
      <c r="B4300" s="557"/>
      <c r="C4300" s="100" t="s">
        <v>2893</v>
      </c>
      <c r="D4300" s="99" t="s">
        <v>4337</v>
      </c>
      <c r="E4300" s="100" t="s">
        <v>796</v>
      </c>
      <c r="F4300" s="100" t="s">
        <v>4338</v>
      </c>
      <c r="G4300" s="100" t="s">
        <v>2961</v>
      </c>
      <c r="H4300" s="100"/>
      <c r="I4300" s="101" t="s">
        <v>3712</v>
      </c>
      <c r="J4300" s="580">
        <v>0.21</v>
      </c>
      <c r="K4300" s="580">
        <v>0</v>
      </c>
      <c r="L4300" s="102">
        <v>6.47</v>
      </c>
      <c r="M4300" s="102">
        <v>1.35</v>
      </c>
      <c r="N4300" s="573"/>
      <c r="O4300" s="556"/>
      <c r="P4300" s="573"/>
      <c r="Q4300" s="556"/>
      <c r="R4300" s="582"/>
    </row>
    <row r="4301" ht="23.85" customHeight="1" spans="1:18">
      <c r="A4301" s="556"/>
      <c r="B4301" s="557"/>
      <c r="C4301" s="100" t="s">
        <v>2893</v>
      </c>
      <c r="D4301" s="99" t="s">
        <v>4339</v>
      </c>
      <c r="E4301" s="100" t="s">
        <v>796</v>
      </c>
      <c r="F4301" s="100" t="s">
        <v>4340</v>
      </c>
      <c r="G4301" s="100" t="s">
        <v>2961</v>
      </c>
      <c r="H4301" s="100"/>
      <c r="I4301" s="101" t="s">
        <v>1508</v>
      </c>
      <c r="J4301" s="580">
        <v>0.48</v>
      </c>
      <c r="K4301" s="580">
        <v>0</v>
      </c>
      <c r="L4301" s="102">
        <v>18.89</v>
      </c>
      <c r="M4301" s="102">
        <v>9.06</v>
      </c>
      <c r="N4301" s="573"/>
      <c r="O4301" s="556"/>
      <c r="P4301" s="573"/>
      <c r="Q4301" s="556"/>
      <c r="R4301" s="582"/>
    </row>
    <row r="4302" ht="23.85" customHeight="1" spans="1:18">
      <c r="A4302" s="556"/>
      <c r="B4302" s="557" t="str">
        <f>C4301</f>
        <v>Insumo</v>
      </c>
      <c r="C4302" s="100" t="s">
        <v>2893</v>
      </c>
      <c r="D4302" s="99" t="s">
        <v>4341</v>
      </c>
      <c r="E4302" s="100" t="s">
        <v>796</v>
      </c>
      <c r="F4302" s="100" t="s">
        <v>4342</v>
      </c>
      <c r="G4302" s="100" t="s">
        <v>2961</v>
      </c>
      <c r="H4302" s="100"/>
      <c r="I4302" s="101" t="s">
        <v>1508</v>
      </c>
      <c r="J4302" s="580">
        <v>0.36</v>
      </c>
      <c r="K4302" s="580">
        <v>0</v>
      </c>
      <c r="L4302" s="102">
        <v>14.95</v>
      </c>
      <c r="M4302" s="102">
        <v>5.38</v>
      </c>
      <c r="N4302" s="573">
        <v>480.45</v>
      </c>
      <c r="O4302" s="556" t="str">
        <f>IF(N4302=M4302,"OK","DIF")</f>
        <v>DIF</v>
      </c>
      <c r="P4302" s="573"/>
      <c r="Q4302" s="556"/>
      <c r="R4302" s="582"/>
    </row>
    <row r="4303" ht="15" customHeight="1" spans="1:18">
      <c r="A4303" s="556" t="str">
        <f>B4303</f>
        <v>Insumo</v>
      </c>
      <c r="B4303" s="557" t="str">
        <f>B4302</f>
        <v>Insumo</v>
      </c>
      <c r="C4303" s="100" t="s">
        <v>2893</v>
      </c>
      <c r="D4303" s="99" t="s">
        <v>4343</v>
      </c>
      <c r="E4303" s="100" t="s">
        <v>796</v>
      </c>
      <c r="F4303" s="100" t="s">
        <v>4344</v>
      </c>
      <c r="G4303" s="100" t="s">
        <v>2961</v>
      </c>
      <c r="H4303" s="100"/>
      <c r="I4303" s="101" t="s">
        <v>3712</v>
      </c>
      <c r="J4303" s="580">
        <v>9.9</v>
      </c>
      <c r="K4303" s="580">
        <v>0</v>
      </c>
      <c r="L4303" s="102">
        <v>7.32</v>
      </c>
      <c r="M4303" s="102">
        <v>72.46</v>
      </c>
      <c r="N4303" s="573">
        <v>40.62</v>
      </c>
      <c r="O4303" s="556" t="str">
        <f>IF(N4303=M4303,"OK","DIF")</f>
        <v>DIF</v>
      </c>
      <c r="P4303" s="573"/>
      <c r="Q4303" s="556"/>
      <c r="R4303" s="582"/>
    </row>
    <row r="4304" ht="15" customHeight="1" spans="1:18">
      <c r="A4304" s="556" t="str">
        <f>B4304</f>
        <v>Insumo</v>
      </c>
      <c r="B4304" s="557" t="str">
        <f>B4303</f>
        <v>Insumo</v>
      </c>
      <c r="C4304" s="100" t="s">
        <v>2893</v>
      </c>
      <c r="D4304" s="99" t="s">
        <v>4345</v>
      </c>
      <c r="E4304" s="100" t="s">
        <v>796</v>
      </c>
      <c r="F4304" s="100" t="s">
        <v>4346</v>
      </c>
      <c r="G4304" s="100" t="s">
        <v>2961</v>
      </c>
      <c r="H4304" s="100"/>
      <c r="I4304" s="101" t="s">
        <v>334</v>
      </c>
      <c r="J4304" s="580">
        <v>13</v>
      </c>
      <c r="K4304" s="580">
        <v>0</v>
      </c>
      <c r="L4304" s="102">
        <v>2.52</v>
      </c>
      <c r="M4304" s="102">
        <v>32.76</v>
      </c>
      <c r="N4304" s="573">
        <v>42.16</v>
      </c>
      <c r="O4304" s="556" t="str">
        <f>IF(N4304=M4304,"OK","DIF")</f>
        <v>DIF</v>
      </c>
      <c r="P4304" s="573"/>
      <c r="Q4304" s="556"/>
      <c r="R4304" s="582"/>
    </row>
    <row r="4305" ht="23.85" customHeight="1" spans="1:18">
      <c r="A4305" s="556" t="str">
        <f>B4305</f>
        <v>Insumo</v>
      </c>
      <c r="B4305" s="557" t="str">
        <f>B4304</f>
        <v>Insumo</v>
      </c>
      <c r="C4305" s="100" t="s">
        <v>2893</v>
      </c>
      <c r="D4305" s="99" t="s">
        <v>4347</v>
      </c>
      <c r="E4305" s="100" t="s">
        <v>796</v>
      </c>
      <c r="F4305" s="100" t="s">
        <v>4348</v>
      </c>
      <c r="G4305" s="100" t="s">
        <v>2961</v>
      </c>
      <c r="H4305" s="100"/>
      <c r="I4305" s="101" t="s">
        <v>1508</v>
      </c>
      <c r="J4305" s="580">
        <v>0.66</v>
      </c>
      <c r="K4305" s="580">
        <v>0</v>
      </c>
      <c r="L4305" s="102">
        <v>8.18</v>
      </c>
      <c r="M4305" s="102">
        <v>5.39</v>
      </c>
      <c r="N4305" s="573">
        <v>397.67</v>
      </c>
      <c r="O4305" s="556" t="str">
        <f>IF(N4305=M4305,"OK","DIF")</f>
        <v>DIF</v>
      </c>
      <c r="P4305" s="573"/>
      <c r="Q4305" s="556"/>
      <c r="R4305" s="582"/>
    </row>
    <row r="4306" ht="15" customHeight="1" spans="1:18">
      <c r="A4306" s="556"/>
      <c r="B4306" s="557"/>
      <c r="C4306" s="100" t="s">
        <v>2893</v>
      </c>
      <c r="D4306" s="99" t="s">
        <v>4349</v>
      </c>
      <c r="E4306" s="100" t="s">
        <v>796</v>
      </c>
      <c r="F4306" s="100" t="s">
        <v>4350</v>
      </c>
      <c r="G4306" s="100" t="s">
        <v>2961</v>
      </c>
      <c r="H4306" s="100"/>
      <c r="I4306" s="101" t="s">
        <v>3712</v>
      </c>
      <c r="J4306" s="580">
        <v>0.12</v>
      </c>
      <c r="K4306" s="580">
        <v>0</v>
      </c>
      <c r="L4306" s="102">
        <v>11.35</v>
      </c>
      <c r="M4306" s="102">
        <v>1.36</v>
      </c>
      <c r="N4306" s="573"/>
      <c r="O4306" s="556"/>
      <c r="P4306" s="573"/>
      <c r="Q4306" s="556"/>
      <c r="R4306" s="582"/>
    </row>
    <row r="4307" ht="15" customHeight="1" spans="1:18">
      <c r="A4307" s="556"/>
      <c r="B4307" s="557"/>
      <c r="C4307" s="100" t="s">
        <v>2893</v>
      </c>
      <c r="D4307" s="99" t="s">
        <v>4351</v>
      </c>
      <c r="E4307" s="100" t="s">
        <v>796</v>
      </c>
      <c r="F4307" s="100" t="s">
        <v>4352</v>
      </c>
      <c r="G4307" s="100" t="s">
        <v>2961</v>
      </c>
      <c r="H4307" s="100"/>
      <c r="I4307" s="101" t="s">
        <v>141</v>
      </c>
      <c r="J4307" s="580">
        <v>0.84</v>
      </c>
      <c r="K4307" s="580">
        <v>0</v>
      </c>
      <c r="L4307" s="102">
        <v>2.91</v>
      </c>
      <c r="M4307" s="102">
        <v>2.44</v>
      </c>
      <c r="N4307" s="573"/>
      <c r="O4307" s="556"/>
      <c r="P4307" s="573"/>
      <c r="Q4307" s="556"/>
      <c r="R4307" s="582"/>
    </row>
    <row r="4308" ht="15" customHeight="1" spans="1:18">
      <c r="A4308" s="556"/>
      <c r="B4308" s="557" t="str">
        <f>C4307</f>
        <v>Insumo</v>
      </c>
      <c r="C4308" s="100" t="s">
        <v>2893</v>
      </c>
      <c r="D4308" s="99" t="s">
        <v>4353</v>
      </c>
      <c r="E4308" s="100" t="s">
        <v>796</v>
      </c>
      <c r="F4308" s="100" t="s">
        <v>4354</v>
      </c>
      <c r="G4308" s="100" t="s">
        <v>2961</v>
      </c>
      <c r="H4308" s="100"/>
      <c r="I4308" s="101" t="s">
        <v>3712</v>
      </c>
      <c r="J4308" s="580">
        <v>0.27</v>
      </c>
      <c r="K4308" s="580">
        <v>0</v>
      </c>
      <c r="L4308" s="102">
        <v>10.48</v>
      </c>
      <c r="M4308" s="102">
        <v>2.82</v>
      </c>
      <c r="N4308" s="573">
        <v>135.16</v>
      </c>
      <c r="O4308" s="556" t="str">
        <f>IF(N4308=M4308,"OK","DIF")</f>
        <v>DIF</v>
      </c>
      <c r="P4308" s="573"/>
      <c r="Q4308" s="556"/>
      <c r="R4308" s="582"/>
    </row>
    <row r="4309" ht="25.5" spans="1:18">
      <c r="A4309" s="556" t="str">
        <f>B4309</f>
        <v>Insumo</v>
      </c>
      <c r="B4309" s="557" t="str">
        <f>B4308</f>
        <v>Insumo</v>
      </c>
      <c r="C4309" s="108"/>
      <c r="D4309" s="108"/>
      <c r="E4309" s="108"/>
      <c r="F4309" s="108"/>
      <c r="G4309" s="108"/>
      <c r="H4309" s="108" t="s">
        <v>2898</v>
      </c>
      <c r="I4309" s="581">
        <v>414.76</v>
      </c>
      <c r="J4309" s="108" t="s">
        <v>2899</v>
      </c>
      <c r="K4309" s="581">
        <v>0</v>
      </c>
      <c r="L4309" s="108" t="s">
        <v>2900</v>
      </c>
      <c r="M4309" s="581">
        <v>414.76</v>
      </c>
      <c r="N4309" s="573">
        <v>33.07</v>
      </c>
      <c r="O4309" s="556" t="str">
        <f>IF(N4309=M4309,"OK","DIF")</f>
        <v>DIF</v>
      </c>
      <c r="P4309" s="573"/>
      <c r="Q4309" s="556"/>
      <c r="R4309" s="582"/>
    </row>
    <row r="4310" ht="26.25" spans="1:18">
      <c r="A4310" s="556" t="str">
        <f>B4310</f>
        <v>Insumo</v>
      </c>
      <c r="B4310" s="557" t="str">
        <f>B4309</f>
        <v>Insumo</v>
      </c>
      <c r="C4310" s="108"/>
      <c r="D4310" s="108"/>
      <c r="E4310" s="108"/>
      <c r="F4310" s="108"/>
      <c r="G4310" s="108"/>
      <c r="H4310" s="108" t="s">
        <v>2901</v>
      </c>
      <c r="I4310" s="581">
        <v>189.2</v>
      </c>
      <c r="J4310" s="114"/>
      <c r="K4310" s="114" t="s">
        <v>2902</v>
      </c>
      <c r="L4310" s="108"/>
      <c r="M4310" s="581">
        <v>931.46</v>
      </c>
      <c r="N4310" s="573">
        <v>27.3</v>
      </c>
      <c r="O4310" s="556" t="str">
        <f>IF(N4310=M4310,"OK","DIF")</f>
        <v>DIF</v>
      </c>
      <c r="P4310" s="573"/>
      <c r="Q4310" s="556"/>
      <c r="R4310" s="582"/>
    </row>
    <row r="4311" ht="15" spans="1:18">
      <c r="A4311" s="556" t="str">
        <f>B4311</f>
        <v>Insumo</v>
      </c>
      <c r="B4311" s="557" t="str">
        <f>B4310</f>
        <v>Insumo</v>
      </c>
      <c r="C4311" s="571"/>
      <c r="D4311" s="571"/>
      <c r="E4311" s="571"/>
      <c r="F4311" s="571"/>
      <c r="G4311" s="571"/>
      <c r="H4311" s="571"/>
      <c r="I4311" s="571"/>
      <c r="J4311" s="571"/>
      <c r="K4311" s="571"/>
      <c r="L4311" s="571"/>
      <c r="M4311" s="571"/>
      <c r="N4311" s="573">
        <v>74.79</v>
      </c>
      <c r="O4311" s="556" t="str">
        <f>IF(N4311=M4311,"OK","DIF")</f>
        <v>DIF</v>
      </c>
      <c r="P4311" s="573"/>
      <c r="Q4311" s="556"/>
      <c r="R4311" s="582"/>
    </row>
    <row r="4312" ht="15" customHeight="1" spans="1:18">
      <c r="A4312" s="556"/>
      <c r="B4312" s="557"/>
      <c r="C4312" s="76" t="s">
        <v>1509</v>
      </c>
      <c r="D4312" s="75" t="s">
        <v>63</v>
      </c>
      <c r="E4312" s="76" t="s">
        <v>64</v>
      </c>
      <c r="F4312" s="76" t="s">
        <v>65</v>
      </c>
      <c r="G4312" s="76" t="s">
        <v>2889</v>
      </c>
      <c r="H4312" s="76"/>
      <c r="I4312" s="77" t="s">
        <v>66</v>
      </c>
      <c r="J4312" s="75" t="s">
        <v>67</v>
      </c>
      <c r="K4312" s="75" t="s">
        <v>2890</v>
      </c>
      <c r="L4312" s="75" t="s">
        <v>68</v>
      </c>
      <c r="M4312" s="75" t="s">
        <v>70</v>
      </c>
      <c r="N4312" s="573"/>
      <c r="O4312" s="556"/>
      <c r="P4312" s="573"/>
      <c r="Q4312" s="556"/>
      <c r="R4312" s="582"/>
    </row>
    <row r="4313" ht="35.05" customHeight="1" spans="1:18">
      <c r="A4313" s="556"/>
      <c r="B4313" s="557"/>
      <c r="C4313" s="569" t="s">
        <v>2891</v>
      </c>
      <c r="D4313" s="570" t="s">
        <v>1510</v>
      </c>
      <c r="E4313" s="569" t="s">
        <v>132</v>
      </c>
      <c r="F4313" s="569" t="s">
        <v>1511</v>
      </c>
      <c r="G4313" s="569" t="s">
        <v>3177</v>
      </c>
      <c r="H4313" s="569"/>
      <c r="I4313" s="577" t="s">
        <v>134</v>
      </c>
      <c r="J4313" s="578">
        <v>1</v>
      </c>
      <c r="K4313" s="579"/>
      <c r="L4313" s="579">
        <v>2188.14</v>
      </c>
      <c r="M4313" s="579">
        <v>2188.14</v>
      </c>
      <c r="N4313" s="573"/>
      <c r="O4313" s="556"/>
      <c r="P4313" s="573"/>
      <c r="Q4313" s="556"/>
      <c r="R4313" s="582"/>
    </row>
    <row r="4314" ht="23.85" customHeight="1" spans="1:18">
      <c r="A4314" s="556"/>
      <c r="B4314" s="557" t="str">
        <f>C4313</f>
        <v>Composição</v>
      </c>
      <c r="C4314" s="79" t="s">
        <v>2921</v>
      </c>
      <c r="D4314" s="78" t="s">
        <v>3153</v>
      </c>
      <c r="E4314" s="79" t="s">
        <v>139</v>
      </c>
      <c r="F4314" s="79" t="s">
        <v>3154</v>
      </c>
      <c r="G4314" s="79" t="s">
        <v>2928</v>
      </c>
      <c r="H4314" s="79"/>
      <c r="I4314" s="80" t="s">
        <v>2897</v>
      </c>
      <c r="J4314" s="583">
        <v>32</v>
      </c>
      <c r="K4314" s="583">
        <v>0</v>
      </c>
      <c r="L4314" s="92">
        <v>30.6</v>
      </c>
      <c r="M4314" s="92">
        <v>979.2</v>
      </c>
      <c r="N4314" s="573">
        <v>342.81</v>
      </c>
      <c r="O4314" s="556" t="str">
        <f>IF(N4314=M4314,"OK","DIF")</f>
        <v>DIF</v>
      </c>
      <c r="P4314" s="573"/>
      <c r="Q4314" s="556"/>
      <c r="R4314" s="582"/>
    </row>
    <row r="4315" ht="23.85" customHeight="1" spans="1:18">
      <c r="A4315" s="556" t="str">
        <f>B4315</f>
        <v>Composição</v>
      </c>
      <c r="B4315" s="557" t="str">
        <f>B4314</f>
        <v>Composição</v>
      </c>
      <c r="C4315" s="79" t="s">
        <v>2921</v>
      </c>
      <c r="D4315" s="78" t="s">
        <v>4190</v>
      </c>
      <c r="E4315" s="79" t="s">
        <v>139</v>
      </c>
      <c r="F4315" s="79" t="s">
        <v>4191</v>
      </c>
      <c r="G4315" s="79" t="s">
        <v>2928</v>
      </c>
      <c r="H4315" s="79"/>
      <c r="I4315" s="80" t="s">
        <v>2897</v>
      </c>
      <c r="J4315" s="583">
        <v>8</v>
      </c>
      <c r="K4315" s="583">
        <v>0</v>
      </c>
      <c r="L4315" s="92">
        <v>40.65</v>
      </c>
      <c r="M4315" s="92">
        <v>325.2</v>
      </c>
      <c r="N4315" s="573">
        <v>33.07</v>
      </c>
      <c r="O4315" s="556" t="str">
        <f>IF(N4315=M4315,"OK","DIF")</f>
        <v>DIF</v>
      </c>
      <c r="P4315" s="573"/>
      <c r="Q4315" s="556"/>
      <c r="R4315" s="582"/>
    </row>
    <row r="4316" ht="23.85" customHeight="1" spans="1:18">
      <c r="A4316" s="556" t="str">
        <f>B4316</f>
        <v>Composição</v>
      </c>
      <c r="B4316" s="557" t="str">
        <f>B4315</f>
        <v>Composição</v>
      </c>
      <c r="C4316" s="79" t="s">
        <v>2921</v>
      </c>
      <c r="D4316" s="78" t="s">
        <v>3151</v>
      </c>
      <c r="E4316" s="79" t="s">
        <v>139</v>
      </c>
      <c r="F4316" s="79" t="s">
        <v>3152</v>
      </c>
      <c r="G4316" s="79" t="s">
        <v>2928</v>
      </c>
      <c r="H4316" s="79"/>
      <c r="I4316" s="80" t="s">
        <v>2897</v>
      </c>
      <c r="J4316" s="583">
        <v>16</v>
      </c>
      <c r="K4316" s="583">
        <v>0</v>
      </c>
      <c r="L4316" s="92">
        <v>36.82</v>
      </c>
      <c r="M4316" s="92">
        <v>589.12</v>
      </c>
      <c r="N4316" s="573">
        <v>27.3</v>
      </c>
      <c r="O4316" s="556" t="str">
        <f>IF(N4316=M4316,"OK","DIF")</f>
        <v>DIF</v>
      </c>
      <c r="P4316" s="573"/>
      <c r="Q4316" s="556"/>
      <c r="R4316" s="582"/>
    </row>
    <row r="4317" ht="46.25" customHeight="1" spans="1:18">
      <c r="A4317" s="556" t="str">
        <f>B4317</f>
        <v>Composição</v>
      </c>
      <c r="B4317" s="557" t="str">
        <f>B4316</f>
        <v>Composição</v>
      </c>
      <c r="C4317" s="79" t="s">
        <v>2921</v>
      </c>
      <c r="D4317" s="78" t="s">
        <v>4300</v>
      </c>
      <c r="E4317" s="79" t="s">
        <v>139</v>
      </c>
      <c r="F4317" s="79" t="s">
        <v>4301</v>
      </c>
      <c r="G4317" s="79" t="s">
        <v>2995</v>
      </c>
      <c r="H4317" s="79"/>
      <c r="I4317" s="80" t="s">
        <v>3002</v>
      </c>
      <c r="J4317" s="583">
        <v>1</v>
      </c>
      <c r="K4317" s="583">
        <v>0</v>
      </c>
      <c r="L4317" s="92">
        <v>294.62</v>
      </c>
      <c r="M4317" s="92">
        <v>294.62</v>
      </c>
      <c r="N4317" s="573">
        <v>282.44</v>
      </c>
      <c r="O4317" s="556" t="str">
        <f>IF(N4317=M4317,"OK","DIF")</f>
        <v>DIF</v>
      </c>
      <c r="P4317" s="573"/>
      <c r="Q4317" s="556"/>
      <c r="R4317" s="582"/>
    </row>
    <row r="4318" ht="25.5" spans="1:18">
      <c r="A4318" s="556"/>
      <c r="B4318" s="557"/>
      <c r="C4318" s="108"/>
      <c r="D4318" s="108"/>
      <c r="E4318" s="108"/>
      <c r="F4318" s="108"/>
      <c r="G4318" s="108"/>
      <c r="H4318" s="108" t="s">
        <v>2898</v>
      </c>
      <c r="I4318" s="581">
        <v>1376.23</v>
      </c>
      <c r="J4318" s="108" t="s">
        <v>2899</v>
      </c>
      <c r="K4318" s="581">
        <v>0</v>
      </c>
      <c r="L4318" s="108" t="s">
        <v>2900</v>
      </c>
      <c r="M4318" s="581">
        <v>1376.23</v>
      </c>
      <c r="N4318" s="573"/>
      <c r="O4318" s="556"/>
      <c r="P4318" s="573"/>
      <c r="Q4318" s="556"/>
      <c r="R4318" s="582"/>
    </row>
    <row r="4319" ht="26.25" spans="1:18">
      <c r="A4319" s="556"/>
      <c r="B4319" s="557"/>
      <c r="C4319" s="108"/>
      <c r="D4319" s="108"/>
      <c r="E4319" s="108"/>
      <c r="F4319" s="108"/>
      <c r="G4319" s="108"/>
      <c r="H4319" s="108" t="s">
        <v>2901</v>
      </c>
      <c r="I4319" s="581">
        <v>557.75</v>
      </c>
      <c r="J4319" s="114"/>
      <c r="K4319" s="114" t="s">
        <v>2902</v>
      </c>
      <c r="L4319" s="108"/>
      <c r="M4319" s="581">
        <v>2745.89</v>
      </c>
      <c r="N4319" s="573"/>
      <c r="O4319" s="556"/>
      <c r="P4319" s="573"/>
      <c r="Q4319" s="556"/>
      <c r="R4319" s="582"/>
    </row>
    <row r="4320" ht="15" spans="1:18">
      <c r="A4320" s="556"/>
      <c r="B4320" s="557">
        <f>C4319</f>
        <v>0</v>
      </c>
      <c r="C4320" s="571"/>
      <c r="D4320" s="571"/>
      <c r="E4320" s="571"/>
      <c r="F4320" s="571"/>
      <c r="G4320" s="571"/>
      <c r="H4320" s="571"/>
      <c r="I4320" s="571"/>
      <c r="J4320" s="571"/>
      <c r="K4320" s="571"/>
      <c r="L4320" s="571"/>
      <c r="M4320" s="571"/>
      <c r="N4320" s="573">
        <v>545.99</v>
      </c>
      <c r="O4320" s="556" t="str">
        <f>IF(N4320=M4320,"OK","DIF")</f>
        <v>DIF</v>
      </c>
      <c r="P4320" s="573"/>
      <c r="Q4320" s="556"/>
      <c r="R4320" s="582"/>
    </row>
    <row r="4321" ht="15" customHeight="1" spans="1:18">
      <c r="A4321" s="556">
        <f>B4321</f>
        <v>0</v>
      </c>
      <c r="B4321" s="557">
        <f>B4320</f>
        <v>0</v>
      </c>
      <c r="C4321" s="76" t="s">
        <v>1512</v>
      </c>
      <c r="D4321" s="75" t="s">
        <v>63</v>
      </c>
      <c r="E4321" s="76" t="s">
        <v>64</v>
      </c>
      <c r="F4321" s="76" t="s">
        <v>65</v>
      </c>
      <c r="G4321" s="76" t="s">
        <v>2889</v>
      </c>
      <c r="H4321" s="76"/>
      <c r="I4321" s="77" t="s">
        <v>66</v>
      </c>
      <c r="J4321" s="75" t="s">
        <v>67</v>
      </c>
      <c r="K4321" s="75" t="s">
        <v>2890</v>
      </c>
      <c r="L4321" s="75" t="s">
        <v>68</v>
      </c>
      <c r="M4321" s="75" t="s">
        <v>70</v>
      </c>
      <c r="N4321" s="573">
        <v>56.25</v>
      </c>
      <c r="O4321" s="556" t="str">
        <f>IF(N4321=M4321,"OK","DIF")</f>
        <v>DIF</v>
      </c>
      <c r="P4321" s="573"/>
      <c r="Q4321" s="556"/>
      <c r="R4321" s="582"/>
    </row>
    <row r="4322" ht="35.05" customHeight="1" spans="1:18">
      <c r="A4322" s="556">
        <f>B4322</f>
        <v>0</v>
      </c>
      <c r="B4322" s="557">
        <f>B4321</f>
        <v>0</v>
      </c>
      <c r="C4322" s="569" t="s">
        <v>2891</v>
      </c>
      <c r="D4322" s="570" t="s">
        <v>1513</v>
      </c>
      <c r="E4322" s="569" t="s">
        <v>132</v>
      </c>
      <c r="F4322" s="569" t="s">
        <v>1514</v>
      </c>
      <c r="G4322" s="569" t="s">
        <v>3177</v>
      </c>
      <c r="H4322" s="569"/>
      <c r="I4322" s="577" t="s">
        <v>204</v>
      </c>
      <c r="J4322" s="578">
        <v>1</v>
      </c>
      <c r="K4322" s="579"/>
      <c r="L4322" s="579">
        <v>58.11</v>
      </c>
      <c r="M4322" s="579">
        <v>58.11</v>
      </c>
      <c r="N4322" s="573">
        <v>63.82</v>
      </c>
      <c r="O4322" s="556" t="str">
        <f>IF(N4322=M4322,"OK","DIF")</f>
        <v>DIF</v>
      </c>
      <c r="P4322" s="573"/>
      <c r="Q4322" s="556"/>
      <c r="R4322" s="582"/>
    </row>
    <row r="4323" ht="23.85" customHeight="1" spans="1:18">
      <c r="A4323" s="556">
        <f>B4323</f>
        <v>0</v>
      </c>
      <c r="B4323" s="557">
        <f>B4322</f>
        <v>0</v>
      </c>
      <c r="C4323" s="79" t="s">
        <v>2921</v>
      </c>
      <c r="D4323" s="78" t="s">
        <v>3153</v>
      </c>
      <c r="E4323" s="79" t="s">
        <v>139</v>
      </c>
      <c r="F4323" s="79" t="s">
        <v>3154</v>
      </c>
      <c r="G4323" s="79" t="s">
        <v>2928</v>
      </c>
      <c r="H4323" s="79"/>
      <c r="I4323" s="80" t="s">
        <v>2897</v>
      </c>
      <c r="J4323" s="583">
        <v>0.2484</v>
      </c>
      <c r="K4323" s="583">
        <v>0</v>
      </c>
      <c r="L4323" s="92">
        <v>30.6</v>
      </c>
      <c r="M4323" s="92">
        <v>7.6</v>
      </c>
      <c r="N4323" s="573">
        <v>425.92</v>
      </c>
      <c r="O4323" s="556" t="str">
        <f>IF(N4323=M4323,"OK","DIF")</f>
        <v>DIF</v>
      </c>
      <c r="P4323" s="573"/>
      <c r="Q4323" s="556"/>
      <c r="R4323" s="582"/>
    </row>
    <row r="4324" ht="23.85" customHeight="1" spans="1:18">
      <c r="A4324" s="556"/>
      <c r="B4324" s="557"/>
      <c r="C4324" s="79" t="s">
        <v>2921</v>
      </c>
      <c r="D4324" s="78" t="s">
        <v>3151</v>
      </c>
      <c r="E4324" s="79" t="s">
        <v>139</v>
      </c>
      <c r="F4324" s="79" t="s">
        <v>3152</v>
      </c>
      <c r="G4324" s="79" t="s">
        <v>2928</v>
      </c>
      <c r="H4324" s="79"/>
      <c r="I4324" s="80" t="s">
        <v>2897</v>
      </c>
      <c r="J4324" s="583">
        <v>0.2484</v>
      </c>
      <c r="K4324" s="583">
        <v>0</v>
      </c>
      <c r="L4324" s="92">
        <v>36.82</v>
      </c>
      <c r="M4324" s="92">
        <v>9.14</v>
      </c>
      <c r="N4324" s="573"/>
      <c r="O4324" s="556"/>
      <c r="P4324" s="573"/>
      <c r="Q4324" s="556"/>
      <c r="R4324" s="582"/>
    </row>
    <row r="4325" ht="15" customHeight="1" spans="1:18">
      <c r="A4325" s="556"/>
      <c r="B4325" s="557"/>
      <c r="C4325" s="100" t="s">
        <v>2893</v>
      </c>
      <c r="D4325" s="99" t="s">
        <v>4355</v>
      </c>
      <c r="E4325" s="100" t="s">
        <v>139</v>
      </c>
      <c r="F4325" s="100" t="s">
        <v>4356</v>
      </c>
      <c r="G4325" s="100" t="s">
        <v>2961</v>
      </c>
      <c r="H4325" s="100"/>
      <c r="I4325" s="101" t="s">
        <v>204</v>
      </c>
      <c r="J4325" s="580">
        <v>1.05</v>
      </c>
      <c r="K4325" s="580">
        <v>0</v>
      </c>
      <c r="L4325" s="102">
        <v>39.4</v>
      </c>
      <c r="M4325" s="102">
        <v>41.37</v>
      </c>
      <c r="N4325" s="573"/>
      <c r="O4325" s="556"/>
      <c r="P4325" s="573"/>
      <c r="Q4325" s="556"/>
      <c r="R4325" s="582"/>
    </row>
    <row r="4326" ht="25.5" spans="1:18">
      <c r="A4326" s="556"/>
      <c r="B4326" s="557" t="str">
        <f>C4325</f>
        <v>Insumo</v>
      </c>
      <c r="C4326" s="108"/>
      <c r="D4326" s="108"/>
      <c r="E4326" s="108"/>
      <c r="F4326" s="108"/>
      <c r="G4326" s="108"/>
      <c r="H4326" s="108" t="s">
        <v>2898</v>
      </c>
      <c r="I4326" s="581">
        <v>11.74</v>
      </c>
      <c r="J4326" s="108" t="s">
        <v>2899</v>
      </c>
      <c r="K4326" s="581">
        <v>0</v>
      </c>
      <c r="L4326" s="108" t="s">
        <v>2900</v>
      </c>
      <c r="M4326" s="581">
        <v>11.74</v>
      </c>
      <c r="N4326" s="573">
        <v>1615.68</v>
      </c>
      <c r="O4326" s="556" t="str">
        <f>IF(N4326=M4326,"OK","DIF")</f>
        <v>DIF</v>
      </c>
      <c r="P4326" s="573"/>
      <c r="Q4326" s="556"/>
      <c r="R4326" s="582"/>
    </row>
    <row r="4327" ht="26.25" spans="1:18">
      <c r="A4327" s="556" t="str">
        <f>B4327</f>
        <v>Insumo</v>
      </c>
      <c r="B4327" s="557" t="str">
        <f>B4326</f>
        <v>Insumo</v>
      </c>
      <c r="C4327" s="108"/>
      <c r="D4327" s="108"/>
      <c r="E4327" s="108"/>
      <c r="F4327" s="108"/>
      <c r="G4327" s="108"/>
      <c r="H4327" s="108" t="s">
        <v>2901</v>
      </c>
      <c r="I4327" s="581">
        <v>14.81</v>
      </c>
      <c r="J4327" s="114"/>
      <c r="K4327" s="114" t="s">
        <v>2902</v>
      </c>
      <c r="L4327" s="108"/>
      <c r="M4327" s="581">
        <v>72.92</v>
      </c>
      <c r="N4327" s="573">
        <v>8.19</v>
      </c>
      <c r="O4327" s="556" t="str">
        <f>IF(N4327=M4327,"OK","DIF")</f>
        <v>DIF</v>
      </c>
      <c r="P4327" s="573"/>
      <c r="Q4327" s="556"/>
      <c r="R4327" s="582"/>
    </row>
    <row r="4328" ht="15" spans="1:18">
      <c r="A4328" s="556" t="str">
        <f>B4328</f>
        <v>Insumo</v>
      </c>
      <c r="B4328" s="557" t="str">
        <f>B4327</f>
        <v>Insumo</v>
      </c>
      <c r="C4328" s="571"/>
      <c r="D4328" s="571"/>
      <c r="E4328" s="571"/>
      <c r="F4328" s="571"/>
      <c r="G4328" s="571"/>
      <c r="H4328" s="571"/>
      <c r="I4328" s="571"/>
      <c r="J4328" s="571"/>
      <c r="K4328" s="571"/>
      <c r="L4328" s="571"/>
      <c r="M4328" s="571"/>
      <c r="N4328" s="573">
        <v>9.92</v>
      </c>
      <c r="O4328" s="556" t="str">
        <f>IF(N4328=M4328,"OK","DIF")</f>
        <v>DIF</v>
      </c>
      <c r="P4328" s="573"/>
      <c r="Q4328" s="556"/>
      <c r="R4328" s="582"/>
    </row>
    <row r="4329" ht="15" customHeight="1" spans="1:18">
      <c r="A4329" s="556" t="str">
        <f>B4329</f>
        <v>Insumo</v>
      </c>
      <c r="B4329" s="557" t="str">
        <f>B4328</f>
        <v>Insumo</v>
      </c>
      <c r="C4329" s="76" t="s">
        <v>1515</v>
      </c>
      <c r="D4329" s="75" t="s">
        <v>63</v>
      </c>
      <c r="E4329" s="76" t="s">
        <v>64</v>
      </c>
      <c r="F4329" s="76" t="s">
        <v>65</v>
      </c>
      <c r="G4329" s="76" t="s">
        <v>2889</v>
      </c>
      <c r="H4329" s="76"/>
      <c r="I4329" s="77" t="s">
        <v>66</v>
      </c>
      <c r="J4329" s="75" t="s">
        <v>67</v>
      </c>
      <c r="K4329" s="75" t="s">
        <v>2890</v>
      </c>
      <c r="L4329" s="75" t="s">
        <v>68</v>
      </c>
      <c r="M4329" s="75" t="s">
        <v>70</v>
      </c>
      <c r="N4329" s="573">
        <v>1597.57</v>
      </c>
      <c r="O4329" s="556" t="str">
        <f>IF(N4329=M4329,"OK","DIF")</f>
        <v>DIF</v>
      </c>
      <c r="P4329" s="573"/>
      <c r="Q4329" s="556"/>
      <c r="R4329" s="582"/>
    </row>
    <row r="4330" ht="23.85" customHeight="1" spans="1:18">
      <c r="A4330" s="556"/>
      <c r="B4330" s="557"/>
      <c r="C4330" s="569" t="s">
        <v>2891</v>
      </c>
      <c r="D4330" s="570" t="s">
        <v>1516</v>
      </c>
      <c r="E4330" s="569" t="s">
        <v>139</v>
      </c>
      <c r="F4330" s="569" t="s">
        <v>1517</v>
      </c>
      <c r="G4330" s="569" t="s">
        <v>3221</v>
      </c>
      <c r="H4330" s="569"/>
      <c r="I4330" s="577" t="s">
        <v>204</v>
      </c>
      <c r="J4330" s="578">
        <v>1</v>
      </c>
      <c r="K4330" s="579"/>
      <c r="L4330" s="579">
        <v>61.15</v>
      </c>
      <c r="M4330" s="579">
        <v>61.15</v>
      </c>
      <c r="N4330" s="573"/>
      <c r="O4330" s="556"/>
      <c r="P4330" s="573"/>
      <c r="Q4330" s="556"/>
      <c r="R4330" s="582"/>
    </row>
    <row r="4331" ht="23.85" customHeight="1" spans="1:18">
      <c r="A4331" s="556"/>
      <c r="B4331" s="557"/>
      <c r="C4331" s="79" t="s">
        <v>2921</v>
      </c>
      <c r="D4331" s="78" t="s">
        <v>3151</v>
      </c>
      <c r="E4331" s="79" t="s">
        <v>139</v>
      </c>
      <c r="F4331" s="79" t="s">
        <v>3152</v>
      </c>
      <c r="G4331" s="79" t="s">
        <v>2928</v>
      </c>
      <c r="H4331" s="79"/>
      <c r="I4331" s="80" t="s">
        <v>2897</v>
      </c>
      <c r="J4331" s="583">
        <v>0.0331</v>
      </c>
      <c r="K4331" s="583">
        <v>0</v>
      </c>
      <c r="L4331" s="92">
        <v>36.82</v>
      </c>
      <c r="M4331" s="92">
        <v>1.21</v>
      </c>
      <c r="N4331" s="573"/>
      <c r="O4331" s="556"/>
      <c r="P4331" s="573"/>
      <c r="Q4331" s="556"/>
      <c r="R4331" s="582"/>
    </row>
    <row r="4332" ht="23.85" customHeight="1" spans="1:18">
      <c r="A4332" s="556"/>
      <c r="B4332" s="557" t="str">
        <f>C4331</f>
        <v>Composição Auxiliar</v>
      </c>
      <c r="C4332" s="79" t="s">
        <v>2921</v>
      </c>
      <c r="D4332" s="78" t="s">
        <v>3153</v>
      </c>
      <c r="E4332" s="79" t="s">
        <v>139</v>
      </c>
      <c r="F4332" s="79" t="s">
        <v>3154</v>
      </c>
      <c r="G4332" s="79" t="s">
        <v>2928</v>
      </c>
      <c r="H4332" s="79"/>
      <c r="I4332" s="80" t="s">
        <v>2897</v>
      </c>
      <c r="J4332" s="583">
        <v>0.0331</v>
      </c>
      <c r="K4332" s="583">
        <v>0</v>
      </c>
      <c r="L4332" s="92">
        <v>30.6</v>
      </c>
      <c r="M4332" s="92">
        <v>1.01</v>
      </c>
      <c r="N4332" s="573">
        <v>3060.5</v>
      </c>
      <c r="O4332" s="556" t="str">
        <f>IF(N4332=M4332,"OK","DIF")</f>
        <v>DIF</v>
      </c>
      <c r="P4332" s="573"/>
      <c r="Q4332" s="556"/>
      <c r="R4332" s="582"/>
    </row>
    <row r="4333" ht="15" customHeight="1" spans="1:18">
      <c r="A4333" s="556" t="str">
        <f>B4333</f>
        <v>Composição Auxiliar</v>
      </c>
      <c r="B4333" s="557" t="str">
        <f>B4332</f>
        <v>Composição Auxiliar</v>
      </c>
      <c r="C4333" s="100" t="s">
        <v>2893</v>
      </c>
      <c r="D4333" s="99" t="s">
        <v>4357</v>
      </c>
      <c r="E4333" s="100" t="s">
        <v>139</v>
      </c>
      <c r="F4333" s="100" t="s">
        <v>4358</v>
      </c>
      <c r="G4333" s="100" t="s">
        <v>2961</v>
      </c>
      <c r="H4333" s="100"/>
      <c r="I4333" s="101" t="s">
        <v>204</v>
      </c>
      <c r="J4333" s="580">
        <v>1.05</v>
      </c>
      <c r="K4333" s="580">
        <v>0</v>
      </c>
      <c r="L4333" s="102">
        <v>56.13</v>
      </c>
      <c r="M4333" s="102">
        <v>58.93</v>
      </c>
      <c r="N4333" s="573">
        <v>13.65</v>
      </c>
      <c r="O4333" s="556" t="str">
        <f>IF(N4333=M4333,"OK","DIF")</f>
        <v>DIF</v>
      </c>
      <c r="P4333" s="573"/>
      <c r="Q4333" s="556"/>
      <c r="R4333" s="582"/>
    </row>
    <row r="4334" ht="25.5" spans="1:18">
      <c r="A4334" s="556" t="str">
        <f>B4334</f>
        <v>Composição Auxiliar</v>
      </c>
      <c r="B4334" s="557" t="str">
        <f>B4333</f>
        <v>Composição Auxiliar</v>
      </c>
      <c r="C4334" s="108"/>
      <c r="D4334" s="108"/>
      <c r="E4334" s="108"/>
      <c r="F4334" s="108"/>
      <c r="G4334" s="108"/>
      <c r="H4334" s="108" t="s">
        <v>2898</v>
      </c>
      <c r="I4334" s="581">
        <v>1.56</v>
      </c>
      <c r="J4334" s="108" t="s">
        <v>2899</v>
      </c>
      <c r="K4334" s="581">
        <v>0</v>
      </c>
      <c r="L4334" s="108" t="s">
        <v>2900</v>
      </c>
      <c r="M4334" s="581">
        <v>1.56</v>
      </c>
      <c r="N4334" s="573">
        <v>16.53</v>
      </c>
      <c r="O4334" s="556" t="str">
        <f>IF(N4334=M4334,"OK","DIF")</f>
        <v>DIF</v>
      </c>
      <c r="P4334" s="573"/>
      <c r="Q4334" s="556"/>
      <c r="R4334" s="582"/>
    </row>
    <row r="4335" ht="26.25" spans="1:18">
      <c r="A4335" s="556" t="str">
        <f>B4335</f>
        <v>Composição Auxiliar</v>
      </c>
      <c r="B4335" s="557" t="str">
        <f>B4334</f>
        <v>Composição Auxiliar</v>
      </c>
      <c r="C4335" s="108"/>
      <c r="D4335" s="108"/>
      <c r="E4335" s="108"/>
      <c r="F4335" s="108"/>
      <c r="G4335" s="108"/>
      <c r="H4335" s="108" t="s">
        <v>2901</v>
      </c>
      <c r="I4335" s="581">
        <v>15.58</v>
      </c>
      <c r="J4335" s="114"/>
      <c r="K4335" s="114" t="s">
        <v>2902</v>
      </c>
      <c r="L4335" s="108"/>
      <c r="M4335" s="581">
        <v>76.73</v>
      </c>
      <c r="N4335" s="573">
        <v>3030.32</v>
      </c>
      <c r="O4335" s="556" t="str">
        <f>IF(N4335=M4335,"OK","DIF")</f>
        <v>DIF</v>
      </c>
      <c r="P4335" s="573"/>
      <c r="Q4335" s="556"/>
      <c r="R4335" s="582"/>
    </row>
    <row r="4336" ht="15" spans="1:18">
      <c r="A4336" s="556"/>
      <c r="B4336" s="557"/>
      <c r="C4336" s="571"/>
      <c r="D4336" s="571"/>
      <c r="E4336" s="571"/>
      <c r="F4336" s="571"/>
      <c r="G4336" s="571"/>
      <c r="H4336" s="571"/>
      <c r="I4336" s="571"/>
      <c r="J4336" s="571"/>
      <c r="K4336" s="571"/>
      <c r="L4336" s="571"/>
      <c r="M4336" s="571"/>
      <c r="N4336" s="573"/>
      <c r="O4336" s="556"/>
      <c r="P4336" s="573"/>
      <c r="Q4336" s="556"/>
      <c r="R4336" s="582"/>
    </row>
    <row r="4337" ht="15" customHeight="1" spans="1:18">
      <c r="A4337" s="556"/>
      <c r="B4337" s="557"/>
      <c r="C4337" s="76" t="s">
        <v>1518</v>
      </c>
      <c r="D4337" s="75" t="s">
        <v>63</v>
      </c>
      <c r="E4337" s="76" t="s">
        <v>64</v>
      </c>
      <c r="F4337" s="76" t="s">
        <v>65</v>
      </c>
      <c r="G4337" s="76" t="s">
        <v>2889</v>
      </c>
      <c r="H4337" s="76"/>
      <c r="I4337" s="77" t="s">
        <v>66</v>
      </c>
      <c r="J4337" s="75" t="s">
        <v>67</v>
      </c>
      <c r="K4337" s="75" t="s">
        <v>2890</v>
      </c>
      <c r="L4337" s="75" t="s">
        <v>68</v>
      </c>
      <c r="M4337" s="75" t="s">
        <v>70</v>
      </c>
      <c r="N4337" s="573"/>
      <c r="O4337" s="556"/>
      <c r="P4337" s="573"/>
      <c r="Q4337" s="556"/>
      <c r="R4337" s="582"/>
    </row>
    <row r="4338" ht="23.85" customHeight="1" spans="1:18">
      <c r="A4338" s="556"/>
      <c r="B4338" s="557" t="str">
        <f>C4337</f>
        <v> 12.5.1.16 </v>
      </c>
      <c r="C4338" s="569" t="s">
        <v>2891</v>
      </c>
      <c r="D4338" s="570" t="s">
        <v>1519</v>
      </c>
      <c r="E4338" s="569" t="s">
        <v>139</v>
      </c>
      <c r="F4338" s="569" t="s">
        <v>1520</v>
      </c>
      <c r="G4338" s="569" t="s">
        <v>3221</v>
      </c>
      <c r="H4338" s="569"/>
      <c r="I4338" s="577" t="s">
        <v>204</v>
      </c>
      <c r="J4338" s="578">
        <v>1</v>
      </c>
      <c r="K4338" s="579"/>
      <c r="L4338" s="579">
        <v>115.09</v>
      </c>
      <c r="M4338" s="579">
        <v>115.09</v>
      </c>
      <c r="N4338" s="573">
        <v>633.67</v>
      </c>
      <c r="O4338" s="556" t="str">
        <f>IF(N4338=M4338,"OK","DIF")</f>
        <v>DIF</v>
      </c>
      <c r="P4338" s="573"/>
      <c r="Q4338" s="556"/>
      <c r="R4338" s="582"/>
    </row>
    <row r="4339" ht="23.85" customHeight="1" spans="1:18">
      <c r="A4339" s="556" t="str">
        <f>B4339</f>
        <v> 12.5.1.16 </v>
      </c>
      <c r="B4339" s="557" t="str">
        <f>B4338</f>
        <v> 12.5.1.16 </v>
      </c>
      <c r="C4339" s="79" t="s">
        <v>2921</v>
      </c>
      <c r="D4339" s="78" t="s">
        <v>3151</v>
      </c>
      <c r="E4339" s="79" t="s">
        <v>139</v>
      </c>
      <c r="F4339" s="79" t="s">
        <v>3152</v>
      </c>
      <c r="G4339" s="79" t="s">
        <v>2928</v>
      </c>
      <c r="H4339" s="79"/>
      <c r="I4339" s="80" t="s">
        <v>2897</v>
      </c>
      <c r="J4339" s="583">
        <v>0.0462</v>
      </c>
      <c r="K4339" s="583">
        <v>0</v>
      </c>
      <c r="L4339" s="92">
        <v>36.82</v>
      </c>
      <c r="M4339" s="92">
        <v>1.7</v>
      </c>
      <c r="N4339" s="573">
        <v>16.53</v>
      </c>
      <c r="O4339" s="556" t="str">
        <f>IF(N4339=M4339,"OK","DIF")</f>
        <v>DIF</v>
      </c>
      <c r="P4339" s="573"/>
      <c r="Q4339" s="556"/>
      <c r="R4339" s="582"/>
    </row>
    <row r="4340" ht="23.85" customHeight="1" spans="1:18">
      <c r="A4340" s="556" t="str">
        <f>B4340</f>
        <v> 12.5.1.16 </v>
      </c>
      <c r="B4340" s="557" t="str">
        <f>B4339</f>
        <v> 12.5.1.16 </v>
      </c>
      <c r="C4340" s="79" t="s">
        <v>2921</v>
      </c>
      <c r="D4340" s="78" t="s">
        <v>3153</v>
      </c>
      <c r="E4340" s="79" t="s">
        <v>139</v>
      </c>
      <c r="F4340" s="79" t="s">
        <v>3154</v>
      </c>
      <c r="G4340" s="79" t="s">
        <v>2928</v>
      </c>
      <c r="H4340" s="79"/>
      <c r="I4340" s="80" t="s">
        <v>2897</v>
      </c>
      <c r="J4340" s="583">
        <v>0.0462</v>
      </c>
      <c r="K4340" s="583">
        <v>0</v>
      </c>
      <c r="L4340" s="92">
        <v>30.6</v>
      </c>
      <c r="M4340" s="92">
        <v>1.41</v>
      </c>
      <c r="N4340" s="573">
        <v>13.65</v>
      </c>
      <c r="O4340" s="556" t="str">
        <f>IF(N4340=M4340,"OK","DIF")</f>
        <v>DIF</v>
      </c>
      <c r="P4340" s="573"/>
      <c r="Q4340" s="556"/>
      <c r="R4340" s="582"/>
    </row>
    <row r="4341" ht="15" customHeight="1" spans="1:18">
      <c r="A4341" s="556" t="str">
        <f>B4341</f>
        <v> 12.5.1.16 </v>
      </c>
      <c r="B4341" s="557" t="str">
        <f>B4340</f>
        <v> 12.5.1.16 </v>
      </c>
      <c r="C4341" s="100" t="s">
        <v>2893</v>
      </c>
      <c r="D4341" s="99" t="s">
        <v>4359</v>
      </c>
      <c r="E4341" s="100" t="s">
        <v>139</v>
      </c>
      <c r="F4341" s="100" t="s">
        <v>4360</v>
      </c>
      <c r="G4341" s="100" t="s">
        <v>2961</v>
      </c>
      <c r="H4341" s="100"/>
      <c r="I4341" s="101" t="s">
        <v>204</v>
      </c>
      <c r="J4341" s="580">
        <v>1.05</v>
      </c>
      <c r="K4341" s="580">
        <v>0</v>
      </c>
      <c r="L4341" s="102">
        <v>106.65</v>
      </c>
      <c r="M4341" s="102">
        <v>111.98</v>
      </c>
      <c r="N4341" s="573">
        <v>603.49</v>
      </c>
      <c r="O4341" s="556" t="str">
        <f>IF(N4341=M4341,"OK","DIF")</f>
        <v>DIF</v>
      </c>
      <c r="P4341" s="573"/>
      <c r="Q4341" s="556"/>
      <c r="R4341" s="582"/>
    </row>
    <row r="4342" ht="25.5" spans="1:18">
      <c r="A4342" s="556"/>
      <c r="B4342" s="557"/>
      <c r="C4342" s="108"/>
      <c r="D4342" s="108"/>
      <c r="E4342" s="108"/>
      <c r="F4342" s="108"/>
      <c r="G4342" s="108"/>
      <c r="H4342" s="108" t="s">
        <v>2898</v>
      </c>
      <c r="I4342" s="581">
        <v>2.17</v>
      </c>
      <c r="J4342" s="108" t="s">
        <v>2899</v>
      </c>
      <c r="K4342" s="581">
        <v>0</v>
      </c>
      <c r="L4342" s="108" t="s">
        <v>2900</v>
      </c>
      <c r="M4342" s="581">
        <v>2.17</v>
      </c>
      <c r="N4342" s="573"/>
      <c r="O4342" s="556"/>
      <c r="P4342" s="573"/>
      <c r="Q4342" s="556"/>
      <c r="R4342" s="582"/>
    </row>
    <row r="4343" ht="26.25" spans="1:18">
      <c r="A4343" s="556"/>
      <c r="B4343" s="557"/>
      <c r="C4343" s="108"/>
      <c r="D4343" s="108"/>
      <c r="E4343" s="108"/>
      <c r="F4343" s="108"/>
      <c r="G4343" s="108"/>
      <c r="H4343" s="108" t="s">
        <v>2901</v>
      </c>
      <c r="I4343" s="581">
        <v>29.33</v>
      </c>
      <c r="J4343" s="114"/>
      <c r="K4343" s="114" t="s">
        <v>2902</v>
      </c>
      <c r="L4343" s="108"/>
      <c r="M4343" s="581">
        <v>144.42</v>
      </c>
      <c r="N4343" s="573"/>
      <c r="O4343" s="556"/>
      <c r="P4343" s="573"/>
      <c r="Q4343" s="556"/>
      <c r="R4343" s="582"/>
    </row>
    <row r="4344" ht="15" spans="1:18">
      <c r="A4344" s="556"/>
      <c r="B4344" s="557"/>
      <c r="C4344" s="571"/>
      <c r="D4344" s="571"/>
      <c r="E4344" s="571"/>
      <c r="F4344" s="571"/>
      <c r="G4344" s="571"/>
      <c r="H4344" s="571"/>
      <c r="I4344" s="571"/>
      <c r="J4344" s="571"/>
      <c r="K4344" s="571"/>
      <c r="L4344" s="571"/>
      <c r="M4344" s="571"/>
      <c r="N4344" s="573"/>
      <c r="O4344" s="556"/>
      <c r="P4344" s="573"/>
      <c r="Q4344" s="556"/>
      <c r="R4344" s="582"/>
    </row>
    <row r="4345" ht="15" customHeight="1" spans="1:18">
      <c r="A4345" s="556"/>
      <c r="B4345" s="557">
        <f>C4344</f>
        <v>0</v>
      </c>
      <c r="C4345" s="76" t="s">
        <v>1521</v>
      </c>
      <c r="D4345" s="75" t="s">
        <v>63</v>
      </c>
      <c r="E4345" s="76" t="s">
        <v>64</v>
      </c>
      <c r="F4345" s="76" t="s">
        <v>65</v>
      </c>
      <c r="G4345" s="76" t="s">
        <v>2889</v>
      </c>
      <c r="H4345" s="76"/>
      <c r="I4345" s="77" t="s">
        <v>66</v>
      </c>
      <c r="J4345" s="75" t="s">
        <v>67</v>
      </c>
      <c r="K4345" s="75" t="s">
        <v>2890</v>
      </c>
      <c r="L4345" s="75" t="s">
        <v>68</v>
      </c>
      <c r="M4345" s="75" t="s">
        <v>70</v>
      </c>
      <c r="N4345" s="573">
        <v>6297.85</v>
      </c>
      <c r="O4345" s="556" t="str">
        <f>IF(N4345=M4345,"OK","DIF")</f>
        <v>DIF</v>
      </c>
      <c r="P4345" s="573"/>
      <c r="Q4345" s="556"/>
      <c r="R4345" s="582"/>
    </row>
    <row r="4346" ht="15" customHeight="1" spans="1:18">
      <c r="A4346" s="556"/>
      <c r="B4346" s="557"/>
      <c r="C4346" s="569" t="s">
        <v>2891</v>
      </c>
      <c r="D4346" s="570" t="s">
        <v>1522</v>
      </c>
      <c r="E4346" s="569" t="s">
        <v>149</v>
      </c>
      <c r="F4346" s="569" t="s">
        <v>1523</v>
      </c>
      <c r="G4346" s="569" t="s">
        <v>4007</v>
      </c>
      <c r="H4346" s="569"/>
      <c r="I4346" s="577" t="s">
        <v>134</v>
      </c>
      <c r="J4346" s="578">
        <v>1</v>
      </c>
      <c r="K4346" s="579"/>
      <c r="L4346" s="579">
        <v>63.88</v>
      </c>
      <c r="M4346" s="579">
        <v>63.88</v>
      </c>
      <c r="N4346" s="573"/>
      <c r="O4346" s="556"/>
      <c r="P4346" s="573"/>
      <c r="Q4346" s="556"/>
      <c r="R4346" s="582"/>
    </row>
    <row r="4347" ht="23.85" customHeight="1" spans="1:18">
      <c r="A4347" s="556"/>
      <c r="B4347" s="557"/>
      <c r="C4347" s="100" t="s">
        <v>2893</v>
      </c>
      <c r="D4347" s="99" t="s">
        <v>4361</v>
      </c>
      <c r="E4347" s="100" t="s">
        <v>149</v>
      </c>
      <c r="F4347" s="100" t="s">
        <v>4362</v>
      </c>
      <c r="G4347" s="100" t="s">
        <v>2961</v>
      </c>
      <c r="H4347" s="100"/>
      <c r="I4347" s="101" t="s">
        <v>134</v>
      </c>
      <c r="J4347" s="580">
        <v>0.033</v>
      </c>
      <c r="K4347" s="580">
        <v>0</v>
      </c>
      <c r="L4347" s="102">
        <v>120</v>
      </c>
      <c r="M4347" s="102">
        <v>3.96</v>
      </c>
      <c r="N4347" s="573"/>
      <c r="O4347" s="556"/>
      <c r="P4347" s="573"/>
      <c r="Q4347" s="556"/>
      <c r="R4347" s="582"/>
    </row>
    <row r="4348" ht="15" customHeight="1" spans="1:18">
      <c r="A4348" s="556"/>
      <c r="B4348" s="557" t="str">
        <f>C4347</f>
        <v>Insumo</v>
      </c>
      <c r="C4348" s="100" t="s">
        <v>2893</v>
      </c>
      <c r="D4348" s="99" t="s">
        <v>2976</v>
      </c>
      <c r="E4348" s="100" t="s">
        <v>149</v>
      </c>
      <c r="F4348" s="100" t="s">
        <v>2977</v>
      </c>
      <c r="G4348" s="100" t="s">
        <v>2896</v>
      </c>
      <c r="H4348" s="100"/>
      <c r="I4348" s="101" t="s">
        <v>2897</v>
      </c>
      <c r="J4348" s="580">
        <v>0.516</v>
      </c>
      <c r="K4348" s="580">
        <v>0</v>
      </c>
      <c r="L4348" s="102">
        <v>20.515752</v>
      </c>
      <c r="M4348" s="102">
        <v>10.58</v>
      </c>
      <c r="N4348" s="573">
        <v>17.78</v>
      </c>
      <c r="O4348" s="556" t="str">
        <f>IF(N4348=M4348,"OK","DIF")</f>
        <v>DIF</v>
      </c>
      <c r="P4348" s="573"/>
      <c r="Q4348" s="556"/>
      <c r="R4348" s="582"/>
    </row>
    <row r="4349" ht="15" customHeight="1" spans="1:18">
      <c r="A4349" s="556" t="str">
        <f>B4349</f>
        <v>Insumo</v>
      </c>
      <c r="B4349" s="557" t="str">
        <f>B4348</f>
        <v>Insumo</v>
      </c>
      <c r="C4349" s="100" t="s">
        <v>2893</v>
      </c>
      <c r="D4349" s="99" t="s">
        <v>2986</v>
      </c>
      <c r="E4349" s="100" t="s">
        <v>149</v>
      </c>
      <c r="F4349" s="100" t="s">
        <v>2987</v>
      </c>
      <c r="G4349" s="100" t="s">
        <v>2896</v>
      </c>
      <c r="H4349" s="100"/>
      <c r="I4349" s="101" t="s">
        <v>2897</v>
      </c>
      <c r="J4349" s="580">
        <v>0.516</v>
      </c>
      <c r="K4349" s="580">
        <v>0</v>
      </c>
      <c r="L4349" s="102">
        <v>26.928256</v>
      </c>
      <c r="M4349" s="102">
        <v>13.89</v>
      </c>
      <c r="N4349" s="573">
        <v>3.36</v>
      </c>
      <c r="O4349" s="556" t="str">
        <f>IF(N4349=M4349,"OK","DIF")</f>
        <v>DIF</v>
      </c>
      <c r="P4349" s="573"/>
      <c r="Q4349" s="556"/>
      <c r="R4349" s="582"/>
    </row>
    <row r="4350" ht="15" customHeight="1" spans="1:18">
      <c r="A4350" s="556" t="str">
        <f>B4350</f>
        <v>Insumo</v>
      </c>
      <c r="B4350" s="557" t="str">
        <f>B4349</f>
        <v>Insumo</v>
      </c>
      <c r="C4350" s="100" t="s">
        <v>2893</v>
      </c>
      <c r="D4350" s="99" t="s">
        <v>4363</v>
      </c>
      <c r="E4350" s="100" t="s">
        <v>149</v>
      </c>
      <c r="F4350" s="100" t="s">
        <v>4364</v>
      </c>
      <c r="G4350" s="100" t="s">
        <v>2961</v>
      </c>
      <c r="H4350" s="100"/>
      <c r="I4350" s="101" t="s">
        <v>134</v>
      </c>
      <c r="J4350" s="580">
        <v>1</v>
      </c>
      <c r="K4350" s="580">
        <v>0</v>
      </c>
      <c r="L4350" s="102">
        <v>27.92</v>
      </c>
      <c r="M4350" s="102">
        <v>27.92</v>
      </c>
      <c r="N4350" s="573">
        <v>5.1</v>
      </c>
      <c r="O4350" s="556" t="str">
        <f>IF(N4350=M4350,"OK","DIF")</f>
        <v>DIF</v>
      </c>
      <c r="P4350" s="573"/>
      <c r="Q4350" s="556"/>
      <c r="R4350" s="582"/>
    </row>
    <row r="4351" ht="15" customHeight="1" spans="1:18">
      <c r="A4351" s="556" t="str">
        <f>B4351</f>
        <v>Insumo</v>
      </c>
      <c r="B4351" s="557" t="str">
        <f>B4350</f>
        <v>Insumo</v>
      </c>
      <c r="C4351" s="100" t="s">
        <v>2893</v>
      </c>
      <c r="D4351" s="99" t="s">
        <v>4365</v>
      </c>
      <c r="E4351" s="100" t="s">
        <v>149</v>
      </c>
      <c r="F4351" s="100" t="s">
        <v>4366</v>
      </c>
      <c r="G4351" s="100" t="s">
        <v>2961</v>
      </c>
      <c r="H4351" s="100"/>
      <c r="I4351" s="101" t="s">
        <v>134</v>
      </c>
      <c r="J4351" s="580">
        <v>1.031</v>
      </c>
      <c r="K4351" s="580">
        <v>0</v>
      </c>
      <c r="L4351" s="102">
        <v>1.69</v>
      </c>
      <c r="M4351" s="102">
        <v>1.74</v>
      </c>
      <c r="N4351" s="573">
        <v>9.32</v>
      </c>
      <c r="O4351" s="556" t="str">
        <f>IF(N4351=M4351,"OK","DIF")</f>
        <v>DIF</v>
      </c>
      <c r="P4351" s="573"/>
      <c r="Q4351" s="556"/>
      <c r="R4351" s="582"/>
    </row>
    <row r="4352" ht="23.85" customHeight="1" spans="1:18">
      <c r="A4352" s="556"/>
      <c r="B4352" s="557"/>
      <c r="C4352" s="100" t="s">
        <v>2893</v>
      </c>
      <c r="D4352" s="99" t="s">
        <v>4367</v>
      </c>
      <c r="E4352" s="100" t="s">
        <v>149</v>
      </c>
      <c r="F4352" s="100" t="s">
        <v>4368</v>
      </c>
      <c r="G4352" s="100" t="s">
        <v>2961</v>
      </c>
      <c r="H4352" s="100"/>
      <c r="I4352" s="101" t="s">
        <v>134</v>
      </c>
      <c r="J4352" s="580">
        <v>0.04</v>
      </c>
      <c r="K4352" s="580">
        <v>0</v>
      </c>
      <c r="L4352" s="102">
        <v>144.99</v>
      </c>
      <c r="M4352" s="102">
        <v>5.79</v>
      </c>
      <c r="N4352" s="573"/>
      <c r="O4352" s="556"/>
      <c r="P4352" s="573"/>
      <c r="Q4352" s="556"/>
      <c r="R4352" s="582"/>
    </row>
    <row r="4353" ht="25.5" spans="1:18">
      <c r="A4353" s="556"/>
      <c r="B4353" s="557"/>
      <c r="C4353" s="108"/>
      <c r="D4353" s="108"/>
      <c r="E4353" s="108"/>
      <c r="F4353" s="108"/>
      <c r="G4353" s="108"/>
      <c r="H4353" s="108" t="s">
        <v>2898</v>
      </c>
      <c r="I4353" s="581">
        <v>24.47</v>
      </c>
      <c r="J4353" s="108" t="s">
        <v>2899</v>
      </c>
      <c r="K4353" s="581">
        <v>0</v>
      </c>
      <c r="L4353" s="108" t="s">
        <v>2900</v>
      </c>
      <c r="M4353" s="581">
        <v>24.47</v>
      </c>
      <c r="N4353" s="573"/>
      <c r="O4353" s="556"/>
      <c r="P4353" s="573"/>
      <c r="Q4353" s="556"/>
      <c r="R4353" s="582"/>
    </row>
    <row r="4354" ht="26.25" spans="1:18">
      <c r="A4354" s="556"/>
      <c r="B4354" s="557">
        <f>C4353</f>
        <v>0</v>
      </c>
      <c r="C4354" s="108"/>
      <c r="D4354" s="108"/>
      <c r="E4354" s="108"/>
      <c r="F4354" s="108"/>
      <c r="G4354" s="108"/>
      <c r="H4354" s="108" t="s">
        <v>2901</v>
      </c>
      <c r="I4354" s="581">
        <v>16.28</v>
      </c>
      <c r="J4354" s="114"/>
      <c r="K4354" s="114" t="s">
        <v>2902</v>
      </c>
      <c r="L4354" s="108"/>
      <c r="M4354" s="581">
        <v>80.16</v>
      </c>
      <c r="N4354" s="573">
        <v>21.19</v>
      </c>
      <c r="O4354" s="556" t="str">
        <f t="shared" ref="O4354:O4360" si="326">IF(N4354=M4354,"OK","DIF")</f>
        <v>DIF</v>
      </c>
      <c r="P4354" s="573"/>
      <c r="Q4354" s="556"/>
      <c r="R4354" s="582"/>
    </row>
    <row r="4355" ht="15" spans="1:18">
      <c r="A4355" s="556">
        <f t="shared" ref="A4355:A4360" si="327">B4355</f>
        <v>0</v>
      </c>
      <c r="B4355" s="557">
        <f t="shared" ref="B4355:B4360" si="328">B4354</f>
        <v>0</v>
      </c>
      <c r="C4355" s="571"/>
      <c r="D4355" s="571"/>
      <c r="E4355" s="571"/>
      <c r="F4355" s="571"/>
      <c r="G4355" s="571"/>
      <c r="H4355" s="571"/>
      <c r="I4355" s="571"/>
      <c r="J4355" s="571"/>
      <c r="K4355" s="571"/>
      <c r="L4355" s="571"/>
      <c r="M4355" s="571"/>
      <c r="N4355" s="573">
        <v>5.58</v>
      </c>
      <c r="O4355" s="556" t="str">
        <f t="shared" si="326"/>
        <v>DIF</v>
      </c>
      <c r="P4355" s="573"/>
      <c r="Q4355" s="556"/>
      <c r="R4355" s="582"/>
    </row>
    <row r="4356" ht="15" customHeight="1" spans="1:18">
      <c r="A4356" s="556">
        <f t="shared" si="327"/>
        <v>0</v>
      </c>
      <c r="B4356" s="557">
        <f t="shared" si="328"/>
        <v>0</v>
      </c>
      <c r="C4356" s="76" t="s">
        <v>1524</v>
      </c>
      <c r="D4356" s="75" t="s">
        <v>63</v>
      </c>
      <c r="E4356" s="76" t="s">
        <v>64</v>
      </c>
      <c r="F4356" s="76" t="s">
        <v>65</v>
      </c>
      <c r="G4356" s="76" t="s">
        <v>2889</v>
      </c>
      <c r="H4356" s="76"/>
      <c r="I4356" s="77" t="s">
        <v>66</v>
      </c>
      <c r="J4356" s="75" t="s">
        <v>67</v>
      </c>
      <c r="K4356" s="75" t="s">
        <v>2890</v>
      </c>
      <c r="L4356" s="75" t="s">
        <v>68</v>
      </c>
      <c r="M4356" s="75" t="s">
        <v>70</v>
      </c>
      <c r="N4356" s="573">
        <v>0.05</v>
      </c>
      <c r="O4356" s="556" t="str">
        <f t="shared" si="326"/>
        <v>DIF</v>
      </c>
      <c r="P4356" s="573"/>
      <c r="Q4356" s="556"/>
      <c r="R4356" s="582"/>
    </row>
    <row r="4357" ht="38.25" spans="1:18">
      <c r="A4357" s="556">
        <f t="shared" si="327"/>
        <v>0</v>
      </c>
      <c r="B4357" s="557">
        <f t="shared" si="328"/>
        <v>0</v>
      </c>
      <c r="C4357" s="569" t="s">
        <v>2891</v>
      </c>
      <c r="D4357" s="570" t="s">
        <v>1525</v>
      </c>
      <c r="E4357" s="569" t="s">
        <v>77</v>
      </c>
      <c r="F4357" s="569" t="s">
        <v>4369</v>
      </c>
      <c r="G4357" s="569">
        <v>15</v>
      </c>
      <c r="H4357" s="569"/>
      <c r="I4357" s="577" t="s">
        <v>134</v>
      </c>
      <c r="J4357" s="578">
        <v>1</v>
      </c>
      <c r="K4357" s="579"/>
      <c r="L4357" s="579">
        <v>17.33</v>
      </c>
      <c r="M4357" s="579">
        <v>17.33</v>
      </c>
      <c r="N4357" s="573">
        <v>0.9</v>
      </c>
      <c r="O4357" s="556" t="str">
        <f t="shared" si="326"/>
        <v>DIF</v>
      </c>
      <c r="P4357" s="573"/>
      <c r="Q4357" s="556"/>
      <c r="R4357" s="582"/>
    </row>
    <row r="4358" ht="23.85" customHeight="1" spans="1:18">
      <c r="A4358" s="556">
        <f t="shared" si="327"/>
        <v>0</v>
      </c>
      <c r="B4358" s="557">
        <f t="shared" si="328"/>
        <v>0</v>
      </c>
      <c r="C4358" s="100" t="s">
        <v>2893</v>
      </c>
      <c r="D4358" s="99" t="s">
        <v>3108</v>
      </c>
      <c r="E4358" s="100" t="s">
        <v>77</v>
      </c>
      <c r="F4358" s="100" t="s">
        <v>3109</v>
      </c>
      <c r="G4358" s="100" t="s">
        <v>2896</v>
      </c>
      <c r="H4358" s="100"/>
      <c r="I4358" s="101" t="s">
        <v>2897</v>
      </c>
      <c r="J4358" s="580">
        <v>0.31</v>
      </c>
      <c r="K4358" s="580">
        <v>3</v>
      </c>
      <c r="L4358" s="102">
        <v>19.16</v>
      </c>
      <c r="M4358" s="102">
        <v>6.11</v>
      </c>
      <c r="N4358" s="573">
        <v>1.79</v>
      </c>
      <c r="O4358" s="556" t="str">
        <f t="shared" si="326"/>
        <v>DIF</v>
      </c>
      <c r="P4358" s="573"/>
      <c r="Q4358" s="556"/>
      <c r="R4358" s="582"/>
    </row>
    <row r="4359" ht="23.85" customHeight="1" spans="1:18">
      <c r="A4359" s="556">
        <f t="shared" si="327"/>
        <v>0</v>
      </c>
      <c r="B4359" s="557">
        <f t="shared" si="328"/>
        <v>0</v>
      </c>
      <c r="C4359" s="100" t="s">
        <v>2893</v>
      </c>
      <c r="D4359" s="99" t="s">
        <v>4370</v>
      </c>
      <c r="E4359" s="100" t="s">
        <v>77</v>
      </c>
      <c r="F4359" s="100" t="s">
        <v>4371</v>
      </c>
      <c r="G4359" s="100" t="s">
        <v>2961</v>
      </c>
      <c r="H4359" s="100"/>
      <c r="I4359" s="101" t="s">
        <v>134</v>
      </c>
      <c r="J4359" s="580">
        <v>1</v>
      </c>
      <c r="K4359" s="580">
        <v>0</v>
      </c>
      <c r="L4359" s="102">
        <v>2.76</v>
      </c>
      <c r="M4359" s="102">
        <v>2.76</v>
      </c>
      <c r="N4359" s="573">
        <v>8.53</v>
      </c>
      <c r="O4359" s="556" t="str">
        <f t="shared" si="326"/>
        <v>DIF</v>
      </c>
      <c r="P4359" s="573"/>
      <c r="Q4359" s="556"/>
      <c r="R4359" s="582"/>
    </row>
    <row r="4360" ht="23.85" customHeight="1" spans="1:18">
      <c r="A4360" s="556">
        <f t="shared" si="327"/>
        <v>0</v>
      </c>
      <c r="B4360" s="557">
        <f t="shared" si="328"/>
        <v>0</v>
      </c>
      <c r="C4360" s="100" t="s">
        <v>2893</v>
      </c>
      <c r="D4360" s="99" t="s">
        <v>4013</v>
      </c>
      <c r="E4360" s="100" t="s">
        <v>77</v>
      </c>
      <c r="F4360" s="100" t="s">
        <v>4014</v>
      </c>
      <c r="G4360" s="100" t="s">
        <v>2896</v>
      </c>
      <c r="H4360" s="100"/>
      <c r="I4360" s="101" t="s">
        <v>2897</v>
      </c>
      <c r="J4360" s="580">
        <v>0.31</v>
      </c>
      <c r="K4360" s="580">
        <v>3</v>
      </c>
      <c r="L4360" s="102">
        <v>26.52</v>
      </c>
      <c r="M4360" s="102">
        <v>8.46</v>
      </c>
      <c r="N4360" s="573">
        <v>4.34</v>
      </c>
      <c r="O4360" s="556" t="str">
        <f t="shared" si="326"/>
        <v>DIF</v>
      </c>
      <c r="P4360" s="573"/>
      <c r="Q4360" s="556"/>
      <c r="R4360" s="582"/>
    </row>
    <row r="4361" ht="25.5" spans="1:18">
      <c r="A4361" s="556"/>
      <c r="B4361" s="557"/>
      <c r="C4361" s="108"/>
      <c r="D4361" s="108"/>
      <c r="E4361" s="108"/>
      <c r="F4361" s="108"/>
      <c r="G4361" s="108"/>
      <c r="H4361" s="108" t="s">
        <v>2898</v>
      </c>
      <c r="I4361" s="581">
        <v>14.57</v>
      </c>
      <c r="J4361" s="108" t="s">
        <v>2899</v>
      </c>
      <c r="K4361" s="581">
        <v>0</v>
      </c>
      <c r="L4361" s="108" t="s">
        <v>2900</v>
      </c>
      <c r="M4361" s="581">
        <v>14.57</v>
      </c>
      <c r="N4361" s="573"/>
      <c r="O4361" s="556"/>
      <c r="P4361" s="573"/>
      <c r="Q4361" s="556"/>
      <c r="R4361" s="582"/>
    </row>
    <row r="4362" ht="26.25" spans="1:18">
      <c r="A4362" s="556"/>
      <c r="B4362" s="557"/>
      <c r="C4362" s="108"/>
      <c r="D4362" s="108"/>
      <c r="E4362" s="108"/>
      <c r="F4362" s="108"/>
      <c r="G4362" s="108"/>
      <c r="H4362" s="108" t="s">
        <v>2901</v>
      </c>
      <c r="I4362" s="581">
        <v>4.41</v>
      </c>
      <c r="J4362" s="114"/>
      <c r="K4362" s="114" t="s">
        <v>2902</v>
      </c>
      <c r="L4362" s="108"/>
      <c r="M4362" s="581">
        <v>21.74</v>
      </c>
      <c r="N4362" s="573"/>
      <c r="O4362" s="556"/>
      <c r="P4362" s="573"/>
      <c r="Q4362" s="556"/>
      <c r="R4362" s="582"/>
    </row>
    <row r="4363" ht="15" spans="1:18">
      <c r="A4363" s="556"/>
      <c r="B4363" s="557">
        <f>C4362</f>
        <v>0</v>
      </c>
      <c r="C4363" s="571"/>
      <c r="D4363" s="571"/>
      <c r="E4363" s="571"/>
      <c r="F4363" s="571"/>
      <c r="G4363" s="571"/>
      <c r="H4363" s="571"/>
      <c r="I4363" s="571"/>
      <c r="J4363" s="571"/>
      <c r="K4363" s="571"/>
      <c r="L4363" s="571"/>
      <c r="M4363" s="571"/>
      <c r="N4363" s="573">
        <v>986.99</v>
      </c>
      <c r="O4363" s="556" t="str">
        <f t="shared" ref="O4363:O4383" si="329">IF(N4363=M4363,"OK","DIF")</f>
        <v>DIF</v>
      </c>
      <c r="P4363" s="573"/>
      <c r="Q4363" s="556"/>
      <c r="R4363" s="582"/>
    </row>
    <row r="4364" ht="15" customHeight="1" spans="1:18">
      <c r="A4364" s="556">
        <f t="shared" ref="A4364:A4383" si="330">B4364</f>
        <v>0</v>
      </c>
      <c r="B4364" s="557">
        <f t="shared" ref="B4364:B4383" si="331">B4363</f>
        <v>0</v>
      </c>
      <c r="C4364" s="76" t="s">
        <v>1527</v>
      </c>
      <c r="D4364" s="75" t="s">
        <v>63</v>
      </c>
      <c r="E4364" s="76" t="s">
        <v>64</v>
      </c>
      <c r="F4364" s="76" t="s">
        <v>65</v>
      </c>
      <c r="G4364" s="76" t="s">
        <v>2889</v>
      </c>
      <c r="H4364" s="76"/>
      <c r="I4364" s="77" t="s">
        <v>66</v>
      </c>
      <c r="J4364" s="75" t="s">
        <v>67</v>
      </c>
      <c r="K4364" s="75" t="s">
        <v>2890</v>
      </c>
      <c r="L4364" s="75" t="s">
        <v>68</v>
      </c>
      <c r="M4364" s="75" t="s">
        <v>70</v>
      </c>
      <c r="N4364" s="573">
        <v>26.78</v>
      </c>
      <c r="O4364" s="556" t="str">
        <f t="shared" si="329"/>
        <v>DIF</v>
      </c>
      <c r="P4364" s="573"/>
      <c r="Q4364" s="556"/>
      <c r="R4364" s="582"/>
    </row>
    <row r="4365" ht="15" customHeight="1" spans="1:18">
      <c r="A4365" s="556">
        <f t="shared" si="330"/>
        <v>0</v>
      </c>
      <c r="B4365" s="557">
        <f t="shared" si="331"/>
        <v>0</v>
      </c>
      <c r="C4365" s="569" t="s">
        <v>2891</v>
      </c>
      <c r="D4365" s="570" t="s">
        <v>1528</v>
      </c>
      <c r="E4365" s="569" t="s">
        <v>149</v>
      </c>
      <c r="F4365" s="569" t="s">
        <v>1529</v>
      </c>
      <c r="G4365" s="569" t="s">
        <v>4007</v>
      </c>
      <c r="H4365" s="569"/>
      <c r="I4365" s="577" t="s">
        <v>134</v>
      </c>
      <c r="J4365" s="578">
        <v>1</v>
      </c>
      <c r="K4365" s="579"/>
      <c r="L4365" s="579">
        <v>544.78</v>
      </c>
      <c r="M4365" s="579">
        <v>544.78</v>
      </c>
      <c r="N4365" s="573">
        <v>24.01</v>
      </c>
      <c r="O4365" s="556" t="str">
        <f t="shared" si="329"/>
        <v>DIF</v>
      </c>
      <c r="P4365" s="573"/>
      <c r="Q4365" s="556"/>
      <c r="R4365" s="582"/>
    </row>
    <row r="4366" ht="15" customHeight="1" spans="1:18">
      <c r="A4366" s="556">
        <f t="shared" si="330"/>
        <v>0</v>
      </c>
      <c r="B4366" s="557">
        <f t="shared" si="331"/>
        <v>0</v>
      </c>
      <c r="C4366" s="100" t="s">
        <v>2893</v>
      </c>
      <c r="D4366" s="99" t="s">
        <v>2976</v>
      </c>
      <c r="E4366" s="100" t="s">
        <v>149</v>
      </c>
      <c r="F4366" s="100" t="s">
        <v>2977</v>
      </c>
      <c r="G4366" s="100" t="s">
        <v>2896</v>
      </c>
      <c r="H4366" s="100"/>
      <c r="I4366" s="101" t="s">
        <v>2897</v>
      </c>
      <c r="J4366" s="580">
        <v>0.851</v>
      </c>
      <c r="K4366" s="580">
        <v>0</v>
      </c>
      <c r="L4366" s="102">
        <v>20.515752</v>
      </c>
      <c r="M4366" s="102">
        <v>17.45</v>
      </c>
      <c r="N4366" s="573">
        <v>2.78</v>
      </c>
      <c r="O4366" s="556" t="str">
        <f t="shared" si="329"/>
        <v>DIF</v>
      </c>
      <c r="P4366" s="573"/>
      <c r="Q4366" s="556"/>
      <c r="R4366" s="582"/>
    </row>
    <row r="4367" ht="15" customHeight="1" spans="1:18">
      <c r="A4367" s="556">
        <f t="shared" si="330"/>
        <v>0</v>
      </c>
      <c r="B4367" s="557">
        <f t="shared" si="331"/>
        <v>0</v>
      </c>
      <c r="C4367" s="100" t="s">
        <v>2893</v>
      </c>
      <c r="D4367" s="99" t="s">
        <v>2986</v>
      </c>
      <c r="E4367" s="100" t="s">
        <v>149</v>
      </c>
      <c r="F4367" s="100" t="s">
        <v>2987</v>
      </c>
      <c r="G4367" s="100" t="s">
        <v>2896</v>
      </c>
      <c r="H4367" s="100"/>
      <c r="I4367" s="101" t="s">
        <v>2897</v>
      </c>
      <c r="J4367" s="580">
        <v>0.851</v>
      </c>
      <c r="K4367" s="580">
        <v>0</v>
      </c>
      <c r="L4367" s="102">
        <v>26.928256</v>
      </c>
      <c r="M4367" s="102">
        <v>22.91</v>
      </c>
      <c r="N4367" s="573">
        <v>110.18</v>
      </c>
      <c r="O4367" s="556" t="str">
        <f t="shared" si="329"/>
        <v>DIF</v>
      </c>
      <c r="P4367" s="573"/>
      <c r="Q4367" s="556"/>
      <c r="R4367" s="582"/>
    </row>
    <row r="4368" ht="23.85" customHeight="1" spans="1:18">
      <c r="A4368" s="556">
        <f t="shared" si="330"/>
        <v>0</v>
      </c>
      <c r="B4368" s="557">
        <f t="shared" si="331"/>
        <v>0</v>
      </c>
      <c r="C4368" s="100" t="s">
        <v>2893</v>
      </c>
      <c r="D4368" s="99" t="s">
        <v>4372</v>
      </c>
      <c r="E4368" s="100" t="s">
        <v>149</v>
      </c>
      <c r="F4368" s="100" t="s">
        <v>4373</v>
      </c>
      <c r="G4368" s="100" t="s">
        <v>2961</v>
      </c>
      <c r="H4368" s="100"/>
      <c r="I4368" s="101" t="s">
        <v>134</v>
      </c>
      <c r="J4368" s="580">
        <v>1</v>
      </c>
      <c r="K4368" s="580">
        <v>0</v>
      </c>
      <c r="L4368" s="102">
        <v>504.42</v>
      </c>
      <c r="M4368" s="102">
        <v>504.42</v>
      </c>
      <c r="N4368" s="573">
        <v>237.8</v>
      </c>
      <c r="O4368" s="556" t="str">
        <f t="shared" si="329"/>
        <v>DIF</v>
      </c>
      <c r="P4368" s="573"/>
      <c r="Q4368" s="556"/>
      <c r="R4368" s="582"/>
    </row>
    <row r="4369" ht="25.5" spans="1:18">
      <c r="A4369" s="556">
        <f t="shared" si="330"/>
        <v>0</v>
      </c>
      <c r="B4369" s="557">
        <f t="shared" si="331"/>
        <v>0</v>
      </c>
      <c r="C4369" s="108"/>
      <c r="D4369" s="108"/>
      <c r="E4369" s="108"/>
      <c r="F4369" s="108"/>
      <c r="G4369" s="108"/>
      <c r="H4369" s="108" t="s">
        <v>2898</v>
      </c>
      <c r="I4369" s="581">
        <v>40.36</v>
      </c>
      <c r="J4369" s="108" t="s">
        <v>2899</v>
      </c>
      <c r="K4369" s="581">
        <v>0</v>
      </c>
      <c r="L4369" s="108" t="s">
        <v>2900</v>
      </c>
      <c r="M4369" s="581">
        <v>40.36</v>
      </c>
      <c r="N4369" s="573">
        <v>2.72</v>
      </c>
      <c r="O4369" s="556" t="str">
        <f t="shared" si="329"/>
        <v>DIF</v>
      </c>
      <c r="P4369" s="573"/>
      <c r="Q4369" s="556"/>
      <c r="R4369" s="582"/>
    </row>
    <row r="4370" ht="26.25" spans="1:18">
      <c r="A4370" s="556">
        <f t="shared" si="330"/>
        <v>0</v>
      </c>
      <c r="B4370" s="557">
        <f t="shared" si="331"/>
        <v>0</v>
      </c>
      <c r="C4370" s="108"/>
      <c r="D4370" s="108"/>
      <c r="E4370" s="108"/>
      <c r="F4370" s="108"/>
      <c r="G4370" s="108"/>
      <c r="H4370" s="108" t="s">
        <v>2901</v>
      </c>
      <c r="I4370" s="581">
        <v>138.86</v>
      </c>
      <c r="J4370" s="114"/>
      <c r="K4370" s="114" t="s">
        <v>2902</v>
      </c>
      <c r="L4370" s="108"/>
      <c r="M4370" s="581">
        <v>683.64</v>
      </c>
      <c r="N4370" s="573">
        <v>468</v>
      </c>
      <c r="O4370" s="556" t="str">
        <f t="shared" si="329"/>
        <v>DIF</v>
      </c>
      <c r="P4370" s="573"/>
      <c r="Q4370" s="556"/>
      <c r="R4370" s="582"/>
    </row>
    <row r="4371" ht="15" spans="1:18">
      <c r="A4371" s="556">
        <f t="shared" si="330"/>
        <v>0</v>
      </c>
      <c r="B4371" s="557">
        <f t="shared" si="331"/>
        <v>0</v>
      </c>
      <c r="C4371" s="571"/>
      <c r="D4371" s="571"/>
      <c r="E4371" s="571"/>
      <c r="F4371" s="571"/>
      <c r="G4371" s="571"/>
      <c r="H4371" s="571"/>
      <c r="I4371" s="571"/>
      <c r="J4371" s="571"/>
      <c r="K4371" s="571"/>
      <c r="L4371" s="571"/>
      <c r="M4371" s="571"/>
      <c r="N4371" s="573">
        <v>5.81</v>
      </c>
      <c r="O4371" s="556" t="str">
        <f t="shared" si="329"/>
        <v>DIF</v>
      </c>
      <c r="P4371" s="573"/>
      <c r="Q4371" s="556"/>
      <c r="R4371" s="582"/>
    </row>
    <row r="4372" ht="15" customHeight="1" spans="1:18">
      <c r="A4372" s="556">
        <f t="shared" si="330"/>
        <v>0</v>
      </c>
      <c r="B4372" s="557">
        <f t="shared" si="331"/>
        <v>0</v>
      </c>
      <c r="C4372" s="76" t="s">
        <v>1530</v>
      </c>
      <c r="D4372" s="75" t="s">
        <v>63</v>
      </c>
      <c r="E4372" s="76" t="s">
        <v>64</v>
      </c>
      <c r="F4372" s="76" t="s">
        <v>65</v>
      </c>
      <c r="G4372" s="76" t="s">
        <v>2889</v>
      </c>
      <c r="H4372" s="76"/>
      <c r="I4372" s="77" t="s">
        <v>66</v>
      </c>
      <c r="J4372" s="75" t="s">
        <v>67</v>
      </c>
      <c r="K4372" s="75" t="s">
        <v>2890</v>
      </c>
      <c r="L4372" s="75" t="s">
        <v>68</v>
      </c>
      <c r="M4372" s="75" t="s">
        <v>70</v>
      </c>
      <c r="N4372" s="573">
        <v>2.37</v>
      </c>
      <c r="O4372" s="556" t="str">
        <f t="shared" si="329"/>
        <v>DIF</v>
      </c>
      <c r="P4372" s="573"/>
      <c r="Q4372" s="556"/>
      <c r="R4372" s="582"/>
    </row>
    <row r="4373" ht="51" spans="1:18">
      <c r="A4373" s="556">
        <f t="shared" si="330"/>
        <v>0</v>
      </c>
      <c r="B4373" s="557">
        <f t="shared" si="331"/>
        <v>0</v>
      </c>
      <c r="C4373" s="569" t="s">
        <v>2891</v>
      </c>
      <c r="D4373" s="570" t="s">
        <v>1071</v>
      </c>
      <c r="E4373" s="569" t="s">
        <v>77</v>
      </c>
      <c r="F4373" s="569" t="s">
        <v>4012</v>
      </c>
      <c r="G4373" s="569">
        <v>15</v>
      </c>
      <c r="H4373" s="569"/>
      <c r="I4373" s="577" t="s">
        <v>204</v>
      </c>
      <c r="J4373" s="578">
        <v>1</v>
      </c>
      <c r="K4373" s="579"/>
      <c r="L4373" s="579">
        <v>17.72</v>
      </c>
      <c r="M4373" s="579">
        <v>17.72</v>
      </c>
      <c r="N4373" s="573">
        <v>1.67</v>
      </c>
      <c r="O4373" s="556" t="str">
        <f t="shared" si="329"/>
        <v>DIF</v>
      </c>
      <c r="P4373" s="573"/>
      <c r="Q4373" s="556"/>
      <c r="R4373" s="582"/>
    </row>
    <row r="4374" ht="23.85" customHeight="1" spans="1:18">
      <c r="A4374" s="556">
        <f t="shared" si="330"/>
        <v>0</v>
      </c>
      <c r="B4374" s="557">
        <f t="shared" si="331"/>
        <v>0</v>
      </c>
      <c r="C4374" s="100" t="s">
        <v>2893</v>
      </c>
      <c r="D4374" s="99" t="s">
        <v>4013</v>
      </c>
      <c r="E4374" s="100" t="s">
        <v>77</v>
      </c>
      <c r="F4374" s="100" t="s">
        <v>4014</v>
      </c>
      <c r="G4374" s="100" t="s">
        <v>2896</v>
      </c>
      <c r="H4374" s="100"/>
      <c r="I4374" s="101" t="s">
        <v>2897</v>
      </c>
      <c r="J4374" s="580">
        <v>0.14</v>
      </c>
      <c r="K4374" s="580">
        <v>3</v>
      </c>
      <c r="L4374" s="102">
        <v>26.52</v>
      </c>
      <c r="M4374" s="102">
        <v>3.82</v>
      </c>
      <c r="N4374" s="573">
        <v>8.64</v>
      </c>
      <c r="O4374" s="556" t="str">
        <f t="shared" si="329"/>
        <v>DIF</v>
      </c>
      <c r="P4374" s="573"/>
      <c r="Q4374" s="556"/>
      <c r="R4374" s="582"/>
    </row>
    <row r="4375" ht="23.85" customHeight="1" spans="1:18">
      <c r="A4375" s="556">
        <f t="shared" si="330"/>
        <v>0</v>
      </c>
      <c r="B4375" s="557">
        <f t="shared" si="331"/>
        <v>0</v>
      </c>
      <c r="C4375" s="100" t="s">
        <v>2893</v>
      </c>
      <c r="D4375" s="99" t="s">
        <v>3108</v>
      </c>
      <c r="E4375" s="100" t="s">
        <v>77</v>
      </c>
      <c r="F4375" s="100" t="s">
        <v>3109</v>
      </c>
      <c r="G4375" s="100" t="s">
        <v>2896</v>
      </c>
      <c r="H4375" s="100"/>
      <c r="I4375" s="101" t="s">
        <v>2897</v>
      </c>
      <c r="J4375" s="580">
        <v>0.14</v>
      </c>
      <c r="K4375" s="580">
        <v>3</v>
      </c>
      <c r="L4375" s="102">
        <v>19.16</v>
      </c>
      <c r="M4375" s="102">
        <v>2.76</v>
      </c>
      <c r="N4375" s="573">
        <v>6.88</v>
      </c>
      <c r="O4375" s="556" t="str">
        <f t="shared" si="329"/>
        <v>DIF</v>
      </c>
      <c r="P4375" s="573"/>
      <c r="Q4375" s="556"/>
      <c r="R4375" s="582"/>
    </row>
    <row r="4376" ht="23.85" customHeight="1" spans="1:18">
      <c r="A4376" s="556">
        <f t="shared" si="330"/>
        <v>0</v>
      </c>
      <c r="B4376" s="557">
        <f t="shared" si="331"/>
        <v>0</v>
      </c>
      <c r="C4376" s="100" t="s">
        <v>2893</v>
      </c>
      <c r="D4376" s="99" t="s">
        <v>4015</v>
      </c>
      <c r="E4376" s="100" t="s">
        <v>77</v>
      </c>
      <c r="F4376" s="100" t="s">
        <v>4016</v>
      </c>
      <c r="G4376" s="100" t="s">
        <v>2961</v>
      </c>
      <c r="H4376" s="100"/>
      <c r="I4376" s="101" t="s">
        <v>134</v>
      </c>
      <c r="J4376" s="580">
        <v>0.35</v>
      </c>
      <c r="K4376" s="580">
        <v>10</v>
      </c>
      <c r="L4376" s="102">
        <v>28.96</v>
      </c>
      <c r="M4376" s="102">
        <v>11.14</v>
      </c>
      <c r="N4376" s="573">
        <v>1.98</v>
      </c>
      <c r="O4376" s="556" t="str">
        <f t="shared" si="329"/>
        <v>DIF</v>
      </c>
      <c r="P4376" s="573"/>
      <c r="Q4376" s="556"/>
      <c r="R4376" s="582"/>
    </row>
    <row r="4377" ht="25.5" spans="1:18">
      <c r="A4377" s="556">
        <f t="shared" si="330"/>
        <v>0</v>
      </c>
      <c r="B4377" s="557">
        <f t="shared" si="331"/>
        <v>0</v>
      </c>
      <c r="C4377" s="108"/>
      <c r="D4377" s="108"/>
      <c r="E4377" s="108"/>
      <c r="F4377" s="108"/>
      <c r="G4377" s="108"/>
      <c r="H4377" s="108" t="s">
        <v>2898</v>
      </c>
      <c r="I4377" s="581">
        <v>6.58</v>
      </c>
      <c r="J4377" s="108" t="s">
        <v>2899</v>
      </c>
      <c r="K4377" s="581">
        <v>0</v>
      </c>
      <c r="L4377" s="108" t="s">
        <v>2900</v>
      </c>
      <c r="M4377" s="581">
        <v>6.58</v>
      </c>
      <c r="N4377" s="573">
        <v>1.2</v>
      </c>
      <c r="O4377" s="556" t="str">
        <f t="shared" si="329"/>
        <v>DIF</v>
      </c>
      <c r="P4377" s="573"/>
      <c r="Q4377" s="556"/>
      <c r="R4377" s="582"/>
    </row>
    <row r="4378" ht="26.25" spans="1:18">
      <c r="A4378" s="556">
        <f t="shared" si="330"/>
        <v>0</v>
      </c>
      <c r="B4378" s="557">
        <f t="shared" si="331"/>
        <v>0</v>
      </c>
      <c r="C4378" s="108"/>
      <c r="D4378" s="108"/>
      <c r="E4378" s="108"/>
      <c r="F4378" s="108"/>
      <c r="G4378" s="108"/>
      <c r="H4378" s="108" t="s">
        <v>2901</v>
      </c>
      <c r="I4378" s="581">
        <v>4.51</v>
      </c>
      <c r="J4378" s="114"/>
      <c r="K4378" s="114" t="s">
        <v>2902</v>
      </c>
      <c r="L4378" s="108"/>
      <c r="M4378" s="581">
        <v>22.23</v>
      </c>
      <c r="N4378" s="573">
        <v>60.1</v>
      </c>
      <c r="O4378" s="556" t="str">
        <f t="shared" si="329"/>
        <v>DIF</v>
      </c>
      <c r="P4378" s="573"/>
      <c r="Q4378" s="556"/>
      <c r="R4378" s="582"/>
    </row>
    <row r="4379" ht="15" spans="1:18">
      <c r="A4379" s="556">
        <f t="shared" si="330"/>
        <v>0</v>
      </c>
      <c r="B4379" s="557">
        <f t="shared" si="331"/>
        <v>0</v>
      </c>
      <c r="C4379" s="571"/>
      <c r="D4379" s="571"/>
      <c r="E4379" s="571"/>
      <c r="F4379" s="571"/>
      <c r="G4379" s="571"/>
      <c r="H4379" s="571"/>
      <c r="I4379" s="571"/>
      <c r="J4379" s="571"/>
      <c r="K4379" s="571"/>
      <c r="L4379" s="571"/>
      <c r="M4379" s="571"/>
      <c r="N4379" s="573">
        <v>13.47</v>
      </c>
      <c r="O4379" s="556" t="str">
        <f t="shared" si="329"/>
        <v>DIF</v>
      </c>
      <c r="P4379" s="573"/>
      <c r="Q4379" s="556"/>
      <c r="R4379" s="582"/>
    </row>
    <row r="4380" ht="15" customHeight="1" spans="1:18">
      <c r="A4380" s="556">
        <f t="shared" si="330"/>
        <v>0</v>
      </c>
      <c r="B4380" s="557">
        <f t="shared" si="331"/>
        <v>0</v>
      </c>
      <c r="C4380" s="76" t="s">
        <v>1531</v>
      </c>
      <c r="D4380" s="75" t="s">
        <v>63</v>
      </c>
      <c r="E4380" s="76" t="s">
        <v>64</v>
      </c>
      <c r="F4380" s="76" t="s">
        <v>65</v>
      </c>
      <c r="G4380" s="76" t="s">
        <v>2889</v>
      </c>
      <c r="H4380" s="76"/>
      <c r="I4380" s="77" t="s">
        <v>66</v>
      </c>
      <c r="J4380" s="75" t="s">
        <v>67</v>
      </c>
      <c r="K4380" s="75" t="s">
        <v>2890</v>
      </c>
      <c r="L4380" s="75" t="s">
        <v>68</v>
      </c>
      <c r="M4380" s="75" t="s">
        <v>70</v>
      </c>
      <c r="N4380" s="573">
        <v>0.53</v>
      </c>
      <c r="O4380" s="556" t="str">
        <f t="shared" si="329"/>
        <v>DIF</v>
      </c>
      <c r="P4380" s="573"/>
      <c r="Q4380" s="556"/>
      <c r="R4380" s="582"/>
    </row>
    <row r="4381" ht="35.05" customHeight="1" spans="1:18">
      <c r="A4381" s="556">
        <f t="shared" si="330"/>
        <v>0</v>
      </c>
      <c r="B4381" s="557">
        <f t="shared" si="331"/>
        <v>0</v>
      </c>
      <c r="C4381" s="569" t="s">
        <v>2891</v>
      </c>
      <c r="D4381" s="570" t="s">
        <v>1119</v>
      </c>
      <c r="E4381" s="569" t="s">
        <v>132</v>
      </c>
      <c r="F4381" s="569" t="s">
        <v>1120</v>
      </c>
      <c r="G4381" s="569" t="s">
        <v>3177</v>
      </c>
      <c r="H4381" s="569"/>
      <c r="I4381" s="577" t="s">
        <v>134</v>
      </c>
      <c r="J4381" s="578">
        <v>1</v>
      </c>
      <c r="K4381" s="579"/>
      <c r="L4381" s="579">
        <v>11.38</v>
      </c>
      <c r="M4381" s="579">
        <v>11.38</v>
      </c>
      <c r="N4381" s="573">
        <v>1.32</v>
      </c>
      <c r="O4381" s="556" t="str">
        <f t="shared" si="329"/>
        <v>DIF</v>
      </c>
      <c r="P4381" s="573"/>
      <c r="Q4381" s="556"/>
      <c r="R4381" s="582"/>
    </row>
    <row r="4382" ht="23.85" customHeight="1" spans="1:18">
      <c r="A4382" s="556">
        <f t="shared" si="330"/>
        <v>0</v>
      </c>
      <c r="B4382" s="557">
        <f t="shared" si="331"/>
        <v>0</v>
      </c>
      <c r="C4382" s="79" t="s">
        <v>2921</v>
      </c>
      <c r="D4382" s="78" t="s">
        <v>3153</v>
      </c>
      <c r="E4382" s="79" t="s">
        <v>139</v>
      </c>
      <c r="F4382" s="79" t="s">
        <v>3154</v>
      </c>
      <c r="G4382" s="79" t="s">
        <v>2928</v>
      </c>
      <c r="H4382" s="79"/>
      <c r="I4382" s="80" t="s">
        <v>2897</v>
      </c>
      <c r="J4382" s="583">
        <v>0.0442</v>
      </c>
      <c r="K4382" s="583">
        <v>0</v>
      </c>
      <c r="L4382" s="92">
        <v>30.6</v>
      </c>
      <c r="M4382" s="92">
        <v>1.35</v>
      </c>
      <c r="N4382" s="573">
        <v>1.21</v>
      </c>
      <c r="O4382" s="556" t="str">
        <f t="shared" si="329"/>
        <v>DIF</v>
      </c>
      <c r="P4382" s="573"/>
      <c r="Q4382" s="556"/>
      <c r="R4382" s="582"/>
    </row>
    <row r="4383" ht="23.85" customHeight="1" spans="1:18">
      <c r="A4383" s="556">
        <f t="shared" si="330"/>
        <v>0</v>
      </c>
      <c r="B4383" s="557">
        <f t="shared" si="331"/>
        <v>0</v>
      </c>
      <c r="C4383" s="79" t="s">
        <v>2921</v>
      </c>
      <c r="D4383" s="78" t="s">
        <v>3151</v>
      </c>
      <c r="E4383" s="79" t="s">
        <v>139</v>
      </c>
      <c r="F4383" s="79" t="s">
        <v>3152</v>
      </c>
      <c r="G4383" s="79" t="s">
        <v>2928</v>
      </c>
      <c r="H4383" s="79"/>
      <c r="I4383" s="80" t="s">
        <v>2897</v>
      </c>
      <c r="J4383" s="583">
        <v>0.1946</v>
      </c>
      <c r="K4383" s="583">
        <v>0</v>
      </c>
      <c r="L4383" s="92">
        <v>36.82</v>
      </c>
      <c r="M4383" s="92">
        <v>7.16</v>
      </c>
      <c r="N4383" s="573">
        <v>9.54</v>
      </c>
      <c r="O4383" s="556" t="str">
        <f t="shared" si="329"/>
        <v>DIF</v>
      </c>
      <c r="P4383" s="573"/>
      <c r="Q4383" s="556"/>
      <c r="R4383" s="582"/>
    </row>
    <row r="4384" ht="23.85" customHeight="1" spans="1:18">
      <c r="A4384" s="556"/>
      <c r="B4384" s="557"/>
      <c r="C4384" s="100" t="s">
        <v>2893</v>
      </c>
      <c r="D4384" s="99" t="s">
        <v>4054</v>
      </c>
      <c r="E4384" s="100" t="s">
        <v>139</v>
      </c>
      <c r="F4384" s="100" t="s">
        <v>4055</v>
      </c>
      <c r="G4384" s="100" t="s">
        <v>2961</v>
      </c>
      <c r="H4384" s="100"/>
      <c r="I4384" s="101" t="s">
        <v>134</v>
      </c>
      <c r="J4384" s="580">
        <v>1.25</v>
      </c>
      <c r="K4384" s="580">
        <v>0</v>
      </c>
      <c r="L4384" s="102">
        <v>2.3</v>
      </c>
      <c r="M4384" s="102">
        <v>2.87</v>
      </c>
      <c r="N4384" s="573"/>
      <c r="O4384" s="556"/>
      <c r="P4384" s="573"/>
      <c r="Q4384" s="556"/>
      <c r="R4384" s="582"/>
    </row>
    <row r="4385" ht="25.5" spans="1:18">
      <c r="A4385" s="556"/>
      <c r="B4385" s="557"/>
      <c r="C4385" s="108"/>
      <c r="D4385" s="108"/>
      <c r="E4385" s="108"/>
      <c r="F4385" s="108"/>
      <c r="G4385" s="108"/>
      <c r="H4385" s="108" t="s">
        <v>2898</v>
      </c>
      <c r="I4385" s="581">
        <v>6.1</v>
      </c>
      <c r="J4385" s="108" t="s">
        <v>2899</v>
      </c>
      <c r="K4385" s="581">
        <v>0</v>
      </c>
      <c r="L4385" s="108" t="s">
        <v>2900</v>
      </c>
      <c r="M4385" s="581">
        <v>6.1</v>
      </c>
      <c r="N4385" s="573"/>
      <c r="O4385" s="556"/>
      <c r="P4385" s="573"/>
      <c r="Q4385" s="556"/>
      <c r="R4385" s="582"/>
    </row>
    <row r="4386" ht="26.25" spans="1:18">
      <c r="A4386" s="556"/>
      <c r="B4386" s="557">
        <f>C4385</f>
        <v>0</v>
      </c>
      <c r="C4386" s="108"/>
      <c r="D4386" s="108"/>
      <c r="E4386" s="108"/>
      <c r="F4386" s="108"/>
      <c r="G4386" s="108"/>
      <c r="H4386" s="108" t="s">
        <v>2901</v>
      </c>
      <c r="I4386" s="581">
        <v>2.9</v>
      </c>
      <c r="J4386" s="114"/>
      <c r="K4386" s="114" t="s">
        <v>2902</v>
      </c>
      <c r="L4386" s="108"/>
      <c r="M4386" s="581">
        <v>14.28</v>
      </c>
      <c r="N4386" s="573">
        <v>324.8</v>
      </c>
      <c r="O4386" s="556" t="str">
        <f t="shared" ref="O4386:O4391" si="332">IF(N4386=M4386,"OK","DIF")</f>
        <v>DIF</v>
      </c>
      <c r="P4386" s="573"/>
      <c r="Q4386" s="556"/>
      <c r="R4386" s="582"/>
    </row>
    <row r="4387" ht="15" spans="1:18">
      <c r="A4387" s="556">
        <f>B4387</f>
        <v>0</v>
      </c>
      <c r="B4387" s="557">
        <f>B4386</f>
        <v>0</v>
      </c>
      <c r="C4387" s="571"/>
      <c r="D4387" s="571"/>
      <c r="E4387" s="571"/>
      <c r="F4387" s="571"/>
      <c r="G4387" s="571"/>
      <c r="H4387" s="571"/>
      <c r="I4387" s="571"/>
      <c r="J4387" s="571"/>
      <c r="K4387" s="571"/>
      <c r="L4387" s="571"/>
      <c r="M4387" s="571"/>
      <c r="N4387" s="573">
        <v>83.24</v>
      </c>
      <c r="O4387" s="556" t="str">
        <f t="shared" si="332"/>
        <v>DIF</v>
      </c>
      <c r="P4387" s="573"/>
      <c r="Q4387" s="556"/>
      <c r="R4387" s="582"/>
    </row>
    <row r="4388" ht="15" customHeight="1" spans="1:18">
      <c r="A4388" s="556">
        <f>B4388</f>
        <v>0</v>
      </c>
      <c r="B4388" s="557">
        <f>B4387</f>
        <v>0</v>
      </c>
      <c r="C4388" s="76" t="s">
        <v>1532</v>
      </c>
      <c r="D4388" s="75" t="s">
        <v>63</v>
      </c>
      <c r="E4388" s="76" t="s">
        <v>64</v>
      </c>
      <c r="F4388" s="76" t="s">
        <v>65</v>
      </c>
      <c r="G4388" s="76" t="s">
        <v>2889</v>
      </c>
      <c r="H4388" s="76"/>
      <c r="I4388" s="77" t="s">
        <v>66</v>
      </c>
      <c r="J4388" s="75" t="s">
        <v>67</v>
      </c>
      <c r="K4388" s="75" t="s">
        <v>2890</v>
      </c>
      <c r="L4388" s="75" t="s">
        <v>68</v>
      </c>
      <c r="M4388" s="75" t="s">
        <v>70</v>
      </c>
      <c r="N4388" s="573">
        <v>3.11</v>
      </c>
      <c r="O4388" s="556" t="str">
        <f t="shared" si="332"/>
        <v>DIF</v>
      </c>
      <c r="P4388" s="573"/>
      <c r="Q4388" s="556"/>
      <c r="R4388" s="582"/>
    </row>
    <row r="4389" ht="35.05" customHeight="1" spans="1:18">
      <c r="A4389" s="556">
        <f>B4389</f>
        <v>0</v>
      </c>
      <c r="B4389" s="557">
        <f>B4388</f>
        <v>0</v>
      </c>
      <c r="C4389" s="569" t="s">
        <v>2891</v>
      </c>
      <c r="D4389" s="570" t="s">
        <v>859</v>
      </c>
      <c r="E4389" s="569" t="s">
        <v>132</v>
      </c>
      <c r="F4389" s="569" t="s">
        <v>860</v>
      </c>
      <c r="G4389" s="569" t="s">
        <v>3177</v>
      </c>
      <c r="H4389" s="569"/>
      <c r="I4389" s="577" t="s">
        <v>134</v>
      </c>
      <c r="J4389" s="578">
        <v>1</v>
      </c>
      <c r="K4389" s="579"/>
      <c r="L4389" s="579">
        <v>25.31</v>
      </c>
      <c r="M4389" s="579">
        <v>25.31</v>
      </c>
      <c r="N4389" s="573">
        <v>97.07</v>
      </c>
      <c r="O4389" s="556" t="str">
        <f t="shared" si="332"/>
        <v>DIF</v>
      </c>
      <c r="P4389" s="573"/>
      <c r="Q4389" s="556"/>
      <c r="R4389" s="582"/>
    </row>
    <row r="4390" ht="23.85" customHeight="1" spans="1:18">
      <c r="A4390" s="556">
        <f>B4390</f>
        <v>0</v>
      </c>
      <c r="B4390" s="557">
        <f>B4389</f>
        <v>0</v>
      </c>
      <c r="C4390" s="79" t="s">
        <v>2921</v>
      </c>
      <c r="D4390" s="78" t="s">
        <v>3151</v>
      </c>
      <c r="E4390" s="79" t="s">
        <v>139</v>
      </c>
      <c r="F4390" s="79" t="s">
        <v>3152</v>
      </c>
      <c r="G4390" s="79" t="s">
        <v>2928</v>
      </c>
      <c r="H4390" s="79"/>
      <c r="I4390" s="80" t="s">
        <v>2897</v>
      </c>
      <c r="J4390" s="583">
        <v>0.3</v>
      </c>
      <c r="K4390" s="583">
        <v>0</v>
      </c>
      <c r="L4390" s="92">
        <v>36.82</v>
      </c>
      <c r="M4390" s="92">
        <v>11.04</v>
      </c>
      <c r="N4390" s="573">
        <v>2.42</v>
      </c>
      <c r="O4390" s="556" t="str">
        <f t="shared" si="332"/>
        <v>DIF</v>
      </c>
      <c r="P4390" s="573"/>
      <c r="Q4390" s="556"/>
      <c r="R4390" s="582"/>
    </row>
    <row r="4391" ht="23.85" customHeight="1" spans="1:18">
      <c r="A4391" s="556">
        <f>B4391</f>
        <v>0</v>
      </c>
      <c r="B4391" s="557">
        <f>B4390</f>
        <v>0</v>
      </c>
      <c r="C4391" s="79" t="s">
        <v>2921</v>
      </c>
      <c r="D4391" s="78" t="s">
        <v>2952</v>
      </c>
      <c r="E4391" s="79" t="s">
        <v>139</v>
      </c>
      <c r="F4391" s="79" t="s">
        <v>2953</v>
      </c>
      <c r="G4391" s="79" t="s">
        <v>2928</v>
      </c>
      <c r="H4391" s="79"/>
      <c r="I4391" s="80" t="s">
        <v>2897</v>
      </c>
      <c r="J4391" s="583">
        <v>0.3</v>
      </c>
      <c r="K4391" s="583">
        <v>0</v>
      </c>
      <c r="L4391" s="92">
        <v>29.15</v>
      </c>
      <c r="M4391" s="92">
        <v>8.74</v>
      </c>
      <c r="N4391" s="573">
        <v>138.96</v>
      </c>
      <c r="O4391" s="556" t="str">
        <f t="shared" si="332"/>
        <v>DIF</v>
      </c>
      <c r="P4391" s="573"/>
      <c r="Q4391" s="556"/>
      <c r="R4391" s="582"/>
    </row>
    <row r="4392" ht="15" customHeight="1" spans="1:18">
      <c r="A4392" s="556"/>
      <c r="B4392" s="557"/>
      <c r="C4392" s="100" t="s">
        <v>2893</v>
      </c>
      <c r="D4392" s="99" t="s">
        <v>3674</v>
      </c>
      <c r="E4392" s="100" t="s">
        <v>139</v>
      </c>
      <c r="F4392" s="100" t="s">
        <v>3675</v>
      </c>
      <c r="G4392" s="100" t="s">
        <v>2961</v>
      </c>
      <c r="H4392" s="100"/>
      <c r="I4392" s="101" t="s">
        <v>134</v>
      </c>
      <c r="J4392" s="580">
        <v>1</v>
      </c>
      <c r="K4392" s="580">
        <v>0</v>
      </c>
      <c r="L4392" s="102">
        <v>0.4</v>
      </c>
      <c r="M4392" s="102">
        <v>0.4</v>
      </c>
      <c r="N4392" s="573"/>
      <c r="O4392" s="556"/>
      <c r="P4392" s="573"/>
      <c r="Q4392" s="556"/>
      <c r="R4392" s="582"/>
    </row>
    <row r="4393" ht="23.85" customHeight="1" spans="1:18">
      <c r="A4393" s="556"/>
      <c r="B4393" s="557"/>
      <c r="C4393" s="100" t="s">
        <v>2893</v>
      </c>
      <c r="D4393" s="99" t="s">
        <v>3772</v>
      </c>
      <c r="E4393" s="100" t="s">
        <v>139</v>
      </c>
      <c r="F4393" s="100" t="s">
        <v>3773</v>
      </c>
      <c r="G4393" s="100" t="s">
        <v>2961</v>
      </c>
      <c r="H4393" s="100"/>
      <c r="I4393" s="101" t="s">
        <v>134</v>
      </c>
      <c r="J4393" s="580">
        <v>1</v>
      </c>
      <c r="K4393" s="580">
        <v>0</v>
      </c>
      <c r="L4393" s="102">
        <v>1.61</v>
      </c>
      <c r="M4393" s="102">
        <v>1.61</v>
      </c>
      <c r="N4393" s="573"/>
      <c r="O4393" s="556"/>
      <c r="P4393" s="573"/>
      <c r="Q4393" s="556"/>
      <c r="R4393" s="582"/>
    </row>
    <row r="4394" ht="15" customHeight="1" spans="1:18">
      <c r="A4394" s="556"/>
      <c r="B4394" s="557" t="str">
        <f>C4393</f>
        <v>Insumo</v>
      </c>
      <c r="C4394" s="100" t="s">
        <v>2893</v>
      </c>
      <c r="D4394" s="99" t="s">
        <v>3676</v>
      </c>
      <c r="E4394" s="100" t="s">
        <v>139</v>
      </c>
      <c r="F4394" s="100" t="s">
        <v>3677</v>
      </c>
      <c r="G4394" s="100" t="s">
        <v>2961</v>
      </c>
      <c r="H4394" s="100"/>
      <c r="I4394" s="101" t="s">
        <v>204</v>
      </c>
      <c r="J4394" s="580">
        <v>1</v>
      </c>
      <c r="K4394" s="580">
        <v>0</v>
      </c>
      <c r="L4394" s="102">
        <v>3.52</v>
      </c>
      <c r="M4394" s="102">
        <v>3.52</v>
      </c>
      <c r="N4394" s="573">
        <v>15.88</v>
      </c>
      <c r="O4394" s="556" t="str">
        <f>IF(N4394=M4394,"OK","DIF")</f>
        <v>DIF</v>
      </c>
      <c r="P4394" s="573"/>
      <c r="Q4394" s="556"/>
      <c r="R4394" s="582"/>
    </row>
    <row r="4395" ht="25.5" spans="1:18">
      <c r="A4395" s="556" t="str">
        <f>B4395</f>
        <v>Insumo</v>
      </c>
      <c r="B4395" s="557" t="str">
        <f>B4394</f>
        <v>Insumo</v>
      </c>
      <c r="C4395" s="108"/>
      <c r="D4395" s="108"/>
      <c r="E4395" s="108"/>
      <c r="F4395" s="108"/>
      <c r="G4395" s="108"/>
      <c r="H4395" s="108" t="s">
        <v>2898</v>
      </c>
      <c r="I4395" s="581">
        <v>13.79</v>
      </c>
      <c r="J4395" s="108" t="s">
        <v>2899</v>
      </c>
      <c r="K4395" s="581">
        <v>0</v>
      </c>
      <c r="L4395" s="108" t="s">
        <v>2900</v>
      </c>
      <c r="M4395" s="581">
        <v>13.79</v>
      </c>
      <c r="N4395" s="573">
        <v>8.46</v>
      </c>
      <c r="O4395" s="556" t="str">
        <f>IF(N4395=M4395,"OK","DIF")</f>
        <v>DIF</v>
      </c>
      <c r="P4395" s="573"/>
      <c r="Q4395" s="556"/>
      <c r="R4395" s="582"/>
    </row>
    <row r="4396" ht="26.25" spans="1:18">
      <c r="A4396" s="556" t="str">
        <f>B4396</f>
        <v>Insumo</v>
      </c>
      <c r="B4396" s="557" t="str">
        <f>B4395</f>
        <v>Insumo</v>
      </c>
      <c r="C4396" s="108"/>
      <c r="D4396" s="108"/>
      <c r="E4396" s="108"/>
      <c r="F4396" s="108"/>
      <c r="G4396" s="108"/>
      <c r="H4396" s="108" t="s">
        <v>2901</v>
      </c>
      <c r="I4396" s="581">
        <v>6.45</v>
      </c>
      <c r="J4396" s="114"/>
      <c r="K4396" s="114" t="s">
        <v>2902</v>
      </c>
      <c r="L4396" s="108"/>
      <c r="M4396" s="581">
        <v>31.76</v>
      </c>
      <c r="N4396" s="573">
        <v>7.21</v>
      </c>
      <c r="O4396" s="556" t="str">
        <f>IF(N4396=M4396,"OK","DIF")</f>
        <v>DIF</v>
      </c>
      <c r="P4396" s="573"/>
      <c r="Q4396" s="556"/>
      <c r="R4396" s="582"/>
    </row>
    <row r="4397" ht="15" spans="1:18">
      <c r="A4397" s="556" t="str">
        <f>B4397</f>
        <v>Insumo</v>
      </c>
      <c r="B4397" s="557" t="str">
        <f>B4396</f>
        <v>Insumo</v>
      </c>
      <c r="C4397" s="571"/>
      <c r="D4397" s="571"/>
      <c r="E4397" s="571"/>
      <c r="F4397" s="571"/>
      <c r="G4397" s="571"/>
      <c r="H4397" s="571"/>
      <c r="I4397" s="571"/>
      <c r="J4397" s="571"/>
      <c r="K4397" s="571"/>
      <c r="L4397" s="571"/>
      <c r="M4397" s="571"/>
      <c r="N4397" s="573">
        <v>0.21</v>
      </c>
      <c r="O4397" s="556" t="str">
        <f>IF(N4397=M4397,"OK","DIF")</f>
        <v>DIF</v>
      </c>
      <c r="P4397" s="573" t="s">
        <v>3521</v>
      </c>
      <c r="Q4397" s="556"/>
      <c r="R4397" s="582"/>
    </row>
    <row r="4398" ht="15" customHeight="1" spans="1:18">
      <c r="A4398" s="556"/>
      <c r="B4398" s="557"/>
      <c r="C4398" s="76" t="s">
        <v>1534</v>
      </c>
      <c r="D4398" s="75" t="s">
        <v>63</v>
      </c>
      <c r="E4398" s="76" t="s">
        <v>64</v>
      </c>
      <c r="F4398" s="76" t="s">
        <v>65</v>
      </c>
      <c r="G4398" s="76" t="s">
        <v>2889</v>
      </c>
      <c r="H4398" s="76"/>
      <c r="I4398" s="77" t="s">
        <v>66</v>
      </c>
      <c r="J4398" s="75" t="s">
        <v>67</v>
      </c>
      <c r="K4398" s="75" t="s">
        <v>2890</v>
      </c>
      <c r="L4398" s="75" t="s">
        <v>68</v>
      </c>
      <c r="M4398" s="75" t="s">
        <v>70</v>
      </c>
      <c r="N4398" s="573"/>
      <c r="O4398" s="556"/>
      <c r="P4398" s="573"/>
      <c r="Q4398" s="556"/>
      <c r="R4398" s="582"/>
    </row>
    <row r="4399" ht="35.05" customHeight="1" spans="1:18">
      <c r="A4399" s="556"/>
      <c r="B4399" s="557"/>
      <c r="C4399" s="569" t="s">
        <v>2891</v>
      </c>
      <c r="D4399" s="570" t="s">
        <v>865</v>
      </c>
      <c r="E4399" s="569" t="s">
        <v>132</v>
      </c>
      <c r="F4399" s="569" t="s">
        <v>866</v>
      </c>
      <c r="G4399" s="569" t="s">
        <v>3774</v>
      </c>
      <c r="H4399" s="569"/>
      <c r="I4399" s="577" t="s">
        <v>134</v>
      </c>
      <c r="J4399" s="578">
        <v>1</v>
      </c>
      <c r="K4399" s="579"/>
      <c r="L4399" s="579">
        <v>0.12</v>
      </c>
      <c r="M4399" s="579">
        <v>0.12</v>
      </c>
      <c r="N4399" s="573"/>
      <c r="O4399" s="556"/>
      <c r="P4399" s="573"/>
      <c r="Q4399" s="556"/>
      <c r="R4399" s="582"/>
    </row>
    <row r="4400" ht="15" customHeight="1" spans="1:18">
      <c r="A4400" s="556"/>
      <c r="B4400" s="557"/>
      <c r="C4400" s="100" t="s">
        <v>2893</v>
      </c>
      <c r="D4400" s="99" t="s">
        <v>3775</v>
      </c>
      <c r="E4400" s="100" t="s">
        <v>796</v>
      </c>
      <c r="F4400" s="100" t="s">
        <v>3776</v>
      </c>
      <c r="G4400" s="100" t="s">
        <v>2961</v>
      </c>
      <c r="H4400" s="100"/>
      <c r="I4400" s="101" t="s">
        <v>334</v>
      </c>
      <c r="J4400" s="580">
        <v>1</v>
      </c>
      <c r="K4400" s="580">
        <v>0</v>
      </c>
      <c r="L4400" s="102">
        <v>0.12</v>
      </c>
      <c r="M4400" s="102">
        <v>0.12</v>
      </c>
      <c r="N4400" s="573"/>
      <c r="O4400" s="556"/>
      <c r="P4400" s="573"/>
      <c r="Q4400" s="556"/>
      <c r="R4400" s="582"/>
    </row>
    <row r="4401" ht="25.5" spans="1:18">
      <c r="A4401" s="556"/>
      <c r="B4401" s="557"/>
      <c r="C4401" s="108"/>
      <c r="D4401" s="108"/>
      <c r="E4401" s="108"/>
      <c r="F4401" s="108"/>
      <c r="G4401" s="108"/>
      <c r="H4401" s="108" t="s">
        <v>2898</v>
      </c>
      <c r="I4401" s="581">
        <v>0</v>
      </c>
      <c r="J4401" s="108" t="s">
        <v>2899</v>
      </c>
      <c r="K4401" s="581">
        <v>0</v>
      </c>
      <c r="L4401" s="108" t="s">
        <v>2900</v>
      </c>
      <c r="M4401" s="581">
        <v>0</v>
      </c>
      <c r="N4401" s="573"/>
      <c r="O4401" s="556"/>
      <c r="P4401" s="573"/>
      <c r="Q4401" s="556"/>
      <c r="R4401" s="582"/>
    </row>
    <row r="4402" ht="26.25" spans="1:18">
      <c r="A4402" s="556"/>
      <c r="B4402" s="557">
        <f>C4401</f>
        <v>0</v>
      </c>
      <c r="C4402" s="108"/>
      <c r="D4402" s="108"/>
      <c r="E4402" s="108"/>
      <c r="F4402" s="108"/>
      <c r="G4402" s="108"/>
      <c r="H4402" s="108" t="s">
        <v>2901</v>
      </c>
      <c r="I4402" s="581">
        <v>0.03</v>
      </c>
      <c r="J4402" s="114"/>
      <c r="K4402" s="114" t="s">
        <v>2902</v>
      </c>
      <c r="L4402" s="108"/>
      <c r="M4402" s="581">
        <v>0.15</v>
      </c>
      <c r="N4402" s="573">
        <v>52.21</v>
      </c>
      <c r="O4402" s="556" t="str">
        <f>IF(N4402=M4402,"OK","DIF")</f>
        <v>DIF</v>
      </c>
      <c r="P4402" s="573"/>
      <c r="Q4402" s="556"/>
      <c r="R4402" s="582"/>
    </row>
    <row r="4403" ht="15" spans="1:18">
      <c r="A4403" s="556">
        <f>B4403</f>
        <v>0</v>
      </c>
      <c r="B4403" s="557">
        <f>B4402</f>
        <v>0</v>
      </c>
      <c r="C4403" s="571"/>
      <c r="D4403" s="571"/>
      <c r="E4403" s="571"/>
      <c r="F4403" s="571"/>
      <c r="G4403" s="571"/>
      <c r="H4403" s="571"/>
      <c r="I4403" s="571"/>
      <c r="J4403" s="571"/>
      <c r="K4403" s="571"/>
      <c r="L4403" s="571"/>
      <c r="M4403" s="571"/>
      <c r="N4403" s="573">
        <v>6.81</v>
      </c>
      <c r="O4403" s="556" t="str">
        <f>IF(N4403=M4403,"OK","DIF")</f>
        <v>DIF</v>
      </c>
      <c r="P4403" s="573"/>
      <c r="Q4403" s="556"/>
      <c r="R4403" s="582"/>
    </row>
    <row r="4404" ht="15" customHeight="1" spans="1:18">
      <c r="A4404" s="556">
        <f>B4404</f>
        <v>0</v>
      </c>
      <c r="B4404" s="557">
        <f>B4403</f>
        <v>0</v>
      </c>
      <c r="C4404" s="76" t="s">
        <v>1535</v>
      </c>
      <c r="D4404" s="75" t="s">
        <v>63</v>
      </c>
      <c r="E4404" s="76" t="s">
        <v>64</v>
      </c>
      <c r="F4404" s="76" t="s">
        <v>65</v>
      </c>
      <c r="G4404" s="76" t="s">
        <v>2889</v>
      </c>
      <c r="H4404" s="76"/>
      <c r="I4404" s="77" t="s">
        <v>66</v>
      </c>
      <c r="J4404" s="75" t="s">
        <v>67</v>
      </c>
      <c r="K4404" s="75" t="s">
        <v>2890</v>
      </c>
      <c r="L4404" s="75" t="s">
        <v>68</v>
      </c>
      <c r="M4404" s="75" t="s">
        <v>70</v>
      </c>
      <c r="N4404" s="573">
        <v>8.42</v>
      </c>
      <c r="O4404" s="556" t="str">
        <f>IF(N4404=M4404,"OK","DIF")</f>
        <v>DIF</v>
      </c>
      <c r="P4404" s="573"/>
      <c r="Q4404" s="556"/>
      <c r="R4404" s="582"/>
    </row>
    <row r="4405" ht="35.05" customHeight="1" spans="1:18">
      <c r="A4405" s="556">
        <f>B4405</f>
        <v>0</v>
      </c>
      <c r="B4405" s="557">
        <f>B4404</f>
        <v>0</v>
      </c>
      <c r="C4405" s="569" t="s">
        <v>2891</v>
      </c>
      <c r="D4405" s="570" t="s">
        <v>1250</v>
      </c>
      <c r="E4405" s="569" t="s">
        <v>132</v>
      </c>
      <c r="F4405" s="569" t="s">
        <v>1251</v>
      </c>
      <c r="G4405" s="569" t="s">
        <v>3177</v>
      </c>
      <c r="H4405" s="569"/>
      <c r="I4405" s="577" t="s">
        <v>134</v>
      </c>
      <c r="J4405" s="578">
        <v>1</v>
      </c>
      <c r="K4405" s="579"/>
      <c r="L4405" s="579">
        <v>3.33</v>
      </c>
      <c r="M4405" s="579">
        <v>3.33</v>
      </c>
      <c r="N4405" s="573">
        <v>36.98</v>
      </c>
      <c r="O4405" s="556" t="str">
        <f>IF(N4405=M4405,"OK","DIF")</f>
        <v>DIF</v>
      </c>
      <c r="P4405" s="573"/>
      <c r="Q4405" s="556"/>
      <c r="R4405" s="582"/>
    </row>
    <row r="4406" ht="23.85" customHeight="1" spans="1:18">
      <c r="A4406" s="556"/>
      <c r="B4406" s="557"/>
      <c r="C4406" s="79" t="s">
        <v>2921</v>
      </c>
      <c r="D4406" s="78" t="s">
        <v>3153</v>
      </c>
      <c r="E4406" s="79" t="s">
        <v>139</v>
      </c>
      <c r="F4406" s="79" t="s">
        <v>3154</v>
      </c>
      <c r="G4406" s="79" t="s">
        <v>2928</v>
      </c>
      <c r="H4406" s="79"/>
      <c r="I4406" s="80" t="s">
        <v>2897</v>
      </c>
      <c r="J4406" s="583">
        <v>0.01</v>
      </c>
      <c r="K4406" s="583">
        <v>0</v>
      </c>
      <c r="L4406" s="92">
        <v>30.6</v>
      </c>
      <c r="M4406" s="92">
        <v>0.3</v>
      </c>
      <c r="N4406" s="573"/>
      <c r="O4406" s="556"/>
      <c r="P4406" s="573"/>
      <c r="Q4406" s="556"/>
      <c r="R4406" s="582"/>
    </row>
    <row r="4407" ht="23.85" customHeight="1" spans="1:18">
      <c r="A4407" s="556"/>
      <c r="B4407" s="557"/>
      <c r="C4407" s="79" t="s">
        <v>2921</v>
      </c>
      <c r="D4407" s="78" t="s">
        <v>3151</v>
      </c>
      <c r="E4407" s="79" t="s">
        <v>139</v>
      </c>
      <c r="F4407" s="79" t="s">
        <v>3152</v>
      </c>
      <c r="G4407" s="79" t="s">
        <v>2928</v>
      </c>
      <c r="H4407" s="79"/>
      <c r="I4407" s="80" t="s">
        <v>2897</v>
      </c>
      <c r="J4407" s="583">
        <v>0.01</v>
      </c>
      <c r="K4407" s="583">
        <v>0</v>
      </c>
      <c r="L4407" s="92">
        <v>36.82</v>
      </c>
      <c r="M4407" s="92">
        <v>0.36</v>
      </c>
      <c r="N4407" s="573"/>
      <c r="O4407" s="556"/>
      <c r="P4407" s="573"/>
      <c r="Q4407" s="556"/>
      <c r="R4407" s="582"/>
    </row>
    <row r="4408" ht="15" customHeight="1" spans="1:18">
      <c r="A4408" s="556"/>
      <c r="B4408" s="557" t="str">
        <f>C4407</f>
        <v>Composição Auxiliar</v>
      </c>
      <c r="C4408" s="100" t="s">
        <v>2893</v>
      </c>
      <c r="D4408" s="99" t="s">
        <v>4171</v>
      </c>
      <c r="E4408" s="100" t="s">
        <v>149</v>
      </c>
      <c r="F4408" s="100" t="s">
        <v>4172</v>
      </c>
      <c r="G4408" s="100" t="s">
        <v>2961</v>
      </c>
      <c r="H4408" s="100"/>
      <c r="I4408" s="101" t="s">
        <v>1491</v>
      </c>
      <c r="J4408" s="580">
        <v>1</v>
      </c>
      <c r="K4408" s="580">
        <v>0</v>
      </c>
      <c r="L4408" s="102">
        <v>2.67</v>
      </c>
      <c r="M4408" s="102">
        <v>2.67</v>
      </c>
      <c r="N4408" s="573">
        <v>44.11</v>
      </c>
      <c r="O4408" s="556" t="str">
        <f t="shared" ref="O4408:O4413" si="333">IF(N4408=M4408,"OK","DIF")</f>
        <v>DIF</v>
      </c>
      <c r="P4408" s="573"/>
      <c r="Q4408" s="556"/>
      <c r="R4408" s="582"/>
    </row>
    <row r="4409" ht="25.5" spans="1:18">
      <c r="A4409" s="556" t="str">
        <f>B4409</f>
        <v>Composição Auxiliar</v>
      </c>
      <c r="B4409" s="557" t="str">
        <f>B4408</f>
        <v>Composição Auxiliar</v>
      </c>
      <c r="C4409" s="108"/>
      <c r="D4409" s="108"/>
      <c r="E4409" s="108"/>
      <c r="F4409" s="108"/>
      <c r="G4409" s="108"/>
      <c r="H4409" s="108" t="s">
        <v>2898</v>
      </c>
      <c r="I4409" s="581">
        <v>0.46</v>
      </c>
      <c r="J4409" s="108" t="s">
        <v>2899</v>
      </c>
      <c r="K4409" s="581">
        <v>0</v>
      </c>
      <c r="L4409" s="108" t="s">
        <v>2900</v>
      </c>
      <c r="M4409" s="581">
        <v>0.46</v>
      </c>
      <c r="N4409" s="573">
        <v>11.82</v>
      </c>
      <c r="O4409" s="556" t="str">
        <f t="shared" si="333"/>
        <v>DIF</v>
      </c>
      <c r="P4409" s="573"/>
      <c r="Q4409" s="556"/>
      <c r="R4409" s="582"/>
    </row>
    <row r="4410" ht="26.25" spans="1:18">
      <c r="A4410" s="556" t="str">
        <f>B4410</f>
        <v>Composição Auxiliar</v>
      </c>
      <c r="B4410" s="557" t="str">
        <f>B4409</f>
        <v>Composição Auxiliar</v>
      </c>
      <c r="C4410" s="108"/>
      <c r="D4410" s="108"/>
      <c r="E4410" s="108"/>
      <c r="F4410" s="108"/>
      <c r="G4410" s="108"/>
      <c r="H4410" s="108" t="s">
        <v>2901</v>
      </c>
      <c r="I4410" s="581">
        <v>0.84</v>
      </c>
      <c r="J4410" s="114"/>
      <c r="K4410" s="114" t="s">
        <v>2902</v>
      </c>
      <c r="L4410" s="108"/>
      <c r="M4410" s="581">
        <v>4.17</v>
      </c>
      <c r="N4410" s="573">
        <v>14.6</v>
      </c>
      <c r="O4410" s="556" t="str">
        <f t="shared" si="333"/>
        <v>DIF</v>
      </c>
      <c r="P4410" s="573"/>
      <c r="Q4410" s="556"/>
      <c r="R4410" s="582"/>
    </row>
    <row r="4411" ht="15" spans="1:18">
      <c r="A4411" s="556" t="str">
        <f>B4411</f>
        <v>Composição Auxiliar</v>
      </c>
      <c r="B4411" s="557" t="str">
        <f>B4410</f>
        <v>Composição Auxiliar</v>
      </c>
      <c r="C4411" s="571"/>
      <c r="D4411" s="571"/>
      <c r="E4411" s="571"/>
      <c r="F4411" s="571"/>
      <c r="G4411" s="571"/>
      <c r="H4411" s="571"/>
      <c r="I4411" s="571"/>
      <c r="J4411" s="571"/>
      <c r="K4411" s="571"/>
      <c r="L4411" s="571"/>
      <c r="M4411" s="571"/>
      <c r="N4411" s="573">
        <v>0.15</v>
      </c>
      <c r="O4411" s="556" t="str">
        <f t="shared" si="333"/>
        <v>DIF</v>
      </c>
      <c r="P4411" s="573"/>
      <c r="Q4411" s="556"/>
      <c r="R4411" s="582"/>
    </row>
    <row r="4412" ht="15" customHeight="1" spans="1:18">
      <c r="A4412" s="556" t="str">
        <f>B4412</f>
        <v>Composição Auxiliar</v>
      </c>
      <c r="B4412" s="557" t="str">
        <f>B4411</f>
        <v>Composição Auxiliar</v>
      </c>
      <c r="C4412" s="76" t="s">
        <v>1536</v>
      </c>
      <c r="D4412" s="75" t="s">
        <v>63</v>
      </c>
      <c r="E4412" s="76" t="s">
        <v>64</v>
      </c>
      <c r="F4412" s="76" t="s">
        <v>65</v>
      </c>
      <c r="G4412" s="76" t="s">
        <v>2889</v>
      </c>
      <c r="H4412" s="76"/>
      <c r="I4412" s="77" t="s">
        <v>66</v>
      </c>
      <c r="J4412" s="75" t="s">
        <v>67</v>
      </c>
      <c r="K4412" s="75" t="s">
        <v>2890</v>
      </c>
      <c r="L4412" s="75" t="s">
        <v>68</v>
      </c>
      <c r="M4412" s="75" t="s">
        <v>70</v>
      </c>
      <c r="N4412" s="573">
        <v>0.15</v>
      </c>
      <c r="O4412" s="556" t="str">
        <f t="shared" si="333"/>
        <v>DIF</v>
      </c>
      <c r="P4412" s="573"/>
      <c r="Q4412" s="556"/>
      <c r="R4412" s="582"/>
    </row>
    <row r="4413" ht="35.05" customHeight="1" spans="1:18">
      <c r="A4413" s="556" t="str">
        <f>B4413</f>
        <v>Composição Auxiliar</v>
      </c>
      <c r="B4413" s="557" t="str">
        <f>B4412</f>
        <v>Composição Auxiliar</v>
      </c>
      <c r="C4413" s="569" t="s">
        <v>2891</v>
      </c>
      <c r="D4413" s="570" t="s">
        <v>1242</v>
      </c>
      <c r="E4413" s="569" t="s">
        <v>139</v>
      </c>
      <c r="F4413" s="569" t="s">
        <v>1243</v>
      </c>
      <c r="G4413" s="569" t="s">
        <v>3235</v>
      </c>
      <c r="H4413" s="569"/>
      <c r="I4413" s="577" t="s">
        <v>134</v>
      </c>
      <c r="J4413" s="578">
        <v>1</v>
      </c>
      <c r="K4413" s="579"/>
      <c r="L4413" s="579">
        <v>27.14</v>
      </c>
      <c r="M4413" s="579">
        <v>27.14</v>
      </c>
      <c r="N4413" s="573">
        <v>17.39</v>
      </c>
      <c r="O4413" s="556" t="str">
        <f t="shared" si="333"/>
        <v>DIF</v>
      </c>
      <c r="P4413" s="573"/>
      <c r="Q4413" s="556"/>
      <c r="R4413" s="582"/>
    </row>
    <row r="4414" ht="23.85" customHeight="1" spans="1:18">
      <c r="A4414" s="556"/>
      <c r="B4414" s="557"/>
      <c r="C4414" s="79" t="s">
        <v>2921</v>
      </c>
      <c r="D4414" s="78" t="s">
        <v>3151</v>
      </c>
      <c r="E4414" s="79" t="s">
        <v>139</v>
      </c>
      <c r="F4414" s="79" t="s">
        <v>3152</v>
      </c>
      <c r="G4414" s="79" t="s">
        <v>2928</v>
      </c>
      <c r="H4414" s="79"/>
      <c r="I4414" s="80" t="s">
        <v>2897</v>
      </c>
      <c r="J4414" s="583">
        <v>0.2301</v>
      </c>
      <c r="K4414" s="583">
        <v>0</v>
      </c>
      <c r="L4414" s="92">
        <v>36.82</v>
      </c>
      <c r="M4414" s="92">
        <v>8.47</v>
      </c>
      <c r="N4414" s="573"/>
      <c r="O4414" s="556"/>
      <c r="P4414" s="573"/>
      <c r="Q4414" s="556"/>
      <c r="R4414" s="582"/>
    </row>
    <row r="4415" ht="23.85" customHeight="1" spans="1:18">
      <c r="A4415" s="556"/>
      <c r="B4415" s="557"/>
      <c r="C4415" s="79" t="s">
        <v>2921</v>
      </c>
      <c r="D4415" s="78" t="s">
        <v>3153</v>
      </c>
      <c r="E4415" s="79" t="s">
        <v>139</v>
      </c>
      <c r="F4415" s="79" t="s">
        <v>3154</v>
      </c>
      <c r="G4415" s="79" t="s">
        <v>2928</v>
      </c>
      <c r="H4415" s="79"/>
      <c r="I4415" s="80" t="s">
        <v>2897</v>
      </c>
      <c r="J4415" s="583">
        <v>0.2301</v>
      </c>
      <c r="K4415" s="583">
        <v>0</v>
      </c>
      <c r="L4415" s="92">
        <v>30.6</v>
      </c>
      <c r="M4415" s="92">
        <v>7.04</v>
      </c>
      <c r="N4415" s="573"/>
      <c r="O4415" s="556"/>
      <c r="P4415" s="573"/>
      <c r="Q4415" s="556"/>
      <c r="R4415" s="582"/>
    </row>
    <row r="4416" ht="23.85" customHeight="1" spans="1:18">
      <c r="A4416" s="556"/>
      <c r="B4416" s="557" t="str">
        <f>C4415</f>
        <v>Composição Auxiliar</v>
      </c>
      <c r="C4416" s="100" t="s">
        <v>2893</v>
      </c>
      <c r="D4416" s="99" t="s">
        <v>4038</v>
      </c>
      <c r="E4416" s="100" t="s">
        <v>139</v>
      </c>
      <c r="F4416" s="100" t="s">
        <v>4039</v>
      </c>
      <c r="G4416" s="100" t="s">
        <v>2961</v>
      </c>
      <c r="H4416" s="100"/>
      <c r="I4416" s="101" t="s">
        <v>134</v>
      </c>
      <c r="J4416" s="580">
        <v>2</v>
      </c>
      <c r="K4416" s="580">
        <v>0</v>
      </c>
      <c r="L4416" s="102">
        <v>0.26</v>
      </c>
      <c r="M4416" s="102">
        <v>0.52</v>
      </c>
      <c r="N4416" s="573">
        <v>32.72</v>
      </c>
      <c r="O4416" s="556" t="str">
        <f t="shared" ref="O4416:O4421" si="334">IF(N4416=M4416,"OK","DIF")</f>
        <v>DIF</v>
      </c>
      <c r="P4416" s="573"/>
      <c r="Q4416" s="556"/>
      <c r="R4416" s="582"/>
    </row>
    <row r="4417" ht="23.85" customHeight="1" spans="1:18">
      <c r="A4417" s="556" t="str">
        <f>B4417</f>
        <v>Composição Auxiliar</v>
      </c>
      <c r="B4417" s="557" t="str">
        <f>B4416</f>
        <v>Composição Auxiliar</v>
      </c>
      <c r="C4417" s="100" t="s">
        <v>2893</v>
      </c>
      <c r="D4417" s="99" t="s">
        <v>4169</v>
      </c>
      <c r="E4417" s="100" t="s">
        <v>139</v>
      </c>
      <c r="F4417" s="100" t="s">
        <v>4170</v>
      </c>
      <c r="G4417" s="100" t="s">
        <v>2961</v>
      </c>
      <c r="H4417" s="100"/>
      <c r="I4417" s="101" t="s">
        <v>134</v>
      </c>
      <c r="J4417" s="580">
        <v>1</v>
      </c>
      <c r="K4417" s="580">
        <v>0</v>
      </c>
      <c r="L4417" s="102">
        <v>11.11</v>
      </c>
      <c r="M4417" s="102">
        <v>11.11</v>
      </c>
      <c r="N4417" s="573">
        <v>7.89</v>
      </c>
      <c r="O4417" s="556" t="str">
        <f t="shared" si="334"/>
        <v>DIF</v>
      </c>
      <c r="P4417" s="573"/>
      <c r="Q4417" s="556"/>
      <c r="R4417" s="582"/>
    </row>
    <row r="4418" ht="25.5" spans="1:18">
      <c r="A4418" s="556" t="str">
        <f>B4418</f>
        <v>Composição Auxiliar</v>
      </c>
      <c r="B4418" s="557" t="str">
        <f>B4417</f>
        <v>Composição Auxiliar</v>
      </c>
      <c r="C4418" s="108"/>
      <c r="D4418" s="108"/>
      <c r="E4418" s="108"/>
      <c r="F4418" s="108"/>
      <c r="G4418" s="108"/>
      <c r="H4418" s="108" t="s">
        <v>2898</v>
      </c>
      <c r="I4418" s="581">
        <v>10.87</v>
      </c>
      <c r="J4418" s="108" t="s">
        <v>2899</v>
      </c>
      <c r="K4418" s="581">
        <v>0</v>
      </c>
      <c r="L4418" s="108" t="s">
        <v>2900</v>
      </c>
      <c r="M4418" s="581">
        <v>10.87</v>
      </c>
      <c r="N4418" s="573">
        <v>9.74</v>
      </c>
      <c r="O4418" s="556" t="str">
        <f t="shared" si="334"/>
        <v>DIF</v>
      </c>
      <c r="P4418" s="573"/>
      <c r="Q4418" s="556"/>
      <c r="R4418" s="582"/>
    </row>
    <row r="4419" ht="26.25" spans="1:18">
      <c r="A4419" s="556" t="str">
        <f>B4419</f>
        <v>Composição Auxiliar</v>
      </c>
      <c r="B4419" s="557" t="str">
        <f>B4418</f>
        <v>Composição Auxiliar</v>
      </c>
      <c r="C4419" s="108"/>
      <c r="D4419" s="108"/>
      <c r="E4419" s="108"/>
      <c r="F4419" s="108"/>
      <c r="G4419" s="108"/>
      <c r="H4419" s="108" t="s">
        <v>2901</v>
      </c>
      <c r="I4419" s="581">
        <v>6.91</v>
      </c>
      <c r="J4419" s="114"/>
      <c r="K4419" s="114" t="s">
        <v>2902</v>
      </c>
      <c r="L4419" s="108"/>
      <c r="M4419" s="581">
        <v>34.05</v>
      </c>
      <c r="N4419" s="573">
        <v>0.15</v>
      </c>
      <c r="O4419" s="556" t="str">
        <f t="shared" si="334"/>
        <v>DIF</v>
      </c>
      <c r="P4419" s="573"/>
      <c r="Q4419" s="556"/>
      <c r="R4419" s="582"/>
    </row>
    <row r="4420" ht="15" spans="1:18">
      <c r="A4420" s="556" t="str">
        <f>B4420</f>
        <v>Composição Auxiliar</v>
      </c>
      <c r="B4420" s="557" t="str">
        <f>B4419</f>
        <v>Composição Auxiliar</v>
      </c>
      <c r="C4420" s="571"/>
      <c r="D4420" s="571"/>
      <c r="E4420" s="571"/>
      <c r="F4420" s="571"/>
      <c r="G4420" s="571"/>
      <c r="H4420" s="571"/>
      <c r="I4420" s="571"/>
      <c r="J4420" s="571"/>
      <c r="K4420" s="571"/>
      <c r="L4420" s="571"/>
      <c r="M4420" s="571"/>
      <c r="N4420" s="573">
        <v>0.15</v>
      </c>
      <c r="O4420" s="556" t="str">
        <f t="shared" si="334"/>
        <v>DIF</v>
      </c>
      <c r="P4420" s="573"/>
      <c r="Q4420" s="556"/>
      <c r="R4420" s="582"/>
    </row>
    <row r="4421" ht="15" customHeight="1" spans="1:18">
      <c r="A4421" s="556" t="str">
        <f>B4421</f>
        <v>Composição Auxiliar</v>
      </c>
      <c r="B4421" s="557" t="str">
        <f>B4420</f>
        <v>Composição Auxiliar</v>
      </c>
      <c r="C4421" s="76" t="s">
        <v>1537</v>
      </c>
      <c r="D4421" s="75" t="s">
        <v>63</v>
      </c>
      <c r="E4421" s="76" t="s">
        <v>64</v>
      </c>
      <c r="F4421" s="76" t="s">
        <v>65</v>
      </c>
      <c r="G4421" s="76" t="s">
        <v>2889</v>
      </c>
      <c r="H4421" s="76"/>
      <c r="I4421" s="77" t="s">
        <v>66</v>
      </c>
      <c r="J4421" s="75" t="s">
        <v>67</v>
      </c>
      <c r="K4421" s="75" t="s">
        <v>2890</v>
      </c>
      <c r="L4421" s="75" t="s">
        <v>68</v>
      </c>
      <c r="M4421" s="75" t="s">
        <v>70</v>
      </c>
      <c r="N4421" s="573">
        <v>14.79</v>
      </c>
      <c r="O4421" s="556" t="str">
        <f t="shared" si="334"/>
        <v>DIF</v>
      </c>
      <c r="P4421" s="573"/>
      <c r="Q4421" s="556"/>
      <c r="R4421" s="582"/>
    </row>
    <row r="4422" ht="35.05" customHeight="1" spans="1:18">
      <c r="A4422" s="556"/>
      <c r="B4422" s="557"/>
      <c r="C4422" s="569" t="s">
        <v>2891</v>
      </c>
      <c r="D4422" s="570" t="s">
        <v>1098</v>
      </c>
      <c r="E4422" s="569" t="s">
        <v>139</v>
      </c>
      <c r="F4422" s="569" t="s">
        <v>1099</v>
      </c>
      <c r="G4422" s="569" t="s">
        <v>3235</v>
      </c>
      <c r="H4422" s="569"/>
      <c r="I4422" s="577" t="s">
        <v>134</v>
      </c>
      <c r="J4422" s="578">
        <v>1</v>
      </c>
      <c r="K4422" s="579"/>
      <c r="L4422" s="579">
        <v>32.61</v>
      </c>
      <c r="M4422" s="579">
        <v>32.61</v>
      </c>
      <c r="N4422" s="573"/>
      <c r="O4422" s="556"/>
      <c r="P4422" s="573"/>
      <c r="Q4422" s="556"/>
      <c r="R4422" s="582"/>
    </row>
    <row r="4423" ht="23.85" customHeight="1" spans="1:18">
      <c r="A4423" s="556"/>
      <c r="B4423" s="557"/>
      <c r="C4423" s="79" t="s">
        <v>2921</v>
      </c>
      <c r="D4423" s="78" t="s">
        <v>3151</v>
      </c>
      <c r="E4423" s="79" t="s">
        <v>139</v>
      </c>
      <c r="F4423" s="79" t="s">
        <v>3152</v>
      </c>
      <c r="G4423" s="79" t="s">
        <v>2928</v>
      </c>
      <c r="H4423" s="79"/>
      <c r="I4423" s="80" t="s">
        <v>2897</v>
      </c>
      <c r="J4423" s="583">
        <v>0.2727</v>
      </c>
      <c r="K4423" s="583">
        <v>0</v>
      </c>
      <c r="L4423" s="92">
        <v>36.82</v>
      </c>
      <c r="M4423" s="92">
        <v>10.04</v>
      </c>
      <c r="N4423" s="573"/>
      <c r="O4423" s="556"/>
      <c r="P4423" s="573"/>
      <c r="Q4423" s="556"/>
      <c r="R4423" s="582"/>
    </row>
    <row r="4424" ht="23.85" customHeight="1" spans="1:18">
      <c r="A4424" s="556"/>
      <c r="B4424" s="557" t="str">
        <f>C4423</f>
        <v>Composição Auxiliar</v>
      </c>
      <c r="C4424" s="79" t="s">
        <v>2921</v>
      </c>
      <c r="D4424" s="78" t="s">
        <v>3153</v>
      </c>
      <c r="E4424" s="79" t="s">
        <v>139</v>
      </c>
      <c r="F4424" s="79" t="s">
        <v>3154</v>
      </c>
      <c r="G4424" s="79" t="s">
        <v>2928</v>
      </c>
      <c r="H4424" s="79"/>
      <c r="I4424" s="80" t="s">
        <v>2897</v>
      </c>
      <c r="J4424" s="583">
        <v>0.2727</v>
      </c>
      <c r="K4424" s="583">
        <v>0</v>
      </c>
      <c r="L4424" s="92">
        <v>30.6</v>
      </c>
      <c r="M4424" s="92">
        <v>8.34</v>
      </c>
      <c r="N4424" s="573">
        <v>41.49</v>
      </c>
      <c r="O4424" s="556" t="str">
        <f t="shared" ref="O4424:O4429" si="335">IF(N4424=M4424,"OK","DIF")</f>
        <v>DIF</v>
      </c>
      <c r="P4424" s="573"/>
      <c r="Q4424" s="556"/>
      <c r="R4424" s="582"/>
    </row>
    <row r="4425" ht="23.85" customHeight="1" spans="1:18">
      <c r="A4425" s="556" t="str">
        <f>B4425</f>
        <v>Composição Auxiliar</v>
      </c>
      <c r="B4425" s="557" t="str">
        <f>B4424</f>
        <v>Composição Auxiliar</v>
      </c>
      <c r="C4425" s="100" t="s">
        <v>2893</v>
      </c>
      <c r="D4425" s="99" t="s">
        <v>4038</v>
      </c>
      <c r="E4425" s="100" t="s">
        <v>139</v>
      </c>
      <c r="F4425" s="100" t="s">
        <v>4039</v>
      </c>
      <c r="G4425" s="100" t="s">
        <v>2961</v>
      </c>
      <c r="H4425" s="100"/>
      <c r="I4425" s="101" t="s">
        <v>134</v>
      </c>
      <c r="J4425" s="580">
        <v>2</v>
      </c>
      <c r="K4425" s="580">
        <v>0</v>
      </c>
      <c r="L4425" s="102">
        <v>0.26</v>
      </c>
      <c r="M4425" s="102">
        <v>0.52</v>
      </c>
      <c r="N4425" s="573">
        <v>10.3</v>
      </c>
      <c r="O4425" s="556" t="str">
        <f t="shared" si="335"/>
        <v>DIF</v>
      </c>
      <c r="P4425" s="573"/>
      <c r="Q4425" s="556"/>
      <c r="R4425" s="582"/>
    </row>
    <row r="4426" ht="23.85" customHeight="1" spans="1:18">
      <c r="A4426" s="556" t="str">
        <f>B4426</f>
        <v>Composição Auxiliar</v>
      </c>
      <c r="B4426" s="557" t="str">
        <f>B4425</f>
        <v>Composição Auxiliar</v>
      </c>
      <c r="C4426" s="100" t="s">
        <v>2893</v>
      </c>
      <c r="D4426" s="99" t="s">
        <v>4040</v>
      </c>
      <c r="E4426" s="100" t="s">
        <v>139</v>
      </c>
      <c r="F4426" s="100" t="s">
        <v>4041</v>
      </c>
      <c r="G4426" s="100" t="s">
        <v>2961</v>
      </c>
      <c r="H4426" s="100"/>
      <c r="I4426" s="101" t="s">
        <v>134</v>
      </c>
      <c r="J4426" s="580">
        <v>1</v>
      </c>
      <c r="K4426" s="580">
        <v>0</v>
      </c>
      <c r="L4426" s="102">
        <v>13.71</v>
      </c>
      <c r="M4426" s="102">
        <v>13.71</v>
      </c>
      <c r="N4426" s="573">
        <v>8.34</v>
      </c>
      <c r="O4426" s="556" t="str">
        <f t="shared" si="335"/>
        <v>DIF</v>
      </c>
      <c r="P4426" s="573"/>
      <c r="Q4426" s="556"/>
      <c r="R4426" s="582"/>
    </row>
    <row r="4427" ht="25.5" spans="1:18">
      <c r="A4427" s="556" t="str">
        <f>B4427</f>
        <v>Composição Auxiliar</v>
      </c>
      <c r="B4427" s="557" t="str">
        <f>B4426</f>
        <v>Composição Auxiliar</v>
      </c>
      <c r="C4427" s="108"/>
      <c r="D4427" s="108"/>
      <c r="E4427" s="108"/>
      <c r="F4427" s="108"/>
      <c r="G4427" s="108"/>
      <c r="H4427" s="108" t="s">
        <v>2898</v>
      </c>
      <c r="I4427" s="581">
        <v>12.9</v>
      </c>
      <c r="J4427" s="108" t="s">
        <v>2899</v>
      </c>
      <c r="K4427" s="581">
        <v>0</v>
      </c>
      <c r="L4427" s="108" t="s">
        <v>2900</v>
      </c>
      <c r="M4427" s="581">
        <v>12.9</v>
      </c>
      <c r="N4427" s="573">
        <v>0.2</v>
      </c>
      <c r="O4427" s="556" t="str">
        <f t="shared" si="335"/>
        <v>DIF</v>
      </c>
      <c r="P4427" s="573"/>
      <c r="Q4427" s="556"/>
      <c r="R4427" s="582"/>
    </row>
    <row r="4428" ht="26.25" spans="1:18">
      <c r="A4428" s="556" t="str">
        <f>B4428</f>
        <v>Composição Auxiliar</v>
      </c>
      <c r="B4428" s="557" t="str">
        <f>B4427</f>
        <v>Composição Auxiliar</v>
      </c>
      <c r="C4428" s="108"/>
      <c r="D4428" s="108"/>
      <c r="E4428" s="108"/>
      <c r="F4428" s="108"/>
      <c r="G4428" s="108"/>
      <c r="H4428" s="108" t="s">
        <v>2901</v>
      </c>
      <c r="I4428" s="581">
        <v>8.31</v>
      </c>
      <c r="J4428" s="114"/>
      <c r="K4428" s="114" t="s">
        <v>2902</v>
      </c>
      <c r="L4428" s="108"/>
      <c r="M4428" s="581">
        <v>40.92</v>
      </c>
      <c r="N4428" s="573">
        <v>22.45</v>
      </c>
      <c r="O4428" s="556" t="str">
        <f t="shared" si="335"/>
        <v>DIF</v>
      </c>
      <c r="P4428" s="573"/>
      <c r="Q4428" s="556"/>
      <c r="R4428" s="582"/>
    </row>
    <row r="4429" ht="15" spans="1:18">
      <c r="A4429" s="556" t="str">
        <f>B4429</f>
        <v>Composição Auxiliar</v>
      </c>
      <c r="B4429" s="557" t="str">
        <f>B4428</f>
        <v>Composição Auxiliar</v>
      </c>
      <c r="C4429" s="571"/>
      <c r="D4429" s="571"/>
      <c r="E4429" s="571"/>
      <c r="F4429" s="571"/>
      <c r="G4429" s="571"/>
      <c r="H4429" s="571"/>
      <c r="I4429" s="571"/>
      <c r="J4429" s="571"/>
      <c r="K4429" s="571"/>
      <c r="L4429" s="571"/>
      <c r="M4429" s="571"/>
      <c r="N4429" s="573">
        <v>0.2</v>
      </c>
      <c r="O4429" s="556" t="str">
        <f t="shared" si="335"/>
        <v>DIF</v>
      </c>
      <c r="P4429" s="573"/>
      <c r="Q4429" s="556"/>
      <c r="R4429" s="582"/>
    </row>
    <row r="4430" ht="15" customHeight="1" spans="1:18">
      <c r="A4430" s="556"/>
      <c r="B4430" s="557"/>
      <c r="C4430" s="76" t="s">
        <v>1538</v>
      </c>
      <c r="D4430" s="75" t="s">
        <v>63</v>
      </c>
      <c r="E4430" s="76" t="s">
        <v>64</v>
      </c>
      <c r="F4430" s="76" t="s">
        <v>65</v>
      </c>
      <c r="G4430" s="76" t="s">
        <v>2889</v>
      </c>
      <c r="H4430" s="76"/>
      <c r="I4430" s="77" t="s">
        <v>66</v>
      </c>
      <c r="J4430" s="75" t="s">
        <v>67</v>
      </c>
      <c r="K4430" s="75" t="s">
        <v>2890</v>
      </c>
      <c r="L4430" s="75" t="s">
        <v>68</v>
      </c>
      <c r="M4430" s="75" t="s">
        <v>70</v>
      </c>
      <c r="N4430" s="573"/>
      <c r="O4430" s="556"/>
      <c r="P4430" s="573"/>
      <c r="Q4430" s="556"/>
      <c r="R4430" s="582"/>
    </row>
    <row r="4431" ht="35.05" customHeight="1" spans="1:18">
      <c r="A4431" s="556"/>
      <c r="B4431" s="557"/>
      <c r="C4431" s="569" t="s">
        <v>2891</v>
      </c>
      <c r="D4431" s="570" t="s">
        <v>1101</v>
      </c>
      <c r="E4431" s="569" t="s">
        <v>139</v>
      </c>
      <c r="F4431" s="569" t="s">
        <v>1102</v>
      </c>
      <c r="G4431" s="569" t="s">
        <v>3235</v>
      </c>
      <c r="H4431" s="569"/>
      <c r="I4431" s="577" t="s">
        <v>134</v>
      </c>
      <c r="J4431" s="578">
        <v>1</v>
      </c>
      <c r="K4431" s="579"/>
      <c r="L4431" s="579">
        <v>37.88</v>
      </c>
      <c r="M4431" s="579">
        <v>37.88</v>
      </c>
      <c r="N4431" s="573"/>
      <c r="O4431" s="556"/>
      <c r="P4431" s="573"/>
      <c r="Q4431" s="556"/>
      <c r="R4431" s="582"/>
    </row>
    <row r="4432" ht="23.85" customHeight="1" spans="1:18">
      <c r="A4432" s="556"/>
      <c r="B4432" s="557" t="str">
        <f>C4431</f>
        <v>Composição</v>
      </c>
      <c r="C4432" s="79" t="s">
        <v>2921</v>
      </c>
      <c r="D4432" s="78" t="s">
        <v>3153</v>
      </c>
      <c r="E4432" s="79" t="s">
        <v>139</v>
      </c>
      <c r="F4432" s="79" t="s">
        <v>3154</v>
      </c>
      <c r="G4432" s="79" t="s">
        <v>2928</v>
      </c>
      <c r="H4432" s="79"/>
      <c r="I4432" s="80" t="s">
        <v>2897</v>
      </c>
      <c r="J4432" s="583">
        <v>0.3581</v>
      </c>
      <c r="K4432" s="583">
        <v>0</v>
      </c>
      <c r="L4432" s="92">
        <v>30.6</v>
      </c>
      <c r="M4432" s="92">
        <v>10.95</v>
      </c>
      <c r="N4432" s="573">
        <v>47.41</v>
      </c>
      <c r="O4432" s="556" t="str">
        <f t="shared" ref="O4432:O4437" si="336">IF(N4432=M4432,"OK","DIF")</f>
        <v>DIF</v>
      </c>
      <c r="P4432" s="573"/>
      <c r="Q4432" s="556"/>
      <c r="R4432" s="582"/>
    </row>
    <row r="4433" ht="23.85" customHeight="1" spans="1:18">
      <c r="A4433" s="556" t="str">
        <f>B4433</f>
        <v>Composição</v>
      </c>
      <c r="B4433" s="557" t="str">
        <f>B4432</f>
        <v>Composição</v>
      </c>
      <c r="C4433" s="79" t="s">
        <v>2921</v>
      </c>
      <c r="D4433" s="78" t="s">
        <v>3151</v>
      </c>
      <c r="E4433" s="79" t="s">
        <v>139</v>
      </c>
      <c r="F4433" s="79" t="s">
        <v>3152</v>
      </c>
      <c r="G4433" s="79" t="s">
        <v>2928</v>
      </c>
      <c r="H4433" s="79"/>
      <c r="I4433" s="80" t="s">
        <v>2897</v>
      </c>
      <c r="J4433" s="583">
        <v>0.3581</v>
      </c>
      <c r="K4433" s="583">
        <v>0</v>
      </c>
      <c r="L4433" s="92">
        <v>36.82</v>
      </c>
      <c r="M4433" s="92">
        <v>13.18</v>
      </c>
      <c r="N4433" s="573">
        <v>8.83</v>
      </c>
      <c r="O4433" s="556" t="str">
        <f t="shared" si="336"/>
        <v>DIF</v>
      </c>
      <c r="P4433" s="573"/>
      <c r="Q4433" s="556"/>
      <c r="R4433" s="582"/>
    </row>
    <row r="4434" ht="23.85" customHeight="1" spans="1:18">
      <c r="A4434" s="556" t="str">
        <f>B4434</f>
        <v>Composição</v>
      </c>
      <c r="B4434" s="557" t="str">
        <f>B4433</f>
        <v>Composição</v>
      </c>
      <c r="C4434" s="100" t="s">
        <v>2893</v>
      </c>
      <c r="D4434" s="99" t="s">
        <v>4042</v>
      </c>
      <c r="E4434" s="100" t="s">
        <v>139</v>
      </c>
      <c r="F4434" s="100" t="s">
        <v>4043</v>
      </c>
      <c r="G4434" s="100" t="s">
        <v>2961</v>
      </c>
      <c r="H4434" s="100"/>
      <c r="I4434" s="101" t="s">
        <v>134</v>
      </c>
      <c r="J4434" s="580">
        <v>1</v>
      </c>
      <c r="K4434" s="580">
        <v>0</v>
      </c>
      <c r="L4434" s="102">
        <v>13.23</v>
      </c>
      <c r="M4434" s="102">
        <v>13.23</v>
      </c>
      <c r="N4434" s="573">
        <v>10.91</v>
      </c>
      <c r="O4434" s="556" t="str">
        <f t="shared" si="336"/>
        <v>DIF</v>
      </c>
      <c r="P4434" s="573"/>
      <c r="Q4434" s="556"/>
      <c r="R4434" s="582"/>
    </row>
    <row r="4435" ht="23.85" customHeight="1" spans="1:18">
      <c r="A4435" s="556" t="str">
        <f>B4435</f>
        <v>Composição</v>
      </c>
      <c r="B4435" s="557" t="str">
        <f>B4434</f>
        <v>Composição</v>
      </c>
      <c r="C4435" s="100" t="s">
        <v>2893</v>
      </c>
      <c r="D4435" s="99" t="s">
        <v>4038</v>
      </c>
      <c r="E4435" s="100" t="s">
        <v>139</v>
      </c>
      <c r="F4435" s="100" t="s">
        <v>4039</v>
      </c>
      <c r="G4435" s="100" t="s">
        <v>2961</v>
      </c>
      <c r="H4435" s="100"/>
      <c r="I4435" s="101" t="s">
        <v>134</v>
      </c>
      <c r="J4435" s="580">
        <v>2</v>
      </c>
      <c r="K4435" s="580">
        <v>0</v>
      </c>
      <c r="L4435" s="102">
        <v>0.26</v>
      </c>
      <c r="M4435" s="102">
        <v>0.52</v>
      </c>
      <c r="N4435" s="573">
        <v>27.2</v>
      </c>
      <c r="O4435" s="556" t="str">
        <f t="shared" si="336"/>
        <v>DIF</v>
      </c>
      <c r="P4435" s="573"/>
      <c r="Q4435" s="556"/>
      <c r="R4435" s="582"/>
    </row>
    <row r="4436" ht="25.5" spans="1:18">
      <c r="A4436" s="556" t="str">
        <f>B4436</f>
        <v>Composição</v>
      </c>
      <c r="B4436" s="557" t="str">
        <f>B4435</f>
        <v>Composição</v>
      </c>
      <c r="C4436" s="108"/>
      <c r="D4436" s="108"/>
      <c r="E4436" s="108"/>
      <c r="F4436" s="108"/>
      <c r="G4436" s="108"/>
      <c r="H4436" s="108" t="s">
        <v>2898</v>
      </c>
      <c r="I4436" s="581">
        <v>16.93</v>
      </c>
      <c r="J4436" s="108" t="s">
        <v>2899</v>
      </c>
      <c r="K4436" s="581">
        <v>0</v>
      </c>
      <c r="L4436" s="108" t="s">
        <v>2900</v>
      </c>
      <c r="M4436" s="581">
        <v>16.93</v>
      </c>
      <c r="N4436" s="573">
        <v>0.25</v>
      </c>
      <c r="O4436" s="556" t="str">
        <f t="shared" si="336"/>
        <v>DIF</v>
      </c>
      <c r="P4436" s="573"/>
      <c r="Q4436" s="556"/>
      <c r="R4436" s="582"/>
    </row>
    <row r="4437" ht="26.25" spans="1:18">
      <c r="A4437" s="556" t="str">
        <f>B4437</f>
        <v>Composição</v>
      </c>
      <c r="B4437" s="557" t="str">
        <f>B4436</f>
        <v>Composição</v>
      </c>
      <c r="C4437" s="108"/>
      <c r="D4437" s="108"/>
      <c r="E4437" s="108"/>
      <c r="F4437" s="108"/>
      <c r="G4437" s="108"/>
      <c r="H4437" s="108" t="s">
        <v>2901</v>
      </c>
      <c r="I4437" s="581">
        <v>9.65</v>
      </c>
      <c r="J4437" s="114"/>
      <c r="K4437" s="114" t="s">
        <v>2902</v>
      </c>
      <c r="L4437" s="108"/>
      <c r="M4437" s="581">
        <v>47.53</v>
      </c>
      <c r="N4437" s="573">
        <v>0.22</v>
      </c>
      <c r="O4437" s="556" t="str">
        <f t="shared" si="336"/>
        <v>DIF</v>
      </c>
      <c r="P4437" s="573"/>
      <c r="Q4437" s="556"/>
      <c r="R4437" s="582"/>
    </row>
    <row r="4438" ht="15" spans="1:18">
      <c r="A4438" s="556"/>
      <c r="B4438" s="557"/>
      <c r="C4438" s="571"/>
      <c r="D4438" s="571"/>
      <c r="E4438" s="571"/>
      <c r="F4438" s="571"/>
      <c r="G4438" s="571"/>
      <c r="H4438" s="571"/>
      <c r="I4438" s="571"/>
      <c r="J4438" s="571"/>
      <c r="K4438" s="571"/>
      <c r="L4438" s="571"/>
      <c r="M4438" s="571"/>
      <c r="N4438" s="573"/>
      <c r="O4438" s="556"/>
      <c r="P4438" s="573"/>
      <c r="Q4438" s="556"/>
      <c r="R4438" s="582"/>
    </row>
    <row r="4439" ht="15" customHeight="1" spans="1:18">
      <c r="A4439" s="556"/>
      <c r="B4439" s="557"/>
      <c r="C4439" s="76" t="s">
        <v>1539</v>
      </c>
      <c r="D4439" s="75" t="s">
        <v>63</v>
      </c>
      <c r="E4439" s="76" t="s">
        <v>64</v>
      </c>
      <c r="F4439" s="76" t="s">
        <v>65</v>
      </c>
      <c r="G4439" s="76" t="s">
        <v>2889</v>
      </c>
      <c r="H4439" s="76"/>
      <c r="I4439" s="77" t="s">
        <v>66</v>
      </c>
      <c r="J4439" s="75" t="s">
        <v>67</v>
      </c>
      <c r="K4439" s="75" t="s">
        <v>2890</v>
      </c>
      <c r="L4439" s="75" t="s">
        <v>68</v>
      </c>
      <c r="M4439" s="75" t="s">
        <v>70</v>
      </c>
      <c r="N4439" s="573"/>
      <c r="O4439" s="556"/>
      <c r="P4439" s="573"/>
      <c r="Q4439" s="556"/>
      <c r="R4439" s="582"/>
    </row>
    <row r="4440" ht="35.05" customHeight="1" spans="1:18">
      <c r="A4440" s="556"/>
      <c r="B4440" s="557" t="str">
        <f>C4439</f>
        <v> 12.5.1.29 </v>
      </c>
      <c r="C4440" s="569" t="s">
        <v>2891</v>
      </c>
      <c r="D4440" s="570" t="s">
        <v>1104</v>
      </c>
      <c r="E4440" s="569" t="s">
        <v>139</v>
      </c>
      <c r="F4440" s="569" t="s">
        <v>1105</v>
      </c>
      <c r="G4440" s="569" t="s">
        <v>3235</v>
      </c>
      <c r="H4440" s="569"/>
      <c r="I4440" s="577" t="s">
        <v>134</v>
      </c>
      <c r="J4440" s="578">
        <v>1</v>
      </c>
      <c r="K4440" s="579"/>
      <c r="L4440" s="579">
        <v>33.25</v>
      </c>
      <c r="M4440" s="579">
        <v>33.25</v>
      </c>
      <c r="N4440" s="573">
        <v>65.33</v>
      </c>
      <c r="O4440" s="556" t="str">
        <f t="shared" ref="O4440:O4445" si="337">IF(N4440=M4440,"OK","DIF")</f>
        <v>DIF</v>
      </c>
      <c r="P4440" s="573"/>
      <c r="Q4440" s="556"/>
      <c r="R4440" s="582"/>
    </row>
    <row r="4441" ht="23.85" customHeight="1" spans="1:18">
      <c r="A4441" s="556" t="str">
        <f>B4441</f>
        <v> 12.5.1.29 </v>
      </c>
      <c r="B4441" s="557" t="str">
        <f>B4440</f>
        <v> 12.5.1.29 </v>
      </c>
      <c r="C4441" s="79" t="s">
        <v>2921</v>
      </c>
      <c r="D4441" s="78" t="s">
        <v>3153</v>
      </c>
      <c r="E4441" s="79" t="s">
        <v>139</v>
      </c>
      <c r="F4441" s="79" t="s">
        <v>3154</v>
      </c>
      <c r="G4441" s="79" t="s">
        <v>2928</v>
      </c>
      <c r="H4441" s="79"/>
      <c r="I4441" s="80" t="s">
        <v>2897</v>
      </c>
      <c r="J4441" s="583">
        <v>0.3154</v>
      </c>
      <c r="K4441" s="583">
        <v>0</v>
      </c>
      <c r="L4441" s="92">
        <v>30.6</v>
      </c>
      <c r="M4441" s="92">
        <v>9.65</v>
      </c>
      <c r="N4441" s="573">
        <v>11.72</v>
      </c>
      <c r="O4441" s="556" t="str">
        <f t="shared" si="337"/>
        <v>DIF</v>
      </c>
      <c r="P4441" s="573"/>
      <c r="Q4441" s="556"/>
      <c r="R4441" s="582"/>
    </row>
    <row r="4442" ht="23.85" customHeight="1" spans="1:18">
      <c r="A4442" s="556" t="str">
        <f>B4442</f>
        <v> 12.5.1.29 </v>
      </c>
      <c r="B4442" s="557" t="str">
        <f>B4441</f>
        <v> 12.5.1.29 </v>
      </c>
      <c r="C4442" s="79" t="s">
        <v>2921</v>
      </c>
      <c r="D4442" s="78" t="s">
        <v>3151</v>
      </c>
      <c r="E4442" s="79" t="s">
        <v>139</v>
      </c>
      <c r="F4442" s="79" t="s">
        <v>3152</v>
      </c>
      <c r="G4442" s="79" t="s">
        <v>2928</v>
      </c>
      <c r="H4442" s="79"/>
      <c r="I4442" s="80" t="s">
        <v>2897</v>
      </c>
      <c r="J4442" s="583">
        <v>0.3154</v>
      </c>
      <c r="K4442" s="583">
        <v>0</v>
      </c>
      <c r="L4442" s="92">
        <v>36.82</v>
      </c>
      <c r="M4442" s="92">
        <v>11.61</v>
      </c>
      <c r="N4442" s="573">
        <v>9.49</v>
      </c>
      <c r="O4442" s="556" t="str">
        <f t="shared" si="337"/>
        <v>DIF</v>
      </c>
      <c r="P4442" s="573"/>
      <c r="Q4442" s="556"/>
      <c r="R4442" s="582"/>
    </row>
    <row r="4443" ht="23.85" customHeight="1" spans="1:18">
      <c r="A4443" s="556" t="str">
        <f>B4443</f>
        <v> 12.5.1.29 </v>
      </c>
      <c r="B4443" s="557" t="str">
        <f>B4442</f>
        <v> 12.5.1.29 </v>
      </c>
      <c r="C4443" s="100" t="s">
        <v>2893</v>
      </c>
      <c r="D4443" s="99" t="s">
        <v>4038</v>
      </c>
      <c r="E4443" s="100" t="s">
        <v>139</v>
      </c>
      <c r="F4443" s="100" t="s">
        <v>4039</v>
      </c>
      <c r="G4443" s="100" t="s">
        <v>2961</v>
      </c>
      <c r="H4443" s="100"/>
      <c r="I4443" s="101" t="s">
        <v>134</v>
      </c>
      <c r="J4443" s="580">
        <v>2</v>
      </c>
      <c r="K4443" s="580">
        <v>0</v>
      </c>
      <c r="L4443" s="102">
        <v>0.26</v>
      </c>
      <c r="M4443" s="102">
        <v>0.52</v>
      </c>
      <c r="N4443" s="573">
        <v>43.54</v>
      </c>
      <c r="O4443" s="556" t="str">
        <f t="shared" si="337"/>
        <v>DIF</v>
      </c>
      <c r="P4443" s="573"/>
      <c r="Q4443" s="556"/>
      <c r="R4443" s="582"/>
    </row>
    <row r="4444" ht="23.85" customHeight="1" spans="1:18">
      <c r="A4444" s="556" t="str">
        <f>B4444</f>
        <v> 12.5.1.29 </v>
      </c>
      <c r="B4444" s="557" t="str">
        <f>B4443</f>
        <v> 12.5.1.29 </v>
      </c>
      <c r="C4444" s="100" t="s">
        <v>2893</v>
      </c>
      <c r="D4444" s="99" t="s">
        <v>4044</v>
      </c>
      <c r="E4444" s="100" t="s">
        <v>139</v>
      </c>
      <c r="F4444" s="100" t="s">
        <v>4045</v>
      </c>
      <c r="G4444" s="100" t="s">
        <v>2961</v>
      </c>
      <c r="H4444" s="100"/>
      <c r="I4444" s="101" t="s">
        <v>134</v>
      </c>
      <c r="J4444" s="580">
        <v>1</v>
      </c>
      <c r="K4444" s="580">
        <v>0</v>
      </c>
      <c r="L4444" s="102">
        <v>11.47</v>
      </c>
      <c r="M4444" s="102">
        <v>11.47</v>
      </c>
      <c r="N4444" s="573">
        <v>0.3</v>
      </c>
      <c r="O4444" s="556" t="str">
        <f t="shared" si="337"/>
        <v>DIF</v>
      </c>
      <c r="P4444" s="573"/>
      <c r="Q4444" s="556"/>
      <c r="R4444" s="582"/>
    </row>
    <row r="4445" ht="25.5" spans="1:18">
      <c r="A4445" s="556" t="str">
        <f>B4445</f>
        <v> 12.5.1.29 </v>
      </c>
      <c r="B4445" s="557" t="str">
        <f>B4444</f>
        <v> 12.5.1.29 </v>
      </c>
      <c r="C4445" s="108"/>
      <c r="D4445" s="108"/>
      <c r="E4445" s="108"/>
      <c r="F4445" s="108"/>
      <c r="G4445" s="108"/>
      <c r="H4445" s="108" t="s">
        <v>2898</v>
      </c>
      <c r="I4445" s="581">
        <v>14.92</v>
      </c>
      <c r="J4445" s="108" t="s">
        <v>2899</v>
      </c>
      <c r="K4445" s="581">
        <v>0</v>
      </c>
      <c r="L4445" s="108" t="s">
        <v>2900</v>
      </c>
      <c r="M4445" s="581">
        <v>14.92</v>
      </c>
      <c r="N4445" s="573">
        <v>0.28</v>
      </c>
      <c r="O4445" s="556" t="str">
        <f t="shared" si="337"/>
        <v>DIF</v>
      </c>
      <c r="P4445" s="573"/>
      <c r="Q4445" s="556"/>
      <c r="R4445" s="582"/>
    </row>
    <row r="4446" ht="26.25" spans="1:18">
      <c r="A4446" s="556"/>
      <c r="B4446" s="557"/>
      <c r="C4446" s="108"/>
      <c r="D4446" s="108"/>
      <c r="E4446" s="108"/>
      <c r="F4446" s="108"/>
      <c r="G4446" s="108"/>
      <c r="H4446" s="108" t="s">
        <v>2901</v>
      </c>
      <c r="I4446" s="581">
        <v>8.47</v>
      </c>
      <c r="J4446" s="114"/>
      <c r="K4446" s="114" t="s">
        <v>2902</v>
      </c>
      <c r="L4446" s="108"/>
      <c r="M4446" s="581">
        <v>41.72</v>
      </c>
      <c r="N4446" s="573"/>
      <c r="O4446" s="556"/>
      <c r="P4446" s="573"/>
      <c r="Q4446" s="556"/>
      <c r="R4446" s="582"/>
    </row>
    <row r="4447" ht="15" spans="1:18">
      <c r="A4447" s="556"/>
      <c r="B4447" s="557"/>
      <c r="C4447" s="571"/>
      <c r="D4447" s="571"/>
      <c r="E4447" s="571"/>
      <c r="F4447" s="571"/>
      <c r="G4447" s="571"/>
      <c r="H4447" s="571"/>
      <c r="I4447" s="571"/>
      <c r="J4447" s="571"/>
      <c r="K4447" s="571"/>
      <c r="L4447" s="571"/>
      <c r="M4447" s="571"/>
      <c r="N4447" s="573"/>
      <c r="O4447" s="556"/>
      <c r="P4447" s="573"/>
      <c r="Q4447" s="556"/>
      <c r="R4447" s="582"/>
    </row>
    <row r="4448" ht="15" customHeight="1" spans="1:18">
      <c r="A4448" s="556"/>
      <c r="B4448" s="557">
        <f>C4447</f>
        <v>0</v>
      </c>
      <c r="C4448" s="76" t="s">
        <v>1540</v>
      </c>
      <c r="D4448" s="75" t="s">
        <v>63</v>
      </c>
      <c r="E4448" s="76" t="s">
        <v>64</v>
      </c>
      <c r="F4448" s="76" t="s">
        <v>65</v>
      </c>
      <c r="G4448" s="76" t="s">
        <v>2889</v>
      </c>
      <c r="H4448" s="76"/>
      <c r="I4448" s="77" t="s">
        <v>66</v>
      </c>
      <c r="J4448" s="75" t="s">
        <v>67</v>
      </c>
      <c r="K4448" s="75" t="s">
        <v>2890</v>
      </c>
      <c r="L4448" s="75" t="s">
        <v>68</v>
      </c>
      <c r="M4448" s="75" t="s">
        <v>70</v>
      </c>
      <c r="N4448" s="573">
        <v>44.85</v>
      </c>
      <c r="O4448" s="556" t="str">
        <f t="shared" ref="O4448:O4453" si="338">IF(N4448=M4448,"OK","DIF")</f>
        <v>DIF</v>
      </c>
      <c r="P4448" s="573"/>
      <c r="Q4448" s="556"/>
      <c r="R4448" s="582"/>
    </row>
    <row r="4449" ht="35.05" customHeight="1" spans="1:18">
      <c r="A4449" s="556">
        <f>B4449</f>
        <v>0</v>
      </c>
      <c r="B4449" s="557">
        <f>B4448</f>
        <v>0</v>
      </c>
      <c r="C4449" s="569" t="s">
        <v>2891</v>
      </c>
      <c r="D4449" s="570" t="s">
        <v>227</v>
      </c>
      <c r="E4449" s="569" t="s">
        <v>139</v>
      </c>
      <c r="F4449" s="569" t="s">
        <v>228</v>
      </c>
      <c r="G4449" s="569" t="s">
        <v>3150</v>
      </c>
      <c r="H4449" s="569"/>
      <c r="I4449" s="577" t="s">
        <v>204</v>
      </c>
      <c r="J4449" s="578">
        <v>1</v>
      </c>
      <c r="K4449" s="579"/>
      <c r="L4449" s="579">
        <v>4.98</v>
      </c>
      <c r="M4449" s="579">
        <v>4.98</v>
      </c>
      <c r="N4449" s="573">
        <v>1.83</v>
      </c>
      <c r="O4449" s="556" t="str">
        <f t="shared" si="338"/>
        <v>DIF</v>
      </c>
      <c r="P4449" s="573"/>
      <c r="Q4449" s="556"/>
      <c r="R4449" s="582"/>
    </row>
    <row r="4450" ht="23.85" customHeight="1" spans="1:18">
      <c r="A4450" s="556">
        <f>B4450</f>
        <v>0</v>
      </c>
      <c r="B4450" s="557">
        <f>B4449</f>
        <v>0</v>
      </c>
      <c r="C4450" s="79" t="s">
        <v>2921</v>
      </c>
      <c r="D4450" s="78" t="s">
        <v>3151</v>
      </c>
      <c r="E4450" s="79" t="s">
        <v>139</v>
      </c>
      <c r="F4450" s="79" t="s">
        <v>3152</v>
      </c>
      <c r="G4450" s="79" t="s">
        <v>2928</v>
      </c>
      <c r="H4450" s="79"/>
      <c r="I4450" s="80" t="s">
        <v>2897</v>
      </c>
      <c r="J4450" s="583">
        <v>0.029</v>
      </c>
      <c r="K4450" s="583">
        <v>0</v>
      </c>
      <c r="L4450" s="92">
        <v>36.82</v>
      </c>
      <c r="M4450" s="92">
        <v>1.06</v>
      </c>
      <c r="N4450" s="573">
        <v>2.26</v>
      </c>
      <c r="O4450" s="556" t="str">
        <f t="shared" si="338"/>
        <v>DIF</v>
      </c>
      <c r="P4450" s="573"/>
      <c r="Q4450" s="556"/>
      <c r="R4450" s="582"/>
    </row>
    <row r="4451" ht="23.85" customHeight="1" spans="1:18">
      <c r="A4451" s="556">
        <f>B4451</f>
        <v>0</v>
      </c>
      <c r="B4451" s="557">
        <f>B4450</f>
        <v>0</v>
      </c>
      <c r="C4451" s="79" t="s">
        <v>2921</v>
      </c>
      <c r="D4451" s="78" t="s">
        <v>3153</v>
      </c>
      <c r="E4451" s="79" t="s">
        <v>139</v>
      </c>
      <c r="F4451" s="79" t="s">
        <v>3154</v>
      </c>
      <c r="G4451" s="79" t="s">
        <v>2928</v>
      </c>
      <c r="H4451" s="79"/>
      <c r="I4451" s="80" t="s">
        <v>2897</v>
      </c>
      <c r="J4451" s="583">
        <v>0.029</v>
      </c>
      <c r="K4451" s="583">
        <v>0</v>
      </c>
      <c r="L4451" s="92">
        <v>30.6</v>
      </c>
      <c r="M4451" s="92">
        <v>0.88</v>
      </c>
      <c r="N4451" s="573">
        <v>0.04</v>
      </c>
      <c r="O4451" s="556" t="str">
        <f t="shared" si="338"/>
        <v>DIF</v>
      </c>
      <c r="P4451" s="573"/>
      <c r="Q4451" s="556"/>
      <c r="R4451" s="582"/>
    </row>
    <row r="4452" ht="23.85" customHeight="1" spans="1:18">
      <c r="A4452" s="556">
        <f>B4452</f>
        <v>0</v>
      </c>
      <c r="B4452" s="557">
        <f>B4451</f>
        <v>0</v>
      </c>
      <c r="C4452" s="100" t="s">
        <v>2893</v>
      </c>
      <c r="D4452" s="99" t="s">
        <v>3161</v>
      </c>
      <c r="E4452" s="100" t="s">
        <v>139</v>
      </c>
      <c r="F4452" s="100" t="s">
        <v>3162</v>
      </c>
      <c r="G4452" s="100" t="s">
        <v>2961</v>
      </c>
      <c r="H4452" s="100"/>
      <c r="I4452" s="101" t="s">
        <v>134</v>
      </c>
      <c r="J4452" s="580">
        <v>0.0094</v>
      </c>
      <c r="K4452" s="580">
        <v>0</v>
      </c>
      <c r="L4452" s="102">
        <v>10.55</v>
      </c>
      <c r="M4452" s="102">
        <v>0.09</v>
      </c>
      <c r="N4452" s="573">
        <v>5.72</v>
      </c>
      <c r="O4452" s="556" t="str">
        <f t="shared" si="338"/>
        <v>DIF</v>
      </c>
      <c r="P4452" s="573"/>
      <c r="Q4452" s="556"/>
      <c r="R4452" s="582"/>
    </row>
    <row r="4453" ht="23.85" customHeight="1" spans="1:18">
      <c r="A4453" s="556">
        <f>B4453</f>
        <v>0</v>
      </c>
      <c r="B4453" s="557">
        <f>B4452</f>
        <v>0</v>
      </c>
      <c r="C4453" s="100" t="s">
        <v>2893</v>
      </c>
      <c r="D4453" s="99" t="s">
        <v>3163</v>
      </c>
      <c r="E4453" s="100" t="s">
        <v>139</v>
      </c>
      <c r="F4453" s="100" t="s">
        <v>3164</v>
      </c>
      <c r="G4453" s="100" t="s">
        <v>2961</v>
      </c>
      <c r="H4453" s="100"/>
      <c r="I4453" s="101" t="s">
        <v>204</v>
      </c>
      <c r="J4453" s="580">
        <v>1.2434</v>
      </c>
      <c r="K4453" s="580">
        <v>0</v>
      </c>
      <c r="L4453" s="102">
        <v>2.38</v>
      </c>
      <c r="M4453" s="102">
        <v>2.95</v>
      </c>
      <c r="N4453" s="573">
        <v>35</v>
      </c>
      <c r="O4453" s="556" t="str">
        <f t="shared" si="338"/>
        <v>DIF</v>
      </c>
      <c r="P4453" s="573"/>
      <c r="Q4453" s="556"/>
      <c r="R4453" s="582"/>
    </row>
    <row r="4454" ht="25.5" spans="1:18">
      <c r="A4454" s="556"/>
      <c r="B4454" s="557"/>
      <c r="C4454" s="108"/>
      <c r="D4454" s="108"/>
      <c r="E4454" s="108"/>
      <c r="F4454" s="108"/>
      <c r="G4454" s="108"/>
      <c r="H4454" s="108" t="s">
        <v>2898</v>
      </c>
      <c r="I4454" s="581">
        <v>1.36</v>
      </c>
      <c r="J4454" s="108" t="s">
        <v>2899</v>
      </c>
      <c r="K4454" s="581">
        <v>0</v>
      </c>
      <c r="L4454" s="108" t="s">
        <v>2900</v>
      </c>
      <c r="M4454" s="581">
        <v>1.36</v>
      </c>
      <c r="N4454" s="573"/>
      <c r="O4454" s="556"/>
      <c r="P4454" s="573"/>
      <c r="Q4454" s="556"/>
      <c r="R4454" s="582"/>
    </row>
    <row r="4455" ht="26.25" spans="1:18">
      <c r="A4455" s="556"/>
      <c r="B4455" s="557"/>
      <c r="C4455" s="108"/>
      <c r="D4455" s="108"/>
      <c r="E4455" s="108"/>
      <c r="F4455" s="108"/>
      <c r="G4455" s="108"/>
      <c r="H4455" s="108" t="s">
        <v>2901</v>
      </c>
      <c r="I4455" s="581">
        <v>1.26</v>
      </c>
      <c r="J4455" s="114"/>
      <c r="K4455" s="114" t="s">
        <v>2902</v>
      </c>
      <c r="L4455" s="108"/>
      <c r="M4455" s="581">
        <v>6.24</v>
      </c>
      <c r="N4455" s="573"/>
      <c r="O4455" s="556"/>
      <c r="P4455" s="573"/>
      <c r="Q4455" s="556"/>
      <c r="R4455" s="582"/>
    </row>
    <row r="4456" ht="15" spans="1:18">
      <c r="A4456" s="556"/>
      <c r="B4456" s="557">
        <f>C4455</f>
        <v>0</v>
      </c>
      <c r="C4456" s="571"/>
      <c r="D4456" s="571"/>
      <c r="E4456" s="571"/>
      <c r="F4456" s="571"/>
      <c r="G4456" s="571"/>
      <c r="H4456" s="571"/>
      <c r="I4456" s="571"/>
      <c r="J4456" s="571"/>
      <c r="K4456" s="571"/>
      <c r="L4456" s="571"/>
      <c r="M4456" s="571"/>
      <c r="N4456" s="573">
        <v>37.85</v>
      </c>
      <c r="O4456" s="556" t="str">
        <f t="shared" ref="O4456:O4461" si="339">IF(N4456=M4456,"OK","DIF")</f>
        <v>DIF</v>
      </c>
      <c r="P4456" s="573"/>
      <c r="Q4456" s="556"/>
      <c r="R4456" s="582"/>
    </row>
    <row r="4457" ht="15" customHeight="1" spans="1:18">
      <c r="A4457" s="556">
        <f>B4457</f>
        <v>0</v>
      </c>
      <c r="B4457" s="557">
        <f>B4456</f>
        <v>0</v>
      </c>
      <c r="C4457" s="76" t="s">
        <v>1541</v>
      </c>
      <c r="D4457" s="75" t="s">
        <v>63</v>
      </c>
      <c r="E4457" s="76" t="s">
        <v>64</v>
      </c>
      <c r="F4457" s="76" t="s">
        <v>65</v>
      </c>
      <c r="G4457" s="76" t="s">
        <v>2889</v>
      </c>
      <c r="H4457" s="76"/>
      <c r="I4457" s="77" t="s">
        <v>66</v>
      </c>
      <c r="J4457" s="75" t="s">
        <v>67</v>
      </c>
      <c r="K4457" s="75" t="s">
        <v>2890</v>
      </c>
      <c r="L4457" s="75" t="s">
        <v>68</v>
      </c>
      <c r="M4457" s="75" t="s">
        <v>70</v>
      </c>
      <c r="N4457" s="573">
        <v>1.83</v>
      </c>
      <c r="O4457" s="556" t="str">
        <f t="shared" si="339"/>
        <v>DIF</v>
      </c>
      <c r="P4457" s="573"/>
      <c r="Q4457" s="556"/>
      <c r="R4457" s="582"/>
    </row>
    <row r="4458" ht="23.85" customHeight="1" spans="1:18">
      <c r="A4458" s="556">
        <f>B4458</f>
        <v>0</v>
      </c>
      <c r="B4458" s="557">
        <f>B4457</f>
        <v>0</v>
      </c>
      <c r="C4458" s="569" t="s">
        <v>2891</v>
      </c>
      <c r="D4458" s="570" t="s">
        <v>1542</v>
      </c>
      <c r="E4458" s="569" t="s">
        <v>132</v>
      </c>
      <c r="F4458" s="569" t="s">
        <v>1543</v>
      </c>
      <c r="G4458" s="569" t="s">
        <v>3996</v>
      </c>
      <c r="H4458" s="569"/>
      <c r="I4458" s="577" t="s">
        <v>134</v>
      </c>
      <c r="J4458" s="578">
        <v>1</v>
      </c>
      <c r="K4458" s="579"/>
      <c r="L4458" s="579">
        <v>5850</v>
      </c>
      <c r="M4458" s="579">
        <v>5850</v>
      </c>
      <c r="N4458" s="573">
        <v>2.26</v>
      </c>
      <c r="O4458" s="556" t="str">
        <f t="shared" si="339"/>
        <v>DIF</v>
      </c>
      <c r="P4458" s="573"/>
      <c r="Q4458" s="556"/>
      <c r="R4458" s="582"/>
    </row>
    <row r="4459" ht="15" customHeight="1" spans="1:18">
      <c r="A4459" s="556">
        <f>B4459</f>
        <v>0</v>
      </c>
      <c r="B4459" s="557">
        <f>B4458</f>
        <v>0</v>
      </c>
      <c r="C4459" s="100" t="s">
        <v>2893</v>
      </c>
      <c r="D4459" s="99" t="s">
        <v>4374</v>
      </c>
      <c r="E4459" s="100" t="s">
        <v>132</v>
      </c>
      <c r="F4459" s="100" t="s">
        <v>1543</v>
      </c>
      <c r="G4459" s="100" t="s">
        <v>4145</v>
      </c>
      <c r="H4459" s="100"/>
      <c r="I4459" s="101" t="s">
        <v>134</v>
      </c>
      <c r="J4459" s="580">
        <v>1</v>
      </c>
      <c r="K4459" s="580">
        <v>0</v>
      </c>
      <c r="L4459" s="102">
        <v>5850</v>
      </c>
      <c r="M4459" s="102">
        <v>5850</v>
      </c>
      <c r="N4459" s="573">
        <v>28</v>
      </c>
      <c r="O4459" s="556" t="str">
        <f t="shared" si="339"/>
        <v>DIF</v>
      </c>
      <c r="P4459" s="573"/>
      <c r="Q4459" s="556"/>
      <c r="R4459" s="582"/>
    </row>
    <row r="4460" ht="25.5" spans="1:18">
      <c r="A4460" s="556">
        <f>B4460</f>
        <v>0</v>
      </c>
      <c r="B4460" s="557">
        <f>B4459</f>
        <v>0</v>
      </c>
      <c r="C4460" s="108"/>
      <c r="D4460" s="108"/>
      <c r="E4460" s="108"/>
      <c r="F4460" s="108"/>
      <c r="G4460" s="108"/>
      <c r="H4460" s="108" t="s">
        <v>2898</v>
      </c>
      <c r="I4460" s="581">
        <v>0</v>
      </c>
      <c r="J4460" s="108" t="s">
        <v>2899</v>
      </c>
      <c r="K4460" s="581">
        <v>0</v>
      </c>
      <c r="L4460" s="108" t="s">
        <v>2900</v>
      </c>
      <c r="M4460" s="581">
        <v>0</v>
      </c>
      <c r="N4460" s="573">
        <v>5.72</v>
      </c>
      <c r="O4460" s="556" t="str">
        <f t="shared" si="339"/>
        <v>DIF</v>
      </c>
      <c r="P4460" s="573"/>
      <c r="Q4460" s="556"/>
      <c r="R4460" s="582"/>
    </row>
    <row r="4461" ht="26.25" spans="1:18">
      <c r="A4461" s="556">
        <f>B4461</f>
        <v>0</v>
      </c>
      <c r="B4461" s="557">
        <f>B4460</f>
        <v>0</v>
      </c>
      <c r="C4461" s="108"/>
      <c r="D4461" s="108"/>
      <c r="E4461" s="108"/>
      <c r="F4461" s="108"/>
      <c r="G4461" s="108"/>
      <c r="H4461" s="108" t="s">
        <v>2901</v>
      </c>
      <c r="I4461" s="581">
        <v>1491.16</v>
      </c>
      <c r="J4461" s="114"/>
      <c r="K4461" s="114" t="s">
        <v>2902</v>
      </c>
      <c r="L4461" s="108"/>
      <c r="M4461" s="581">
        <v>7341.16</v>
      </c>
      <c r="N4461" s="573">
        <v>0.04</v>
      </c>
      <c r="O4461" s="556" t="str">
        <f t="shared" si="339"/>
        <v>DIF</v>
      </c>
      <c r="P4461" s="573"/>
      <c r="Q4461" s="556"/>
      <c r="R4461" s="582"/>
    </row>
    <row r="4462" ht="15" spans="1:18">
      <c r="A4462" s="556"/>
      <c r="B4462" s="557"/>
      <c r="C4462" s="571"/>
      <c r="D4462" s="571"/>
      <c r="E4462" s="571"/>
      <c r="F4462" s="571"/>
      <c r="G4462" s="571"/>
      <c r="H4462" s="571"/>
      <c r="I4462" s="571"/>
      <c r="J4462" s="571"/>
      <c r="K4462" s="571"/>
      <c r="L4462" s="571"/>
      <c r="M4462" s="571"/>
      <c r="N4462" s="573"/>
      <c r="O4462" s="556"/>
      <c r="P4462" s="573"/>
      <c r="Q4462" s="556"/>
      <c r="R4462" s="582"/>
    </row>
    <row r="4463" ht="15" customHeight="1" spans="1:18">
      <c r="A4463" s="556"/>
      <c r="B4463" s="557"/>
      <c r="C4463" s="76" t="s">
        <v>1546</v>
      </c>
      <c r="D4463" s="75" t="s">
        <v>63</v>
      </c>
      <c r="E4463" s="76" t="s">
        <v>64</v>
      </c>
      <c r="F4463" s="76" t="s">
        <v>65</v>
      </c>
      <c r="G4463" s="76" t="s">
        <v>2889</v>
      </c>
      <c r="H4463" s="76"/>
      <c r="I4463" s="77" t="s">
        <v>66</v>
      </c>
      <c r="J4463" s="75" t="s">
        <v>67</v>
      </c>
      <c r="K4463" s="75" t="s">
        <v>2890</v>
      </c>
      <c r="L4463" s="75" t="s">
        <v>68</v>
      </c>
      <c r="M4463" s="75" t="s">
        <v>70</v>
      </c>
      <c r="N4463" s="573"/>
      <c r="O4463" s="556"/>
      <c r="P4463" s="573"/>
      <c r="Q4463" s="556"/>
      <c r="R4463" s="582"/>
    </row>
    <row r="4464" ht="46.25" customHeight="1" spans="1:18">
      <c r="A4464" s="556"/>
      <c r="B4464" s="557" t="str">
        <f>C4463</f>
        <v> 12.5.2.1 </v>
      </c>
      <c r="C4464" s="569" t="s">
        <v>2891</v>
      </c>
      <c r="D4464" s="570" t="s">
        <v>1547</v>
      </c>
      <c r="E4464" s="569" t="s">
        <v>139</v>
      </c>
      <c r="F4464" s="569" t="s">
        <v>1548</v>
      </c>
      <c r="G4464" s="569" t="s">
        <v>4375</v>
      </c>
      <c r="H4464" s="569"/>
      <c r="I4464" s="577" t="s">
        <v>141</v>
      </c>
      <c r="J4464" s="578">
        <v>1</v>
      </c>
      <c r="K4464" s="579"/>
      <c r="L4464" s="579">
        <v>62.37</v>
      </c>
      <c r="M4464" s="579">
        <v>62.37</v>
      </c>
      <c r="N4464" s="573">
        <v>691.06</v>
      </c>
      <c r="O4464" s="556" t="str">
        <f>IF(N4464=M4464,"OK","DIF")</f>
        <v>DIF</v>
      </c>
      <c r="P4464" s="573"/>
      <c r="Q4464" s="556"/>
      <c r="R4464" s="582"/>
    </row>
    <row r="4465" ht="35.05" customHeight="1" spans="1:18">
      <c r="A4465" s="556" t="str">
        <f>B4465</f>
        <v> 12.5.2.1 </v>
      </c>
      <c r="B4465" s="557" t="str">
        <f>B4464</f>
        <v> 12.5.2.1 </v>
      </c>
      <c r="C4465" s="79" t="s">
        <v>2921</v>
      </c>
      <c r="D4465" s="78" t="s">
        <v>4376</v>
      </c>
      <c r="E4465" s="79" t="s">
        <v>139</v>
      </c>
      <c r="F4465" s="79" t="s">
        <v>4377</v>
      </c>
      <c r="G4465" s="79" t="s">
        <v>2995</v>
      </c>
      <c r="H4465" s="79"/>
      <c r="I4465" s="80" t="s">
        <v>2996</v>
      </c>
      <c r="J4465" s="583">
        <v>0.4131</v>
      </c>
      <c r="K4465" s="583">
        <v>0</v>
      </c>
      <c r="L4465" s="92">
        <v>0.73</v>
      </c>
      <c r="M4465" s="92">
        <v>0.3</v>
      </c>
      <c r="N4465" s="573">
        <v>1.14</v>
      </c>
      <c r="O4465" s="556" t="str">
        <f>IF(N4465=M4465,"OK","DIF")</f>
        <v>DIF</v>
      </c>
      <c r="P4465" s="573"/>
      <c r="Q4465" s="556"/>
      <c r="R4465" s="582"/>
    </row>
    <row r="4466" ht="23.85" customHeight="1" spans="1:18">
      <c r="A4466" s="556" t="str">
        <f>B4466</f>
        <v> 12.5.2.1 </v>
      </c>
      <c r="B4466" s="557" t="str">
        <f>B4465</f>
        <v> 12.5.2.1 </v>
      </c>
      <c r="C4466" s="79" t="s">
        <v>2921</v>
      </c>
      <c r="D4466" s="78" t="s">
        <v>2952</v>
      </c>
      <c r="E4466" s="79" t="s">
        <v>139</v>
      </c>
      <c r="F4466" s="79" t="s">
        <v>2953</v>
      </c>
      <c r="G4466" s="79" t="s">
        <v>2928</v>
      </c>
      <c r="H4466" s="79"/>
      <c r="I4466" s="80" t="s">
        <v>2897</v>
      </c>
      <c r="J4466" s="583">
        <v>1.6978</v>
      </c>
      <c r="K4466" s="583">
        <v>0</v>
      </c>
      <c r="L4466" s="92">
        <v>29.15</v>
      </c>
      <c r="M4466" s="92">
        <v>49.49</v>
      </c>
      <c r="N4466" s="573">
        <v>25.26</v>
      </c>
      <c r="O4466" s="556" t="str">
        <f>IF(N4466=M4466,"OK","DIF")</f>
        <v>DIF</v>
      </c>
      <c r="P4466" s="573"/>
      <c r="Q4466" s="556"/>
      <c r="R4466" s="582"/>
    </row>
    <row r="4467" ht="35.05" customHeight="1" spans="1:18">
      <c r="A4467" s="556" t="str">
        <f>B4467</f>
        <v> 12.5.2.1 </v>
      </c>
      <c r="B4467" s="557" t="str">
        <f>B4466</f>
        <v> 12.5.2.1 </v>
      </c>
      <c r="C4467" s="79" t="s">
        <v>2921</v>
      </c>
      <c r="D4467" s="78" t="s">
        <v>4071</v>
      </c>
      <c r="E4467" s="79" t="s">
        <v>139</v>
      </c>
      <c r="F4467" s="79" t="s">
        <v>4072</v>
      </c>
      <c r="G4467" s="79" t="s">
        <v>2995</v>
      </c>
      <c r="H4467" s="79"/>
      <c r="I4467" s="80" t="s">
        <v>3002</v>
      </c>
      <c r="J4467" s="583">
        <v>0.0113</v>
      </c>
      <c r="K4467" s="583">
        <v>0</v>
      </c>
      <c r="L4467" s="92">
        <v>10.19</v>
      </c>
      <c r="M4467" s="92">
        <v>0.11</v>
      </c>
      <c r="N4467" s="573">
        <v>643.74</v>
      </c>
      <c r="O4467" s="556" t="str">
        <f>IF(N4467=M4467,"OK","DIF")</f>
        <v>DIF</v>
      </c>
      <c r="P4467" s="573"/>
      <c r="Q4467" s="556"/>
      <c r="R4467" s="582"/>
    </row>
    <row r="4468" ht="23.85" customHeight="1" spans="1:18">
      <c r="A4468" s="556" t="str">
        <f>B4468</f>
        <v> 12.5.2.1 </v>
      </c>
      <c r="B4468" s="557" t="str">
        <f>B4467</f>
        <v> 12.5.2.1 </v>
      </c>
      <c r="C4468" s="100" t="s">
        <v>2893</v>
      </c>
      <c r="D4468" s="99" t="s">
        <v>2715</v>
      </c>
      <c r="E4468" s="100" t="s">
        <v>139</v>
      </c>
      <c r="F4468" s="100" t="s">
        <v>2716</v>
      </c>
      <c r="G4468" s="100" t="s">
        <v>2961</v>
      </c>
      <c r="H4468" s="100"/>
      <c r="I4468" s="101" t="s">
        <v>279</v>
      </c>
      <c r="J4468" s="580">
        <v>0.114</v>
      </c>
      <c r="K4468" s="580">
        <v>0</v>
      </c>
      <c r="L4468" s="102">
        <v>91.17</v>
      </c>
      <c r="M4468" s="102">
        <v>10.39</v>
      </c>
      <c r="N4468" s="573">
        <v>20.92</v>
      </c>
      <c r="O4468" s="556" t="str">
        <f>IF(N4468=M4468,"OK","DIF")</f>
        <v>DIF</v>
      </c>
      <c r="P4468" s="573"/>
      <c r="Q4468" s="556"/>
      <c r="R4468" s="582"/>
    </row>
    <row r="4469" ht="15" customHeight="1" spans="1:18">
      <c r="A4469" s="556"/>
      <c r="B4469" s="557"/>
      <c r="C4469" s="100" t="s">
        <v>2893</v>
      </c>
      <c r="D4469" s="99" t="s">
        <v>4378</v>
      </c>
      <c r="E4469" s="100" t="s">
        <v>139</v>
      </c>
      <c r="F4469" s="100" t="s">
        <v>4379</v>
      </c>
      <c r="G4469" s="100" t="s">
        <v>2961</v>
      </c>
      <c r="H4469" s="100"/>
      <c r="I4469" s="101" t="s">
        <v>279</v>
      </c>
      <c r="J4469" s="580">
        <v>0.0204</v>
      </c>
      <c r="K4469" s="580">
        <v>0</v>
      </c>
      <c r="L4469" s="102">
        <v>102.18</v>
      </c>
      <c r="M4469" s="102">
        <v>2.08</v>
      </c>
      <c r="N4469" s="573"/>
      <c r="O4469" s="556"/>
      <c r="P4469" s="573"/>
      <c r="Q4469" s="556"/>
      <c r="R4469" s="582"/>
    </row>
    <row r="4470" ht="25.5" spans="1:18">
      <c r="A4470" s="556"/>
      <c r="B4470" s="557"/>
      <c r="C4470" s="108"/>
      <c r="D4470" s="108"/>
      <c r="E4470" s="108"/>
      <c r="F4470" s="108"/>
      <c r="G4470" s="108"/>
      <c r="H4470" s="108" t="s">
        <v>2898</v>
      </c>
      <c r="I4470" s="581">
        <v>32.63</v>
      </c>
      <c r="J4470" s="108" t="s">
        <v>2899</v>
      </c>
      <c r="K4470" s="581">
        <v>0</v>
      </c>
      <c r="L4470" s="108" t="s">
        <v>2900</v>
      </c>
      <c r="M4470" s="581">
        <v>32.63</v>
      </c>
      <c r="N4470" s="573"/>
      <c r="O4470" s="556"/>
      <c r="P4470" s="573"/>
      <c r="Q4470" s="556"/>
      <c r="R4470" s="582"/>
    </row>
    <row r="4471" ht="26.25" spans="1:18">
      <c r="A4471" s="556"/>
      <c r="B4471" s="557">
        <f>C4470</f>
        <v>0</v>
      </c>
      <c r="C4471" s="108"/>
      <c r="D4471" s="108"/>
      <c r="E4471" s="108"/>
      <c r="F4471" s="108"/>
      <c r="G4471" s="108"/>
      <c r="H4471" s="108" t="s">
        <v>2901</v>
      </c>
      <c r="I4471" s="581">
        <v>15.89</v>
      </c>
      <c r="J4471" s="114"/>
      <c r="K4471" s="114" t="s">
        <v>2902</v>
      </c>
      <c r="L4471" s="108"/>
      <c r="M4471" s="581">
        <v>78.26</v>
      </c>
      <c r="N4471" s="573">
        <v>465.13</v>
      </c>
      <c r="O4471" s="556" t="str">
        <f>IF(N4471=M4471,"OK","DIF")</f>
        <v>DIF</v>
      </c>
      <c r="P4471" s="573"/>
      <c r="Q4471" s="556"/>
      <c r="R4471" s="582"/>
    </row>
    <row r="4472" ht="15" spans="1:18">
      <c r="A4472" s="556">
        <f>B4472</f>
        <v>0</v>
      </c>
      <c r="B4472" s="557">
        <f>B4471</f>
        <v>0</v>
      </c>
      <c r="C4472" s="571"/>
      <c r="D4472" s="571"/>
      <c r="E4472" s="571"/>
      <c r="F4472" s="571"/>
      <c r="G4472" s="571"/>
      <c r="H4472" s="571"/>
      <c r="I4472" s="571"/>
      <c r="J4472" s="571"/>
      <c r="K4472" s="571"/>
      <c r="L4472" s="571"/>
      <c r="M4472" s="571"/>
      <c r="N4472" s="573">
        <v>18.95</v>
      </c>
      <c r="O4472" s="556" t="str">
        <f>IF(N4472=M4472,"OK","DIF")</f>
        <v>DIF</v>
      </c>
      <c r="P4472" s="573"/>
      <c r="Q4472" s="556"/>
      <c r="R4472" s="582"/>
    </row>
    <row r="4473" ht="15" customHeight="1" spans="1:18">
      <c r="A4473" s="556">
        <f>B4473</f>
        <v>0</v>
      </c>
      <c r="B4473" s="557">
        <f>B4472</f>
        <v>0</v>
      </c>
      <c r="C4473" s="76" t="s">
        <v>1549</v>
      </c>
      <c r="D4473" s="75" t="s">
        <v>63</v>
      </c>
      <c r="E4473" s="76" t="s">
        <v>64</v>
      </c>
      <c r="F4473" s="76" t="s">
        <v>65</v>
      </c>
      <c r="G4473" s="76" t="s">
        <v>2889</v>
      </c>
      <c r="H4473" s="76"/>
      <c r="I4473" s="77" t="s">
        <v>66</v>
      </c>
      <c r="J4473" s="75" t="s">
        <v>67</v>
      </c>
      <c r="K4473" s="75" t="s">
        <v>2890</v>
      </c>
      <c r="L4473" s="75" t="s">
        <v>68</v>
      </c>
      <c r="M4473" s="75" t="s">
        <v>70</v>
      </c>
      <c r="N4473" s="573">
        <v>23.4</v>
      </c>
      <c r="O4473" s="556" t="str">
        <f>IF(N4473=M4473,"OK","DIF")</f>
        <v>DIF</v>
      </c>
      <c r="P4473" s="573"/>
      <c r="Q4473" s="556"/>
      <c r="R4473" s="582"/>
    </row>
    <row r="4474" ht="46.25" customHeight="1" spans="1:18">
      <c r="A4474" s="556">
        <f>B4474</f>
        <v>0</v>
      </c>
      <c r="B4474" s="557">
        <f>B4473</f>
        <v>0</v>
      </c>
      <c r="C4474" s="569" t="s">
        <v>2891</v>
      </c>
      <c r="D4474" s="570" t="s">
        <v>1145</v>
      </c>
      <c r="E4474" s="569" t="s">
        <v>139</v>
      </c>
      <c r="F4474" s="569" t="s">
        <v>4069</v>
      </c>
      <c r="G4474" s="569" t="s">
        <v>3215</v>
      </c>
      <c r="H4474" s="569"/>
      <c r="I4474" s="577" t="s">
        <v>279</v>
      </c>
      <c r="J4474" s="578">
        <v>1</v>
      </c>
      <c r="K4474" s="579"/>
      <c r="L4474" s="579">
        <v>14.89</v>
      </c>
      <c r="M4474" s="579">
        <v>14.89</v>
      </c>
      <c r="N4474" s="573">
        <v>0.53</v>
      </c>
      <c r="O4474" s="556" t="str">
        <f>IF(N4474=M4474,"OK","DIF")</f>
        <v>DIF</v>
      </c>
      <c r="P4474" s="573"/>
      <c r="Q4474" s="556"/>
      <c r="R4474" s="582"/>
    </row>
    <row r="4475" ht="46.25" customHeight="1" spans="1:18">
      <c r="A4475" s="556">
        <f>B4475</f>
        <v>0</v>
      </c>
      <c r="B4475" s="557">
        <f>B4474</f>
        <v>0</v>
      </c>
      <c r="C4475" s="79" t="s">
        <v>2921</v>
      </c>
      <c r="D4475" s="78" t="s">
        <v>3912</v>
      </c>
      <c r="E4475" s="79" t="s">
        <v>139</v>
      </c>
      <c r="F4475" s="79" t="s">
        <v>3913</v>
      </c>
      <c r="G4475" s="79" t="s">
        <v>2995</v>
      </c>
      <c r="H4475" s="79"/>
      <c r="I4475" s="80" t="s">
        <v>2996</v>
      </c>
      <c r="J4475" s="583">
        <v>0.0549282</v>
      </c>
      <c r="K4475" s="583">
        <v>0</v>
      </c>
      <c r="L4475" s="92">
        <v>74.56</v>
      </c>
      <c r="M4475" s="92">
        <v>4.09</v>
      </c>
      <c r="N4475" s="573">
        <v>422.25</v>
      </c>
      <c r="O4475" s="556" t="str">
        <f>IF(N4475=M4475,"OK","DIF")</f>
        <v>DIF</v>
      </c>
      <c r="P4475" s="573"/>
      <c r="Q4475" s="556"/>
      <c r="R4475" s="582"/>
    </row>
    <row r="4476" ht="46.25" customHeight="1" spans="1:18">
      <c r="A4476" s="556"/>
      <c r="B4476" s="557"/>
      <c r="C4476" s="79" t="s">
        <v>2921</v>
      </c>
      <c r="D4476" s="78" t="s">
        <v>3924</v>
      </c>
      <c r="E4476" s="79" t="s">
        <v>139</v>
      </c>
      <c r="F4476" s="79" t="s">
        <v>3925</v>
      </c>
      <c r="G4476" s="79" t="s">
        <v>2995</v>
      </c>
      <c r="H4476" s="79"/>
      <c r="I4476" s="80" t="s">
        <v>3002</v>
      </c>
      <c r="J4476" s="583">
        <v>0.0486957</v>
      </c>
      <c r="K4476" s="583">
        <v>0</v>
      </c>
      <c r="L4476" s="92">
        <v>159.84</v>
      </c>
      <c r="M4476" s="92">
        <v>7.78</v>
      </c>
      <c r="N4476" s="573"/>
      <c r="O4476" s="556"/>
      <c r="P4476" s="573"/>
      <c r="Q4476" s="556"/>
      <c r="R4476" s="582"/>
    </row>
    <row r="4477" ht="23.85" customHeight="1" spans="1:18">
      <c r="A4477" s="556"/>
      <c r="B4477" s="557"/>
      <c r="C4477" s="79" t="s">
        <v>2921</v>
      </c>
      <c r="D4477" s="78" t="s">
        <v>2952</v>
      </c>
      <c r="E4477" s="79" t="s">
        <v>139</v>
      </c>
      <c r="F4477" s="79" t="s">
        <v>2953</v>
      </c>
      <c r="G4477" s="79" t="s">
        <v>2928</v>
      </c>
      <c r="H4477" s="79"/>
      <c r="I4477" s="80" t="s">
        <v>2897</v>
      </c>
      <c r="J4477" s="583">
        <v>0.103624</v>
      </c>
      <c r="K4477" s="583">
        <v>0</v>
      </c>
      <c r="L4477" s="92">
        <v>29.15</v>
      </c>
      <c r="M4477" s="92">
        <v>3.02</v>
      </c>
      <c r="N4477" s="573"/>
      <c r="O4477" s="556"/>
      <c r="P4477" s="573"/>
      <c r="Q4477" s="556"/>
      <c r="R4477" s="582"/>
    </row>
    <row r="4478" ht="25.5" spans="1:18">
      <c r="A4478" s="556"/>
      <c r="B4478" s="557" t="str">
        <f>C4477</f>
        <v>Composição Auxiliar</v>
      </c>
      <c r="C4478" s="108"/>
      <c r="D4478" s="108"/>
      <c r="E4478" s="108"/>
      <c r="F4478" s="108"/>
      <c r="G4478" s="108"/>
      <c r="H4478" s="108" t="s">
        <v>2898</v>
      </c>
      <c r="I4478" s="581">
        <v>5.22</v>
      </c>
      <c r="J4478" s="108" t="s">
        <v>2899</v>
      </c>
      <c r="K4478" s="581">
        <v>0</v>
      </c>
      <c r="L4478" s="108" t="s">
        <v>2900</v>
      </c>
      <c r="M4478" s="581">
        <v>5.22</v>
      </c>
      <c r="N4478" s="573">
        <v>323.82</v>
      </c>
      <c r="O4478" s="556" t="str">
        <f>IF(N4478=M4478,"OK","DIF")</f>
        <v>DIF</v>
      </c>
      <c r="P4478" s="573"/>
      <c r="Q4478" s="556"/>
      <c r="R4478" s="582"/>
    </row>
    <row r="4479" ht="26.25" spans="1:18">
      <c r="A4479" s="556" t="str">
        <f>B4479</f>
        <v>Composição Auxiliar</v>
      </c>
      <c r="B4479" s="557" t="str">
        <f>B4478</f>
        <v>Composição Auxiliar</v>
      </c>
      <c r="C4479" s="108"/>
      <c r="D4479" s="108"/>
      <c r="E4479" s="108"/>
      <c r="F4479" s="108"/>
      <c r="G4479" s="108"/>
      <c r="H4479" s="108" t="s">
        <v>2901</v>
      </c>
      <c r="I4479" s="581">
        <v>3.79</v>
      </c>
      <c r="J4479" s="114"/>
      <c r="K4479" s="114" t="s">
        <v>2902</v>
      </c>
      <c r="L4479" s="108"/>
      <c r="M4479" s="581">
        <v>18.68</v>
      </c>
      <c r="N4479" s="573">
        <v>194.99</v>
      </c>
      <c r="O4479" s="556" t="str">
        <f>IF(N4479=M4479,"OK","DIF")</f>
        <v>DIF</v>
      </c>
      <c r="P4479" s="573"/>
      <c r="Q4479" s="556"/>
      <c r="R4479" s="582"/>
    </row>
    <row r="4480" ht="15" spans="1:18">
      <c r="A4480" s="556" t="str">
        <f>B4480</f>
        <v>Composição Auxiliar</v>
      </c>
      <c r="B4480" s="557" t="str">
        <f>B4479</f>
        <v>Composição Auxiliar</v>
      </c>
      <c r="C4480" s="571"/>
      <c r="D4480" s="571"/>
      <c r="E4480" s="571"/>
      <c r="F4480" s="571"/>
      <c r="G4480" s="571"/>
      <c r="H4480" s="571"/>
      <c r="I4480" s="571"/>
      <c r="J4480" s="571"/>
      <c r="K4480" s="571"/>
      <c r="L4480" s="571"/>
      <c r="M4480" s="571"/>
      <c r="N4480" s="573">
        <v>50.09</v>
      </c>
      <c r="O4480" s="556" t="str">
        <f>IF(N4480=M4480,"OK","DIF")</f>
        <v>DIF</v>
      </c>
      <c r="P4480" s="573"/>
      <c r="Q4480" s="556"/>
      <c r="R4480" s="582"/>
    </row>
    <row r="4481" ht="15" customHeight="1" spans="1:18">
      <c r="A4481" s="556" t="str">
        <f>B4481</f>
        <v>Composição Auxiliar</v>
      </c>
      <c r="B4481" s="557" t="str">
        <f>B4480</f>
        <v>Composição Auxiliar</v>
      </c>
      <c r="C4481" s="76" t="s">
        <v>1550</v>
      </c>
      <c r="D4481" s="75" t="s">
        <v>63</v>
      </c>
      <c r="E4481" s="76" t="s">
        <v>64</v>
      </c>
      <c r="F4481" s="76" t="s">
        <v>65</v>
      </c>
      <c r="G4481" s="76" t="s">
        <v>2889</v>
      </c>
      <c r="H4481" s="76"/>
      <c r="I4481" s="77" t="s">
        <v>66</v>
      </c>
      <c r="J4481" s="75" t="s">
        <v>67</v>
      </c>
      <c r="K4481" s="75" t="s">
        <v>2890</v>
      </c>
      <c r="L4481" s="75" t="s">
        <v>68</v>
      </c>
      <c r="M4481" s="75" t="s">
        <v>70</v>
      </c>
      <c r="N4481" s="573">
        <v>78.74</v>
      </c>
      <c r="O4481" s="556" t="str">
        <f>IF(N4481=M4481,"OK","DIF")</f>
        <v>DIF</v>
      </c>
      <c r="P4481" s="573"/>
      <c r="Q4481" s="556"/>
      <c r="R4481" s="582"/>
    </row>
    <row r="4482" ht="46.25" customHeight="1" spans="1:18">
      <c r="A4482" s="556"/>
      <c r="B4482" s="557"/>
      <c r="C4482" s="569" t="s">
        <v>2891</v>
      </c>
      <c r="D4482" s="570" t="s">
        <v>1148</v>
      </c>
      <c r="E4482" s="569" t="s">
        <v>139</v>
      </c>
      <c r="F4482" s="569" t="s">
        <v>4070</v>
      </c>
      <c r="G4482" s="569" t="s">
        <v>3303</v>
      </c>
      <c r="H4482" s="569"/>
      <c r="I4482" s="577" t="s">
        <v>279</v>
      </c>
      <c r="J4482" s="578">
        <v>1</v>
      </c>
      <c r="K4482" s="579"/>
      <c r="L4482" s="579">
        <v>16</v>
      </c>
      <c r="M4482" s="579">
        <v>16</v>
      </c>
      <c r="N4482" s="573"/>
      <c r="O4482" s="556"/>
      <c r="P4482" s="573"/>
      <c r="Q4482" s="556"/>
      <c r="R4482" s="582"/>
    </row>
    <row r="4483" ht="46.25" customHeight="1" spans="1:18">
      <c r="A4483" s="556"/>
      <c r="B4483" s="557"/>
      <c r="C4483" s="79" t="s">
        <v>2921</v>
      </c>
      <c r="D4483" s="78" t="s">
        <v>3308</v>
      </c>
      <c r="E4483" s="79" t="s">
        <v>139</v>
      </c>
      <c r="F4483" s="79" t="s">
        <v>3309</v>
      </c>
      <c r="G4483" s="79" t="s">
        <v>2995</v>
      </c>
      <c r="H4483" s="79"/>
      <c r="I4483" s="80" t="s">
        <v>3002</v>
      </c>
      <c r="J4483" s="583">
        <v>0.0054</v>
      </c>
      <c r="K4483" s="583">
        <v>0</v>
      </c>
      <c r="L4483" s="92">
        <v>339.64</v>
      </c>
      <c r="M4483" s="92">
        <v>1.83</v>
      </c>
      <c r="N4483" s="573"/>
      <c r="O4483" s="556"/>
      <c r="P4483" s="573"/>
      <c r="Q4483" s="556"/>
      <c r="R4483" s="582"/>
    </row>
    <row r="4484" ht="46.25" customHeight="1" spans="1:18">
      <c r="A4484" s="556"/>
      <c r="B4484" s="557" t="str">
        <f>C4483</f>
        <v>Composição Auxiliar</v>
      </c>
      <c r="C4484" s="79" t="s">
        <v>2921</v>
      </c>
      <c r="D4484" s="78" t="s">
        <v>3304</v>
      </c>
      <c r="E4484" s="79" t="s">
        <v>139</v>
      </c>
      <c r="F4484" s="79" t="s">
        <v>3305</v>
      </c>
      <c r="G4484" s="79" t="s">
        <v>2995</v>
      </c>
      <c r="H4484" s="79"/>
      <c r="I4484" s="80" t="s">
        <v>2996</v>
      </c>
      <c r="J4484" s="583">
        <v>0.0006</v>
      </c>
      <c r="K4484" s="583">
        <v>0</v>
      </c>
      <c r="L4484" s="92">
        <v>94.91</v>
      </c>
      <c r="M4484" s="92">
        <v>0.05</v>
      </c>
      <c r="N4484" s="573">
        <v>2256.94</v>
      </c>
      <c r="O4484" s="556" t="str">
        <f t="shared" ref="O4484:O4493" si="340">IF(N4484=M4484,"OK","DIF")</f>
        <v>DIF</v>
      </c>
      <c r="P4484" s="573"/>
      <c r="Q4484" s="556"/>
      <c r="R4484" s="582"/>
    </row>
    <row r="4485" ht="46.25" customHeight="1" spans="1:18">
      <c r="A4485" s="556" t="str">
        <f t="shared" ref="A4485:A4493" si="341">B4485</f>
        <v>Composição Auxiliar</v>
      </c>
      <c r="B4485" s="557" t="str">
        <f t="shared" ref="B4485:B4493" si="342">B4484</f>
        <v>Composição Auxiliar</v>
      </c>
      <c r="C4485" s="79" t="s">
        <v>2921</v>
      </c>
      <c r="D4485" s="78" t="s">
        <v>3924</v>
      </c>
      <c r="E4485" s="79" t="s">
        <v>139</v>
      </c>
      <c r="F4485" s="79" t="s">
        <v>3925</v>
      </c>
      <c r="G4485" s="79" t="s">
        <v>2995</v>
      </c>
      <c r="H4485" s="79"/>
      <c r="I4485" s="80" t="s">
        <v>3002</v>
      </c>
      <c r="J4485" s="583">
        <v>0.0382</v>
      </c>
      <c r="K4485" s="583">
        <v>0</v>
      </c>
      <c r="L4485" s="92">
        <v>159.84</v>
      </c>
      <c r="M4485" s="92">
        <v>6.1</v>
      </c>
      <c r="N4485" s="573">
        <v>79.66</v>
      </c>
      <c r="O4485" s="556" t="str">
        <f t="shared" si="340"/>
        <v>DIF</v>
      </c>
      <c r="P4485" s="573"/>
      <c r="Q4485" s="556"/>
      <c r="R4485" s="582"/>
    </row>
    <row r="4486" ht="46.25" customHeight="1" spans="1:18">
      <c r="A4486" s="556" t="str">
        <f t="shared" si="341"/>
        <v>Composição Auxiliar</v>
      </c>
      <c r="B4486" s="557" t="str">
        <f t="shared" si="342"/>
        <v>Composição Auxiliar</v>
      </c>
      <c r="C4486" s="79" t="s">
        <v>2921</v>
      </c>
      <c r="D4486" s="78" t="s">
        <v>3912</v>
      </c>
      <c r="E4486" s="79" t="s">
        <v>139</v>
      </c>
      <c r="F4486" s="79" t="s">
        <v>3913</v>
      </c>
      <c r="G4486" s="79" t="s">
        <v>2995</v>
      </c>
      <c r="H4486" s="79"/>
      <c r="I4486" s="80" t="s">
        <v>2996</v>
      </c>
      <c r="J4486" s="583">
        <v>0.0551</v>
      </c>
      <c r="K4486" s="583">
        <v>0</v>
      </c>
      <c r="L4486" s="92">
        <v>74.56</v>
      </c>
      <c r="M4486" s="92">
        <v>4.1</v>
      </c>
      <c r="N4486" s="573">
        <v>98.36</v>
      </c>
      <c r="O4486" s="556" t="str">
        <f t="shared" si="340"/>
        <v>DIF</v>
      </c>
      <c r="P4486" s="573"/>
      <c r="Q4486" s="556"/>
      <c r="R4486" s="582"/>
    </row>
    <row r="4487" ht="23.85" customHeight="1" spans="1:18">
      <c r="A4487" s="556" t="str">
        <f t="shared" si="341"/>
        <v>Composição Auxiliar</v>
      </c>
      <c r="B4487" s="557" t="str">
        <f t="shared" si="342"/>
        <v>Composição Auxiliar</v>
      </c>
      <c r="C4487" s="79" t="s">
        <v>2921</v>
      </c>
      <c r="D4487" s="78" t="s">
        <v>2952</v>
      </c>
      <c r="E4487" s="79" t="s">
        <v>139</v>
      </c>
      <c r="F4487" s="79" t="s">
        <v>2953</v>
      </c>
      <c r="G4487" s="79" t="s">
        <v>2928</v>
      </c>
      <c r="H4487" s="79"/>
      <c r="I4487" s="80" t="s">
        <v>2897</v>
      </c>
      <c r="J4487" s="583">
        <v>0.1135</v>
      </c>
      <c r="K4487" s="583">
        <v>0</v>
      </c>
      <c r="L4487" s="92">
        <v>29.15</v>
      </c>
      <c r="M4487" s="92">
        <v>3.3</v>
      </c>
      <c r="N4487" s="573">
        <v>1096.82</v>
      </c>
      <c r="O4487" s="556" t="str">
        <f t="shared" si="340"/>
        <v>DIF</v>
      </c>
      <c r="P4487" s="573"/>
      <c r="Q4487" s="556"/>
      <c r="R4487" s="582"/>
    </row>
    <row r="4488" ht="35.05" customHeight="1" spans="1:18">
      <c r="A4488" s="556" t="str">
        <f t="shared" si="341"/>
        <v>Composição Auxiliar</v>
      </c>
      <c r="B4488" s="557" t="str">
        <f t="shared" si="342"/>
        <v>Composição Auxiliar</v>
      </c>
      <c r="C4488" s="79" t="s">
        <v>2921</v>
      </c>
      <c r="D4488" s="78" t="s">
        <v>4071</v>
      </c>
      <c r="E4488" s="79" t="s">
        <v>139</v>
      </c>
      <c r="F4488" s="79" t="s">
        <v>4072</v>
      </c>
      <c r="G4488" s="79" t="s">
        <v>2995</v>
      </c>
      <c r="H4488" s="79"/>
      <c r="I4488" s="80" t="s">
        <v>3002</v>
      </c>
      <c r="J4488" s="583">
        <v>0.0614</v>
      </c>
      <c r="K4488" s="583">
        <v>0</v>
      </c>
      <c r="L4488" s="92">
        <v>10.19</v>
      </c>
      <c r="M4488" s="92">
        <v>0.62</v>
      </c>
      <c r="N4488" s="573">
        <v>21.8</v>
      </c>
      <c r="O4488" s="556" t="str">
        <f t="shared" si="340"/>
        <v>DIF</v>
      </c>
      <c r="P4488" s="573"/>
      <c r="Q4488" s="556"/>
      <c r="R4488" s="582"/>
    </row>
    <row r="4489" ht="25.5" spans="1:18">
      <c r="A4489" s="556" t="str">
        <f t="shared" si="341"/>
        <v>Composição Auxiliar</v>
      </c>
      <c r="B4489" s="557" t="str">
        <f t="shared" si="342"/>
        <v>Composição Auxiliar</v>
      </c>
      <c r="C4489" s="108"/>
      <c r="D4489" s="108"/>
      <c r="E4489" s="108"/>
      <c r="F4489" s="108"/>
      <c r="G4489" s="108"/>
      <c r="H4489" s="108" t="s">
        <v>2898</v>
      </c>
      <c r="I4489" s="581">
        <v>5.33</v>
      </c>
      <c r="J4489" s="108" t="s">
        <v>2899</v>
      </c>
      <c r="K4489" s="581">
        <v>0</v>
      </c>
      <c r="L4489" s="108" t="s">
        <v>2900</v>
      </c>
      <c r="M4489" s="581">
        <v>5.33</v>
      </c>
      <c r="N4489" s="573">
        <v>229</v>
      </c>
      <c r="O4489" s="556" t="str">
        <f t="shared" si="340"/>
        <v>DIF</v>
      </c>
      <c r="P4489" s="573"/>
      <c r="Q4489" s="556"/>
      <c r="R4489" s="582"/>
    </row>
    <row r="4490" ht="26.25" spans="1:18">
      <c r="A4490" s="556" t="str">
        <f t="shared" si="341"/>
        <v>Composição Auxiliar</v>
      </c>
      <c r="B4490" s="557" t="str">
        <f t="shared" si="342"/>
        <v>Composição Auxiliar</v>
      </c>
      <c r="C4490" s="108"/>
      <c r="D4490" s="108"/>
      <c r="E4490" s="108"/>
      <c r="F4490" s="108"/>
      <c r="G4490" s="108"/>
      <c r="H4490" s="108" t="s">
        <v>2901</v>
      </c>
      <c r="I4490" s="581">
        <v>4.07</v>
      </c>
      <c r="J4490" s="114"/>
      <c r="K4490" s="114" t="s">
        <v>2902</v>
      </c>
      <c r="L4490" s="108"/>
      <c r="M4490" s="581">
        <v>20.07</v>
      </c>
      <c r="N4490" s="573">
        <v>78.51</v>
      </c>
      <c r="O4490" s="556" t="str">
        <f t="shared" si="340"/>
        <v>DIF</v>
      </c>
      <c r="P4490" s="573"/>
      <c r="Q4490" s="556"/>
      <c r="R4490" s="582"/>
    </row>
    <row r="4491" ht="15" spans="1:18">
      <c r="A4491" s="556" t="str">
        <f t="shared" si="341"/>
        <v>Composição Auxiliar</v>
      </c>
      <c r="B4491" s="557" t="str">
        <f t="shared" si="342"/>
        <v>Composição Auxiliar</v>
      </c>
      <c r="C4491" s="571"/>
      <c r="D4491" s="571"/>
      <c r="E4491" s="571"/>
      <c r="F4491" s="571"/>
      <c r="G4491" s="571"/>
      <c r="H4491" s="571"/>
      <c r="I4491" s="571"/>
      <c r="J4491" s="571"/>
      <c r="K4491" s="571"/>
      <c r="L4491" s="571"/>
      <c r="M4491" s="571"/>
      <c r="N4491" s="573">
        <v>3.52</v>
      </c>
      <c r="O4491" s="556" t="str">
        <f t="shared" si="340"/>
        <v>DIF</v>
      </c>
      <c r="P4491" s="573"/>
      <c r="Q4491" s="556"/>
      <c r="R4491" s="582"/>
    </row>
    <row r="4492" ht="15" customHeight="1" spans="1:18">
      <c r="A4492" s="556" t="str">
        <f t="shared" si="341"/>
        <v>Composição Auxiliar</v>
      </c>
      <c r="B4492" s="557" t="str">
        <f t="shared" si="342"/>
        <v>Composição Auxiliar</v>
      </c>
      <c r="C4492" s="76" t="s">
        <v>1551</v>
      </c>
      <c r="D4492" s="75" t="s">
        <v>63</v>
      </c>
      <c r="E4492" s="76" t="s">
        <v>64</v>
      </c>
      <c r="F4492" s="76" t="s">
        <v>65</v>
      </c>
      <c r="G4492" s="76" t="s">
        <v>2889</v>
      </c>
      <c r="H4492" s="76"/>
      <c r="I4492" s="77" t="s">
        <v>66</v>
      </c>
      <c r="J4492" s="75" t="s">
        <v>67</v>
      </c>
      <c r="K4492" s="75" t="s">
        <v>2890</v>
      </c>
      <c r="L4492" s="75" t="s">
        <v>68</v>
      </c>
      <c r="M4492" s="75" t="s">
        <v>70</v>
      </c>
      <c r="N4492" s="573">
        <v>268.93</v>
      </c>
      <c r="O4492" s="556" t="str">
        <f t="shared" si="340"/>
        <v>DIF</v>
      </c>
      <c r="P4492" s="573"/>
      <c r="Q4492" s="556"/>
      <c r="R4492" s="582"/>
    </row>
    <row r="4493" ht="46.25" customHeight="1" spans="1:18">
      <c r="A4493" s="556" t="str">
        <f t="shared" si="341"/>
        <v>Composição Auxiliar</v>
      </c>
      <c r="B4493" s="557" t="str">
        <f t="shared" si="342"/>
        <v>Composição Auxiliar</v>
      </c>
      <c r="C4493" s="569" t="s">
        <v>2891</v>
      </c>
      <c r="D4493" s="570" t="s">
        <v>1163</v>
      </c>
      <c r="E4493" s="569" t="s">
        <v>132</v>
      </c>
      <c r="F4493" s="569" t="s">
        <v>1164</v>
      </c>
      <c r="G4493" s="569" t="s">
        <v>3996</v>
      </c>
      <c r="H4493" s="569"/>
      <c r="I4493" s="577" t="s">
        <v>134</v>
      </c>
      <c r="J4493" s="578">
        <v>1</v>
      </c>
      <c r="K4493" s="579"/>
      <c r="L4493" s="579">
        <v>970.61</v>
      </c>
      <c r="M4493" s="579">
        <v>970.61</v>
      </c>
      <c r="N4493" s="573">
        <v>380.34</v>
      </c>
      <c r="O4493" s="556" t="str">
        <f t="shared" si="340"/>
        <v>DIF</v>
      </c>
      <c r="P4493" s="573"/>
      <c r="Q4493" s="556"/>
      <c r="R4493" s="582"/>
    </row>
    <row r="4494" ht="23.85" customHeight="1" spans="1:18">
      <c r="A4494" s="556"/>
      <c r="B4494" s="557"/>
      <c r="C4494" s="79" t="s">
        <v>2921</v>
      </c>
      <c r="D4494" s="78" t="s">
        <v>2952</v>
      </c>
      <c r="E4494" s="79" t="s">
        <v>139</v>
      </c>
      <c r="F4494" s="79" t="s">
        <v>2953</v>
      </c>
      <c r="G4494" s="79" t="s">
        <v>2928</v>
      </c>
      <c r="H4494" s="79"/>
      <c r="I4494" s="80" t="s">
        <v>2897</v>
      </c>
      <c r="J4494" s="583">
        <v>15.709</v>
      </c>
      <c r="K4494" s="583">
        <v>0</v>
      </c>
      <c r="L4494" s="92">
        <v>29.15</v>
      </c>
      <c r="M4494" s="92">
        <v>457.91</v>
      </c>
      <c r="N4494" s="573"/>
      <c r="O4494" s="556"/>
      <c r="P4494" s="573"/>
      <c r="Q4494" s="556"/>
      <c r="R4494" s="582"/>
    </row>
    <row r="4495" ht="23.85" customHeight="1" spans="1:18">
      <c r="A4495" s="556"/>
      <c r="B4495" s="557"/>
      <c r="C4495" s="79" t="s">
        <v>2921</v>
      </c>
      <c r="D4495" s="78" t="s">
        <v>4085</v>
      </c>
      <c r="E4495" s="79" t="s">
        <v>139</v>
      </c>
      <c r="F4495" s="79" t="s">
        <v>4086</v>
      </c>
      <c r="G4495" s="79" t="s">
        <v>2928</v>
      </c>
      <c r="H4495" s="79"/>
      <c r="I4495" s="80" t="s">
        <v>2897</v>
      </c>
      <c r="J4495" s="583">
        <v>1.532</v>
      </c>
      <c r="K4495" s="583">
        <v>0</v>
      </c>
      <c r="L4495" s="92">
        <v>30.13</v>
      </c>
      <c r="M4495" s="92">
        <v>46.15</v>
      </c>
      <c r="N4495" s="573"/>
      <c r="O4495" s="556"/>
      <c r="P4495" s="573"/>
      <c r="Q4495" s="556"/>
      <c r="R4495" s="582"/>
    </row>
    <row r="4496" ht="23.85" customHeight="1" spans="1:18">
      <c r="A4496" s="556"/>
      <c r="B4496" s="557" t="str">
        <f>C4495</f>
        <v>Composição Auxiliar</v>
      </c>
      <c r="C4496" s="79" t="s">
        <v>2921</v>
      </c>
      <c r="D4496" s="78" t="s">
        <v>3017</v>
      </c>
      <c r="E4496" s="79" t="s">
        <v>139</v>
      </c>
      <c r="F4496" s="79" t="s">
        <v>3018</v>
      </c>
      <c r="G4496" s="79" t="s">
        <v>2928</v>
      </c>
      <c r="H4496" s="79"/>
      <c r="I4496" s="80" t="s">
        <v>2897</v>
      </c>
      <c r="J4496" s="583">
        <v>5.659</v>
      </c>
      <c r="K4496" s="583">
        <v>0</v>
      </c>
      <c r="L4496" s="92">
        <v>36.96</v>
      </c>
      <c r="M4496" s="92">
        <v>209.15</v>
      </c>
      <c r="N4496" s="573">
        <v>39.48</v>
      </c>
      <c r="O4496" s="556" t="str">
        <f>IF(N4496=M4496,"OK","DIF")</f>
        <v>DIF</v>
      </c>
      <c r="P4496" s="573"/>
      <c r="Q4496" s="556"/>
      <c r="R4496" s="582"/>
    </row>
    <row r="4497" ht="23.85" customHeight="1" spans="1:18">
      <c r="A4497" s="556" t="str">
        <f>B4497</f>
        <v>Composição Auxiliar</v>
      </c>
      <c r="B4497" s="557" t="str">
        <f>B4496</f>
        <v>Composição Auxiliar</v>
      </c>
      <c r="C4497" s="79" t="s">
        <v>2921</v>
      </c>
      <c r="D4497" s="78" t="s">
        <v>2954</v>
      </c>
      <c r="E4497" s="79" t="s">
        <v>139</v>
      </c>
      <c r="F4497" s="79" t="s">
        <v>2955</v>
      </c>
      <c r="G4497" s="79" t="s">
        <v>2928</v>
      </c>
      <c r="H4497" s="79"/>
      <c r="I4497" s="80" t="s">
        <v>2897</v>
      </c>
      <c r="J4497" s="583">
        <v>1.385</v>
      </c>
      <c r="K4497" s="583">
        <v>0</v>
      </c>
      <c r="L4497" s="92">
        <v>37.51</v>
      </c>
      <c r="M4497" s="92">
        <v>51.95</v>
      </c>
      <c r="N4497" s="573">
        <v>5.78</v>
      </c>
      <c r="O4497" s="556" t="str">
        <f>IF(N4497=M4497,"OK","DIF")</f>
        <v>DIF</v>
      </c>
      <c r="P4497" s="573"/>
      <c r="Q4497" s="556"/>
      <c r="R4497" s="582"/>
    </row>
    <row r="4498" ht="23.85" customHeight="1" spans="1:18">
      <c r="A4498" s="556" t="str">
        <f>B4498</f>
        <v>Composição Auxiliar</v>
      </c>
      <c r="B4498" s="557" t="str">
        <f>B4497</f>
        <v>Composição Auxiliar</v>
      </c>
      <c r="C4498" s="79" t="s">
        <v>2921</v>
      </c>
      <c r="D4498" s="78" t="s">
        <v>3313</v>
      </c>
      <c r="E4498" s="79" t="s">
        <v>139</v>
      </c>
      <c r="F4498" s="79" t="s">
        <v>3314</v>
      </c>
      <c r="G4498" s="79" t="s">
        <v>2928</v>
      </c>
      <c r="H4498" s="79"/>
      <c r="I4498" s="80" t="s">
        <v>2897</v>
      </c>
      <c r="J4498" s="583">
        <v>0.147</v>
      </c>
      <c r="K4498" s="583">
        <v>0</v>
      </c>
      <c r="L4498" s="92">
        <v>35.95</v>
      </c>
      <c r="M4498" s="92">
        <v>5.28</v>
      </c>
      <c r="N4498" s="573">
        <v>23.67</v>
      </c>
      <c r="O4498" s="556" t="str">
        <f>IF(N4498=M4498,"OK","DIF")</f>
        <v>DIF</v>
      </c>
      <c r="P4498" s="573"/>
      <c r="Q4498" s="556"/>
      <c r="R4498" s="582"/>
    </row>
    <row r="4499" ht="15" customHeight="1" spans="1:18">
      <c r="A4499" s="556" t="str">
        <f>B4499</f>
        <v>Composição Auxiliar</v>
      </c>
      <c r="B4499" s="557" t="str">
        <f>B4498</f>
        <v>Composição Auxiliar</v>
      </c>
      <c r="C4499" s="100" t="s">
        <v>2893</v>
      </c>
      <c r="D4499" s="99" t="s">
        <v>4087</v>
      </c>
      <c r="E4499" s="100" t="s">
        <v>149</v>
      </c>
      <c r="F4499" s="100" t="s">
        <v>4088</v>
      </c>
      <c r="G4499" s="100" t="s">
        <v>2961</v>
      </c>
      <c r="H4499" s="100"/>
      <c r="I4499" s="101" t="s">
        <v>279</v>
      </c>
      <c r="J4499" s="580">
        <v>0.018</v>
      </c>
      <c r="K4499" s="580">
        <v>0</v>
      </c>
      <c r="L4499" s="102">
        <v>108.75</v>
      </c>
      <c r="M4499" s="102">
        <v>1.95</v>
      </c>
      <c r="N4499" s="573">
        <v>1.56</v>
      </c>
      <c r="O4499" s="556" t="str">
        <f>IF(N4499=M4499,"OK","DIF")</f>
        <v>DIF</v>
      </c>
      <c r="P4499" s="573"/>
      <c r="Q4499" s="556"/>
      <c r="R4499" s="582"/>
    </row>
    <row r="4500" ht="15" customHeight="1" spans="1:18">
      <c r="A4500" s="556" t="str">
        <f>B4500</f>
        <v>Composição Auxiliar</v>
      </c>
      <c r="B4500" s="557" t="str">
        <f>B4499</f>
        <v>Composição Auxiliar</v>
      </c>
      <c r="C4500" s="100" t="s">
        <v>2893</v>
      </c>
      <c r="D4500" s="99" t="s">
        <v>4089</v>
      </c>
      <c r="E4500" s="100" t="s">
        <v>149</v>
      </c>
      <c r="F4500" s="100" t="s">
        <v>4090</v>
      </c>
      <c r="G4500" s="100" t="s">
        <v>2961</v>
      </c>
      <c r="H4500" s="100"/>
      <c r="I4500" s="101" t="s">
        <v>3084</v>
      </c>
      <c r="J4500" s="580">
        <v>1.309</v>
      </c>
      <c r="K4500" s="580">
        <v>0</v>
      </c>
      <c r="L4500" s="102">
        <v>4.77</v>
      </c>
      <c r="M4500" s="102">
        <v>6.24</v>
      </c>
      <c r="N4500" s="573">
        <v>8.47</v>
      </c>
      <c r="O4500" s="556" t="str">
        <f>IF(N4500=M4500,"OK","DIF")</f>
        <v>DIF</v>
      </c>
      <c r="P4500" s="573"/>
      <c r="Q4500" s="556"/>
      <c r="R4500" s="582"/>
    </row>
    <row r="4501" ht="23.85" customHeight="1" spans="1:18">
      <c r="A4501" s="556"/>
      <c r="B4501" s="557"/>
      <c r="C4501" s="100" t="s">
        <v>2893</v>
      </c>
      <c r="D4501" s="99" t="s">
        <v>3338</v>
      </c>
      <c r="E4501" s="100" t="s">
        <v>139</v>
      </c>
      <c r="F4501" s="100" t="s">
        <v>3339</v>
      </c>
      <c r="G4501" s="100" t="s">
        <v>2961</v>
      </c>
      <c r="H4501" s="100"/>
      <c r="I4501" s="101" t="s">
        <v>204</v>
      </c>
      <c r="J4501" s="580">
        <v>1.066</v>
      </c>
      <c r="K4501" s="580">
        <v>0</v>
      </c>
      <c r="L4501" s="102">
        <v>14.58</v>
      </c>
      <c r="M4501" s="102">
        <v>15.54</v>
      </c>
      <c r="N4501" s="573"/>
      <c r="O4501" s="556"/>
      <c r="P4501" s="573"/>
      <c r="Q4501" s="556"/>
      <c r="R4501" s="582"/>
    </row>
    <row r="4502" ht="15" customHeight="1" spans="1:18">
      <c r="A4502" s="556"/>
      <c r="B4502" s="557"/>
      <c r="C4502" s="100" t="s">
        <v>2893</v>
      </c>
      <c r="D4502" s="99" t="s">
        <v>4091</v>
      </c>
      <c r="E4502" s="100" t="s">
        <v>149</v>
      </c>
      <c r="F4502" s="100" t="s">
        <v>4092</v>
      </c>
      <c r="G4502" s="100" t="s">
        <v>2961</v>
      </c>
      <c r="H4502" s="100"/>
      <c r="I4502" s="101" t="s">
        <v>279</v>
      </c>
      <c r="J4502" s="580">
        <v>0.148</v>
      </c>
      <c r="K4502" s="580">
        <v>0</v>
      </c>
      <c r="L4502" s="102">
        <v>87.5</v>
      </c>
      <c r="M4502" s="102">
        <v>12.95</v>
      </c>
      <c r="N4502" s="573"/>
      <c r="O4502" s="556"/>
      <c r="P4502" s="573"/>
      <c r="Q4502" s="556"/>
      <c r="R4502" s="582"/>
    </row>
    <row r="4503" ht="23.85" customHeight="1" spans="1:18">
      <c r="A4503" s="556"/>
      <c r="B4503" s="557" t="str">
        <f>C4502</f>
        <v>Insumo</v>
      </c>
      <c r="C4503" s="100" t="s">
        <v>2893</v>
      </c>
      <c r="D4503" s="99" t="s">
        <v>2964</v>
      </c>
      <c r="E4503" s="100" t="s">
        <v>139</v>
      </c>
      <c r="F4503" s="100" t="s">
        <v>2965</v>
      </c>
      <c r="G4503" s="100" t="s">
        <v>2961</v>
      </c>
      <c r="H4503" s="100"/>
      <c r="I4503" s="101" t="s">
        <v>204</v>
      </c>
      <c r="J4503" s="580">
        <v>0.533</v>
      </c>
      <c r="K4503" s="580">
        <v>0</v>
      </c>
      <c r="L4503" s="102">
        <v>4.46</v>
      </c>
      <c r="M4503" s="102">
        <v>2.37</v>
      </c>
      <c r="N4503" s="573">
        <v>517</v>
      </c>
      <c r="O4503" s="556" t="str">
        <f t="shared" ref="O4503:O4509" si="343">IF(N4503=M4503,"OK","DIF")</f>
        <v>DIF</v>
      </c>
      <c r="P4503" s="573"/>
      <c r="Q4503" s="556"/>
      <c r="R4503" s="582"/>
    </row>
    <row r="4504" ht="15" customHeight="1" spans="1:18">
      <c r="A4504" s="556" t="str">
        <f t="shared" ref="A4504:A4509" si="344">B4504</f>
        <v>Insumo</v>
      </c>
      <c r="B4504" s="557" t="str">
        <f t="shared" ref="B4504:B4509" si="345">B4503</f>
        <v>Insumo</v>
      </c>
      <c r="C4504" s="100" t="s">
        <v>2893</v>
      </c>
      <c r="D4504" s="99" t="s">
        <v>4093</v>
      </c>
      <c r="E4504" s="100" t="s">
        <v>139</v>
      </c>
      <c r="F4504" s="100" t="s">
        <v>4094</v>
      </c>
      <c r="G4504" s="100" t="s">
        <v>2961</v>
      </c>
      <c r="H4504" s="100"/>
      <c r="I4504" s="101" t="s">
        <v>393</v>
      </c>
      <c r="J4504" s="580">
        <v>2.016</v>
      </c>
      <c r="K4504" s="580">
        <v>0</v>
      </c>
      <c r="L4504" s="102">
        <v>9.01</v>
      </c>
      <c r="M4504" s="102">
        <v>18.16</v>
      </c>
      <c r="N4504" s="573">
        <v>30.16</v>
      </c>
      <c r="O4504" s="556" t="str">
        <f t="shared" si="343"/>
        <v>DIF</v>
      </c>
      <c r="P4504" s="573"/>
      <c r="Q4504" s="556"/>
      <c r="R4504" s="582"/>
    </row>
    <row r="4505" ht="15" customHeight="1" spans="1:18">
      <c r="A4505" s="556" t="str">
        <f t="shared" si="344"/>
        <v>Insumo</v>
      </c>
      <c r="B4505" s="557" t="str">
        <f t="shared" si="345"/>
        <v>Insumo</v>
      </c>
      <c r="C4505" s="100" t="s">
        <v>2893</v>
      </c>
      <c r="D4505" s="99" t="s">
        <v>4095</v>
      </c>
      <c r="E4505" s="100" t="s">
        <v>149</v>
      </c>
      <c r="F4505" s="100" t="s">
        <v>4096</v>
      </c>
      <c r="G4505" s="100" t="s">
        <v>2961</v>
      </c>
      <c r="H4505" s="100"/>
      <c r="I4505" s="101" t="s">
        <v>393</v>
      </c>
      <c r="J4505" s="580">
        <v>4.675</v>
      </c>
      <c r="K4505" s="580">
        <v>0</v>
      </c>
      <c r="L4505" s="102">
        <v>1.53</v>
      </c>
      <c r="M4505" s="102">
        <v>7.15</v>
      </c>
      <c r="N4505" s="573">
        <v>37.24</v>
      </c>
      <c r="O4505" s="556" t="str">
        <f t="shared" si="343"/>
        <v>DIF</v>
      </c>
      <c r="P4505" s="573"/>
      <c r="Q4505" s="556"/>
      <c r="R4505" s="582"/>
    </row>
    <row r="4506" ht="23.85" customHeight="1" spans="1:18">
      <c r="A4506" s="556" t="str">
        <f t="shared" si="344"/>
        <v>Insumo</v>
      </c>
      <c r="B4506" s="557" t="str">
        <f t="shared" si="345"/>
        <v>Insumo</v>
      </c>
      <c r="C4506" s="100" t="s">
        <v>2893</v>
      </c>
      <c r="D4506" s="99" t="s">
        <v>3342</v>
      </c>
      <c r="E4506" s="100" t="s">
        <v>139</v>
      </c>
      <c r="F4506" s="100" t="s">
        <v>3343</v>
      </c>
      <c r="G4506" s="100" t="s">
        <v>2961</v>
      </c>
      <c r="H4506" s="100"/>
      <c r="I4506" s="101" t="s">
        <v>3084</v>
      </c>
      <c r="J4506" s="580">
        <v>0.426</v>
      </c>
      <c r="K4506" s="580">
        <v>0</v>
      </c>
      <c r="L4506" s="102">
        <v>7.97</v>
      </c>
      <c r="M4506" s="102">
        <v>3.39</v>
      </c>
      <c r="N4506" s="573">
        <v>229</v>
      </c>
      <c r="O4506" s="556" t="str">
        <f t="shared" si="343"/>
        <v>DIF</v>
      </c>
      <c r="P4506" s="573"/>
      <c r="Q4506" s="556"/>
      <c r="R4506" s="582"/>
    </row>
    <row r="4507" ht="23.85" customHeight="1" spans="1:18">
      <c r="A4507" s="556" t="str">
        <f t="shared" si="344"/>
        <v>Insumo</v>
      </c>
      <c r="B4507" s="557" t="str">
        <f t="shared" si="345"/>
        <v>Insumo</v>
      </c>
      <c r="C4507" s="100" t="s">
        <v>2893</v>
      </c>
      <c r="D4507" s="99" t="s">
        <v>3318</v>
      </c>
      <c r="E4507" s="100" t="s">
        <v>139</v>
      </c>
      <c r="F4507" s="100" t="s">
        <v>3319</v>
      </c>
      <c r="G4507" s="100" t="s">
        <v>2961</v>
      </c>
      <c r="H4507" s="100"/>
      <c r="I4507" s="101" t="s">
        <v>393</v>
      </c>
      <c r="J4507" s="580">
        <v>0.037</v>
      </c>
      <c r="K4507" s="580">
        <v>0</v>
      </c>
      <c r="L4507" s="102">
        <v>22</v>
      </c>
      <c r="M4507" s="102">
        <v>0.81</v>
      </c>
      <c r="N4507" s="573">
        <v>100.32</v>
      </c>
      <c r="O4507" s="556" t="str">
        <f t="shared" si="343"/>
        <v>DIF</v>
      </c>
      <c r="P4507" s="573"/>
      <c r="Q4507" s="556"/>
      <c r="R4507" s="582"/>
    </row>
    <row r="4508" ht="15" customHeight="1" spans="1:18">
      <c r="A4508" s="556" t="str">
        <f t="shared" si="344"/>
        <v>Insumo</v>
      </c>
      <c r="B4508" s="557" t="str">
        <f t="shared" si="345"/>
        <v>Insumo</v>
      </c>
      <c r="C4508" s="100" t="s">
        <v>2893</v>
      </c>
      <c r="D4508" s="99" t="s">
        <v>4097</v>
      </c>
      <c r="E4508" s="100" t="s">
        <v>139</v>
      </c>
      <c r="F4508" s="100" t="s">
        <v>4098</v>
      </c>
      <c r="G4508" s="100" t="s">
        <v>2961</v>
      </c>
      <c r="H4508" s="100"/>
      <c r="I4508" s="101" t="s">
        <v>393</v>
      </c>
      <c r="J4508" s="580">
        <v>41.258</v>
      </c>
      <c r="K4508" s="580">
        <v>0</v>
      </c>
      <c r="L4508" s="102">
        <v>0.57</v>
      </c>
      <c r="M4508" s="102">
        <v>23.51</v>
      </c>
      <c r="N4508" s="573">
        <v>0.33</v>
      </c>
      <c r="O4508" s="556" t="str">
        <f t="shared" si="343"/>
        <v>DIF</v>
      </c>
      <c r="P4508" s="573"/>
      <c r="Q4508" s="556"/>
      <c r="R4508" s="582"/>
    </row>
    <row r="4509" ht="15" customHeight="1" spans="1:18">
      <c r="A4509" s="556" t="str">
        <f t="shared" si="344"/>
        <v>Insumo</v>
      </c>
      <c r="B4509" s="557" t="str">
        <f t="shared" si="345"/>
        <v>Insumo</v>
      </c>
      <c r="C4509" s="100" t="s">
        <v>2893</v>
      </c>
      <c r="D4509" s="99" t="s">
        <v>4099</v>
      </c>
      <c r="E4509" s="100" t="s">
        <v>149</v>
      </c>
      <c r="F4509" s="100" t="s">
        <v>4100</v>
      </c>
      <c r="G4509" s="100" t="s">
        <v>2961</v>
      </c>
      <c r="H4509" s="100"/>
      <c r="I4509" s="101" t="s">
        <v>279</v>
      </c>
      <c r="J4509" s="580">
        <v>0.039</v>
      </c>
      <c r="K4509" s="580">
        <v>0</v>
      </c>
      <c r="L4509" s="102">
        <v>102.18</v>
      </c>
      <c r="M4509" s="102">
        <v>3.98</v>
      </c>
      <c r="N4509" s="573">
        <v>119.95</v>
      </c>
      <c r="O4509" s="556" t="str">
        <f t="shared" si="343"/>
        <v>DIF</v>
      </c>
      <c r="P4509" s="573"/>
      <c r="Q4509" s="556"/>
      <c r="R4509" s="582"/>
    </row>
    <row r="4510" ht="15" customHeight="1" spans="1:18">
      <c r="A4510" s="556"/>
      <c r="B4510" s="557"/>
      <c r="C4510" s="100" t="s">
        <v>2893</v>
      </c>
      <c r="D4510" s="99" t="s">
        <v>3011</v>
      </c>
      <c r="E4510" s="100" t="s">
        <v>139</v>
      </c>
      <c r="F4510" s="100" t="s">
        <v>3012</v>
      </c>
      <c r="G4510" s="100" t="s">
        <v>2961</v>
      </c>
      <c r="H4510" s="100"/>
      <c r="I4510" s="101" t="s">
        <v>393</v>
      </c>
      <c r="J4510" s="580">
        <v>0.16</v>
      </c>
      <c r="K4510" s="580">
        <v>0</v>
      </c>
      <c r="L4510" s="102">
        <v>18.07</v>
      </c>
      <c r="M4510" s="102">
        <v>2.89</v>
      </c>
      <c r="N4510" s="573"/>
      <c r="O4510" s="556"/>
      <c r="P4510" s="573"/>
      <c r="Q4510" s="556"/>
      <c r="R4510" s="582"/>
    </row>
    <row r="4511" ht="23.85" customHeight="1" spans="1:18">
      <c r="A4511" s="556"/>
      <c r="B4511" s="557"/>
      <c r="C4511" s="100" t="s">
        <v>2893</v>
      </c>
      <c r="D4511" s="99" t="s">
        <v>4101</v>
      </c>
      <c r="E4511" s="100" t="s">
        <v>139</v>
      </c>
      <c r="F4511" s="100" t="s">
        <v>4102</v>
      </c>
      <c r="G4511" s="100" t="s">
        <v>2961</v>
      </c>
      <c r="H4511" s="100"/>
      <c r="I4511" s="101" t="s">
        <v>134</v>
      </c>
      <c r="J4511" s="580">
        <v>37.471</v>
      </c>
      <c r="K4511" s="580">
        <v>0</v>
      </c>
      <c r="L4511" s="102">
        <v>2.65</v>
      </c>
      <c r="M4511" s="102">
        <v>99.29</v>
      </c>
      <c r="N4511" s="573"/>
      <c r="O4511" s="556"/>
      <c r="P4511" s="573"/>
      <c r="Q4511" s="556"/>
      <c r="R4511" s="582"/>
    </row>
    <row r="4512" ht="15" customHeight="1" spans="1:18">
      <c r="A4512" s="556"/>
      <c r="B4512" s="557" t="str">
        <f>C4511</f>
        <v>Insumo</v>
      </c>
      <c r="C4512" s="100" t="s">
        <v>2893</v>
      </c>
      <c r="D4512" s="99" t="s">
        <v>4103</v>
      </c>
      <c r="E4512" s="100" t="s">
        <v>149</v>
      </c>
      <c r="F4512" s="100" t="s">
        <v>4104</v>
      </c>
      <c r="G4512" s="100" t="s">
        <v>2961</v>
      </c>
      <c r="H4512" s="100"/>
      <c r="I4512" s="101" t="s">
        <v>279</v>
      </c>
      <c r="J4512" s="580">
        <v>0.018</v>
      </c>
      <c r="K4512" s="580">
        <v>0</v>
      </c>
      <c r="L4512" s="102">
        <v>108.18</v>
      </c>
      <c r="M4512" s="102">
        <v>1.94</v>
      </c>
      <c r="N4512" s="573">
        <v>8.37</v>
      </c>
      <c r="O4512" s="556" t="str">
        <f t="shared" ref="O4512:O4518" si="346">IF(N4512=M4512,"OK","DIF")</f>
        <v>DIF</v>
      </c>
      <c r="P4512" s="573"/>
      <c r="Q4512" s="556"/>
      <c r="R4512" s="582"/>
    </row>
    <row r="4513" ht="25.5" spans="1:18">
      <c r="A4513" s="556" t="str">
        <f t="shared" ref="A4513:A4518" si="347">B4513</f>
        <v>Insumo</v>
      </c>
      <c r="B4513" s="557" t="str">
        <f t="shared" ref="B4513:B4518" si="348">B4512</f>
        <v>Insumo</v>
      </c>
      <c r="C4513" s="108"/>
      <c r="D4513" s="108"/>
      <c r="E4513" s="108"/>
      <c r="F4513" s="108"/>
      <c r="G4513" s="108"/>
      <c r="H4513" s="108" t="s">
        <v>2898</v>
      </c>
      <c r="I4513" s="581">
        <v>527.35</v>
      </c>
      <c r="J4513" s="108" t="s">
        <v>2899</v>
      </c>
      <c r="K4513" s="581">
        <v>0</v>
      </c>
      <c r="L4513" s="108" t="s">
        <v>2900</v>
      </c>
      <c r="M4513" s="581">
        <v>527.35</v>
      </c>
      <c r="N4513" s="573">
        <v>1.03</v>
      </c>
      <c r="O4513" s="556" t="str">
        <f t="shared" si="346"/>
        <v>DIF</v>
      </c>
      <c r="P4513" s="573"/>
      <c r="Q4513" s="556"/>
      <c r="R4513" s="582"/>
    </row>
    <row r="4514" ht="26.25" spans="1:18">
      <c r="A4514" s="556" t="str">
        <f t="shared" si="347"/>
        <v>Insumo</v>
      </c>
      <c r="B4514" s="557" t="str">
        <f t="shared" si="348"/>
        <v>Insumo</v>
      </c>
      <c r="C4514" s="108"/>
      <c r="D4514" s="108"/>
      <c r="E4514" s="108"/>
      <c r="F4514" s="108"/>
      <c r="G4514" s="108"/>
      <c r="H4514" s="108" t="s">
        <v>2901</v>
      </c>
      <c r="I4514" s="581">
        <v>247.4</v>
      </c>
      <c r="J4514" s="114"/>
      <c r="K4514" s="114" t="s">
        <v>2902</v>
      </c>
      <c r="L4514" s="108"/>
      <c r="M4514" s="581">
        <v>1218.01</v>
      </c>
      <c r="N4514" s="573">
        <v>4.15</v>
      </c>
      <c r="O4514" s="556" t="str">
        <f t="shared" si="346"/>
        <v>DIF</v>
      </c>
      <c r="P4514" s="573"/>
      <c r="Q4514" s="556"/>
      <c r="R4514" s="582"/>
    </row>
    <row r="4515" ht="15" spans="1:18">
      <c r="A4515" s="556" t="str">
        <f t="shared" si="347"/>
        <v>Insumo</v>
      </c>
      <c r="B4515" s="557" t="str">
        <f t="shared" si="348"/>
        <v>Insumo</v>
      </c>
      <c r="C4515" s="571"/>
      <c r="D4515" s="571"/>
      <c r="E4515" s="571"/>
      <c r="F4515" s="571"/>
      <c r="G4515" s="571"/>
      <c r="H4515" s="571"/>
      <c r="I4515" s="571"/>
      <c r="J4515" s="571"/>
      <c r="K4515" s="571"/>
      <c r="L4515" s="571"/>
      <c r="M4515" s="571"/>
      <c r="N4515" s="573">
        <v>1.49</v>
      </c>
      <c r="O4515" s="556" t="str">
        <f t="shared" si="346"/>
        <v>DIF</v>
      </c>
      <c r="P4515" s="573"/>
      <c r="Q4515" s="556"/>
      <c r="R4515" s="582"/>
    </row>
    <row r="4516" ht="15" customHeight="1" spans="1:18">
      <c r="A4516" s="556" t="str">
        <f t="shared" si="347"/>
        <v>Insumo</v>
      </c>
      <c r="B4516" s="557" t="str">
        <f t="shared" si="348"/>
        <v>Insumo</v>
      </c>
      <c r="C4516" s="76" t="s">
        <v>1552</v>
      </c>
      <c r="D4516" s="75" t="s">
        <v>63</v>
      </c>
      <c r="E4516" s="76" t="s">
        <v>64</v>
      </c>
      <c r="F4516" s="76" t="s">
        <v>65</v>
      </c>
      <c r="G4516" s="76" t="s">
        <v>2889</v>
      </c>
      <c r="H4516" s="76"/>
      <c r="I4516" s="77" t="s">
        <v>66</v>
      </c>
      <c r="J4516" s="75" t="s">
        <v>67</v>
      </c>
      <c r="K4516" s="75" t="s">
        <v>2890</v>
      </c>
      <c r="L4516" s="75" t="s">
        <v>68</v>
      </c>
      <c r="M4516" s="75" t="s">
        <v>70</v>
      </c>
      <c r="N4516" s="573">
        <v>0.44</v>
      </c>
      <c r="O4516" s="556" t="str">
        <f t="shared" si="346"/>
        <v>DIF</v>
      </c>
      <c r="P4516" s="573"/>
      <c r="Q4516" s="556"/>
      <c r="R4516" s="582"/>
    </row>
    <row r="4517" ht="38.25" spans="1:18">
      <c r="A4517" s="556" t="str">
        <f t="shared" si="347"/>
        <v>Insumo</v>
      </c>
      <c r="B4517" s="557" t="str">
        <f t="shared" si="348"/>
        <v>Insumo</v>
      </c>
      <c r="C4517" s="569" t="s">
        <v>2891</v>
      </c>
      <c r="D4517" s="570" t="s">
        <v>1553</v>
      </c>
      <c r="E4517" s="569" t="s">
        <v>132</v>
      </c>
      <c r="F4517" s="569" t="s">
        <v>1554</v>
      </c>
      <c r="G4517" s="569">
        <v>6</v>
      </c>
      <c r="H4517" s="569"/>
      <c r="I4517" s="577" t="s">
        <v>134</v>
      </c>
      <c r="J4517" s="578">
        <v>1</v>
      </c>
      <c r="K4517" s="579"/>
      <c r="L4517" s="579">
        <v>649.25</v>
      </c>
      <c r="M4517" s="579">
        <v>649.25</v>
      </c>
      <c r="N4517" s="573">
        <v>0.71</v>
      </c>
      <c r="O4517" s="556" t="str">
        <f t="shared" si="346"/>
        <v>DIF</v>
      </c>
      <c r="P4517" s="573"/>
      <c r="Q4517" s="556"/>
      <c r="R4517" s="582"/>
    </row>
    <row r="4518" ht="23.85" customHeight="1" spans="1:18">
      <c r="A4518" s="556" t="str">
        <f t="shared" si="347"/>
        <v>Insumo</v>
      </c>
      <c r="B4518" s="557" t="str">
        <f t="shared" si="348"/>
        <v>Insumo</v>
      </c>
      <c r="C4518" s="79" t="s">
        <v>2921</v>
      </c>
      <c r="D4518" s="78" t="s">
        <v>3017</v>
      </c>
      <c r="E4518" s="79" t="s">
        <v>139</v>
      </c>
      <c r="F4518" s="79" t="s">
        <v>3018</v>
      </c>
      <c r="G4518" s="79" t="s">
        <v>2928</v>
      </c>
      <c r="H4518" s="79"/>
      <c r="I4518" s="80" t="s">
        <v>2897</v>
      </c>
      <c r="J4518" s="583">
        <v>2</v>
      </c>
      <c r="K4518" s="583">
        <v>0</v>
      </c>
      <c r="L4518" s="92">
        <v>36.96</v>
      </c>
      <c r="M4518" s="92">
        <v>73.92</v>
      </c>
      <c r="N4518" s="573">
        <v>0.55</v>
      </c>
      <c r="O4518" s="556" t="str">
        <f t="shared" si="346"/>
        <v>DIF</v>
      </c>
      <c r="P4518" s="573"/>
      <c r="Q4518" s="556"/>
      <c r="R4518" s="582"/>
    </row>
    <row r="4519" ht="23.85" customHeight="1" spans="1:18">
      <c r="A4519" s="556"/>
      <c r="B4519" s="557"/>
      <c r="C4519" s="79" t="s">
        <v>2921</v>
      </c>
      <c r="D4519" s="78" t="s">
        <v>2952</v>
      </c>
      <c r="E4519" s="79" t="s">
        <v>139</v>
      </c>
      <c r="F4519" s="79" t="s">
        <v>2953</v>
      </c>
      <c r="G4519" s="79" t="s">
        <v>2928</v>
      </c>
      <c r="H4519" s="79"/>
      <c r="I4519" s="80" t="s">
        <v>2897</v>
      </c>
      <c r="J4519" s="583">
        <v>2</v>
      </c>
      <c r="K4519" s="583">
        <v>0</v>
      </c>
      <c r="L4519" s="92">
        <v>29.15</v>
      </c>
      <c r="M4519" s="92">
        <v>58.3</v>
      </c>
      <c r="N4519" s="573"/>
      <c r="O4519" s="556"/>
      <c r="P4519" s="573"/>
      <c r="Q4519" s="556"/>
      <c r="R4519" s="582"/>
    </row>
    <row r="4520" ht="25.5" spans="1:18">
      <c r="A4520" s="556"/>
      <c r="B4520" s="557"/>
      <c r="C4520" s="79" t="s">
        <v>2921</v>
      </c>
      <c r="D4520" s="78" t="s">
        <v>3881</v>
      </c>
      <c r="E4520" s="79" t="s">
        <v>77</v>
      </c>
      <c r="F4520" s="79" t="s">
        <v>3882</v>
      </c>
      <c r="G4520" s="79">
        <v>7</v>
      </c>
      <c r="H4520" s="79"/>
      <c r="I4520" s="80" t="s">
        <v>279</v>
      </c>
      <c r="J4520" s="583">
        <v>0.005</v>
      </c>
      <c r="K4520" s="583">
        <v>0</v>
      </c>
      <c r="L4520" s="92">
        <v>446.79</v>
      </c>
      <c r="M4520" s="92">
        <v>2.23</v>
      </c>
      <c r="N4520" s="573"/>
      <c r="O4520" s="556"/>
      <c r="P4520" s="573"/>
      <c r="Q4520" s="556"/>
      <c r="R4520" s="582"/>
    </row>
    <row r="4521" ht="23.85" customHeight="1" spans="1:18">
      <c r="A4521" s="556"/>
      <c r="B4521" s="557" t="str">
        <f>C4520</f>
        <v>Composição Auxiliar</v>
      </c>
      <c r="C4521" s="100" t="s">
        <v>2893</v>
      </c>
      <c r="D4521" s="99" t="s">
        <v>4117</v>
      </c>
      <c r="E4521" s="100" t="s">
        <v>77</v>
      </c>
      <c r="F4521" s="100" t="s">
        <v>4118</v>
      </c>
      <c r="G4521" s="100" t="s">
        <v>2961</v>
      </c>
      <c r="H4521" s="100"/>
      <c r="I4521" s="101" t="s">
        <v>134</v>
      </c>
      <c r="J4521" s="580">
        <v>1</v>
      </c>
      <c r="K4521" s="580">
        <v>0</v>
      </c>
      <c r="L4521" s="102">
        <v>514.8</v>
      </c>
      <c r="M4521" s="102">
        <v>514.8</v>
      </c>
      <c r="N4521" s="573">
        <v>10.4</v>
      </c>
      <c r="O4521" s="556" t="str">
        <f t="shared" ref="O4521:O4527" si="349">IF(N4521=M4521,"OK","DIF")</f>
        <v>DIF</v>
      </c>
      <c r="P4521" s="573"/>
      <c r="Q4521" s="556"/>
      <c r="R4521" s="582"/>
    </row>
    <row r="4522" ht="25.5" spans="1:18">
      <c r="A4522" s="556" t="str">
        <f t="shared" ref="A4522:A4527" si="350">B4522</f>
        <v>Composição Auxiliar</v>
      </c>
      <c r="B4522" s="557" t="str">
        <f t="shared" ref="B4522:B4527" si="351">B4521</f>
        <v>Composição Auxiliar</v>
      </c>
      <c r="C4522" s="108"/>
      <c r="D4522" s="108"/>
      <c r="E4522" s="108"/>
      <c r="F4522" s="108"/>
      <c r="G4522" s="108"/>
      <c r="H4522" s="108" t="s">
        <v>2898</v>
      </c>
      <c r="I4522" s="581">
        <v>92.68</v>
      </c>
      <c r="J4522" s="108" t="s">
        <v>2899</v>
      </c>
      <c r="K4522" s="581">
        <v>0</v>
      </c>
      <c r="L4522" s="108" t="s">
        <v>2900</v>
      </c>
      <c r="M4522" s="581">
        <v>92.68</v>
      </c>
      <c r="N4522" s="573">
        <v>1.27</v>
      </c>
      <c r="O4522" s="556" t="str">
        <f t="shared" si="349"/>
        <v>DIF</v>
      </c>
      <c r="P4522" s="573"/>
      <c r="Q4522" s="556"/>
      <c r="R4522" s="582"/>
    </row>
    <row r="4523" ht="26.25" spans="1:18">
      <c r="A4523" s="556" t="str">
        <f t="shared" si="350"/>
        <v>Composição Auxiliar</v>
      </c>
      <c r="B4523" s="557" t="str">
        <f t="shared" si="351"/>
        <v>Composição Auxiliar</v>
      </c>
      <c r="C4523" s="108"/>
      <c r="D4523" s="108"/>
      <c r="E4523" s="108"/>
      <c r="F4523" s="108"/>
      <c r="G4523" s="108"/>
      <c r="H4523" s="108" t="s">
        <v>2901</v>
      </c>
      <c r="I4523" s="581">
        <v>165.49</v>
      </c>
      <c r="J4523" s="114"/>
      <c r="K4523" s="114" t="s">
        <v>2902</v>
      </c>
      <c r="L4523" s="108"/>
      <c r="M4523" s="581">
        <v>814.74</v>
      </c>
      <c r="N4523" s="573">
        <v>5.18</v>
      </c>
      <c r="O4523" s="556" t="str">
        <f t="shared" si="349"/>
        <v>DIF</v>
      </c>
      <c r="P4523" s="573"/>
      <c r="Q4523" s="556"/>
      <c r="R4523" s="582"/>
    </row>
    <row r="4524" ht="15" spans="1:18">
      <c r="A4524" s="556" t="str">
        <f t="shared" si="350"/>
        <v>Composição Auxiliar</v>
      </c>
      <c r="B4524" s="557" t="str">
        <f t="shared" si="351"/>
        <v>Composição Auxiliar</v>
      </c>
      <c r="C4524" s="571"/>
      <c r="D4524" s="571"/>
      <c r="E4524" s="571"/>
      <c r="F4524" s="571"/>
      <c r="G4524" s="571"/>
      <c r="H4524" s="571"/>
      <c r="I4524" s="571"/>
      <c r="J4524" s="571"/>
      <c r="K4524" s="571"/>
      <c r="L4524" s="571"/>
      <c r="M4524" s="571"/>
      <c r="N4524" s="573">
        <v>0.54</v>
      </c>
      <c r="O4524" s="556" t="str">
        <f t="shared" si="349"/>
        <v>DIF</v>
      </c>
      <c r="P4524" s="573"/>
      <c r="Q4524" s="556"/>
      <c r="R4524" s="582"/>
    </row>
    <row r="4525" ht="15" customHeight="1" spans="1:18">
      <c r="A4525" s="556" t="str">
        <f t="shared" si="350"/>
        <v>Composição Auxiliar</v>
      </c>
      <c r="B4525" s="557" t="str">
        <f t="shared" si="351"/>
        <v>Composição Auxiliar</v>
      </c>
      <c r="C4525" s="76" t="s">
        <v>1555</v>
      </c>
      <c r="D4525" s="75" t="s">
        <v>63</v>
      </c>
      <c r="E4525" s="76" t="s">
        <v>64</v>
      </c>
      <c r="F4525" s="76" t="s">
        <v>65</v>
      </c>
      <c r="G4525" s="76" t="s">
        <v>2889</v>
      </c>
      <c r="H4525" s="76"/>
      <c r="I4525" s="77" t="s">
        <v>66</v>
      </c>
      <c r="J4525" s="75" t="s">
        <v>67</v>
      </c>
      <c r="K4525" s="75" t="s">
        <v>2890</v>
      </c>
      <c r="L4525" s="75" t="s">
        <v>68</v>
      </c>
      <c r="M4525" s="75" t="s">
        <v>70</v>
      </c>
      <c r="N4525" s="573">
        <v>1.86</v>
      </c>
      <c r="O4525" s="556" t="str">
        <f t="shared" si="349"/>
        <v>DIF</v>
      </c>
      <c r="P4525" s="573"/>
      <c r="Q4525" s="556"/>
      <c r="R4525" s="582"/>
    </row>
    <row r="4526" ht="76.5" spans="1:18">
      <c r="A4526" s="556" t="str">
        <f t="shared" si="350"/>
        <v>Composição Auxiliar</v>
      </c>
      <c r="B4526" s="557" t="str">
        <f t="shared" si="351"/>
        <v>Composição Auxiliar</v>
      </c>
      <c r="C4526" s="569" t="s">
        <v>2891</v>
      </c>
      <c r="D4526" s="570" t="s">
        <v>1154</v>
      </c>
      <c r="E4526" s="569" t="s">
        <v>77</v>
      </c>
      <c r="F4526" s="569" t="s">
        <v>4076</v>
      </c>
      <c r="G4526" s="569">
        <v>6</v>
      </c>
      <c r="H4526" s="569"/>
      <c r="I4526" s="577" t="s">
        <v>204</v>
      </c>
      <c r="J4526" s="578">
        <v>1</v>
      </c>
      <c r="K4526" s="579"/>
      <c r="L4526" s="579">
        <v>36.49</v>
      </c>
      <c r="M4526" s="579">
        <v>36.49</v>
      </c>
      <c r="N4526" s="573">
        <v>0.68</v>
      </c>
      <c r="O4526" s="556" t="str">
        <f t="shared" si="349"/>
        <v>DIF</v>
      </c>
      <c r="P4526" s="573"/>
      <c r="Q4526" s="556"/>
      <c r="R4526" s="582"/>
    </row>
    <row r="4527" ht="23.85" customHeight="1" spans="1:18">
      <c r="A4527" s="556" t="str">
        <f t="shared" si="350"/>
        <v>Composição Auxiliar</v>
      </c>
      <c r="B4527" s="557" t="str">
        <f t="shared" si="351"/>
        <v>Composição Auxiliar</v>
      </c>
      <c r="C4527" s="100" t="s">
        <v>2893</v>
      </c>
      <c r="D4527" s="99" t="s">
        <v>3108</v>
      </c>
      <c r="E4527" s="100" t="s">
        <v>77</v>
      </c>
      <c r="F4527" s="100" t="s">
        <v>3109</v>
      </c>
      <c r="G4527" s="100" t="s">
        <v>2896</v>
      </c>
      <c r="H4527" s="100"/>
      <c r="I4527" s="101" t="s">
        <v>2897</v>
      </c>
      <c r="J4527" s="580">
        <v>0.45</v>
      </c>
      <c r="K4527" s="580">
        <v>3</v>
      </c>
      <c r="L4527" s="102">
        <v>19.16</v>
      </c>
      <c r="M4527" s="102">
        <v>8.88</v>
      </c>
      <c r="N4527" s="573">
        <v>0.87</v>
      </c>
      <c r="O4527" s="556" t="str">
        <f t="shared" si="349"/>
        <v>DIF</v>
      </c>
      <c r="P4527" s="573"/>
      <c r="Q4527" s="556"/>
      <c r="R4527" s="582"/>
    </row>
    <row r="4528" ht="23.85" customHeight="1" spans="1:18">
      <c r="A4528" s="556"/>
      <c r="B4528" s="557"/>
      <c r="C4528" s="100" t="s">
        <v>2893</v>
      </c>
      <c r="D4528" s="99" t="s">
        <v>4077</v>
      </c>
      <c r="E4528" s="100" t="s">
        <v>77</v>
      </c>
      <c r="F4528" s="100" t="s">
        <v>4078</v>
      </c>
      <c r="G4528" s="100" t="s">
        <v>2961</v>
      </c>
      <c r="H4528" s="100"/>
      <c r="I4528" s="101" t="s">
        <v>204</v>
      </c>
      <c r="J4528" s="580">
        <v>1</v>
      </c>
      <c r="K4528" s="580">
        <v>0</v>
      </c>
      <c r="L4528" s="102">
        <v>23.3</v>
      </c>
      <c r="M4528" s="102">
        <v>23.3</v>
      </c>
      <c r="N4528" s="573"/>
      <c r="O4528" s="556"/>
      <c r="P4528" s="573"/>
      <c r="Q4528" s="556"/>
      <c r="R4528" s="582"/>
    </row>
    <row r="4529" ht="23.85" customHeight="1" spans="1:18">
      <c r="A4529" s="556"/>
      <c r="B4529" s="557"/>
      <c r="C4529" s="100" t="s">
        <v>2893</v>
      </c>
      <c r="D4529" s="99" t="s">
        <v>4079</v>
      </c>
      <c r="E4529" s="100" t="s">
        <v>77</v>
      </c>
      <c r="F4529" s="100" t="s">
        <v>4080</v>
      </c>
      <c r="G4529" s="100" t="s">
        <v>2961</v>
      </c>
      <c r="H4529" s="100"/>
      <c r="I4529" s="101" t="s">
        <v>134</v>
      </c>
      <c r="J4529" s="580">
        <v>0.05</v>
      </c>
      <c r="K4529" s="580">
        <v>0</v>
      </c>
      <c r="L4529" s="102">
        <v>41.19</v>
      </c>
      <c r="M4529" s="102">
        <v>2.05</v>
      </c>
      <c r="N4529" s="573"/>
      <c r="O4529" s="556"/>
      <c r="P4529" s="573"/>
      <c r="Q4529" s="556"/>
      <c r="R4529" s="582"/>
    </row>
    <row r="4530" ht="35.05" customHeight="1" spans="1:18">
      <c r="A4530" s="556"/>
      <c r="B4530" s="557" t="str">
        <f>C4529</f>
        <v>Insumo</v>
      </c>
      <c r="C4530" s="100" t="s">
        <v>2893</v>
      </c>
      <c r="D4530" s="99" t="s">
        <v>4081</v>
      </c>
      <c r="E4530" s="100" t="s">
        <v>77</v>
      </c>
      <c r="F4530" s="100" t="s">
        <v>4082</v>
      </c>
      <c r="G4530" s="100" t="s">
        <v>2961</v>
      </c>
      <c r="H4530" s="100"/>
      <c r="I4530" s="101" t="s">
        <v>134</v>
      </c>
      <c r="J4530" s="580">
        <v>0.05</v>
      </c>
      <c r="K4530" s="580">
        <v>0</v>
      </c>
      <c r="L4530" s="102">
        <v>45.23</v>
      </c>
      <c r="M4530" s="102">
        <v>2.26</v>
      </c>
      <c r="N4530" s="573">
        <v>12.47</v>
      </c>
      <c r="O4530" s="556" t="str">
        <f t="shared" ref="O4530:O4536" si="352">IF(N4530=M4530,"OK","DIF")</f>
        <v>DIF</v>
      </c>
      <c r="P4530" s="573"/>
      <c r="Q4530" s="556"/>
      <c r="R4530" s="582"/>
    </row>
    <row r="4531" ht="25.5" spans="1:18">
      <c r="A4531" s="556" t="str">
        <f t="shared" ref="A4531:A4536" si="353">B4531</f>
        <v>Insumo</v>
      </c>
      <c r="B4531" s="557" t="str">
        <f t="shared" ref="B4531:B4536" si="354">B4530</f>
        <v>Insumo</v>
      </c>
      <c r="C4531" s="108"/>
      <c r="D4531" s="108"/>
      <c r="E4531" s="108"/>
      <c r="F4531" s="108"/>
      <c r="G4531" s="108"/>
      <c r="H4531" s="108" t="s">
        <v>2898</v>
      </c>
      <c r="I4531" s="581">
        <v>8.88</v>
      </c>
      <c r="J4531" s="108" t="s">
        <v>2899</v>
      </c>
      <c r="K4531" s="581">
        <v>0</v>
      </c>
      <c r="L4531" s="108" t="s">
        <v>2900</v>
      </c>
      <c r="M4531" s="581">
        <v>8.88</v>
      </c>
      <c r="N4531" s="573">
        <v>1.53</v>
      </c>
      <c r="O4531" s="556" t="str">
        <f t="shared" si="352"/>
        <v>DIF</v>
      </c>
      <c r="P4531" s="573"/>
      <c r="Q4531" s="556"/>
      <c r="R4531" s="582"/>
    </row>
    <row r="4532" ht="26.25" spans="1:18">
      <c r="A4532" s="556" t="str">
        <f t="shared" si="353"/>
        <v>Insumo</v>
      </c>
      <c r="B4532" s="557" t="str">
        <f t="shared" si="354"/>
        <v>Insumo</v>
      </c>
      <c r="C4532" s="108"/>
      <c r="D4532" s="108"/>
      <c r="E4532" s="108"/>
      <c r="F4532" s="108"/>
      <c r="G4532" s="108"/>
      <c r="H4532" s="108" t="s">
        <v>2901</v>
      </c>
      <c r="I4532" s="581">
        <v>9.3</v>
      </c>
      <c r="J4532" s="114"/>
      <c r="K4532" s="114" t="s">
        <v>2902</v>
      </c>
      <c r="L4532" s="108"/>
      <c r="M4532" s="581">
        <v>45.79</v>
      </c>
      <c r="N4532" s="573">
        <v>6.22</v>
      </c>
      <c r="O4532" s="556" t="str">
        <f t="shared" si="352"/>
        <v>DIF</v>
      </c>
      <c r="P4532" s="573"/>
      <c r="Q4532" s="556"/>
      <c r="R4532" s="582"/>
    </row>
    <row r="4533" ht="15" spans="1:18">
      <c r="A4533" s="556" t="str">
        <f t="shared" si="353"/>
        <v>Insumo</v>
      </c>
      <c r="B4533" s="557" t="str">
        <f t="shared" si="354"/>
        <v>Insumo</v>
      </c>
      <c r="C4533" s="571"/>
      <c r="D4533" s="571"/>
      <c r="E4533" s="571"/>
      <c r="F4533" s="571"/>
      <c r="G4533" s="571"/>
      <c r="H4533" s="571"/>
      <c r="I4533" s="571"/>
      <c r="J4533" s="571"/>
      <c r="K4533" s="571"/>
      <c r="L4533" s="571"/>
      <c r="M4533" s="571"/>
      <c r="N4533" s="573">
        <v>0.63</v>
      </c>
      <c r="O4533" s="556" t="str">
        <f t="shared" si="352"/>
        <v>DIF</v>
      </c>
      <c r="P4533" s="573"/>
      <c r="Q4533" s="556"/>
      <c r="R4533" s="582"/>
    </row>
    <row r="4534" ht="15" customHeight="1" spans="1:18">
      <c r="A4534" s="556" t="str">
        <f t="shared" si="353"/>
        <v>Insumo</v>
      </c>
      <c r="B4534" s="557" t="str">
        <f t="shared" si="354"/>
        <v>Insumo</v>
      </c>
      <c r="C4534" s="76" t="s">
        <v>1556</v>
      </c>
      <c r="D4534" s="75" t="s">
        <v>63</v>
      </c>
      <c r="E4534" s="76" t="s">
        <v>64</v>
      </c>
      <c r="F4534" s="76" t="s">
        <v>65</v>
      </c>
      <c r="G4534" s="76" t="s">
        <v>2889</v>
      </c>
      <c r="H4534" s="76"/>
      <c r="I4534" s="77" t="s">
        <v>66</v>
      </c>
      <c r="J4534" s="75" t="s">
        <v>67</v>
      </c>
      <c r="K4534" s="75" t="s">
        <v>2890</v>
      </c>
      <c r="L4534" s="75" t="s">
        <v>68</v>
      </c>
      <c r="M4534" s="75" t="s">
        <v>70</v>
      </c>
      <c r="N4534" s="573">
        <v>0.81</v>
      </c>
      <c r="O4534" s="556" t="str">
        <f t="shared" si="352"/>
        <v>DIF</v>
      </c>
      <c r="P4534" s="573"/>
      <c r="Q4534" s="556"/>
      <c r="R4534" s="582"/>
    </row>
    <row r="4535" ht="38.25" spans="1:18">
      <c r="A4535" s="556" t="str">
        <f t="shared" si="353"/>
        <v>Insumo</v>
      </c>
      <c r="B4535" s="557" t="str">
        <f t="shared" si="354"/>
        <v>Insumo</v>
      </c>
      <c r="C4535" s="569" t="s">
        <v>2891</v>
      </c>
      <c r="D4535" s="570" t="s">
        <v>1557</v>
      </c>
      <c r="E4535" s="569" t="s">
        <v>132</v>
      </c>
      <c r="F4535" s="569" t="s">
        <v>1558</v>
      </c>
      <c r="G4535" s="569">
        <v>61</v>
      </c>
      <c r="H4535" s="569"/>
      <c r="I4535" s="577" t="s">
        <v>204</v>
      </c>
      <c r="J4535" s="578">
        <v>1</v>
      </c>
      <c r="K4535" s="579"/>
      <c r="L4535" s="579">
        <v>228.81</v>
      </c>
      <c r="M4535" s="579">
        <v>228.81</v>
      </c>
      <c r="N4535" s="573">
        <v>2.24</v>
      </c>
      <c r="O4535" s="556" t="str">
        <f t="shared" si="352"/>
        <v>DIF</v>
      </c>
      <c r="P4535" s="573"/>
      <c r="Q4535" s="556"/>
      <c r="R4535" s="582"/>
    </row>
    <row r="4536" ht="23.85" customHeight="1" spans="1:18">
      <c r="A4536" s="556" t="str">
        <f t="shared" si="353"/>
        <v>Insumo</v>
      </c>
      <c r="B4536" s="557" t="str">
        <f t="shared" si="354"/>
        <v>Insumo</v>
      </c>
      <c r="C4536" s="79" t="s">
        <v>2921</v>
      </c>
      <c r="D4536" s="78" t="s">
        <v>3017</v>
      </c>
      <c r="E4536" s="79" t="s">
        <v>139</v>
      </c>
      <c r="F4536" s="79" t="s">
        <v>3018</v>
      </c>
      <c r="G4536" s="79" t="s">
        <v>2928</v>
      </c>
      <c r="H4536" s="79"/>
      <c r="I4536" s="80" t="s">
        <v>2897</v>
      </c>
      <c r="J4536" s="583">
        <v>1.02</v>
      </c>
      <c r="K4536" s="583">
        <v>0</v>
      </c>
      <c r="L4536" s="92">
        <v>36.96</v>
      </c>
      <c r="M4536" s="92">
        <v>37.69</v>
      </c>
      <c r="N4536" s="573">
        <v>1.04</v>
      </c>
      <c r="O4536" s="556" t="str">
        <f t="shared" si="352"/>
        <v>DIF</v>
      </c>
      <c r="P4536" s="573"/>
      <c r="Q4536" s="556"/>
      <c r="R4536" s="582"/>
    </row>
    <row r="4537" ht="23.85" customHeight="1" spans="1:18">
      <c r="A4537" s="556"/>
      <c r="B4537" s="557"/>
      <c r="C4537" s="79" t="s">
        <v>2921</v>
      </c>
      <c r="D4537" s="78" t="s">
        <v>2952</v>
      </c>
      <c r="E4537" s="79" t="s">
        <v>139</v>
      </c>
      <c r="F4537" s="79" t="s">
        <v>2953</v>
      </c>
      <c r="G4537" s="79" t="s">
        <v>2928</v>
      </c>
      <c r="H4537" s="79"/>
      <c r="I4537" s="80" t="s">
        <v>2897</v>
      </c>
      <c r="J4537" s="583">
        <v>3.538</v>
      </c>
      <c r="K4537" s="583">
        <v>0</v>
      </c>
      <c r="L4537" s="92">
        <v>29.15</v>
      </c>
      <c r="M4537" s="92">
        <v>103.13</v>
      </c>
      <c r="N4537" s="573"/>
      <c r="O4537" s="556"/>
      <c r="P4537" s="573"/>
      <c r="Q4537" s="556"/>
      <c r="R4537" s="582"/>
    </row>
    <row r="4538" ht="15" customHeight="1" spans="1:18">
      <c r="A4538" s="556"/>
      <c r="B4538" s="557"/>
      <c r="C4538" s="100" t="s">
        <v>2893</v>
      </c>
      <c r="D4538" s="99" t="s">
        <v>3569</v>
      </c>
      <c r="E4538" s="100" t="s">
        <v>149</v>
      </c>
      <c r="F4538" s="100" t="s">
        <v>3570</v>
      </c>
      <c r="G4538" s="100" t="s">
        <v>2961</v>
      </c>
      <c r="H4538" s="100"/>
      <c r="I4538" s="101" t="s">
        <v>279</v>
      </c>
      <c r="J4538" s="580">
        <v>0.171</v>
      </c>
      <c r="K4538" s="580">
        <v>0</v>
      </c>
      <c r="L4538" s="102">
        <v>88.64</v>
      </c>
      <c r="M4538" s="102">
        <v>15.15</v>
      </c>
      <c r="N4538" s="573"/>
      <c r="O4538" s="556"/>
      <c r="P4538" s="573"/>
      <c r="Q4538" s="556"/>
      <c r="R4538" s="582"/>
    </row>
    <row r="4539" ht="15" customHeight="1" spans="1:18">
      <c r="A4539" s="556"/>
      <c r="B4539" s="557" t="str">
        <f>C4538</f>
        <v>Insumo</v>
      </c>
      <c r="C4539" s="100" t="s">
        <v>2893</v>
      </c>
      <c r="D4539" s="99" t="s">
        <v>3575</v>
      </c>
      <c r="E4539" s="100" t="s">
        <v>149</v>
      </c>
      <c r="F4539" s="100" t="s">
        <v>3576</v>
      </c>
      <c r="G4539" s="100" t="s">
        <v>2961</v>
      </c>
      <c r="H4539" s="100"/>
      <c r="I4539" s="101" t="s">
        <v>393</v>
      </c>
      <c r="J4539" s="580">
        <v>76.275</v>
      </c>
      <c r="K4539" s="580">
        <v>0</v>
      </c>
      <c r="L4539" s="102">
        <v>0.68</v>
      </c>
      <c r="M4539" s="102">
        <v>51.86</v>
      </c>
      <c r="N4539" s="573">
        <v>16.64</v>
      </c>
      <c r="O4539" s="556" t="str">
        <f t="shared" ref="O4539:O4545" si="355">IF(N4539=M4539,"OK","DIF")</f>
        <v>DIF</v>
      </c>
      <c r="P4539" s="573"/>
      <c r="Q4539" s="556"/>
      <c r="R4539" s="582"/>
    </row>
    <row r="4540" ht="15" customHeight="1" spans="1:18">
      <c r="A4540" s="556" t="str">
        <f t="shared" ref="A4540:A4545" si="356">B4540</f>
        <v>Insumo</v>
      </c>
      <c r="B4540" s="557" t="str">
        <f t="shared" ref="B4540:B4545" si="357">B4539</f>
        <v>Insumo</v>
      </c>
      <c r="C4540" s="100" t="s">
        <v>2893</v>
      </c>
      <c r="D4540" s="99" t="s">
        <v>4083</v>
      </c>
      <c r="E4540" s="100" t="s">
        <v>149</v>
      </c>
      <c r="F4540" s="100" t="s">
        <v>4084</v>
      </c>
      <c r="G4540" s="100" t="s">
        <v>2961</v>
      </c>
      <c r="H4540" s="100"/>
      <c r="I4540" s="101" t="s">
        <v>279</v>
      </c>
      <c r="J4540" s="580">
        <v>0.194</v>
      </c>
      <c r="K4540" s="580">
        <v>0</v>
      </c>
      <c r="L4540" s="102">
        <v>108.18</v>
      </c>
      <c r="M4540" s="102">
        <v>20.98</v>
      </c>
      <c r="N4540" s="573">
        <v>8.3</v>
      </c>
      <c r="O4540" s="556" t="str">
        <f t="shared" si="355"/>
        <v>DIF</v>
      </c>
      <c r="P4540" s="573"/>
      <c r="Q4540" s="556"/>
      <c r="R4540" s="582"/>
    </row>
    <row r="4541" ht="25.5" spans="1:18">
      <c r="A4541" s="556" t="str">
        <f t="shared" si="356"/>
        <v>Insumo</v>
      </c>
      <c r="B4541" s="557" t="str">
        <f t="shared" si="357"/>
        <v>Insumo</v>
      </c>
      <c r="C4541" s="108"/>
      <c r="D4541" s="108"/>
      <c r="E4541" s="108"/>
      <c r="F4541" s="108"/>
      <c r="G4541" s="108"/>
      <c r="H4541" s="108" t="s">
        <v>2898</v>
      </c>
      <c r="I4541" s="581">
        <v>95.47</v>
      </c>
      <c r="J4541" s="108" t="s">
        <v>2899</v>
      </c>
      <c r="K4541" s="581">
        <v>0</v>
      </c>
      <c r="L4541" s="108" t="s">
        <v>2900</v>
      </c>
      <c r="M4541" s="581">
        <v>95.47</v>
      </c>
      <c r="N4541" s="573">
        <v>2.05</v>
      </c>
      <c r="O4541" s="556" t="str">
        <f t="shared" si="355"/>
        <v>DIF</v>
      </c>
      <c r="P4541" s="573"/>
      <c r="Q4541" s="556"/>
      <c r="R4541" s="582"/>
    </row>
    <row r="4542" ht="26.25" spans="1:18">
      <c r="A4542" s="556" t="str">
        <f t="shared" si="356"/>
        <v>Insumo</v>
      </c>
      <c r="B4542" s="557" t="str">
        <f t="shared" si="357"/>
        <v>Insumo</v>
      </c>
      <c r="C4542" s="108"/>
      <c r="D4542" s="108"/>
      <c r="E4542" s="108"/>
      <c r="F4542" s="108"/>
      <c r="G4542" s="108"/>
      <c r="H4542" s="108" t="s">
        <v>2901</v>
      </c>
      <c r="I4542" s="581">
        <v>58.32</v>
      </c>
      <c r="J4542" s="114"/>
      <c r="K4542" s="114" t="s">
        <v>2902</v>
      </c>
      <c r="L4542" s="108"/>
      <c r="M4542" s="581">
        <v>287.13</v>
      </c>
      <c r="N4542" s="573">
        <v>1.37</v>
      </c>
      <c r="O4542" s="556" t="str">
        <f t="shared" si="355"/>
        <v>DIF</v>
      </c>
      <c r="P4542" s="573"/>
      <c r="Q4542" s="556"/>
      <c r="R4542" s="582"/>
    </row>
    <row r="4543" ht="15" spans="1:18">
      <c r="A4543" s="556" t="str">
        <f t="shared" si="356"/>
        <v>Insumo</v>
      </c>
      <c r="B4543" s="557" t="str">
        <f t="shared" si="357"/>
        <v>Insumo</v>
      </c>
      <c r="C4543" s="571"/>
      <c r="D4543" s="571"/>
      <c r="E4543" s="571"/>
      <c r="F4543" s="571"/>
      <c r="G4543" s="571"/>
      <c r="H4543" s="571"/>
      <c r="I4543" s="571"/>
      <c r="J4543" s="571"/>
      <c r="K4543" s="571"/>
      <c r="L4543" s="571"/>
      <c r="M4543" s="571"/>
      <c r="N4543" s="573">
        <v>1.07</v>
      </c>
      <c r="O4543" s="556" t="str">
        <f t="shared" si="355"/>
        <v>DIF</v>
      </c>
      <c r="P4543" s="573"/>
      <c r="Q4543" s="556"/>
      <c r="R4543" s="582"/>
    </row>
    <row r="4544" ht="15" customHeight="1" spans="1:18">
      <c r="A4544" s="556" t="str">
        <f t="shared" si="356"/>
        <v>Insumo</v>
      </c>
      <c r="B4544" s="557" t="str">
        <f t="shared" si="357"/>
        <v>Insumo</v>
      </c>
      <c r="C4544" s="76" t="s">
        <v>1559</v>
      </c>
      <c r="D4544" s="75" t="s">
        <v>63</v>
      </c>
      <c r="E4544" s="76" t="s">
        <v>64</v>
      </c>
      <c r="F4544" s="76" t="s">
        <v>65</v>
      </c>
      <c r="G4544" s="76" t="s">
        <v>2889</v>
      </c>
      <c r="H4544" s="76"/>
      <c r="I4544" s="77" t="s">
        <v>66</v>
      </c>
      <c r="J4544" s="75" t="s">
        <v>67</v>
      </c>
      <c r="K4544" s="75" t="s">
        <v>2890</v>
      </c>
      <c r="L4544" s="75" t="s">
        <v>68</v>
      </c>
      <c r="M4544" s="75" t="s">
        <v>70</v>
      </c>
      <c r="N4544" s="573">
        <v>2.99</v>
      </c>
      <c r="O4544" s="556" t="str">
        <f t="shared" si="355"/>
        <v>DIF</v>
      </c>
      <c r="P4544" s="573"/>
      <c r="Q4544" s="556"/>
      <c r="R4544" s="582"/>
    </row>
    <row r="4545" ht="35.05" customHeight="1" spans="1:18">
      <c r="A4545" s="556" t="str">
        <f t="shared" si="356"/>
        <v>Insumo</v>
      </c>
      <c r="B4545" s="557" t="str">
        <f t="shared" si="357"/>
        <v>Insumo</v>
      </c>
      <c r="C4545" s="569" t="s">
        <v>2891</v>
      </c>
      <c r="D4545" s="570" t="s">
        <v>1560</v>
      </c>
      <c r="E4545" s="569" t="s">
        <v>132</v>
      </c>
      <c r="F4545" s="569" t="s">
        <v>1561</v>
      </c>
      <c r="G4545" s="569" t="s">
        <v>3177</v>
      </c>
      <c r="H4545" s="569"/>
      <c r="I4545" s="577" t="s">
        <v>204</v>
      </c>
      <c r="J4545" s="578">
        <v>1</v>
      </c>
      <c r="K4545" s="579"/>
      <c r="L4545" s="579">
        <v>230.46</v>
      </c>
      <c r="M4545" s="579">
        <v>230.46</v>
      </c>
      <c r="N4545" s="573">
        <v>0.86</v>
      </c>
      <c r="O4545" s="556" t="str">
        <f t="shared" si="355"/>
        <v>DIF</v>
      </c>
      <c r="P4545" s="573"/>
      <c r="Q4545" s="556"/>
      <c r="R4545" s="582"/>
    </row>
    <row r="4546" ht="23.85" customHeight="1" spans="1:18">
      <c r="A4546" s="556"/>
      <c r="B4546" s="557"/>
      <c r="C4546" s="79" t="s">
        <v>2921</v>
      </c>
      <c r="D4546" s="78" t="s">
        <v>3153</v>
      </c>
      <c r="E4546" s="79" t="s">
        <v>139</v>
      </c>
      <c r="F4546" s="79" t="s">
        <v>3154</v>
      </c>
      <c r="G4546" s="79" t="s">
        <v>2928</v>
      </c>
      <c r="H4546" s="79"/>
      <c r="I4546" s="80" t="s">
        <v>2897</v>
      </c>
      <c r="J4546" s="583">
        <v>1.8</v>
      </c>
      <c r="K4546" s="583">
        <v>0</v>
      </c>
      <c r="L4546" s="92">
        <v>30.6</v>
      </c>
      <c r="M4546" s="92">
        <v>55.08</v>
      </c>
      <c r="N4546" s="573"/>
      <c r="O4546" s="556"/>
      <c r="P4546" s="573"/>
      <c r="Q4546" s="556"/>
      <c r="R4546" s="582"/>
    </row>
    <row r="4547" ht="23.85" customHeight="1" spans="1:18">
      <c r="A4547" s="556"/>
      <c r="B4547" s="557"/>
      <c r="C4547" s="79" t="s">
        <v>2921</v>
      </c>
      <c r="D4547" s="78" t="s">
        <v>3151</v>
      </c>
      <c r="E4547" s="79" t="s">
        <v>139</v>
      </c>
      <c r="F4547" s="79" t="s">
        <v>3152</v>
      </c>
      <c r="G4547" s="79" t="s">
        <v>2928</v>
      </c>
      <c r="H4547" s="79"/>
      <c r="I4547" s="80" t="s">
        <v>2897</v>
      </c>
      <c r="J4547" s="583">
        <v>0.6</v>
      </c>
      <c r="K4547" s="583">
        <v>0</v>
      </c>
      <c r="L4547" s="92">
        <v>36.82</v>
      </c>
      <c r="M4547" s="92">
        <v>22.09</v>
      </c>
      <c r="N4547" s="573"/>
      <c r="O4547" s="556"/>
      <c r="P4547" s="573"/>
      <c r="Q4547" s="556"/>
      <c r="R4547" s="582"/>
    </row>
    <row r="4548" ht="15" customHeight="1" spans="1:18">
      <c r="A4548" s="556"/>
      <c r="B4548" s="557" t="str">
        <f>C4547</f>
        <v>Composição Auxiliar</v>
      </c>
      <c r="C4548" s="100" t="s">
        <v>2893</v>
      </c>
      <c r="D4548" s="99" t="s">
        <v>4380</v>
      </c>
      <c r="E4548" s="100" t="s">
        <v>132</v>
      </c>
      <c r="F4548" s="100" t="s">
        <v>4381</v>
      </c>
      <c r="G4548" s="100" t="s">
        <v>2961</v>
      </c>
      <c r="H4548" s="100"/>
      <c r="I4548" s="101" t="s">
        <v>204</v>
      </c>
      <c r="J4548" s="580">
        <v>1.02</v>
      </c>
      <c r="K4548" s="580">
        <v>0</v>
      </c>
      <c r="L4548" s="102">
        <v>150.29</v>
      </c>
      <c r="M4548" s="102">
        <v>153.29</v>
      </c>
      <c r="N4548" s="573">
        <v>25.03</v>
      </c>
      <c r="O4548" s="556" t="str">
        <f t="shared" ref="O4548:O4554" si="358">IF(N4548=M4548,"OK","DIF")</f>
        <v>DIF</v>
      </c>
      <c r="P4548" s="573"/>
      <c r="Q4548" s="556"/>
      <c r="R4548" s="582"/>
    </row>
    <row r="4549" ht="25.5" spans="1:18">
      <c r="A4549" s="556" t="str">
        <f t="shared" ref="A4549:A4554" si="359">B4549</f>
        <v>Composição Auxiliar</v>
      </c>
      <c r="B4549" s="557" t="str">
        <f t="shared" ref="B4549:B4554" si="360">B4548</f>
        <v>Composição Auxiliar</v>
      </c>
      <c r="C4549" s="108"/>
      <c r="D4549" s="108"/>
      <c r="E4549" s="108"/>
      <c r="F4549" s="108"/>
      <c r="G4549" s="108"/>
      <c r="H4549" s="108" t="s">
        <v>2898</v>
      </c>
      <c r="I4549" s="581">
        <v>53.05</v>
      </c>
      <c r="J4549" s="108" t="s">
        <v>2899</v>
      </c>
      <c r="K4549" s="581">
        <v>0</v>
      </c>
      <c r="L4549" s="108" t="s">
        <v>2900</v>
      </c>
      <c r="M4549" s="581">
        <v>53.05</v>
      </c>
      <c r="N4549" s="573">
        <v>3.08</v>
      </c>
      <c r="O4549" s="556" t="str">
        <f t="shared" si="358"/>
        <v>DIF</v>
      </c>
      <c r="P4549" s="573"/>
      <c r="Q4549" s="556"/>
      <c r="R4549" s="582"/>
    </row>
    <row r="4550" ht="26.25" spans="1:18">
      <c r="A4550" s="556" t="str">
        <f t="shared" si="359"/>
        <v>Composição Auxiliar</v>
      </c>
      <c r="B4550" s="557" t="str">
        <f t="shared" si="360"/>
        <v>Composição Auxiliar</v>
      </c>
      <c r="C4550" s="108"/>
      <c r="D4550" s="108"/>
      <c r="E4550" s="108"/>
      <c r="F4550" s="108"/>
      <c r="G4550" s="108"/>
      <c r="H4550" s="108" t="s">
        <v>2901</v>
      </c>
      <c r="I4550" s="581">
        <v>58.74</v>
      </c>
      <c r="J4550" s="114"/>
      <c r="K4550" s="114" t="s">
        <v>2902</v>
      </c>
      <c r="L4550" s="108"/>
      <c r="M4550" s="581">
        <v>289.2</v>
      </c>
      <c r="N4550" s="573">
        <v>12.45</v>
      </c>
      <c r="O4550" s="556" t="str">
        <f t="shared" si="358"/>
        <v>DIF</v>
      </c>
      <c r="P4550" s="573"/>
      <c r="Q4550" s="556"/>
      <c r="R4550" s="582"/>
    </row>
    <row r="4551" ht="15" spans="1:18">
      <c r="A4551" s="556" t="str">
        <f t="shared" si="359"/>
        <v>Composição Auxiliar</v>
      </c>
      <c r="B4551" s="557" t="str">
        <f t="shared" si="360"/>
        <v>Composição Auxiliar</v>
      </c>
      <c r="C4551" s="571"/>
      <c r="D4551" s="571"/>
      <c r="E4551" s="571"/>
      <c r="F4551" s="571"/>
      <c r="G4551" s="571"/>
      <c r="H4551" s="571"/>
      <c r="I4551" s="571"/>
      <c r="J4551" s="571"/>
      <c r="K4551" s="571"/>
      <c r="L4551" s="571"/>
      <c r="M4551" s="571"/>
      <c r="N4551" s="573">
        <v>4.48</v>
      </c>
      <c r="O4551" s="556" t="str">
        <f t="shared" si="358"/>
        <v>DIF</v>
      </c>
      <c r="P4551" s="573"/>
      <c r="Q4551" s="556"/>
      <c r="R4551" s="582"/>
    </row>
    <row r="4552" ht="15" customHeight="1" spans="1:18">
      <c r="A4552" s="556" t="str">
        <f t="shared" si="359"/>
        <v>Composição Auxiliar</v>
      </c>
      <c r="B4552" s="557" t="str">
        <f t="shared" si="360"/>
        <v>Composição Auxiliar</v>
      </c>
      <c r="C4552" s="76" t="s">
        <v>1562</v>
      </c>
      <c r="D4552" s="75" t="s">
        <v>63</v>
      </c>
      <c r="E4552" s="76" t="s">
        <v>64</v>
      </c>
      <c r="F4552" s="76" t="s">
        <v>65</v>
      </c>
      <c r="G4552" s="76" t="s">
        <v>2889</v>
      </c>
      <c r="H4552" s="76"/>
      <c r="I4552" s="77" t="s">
        <v>66</v>
      </c>
      <c r="J4552" s="75" t="s">
        <v>67</v>
      </c>
      <c r="K4552" s="75" t="s">
        <v>2890</v>
      </c>
      <c r="L4552" s="75" t="s">
        <v>68</v>
      </c>
      <c r="M4552" s="75" t="s">
        <v>70</v>
      </c>
      <c r="N4552" s="573">
        <v>2.08</v>
      </c>
      <c r="O4552" s="556" t="str">
        <f t="shared" si="358"/>
        <v>DIF</v>
      </c>
      <c r="P4552" s="573"/>
      <c r="Q4552" s="556"/>
      <c r="R4552" s="582"/>
    </row>
    <row r="4553" ht="35.05" customHeight="1" spans="1:18">
      <c r="A4553" s="556" t="str">
        <f t="shared" si="359"/>
        <v>Composição Auxiliar</v>
      </c>
      <c r="B4553" s="557" t="str">
        <f t="shared" si="360"/>
        <v>Composição Auxiliar</v>
      </c>
      <c r="C4553" s="569" t="s">
        <v>2891</v>
      </c>
      <c r="D4553" s="570" t="s">
        <v>1563</v>
      </c>
      <c r="E4553" s="569" t="s">
        <v>132</v>
      </c>
      <c r="F4553" s="569" t="s">
        <v>1564</v>
      </c>
      <c r="G4553" s="569" t="s">
        <v>3177</v>
      </c>
      <c r="H4553" s="569"/>
      <c r="I4553" s="577" t="s">
        <v>134</v>
      </c>
      <c r="J4553" s="578">
        <v>1</v>
      </c>
      <c r="K4553" s="579"/>
      <c r="L4553" s="579">
        <v>392.64</v>
      </c>
      <c r="M4553" s="579">
        <v>392.64</v>
      </c>
      <c r="N4553" s="573">
        <v>1.63</v>
      </c>
      <c r="O4553" s="556" t="str">
        <f t="shared" si="358"/>
        <v>DIF</v>
      </c>
      <c r="P4553" s="573"/>
      <c r="Q4553" s="556"/>
      <c r="R4553" s="582"/>
    </row>
    <row r="4554" ht="23.85" customHeight="1" spans="1:18">
      <c r="A4554" s="556" t="str">
        <f t="shared" si="359"/>
        <v>Composição Auxiliar</v>
      </c>
      <c r="B4554" s="557" t="str">
        <f t="shared" si="360"/>
        <v>Composição Auxiliar</v>
      </c>
      <c r="C4554" s="79" t="s">
        <v>2921</v>
      </c>
      <c r="D4554" s="78" t="s">
        <v>3151</v>
      </c>
      <c r="E4554" s="79" t="s">
        <v>139</v>
      </c>
      <c r="F4554" s="79" t="s">
        <v>3152</v>
      </c>
      <c r="G4554" s="79" t="s">
        <v>2928</v>
      </c>
      <c r="H4554" s="79"/>
      <c r="I4554" s="80" t="s">
        <v>2897</v>
      </c>
      <c r="J4554" s="583">
        <v>2</v>
      </c>
      <c r="K4554" s="583">
        <v>0</v>
      </c>
      <c r="L4554" s="92">
        <v>36.82</v>
      </c>
      <c r="M4554" s="92">
        <v>73.64</v>
      </c>
      <c r="N4554" s="573">
        <v>1.31</v>
      </c>
      <c r="O4554" s="556" t="str">
        <f t="shared" si="358"/>
        <v>DIF</v>
      </c>
      <c r="P4554" s="573"/>
      <c r="Q4554" s="556"/>
      <c r="R4554" s="582"/>
    </row>
    <row r="4555" ht="23.85" customHeight="1" spans="1:18">
      <c r="A4555" s="556"/>
      <c r="B4555" s="557"/>
      <c r="C4555" s="79" t="s">
        <v>2921</v>
      </c>
      <c r="D4555" s="78" t="s">
        <v>2952</v>
      </c>
      <c r="E4555" s="79" t="s">
        <v>139</v>
      </c>
      <c r="F4555" s="79" t="s">
        <v>2953</v>
      </c>
      <c r="G4555" s="79" t="s">
        <v>2928</v>
      </c>
      <c r="H4555" s="79"/>
      <c r="I4555" s="80" t="s">
        <v>2897</v>
      </c>
      <c r="J4555" s="583">
        <v>2</v>
      </c>
      <c r="K4555" s="583">
        <v>0</v>
      </c>
      <c r="L4555" s="92">
        <v>29.15</v>
      </c>
      <c r="M4555" s="92">
        <v>58.3</v>
      </c>
      <c r="N4555" s="573"/>
      <c r="O4555" s="556"/>
      <c r="P4555" s="573"/>
      <c r="Q4555" s="556"/>
      <c r="R4555" s="582"/>
    </row>
    <row r="4556" ht="35.05" customHeight="1" spans="1:18">
      <c r="A4556" s="556"/>
      <c r="B4556" s="557"/>
      <c r="C4556" s="100" t="s">
        <v>2893</v>
      </c>
      <c r="D4556" s="99" t="s">
        <v>4292</v>
      </c>
      <c r="E4556" s="100" t="s">
        <v>149</v>
      </c>
      <c r="F4556" s="100" t="s">
        <v>4293</v>
      </c>
      <c r="G4556" s="100" t="s">
        <v>2961</v>
      </c>
      <c r="H4556" s="100"/>
      <c r="I4556" s="101" t="s">
        <v>134</v>
      </c>
      <c r="J4556" s="580">
        <v>1</v>
      </c>
      <c r="K4556" s="580">
        <v>0</v>
      </c>
      <c r="L4556" s="102">
        <v>260.7</v>
      </c>
      <c r="M4556" s="102">
        <v>260.7</v>
      </c>
      <c r="N4556" s="573"/>
      <c r="O4556" s="556"/>
      <c r="P4556" s="573"/>
      <c r="Q4556" s="556"/>
      <c r="R4556" s="582"/>
    </row>
    <row r="4557" ht="25.5" spans="1:18">
      <c r="A4557" s="556"/>
      <c r="B4557" s="557" t="str">
        <f>C4556</f>
        <v>Insumo</v>
      </c>
      <c r="C4557" s="108"/>
      <c r="D4557" s="108"/>
      <c r="E4557" s="108"/>
      <c r="F4557" s="108"/>
      <c r="G4557" s="108"/>
      <c r="H4557" s="108" t="s">
        <v>2898</v>
      </c>
      <c r="I4557" s="581">
        <v>91.98</v>
      </c>
      <c r="J4557" s="108" t="s">
        <v>2899</v>
      </c>
      <c r="K4557" s="581">
        <v>0</v>
      </c>
      <c r="L4557" s="108" t="s">
        <v>2900</v>
      </c>
      <c r="M4557" s="581">
        <v>91.98</v>
      </c>
      <c r="N4557" s="573">
        <v>33.29</v>
      </c>
      <c r="O4557" s="556" t="str">
        <f t="shared" ref="O4557:O4563" si="361">IF(N4557=M4557,"OK","DIF")</f>
        <v>DIF</v>
      </c>
      <c r="P4557" s="573"/>
      <c r="Q4557" s="556"/>
      <c r="R4557" s="582"/>
    </row>
    <row r="4558" ht="26.25" spans="1:18">
      <c r="A4558" s="556" t="str">
        <f t="shared" ref="A4558:A4563" si="362">B4558</f>
        <v>Insumo</v>
      </c>
      <c r="B4558" s="557" t="str">
        <f t="shared" ref="B4558:B4563" si="363">B4557</f>
        <v>Insumo</v>
      </c>
      <c r="C4558" s="108"/>
      <c r="D4558" s="108"/>
      <c r="E4558" s="108"/>
      <c r="F4558" s="108"/>
      <c r="G4558" s="108"/>
      <c r="H4558" s="108" t="s">
        <v>2901</v>
      </c>
      <c r="I4558" s="581">
        <v>100.08</v>
      </c>
      <c r="J4558" s="114"/>
      <c r="K4558" s="114" t="s">
        <v>2902</v>
      </c>
      <c r="L4558" s="108"/>
      <c r="M4558" s="581">
        <v>492.72</v>
      </c>
      <c r="N4558" s="573">
        <v>16.6</v>
      </c>
      <c r="O4558" s="556" t="str">
        <f t="shared" si="361"/>
        <v>DIF</v>
      </c>
      <c r="P4558" s="573"/>
      <c r="Q4558" s="556"/>
      <c r="R4558" s="582"/>
    </row>
    <row r="4559" ht="15" spans="1:18">
      <c r="A4559" s="556" t="str">
        <f t="shared" si="362"/>
        <v>Insumo</v>
      </c>
      <c r="B4559" s="557" t="str">
        <f t="shared" si="363"/>
        <v>Insumo</v>
      </c>
      <c r="C4559" s="571"/>
      <c r="D4559" s="571"/>
      <c r="E4559" s="571"/>
      <c r="F4559" s="571"/>
      <c r="G4559" s="571"/>
      <c r="H4559" s="571"/>
      <c r="I4559" s="571"/>
      <c r="J4559" s="571"/>
      <c r="K4559" s="571"/>
      <c r="L4559" s="571"/>
      <c r="M4559" s="571"/>
      <c r="N4559" s="573">
        <v>4.1</v>
      </c>
      <c r="O4559" s="556" t="str">
        <f t="shared" si="361"/>
        <v>DIF</v>
      </c>
      <c r="P4559" s="573"/>
      <c r="Q4559" s="556"/>
      <c r="R4559" s="582"/>
    </row>
    <row r="4560" ht="15" customHeight="1" spans="1:18">
      <c r="A4560" s="556" t="str">
        <f t="shared" si="362"/>
        <v>Insumo</v>
      </c>
      <c r="B4560" s="557" t="str">
        <f t="shared" si="363"/>
        <v>Insumo</v>
      </c>
      <c r="C4560" s="76" t="s">
        <v>1567</v>
      </c>
      <c r="D4560" s="75" t="s">
        <v>63</v>
      </c>
      <c r="E4560" s="76" t="s">
        <v>64</v>
      </c>
      <c r="F4560" s="76" t="s">
        <v>65</v>
      </c>
      <c r="G4560" s="76" t="s">
        <v>2889</v>
      </c>
      <c r="H4560" s="76"/>
      <c r="I4560" s="77" t="s">
        <v>66</v>
      </c>
      <c r="J4560" s="75" t="s">
        <v>67</v>
      </c>
      <c r="K4560" s="75" t="s">
        <v>2890</v>
      </c>
      <c r="L4560" s="75" t="s">
        <v>68</v>
      </c>
      <c r="M4560" s="75" t="s">
        <v>70</v>
      </c>
      <c r="N4560" s="573">
        <v>2.15</v>
      </c>
      <c r="O4560" s="556" t="str">
        <f t="shared" si="361"/>
        <v>DIF</v>
      </c>
      <c r="P4560" s="573"/>
      <c r="Q4560" s="556"/>
      <c r="R4560" s="582"/>
    </row>
    <row r="4561" ht="35.05" customHeight="1" spans="1:18">
      <c r="A4561" s="556" t="str">
        <f t="shared" si="362"/>
        <v>Insumo</v>
      </c>
      <c r="B4561" s="557" t="str">
        <f t="shared" si="363"/>
        <v>Insumo</v>
      </c>
      <c r="C4561" s="569" t="s">
        <v>2891</v>
      </c>
      <c r="D4561" s="570" t="s">
        <v>1568</v>
      </c>
      <c r="E4561" s="569" t="s">
        <v>139</v>
      </c>
      <c r="F4561" s="569" t="s">
        <v>1569</v>
      </c>
      <c r="G4561" s="569" t="s">
        <v>3150</v>
      </c>
      <c r="H4561" s="569"/>
      <c r="I4561" s="577" t="s">
        <v>134</v>
      </c>
      <c r="J4561" s="578">
        <v>1</v>
      </c>
      <c r="K4561" s="579"/>
      <c r="L4561" s="579">
        <v>34.03</v>
      </c>
      <c r="M4561" s="579">
        <v>34.03</v>
      </c>
      <c r="N4561" s="573">
        <v>2.74</v>
      </c>
      <c r="O4561" s="556" t="str">
        <f t="shared" si="361"/>
        <v>DIF</v>
      </c>
      <c r="P4561" s="573"/>
      <c r="Q4561" s="556"/>
      <c r="R4561" s="582"/>
    </row>
    <row r="4562" ht="35.05" customHeight="1" spans="1:18">
      <c r="A4562" s="556" t="str">
        <f t="shared" si="362"/>
        <v>Insumo</v>
      </c>
      <c r="B4562" s="557" t="str">
        <f t="shared" si="363"/>
        <v>Insumo</v>
      </c>
      <c r="C4562" s="79" t="s">
        <v>2921</v>
      </c>
      <c r="D4562" s="78" t="s">
        <v>3171</v>
      </c>
      <c r="E4562" s="79" t="s">
        <v>139</v>
      </c>
      <c r="F4562" s="79" t="s">
        <v>3172</v>
      </c>
      <c r="G4562" s="79" t="s">
        <v>3150</v>
      </c>
      <c r="H4562" s="79"/>
      <c r="I4562" s="80" t="s">
        <v>134</v>
      </c>
      <c r="J4562" s="583">
        <v>1</v>
      </c>
      <c r="K4562" s="583">
        <v>0</v>
      </c>
      <c r="L4562" s="92">
        <v>12.45</v>
      </c>
      <c r="M4562" s="92">
        <v>12.45</v>
      </c>
      <c r="N4562" s="573">
        <v>5.98</v>
      </c>
      <c r="O4562" s="556" t="str">
        <f t="shared" si="361"/>
        <v>DIF</v>
      </c>
      <c r="P4562" s="573"/>
      <c r="Q4562" s="556"/>
      <c r="R4562" s="582"/>
    </row>
    <row r="4563" ht="35.05" customHeight="1" spans="1:18">
      <c r="A4563" s="556" t="str">
        <f t="shared" si="362"/>
        <v>Insumo</v>
      </c>
      <c r="B4563" s="557" t="str">
        <f t="shared" si="363"/>
        <v>Insumo</v>
      </c>
      <c r="C4563" s="79" t="s">
        <v>2921</v>
      </c>
      <c r="D4563" s="78" t="s">
        <v>4382</v>
      </c>
      <c r="E4563" s="79" t="s">
        <v>139</v>
      </c>
      <c r="F4563" s="79" t="s">
        <v>4383</v>
      </c>
      <c r="G4563" s="79" t="s">
        <v>3150</v>
      </c>
      <c r="H4563" s="79"/>
      <c r="I4563" s="80" t="s">
        <v>134</v>
      </c>
      <c r="J4563" s="583">
        <v>1</v>
      </c>
      <c r="K4563" s="583">
        <v>0</v>
      </c>
      <c r="L4563" s="92">
        <v>21.58</v>
      </c>
      <c r="M4563" s="92">
        <v>21.58</v>
      </c>
      <c r="N4563" s="573">
        <v>1.72</v>
      </c>
      <c r="O4563" s="556" t="str">
        <f t="shared" si="361"/>
        <v>DIF</v>
      </c>
      <c r="P4563" s="573"/>
      <c r="Q4563" s="556"/>
      <c r="R4563" s="582"/>
    </row>
    <row r="4564" ht="25.5" spans="1:18">
      <c r="A4564" s="556"/>
      <c r="B4564" s="557"/>
      <c r="C4564" s="108"/>
      <c r="D4564" s="108"/>
      <c r="E4564" s="108"/>
      <c r="F4564" s="108"/>
      <c r="G4564" s="108"/>
      <c r="H4564" s="108" t="s">
        <v>2898</v>
      </c>
      <c r="I4564" s="581">
        <v>17.02</v>
      </c>
      <c r="J4564" s="108" t="s">
        <v>2899</v>
      </c>
      <c r="K4564" s="581">
        <v>0</v>
      </c>
      <c r="L4564" s="108" t="s">
        <v>2900</v>
      </c>
      <c r="M4564" s="581">
        <v>17.02</v>
      </c>
      <c r="N4564" s="573"/>
      <c r="O4564" s="556"/>
      <c r="P4564" s="573"/>
      <c r="Q4564" s="556"/>
      <c r="R4564" s="582"/>
    </row>
    <row r="4565" ht="26.25" spans="1:18">
      <c r="A4565" s="556"/>
      <c r="B4565" s="557"/>
      <c r="C4565" s="108"/>
      <c r="D4565" s="108"/>
      <c r="E4565" s="108"/>
      <c r="F4565" s="108"/>
      <c r="G4565" s="108"/>
      <c r="H4565" s="108" t="s">
        <v>2901</v>
      </c>
      <c r="I4565" s="581">
        <v>8.67</v>
      </c>
      <c r="J4565" s="114"/>
      <c r="K4565" s="114" t="s">
        <v>2902</v>
      </c>
      <c r="L4565" s="108"/>
      <c r="M4565" s="581">
        <v>42.7</v>
      </c>
      <c r="N4565" s="573"/>
      <c r="O4565" s="556"/>
      <c r="P4565" s="573"/>
      <c r="Q4565" s="556"/>
      <c r="R4565" s="582"/>
    </row>
    <row r="4566" ht="15" spans="1:18">
      <c r="A4566" s="556"/>
      <c r="B4566" s="557">
        <f>C4565</f>
        <v>0</v>
      </c>
      <c r="C4566" s="571"/>
      <c r="D4566" s="571"/>
      <c r="E4566" s="571"/>
      <c r="F4566" s="571"/>
      <c r="G4566" s="571"/>
      <c r="H4566" s="571"/>
      <c r="I4566" s="571"/>
      <c r="J4566" s="571"/>
      <c r="K4566" s="571"/>
      <c r="L4566" s="571"/>
      <c r="M4566" s="571"/>
      <c r="N4566" s="573">
        <v>49.95</v>
      </c>
      <c r="O4566" s="556" t="str">
        <f t="shared" ref="O4566:O4572" si="364">IF(N4566=M4566,"OK","DIF")</f>
        <v>DIF</v>
      </c>
      <c r="P4566" s="573"/>
      <c r="Q4566" s="556"/>
      <c r="R4566" s="582"/>
    </row>
    <row r="4567" ht="15" customHeight="1" spans="1:18">
      <c r="A4567" s="556">
        <f t="shared" ref="A4567:A4572" si="365">B4567</f>
        <v>0</v>
      </c>
      <c r="B4567" s="557">
        <f t="shared" ref="B4567:B4572" si="366">B4566</f>
        <v>0</v>
      </c>
      <c r="C4567" s="76" t="s">
        <v>1570</v>
      </c>
      <c r="D4567" s="75" t="s">
        <v>63</v>
      </c>
      <c r="E4567" s="76" t="s">
        <v>64</v>
      </c>
      <c r="F4567" s="76" t="s">
        <v>65</v>
      </c>
      <c r="G4567" s="76" t="s">
        <v>2889</v>
      </c>
      <c r="H4567" s="76"/>
      <c r="I4567" s="77" t="s">
        <v>66</v>
      </c>
      <c r="J4567" s="75" t="s">
        <v>67</v>
      </c>
      <c r="K4567" s="75" t="s">
        <v>2890</v>
      </c>
      <c r="L4567" s="75" t="s">
        <v>68</v>
      </c>
      <c r="M4567" s="75" t="s">
        <v>70</v>
      </c>
      <c r="N4567" s="573">
        <v>24.9</v>
      </c>
      <c r="O4567" s="556" t="str">
        <f t="shared" si="364"/>
        <v>DIF</v>
      </c>
      <c r="P4567" s="573"/>
      <c r="Q4567" s="556"/>
      <c r="R4567" s="582"/>
    </row>
    <row r="4568" ht="35.05" customHeight="1" spans="1:18">
      <c r="A4568" s="556">
        <f t="shared" si="365"/>
        <v>0</v>
      </c>
      <c r="B4568" s="557">
        <f t="shared" si="366"/>
        <v>0</v>
      </c>
      <c r="C4568" s="569" t="s">
        <v>2891</v>
      </c>
      <c r="D4568" s="570" t="s">
        <v>1571</v>
      </c>
      <c r="E4568" s="569" t="s">
        <v>139</v>
      </c>
      <c r="F4568" s="569" t="s">
        <v>1572</v>
      </c>
      <c r="G4568" s="569" t="s">
        <v>3150</v>
      </c>
      <c r="H4568" s="569"/>
      <c r="I4568" s="577" t="s">
        <v>134</v>
      </c>
      <c r="J4568" s="578">
        <v>1</v>
      </c>
      <c r="K4568" s="579"/>
      <c r="L4568" s="579">
        <v>51.45</v>
      </c>
      <c r="M4568" s="579">
        <v>51.45</v>
      </c>
      <c r="N4568" s="573">
        <v>6.15</v>
      </c>
      <c r="O4568" s="556" t="str">
        <f t="shared" si="364"/>
        <v>DIF</v>
      </c>
      <c r="P4568" s="573"/>
      <c r="Q4568" s="556"/>
      <c r="R4568" s="582"/>
    </row>
    <row r="4569" ht="35.05" customHeight="1" spans="1:18">
      <c r="A4569" s="556">
        <f t="shared" si="365"/>
        <v>0</v>
      </c>
      <c r="B4569" s="557">
        <f t="shared" si="366"/>
        <v>0</v>
      </c>
      <c r="C4569" s="79" t="s">
        <v>2921</v>
      </c>
      <c r="D4569" s="78" t="s">
        <v>4384</v>
      </c>
      <c r="E4569" s="79" t="s">
        <v>139</v>
      </c>
      <c r="F4569" s="79" t="s">
        <v>4385</v>
      </c>
      <c r="G4569" s="79" t="s">
        <v>3150</v>
      </c>
      <c r="H4569" s="79"/>
      <c r="I4569" s="80" t="s">
        <v>134</v>
      </c>
      <c r="J4569" s="583">
        <v>1</v>
      </c>
      <c r="K4569" s="583">
        <v>0</v>
      </c>
      <c r="L4569" s="92">
        <v>39</v>
      </c>
      <c r="M4569" s="92">
        <v>39</v>
      </c>
      <c r="N4569" s="573">
        <v>8.97</v>
      </c>
      <c r="O4569" s="556" t="str">
        <f t="shared" si="364"/>
        <v>DIF</v>
      </c>
      <c r="P4569" s="573"/>
      <c r="Q4569" s="556"/>
      <c r="R4569" s="582"/>
    </row>
    <row r="4570" ht="35.05" customHeight="1" spans="1:18">
      <c r="A4570" s="556">
        <f t="shared" si="365"/>
        <v>0</v>
      </c>
      <c r="B4570" s="557">
        <f t="shared" si="366"/>
        <v>0</v>
      </c>
      <c r="C4570" s="79" t="s">
        <v>2921</v>
      </c>
      <c r="D4570" s="78" t="s">
        <v>3171</v>
      </c>
      <c r="E4570" s="79" t="s">
        <v>139</v>
      </c>
      <c r="F4570" s="79" t="s">
        <v>3172</v>
      </c>
      <c r="G4570" s="79" t="s">
        <v>3150</v>
      </c>
      <c r="H4570" s="79"/>
      <c r="I4570" s="80" t="s">
        <v>134</v>
      </c>
      <c r="J4570" s="583">
        <v>1</v>
      </c>
      <c r="K4570" s="583">
        <v>0</v>
      </c>
      <c r="L4570" s="92">
        <v>12.45</v>
      </c>
      <c r="M4570" s="92">
        <v>12.45</v>
      </c>
      <c r="N4570" s="573">
        <v>3.22</v>
      </c>
      <c r="O4570" s="556" t="str">
        <f t="shared" si="364"/>
        <v>DIF</v>
      </c>
      <c r="P4570" s="573"/>
      <c r="Q4570" s="556"/>
      <c r="R4570" s="582"/>
    </row>
    <row r="4571" ht="25.5" spans="1:18">
      <c r="A4571" s="556">
        <f t="shared" si="365"/>
        <v>0</v>
      </c>
      <c r="B4571" s="557">
        <f t="shared" si="366"/>
        <v>0</v>
      </c>
      <c r="C4571" s="108"/>
      <c r="D4571" s="108"/>
      <c r="E4571" s="108"/>
      <c r="F4571" s="108"/>
      <c r="G4571" s="108"/>
      <c r="H4571" s="108" t="s">
        <v>2898</v>
      </c>
      <c r="I4571" s="581">
        <v>25.07</v>
      </c>
      <c r="J4571" s="108" t="s">
        <v>2899</v>
      </c>
      <c r="K4571" s="581">
        <v>0</v>
      </c>
      <c r="L4571" s="108" t="s">
        <v>2900</v>
      </c>
      <c r="M4571" s="581">
        <v>25.07</v>
      </c>
      <c r="N4571" s="573">
        <v>2.59</v>
      </c>
      <c r="O4571" s="556" t="str">
        <f t="shared" si="364"/>
        <v>DIF</v>
      </c>
      <c r="P4571" s="573"/>
      <c r="Q4571" s="556"/>
      <c r="R4571" s="582"/>
    </row>
    <row r="4572" ht="26.25" spans="1:18">
      <c r="A4572" s="556">
        <f t="shared" si="365"/>
        <v>0</v>
      </c>
      <c r="B4572" s="557">
        <f t="shared" si="366"/>
        <v>0</v>
      </c>
      <c r="C4572" s="108"/>
      <c r="D4572" s="108"/>
      <c r="E4572" s="108"/>
      <c r="F4572" s="108"/>
      <c r="G4572" s="108"/>
      <c r="H4572" s="108" t="s">
        <v>2901</v>
      </c>
      <c r="I4572" s="581">
        <v>13.11</v>
      </c>
      <c r="J4572" s="114"/>
      <c r="K4572" s="114" t="s">
        <v>2902</v>
      </c>
      <c r="L4572" s="108"/>
      <c r="M4572" s="581">
        <v>64.56</v>
      </c>
      <c r="N4572" s="573">
        <v>4.12</v>
      </c>
      <c r="O4572" s="556" t="str">
        <f t="shared" si="364"/>
        <v>DIF</v>
      </c>
      <c r="P4572" s="573"/>
      <c r="Q4572" s="556"/>
      <c r="R4572" s="582"/>
    </row>
    <row r="4573" ht="15" spans="1:18">
      <c r="A4573" s="556"/>
      <c r="B4573" s="557"/>
      <c r="C4573" s="571"/>
      <c r="D4573" s="571"/>
      <c r="E4573" s="571"/>
      <c r="F4573" s="571"/>
      <c r="G4573" s="571"/>
      <c r="H4573" s="571"/>
      <c r="I4573" s="571"/>
      <c r="J4573" s="571"/>
      <c r="K4573" s="571"/>
      <c r="L4573" s="571"/>
      <c r="M4573" s="571"/>
      <c r="N4573" s="573"/>
      <c r="O4573" s="556"/>
      <c r="P4573" s="573"/>
      <c r="Q4573" s="556"/>
      <c r="R4573" s="582"/>
    </row>
    <row r="4574" ht="15" customHeight="1" spans="1:18">
      <c r="A4574" s="556"/>
      <c r="B4574" s="557"/>
      <c r="C4574" s="76" t="s">
        <v>1573</v>
      </c>
      <c r="D4574" s="75" t="s">
        <v>63</v>
      </c>
      <c r="E4574" s="76" t="s">
        <v>64</v>
      </c>
      <c r="F4574" s="76" t="s">
        <v>65</v>
      </c>
      <c r="G4574" s="76" t="s">
        <v>2889</v>
      </c>
      <c r="H4574" s="76"/>
      <c r="I4574" s="77" t="s">
        <v>66</v>
      </c>
      <c r="J4574" s="75" t="s">
        <v>67</v>
      </c>
      <c r="K4574" s="75" t="s">
        <v>2890</v>
      </c>
      <c r="L4574" s="75" t="s">
        <v>68</v>
      </c>
      <c r="M4574" s="75" t="s">
        <v>70</v>
      </c>
      <c r="N4574" s="573"/>
      <c r="O4574" s="556"/>
      <c r="P4574" s="573"/>
      <c r="Q4574" s="556"/>
      <c r="R4574" s="582"/>
    </row>
    <row r="4575" ht="35.05" customHeight="1" spans="1:18">
      <c r="A4575" s="556"/>
      <c r="B4575" s="557" t="str">
        <f>C4574</f>
        <v> 12.6.3 </v>
      </c>
      <c r="C4575" s="569" t="s">
        <v>2891</v>
      </c>
      <c r="D4575" s="570" t="s">
        <v>1574</v>
      </c>
      <c r="E4575" s="569" t="s">
        <v>139</v>
      </c>
      <c r="F4575" s="569" t="s">
        <v>1575</v>
      </c>
      <c r="G4575" s="569" t="s">
        <v>3150</v>
      </c>
      <c r="H4575" s="569"/>
      <c r="I4575" s="577" t="s">
        <v>134</v>
      </c>
      <c r="J4575" s="578">
        <v>1</v>
      </c>
      <c r="K4575" s="579"/>
      <c r="L4575" s="579">
        <v>40.59</v>
      </c>
      <c r="M4575" s="579">
        <v>40.59</v>
      </c>
      <c r="N4575" s="573">
        <v>308.56</v>
      </c>
      <c r="O4575" s="556" t="str">
        <f>IF(N4575=M4575,"OK","DIF")</f>
        <v>DIF</v>
      </c>
      <c r="P4575" s="573"/>
      <c r="Q4575" s="556"/>
      <c r="R4575" s="582"/>
    </row>
    <row r="4576" ht="35.05" customHeight="1" spans="1:18">
      <c r="A4576" s="556" t="str">
        <f>B4576</f>
        <v> 12.6.3 </v>
      </c>
      <c r="B4576" s="557" t="str">
        <f>B4575</f>
        <v> 12.6.3 </v>
      </c>
      <c r="C4576" s="79" t="s">
        <v>2921</v>
      </c>
      <c r="D4576" s="78" t="s">
        <v>3171</v>
      </c>
      <c r="E4576" s="79" t="s">
        <v>139</v>
      </c>
      <c r="F4576" s="79" t="s">
        <v>3172</v>
      </c>
      <c r="G4576" s="79" t="s">
        <v>3150</v>
      </c>
      <c r="H4576" s="79"/>
      <c r="I4576" s="80" t="s">
        <v>134</v>
      </c>
      <c r="J4576" s="583">
        <v>1</v>
      </c>
      <c r="K4576" s="583">
        <v>0</v>
      </c>
      <c r="L4576" s="92">
        <v>12.45</v>
      </c>
      <c r="M4576" s="92">
        <v>12.45</v>
      </c>
      <c r="N4576" s="573">
        <v>14.81</v>
      </c>
      <c r="O4576" s="556" t="str">
        <f>IF(N4576=M4576,"OK","DIF")</f>
        <v>DIF</v>
      </c>
      <c r="P4576" s="573"/>
      <c r="Q4576" s="556"/>
      <c r="R4576" s="582"/>
    </row>
    <row r="4577" ht="35.05" customHeight="1" spans="1:18">
      <c r="A4577" s="556" t="str">
        <f>B4577</f>
        <v> 12.6.3 </v>
      </c>
      <c r="B4577" s="557" t="str">
        <f>B4576</f>
        <v> 12.6.3 </v>
      </c>
      <c r="C4577" s="79" t="s">
        <v>2921</v>
      </c>
      <c r="D4577" s="78" t="s">
        <v>1577</v>
      </c>
      <c r="E4577" s="79" t="s">
        <v>139</v>
      </c>
      <c r="F4577" s="79" t="s">
        <v>1578</v>
      </c>
      <c r="G4577" s="79" t="s">
        <v>3150</v>
      </c>
      <c r="H4577" s="79"/>
      <c r="I4577" s="80" t="s">
        <v>134</v>
      </c>
      <c r="J4577" s="583">
        <v>1</v>
      </c>
      <c r="K4577" s="583">
        <v>0</v>
      </c>
      <c r="L4577" s="92">
        <v>28.14</v>
      </c>
      <c r="M4577" s="92">
        <v>28.14</v>
      </c>
      <c r="N4577" s="573">
        <v>11.99</v>
      </c>
      <c r="O4577" s="556" t="str">
        <f>IF(N4577=M4577,"OK","DIF")</f>
        <v>DIF</v>
      </c>
      <c r="P4577" s="573"/>
      <c r="Q4577" s="556"/>
      <c r="R4577" s="582"/>
    </row>
    <row r="4578" ht="25.5" spans="1:18">
      <c r="A4578" s="556" t="str">
        <f>B4578</f>
        <v> 12.6.3 </v>
      </c>
      <c r="B4578" s="557" t="str">
        <f>B4577</f>
        <v> 12.6.3 </v>
      </c>
      <c r="C4578" s="108"/>
      <c r="D4578" s="108"/>
      <c r="E4578" s="108"/>
      <c r="F4578" s="108"/>
      <c r="G4578" s="108"/>
      <c r="H4578" s="108" t="s">
        <v>2898</v>
      </c>
      <c r="I4578" s="581">
        <v>21.04</v>
      </c>
      <c r="J4578" s="108" t="s">
        <v>2899</v>
      </c>
      <c r="K4578" s="581">
        <v>0</v>
      </c>
      <c r="L4578" s="108" t="s">
        <v>2900</v>
      </c>
      <c r="M4578" s="581">
        <v>21.04</v>
      </c>
      <c r="N4578" s="573">
        <v>280</v>
      </c>
      <c r="O4578" s="556" t="str">
        <f>IF(N4578=M4578,"OK","DIF")</f>
        <v>DIF</v>
      </c>
      <c r="P4578" s="573"/>
      <c r="Q4578" s="556"/>
      <c r="R4578" s="582"/>
    </row>
    <row r="4579" ht="26.25" spans="1:18">
      <c r="A4579" s="556" t="str">
        <f>B4579</f>
        <v> 12.6.3 </v>
      </c>
      <c r="B4579" s="557" t="str">
        <f>B4578</f>
        <v> 12.6.3 </v>
      </c>
      <c r="C4579" s="108"/>
      <c r="D4579" s="108"/>
      <c r="E4579" s="108"/>
      <c r="F4579" s="108"/>
      <c r="G4579" s="108"/>
      <c r="H4579" s="108" t="s">
        <v>2901</v>
      </c>
      <c r="I4579" s="581">
        <v>10.34</v>
      </c>
      <c r="J4579" s="114"/>
      <c r="K4579" s="114" t="s">
        <v>2902</v>
      </c>
      <c r="L4579" s="108"/>
      <c r="M4579" s="581">
        <v>50.93</v>
      </c>
      <c r="N4579" s="573">
        <v>1.76</v>
      </c>
      <c r="O4579" s="556" t="str">
        <f>IF(N4579=M4579,"OK","DIF")</f>
        <v>DIF</v>
      </c>
      <c r="P4579" s="573"/>
      <c r="Q4579" s="556"/>
      <c r="R4579" s="582"/>
    </row>
    <row r="4580" ht="15" spans="1:18">
      <c r="A4580" s="556"/>
      <c r="B4580" s="557"/>
      <c r="C4580" s="571"/>
      <c r="D4580" s="571"/>
      <c r="E4580" s="571"/>
      <c r="F4580" s="571"/>
      <c r="G4580" s="571"/>
      <c r="H4580" s="571"/>
      <c r="I4580" s="571"/>
      <c r="J4580" s="571"/>
      <c r="K4580" s="571"/>
      <c r="L4580" s="571"/>
      <c r="M4580" s="571"/>
      <c r="N4580" s="573"/>
      <c r="O4580" s="556"/>
      <c r="P4580" s="573"/>
      <c r="Q4580" s="556"/>
      <c r="R4580" s="582"/>
    </row>
    <row r="4581" ht="15" customHeight="1" spans="1:18">
      <c r="A4581" s="556"/>
      <c r="B4581" s="557"/>
      <c r="C4581" s="76" t="s">
        <v>1576</v>
      </c>
      <c r="D4581" s="75" t="s">
        <v>63</v>
      </c>
      <c r="E4581" s="76" t="s">
        <v>64</v>
      </c>
      <c r="F4581" s="76" t="s">
        <v>65</v>
      </c>
      <c r="G4581" s="76" t="s">
        <v>2889</v>
      </c>
      <c r="H4581" s="76"/>
      <c r="I4581" s="77" t="s">
        <v>66</v>
      </c>
      <c r="J4581" s="75" t="s">
        <v>67</v>
      </c>
      <c r="K4581" s="75" t="s">
        <v>2890</v>
      </c>
      <c r="L4581" s="75" t="s">
        <v>68</v>
      </c>
      <c r="M4581" s="75" t="s">
        <v>70</v>
      </c>
      <c r="N4581" s="573"/>
      <c r="O4581" s="556"/>
      <c r="P4581" s="573"/>
      <c r="Q4581" s="556"/>
      <c r="R4581" s="582"/>
    </row>
    <row r="4582" ht="35.05" customHeight="1" spans="1:18">
      <c r="A4582" s="556"/>
      <c r="B4582" s="557" t="str">
        <f>C4581</f>
        <v> 12.6.4 </v>
      </c>
      <c r="C4582" s="569" t="s">
        <v>2891</v>
      </c>
      <c r="D4582" s="570" t="s">
        <v>1577</v>
      </c>
      <c r="E4582" s="569" t="s">
        <v>139</v>
      </c>
      <c r="F4582" s="569" t="s">
        <v>1578</v>
      </c>
      <c r="G4582" s="569" t="s">
        <v>3150</v>
      </c>
      <c r="H4582" s="569"/>
      <c r="I4582" s="577" t="s">
        <v>134</v>
      </c>
      <c r="J4582" s="578">
        <v>1</v>
      </c>
      <c r="K4582" s="579"/>
      <c r="L4582" s="579">
        <v>28.14</v>
      </c>
      <c r="M4582" s="579">
        <v>28.14</v>
      </c>
      <c r="N4582" s="573">
        <v>262.02</v>
      </c>
      <c r="O4582" s="556" t="str">
        <f>IF(N4582=M4582,"OK","DIF")</f>
        <v>DIF</v>
      </c>
      <c r="P4582" s="573"/>
      <c r="Q4582" s="556"/>
      <c r="R4582" s="582"/>
    </row>
    <row r="4583" ht="23.85" customHeight="1" spans="1:18">
      <c r="A4583" s="556" t="str">
        <f>B4583</f>
        <v> 12.6.4 </v>
      </c>
      <c r="B4583" s="557" t="str">
        <f>B4582</f>
        <v> 12.6.4 </v>
      </c>
      <c r="C4583" s="79" t="s">
        <v>2921</v>
      </c>
      <c r="D4583" s="78" t="s">
        <v>3151</v>
      </c>
      <c r="E4583" s="79" t="s">
        <v>139</v>
      </c>
      <c r="F4583" s="79" t="s">
        <v>3152</v>
      </c>
      <c r="G4583" s="79" t="s">
        <v>2928</v>
      </c>
      <c r="H4583" s="79"/>
      <c r="I4583" s="80" t="s">
        <v>2897</v>
      </c>
      <c r="J4583" s="583">
        <v>0.317</v>
      </c>
      <c r="K4583" s="583">
        <v>0</v>
      </c>
      <c r="L4583" s="92">
        <v>36.82</v>
      </c>
      <c r="M4583" s="92">
        <v>11.67</v>
      </c>
      <c r="N4583" s="573">
        <v>260.84</v>
      </c>
      <c r="O4583" s="556" t="str">
        <f>IF(N4583=M4583,"OK","DIF")</f>
        <v>DIF</v>
      </c>
      <c r="P4583" s="573"/>
      <c r="Q4583" s="556"/>
      <c r="R4583" s="582"/>
    </row>
    <row r="4584" ht="23.85" customHeight="1" spans="1:18">
      <c r="A4584" s="556" t="str">
        <f>B4584</f>
        <v> 12.6.4 </v>
      </c>
      <c r="B4584" s="557" t="str">
        <f>B4583</f>
        <v> 12.6.4 </v>
      </c>
      <c r="C4584" s="79" t="s">
        <v>2921</v>
      </c>
      <c r="D4584" s="78" t="s">
        <v>3153</v>
      </c>
      <c r="E4584" s="79" t="s">
        <v>139</v>
      </c>
      <c r="F4584" s="79" t="s">
        <v>3154</v>
      </c>
      <c r="G4584" s="79" t="s">
        <v>2928</v>
      </c>
      <c r="H4584" s="79"/>
      <c r="I4584" s="80" t="s">
        <v>2897</v>
      </c>
      <c r="J4584" s="583">
        <v>0.317</v>
      </c>
      <c r="K4584" s="583">
        <v>0</v>
      </c>
      <c r="L4584" s="92">
        <v>30.6</v>
      </c>
      <c r="M4584" s="92">
        <v>9.7</v>
      </c>
      <c r="N4584" s="573">
        <v>1.18</v>
      </c>
      <c r="O4584" s="556" t="str">
        <f>IF(N4584=M4584,"OK","DIF")</f>
        <v>DIF</v>
      </c>
      <c r="P4584" s="573"/>
      <c r="Q4584" s="556"/>
      <c r="R4584" s="582"/>
    </row>
    <row r="4585" ht="15" customHeight="1" spans="1:18">
      <c r="A4585" s="556"/>
      <c r="B4585" s="557"/>
      <c r="C4585" s="100" t="s">
        <v>2893</v>
      </c>
      <c r="D4585" s="99" t="s">
        <v>4386</v>
      </c>
      <c r="E4585" s="100" t="s">
        <v>139</v>
      </c>
      <c r="F4585" s="100" t="s">
        <v>4387</v>
      </c>
      <c r="G4585" s="100" t="s">
        <v>2961</v>
      </c>
      <c r="H4585" s="100"/>
      <c r="I4585" s="101" t="s">
        <v>134</v>
      </c>
      <c r="J4585" s="580">
        <v>1</v>
      </c>
      <c r="K4585" s="580">
        <v>0</v>
      </c>
      <c r="L4585" s="102">
        <v>6.77</v>
      </c>
      <c r="M4585" s="102">
        <v>6.77</v>
      </c>
      <c r="N4585" s="573"/>
      <c r="O4585" s="556"/>
      <c r="P4585" s="573"/>
      <c r="Q4585" s="556"/>
      <c r="R4585" s="582"/>
    </row>
    <row r="4586" ht="25.5" spans="1:18">
      <c r="A4586" s="556"/>
      <c r="B4586" s="557"/>
      <c r="C4586" s="108"/>
      <c r="D4586" s="108"/>
      <c r="E4586" s="108"/>
      <c r="F4586" s="108"/>
      <c r="G4586" s="108"/>
      <c r="H4586" s="108" t="s">
        <v>2898</v>
      </c>
      <c r="I4586" s="581">
        <v>14.99</v>
      </c>
      <c r="J4586" s="108" t="s">
        <v>2899</v>
      </c>
      <c r="K4586" s="581">
        <v>0</v>
      </c>
      <c r="L4586" s="108" t="s">
        <v>2900</v>
      </c>
      <c r="M4586" s="581">
        <v>14.99</v>
      </c>
      <c r="N4586" s="573"/>
      <c r="O4586" s="556"/>
      <c r="P4586" s="573"/>
      <c r="Q4586" s="556"/>
      <c r="R4586" s="582"/>
    </row>
    <row r="4587" ht="26.25" spans="1:18">
      <c r="A4587" s="556"/>
      <c r="B4587" s="557">
        <f>C4586</f>
        <v>0</v>
      </c>
      <c r="C4587" s="108"/>
      <c r="D4587" s="108"/>
      <c r="E4587" s="108"/>
      <c r="F4587" s="108"/>
      <c r="G4587" s="108"/>
      <c r="H4587" s="108" t="s">
        <v>2901</v>
      </c>
      <c r="I4587" s="581">
        <v>7.17</v>
      </c>
      <c r="J4587" s="114"/>
      <c r="K4587" s="114" t="s">
        <v>2902</v>
      </c>
      <c r="L4587" s="108"/>
      <c r="M4587" s="581">
        <v>35.31</v>
      </c>
      <c r="N4587" s="573">
        <v>2987.68</v>
      </c>
      <c r="O4587" s="556" t="str">
        <f>IF(N4587=M4587,"OK","DIF")</f>
        <v>DIF</v>
      </c>
      <c r="P4587" s="573"/>
      <c r="Q4587" s="556"/>
      <c r="R4587" s="582"/>
    </row>
    <row r="4588" ht="15" spans="1:18">
      <c r="A4588" s="556">
        <f>B4588</f>
        <v>0</v>
      </c>
      <c r="B4588" s="557">
        <f>B4587</f>
        <v>0</v>
      </c>
      <c r="C4588" s="571"/>
      <c r="D4588" s="571"/>
      <c r="E4588" s="571"/>
      <c r="F4588" s="571"/>
      <c r="G4588" s="571"/>
      <c r="H4588" s="571"/>
      <c r="I4588" s="571"/>
      <c r="J4588" s="571"/>
      <c r="K4588" s="571"/>
      <c r="L4588" s="571"/>
      <c r="M4588" s="571"/>
      <c r="N4588" s="573">
        <v>1.18</v>
      </c>
      <c r="O4588" s="556" t="str">
        <f>IF(N4588=M4588,"OK","DIF")</f>
        <v>DIF</v>
      </c>
      <c r="P4588" s="573"/>
      <c r="Q4588" s="556"/>
      <c r="R4588" s="582"/>
    </row>
    <row r="4589" ht="15" customHeight="1" spans="1:18">
      <c r="A4589" s="556">
        <f>B4589</f>
        <v>0</v>
      </c>
      <c r="B4589" s="557">
        <f>B4588</f>
        <v>0</v>
      </c>
      <c r="C4589" s="76" t="s">
        <v>1579</v>
      </c>
      <c r="D4589" s="75" t="s">
        <v>63</v>
      </c>
      <c r="E4589" s="76" t="s">
        <v>64</v>
      </c>
      <c r="F4589" s="76" t="s">
        <v>65</v>
      </c>
      <c r="G4589" s="76" t="s">
        <v>2889</v>
      </c>
      <c r="H4589" s="76"/>
      <c r="I4589" s="77" t="s">
        <v>66</v>
      </c>
      <c r="J4589" s="75" t="s">
        <v>67</v>
      </c>
      <c r="K4589" s="75" t="s">
        <v>2890</v>
      </c>
      <c r="L4589" s="75" t="s">
        <v>68</v>
      </c>
      <c r="M4589" s="75" t="s">
        <v>70</v>
      </c>
      <c r="N4589" s="573">
        <v>2986.5</v>
      </c>
      <c r="O4589" s="556" t="str">
        <f>IF(N4589=M4589,"OK","DIF")</f>
        <v>DIF</v>
      </c>
      <c r="P4589" s="573"/>
      <c r="Q4589" s="556"/>
      <c r="R4589" s="582"/>
    </row>
    <row r="4590" ht="35.05" customHeight="1" spans="1:18">
      <c r="A4590" s="556"/>
      <c r="B4590" s="557"/>
      <c r="C4590" s="569" t="s">
        <v>2891</v>
      </c>
      <c r="D4590" s="570" t="s">
        <v>1580</v>
      </c>
      <c r="E4590" s="569" t="s">
        <v>139</v>
      </c>
      <c r="F4590" s="569" t="s">
        <v>1581</v>
      </c>
      <c r="G4590" s="569" t="s">
        <v>3150</v>
      </c>
      <c r="H4590" s="569"/>
      <c r="I4590" s="577" t="s">
        <v>134</v>
      </c>
      <c r="J4590" s="578">
        <v>1</v>
      </c>
      <c r="K4590" s="579"/>
      <c r="L4590" s="579">
        <v>42.48</v>
      </c>
      <c r="M4590" s="579">
        <v>42.48</v>
      </c>
      <c r="N4590" s="573"/>
      <c r="O4590" s="556"/>
      <c r="P4590" s="573"/>
      <c r="Q4590" s="556"/>
      <c r="R4590" s="582"/>
    </row>
    <row r="4591" ht="35.05" customHeight="1" spans="1:18">
      <c r="A4591" s="556"/>
      <c r="B4591" s="557"/>
      <c r="C4591" s="79" t="s">
        <v>2921</v>
      </c>
      <c r="D4591" s="78" t="s">
        <v>4388</v>
      </c>
      <c r="E4591" s="79" t="s">
        <v>139</v>
      </c>
      <c r="F4591" s="79" t="s">
        <v>4389</v>
      </c>
      <c r="G4591" s="79" t="s">
        <v>3150</v>
      </c>
      <c r="H4591" s="79"/>
      <c r="I4591" s="80" t="s">
        <v>134</v>
      </c>
      <c r="J4591" s="583">
        <v>1</v>
      </c>
      <c r="K4591" s="583">
        <v>0</v>
      </c>
      <c r="L4591" s="92">
        <v>30.03</v>
      </c>
      <c r="M4591" s="92">
        <v>30.03</v>
      </c>
      <c r="N4591" s="573"/>
      <c r="O4591" s="556"/>
      <c r="P4591" s="573"/>
      <c r="Q4591" s="556"/>
      <c r="R4591" s="582"/>
    </row>
    <row r="4592" ht="35.05" customHeight="1" spans="1:18">
      <c r="A4592" s="556"/>
      <c r="B4592" s="557" t="str">
        <f>C4591</f>
        <v>Composição Auxiliar</v>
      </c>
      <c r="C4592" s="79" t="s">
        <v>2921</v>
      </c>
      <c r="D4592" s="78" t="s">
        <v>3171</v>
      </c>
      <c r="E4592" s="79" t="s">
        <v>139</v>
      </c>
      <c r="F4592" s="79" t="s">
        <v>3172</v>
      </c>
      <c r="G4592" s="79" t="s">
        <v>3150</v>
      </c>
      <c r="H4592" s="79"/>
      <c r="I4592" s="80" t="s">
        <v>134</v>
      </c>
      <c r="J4592" s="583">
        <v>1</v>
      </c>
      <c r="K4592" s="583">
        <v>0</v>
      </c>
      <c r="L4592" s="92">
        <v>12.45</v>
      </c>
      <c r="M4592" s="92">
        <v>12.45</v>
      </c>
      <c r="N4592" s="573">
        <v>868.56</v>
      </c>
      <c r="O4592" s="556" t="str">
        <f>IF(N4592=M4592,"OK","DIF")</f>
        <v>DIF</v>
      </c>
      <c r="P4592" s="573"/>
      <c r="Q4592" s="556"/>
      <c r="R4592" s="582"/>
    </row>
    <row r="4593" ht="25.5" spans="1:18">
      <c r="A4593" s="556" t="str">
        <f>B4593</f>
        <v>Composição Auxiliar</v>
      </c>
      <c r="B4593" s="557" t="str">
        <f>B4592</f>
        <v>Composição Auxiliar</v>
      </c>
      <c r="C4593" s="108"/>
      <c r="D4593" s="108"/>
      <c r="E4593" s="108"/>
      <c r="F4593" s="108"/>
      <c r="G4593" s="108"/>
      <c r="H4593" s="108" t="s">
        <v>2898</v>
      </c>
      <c r="I4593" s="581">
        <v>21.04</v>
      </c>
      <c r="J4593" s="108" t="s">
        <v>2899</v>
      </c>
      <c r="K4593" s="581">
        <v>0</v>
      </c>
      <c r="L4593" s="108" t="s">
        <v>2900</v>
      </c>
      <c r="M4593" s="581">
        <v>21.04</v>
      </c>
      <c r="N4593" s="573">
        <v>11.99</v>
      </c>
      <c r="O4593" s="556" t="str">
        <f>IF(N4593=M4593,"OK","DIF")</f>
        <v>DIF</v>
      </c>
      <c r="P4593" s="573"/>
      <c r="Q4593" s="556"/>
      <c r="R4593" s="582"/>
    </row>
    <row r="4594" ht="26.25" spans="1:18">
      <c r="A4594" s="556" t="str">
        <f>B4594</f>
        <v>Composição Auxiliar</v>
      </c>
      <c r="B4594" s="557" t="str">
        <f>B4593</f>
        <v>Composição Auxiliar</v>
      </c>
      <c r="C4594" s="108"/>
      <c r="D4594" s="108"/>
      <c r="E4594" s="108"/>
      <c r="F4594" s="108"/>
      <c r="G4594" s="108"/>
      <c r="H4594" s="108" t="s">
        <v>2901</v>
      </c>
      <c r="I4594" s="581">
        <v>10.82</v>
      </c>
      <c r="J4594" s="114"/>
      <c r="K4594" s="114" t="s">
        <v>2902</v>
      </c>
      <c r="L4594" s="108"/>
      <c r="M4594" s="581">
        <v>53.3</v>
      </c>
      <c r="N4594" s="573">
        <v>14.81</v>
      </c>
      <c r="O4594" s="556" t="str">
        <f>IF(N4594=M4594,"OK","DIF")</f>
        <v>DIF</v>
      </c>
      <c r="P4594" s="573"/>
      <c r="Q4594" s="556"/>
      <c r="R4594" s="582"/>
    </row>
    <row r="4595" ht="15" spans="1:18">
      <c r="A4595" s="556" t="str">
        <f>B4595</f>
        <v>Composição Auxiliar</v>
      </c>
      <c r="B4595" s="557" t="str">
        <f>B4594</f>
        <v>Composição Auxiliar</v>
      </c>
      <c r="C4595" s="571"/>
      <c r="D4595" s="571"/>
      <c r="E4595" s="571"/>
      <c r="F4595" s="571"/>
      <c r="G4595" s="571"/>
      <c r="H4595" s="571"/>
      <c r="I4595" s="571"/>
      <c r="J4595" s="571"/>
      <c r="K4595" s="571"/>
      <c r="L4595" s="571"/>
      <c r="M4595" s="571"/>
      <c r="N4595" s="573">
        <v>840</v>
      </c>
      <c r="O4595" s="556" t="str">
        <f>IF(N4595=M4595,"OK","DIF")</f>
        <v>DIF</v>
      </c>
      <c r="P4595" s="573"/>
      <c r="Q4595" s="556"/>
      <c r="R4595" s="582"/>
    </row>
    <row r="4596" ht="15" customHeight="1" spans="1:18">
      <c r="A4596" s="556" t="str">
        <f>B4596</f>
        <v>Composição Auxiliar</v>
      </c>
      <c r="B4596" s="557" t="str">
        <f>B4595</f>
        <v>Composição Auxiliar</v>
      </c>
      <c r="C4596" s="76" t="s">
        <v>1582</v>
      </c>
      <c r="D4596" s="75" t="s">
        <v>63</v>
      </c>
      <c r="E4596" s="76" t="s">
        <v>64</v>
      </c>
      <c r="F4596" s="76" t="s">
        <v>65</v>
      </c>
      <c r="G4596" s="76" t="s">
        <v>2889</v>
      </c>
      <c r="H4596" s="76"/>
      <c r="I4596" s="77" t="s">
        <v>66</v>
      </c>
      <c r="J4596" s="75" t="s">
        <v>67</v>
      </c>
      <c r="K4596" s="75" t="s">
        <v>2890</v>
      </c>
      <c r="L4596" s="75" t="s">
        <v>68</v>
      </c>
      <c r="M4596" s="75" t="s">
        <v>70</v>
      </c>
      <c r="N4596" s="573">
        <v>1.76</v>
      </c>
      <c r="O4596" s="556" t="str">
        <f>IF(N4596=M4596,"OK","DIF")</f>
        <v>DIF</v>
      </c>
      <c r="P4596" s="573"/>
      <c r="Q4596" s="556"/>
      <c r="R4596" s="582"/>
    </row>
    <row r="4597" ht="35.05" customHeight="1" spans="1:18">
      <c r="A4597" s="556"/>
      <c r="B4597" s="557"/>
      <c r="C4597" s="569" t="s">
        <v>2891</v>
      </c>
      <c r="D4597" s="570" t="s">
        <v>1583</v>
      </c>
      <c r="E4597" s="569" t="s">
        <v>132</v>
      </c>
      <c r="F4597" s="569" t="s">
        <v>1584</v>
      </c>
      <c r="G4597" s="569" t="s">
        <v>3177</v>
      </c>
      <c r="H4597" s="569"/>
      <c r="I4597" s="577" t="s">
        <v>134</v>
      </c>
      <c r="J4597" s="578">
        <v>1</v>
      </c>
      <c r="K4597" s="579"/>
      <c r="L4597" s="579">
        <v>116.23</v>
      </c>
      <c r="M4597" s="579">
        <v>116.23</v>
      </c>
      <c r="N4597" s="573"/>
      <c r="O4597" s="556"/>
      <c r="P4597" s="573"/>
      <c r="Q4597" s="556"/>
      <c r="R4597" s="582"/>
    </row>
    <row r="4598" ht="23.85" customHeight="1" spans="1:18">
      <c r="A4598" s="556"/>
      <c r="B4598" s="557"/>
      <c r="C4598" s="79" t="s">
        <v>2921</v>
      </c>
      <c r="D4598" s="78" t="s">
        <v>3151</v>
      </c>
      <c r="E4598" s="79" t="s">
        <v>139</v>
      </c>
      <c r="F4598" s="79" t="s">
        <v>3152</v>
      </c>
      <c r="G4598" s="79" t="s">
        <v>2928</v>
      </c>
      <c r="H4598" s="79"/>
      <c r="I4598" s="80" t="s">
        <v>2897</v>
      </c>
      <c r="J4598" s="583">
        <v>0.5644</v>
      </c>
      <c r="K4598" s="583">
        <v>0</v>
      </c>
      <c r="L4598" s="92">
        <v>36.82</v>
      </c>
      <c r="M4598" s="92">
        <v>20.78</v>
      </c>
      <c r="N4598" s="573"/>
      <c r="O4598" s="556"/>
      <c r="P4598" s="573"/>
      <c r="Q4598" s="556"/>
      <c r="R4598" s="582"/>
    </row>
    <row r="4599" ht="23.85" customHeight="1" spans="1:18">
      <c r="A4599" s="556"/>
      <c r="B4599" s="557" t="str">
        <f>C4598</f>
        <v>Composição Auxiliar</v>
      </c>
      <c r="C4599" s="79" t="s">
        <v>2921</v>
      </c>
      <c r="D4599" s="78" t="s">
        <v>3153</v>
      </c>
      <c r="E4599" s="79" t="s">
        <v>139</v>
      </c>
      <c r="F4599" s="79" t="s">
        <v>3154</v>
      </c>
      <c r="G4599" s="79" t="s">
        <v>2928</v>
      </c>
      <c r="H4599" s="79"/>
      <c r="I4599" s="80" t="s">
        <v>2897</v>
      </c>
      <c r="J4599" s="583">
        <v>0.2352</v>
      </c>
      <c r="K4599" s="583">
        <v>0</v>
      </c>
      <c r="L4599" s="92">
        <v>30.6</v>
      </c>
      <c r="M4599" s="92">
        <v>7.19</v>
      </c>
      <c r="N4599" s="573">
        <v>6820</v>
      </c>
      <c r="O4599" s="556" t="str">
        <f>IF(N4599=M4599,"OK","DIF")</f>
        <v>DIF</v>
      </c>
      <c r="P4599" s="573"/>
      <c r="Q4599" s="556"/>
      <c r="R4599" s="582"/>
    </row>
    <row r="4600" ht="23.85" customHeight="1" spans="1:18">
      <c r="A4600" s="556" t="str">
        <f>B4600</f>
        <v>Composição Auxiliar</v>
      </c>
      <c r="B4600" s="557" t="str">
        <f>B4599</f>
        <v>Composição Auxiliar</v>
      </c>
      <c r="C4600" s="100" t="s">
        <v>2893</v>
      </c>
      <c r="D4600" s="99" t="s">
        <v>4390</v>
      </c>
      <c r="E4600" s="100" t="s">
        <v>132</v>
      </c>
      <c r="F4600" s="100" t="s">
        <v>1584</v>
      </c>
      <c r="G4600" s="100" t="s">
        <v>2961</v>
      </c>
      <c r="H4600" s="100"/>
      <c r="I4600" s="101" t="s">
        <v>134</v>
      </c>
      <c r="J4600" s="580">
        <v>1</v>
      </c>
      <c r="K4600" s="580">
        <v>0</v>
      </c>
      <c r="L4600" s="102">
        <v>88.26</v>
      </c>
      <c r="M4600" s="102">
        <v>88.26</v>
      </c>
      <c r="N4600" s="573">
        <v>6820</v>
      </c>
      <c r="O4600" s="556" t="str">
        <f>IF(N4600=M4600,"OK","DIF")</f>
        <v>DIF</v>
      </c>
      <c r="P4600" s="573"/>
      <c r="Q4600" s="556"/>
      <c r="R4600" s="582"/>
    </row>
    <row r="4601" ht="25.5" spans="1:18">
      <c r="A4601" s="556"/>
      <c r="B4601" s="557"/>
      <c r="C4601" s="108"/>
      <c r="D4601" s="108"/>
      <c r="E4601" s="108"/>
      <c r="F4601" s="108"/>
      <c r="G4601" s="108"/>
      <c r="H4601" s="108" t="s">
        <v>2898</v>
      </c>
      <c r="I4601" s="581">
        <v>19.93</v>
      </c>
      <c r="J4601" s="108" t="s">
        <v>2899</v>
      </c>
      <c r="K4601" s="581">
        <v>0</v>
      </c>
      <c r="L4601" s="108" t="s">
        <v>2900</v>
      </c>
      <c r="M4601" s="581">
        <v>19.93</v>
      </c>
      <c r="N4601" s="573"/>
      <c r="O4601" s="556"/>
      <c r="P4601" s="573"/>
      <c r="Q4601" s="556"/>
      <c r="R4601" s="582"/>
    </row>
    <row r="4602" ht="26.25" spans="1:18">
      <c r="A4602" s="556"/>
      <c r="B4602" s="557"/>
      <c r="C4602" s="108"/>
      <c r="D4602" s="108"/>
      <c r="E4602" s="108"/>
      <c r="F4602" s="108"/>
      <c r="G4602" s="108"/>
      <c r="H4602" s="108" t="s">
        <v>2901</v>
      </c>
      <c r="I4602" s="581">
        <v>29.62</v>
      </c>
      <c r="J4602" s="114"/>
      <c r="K4602" s="114" t="s">
        <v>2902</v>
      </c>
      <c r="L4602" s="108"/>
      <c r="M4602" s="581">
        <v>145.85</v>
      </c>
      <c r="N4602" s="573"/>
      <c r="O4602" s="556"/>
      <c r="P4602" s="573"/>
      <c r="Q4602" s="556"/>
      <c r="R4602" s="582"/>
    </row>
    <row r="4603" ht="15" spans="1:18">
      <c r="A4603" s="556"/>
      <c r="B4603" s="557">
        <f>C4602</f>
        <v>0</v>
      </c>
      <c r="C4603" s="571"/>
      <c r="D4603" s="571"/>
      <c r="E4603" s="571"/>
      <c r="F4603" s="571"/>
      <c r="G4603" s="571"/>
      <c r="H4603" s="571"/>
      <c r="I4603" s="571"/>
      <c r="J4603" s="571"/>
      <c r="K4603" s="571"/>
      <c r="L4603" s="571"/>
      <c r="M4603" s="571"/>
      <c r="N4603" s="573">
        <v>462.3</v>
      </c>
      <c r="O4603" s="556" t="str">
        <f>IF(N4603=M4603,"OK","DIF")</f>
        <v>DIF</v>
      </c>
      <c r="P4603" s="573"/>
      <c r="Q4603" s="556"/>
      <c r="R4603" s="582"/>
    </row>
    <row r="4604" ht="15" customHeight="1" spans="1:18">
      <c r="A4604" s="556">
        <f>B4604</f>
        <v>0</v>
      </c>
      <c r="B4604" s="557">
        <f>B4603</f>
        <v>0</v>
      </c>
      <c r="C4604" s="76" t="s">
        <v>1589</v>
      </c>
      <c r="D4604" s="75" t="s">
        <v>63</v>
      </c>
      <c r="E4604" s="76" t="s">
        <v>64</v>
      </c>
      <c r="F4604" s="76" t="s">
        <v>65</v>
      </c>
      <c r="G4604" s="76" t="s">
        <v>2889</v>
      </c>
      <c r="H4604" s="76"/>
      <c r="I4604" s="77" t="s">
        <v>66</v>
      </c>
      <c r="J4604" s="75" t="s">
        <v>67</v>
      </c>
      <c r="K4604" s="75" t="s">
        <v>2890</v>
      </c>
      <c r="L4604" s="75" t="s">
        <v>68</v>
      </c>
      <c r="M4604" s="75" t="s">
        <v>70</v>
      </c>
      <c r="N4604" s="573">
        <v>14.81</v>
      </c>
      <c r="O4604" s="556" t="str">
        <f>IF(N4604=M4604,"OK","DIF")</f>
        <v>DIF</v>
      </c>
      <c r="P4604" s="573"/>
      <c r="Q4604" s="556"/>
      <c r="R4604" s="582"/>
    </row>
    <row r="4605" ht="23.85" customHeight="1" spans="1:18">
      <c r="A4605" s="556">
        <f>B4605</f>
        <v>0</v>
      </c>
      <c r="B4605" s="557">
        <f>B4604</f>
        <v>0</v>
      </c>
      <c r="C4605" s="569" t="s">
        <v>2891</v>
      </c>
      <c r="D4605" s="570" t="s">
        <v>1590</v>
      </c>
      <c r="E4605" s="569" t="s">
        <v>149</v>
      </c>
      <c r="F4605" s="569" t="s">
        <v>1591</v>
      </c>
      <c r="G4605" s="569" t="s">
        <v>4391</v>
      </c>
      <c r="H4605" s="569"/>
      <c r="I4605" s="577" t="s">
        <v>134</v>
      </c>
      <c r="J4605" s="578">
        <v>1</v>
      </c>
      <c r="K4605" s="579"/>
      <c r="L4605" s="579">
        <v>93.5</v>
      </c>
      <c r="M4605" s="579">
        <v>93.5</v>
      </c>
      <c r="N4605" s="573">
        <v>11.99</v>
      </c>
      <c r="O4605" s="556" t="str">
        <f>IF(N4605=M4605,"OK","DIF")</f>
        <v>DIF</v>
      </c>
      <c r="P4605" s="573"/>
      <c r="Q4605" s="556"/>
      <c r="R4605" s="582"/>
    </row>
    <row r="4606" ht="23.85" customHeight="1" spans="1:18">
      <c r="A4606" s="556">
        <f>B4606</f>
        <v>0</v>
      </c>
      <c r="B4606" s="557">
        <f>B4605</f>
        <v>0</v>
      </c>
      <c r="C4606" s="100" t="s">
        <v>2893</v>
      </c>
      <c r="D4606" s="99" t="s">
        <v>4392</v>
      </c>
      <c r="E4606" s="100" t="s">
        <v>149</v>
      </c>
      <c r="F4606" s="100" t="s">
        <v>4393</v>
      </c>
      <c r="G4606" s="100" t="s">
        <v>2961</v>
      </c>
      <c r="H4606" s="100"/>
      <c r="I4606" s="101" t="s">
        <v>134</v>
      </c>
      <c r="J4606" s="580">
        <v>1</v>
      </c>
      <c r="K4606" s="580">
        <v>0</v>
      </c>
      <c r="L4606" s="102">
        <v>46</v>
      </c>
      <c r="M4606" s="102">
        <v>46</v>
      </c>
      <c r="N4606" s="573">
        <v>433.74</v>
      </c>
      <c r="O4606" s="556" t="str">
        <f>IF(N4606=M4606,"OK","DIF")</f>
        <v>DIF</v>
      </c>
      <c r="P4606" s="573"/>
      <c r="Q4606" s="556"/>
      <c r="R4606" s="582"/>
    </row>
    <row r="4607" ht="15" customHeight="1" spans="1:18">
      <c r="A4607" s="556">
        <f>B4607</f>
        <v>0</v>
      </c>
      <c r="B4607" s="557">
        <f>B4606</f>
        <v>0</v>
      </c>
      <c r="C4607" s="100" t="s">
        <v>2893</v>
      </c>
      <c r="D4607" s="99" t="s">
        <v>2976</v>
      </c>
      <c r="E4607" s="100" t="s">
        <v>149</v>
      </c>
      <c r="F4607" s="100" t="s">
        <v>2977</v>
      </c>
      <c r="G4607" s="100" t="s">
        <v>2896</v>
      </c>
      <c r="H4607" s="100"/>
      <c r="I4607" s="101" t="s">
        <v>2897</v>
      </c>
      <c r="J4607" s="580">
        <v>1</v>
      </c>
      <c r="K4607" s="580">
        <v>0</v>
      </c>
      <c r="L4607" s="102">
        <v>20.515752</v>
      </c>
      <c r="M4607" s="102">
        <v>20.51</v>
      </c>
      <c r="N4607" s="573">
        <v>1.76</v>
      </c>
      <c r="O4607" s="556" t="str">
        <f>IF(N4607=M4607,"OK","DIF")</f>
        <v>DIF</v>
      </c>
      <c r="P4607" s="573"/>
      <c r="Q4607" s="556"/>
      <c r="R4607" s="582"/>
    </row>
    <row r="4608" ht="15" customHeight="1" spans="1:18">
      <c r="A4608" s="556"/>
      <c r="B4608" s="557"/>
      <c r="C4608" s="100" t="s">
        <v>2893</v>
      </c>
      <c r="D4608" s="99" t="s">
        <v>4394</v>
      </c>
      <c r="E4608" s="100" t="s">
        <v>149</v>
      </c>
      <c r="F4608" s="100" t="s">
        <v>4395</v>
      </c>
      <c r="G4608" s="100" t="s">
        <v>2961</v>
      </c>
      <c r="H4608" s="100"/>
      <c r="I4608" s="101" t="s">
        <v>204</v>
      </c>
      <c r="J4608" s="580">
        <v>0.1</v>
      </c>
      <c r="K4608" s="580">
        <v>0</v>
      </c>
      <c r="L4608" s="102">
        <v>0.73</v>
      </c>
      <c r="M4608" s="102">
        <v>0.07</v>
      </c>
      <c r="N4608" s="573"/>
      <c r="O4608" s="556"/>
      <c r="P4608" s="573"/>
      <c r="Q4608" s="556"/>
      <c r="R4608" s="582"/>
    </row>
    <row r="4609" ht="15" customHeight="1" spans="1:18">
      <c r="A4609" s="556"/>
      <c r="B4609" s="557"/>
      <c r="C4609" s="100" t="s">
        <v>2893</v>
      </c>
      <c r="D4609" s="99" t="s">
        <v>2986</v>
      </c>
      <c r="E4609" s="100" t="s">
        <v>149</v>
      </c>
      <c r="F4609" s="100" t="s">
        <v>2987</v>
      </c>
      <c r="G4609" s="100" t="s">
        <v>2896</v>
      </c>
      <c r="H4609" s="100"/>
      <c r="I4609" s="101" t="s">
        <v>2897</v>
      </c>
      <c r="J4609" s="580">
        <v>1</v>
      </c>
      <c r="K4609" s="580">
        <v>0</v>
      </c>
      <c r="L4609" s="102">
        <v>26.928256</v>
      </c>
      <c r="M4609" s="102">
        <v>26.92</v>
      </c>
      <c r="N4609" s="573"/>
      <c r="O4609" s="556"/>
      <c r="P4609" s="573"/>
      <c r="Q4609" s="556"/>
      <c r="R4609" s="582"/>
    </row>
    <row r="4610" ht="25.5" spans="1:18">
      <c r="A4610" s="556"/>
      <c r="B4610" s="557" t="str">
        <f>C4609</f>
        <v>Insumo</v>
      </c>
      <c r="C4610" s="108"/>
      <c r="D4610" s="108"/>
      <c r="E4610" s="108"/>
      <c r="F4610" s="108"/>
      <c r="G4610" s="108"/>
      <c r="H4610" s="108" t="s">
        <v>2898</v>
      </c>
      <c r="I4610" s="581">
        <v>47.43</v>
      </c>
      <c r="J4610" s="108" t="s">
        <v>2899</v>
      </c>
      <c r="K4610" s="581">
        <v>0</v>
      </c>
      <c r="L4610" s="108" t="s">
        <v>2900</v>
      </c>
      <c r="M4610" s="581">
        <v>47.43</v>
      </c>
      <c r="N4610" s="573">
        <v>465.18</v>
      </c>
      <c r="O4610" s="556" t="str">
        <f>IF(N4610=M4610,"OK","DIF")</f>
        <v>DIF</v>
      </c>
      <c r="P4610" s="573"/>
      <c r="Q4610" s="556"/>
      <c r="R4610" s="582"/>
    </row>
    <row r="4611" ht="26.25" spans="1:18">
      <c r="A4611" s="556" t="str">
        <f>B4611</f>
        <v>Insumo</v>
      </c>
      <c r="B4611" s="557" t="str">
        <f>B4610</f>
        <v>Insumo</v>
      </c>
      <c r="C4611" s="108"/>
      <c r="D4611" s="108"/>
      <c r="E4611" s="108"/>
      <c r="F4611" s="108"/>
      <c r="G4611" s="108"/>
      <c r="H4611" s="108" t="s">
        <v>2901</v>
      </c>
      <c r="I4611" s="581">
        <v>23.83</v>
      </c>
      <c r="J4611" s="114"/>
      <c r="K4611" s="114" t="s">
        <v>2902</v>
      </c>
      <c r="L4611" s="108"/>
      <c r="M4611" s="581">
        <v>117.33</v>
      </c>
      <c r="N4611" s="573">
        <v>465.18</v>
      </c>
      <c r="O4611" s="556" t="str">
        <f>IF(N4611=M4611,"OK","DIF")</f>
        <v>DIF</v>
      </c>
      <c r="P4611" s="573"/>
      <c r="Q4611" s="556"/>
      <c r="R4611" s="582"/>
    </row>
    <row r="4612" ht="15" spans="1:18">
      <c r="A4612" s="556"/>
      <c r="B4612" s="557"/>
      <c r="C4612" s="571"/>
      <c r="D4612" s="571"/>
      <c r="E4612" s="571"/>
      <c r="F4612" s="571"/>
      <c r="G4612" s="571"/>
      <c r="H4612" s="571"/>
      <c r="I4612" s="571"/>
      <c r="J4612" s="571"/>
      <c r="K4612" s="571"/>
      <c r="L4612" s="571"/>
      <c r="M4612" s="571"/>
      <c r="N4612" s="573"/>
      <c r="O4612" s="556"/>
      <c r="P4612" s="573"/>
      <c r="Q4612" s="556"/>
      <c r="R4612" s="582"/>
    </row>
    <row r="4613" ht="15" customHeight="1" spans="1:18">
      <c r="A4613" s="556"/>
      <c r="B4613" s="557"/>
      <c r="C4613" s="76" t="s">
        <v>1592</v>
      </c>
      <c r="D4613" s="75" t="s">
        <v>63</v>
      </c>
      <c r="E4613" s="76" t="s">
        <v>64</v>
      </c>
      <c r="F4613" s="76" t="s">
        <v>65</v>
      </c>
      <c r="G4613" s="76" t="s">
        <v>2889</v>
      </c>
      <c r="H4613" s="76"/>
      <c r="I4613" s="77" t="s">
        <v>66</v>
      </c>
      <c r="J4613" s="75" t="s">
        <v>67</v>
      </c>
      <c r="K4613" s="75" t="s">
        <v>2890</v>
      </c>
      <c r="L4613" s="75" t="s">
        <v>68</v>
      </c>
      <c r="M4613" s="75" t="s">
        <v>70</v>
      </c>
      <c r="N4613" s="573"/>
      <c r="O4613" s="556"/>
      <c r="P4613" s="573"/>
      <c r="Q4613" s="556"/>
      <c r="R4613" s="582"/>
    </row>
    <row r="4614" ht="38.25" spans="1:18">
      <c r="A4614" s="556"/>
      <c r="B4614" s="557" t="str">
        <f>C4613</f>
        <v> 12.7.1.2 </v>
      </c>
      <c r="C4614" s="569" t="s">
        <v>2891</v>
      </c>
      <c r="D4614" s="570" t="s">
        <v>1593</v>
      </c>
      <c r="E4614" s="569" t="s">
        <v>132</v>
      </c>
      <c r="F4614" s="569" t="s">
        <v>1594</v>
      </c>
      <c r="G4614" s="569">
        <v>15</v>
      </c>
      <c r="H4614" s="569"/>
      <c r="I4614" s="577" t="s">
        <v>134</v>
      </c>
      <c r="J4614" s="578">
        <v>1</v>
      </c>
      <c r="K4614" s="579"/>
      <c r="L4614" s="579">
        <v>34.58</v>
      </c>
      <c r="M4614" s="579">
        <v>34.58</v>
      </c>
      <c r="N4614" s="573">
        <v>237.58</v>
      </c>
      <c r="O4614" s="556" t="str">
        <f>IF(N4614=M4614,"OK","DIF")</f>
        <v>DIF</v>
      </c>
      <c r="P4614" s="573"/>
      <c r="Q4614" s="556"/>
      <c r="R4614" s="582"/>
    </row>
    <row r="4615" ht="23.85" customHeight="1" spans="1:18">
      <c r="A4615" s="556" t="str">
        <f>B4615</f>
        <v> 12.7.1.2 </v>
      </c>
      <c r="B4615" s="557" t="str">
        <f>B4614</f>
        <v> 12.7.1.2 </v>
      </c>
      <c r="C4615" s="79" t="s">
        <v>2921</v>
      </c>
      <c r="D4615" s="78" t="s">
        <v>3151</v>
      </c>
      <c r="E4615" s="79" t="s">
        <v>139</v>
      </c>
      <c r="F4615" s="79" t="s">
        <v>3152</v>
      </c>
      <c r="G4615" s="79" t="s">
        <v>2928</v>
      </c>
      <c r="H4615" s="79"/>
      <c r="I4615" s="80" t="s">
        <v>2897</v>
      </c>
      <c r="J4615" s="583">
        <v>0.05</v>
      </c>
      <c r="K4615" s="583">
        <v>0</v>
      </c>
      <c r="L4615" s="92">
        <v>36.82</v>
      </c>
      <c r="M4615" s="92">
        <v>1.84</v>
      </c>
      <c r="N4615" s="573">
        <v>13.22</v>
      </c>
      <c r="O4615" s="556" t="str">
        <f>IF(N4615=M4615,"OK","DIF")</f>
        <v>DIF</v>
      </c>
      <c r="P4615" s="573"/>
      <c r="Q4615" s="556"/>
      <c r="R4615" s="582"/>
    </row>
    <row r="4616" ht="15" customHeight="1" spans="1:18">
      <c r="A4616" s="556" t="str">
        <f>B4616</f>
        <v> 12.7.1.2 </v>
      </c>
      <c r="B4616" s="557" t="str">
        <f>B4615</f>
        <v> 12.7.1.2 </v>
      </c>
      <c r="C4616" s="100" t="s">
        <v>2893</v>
      </c>
      <c r="D4616" s="99" t="s">
        <v>4396</v>
      </c>
      <c r="E4616" s="100" t="s">
        <v>132</v>
      </c>
      <c r="F4616" s="100" t="s">
        <v>4397</v>
      </c>
      <c r="G4616" s="100" t="s">
        <v>2961</v>
      </c>
      <c r="H4616" s="100"/>
      <c r="I4616" s="101" t="s">
        <v>134</v>
      </c>
      <c r="J4616" s="580">
        <v>1</v>
      </c>
      <c r="K4616" s="580">
        <v>0</v>
      </c>
      <c r="L4616" s="102">
        <v>32.74</v>
      </c>
      <c r="M4616" s="102">
        <v>32.74</v>
      </c>
      <c r="N4616" s="573">
        <v>5.46</v>
      </c>
      <c r="O4616" s="556" t="str">
        <f>IF(N4616=M4616,"OK","DIF")</f>
        <v>DIF</v>
      </c>
      <c r="P4616" s="573"/>
      <c r="Q4616" s="556"/>
      <c r="R4616" s="582"/>
    </row>
    <row r="4617" ht="25.5" spans="1:18">
      <c r="A4617" s="556" t="str">
        <f>B4617</f>
        <v> 12.7.1.2 </v>
      </c>
      <c r="B4617" s="557" t="str">
        <f>B4616</f>
        <v> 12.7.1.2 </v>
      </c>
      <c r="C4617" s="108"/>
      <c r="D4617" s="108"/>
      <c r="E4617" s="108"/>
      <c r="F4617" s="108"/>
      <c r="G4617" s="108"/>
      <c r="H4617" s="108" t="s">
        <v>2898</v>
      </c>
      <c r="I4617" s="581">
        <v>1.33</v>
      </c>
      <c r="J4617" s="108" t="s">
        <v>2899</v>
      </c>
      <c r="K4617" s="581">
        <v>0</v>
      </c>
      <c r="L4617" s="108" t="s">
        <v>2900</v>
      </c>
      <c r="M4617" s="581">
        <v>1.33</v>
      </c>
      <c r="N4617" s="573">
        <v>218.9</v>
      </c>
      <c r="O4617" s="556" t="str">
        <f>IF(N4617=M4617,"OK","DIF")</f>
        <v>DIF</v>
      </c>
      <c r="P4617" s="573"/>
      <c r="Q4617" s="556"/>
      <c r="R4617" s="582"/>
    </row>
    <row r="4618" ht="26.25" spans="1:18">
      <c r="A4618" s="556"/>
      <c r="B4618" s="557"/>
      <c r="C4618" s="108"/>
      <c r="D4618" s="108"/>
      <c r="E4618" s="108"/>
      <c r="F4618" s="108"/>
      <c r="G4618" s="108"/>
      <c r="H4618" s="108" t="s">
        <v>2901</v>
      </c>
      <c r="I4618" s="581">
        <v>8.81</v>
      </c>
      <c r="J4618" s="114"/>
      <c r="K4618" s="114" t="s">
        <v>2902</v>
      </c>
      <c r="L4618" s="108"/>
      <c r="M4618" s="581">
        <v>43.39</v>
      </c>
      <c r="N4618" s="573"/>
      <c r="O4618" s="556"/>
      <c r="P4618" s="573"/>
      <c r="Q4618" s="556"/>
      <c r="R4618" s="582"/>
    </row>
    <row r="4619" ht="15" spans="1:18">
      <c r="A4619" s="556"/>
      <c r="B4619" s="557"/>
      <c r="C4619" s="571"/>
      <c r="D4619" s="571"/>
      <c r="E4619" s="571"/>
      <c r="F4619" s="571"/>
      <c r="G4619" s="571"/>
      <c r="H4619" s="571"/>
      <c r="I4619" s="571"/>
      <c r="J4619" s="571"/>
      <c r="K4619" s="571"/>
      <c r="L4619" s="571"/>
      <c r="M4619" s="571"/>
      <c r="N4619" s="573"/>
      <c r="O4619" s="556"/>
      <c r="P4619" s="573"/>
      <c r="Q4619" s="556"/>
      <c r="R4619" s="582"/>
    </row>
    <row r="4620" ht="15" customHeight="1" spans="1:18">
      <c r="A4620" s="556"/>
      <c r="B4620" s="557">
        <f>C4619</f>
        <v>0</v>
      </c>
      <c r="C4620" s="76" t="s">
        <v>1595</v>
      </c>
      <c r="D4620" s="75" t="s">
        <v>63</v>
      </c>
      <c r="E4620" s="76" t="s">
        <v>64</v>
      </c>
      <c r="F4620" s="76" t="s">
        <v>65</v>
      </c>
      <c r="G4620" s="76" t="s">
        <v>2889</v>
      </c>
      <c r="H4620" s="76"/>
      <c r="I4620" s="77" t="s">
        <v>66</v>
      </c>
      <c r="J4620" s="75" t="s">
        <v>67</v>
      </c>
      <c r="K4620" s="75" t="s">
        <v>2890</v>
      </c>
      <c r="L4620" s="75" t="s">
        <v>68</v>
      </c>
      <c r="M4620" s="75" t="s">
        <v>70</v>
      </c>
      <c r="N4620" s="573">
        <v>469.97</v>
      </c>
      <c r="O4620" s="556" t="str">
        <f>IF(N4620=M4620,"OK","DIF")</f>
        <v>DIF</v>
      </c>
      <c r="P4620" s="573"/>
      <c r="Q4620" s="556"/>
      <c r="R4620" s="582"/>
    </row>
    <row r="4621" ht="63.75" spans="1:18">
      <c r="A4621" s="556">
        <f>B4621</f>
        <v>0</v>
      </c>
      <c r="B4621" s="557">
        <f>B4620</f>
        <v>0</v>
      </c>
      <c r="C4621" s="569" t="s">
        <v>2891</v>
      </c>
      <c r="D4621" s="570" t="s">
        <v>1596</v>
      </c>
      <c r="E4621" s="569" t="s">
        <v>77</v>
      </c>
      <c r="F4621" s="569" t="s">
        <v>4398</v>
      </c>
      <c r="G4621" s="569">
        <v>18</v>
      </c>
      <c r="H4621" s="569"/>
      <c r="I4621" s="577" t="s">
        <v>134</v>
      </c>
      <c r="J4621" s="578">
        <v>1</v>
      </c>
      <c r="K4621" s="579"/>
      <c r="L4621" s="579">
        <v>257.12</v>
      </c>
      <c r="M4621" s="579">
        <v>257.12</v>
      </c>
      <c r="N4621" s="573">
        <v>2.04</v>
      </c>
      <c r="O4621" s="556" t="str">
        <f>IF(N4621=M4621,"OK","DIF")</f>
        <v>DIF</v>
      </c>
      <c r="P4621" s="573"/>
      <c r="Q4621" s="556"/>
      <c r="R4621" s="582"/>
    </row>
    <row r="4622" ht="23.85" customHeight="1" spans="1:18">
      <c r="A4622" s="556">
        <f>B4622</f>
        <v>0</v>
      </c>
      <c r="B4622" s="557">
        <f>B4621</f>
        <v>0</v>
      </c>
      <c r="C4622" s="100" t="s">
        <v>2893</v>
      </c>
      <c r="D4622" s="99" t="s">
        <v>3108</v>
      </c>
      <c r="E4622" s="100" t="s">
        <v>77</v>
      </c>
      <c r="F4622" s="100" t="s">
        <v>3109</v>
      </c>
      <c r="G4622" s="100" t="s">
        <v>2896</v>
      </c>
      <c r="H4622" s="100"/>
      <c r="I4622" s="101" t="s">
        <v>2897</v>
      </c>
      <c r="J4622" s="580">
        <v>1.15</v>
      </c>
      <c r="K4622" s="580">
        <v>3</v>
      </c>
      <c r="L4622" s="102">
        <v>19.16</v>
      </c>
      <c r="M4622" s="102">
        <v>22.69</v>
      </c>
      <c r="N4622" s="573">
        <v>5.93</v>
      </c>
      <c r="O4622" s="556" t="str">
        <f>IF(N4622=M4622,"OK","DIF")</f>
        <v>DIF</v>
      </c>
      <c r="P4622" s="573"/>
      <c r="Q4622" s="556"/>
      <c r="R4622" s="582"/>
    </row>
    <row r="4623" ht="23.85" customHeight="1" spans="1:18">
      <c r="A4623" s="556">
        <f>B4623</f>
        <v>0</v>
      </c>
      <c r="B4623" s="557">
        <f>B4622</f>
        <v>0</v>
      </c>
      <c r="C4623" s="100" t="s">
        <v>2893</v>
      </c>
      <c r="D4623" s="99" t="s">
        <v>4399</v>
      </c>
      <c r="E4623" s="100" t="s">
        <v>77</v>
      </c>
      <c r="F4623" s="100" t="s">
        <v>4400</v>
      </c>
      <c r="G4623" s="100" t="s">
        <v>2961</v>
      </c>
      <c r="H4623" s="100"/>
      <c r="I4623" s="101" t="s">
        <v>134</v>
      </c>
      <c r="J4623" s="580">
        <v>1</v>
      </c>
      <c r="K4623" s="580">
        <v>0</v>
      </c>
      <c r="L4623" s="102">
        <v>181.18</v>
      </c>
      <c r="M4623" s="102">
        <v>181.18</v>
      </c>
      <c r="N4623" s="573">
        <v>462</v>
      </c>
      <c r="O4623" s="556" t="str">
        <f>IF(N4623=M4623,"OK","DIF")</f>
        <v>DIF</v>
      </c>
      <c r="P4623" s="573"/>
      <c r="Q4623" s="556"/>
      <c r="R4623" s="582"/>
    </row>
    <row r="4624" ht="23.85" customHeight="1" spans="1:18">
      <c r="A4624" s="556"/>
      <c r="B4624" s="557"/>
      <c r="C4624" s="100" t="s">
        <v>2893</v>
      </c>
      <c r="D4624" s="99" t="s">
        <v>4013</v>
      </c>
      <c r="E4624" s="100" t="s">
        <v>77</v>
      </c>
      <c r="F4624" s="100" t="s">
        <v>4014</v>
      </c>
      <c r="G4624" s="100" t="s">
        <v>2896</v>
      </c>
      <c r="H4624" s="100"/>
      <c r="I4624" s="101" t="s">
        <v>2897</v>
      </c>
      <c r="J4624" s="580">
        <v>1.15</v>
      </c>
      <c r="K4624" s="580">
        <v>3</v>
      </c>
      <c r="L4624" s="102">
        <v>26.52</v>
      </c>
      <c r="M4624" s="102">
        <v>31.41</v>
      </c>
      <c r="N4624" s="573"/>
      <c r="O4624" s="556"/>
      <c r="P4624" s="573"/>
      <c r="Q4624" s="556"/>
      <c r="R4624" s="582"/>
    </row>
    <row r="4625" ht="23.85" customHeight="1" spans="1:18">
      <c r="A4625" s="556"/>
      <c r="B4625" s="557"/>
      <c r="C4625" s="100" t="s">
        <v>2893</v>
      </c>
      <c r="D4625" s="99" t="s">
        <v>4401</v>
      </c>
      <c r="E4625" s="100" t="s">
        <v>77</v>
      </c>
      <c r="F4625" s="100" t="s">
        <v>4402</v>
      </c>
      <c r="G4625" s="100" t="s">
        <v>2961</v>
      </c>
      <c r="H4625" s="100"/>
      <c r="I4625" s="101" t="s">
        <v>134</v>
      </c>
      <c r="J4625" s="580">
        <v>2</v>
      </c>
      <c r="K4625" s="580">
        <v>0</v>
      </c>
      <c r="L4625" s="102">
        <v>10.92</v>
      </c>
      <c r="M4625" s="102">
        <v>21.84</v>
      </c>
      <c r="N4625" s="573"/>
      <c r="O4625" s="556"/>
      <c r="P4625" s="573"/>
      <c r="Q4625" s="556"/>
      <c r="R4625" s="582"/>
    </row>
    <row r="4626" ht="25.5" spans="1:18">
      <c r="A4626" s="556"/>
      <c r="B4626" s="557" t="str">
        <f>C4625</f>
        <v>Insumo</v>
      </c>
      <c r="C4626" s="108"/>
      <c r="D4626" s="108"/>
      <c r="E4626" s="108"/>
      <c r="F4626" s="108"/>
      <c r="G4626" s="108"/>
      <c r="H4626" s="108" t="s">
        <v>2898</v>
      </c>
      <c r="I4626" s="581">
        <v>54.1</v>
      </c>
      <c r="J4626" s="108" t="s">
        <v>2899</v>
      </c>
      <c r="K4626" s="581">
        <v>0</v>
      </c>
      <c r="L4626" s="108" t="s">
        <v>2900</v>
      </c>
      <c r="M4626" s="581">
        <v>54.1</v>
      </c>
      <c r="N4626" s="573">
        <v>906.97</v>
      </c>
      <c r="O4626" s="556" t="str">
        <f>IF(N4626=M4626,"OK","DIF")</f>
        <v>DIF</v>
      </c>
      <c r="P4626" s="573"/>
      <c r="Q4626" s="556"/>
      <c r="R4626" s="582"/>
    </row>
    <row r="4627" ht="26.25" spans="1:18">
      <c r="A4627" s="556" t="str">
        <f>B4627</f>
        <v>Insumo</v>
      </c>
      <c r="B4627" s="557" t="str">
        <f>B4626</f>
        <v>Insumo</v>
      </c>
      <c r="C4627" s="108"/>
      <c r="D4627" s="108"/>
      <c r="E4627" s="108"/>
      <c r="F4627" s="108"/>
      <c r="G4627" s="108"/>
      <c r="H4627" s="108" t="s">
        <v>2901</v>
      </c>
      <c r="I4627" s="581">
        <v>65.53</v>
      </c>
      <c r="J4627" s="114"/>
      <c r="K4627" s="114" t="s">
        <v>2902</v>
      </c>
      <c r="L4627" s="108"/>
      <c r="M4627" s="581">
        <v>322.65</v>
      </c>
      <c r="N4627" s="573">
        <v>2.04</v>
      </c>
      <c r="O4627" s="556" t="str">
        <f>IF(N4627=M4627,"OK","DIF")</f>
        <v>DIF</v>
      </c>
      <c r="P4627" s="573"/>
      <c r="Q4627" s="556"/>
      <c r="R4627" s="582"/>
    </row>
    <row r="4628" ht="15" spans="1:18">
      <c r="A4628" s="556" t="str">
        <f>B4628</f>
        <v>Insumo</v>
      </c>
      <c r="B4628" s="557" t="str">
        <f>B4627</f>
        <v>Insumo</v>
      </c>
      <c r="C4628" s="571"/>
      <c r="D4628" s="571"/>
      <c r="E4628" s="571"/>
      <c r="F4628" s="571"/>
      <c r="G4628" s="571"/>
      <c r="H4628" s="571"/>
      <c r="I4628" s="571"/>
      <c r="J4628" s="571"/>
      <c r="K4628" s="571"/>
      <c r="L4628" s="571"/>
      <c r="M4628" s="571"/>
      <c r="N4628" s="573">
        <v>5.93</v>
      </c>
      <c r="O4628" s="556" t="str">
        <f>IF(N4628=M4628,"OK","DIF")</f>
        <v>DIF</v>
      </c>
      <c r="P4628" s="573"/>
      <c r="Q4628" s="556"/>
      <c r="R4628" s="582"/>
    </row>
    <row r="4629" ht="15" customHeight="1" spans="1:18">
      <c r="A4629" s="556" t="str">
        <f>B4629</f>
        <v>Insumo</v>
      </c>
      <c r="B4629" s="557" t="str">
        <f>B4628</f>
        <v>Insumo</v>
      </c>
      <c r="C4629" s="76" t="s">
        <v>1598</v>
      </c>
      <c r="D4629" s="75" t="s">
        <v>63</v>
      </c>
      <c r="E4629" s="76" t="s">
        <v>64</v>
      </c>
      <c r="F4629" s="76" t="s">
        <v>65</v>
      </c>
      <c r="G4629" s="76" t="s">
        <v>2889</v>
      </c>
      <c r="H4629" s="76"/>
      <c r="I4629" s="77" t="s">
        <v>66</v>
      </c>
      <c r="J4629" s="75" t="s">
        <v>67</v>
      </c>
      <c r="K4629" s="75" t="s">
        <v>2890</v>
      </c>
      <c r="L4629" s="75" t="s">
        <v>68</v>
      </c>
      <c r="M4629" s="75" t="s">
        <v>70</v>
      </c>
      <c r="N4629" s="573">
        <v>899</v>
      </c>
      <c r="O4629" s="556" t="str">
        <f>IF(N4629=M4629,"OK","DIF")</f>
        <v>DIF</v>
      </c>
      <c r="P4629" s="573"/>
      <c r="Q4629" s="556"/>
      <c r="R4629" s="582"/>
    </row>
    <row r="4630" ht="23.85" customHeight="1" spans="1:18">
      <c r="A4630" s="556"/>
      <c r="B4630" s="557"/>
      <c r="C4630" s="569" t="s">
        <v>2891</v>
      </c>
      <c r="D4630" s="570" t="s">
        <v>1599</v>
      </c>
      <c r="E4630" s="569" t="s">
        <v>149</v>
      </c>
      <c r="F4630" s="569" t="s">
        <v>1600</v>
      </c>
      <c r="G4630" s="569" t="s">
        <v>4391</v>
      </c>
      <c r="H4630" s="569"/>
      <c r="I4630" s="577" t="s">
        <v>134</v>
      </c>
      <c r="J4630" s="578">
        <v>1</v>
      </c>
      <c r="K4630" s="579"/>
      <c r="L4630" s="579">
        <v>80.4</v>
      </c>
      <c r="M4630" s="579">
        <v>80.4</v>
      </c>
      <c r="N4630" s="573"/>
      <c r="O4630" s="556"/>
      <c r="P4630" s="573"/>
      <c r="Q4630" s="556"/>
      <c r="R4630" s="582"/>
    </row>
    <row r="4631" ht="15" customHeight="1" spans="1:18">
      <c r="A4631" s="556"/>
      <c r="B4631" s="557"/>
      <c r="C4631" s="100" t="s">
        <v>2893</v>
      </c>
      <c r="D4631" s="99" t="s">
        <v>2986</v>
      </c>
      <c r="E4631" s="100" t="s">
        <v>149</v>
      </c>
      <c r="F4631" s="100" t="s">
        <v>2987</v>
      </c>
      <c r="G4631" s="100" t="s">
        <v>2896</v>
      </c>
      <c r="H4631" s="100"/>
      <c r="I4631" s="101" t="s">
        <v>2897</v>
      </c>
      <c r="J4631" s="580">
        <v>1</v>
      </c>
      <c r="K4631" s="580">
        <v>0</v>
      </c>
      <c r="L4631" s="102">
        <v>26.928256</v>
      </c>
      <c r="M4631" s="102">
        <v>26.92</v>
      </c>
      <c r="N4631" s="573"/>
      <c r="O4631" s="556"/>
      <c r="P4631" s="573"/>
      <c r="Q4631" s="556"/>
      <c r="R4631" s="582"/>
    </row>
    <row r="4632" ht="23.85" customHeight="1" spans="1:18">
      <c r="A4632" s="556"/>
      <c r="B4632" s="557" t="str">
        <f>C4631</f>
        <v>Insumo</v>
      </c>
      <c r="C4632" s="100" t="s">
        <v>2893</v>
      </c>
      <c r="D4632" s="99" t="s">
        <v>4403</v>
      </c>
      <c r="E4632" s="100" t="s">
        <v>149</v>
      </c>
      <c r="F4632" s="100" t="s">
        <v>4404</v>
      </c>
      <c r="G4632" s="100" t="s">
        <v>2961</v>
      </c>
      <c r="H4632" s="100"/>
      <c r="I4632" s="101" t="s">
        <v>134</v>
      </c>
      <c r="J4632" s="580">
        <v>1</v>
      </c>
      <c r="K4632" s="580">
        <v>0</v>
      </c>
      <c r="L4632" s="102">
        <v>32.9</v>
      </c>
      <c r="M4632" s="102">
        <v>32.9</v>
      </c>
      <c r="N4632" s="573">
        <v>376.68</v>
      </c>
      <c r="O4632" s="556" t="str">
        <f t="shared" ref="O4632:O4637" si="367">IF(N4632=M4632,"OK","DIF")</f>
        <v>DIF</v>
      </c>
      <c r="P4632" s="573"/>
      <c r="Q4632" s="556"/>
      <c r="R4632" s="582"/>
    </row>
    <row r="4633" ht="15" customHeight="1" spans="1:18">
      <c r="A4633" s="556" t="str">
        <f>B4633</f>
        <v>Insumo</v>
      </c>
      <c r="B4633" s="557" t="str">
        <f>B4632</f>
        <v>Insumo</v>
      </c>
      <c r="C4633" s="100" t="s">
        <v>2893</v>
      </c>
      <c r="D4633" s="99" t="s">
        <v>2976</v>
      </c>
      <c r="E4633" s="100" t="s">
        <v>149</v>
      </c>
      <c r="F4633" s="100" t="s">
        <v>2977</v>
      </c>
      <c r="G4633" s="100" t="s">
        <v>2896</v>
      </c>
      <c r="H4633" s="100"/>
      <c r="I4633" s="101" t="s">
        <v>2897</v>
      </c>
      <c r="J4633" s="580">
        <v>1</v>
      </c>
      <c r="K4633" s="580">
        <v>0</v>
      </c>
      <c r="L4633" s="102">
        <v>20.515752</v>
      </c>
      <c r="M4633" s="102">
        <v>20.51</v>
      </c>
      <c r="N4633" s="573">
        <v>80.91</v>
      </c>
      <c r="O4633" s="556" t="str">
        <f t="shared" si="367"/>
        <v>DIF</v>
      </c>
      <c r="P4633" s="573"/>
      <c r="Q4633" s="556"/>
      <c r="R4633" s="582"/>
    </row>
    <row r="4634" ht="15" customHeight="1" spans="1:18">
      <c r="A4634" s="556" t="str">
        <f>B4634</f>
        <v>Insumo</v>
      </c>
      <c r="B4634" s="557" t="str">
        <f>B4633</f>
        <v>Insumo</v>
      </c>
      <c r="C4634" s="100" t="s">
        <v>2893</v>
      </c>
      <c r="D4634" s="99" t="s">
        <v>4394</v>
      </c>
      <c r="E4634" s="100" t="s">
        <v>149</v>
      </c>
      <c r="F4634" s="100" t="s">
        <v>4395</v>
      </c>
      <c r="G4634" s="100" t="s">
        <v>2961</v>
      </c>
      <c r="H4634" s="100"/>
      <c r="I4634" s="101" t="s">
        <v>204</v>
      </c>
      <c r="J4634" s="580">
        <v>0.1</v>
      </c>
      <c r="K4634" s="580">
        <v>0</v>
      </c>
      <c r="L4634" s="102">
        <v>0.73</v>
      </c>
      <c r="M4634" s="102">
        <v>0.07</v>
      </c>
      <c r="N4634" s="573">
        <v>97.17</v>
      </c>
      <c r="O4634" s="556" t="str">
        <f t="shared" si="367"/>
        <v>DIF</v>
      </c>
      <c r="P4634" s="573"/>
      <c r="Q4634" s="556"/>
      <c r="R4634" s="582"/>
    </row>
    <row r="4635" ht="25.5" spans="1:18">
      <c r="A4635" s="556" t="str">
        <f>B4635</f>
        <v>Insumo</v>
      </c>
      <c r="B4635" s="557" t="str">
        <f>B4634</f>
        <v>Insumo</v>
      </c>
      <c r="C4635" s="108"/>
      <c r="D4635" s="108"/>
      <c r="E4635" s="108"/>
      <c r="F4635" s="108"/>
      <c r="G4635" s="108"/>
      <c r="H4635" s="108" t="s">
        <v>2898</v>
      </c>
      <c r="I4635" s="581">
        <v>47.43</v>
      </c>
      <c r="J4635" s="108" t="s">
        <v>2899</v>
      </c>
      <c r="K4635" s="581">
        <v>0</v>
      </c>
      <c r="L4635" s="108" t="s">
        <v>2900</v>
      </c>
      <c r="M4635" s="581">
        <v>47.43</v>
      </c>
      <c r="N4635" s="573">
        <v>8.24</v>
      </c>
      <c r="O4635" s="556" t="str">
        <f t="shared" si="367"/>
        <v>DIF</v>
      </c>
      <c r="P4635" s="573"/>
      <c r="Q4635" s="556"/>
      <c r="R4635" s="582"/>
    </row>
    <row r="4636" ht="26.25" spans="1:18">
      <c r="A4636" s="556" t="str">
        <f>B4636</f>
        <v>Insumo</v>
      </c>
      <c r="B4636" s="557" t="str">
        <f>B4635</f>
        <v>Insumo</v>
      </c>
      <c r="C4636" s="108"/>
      <c r="D4636" s="108"/>
      <c r="E4636" s="108"/>
      <c r="F4636" s="108"/>
      <c r="G4636" s="108"/>
      <c r="H4636" s="108" t="s">
        <v>2901</v>
      </c>
      <c r="I4636" s="581">
        <v>20.49</v>
      </c>
      <c r="J4636" s="114"/>
      <c r="K4636" s="114" t="s">
        <v>2902</v>
      </c>
      <c r="L4636" s="108"/>
      <c r="M4636" s="581">
        <v>100.89</v>
      </c>
      <c r="N4636" s="573">
        <v>189.92</v>
      </c>
      <c r="O4636" s="556" t="str">
        <f t="shared" si="367"/>
        <v>DIF</v>
      </c>
      <c r="P4636" s="573"/>
      <c r="Q4636" s="556"/>
      <c r="R4636" s="582"/>
    </row>
    <row r="4637" ht="15" spans="1:18">
      <c r="A4637" s="556" t="str">
        <f>B4637</f>
        <v>Insumo</v>
      </c>
      <c r="B4637" s="557" t="str">
        <f>B4636</f>
        <v>Insumo</v>
      </c>
      <c r="C4637" s="571"/>
      <c r="D4637" s="571"/>
      <c r="E4637" s="571"/>
      <c r="F4637" s="571"/>
      <c r="G4637" s="571"/>
      <c r="H4637" s="571"/>
      <c r="I4637" s="571"/>
      <c r="J4637" s="571"/>
      <c r="K4637" s="571"/>
      <c r="L4637" s="571"/>
      <c r="M4637" s="571"/>
      <c r="N4637" s="573">
        <v>0.44</v>
      </c>
      <c r="O4637" s="556" t="str">
        <f t="shared" si="367"/>
        <v>DIF</v>
      </c>
      <c r="P4637" s="573"/>
      <c r="Q4637" s="556"/>
      <c r="R4637" s="582"/>
    </row>
    <row r="4638" ht="15" customHeight="1" spans="1:18">
      <c r="A4638" s="556"/>
      <c r="B4638" s="557"/>
      <c r="C4638" s="76" t="s">
        <v>1601</v>
      </c>
      <c r="D4638" s="75" t="s">
        <v>63</v>
      </c>
      <c r="E4638" s="76" t="s">
        <v>64</v>
      </c>
      <c r="F4638" s="76" t="s">
        <v>65</v>
      </c>
      <c r="G4638" s="76" t="s">
        <v>2889</v>
      </c>
      <c r="H4638" s="76"/>
      <c r="I4638" s="77" t="s">
        <v>66</v>
      </c>
      <c r="J4638" s="75" t="s">
        <v>67</v>
      </c>
      <c r="K4638" s="75" t="s">
        <v>2890</v>
      </c>
      <c r="L4638" s="75" t="s">
        <v>68</v>
      </c>
      <c r="M4638" s="75" t="s">
        <v>70</v>
      </c>
      <c r="N4638" s="573"/>
      <c r="O4638" s="556"/>
      <c r="P4638" s="573"/>
      <c r="Q4638" s="556"/>
      <c r="R4638" s="582"/>
    </row>
    <row r="4639" ht="38.25" spans="1:18">
      <c r="A4639" s="556"/>
      <c r="B4639" s="557"/>
      <c r="C4639" s="569" t="s">
        <v>2891</v>
      </c>
      <c r="D4639" s="570" t="s">
        <v>1602</v>
      </c>
      <c r="E4639" s="569" t="s">
        <v>132</v>
      </c>
      <c r="F4639" s="569" t="s">
        <v>1603</v>
      </c>
      <c r="G4639" s="569">
        <v>60</v>
      </c>
      <c r="H4639" s="569"/>
      <c r="I4639" s="577" t="s">
        <v>134</v>
      </c>
      <c r="J4639" s="578">
        <v>1</v>
      </c>
      <c r="K4639" s="579"/>
      <c r="L4639" s="579">
        <v>105.47</v>
      </c>
      <c r="M4639" s="579">
        <v>105.47</v>
      </c>
      <c r="N4639" s="573"/>
      <c r="O4639" s="556"/>
      <c r="P4639" s="573"/>
      <c r="Q4639" s="556"/>
      <c r="R4639" s="582"/>
    </row>
    <row r="4640" ht="23.85" customHeight="1" spans="1:18">
      <c r="A4640" s="556"/>
      <c r="B4640" s="557" t="str">
        <f>C4639</f>
        <v>Composição</v>
      </c>
      <c r="C4640" s="79" t="s">
        <v>2921</v>
      </c>
      <c r="D4640" s="78" t="s">
        <v>3153</v>
      </c>
      <c r="E4640" s="79" t="s">
        <v>139</v>
      </c>
      <c r="F4640" s="79" t="s">
        <v>3154</v>
      </c>
      <c r="G4640" s="79" t="s">
        <v>2928</v>
      </c>
      <c r="H4640" s="79"/>
      <c r="I4640" s="80" t="s">
        <v>2897</v>
      </c>
      <c r="J4640" s="583">
        <v>1</v>
      </c>
      <c r="K4640" s="583">
        <v>0</v>
      </c>
      <c r="L4640" s="92">
        <v>30.6</v>
      </c>
      <c r="M4640" s="92">
        <v>30.6</v>
      </c>
      <c r="N4640" s="573">
        <v>3338.03</v>
      </c>
      <c r="O4640" s="556" t="str">
        <f>IF(N4640=M4640,"OK","DIF")</f>
        <v>DIF</v>
      </c>
      <c r="P4640" s="573"/>
      <c r="Q4640" s="556"/>
      <c r="R4640" s="582"/>
    </row>
    <row r="4641" ht="23.85" customHeight="1" spans="1:18">
      <c r="A4641" s="556" t="str">
        <f>B4641</f>
        <v>Composição</v>
      </c>
      <c r="B4641" s="557" t="str">
        <f>B4640</f>
        <v>Composição</v>
      </c>
      <c r="C4641" s="79" t="s">
        <v>2921</v>
      </c>
      <c r="D4641" s="78" t="s">
        <v>3151</v>
      </c>
      <c r="E4641" s="79" t="s">
        <v>139</v>
      </c>
      <c r="F4641" s="79" t="s">
        <v>3152</v>
      </c>
      <c r="G4641" s="79" t="s">
        <v>2928</v>
      </c>
      <c r="H4641" s="79"/>
      <c r="I4641" s="80" t="s">
        <v>2897</v>
      </c>
      <c r="J4641" s="583">
        <v>1</v>
      </c>
      <c r="K4641" s="583">
        <v>0</v>
      </c>
      <c r="L4641" s="92">
        <v>36.82</v>
      </c>
      <c r="M4641" s="92">
        <v>36.82</v>
      </c>
      <c r="N4641" s="573">
        <v>323.9</v>
      </c>
      <c r="O4641" s="556" t="str">
        <f>IF(N4641=M4641,"OK","DIF")</f>
        <v>DIF</v>
      </c>
      <c r="P4641" s="573"/>
      <c r="Q4641" s="556"/>
      <c r="R4641" s="582"/>
    </row>
    <row r="4642" ht="23.85" customHeight="1" spans="1:18">
      <c r="A4642" s="556" t="str">
        <f>B4642</f>
        <v>Composição</v>
      </c>
      <c r="B4642" s="557" t="str">
        <f>B4641</f>
        <v>Composição</v>
      </c>
      <c r="C4642" s="100" t="s">
        <v>2893</v>
      </c>
      <c r="D4642" s="99" t="s">
        <v>4405</v>
      </c>
      <c r="E4642" s="100" t="s">
        <v>77</v>
      </c>
      <c r="F4642" s="100" t="s">
        <v>4406</v>
      </c>
      <c r="G4642" s="100" t="s">
        <v>2961</v>
      </c>
      <c r="H4642" s="100"/>
      <c r="I4642" s="101" t="s">
        <v>134</v>
      </c>
      <c r="J4642" s="580">
        <v>4</v>
      </c>
      <c r="K4642" s="580">
        <v>0</v>
      </c>
      <c r="L4642" s="102">
        <v>9.46</v>
      </c>
      <c r="M4642" s="102">
        <v>37.84</v>
      </c>
      <c r="N4642" s="573">
        <v>262.3</v>
      </c>
      <c r="O4642" s="556" t="str">
        <f>IF(N4642=M4642,"OK","DIF")</f>
        <v>DIF</v>
      </c>
      <c r="P4642" s="573"/>
      <c r="Q4642" s="556"/>
      <c r="R4642" s="582"/>
    </row>
    <row r="4643" ht="15" customHeight="1" spans="1:18">
      <c r="A4643" s="556" t="str">
        <f>B4643</f>
        <v>Composição</v>
      </c>
      <c r="B4643" s="557" t="str">
        <f>B4642</f>
        <v>Composição</v>
      </c>
      <c r="C4643" s="100" t="s">
        <v>2893</v>
      </c>
      <c r="D4643" s="99" t="s">
        <v>4394</v>
      </c>
      <c r="E4643" s="100" t="s">
        <v>149</v>
      </c>
      <c r="F4643" s="100" t="s">
        <v>4395</v>
      </c>
      <c r="G4643" s="100" t="s">
        <v>2961</v>
      </c>
      <c r="H4643" s="100"/>
      <c r="I4643" s="101" t="s">
        <v>204</v>
      </c>
      <c r="J4643" s="580">
        <v>0.3</v>
      </c>
      <c r="K4643" s="580">
        <v>0</v>
      </c>
      <c r="L4643" s="102">
        <v>0.73</v>
      </c>
      <c r="M4643" s="102">
        <v>0.21</v>
      </c>
      <c r="N4643" s="573">
        <v>73</v>
      </c>
      <c r="O4643" s="556" t="str">
        <f>IF(N4643=M4643,"OK","DIF")</f>
        <v>DIF</v>
      </c>
      <c r="P4643" s="573"/>
      <c r="Q4643" s="556"/>
      <c r="R4643" s="582"/>
    </row>
    <row r="4644" ht="25.5" spans="1:18">
      <c r="A4644" s="556" t="str">
        <f>B4644</f>
        <v>Composição</v>
      </c>
      <c r="B4644" s="557" t="str">
        <f>B4643</f>
        <v>Composição</v>
      </c>
      <c r="C4644" s="108"/>
      <c r="D4644" s="108"/>
      <c r="E4644" s="108"/>
      <c r="F4644" s="108"/>
      <c r="G4644" s="108"/>
      <c r="H4644" s="108" t="s">
        <v>2898</v>
      </c>
      <c r="I4644" s="581">
        <v>47.32</v>
      </c>
      <c r="J4644" s="108" t="s">
        <v>2899</v>
      </c>
      <c r="K4644" s="581">
        <v>0</v>
      </c>
      <c r="L4644" s="108" t="s">
        <v>2900</v>
      </c>
      <c r="M4644" s="581">
        <v>47.32</v>
      </c>
      <c r="N4644" s="573">
        <v>2678.83</v>
      </c>
      <c r="O4644" s="556" t="str">
        <f>IF(N4644=M4644,"OK","DIF")</f>
        <v>DIF</v>
      </c>
      <c r="P4644" s="573"/>
      <c r="Q4644" s="556"/>
      <c r="R4644" s="582"/>
    </row>
    <row r="4645" ht="26.25" spans="1:18">
      <c r="A4645" s="556"/>
      <c r="B4645" s="557"/>
      <c r="C4645" s="108"/>
      <c r="D4645" s="108"/>
      <c r="E4645" s="108"/>
      <c r="F4645" s="108"/>
      <c r="G4645" s="108"/>
      <c r="H4645" s="108" t="s">
        <v>2901</v>
      </c>
      <c r="I4645" s="581">
        <v>26.88</v>
      </c>
      <c r="J4645" s="114"/>
      <c r="K4645" s="114" t="s">
        <v>2902</v>
      </c>
      <c r="L4645" s="108"/>
      <c r="M4645" s="581">
        <v>132.35</v>
      </c>
      <c r="N4645" s="573"/>
      <c r="O4645" s="556"/>
      <c r="P4645" s="573"/>
      <c r="Q4645" s="556"/>
      <c r="R4645" s="582"/>
    </row>
    <row r="4646" ht="15" spans="1:18">
      <c r="A4646" s="556"/>
      <c r="B4646" s="557"/>
      <c r="C4646" s="571"/>
      <c r="D4646" s="571"/>
      <c r="E4646" s="571"/>
      <c r="F4646" s="571"/>
      <c r="G4646" s="571"/>
      <c r="H4646" s="571"/>
      <c r="I4646" s="571"/>
      <c r="J4646" s="571"/>
      <c r="K4646" s="571"/>
      <c r="L4646" s="571"/>
      <c r="M4646" s="571"/>
      <c r="N4646" s="573"/>
      <c r="O4646" s="556"/>
      <c r="P4646" s="573"/>
      <c r="Q4646" s="556"/>
      <c r="R4646" s="582"/>
    </row>
    <row r="4647" ht="15" customHeight="1" spans="1:18">
      <c r="A4647" s="556"/>
      <c r="B4647" s="557">
        <f>C4646</f>
        <v>0</v>
      </c>
      <c r="C4647" s="76" t="s">
        <v>1604</v>
      </c>
      <c r="D4647" s="75" t="s">
        <v>63</v>
      </c>
      <c r="E4647" s="76" t="s">
        <v>64</v>
      </c>
      <c r="F4647" s="76" t="s">
        <v>65</v>
      </c>
      <c r="G4647" s="76" t="s">
        <v>2889</v>
      </c>
      <c r="H4647" s="76"/>
      <c r="I4647" s="77" t="s">
        <v>66</v>
      </c>
      <c r="J4647" s="75" t="s">
        <v>67</v>
      </c>
      <c r="K4647" s="75" t="s">
        <v>2890</v>
      </c>
      <c r="L4647" s="75" t="s">
        <v>68</v>
      </c>
      <c r="M4647" s="75" t="s">
        <v>70</v>
      </c>
      <c r="N4647" s="573">
        <v>4828.23</v>
      </c>
      <c r="O4647" s="556" t="str">
        <f>IF(N4647=M4647,"OK","DIF")</f>
        <v>DIF</v>
      </c>
      <c r="P4647" s="573"/>
      <c r="Q4647" s="556"/>
      <c r="R4647" s="582"/>
    </row>
    <row r="4648" ht="38.25" spans="1:18">
      <c r="A4648" s="556">
        <f>B4648</f>
        <v>0</v>
      </c>
      <c r="B4648" s="557">
        <f>B4647</f>
        <v>0</v>
      </c>
      <c r="C4648" s="569" t="s">
        <v>2891</v>
      </c>
      <c r="D4648" s="570" t="s">
        <v>1605</v>
      </c>
      <c r="E4648" s="569" t="s">
        <v>132</v>
      </c>
      <c r="F4648" s="569" t="s">
        <v>1606</v>
      </c>
      <c r="G4648" s="569">
        <v>60</v>
      </c>
      <c r="H4648" s="569"/>
      <c r="I4648" s="577" t="s">
        <v>134</v>
      </c>
      <c r="J4648" s="578">
        <v>1</v>
      </c>
      <c r="K4648" s="579"/>
      <c r="L4648" s="579">
        <v>284.69</v>
      </c>
      <c r="M4648" s="579">
        <v>284.69</v>
      </c>
      <c r="N4648" s="573">
        <v>73</v>
      </c>
      <c r="O4648" s="556" t="str">
        <f>IF(N4648=M4648,"OK","DIF")</f>
        <v>DIF</v>
      </c>
      <c r="P4648" s="573"/>
      <c r="Q4648" s="556"/>
      <c r="R4648" s="582"/>
    </row>
    <row r="4649" ht="23.85" customHeight="1" spans="1:18">
      <c r="A4649" s="556">
        <f>B4649</f>
        <v>0</v>
      </c>
      <c r="B4649" s="557">
        <f>B4648</f>
        <v>0</v>
      </c>
      <c r="C4649" s="79" t="s">
        <v>2921</v>
      </c>
      <c r="D4649" s="78" t="s">
        <v>3153</v>
      </c>
      <c r="E4649" s="79" t="s">
        <v>139</v>
      </c>
      <c r="F4649" s="79" t="s">
        <v>3154</v>
      </c>
      <c r="G4649" s="79" t="s">
        <v>2928</v>
      </c>
      <c r="H4649" s="79"/>
      <c r="I4649" s="80" t="s">
        <v>2897</v>
      </c>
      <c r="J4649" s="583">
        <v>1</v>
      </c>
      <c r="K4649" s="583">
        <v>0</v>
      </c>
      <c r="L4649" s="92">
        <v>30.6</v>
      </c>
      <c r="M4649" s="92">
        <v>30.6</v>
      </c>
      <c r="N4649" s="573">
        <v>323.9</v>
      </c>
      <c r="O4649" s="556" t="str">
        <f>IF(N4649=M4649,"OK","DIF")</f>
        <v>DIF</v>
      </c>
      <c r="P4649" s="573"/>
      <c r="Q4649" s="556"/>
      <c r="R4649" s="582"/>
    </row>
    <row r="4650" ht="23.85" customHeight="1" spans="1:18">
      <c r="A4650" s="556">
        <f>B4650</f>
        <v>0</v>
      </c>
      <c r="B4650" s="557">
        <f>B4649</f>
        <v>0</v>
      </c>
      <c r="C4650" s="79" t="s">
        <v>2921</v>
      </c>
      <c r="D4650" s="78" t="s">
        <v>3151</v>
      </c>
      <c r="E4650" s="79" t="s">
        <v>139</v>
      </c>
      <c r="F4650" s="79" t="s">
        <v>3152</v>
      </c>
      <c r="G4650" s="79" t="s">
        <v>2928</v>
      </c>
      <c r="H4650" s="79"/>
      <c r="I4650" s="80" t="s">
        <v>2897</v>
      </c>
      <c r="J4650" s="583">
        <v>1</v>
      </c>
      <c r="K4650" s="583">
        <v>0</v>
      </c>
      <c r="L4650" s="92">
        <v>36.82</v>
      </c>
      <c r="M4650" s="92">
        <v>36.82</v>
      </c>
      <c r="N4650" s="573">
        <v>262.3</v>
      </c>
      <c r="O4650" s="556" t="str">
        <f>IF(N4650=M4650,"OK","DIF")</f>
        <v>DIF</v>
      </c>
      <c r="P4650" s="573"/>
      <c r="Q4650" s="556"/>
      <c r="R4650" s="582"/>
    </row>
    <row r="4651" ht="15" customHeight="1" spans="1:18">
      <c r="A4651" s="556">
        <f>B4651</f>
        <v>0</v>
      </c>
      <c r="B4651" s="557">
        <f>B4650</f>
        <v>0</v>
      </c>
      <c r="C4651" s="100" t="s">
        <v>2893</v>
      </c>
      <c r="D4651" s="99" t="s">
        <v>4394</v>
      </c>
      <c r="E4651" s="100" t="s">
        <v>149</v>
      </c>
      <c r="F4651" s="100" t="s">
        <v>4395</v>
      </c>
      <c r="G4651" s="100" t="s">
        <v>2961</v>
      </c>
      <c r="H4651" s="100"/>
      <c r="I4651" s="101" t="s">
        <v>204</v>
      </c>
      <c r="J4651" s="580">
        <v>0.3</v>
      </c>
      <c r="K4651" s="580">
        <v>0</v>
      </c>
      <c r="L4651" s="102">
        <v>0.73</v>
      </c>
      <c r="M4651" s="102">
        <v>0.21</v>
      </c>
      <c r="N4651" s="573">
        <v>4169.03</v>
      </c>
      <c r="O4651" s="556" t="str">
        <f>IF(N4651=M4651,"OK","DIF")</f>
        <v>DIF</v>
      </c>
      <c r="P4651" s="573"/>
      <c r="Q4651" s="556"/>
      <c r="R4651" s="582"/>
    </row>
    <row r="4652" ht="23.85" customHeight="1" spans="1:18">
      <c r="A4652" s="556"/>
      <c r="B4652" s="557"/>
      <c r="C4652" s="100" t="s">
        <v>2893</v>
      </c>
      <c r="D4652" s="99" t="s">
        <v>4407</v>
      </c>
      <c r="E4652" s="100" t="s">
        <v>149</v>
      </c>
      <c r="F4652" s="100" t="s">
        <v>4408</v>
      </c>
      <c r="G4652" s="100" t="s">
        <v>2961</v>
      </c>
      <c r="H4652" s="100"/>
      <c r="I4652" s="101" t="s">
        <v>134</v>
      </c>
      <c r="J4652" s="580">
        <v>1</v>
      </c>
      <c r="K4652" s="580">
        <v>0</v>
      </c>
      <c r="L4652" s="102">
        <v>179.22</v>
      </c>
      <c r="M4652" s="102">
        <v>179.22</v>
      </c>
      <c r="N4652" s="573"/>
      <c r="O4652" s="556"/>
      <c r="P4652" s="573"/>
      <c r="Q4652" s="556"/>
      <c r="R4652" s="582"/>
    </row>
    <row r="4653" ht="23.85" customHeight="1" spans="1:18">
      <c r="A4653" s="556"/>
      <c r="B4653" s="557"/>
      <c r="C4653" s="100" t="s">
        <v>2893</v>
      </c>
      <c r="D4653" s="99" t="s">
        <v>4405</v>
      </c>
      <c r="E4653" s="100" t="s">
        <v>77</v>
      </c>
      <c r="F4653" s="100" t="s">
        <v>4406</v>
      </c>
      <c r="G4653" s="100" t="s">
        <v>2961</v>
      </c>
      <c r="H4653" s="100"/>
      <c r="I4653" s="101" t="s">
        <v>134</v>
      </c>
      <c r="J4653" s="580">
        <v>4</v>
      </c>
      <c r="K4653" s="580">
        <v>0</v>
      </c>
      <c r="L4653" s="102">
        <v>9.46</v>
      </c>
      <c r="M4653" s="102">
        <v>37.84</v>
      </c>
      <c r="N4653" s="573"/>
      <c r="O4653" s="556"/>
      <c r="P4653" s="573"/>
      <c r="Q4653" s="556"/>
      <c r="R4653" s="582"/>
    </row>
    <row r="4654" ht="25.5" spans="1:18">
      <c r="A4654" s="556"/>
      <c r="B4654" s="557" t="str">
        <f>C4653</f>
        <v>Insumo</v>
      </c>
      <c r="C4654" s="108"/>
      <c r="D4654" s="108"/>
      <c r="E4654" s="108"/>
      <c r="F4654" s="108"/>
      <c r="G4654" s="108"/>
      <c r="H4654" s="108" t="s">
        <v>2898</v>
      </c>
      <c r="I4654" s="581">
        <v>47.32</v>
      </c>
      <c r="J4654" s="108" t="s">
        <v>2899</v>
      </c>
      <c r="K4654" s="581">
        <v>0</v>
      </c>
      <c r="L4654" s="108" t="s">
        <v>2900</v>
      </c>
      <c r="M4654" s="581">
        <v>47.32</v>
      </c>
      <c r="N4654" s="573">
        <v>8090.87</v>
      </c>
      <c r="O4654" s="556" t="str">
        <f>IF(N4654=M4654,"OK","DIF")</f>
        <v>DIF</v>
      </c>
      <c r="P4654" s="573"/>
      <c r="Q4654" s="556"/>
      <c r="R4654" s="582"/>
    </row>
    <row r="4655" ht="26.25" spans="1:18">
      <c r="A4655" s="556" t="str">
        <f>B4655</f>
        <v>Insumo</v>
      </c>
      <c r="B4655" s="557" t="str">
        <f>B4654</f>
        <v>Insumo</v>
      </c>
      <c r="C4655" s="108"/>
      <c r="D4655" s="108"/>
      <c r="E4655" s="108"/>
      <c r="F4655" s="108"/>
      <c r="G4655" s="108"/>
      <c r="H4655" s="108" t="s">
        <v>2901</v>
      </c>
      <c r="I4655" s="581">
        <v>72.56</v>
      </c>
      <c r="J4655" s="114"/>
      <c r="K4655" s="114" t="s">
        <v>2902</v>
      </c>
      <c r="L4655" s="108"/>
      <c r="M4655" s="581">
        <v>357.25</v>
      </c>
      <c r="N4655" s="573">
        <v>259.5</v>
      </c>
      <c r="O4655" s="556" t="str">
        <f>IF(N4655=M4655,"OK","DIF")</f>
        <v>DIF</v>
      </c>
      <c r="P4655" s="573"/>
      <c r="Q4655" s="556"/>
      <c r="R4655" s="582"/>
    </row>
    <row r="4656" ht="15" spans="1:18">
      <c r="A4656" s="556" t="str">
        <f>B4656</f>
        <v>Insumo</v>
      </c>
      <c r="B4656" s="557" t="str">
        <f>B4655</f>
        <v>Insumo</v>
      </c>
      <c r="C4656" s="571"/>
      <c r="D4656" s="571"/>
      <c r="E4656" s="571"/>
      <c r="F4656" s="571"/>
      <c r="G4656" s="571"/>
      <c r="H4656" s="571"/>
      <c r="I4656" s="571"/>
      <c r="J4656" s="571"/>
      <c r="K4656" s="571"/>
      <c r="L4656" s="571"/>
      <c r="M4656" s="571"/>
      <c r="N4656" s="573">
        <v>259.12</v>
      </c>
      <c r="O4656" s="556" t="str">
        <f>IF(N4656=M4656,"OK","DIF")</f>
        <v>DIF</v>
      </c>
      <c r="P4656" s="573"/>
      <c r="Q4656" s="556"/>
      <c r="R4656" s="582"/>
    </row>
    <row r="4657" ht="15" customHeight="1" spans="1:18">
      <c r="A4657" s="556" t="str">
        <f>B4657</f>
        <v>Insumo</v>
      </c>
      <c r="B4657" s="557" t="str">
        <f>B4656</f>
        <v>Insumo</v>
      </c>
      <c r="C4657" s="76" t="s">
        <v>1607</v>
      </c>
      <c r="D4657" s="75" t="s">
        <v>63</v>
      </c>
      <c r="E4657" s="76" t="s">
        <v>64</v>
      </c>
      <c r="F4657" s="76" t="s">
        <v>65</v>
      </c>
      <c r="G4657" s="76" t="s">
        <v>2889</v>
      </c>
      <c r="H4657" s="76"/>
      <c r="I4657" s="77" t="s">
        <v>66</v>
      </c>
      <c r="J4657" s="75" t="s">
        <v>67</v>
      </c>
      <c r="K4657" s="75" t="s">
        <v>2890</v>
      </c>
      <c r="L4657" s="75" t="s">
        <v>68</v>
      </c>
      <c r="M4657" s="75" t="s">
        <v>70</v>
      </c>
      <c r="N4657" s="573">
        <v>7572.25</v>
      </c>
      <c r="O4657" s="556" t="str">
        <f>IF(N4657=M4657,"OK","DIF")</f>
        <v>DIF</v>
      </c>
      <c r="P4657" s="573"/>
      <c r="Q4657" s="556"/>
      <c r="R4657" s="582"/>
    </row>
    <row r="4658" ht="23.85" customHeight="1" spans="1:18">
      <c r="A4658" s="556"/>
      <c r="B4658" s="557"/>
      <c r="C4658" s="569" t="s">
        <v>2891</v>
      </c>
      <c r="D4658" s="570" t="s">
        <v>1608</v>
      </c>
      <c r="E4658" s="569" t="s">
        <v>149</v>
      </c>
      <c r="F4658" s="569" t="s">
        <v>1609</v>
      </c>
      <c r="G4658" s="569" t="s">
        <v>4391</v>
      </c>
      <c r="H4658" s="569"/>
      <c r="I4658" s="577" t="s">
        <v>134</v>
      </c>
      <c r="J4658" s="578">
        <v>1</v>
      </c>
      <c r="K4658" s="579"/>
      <c r="L4658" s="579">
        <v>281.49</v>
      </c>
      <c r="M4658" s="579">
        <v>281.49</v>
      </c>
      <c r="N4658" s="573"/>
      <c r="O4658" s="556"/>
      <c r="P4658" s="573"/>
      <c r="Q4658" s="556"/>
      <c r="R4658" s="582"/>
    </row>
    <row r="4659" ht="15" customHeight="1" spans="1:18">
      <c r="A4659" s="556"/>
      <c r="B4659" s="557"/>
      <c r="C4659" s="100" t="s">
        <v>2893</v>
      </c>
      <c r="D4659" s="99" t="s">
        <v>4409</v>
      </c>
      <c r="E4659" s="100" t="s">
        <v>149</v>
      </c>
      <c r="F4659" s="100" t="s">
        <v>4410</v>
      </c>
      <c r="G4659" s="100" t="s">
        <v>2961</v>
      </c>
      <c r="H4659" s="100"/>
      <c r="I4659" s="101" t="s">
        <v>134</v>
      </c>
      <c r="J4659" s="580">
        <v>1</v>
      </c>
      <c r="K4659" s="580">
        <v>0</v>
      </c>
      <c r="L4659" s="102">
        <v>233.99</v>
      </c>
      <c r="M4659" s="102">
        <v>233.99</v>
      </c>
      <c r="N4659" s="573"/>
      <c r="O4659" s="556"/>
      <c r="P4659" s="573"/>
      <c r="Q4659" s="556"/>
      <c r="R4659" s="582"/>
    </row>
    <row r="4660" ht="15" customHeight="1" spans="1:18">
      <c r="A4660" s="556"/>
      <c r="B4660" s="557" t="str">
        <f>C4659</f>
        <v>Insumo</v>
      </c>
      <c r="C4660" s="100" t="s">
        <v>2893</v>
      </c>
      <c r="D4660" s="99" t="s">
        <v>4394</v>
      </c>
      <c r="E4660" s="100" t="s">
        <v>149</v>
      </c>
      <c r="F4660" s="100" t="s">
        <v>4395</v>
      </c>
      <c r="G4660" s="100" t="s">
        <v>2961</v>
      </c>
      <c r="H4660" s="100"/>
      <c r="I4660" s="101" t="s">
        <v>204</v>
      </c>
      <c r="J4660" s="580">
        <v>0.1</v>
      </c>
      <c r="K4660" s="580">
        <v>0</v>
      </c>
      <c r="L4660" s="102">
        <v>0.73</v>
      </c>
      <c r="M4660" s="102">
        <v>0.07</v>
      </c>
      <c r="N4660" s="573">
        <v>10618.52</v>
      </c>
      <c r="O4660" s="556" t="str">
        <f>IF(N4660=M4660,"OK","DIF")</f>
        <v>DIF</v>
      </c>
      <c r="P4660" s="573"/>
      <c r="Q4660" s="556"/>
      <c r="R4660" s="582"/>
    </row>
    <row r="4661" ht="15" customHeight="1" spans="1:18">
      <c r="A4661" s="556" t="str">
        <f>B4661</f>
        <v>Insumo</v>
      </c>
      <c r="B4661" s="557" t="str">
        <f>B4660</f>
        <v>Insumo</v>
      </c>
      <c r="C4661" s="100" t="s">
        <v>2893</v>
      </c>
      <c r="D4661" s="99" t="s">
        <v>2986</v>
      </c>
      <c r="E4661" s="100" t="s">
        <v>149</v>
      </c>
      <c r="F4661" s="100" t="s">
        <v>2987</v>
      </c>
      <c r="G4661" s="100" t="s">
        <v>2896</v>
      </c>
      <c r="H4661" s="100"/>
      <c r="I4661" s="101" t="s">
        <v>2897</v>
      </c>
      <c r="J4661" s="580">
        <v>1</v>
      </c>
      <c r="K4661" s="580">
        <v>0</v>
      </c>
      <c r="L4661" s="102">
        <v>26.928256</v>
      </c>
      <c r="M4661" s="102">
        <v>26.92</v>
      </c>
      <c r="N4661" s="573">
        <v>259.5</v>
      </c>
      <c r="O4661" s="556" t="str">
        <f>IF(N4661=M4661,"OK","DIF")</f>
        <v>DIF</v>
      </c>
      <c r="P4661" s="573"/>
      <c r="Q4661" s="556"/>
      <c r="R4661" s="582"/>
    </row>
    <row r="4662" ht="15" customHeight="1" spans="1:18">
      <c r="A4662" s="556" t="str">
        <f>B4662</f>
        <v>Insumo</v>
      </c>
      <c r="B4662" s="557" t="str">
        <f>B4661</f>
        <v>Insumo</v>
      </c>
      <c r="C4662" s="100" t="s">
        <v>2893</v>
      </c>
      <c r="D4662" s="99" t="s">
        <v>2976</v>
      </c>
      <c r="E4662" s="100" t="s">
        <v>149</v>
      </c>
      <c r="F4662" s="100" t="s">
        <v>2977</v>
      </c>
      <c r="G4662" s="100" t="s">
        <v>2896</v>
      </c>
      <c r="H4662" s="100"/>
      <c r="I4662" s="101" t="s">
        <v>2897</v>
      </c>
      <c r="J4662" s="580">
        <v>1</v>
      </c>
      <c r="K4662" s="580">
        <v>0</v>
      </c>
      <c r="L4662" s="102">
        <v>20.515752</v>
      </c>
      <c r="M4662" s="102">
        <v>20.51</v>
      </c>
      <c r="N4662" s="573">
        <v>259.12</v>
      </c>
      <c r="O4662" s="556" t="str">
        <f>IF(N4662=M4662,"OK","DIF")</f>
        <v>DIF</v>
      </c>
      <c r="P4662" s="573"/>
      <c r="Q4662" s="556"/>
      <c r="R4662" s="582"/>
    </row>
    <row r="4663" ht="25.5" spans="1:18">
      <c r="A4663" s="556" t="str">
        <f>B4663</f>
        <v>Insumo</v>
      </c>
      <c r="B4663" s="557" t="str">
        <f>B4662</f>
        <v>Insumo</v>
      </c>
      <c r="C4663" s="108"/>
      <c r="D4663" s="108"/>
      <c r="E4663" s="108"/>
      <c r="F4663" s="108"/>
      <c r="G4663" s="108"/>
      <c r="H4663" s="108" t="s">
        <v>2898</v>
      </c>
      <c r="I4663" s="581">
        <v>47.43</v>
      </c>
      <c r="J4663" s="108" t="s">
        <v>2899</v>
      </c>
      <c r="K4663" s="581">
        <v>0</v>
      </c>
      <c r="L4663" s="108" t="s">
        <v>2900</v>
      </c>
      <c r="M4663" s="581">
        <v>47.43</v>
      </c>
      <c r="N4663" s="573">
        <v>10099.9</v>
      </c>
      <c r="O4663" s="556" t="str">
        <f>IF(N4663=M4663,"OK","DIF")</f>
        <v>DIF</v>
      </c>
      <c r="P4663" s="573"/>
      <c r="Q4663" s="556"/>
      <c r="R4663" s="582"/>
    </row>
    <row r="4664" ht="26.25" spans="1:18">
      <c r="A4664" s="556"/>
      <c r="B4664" s="557"/>
      <c r="C4664" s="108"/>
      <c r="D4664" s="108"/>
      <c r="E4664" s="108"/>
      <c r="F4664" s="108"/>
      <c r="G4664" s="108"/>
      <c r="H4664" s="108" t="s">
        <v>2901</v>
      </c>
      <c r="I4664" s="581">
        <v>71.75</v>
      </c>
      <c r="J4664" s="114"/>
      <c r="K4664" s="114" t="s">
        <v>2902</v>
      </c>
      <c r="L4664" s="108"/>
      <c r="M4664" s="581">
        <v>353.24</v>
      </c>
      <c r="N4664" s="573"/>
      <c r="O4664" s="556"/>
      <c r="P4664" s="573"/>
      <c r="Q4664" s="556"/>
      <c r="R4664" s="582"/>
    </row>
    <row r="4665" ht="15" spans="1:18">
      <c r="A4665" s="556"/>
      <c r="B4665" s="557"/>
      <c r="C4665" s="571"/>
      <c r="D4665" s="571"/>
      <c r="E4665" s="571"/>
      <c r="F4665" s="571"/>
      <c r="G4665" s="571"/>
      <c r="H4665" s="571"/>
      <c r="I4665" s="571"/>
      <c r="J4665" s="571"/>
      <c r="K4665" s="571"/>
      <c r="L4665" s="571"/>
      <c r="M4665" s="571"/>
      <c r="N4665" s="573"/>
      <c r="O4665" s="556"/>
      <c r="P4665" s="573"/>
      <c r="Q4665" s="556"/>
      <c r="R4665" s="582"/>
    </row>
    <row r="4666" ht="15" customHeight="1" spans="1:18">
      <c r="A4666" s="556"/>
      <c r="B4666" s="557">
        <f>C4665</f>
        <v>0</v>
      </c>
      <c r="C4666" s="76" t="s">
        <v>1610</v>
      </c>
      <c r="D4666" s="75" t="s">
        <v>63</v>
      </c>
      <c r="E4666" s="76" t="s">
        <v>64</v>
      </c>
      <c r="F4666" s="76" t="s">
        <v>65</v>
      </c>
      <c r="G4666" s="76" t="s">
        <v>2889</v>
      </c>
      <c r="H4666" s="76"/>
      <c r="I4666" s="77" t="s">
        <v>66</v>
      </c>
      <c r="J4666" s="75" t="s">
        <v>67</v>
      </c>
      <c r="K4666" s="75" t="s">
        <v>2890</v>
      </c>
      <c r="L4666" s="75" t="s">
        <v>68</v>
      </c>
      <c r="M4666" s="75" t="s">
        <v>70</v>
      </c>
      <c r="N4666" s="573">
        <v>14815.06</v>
      </c>
      <c r="O4666" s="556" t="str">
        <f>IF(N4666=M4666,"OK","DIF")</f>
        <v>DIF</v>
      </c>
      <c r="P4666" s="573"/>
      <c r="Q4666" s="556"/>
      <c r="R4666" s="582"/>
    </row>
    <row r="4667" ht="35.05" customHeight="1" spans="1:18">
      <c r="A4667" s="556">
        <f>B4667</f>
        <v>0</v>
      </c>
      <c r="B4667" s="557">
        <f>B4666</f>
        <v>0</v>
      </c>
      <c r="C4667" s="569" t="s">
        <v>2891</v>
      </c>
      <c r="D4667" s="570" t="s">
        <v>1611</v>
      </c>
      <c r="E4667" s="569" t="s">
        <v>132</v>
      </c>
      <c r="F4667" s="569" t="s">
        <v>1612</v>
      </c>
      <c r="G4667" s="569" t="s">
        <v>3177</v>
      </c>
      <c r="H4667" s="569"/>
      <c r="I4667" s="577" t="s">
        <v>134</v>
      </c>
      <c r="J4667" s="578">
        <v>1</v>
      </c>
      <c r="K4667" s="579"/>
      <c r="L4667" s="579">
        <v>96.81</v>
      </c>
      <c r="M4667" s="579">
        <v>96.81</v>
      </c>
      <c r="N4667" s="573">
        <v>99.21</v>
      </c>
      <c r="O4667" s="556" t="str">
        <f>IF(N4667=M4667,"OK","DIF")</f>
        <v>DIF</v>
      </c>
      <c r="P4667" s="573"/>
      <c r="Q4667" s="556"/>
      <c r="R4667" s="582"/>
    </row>
    <row r="4668" ht="23.85" customHeight="1" spans="1:18">
      <c r="A4668" s="556">
        <f>B4668</f>
        <v>0</v>
      </c>
      <c r="B4668" s="557">
        <f>B4667</f>
        <v>0</v>
      </c>
      <c r="C4668" s="79" t="s">
        <v>2921</v>
      </c>
      <c r="D4668" s="78" t="s">
        <v>3151</v>
      </c>
      <c r="E4668" s="79" t="s">
        <v>139</v>
      </c>
      <c r="F4668" s="79" t="s">
        <v>3152</v>
      </c>
      <c r="G4668" s="79" t="s">
        <v>2928</v>
      </c>
      <c r="H4668" s="79"/>
      <c r="I4668" s="80" t="s">
        <v>2897</v>
      </c>
      <c r="J4668" s="583">
        <v>0.5518</v>
      </c>
      <c r="K4668" s="583">
        <v>0</v>
      </c>
      <c r="L4668" s="92">
        <v>36.82</v>
      </c>
      <c r="M4668" s="92">
        <v>20.31</v>
      </c>
      <c r="N4668" s="573">
        <v>77.85</v>
      </c>
      <c r="O4668" s="556" t="str">
        <f>IF(N4668=M4668,"OK","DIF")</f>
        <v>DIF</v>
      </c>
      <c r="P4668" s="573"/>
      <c r="Q4668" s="556"/>
      <c r="R4668" s="582"/>
    </row>
    <row r="4669" ht="23.85" customHeight="1" spans="1:18">
      <c r="A4669" s="556">
        <f>B4669</f>
        <v>0</v>
      </c>
      <c r="B4669" s="557">
        <f>B4668</f>
        <v>0</v>
      </c>
      <c r="C4669" s="79" t="s">
        <v>2921</v>
      </c>
      <c r="D4669" s="78" t="s">
        <v>3153</v>
      </c>
      <c r="E4669" s="79" t="s">
        <v>139</v>
      </c>
      <c r="F4669" s="79" t="s">
        <v>3154</v>
      </c>
      <c r="G4669" s="79" t="s">
        <v>2928</v>
      </c>
      <c r="H4669" s="79"/>
      <c r="I4669" s="80" t="s">
        <v>2897</v>
      </c>
      <c r="J4669" s="583">
        <v>0.2299</v>
      </c>
      <c r="K4669" s="583">
        <v>0</v>
      </c>
      <c r="L4669" s="92">
        <v>30.6</v>
      </c>
      <c r="M4669" s="92">
        <v>7.03</v>
      </c>
      <c r="N4669" s="573">
        <v>14638</v>
      </c>
      <c r="O4669" s="556" t="str">
        <f>IF(N4669=M4669,"OK","DIF")</f>
        <v>DIF</v>
      </c>
      <c r="P4669" s="573"/>
      <c r="Q4669" s="556"/>
      <c r="R4669" s="582"/>
    </row>
    <row r="4670" ht="35.05" customHeight="1" spans="1:18">
      <c r="A4670" s="556"/>
      <c r="B4670" s="557"/>
      <c r="C4670" s="100" t="s">
        <v>2893</v>
      </c>
      <c r="D4670" s="99" t="s">
        <v>4411</v>
      </c>
      <c r="E4670" s="100" t="s">
        <v>139</v>
      </c>
      <c r="F4670" s="100" t="s">
        <v>4412</v>
      </c>
      <c r="G4670" s="100" t="s">
        <v>2961</v>
      </c>
      <c r="H4670" s="100"/>
      <c r="I4670" s="101" t="s">
        <v>134</v>
      </c>
      <c r="J4670" s="580">
        <v>1</v>
      </c>
      <c r="K4670" s="580">
        <v>0</v>
      </c>
      <c r="L4670" s="102">
        <v>51.03</v>
      </c>
      <c r="M4670" s="102">
        <v>51.03</v>
      </c>
      <c r="N4670" s="573"/>
      <c r="O4670" s="556"/>
      <c r="P4670" s="573"/>
      <c r="Q4670" s="556"/>
      <c r="R4670" s="582"/>
    </row>
    <row r="4671" ht="15" customHeight="1" spans="1:18">
      <c r="A4671" s="556"/>
      <c r="B4671" s="557"/>
      <c r="C4671" s="100" t="s">
        <v>2893</v>
      </c>
      <c r="D4671" s="99" t="s">
        <v>4413</v>
      </c>
      <c r="E4671" s="100" t="s">
        <v>77</v>
      </c>
      <c r="F4671" s="100" t="s">
        <v>4414</v>
      </c>
      <c r="G4671" s="100" t="s">
        <v>2961</v>
      </c>
      <c r="H4671" s="100"/>
      <c r="I4671" s="101" t="s">
        <v>134</v>
      </c>
      <c r="J4671" s="580">
        <v>1</v>
      </c>
      <c r="K4671" s="580">
        <v>0</v>
      </c>
      <c r="L4671" s="102">
        <v>18.44</v>
      </c>
      <c r="M4671" s="102">
        <v>18.44</v>
      </c>
      <c r="N4671" s="573"/>
      <c r="O4671" s="556"/>
      <c r="P4671" s="573"/>
      <c r="Q4671" s="556"/>
      <c r="R4671" s="582"/>
    </row>
    <row r="4672" ht="25.5" spans="1:18">
      <c r="A4672" s="556"/>
      <c r="B4672" s="557" t="str">
        <f>C4671</f>
        <v>Insumo</v>
      </c>
      <c r="C4672" s="108"/>
      <c r="D4672" s="108"/>
      <c r="E4672" s="108"/>
      <c r="F4672" s="108"/>
      <c r="G4672" s="108"/>
      <c r="H4672" s="108" t="s">
        <v>2898</v>
      </c>
      <c r="I4672" s="581">
        <v>19.49</v>
      </c>
      <c r="J4672" s="108" t="s">
        <v>2899</v>
      </c>
      <c r="K4672" s="581">
        <v>0</v>
      </c>
      <c r="L4672" s="108" t="s">
        <v>2900</v>
      </c>
      <c r="M4672" s="581">
        <v>19.49</v>
      </c>
      <c r="N4672" s="573">
        <v>13970.06</v>
      </c>
      <c r="O4672" s="556" t="str">
        <f>IF(N4672=M4672,"OK","DIF")</f>
        <v>DIF</v>
      </c>
      <c r="P4672" s="573"/>
      <c r="Q4672" s="556"/>
      <c r="R4672" s="582"/>
    </row>
    <row r="4673" ht="26.25" spans="1:18">
      <c r="A4673" s="556" t="str">
        <f>B4673</f>
        <v>Insumo</v>
      </c>
      <c r="B4673" s="557" t="str">
        <f>B4672</f>
        <v>Insumo</v>
      </c>
      <c r="C4673" s="108"/>
      <c r="D4673" s="108"/>
      <c r="E4673" s="108"/>
      <c r="F4673" s="108"/>
      <c r="G4673" s="108"/>
      <c r="H4673" s="108" t="s">
        <v>2901</v>
      </c>
      <c r="I4673" s="581">
        <v>24.67</v>
      </c>
      <c r="J4673" s="114"/>
      <c r="K4673" s="114" t="s">
        <v>2902</v>
      </c>
      <c r="L4673" s="108"/>
      <c r="M4673" s="581">
        <v>121.48</v>
      </c>
      <c r="N4673" s="573">
        <v>77.85</v>
      </c>
      <c r="O4673" s="556" t="str">
        <f>IF(N4673=M4673,"OK","DIF")</f>
        <v>DIF</v>
      </c>
      <c r="P4673" s="573"/>
      <c r="Q4673" s="556"/>
      <c r="R4673" s="582"/>
    </row>
    <row r="4674" ht="15" spans="1:18">
      <c r="A4674" s="556" t="str">
        <f>B4674</f>
        <v>Insumo</v>
      </c>
      <c r="B4674" s="557" t="str">
        <f>B4673</f>
        <v>Insumo</v>
      </c>
      <c r="C4674" s="571"/>
      <c r="D4674" s="571"/>
      <c r="E4674" s="571"/>
      <c r="F4674" s="571"/>
      <c r="G4674" s="571"/>
      <c r="H4674" s="571"/>
      <c r="I4674" s="571"/>
      <c r="J4674" s="571"/>
      <c r="K4674" s="571"/>
      <c r="L4674" s="571"/>
      <c r="M4674" s="571"/>
      <c r="N4674" s="573">
        <v>99.21</v>
      </c>
      <c r="O4674" s="556" t="str">
        <f>IF(N4674=M4674,"OK","DIF")</f>
        <v>DIF</v>
      </c>
      <c r="P4674" s="573"/>
      <c r="Q4674" s="556"/>
      <c r="R4674" s="582"/>
    </row>
    <row r="4675" ht="15" customHeight="1" spans="1:18">
      <c r="A4675" s="556" t="str">
        <f>B4675</f>
        <v>Insumo</v>
      </c>
      <c r="B4675" s="557" t="str">
        <f>B4674</f>
        <v>Insumo</v>
      </c>
      <c r="C4675" s="76" t="s">
        <v>1613</v>
      </c>
      <c r="D4675" s="75" t="s">
        <v>63</v>
      </c>
      <c r="E4675" s="76" t="s">
        <v>64</v>
      </c>
      <c r="F4675" s="76" t="s">
        <v>65</v>
      </c>
      <c r="G4675" s="76" t="s">
        <v>2889</v>
      </c>
      <c r="H4675" s="76"/>
      <c r="I4675" s="77" t="s">
        <v>66</v>
      </c>
      <c r="J4675" s="75" t="s">
        <v>67</v>
      </c>
      <c r="K4675" s="75" t="s">
        <v>2890</v>
      </c>
      <c r="L4675" s="75" t="s">
        <v>68</v>
      </c>
      <c r="M4675" s="75" t="s">
        <v>70</v>
      </c>
      <c r="N4675" s="573">
        <v>13793</v>
      </c>
      <c r="O4675" s="556" t="str">
        <f>IF(N4675=M4675,"OK","DIF")</f>
        <v>DIF</v>
      </c>
      <c r="P4675" s="573"/>
      <c r="Q4675" s="556"/>
      <c r="R4675" s="582"/>
    </row>
    <row r="4676" ht="23.85" customHeight="1" spans="1:18">
      <c r="A4676" s="556"/>
      <c r="B4676" s="557"/>
      <c r="C4676" s="569" t="s">
        <v>2891</v>
      </c>
      <c r="D4676" s="570" t="s">
        <v>1614</v>
      </c>
      <c r="E4676" s="569" t="s">
        <v>149</v>
      </c>
      <c r="F4676" s="569" t="s">
        <v>4415</v>
      </c>
      <c r="G4676" s="569" t="s">
        <v>3953</v>
      </c>
      <c r="H4676" s="569"/>
      <c r="I4676" s="577" t="s">
        <v>204</v>
      </c>
      <c r="J4676" s="578">
        <v>1</v>
      </c>
      <c r="K4676" s="579"/>
      <c r="L4676" s="579">
        <v>7.84</v>
      </c>
      <c r="M4676" s="579">
        <v>7.84</v>
      </c>
      <c r="N4676" s="573"/>
      <c r="O4676" s="556"/>
      <c r="P4676" s="573"/>
      <c r="Q4676" s="556"/>
      <c r="R4676" s="582"/>
    </row>
    <row r="4677" ht="15" customHeight="1" spans="1:18">
      <c r="A4677" s="556"/>
      <c r="B4677" s="557"/>
      <c r="C4677" s="100" t="s">
        <v>2893</v>
      </c>
      <c r="D4677" s="99" t="s">
        <v>2976</v>
      </c>
      <c r="E4677" s="100" t="s">
        <v>149</v>
      </c>
      <c r="F4677" s="100" t="s">
        <v>2977</v>
      </c>
      <c r="G4677" s="100" t="s">
        <v>2896</v>
      </c>
      <c r="H4677" s="100"/>
      <c r="I4677" s="101" t="s">
        <v>2897</v>
      </c>
      <c r="J4677" s="580">
        <v>0.05</v>
      </c>
      <c r="K4677" s="580">
        <v>0</v>
      </c>
      <c r="L4677" s="102">
        <v>20.515752</v>
      </c>
      <c r="M4677" s="102">
        <v>1.02</v>
      </c>
      <c r="N4677" s="573"/>
      <c r="O4677" s="556"/>
      <c r="P4677" s="573"/>
      <c r="Q4677" s="556"/>
      <c r="R4677" s="582"/>
    </row>
    <row r="4678" ht="15" customHeight="1" spans="1:18">
      <c r="A4678" s="556"/>
      <c r="B4678" s="557" t="str">
        <f>C4677</f>
        <v>Insumo</v>
      </c>
      <c r="C4678" s="100" t="s">
        <v>2893</v>
      </c>
      <c r="D4678" s="99" t="s">
        <v>2986</v>
      </c>
      <c r="E4678" s="100" t="s">
        <v>149</v>
      </c>
      <c r="F4678" s="100" t="s">
        <v>2987</v>
      </c>
      <c r="G4678" s="100" t="s">
        <v>2896</v>
      </c>
      <c r="H4678" s="100"/>
      <c r="I4678" s="101" t="s">
        <v>2897</v>
      </c>
      <c r="J4678" s="580">
        <v>0.05</v>
      </c>
      <c r="K4678" s="580">
        <v>0</v>
      </c>
      <c r="L4678" s="102">
        <v>26.928256</v>
      </c>
      <c r="M4678" s="102">
        <v>1.34</v>
      </c>
      <c r="N4678" s="573">
        <v>8545.04</v>
      </c>
      <c r="O4678" s="556" t="str">
        <f>IF(N4678=M4678,"OK","DIF")</f>
        <v>DIF</v>
      </c>
      <c r="P4678" s="573"/>
      <c r="Q4678" s="556"/>
      <c r="R4678" s="582"/>
    </row>
    <row r="4679" ht="15" customHeight="1" spans="1:18">
      <c r="A4679" s="556" t="str">
        <f>B4679</f>
        <v>Insumo</v>
      </c>
      <c r="B4679" s="557" t="str">
        <f>B4678</f>
        <v>Insumo</v>
      </c>
      <c r="C4679" s="100" t="s">
        <v>2893</v>
      </c>
      <c r="D4679" s="99" t="s">
        <v>4416</v>
      </c>
      <c r="E4679" s="100" t="s">
        <v>149</v>
      </c>
      <c r="F4679" s="100" t="s">
        <v>4417</v>
      </c>
      <c r="G4679" s="100" t="s">
        <v>2961</v>
      </c>
      <c r="H4679" s="100"/>
      <c r="I4679" s="101" t="s">
        <v>204</v>
      </c>
      <c r="J4679" s="580">
        <v>1.1</v>
      </c>
      <c r="K4679" s="580">
        <v>0</v>
      </c>
      <c r="L4679" s="102">
        <v>4.99</v>
      </c>
      <c r="M4679" s="102">
        <v>5.48</v>
      </c>
      <c r="N4679" s="573">
        <v>66.14</v>
      </c>
      <c r="O4679" s="556" t="str">
        <f>IF(N4679=M4679,"OK","DIF")</f>
        <v>DIF</v>
      </c>
      <c r="P4679" s="573"/>
      <c r="Q4679" s="556"/>
      <c r="R4679" s="582"/>
    </row>
    <row r="4680" ht="25.5" spans="1:18">
      <c r="A4680" s="556" t="str">
        <f>B4680</f>
        <v>Insumo</v>
      </c>
      <c r="B4680" s="557" t="str">
        <f>B4679</f>
        <v>Insumo</v>
      </c>
      <c r="C4680" s="108"/>
      <c r="D4680" s="108"/>
      <c r="E4680" s="108"/>
      <c r="F4680" s="108"/>
      <c r="G4680" s="108"/>
      <c r="H4680" s="108" t="s">
        <v>2898</v>
      </c>
      <c r="I4680" s="581">
        <v>2.36</v>
      </c>
      <c r="J4680" s="108" t="s">
        <v>2899</v>
      </c>
      <c r="K4680" s="581">
        <v>0</v>
      </c>
      <c r="L4680" s="108" t="s">
        <v>2900</v>
      </c>
      <c r="M4680" s="581">
        <v>2.36</v>
      </c>
      <c r="N4680" s="573">
        <v>51.9</v>
      </c>
      <c r="O4680" s="556" t="str">
        <f>IF(N4680=M4680,"OK","DIF")</f>
        <v>DIF</v>
      </c>
      <c r="P4680" s="573"/>
      <c r="Q4680" s="556"/>
      <c r="R4680" s="582"/>
    </row>
    <row r="4681" ht="26.25" spans="1:18">
      <c r="A4681" s="556" t="str">
        <f>B4681</f>
        <v>Insumo</v>
      </c>
      <c r="B4681" s="557" t="str">
        <f>B4680</f>
        <v>Insumo</v>
      </c>
      <c r="C4681" s="108"/>
      <c r="D4681" s="108"/>
      <c r="E4681" s="108"/>
      <c r="F4681" s="108"/>
      <c r="G4681" s="108"/>
      <c r="H4681" s="108" t="s">
        <v>2901</v>
      </c>
      <c r="I4681" s="581">
        <v>1.99</v>
      </c>
      <c r="J4681" s="114"/>
      <c r="K4681" s="114" t="s">
        <v>2902</v>
      </c>
      <c r="L4681" s="108"/>
      <c r="M4681" s="581">
        <v>9.83</v>
      </c>
      <c r="N4681" s="573">
        <v>8427</v>
      </c>
      <c r="O4681" s="556" t="str">
        <f>IF(N4681=M4681,"OK","DIF")</f>
        <v>DIF</v>
      </c>
      <c r="P4681" s="573"/>
      <c r="Q4681" s="556"/>
      <c r="R4681" s="582"/>
    </row>
    <row r="4682" ht="15" spans="1:18">
      <c r="A4682" s="556"/>
      <c r="B4682" s="557"/>
      <c r="C4682" s="571"/>
      <c r="D4682" s="571"/>
      <c r="E4682" s="571"/>
      <c r="F4682" s="571"/>
      <c r="G4682" s="571"/>
      <c r="H4682" s="571"/>
      <c r="I4682" s="571"/>
      <c r="J4682" s="571"/>
      <c r="K4682" s="571"/>
      <c r="L4682" s="571"/>
      <c r="M4682" s="571"/>
      <c r="N4682" s="573"/>
      <c r="O4682" s="556"/>
      <c r="P4682" s="573"/>
      <c r="Q4682" s="556"/>
      <c r="R4682" s="582"/>
    </row>
    <row r="4683" ht="15" customHeight="1" spans="1:18">
      <c r="A4683" s="556"/>
      <c r="B4683" s="557"/>
      <c r="C4683" s="76" t="s">
        <v>1616</v>
      </c>
      <c r="D4683" s="75" t="s">
        <v>63</v>
      </c>
      <c r="E4683" s="76" t="s">
        <v>64</v>
      </c>
      <c r="F4683" s="76" t="s">
        <v>65</v>
      </c>
      <c r="G4683" s="76" t="s">
        <v>2889</v>
      </c>
      <c r="H4683" s="76"/>
      <c r="I4683" s="77" t="s">
        <v>66</v>
      </c>
      <c r="J4683" s="75" t="s">
        <v>67</v>
      </c>
      <c r="K4683" s="75" t="s">
        <v>2890</v>
      </c>
      <c r="L4683" s="75" t="s">
        <v>68</v>
      </c>
      <c r="M4683" s="75" t="s">
        <v>70</v>
      </c>
      <c r="N4683" s="573"/>
      <c r="O4683" s="556"/>
      <c r="P4683" s="573"/>
      <c r="Q4683" s="556"/>
      <c r="R4683" s="582"/>
    </row>
    <row r="4684" ht="23.85" customHeight="1" spans="1:18">
      <c r="A4684" s="556"/>
      <c r="B4684" s="557" t="str">
        <f>C4683</f>
        <v> 12.7.1.10 </v>
      </c>
      <c r="C4684" s="569" t="s">
        <v>2891</v>
      </c>
      <c r="D4684" s="570" t="s">
        <v>1617</v>
      </c>
      <c r="E4684" s="569" t="s">
        <v>149</v>
      </c>
      <c r="F4684" s="569" t="s">
        <v>4418</v>
      </c>
      <c r="G4684" s="569" t="s">
        <v>3953</v>
      </c>
      <c r="H4684" s="569"/>
      <c r="I4684" s="577" t="s">
        <v>204</v>
      </c>
      <c r="J4684" s="578">
        <v>1</v>
      </c>
      <c r="K4684" s="579"/>
      <c r="L4684" s="579">
        <v>25.12</v>
      </c>
      <c r="M4684" s="579">
        <v>25.12</v>
      </c>
      <c r="N4684" s="573">
        <v>9078.04</v>
      </c>
      <c r="O4684" s="556" t="str">
        <f>IF(N4684=M4684,"OK","DIF")</f>
        <v>DIF</v>
      </c>
      <c r="P4684" s="573"/>
      <c r="Q4684" s="556"/>
      <c r="R4684" s="582"/>
    </row>
    <row r="4685" ht="15" customHeight="1" spans="1:18">
      <c r="A4685" s="556" t="str">
        <f>B4685</f>
        <v> 12.7.1.10 </v>
      </c>
      <c r="B4685" s="557" t="str">
        <f>B4684</f>
        <v> 12.7.1.10 </v>
      </c>
      <c r="C4685" s="100" t="s">
        <v>2893</v>
      </c>
      <c r="D4685" s="99" t="s">
        <v>2986</v>
      </c>
      <c r="E4685" s="100" t="s">
        <v>149</v>
      </c>
      <c r="F4685" s="100" t="s">
        <v>2987</v>
      </c>
      <c r="G4685" s="100" t="s">
        <v>2896</v>
      </c>
      <c r="H4685" s="100"/>
      <c r="I4685" s="101" t="s">
        <v>2897</v>
      </c>
      <c r="J4685" s="580">
        <v>0.361</v>
      </c>
      <c r="K4685" s="580">
        <v>0</v>
      </c>
      <c r="L4685" s="102">
        <v>26.928256</v>
      </c>
      <c r="M4685" s="102">
        <v>9.72</v>
      </c>
      <c r="N4685" s="573">
        <v>66.14</v>
      </c>
      <c r="O4685" s="556" t="str">
        <f>IF(N4685=M4685,"OK","DIF")</f>
        <v>DIF</v>
      </c>
      <c r="P4685" s="573"/>
      <c r="Q4685" s="556"/>
      <c r="R4685" s="582"/>
    </row>
    <row r="4686" ht="15" customHeight="1" spans="1:18">
      <c r="A4686" s="556" t="str">
        <f>B4686</f>
        <v> 12.7.1.10 </v>
      </c>
      <c r="B4686" s="557" t="str">
        <f>B4685</f>
        <v> 12.7.1.10 </v>
      </c>
      <c r="C4686" s="100" t="s">
        <v>2893</v>
      </c>
      <c r="D4686" s="99" t="s">
        <v>4419</v>
      </c>
      <c r="E4686" s="100" t="s">
        <v>149</v>
      </c>
      <c r="F4686" s="100" t="s">
        <v>4420</v>
      </c>
      <c r="G4686" s="100" t="s">
        <v>2961</v>
      </c>
      <c r="H4686" s="100"/>
      <c r="I4686" s="101" t="s">
        <v>204</v>
      </c>
      <c r="J4686" s="580">
        <v>1</v>
      </c>
      <c r="K4686" s="580">
        <v>0</v>
      </c>
      <c r="L4686" s="102">
        <v>8</v>
      </c>
      <c r="M4686" s="102">
        <v>8</v>
      </c>
      <c r="N4686" s="573">
        <v>51.9</v>
      </c>
      <c r="O4686" s="556" t="str">
        <f>IF(N4686=M4686,"OK","DIF")</f>
        <v>DIF</v>
      </c>
      <c r="P4686" s="573"/>
      <c r="Q4686" s="556"/>
      <c r="R4686" s="582"/>
    </row>
    <row r="4687" ht="15" customHeight="1" spans="1:18">
      <c r="A4687" s="556" t="str">
        <f>B4687</f>
        <v> 12.7.1.10 </v>
      </c>
      <c r="B4687" s="557" t="str">
        <f>B4686</f>
        <v> 12.7.1.10 </v>
      </c>
      <c r="C4687" s="100" t="s">
        <v>2893</v>
      </c>
      <c r="D4687" s="99" t="s">
        <v>2976</v>
      </c>
      <c r="E4687" s="100" t="s">
        <v>149</v>
      </c>
      <c r="F4687" s="100" t="s">
        <v>2977</v>
      </c>
      <c r="G4687" s="100" t="s">
        <v>2896</v>
      </c>
      <c r="H4687" s="100"/>
      <c r="I4687" s="101" t="s">
        <v>2897</v>
      </c>
      <c r="J4687" s="580">
        <v>0.361</v>
      </c>
      <c r="K4687" s="580">
        <v>0</v>
      </c>
      <c r="L4687" s="102">
        <v>20.515752</v>
      </c>
      <c r="M4687" s="102">
        <v>7.4</v>
      </c>
      <c r="N4687" s="573">
        <v>8960</v>
      </c>
      <c r="O4687" s="556" t="str">
        <f>IF(N4687=M4687,"OK","DIF")</f>
        <v>DIF</v>
      </c>
      <c r="P4687" s="573"/>
      <c r="Q4687" s="556"/>
      <c r="R4687" s="582"/>
    </row>
    <row r="4688" ht="25.5" spans="1:18">
      <c r="A4688" s="556"/>
      <c r="B4688" s="557"/>
      <c r="C4688" s="108"/>
      <c r="D4688" s="108"/>
      <c r="E4688" s="108"/>
      <c r="F4688" s="108"/>
      <c r="G4688" s="108"/>
      <c r="H4688" s="108" t="s">
        <v>2898</v>
      </c>
      <c r="I4688" s="581">
        <v>17.12</v>
      </c>
      <c r="J4688" s="108" t="s">
        <v>2899</v>
      </c>
      <c r="K4688" s="581">
        <v>0</v>
      </c>
      <c r="L4688" s="108" t="s">
        <v>2900</v>
      </c>
      <c r="M4688" s="581">
        <v>17.12</v>
      </c>
      <c r="N4688" s="573"/>
      <c r="O4688" s="556"/>
      <c r="P4688" s="573"/>
      <c r="Q4688" s="556"/>
      <c r="R4688" s="582"/>
    </row>
    <row r="4689" ht="26.25" spans="1:18">
      <c r="A4689" s="556"/>
      <c r="B4689" s="557"/>
      <c r="C4689" s="108"/>
      <c r="D4689" s="108"/>
      <c r="E4689" s="108"/>
      <c r="F4689" s="108"/>
      <c r="G4689" s="108"/>
      <c r="H4689" s="108" t="s">
        <v>2901</v>
      </c>
      <c r="I4689" s="581">
        <v>6.4</v>
      </c>
      <c r="J4689" s="114"/>
      <c r="K4689" s="114" t="s">
        <v>2902</v>
      </c>
      <c r="L4689" s="108"/>
      <c r="M4689" s="581">
        <v>31.52</v>
      </c>
      <c r="N4689" s="573"/>
      <c r="O4689" s="556"/>
      <c r="P4689" s="573"/>
      <c r="Q4689" s="556"/>
      <c r="R4689" s="582"/>
    </row>
    <row r="4690" ht="15" spans="1:18">
      <c r="A4690" s="556"/>
      <c r="B4690" s="557">
        <f>C4689</f>
        <v>0</v>
      </c>
      <c r="C4690" s="571"/>
      <c r="D4690" s="571"/>
      <c r="E4690" s="571"/>
      <c r="F4690" s="571"/>
      <c r="G4690" s="571"/>
      <c r="H4690" s="571"/>
      <c r="I4690" s="571"/>
      <c r="J4690" s="571"/>
      <c r="K4690" s="571"/>
      <c r="L4690" s="571"/>
      <c r="M4690" s="571"/>
      <c r="N4690" s="573">
        <v>170.6</v>
      </c>
      <c r="O4690" s="556" t="str">
        <f>IF(N4690=M4690,"OK","DIF")</f>
        <v>DIF</v>
      </c>
      <c r="P4690" s="573"/>
      <c r="Q4690" s="556"/>
      <c r="R4690" s="582"/>
    </row>
    <row r="4691" ht="15" customHeight="1" spans="1:18">
      <c r="A4691" s="556">
        <f>B4691</f>
        <v>0</v>
      </c>
      <c r="B4691" s="557">
        <f>B4690</f>
        <v>0</v>
      </c>
      <c r="C4691" s="76" t="s">
        <v>1619</v>
      </c>
      <c r="D4691" s="75" t="s">
        <v>63</v>
      </c>
      <c r="E4691" s="76" t="s">
        <v>64</v>
      </c>
      <c r="F4691" s="76" t="s">
        <v>65</v>
      </c>
      <c r="G4691" s="76" t="s">
        <v>2889</v>
      </c>
      <c r="H4691" s="76"/>
      <c r="I4691" s="77" t="s">
        <v>66</v>
      </c>
      <c r="J4691" s="75" t="s">
        <v>67</v>
      </c>
      <c r="K4691" s="75" t="s">
        <v>2890</v>
      </c>
      <c r="L4691" s="75" t="s">
        <v>68</v>
      </c>
      <c r="M4691" s="75" t="s">
        <v>70</v>
      </c>
      <c r="N4691" s="573">
        <v>25.17</v>
      </c>
      <c r="O4691" s="556" t="str">
        <f>IF(N4691=M4691,"OK","DIF")</f>
        <v>DIF</v>
      </c>
      <c r="P4691" s="573"/>
      <c r="Q4691" s="556"/>
      <c r="R4691" s="582"/>
    </row>
    <row r="4692" ht="38.25" spans="1:18">
      <c r="A4692" s="556">
        <f>B4692</f>
        <v>0</v>
      </c>
      <c r="B4692" s="557">
        <f>B4691</f>
        <v>0</v>
      </c>
      <c r="C4692" s="569" t="s">
        <v>2891</v>
      </c>
      <c r="D4692" s="570" t="s">
        <v>1620</v>
      </c>
      <c r="E4692" s="569" t="s">
        <v>132</v>
      </c>
      <c r="F4692" s="569" t="s">
        <v>1621</v>
      </c>
      <c r="G4692" s="569">
        <v>63</v>
      </c>
      <c r="H4692" s="569"/>
      <c r="I4692" s="577" t="s">
        <v>134</v>
      </c>
      <c r="J4692" s="578">
        <v>1</v>
      </c>
      <c r="K4692" s="579"/>
      <c r="L4692" s="579">
        <v>36.85</v>
      </c>
      <c r="M4692" s="579">
        <v>36.85</v>
      </c>
      <c r="N4692" s="573">
        <v>62.92</v>
      </c>
      <c r="O4692" s="556" t="str">
        <f>IF(N4692=M4692,"OK","DIF")</f>
        <v>DIF</v>
      </c>
      <c r="P4692" s="573"/>
      <c r="Q4692" s="556"/>
      <c r="R4692" s="582"/>
    </row>
    <row r="4693" ht="23.85" customHeight="1" spans="1:18">
      <c r="A4693" s="556">
        <f>B4693</f>
        <v>0</v>
      </c>
      <c r="B4693" s="557">
        <f>B4692</f>
        <v>0</v>
      </c>
      <c r="C4693" s="79" t="s">
        <v>2921</v>
      </c>
      <c r="D4693" s="78" t="s">
        <v>3153</v>
      </c>
      <c r="E4693" s="79" t="s">
        <v>139</v>
      </c>
      <c r="F4693" s="79" t="s">
        <v>3154</v>
      </c>
      <c r="G4693" s="79" t="s">
        <v>2928</v>
      </c>
      <c r="H4693" s="79"/>
      <c r="I4693" s="80" t="s">
        <v>2897</v>
      </c>
      <c r="J4693" s="583">
        <v>0.425</v>
      </c>
      <c r="K4693" s="583">
        <v>0</v>
      </c>
      <c r="L4693" s="92">
        <v>30.6</v>
      </c>
      <c r="M4693" s="92">
        <v>13</v>
      </c>
      <c r="N4693" s="573">
        <v>82.51</v>
      </c>
      <c r="O4693" s="556" t="str">
        <f>IF(N4693=M4693,"OK","DIF")</f>
        <v>DIF</v>
      </c>
      <c r="P4693" s="573"/>
      <c r="Q4693" s="556"/>
      <c r="R4693" s="582"/>
    </row>
    <row r="4694" ht="23.85" customHeight="1" spans="1:18">
      <c r="A4694" s="556"/>
      <c r="B4694" s="557"/>
      <c r="C4694" s="79" t="s">
        <v>2921</v>
      </c>
      <c r="D4694" s="78" t="s">
        <v>3151</v>
      </c>
      <c r="E4694" s="79" t="s">
        <v>139</v>
      </c>
      <c r="F4694" s="79" t="s">
        <v>3152</v>
      </c>
      <c r="G4694" s="79" t="s">
        <v>2928</v>
      </c>
      <c r="H4694" s="79"/>
      <c r="I4694" s="80" t="s">
        <v>2897</v>
      </c>
      <c r="J4694" s="583">
        <v>0.425</v>
      </c>
      <c r="K4694" s="583">
        <v>0</v>
      </c>
      <c r="L4694" s="92">
        <v>36.82</v>
      </c>
      <c r="M4694" s="92">
        <v>15.64</v>
      </c>
      <c r="N4694" s="573"/>
      <c r="O4694" s="556"/>
      <c r="P4694" s="573"/>
      <c r="Q4694" s="556"/>
      <c r="R4694" s="582"/>
    </row>
    <row r="4695" ht="15" customHeight="1" spans="1:18">
      <c r="A4695" s="556"/>
      <c r="B4695" s="557"/>
      <c r="C4695" s="100" t="s">
        <v>2893</v>
      </c>
      <c r="D4695" s="99" t="s">
        <v>4421</v>
      </c>
      <c r="E4695" s="100" t="s">
        <v>149</v>
      </c>
      <c r="F4695" s="100" t="s">
        <v>4422</v>
      </c>
      <c r="G4695" s="100" t="s">
        <v>2961</v>
      </c>
      <c r="H4695" s="100"/>
      <c r="I4695" s="101" t="s">
        <v>134</v>
      </c>
      <c r="J4695" s="580">
        <v>1</v>
      </c>
      <c r="K4695" s="580">
        <v>0</v>
      </c>
      <c r="L4695" s="102">
        <v>8.21</v>
      </c>
      <c r="M4695" s="102">
        <v>8.21</v>
      </c>
      <c r="N4695" s="573"/>
      <c r="O4695" s="556"/>
      <c r="P4695" s="573"/>
      <c r="Q4695" s="556"/>
      <c r="R4695" s="582"/>
    </row>
    <row r="4696" ht="25.5" spans="1:18">
      <c r="A4696" s="556"/>
      <c r="B4696" s="557"/>
      <c r="C4696" s="108"/>
      <c r="D4696" s="108"/>
      <c r="E4696" s="108"/>
      <c r="F4696" s="108"/>
      <c r="G4696" s="108"/>
      <c r="H4696" s="108" t="s">
        <v>2898</v>
      </c>
      <c r="I4696" s="581">
        <v>20.1</v>
      </c>
      <c r="J4696" s="108" t="s">
        <v>2899</v>
      </c>
      <c r="K4696" s="581">
        <v>0</v>
      </c>
      <c r="L4696" s="108" t="s">
        <v>2900</v>
      </c>
      <c r="M4696" s="581">
        <v>20.1</v>
      </c>
      <c r="N4696" s="573"/>
      <c r="O4696" s="556"/>
      <c r="P4696" s="573"/>
      <c r="Q4696" s="556"/>
      <c r="R4696" s="582"/>
    </row>
    <row r="4697" ht="26.25" spans="1:18">
      <c r="A4697" s="556"/>
      <c r="B4697" s="557">
        <f>C4696</f>
        <v>0</v>
      </c>
      <c r="C4697" s="108"/>
      <c r="D4697" s="108"/>
      <c r="E4697" s="108"/>
      <c r="F4697" s="108"/>
      <c r="G4697" s="108"/>
      <c r="H4697" s="108" t="s">
        <v>2901</v>
      </c>
      <c r="I4697" s="581">
        <v>9.39</v>
      </c>
      <c r="J4697" s="114"/>
      <c r="K4697" s="114" t="s">
        <v>2902</v>
      </c>
      <c r="L4697" s="108"/>
      <c r="M4697" s="581">
        <v>46.24</v>
      </c>
      <c r="N4697" s="573">
        <v>42.32</v>
      </c>
      <c r="O4697" s="556" t="str">
        <f>IF(N4697=M4697,"OK","DIF")</f>
        <v>DIF</v>
      </c>
      <c r="P4697" s="573"/>
      <c r="Q4697" s="556"/>
      <c r="R4697" s="582"/>
    </row>
    <row r="4698" ht="15" spans="1:18">
      <c r="A4698" s="556">
        <f>B4698</f>
        <v>0</v>
      </c>
      <c r="B4698" s="557">
        <f>B4697</f>
        <v>0</v>
      </c>
      <c r="C4698" s="571"/>
      <c r="D4698" s="571"/>
      <c r="E4698" s="571"/>
      <c r="F4698" s="571"/>
      <c r="G4698" s="571"/>
      <c r="H4698" s="571"/>
      <c r="I4698" s="571"/>
      <c r="J4698" s="571"/>
      <c r="K4698" s="571"/>
      <c r="L4698" s="571"/>
      <c r="M4698" s="571"/>
      <c r="N4698" s="573">
        <v>7.79</v>
      </c>
      <c r="O4698" s="556" t="str">
        <f>IF(N4698=M4698,"OK","DIF")</f>
        <v>DIF</v>
      </c>
      <c r="P4698" s="573"/>
      <c r="Q4698" s="556"/>
      <c r="R4698" s="582"/>
    </row>
    <row r="4699" ht="15" customHeight="1" spans="1:18">
      <c r="A4699" s="556">
        <f>B4699</f>
        <v>0</v>
      </c>
      <c r="B4699" s="557">
        <f>B4698</f>
        <v>0</v>
      </c>
      <c r="C4699" s="76" t="s">
        <v>1622</v>
      </c>
      <c r="D4699" s="75" t="s">
        <v>63</v>
      </c>
      <c r="E4699" s="76" t="s">
        <v>64</v>
      </c>
      <c r="F4699" s="76" t="s">
        <v>65</v>
      </c>
      <c r="G4699" s="76" t="s">
        <v>2889</v>
      </c>
      <c r="H4699" s="76"/>
      <c r="I4699" s="77" t="s">
        <v>66</v>
      </c>
      <c r="J4699" s="75" t="s">
        <v>67</v>
      </c>
      <c r="K4699" s="75" t="s">
        <v>2890</v>
      </c>
      <c r="L4699" s="75" t="s">
        <v>68</v>
      </c>
      <c r="M4699" s="75" t="s">
        <v>70</v>
      </c>
      <c r="N4699" s="573">
        <v>9.61</v>
      </c>
      <c r="O4699" s="556" t="str">
        <f>IF(N4699=M4699,"OK","DIF")</f>
        <v>DIF</v>
      </c>
      <c r="P4699" s="573"/>
      <c r="Q4699" s="556"/>
      <c r="R4699" s="582"/>
    </row>
    <row r="4700" ht="35.05" customHeight="1" spans="1:18">
      <c r="A4700" s="556">
        <f>B4700</f>
        <v>0</v>
      </c>
      <c r="B4700" s="557">
        <f>B4699</f>
        <v>0</v>
      </c>
      <c r="C4700" s="569" t="s">
        <v>2891</v>
      </c>
      <c r="D4700" s="570" t="s">
        <v>1623</v>
      </c>
      <c r="E4700" s="569" t="s">
        <v>132</v>
      </c>
      <c r="F4700" s="569" t="s">
        <v>1624</v>
      </c>
      <c r="G4700" s="569" t="s">
        <v>3177</v>
      </c>
      <c r="H4700" s="569"/>
      <c r="I4700" s="577" t="s">
        <v>334</v>
      </c>
      <c r="J4700" s="578">
        <v>1</v>
      </c>
      <c r="K4700" s="579"/>
      <c r="L4700" s="579">
        <v>6.56</v>
      </c>
      <c r="M4700" s="579">
        <v>6.56</v>
      </c>
      <c r="N4700" s="573">
        <v>24.92</v>
      </c>
      <c r="O4700" s="556" t="str">
        <f>IF(N4700=M4700,"OK","DIF")</f>
        <v>DIF</v>
      </c>
      <c r="P4700" s="573"/>
      <c r="Q4700" s="556"/>
      <c r="R4700" s="582"/>
    </row>
    <row r="4701" ht="23.85" customHeight="1" spans="1:18">
      <c r="A4701" s="556"/>
      <c r="B4701" s="557"/>
      <c r="C4701" s="79" t="s">
        <v>2921</v>
      </c>
      <c r="D4701" s="78" t="s">
        <v>3153</v>
      </c>
      <c r="E4701" s="79" t="s">
        <v>139</v>
      </c>
      <c r="F4701" s="79" t="s">
        <v>3154</v>
      </c>
      <c r="G4701" s="79" t="s">
        <v>2928</v>
      </c>
      <c r="H4701" s="79"/>
      <c r="I4701" s="80" t="s">
        <v>2897</v>
      </c>
      <c r="J4701" s="583">
        <v>0.03</v>
      </c>
      <c r="K4701" s="583">
        <v>0</v>
      </c>
      <c r="L4701" s="92">
        <v>30.6</v>
      </c>
      <c r="M4701" s="92">
        <v>0.91</v>
      </c>
      <c r="N4701" s="573"/>
      <c r="O4701" s="556"/>
      <c r="P4701" s="573"/>
      <c r="Q4701" s="556"/>
      <c r="R4701" s="582"/>
    </row>
    <row r="4702" ht="23.85" customHeight="1" spans="1:18">
      <c r="A4702" s="556"/>
      <c r="B4702" s="557"/>
      <c r="C4702" s="79" t="s">
        <v>2921</v>
      </c>
      <c r="D4702" s="78" t="s">
        <v>3151</v>
      </c>
      <c r="E4702" s="79" t="s">
        <v>139</v>
      </c>
      <c r="F4702" s="79" t="s">
        <v>3152</v>
      </c>
      <c r="G4702" s="79" t="s">
        <v>2928</v>
      </c>
      <c r="H4702" s="79"/>
      <c r="I4702" s="80" t="s">
        <v>2897</v>
      </c>
      <c r="J4702" s="583">
        <v>0.06</v>
      </c>
      <c r="K4702" s="583">
        <v>0</v>
      </c>
      <c r="L4702" s="92">
        <v>36.82</v>
      </c>
      <c r="M4702" s="92">
        <v>2.2</v>
      </c>
      <c r="N4702" s="573"/>
      <c r="O4702" s="556"/>
      <c r="P4702" s="573"/>
      <c r="Q4702" s="556"/>
      <c r="R4702" s="582"/>
    </row>
    <row r="4703" ht="15" customHeight="1" spans="1:18">
      <c r="A4703" s="556"/>
      <c r="B4703" s="557" t="str">
        <f>C4702</f>
        <v>Composição Auxiliar</v>
      </c>
      <c r="C4703" s="100" t="s">
        <v>2893</v>
      </c>
      <c r="D4703" s="99" t="s">
        <v>4423</v>
      </c>
      <c r="E4703" s="100" t="s">
        <v>132</v>
      </c>
      <c r="F4703" s="100" t="s">
        <v>4424</v>
      </c>
      <c r="G4703" s="100" t="s">
        <v>2961</v>
      </c>
      <c r="H4703" s="100"/>
      <c r="I4703" s="101" t="s">
        <v>134</v>
      </c>
      <c r="J4703" s="580">
        <v>1</v>
      </c>
      <c r="K4703" s="580">
        <v>0</v>
      </c>
      <c r="L4703" s="102">
        <v>3.45</v>
      </c>
      <c r="M4703" s="102">
        <v>3.45</v>
      </c>
      <c r="N4703" s="573">
        <v>83.5</v>
      </c>
      <c r="O4703" s="556" t="str">
        <f>IF(N4703=M4703,"OK","DIF")</f>
        <v>DIF</v>
      </c>
      <c r="P4703" s="573"/>
      <c r="Q4703" s="556"/>
      <c r="R4703" s="582"/>
    </row>
    <row r="4704" ht="25.5" spans="1:18">
      <c r="A4704" s="556" t="str">
        <f>B4704</f>
        <v>Composição Auxiliar</v>
      </c>
      <c r="B4704" s="557" t="str">
        <f>B4703</f>
        <v>Composição Auxiliar</v>
      </c>
      <c r="C4704" s="108"/>
      <c r="D4704" s="108"/>
      <c r="E4704" s="108"/>
      <c r="F4704" s="108"/>
      <c r="G4704" s="108"/>
      <c r="H4704" s="108" t="s">
        <v>2898</v>
      </c>
      <c r="I4704" s="581">
        <v>2.21</v>
      </c>
      <c r="J4704" s="108" t="s">
        <v>2899</v>
      </c>
      <c r="K4704" s="581">
        <v>0</v>
      </c>
      <c r="L4704" s="108" t="s">
        <v>2900</v>
      </c>
      <c r="M4704" s="581">
        <v>2.21</v>
      </c>
      <c r="N4704" s="573">
        <v>9.32</v>
      </c>
      <c r="O4704" s="556" t="str">
        <f>IF(N4704=M4704,"OK","DIF")</f>
        <v>DIF</v>
      </c>
      <c r="P4704" s="573"/>
      <c r="Q4704" s="556"/>
      <c r="R4704" s="582"/>
    </row>
    <row r="4705" ht="26.25" spans="1:18">
      <c r="A4705" s="556" t="str">
        <f>B4705</f>
        <v>Composição Auxiliar</v>
      </c>
      <c r="B4705" s="557" t="str">
        <f>B4704</f>
        <v>Composição Auxiliar</v>
      </c>
      <c r="C4705" s="108"/>
      <c r="D4705" s="108"/>
      <c r="E4705" s="108"/>
      <c r="F4705" s="108"/>
      <c r="G4705" s="108"/>
      <c r="H4705" s="108" t="s">
        <v>2901</v>
      </c>
      <c r="I4705" s="581">
        <v>1.67</v>
      </c>
      <c r="J4705" s="114"/>
      <c r="K4705" s="114" t="s">
        <v>2902</v>
      </c>
      <c r="L4705" s="108"/>
      <c r="M4705" s="581">
        <v>8.23</v>
      </c>
      <c r="N4705" s="573">
        <v>67</v>
      </c>
      <c r="O4705" s="556" t="str">
        <f>IF(N4705=M4705,"OK","DIF")</f>
        <v>DIF</v>
      </c>
      <c r="P4705" s="573"/>
      <c r="Q4705" s="556"/>
      <c r="R4705" s="582"/>
    </row>
    <row r="4706" ht="15" spans="1:18">
      <c r="A4706" s="556" t="str">
        <f>B4706</f>
        <v>Composição Auxiliar</v>
      </c>
      <c r="B4706" s="557" t="str">
        <f>B4705</f>
        <v>Composição Auxiliar</v>
      </c>
      <c r="C4706" s="571"/>
      <c r="D4706" s="571"/>
      <c r="E4706" s="571"/>
      <c r="F4706" s="571"/>
      <c r="G4706" s="571"/>
      <c r="H4706" s="571"/>
      <c r="I4706" s="571"/>
      <c r="J4706" s="571"/>
      <c r="K4706" s="571"/>
      <c r="L4706" s="571"/>
      <c r="M4706" s="571"/>
      <c r="N4706" s="573">
        <v>7.1</v>
      </c>
      <c r="O4706" s="556" t="str">
        <f>IF(N4706=M4706,"OK","DIF")</f>
        <v>DIF</v>
      </c>
      <c r="P4706" s="573"/>
      <c r="Q4706" s="556"/>
      <c r="R4706" s="582"/>
    </row>
    <row r="4707" ht="15" customHeight="1" spans="1:18">
      <c r="A4707" s="556" t="str">
        <f>B4707</f>
        <v>Composição Auxiliar</v>
      </c>
      <c r="B4707" s="557" t="str">
        <f>B4706</f>
        <v>Composição Auxiliar</v>
      </c>
      <c r="C4707" s="76" t="s">
        <v>1627</v>
      </c>
      <c r="D4707" s="75" t="s">
        <v>63</v>
      </c>
      <c r="E4707" s="76" t="s">
        <v>64</v>
      </c>
      <c r="F4707" s="76" t="s">
        <v>65</v>
      </c>
      <c r="G4707" s="76" t="s">
        <v>2889</v>
      </c>
      <c r="H4707" s="76"/>
      <c r="I4707" s="77" t="s">
        <v>66</v>
      </c>
      <c r="J4707" s="75" t="s">
        <v>67</v>
      </c>
      <c r="K4707" s="75" t="s">
        <v>2890</v>
      </c>
      <c r="L4707" s="75" t="s">
        <v>68</v>
      </c>
      <c r="M4707" s="75" t="s">
        <v>70</v>
      </c>
      <c r="N4707" s="573">
        <v>0.08</v>
      </c>
      <c r="O4707" s="556" t="str">
        <f>IF(N4707=M4707,"OK","DIF")</f>
        <v>DIF</v>
      </c>
      <c r="P4707" s="573"/>
      <c r="Q4707" s="556"/>
      <c r="R4707" s="582"/>
    </row>
    <row r="4708" ht="35.05" customHeight="1" spans="1:18">
      <c r="A4708" s="556"/>
      <c r="B4708" s="557"/>
      <c r="C4708" s="569" t="s">
        <v>2891</v>
      </c>
      <c r="D4708" s="570" t="s">
        <v>1628</v>
      </c>
      <c r="E4708" s="569" t="s">
        <v>796</v>
      </c>
      <c r="F4708" s="569" t="s">
        <v>1629</v>
      </c>
      <c r="G4708" s="569" t="s">
        <v>3774</v>
      </c>
      <c r="H4708" s="569"/>
      <c r="I4708" s="577" t="s">
        <v>334</v>
      </c>
      <c r="J4708" s="578">
        <v>1</v>
      </c>
      <c r="K4708" s="579"/>
      <c r="L4708" s="579">
        <v>218.25</v>
      </c>
      <c r="M4708" s="579">
        <v>218.25</v>
      </c>
      <c r="N4708" s="573"/>
      <c r="O4708" s="556"/>
      <c r="P4708" s="573"/>
      <c r="Q4708" s="556"/>
      <c r="R4708" s="582"/>
    </row>
    <row r="4709" ht="35.05" customHeight="1" spans="1:18">
      <c r="A4709" s="556"/>
      <c r="B4709" s="557"/>
      <c r="C4709" s="100" t="s">
        <v>2893</v>
      </c>
      <c r="D4709" s="99" t="s">
        <v>3713</v>
      </c>
      <c r="E4709" s="100" t="s">
        <v>796</v>
      </c>
      <c r="F4709" s="100" t="s">
        <v>3714</v>
      </c>
      <c r="G4709" s="100" t="s">
        <v>3715</v>
      </c>
      <c r="H4709" s="100"/>
      <c r="I4709" s="101" t="s">
        <v>3716</v>
      </c>
      <c r="J4709" s="580">
        <v>211.9</v>
      </c>
      <c r="K4709" s="580">
        <v>3</v>
      </c>
      <c r="L4709" s="102">
        <v>1</v>
      </c>
      <c r="M4709" s="102">
        <v>6.35</v>
      </c>
      <c r="N4709" s="573"/>
      <c r="O4709" s="556"/>
      <c r="P4709" s="573"/>
      <c r="Q4709" s="556"/>
      <c r="R4709" s="582"/>
    </row>
    <row r="4710" ht="15" customHeight="1" spans="1:18">
      <c r="A4710" s="556"/>
      <c r="B4710" s="557" t="str">
        <f>C4709</f>
        <v>Insumo</v>
      </c>
      <c r="C4710" s="100" t="s">
        <v>2893</v>
      </c>
      <c r="D4710" s="99" t="s">
        <v>4294</v>
      </c>
      <c r="E4710" s="100" t="s">
        <v>796</v>
      </c>
      <c r="F4710" s="100" t="s">
        <v>4295</v>
      </c>
      <c r="G4710" s="100" t="s">
        <v>2896</v>
      </c>
      <c r="H4710" s="100"/>
      <c r="I4710" s="101" t="s">
        <v>3707</v>
      </c>
      <c r="J4710" s="580">
        <v>10</v>
      </c>
      <c r="K4710" s="580">
        <v>0</v>
      </c>
      <c r="L4710" s="102">
        <v>21.19</v>
      </c>
      <c r="M4710" s="102">
        <v>211.9</v>
      </c>
      <c r="N4710" s="573">
        <v>34.61</v>
      </c>
      <c r="O4710" s="556" t="str">
        <f>IF(N4710=M4710,"OK","DIF")</f>
        <v>DIF</v>
      </c>
      <c r="P4710" s="573"/>
      <c r="Q4710" s="556"/>
      <c r="R4710" s="582"/>
    </row>
    <row r="4711" ht="25.5" spans="1:18">
      <c r="A4711" s="556" t="str">
        <f>B4711</f>
        <v>Insumo</v>
      </c>
      <c r="B4711" s="557" t="str">
        <f>B4710</f>
        <v>Insumo</v>
      </c>
      <c r="C4711" s="108"/>
      <c r="D4711" s="108"/>
      <c r="E4711" s="108"/>
      <c r="F4711" s="108"/>
      <c r="G4711" s="108"/>
      <c r="H4711" s="108" t="s">
        <v>2898</v>
      </c>
      <c r="I4711" s="581">
        <v>211.9</v>
      </c>
      <c r="J4711" s="108" t="s">
        <v>2899</v>
      </c>
      <c r="K4711" s="581">
        <v>0</v>
      </c>
      <c r="L4711" s="108" t="s">
        <v>2900</v>
      </c>
      <c r="M4711" s="581">
        <v>211.9</v>
      </c>
      <c r="N4711" s="573">
        <v>2.32</v>
      </c>
      <c r="O4711" s="556" t="str">
        <f>IF(N4711=M4711,"OK","DIF")</f>
        <v>DIF</v>
      </c>
      <c r="P4711" s="573"/>
      <c r="Q4711" s="556"/>
      <c r="R4711" s="582"/>
    </row>
    <row r="4712" ht="26.25" spans="1:18">
      <c r="A4712" s="556" t="str">
        <f>B4712</f>
        <v>Insumo</v>
      </c>
      <c r="B4712" s="557" t="str">
        <f>B4711</f>
        <v>Insumo</v>
      </c>
      <c r="C4712" s="108"/>
      <c r="D4712" s="108"/>
      <c r="E4712" s="108"/>
      <c r="F4712" s="108"/>
      <c r="G4712" s="108"/>
      <c r="H4712" s="108" t="s">
        <v>2901</v>
      </c>
      <c r="I4712" s="581">
        <v>55.63</v>
      </c>
      <c r="J4712" s="114"/>
      <c r="K4712" s="114" t="s">
        <v>2902</v>
      </c>
      <c r="L4712" s="108"/>
      <c r="M4712" s="581">
        <v>273.88</v>
      </c>
      <c r="N4712" s="573">
        <v>1.88</v>
      </c>
      <c r="O4712" s="556" t="str">
        <f>IF(N4712=M4712,"OK","DIF")</f>
        <v>DIF</v>
      </c>
      <c r="P4712" s="573"/>
      <c r="Q4712" s="556"/>
      <c r="R4712" s="582"/>
    </row>
    <row r="4713" ht="15" spans="1:18">
      <c r="A4713" s="556" t="str">
        <f>B4713</f>
        <v>Insumo</v>
      </c>
      <c r="B4713" s="557" t="str">
        <f>B4712</f>
        <v>Insumo</v>
      </c>
      <c r="C4713" s="571"/>
      <c r="D4713" s="571"/>
      <c r="E4713" s="571"/>
      <c r="F4713" s="571"/>
      <c r="G4713" s="571"/>
      <c r="H4713" s="571"/>
      <c r="I4713" s="571"/>
      <c r="J4713" s="571"/>
      <c r="K4713" s="571"/>
      <c r="L4713" s="571"/>
      <c r="M4713" s="571"/>
      <c r="N4713" s="573">
        <v>0.09</v>
      </c>
      <c r="O4713" s="556" t="str">
        <f>IF(N4713=M4713,"OK","DIF")</f>
        <v>DIF</v>
      </c>
      <c r="P4713" s="573"/>
      <c r="Q4713" s="556"/>
      <c r="R4713" s="582"/>
    </row>
    <row r="4714" ht="15" customHeight="1" spans="1:18">
      <c r="A4714" s="556" t="str">
        <f>B4714</f>
        <v>Insumo</v>
      </c>
      <c r="B4714" s="557" t="str">
        <f>B4713</f>
        <v>Insumo</v>
      </c>
      <c r="C4714" s="76" t="s">
        <v>1630</v>
      </c>
      <c r="D4714" s="75" t="s">
        <v>63</v>
      </c>
      <c r="E4714" s="76" t="s">
        <v>64</v>
      </c>
      <c r="F4714" s="76" t="s">
        <v>65</v>
      </c>
      <c r="G4714" s="76" t="s">
        <v>2889</v>
      </c>
      <c r="H4714" s="76"/>
      <c r="I4714" s="77" t="s">
        <v>66</v>
      </c>
      <c r="J4714" s="75" t="s">
        <v>67</v>
      </c>
      <c r="K4714" s="75" t="s">
        <v>2890</v>
      </c>
      <c r="L4714" s="75" t="s">
        <v>68</v>
      </c>
      <c r="M4714" s="75" t="s">
        <v>70</v>
      </c>
      <c r="N4714" s="573">
        <v>30.32</v>
      </c>
      <c r="O4714" s="556" t="str">
        <f>IF(N4714=M4714,"OK","DIF")</f>
        <v>DIF</v>
      </c>
      <c r="P4714" s="573"/>
      <c r="Q4714" s="556"/>
      <c r="R4714" s="582"/>
    </row>
    <row r="4715" ht="35.05" customHeight="1" spans="1:18">
      <c r="A4715" s="556"/>
      <c r="B4715" s="557"/>
      <c r="C4715" s="569" t="s">
        <v>2891</v>
      </c>
      <c r="D4715" s="570" t="s">
        <v>1631</v>
      </c>
      <c r="E4715" s="569" t="s">
        <v>139</v>
      </c>
      <c r="F4715" s="569" t="s">
        <v>1632</v>
      </c>
      <c r="G4715" s="569" t="s">
        <v>4073</v>
      </c>
      <c r="H4715" s="569"/>
      <c r="I4715" s="577" t="s">
        <v>204</v>
      </c>
      <c r="J4715" s="578">
        <v>1</v>
      </c>
      <c r="K4715" s="579"/>
      <c r="L4715" s="579">
        <v>10.4</v>
      </c>
      <c r="M4715" s="579">
        <v>10.4</v>
      </c>
      <c r="N4715" s="573"/>
      <c r="O4715" s="556"/>
      <c r="P4715" s="573"/>
      <c r="Q4715" s="556"/>
      <c r="R4715" s="582"/>
    </row>
    <row r="4716" ht="23.85" customHeight="1" spans="1:18">
      <c r="A4716" s="556"/>
      <c r="B4716" s="557"/>
      <c r="C4716" s="79" t="s">
        <v>2921</v>
      </c>
      <c r="D4716" s="78" t="s">
        <v>3151</v>
      </c>
      <c r="E4716" s="79" t="s">
        <v>139</v>
      </c>
      <c r="F4716" s="79" t="s">
        <v>3152</v>
      </c>
      <c r="G4716" s="79" t="s">
        <v>2928</v>
      </c>
      <c r="H4716" s="79"/>
      <c r="I4716" s="80" t="s">
        <v>2897</v>
      </c>
      <c r="J4716" s="583">
        <v>0.0672</v>
      </c>
      <c r="K4716" s="583">
        <v>0</v>
      </c>
      <c r="L4716" s="92">
        <v>36.82</v>
      </c>
      <c r="M4716" s="92">
        <v>2.47</v>
      </c>
      <c r="N4716" s="573"/>
      <c r="O4716" s="556"/>
      <c r="P4716" s="573"/>
      <c r="Q4716" s="556"/>
      <c r="R4716" s="582"/>
    </row>
    <row r="4717" ht="23.85" customHeight="1" spans="1:18">
      <c r="A4717" s="556"/>
      <c r="B4717" s="557" t="str">
        <f>C4716</f>
        <v>Composição Auxiliar</v>
      </c>
      <c r="C4717" s="79" t="s">
        <v>2921</v>
      </c>
      <c r="D4717" s="78" t="s">
        <v>3153</v>
      </c>
      <c r="E4717" s="79" t="s">
        <v>139</v>
      </c>
      <c r="F4717" s="79" t="s">
        <v>3154</v>
      </c>
      <c r="G4717" s="79" t="s">
        <v>2928</v>
      </c>
      <c r="H4717" s="79"/>
      <c r="I4717" s="80" t="s">
        <v>2897</v>
      </c>
      <c r="J4717" s="583">
        <v>0.0672</v>
      </c>
      <c r="K4717" s="583">
        <v>0</v>
      </c>
      <c r="L4717" s="92">
        <v>30.6</v>
      </c>
      <c r="M4717" s="92">
        <v>2.05</v>
      </c>
      <c r="N4717" s="573">
        <v>34.43</v>
      </c>
      <c r="O4717" s="556" t="str">
        <f>IF(N4717=M4717,"OK","DIF")</f>
        <v>DIF</v>
      </c>
      <c r="P4717" s="573"/>
      <c r="Q4717" s="556"/>
      <c r="R4717" s="582"/>
    </row>
    <row r="4718" ht="35.05" customHeight="1" spans="1:18">
      <c r="A4718" s="556" t="str">
        <f>B4718</f>
        <v>Composição Auxiliar</v>
      </c>
      <c r="B4718" s="557" t="str">
        <f>B4717</f>
        <v>Composição Auxiliar</v>
      </c>
      <c r="C4718" s="100" t="s">
        <v>2893</v>
      </c>
      <c r="D4718" s="99" t="s">
        <v>4425</v>
      </c>
      <c r="E4718" s="100" t="s">
        <v>139</v>
      </c>
      <c r="F4718" s="100" t="s">
        <v>4426</v>
      </c>
      <c r="G4718" s="100" t="s">
        <v>2961</v>
      </c>
      <c r="H4718" s="100"/>
      <c r="I4718" s="101" t="s">
        <v>204</v>
      </c>
      <c r="J4718" s="580">
        <v>1.1</v>
      </c>
      <c r="K4718" s="580">
        <v>0</v>
      </c>
      <c r="L4718" s="102">
        <v>5.35</v>
      </c>
      <c r="M4718" s="102">
        <v>5.88</v>
      </c>
      <c r="N4718" s="573">
        <v>15.5</v>
      </c>
      <c r="O4718" s="556" t="str">
        <f>IF(N4718=M4718,"OK","DIF")</f>
        <v>DIF</v>
      </c>
      <c r="P4718" s="573"/>
      <c r="Q4718" s="556"/>
      <c r="R4718" s="582"/>
    </row>
    <row r="4719" ht="25.5" spans="1:18">
      <c r="A4719" s="556" t="str">
        <f>B4719</f>
        <v>Composição Auxiliar</v>
      </c>
      <c r="B4719" s="557" t="str">
        <f>B4718</f>
        <v>Composição Auxiliar</v>
      </c>
      <c r="C4719" s="108"/>
      <c r="D4719" s="108"/>
      <c r="E4719" s="108"/>
      <c r="F4719" s="108"/>
      <c r="G4719" s="108"/>
      <c r="H4719" s="108" t="s">
        <v>2898</v>
      </c>
      <c r="I4719" s="581">
        <v>3.17</v>
      </c>
      <c r="J4719" s="108" t="s">
        <v>2899</v>
      </c>
      <c r="K4719" s="581">
        <v>0</v>
      </c>
      <c r="L4719" s="108" t="s">
        <v>2900</v>
      </c>
      <c r="M4719" s="581">
        <v>3.17</v>
      </c>
      <c r="N4719" s="573">
        <v>10.64</v>
      </c>
      <c r="O4719" s="556" t="str">
        <f>IF(N4719=M4719,"OK","DIF")</f>
        <v>DIF</v>
      </c>
      <c r="P4719" s="573"/>
      <c r="Q4719" s="556"/>
      <c r="R4719" s="582"/>
    </row>
    <row r="4720" ht="26.25" spans="1:18">
      <c r="A4720" s="556" t="str">
        <f>B4720</f>
        <v>Composição Auxiliar</v>
      </c>
      <c r="B4720" s="557" t="str">
        <f>B4719</f>
        <v>Composição Auxiliar</v>
      </c>
      <c r="C4720" s="108"/>
      <c r="D4720" s="108"/>
      <c r="E4720" s="108"/>
      <c r="F4720" s="108"/>
      <c r="G4720" s="108"/>
      <c r="H4720" s="108" t="s">
        <v>2901</v>
      </c>
      <c r="I4720" s="581">
        <v>2.65</v>
      </c>
      <c r="J4720" s="114"/>
      <c r="K4720" s="114" t="s">
        <v>2902</v>
      </c>
      <c r="L4720" s="108"/>
      <c r="M4720" s="581">
        <v>13.05</v>
      </c>
      <c r="N4720" s="573">
        <v>8.11</v>
      </c>
      <c r="O4720" s="556" t="str">
        <f>IF(N4720=M4720,"OK","DIF")</f>
        <v>DIF</v>
      </c>
      <c r="P4720" s="573"/>
      <c r="Q4720" s="556"/>
      <c r="R4720" s="582"/>
    </row>
    <row r="4721" ht="15" spans="1:18">
      <c r="A4721" s="556" t="str">
        <f>B4721</f>
        <v>Composição Auxiliar</v>
      </c>
      <c r="B4721" s="557" t="str">
        <f>B4720</f>
        <v>Composição Auxiliar</v>
      </c>
      <c r="C4721" s="571"/>
      <c r="D4721" s="571"/>
      <c r="E4721" s="571"/>
      <c r="F4721" s="571"/>
      <c r="G4721" s="571"/>
      <c r="H4721" s="571"/>
      <c r="I4721" s="571"/>
      <c r="J4721" s="571"/>
      <c r="K4721" s="571"/>
      <c r="L4721" s="571"/>
      <c r="M4721" s="571"/>
      <c r="N4721" s="573">
        <v>0.18</v>
      </c>
      <c r="O4721" s="556" t="str">
        <f>IF(N4721=M4721,"OK","DIF")</f>
        <v>DIF</v>
      </c>
      <c r="P4721" s="573"/>
      <c r="Q4721" s="556"/>
      <c r="R4721" s="582"/>
    </row>
    <row r="4722" ht="15" customHeight="1" spans="1:18">
      <c r="A4722" s="556"/>
      <c r="B4722" s="557"/>
      <c r="C4722" s="76" t="s">
        <v>1633</v>
      </c>
      <c r="D4722" s="75" t="s">
        <v>63</v>
      </c>
      <c r="E4722" s="76" t="s">
        <v>64</v>
      </c>
      <c r="F4722" s="76" t="s">
        <v>65</v>
      </c>
      <c r="G4722" s="76" t="s">
        <v>2889</v>
      </c>
      <c r="H4722" s="76"/>
      <c r="I4722" s="77" t="s">
        <v>66</v>
      </c>
      <c r="J4722" s="75" t="s">
        <v>67</v>
      </c>
      <c r="K4722" s="75" t="s">
        <v>2890</v>
      </c>
      <c r="L4722" s="75" t="s">
        <v>68</v>
      </c>
      <c r="M4722" s="75" t="s">
        <v>70</v>
      </c>
      <c r="N4722" s="573"/>
      <c r="O4722" s="556"/>
      <c r="P4722" s="573"/>
      <c r="Q4722" s="556"/>
      <c r="R4722" s="582"/>
    </row>
    <row r="4723" ht="23.85" customHeight="1" spans="1:18">
      <c r="A4723" s="556"/>
      <c r="B4723" s="557"/>
      <c r="C4723" s="569" t="s">
        <v>2891</v>
      </c>
      <c r="D4723" s="570" t="s">
        <v>1634</v>
      </c>
      <c r="E4723" s="569" t="s">
        <v>149</v>
      </c>
      <c r="F4723" s="569" t="s">
        <v>1635</v>
      </c>
      <c r="G4723" s="569" t="s">
        <v>4029</v>
      </c>
      <c r="H4723" s="569"/>
      <c r="I4723" s="577" t="s">
        <v>134</v>
      </c>
      <c r="J4723" s="578">
        <v>1</v>
      </c>
      <c r="K4723" s="579"/>
      <c r="L4723" s="579">
        <v>202.56</v>
      </c>
      <c r="M4723" s="579">
        <v>202.56</v>
      </c>
      <c r="N4723" s="573"/>
      <c r="O4723" s="556"/>
      <c r="P4723" s="573"/>
      <c r="Q4723" s="556"/>
      <c r="R4723" s="582"/>
    </row>
    <row r="4724" ht="15" customHeight="1" spans="1:18">
      <c r="A4724" s="556"/>
      <c r="B4724" s="557" t="str">
        <f>C4723</f>
        <v>Composição</v>
      </c>
      <c r="C4724" s="100" t="s">
        <v>2893</v>
      </c>
      <c r="D4724" s="99" t="s">
        <v>2986</v>
      </c>
      <c r="E4724" s="100" t="s">
        <v>149</v>
      </c>
      <c r="F4724" s="100" t="s">
        <v>2987</v>
      </c>
      <c r="G4724" s="100" t="s">
        <v>2896</v>
      </c>
      <c r="H4724" s="100"/>
      <c r="I4724" s="101" t="s">
        <v>2897</v>
      </c>
      <c r="J4724" s="580">
        <v>2.3</v>
      </c>
      <c r="K4724" s="580">
        <v>0</v>
      </c>
      <c r="L4724" s="102">
        <v>26.928256</v>
      </c>
      <c r="M4724" s="102">
        <v>61.93</v>
      </c>
      <c r="N4724" s="573">
        <v>32.48</v>
      </c>
      <c r="O4724" s="556" t="str">
        <f>IF(N4724=M4724,"OK","DIF")</f>
        <v>DIF</v>
      </c>
      <c r="P4724" s="573"/>
      <c r="Q4724" s="556"/>
      <c r="R4724" s="582"/>
    </row>
    <row r="4725" ht="15" customHeight="1" spans="1:18">
      <c r="A4725" s="556" t="str">
        <f>B4725</f>
        <v>Composição</v>
      </c>
      <c r="B4725" s="557" t="str">
        <f>B4724</f>
        <v>Composição</v>
      </c>
      <c r="C4725" s="100" t="s">
        <v>2893</v>
      </c>
      <c r="D4725" s="99" t="s">
        <v>2976</v>
      </c>
      <c r="E4725" s="100" t="s">
        <v>149</v>
      </c>
      <c r="F4725" s="100" t="s">
        <v>2977</v>
      </c>
      <c r="G4725" s="100" t="s">
        <v>2896</v>
      </c>
      <c r="H4725" s="100"/>
      <c r="I4725" s="101" t="s">
        <v>2897</v>
      </c>
      <c r="J4725" s="580">
        <v>2.3</v>
      </c>
      <c r="K4725" s="580">
        <v>0</v>
      </c>
      <c r="L4725" s="102">
        <v>20.515752</v>
      </c>
      <c r="M4725" s="102">
        <v>47.18</v>
      </c>
      <c r="N4725" s="573">
        <v>7.1</v>
      </c>
      <c r="O4725" s="556" t="str">
        <f>IF(N4725=M4725,"OK","DIF")</f>
        <v>DIF</v>
      </c>
      <c r="P4725" s="573"/>
      <c r="Q4725" s="556"/>
      <c r="R4725" s="582"/>
    </row>
    <row r="4726" ht="23.85" customHeight="1" spans="1:18">
      <c r="A4726" s="556" t="str">
        <f>B4726</f>
        <v>Composição</v>
      </c>
      <c r="B4726" s="557" t="str">
        <f>B4725</f>
        <v>Composição</v>
      </c>
      <c r="C4726" s="100" t="s">
        <v>2893</v>
      </c>
      <c r="D4726" s="99" t="s">
        <v>4427</v>
      </c>
      <c r="E4726" s="100" t="s">
        <v>149</v>
      </c>
      <c r="F4726" s="100" t="s">
        <v>4428</v>
      </c>
      <c r="G4726" s="100" t="s">
        <v>2961</v>
      </c>
      <c r="H4726" s="100"/>
      <c r="I4726" s="101" t="s">
        <v>134</v>
      </c>
      <c r="J4726" s="580">
        <v>1</v>
      </c>
      <c r="K4726" s="580">
        <v>0</v>
      </c>
      <c r="L4726" s="102">
        <v>93.45</v>
      </c>
      <c r="M4726" s="102">
        <v>93.45</v>
      </c>
      <c r="N4726" s="573">
        <v>0.07</v>
      </c>
      <c r="O4726" s="556" t="str">
        <f>IF(N4726=M4726,"OK","DIF")</f>
        <v>DIF</v>
      </c>
      <c r="P4726" s="573"/>
      <c r="Q4726" s="556"/>
      <c r="R4726" s="582"/>
    </row>
    <row r="4727" ht="25.5" spans="1:18">
      <c r="A4727" s="556" t="str">
        <f>B4727</f>
        <v>Composição</v>
      </c>
      <c r="B4727" s="557" t="str">
        <f>B4726</f>
        <v>Composição</v>
      </c>
      <c r="C4727" s="108"/>
      <c r="D4727" s="108"/>
      <c r="E4727" s="108"/>
      <c r="F4727" s="108"/>
      <c r="G4727" s="108"/>
      <c r="H4727" s="108" t="s">
        <v>2898</v>
      </c>
      <c r="I4727" s="581">
        <v>109.11</v>
      </c>
      <c r="J4727" s="108" t="s">
        <v>2899</v>
      </c>
      <c r="K4727" s="581">
        <v>0</v>
      </c>
      <c r="L4727" s="108" t="s">
        <v>2900</v>
      </c>
      <c r="M4727" s="581">
        <v>109.11</v>
      </c>
      <c r="N4727" s="573">
        <v>9.32</v>
      </c>
      <c r="O4727" s="556" t="str">
        <f>IF(N4727=M4727,"OK","DIF")</f>
        <v>DIF</v>
      </c>
      <c r="P4727" s="573"/>
      <c r="Q4727" s="556"/>
      <c r="R4727" s="582"/>
    </row>
    <row r="4728" ht="26.25" spans="1:18">
      <c r="A4728" s="556" t="str">
        <f>B4728</f>
        <v>Composição</v>
      </c>
      <c r="B4728" s="557" t="str">
        <f>B4727</f>
        <v>Composição</v>
      </c>
      <c r="C4728" s="108"/>
      <c r="D4728" s="108"/>
      <c r="E4728" s="108"/>
      <c r="F4728" s="108"/>
      <c r="G4728" s="108"/>
      <c r="H4728" s="108" t="s">
        <v>2901</v>
      </c>
      <c r="I4728" s="581">
        <v>51.63</v>
      </c>
      <c r="J4728" s="114"/>
      <c r="K4728" s="114" t="s">
        <v>2902</v>
      </c>
      <c r="L4728" s="108"/>
      <c r="M4728" s="581">
        <v>254.19</v>
      </c>
      <c r="N4728" s="573">
        <v>15.99</v>
      </c>
      <c r="O4728" s="556" t="str">
        <f>IF(N4728=M4728,"OK","DIF")</f>
        <v>DIF</v>
      </c>
      <c r="P4728" s="573"/>
      <c r="Q4728" s="556"/>
      <c r="R4728" s="582"/>
    </row>
    <row r="4729" ht="15" spans="1:18">
      <c r="A4729" s="556"/>
      <c r="B4729" s="557"/>
      <c r="C4729" s="571"/>
      <c r="D4729" s="571"/>
      <c r="E4729" s="571"/>
      <c r="F4729" s="571"/>
      <c r="G4729" s="571"/>
      <c r="H4729" s="571"/>
      <c r="I4729" s="571"/>
      <c r="J4729" s="571"/>
      <c r="K4729" s="571"/>
      <c r="L4729" s="571"/>
      <c r="M4729" s="571"/>
      <c r="N4729" s="573"/>
      <c r="O4729" s="556"/>
      <c r="P4729" s="573"/>
      <c r="Q4729" s="556"/>
      <c r="R4729" s="582"/>
    </row>
    <row r="4730" ht="15" customHeight="1" spans="1:18">
      <c r="A4730" s="556"/>
      <c r="B4730" s="557"/>
      <c r="C4730" s="76" t="s">
        <v>1636</v>
      </c>
      <c r="D4730" s="75" t="s">
        <v>63</v>
      </c>
      <c r="E4730" s="76" t="s">
        <v>64</v>
      </c>
      <c r="F4730" s="76" t="s">
        <v>65</v>
      </c>
      <c r="G4730" s="76" t="s">
        <v>2889</v>
      </c>
      <c r="H4730" s="76"/>
      <c r="I4730" s="77" t="s">
        <v>66</v>
      </c>
      <c r="J4730" s="75" t="s">
        <v>67</v>
      </c>
      <c r="K4730" s="75" t="s">
        <v>2890</v>
      </c>
      <c r="L4730" s="75" t="s">
        <v>68</v>
      </c>
      <c r="M4730" s="75" t="s">
        <v>70</v>
      </c>
      <c r="N4730" s="573"/>
      <c r="O4730" s="556"/>
      <c r="P4730" s="573"/>
      <c r="Q4730" s="556"/>
      <c r="R4730" s="582"/>
    </row>
    <row r="4731" ht="51" spans="1:18">
      <c r="A4731" s="556"/>
      <c r="B4731" s="557" t="str">
        <f>C4730</f>
        <v> 12.7.2.4 </v>
      </c>
      <c r="C4731" s="569" t="s">
        <v>2891</v>
      </c>
      <c r="D4731" s="570" t="s">
        <v>1637</v>
      </c>
      <c r="E4731" s="569" t="s">
        <v>132</v>
      </c>
      <c r="F4731" s="569" t="s">
        <v>1638</v>
      </c>
      <c r="G4731" s="569">
        <v>18</v>
      </c>
      <c r="H4731" s="569"/>
      <c r="I4731" s="577" t="s">
        <v>134</v>
      </c>
      <c r="J4731" s="578">
        <v>1</v>
      </c>
      <c r="K4731" s="579"/>
      <c r="L4731" s="579">
        <v>392.45</v>
      </c>
      <c r="M4731" s="579">
        <v>392.45</v>
      </c>
      <c r="N4731" s="573">
        <v>33.84</v>
      </c>
      <c r="O4731" s="556" t="str">
        <f>IF(N4731=M4731,"OK","DIF")</f>
        <v>DIF</v>
      </c>
      <c r="P4731" s="573"/>
      <c r="Q4731" s="556"/>
      <c r="R4731" s="582"/>
    </row>
    <row r="4732" ht="76.5" spans="1:18">
      <c r="A4732" s="556" t="str">
        <f>B4732</f>
        <v> 12.7.2.4 </v>
      </c>
      <c r="B4732" s="557" t="str">
        <f>B4731</f>
        <v> 12.7.2.4 </v>
      </c>
      <c r="C4732" s="79" t="s">
        <v>2921</v>
      </c>
      <c r="D4732" s="78" t="s">
        <v>3281</v>
      </c>
      <c r="E4732" s="79" t="s">
        <v>77</v>
      </c>
      <c r="F4732" s="79" t="s">
        <v>3280</v>
      </c>
      <c r="G4732" s="79">
        <v>19</v>
      </c>
      <c r="H4732" s="79"/>
      <c r="I4732" s="80" t="s">
        <v>2897</v>
      </c>
      <c r="J4732" s="583">
        <v>0.2</v>
      </c>
      <c r="K4732" s="583">
        <v>0</v>
      </c>
      <c r="L4732" s="92">
        <v>64.47</v>
      </c>
      <c r="M4732" s="92">
        <v>12.89</v>
      </c>
      <c r="N4732" s="573">
        <v>11.01</v>
      </c>
      <c r="O4732" s="556" t="str">
        <f>IF(N4732=M4732,"OK","DIF")</f>
        <v>DIF</v>
      </c>
      <c r="P4732" s="573"/>
      <c r="Q4732" s="556"/>
      <c r="R4732" s="582"/>
    </row>
    <row r="4733" ht="23.85" customHeight="1" spans="1:18">
      <c r="A4733" s="556" t="str">
        <f>B4733</f>
        <v> 12.7.2.4 </v>
      </c>
      <c r="B4733" s="557" t="str">
        <f>B4732</f>
        <v> 12.7.2.4 </v>
      </c>
      <c r="C4733" s="79" t="s">
        <v>2921</v>
      </c>
      <c r="D4733" s="78" t="s">
        <v>3151</v>
      </c>
      <c r="E4733" s="79" t="s">
        <v>139</v>
      </c>
      <c r="F4733" s="79" t="s">
        <v>3152</v>
      </c>
      <c r="G4733" s="79" t="s">
        <v>2928</v>
      </c>
      <c r="H4733" s="79"/>
      <c r="I4733" s="80" t="s">
        <v>2897</v>
      </c>
      <c r="J4733" s="583">
        <v>1.2</v>
      </c>
      <c r="K4733" s="583">
        <v>0</v>
      </c>
      <c r="L4733" s="92">
        <v>36.82</v>
      </c>
      <c r="M4733" s="92">
        <v>44.18</v>
      </c>
      <c r="N4733" s="573">
        <v>8.91</v>
      </c>
      <c r="O4733" s="556" t="str">
        <f>IF(N4733=M4733,"OK","DIF")</f>
        <v>DIF</v>
      </c>
      <c r="P4733" s="573"/>
      <c r="Q4733" s="556"/>
      <c r="R4733" s="582"/>
    </row>
    <row r="4734" ht="25.5" spans="1:18">
      <c r="A4734" s="556" t="str">
        <f>B4734</f>
        <v> 12.7.2.4 </v>
      </c>
      <c r="B4734" s="557" t="str">
        <f>B4733</f>
        <v> 12.7.2.4 </v>
      </c>
      <c r="C4734" s="79" t="s">
        <v>2921</v>
      </c>
      <c r="D4734" s="78" t="s">
        <v>3265</v>
      </c>
      <c r="E4734" s="79" t="s">
        <v>77</v>
      </c>
      <c r="F4734" s="79" t="s">
        <v>3266</v>
      </c>
      <c r="G4734" s="79">
        <v>19</v>
      </c>
      <c r="H4734" s="79"/>
      <c r="I4734" s="80" t="s">
        <v>2897</v>
      </c>
      <c r="J4734" s="583">
        <v>0.2</v>
      </c>
      <c r="K4734" s="583">
        <v>0</v>
      </c>
      <c r="L4734" s="92">
        <v>170.13</v>
      </c>
      <c r="M4734" s="92">
        <v>34.02</v>
      </c>
      <c r="N4734" s="573">
        <v>0.98</v>
      </c>
      <c r="O4734" s="556" t="str">
        <f>IF(N4734=M4734,"OK","DIF")</f>
        <v>DIF</v>
      </c>
      <c r="P4734" s="573"/>
      <c r="Q4734" s="556"/>
      <c r="R4734" s="582"/>
    </row>
    <row r="4735" ht="23.85" customHeight="1" spans="1:18">
      <c r="A4735" s="556" t="str">
        <f>B4735</f>
        <v> 12.7.2.4 </v>
      </c>
      <c r="B4735" s="557" t="str">
        <f>B4734</f>
        <v> 12.7.2.4 </v>
      </c>
      <c r="C4735" s="79" t="s">
        <v>2921</v>
      </c>
      <c r="D4735" s="78" t="s">
        <v>2952</v>
      </c>
      <c r="E4735" s="79" t="s">
        <v>139</v>
      </c>
      <c r="F4735" s="79" t="s">
        <v>2953</v>
      </c>
      <c r="G4735" s="79" t="s">
        <v>2928</v>
      </c>
      <c r="H4735" s="79"/>
      <c r="I4735" s="80" t="s">
        <v>2897</v>
      </c>
      <c r="J4735" s="583">
        <v>1.2</v>
      </c>
      <c r="K4735" s="583">
        <v>0</v>
      </c>
      <c r="L4735" s="92">
        <v>29.15</v>
      </c>
      <c r="M4735" s="92">
        <v>34.98</v>
      </c>
      <c r="N4735" s="573">
        <v>12.94</v>
      </c>
      <c r="O4735" s="556" t="str">
        <f>IF(N4735=M4735,"OK","DIF")</f>
        <v>DIF</v>
      </c>
      <c r="P4735" s="573"/>
      <c r="Q4735" s="556"/>
      <c r="R4735" s="582"/>
    </row>
    <row r="4736" ht="23.85" customHeight="1" spans="1:18">
      <c r="A4736" s="556"/>
      <c r="B4736" s="557"/>
      <c r="C4736" s="100" t="s">
        <v>2893</v>
      </c>
      <c r="D4736" s="99" t="s">
        <v>4429</v>
      </c>
      <c r="E4736" s="100" t="s">
        <v>77</v>
      </c>
      <c r="F4736" s="100" t="s">
        <v>4430</v>
      </c>
      <c r="G4736" s="100" t="s">
        <v>2961</v>
      </c>
      <c r="H4736" s="100"/>
      <c r="I4736" s="101" t="s">
        <v>134</v>
      </c>
      <c r="J4736" s="580">
        <v>1</v>
      </c>
      <c r="K4736" s="580">
        <v>0</v>
      </c>
      <c r="L4736" s="102">
        <v>108.46</v>
      </c>
      <c r="M4736" s="102">
        <v>108.46</v>
      </c>
      <c r="N4736" s="573"/>
      <c r="O4736" s="556"/>
      <c r="P4736" s="573"/>
      <c r="Q4736" s="556"/>
      <c r="R4736" s="582"/>
    </row>
    <row r="4737" ht="15" customHeight="1" spans="1:18">
      <c r="A4737" s="556"/>
      <c r="B4737" s="557"/>
      <c r="C4737" s="100" t="s">
        <v>2893</v>
      </c>
      <c r="D4737" s="99" t="s">
        <v>4431</v>
      </c>
      <c r="E4737" s="100" t="s">
        <v>77</v>
      </c>
      <c r="F4737" s="100" t="s">
        <v>4432</v>
      </c>
      <c r="G4737" s="100" t="s">
        <v>2961</v>
      </c>
      <c r="H4737" s="100"/>
      <c r="I4737" s="101" t="s">
        <v>134</v>
      </c>
      <c r="J4737" s="580">
        <v>1</v>
      </c>
      <c r="K4737" s="580">
        <v>0</v>
      </c>
      <c r="L4737" s="102">
        <v>17.58</v>
      </c>
      <c r="M4737" s="102">
        <v>17.58</v>
      </c>
      <c r="N4737" s="573"/>
      <c r="O4737" s="556"/>
      <c r="P4737" s="573"/>
      <c r="Q4737" s="556"/>
      <c r="R4737" s="582"/>
    </row>
    <row r="4738" ht="15" customHeight="1" spans="1:18">
      <c r="A4738" s="556"/>
      <c r="B4738" s="557" t="str">
        <f>C4737</f>
        <v>Insumo</v>
      </c>
      <c r="C4738" s="100" t="s">
        <v>2893</v>
      </c>
      <c r="D4738" s="99" t="s">
        <v>4433</v>
      </c>
      <c r="E4738" s="100" t="s">
        <v>149</v>
      </c>
      <c r="F4738" s="100" t="s">
        <v>4434</v>
      </c>
      <c r="G4738" s="100" t="s">
        <v>2961</v>
      </c>
      <c r="H4738" s="100"/>
      <c r="I4738" s="101" t="s">
        <v>134</v>
      </c>
      <c r="J4738" s="580">
        <v>1</v>
      </c>
      <c r="K4738" s="580">
        <v>0</v>
      </c>
      <c r="L4738" s="102">
        <v>140.34</v>
      </c>
      <c r="M4738" s="102">
        <v>140.34</v>
      </c>
      <c r="N4738" s="573">
        <v>96.08</v>
      </c>
      <c r="O4738" s="556" t="str">
        <f t="shared" ref="O4738:O4743" si="368">IF(N4738=M4738,"OK","DIF")</f>
        <v>DIF</v>
      </c>
      <c r="P4738" s="573"/>
      <c r="Q4738" s="556"/>
      <c r="R4738" s="582"/>
    </row>
    <row r="4739" ht="25.5" spans="1:18">
      <c r="A4739" s="556" t="str">
        <f>B4739</f>
        <v>Insumo</v>
      </c>
      <c r="B4739" s="557" t="str">
        <f>B4738</f>
        <v>Insumo</v>
      </c>
      <c r="C4739" s="108"/>
      <c r="D4739" s="108"/>
      <c r="E4739" s="108"/>
      <c r="F4739" s="108"/>
      <c r="G4739" s="108"/>
      <c r="H4739" s="108" t="s">
        <v>2898</v>
      </c>
      <c r="I4739" s="581">
        <v>68.14</v>
      </c>
      <c r="J4739" s="108" t="s">
        <v>2899</v>
      </c>
      <c r="K4739" s="581">
        <v>0</v>
      </c>
      <c r="L4739" s="108" t="s">
        <v>2900</v>
      </c>
      <c r="M4739" s="581">
        <v>68.14</v>
      </c>
      <c r="N4739" s="573">
        <v>12.06</v>
      </c>
      <c r="O4739" s="556" t="str">
        <f t="shared" si="368"/>
        <v>DIF</v>
      </c>
      <c r="P4739" s="573"/>
      <c r="Q4739" s="556"/>
      <c r="R4739" s="582"/>
    </row>
    <row r="4740" ht="26.25" spans="1:18">
      <c r="A4740" s="556" t="str">
        <f>B4740</f>
        <v>Insumo</v>
      </c>
      <c r="B4740" s="557" t="str">
        <f>B4739</f>
        <v>Insumo</v>
      </c>
      <c r="C4740" s="108"/>
      <c r="D4740" s="108"/>
      <c r="E4740" s="108"/>
      <c r="F4740" s="108"/>
      <c r="G4740" s="108"/>
      <c r="H4740" s="108" t="s">
        <v>2901</v>
      </c>
      <c r="I4740" s="581">
        <v>100.03</v>
      </c>
      <c r="J4740" s="114"/>
      <c r="K4740" s="114" t="s">
        <v>2902</v>
      </c>
      <c r="L4740" s="108"/>
      <c r="M4740" s="581">
        <v>492.48</v>
      </c>
      <c r="N4740" s="573">
        <v>9.77</v>
      </c>
      <c r="O4740" s="556" t="str">
        <f t="shared" si="368"/>
        <v>DIF</v>
      </c>
      <c r="P4740" s="573"/>
      <c r="Q4740" s="556"/>
      <c r="R4740" s="582"/>
    </row>
    <row r="4741" ht="15" spans="1:18">
      <c r="A4741" s="556" t="str">
        <f>B4741</f>
        <v>Insumo</v>
      </c>
      <c r="B4741" s="557" t="str">
        <f>B4740</f>
        <v>Insumo</v>
      </c>
      <c r="C4741" s="571"/>
      <c r="D4741" s="571"/>
      <c r="E4741" s="571"/>
      <c r="F4741" s="571"/>
      <c r="G4741" s="571"/>
      <c r="H4741" s="571"/>
      <c r="I4741" s="571"/>
      <c r="J4741" s="571"/>
      <c r="K4741" s="571"/>
      <c r="L4741" s="571"/>
      <c r="M4741" s="571"/>
      <c r="N4741" s="573">
        <v>73.55</v>
      </c>
      <c r="O4741" s="556" t="str">
        <f t="shared" si="368"/>
        <v>DIF</v>
      </c>
      <c r="P4741" s="573"/>
      <c r="Q4741" s="556"/>
      <c r="R4741" s="582"/>
    </row>
    <row r="4742" ht="15" customHeight="1" spans="1:18">
      <c r="A4742" s="556" t="str">
        <f>B4742</f>
        <v>Insumo</v>
      </c>
      <c r="B4742" s="557" t="str">
        <f>B4741</f>
        <v>Insumo</v>
      </c>
      <c r="C4742" s="76" t="s">
        <v>1639</v>
      </c>
      <c r="D4742" s="75" t="s">
        <v>63</v>
      </c>
      <c r="E4742" s="76" t="s">
        <v>64</v>
      </c>
      <c r="F4742" s="76" t="s">
        <v>65</v>
      </c>
      <c r="G4742" s="76" t="s">
        <v>2889</v>
      </c>
      <c r="H4742" s="76"/>
      <c r="I4742" s="77" t="s">
        <v>66</v>
      </c>
      <c r="J4742" s="75" t="s">
        <v>67</v>
      </c>
      <c r="K4742" s="75" t="s">
        <v>2890</v>
      </c>
      <c r="L4742" s="75" t="s">
        <v>68</v>
      </c>
      <c r="M4742" s="75" t="s">
        <v>70</v>
      </c>
      <c r="N4742" s="573">
        <v>0.35</v>
      </c>
      <c r="O4742" s="556" t="str">
        <f t="shared" si="368"/>
        <v>DIF</v>
      </c>
      <c r="P4742" s="573"/>
      <c r="Q4742" s="556"/>
      <c r="R4742" s="582"/>
    </row>
    <row r="4743" ht="51" spans="1:18">
      <c r="A4743" s="556" t="str">
        <f>B4743</f>
        <v>Insumo</v>
      </c>
      <c r="B4743" s="557" t="str">
        <f>B4742</f>
        <v>Insumo</v>
      </c>
      <c r="C4743" s="569" t="s">
        <v>2891</v>
      </c>
      <c r="D4743" s="570" t="s">
        <v>1640</v>
      </c>
      <c r="E4743" s="569" t="s">
        <v>132</v>
      </c>
      <c r="F4743" s="569" t="s">
        <v>1641</v>
      </c>
      <c r="G4743" s="569">
        <v>18</v>
      </c>
      <c r="H4743" s="569"/>
      <c r="I4743" s="577" t="s">
        <v>134</v>
      </c>
      <c r="J4743" s="578">
        <v>1</v>
      </c>
      <c r="K4743" s="579"/>
      <c r="L4743" s="579">
        <v>554.32</v>
      </c>
      <c r="M4743" s="579">
        <v>554.32</v>
      </c>
      <c r="N4743" s="573">
        <v>0.35</v>
      </c>
      <c r="O4743" s="556" t="str">
        <f t="shared" si="368"/>
        <v>DIF</v>
      </c>
      <c r="P4743" s="573"/>
      <c r="Q4743" s="556"/>
      <c r="R4743" s="582"/>
    </row>
    <row r="4744" ht="23.85" customHeight="1" spans="1:18">
      <c r="A4744" s="556"/>
      <c r="B4744" s="557"/>
      <c r="C4744" s="79" t="s">
        <v>2921</v>
      </c>
      <c r="D4744" s="78" t="s">
        <v>3151</v>
      </c>
      <c r="E4744" s="79" t="s">
        <v>139</v>
      </c>
      <c r="F4744" s="79" t="s">
        <v>3152</v>
      </c>
      <c r="G4744" s="79" t="s">
        <v>2928</v>
      </c>
      <c r="H4744" s="79"/>
      <c r="I4744" s="80" t="s">
        <v>2897</v>
      </c>
      <c r="J4744" s="583">
        <v>1.26</v>
      </c>
      <c r="K4744" s="583">
        <v>0</v>
      </c>
      <c r="L4744" s="92">
        <v>36.82</v>
      </c>
      <c r="M4744" s="92">
        <v>46.39</v>
      </c>
      <c r="N4744" s="573"/>
      <c r="O4744" s="556"/>
      <c r="P4744" s="573"/>
      <c r="Q4744" s="556"/>
      <c r="R4744" s="582"/>
    </row>
    <row r="4745" ht="76.5" spans="1:18">
      <c r="A4745" s="556"/>
      <c r="B4745" s="557"/>
      <c r="C4745" s="79" t="s">
        <v>2921</v>
      </c>
      <c r="D4745" s="78" t="s">
        <v>3281</v>
      </c>
      <c r="E4745" s="79" t="s">
        <v>77</v>
      </c>
      <c r="F4745" s="79" t="s">
        <v>3280</v>
      </c>
      <c r="G4745" s="79">
        <v>19</v>
      </c>
      <c r="H4745" s="79"/>
      <c r="I4745" s="80" t="s">
        <v>2897</v>
      </c>
      <c r="J4745" s="583">
        <v>0.2</v>
      </c>
      <c r="K4745" s="583">
        <v>0</v>
      </c>
      <c r="L4745" s="92">
        <v>64.47</v>
      </c>
      <c r="M4745" s="92">
        <v>12.89</v>
      </c>
      <c r="N4745" s="573"/>
      <c r="O4745" s="556"/>
      <c r="P4745" s="573"/>
      <c r="Q4745" s="556"/>
      <c r="R4745" s="582"/>
    </row>
    <row r="4746" ht="23.85" customHeight="1" spans="1:18">
      <c r="A4746" s="556"/>
      <c r="B4746" s="557" t="str">
        <f>C4745</f>
        <v>Composição Auxiliar</v>
      </c>
      <c r="C4746" s="79" t="s">
        <v>2921</v>
      </c>
      <c r="D4746" s="78" t="s">
        <v>2952</v>
      </c>
      <c r="E4746" s="79" t="s">
        <v>139</v>
      </c>
      <c r="F4746" s="79" t="s">
        <v>2953</v>
      </c>
      <c r="G4746" s="79" t="s">
        <v>2928</v>
      </c>
      <c r="H4746" s="79"/>
      <c r="I4746" s="80" t="s">
        <v>2897</v>
      </c>
      <c r="J4746" s="583">
        <v>1.26</v>
      </c>
      <c r="K4746" s="583">
        <v>0</v>
      </c>
      <c r="L4746" s="92">
        <v>29.15</v>
      </c>
      <c r="M4746" s="92">
        <v>36.72</v>
      </c>
      <c r="N4746" s="573">
        <v>40.59</v>
      </c>
      <c r="O4746" s="556" t="str">
        <f t="shared" ref="O4746:O4751" si="369">IF(N4746=M4746,"OK","DIF")</f>
        <v>DIF</v>
      </c>
      <c r="P4746" s="573"/>
      <c r="Q4746" s="556"/>
      <c r="R4746" s="582"/>
    </row>
    <row r="4747" ht="25.5" spans="1:18">
      <c r="A4747" s="556" t="str">
        <f>B4747</f>
        <v>Composição Auxiliar</v>
      </c>
      <c r="B4747" s="557" t="str">
        <f>B4746</f>
        <v>Composição Auxiliar</v>
      </c>
      <c r="C4747" s="79" t="s">
        <v>2921</v>
      </c>
      <c r="D4747" s="78" t="s">
        <v>3265</v>
      </c>
      <c r="E4747" s="79" t="s">
        <v>77</v>
      </c>
      <c r="F4747" s="79" t="s">
        <v>3266</v>
      </c>
      <c r="G4747" s="79">
        <v>19</v>
      </c>
      <c r="H4747" s="79"/>
      <c r="I4747" s="80" t="s">
        <v>2897</v>
      </c>
      <c r="J4747" s="583">
        <v>0.2</v>
      </c>
      <c r="K4747" s="583">
        <v>0</v>
      </c>
      <c r="L4747" s="92">
        <v>170.13</v>
      </c>
      <c r="M4747" s="92">
        <v>34.02</v>
      </c>
      <c r="N4747" s="573">
        <v>9.77</v>
      </c>
      <c r="O4747" s="556" t="str">
        <f t="shared" si="369"/>
        <v>DIF</v>
      </c>
      <c r="P4747" s="573"/>
      <c r="Q4747" s="556"/>
      <c r="R4747" s="582"/>
    </row>
    <row r="4748" ht="15" customHeight="1" spans="1:18">
      <c r="A4748" s="556" t="str">
        <f>B4748</f>
        <v>Composição Auxiliar</v>
      </c>
      <c r="B4748" s="557" t="str">
        <f>B4747</f>
        <v>Composição Auxiliar</v>
      </c>
      <c r="C4748" s="100" t="s">
        <v>2893</v>
      </c>
      <c r="D4748" s="99" t="s">
        <v>4431</v>
      </c>
      <c r="E4748" s="100" t="s">
        <v>77</v>
      </c>
      <c r="F4748" s="100" t="s">
        <v>4432</v>
      </c>
      <c r="G4748" s="100" t="s">
        <v>2961</v>
      </c>
      <c r="H4748" s="100"/>
      <c r="I4748" s="101" t="s">
        <v>134</v>
      </c>
      <c r="J4748" s="580">
        <v>2</v>
      </c>
      <c r="K4748" s="580">
        <v>0</v>
      </c>
      <c r="L4748" s="102">
        <v>17.58</v>
      </c>
      <c r="M4748" s="102">
        <v>35.16</v>
      </c>
      <c r="N4748" s="573">
        <v>12.06</v>
      </c>
      <c r="O4748" s="556" t="str">
        <f t="shared" si="369"/>
        <v>DIF</v>
      </c>
      <c r="P4748" s="573"/>
      <c r="Q4748" s="556"/>
      <c r="R4748" s="582"/>
    </row>
    <row r="4749" ht="15" customHeight="1" spans="1:18">
      <c r="A4749" s="556" t="str">
        <f>B4749</f>
        <v>Composição Auxiliar</v>
      </c>
      <c r="B4749" s="557" t="str">
        <f>B4748</f>
        <v>Composição Auxiliar</v>
      </c>
      <c r="C4749" s="100" t="s">
        <v>2893</v>
      </c>
      <c r="D4749" s="99" t="s">
        <v>4433</v>
      </c>
      <c r="E4749" s="100" t="s">
        <v>149</v>
      </c>
      <c r="F4749" s="100" t="s">
        <v>4434</v>
      </c>
      <c r="G4749" s="100" t="s">
        <v>2961</v>
      </c>
      <c r="H4749" s="100"/>
      <c r="I4749" s="101" t="s">
        <v>134</v>
      </c>
      <c r="J4749" s="580">
        <v>2</v>
      </c>
      <c r="K4749" s="580">
        <v>0</v>
      </c>
      <c r="L4749" s="102">
        <v>140.34</v>
      </c>
      <c r="M4749" s="102">
        <v>280.68</v>
      </c>
      <c r="N4749" s="573">
        <v>0.35</v>
      </c>
      <c r="O4749" s="556" t="str">
        <f t="shared" si="369"/>
        <v>DIF</v>
      </c>
      <c r="P4749" s="573"/>
      <c r="Q4749" s="556"/>
      <c r="R4749" s="582"/>
    </row>
    <row r="4750" ht="23.85" customHeight="1" spans="1:18">
      <c r="A4750" s="556" t="str">
        <f>B4750</f>
        <v>Composição Auxiliar</v>
      </c>
      <c r="B4750" s="557" t="str">
        <f>B4749</f>
        <v>Composição Auxiliar</v>
      </c>
      <c r="C4750" s="100" t="s">
        <v>2893</v>
      </c>
      <c r="D4750" s="99" t="s">
        <v>4429</v>
      </c>
      <c r="E4750" s="100" t="s">
        <v>77</v>
      </c>
      <c r="F4750" s="100" t="s">
        <v>4430</v>
      </c>
      <c r="G4750" s="100" t="s">
        <v>2961</v>
      </c>
      <c r="H4750" s="100"/>
      <c r="I4750" s="101" t="s">
        <v>134</v>
      </c>
      <c r="J4750" s="580">
        <v>1</v>
      </c>
      <c r="K4750" s="580">
        <v>0</v>
      </c>
      <c r="L4750" s="102">
        <v>108.46</v>
      </c>
      <c r="M4750" s="102">
        <v>108.46</v>
      </c>
      <c r="N4750" s="573">
        <v>0.35</v>
      </c>
      <c r="O4750" s="556" t="str">
        <f t="shared" si="369"/>
        <v>DIF</v>
      </c>
      <c r="P4750" s="573"/>
      <c r="Q4750" s="556"/>
      <c r="R4750" s="582"/>
    </row>
    <row r="4751" ht="25.5" spans="1:18">
      <c r="A4751" s="556" t="str">
        <f>B4751</f>
        <v>Composição Auxiliar</v>
      </c>
      <c r="B4751" s="557" t="str">
        <f>B4750</f>
        <v>Composição Auxiliar</v>
      </c>
      <c r="C4751" s="108"/>
      <c r="D4751" s="108"/>
      <c r="E4751" s="108"/>
      <c r="F4751" s="108"/>
      <c r="G4751" s="108"/>
      <c r="H4751" s="108" t="s">
        <v>2898</v>
      </c>
      <c r="I4751" s="581">
        <v>70.9</v>
      </c>
      <c r="J4751" s="108" t="s">
        <v>2899</v>
      </c>
      <c r="K4751" s="581">
        <v>0</v>
      </c>
      <c r="L4751" s="108" t="s">
        <v>2900</v>
      </c>
      <c r="M4751" s="581">
        <v>70.9</v>
      </c>
      <c r="N4751" s="573">
        <v>18.06</v>
      </c>
      <c r="O4751" s="556" t="str">
        <f t="shared" si="369"/>
        <v>DIF</v>
      </c>
      <c r="P4751" s="573"/>
      <c r="Q4751" s="556"/>
      <c r="R4751" s="582"/>
    </row>
    <row r="4752" ht="26.25" spans="1:18">
      <c r="A4752" s="556"/>
      <c r="B4752" s="557"/>
      <c r="C4752" s="108"/>
      <c r="D4752" s="108"/>
      <c r="E4752" s="108"/>
      <c r="F4752" s="108"/>
      <c r="G4752" s="108"/>
      <c r="H4752" s="108" t="s">
        <v>2901</v>
      </c>
      <c r="I4752" s="581">
        <v>141.29</v>
      </c>
      <c r="J4752" s="114"/>
      <c r="K4752" s="114" t="s">
        <v>2902</v>
      </c>
      <c r="L4752" s="108"/>
      <c r="M4752" s="581">
        <v>695.61</v>
      </c>
      <c r="N4752" s="573"/>
      <c r="O4752" s="556"/>
      <c r="P4752" s="573"/>
      <c r="Q4752" s="556"/>
      <c r="R4752" s="582"/>
    </row>
    <row r="4753" ht="15" spans="1:18">
      <c r="A4753" s="556"/>
      <c r="B4753" s="557"/>
      <c r="C4753" s="571"/>
      <c r="D4753" s="571"/>
      <c r="E4753" s="571"/>
      <c r="F4753" s="571"/>
      <c r="G4753" s="571"/>
      <c r="H4753" s="571"/>
      <c r="I4753" s="571"/>
      <c r="J4753" s="571"/>
      <c r="K4753" s="571"/>
      <c r="L4753" s="571"/>
      <c r="M4753" s="571"/>
      <c r="N4753" s="573"/>
      <c r="O4753" s="556"/>
      <c r="P4753" s="573"/>
      <c r="Q4753" s="556"/>
      <c r="R4753" s="582"/>
    </row>
    <row r="4754" ht="15" customHeight="1" spans="1:18">
      <c r="A4754" s="556"/>
      <c r="B4754" s="557">
        <f>C4753</f>
        <v>0</v>
      </c>
      <c r="C4754" s="76" t="s">
        <v>1642</v>
      </c>
      <c r="D4754" s="75" t="s">
        <v>63</v>
      </c>
      <c r="E4754" s="76" t="s">
        <v>64</v>
      </c>
      <c r="F4754" s="76" t="s">
        <v>65</v>
      </c>
      <c r="G4754" s="76" t="s">
        <v>2889</v>
      </c>
      <c r="H4754" s="76"/>
      <c r="I4754" s="77" t="s">
        <v>66</v>
      </c>
      <c r="J4754" s="75" t="s">
        <v>67</v>
      </c>
      <c r="K4754" s="75" t="s">
        <v>2890</v>
      </c>
      <c r="L4754" s="75" t="s">
        <v>68</v>
      </c>
      <c r="M4754" s="75" t="s">
        <v>70</v>
      </c>
      <c r="N4754" s="573">
        <v>28.93</v>
      </c>
      <c r="O4754" s="556" t="str">
        <f t="shared" ref="O4754:O4759" si="370">IF(N4754=M4754,"OK","DIF")</f>
        <v>DIF</v>
      </c>
      <c r="P4754" s="573"/>
      <c r="Q4754" s="556"/>
      <c r="R4754" s="582"/>
    </row>
    <row r="4755" ht="38.25" spans="1:18">
      <c r="A4755" s="556">
        <f>B4755</f>
        <v>0</v>
      </c>
      <c r="B4755" s="557">
        <f>B4754</f>
        <v>0</v>
      </c>
      <c r="C4755" s="569" t="s">
        <v>2891</v>
      </c>
      <c r="D4755" s="570" t="s">
        <v>1643</v>
      </c>
      <c r="E4755" s="569" t="s">
        <v>132</v>
      </c>
      <c r="F4755" s="569" t="s">
        <v>1644</v>
      </c>
      <c r="G4755" s="569">
        <v>60</v>
      </c>
      <c r="H4755" s="569"/>
      <c r="I4755" s="577" t="s">
        <v>134</v>
      </c>
      <c r="J4755" s="578">
        <v>1</v>
      </c>
      <c r="K4755" s="579"/>
      <c r="L4755" s="579">
        <v>269.98</v>
      </c>
      <c r="M4755" s="579">
        <v>269.98</v>
      </c>
      <c r="N4755" s="573">
        <v>9.77</v>
      </c>
      <c r="O4755" s="556" t="str">
        <f t="shared" si="370"/>
        <v>DIF</v>
      </c>
      <c r="P4755" s="573"/>
      <c r="Q4755" s="556"/>
      <c r="R4755" s="582"/>
    </row>
    <row r="4756" ht="23.85" customHeight="1" spans="1:18">
      <c r="A4756" s="556">
        <f>B4756</f>
        <v>0</v>
      </c>
      <c r="B4756" s="557">
        <f>B4755</f>
        <v>0</v>
      </c>
      <c r="C4756" s="79" t="s">
        <v>2921</v>
      </c>
      <c r="D4756" s="78" t="s">
        <v>3153</v>
      </c>
      <c r="E4756" s="79" t="s">
        <v>139</v>
      </c>
      <c r="F4756" s="79" t="s">
        <v>3154</v>
      </c>
      <c r="G4756" s="79" t="s">
        <v>2928</v>
      </c>
      <c r="H4756" s="79"/>
      <c r="I4756" s="80" t="s">
        <v>2897</v>
      </c>
      <c r="J4756" s="583">
        <v>0.1</v>
      </c>
      <c r="K4756" s="583">
        <v>0</v>
      </c>
      <c r="L4756" s="92">
        <v>30.6</v>
      </c>
      <c r="M4756" s="92">
        <v>3.06</v>
      </c>
      <c r="N4756" s="573">
        <v>12.06</v>
      </c>
      <c r="O4756" s="556" t="str">
        <f t="shared" si="370"/>
        <v>DIF</v>
      </c>
      <c r="P4756" s="573"/>
      <c r="Q4756" s="556"/>
      <c r="R4756" s="582"/>
    </row>
    <row r="4757" ht="15" customHeight="1" spans="1:18">
      <c r="A4757" s="556">
        <f>B4757</f>
        <v>0</v>
      </c>
      <c r="B4757" s="557">
        <f>B4756</f>
        <v>0</v>
      </c>
      <c r="C4757" s="100" t="s">
        <v>2893</v>
      </c>
      <c r="D4757" s="99" t="s">
        <v>4435</v>
      </c>
      <c r="E4757" s="100" t="s">
        <v>149</v>
      </c>
      <c r="F4757" s="100" t="s">
        <v>4436</v>
      </c>
      <c r="G4757" s="100" t="s">
        <v>2961</v>
      </c>
      <c r="H4757" s="100"/>
      <c r="I4757" s="101" t="s">
        <v>134</v>
      </c>
      <c r="J4757" s="580">
        <v>1</v>
      </c>
      <c r="K4757" s="580">
        <v>0</v>
      </c>
      <c r="L4757" s="102">
        <v>266.92</v>
      </c>
      <c r="M4757" s="102">
        <v>266.92</v>
      </c>
      <c r="N4757" s="573">
        <v>6.4</v>
      </c>
      <c r="O4757" s="556" t="str">
        <f t="shared" si="370"/>
        <v>DIF</v>
      </c>
      <c r="P4757" s="573"/>
      <c r="Q4757" s="556"/>
      <c r="R4757" s="582"/>
    </row>
    <row r="4758" ht="25.5" spans="1:18">
      <c r="A4758" s="556">
        <f>B4758</f>
        <v>0</v>
      </c>
      <c r="B4758" s="557">
        <f>B4757</f>
        <v>0</v>
      </c>
      <c r="C4758" s="108"/>
      <c r="D4758" s="108"/>
      <c r="E4758" s="108"/>
      <c r="F4758" s="108"/>
      <c r="G4758" s="108"/>
      <c r="H4758" s="108" t="s">
        <v>2898</v>
      </c>
      <c r="I4758" s="581">
        <v>2.05</v>
      </c>
      <c r="J4758" s="108" t="s">
        <v>2899</v>
      </c>
      <c r="K4758" s="581">
        <v>0</v>
      </c>
      <c r="L4758" s="108" t="s">
        <v>2900</v>
      </c>
      <c r="M4758" s="581">
        <v>2.05</v>
      </c>
      <c r="N4758" s="573">
        <v>0.35</v>
      </c>
      <c r="O4758" s="556" t="str">
        <f t="shared" si="370"/>
        <v>DIF</v>
      </c>
      <c r="P4758" s="573"/>
      <c r="Q4758" s="556"/>
      <c r="R4758" s="582"/>
    </row>
    <row r="4759" ht="26.25" spans="1:18">
      <c r="A4759" s="556">
        <f>B4759</f>
        <v>0</v>
      </c>
      <c r="B4759" s="557">
        <f>B4758</f>
        <v>0</v>
      </c>
      <c r="C4759" s="108"/>
      <c r="D4759" s="108"/>
      <c r="E4759" s="108"/>
      <c r="F4759" s="108"/>
      <c r="G4759" s="108"/>
      <c r="H4759" s="108" t="s">
        <v>2901</v>
      </c>
      <c r="I4759" s="581">
        <v>68.81</v>
      </c>
      <c r="J4759" s="114"/>
      <c r="K4759" s="114" t="s">
        <v>2902</v>
      </c>
      <c r="L4759" s="108"/>
      <c r="M4759" s="581">
        <v>338.79</v>
      </c>
      <c r="N4759" s="573">
        <v>0.35</v>
      </c>
      <c r="O4759" s="556" t="str">
        <f t="shared" si="370"/>
        <v>DIF</v>
      </c>
      <c r="P4759" s="573"/>
      <c r="Q4759" s="556"/>
      <c r="R4759" s="582"/>
    </row>
    <row r="4760" ht="15" spans="1:18">
      <c r="A4760" s="556"/>
      <c r="B4760" s="557"/>
      <c r="C4760" s="571"/>
      <c r="D4760" s="571"/>
      <c r="E4760" s="571"/>
      <c r="F4760" s="571"/>
      <c r="G4760" s="571"/>
      <c r="H4760" s="571"/>
      <c r="I4760" s="571"/>
      <c r="J4760" s="571"/>
      <c r="K4760" s="571"/>
      <c r="L4760" s="571"/>
      <c r="M4760" s="571"/>
      <c r="N4760" s="573"/>
      <c r="O4760" s="556"/>
      <c r="P4760" s="573"/>
      <c r="Q4760" s="556"/>
      <c r="R4760" s="582"/>
    </row>
    <row r="4761" ht="15" customHeight="1" spans="1:18">
      <c r="A4761" s="556"/>
      <c r="B4761" s="557"/>
      <c r="C4761" s="76" t="s">
        <v>1645</v>
      </c>
      <c r="D4761" s="75" t="s">
        <v>63</v>
      </c>
      <c r="E4761" s="76" t="s">
        <v>64</v>
      </c>
      <c r="F4761" s="76" t="s">
        <v>65</v>
      </c>
      <c r="G4761" s="76" t="s">
        <v>2889</v>
      </c>
      <c r="H4761" s="76"/>
      <c r="I4761" s="77" t="s">
        <v>66</v>
      </c>
      <c r="J4761" s="75" t="s">
        <v>67</v>
      </c>
      <c r="K4761" s="75" t="s">
        <v>2890</v>
      </c>
      <c r="L4761" s="75" t="s">
        <v>68</v>
      </c>
      <c r="M4761" s="75" t="s">
        <v>70</v>
      </c>
      <c r="N4761" s="573"/>
      <c r="O4761" s="556"/>
      <c r="P4761" s="573"/>
      <c r="Q4761" s="556"/>
      <c r="R4761" s="582"/>
    </row>
    <row r="4762" ht="35.05" customHeight="1" spans="1:18">
      <c r="A4762" s="556"/>
      <c r="B4762" s="557" t="str">
        <f>C4761</f>
        <v> 12.7.2.7 </v>
      </c>
      <c r="C4762" s="569" t="s">
        <v>2891</v>
      </c>
      <c r="D4762" s="570" t="s">
        <v>227</v>
      </c>
      <c r="E4762" s="569" t="s">
        <v>139</v>
      </c>
      <c r="F4762" s="569" t="s">
        <v>228</v>
      </c>
      <c r="G4762" s="569" t="s">
        <v>3150</v>
      </c>
      <c r="H4762" s="569"/>
      <c r="I4762" s="577" t="s">
        <v>204</v>
      </c>
      <c r="J4762" s="578">
        <v>1</v>
      </c>
      <c r="K4762" s="579"/>
      <c r="L4762" s="579">
        <v>4.98</v>
      </c>
      <c r="M4762" s="579">
        <v>4.98</v>
      </c>
      <c r="N4762" s="573">
        <v>394.48</v>
      </c>
      <c r="O4762" s="556" t="str">
        <f t="shared" ref="O4762:O4767" si="371">IF(N4762=M4762,"OK","DIF")</f>
        <v>DIF</v>
      </c>
      <c r="P4762" s="573"/>
      <c r="Q4762" s="556"/>
      <c r="R4762" s="582"/>
    </row>
    <row r="4763" ht="23.85" customHeight="1" spans="1:18">
      <c r="A4763" s="556" t="str">
        <f>B4763</f>
        <v> 12.7.2.7 </v>
      </c>
      <c r="B4763" s="557" t="str">
        <f>B4762</f>
        <v> 12.7.2.7 </v>
      </c>
      <c r="C4763" s="79" t="s">
        <v>2921</v>
      </c>
      <c r="D4763" s="78" t="s">
        <v>3151</v>
      </c>
      <c r="E4763" s="79" t="s">
        <v>139</v>
      </c>
      <c r="F4763" s="79" t="s">
        <v>3152</v>
      </c>
      <c r="G4763" s="79" t="s">
        <v>2928</v>
      </c>
      <c r="H4763" s="79"/>
      <c r="I4763" s="80" t="s">
        <v>2897</v>
      </c>
      <c r="J4763" s="583">
        <v>0.029</v>
      </c>
      <c r="K4763" s="583">
        <v>0</v>
      </c>
      <c r="L4763" s="92">
        <v>36.82</v>
      </c>
      <c r="M4763" s="92">
        <v>1.06</v>
      </c>
      <c r="N4763" s="573">
        <v>9.77</v>
      </c>
      <c r="O4763" s="556" t="str">
        <f t="shared" si="371"/>
        <v>DIF</v>
      </c>
      <c r="P4763" s="573"/>
      <c r="Q4763" s="556"/>
      <c r="R4763" s="582"/>
    </row>
    <row r="4764" ht="23.85" customHeight="1" spans="1:18">
      <c r="A4764" s="556" t="str">
        <f>B4764</f>
        <v> 12.7.2.7 </v>
      </c>
      <c r="B4764" s="557" t="str">
        <f>B4763</f>
        <v> 12.7.2.7 </v>
      </c>
      <c r="C4764" s="79" t="s">
        <v>2921</v>
      </c>
      <c r="D4764" s="78" t="s">
        <v>3153</v>
      </c>
      <c r="E4764" s="79" t="s">
        <v>139</v>
      </c>
      <c r="F4764" s="79" t="s">
        <v>3154</v>
      </c>
      <c r="G4764" s="79" t="s">
        <v>2928</v>
      </c>
      <c r="H4764" s="79"/>
      <c r="I4764" s="80" t="s">
        <v>2897</v>
      </c>
      <c r="J4764" s="583">
        <v>0.029</v>
      </c>
      <c r="K4764" s="583">
        <v>0</v>
      </c>
      <c r="L4764" s="92">
        <v>30.6</v>
      </c>
      <c r="M4764" s="92">
        <v>0.88</v>
      </c>
      <c r="N4764" s="573">
        <v>12.06</v>
      </c>
      <c r="O4764" s="556" t="str">
        <f t="shared" si="371"/>
        <v>DIF</v>
      </c>
      <c r="P4764" s="573"/>
      <c r="Q4764" s="556"/>
      <c r="R4764" s="582"/>
    </row>
    <row r="4765" ht="23.85" customHeight="1" spans="1:18">
      <c r="A4765" s="556" t="str">
        <f>B4765</f>
        <v> 12.7.2.7 </v>
      </c>
      <c r="B4765" s="557" t="str">
        <f>B4764</f>
        <v> 12.7.2.7 </v>
      </c>
      <c r="C4765" s="100" t="s">
        <v>2893</v>
      </c>
      <c r="D4765" s="99" t="s">
        <v>3161</v>
      </c>
      <c r="E4765" s="100" t="s">
        <v>139</v>
      </c>
      <c r="F4765" s="100" t="s">
        <v>3162</v>
      </c>
      <c r="G4765" s="100" t="s">
        <v>2961</v>
      </c>
      <c r="H4765" s="100"/>
      <c r="I4765" s="101" t="s">
        <v>134</v>
      </c>
      <c r="J4765" s="580">
        <v>0.0094</v>
      </c>
      <c r="K4765" s="580">
        <v>0</v>
      </c>
      <c r="L4765" s="102">
        <v>10.55</v>
      </c>
      <c r="M4765" s="102">
        <v>0.09</v>
      </c>
      <c r="N4765" s="573">
        <v>0.35</v>
      </c>
      <c r="O4765" s="556" t="str">
        <f t="shared" si="371"/>
        <v>DIF</v>
      </c>
      <c r="P4765" s="573"/>
      <c r="Q4765" s="556"/>
      <c r="R4765" s="582"/>
    </row>
    <row r="4766" ht="23.85" customHeight="1" spans="1:18">
      <c r="A4766" s="556" t="str">
        <f>B4766</f>
        <v> 12.7.2.7 </v>
      </c>
      <c r="B4766" s="557" t="str">
        <f>B4765</f>
        <v> 12.7.2.7 </v>
      </c>
      <c r="C4766" s="100" t="s">
        <v>2893</v>
      </c>
      <c r="D4766" s="99" t="s">
        <v>3163</v>
      </c>
      <c r="E4766" s="100" t="s">
        <v>139</v>
      </c>
      <c r="F4766" s="100" t="s">
        <v>3164</v>
      </c>
      <c r="G4766" s="100" t="s">
        <v>2961</v>
      </c>
      <c r="H4766" s="100"/>
      <c r="I4766" s="101" t="s">
        <v>204</v>
      </c>
      <c r="J4766" s="580">
        <v>1.2434</v>
      </c>
      <c r="K4766" s="580">
        <v>0</v>
      </c>
      <c r="L4766" s="102">
        <v>2.38</v>
      </c>
      <c r="M4766" s="102">
        <v>2.95</v>
      </c>
      <c r="N4766" s="573">
        <v>371.95</v>
      </c>
      <c r="O4766" s="556" t="str">
        <f t="shared" si="371"/>
        <v>DIF</v>
      </c>
      <c r="P4766" s="573"/>
      <c r="Q4766" s="556"/>
      <c r="R4766" s="582"/>
    </row>
    <row r="4767" ht="25.5" spans="1:18">
      <c r="A4767" s="556" t="str">
        <f>B4767</f>
        <v> 12.7.2.7 </v>
      </c>
      <c r="B4767" s="557" t="str">
        <f>B4766</f>
        <v> 12.7.2.7 </v>
      </c>
      <c r="C4767" s="108"/>
      <c r="D4767" s="108"/>
      <c r="E4767" s="108"/>
      <c r="F4767" s="108"/>
      <c r="G4767" s="108"/>
      <c r="H4767" s="108" t="s">
        <v>2898</v>
      </c>
      <c r="I4767" s="581">
        <v>1.36</v>
      </c>
      <c r="J4767" s="108" t="s">
        <v>2899</v>
      </c>
      <c r="K4767" s="581">
        <v>0</v>
      </c>
      <c r="L4767" s="108" t="s">
        <v>2900</v>
      </c>
      <c r="M4767" s="581">
        <v>1.36</v>
      </c>
      <c r="N4767" s="573">
        <v>0.35</v>
      </c>
      <c r="O4767" s="556" t="str">
        <f t="shared" si="371"/>
        <v>DIF</v>
      </c>
      <c r="P4767" s="573"/>
      <c r="Q4767" s="556"/>
      <c r="R4767" s="582"/>
    </row>
    <row r="4768" ht="26.25" spans="1:18">
      <c r="A4768" s="556"/>
      <c r="B4768" s="557"/>
      <c r="C4768" s="108"/>
      <c r="D4768" s="108"/>
      <c r="E4768" s="108"/>
      <c r="F4768" s="108"/>
      <c r="G4768" s="108"/>
      <c r="H4768" s="108" t="s">
        <v>2901</v>
      </c>
      <c r="I4768" s="581">
        <v>1.26</v>
      </c>
      <c r="J4768" s="114"/>
      <c r="K4768" s="114" t="s">
        <v>2902</v>
      </c>
      <c r="L4768" s="108"/>
      <c r="M4768" s="581">
        <v>6.24</v>
      </c>
      <c r="N4768" s="573"/>
      <c r="O4768" s="556"/>
      <c r="P4768" s="573"/>
      <c r="Q4768" s="556"/>
      <c r="R4768" s="582"/>
    </row>
    <row r="4769" ht="15" spans="1:18">
      <c r="A4769" s="556"/>
      <c r="B4769" s="557"/>
      <c r="C4769" s="571"/>
      <c r="D4769" s="571"/>
      <c r="E4769" s="571"/>
      <c r="F4769" s="571"/>
      <c r="G4769" s="571"/>
      <c r="H4769" s="571"/>
      <c r="I4769" s="571"/>
      <c r="J4769" s="571"/>
      <c r="K4769" s="571"/>
      <c r="L4769" s="571"/>
      <c r="M4769" s="571"/>
      <c r="N4769" s="573"/>
      <c r="O4769" s="556"/>
      <c r="P4769" s="573"/>
      <c r="Q4769" s="556"/>
      <c r="R4769" s="582"/>
    </row>
    <row r="4770" ht="15" customHeight="1" spans="1:18">
      <c r="A4770" s="556"/>
      <c r="B4770" s="557">
        <f>C4769</f>
        <v>0</v>
      </c>
      <c r="C4770" s="76" t="s">
        <v>1648</v>
      </c>
      <c r="D4770" s="75" t="s">
        <v>63</v>
      </c>
      <c r="E4770" s="76" t="s">
        <v>64</v>
      </c>
      <c r="F4770" s="76" t="s">
        <v>65</v>
      </c>
      <c r="G4770" s="76" t="s">
        <v>2889</v>
      </c>
      <c r="H4770" s="76"/>
      <c r="I4770" s="77" t="s">
        <v>66</v>
      </c>
      <c r="J4770" s="75" t="s">
        <v>67</v>
      </c>
      <c r="K4770" s="75" t="s">
        <v>2890</v>
      </c>
      <c r="L4770" s="75" t="s">
        <v>68</v>
      </c>
      <c r="M4770" s="75" t="s">
        <v>70</v>
      </c>
      <c r="N4770" s="573">
        <v>158.43</v>
      </c>
      <c r="O4770" s="556" t="str">
        <f t="shared" ref="O4770:O4775" si="372">IF(N4770=M4770,"OK","DIF")</f>
        <v>DIF</v>
      </c>
      <c r="P4770" s="573"/>
      <c r="Q4770" s="556"/>
      <c r="R4770" s="582"/>
    </row>
    <row r="4771" ht="46.25" customHeight="1" spans="1:18">
      <c r="A4771" s="556">
        <f>B4771</f>
        <v>0</v>
      </c>
      <c r="B4771" s="557">
        <f>B4770</f>
        <v>0</v>
      </c>
      <c r="C4771" s="569" t="s">
        <v>2891</v>
      </c>
      <c r="D4771" s="570" t="s">
        <v>1649</v>
      </c>
      <c r="E4771" s="569" t="s">
        <v>139</v>
      </c>
      <c r="F4771" s="569" t="s">
        <v>4437</v>
      </c>
      <c r="G4771" s="569" t="s">
        <v>3215</v>
      </c>
      <c r="H4771" s="569"/>
      <c r="I4771" s="577" t="s">
        <v>279</v>
      </c>
      <c r="J4771" s="578">
        <v>1</v>
      </c>
      <c r="K4771" s="579"/>
      <c r="L4771" s="579">
        <v>17.37</v>
      </c>
      <c r="M4771" s="579">
        <v>17.37</v>
      </c>
      <c r="N4771" s="573">
        <v>12.06</v>
      </c>
      <c r="O4771" s="556" t="str">
        <f t="shared" si="372"/>
        <v>DIF</v>
      </c>
      <c r="P4771" s="573"/>
      <c r="Q4771" s="556"/>
      <c r="R4771" s="582"/>
    </row>
    <row r="4772" ht="46.25" customHeight="1" spans="1:18">
      <c r="A4772" s="556">
        <f>B4772</f>
        <v>0</v>
      </c>
      <c r="B4772" s="557">
        <f>B4771</f>
        <v>0</v>
      </c>
      <c r="C4772" s="79" t="s">
        <v>2921</v>
      </c>
      <c r="D4772" s="78" t="s">
        <v>3924</v>
      </c>
      <c r="E4772" s="79" t="s">
        <v>139</v>
      </c>
      <c r="F4772" s="79" t="s">
        <v>3925</v>
      </c>
      <c r="G4772" s="79" t="s">
        <v>2995</v>
      </c>
      <c r="H4772" s="79"/>
      <c r="I4772" s="80" t="s">
        <v>3002</v>
      </c>
      <c r="J4772" s="583">
        <v>0.0568205</v>
      </c>
      <c r="K4772" s="583">
        <v>0</v>
      </c>
      <c r="L4772" s="92">
        <v>159.84</v>
      </c>
      <c r="M4772" s="92">
        <v>9.08</v>
      </c>
      <c r="N4772" s="573">
        <v>9.77</v>
      </c>
      <c r="O4772" s="556" t="str">
        <f t="shared" si="372"/>
        <v>DIF</v>
      </c>
      <c r="P4772" s="573"/>
      <c r="Q4772" s="556"/>
      <c r="R4772" s="582"/>
    </row>
    <row r="4773" ht="23.85" customHeight="1" spans="1:18">
      <c r="A4773" s="556">
        <f>B4773</f>
        <v>0</v>
      </c>
      <c r="B4773" s="557">
        <f>B4772</f>
        <v>0</v>
      </c>
      <c r="C4773" s="79" t="s">
        <v>2921</v>
      </c>
      <c r="D4773" s="78" t="s">
        <v>2952</v>
      </c>
      <c r="E4773" s="79" t="s">
        <v>139</v>
      </c>
      <c r="F4773" s="79" t="s">
        <v>2953</v>
      </c>
      <c r="G4773" s="79" t="s">
        <v>2928</v>
      </c>
      <c r="H4773" s="79"/>
      <c r="I4773" s="80" t="s">
        <v>2897</v>
      </c>
      <c r="J4773" s="583">
        <v>0.1209135</v>
      </c>
      <c r="K4773" s="583">
        <v>0</v>
      </c>
      <c r="L4773" s="92">
        <v>29.15</v>
      </c>
      <c r="M4773" s="92">
        <v>3.52</v>
      </c>
      <c r="N4773" s="573">
        <v>135.9</v>
      </c>
      <c r="O4773" s="556" t="str">
        <f t="shared" si="372"/>
        <v>DIF</v>
      </c>
      <c r="P4773" s="573"/>
      <c r="Q4773" s="556"/>
      <c r="R4773" s="582"/>
    </row>
    <row r="4774" ht="46.25" customHeight="1" spans="1:18">
      <c r="A4774" s="556">
        <f>B4774</f>
        <v>0</v>
      </c>
      <c r="B4774" s="557">
        <f>B4773</f>
        <v>0</v>
      </c>
      <c r="C4774" s="79" t="s">
        <v>2921</v>
      </c>
      <c r="D4774" s="78" t="s">
        <v>3912</v>
      </c>
      <c r="E4774" s="79" t="s">
        <v>139</v>
      </c>
      <c r="F4774" s="79" t="s">
        <v>3913</v>
      </c>
      <c r="G4774" s="79" t="s">
        <v>2995</v>
      </c>
      <c r="H4774" s="79"/>
      <c r="I4774" s="80" t="s">
        <v>2996</v>
      </c>
      <c r="J4774" s="583">
        <v>0.0640929</v>
      </c>
      <c r="K4774" s="583">
        <v>0</v>
      </c>
      <c r="L4774" s="92">
        <v>74.56</v>
      </c>
      <c r="M4774" s="92">
        <v>4.77</v>
      </c>
      <c r="N4774" s="573">
        <v>0.35</v>
      </c>
      <c r="O4774" s="556" t="str">
        <f t="shared" si="372"/>
        <v>DIF</v>
      </c>
      <c r="P4774" s="573"/>
      <c r="Q4774" s="556"/>
      <c r="R4774" s="582"/>
    </row>
    <row r="4775" ht="25.5" spans="1:18">
      <c r="A4775" s="556">
        <f>B4775</f>
        <v>0</v>
      </c>
      <c r="B4775" s="557">
        <f>B4774</f>
        <v>0</v>
      </c>
      <c r="C4775" s="108"/>
      <c r="D4775" s="108"/>
      <c r="E4775" s="108"/>
      <c r="F4775" s="108"/>
      <c r="G4775" s="108"/>
      <c r="H4775" s="108" t="s">
        <v>2898</v>
      </c>
      <c r="I4775" s="581">
        <v>6.09</v>
      </c>
      <c r="J4775" s="108" t="s">
        <v>2899</v>
      </c>
      <c r="K4775" s="581">
        <v>0</v>
      </c>
      <c r="L4775" s="108" t="s">
        <v>2900</v>
      </c>
      <c r="M4775" s="581">
        <v>6.09</v>
      </c>
      <c r="N4775" s="573">
        <v>0.35</v>
      </c>
      <c r="O4775" s="556" t="str">
        <f t="shared" si="372"/>
        <v>DIF</v>
      </c>
      <c r="P4775" s="573"/>
      <c r="Q4775" s="556"/>
      <c r="R4775" s="582"/>
    </row>
    <row r="4776" ht="26.25" spans="1:18">
      <c r="A4776" s="556"/>
      <c r="B4776" s="557"/>
      <c r="C4776" s="108"/>
      <c r="D4776" s="108"/>
      <c r="E4776" s="108"/>
      <c r="F4776" s="108"/>
      <c r="G4776" s="108"/>
      <c r="H4776" s="108" t="s">
        <v>2901</v>
      </c>
      <c r="I4776" s="581">
        <v>4.42</v>
      </c>
      <c r="J4776" s="114"/>
      <c r="K4776" s="114" t="s">
        <v>2902</v>
      </c>
      <c r="L4776" s="108"/>
      <c r="M4776" s="581">
        <v>21.79</v>
      </c>
      <c r="N4776" s="573"/>
      <c r="O4776" s="556"/>
      <c r="P4776" s="573"/>
      <c r="Q4776" s="556"/>
      <c r="R4776" s="582"/>
    </row>
    <row r="4777" ht="15" spans="1:18">
      <c r="A4777" s="556"/>
      <c r="B4777" s="557"/>
      <c r="C4777" s="571"/>
      <c r="D4777" s="571"/>
      <c r="E4777" s="571"/>
      <c r="F4777" s="571"/>
      <c r="G4777" s="571"/>
      <c r="H4777" s="571"/>
      <c r="I4777" s="571"/>
      <c r="J4777" s="571"/>
      <c r="K4777" s="571"/>
      <c r="L4777" s="571"/>
      <c r="M4777" s="571"/>
      <c r="N4777" s="573"/>
      <c r="O4777" s="556"/>
      <c r="P4777" s="573"/>
      <c r="Q4777" s="556"/>
      <c r="R4777" s="582"/>
    </row>
    <row r="4778" ht="15" customHeight="1" spans="1:18">
      <c r="A4778" s="556"/>
      <c r="B4778" s="557">
        <f>C4777</f>
        <v>0</v>
      </c>
      <c r="C4778" s="76" t="s">
        <v>1651</v>
      </c>
      <c r="D4778" s="75" t="s">
        <v>63</v>
      </c>
      <c r="E4778" s="76" t="s">
        <v>64</v>
      </c>
      <c r="F4778" s="76" t="s">
        <v>65</v>
      </c>
      <c r="G4778" s="76" t="s">
        <v>2889</v>
      </c>
      <c r="H4778" s="76"/>
      <c r="I4778" s="77" t="s">
        <v>66</v>
      </c>
      <c r="J4778" s="75" t="s">
        <v>67</v>
      </c>
      <c r="K4778" s="75" t="s">
        <v>2890</v>
      </c>
      <c r="L4778" s="75" t="s">
        <v>68</v>
      </c>
      <c r="M4778" s="75" t="s">
        <v>70</v>
      </c>
      <c r="N4778" s="573">
        <v>26.42</v>
      </c>
      <c r="O4778" s="556" t="str">
        <f t="shared" ref="O4778:O4783" si="373">IF(N4778=M4778,"OK","DIF")</f>
        <v>DIF</v>
      </c>
      <c r="P4778" s="573"/>
      <c r="Q4778" s="556"/>
      <c r="R4778" s="582"/>
    </row>
    <row r="4779" ht="46.25" customHeight="1" spans="1:18">
      <c r="A4779" s="556">
        <f>B4779</f>
        <v>0</v>
      </c>
      <c r="B4779" s="557">
        <f>B4778</f>
        <v>0</v>
      </c>
      <c r="C4779" s="569" t="s">
        <v>2891</v>
      </c>
      <c r="D4779" s="570" t="s">
        <v>1652</v>
      </c>
      <c r="E4779" s="569" t="s">
        <v>139</v>
      </c>
      <c r="F4779" s="569" t="s">
        <v>4438</v>
      </c>
      <c r="G4779" s="569" t="s">
        <v>3303</v>
      </c>
      <c r="H4779" s="569"/>
      <c r="I4779" s="577" t="s">
        <v>279</v>
      </c>
      <c r="J4779" s="578">
        <v>1</v>
      </c>
      <c r="K4779" s="579"/>
      <c r="L4779" s="579">
        <v>22.09</v>
      </c>
      <c r="M4779" s="579">
        <v>22.09</v>
      </c>
      <c r="N4779" s="573">
        <v>7.79</v>
      </c>
      <c r="O4779" s="556" t="str">
        <f t="shared" si="373"/>
        <v>DIF</v>
      </c>
      <c r="P4779" s="573"/>
      <c r="Q4779" s="556"/>
      <c r="R4779" s="582"/>
    </row>
    <row r="4780" ht="46.25" customHeight="1" spans="1:18">
      <c r="A4780" s="556">
        <f>B4780</f>
        <v>0</v>
      </c>
      <c r="B4780" s="557">
        <f>B4779</f>
        <v>0</v>
      </c>
      <c r="C4780" s="79" t="s">
        <v>2921</v>
      </c>
      <c r="D4780" s="78" t="s">
        <v>3924</v>
      </c>
      <c r="E4780" s="79" t="s">
        <v>139</v>
      </c>
      <c r="F4780" s="79" t="s">
        <v>3925</v>
      </c>
      <c r="G4780" s="79" t="s">
        <v>2995</v>
      </c>
      <c r="H4780" s="79"/>
      <c r="I4780" s="80" t="s">
        <v>3002</v>
      </c>
      <c r="J4780" s="583">
        <v>0.0538</v>
      </c>
      <c r="K4780" s="583">
        <v>0</v>
      </c>
      <c r="L4780" s="92">
        <v>159.84</v>
      </c>
      <c r="M4780" s="92">
        <v>8.59</v>
      </c>
      <c r="N4780" s="573">
        <v>9.61</v>
      </c>
      <c r="O4780" s="556" t="str">
        <f t="shared" si="373"/>
        <v>DIF</v>
      </c>
      <c r="P4780" s="573"/>
      <c r="Q4780" s="556"/>
      <c r="R4780" s="582"/>
    </row>
    <row r="4781" ht="23.85" customHeight="1" spans="1:18">
      <c r="A4781" s="556">
        <f>B4781</f>
        <v>0</v>
      </c>
      <c r="B4781" s="557">
        <f>B4780</f>
        <v>0</v>
      </c>
      <c r="C4781" s="79" t="s">
        <v>2921</v>
      </c>
      <c r="D4781" s="78" t="s">
        <v>2952</v>
      </c>
      <c r="E4781" s="79" t="s">
        <v>139</v>
      </c>
      <c r="F4781" s="79" t="s">
        <v>2953</v>
      </c>
      <c r="G4781" s="79" t="s">
        <v>2928</v>
      </c>
      <c r="H4781" s="79"/>
      <c r="I4781" s="80" t="s">
        <v>2897</v>
      </c>
      <c r="J4781" s="583">
        <v>0.1676</v>
      </c>
      <c r="K4781" s="583">
        <v>0</v>
      </c>
      <c r="L4781" s="92">
        <v>29.15</v>
      </c>
      <c r="M4781" s="92">
        <v>4.88</v>
      </c>
      <c r="N4781" s="573">
        <v>0.13</v>
      </c>
      <c r="O4781" s="556" t="str">
        <f t="shared" si="373"/>
        <v>DIF</v>
      </c>
      <c r="P4781" s="573"/>
      <c r="Q4781" s="556"/>
      <c r="R4781" s="582"/>
    </row>
    <row r="4782" ht="35.05" customHeight="1" spans="1:18">
      <c r="A4782" s="556">
        <f>B4782</f>
        <v>0</v>
      </c>
      <c r="B4782" s="557">
        <f>B4781</f>
        <v>0</v>
      </c>
      <c r="C4782" s="79" t="s">
        <v>2921</v>
      </c>
      <c r="D4782" s="78" t="s">
        <v>4071</v>
      </c>
      <c r="E4782" s="79" t="s">
        <v>139</v>
      </c>
      <c r="F4782" s="79" t="s">
        <v>4072</v>
      </c>
      <c r="G4782" s="79" t="s">
        <v>2995</v>
      </c>
      <c r="H4782" s="79"/>
      <c r="I4782" s="80" t="s">
        <v>3002</v>
      </c>
      <c r="J4782" s="583">
        <v>0.0942</v>
      </c>
      <c r="K4782" s="583">
        <v>0</v>
      </c>
      <c r="L4782" s="92">
        <v>10.19</v>
      </c>
      <c r="M4782" s="92">
        <v>0.95</v>
      </c>
      <c r="N4782" s="573">
        <v>0.15</v>
      </c>
      <c r="O4782" s="556" t="str">
        <f t="shared" si="373"/>
        <v>DIF</v>
      </c>
      <c r="P4782" s="573"/>
      <c r="Q4782" s="556"/>
      <c r="R4782" s="582"/>
    </row>
    <row r="4783" ht="46.25" customHeight="1" spans="1:18">
      <c r="A4783" s="556">
        <f>B4783</f>
        <v>0</v>
      </c>
      <c r="B4783" s="557">
        <f>B4782</f>
        <v>0</v>
      </c>
      <c r="C4783" s="79" t="s">
        <v>2921</v>
      </c>
      <c r="D4783" s="78" t="s">
        <v>3308</v>
      </c>
      <c r="E4783" s="79" t="s">
        <v>139</v>
      </c>
      <c r="F4783" s="79" t="s">
        <v>3309</v>
      </c>
      <c r="G4783" s="79" t="s">
        <v>2995</v>
      </c>
      <c r="H4783" s="79"/>
      <c r="I4783" s="80" t="s">
        <v>3002</v>
      </c>
      <c r="J4783" s="583">
        <v>0.0054</v>
      </c>
      <c r="K4783" s="583">
        <v>0</v>
      </c>
      <c r="L4783" s="92">
        <v>339.64</v>
      </c>
      <c r="M4783" s="92">
        <v>1.83</v>
      </c>
      <c r="N4783" s="573">
        <v>8.74</v>
      </c>
      <c r="O4783" s="556" t="str">
        <f t="shared" si="373"/>
        <v>DIF</v>
      </c>
      <c r="P4783" s="573"/>
      <c r="Q4783" s="556"/>
      <c r="R4783" s="582"/>
    </row>
    <row r="4784" ht="46.25" customHeight="1" spans="1:18">
      <c r="A4784" s="556"/>
      <c r="B4784" s="557"/>
      <c r="C4784" s="79" t="s">
        <v>2921</v>
      </c>
      <c r="D4784" s="78" t="s">
        <v>3304</v>
      </c>
      <c r="E4784" s="79" t="s">
        <v>139</v>
      </c>
      <c r="F4784" s="79" t="s">
        <v>3305</v>
      </c>
      <c r="G4784" s="79" t="s">
        <v>2995</v>
      </c>
      <c r="H4784" s="79"/>
      <c r="I4784" s="80" t="s">
        <v>2996</v>
      </c>
      <c r="J4784" s="583">
        <v>0.0006</v>
      </c>
      <c r="K4784" s="583">
        <v>0</v>
      </c>
      <c r="L4784" s="92">
        <v>94.91</v>
      </c>
      <c r="M4784" s="92">
        <v>0.05</v>
      </c>
      <c r="N4784" s="573"/>
      <c r="O4784" s="556"/>
      <c r="P4784" s="573"/>
      <c r="Q4784" s="556"/>
      <c r="R4784" s="582"/>
    </row>
    <row r="4785" ht="46.25" customHeight="1" spans="1:18">
      <c r="A4785" s="556"/>
      <c r="B4785" s="557"/>
      <c r="C4785" s="79" t="s">
        <v>2921</v>
      </c>
      <c r="D4785" s="78" t="s">
        <v>3912</v>
      </c>
      <c r="E4785" s="79" t="s">
        <v>139</v>
      </c>
      <c r="F4785" s="79" t="s">
        <v>3913</v>
      </c>
      <c r="G4785" s="79" t="s">
        <v>2995</v>
      </c>
      <c r="H4785" s="79"/>
      <c r="I4785" s="80" t="s">
        <v>2996</v>
      </c>
      <c r="J4785" s="583">
        <v>0.0777</v>
      </c>
      <c r="K4785" s="583">
        <v>0</v>
      </c>
      <c r="L4785" s="92">
        <v>74.56</v>
      </c>
      <c r="M4785" s="92">
        <v>5.79</v>
      </c>
      <c r="N4785" s="573"/>
      <c r="O4785" s="556"/>
      <c r="P4785" s="573"/>
      <c r="Q4785" s="556"/>
      <c r="R4785" s="582"/>
    </row>
    <row r="4786" ht="25.5" spans="1:18">
      <c r="A4786" s="556"/>
      <c r="B4786" s="557" t="str">
        <f>C4785</f>
        <v>Composição Auxiliar</v>
      </c>
      <c r="C4786" s="108"/>
      <c r="D4786" s="108"/>
      <c r="E4786" s="108"/>
      <c r="F4786" s="108"/>
      <c r="G4786" s="108"/>
      <c r="H4786" s="108" t="s">
        <v>2898</v>
      </c>
      <c r="I4786" s="581">
        <v>7.56</v>
      </c>
      <c r="J4786" s="108" t="s">
        <v>2899</v>
      </c>
      <c r="K4786" s="581">
        <v>0</v>
      </c>
      <c r="L4786" s="108" t="s">
        <v>2900</v>
      </c>
      <c r="M4786" s="581">
        <v>7.56</v>
      </c>
      <c r="N4786" s="573">
        <v>14.78</v>
      </c>
      <c r="O4786" s="556" t="str">
        <f t="shared" ref="O4786:O4791" si="374">IF(N4786=M4786,"OK","DIF")</f>
        <v>DIF</v>
      </c>
      <c r="P4786" s="573"/>
      <c r="Q4786" s="556"/>
      <c r="R4786" s="582"/>
    </row>
    <row r="4787" ht="26.25" spans="1:18">
      <c r="A4787" s="556" t="str">
        <f>B4787</f>
        <v>Composição Auxiliar</v>
      </c>
      <c r="B4787" s="557" t="str">
        <f>B4786</f>
        <v>Composição Auxiliar</v>
      </c>
      <c r="C4787" s="108"/>
      <c r="D4787" s="108"/>
      <c r="E4787" s="108"/>
      <c r="F4787" s="108"/>
      <c r="G4787" s="108"/>
      <c r="H4787" s="108" t="s">
        <v>2901</v>
      </c>
      <c r="I4787" s="581">
        <v>5.63</v>
      </c>
      <c r="J4787" s="114"/>
      <c r="K4787" s="114" t="s">
        <v>2902</v>
      </c>
      <c r="L4787" s="108"/>
      <c r="M4787" s="581">
        <v>27.72</v>
      </c>
      <c r="N4787" s="573">
        <v>5.6</v>
      </c>
      <c r="O4787" s="556" t="str">
        <f t="shared" si="374"/>
        <v>DIF</v>
      </c>
      <c r="P4787" s="573"/>
      <c r="Q4787" s="556"/>
      <c r="R4787" s="582"/>
    </row>
    <row r="4788" ht="15" spans="1:18">
      <c r="A4788" s="556" t="str">
        <f>B4788</f>
        <v>Composição Auxiliar</v>
      </c>
      <c r="B4788" s="557" t="str">
        <f>B4787</f>
        <v>Composição Auxiliar</v>
      </c>
      <c r="C4788" s="571"/>
      <c r="D4788" s="571"/>
      <c r="E4788" s="571"/>
      <c r="F4788" s="571"/>
      <c r="G4788" s="571"/>
      <c r="H4788" s="571"/>
      <c r="I4788" s="571"/>
      <c r="J4788" s="571"/>
      <c r="K4788" s="571"/>
      <c r="L4788" s="571"/>
      <c r="M4788" s="571"/>
      <c r="N4788" s="573">
        <v>4.53</v>
      </c>
      <c r="O4788" s="556" t="str">
        <f t="shared" si="374"/>
        <v>DIF</v>
      </c>
      <c r="P4788" s="573"/>
      <c r="Q4788" s="556"/>
      <c r="R4788" s="582"/>
    </row>
    <row r="4789" ht="15" customHeight="1" spans="1:18">
      <c r="A4789" s="556" t="str">
        <f>B4789</f>
        <v>Composição Auxiliar</v>
      </c>
      <c r="B4789" s="557" t="str">
        <f>B4788</f>
        <v>Composição Auxiliar</v>
      </c>
      <c r="C4789" s="76" t="s">
        <v>1654</v>
      </c>
      <c r="D4789" s="75" t="s">
        <v>63</v>
      </c>
      <c r="E4789" s="76" t="s">
        <v>64</v>
      </c>
      <c r="F4789" s="76" t="s">
        <v>65</v>
      </c>
      <c r="G4789" s="76" t="s">
        <v>2889</v>
      </c>
      <c r="H4789" s="76"/>
      <c r="I4789" s="77" t="s">
        <v>66</v>
      </c>
      <c r="J4789" s="75" t="s">
        <v>67</v>
      </c>
      <c r="K4789" s="75" t="s">
        <v>2890</v>
      </c>
      <c r="L4789" s="75" t="s">
        <v>68</v>
      </c>
      <c r="M4789" s="75" t="s">
        <v>70</v>
      </c>
      <c r="N4789" s="573">
        <v>0.1</v>
      </c>
      <c r="O4789" s="556" t="str">
        <f t="shared" si="374"/>
        <v>DIF</v>
      </c>
      <c r="P4789" s="573"/>
      <c r="Q4789" s="556"/>
      <c r="R4789" s="582"/>
    </row>
    <row r="4790" ht="23.85" customHeight="1" spans="1:18">
      <c r="A4790" s="556" t="str">
        <f>B4790</f>
        <v>Composição Auxiliar</v>
      </c>
      <c r="B4790" s="557" t="str">
        <f>B4789</f>
        <v>Composição Auxiliar</v>
      </c>
      <c r="C4790" s="569" t="s">
        <v>2891</v>
      </c>
      <c r="D4790" s="570" t="s">
        <v>1655</v>
      </c>
      <c r="E4790" s="569" t="s">
        <v>139</v>
      </c>
      <c r="F4790" s="569" t="s">
        <v>1656</v>
      </c>
      <c r="G4790" s="569" t="s">
        <v>3221</v>
      </c>
      <c r="H4790" s="569"/>
      <c r="I4790" s="577" t="s">
        <v>204</v>
      </c>
      <c r="J4790" s="578">
        <v>1</v>
      </c>
      <c r="K4790" s="579"/>
      <c r="L4790" s="579">
        <v>78.29</v>
      </c>
      <c r="M4790" s="579">
        <v>78.29</v>
      </c>
      <c r="N4790" s="573">
        <v>0.09</v>
      </c>
      <c r="O4790" s="556" t="str">
        <f t="shared" si="374"/>
        <v>DIF</v>
      </c>
      <c r="P4790" s="573"/>
      <c r="Q4790" s="556"/>
      <c r="R4790" s="582"/>
    </row>
    <row r="4791" ht="23.85" customHeight="1" spans="1:18">
      <c r="A4791" s="556" t="str">
        <f>B4791</f>
        <v>Composição Auxiliar</v>
      </c>
      <c r="B4791" s="557" t="str">
        <f>B4790</f>
        <v>Composição Auxiliar</v>
      </c>
      <c r="C4791" s="79" t="s">
        <v>2921</v>
      </c>
      <c r="D4791" s="78" t="s">
        <v>3153</v>
      </c>
      <c r="E4791" s="79" t="s">
        <v>139</v>
      </c>
      <c r="F4791" s="79" t="s">
        <v>3154</v>
      </c>
      <c r="G4791" s="79" t="s">
        <v>2928</v>
      </c>
      <c r="H4791" s="79"/>
      <c r="I4791" s="80" t="s">
        <v>2897</v>
      </c>
      <c r="J4791" s="583">
        <v>0.2484</v>
      </c>
      <c r="K4791" s="583">
        <v>0</v>
      </c>
      <c r="L4791" s="92">
        <v>30.6</v>
      </c>
      <c r="M4791" s="92">
        <v>7.6</v>
      </c>
      <c r="N4791" s="573">
        <v>4.46</v>
      </c>
      <c r="O4791" s="556" t="str">
        <f t="shared" si="374"/>
        <v>DIF</v>
      </c>
      <c r="P4791" s="573"/>
      <c r="Q4791" s="556"/>
      <c r="R4791" s="582"/>
    </row>
    <row r="4792" ht="23.85" customHeight="1" spans="1:18">
      <c r="A4792" s="556"/>
      <c r="B4792" s="557"/>
      <c r="C4792" s="79" t="s">
        <v>2921</v>
      </c>
      <c r="D4792" s="78" t="s">
        <v>3151</v>
      </c>
      <c r="E4792" s="79" t="s">
        <v>139</v>
      </c>
      <c r="F4792" s="79" t="s">
        <v>3152</v>
      </c>
      <c r="G4792" s="79" t="s">
        <v>2928</v>
      </c>
      <c r="H4792" s="79"/>
      <c r="I4792" s="80" t="s">
        <v>2897</v>
      </c>
      <c r="J4792" s="583">
        <v>0.2484</v>
      </c>
      <c r="K4792" s="583">
        <v>0</v>
      </c>
      <c r="L4792" s="92">
        <v>36.82</v>
      </c>
      <c r="M4792" s="92">
        <v>9.14</v>
      </c>
      <c r="N4792" s="573"/>
      <c r="O4792" s="556"/>
      <c r="P4792" s="573"/>
      <c r="Q4792" s="556"/>
      <c r="R4792" s="582"/>
    </row>
    <row r="4793" ht="23.85" customHeight="1" spans="1:18">
      <c r="A4793" s="556"/>
      <c r="B4793" s="557"/>
      <c r="C4793" s="79" t="s">
        <v>2921</v>
      </c>
      <c r="D4793" s="78" t="s">
        <v>4439</v>
      </c>
      <c r="E4793" s="79" t="s">
        <v>139</v>
      </c>
      <c r="F4793" s="79" t="s">
        <v>4440</v>
      </c>
      <c r="G4793" s="79" t="s">
        <v>3221</v>
      </c>
      <c r="H4793" s="79"/>
      <c r="I4793" s="80" t="s">
        <v>134</v>
      </c>
      <c r="J4793" s="583">
        <v>0.6667</v>
      </c>
      <c r="K4793" s="583">
        <v>0</v>
      </c>
      <c r="L4793" s="92">
        <v>30.28</v>
      </c>
      <c r="M4793" s="92">
        <v>20.18</v>
      </c>
      <c r="N4793" s="573"/>
      <c r="O4793" s="556"/>
      <c r="P4793" s="573"/>
      <c r="Q4793" s="556"/>
      <c r="R4793" s="582"/>
    </row>
    <row r="4794" ht="15" customHeight="1" spans="1:18">
      <c r="A4794" s="556"/>
      <c r="B4794" s="557" t="str">
        <f>C4793</f>
        <v>Composição Auxiliar</v>
      </c>
      <c r="C4794" s="100" t="s">
        <v>2893</v>
      </c>
      <c r="D4794" s="99" t="s">
        <v>4355</v>
      </c>
      <c r="E4794" s="100" t="s">
        <v>139</v>
      </c>
      <c r="F4794" s="100" t="s">
        <v>4356</v>
      </c>
      <c r="G4794" s="100" t="s">
        <v>2961</v>
      </c>
      <c r="H4794" s="100"/>
      <c r="I4794" s="101" t="s">
        <v>204</v>
      </c>
      <c r="J4794" s="580">
        <v>1.05</v>
      </c>
      <c r="K4794" s="580">
        <v>0</v>
      </c>
      <c r="L4794" s="102">
        <v>39.4</v>
      </c>
      <c r="M4794" s="102">
        <v>41.37</v>
      </c>
      <c r="N4794" s="573">
        <v>14.8</v>
      </c>
      <c r="O4794" s="556" t="str">
        <f>IF(N4794=M4794,"OK","DIF")</f>
        <v>DIF</v>
      </c>
      <c r="P4794" s="573"/>
      <c r="Q4794" s="556"/>
      <c r="R4794" s="582"/>
    </row>
    <row r="4795" ht="25.5" spans="1:18">
      <c r="A4795" s="556" t="str">
        <f>B4795</f>
        <v>Composição Auxiliar</v>
      </c>
      <c r="B4795" s="557" t="str">
        <f>B4794</f>
        <v>Composição Auxiliar</v>
      </c>
      <c r="C4795" s="108"/>
      <c r="D4795" s="108"/>
      <c r="E4795" s="108"/>
      <c r="F4795" s="108"/>
      <c r="G4795" s="108"/>
      <c r="H4795" s="108" t="s">
        <v>2898</v>
      </c>
      <c r="I4795" s="581">
        <v>21.53</v>
      </c>
      <c r="J4795" s="108" t="s">
        <v>2899</v>
      </c>
      <c r="K4795" s="581">
        <v>0</v>
      </c>
      <c r="L4795" s="108" t="s">
        <v>2900</v>
      </c>
      <c r="M4795" s="581">
        <v>21.53</v>
      </c>
      <c r="N4795" s="573">
        <v>5.53</v>
      </c>
      <c r="O4795" s="556" t="str">
        <f>IF(N4795=M4795,"OK","DIF")</f>
        <v>DIF</v>
      </c>
      <c r="P4795" s="573"/>
      <c r="Q4795" s="556"/>
      <c r="R4795" s="582"/>
    </row>
    <row r="4796" ht="26.25" spans="1:18">
      <c r="A4796" s="556" t="str">
        <f>B4796</f>
        <v>Composição Auxiliar</v>
      </c>
      <c r="B4796" s="557" t="str">
        <f>B4795</f>
        <v>Composição Auxiliar</v>
      </c>
      <c r="C4796" s="108"/>
      <c r="D4796" s="108"/>
      <c r="E4796" s="108"/>
      <c r="F4796" s="108"/>
      <c r="G4796" s="108"/>
      <c r="H4796" s="108" t="s">
        <v>2901</v>
      </c>
      <c r="I4796" s="581">
        <v>19.95</v>
      </c>
      <c r="J4796" s="114"/>
      <c r="K4796" s="114" t="s">
        <v>2902</v>
      </c>
      <c r="L4796" s="108"/>
      <c r="M4796" s="581">
        <v>98.24</v>
      </c>
      <c r="N4796" s="573">
        <v>4.48</v>
      </c>
      <c r="O4796" s="556" t="str">
        <f>IF(N4796=M4796,"OK","DIF")</f>
        <v>DIF</v>
      </c>
      <c r="P4796" s="573"/>
      <c r="Q4796" s="556"/>
      <c r="R4796" s="582"/>
    </row>
    <row r="4797" ht="15" spans="1:18">
      <c r="A4797" s="556" t="str">
        <f>B4797</f>
        <v>Composição Auxiliar</v>
      </c>
      <c r="B4797" s="557" t="str">
        <f>B4796</f>
        <v>Composição Auxiliar</v>
      </c>
      <c r="C4797" s="571"/>
      <c r="D4797" s="571"/>
      <c r="E4797" s="571"/>
      <c r="F4797" s="571"/>
      <c r="G4797" s="571"/>
      <c r="H4797" s="571"/>
      <c r="I4797" s="571"/>
      <c r="J4797" s="571"/>
      <c r="K4797" s="571"/>
      <c r="L4797" s="571"/>
      <c r="M4797" s="571"/>
      <c r="N4797" s="573">
        <v>0.05</v>
      </c>
      <c r="O4797" s="556" t="str">
        <f>IF(N4797=M4797,"OK","DIF")</f>
        <v>DIF</v>
      </c>
      <c r="P4797" s="573"/>
      <c r="Q4797" s="556"/>
      <c r="R4797" s="582"/>
    </row>
    <row r="4798" ht="15" customHeight="1" spans="1:18">
      <c r="A4798" s="556" t="str">
        <f>B4798</f>
        <v>Composição Auxiliar</v>
      </c>
      <c r="B4798" s="557" t="str">
        <f>B4797</f>
        <v>Composição Auxiliar</v>
      </c>
      <c r="C4798" s="76" t="s">
        <v>1657</v>
      </c>
      <c r="D4798" s="75" t="s">
        <v>63</v>
      </c>
      <c r="E4798" s="76" t="s">
        <v>64</v>
      </c>
      <c r="F4798" s="76" t="s">
        <v>65</v>
      </c>
      <c r="G4798" s="76" t="s">
        <v>2889</v>
      </c>
      <c r="H4798" s="76"/>
      <c r="I4798" s="77" t="s">
        <v>66</v>
      </c>
      <c r="J4798" s="75" t="s">
        <v>67</v>
      </c>
      <c r="K4798" s="75" t="s">
        <v>2890</v>
      </c>
      <c r="L4798" s="75" t="s">
        <v>68</v>
      </c>
      <c r="M4798" s="75" t="s">
        <v>70</v>
      </c>
      <c r="N4798" s="573">
        <v>4.74</v>
      </c>
      <c r="O4798" s="556" t="str">
        <f>IF(N4798=M4798,"OK","DIF")</f>
        <v>DIF</v>
      </c>
      <c r="P4798" s="573"/>
      <c r="Q4798" s="556"/>
      <c r="R4798" s="582"/>
    </row>
    <row r="4799" ht="23.85" customHeight="1" spans="1:18">
      <c r="A4799" s="556"/>
      <c r="B4799" s="557"/>
      <c r="C4799" s="569" t="s">
        <v>2891</v>
      </c>
      <c r="D4799" s="570" t="s">
        <v>1516</v>
      </c>
      <c r="E4799" s="569" t="s">
        <v>139</v>
      </c>
      <c r="F4799" s="569" t="s">
        <v>1517</v>
      </c>
      <c r="G4799" s="569" t="s">
        <v>3221</v>
      </c>
      <c r="H4799" s="569"/>
      <c r="I4799" s="577" t="s">
        <v>204</v>
      </c>
      <c r="J4799" s="578">
        <v>1</v>
      </c>
      <c r="K4799" s="579"/>
      <c r="L4799" s="579">
        <v>61.15</v>
      </c>
      <c r="M4799" s="579">
        <v>61.15</v>
      </c>
      <c r="N4799" s="573"/>
      <c r="O4799" s="556"/>
      <c r="P4799" s="573"/>
      <c r="Q4799" s="556"/>
      <c r="R4799" s="582"/>
    </row>
    <row r="4800" ht="23.85" customHeight="1" spans="1:18">
      <c r="A4800" s="556"/>
      <c r="B4800" s="557"/>
      <c r="C4800" s="79" t="s">
        <v>2921</v>
      </c>
      <c r="D4800" s="78" t="s">
        <v>3151</v>
      </c>
      <c r="E4800" s="79" t="s">
        <v>139</v>
      </c>
      <c r="F4800" s="79" t="s">
        <v>3152</v>
      </c>
      <c r="G4800" s="79" t="s">
        <v>2928</v>
      </c>
      <c r="H4800" s="79"/>
      <c r="I4800" s="80" t="s">
        <v>2897</v>
      </c>
      <c r="J4800" s="583">
        <v>0.0331</v>
      </c>
      <c r="K4800" s="583">
        <v>0</v>
      </c>
      <c r="L4800" s="92">
        <v>36.82</v>
      </c>
      <c r="M4800" s="92">
        <v>1.21</v>
      </c>
      <c r="N4800" s="573"/>
      <c r="O4800" s="556"/>
      <c r="P4800" s="573"/>
      <c r="Q4800" s="556"/>
      <c r="R4800" s="582"/>
    </row>
    <row r="4801" ht="23.85" customHeight="1" spans="1:18">
      <c r="A4801" s="556"/>
      <c r="B4801" s="557" t="str">
        <f>C4800</f>
        <v>Composição Auxiliar</v>
      </c>
      <c r="C4801" s="79" t="s">
        <v>2921</v>
      </c>
      <c r="D4801" s="78" t="s">
        <v>3153</v>
      </c>
      <c r="E4801" s="79" t="s">
        <v>139</v>
      </c>
      <c r="F4801" s="79" t="s">
        <v>3154</v>
      </c>
      <c r="G4801" s="79" t="s">
        <v>2928</v>
      </c>
      <c r="H4801" s="79"/>
      <c r="I4801" s="80" t="s">
        <v>2897</v>
      </c>
      <c r="J4801" s="583">
        <v>0.0331</v>
      </c>
      <c r="K4801" s="583">
        <v>0</v>
      </c>
      <c r="L4801" s="92">
        <v>30.6</v>
      </c>
      <c r="M4801" s="92">
        <v>1.01</v>
      </c>
      <c r="N4801" s="573">
        <v>154.33</v>
      </c>
      <c r="O4801" s="556" t="str">
        <f>IF(N4801=M4801,"OK","DIF")</f>
        <v>DIF</v>
      </c>
      <c r="P4801" s="573"/>
      <c r="Q4801" s="556"/>
      <c r="R4801" s="582"/>
    </row>
    <row r="4802" ht="15" customHeight="1" spans="1:18">
      <c r="A4802" s="556" t="str">
        <f>B4802</f>
        <v>Composição Auxiliar</v>
      </c>
      <c r="B4802" s="557" t="str">
        <f>B4801</f>
        <v>Composição Auxiliar</v>
      </c>
      <c r="C4802" s="100" t="s">
        <v>2893</v>
      </c>
      <c r="D4802" s="99" t="s">
        <v>4357</v>
      </c>
      <c r="E4802" s="100" t="s">
        <v>139</v>
      </c>
      <c r="F4802" s="100" t="s">
        <v>4358</v>
      </c>
      <c r="G4802" s="100" t="s">
        <v>2961</v>
      </c>
      <c r="H4802" s="100"/>
      <c r="I4802" s="101" t="s">
        <v>204</v>
      </c>
      <c r="J4802" s="580">
        <v>1.05</v>
      </c>
      <c r="K4802" s="580">
        <v>0</v>
      </c>
      <c r="L4802" s="102">
        <v>56.13</v>
      </c>
      <c r="M4802" s="102">
        <v>58.93</v>
      </c>
      <c r="N4802" s="573">
        <v>27.3</v>
      </c>
      <c r="O4802" s="556" t="str">
        <f>IF(N4802=M4802,"OK","DIF")</f>
        <v>DIF</v>
      </c>
      <c r="P4802" s="573"/>
      <c r="Q4802" s="556"/>
      <c r="R4802" s="582"/>
    </row>
    <row r="4803" ht="25.5" spans="1:18">
      <c r="A4803" s="556" t="str">
        <f>B4803</f>
        <v>Composição Auxiliar</v>
      </c>
      <c r="B4803" s="557" t="str">
        <f>B4802</f>
        <v>Composição Auxiliar</v>
      </c>
      <c r="C4803" s="108"/>
      <c r="D4803" s="108"/>
      <c r="E4803" s="108"/>
      <c r="F4803" s="108"/>
      <c r="G4803" s="108"/>
      <c r="H4803" s="108" t="s">
        <v>2898</v>
      </c>
      <c r="I4803" s="581">
        <v>1.56</v>
      </c>
      <c r="J4803" s="108" t="s">
        <v>2899</v>
      </c>
      <c r="K4803" s="581">
        <v>0</v>
      </c>
      <c r="L4803" s="108" t="s">
        <v>2900</v>
      </c>
      <c r="M4803" s="581">
        <v>1.56</v>
      </c>
      <c r="N4803" s="573">
        <v>22.11</v>
      </c>
      <c r="O4803" s="556" t="str">
        <f>IF(N4803=M4803,"OK","DIF")</f>
        <v>DIF</v>
      </c>
      <c r="P4803" s="573"/>
      <c r="Q4803" s="556"/>
      <c r="R4803" s="582"/>
    </row>
    <row r="4804" ht="26.25" spans="1:18">
      <c r="A4804" s="556" t="str">
        <f>B4804</f>
        <v>Composição Auxiliar</v>
      </c>
      <c r="B4804" s="557" t="str">
        <f>B4803</f>
        <v>Composição Auxiliar</v>
      </c>
      <c r="C4804" s="108"/>
      <c r="D4804" s="108"/>
      <c r="E4804" s="108"/>
      <c r="F4804" s="108"/>
      <c r="G4804" s="108"/>
      <c r="H4804" s="108" t="s">
        <v>2901</v>
      </c>
      <c r="I4804" s="581">
        <v>15.58</v>
      </c>
      <c r="J4804" s="114"/>
      <c r="K4804" s="114" t="s">
        <v>2902</v>
      </c>
      <c r="L4804" s="108"/>
      <c r="M4804" s="581">
        <v>76.73</v>
      </c>
      <c r="N4804" s="573">
        <v>0.03</v>
      </c>
      <c r="O4804" s="556" t="str">
        <f>IF(N4804=M4804,"OK","DIF")</f>
        <v>DIF</v>
      </c>
      <c r="P4804" s="573"/>
      <c r="Q4804" s="556"/>
      <c r="R4804" s="582"/>
    </row>
    <row r="4805" ht="15" spans="1:18">
      <c r="A4805" s="556" t="str">
        <f>B4805</f>
        <v>Composição Auxiliar</v>
      </c>
      <c r="B4805" s="557" t="str">
        <f>B4804</f>
        <v>Composição Auxiliar</v>
      </c>
      <c r="C4805" s="571"/>
      <c r="D4805" s="571"/>
      <c r="E4805" s="571"/>
      <c r="F4805" s="571"/>
      <c r="G4805" s="571"/>
      <c r="H4805" s="571"/>
      <c r="I4805" s="571"/>
      <c r="J4805" s="571"/>
      <c r="K4805" s="571"/>
      <c r="L4805" s="571"/>
      <c r="M4805" s="571"/>
      <c r="N4805" s="573">
        <v>104.89</v>
      </c>
      <c r="O4805" s="556" t="str">
        <f>IF(N4805=M4805,"OK","DIF")</f>
        <v>DIF</v>
      </c>
      <c r="P4805" s="573"/>
      <c r="Q4805" s="556"/>
      <c r="R4805" s="582"/>
    </row>
    <row r="4806" ht="15" customHeight="1" spans="1:18">
      <c r="A4806" s="556"/>
      <c r="B4806" s="557"/>
      <c r="C4806" s="76" t="s">
        <v>1658</v>
      </c>
      <c r="D4806" s="75" t="s">
        <v>63</v>
      </c>
      <c r="E4806" s="76" t="s">
        <v>64</v>
      </c>
      <c r="F4806" s="76" t="s">
        <v>65</v>
      </c>
      <c r="G4806" s="76" t="s">
        <v>2889</v>
      </c>
      <c r="H4806" s="76"/>
      <c r="I4806" s="77" t="s">
        <v>66</v>
      </c>
      <c r="J4806" s="75" t="s">
        <v>67</v>
      </c>
      <c r="K4806" s="75" t="s">
        <v>2890</v>
      </c>
      <c r="L4806" s="75" t="s">
        <v>68</v>
      </c>
      <c r="M4806" s="75" t="s">
        <v>70</v>
      </c>
      <c r="N4806" s="573"/>
      <c r="O4806" s="556"/>
      <c r="P4806" s="573"/>
      <c r="Q4806" s="556"/>
      <c r="R4806" s="582"/>
    </row>
    <row r="4807" ht="51" spans="1:18">
      <c r="A4807" s="556"/>
      <c r="B4807" s="557"/>
      <c r="C4807" s="569" t="s">
        <v>2891</v>
      </c>
      <c r="D4807" s="570" t="s">
        <v>1659</v>
      </c>
      <c r="E4807" s="569" t="s">
        <v>77</v>
      </c>
      <c r="F4807" s="569" t="s">
        <v>4441</v>
      </c>
      <c r="G4807" s="569">
        <v>15</v>
      </c>
      <c r="H4807" s="569"/>
      <c r="I4807" s="577" t="s">
        <v>134</v>
      </c>
      <c r="J4807" s="578">
        <v>1</v>
      </c>
      <c r="K4807" s="579"/>
      <c r="L4807" s="579">
        <v>40.17</v>
      </c>
      <c r="M4807" s="579">
        <v>40.17</v>
      </c>
      <c r="N4807" s="573"/>
      <c r="O4807" s="556"/>
      <c r="P4807" s="573"/>
      <c r="Q4807" s="556"/>
      <c r="R4807" s="582"/>
    </row>
    <row r="4808" ht="23.85" customHeight="1" spans="1:18">
      <c r="A4808" s="556"/>
      <c r="B4808" s="557" t="str">
        <f>C4807</f>
        <v>Composição</v>
      </c>
      <c r="C4808" s="100" t="s">
        <v>2893</v>
      </c>
      <c r="D4808" s="99" t="s">
        <v>4442</v>
      </c>
      <c r="E4808" s="100" t="s">
        <v>77</v>
      </c>
      <c r="F4808" s="100" t="s">
        <v>4443</v>
      </c>
      <c r="G4808" s="100" t="s">
        <v>2961</v>
      </c>
      <c r="H4808" s="100"/>
      <c r="I4808" s="101" t="s">
        <v>134</v>
      </c>
      <c r="J4808" s="580">
        <v>1</v>
      </c>
      <c r="K4808" s="580">
        <v>0</v>
      </c>
      <c r="L4808" s="102">
        <v>16.66</v>
      </c>
      <c r="M4808" s="102">
        <v>16.66</v>
      </c>
      <c r="N4808" s="573">
        <v>414.87</v>
      </c>
      <c r="O4808" s="556" t="str">
        <f>IF(N4808=M4808,"OK","DIF")</f>
        <v>DIF</v>
      </c>
      <c r="P4808" s="573"/>
      <c r="Q4808" s="556"/>
      <c r="R4808" s="582"/>
    </row>
    <row r="4809" ht="23.85" customHeight="1" spans="1:18">
      <c r="A4809" s="556" t="str">
        <f>B4809</f>
        <v>Composição</v>
      </c>
      <c r="B4809" s="557" t="str">
        <f>B4808</f>
        <v>Composição</v>
      </c>
      <c r="C4809" s="100" t="s">
        <v>2893</v>
      </c>
      <c r="D4809" s="99" t="s">
        <v>3108</v>
      </c>
      <c r="E4809" s="100" t="s">
        <v>77</v>
      </c>
      <c r="F4809" s="100" t="s">
        <v>3109</v>
      </c>
      <c r="G4809" s="100" t="s">
        <v>2896</v>
      </c>
      <c r="H4809" s="100"/>
      <c r="I4809" s="101" t="s">
        <v>2897</v>
      </c>
      <c r="J4809" s="580">
        <v>0.5</v>
      </c>
      <c r="K4809" s="580">
        <v>3</v>
      </c>
      <c r="L4809" s="102">
        <v>19.16</v>
      </c>
      <c r="M4809" s="102">
        <v>9.86</v>
      </c>
      <c r="N4809" s="573">
        <v>33.48</v>
      </c>
      <c r="O4809" s="556" t="str">
        <f>IF(N4809=M4809,"OK","DIF")</f>
        <v>DIF</v>
      </c>
      <c r="P4809" s="573"/>
      <c r="Q4809" s="556"/>
      <c r="R4809" s="582"/>
    </row>
    <row r="4810" ht="23.85" customHeight="1" spans="1:18">
      <c r="A4810" s="556" t="str">
        <f>B4810</f>
        <v>Composição</v>
      </c>
      <c r="B4810" s="557" t="str">
        <f>B4809</f>
        <v>Composição</v>
      </c>
      <c r="C4810" s="100" t="s">
        <v>2893</v>
      </c>
      <c r="D4810" s="99" t="s">
        <v>4013</v>
      </c>
      <c r="E4810" s="100" t="s">
        <v>77</v>
      </c>
      <c r="F4810" s="100" t="s">
        <v>4014</v>
      </c>
      <c r="G4810" s="100" t="s">
        <v>2896</v>
      </c>
      <c r="H4810" s="100"/>
      <c r="I4810" s="101" t="s">
        <v>2897</v>
      </c>
      <c r="J4810" s="580">
        <v>0.5</v>
      </c>
      <c r="K4810" s="580">
        <v>3</v>
      </c>
      <c r="L4810" s="102">
        <v>26.52</v>
      </c>
      <c r="M4810" s="102">
        <v>13.65</v>
      </c>
      <c r="N4810" s="573">
        <v>43.94</v>
      </c>
      <c r="O4810" s="556" t="str">
        <f>IF(N4810=M4810,"OK","DIF")</f>
        <v>DIF</v>
      </c>
      <c r="P4810" s="573"/>
      <c r="Q4810" s="556"/>
      <c r="R4810" s="582"/>
    </row>
    <row r="4811" ht="25.5" spans="1:18">
      <c r="A4811" s="556" t="str">
        <f>B4811</f>
        <v>Composição</v>
      </c>
      <c r="B4811" s="557" t="str">
        <f>B4810</f>
        <v>Composição</v>
      </c>
      <c r="C4811" s="108"/>
      <c r="D4811" s="108"/>
      <c r="E4811" s="108"/>
      <c r="F4811" s="108"/>
      <c r="G4811" s="108"/>
      <c r="H4811" s="108" t="s">
        <v>2898</v>
      </c>
      <c r="I4811" s="581">
        <v>23.51</v>
      </c>
      <c r="J4811" s="108" t="s">
        <v>2899</v>
      </c>
      <c r="K4811" s="581">
        <v>0</v>
      </c>
      <c r="L4811" s="108" t="s">
        <v>2900</v>
      </c>
      <c r="M4811" s="581">
        <v>23.51</v>
      </c>
      <c r="N4811" s="573">
        <v>337.45</v>
      </c>
      <c r="O4811" s="556" t="str">
        <f>IF(N4811=M4811,"OK","DIF")</f>
        <v>DIF</v>
      </c>
      <c r="P4811" s="573"/>
      <c r="Q4811" s="556"/>
      <c r="R4811" s="582"/>
    </row>
    <row r="4812" ht="26.25" spans="1:18">
      <c r="A4812" s="556"/>
      <c r="B4812" s="557"/>
      <c r="C4812" s="108"/>
      <c r="D4812" s="108"/>
      <c r="E4812" s="108"/>
      <c r="F4812" s="108"/>
      <c r="G4812" s="108"/>
      <c r="H4812" s="108" t="s">
        <v>2901</v>
      </c>
      <c r="I4812" s="581">
        <v>10.23</v>
      </c>
      <c r="J4812" s="114"/>
      <c r="K4812" s="114" t="s">
        <v>2902</v>
      </c>
      <c r="L4812" s="108"/>
      <c r="M4812" s="581">
        <v>50.4</v>
      </c>
      <c r="N4812" s="573"/>
      <c r="O4812" s="556"/>
      <c r="P4812" s="573"/>
      <c r="Q4812" s="556"/>
      <c r="R4812" s="582"/>
    </row>
    <row r="4813" ht="15" spans="1:18">
      <c r="A4813" s="556"/>
      <c r="B4813" s="557"/>
      <c r="C4813" s="571"/>
      <c r="D4813" s="571"/>
      <c r="E4813" s="571"/>
      <c r="F4813" s="571"/>
      <c r="G4813" s="571"/>
      <c r="H4813" s="571"/>
      <c r="I4813" s="571"/>
      <c r="J4813" s="571"/>
      <c r="K4813" s="571"/>
      <c r="L4813" s="571"/>
      <c r="M4813" s="571"/>
      <c r="N4813" s="573"/>
      <c r="O4813" s="556"/>
      <c r="P4813" s="573"/>
      <c r="Q4813" s="556"/>
      <c r="R4813" s="582"/>
    </row>
    <row r="4814" ht="15" customHeight="1" spans="1:18">
      <c r="A4814" s="556"/>
      <c r="B4814" s="557">
        <f>C4813</f>
        <v>0</v>
      </c>
      <c r="C4814" s="76" t="s">
        <v>1661</v>
      </c>
      <c r="D4814" s="75" t="s">
        <v>63</v>
      </c>
      <c r="E4814" s="76" t="s">
        <v>64</v>
      </c>
      <c r="F4814" s="76" t="s">
        <v>65</v>
      </c>
      <c r="G4814" s="76" t="s">
        <v>2889</v>
      </c>
      <c r="H4814" s="76"/>
      <c r="I4814" s="77" t="s">
        <v>66</v>
      </c>
      <c r="J4814" s="75" t="s">
        <v>67</v>
      </c>
      <c r="K4814" s="75" t="s">
        <v>2890</v>
      </c>
      <c r="L4814" s="75" t="s">
        <v>68</v>
      </c>
      <c r="M4814" s="75" t="s">
        <v>70</v>
      </c>
      <c r="N4814" s="573">
        <v>1122.23</v>
      </c>
      <c r="O4814" s="556" t="str">
        <f>IF(N4814=M4814,"OK","DIF")</f>
        <v>DIF</v>
      </c>
      <c r="P4814" s="573"/>
      <c r="Q4814" s="556"/>
      <c r="R4814" s="582"/>
    </row>
    <row r="4815" ht="23.85" customHeight="1" spans="1:18">
      <c r="A4815" s="556">
        <f>B4815</f>
        <v>0</v>
      </c>
      <c r="B4815" s="557">
        <f>B4814</f>
        <v>0</v>
      </c>
      <c r="C4815" s="569" t="s">
        <v>2891</v>
      </c>
      <c r="D4815" s="570" t="s">
        <v>1662</v>
      </c>
      <c r="E4815" s="569" t="s">
        <v>796</v>
      </c>
      <c r="F4815" s="569" t="s">
        <v>1663</v>
      </c>
      <c r="G4815" s="569" t="s">
        <v>3704</v>
      </c>
      <c r="H4815" s="569"/>
      <c r="I4815" s="577" t="s">
        <v>334</v>
      </c>
      <c r="J4815" s="578">
        <v>1</v>
      </c>
      <c r="K4815" s="579"/>
      <c r="L4815" s="579">
        <v>234.14</v>
      </c>
      <c r="M4815" s="579">
        <v>234.14</v>
      </c>
      <c r="N4815" s="573">
        <v>85.24</v>
      </c>
      <c r="O4815" s="556" t="str">
        <f>IF(N4815=M4815,"OK","DIF")</f>
        <v>DIF</v>
      </c>
      <c r="P4815" s="573"/>
      <c r="Q4815" s="556"/>
      <c r="R4815" s="582"/>
    </row>
    <row r="4816" ht="91" customHeight="1" spans="1:18">
      <c r="A4816" s="556">
        <f>B4816</f>
        <v>0</v>
      </c>
      <c r="B4816" s="557">
        <f>B4815</f>
        <v>0</v>
      </c>
      <c r="C4816" s="79" t="s">
        <v>2921</v>
      </c>
      <c r="D4816" s="78" t="s">
        <v>4444</v>
      </c>
      <c r="E4816" s="79" t="s">
        <v>796</v>
      </c>
      <c r="F4816" s="79" t="s">
        <v>4445</v>
      </c>
      <c r="G4816" s="79" t="s">
        <v>4116</v>
      </c>
      <c r="H4816" s="79"/>
      <c r="I4816" s="80" t="s">
        <v>279</v>
      </c>
      <c r="J4816" s="583">
        <v>0.024</v>
      </c>
      <c r="K4816" s="583">
        <v>0</v>
      </c>
      <c r="L4816" s="92">
        <v>2877.83</v>
      </c>
      <c r="M4816" s="92">
        <v>69.06</v>
      </c>
      <c r="N4816" s="573">
        <v>32.99</v>
      </c>
      <c r="O4816" s="556" t="str">
        <f>IF(N4816=M4816,"OK","DIF")</f>
        <v>DIF</v>
      </c>
      <c r="P4816" s="573"/>
      <c r="Q4816" s="556"/>
      <c r="R4816" s="582"/>
    </row>
    <row r="4817" ht="15" customHeight="1" spans="1:18">
      <c r="A4817" s="556">
        <f>B4817</f>
        <v>0</v>
      </c>
      <c r="B4817" s="557">
        <f>B4816</f>
        <v>0</v>
      </c>
      <c r="C4817" s="100" t="s">
        <v>2893</v>
      </c>
      <c r="D4817" s="99" t="s">
        <v>3717</v>
      </c>
      <c r="E4817" s="100" t="s">
        <v>796</v>
      </c>
      <c r="F4817" s="100" t="s">
        <v>3718</v>
      </c>
      <c r="G4817" s="100" t="s">
        <v>2896</v>
      </c>
      <c r="H4817" s="100"/>
      <c r="I4817" s="101" t="s">
        <v>3707</v>
      </c>
      <c r="J4817" s="580">
        <v>2</v>
      </c>
      <c r="K4817" s="580">
        <v>0</v>
      </c>
      <c r="L4817" s="102">
        <v>23.89</v>
      </c>
      <c r="M4817" s="102">
        <v>47.78</v>
      </c>
      <c r="N4817" s="573">
        <v>908.1</v>
      </c>
      <c r="O4817" s="556" t="str">
        <f>IF(N4817=M4817,"OK","DIF")</f>
        <v>DIF</v>
      </c>
      <c r="P4817" s="573"/>
      <c r="Q4817" s="556"/>
      <c r="R4817" s="582"/>
    </row>
    <row r="4818" ht="15" customHeight="1" spans="1:18">
      <c r="A4818" s="556">
        <f>B4818</f>
        <v>0</v>
      </c>
      <c r="B4818" s="557">
        <f>B4817</f>
        <v>0</v>
      </c>
      <c r="C4818" s="100" t="s">
        <v>2893</v>
      </c>
      <c r="D4818" s="99" t="s">
        <v>4446</v>
      </c>
      <c r="E4818" s="100" t="s">
        <v>796</v>
      </c>
      <c r="F4818" s="100" t="s">
        <v>4447</v>
      </c>
      <c r="G4818" s="100" t="s">
        <v>2896</v>
      </c>
      <c r="H4818" s="100"/>
      <c r="I4818" s="101" t="s">
        <v>3707</v>
      </c>
      <c r="J4818" s="580">
        <v>2</v>
      </c>
      <c r="K4818" s="580">
        <v>0</v>
      </c>
      <c r="L4818" s="102">
        <v>30.57</v>
      </c>
      <c r="M4818" s="102">
        <v>61.14</v>
      </c>
      <c r="N4818" s="573">
        <v>95.9</v>
      </c>
      <c r="O4818" s="556" t="str">
        <f>IF(N4818=M4818,"OK","DIF")</f>
        <v>DIF</v>
      </c>
      <c r="P4818" s="573"/>
      <c r="Q4818" s="556"/>
      <c r="R4818" s="582"/>
    </row>
    <row r="4819" ht="15" customHeight="1" spans="1:18">
      <c r="A4819" s="556"/>
      <c r="B4819" s="557"/>
      <c r="C4819" s="100" t="s">
        <v>2893</v>
      </c>
      <c r="D4819" s="99" t="s">
        <v>4448</v>
      </c>
      <c r="E4819" s="100" t="s">
        <v>796</v>
      </c>
      <c r="F4819" s="100" t="s">
        <v>4449</v>
      </c>
      <c r="G4819" s="100" t="s">
        <v>2961</v>
      </c>
      <c r="H4819" s="100"/>
      <c r="I4819" s="101" t="s">
        <v>334</v>
      </c>
      <c r="J4819" s="580">
        <v>1</v>
      </c>
      <c r="K4819" s="580">
        <v>0</v>
      </c>
      <c r="L4819" s="102">
        <v>52.9</v>
      </c>
      <c r="M4819" s="102">
        <v>52.9</v>
      </c>
      <c r="N4819" s="573"/>
      <c r="O4819" s="556"/>
      <c r="P4819" s="573"/>
      <c r="Q4819" s="556"/>
      <c r="R4819" s="582"/>
    </row>
    <row r="4820" ht="35.05" customHeight="1" spans="1:18">
      <c r="A4820" s="556"/>
      <c r="B4820" s="557"/>
      <c r="C4820" s="100" t="s">
        <v>2893</v>
      </c>
      <c r="D4820" s="99" t="s">
        <v>3713</v>
      </c>
      <c r="E4820" s="100" t="s">
        <v>796</v>
      </c>
      <c r="F4820" s="100" t="s">
        <v>3714</v>
      </c>
      <c r="G4820" s="100" t="s">
        <v>3715</v>
      </c>
      <c r="H4820" s="100"/>
      <c r="I4820" s="101" t="s">
        <v>3716</v>
      </c>
      <c r="J4820" s="580">
        <v>108.92</v>
      </c>
      <c r="K4820" s="580">
        <v>3</v>
      </c>
      <c r="L4820" s="102">
        <v>1</v>
      </c>
      <c r="M4820" s="102">
        <v>3.26</v>
      </c>
      <c r="N4820" s="573"/>
      <c r="O4820" s="556"/>
      <c r="P4820" s="573"/>
      <c r="Q4820" s="556"/>
      <c r="R4820" s="582"/>
    </row>
    <row r="4821" ht="25.5" spans="1:18">
      <c r="A4821" s="556"/>
      <c r="B4821" s="557"/>
      <c r="C4821" s="108"/>
      <c r="D4821" s="108"/>
      <c r="E4821" s="108"/>
      <c r="F4821" s="108"/>
      <c r="G4821" s="108"/>
      <c r="H4821" s="108" t="s">
        <v>2898</v>
      </c>
      <c r="I4821" s="581">
        <v>139.62</v>
      </c>
      <c r="J4821" s="108" t="s">
        <v>2899</v>
      </c>
      <c r="K4821" s="581">
        <v>0</v>
      </c>
      <c r="L4821" s="108" t="s">
        <v>2900</v>
      </c>
      <c r="M4821" s="581">
        <v>139.62</v>
      </c>
      <c r="N4821" s="573"/>
      <c r="O4821" s="556"/>
      <c r="P4821" s="573"/>
      <c r="Q4821" s="556"/>
      <c r="R4821" s="582"/>
    </row>
    <row r="4822" ht="26.25" spans="1:18">
      <c r="A4822" s="556"/>
      <c r="B4822" s="557">
        <f>C4821</f>
        <v>0</v>
      </c>
      <c r="C4822" s="108"/>
      <c r="D4822" s="108"/>
      <c r="E4822" s="108"/>
      <c r="F4822" s="108"/>
      <c r="G4822" s="108"/>
      <c r="H4822" s="108" t="s">
        <v>2901</v>
      </c>
      <c r="I4822" s="581">
        <v>59.68</v>
      </c>
      <c r="J4822" s="114"/>
      <c r="K4822" s="114" t="s">
        <v>2902</v>
      </c>
      <c r="L4822" s="108"/>
      <c r="M4822" s="581">
        <v>293.82</v>
      </c>
      <c r="N4822" s="573">
        <v>10.9</v>
      </c>
      <c r="O4822" s="556" t="str">
        <f>IF(N4822=M4822,"OK","DIF")</f>
        <v>DIF</v>
      </c>
      <c r="P4822" s="573"/>
      <c r="Q4822" s="556"/>
      <c r="R4822" s="582"/>
    </row>
    <row r="4823" ht="15" spans="1:18">
      <c r="A4823" s="556">
        <f>B4823</f>
        <v>0</v>
      </c>
      <c r="B4823" s="557">
        <f>B4822</f>
        <v>0</v>
      </c>
      <c r="C4823" s="571"/>
      <c r="D4823" s="571"/>
      <c r="E4823" s="571"/>
      <c r="F4823" s="571"/>
      <c r="G4823" s="571"/>
      <c r="H4823" s="571"/>
      <c r="I4823" s="571"/>
      <c r="J4823" s="571"/>
      <c r="K4823" s="571"/>
      <c r="L4823" s="571"/>
      <c r="M4823" s="571"/>
      <c r="N4823" s="573">
        <v>5.92</v>
      </c>
      <c r="O4823" s="556" t="str">
        <f>IF(N4823=M4823,"OK","DIF")</f>
        <v>DIF</v>
      </c>
      <c r="P4823" s="573"/>
      <c r="Q4823" s="556"/>
      <c r="R4823" s="582"/>
    </row>
    <row r="4824" ht="15" customHeight="1" spans="1:18">
      <c r="A4824" s="556">
        <f>B4824</f>
        <v>0</v>
      </c>
      <c r="B4824" s="557">
        <f>B4823</f>
        <v>0</v>
      </c>
      <c r="C4824" s="76" t="s">
        <v>1664</v>
      </c>
      <c r="D4824" s="75" t="s">
        <v>63</v>
      </c>
      <c r="E4824" s="76" t="s">
        <v>64</v>
      </c>
      <c r="F4824" s="76" t="s">
        <v>65</v>
      </c>
      <c r="G4824" s="76" t="s">
        <v>2889</v>
      </c>
      <c r="H4824" s="76"/>
      <c r="I4824" s="77" t="s">
        <v>66</v>
      </c>
      <c r="J4824" s="75" t="s">
        <v>67</v>
      </c>
      <c r="K4824" s="75" t="s">
        <v>2890</v>
      </c>
      <c r="L4824" s="75" t="s">
        <v>68</v>
      </c>
      <c r="M4824" s="75" t="s">
        <v>70</v>
      </c>
      <c r="N4824" s="573">
        <v>4.98</v>
      </c>
      <c r="O4824" s="556" t="str">
        <f>IF(N4824=M4824,"OK","DIF")</f>
        <v>DIF</v>
      </c>
      <c r="P4824" s="573"/>
      <c r="Q4824" s="556"/>
      <c r="R4824" s="582"/>
    </row>
    <row r="4825" ht="23.85" customHeight="1" spans="1:18">
      <c r="A4825" s="556"/>
      <c r="B4825" s="557"/>
      <c r="C4825" s="569" t="s">
        <v>2891</v>
      </c>
      <c r="D4825" s="570" t="s">
        <v>1665</v>
      </c>
      <c r="E4825" s="569" t="s">
        <v>132</v>
      </c>
      <c r="F4825" s="569" t="s">
        <v>1666</v>
      </c>
      <c r="G4825" s="569" t="s">
        <v>2968</v>
      </c>
      <c r="H4825" s="569"/>
      <c r="I4825" s="577" t="s">
        <v>134</v>
      </c>
      <c r="J4825" s="578">
        <v>1</v>
      </c>
      <c r="K4825" s="579"/>
      <c r="L4825" s="579">
        <v>2129.21</v>
      </c>
      <c r="M4825" s="579">
        <v>2129.21</v>
      </c>
      <c r="N4825" s="573"/>
      <c r="O4825" s="556"/>
      <c r="P4825" s="573"/>
      <c r="Q4825" s="556"/>
      <c r="R4825" s="582"/>
    </row>
    <row r="4826" ht="15" customHeight="1" spans="1:18">
      <c r="A4826" s="556"/>
      <c r="B4826" s="557"/>
      <c r="C4826" s="79" t="s">
        <v>2921</v>
      </c>
      <c r="D4826" s="78" t="s">
        <v>4450</v>
      </c>
      <c r="E4826" s="79" t="s">
        <v>149</v>
      </c>
      <c r="F4826" s="79" t="s">
        <v>4451</v>
      </c>
      <c r="G4826" s="79" t="s">
        <v>4007</v>
      </c>
      <c r="H4826" s="79"/>
      <c r="I4826" s="80" t="s">
        <v>134</v>
      </c>
      <c r="J4826" s="583">
        <v>1</v>
      </c>
      <c r="K4826" s="583">
        <v>0</v>
      </c>
      <c r="L4826" s="92">
        <v>1062.55</v>
      </c>
      <c r="M4826" s="92">
        <v>1062.55</v>
      </c>
      <c r="N4826" s="573"/>
      <c r="O4826" s="556"/>
      <c r="P4826" s="573"/>
      <c r="Q4826" s="556"/>
      <c r="R4826" s="582"/>
    </row>
    <row r="4827" ht="15" customHeight="1" spans="1:18">
      <c r="A4827" s="556"/>
      <c r="B4827" s="557" t="str">
        <f>C4826</f>
        <v>Composição Auxiliar</v>
      </c>
      <c r="C4827" s="79" t="s">
        <v>2921</v>
      </c>
      <c r="D4827" s="78" t="s">
        <v>4452</v>
      </c>
      <c r="E4827" s="79" t="s">
        <v>149</v>
      </c>
      <c r="F4827" s="79" t="s">
        <v>4453</v>
      </c>
      <c r="G4827" s="79" t="s">
        <v>4007</v>
      </c>
      <c r="H4827" s="79"/>
      <c r="I4827" s="80" t="s">
        <v>134</v>
      </c>
      <c r="J4827" s="583">
        <v>1</v>
      </c>
      <c r="K4827" s="583">
        <v>0</v>
      </c>
      <c r="L4827" s="92">
        <v>1066.66</v>
      </c>
      <c r="M4827" s="92">
        <v>1066.66</v>
      </c>
      <c r="N4827" s="573">
        <v>11.52</v>
      </c>
      <c r="O4827" s="556" t="str">
        <f>IF(N4827=M4827,"OK","DIF")</f>
        <v>DIF</v>
      </c>
      <c r="P4827" s="573"/>
      <c r="Q4827" s="556"/>
      <c r="R4827" s="582"/>
    </row>
    <row r="4828" ht="25.5" spans="1:18">
      <c r="A4828" s="556" t="str">
        <f>B4828</f>
        <v>Composição Auxiliar</v>
      </c>
      <c r="B4828" s="557" t="str">
        <f>B4827</f>
        <v>Composição Auxiliar</v>
      </c>
      <c r="C4828" s="108"/>
      <c r="D4828" s="108"/>
      <c r="E4828" s="108"/>
      <c r="F4828" s="108"/>
      <c r="G4828" s="108"/>
      <c r="H4828" s="108" t="s">
        <v>2898</v>
      </c>
      <c r="I4828" s="581">
        <v>1857.74</v>
      </c>
      <c r="J4828" s="108" t="s">
        <v>2899</v>
      </c>
      <c r="K4828" s="581">
        <v>0</v>
      </c>
      <c r="L4828" s="108" t="s">
        <v>2900</v>
      </c>
      <c r="M4828" s="581">
        <v>1857.74</v>
      </c>
      <c r="N4828" s="573">
        <v>0.77</v>
      </c>
      <c r="O4828" s="556" t="str">
        <f>IF(N4828=M4828,"OK","DIF")</f>
        <v>DIF</v>
      </c>
      <c r="P4828" s="573"/>
      <c r="Q4828" s="556"/>
      <c r="R4828" s="582"/>
    </row>
    <row r="4829" ht="26.25" spans="1:18">
      <c r="A4829" s="556" t="str">
        <f>B4829</f>
        <v>Composição Auxiliar</v>
      </c>
      <c r="B4829" s="557" t="str">
        <f>B4828</f>
        <v>Composição Auxiliar</v>
      </c>
      <c r="C4829" s="108"/>
      <c r="D4829" s="108"/>
      <c r="E4829" s="108"/>
      <c r="F4829" s="108"/>
      <c r="G4829" s="108"/>
      <c r="H4829" s="108" t="s">
        <v>2901</v>
      </c>
      <c r="I4829" s="581">
        <v>542.73</v>
      </c>
      <c r="J4829" s="114"/>
      <c r="K4829" s="114" t="s">
        <v>2902</v>
      </c>
      <c r="L4829" s="108"/>
      <c r="M4829" s="581">
        <v>2671.94</v>
      </c>
      <c r="N4829" s="573">
        <v>10.75</v>
      </c>
      <c r="O4829" s="556" t="str">
        <f>IF(N4829=M4829,"OK","DIF")</f>
        <v>DIF</v>
      </c>
      <c r="P4829" s="573"/>
      <c r="Q4829" s="556"/>
      <c r="R4829" s="582"/>
    </row>
    <row r="4830" ht="15" spans="1:18">
      <c r="A4830" s="556"/>
      <c r="B4830" s="557"/>
      <c r="C4830" s="571"/>
      <c r="D4830" s="571"/>
      <c r="E4830" s="571"/>
      <c r="F4830" s="571"/>
      <c r="G4830" s="571"/>
      <c r="H4830" s="571"/>
      <c r="I4830" s="571"/>
      <c r="J4830" s="571"/>
      <c r="K4830" s="571"/>
      <c r="L4830" s="571"/>
      <c r="M4830" s="571"/>
      <c r="N4830" s="573"/>
      <c r="O4830" s="556"/>
      <c r="P4830" s="573"/>
      <c r="Q4830" s="556"/>
      <c r="R4830" s="582"/>
    </row>
    <row r="4831" ht="15" customHeight="1" spans="1:18">
      <c r="A4831" s="556"/>
      <c r="B4831" s="557"/>
      <c r="C4831" s="76" t="s">
        <v>1667</v>
      </c>
      <c r="D4831" s="75" t="s">
        <v>63</v>
      </c>
      <c r="E4831" s="76" t="s">
        <v>64</v>
      </c>
      <c r="F4831" s="76" t="s">
        <v>65</v>
      </c>
      <c r="G4831" s="76" t="s">
        <v>2889</v>
      </c>
      <c r="H4831" s="76"/>
      <c r="I4831" s="77" t="s">
        <v>66</v>
      </c>
      <c r="J4831" s="75" t="s">
        <v>67</v>
      </c>
      <c r="K4831" s="75" t="s">
        <v>2890</v>
      </c>
      <c r="L4831" s="75" t="s">
        <v>68</v>
      </c>
      <c r="M4831" s="75" t="s">
        <v>70</v>
      </c>
      <c r="N4831" s="573"/>
      <c r="O4831" s="556"/>
      <c r="P4831" s="573"/>
      <c r="Q4831" s="556"/>
      <c r="R4831" s="582"/>
    </row>
    <row r="4832" ht="38.25" spans="1:18">
      <c r="A4832" s="556"/>
      <c r="B4832" s="557" t="str">
        <f>C4831</f>
        <v> 12.8.8 </v>
      </c>
      <c r="C4832" s="569" t="s">
        <v>2891</v>
      </c>
      <c r="D4832" s="570" t="s">
        <v>1668</v>
      </c>
      <c r="E4832" s="569" t="s">
        <v>132</v>
      </c>
      <c r="F4832" s="569" t="s">
        <v>1669</v>
      </c>
      <c r="G4832" s="569">
        <v>78</v>
      </c>
      <c r="H4832" s="569"/>
      <c r="I4832" s="577" t="s">
        <v>134</v>
      </c>
      <c r="J4832" s="578">
        <v>1</v>
      </c>
      <c r="K4832" s="579"/>
      <c r="L4832" s="579">
        <v>37.44</v>
      </c>
      <c r="M4832" s="579">
        <v>37.44</v>
      </c>
      <c r="N4832" s="573">
        <v>26.67</v>
      </c>
      <c r="O4832" s="556" t="str">
        <f>IF(N4832=M4832,"OK","DIF")</f>
        <v>DIF</v>
      </c>
      <c r="P4832" s="573"/>
      <c r="Q4832" s="556"/>
      <c r="R4832" s="582"/>
    </row>
    <row r="4833" ht="23.85" customHeight="1" spans="1:18">
      <c r="A4833" s="556" t="str">
        <f>B4833</f>
        <v> 12.8.8 </v>
      </c>
      <c r="B4833" s="557" t="str">
        <f>B4832</f>
        <v> 12.8.8 </v>
      </c>
      <c r="C4833" s="79" t="s">
        <v>2921</v>
      </c>
      <c r="D4833" s="78" t="s">
        <v>3153</v>
      </c>
      <c r="E4833" s="79" t="s">
        <v>139</v>
      </c>
      <c r="F4833" s="79" t="s">
        <v>3154</v>
      </c>
      <c r="G4833" s="79" t="s">
        <v>2928</v>
      </c>
      <c r="H4833" s="79"/>
      <c r="I4833" s="80" t="s">
        <v>2897</v>
      </c>
      <c r="J4833" s="583">
        <v>0.319</v>
      </c>
      <c r="K4833" s="583">
        <v>0</v>
      </c>
      <c r="L4833" s="92">
        <v>30.6</v>
      </c>
      <c r="M4833" s="92">
        <v>9.76</v>
      </c>
      <c r="N4833" s="573">
        <v>6.67</v>
      </c>
      <c r="O4833" s="556" t="str">
        <f>IF(N4833=M4833,"OK","DIF")</f>
        <v>DIF</v>
      </c>
      <c r="P4833" s="573"/>
      <c r="Q4833" s="556"/>
      <c r="R4833" s="582"/>
    </row>
    <row r="4834" ht="23.85" customHeight="1" spans="1:18">
      <c r="A4834" s="556" t="str">
        <f>B4834</f>
        <v> 12.8.8 </v>
      </c>
      <c r="B4834" s="557" t="str">
        <f>B4833</f>
        <v> 12.8.8 </v>
      </c>
      <c r="C4834" s="79" t="s">
        <v>2921</v>
      </c>
      <c r="D4834" s="78" t="s">
        <v>3151</v>
      </c>
      <c r="E4834" s="79" t="s">
        <v>139</v>
      </c>
      <c r="F4834" s="79" t="s">
        <v>3152</v>
      </c>
      <c r="G4834" s="79" t="s">
        <v>2928</v>
      </c>
      <c r="H4834" s="79"/>
      <c r="I4834" s="80" t="s">
        <v>2897</v>
      </c>
      <c r="J4834" s="583">
        <v>0.319</v>
      </c>
      <c r="K4834" s="583">
        <v>0</v>
      </c>
      <c r="L4834" s="92">
        <v>36.82</v>
      </c>
      <c r="M4834" s="92">
        <v>11.74</v>
      </c>
      <c r="N4834" s="573">
        <v>20</v>
      </c>
      <c r="O4834" s="556" t="str">
        <f>IF(N4834=M4834,"OK","DIF")</f>
        <v>DIF</v>
      </c>
      <c r="P4834" s="573"/>
      <c r="Q4834" s="556"/>
      <c r="R4834" s="582"/>
    </row>
    <row r="4835" ht="15" customHeight="1" spans="1:18">
      <c r="A4835" s="556"/>
      <c r="B4835" s="557"/>
      <c r="C4835" s="100" t="s">
        <v>2893</v>
      </c>
      <c r="D4835" s="99" t="s">
        <v>4454</v>
      </c>
      <c r="E4835" s="100" t="s">
        <v>132</v>
      </c>
      <c r="F4835" s="100" t="s">
        <v>1669</v>
      </c>
      <c r="G4835" s="100" t="s">
        <v>2961</v>
      </c>
      <c r="H4835" s="100"/>
      <c r="I4835" s="101" t="s">
        <v>134</v>
      </c>
      <c r="J4835" s="580">
        <v>1</v>
      </c>
      <c r="K4835" s="580">
        <v>0</v>
      </c>
      <c r="L4835" s="102">
        <v>15.94</v>
      </c>
      <c r="M4835" s="102">
        <v>15.94</v>
      </c>
      <c r="N4835" s="573"/>
      <c r="O4835" s="556"/>
      <c r="P4835" s="573"/>
      <c r="Q4835" s="556"/>
      <c r="R4835" s="582"/>
    </row>
    <row r="4836" ht="25.5" spans="1:18">
      <c r="A4836" s="556"/>
      <c r="B4836" s="557"/>
      <c r="C4836" s="108"/>
      <c r="D4836" s="108"/>
      <c r="E4836" s="108"/>
      <c r="F4836" s="108"/>
      <c r="G4836" s="108"/>
      <c r="H4836" s="108" t="s">
        <v>2898</v>
      </c>
      <c r="I4836" s="581">
        <v>15.08</v>
      </c>
      <c r="J4836" s="108" t="s">
        <v>2899</v>
      </c>
      <c r="K4836" s="581">
        <v>0</v>
      </c>
      <c r="L4836" s="108" t="s">
        <v>2900</v>
      </c>
      <c r="M4836" s="581">
        <v>15.08</v>
      </c>
      <c r="N4836" s="573"/>
      <c r="O4836" s="556"/>
      <c r="P4836" s="573"/>
      <c r="Q4836" s="556"/>
      <c r="R4836" s="582"/>
    </row>
    <row r="4837" ht="26.25" spans="1:18">
      <c r="A4837" s="556"/>
      <c r="B4837" s="557">
        <f>C4836</f>
        <v>0</v>
      </c>
      <c r="C4837" s="108"/>
      <c r="D4837" s="108"/>
      <c r="E4837" s="108"/>
      <c r="F4837" s="108"/>
      <c r="G4837" s="108"/>
      <c r="H4837" s="108" t="s">
        <v>2901</v>
      </c>
      <c r="I4837" s="581">
        <v>9.54</v>
      </c>
      <c r="J4837" s="114"/>
      <c r="K4837" s="114" t="s">
        <v>2902</v>
      </c>
      <c r="L4837" s="108"/>
      <c r="M4837" s="581">
        <v>46.98</v>
      </c>
      <c r="N4837" s="573">
        <v>15.32</v>
      </c>
      <c r="O4837" s="556" t="str">
        <f>IF(N4837=M4837,"OK","DIF")</f>
        <v>DIF</v>
      </c>
      <c r="P4837" s="573"/>
      <c r="Q4837" s="556"/>
      <c r="R4837" s="582"/>
    </row>
    <row r="4838" ht="15" spans="1:18">
      <c r="A4838" s="556">
        <f>B4838</f>
        <v>0</v>
      </c>
      <c r="B4838" s="557">
        <f>B4837</f>
        <v>0</v>
      </c>
      <c r="C4838" s="571"/>
      <c r="D4838" s="571"/>
      <c r="E4838" s="571"/>
      <c r="F4838" s="571"/>
      <c r="G4838" s="571"/>
      <c r="H4838" s="571"/>
      <c r="I4838" s="571"/>
      <c r="J4838" s="571"/>
      <c r="K4838" s="571"/>
      <c r="L4838" s="571"/>
      <c r="M4838" s="571"/>
      <c r="N4838" s="573">
        <v>6.67</v>
      </c>
      <c r="O4838" s="556" t="str">
        <f>IF(N4838=M4838,"OK","DIF")</f>
        <v>DIF</v>
      </c>
      <c r="P4838" s="573"/>
      <c r="Q4838" s="556"/>
      <c r="R4838" s="582"/>
    </row>
    <row r="4839" ht="15" customHeight="1" spans="1:18">
      <c r="A4839" s="556">
        <f>B4839</f>
        <v>0</v>
      </c>
      <c r="B4839" s="557">
        <f>B4838</f>
        <v>0</v>
      </c>
      <c r="C4839" s="76" t="s">
        <v>1670</v>
      </c>
      <c r="D4839" s="75" t="s">
        <v>63</v>
      </c>
      <c r="E4839" s="76" t="s">
        <v>64</v>
      </c>
      <c r="F4839" s="76" t="s">
        <v>65</v>
      </c>
      <c r="G4839" s="76" t="s">
        <v>2889</v>
      </c>
      <c r="H4839" s="76"/>
      <c r="I4839" s="77" t="s">
        <v>66</v>
      </c>
      <c r="J4839" s="75" t="s">
        <v>67</v>
      </c>
      <c r="K4839" s="75" t="s">
        <v>2890</v>
      </c>
      <c r="L4839" s="75" t="s">
        <v>68</v>
      </c>
      <c r="M4839" s="75" t="s">
        <v>70</v>
      </c>
      <c r="N4839" s="573">
        <v>8.65</v>
      </c>
      <c r="O4839" s="556" t="str">
        <f>IF(N4839=M4839,"OK","DIF")</f>
        <v>DIF</v>
      </c>
      <c r="P4839" s="573"/>
      <c r="Q4839" s="556"/>
      <c r="R4839" s="582"/>
    </row>
    <row r="4840" ht="15" customHeight="1" spans="1:18">
      <c r="A4840" s="556"/>
      <c r="B4840" s="557"/>
      <c r="C4840" s="569" t="s">
        <v>2891</v>
      </c>
      <c r="D4840" s="570" t="s">
        <v>1671</v>
      </c>
      <c r="E4840" s="569" t="s">
        <v>149</v>
      </c>
      <c r="F4840" s="569" t="s">
        <v>1672</v>
      </c>
      <c r="G4840" s="569" t="s">
        <v>4007</v>
      </c>
      <c r="H4840" s="569"/>
      <c r="I4840" s="577" t="s">
        <v>134</v>
      </c>
      <c r="J4840" s="578">
        <v>1</v>
      </c>
      <c r="K4840" s="579"/>
      <c r="L4840" s="579">
        <v>52.55</v>
      </c>
      <c r="M4840" s="579">
        <v>52.55</v>
      </c>
      <c r="N4840" s="573"/>
      <c r="O4840" s="556"/>
      <c r="P4840" s="573"/>
      <c r="Q4840" s="556"/>
      <c r="R4840" s="582"/>
    </row>
    <row r="4841" ht="15" customHeight="1" spans="1:18">
      <c r="A4841" s="556"/>
      <c r="B4841" s="557"/>
      <c r="C4841" s="100" t="s">
        <v>2893</v>
      </c>
      <c r="D4841" s="99" t="s">
        <v>2986</v>
      </c>
      <c r="E4841" s="100" t="s">
        <v>149</v>
      </c>
      <c r="F4841" s="100" t="s">
        <v>2987</v>
      </c>
      <c r="G4841" s="100" t="s">
        <v>2896</v>
      </c>
      <c r="H4841" s="100"/>
      <c r="I4841" s="101" t="s">
        <v>2897</v>
      </c>
      <c r="J4841" s="580">
        <v>0.61</v>
      </c>
      <c r="K4841" s="580">
        <v>0</v>
      </c>
      <c r="L4841" s="102">
        <v>26.928256</v>
      </c>
      <c r="M4841" s="102">
        <v>16.42</v>
      </c>
      <c r="N4841" s="573"/>
      <c r="O4841" s="556"/>
      <c r="P4841" s="573"/>
      <c r="Q4841" s="556"/>
      <c r="R4841" s="582"/>
    </row>
    <row r="4842" ht="23.85" customHeight="1" spans="1:18">
      <c r="A4842" s="556"/>
      <c r="B4842" s="557" t="str">
        <f>C4841</f>
        <v>Insumo</v>
      </c>
      <c r="C4842" s="100" t="s">
        <v>2893</v>
      </c>
      <c r="D4842" s="99" t="s">
        <v>4455</v>
      </c>
      <c r="E4842" s="100" t="s">
        <v>149</v>
      </c>
      <c r="F4842" s="100" t="s">
        <v>4456</v>
      </c>
      <c r="G4842" s="100" t="s">
        <v>2961</v>
      </c>
      <c r="H4842" s="100"/>
      <c r="I4842" s="101" t="s">
        <v>134</v>
      </c>
      <c r="J4842" s="580">
        <v>1</v>
      </c>
      <c r="K4842" s="580">
        <v>0</v>
      </c>
      <c r="L4842" s="102">
        <v>23.62</v>
      </c>
      <c r="M4842" s="102">
        <v>23.62</v>
      </c>
      <c r="N4842" s="573">
        <v>30.67</v>
      </c>
      <c r="O4842" s="556" t="str">
        <f>IF(N4842=M4842,"OK","DIF")</f>
        <v>DIF</v>
      </c>
      <c r="P4842" s="573"/>
      <c r="Q4842" s="556"/>
      <c r="R4842" s="582"/>
    </row>
    <row r="4843" ht="15" customHeight="1" spans="1:18">
      <c r="A4843" s="556" t="str">
        <f>B4843</f>
        <v>Insumo</v>
      </c>
      <c r="B4843" s="557" t="str">
        <f>B4842</f>
        <v>Insumo</v>
      </c>
      <c r="C4843" s="100" t="s">
        <v>2893</v>
      </c>
      <c r="D4843" s="99" t="s">
        <v>2976</v>
      </c>
      <c r="E4843" s="100" t="s">
        <v>149</v>
      </c>
      <c r="F4843" s="100" t="s">
        <v>2977</v>
      </c>
      <c r="G4843" s="100" t="s">
        <v>2896</v>
      </c>
      <c r="H4843" s="100"/>
      <c r="I4843" s="101" t="s">
        <v>2897</v>
      </c>
      <c r="J4843" s="580">
        <v>0.61</v>
      </c>
      <c r="K4843" s="580">
        <v>0</v>
      </c>
      <c r="L4843" s="102">
        <v>20.515752</v>
      </c>
      <c r="M4843" s="102">
        <v>12.51</v>
      </c>
      <c r="N4843" s="573">
        <v>6.67</v>
      </c>
      <c r="O4843" s="556" t="str">
        <f>IF(N4843=M4843,"OK","DIF")</f>
        <v>DIF</v>
      </c>
      <c r="P4843" s="573"/>
      <c r="Q4843" s="556"/>
      <c r="R4843" s="582"/>
    </row>
    <row r="4844" ht="25.5" spans="1:18">
      <c r="A4844" s="556" t="str">
        <f>B4844</f>
        <v>Insumo</v>
      </c>
      <c r="B4844" s="557" t="str">
        <f>B4843</f>
        <v>Insumo</v>
      </c>
      <c r="C4844" s="108"/>
      <c r="D4844" s="108"/>
      <c r="E4844" s="108"/>
      <c r="F4844" s="108"/>
      <c r="G4844" s="108"/>
      <c r="H4844" s="108" t="s">
        <v>2898</v>
      </c>
      <c r="I4844" s="581">
        <v>28.93</v>
      </c>
      <c r="J4844" s="108" t="s">
        <v>2899</v>
      </c>
      <c r="K4844" s="581">
        <v>0</v>
      </c>
      <c r="L4844" s="108" t="s">
        <v>2900</v>
      </c>
      <c r="M4844" s="581">
        <v>28.93</v>
      </c>
      <c r="N4844" s="573">
        <v>24</v>
      </c>
      <c r="O4844" s="556" t="str">
        <f>IF(N4844=M4844,"OK","DIF")</f>
        <v>DIF</v>
      </c>
      <c r="P4844" s="573"/>
      <c r="Q4844" s="556"/>
      <c r="R4844" s="582"/>
    </row>
    <row r="4845" ht="26.25" spans="1:18">
      <c r="A4845" s="556"/>
      <c r="B4845" s="557"/>
      <c r="C4845" s="108"/>
      <c r="D4845" s="108"/>
      <c r="E4845" s="108"/>
      <c r="F4845" s="108"/>
      <c r="G4845" s="108"/>
      <c r="H4845" s="108" t="s">
        <v>2901</v>
      </c>
      <c r="I4845" s="581">
        <v>13.39</v>
      </c>
      <c r="J4845" s="114"/>
      <c r="K4845" s="114" t="s">
        <v>2902</v>
      </c>
      <c r="L4845" s="108"/>
      <c r="M4845" s="581">
        <v>65.94</v>
      </c>
      <c r="N4845" s="573"/>
      <c r="O4845" s="556"/>
      <c r="P4845" s="573"/>
      <c r="Q4845" s="556"/>
      <c r="R4845" s="582"/>
    </row>
    <row r="4846" ht="15" spans="1:18">
      <c r="A4846" s="556"/>
      <c r="B4846" s="557"/>
      <c r="C4846" s="571"/>
      <c r="D4846" s="571"/>
      <c r="E4846" s="571"/>
      <c r="F4846" s="571"/>
      <c r="G4846" s="571"/>
      <c r="H4846" s="571"/>
      <c r="I4846" s="571"/>
      <c r="J4846" s="571"/>
      <c r="K4846" s="571"/>
      <c r="L4846" s="571"/>
      <c r="M4846" s="571"/>
      <c r="N4846" s="573"/>
      <c r="O4846" s="556"/>
      <c r="P4846" s="573"/>
      <c r="Q4846" s="556"/>
      <c r="R4846" s="582"/>
    </row>
    <row r="4847" ht="15" customHeight="1" spans="1:18">
      <c r="A4847" s="556"/>
      <c r="B4847" s="557">
        <f>C4846</f>
        <v>0</v>
      </c>
      <c r="C4847" s="76" t="s">
        <v>1673</v>
      </c>
      <c r="D4847" s="75" t="s">
        <v>63</v>
      </c>
      <c r="E4847" s="76" t="s">
        <v>64</v>
      </c>
      <c r="F4847" s="76" t="s">
        <v>65</v>
      </c>
      <c r="G4847" s="76" t="s">
        <v>2889</v>
      </c>
      <c r="H4847" s="76"/>
      <c r="I4847" s="77" t="s">
        <v>66</v>
      </c>
      <c r="J4847" s="75" t="s">
        <v>67</v>
      </c>
      <c r="K4847" s="75" t="s">
        <v>2890</v>
      </c>
      <c r="L4847" s="75" t="s">
        <v>68</v>
      </c>
      <c r="M4847" s="75" t="s">
        <v>70</v>
      </c>
      <c r="N4847" s="573">
        <v>12.77</v>
      </c>
      <c r="O4847" s="556" t="str">
        <f>IF(N4847=M4847,"OK","DIF")</f>
        <v>DIF</v>
      </c>
      <c r="P4847" s="573"/>
      <c r="Q4847" s="556"/>
      <c r="R4847" s="582"/>
    </row>
    <row r="4848" ht="23.85" customHeight="1" spans="1:18">
      <c r="A4848" s="556">
        <f>B4848</f>
        <v>0</v>
      </c>
      <c r="B4848" s="557">
        <f>B4847</f>
        <v>0</v>
      </c>
      <c r="C4848" s="569" t="s">
        <v>2891</v>
      </c>
      <c r="D4848" s="570" t="s">
        <v>1674</v>
      </c>
      <c r="E4848" s="569" t="s">
        <v>139</v>
      </c>
      <c r="F4848" s="569" t="s">
        <v>1675</v>
      </c>
      <c r="G4848" s="569" t="s">
        <v>3218</v>
      </c>
      <c r="H4848" s="569"/>
      <c r="I4848" s="577" t="s">
        <v>134</v>
      </c>
      <c r="J4848" s="578">
        <v>1</v>
      </c>
      <c r="K4848" s="579"/>
      <c r="L4848" s="579">
        <v>70.3</v>
      </c>
      <c r="M4848" s="579">
        <v>70.3</v>
      </c>
      <c r="N4848" s="573">
        <v>0.77</v>
      </c>
      <c r="O4848" s="556" t="str">
        <f>IF(N4848=M4848,"OK","DIF")</f>
        <v>DIF</v>
      </c>
      <c r="P4848" s="573"/>
      <c r="Q4848" s="556"/>
      <c r="R4848" s="582"/>
    </row>
    <row r="4849" ht="23.85" customHeight="1" spans="1:18">
      <c r="A4849" s="556">
        <f>B4849</f>
        <v>0</v>
      </c>
      <c r="B4849" s="557">
        <f>B4848</f>
        <v>0</v>
      </c>
      <c r="C4849" s="79" t="s">
        <v>2921</v>
      </c>
      <c r="D4849" s="78" t="s">
        <v>3017</v>
      </c>
      <c r="E4849" s="79" t="s">
        <v>139</v>
      </c>
      <c r="F4849" s="79" t="s">
        <v>3018</v>
      </c>
      <c r="G4849" s="79" t="s">
        <v>2928</v>
      </c>
      <c r="H4849" s="79"/>
      <c r="I4849" s="80" t="s">
        <v>2897</v>
      </c>
      <c r="J4849" s="583">
        <v>0.1384</v>
      </c>
      <c r="K4849" s="583">
        <v>0</v>
      </c>
      <c r="L4849" s="92">
        <v>36.96</v>
      </c>
      <c r="M4849" s="92">
        <v>5.11</v>
      </c>
      <c r="N4849" s="573">
        <v>12</v>
      </c>
      <c r="O4849" s="556" t="str">
        <f>IF(N4849=M4849,"OK","DIF")</f>
        <v>DIF</v>
      </c>
      <c r="P4849" s="573"/>
      <c r="Q4849" s="556"/>
      <c r="R4849" s="582"/>
    </row>
    <row r="4850" ht="23.85" customHeight="1" spans="1:18">
      <c r="A4850" s="556"/>
      <c r="B4850" s="557"/>
      <c r="C4850" s="79" t="s">
        <v>2921</v>
      </c>
      <c r="D4850" s="78" t="s">
        <v>4457</v>
      </c>
      <c r="E4850" s="79" t="s">
        <v>139</v>
      </c>
      <c r="F4850" s="79" t="s">
        <v>4458</v>
      </c>
      <c r="G4850" s="79" t="s">
        <v>3928</v>
      </c>
      <c r="H4850" s="79"/>
      <c r="I4850" s="80" t="s">
        <v>279</v>
      </c>
      <c r="J4850" s="583">
        <v>0.0141</v>
      </c>
      <c r="K4850" s="583">
        <v>0</v>
      </c>
      <c r="L4850" s="92">
        <v>268.3</v>
      </c>
      <c r="M4850" s="92">
        <v>3.78</v>
      </c>
      <c r="N4850" s="573"/>
      <c r="O4850" s="556"/>
      <c r="P4850" s="573"/>
      <c r="Q4850" s="556"/>
      <c r="R4850" s="582"/>
    </row>
    <row r="4851" ht="23.85" customHeight="1" spans="1:18">
      <c r="A4851" s="556"/>
      <c r="B4851" s="557"/>
      <c r="C4851" s="79" t="s">
        <v>2921</v>
      </c>
      <c r="D4851" s="78" t="s">
        <v>2952</v>
      </c>
      <c r="E4851" s="79" t="s">
        <v>139</v>
      </c>
      <c r="F4851" s="79" t="s">
        <v>2953</v>
      </c>
      <c r="G4851" s="79" t="s">
        <v>2928</v>
      </c>
      <c r="H4851" s="79"/>
      <c r="I4851" s="80" t="s">
        <v>2897</v>
      </c>
      <c r="J4851" s="583">
        <v>0.1088</v>
      </c>
      <c r="K4851" s="583">
        <v>0</v>
      </c>
      <c r="L4851" s="92">
        <v>29.15</v>
      </c>
      <c r="M4851" s="92">
        <v>3.17</v>
      </c>
      <c r="N4851" s="573"/>
      <c r="O4851" s="556"/>
      <c r="P4851" s="573"/>
      <c r="Q4851" s="556"/>
      <c r="R4851" s="582"/>
    </row>
    <row r="4852" ht="35.05" customHeight="1" spans="1:18">
      <c r="A4852" s="556"/>
      <c r="B4852" s="557" t="str">
        <f>C4851</f>
        <v>Composição Auxiliar</v>
      </c>
      <c r="C4852" s="100" t="s">
        <v>2893</v>
      </c>
      <c r="D4852" s="99" t="s">
        <v>4459</v>
      </c>
      <c r="E4852" s="100" t="s">
        <v>139</v>
      </c>
      <c r="F4852" s="100" t="s">
        <v>4460</v>
      </c>
      <c r="G4852" s="100" t="s">
        <v>2961</v>
      </c>
      <c r="H4852" s="100"/>
      <c r="I4852" s="101" t="s">
        <v>134</v>
      </c>
      <c r="J4852" s="580">
        <v>1</v>
      </c>
      <c r="K4852" s="580">
        <v>0</v>
      </c>
      <c r="L4852" s="102">
        <v>58.24</v>
      </c>
      <c r="M4852" s="102">
        <v>58.24</v>
      </c>
      <c r="N4852" s="573">
        <v>12.77</v>
      </c>
      <c r="O4852" s="556" t="str">
        <f>IF(N4852=M4852,"OK","DIF")</f>
        <v>DIF</v>
      </c>
      <c r="P4852" s="573"/>
      <c r="Q4852" s="556"/>
      <c r="R4852" s="582"/>
    </row>
    <row r="4853" ht="25.5" spans="1:18">
      <c r="A4853" s="556" t="str">
        <f>B4853</f>
        <v>Composição Auxiliar</v>
      </c>
      <c r="B4853" s="557" t="str">
        <f>B4852</f>
        <v>Composição Auxiliar</v>
      </c>
      <c r="C4853" s="108"/>
      <c r="D4853" s="108"/>
      <c r="E4853" s="108"/>
      <c r="F4853" s="108"/>
      <c r="G4853" s="108"/>
      <c r="H4853" s="108" t="s">
        <v>2898</v>
      </c>
      <c r="I4853" s="581">
        <v>7.46</v>
      </c>
      <c r="J4853" s="108" t="s">
        <v>2899</v>
      </c>
      <c r="K4853" s="581">
        <v>0</v>
      </c>
      <c r="L4853" s="108" t="s">
        <v>2900</v>
      </c>
      <c r="M4853" s="581">
        <v>7.46</v>
      </c>
      <c r="N4853" s="573">
        <v>0.77</v>
      </c>
      <c r="O4853" s="556" t="str">
        <f>IF(N4853=M4853,"OK","DIF")</f>
        <v>DIF</v>
      </c>
      <c r="P4853" s="573"/>
      <c r="Q4853" s="556"/>
      <c r="R4853" s="582"/>
    </row>
    <row r="4854" ht="26.25" spans="1:18">
      <c r="A4854" s="556" t="str">
        <f>B4854</f>
        <v>Composição Auxiliar</v>
      </c>
      <c r="B4854" s="557" t="str">
        <f>B4853</f>
        <v>Composição Auxiliar</v>
      </c>
      <c r="C4854" s="108"/>
      <c r="D4854" s="108"/>
      <c r="E4854" s="108"/>
      <c r="F4854" s="108"/>
      <c r="G4854" s="108"/>
      <c r="H4854" s="108" t="s">
        <v>2901</v>
      </c>
      <c r="I4854" s="581">
        <v>17.91</v>
      </c>
      <c r="J4854" s="114"/>
      <c r="K4854" s="114" t="s">
        <v>2902</v>
      </c>
      <c r="L4854" s="108"/>
      <c r="M4854" s="581">
        <v>88.21</v>
      </c>
      <c r="N4854" s="573">
        <v>12</v>
      </c>
      <c r="O4854" s="556" t="str">
        <f>IF(N4854=M4854,"OK","DIF")</f>
        <v>DIF</v>
      </c>
      <c r="P4854" s="573"/>
      <c r="Q4854" s="556"/>
      <c r="R4854" s="582"/>
    </row>
    <row r="4855" ht="15" spans="1:18">
      <c r="A4855" s="556"/>
      <c r="B4855" s="557"/>
      <c r="C4855" s="571"/>
      <c r="D4855" s="571"/>
      <c r="E4855" s="571"/>
      <c r="F4855" s="571"/>
      <c r="G4855" s="571"/>
      <c r="H4855" s="571"/>
      <c r="I4855" s="571"/>
      <c r="J4855" s="571"/>
      <c r="K4855" s="571"/>
      <c r="L4855" s="571"/>
      <c r="M4855" s="571"/>
      <c r="N4855" s="573"/>
      <c r="O4855" s="556"/>
      <c r="P4855" s="573"/>
      <c r="Q4855" s="556"/>
      <c r="R4855" s="582"/>
    </row>
    <row r="4856" ht="15" customHeight="1" spans="1:18">
      <c r="A4856" s="556"/>
      <c r="B4856" s="557"/>
      <c r="C4856" s="76" t="s">
        <v>1676</v>
      </c>
      <c r="D4856" s="75" t="s">
        <v>63</v>
      </c>
      <c r="E4856" s="76" t="s">
        <v>64</v>
      </c>
      <c r="F4856" s="76" t="s">
        <v>65</v>
      </c>
      <c r="G4856" s="76" t="s">
        <v>2889</v>
      </c>
      <c r="H4856" s="76"/>
      <c r="I4856" s="77" t="s">
        <v>66</v>
      </c>
      <c r="J4856" s="75" t="s">
        <v>67</v>
      </c>
      <c r="K4856" s="75" t="s">
        <v>2890</v>
      </c>
      <c r="L4856" s="75" t="s">
        <v>68</v>
      </c>
      <c r="M4856" s="75" t="s">
        <v>70</v>
      </c>
      <c r="N4856" s="573"/>
      <c r="O4856" s="556"/>
      <c r="P4856" s="573"/>
      <c r="Q4856" s="556"/>
      <c r="R4856" s="582"/>
    </row>
    <row r="4857" ht="15" customHeight="1" spans="1:18">
      <c r="A4857" s="556"/>
      <c r="B4857" s="557"/>
      <c r="C4857" s="569" t="s">
        <v>2891</v>
      </c>
      <c r="D4857" s="570" t="s">
        <v>1677</v>
      </c>
      <c r="E4857" s="569" t="s">
        <v>149</v>
      </c>
      <c r="F4857" s="569" t="s">
        <v>1678</v>
      </c>
      <c r="G4857" s="569" t="s">
        <v>4007</v>
      </c>
      <c r="H4857" s="569"/>
      <c r="I4857" s="577" t="s">
        <v>134</v>
      </c>
      <c r="J4857" s="578">
        <v>1</v>
      </c>
      <c r="K4857" s="579"/>
      <c r="L4857" s="579">
        <v>78.52</v>
      </c>
      <c r="M4857" s="579">
        <v>78.52</v>
      </c>
      <c r="N4857" s="573"/>
      <c r="O4857" s="556"/>
      <c r="P4857" s="573"/>
      <c r="Q4857" s="556"/>
      <c r="R4857" s="582"/>
    </row>
    <row r="4858" ht="15" customHeight="1" spans="1:18">
      <c r="A4858" s="556"/>
      <c r="B4858" s="557"/>
      <c r="C4858" s="100" t="s">
        <v>2893</v>
      </c>
      <c r="D4858" s="99" t="s">
        <v>2976</v>
      </c>
      <c r="E4858" s="100" t="s">
        <v>149</v>
      </c>
      <c r="F4858" s="100" t="s">
        <v>2977</v>
      </c>
      <c r="G4858" s="100" t="s">
        <v>2896</v>
      </c>
      <c r="H4858" s="100"/>
      <c r="I4858" s="101" t="s">
        <v>2897</v>
      </c>
      <c r="J4858" s="580">
        <v>0.235</v>
      </c>
      <c r="K4858" s="580">
        <v>0</v>
      </c>
      <c r="L4858" s="102">
        <v>20.515752</v>
      </c>
      <c r="M4858" s="102">
        <v>4.82</v>
      </c>
      <c r="N4858" s="573"/>
      <c r="O4858" s="556"/>
      <c r="P4858" s="573"/>
      <c r="Q4858" s="556"/>
      <c r="R4858" s="582"/>
    </row>
    <row r="4859" ht="15" customHeight="1" spans="1:18">
      <c r="A4859" s="556"/>
      <c r="B4859" s="557" t="str">
        <f>C4858</f>
        <v>Insumo</v>
      </c>
      <c r="C4859" s="100" t="s">
        <v>2893</v>
      </c>
      <c r="D4859" s="99" t="s">
        <v>2986</v>
      </c>
      <c r="E4859" s="100" t="s">
        <v>149</v>
      </c>
      <c r="F4859" s="100" t="s">
        <v>2987</v>
      </c>
      <c r="G4859" s="100" t="s">
        <v>2896</v>
      </c>
      <c r="H4859" s="100"/>
      <c r="I4859" s="101" t="s">
        <v>2897</v>
      </c>
      <c r="J4859" s="580">
        <v>0.235</v>
      </c>
      <c r="K4859" s="580">
        <v>0</v>
      </c>
      <c r="L4859" s="102">
        <v>26.928256</v>
      </c>
      <c r="M4859" s="102">
        <v>6.32</v>
      </c>
      <c r="N4859" s="573">
        <v>3449.4</v>
      </c>
      <c r="O4859" s="556" t="str">
        <f t="shared" ref="O4859:O4864" si="375">IF(N4859=M4859,"OK","DIF")</f>
        <v>DIF</v>
      </c>
      <c r="P4859" s="573"/>
      <c r="Q4859" s="556"/>
      <c r="R4859" s="582"/>
    </row>
    <row r="4860" ht="15" customHeight="1" spans="1:18">
      <c r="A4860" s="556" t="str">
        <f>B4860</f>
        <v>Insumo</v>
      </c>
      <c r="B4860" s="557" t="str">
        <f>B4859</f>
        <v>Insumo</v>
      </c>
      <c r="C4860" s="100" t="s">
        <v>2893</v>
      </c>
      <c r="D4860" s="99" t="s">
        <v>4461</v>
      </c>
      <c r="E4860" s="100" t="s">
        <v>149</v>
      </c>
      <c r="F4860" s="100" t="s">
        <v>4462</v>
      </c>
      <c r="G4860" s="100" t="s">
        <v>2961</v>
      </c>
      <c r="H4860" s="100"/>
      <c r="I4860" s="101" t="s">
        <v>134</v>
      </c>
      <c r="J4860" s="580">
        <v>1</v>
      </c>
      <c r="K4860" s="580">
        <v>0</v>
      </c>
      <c r="L4860" s="102">
        <v>67.38</v>
      </c>
      <c r="M4860" s="102">
        <v>67.38</v>
      </c>
      <c r="N4860" s="573">
        <v>76.8</v>
      </c>
      <c r="O4860" s="556" t="str">
        <f t="shared" si="375"/>
        <v>DIF</v>
      </c>
      <c r="P4860" s="573"/>
      <c r="Q4860" s="556"/>
      <c r="R4860" s="582"/>
    </row>
    <row r="4861" ht="25.5" spans="1:18">
      <c r="A4861" s="556" t="str">
        <f>B4861</f>
        <v>Insumo</v>
      </c>
      <c r="B4861" s="557" t="str">
        <f>B4860</f>
        <v>Insumo</v>
      </c>
      <c r="C4861" s="108"/>
      <c r="D4861" s="108"/>
      <c r="E4861" s="108"/>
      <c r="F4861" s="108"/>
      <c r="G4861" s="108"/>
      <c r="H4861" s="108" t="s">
        <v>2898</v>
      </c>
      <c r="I4861" s="581">
        <v>11.14</v>
      </c>
      <c r="J4861" s="108" t="s">
        <v>2899</v>
      </c>
      <c r="K4861" s="581">
        <v>0</v>
      </c>
      <c r="L4861" s="108" t="s">
        <v>2900</v>
      </c>
      <c r="M4861" s="581">
        <v>11.14</v>
      </c>
      <c r="N4861" s="573">
        <v>89.67</v>
      </c>
      <c r="O4861" s="556" t="str">
        <f t="shared" si="375"/>
        <v>DIF</v>
      </c>
      <c r="P4861" s="573"/>
      <c r="Q4861" s="556"/>
      <c r="R4861" s="582"/>
    </row>
    <row r="4862" ht="26.25" spans="1:18">
      <c r="A4862" s="556" t="str">
        <f>B4862</f>
        <v>Insumo</v>
      </c>
      <c r="B4862" s="557" t="str">
        <f>B4861</f>
        <v>Insumo</v>
      </c>
      <c r="C4862" s="108"/>
      <c r="D4862" s="108"/>
      <c r="E4862" s="108"/>
      <c r="F4862" s="108"/>
      <c r="G4862" s="108"/>
      <c r="H4862" s="108" t="s">
        <v>2901</v>
      </c>
      <c r="I4862" s="581">
        <v>20.01</v>
      </c>
      <c r="J4862" s="114"/>
      <c r="K4862" s="114" t="s">
        <v>2902</v>
      </c>
      <c r="L4862" s="108"/>
      <c r="M4862" s="581">
        <v>98.53</v>
      </c>
      <c r="N4862" s="573">
        <v>18.25</v>
      </c>
      <c r="O4862" s="556" t="str">
        <f t="shared" si="375"/>
        <v>DIF</v>
      </c>
      <c r="P4862" s="573"/>
      <c r="Q4862" s="556"/>
      <c r="R4862" s="582"/>
    </row>
    <row r="4863" ht="15" spans="1:18">
      <c r="A4863" s="556" t="str">
        <f>B4863</f>
        <v>Insumo</v>
      </c>
      <c r="B4863" s="557" t="str">
        <f>B4862</f>
        <v>Insumo</v>
      </c>
      <c r="C4863" s="571"/>
      <c r="D4863" s="571"/>
      <c r="E4863" s="571"/>
      <c r="F4863" s="571"/>
      <c r="G4863" s="571"/>
      <c r="H4863" s="571"/>
      <c r="I4863" s="571"/>
      <c r="J4863" s="571"/>
      <c r="K4863" s="571"/>
      <c r="L4863" s="571"/>
      <c r="M4863" s="571"/>
      <c r="N4863" s="573">
        <v>476</v>
      </c>
      <c r="O4863" s="556" t="str">
        <f t="shared" si="375"/>
        <v>DIF</v>
      </c>
      <c r="P4863" s="573"/>
      <c r="Q4863" s="556"/>
      <c r="R4863" s="582"/>
    </row>
    <row r="4864" ht="15" customHeight="1" spans="1:18">
      <c r="A4864" s="556" t="str">
        <f>B4864</f>
        <v>Insumo</v>
      </c>
      <c r="B4864" s="557" t="str">
        <f>B4863</f>
        <v>Insumo</v>
      </c>
      <c r="C4864" s="76" t="s">
        <v>1679</v>
      </c>
      <c r="D4864" s="75" t="s">
        <v>63</v>
      </c>
      <c r="E4864" s="76" t="s">
        <v>64</v>
      </c>
      <c r="F4864" s="76" t="s">
        <v>65</v>
      </c>
      <c r="G4864" s="76" t="s">
        <v>2889</v>
      </c>
      <c r="H4864" s="76"/>
      <c r="I4864" s="77" t="s">
        <v>66</v>
      </c>
      <c r="J4864" s="75" t="s">
        <v>67</v>
      </c>
      <c r="K4864" s="75" t="s">
        <v>2890</v>
      </c>
      <c r="L4864" s="75" t="s">
        <v>68</v>
      </c>
      <c r="M4864" s="75" t="s">
        <v>70</v>
      </c>
      <c r="N4864" s="573">
        <v>2788.68</v>
      </c>
      <c r="O4864" s="556" t="str">
        <f t="shared" si="375"/>
        <v>DIF</v>
      </c>
      <c r="P4864" s="573"/>
      <c r="Q4864" s="556"/>
      <c r="R4864" s="582"/>
    </row>
    <row r="4865" ht="38.25" spans="1:18">
      <c r="A4865" s="556"/>
      <c r="B4865" s="557"/>
      <c r="C4865" s="569" t="s">
        <v>2891</v>
      </c>
      <c r="D4865" s="570" t="s">
        <v>1525</v>
      </c>
      <c r="E4865" s="569" t="s">
        <v>77</v>
      </c>
      <c r="F4865" s="569" t="s">
        <v>4369</v>
      </c>
      <c r="G4865" s="569">
        <v>15</v>
      </c>
      <c r="H4865" s="569"/>
      <c r="I4865" s="577" t="s">
        <v>134</v>
      </c>
      <c r="J4865" s="578">
        <v>1</v>
      </c>
      <c r="K4865" s="579"/>
      <c r="L4865" s="579">
        <v>17.33</v>
      </c>
      <c r="M4865" s="579">
        <v>17.33</v>
      </c>
      <c r="N4865" s="573"/>
      <c r="O4865" s="556"/>
      <c r="P4865" s="573"/>
      <c r="Q4865" s="556"/>
      <c r="R4865" s="582"/>
    </row>
    <row r="4866" ht="23.85" customHeight="1" spans="1:18">
      <c r="A4866" s="556"/>
      <c r="B4866" s="557"/>
      <c r="C4866" s="100" t="s">
        <v>2893</v>
      </c>
      <c r="D4866" s="99" t="s">
        <v>3108</v>
      </c>
      <c r="E4866" s="100" t="s">
        <v>77</v>
      </c>
      <c r="F4866" s="100" t="s">
        <v>3109</v>
      </c>
      <c r="G4866" s="100" t="s">
        <v>2896</v>
      </c>
      <c r="H4866" s="100"/>
      <c r="I4866" s="101" t="s">
        <v>2897</v>
      </c>
      <c r="J4866" s="580">
        <v>0.31</v>
      </c>
      <c r="K4866" s="580">
        <v>3</v>
      </c>
      <c r="L4866" s="102">
        <v>19.16</v>
      </c>
      <c r="M4866" s="102">
        <v>6.11</v>
      </c>
      <c r="N4866" s="573"/>
      <c r="O4866" s="556"/>
      <c r="P4866" s="573"/>
      <c r="Q4866" s="556"/>
      <c r="R4866" s="582"/>
    </row>
    <row r="4867" ht="23.85" customHeight="1" spans="1:18">
      <c r="A4867" s="556"/>
      <c r="B4867" s="557" t="str">
        <f>C4866</f>
        <v>Insumo</v>
      </c>
      <c r="C4867" s="100" t="s">
        <v>2893</v>
      </c>
      <c r="D4867" s="99" t="s">
        <v>4370</v>
      </c>
      <c r="E4867" s="100" t="s">
        <v>77</v>
      </c>
      <c r="F4867" s="100" t="s">
        <v>4371</v>
      </c>
      <c r="G4867" s="100" t="s">
        <v>2961</v>
      </c>
      <c r="H4867" s="100"/>
      <c r="I4867" s="101" t="s">
        <v>134</v>
      </c>
      <c r="J4867" s="580">
        <v>1</v>
      </c>
      <c r="K4867" s="580">
        <v>0</v>
      </c>
      <c r="L4867" s="102">
        <v>2.76</v>
      </c>
      <c r="M4867" s="102">
        <v>2.76</v>
      </c>
      <c r="N4867" s="573">
        <v>3822.4</v>
      </c>
      <c r="O4867" s="556" t="str">
        <f t="shared" ref="O4867:O4872" si="376">IF(N4867=M4867,"OK","DIF")</f>
        <v>DIF</v>
      </c>
      <c r="P4867" s="573"/>
      <c r="Q4867" s="556"/>
      <c r="R4867" s="582"/>
    </row>
    <row r="4868" ht="23.85" customHeight="1" spans="1:18">
      <c r="A4868" s="556" t="str">
        <f>B4868</f>
        <v>Insumo</v>
      </c>
      <c r="B4868" s="557" t="str">
        <f>B4867</f>
        <v>Insumo</v>
      </c>
      <c r="C4868" s="100" t="s">
        <v>2893</v>
      </c>
      <c r="D4868" s="99" t="s">
        <v>4013</v>
      </c>
      <c r="E4868" s="100" t="s">
        <v>77</v>
      </c>
      <c r="F4868" s="100" t="s">
        <v>4014</v>
      </c>
      <c r="G4868" s="100" t="s">
        <v>2896</v>
      </c>
      <c r="H4868" s="100"/>
      <c r="I4868" s="101" t="s">
        <v>2897</v>
      </c>
      <c r="J4868" s="580">
        <v>0.31</v>
      </c>
      <c r="K4868" s="580">
        <v>3</v>
      </c>
      <c r="L4868" s="102">
        <v>26.52</v>
      </c>
      <c r="M4868" s="102">
        <v>8.46</v>
      </c>
      <c r="N4868" s="573">
        <v>89.67</v>
      </c>
      <c r="O4868" s="556" t="str">
        <f t="shared" si="376"/>
        <v>DIF</v>
      </c>
      <c r="P4868" s="573"/>
      <c r="Q4868" s="556"/>
      <c r="R4868" s="582"/>
    </row>
    <row r="4869" ht="25.5" spans="1:18">
      <c r="A4869" s="556" t="str">
        <f>B4869</f>
        <v>Insumo</v>
      </c>
      <c r="B4869" s="557" t="str">
        <f>B4868</f>
        <v>Insumo</v>
      </c>
      <c r="C4869" s="108"/>
      <c r="D4869" s="108"/>
      <c r="E4869" s="108"/>
      <c r="F4869" s="108"/>
      <c r="G4869" s="108"/>
      <c r="H4869" s="108" t="s">
        <v>2898</v>
      </c>
      <c r="I4869" s="581">
        <v>14.57</v>
      </c>
      <c r="J4869" s="108" t="s">
        <v>2899</v>
      </c>
      <c r="K4869" s="581">
        <v>0</v>
      </c>
      <c r="L4869" s="108" t="s">
        <v>2900</v>
      </c>
      <c r="M4869" s="581">
        <v>14.57</v>
      </c>
      <c r="N4869" s="573">
        <v>18.25</v>
      </c>
      <c r="O4869" s="556" t="str">
        <f t="shared" si="376"/>
        <v>DIF</v>
      </c>
      <c r="P4869" s="573"/>
      <c r="Q4869" s="556"/>
      <c r="R4869" s="582"/>
    </row>
    <row r="4870" ht="26.25" spans="1:18">
      <c r="A4870" s="556" t="str">
        <f>B4870</f>
        <v>Insumo</v>
      </c>
      <c r="B4870" s="557" t="str">
        <f>B4869</f>
        <v>Insumo</v>
      </c>
      <c r="C4870" s="108"/>
      <c r="D4870" s="108"/>
      <c r="E4870" s="108"/>
      <c r="F4870" s="108"/>
      <c r="G4870" s="108"/>
      <c r="H4870" s="108" t="s">
        <v>2901</v>
      </c>
      <c r="I4870" s="581">
        <v>4.41</v>
      </c>
      <c r="J4870" s="114"/>
      <c r="K4870" s="114" t="s">
        <v>2902</v>
      </c>
      <c r="L4870" s="108"/>
      <c r="M4870" s="581">
        <v>21.74</v>
      </c>
      <c r="N4870" s="573">
        <v>76.8</v>
      </c>
      <c r="O4870" s="556" t="str">
        <f t="shared" si="376"/>
        <v>DIF</v>
      </c>
      <c r="P4870" s="573"/>
      <c r="Q4870" s="556"/>
      <c r="R4870" s="582"/>
    </row>
    <row r="4871" ht="15" spans="1:18">
      <c r="A4871" s="556" t="str">
        <f>B4871</f>
        <v>Insumo</v>
      </c>
      <c r="B4871" s="557" t="str">
        <f>B4870</f>
        <v>Insumo</v>
      </c>
      <c r="C4871" s="571"/>
      <c r="D4871" s="571"/>
      <c r="E4871" s="571"/>
      <c r="F4871" s="571"/>
      <c r="G4871" s="571"/>
      <c r="H4871" s="571"/>
      <c r="I4871" s="571"/>
      <c r="J4871" s="571"/>
      <c r="K4871" s="571"/>
      <c r="L4871" s="571"/>
      <c r="M4871" s="571"/>
      <c r="N4871" s="573">
        <v>476</v>
      </c>
      <c r="O4871" s="556" t="str">
        <f t="shared" si="376"/>
        <v>DIF</v>
      </c>
      <c r="P4871" s="573"/>
      <c r="Q4871" s="556"/>
      <c r="R4871" s="582"/>
    </row>
    <row r="4872" ht="15" customHeight="1" spans="1:18">
      <c r="A4872" s="556" t="str">
        <f>B4872</f>
        <v>Insumo</v>
      </c>
      <c r="B4872" s="557" t="str">
        <f>B4871</f>
        <v>Insumo</v>
      </c>
      <c r="C4872" s="76" t="s">
        <v>1680</v>
      </c>
      <c r="D4872" s="75" t="s">
        <v>63</v>
      </c>
      <c r="E4872" s="76" t="s">
        <v>64</v>
      </c>
      <c r="F4872" s="76" t="s">
        <v>65</v>
      </c>
      <c r="G4872" s="76" t="s">
        <v>2889</v>
      </c>
      <c r="H4872" s="76"/>
      <c r="I4872" s="77" t="s">
        <v>66</v>
      </c>
      <c r="J4872" s="75" t="s">
        <v>67</v>
      </c>
      <c r="K4872" s="75" t="s">
        <v>2890</v>
      </c>
      <c r="L4872" s="75" t="s">
        <v>68</v>
      </c>
      <c r="M4872" s="75" t="s">
        <v>70</v>
      </c>
      <c r="N4872" s="573">
        <v>3161.68</v>
      </c>
      <c r="O4872" s="556" t="str">
        <f t="shared" si="376"/>
        <v>DIF</v>
      </c>
      <c r="P4872" s="573"/>
      <c r="Q4872" s="556"/>
      <c r="R4872" s="582"/>
    </row>
    <row r="4873" ht="15" customHeight="1" spans="1:18">
      <c r="A4873" s="556"/>
      <c r="B4873" s="557"/>
      <c r="C4873" s="569" t="s">
        <v>2891</v>
      </c>
      <c r="D4873" s="570" t="s">
        <v>1681</v>
      </c>
      <c r="E4873" s="569" t="s">
        <v>149</v>
      </c>
      <c r="F4873" s="569" t="s">
        <v>1682</v>
      </c>
      <c r="G4873" s="569" t="s">
        <v>4007</v>
      </c>
      <c r="H4873" s="569"/>
      <c r="I4873" s="577" t="s">
        <v>134</v>
      </c>
      <c r="J4873" s="578">
        <v>1</v>
      </c>
      <c r="K4873" s="579"/>
      <c r="L4873" s="579">
        <v>10.49</v>
      </c>
      <c r="M4873" s="579">
        <v>10.49</v>
      </c>
      <c r="N4873" s="573"/>
      <c r="O4873" s="556"/>
      <c r="P4873" s="573"/>
      <c r="Q4873" s="556"/>
      <c r="R4873" s="582"/>
    </row>
    <row r="4874" ht="15" customHeight="1" spans="1:18">
      <c r="A4874" s="556"/>
      <c r="B4874" s="557"/>
      <c r="C4874" s="100" t="s">
        <v>2893</v>
      </c>
      <c r="D4874" s="99" t="s">
        <v>4463</v>
      </c>
      <c r="E4874" s="100" t="s">
        <v>149</v>
      </c>
      <c r="F4874" s="100" t="s">
        <v>1682</v>
      </c>
      <c r="G4874" s="100" t="s">
        <v>2961</v>
      </c>
      <c r="H4874" s="100"/>
      <c r="I4874" s="101" t="s">
        <v>134</v>
      </c>
      <c r="J4874" s="580">
        <v>1</v>
      </c>
      <c r="K4874" s="580">
        <v>0</v>
      </c>
      <c r="L4874" s="102">
        <v>8.13</v>
      </c>
      <c r="M4874" s="102">
        <v>8.13</v>
      </c>
      <c r="N4874" s="573"/>
      <c r="O4874" s="556"/>
      <c r="P4874" s="573"/>
      <c r="Q4874" s="556"/>
      <c r="R4874" s="582"/>
    </row>
    <row r="4875" ht="15" customHeight="1" spans="1:18">
      <c r="A4875" s="556"/>
      <c r="B4875" s="557" t="str">
        <f>C4874</f>
        <v>Insumo</v>
      </c>
      <c r="C4875" s="100" t="s">
        <v>2893</v>
      </c>
      <c r="D4875" s="99" t="s">
        <v>2986</v>
      </c>
      <c r="E4875" s="100" t="s">
        <v>149</v>
      </c>
      <c r="F4875" s="100" t="s">
        <v>2987</v>
      </c>
      <c r="G4875" s="100" t="s">
        <v>2896</v>
      </c>
      <c r="H4875" s="100"/>
      <c r="I4875" s="101" t="s">
        <v>2897</v>
      </c>
      <c r="J4875" s="580">
        <v>0.05</v>
      </c>
      <c r="K4875" s="580">
        <v>0</v>
      </c>
      <c r="L4875" s="102">
        <v>26.928256</v>
      </c>
      <c r="M4875" s="102">
        <v>1.34</v>
      </c>
      <c r="N4875" s="573">
        <v>3881.4</v>
      </c>
      <c r="O4875" s="556" t="str">
        <f t="shared" ref="O4875:O4880" si="377">IF(N4875=M4875,"OK","DIF")</f>
        <v>DIF</v>
      </c>
      <c r="P4875" s="573"/>
      <c r="Q4875" s="556"/>
      <c r="R4875" s="582"/>
    </row>
    <row r="4876" ht="15" customHeight="1" spans="1:18">
      <c r="A4876" s="556" t="str">
        <f>B4876</f>
        <v>Insumo</v>
      </c>
      <c r="B4876" s="557" t="str">
        <f>B4875</f>
        <v>Insumo</v>
      </c>
      <c r="C4876" s="100" t="s">
        <v>2893</v>
      </c>
      <c r="D4876" s="99" t="s">
        <v>2976</v>
      </c>
      <c r="E4876" s="100" t="s">
        <v>149</v>
      </c>
      <c r="F4876" s="100" t="s">
        <v>2977</v>
      </c>
      <c r="G4876" s="100" t="s">
        <v>2896</v>
      </c>
      <c r="H4876" s="100"/>
      <c r="I4876" s="101" t="s">
        <v>2897</v>
      </c>
      <c r="J4876" s="580">
        <v>0.05</v>
      </c>
      <c r="K4876" s="580">
        <v>0</v>
      </c>
      <c r="L4876" s="102">
        <v>20.515752</v>
      </c>
      <c r="M4876" s="102">
        <v>1.02</v>
      </c>
      <c r="N4876" s="573">
        <v>89.67</v>
      </c>
      <c r="O4876" s="556" t="str">
        <f t="shared" si="377"/>
        <v>DIF</v>
      </c>
      <c r="P4876" s="573"/>
      <c r="Q4876" s="556"/>
      <c r="R4876" s="582"/>
    </row>
    <row r="4877" ht="25.5" spans="1:18">
      <c r="A4877" s="556" t="str">
        <f>B4877</f>
        <v>Insumo</v>
      </c>
      <c r="B4877" s="557" t="str">
        <f>B4876</f>
        <v>Insumo</v>
      </c>
      <c r="C4877" s="108"/>
      <c r="D4877" s="108"/>
      <c r="E4877" s="108"/>
      <c r="F4877" s="108"/>
      <c r="G4877" s="108"/>
      <c r="H4877" s="108" t="s">
        <v>2898</v>
      </c>
      <c r="I4877" s="581">
        <v>2.36</v>
      </c>
      <c r="J4877" s="108" t="s">
        <v>2899</v>
      </c>
      <c r="K4877" s="581">
        <v>0</v>
      </c>
      <c r="L4877" s="108" t="s">
        <v>2900</v>
      </c>
      <c r="M4877" s="581">
        <v>2.36</v>
      </c>
      <c r="N4877" s="573">
        <v>76.8</v>
      </c>
      <c r="O4877" s="556" t="str">
        <f t="shared" si="377"/>
        <v>DIF</v>
      </c>
      <c r="P4877" s="573"/>
      <c r="Q4877" s="556"/>
      <c r="R4877" s="582"/>
    </row>
    <row r="4878" ht="26.25" spans="1:18">
      <c r="A4878" s="556" t="str">
        <f>B4878</f>
        <v>Insumo</v>
      </c>
      <c r="B4878" s="557" t="str">
        <f>B4877</f>
        <v>Insumo</v>
      </c>
      <c r="C4878" s="108"/>
      <c r="D4878" s="108"/>
      <c r="E4878" s="108"/>
      <c r="F4878" s="108"/>
      <c r="G4878" s="108"/>
      <c r="H4878" s="108" t="s">
        <v>2901</v>
      </c>
      <c r="I4878" s="581">
        <v>2.67</v>
      </c>
      <c r="J4878" s="114"/>
      <c r="K4878" s="114" t="s">
        <v>2902</v>
      </c>
      <c r="L4878" s="108"/>
      <c r="M4878" s="581">
        <v>13.16</v>
      </c>
      <c r="N4878" s="573">
        <v>18.25</v>
      </c>
      <c r="O4878" s="556" t="str">
        <f t="shared" si="377"/>
        <v>DIF</v>
      </c>
      <c r="P4878" s="573"/>
      <c r="Q4878" s="556"/>
      <c r="R4878" s="582"/>
    </row>
    <row r="4879" ht="15" spans="1:18">
      <c r="A4879" s="556" t="str">
        <f>B4879</f>
        <v>Insumo</v>
      </c>
      <c r="B4879" s="557" t="str">
        <f>B4878</f>
        <v>Insumo</v>
      </c>
      <c r="C4879" s="571"/>
      <c r="D4879" s="571"/>
      <c r="E4879" s="571"/>
      <c r="F4879" s="571"/>
      <c r="G4879" s="571"/>
      <c r="H4879" s="571"/>
      <c r="I4879" s="571"/>
      <c r="J4879" s="571"/>
      <c r="K4879" s="571"/>
      <c r="L4879" s="571"/>
      <c r="M4879" s="571"/>
      <c r="N4879" s="573">
        <v>476</v>
      </c>
      <c r="O4879" s="556" t="str">
        <f t="shared" si="377"/>
        <v>DIF</v>
      </c>
      <c r="P4879" s="573"/>
      <c r="Q4879" s="556"/>
      <c r="R4879" s="582"/>
    </row>
    <row r="4880" ht="15" customHeight="1" spans="1:18">
      <c r="A4880" s="556" t="str">
        <f>B4880</f>
        <v>Insumo</v>
      </c>
      <c r="B4880" s="557" t="str">
        <f>B4879</f>
        <v>Insumo</v>
      </c>
      <c r="C4880" s="76" t="s">
        <v>1683</v>
      </c>
      <c r="D4880" s="75" t="s">
        <v>63</v>
      </c>
      <c r="E4880" s="76" t="s">
        <v>64</v>
      </c>
      <c r="F4880" s="76" t="s">
        <v>65</v>
      </c>
      <c r="G4880" s="76" t="s">
        <v>2889</v>
      </c>
      <c r="H4880" s="76"/>
      <c r="I4880" s="77" t="s">
        <v>66</v>
      </c>
      <c r="J4880" s="75" t="s">
        <v>67</v>
      </c>
      <c r="K4880" s="75" t="s">
        <v>2890</v>
      </c>
      <c r="L4880" s="75" t="s">
        <v>68</v>
      </c>
      <c r="M4880" s="75" t="s">
        <v>70</v>
      </c>
      <c r="N4880" s="573">
        <v>3220.68</v>
      </c>
      <c r="O4880" s="556" t="str">
        <f t="shared" si="377"/>
        <v>DIF</v>
      </c>
      <c r="P4880" s="573"/>
      <c r="Q4880" s="556"/>
      <c r="R4880" s="582"/>
    </row>
    <row r="4881" ht="35.05" customHeight="1" spans="1:18">
      <c r="A4881" s="556"/>
      <c r="B4881" s="557"/>
      <c r="C4881" s="569" t="s">
        <v>2891</v>
      </c>
      <c r="D4881" s="570" t="s">
        <v>1684</v>
      </c>
      <c r="E4881" s="569" t="s">
        <v>132</v>
      </c>
      <c r="F4881" s="569" t="s">
        <v>1685</v>
      </c>
      <c r="G4881" s="569" t="s">
        <v>4227</v>
      </c>
      <c r="H4881" s="569"/>
      <c r="I4881" s="577" t="s">
        <v>204</v>
      </c>
      <c r="J4881" s="578">
        <v>1</v>
      </c>
      <c r="K4881" s="579"/>
      <c r="L4881" s="579">
        <v>47.35</v>
      </c>
      <c r="M4881" s="579">
        <v>47.35</v>
      </c>
      <c r="N4881" s="573"/>
      <c r="O4881" s="556"/>
      <c r="P4881" s="573"/>
      <c r="Q4881" s="556"/>
      <c r="R4881" s="582"/>
    </row>
    <row r="4882" ht="23.85" customHeight="1" spans="1:18">
      <c r="A4882" s="556"/>
      <c r="B4882" s="557"/>
      <c r="C4882" s="79" t="s">
        <v>2921</v>
      </c>
      <c r="D4882" s="78" t="s">
        <v>3151</v>
      </c>
      <c r="E4882" s="79" t="s">
        <v>139</v>
      </c>
      <c r="F4882" s="79" t="s">
        <v>3152</v>
      </c>
      <c r="G4882" s="79" t="s">
        <v>2928</v>
      </c>
      <c r="H4882" s="79"/>
      <c r="I4882" s="80" t="s">
        <v>2897</v>
      </c>
      <c r="J4882" s="583">
        <v>0.5</v>
      </c>
      <c r="K4882" s="583">
        <v>0</v>
      </c>
      <c r="L4882" s="92">
        <v>36.82</v>
      </c>
      <c r="M4882" s="92">
        <v>18.41</v>
      </c>
      <c r="N4882" s="573"/>
      <c r="O4882" s="556"/>
      <c r="P4882" s="573"/>
      <c r="Q4882" s="556"/>
      <c r="R4882" s="582"/>
    </row>
    <row r="4883" ht="23.85" customHeight="1" spans="1:18">
      <c r="A4883" s="556"/>
      <c r="B4883" s="557" t="str">
        <f>C4882</f>
        <v>Composição Auxiliar</v>
      </c>
      <c r="C4883" s="79" t="s">
        <v>2921</v>
      </c>
      <c r="D4883" s="78" t="s">
        <v>3153</v>
      </c>
      <c r="E4883" s="79" t="s">
        <v>139</v>
      </c>
      <c r="F4883" s="79" t="s">
        <v>3154</v>
      </c>
      <c r="G4883" s="79" t="s">
        <v>2928</v>
      </c>
      <c r="H4883" s="79"/>
      <c r="I4883" s="80" t="s">
        <v>2897</v>
      </c>
      <c r="J4883" s="583">
        <v>0.5</v>
      </c>
      <c r="K4883" s="583">
        <v>0</v>
      </c>
      <c r="L4883" s="92">
        <v>30.6</v>
      </c>
      <c r="M4883" s="92">
        <v>15.3</v>
      </c>
      <c r="N4883" s="573">
        <v>4335</v>
      </c>
      <c r="O4883" s="556" t="str">
        <f>IF(N4883=M4883,"OK","DIF")</f>
        <v>DIF</v>
      </c>
      <c r="P4883" s="573"/>
      <c r="Q4883" s="556"/>
      <c r="R4883" s="582"/>
    </row>
    <row r="4884" ht="15" customHeight="1" spans="1:18">
      <c r="A4884" s="556" t="str">
        <f>B4884</f>
        <v>Composição Auxiliar</v>
      </c>
      <c r="B4884" s="557" t="str">
        <f>B4883</f>
        <v>Composição Auxiliar</v>
      </c>
      <c r="C4884" s="100" t="s">
        <v>2893</v>
      </c>
      <c r="D4884" s="99" t="s">
        <v>3775</v>
      </c>
      <c r="E4884" s="100" t="s">
        <v>796</v>
      </c>
      <c r="F4884" s="100" t="s">
        <v>3776</v>
      </c>
      <c r="G4884" s="100" t="s">
        <v>2961</v>
      </c>
      <c r="H4884" s="100"/>
      <c r="I4884" s="101" t="s">
        <v>334</v>
      </c>
      <c r="J4884" s="580">
        <v>1</v>
      </c>
      <c r="K4884" s="580">
        <v>0</v>
      </c>
      <c r="L4884" s="102">
        <v>0.12</v>
      </c>
      <c r="M4884" s="102">
        <v>0.12</v>
      </c>
      <c r="N4884" s="573">
        <v>431.52</v>
      </c>
      <c r="O4884" s="556" t="str">
        <f>IF(N4884=M4884,"OK","DIF")</f>
        <v>DIF</v>
      </c>
      <c r="P4884" s="573"/>
      <c r="Q4884" s="556"/>
      <c r="R4884" s="582"/>
    </row>
    <row r="4885" ht="15" customHeight="1" spans="1:18">
      <c r="A4885" s="556" t="str">
        <f>B4885</f>
        <v>Composição Auxiliar</v>
      </c>
      <c r="B4885" s="557" t="str">
        <f>B4884</f>
        <v>Composição Auxiliar</v>
      </c>
      <c r="C4885" s="100" t="s">
        <v>2893</v>
      </c>
      <c r="D4885" s="99" t="s">
        <v>862</v>
      </c>
      <c r="E4885" s="100" t="s">
        <v>796</v>
      </c>
      <c r="F4885" s="100" t="s">
        <v>863</v>
      </c>
      <c r="G4885" s="100" t="s">
        <v>2961</v>
      </c>
      <c r="H4885" s="100"/>
      <c r="I4885" s="101" t="s">
        <v>334</v>
      </c>
      <c r="J4885" s="580">
        <v>2</v>
      </c>
      <c r="K4885" s="580">
        <v>0</v>
      </c>
      <c r="L4885" s="102">
        <v>0.06</v>
      </c>
      <c r="M4885" s="102">
        <v>0.12</v>
      </c>
      <c r="N4885" s="573">
        <v>334.32</v>
      </c>
      <c r="O4885" s="556" t="str">
        <f>IF(N4885=M4885,"OK","DIF")</f>
        <v>DIF</v>
      </c>
      <c r="P4885" s="573"/>
      <c r="Q4885" s="556"/>
      <c r="R4885" s="582"/>
    </row>
    <row r="4886" ht="15" customHeight="1" spans="1:18">
      <c r="A4886" s="556" t="str">
        <f>B4886</f>
        <v>Composição Auxiliar</v>
      </c>
      <c r="B4886" s="557" t="str">
        <f>B4885</f>
        <v>Composição Auxiliar</v>
      </c>
      <c r="C4886" s="100" t="s">
        <v>2893</v>
      </c>
      <c r="D4886" s="99" t="s">
        <v>4464</v>
      </c>
      <c r="E4886" s="100" t="s">
        <v>149</v>
      </c>
      <c r="F4886" s="100" t="s">
        <v>4465</v>
      </c>
      <c r="G4886" s="100" t="s">
        <v>2961</v>
      </c>
      <c r="H4886" s="100"/>
      <c r="I4886" s="101" t="s">
        <v>204</v>
      </c>
      <c r="J4886" s="580">
        <v>1.0375</v>
      </c>
      <c r="K4886" s="580">
        <v>0</v>
      </c>
      <c r="L4886" s="102">
        <v>12.52</v>
      </c>
      <c r="M4886" s="102">
        <v>12.98</v>
      </c>
      <c r="N4886" s="573">
        <v>3569.16</v>
      </c>
      <c r="O4886" s="556" t="str">
        <f>IF(N4886=M4886,"OK","DIF")</f>
        <v>DIF</v>
      </c>
      <c r="P4886" s="573"/>
      <c r="Q4886" s="556"/>
      <c r="R4886" s="582"/>
    </row>
    <row r="4887" ht="23.85" customHeight="1" spans="1:18">
      <c r="A4887" s="556"/>
      <c r="B4887" s="557"/>
      <c r="C4887" s="100" t="s">
        <v>2893</v>
      </c>
      <c r="D4887" s="99" t="s">
        <v>4466</v>
      </c>
      <c r="E4887" s="100" t="s">
        <v>796</v>
      </c>
      <c r="F4887" s="100" t="s">
        <v>4467</v>
      </c>
      <c r="G4887" s="100" t="s">
        <v>2961</v>
      </c>
      <c r="H4887" s="100"/>
      <c r="I4887" s="101" t="s">
        <v>334</v>
      </c>
      <c r="J4887" s="580">
        <v>1</v>
      </c>
      <c r="K4887" s="580">
        <v>0</v>
      </c>
      <c r="L4887" s="102">
        <v>0.42</v>
      </c>
      <c r="M4887" s="102">
        <v>0.42</v>
      </c>
      <c r="N4887" s="573"/>
      <c r="O4887" s="556"/>
      <c r="P4887" s="573"/>
      <c r="Q4887" s="556"/>
      <c r="R4887" s="582"/>
    </row>
    <row r="4888" ht="25.5" spans="1:18">
      <c r="A4888" s="556"/>
      <c r="B4888" s="557"/>
      <c r="C4888" s="108"/>
      <c r="D4888" s="108"/>
      <c r="E4888" s="108"/>
      <c r="F4888" s="108"/>
      <c r="G4888" s="108"/>
      <c r="H4888" s="108" t="s">
        <v>2898</v>
      </c>
      <c r="I4888" s="581">
        <v>23.65</v>
      </c>
      <c r="J4888" s="108" t="s">
        <v>2899</v>
      </c>
      <c r="K4888" s="581">
        <v>0</v>
      </c>
      <c r="L4888" s="108" t="s">
        <v>2900</v>
      </c>
      <c r="M4888" s="581">
        <v>23.65</v>
      </c>
      <c r="N4888" s="573"/>
      <c r="O4888" s="556"/>
      <c r="P4888" s="573"/>
      <c r="Q4888" s="556"/>
      <c r="R4888" s="582"/>
    </row>
    <row r="4889" ht="26.25" spans="1:18">
      <c r="A4889" s="556"/>
      <c r="B4889" s="557">
        <f>C4888</f>
        <v>0</v>
      </c>
      <c r="C4889" s="108"/>
      <c r="D4889" s="108"/>
      <c r="E4889" s="108"/>
      <c r="F4889" s="108"/>
      <c r="G4889" s="108"/>
      <c r="H4889" s="108" t="s">
        <v>2901</v>
      </c>
      <c r="I4889" s="581">
        <v>12.06</v>
      </c>
      <c r="J4889" s="114"/>
      <c r="K4889" s="114" t="s">
        <v>2902</v>
      </c>
      <c r="L4889" s="108"/>
      <c r="M4889" s="581">
        <v>59.41</v>
      </c>
      <c r="N4889" s="573">
        <v>4546</v>
      </c>
      <c r="O4889" s="556" t="str">
        <f>IF(N4889=M4889,"OK","DIF")</f>
        <v>DIF</v>
      </c>
      <c r="P4889" s="573"/>
      <c r="Q4889" s="556"/>
      <c r="R4889" s="582"/>
    </row>
    <row r="4890" ht="15" spans="1:18">
      <c r="A4890" s="556">
        <f>B4890</f>
        <v>0</v>
      </c>
      <c r="B4890" s="557">
        <f>B4889</f>
        <v>0</v>
      </c>
      <c r="C4890" s="571"/>
      <c r="D4890" s="571"/>
      <c r="E4890" s="571"/>
      <c r="F4890" s="571"/>
      <c r="G4890" s="571"/>
      <c r="H4890" s="571"/>
      <c r="I4890" s="571"/>
      <c r="J4890" s="571"/>
      <c r="K4890" s="571"/>
      <c r="L4890" s="571"/>
      <c r="M4890" s="571"/>
      <c r="N4890" s="573">
        <v>334.32</v>
      </c>
      <c r="O4890" s="556" t="str">
        <f>IF(N4890=M4890,"OK","DIF")</f>
        <v>DIF</v>
      </c>
      <c r="P4890" s="573"/>
      <c r="Q4890" s="556"/>
      <c r="R4890" s="582"/>
    </row>
    <row r="4891" ht="15" customHeight="1" spans="1:18">
      <c r="A4891" s="556">
        <f>B4891</f>
        <v>0</v>
      </c>
      <c r="B4891" s="557">
        <f>B4890</f>
        <v>0</v>
      </c>
      <c r="C4891" s="76" t="s">
        <v>1686</v>
      </c>
      <c r="D4891" s="75" t="s">
        <v>63</v>
      </c>
      <c r="E4891" s="76" t="s">
        <v>64</v>
      </c>
      <c r="F4891" s="76" t="s">
        <v>65</v>
      </c>
      <c r="G4891" s="76" t="s">
        <v>2889</v>
      </c>
      <c r="H4891" s="76"/>
      <c r="I4891" s="77" t="s">
        <v>66</v>
      </c>
      <c r="J4891" s="75" t="s">
        <v>67</v>
      </c>
      <c r="K4891" s="75" t="s">
        <v>2890</v>
      </c>
      <c r="L4891" s="75" t="s">
        <v>68</v>
      </c>
      <c r="M4891" s="75" t="s">
        <v>70</v>
      </c>
      <c r="N4891" s="573">
        <v>431.52</v>
      </c>
      <c r="O4891" s="556" t="str">
        <f>IF(N4891=M4891,"OK","DIF")</f>
        <v>DIF</v>
      </c>
      <c r="P4891" s="573"/>
      <c r="Q4891" s="556"/>
      <c r="R4891" s="582"/>
    </row>
    <row r="4892" ht="23.85" customHeight="1" spans="1:18">
      <c r="A4892" s="556">
        <f>B4892</f>
        <v>0</v>
      </c>
      <c r="B4892" s="557">
        <f>B4891</f>
        <v>0</v>
      </c>
      <c r="C4892" s="569" t="s">
        <v>2891</v>
      </c>
      <c r="D4892" s="570" t="s">
        <v>1687</v>
      </c>
      <c r="E4892" s="569" t="s">
        <v>139</v>
      </c>
      <c r="F4892" s="569" t="s">
        <v>1688</v>
      </c>
      <c r="G4892" s="569" t="s">
        <v>3221</v>
      </c>
      <c r="H4892" s="569"/>
      <c r="I4892" s="577" t="s">
        <v>134</v>
      </c>
      <c r="J4892" s="578">
        <v>1</v>
      </c>
      <c r="K4892" s="579"/>
      <c r="L4892" s="579">
        <v>23.39</v>
      </c>
      <c r="M4892" s="579">
        <v>23.39</v>
      </c>
      <c r="N4892" s="573">
        <v>3780.16</v>
      </c>
      <c r="O4892" s="556" t="str">
        <f>IF(N4892=M4892,"OK","DIF")</f>
        <v>DIF</v>
      </c>
      <c r="P4892" s="573"/>
      <c r="Q4892" s="556"/>
      <c r="R4892" s="582"/>
    </row>
    <row r="4893" ht="23.85" customHeight="1" spans="1:18">
      <c r="A4893" s="556"/>
      <c r="B4893" s="557"/>
      <c r="C4893" s="79" t="s">
        <v>2921</v>
      </c>
      <c r="D4893" s="78" t="s">
        <v>3151</v>
      </c>
      <c r="E4893" s="79" t="s">
        <v>139</v>
      </c>
      <c r="F4893" s="79" t="s">
        <v>3152</v>
      </c>
      <c r="G4893" s="79" t="s">
        <v>2928</v>
      </c>
      <c r="H4893" s="79"/>
      <c r="I4893" s="80" t="s">
        <v>2897</v>
      </c>
      <c r="J4893" s="583">
        <v>0.1863</v>
      </c>
      <c r="K4893" s="583">
        <v>0</v>
      </c>
      <c r="L4893" s="92">
        <v>36.82</v>
      </c>
      <c r="M4893" s="92">
        <v>6.85</v>
      </c>
      <c r="N4893" s="573"/>
      <c r="O4893" s="556"/>
      <c r="P4893" s="573"/>
      <c r="Q4893" s="556"/>
      <c r="R4893" s="582"/>
    </row>
    <row r="4894" ht="23.85" customHeight="1" spans="1:18">
      <c r="A4894" s="556"/>
      <c r="B4894" s="557"/>
      <c r="C4894" s="79" t="s">
        <v>2921</v>
      </c>
      <c r="D4894" s="78" t="s">
        <v>3153</v>
      </c>
      <c r="E4894" s="79" t="s">
        <v>139</v>
      </c>
      <c r="F4894" s="79" t="s">
        <v>3154</v>
      </c>
      <c r="G4894" s="79" t="s">
        <v>2928</v>
      </c>
      <c r="H4894" s="79"/>
      <c r="I4894" s="80" t="s">
        <v>2897</v>
      </c>
      <c r="J4894" s="583">
        <v>0.1863</v>
      </c>
      <c r="K4894" s="583">
        <v>0</v>
      </c>
      <c r="L4894" s="92">
        <v>30.6</v>
      </c>
      <c r="M4894" s="92">
        <v>5.7</v>
      </c>
      <c r="N4894" s="573"/>
      <c r="O4894" s="556"/>
      <c r="P4894" s="573"/>
      <c r="Q4894" s="556"/>
      <c r="R4894" s="582"/>
    </row>
    <row r="4895" ht="23.85" customHeight="1" spans="1:18">
      <c r="A4895" s="556"/>
      <c r="B4895" s="557" t="str">
        <f>C4894</f>
        <v>Composição Auxiliar</v>
      </c>
      <c r="C4895" s="100" t="s">
        <v>2893</v>
      </c>
      <c r="D4895" s="99" t="s">
        <v>4468</v>
      </c>
      <c r="E4895" s="100" t="s">
        <v>139</v>
      </c>
      <c r="F4895" s="100" t="s">
        <v>4469</v>
      </c>
      <c r="G4895" s="100" t="s">
        <v>2961</v>
      </c>
      <c r="H4895" s="100"/>
      <c r="I4895" s="101" t="s">
        <v>134</v>
      </c>
      <c r="J4895" s="580">
        <v>1</v>
      </c>
      <c r="K4895" s="580">
        <v>0</v>
      </c>
      <c r="L4895" s="102">
        <v>10.84</v>
      </c>
      <c r="M4895" s="102">
        <v>10.84</v>
      </c>
      <c r="N4895" s="573">
        <v>601.35</v>
      </c>
      <c r="O4895" s="556" t="str">
        <f>IF(N4895=M4895,"OK","DIF")</f>
        <v>DIF</v>
      </c>
      <c r="P4895" s="573"/>
      <c r="Q4895" s="556"/>
      <c r="R4895" s="582"/>
    </row>
    <row r="4896" ht="25.5" spans="1:18">
      <c r="A4896" s="556" t="str">
        <f>B4896</f>
        <v>Composição Auxiliar</v>
      </c>
      <c r="B4896" s="557" t="str">
        <f>B4895</f>
        <v>Composição Auxiliar</v>
      </c>
      <c r="C4896" s="108"/>
      <c r="D4896" s="108"/>
      <c r="E4896" s="108"/>
      <c r="F4896" s="108"/>
      <c r="G4896" s="108"/>
      <c r="H4896" s="108" t="s">
        <v>2898</v>
      </c>
      <c r="I4896" s="581">
        <v>8.8</v>
      </c>
      <c r="J4896" s="108" t="s">
        <v>2899</v>
      </c>
      <c r="K4896" s="581">
        <v>0</v>
      </c>
      <c r="L4896" s="108" t="s">
        <v>2900</v>
      </c>
      <c r="M4896" s="581">
        <v>8.8</v>
      </c>
      <c r="N4896" s="573">
        <v>250.74</v>
      </c>
      <c r="O4896" s="556" t="str">
        <f>IF(N4896=M4896,"OK","DIF")</f>
        <v>DIF</v>
      </c>
      <c r="P4896" s="573"/>
      <c r="Q4896" s="556"/>
      <c r="R4896" s="582"/>
    </row>
    <row r="4897" ht="26.25" spans="1:18">
      <c r="A4897" s="556" t="str">
        <f>B4897</f>
        <v>Composição Auxiliar</v>
      </c>
      <c r="B4897" s="557" t="str">
        <f>B4896</f>
        <v>Composição Auxiliar</v>
      </c>
      <c r="C4897" s="108"/>
      <c r="D4897" s="108"/>
      <c r="E4897" s="108"/>
      <c r="F4897" s="108"/>
      <c r="G4897" s="108"/>
      <c r="H4897" s="108" t="s">
        <v>2901</v>
      </c>
      <c r="I4897" s="581">
        <v>5.96</v>
      </c>
      <c r="J4897" s="114"/>
      <c r="K4897" s="114" t="s">
        <v>2902</v>
      </c>
      <c r="L4897" s="108"/>
      <c r="M4897" s="581">
        <v>29.35</v>
      </c>
      <c r="N4897" s="573">
        <v>350.61</v>
      </c>
      <c r="O4897" s="556" t="str">
        <f>IF(N4897=M4897,"OK","DIF")</f>
        <v>DIF</v>
      </c>
      <c r="P4897" s="573"/>
      <c r="Q4897" s="556"/>
      <c r="R4897" s="582"/>
    </row>
    <row r="4898" ht="15" spans="1:18">
      <c r="A4898" s="556"/>
      <c r="B4898" s="557"/>
      <c r="C4898" s="571"/>
      <c r="D4898" s="571"/>
      <c r="E4898" s="571"/>
      <c r="F4898" s="571"/>
      <c r="G4898" s="571"/>
      <c r="H4898" s="571"/>
      <c r="I4898" s="571"/>
      <c r="J4898" s="571"/>
      <c r="K4898" s="571"/>
      <c r="L4898" s="571"/>
      <c r="M4898" s="571"/>
      <c r="N4898" s="573"/>
      <c r="O4898" s="556"/>
      <c r="P4898" s="573"/>
      <c r="Q4898" s="556"/>
      <c r="R4898" s="582"/>
    </row>
    <row r="4899" ht="15" customHeight="1" spans="1:18">
      <c r="A4899" s="556"/>
      <c r="B4899" s="557"/>
      <c r="C4899" s="76" t="s">
        <v>1690</v>
      </c>
      <c r="D4899" s="75" t="s">
        <v>63</v>
      </c>
      <c r="E4899" s="76" t="s">
        <v>64</v>
      </c>
      <c r="F4899" s="76" t="s">
        <v>65</v>
      </c>
      <c r="G4899" s="76" t="s">
        <v>2889</v>
      </c>
      <c r="H4899" s="76"/>
      <c r="I4899" s="77" t="s">
        <v>66</v>
      </c>
      <c r="J4899" s="75" t="s">
        <v>67</v>
      </c>
      <c r="K4899" s="75" t="s">
        <v>2890</v>
      </c>
      <c r="L4899" s="75" t="s">
        <v>68</v>
      </c>
      <c r="M4899" s="75" t="s">
        <v>70</v>
      </c>
      <c r="N4899" s="573"/>
      <c r="O4899" s="556"/>
      <c r="P4899" s="573"/>
      <c r="Q4899" s="556"/>
      <c r="R4899" s="582"/>
    </row>
    <row r="4900" ht="38.25" spans="1:18">
      <c r="A4900" s="556"/>
      <c r="B4900" s="557" t="str">
        <f>C4899</f>
        <v> 12.9.1 </v>
      </c>
      <c r="C4900" s="569" t="s">
        <v>2891</v>
      </c>
      <c r="D4900" s="570" t="s">
        <v>1691</v>
      </c>
      <c r="E4900" s="569" t="s">
        <v>132</v>
      </c>
      <c r="F4900" s="569" t="s">
        <v>1692</v>
      </c>
      <c r="G4900" s="569">
        <v>65</v>
      </c>
      <c r="H4900" s="569"/>
      <c r="I4900" s="577" t="s">
        <v>134</v>
      </c>
      <c r="J4900" s="578">
        <v>1</v>
      </c>
      <c r="K4900" s="579"/>
      <c r="L4900" s="579">
        <v>72410</v>
      </c>
      <c r="M4900" s="579">
        <v>72410</v>
      </c>
      <c r="N4900" s="573">
        <v>601.35</v>
      </c>
      <c r="O4900" s="556" t="str">
        <f>IF(N4900=M4900,"OK","DIF")</f>
        <v>DIF</v>
      </c>
      <c r="P4900" s="573"/>
      <c r="Q4900" s="556"/>
      <c r="R4900" s="582"/>
    </row>
    <row r="4901" ht="15" customHeight="1" spans="1:18">
      <c r="A4901" s="556" t="str">
        <f>B4901</f>
        <v> 12.9.1 </v>
      </c>
      <c r="B4901" s="557" t="str">
        <f>B4900</f>
        <v> 12.9.1 </v>
      </c>
      <c r="C4901" s="100" t="s">
        <v>2893</v>
      </c>
      <c r="D4901" s="99" t="s">
        <v>4470</v>
      </c>
      <c r="E4901" s="100" t="s">
        <v>149</v>
      </c>
      <c r="F4901" s="100" t="s">
        <v>4471</v>
      </c>
      <c r="G4901" s="100" t="s">
        <v>2961</v>
      </c>
      <c r="H4901" s="100"/>
      <c r="I4901" s="101" t="s">
        <v>134</v>
      </c>
      <c r="J4901" s="580">
        <v>1</v>
      </c>
      <c r="K4901" s="580">
        <v>0</v>
      </c>
      <c r="L4901" s="102">
        <v>72410</v>
      </c>
      <c r="M4901" s="102">
        <v>72410</v>
      </c>
      <c r="N4901" s="573">
        <v>350.61</v>
      </c>
      <c r="O4901" s="556" t="str">
        <f>IF(N4901=M4901,"OK","DIF")</f>
        <v>DIF</v>
      </c>
      <c r="P4901" s="573"/>
      <c r="Q4901" s="556"/>
      <c r="R4901" s="582"/>
    </row>
    <row r="4902" ht="25.5" spans="1:18">
      <c r="A4902" s="556" t="str">
        <f>B4902</f>
        <v> 12.9.1 </v>
      </c>
      <c r="B4902" s="557" t="str">
        <f>B4901</f>
        <v> 12.9.1 </v>
      </c>
      <c r="C4902" s="108"/>
      <c r="D4902" s="108"/>
      <c r="E4902" s="108"/>
      <c r="F4902" s="108"/>
      <c r="G4902" s="108"/>
      <c r="H4902" s="108" t="s">
        <v>2898</v>
      </c>
      <c r="I4902" s="581">
        <v>0</v>
      </c>
      <c r="J4902" s="108" t="s">
        <v>2899</v>
      </c>
      <c r="K4902" s="581">
        <v>0</v>
      </c>
      <c r="L4902" s="108" t="s">
        <v>2900</v>
      </c>
      <c r="M4902" s="581">
        <v>0</v>
      </c>
      <c r="N4902" s="573">
        <v>250.74</v>
      </c>
      <c r="O4902" s="556" t="str">
        <f>IF(N4902=M4902,"OK","DIF")</f>
        <v>DIF</v>
      </c>
      <c r="P4902" s="573"/>
      <c r="Q4902" s="556"/>
      <c r="R4902" s="582"/>
    </row>
    <row r="4903" ht="26.25" spans="1:18">
      <c r="A4903" s="556"/>
      <c r="B4903" s="557"/>
      <c r="C4903" s="108"/>
      <c r="D4903" s="108"/>
      <c r="E4903" s="108"/>
      <c r="F4903" s="108"/>
      <c r="G4903" s="108"/>
      <c r="H4903" s="108" t="s">
        <v>2901</v>
      </c>
      <c r="I4903" s="581">
        <v>11672.49</v>
      </c>
      <c r="J4903" s="114"/>
      <c r="K4903" s="114" t="s">
        <v>2902</v>
      </c>
      <c r="L4903" s="108"/>
      <c r="M4903" s="581">
        <v>84082.49</v>
      </c>
      <c r="N4903" s="573"/>
      <c r="O4903" s="556"/>
      <c r="P4903" s="573"/>
      <c r="Q4903" s="556"/>
      <c r="R4903" s="582"/>
    </row>
    <row r="4904" ht="15" spans="1:18">
      <c r="A4904" s="556"/>
      <c r="B4904" s="557"/>
      <c r="C4904" s="571"/>
      <c r="D4904" s="571"/>
      <c r="E4904" s="571"/>
      <c r="F4904" s="571"/>
      <c r="G4904" s="571"/>
      <c r="H4904" s="571"/>
      <c r="I4904" s="571"/>
      <c r="J4904" s="571"/>
      <c r="K4904" s="571"/>
      <c r="L4904" s="571"/>
      <c r="M4904" s="571"/>
      <c r="N4904" s="573"/>
      <c r="O4904" s="556"/>
      <c r="P4904" s="573"/>
      <c r="Q4904" s="556"/>
      <c r="R4904" s="582"/>
    </row>
    <row r="4905" ht="15" customHeight="1" spans="1:18">
      <c r="A4905" s="556"/>
      <c r="B4905" s="557">
        <f>C4904</f>
        <v>0</v>
      </c>
      <c r="C4905" s="76" t="s">
        <v>1694</v>
      </c>
      <c r="D4905" s="75" t="s">
        <v>63</v>
      </c>
      <c r="E4905" s="76" t="s">
        <v>64</v>
      </c>
      <c r="F4905" s="76" t="s">
        <v>65</v>
      </c>
      <c r="G4905" s="76" t="s">
        <v>2889</v>
      </c>
      <c r="H4905" s="76"/>
      <c r="I4905" s="77" t="s">
        <v>66</v>
      </c>
      <c r="J4905" s="75" t="s">
        <v>67</v>
      </c>
      <c r="K4905" s="75" t="s">
        <v>2890</v>
      </c>
      <c r="L4905" s="75" t="s">
        <v>68</v>
      </c>
      <c r="M4905" s="75" t="s">
        <v>70</v>
      </c>
      <c r="N4905" s="573">
        <v>601.35</v>
      </c>
      <c r="O4905" s="556" t="str">
        <f>IF(N4905=M4905,"OK","DIF")</f>
        <v>DIF</v>
      </c>
      <c r="P4905" s="573"/>
      <c r="Q4905" s="556"/>
      <c r="R4905" s="582"/>
    </row>
    <row r="4906" ht="38.25" spans="1:18">
      <c r="A4906" s="556">
        <f>B4906</f>
        <v>0</v>
      </c>
      <c r="B4906" s="557">
        <f>B4905</f>
        <v>0</v>
      </c>
      <c r="C4906" s="569" t="s">
        <v>2891</v>
      </c>
      <c r="D4906" s="570" t="s">
        <v>1695</v>
      </c>
      <c r="E4906" s="569" t="s">
        <v>132</v>
      </c>
      <c r="F4906" s="569" t="s">
        <v>1696</v>
      </c>
      <c r="G4906" s="569">
        <v>65</v>
      </c>
      <c r="H4906" s="569"/>
      <c r="I4906" s="577" t="s">
        <v>134</v>
      </c>
      <c r="J4906" s="578">
        <v>1</v>
      </c>
      <c r="K4906" s="579"/>
      <c r="L4906" s="579">
        <v>2314.72</v>
      </c>
      <c r="M4906" s="579">
        <v>2314.72</v>
      </c>
      <c r="N4906" s="573">
        <v>250.74</v>
      </c>
      <c r="O4906" s="556" t="str">
        <f>IF(N4906=M4906,"OK","DIF")</f>
        <v>DIF</v>
      </c>
      <c r="P4906" s="573"/>
      <c r="Q4906" s="556"/>
      <c r="R4906" s="582"/>
    </row>
    <row r="4907" ht="23.85" customHeight="1" spans="1:18">
      <c r="A4907" s="556">
        <f>B4907</f>
        <v>0</v>
      </c>
      <c r="B4907" s="557">
        <f>B4906</f>
        <v>0</v>
      </c>
      <c r="C4907" s="79" t="s">
        <v>2921</v>
      </c>
      <c r="D4907" s="78" t="s">
        <v>3151</v>
      </c>
      <c r="E4907" s="79" t="s">
        <v>139</v>
      </c>
      <c r="F4907" s="79" t="s">
        <v>3152</v>
      </c>
      <c r="G4907" s="79" t="s">
        <v>2928</v>
      </c>
      <c r="H4907" s="79"/>
      <c r="I4907" s="80" t="s">
        <v>2897</v>
      </c>
      <c r="J4907" s="583">
        <v>34.333</v>
      </c>
      <c r="K4907" s="583">
        <v>0</v>
      </c>
      <c r="L4907" s="92">
        <v>36.82</v>
      </c>
      <c r="M4907" s="92">
        <v>1264.14</v>
      </c>
      <c r="N4907" s="573">
        <v>350.61</v>
      </c>
      <c r="O4907" s="556" t="str">
        <f>IF(N4907=M4907,"OK","DIF")</f>
        <v>DIF</v>
      </c>
      <c r="P4907" s="573"/>
      <c r="Q4907" s="556"/>
      <c r="R4907" s="582"/>
    </row>
    <row r="4908" ht="23.85" customHeight="1" spans="1:18">
      <c r="A4908" s="556"/>
      <c r="B4908" s="557"/>
      <c r="C4908" s="79" t="s">
        <v>2921</v>
      </c>
      <c r="D4908" s="78" t="s">
        <v>3153</v>
      </c>
      <c r="E4908" s="79" t="s">
        <v>139</v>
      </c>
      <c r="F4908" s="79" t="s">
        <v>3154</v>
      </c>
      <c r="G4908" s="79" t="s">
        <v>2928</v>
      </c>
      <c r="H4908" s="79"/>
      <c r="I4908" s="80" t="s">
        <v>2897</v>
      </c>
      <c r="J4908" s="583">
        <v>34.333</v>
      </c>
      <c r="K4908" s="583">
        <v>0</v>
      </c>
      <c r="L4908" s="92">
        <v>30.6</v>
      </c>
      <c r="M4908" s="92">
        <v>1050.58</v>
      </c>
      <c r="N4908" s="573"/>
      <c r="O4908" s="556"/>
      <c r="P4908" s="573"/>
      <c r="Q4908" s="556"/>
      <c r="R4908" s="582"/>
    </row>
    <row r="4909" ht="25.5" spans="1:18">
      <c r="A4909" s="556"/>
      <c r="B4909" s="557"/>
      <c r="C4909" s="108"/>
      <c r="D4909" s="108"/>
      <c r="E4909" s="108"/>
      <c r="F4909" s="108"/>
      <c r="G4909" s="108"/>
      <c r="H4909" s="108" t="s">
        <v>2898</v>
      </c>
      <c r="I4909" s="581">
        <v>1624.63</v>
      </c>
      <c r="J4909" s="108" t="s">
        <v>2899</v>
      </c>
      <c r="K4909" s="581">
        <v>0</v>
      </c>
      <c r="L4909" s="108" t="s">
        <v>2900</v>
      </c>
      <c r="M4909" s="581">
        <v>1624.63</v>
      </c>
      <c r="N4909" s="573"/>
      <c r="O4909" s="556"/>
      <c r="P4909" s="573"/>
      <c r="Q4909" s="556"/>
      <c r="R4909" s="582"/>
    </row>
    <row r="4910" ht="26.25" spans="1:18">
      <c r="A4910" s="556"/>
      <c r="B4910" s="557">
        <f>C4909</f>
        <v>0</v>
      </c>
      <c r="C4910" s="108"/>
      <c r="D4910" s="108"/>
      <c r="E4910" s="108"/>
      <c r="F4910" s="108"/>
      <c r="G4910" s="108"/>
      <c r="H4910" s="108" t="s">
        <v>2901</v>
      </c>
      <c r="I4910" s="581">
        <v>590.02</v>
      </c>
      <c r="J4910" s="114"/>
      <c r="K4910" s="114" t="s">
        <v>2902</v>
      </c>
      <c r="L4910" s="108"/>
      <c r="M4910" s="581">
        <v>2904.74</v>
      </c>
      <c r="N4910" s="573">
        <v>1244.49</v>
      </c>
      <c r="O4910" s="556" t="str">
        <f>IF(N4910=M4910,"OK","DIF")</f>
        <v>DIF</v>
      </c>
      <c r="P4910" s="573"/>
      <c r="Q4910" s="556"/>
      <c r="R4910" s="582"/>
    </row>
    <row r="4911" ht="15" spans="1:18">
      <c r="A4911" s="556">
        <f>B4911</f>
        <v>0</v>
      </c>
      <c r="B4911" s="557">
        <f>B4910</f>
        <v>0</v>
      </c>
      <c r="C4911" s="571"/>
      <c r="D4911" s="571"/>
      <c r="E4911" s="571"/>
      <c r="F4911" s="571"/>
      <c r="G4911" s="571"/>
      <c r="H4911" s="571"/>
      <c r="I4911" s="571"/>
      <c r="J4911" s="571"/>
      <c r="K4911" s="571"/>
      <c r="L4911" s="571"/>
      <c r="M4911" s="571"/>
      <c r="N4911" s="573">
        <v>543.27</v>
      </c>
      <c r="O4911" s="556" t="str">
        <f>IF(N4911=M4911,"OK","DIF")</f>
        <v>DIF</v>
      </c>
      <c r="P4911" s="573"/>
      <c r="Q4911" s="556"/>
      <c r="R4911" s="582"/>
    </row>
    <row r="4912" ht="15" customHeight="1" spans="1:18">
      <c r="A4912" s="556">
        <f>B4912</f>
        <v>0</v>
      </c>
      <c r="B4912" s="557">
        <f>B4911</f>
        <v>0</v>
      </c>
      <c r="C4912" s="76" t="s">
        <v>1697</v>
      </c>
      <c r="D4912" s="75" t="s">
        <v>63</v>
      </c>
      <c r="E4912" s="76" t="s">
        <v>64</v>
      </c>
      <c r="F4912" s="76" t="s">
        <v>65</v>
      </c>
      <c r="G4912" s="76" t="s">
        <v>2889</v>
      </c>
      <c r="H4912" s="76"/>
      <c r="I4912" s="77" t="s">
        <v>66</v>
      </c>
      <c r="J4912" s="75" t="s">
        <v>67</v>
      </c>
      <c r="K4912" s="75" t="s">
        <v>2890</v>
      </c>
      <c r="L4912" s="75" t="s">
        <v>68</v>
      </c>
      <c r="M4912" s="75" t="s">
        <v>70</v>
      </c>
      <c r="N4912" s="573">
        <v>701.22</v>
      </c>
      <c r="O4912" s="556" t="str">
        <f>IF(N4912=M4912,"OK","DIF")</f>
        <v>DIF</v>
      </c>
      <c r="P4912" s="573"/>
      <c r="Q4912" s="556"/>
      <c r="R4912" s="582"/>
    </row>
    <row r="4913" ht="51" spans="1:18">
      <c r="A4913" s="556"/>
      <c r="B4913" s="557"/>
      <c r="C4913" s="569" t="s">
        <v>2891</v>
      </c>
      <c r="D4913" s="570" t="s">
        <v>1213</v>
      </c>
      <c r="E4913" s="569" t="s">
        <v>77</v>
      </c>
      <c r="F4913" s="569" t="s">
        <v>4148</v>
      </c>
      <c r="G4913" s="569">
        <v>15</v>
      </c>
      <c r="H4913" s="569"/>
      <c r="I4913" s="577" t="s">
        <v>204</v>
      </c>
      <c r="J4913" s="578">
        <v>1</v>
      </c>
      <c r="K4913" s="579"/>
      <c r="L4913" s="579">
        <v>77.62</v>
      </c>
      <c r="M4913" s="579">
        <v>77.62</v>
      </c>
      <c r="N4913" s="573"/>
      <c r="O4913" s="556"/>
      <c r="P4913" s="573"/>
      <c r="Q4913" s="556"/>
      <c r="R4913" s="582"/>
    </row>
    <row r="4914" ht="23.85" customHeight="1" spans="1:18">
      <c r="A4914" s="556"/>
      <c r="B4914" s="557"/>
      <c r="C4914" s="100" t="s">
        <v>2893</v>
      </c>
      <c r="D4914" s="99" t="s">
        <v>4149</v>
      </c>
      <c r="E4914" s="100" t="s">
        <v>77</v>
      </c>
      <c r="F4914" s="100" t="s">
        <v>4150</v>
      </c>
      <c r="G4914" s="100" t="s">
        <v>2961</v>
      </c>
      <c r="H4914" s="100"/>
      <c r="I4914" s="101" t="s">
        <v>134</v>
      </c>
      <c r="J4914" s="580">
        <v>0.33</v>
      </c>
      <c r="K4914" s="580">
        <v>20</v>
      </c>
      <c r="L4914" s="102">
        <v>43</v>
      </c>
      <c r="M4914" s="102">
        <v>17.02</v>
      </c>
      <c r="N4914" s="573"/>
      <c r="O4914" s="556"/>
      <c r="P4914" s="573"/>
      <c r="Q4914" s="556"/>
      <c r="R4914" s="582"/>
    </row>
    <row r="4915" ht="15" customHeight="1" spans="1:18">
      <c r="A4915" s="556"/>
      <c r="B4915" s="557" t="str">
        <f>C4914</f>
        <v>Insumo</v>
      </c>
      <c r="C4915" s="100" t="s">
        <v>2893</v>
      </c>
      <c r="D4915" s="99" t="s">
        <v>3947</v>
      </c>
      <c r="E4915" s="100" t="s">
        <v>77</v>
      </c>
      <c r="F4915" s="100" t="s">
        <v>3948</v>
      </c>
      <c r="G4915" s="100" t="s">
        <v>2961</v>
      </c>
      <c r="H4915" s="100"/>
      <c r="I4915" s="101" t="s">
        <v>134</v>
      </c>
      <c r="J4915" s="580">
        <v>2.66</v>
      </c>
      <c r="K4915" s="580">
        <v>20</v>
      </c>
      <c r="L4915" s="102">
        <v>0.08</v>
      </c>
      <c r="M4915" s="102">
        <v>0.25</v>
      </c>
      <c r="N4915" s="573">
        <v>4980</v>
      </c>
      <c r="O4915" s="556" t="str">
        <f>IF(N4915=M4915,"OK","DIF")</f>
        <v>DIF</v>
      </c>
      <c r="P4915" s="573"/>
      <c r="Q4915" s="556"/>
      <c r="R4915" s="582"/>
    </row>
    <row r="4916" ht="23.85" customHeight="1" spans="1:18">
      <c r="A4916" s="556" t="str">
        <f>B4916</f>
        <v>Insumo</v>
      </c>
      <c r="B4916" s="557" t="str">
        <f>B4915</f>
        <v>Insumo</v>
      </c>
      <c r="C4916" s="100" t="s">
        <v>2893</v>
      </c>
      <c r="D4916" s="99" t="s">
        <v>3941</v>
      </c>
      <c r="E4916" s="100" t="s">
        <v>77</v>
      </c>
      <c r="F4916" s="100" t="s">
        <v>3942</v>
      </c>
      <c r="G4916" s="100" t="s">
        <v>2961</v>
      </c>
      <c r="H4916" s="100"/>
      <c r="I4916" s="101" t="s">
        <v>134</v>
      </c>
      <c r="J4916" s="580">
        <v>0.0133</v>
      </c>
      <c r="K4916" s="580">
        <v>20</v>
      </c>
      <c r="L4916" s="102">
        <v>41.44</v>
      </c>
      <c r="M4916" s="102">
        <v>0.66</v>
      </c>
      <c r="N4916" s="573">
        <v>647.28</v>
      </c>
      <c r="O4916" s="556" t="str">
        <f>IF(N4916=M4916,"OK","DIF")</f>
        <v>DIF</v>
      </c>
      <c r="P4916" s="573"/>
      <c r="Q4916" s="556"/>
      <c r="R4916" s="582"/>
    </row>
    <row r="4917" ht="15" customHeight="1" spans="1:18">
      <c r="A4917" s="556" t="str">
        <f>B4917</f>
        <v>Insumo</v>
      </c>
      <c r="B4917" s="557" t="str">
        <f>B4916</f>
        <v>Insumo</v>
      </c>
      <c r="C4917" s="100" t="s">
        <v>2893</v>
      </c>
      <c r="D4917" s="99" t="s">
        <v>3937</v>
      </c>
      <c r="E4917" s="100" t="s">
        <v>77</v>
      </c>
      <c r="F4917" s="100" t="s">
        <v>3938</v>
      </c>
      <c r="G4917" s="100" t="s">
        <v>2961</v>
      </c>
      <c r="H4917" s="100"/>
      <c r="I4917" s="101" t="s">
        <v>134</v>
      </c>
      <c r="J4917" s="580">
        <v>1.33</v>
      </c>
      <c r="K4917" s="580">
        <v>20</v>
      </c>
      <c r="L4917" s="102">
        <v>1.43</v>
      </c>
      <c r="M4917" s="102">
        <v>2.28</v>
      </c>
      <c r="N4917" s="573">
        <v>501.48</v>
      </c>
      <c r="O4917" s="556" t="str">
        <f>IF(N4917=M4917,"OK","DIF")</f>
        <v>DIF</v>
      </c>
      <c r="P4917" s="573"/>
      <c r="Q4917" s="556"/>
      <c r="R4917" s="582"/>
    </row>
    <row r="4918" ht="23.85" customHeight="1" spans="1:18">
      <c r="A4918" s="556" t="str">
        <f>B4918</f>
        <v>Insumo</v>
      </c>
      <c r="B4918" s="557" t="str">
        <f>B4917</f>
        <v>Insumo</v>
      </c>
      <c r="C4918" s="100" t="s">
        <v>2893</v>
      </c>
      <c r="D4918" s="99" t="s">
        <v>3108</v>
      </c>
      <c r="E4918" s="100" t="s">
        <v>77</v>
      </c>
      <c r="F4918" s="100" t="s">
        <v>3109</v>
      </c>
      <c r="G4918" s="100" t="s">
        <v>2896</v>
      </c>
      <c r="H4918" s="100"/>
      <c r="I4918" s="101" t="s">
        <v>2897</v>
      </c>
      <c r="J4918" s="580">
        <v>1</v>
      </c>
      <c r="K4918" s="580">
        <v>3</v>
      </c>
      <c r="L4918" s="102">
        <v>19.16</v>
      </c>
      <c r="M4918" s="102">
        <v>19.73</v>
      </c>
      <c r="N4918" s="573">
        <v>3831.24</v>
      </c>
      <c r="O4918" s="556" t="str">
        <f>IF(N4918=M4918,"OK","DIF")</f>
        <v>DIF</v>
      </c>
      <c r="P4918" s="573"/>
      <c r="Q4918" s="556"/>
      <c r="R4918" s="582"/>
    </row>
    <row r="4919" ht="23.85" customHeight="1" spans="1:18">
      <c r="A4919" s="556"/>
      <c r="B4919" s="557"/>
      <c r="C4919" s="100" t="s">
        <v>2893</v>
      </c>
      <c r="D4919" s="99" t="s">
        <v>4013</v>
      </c>
      <c r="E4919" s="100" t="s">
        <v>77</v>
      </c>
      <c r="F4919" s="100" t="s">
        <v>4014</v>
      </c>
      <c r="G4919" s="100" t="s">
        <v>2896</v>
      </c>
      <c r="H4919" s="100"/>
      <c r="I4919" s="101" t="s">
        <v>2897</v>
      </c>
      <c r="J4919" s="580">
        <v>1</v>
      </c>
      <c r="K4919" s="580">
        <v>3</v>
      </c>
      <c r="L4919" s="102">
        <v>26.52</v>
      </c>
      <c r="M4919" s="102">
        <v>27.31</v>
      </c>
      <c r="N4919" s="573"/>
      <c r="O4919" s="556"/>
      <c r="P4919" s="573"/>
      <c r="Q4919" s="556"/>
      <c r="R4919" s="582"/>
    </row>
    <row r="4920" ht="15" customHeight="1" spans="1:18">
      <c r="A4920" s="556"/>
      <c r="B4920" s="557"/>
      <c r="C4920" s="100" t="s">
        <v>2893</v>
      </c>
      <c r="D4920" s="99" t="s">
        <v>3943</v>
      </c>
      <c r="E4920" s="100" t="s">
        <v>77</v>
      </c>
      <c r="F4920" s="100" t="s">
        <v>3944</v>
      </c>
      <c r="G4920" s="100" t="s">
        <v>2961</v>
      </c>
      <c r="H4920" s="100"/>
      <c r="I4920" s="101" t="s">
        <v>134</v>
      </c>
      <c r="J4920" s="580">
        <v>2.66</v>
      </c>
      <c r="K4920" s="580">
        <v>20</v>
      </c>
      <c r="L4920" s="102">
        <v>0.08</v>
      </c>
      <c r="M4920" s="102">
        <v>0.25</v>
      </c>
      <c r="N4920" s="573"/>
      <c r="O4920" s="556"/>
      <c r="P4920" s="573"/>
      <c r="Q4920" s="556"/>
      <c r="R4920" s="582"/>
    </row>
    <row r="4921" ht="23.85" customHeight="1" spans="1:18">
      <c r="A4921" s="556"/>
      <c r="B4921" s="557" t="str">
        <f>C4920</f>
        <v>Insumo</v>
      </c>
      <c r="C4921" s="100" t="s">
        <v>2893</v>
      </c>
      <c r="D4921" s="99" t="s">
        <v>3945</v>
      </c>
      <c r="E4921" s="100" t="s">
        <v>77</v>
      </c>
      <c r="F4921" s="100" t="s">
        <v>3946</v>
      </c>
      <c r="G4921" s="100" t="s">
        <v>2961</v>
      </c>
      <c r="H4921" s="100"/>
      <c r="I4921" s="101" t="s">
        <v>134</v>
      </c>
      <c r="J4921" s="580">
        <v>0.666</v>
      </c>
      <c r="K4921" s="580">
        <v>20</v>
      </c>
      <c r="L4921" s="102">
        <v>2.95</v>
      </c>
      <c r="M4921" s="102">
        <v>2.35</v>
      </c>
      <c r="N4921" s="573">
        <v>5080</v>
      </c>
      <c r="O4921" s="556" t="str">
        <f>IF(N4921=M4921,"OK","DIF")</f>
        <v>DIF</v>
      </c>
      <c r="P4921" s="573"/>
      <c r="Q4921" s="556"/>
      <c r="R4921" s="582"/>
    </row>
    <row r="4922" ht="15" customHeight="1" spans="1:18">
      <c r="A4922" s="556" t="str">
        <f>B4922</f>
        <v>Insumo</v>
      </c>
      <c r="B4922" s="557" t="str">
        <f>B4921</f>
        <v>Insumo</v>
      </c>
      <c r="C4922" s="100" t="s">
        <v>2893</v>
      </c>
      <c r="D4922" s="99" t="s">
        <v>3939</v>
      </c>
      <c r="E4922" s="100" t="s">
        <v>77</v>
      </c>
      <c r="F4922" s="100" t="s">
        <v>3940</v>
      </c>
      <c r="G4922" s="100" t="s">
        <v>2961</v>
      </c>
      <c r="H4922" s="100"/>
      <c r="I4922" s="101" t="s">
        <v>134</v>
      </c>
      <c r="J4922" s="580">
        <v>0.666</v>
      </c>
      <c r="K4922" s="580">
        <v>20</v>
      </c>
      <c r="L4922" s="102">
        <v>9.73</v>
      </c>
      <c r="M4922" s="102">
        <v>7.77</v>
      </c>
      <c r="N4922" s="573">
        <v>647.28</v>
      </c>
      <c r="O4922" s="556" t="str">
        <f>IF(N4922=M4922,"OK","DIF")</f>
        <v>DIF</v>
      </c>
      <c r="P4922" s="573"/>
      <c r="Q4922" s="556"/>
      <c r="R4922" s="582"/>
    </row>
    <row r="4923" ht="25.5" spans="1:18">
      <c r="A4923" s="556" t="str">
        <f>B4923</f>
        <v>Insumo</v>
      </c>
      <c r="B4923" s="557" t="str">
        <f>B4922</f>
        <v>Insumo</v>
      </c>
      <c r="C4923" s="108"/>
      <c r="D4923" s="108"/>
      <c r="E4923" s="108"/>
      <c r="F4923" s="108"/>
      <c r="G4923" s="108"/>
      <c r="H4923" s="108" t="s">
        <v>2898</v>
      </c>
      <c r="I4923" s="581">
        <v>47.04</v>
      </c>
      <c r="J4923" s="108" t="s">
        <v>2899</v>
      </c>
      <c r="K4923" s="581">
        <v>0</v>
      </c>
      <c r="L4923" s="108" t="s">
        <v>2900</v>
      </c>
      <c r="M4923" s="581">
        <v>47.04</v>
      </c>
      <c r="N4923" s="573">
        <v>501.48</v>
      </c>
      <c r="O4923" s="556" t="str">
        <f>IF(N4923=M4923,"OK","DIF")</f>
        <v>DIF</v>
      </c>
      <c r="P4923" s="573"/>
      <c r="Q4923" s="556"/>
      <c r="R4923" s="582"/>
    </row>
    <row r="4924" ht="26.25" spans="1:18">
      <c r="A4924" s="556" t="str">
        <f>B4924</f>
        <v>Insumo</v>
      </c>
      <c r="B4924" s="557" t="str">
        <f>B4923</f>
        <v>Insumo</v>
      </c>
      <c r="C4924" s="108"/>
      <c r="D4924" s="108"/>
      <c r="E4924" s="108"/>
      <c r="F4924" s="108"/>
      <c r="G4924" s="108"/>
      <c r="H4924" s="108" t="s">
        <v>2901</v>
      </c>
      <c r="I4924" s="581">
        <v>19.78</v>
      </c>
      <c r="J4924" s="114"/>
      <c r="K4924" s="114" t="s">
        <v>2902</v>
      </c>
      <c r="L4924" s="108"/>
      <c r="M4924" s="581">
        <v>97.4</v>
      </c>
      <c r="N4924" s="573">
        <v>3931.24</v>
      </c>
      <c r="O4924" s="556" t="str">
        <f>IF(N4924=M4924,"OK","DIF")</f>
        <v>DIF</v>
      </c>
      <c r="P4924" s="573"/>
      <c r="Q4924" s="556"/>
      <c r="R4924" s="582"/>
    </row>
    <row r="4925" ht="15" spans="1:18">
      <c r="A4925" s="556"/>
      <c r="B4925" s="557"/>
      <c r="C4925" s="571"/>
      <c r="D4925" s="571"/>
      <c r="E4925" s="571"/>
      <c r="F4925" s="571"/>
      <c r="G4925" s="571"/>
      <c r="H4925" s="571"/>
      <c r="I4925" s="571"/>
      <c r="J4925" s="571"/>
      <c r="K4925" s="571"/>
      <c r="L4925" s="571"/>
      <c r="M4925" s="571"/>
      <c r="N4925" s="573"/>
      <c r="O4925" s="556"/>
      <c r="P4925" s="573"/>
      <c r="Q4925" s="556"/>
      <c r="R4925" s="582"/>
    </row>
    <row r="4926" ht="15" customHeight="1" spans="1:18">
      <c r="A4926" s="556"/>
      <c r="B4926" s="557"/>
      <c r="C4926" s="76" t="s">
        <v>1698</v>
      </c>
      <c r="D4926" s="75" t="s">
        <v>63</v>
      </c>
      <c r="E4926" s="76" t="s">
        <v>64</v>
      </c>
      <c r="F4926" s="76" t="s">
        <v>65</v>
      </c>
      <c r="G4926" s="76" t="s">
        <v>2889</v>
      </c>
      <c r="H4926" s="76"/>
      <c r="I4926" s="77" t="s">
        <v>66</v>
      </c>
      <c r="J4926" s="75" t="s">
        <v>67</v>
      </c>
      <c r="K4926" s="75" t="s">
        <v>2890</v>
      </c>
      <c r="L4926" s="75" t="s">
        <v>68</v>
      </c>
      <c r="M4926" s="75" t="s">
        <v>70</v>
      </c>
      <c r="N4926" s="573"/>
      <c r="O4926" s="556"/>
      <c r="P4926" s="573"/>
      <c r="Q4926" s="556"/>
      <c r="R4926" s="582"/>
    </row>
    <row r="4927" ht="51" spans="1:18">
      <c r="A4927" s="556"/>
      <c r="B4927" s="557" t="str">
        <f>C4926</f>
        <v> 13.2 </v>
      </c>
      <c r="C4927" s="569" t="s">
        <v>2891</v>
      </c>
      <c r="D4927" s="570" t="s">
        <v>1699</v>
      </c>
      <c r="E4927" s="569" t="s">
        <v>77</v>
      </c>
      <c r="F4927" s="569" t="s">
        <v>4472</v>
      </c>
      <c r="G4927" s="569">
        <v>15</v>
      </c>
      <c r="H4927" s="569"/>
      <c r="I4927" s="577" t="s">
        <v>204</v>
      </c>
      <c r="J4927" s="578">
        <v>1</v>
      </c>
      <c r="K4927" s="579"/>
      <c r="L4927" s="579">
        <v>91.33</v>
      </c>
      <c r="M4927" s="579">
        <v>91.33</v>
      </c>
      <c r="N4927" s="573">
        <v>6640</v>
      </c>
      <c r="O4927" s="556" t="str">
        <f>IF(N4927=M4927,"OK","DIF")</f>
        <v>DIF</v>
      </c>
      <c r="P4927" s="573"/>
      <c r="Q4927" s="556"/>
      <c r="R4927" s="582"/>
    </row>
    <row r="4928" ht="23.85" customHeight="1" spans="1:18">
      <c r="A4928" s="556" t="str">
        <f>B4928</f>
        <v> 13.2 </v>
      </c>
      <c r="B4928" s="557" t="str">
        <f>B4927</f>
        <v> 13.2 </v>
      </c>
      <c r="C4928" s="100" t="s">
        <v>2893</v>
      </c>
      <c r="D4928" s="99" t="s">
        <v>3941</v>
      </c>
      <c r="E4928" s="100" t="s">
        <v>77</v>
      </c>
      <c r="F4928" s="100" t="s">
        <v>3942</v>
      </c>
      <c r="G4928" s="100" t="s">
        <v>2961</v>
      </c>
      <c r="H4928" s="100"/>
      <c r="I4928" s="101" t="s">
        <v>134</v>
      </c>
      <c r="J4928" s="580">
        <v>0.0133</v>
      </c>
      <c r="K4928" s="580">
        <v>20</v>
      </c>
      <c r="L4928" s="102">
        <v>41.44</v>
      </c>
      <c r="M4928" s="102">
        <v>0.66</v>
      </c>
      <c r="N4928" s="573">
        <v>701.22</v>
      </c>
      <c r="O4928" s="556" t="str">
        <f>IF(N4928=M4928,"OK","DIF")</f>
        <v>DIF</v>
      </c>
      <c r="P4928" s="573"/>
      <c r="Q4928" s="556"/>
      <c r="R4928" s="582"/>
    </row>
    <row r="4929" ht="15" customHeight="1" spans="1:18">
      <c r="A4929" s="556" t="str">
        <f>B4929</f>
        <v> 13.2 </v>
      </c>
      <c r="B4929" s="557" t="str">
        <f>B4928</f>
        <v> 13.2 </v>
      </c>
      <c r="C4929" s="100" t="s">
        <v>2893</v>
      </c>
      <c r="D4929" s="99" t="s">
        <v>3937</v>
      </c>
      <c r="E4929" s="100" t="s">
        <v>77</v>
      </c>
      <c r="F4929" s="100" t="s">
        <v>3938</v>
      </c>
      <c r="G4929" s="100" t="s">
        <v>2961</v>
      </c>
      <c r="H4929" s="100"/>
      <c r="I4929" s="101" t="s">
        <v>134</v>
      </c>
      <c r="J4929" s="580">
        <v>1.33</v>
      </c>
      <c r="K4929" s="580">
        <v>20</v>
      </c>
      <c r="L4929" s="102">
        <v>1.43</v>
      </c>
      <c r="M4929" s="102">
        <v>2.28</v>
      </c>
      <c r="N4929" s="573">
        <v>543.27</v>
      </c>
      <c r="O4929" s="556" t="str">
        <f>IF(N4929=M4929,"OK","DIF")</f>
        <v>DIF</v>
      </c>
      <c r="P4929" s="573"/>
      <c r="Q4929" s="556"/>
      <c r="R4929" s="582"/>
    </row>
    <row r="4930" ht="15" customHeight="1" spans="1:18">
      <c r="A4930" s="556" t="str">
        <f>B4930</f>
        <v> 13.2 </v>
      </c>
      <c r="B4930" s="557" t="str">
        <f>B4929</f>
        <v> 13.2 </v>
      </c>
      <c r="C4930" s="100" t="s">
        <v>2893</v>
      </c>
      <c r="D4930" s="99" t="s">
        <v>3943</v>
      </c>
      <c r="E4930" s="100" t="s">
        <v>77</v>
      </c>
      <c r="F4930" s="100" t="s">
        <v>3944</v>
      </c>
      <c r="G4930" s="100" t="s">
        <v>2961</v>
      </c>
      <c r="H4930" s="100"/>
      <c r="I4930" s="101" t="s">
        <v>134</v>
      </c>
      <c r="J4930" s="580">
        <v>2.66</v>
      </c>
      <c r="K4930" s="580">
        <v>20</v>
      </c>
      <c r="L4930" s="102">
        <v>0.08</v>
      </c>
      <c r="M4930" s="102">
        <v>0.25</v>
      </c>
      <c r="N4930" s="573">
        <v>5395.51</v>
      </c>
      <c r="O4930" s="556" t="str">
        <f>IF(N4930=M4930,"OK","DIF")</f>
        <v>DIF</v>
      </c>
      <c r="P4930" s="573"/>
      <c r="Q4930" s="556"/>
      <c r="R4930" s="582"/>
    </row>
    <row r="4931" ht="23.85" customHeight="1" spans="1:18">
      <c r="A4931" s="556"/>
      <c r="B4931" s="557"/>
      <c r="C4931" s="100" t="s">
        <v>2893</v>
      </c>
      <c r="D4931" s="99" t="s">
        <v>4473</v>
      </c>
      <c r="E4931" s="100" t="s">
        <v>77</v>
      </c>
      <c r="F4931" s="100" t="s">
        <v>4474</v>
      </c>
      <c r="G4931" s="100" t="s">
        <v>2961</v>
      </c>
      <c r="H4931" s="100"/>
      <c r="I4931" s="101" t="s">
        <v>134</v>
      </c>
      <c r="J4931" s="580">
        <v>0.666</v>
      </c>
      <c r="K4931" s="580">
        <v>20</v>
      </c>
      <c r="L4931" s="102">
        <v>5.48</v>
      </c>
      <c r="M4931" s="102">
        <v>4.37</v>
      </c>
      <c r="N4931" s="573"/>
      <c r="O4931" s="556"/>
      <c r="P4931" s="573"/>
      <c r="Q4931" s="556"/>
      <c r="R4931" s="582"/>
    </row>
    <row r="4932" ht="23.85" customHeight="1" spans="1:18">
      <c r="A4932" s="556"/>
      <c r="B4932" s="557"/>
      <c r="C4932" s="100" t="s">
        <v>2893</v>
      </c>
      <c r="D4932" s="99" t="s">
        <v>4013</v>
      </c>
      <c r="E4932" s="100" t="s">
        <v>77</v>
      </c>
      <c r="F4932" s="100" t="s">
        <v>4014</v>
      </c>
      <c r="G4932" s="100" t="s">
        <v>2896</v>
      </c>
      <c r="H4932" s="100"/>
      <c r="I4932" s="101" t="s">
        <v>2897</v>
      </c>
      <c r="J4932" s="580">
        <v>1</v>
      </c>
      <c r="K4932" s="580">
        <v>3</v>
      </c>
      <c r="L4932" s="102">
        <v>26.52</v>
      </c>
      <c r="M4932" s="102">
        <v>27.31</v>
      </c>
      <c r="N4932" s="573"/>
      <c r="O4932" s="556"/>
      <c r="P4932" s="573"/>
      <c r="Q4932" s="556"/>
      <c r="R4932" s="582"/>
    </row>
    <row r="4933" ht="15" customHeight="1" spans="1:18">
      <c r="A4933" s="556"/>
      <c r="B4933" s="557" t="str">
        <f>C4932</f>
        <v>Insumo</v>
      </c>
      <c r="C4933" s="100" t="s">
        <v>2893</v>
      </c>
      <c r="D4933" s="99" t="s">
        <v>3947</v>
      </c>
      <c r="E4933" s="100" t="s">
        <v>77</v>
      </c>
      <c r="F4933" s="100" t="s">
        <v>3948</v>
      </c>
      <c r="G4933" s="100" t="s">
        <v>2961</v>
      </c>
      <c r="H4933" s="100"/>
      <c r="I4933" s="101" t="s">
        <v>134</v>
      </c>
      <c r="J4933" s="580">
        <v>2.66</v>
      </c>
      <c r="K4933" s="580">
        <v>20</v>
      </c>
      <c r="L4933" s="102">
        <v>0.08</v>
      </c>
      <c r="M4933" s="102">
        <v>0.25</v>
      </c>
      <c r="N4933" s="573">
        <v>6800</v>
      </c>
      <c r="O4933" s="556" t="str">
        <f>IF(N4933=M4933,"OK","DIF")</f>
        <v>DIF</v>
      </c>
      <c r="P4933" s="573"/>
      <c r="Q4933" s="556"/>
      <c r="R4933" s="582"/>
    </row>
    <row r="4934" ht="23.85" customHeight="1" spans="1:18">
      <c r="A4934" s="556" t="str">
        <f>B4934</f>
        <v>Insumo</v>
      </c>
      <c r="B4934" s="557" t="str">
        <f>B4933</f>
        <v>Insumo</v>
      </c>
      <c r="C4934" s="100" t="s">
        <v>2893</v>
      </c>
      <c r="D4934" s="99" t="s">
        <v>3108</v>
      </c>
      <c r="E4934" s="100" t="s">
        <v>77</v>
      </c>
      <c r="F4934" s="100" t="s">
        <v>3109</v>
      </c>
      <c r="G4934" s="100" t="s">
        <v>2896</v>
      </c>
      <c r="H4934" s="100"/>
      <c r="I4934" s="101" t="s">
        <v>2897</v>
      </c>
      <c r="J4934" s="580">
        <v>1</v>
      </c>
      <c r="K4934" s="580">
        <v>3</v>
      </c>
      <c r="L4934" s="102">
        <v>19.16</v>
      </c>
      <c r="M4934" s="102">
        <v>19.73</v>
      </c>
      <c r="N4934" s="573">
        <v>543.27</v>
      </c>
      <c r="O4934" s="556" t="str">
        <f>IF(N4934=M4934,"OK","DIF")</f>
        <v>DIF</v>
      </c>
      <c r="P4934" s="573"/>
      <c r="Q4934" s="556"/>
      <c r="R4934" s="582"/>
    </row>
    <row r="4935" ht="23.85" customHeight="1" spans="1:18">
      <c r="A4935" s="556" t="str">
        <f>B4935</f>
        <v>Insumo</v>
      </c>
      <c r="B4935" s="557" t="str">
        <f>B4934</f>
        <v>Insumo</v>
      </c>
      <c r="C4935" s="100" t="s">
        <v>2893</v>
      </c>
      <c r="D4935" s="99" t="s">
        <v>4475</v>
      </c>
      <c r="E4935" s="100" t="s">
        <v>77</v>
      </c>
      <c r="F4935" s="100" t="s">
        <v>4476</v>
      </c>
      <c r="G4935" s="100" t="s">
        <v>2961</v>
      </c>
      <c r="H4935" s="100"/>
      <c r="I4935" s="101" t="s">
        <v>134</v>
      </c>
      <c r="J4935" s="580">
        <v>0.33</v>
      </c>
      <c r="K4935" s="580">
        <v>20</v>
      </c>
      <c r="L4935" s="102">
        <v>72.51</v>
      </c>
      <c r="M4935" s="102">
        <v>28.71</v>
      </c>
      <c r="N4935" s="573">
        <v>701.22</v>
      </c>
      <c r="O4935" s="556" t="str">
        <f>IF(N4935=M4935,"OK","DIF")</f>
        <v>DIF</v>
      </c>
      <c r="P4935" s="573"/>
      <c r="Q4935" s="556"/>
      <c r="R4935" s="582"/>
    </row>
    <row r="4936" ht="15" customHeight="1" spans="1:18">
      <c r="A4936" s="556" t="str">
        <f>B4936</f>
        <v>Insumo</v>
      </c>
      <c r="B4936" s="557" t="str">
        <f>B4935</f>
        <v>Insumo</v>
      </c>
      <c r="C4936" s="100" t="s">
        <v>2893</v>
      </c>
      <c r="D4936" s="99" t="s">
        <v>3939</v>
      </c>
      <c r="E4936" s="100" t="s">
        <v>77</v>
      </c>
      <c r="F4936" s="100" t="s">
        <v>3940</v>
      </c>
      <c r="G4936" s="100" t="s">
        <v>2961</v>
      </c>
      <c r="H4936" s="100"/>
      <c r="I4936" s="101" t="s">
        <v>134</v>
      </c>
      <c r="J4936" s="580">
        <v>0.666</v>
      </c>
      <c r="K4936" s="580">
        <v>20</v>
      </c>
      <c r="L4936" s="102">
        <v>9.73</v>
      </c>
      <c r="M4936" s="102">
        <v>7.77</v>
      </c>
      <c r="N4936" s="573">
        <v>5555.51</v>
      </c>
      <c r="O4936" s="556" t="str">
        <f>IF(N4936=M4936,"OK","DIF")</f>
        <v>DIF</v>
      </c>
      <c r="P4936" s="573"/>
      <c r="Q4936" s="556"/>
      <c r="R4936" s="582"/>
    </row>
    <row r="4937" ht="25.5" spans="1:18">
      <c r="A4937" s="556"/>
      <c r="B4937" s="557"/>
      <c r="C4937" s="108"/>
      <c r="D4937" s="108"/>
      <c r="E4937" s="108"/>
      <c r="F4937" s="108"/>
      <c r="G4937" s="108"/>
      <c r="H4937" s="108" t="s">
        <v>2898</v>
      </c>
      <c r="I4937" s="581">
        <v>47.04</v>
      </c>
      <c r="J4937" s="108" t="s">
        <v>2899</v>
      </c>
      <c r="K4937" s="581">
        <v>0</v>
      </c>
      <c r="L4937" s="108" t="s">
        <v>2900</v>
      </c>
      <c r="M4937" s="581">
        <v>47.04</v>
      </c>
      <c r="N4937" s="573"/>
      <c r="O4937" s="556"/>
      <c r="P4937" s="573"/>
      <c r="Q4937" s="556"/>
      <c r="R4937" s="582"/>
    </row>
    <row r="4938" ht="26.25" spans="1:18">
      <c r="A4938" s="556"/>
      <c r="B4938" s="557"/>
      <c r="C4938" s="108"/>
      <c r="D4938" s="108"/>
      <c r="E4938" s="108"/>
      <c r="F4938" s="108"/>
      <c r="G4938" s="108"/>
      <c r="H4938" s="108" t="s">
        <v>2901</v>
      </c>
      <c r="I4938" s="581">
        <v>23.28</v>
      </c>
      <c r="J4938" s="114"/>
      <c r="K4938" s="114" t="s">
        <v>2902</v>
      </c>
      <c r="L4938" s="108"/>
      <c r="M4938" s="581">
        <v>114.61</v>
      </c>
      <c r="N4938" s="573"/>
      <c r="O4938" s="556"/>
      <c r="P4938" s="573"/>
      <c r="Q4938" s="556"/>
      <c r="R4938" s="582"/>
    </row>
    <row r="4939" ht="15" spans="1:18">
      <c r="A4939" s="556"/>
      <c r="B4939" s="557">
        <f>C4938</f>
        <v>0</v>
      </c>
      <c r="C4939" s="571"/>
      <c r="D4939" s="571"/>
      <c r="E4939" s="571"/>
      <c r="F4939" s="571"/>
      <c r="G4939" s="571"/>
      <c r="H4939" s="571"/>
      <c r="I4939" s="571"/>
      <c r="J4939" s="571"/>
      <c r="K4939" s="571"/>
      <c r="L4939" s="571"/>
      <c r="M4939" s="571"/>
      <c r="N4939" s="573">
        <v>3150</v>
      </c>
      <c r="O4939" s="556" t="str">
        <f>IF(N4939=M4939,"OK","DIF")</f>
        <v>DIF</v>
      </c>
      <c r="P4939" s="573"/>
      <c r="Q4939" s="556"/>
      <c r="R4939" s="582"/>
    </row>
    <row r="4940" ht="15" customHeight="1" spans="1:18">
      <c r="A4940" s="556">
        <f>B4940</f>
        <v>0</v>
      </c>
      <c r="B4940" s="557">
        <f>B4939</f>
        <v>0</v>
      </c>
      <c r="C4940" s="76" t="s">
        <v>1701</v>
      </c>
      <c r="D4940" s="75" t="s">
        <v>63</v>
      </c>
      <c r="E4940" s="76" t="s">
        <v>64</v>
      </c>
      <c r="F4940" s="76" t="s">
        <v>65</v>
      </c>
      <c r="G4940" s="76" t="s">
        <v>2889</v>
      </c>
      <c r="H4940" s="76"/>
      <c r="I4940" s="77" t="s">
        <v>66</v>
      </c>
      <c r="J4940" s="75" t="s">
        <v>67</v>
      </c>
      <c r="K4940" s="75" t="s">
        <v>2890</v>
      </c>
      <c r="L4940" s="75" t="s">
        <v>68</v>
      </c>
      <c r="M4940" s="75" t="s">
        <v>70</v>
      </c>
      <c r="N4940" s="573">
        <v>350.61</v>
      </c>
      <c r="O4940" s="556" t="str">
        <f>IF(N4940=M4940,"OK","DIF")</f>
        <v>DIF</v>
      </c>
      <c r="P4940" s="573"/>
      <c r="Q4940" s="556"/>
      <c r="R4940" s="582"/>
    </row>
    <row r="4941" ht="51" spans="1:18">
      <c r="A4941" s="556">
        <f>B4941</f>
        <v>0</v>
      </c>
      <c r="B4941" s="557">
        <f>B4940</f>
        <v>0</v>
      </c>
      <c r="C4941" s="569" t="s">
        <v>2891</v>
      </c>
      <c r="D4941" s="570" t="s">
        <v>1702</v>
      </c>
      <c r="E4941" s="569" t="s">
        <v>77</v>
      </c>
      <c r="F4941" s="569" t="s">
        <v>4477</v>
      </c>
      <c r="G4941" s="569">
        <v>15</v>
      </c>
      <c r="H4941" s="569"/>
      <c r="I4941" s="577" t="s">
        <v>204</v>
      </c>
      <c r="J4941" s="578">
        <v>1</v>
      </c>
      <c r="K4941" s="579"/>
      <c r="L4941" s="579">
        <v>107.85</v>
      </c>
      <c r="M4941" s="579">
        <v>107.85</v>
      </c>
      <c r="N4941" s="573">
        <v>250.74</v>
      </c>
      <c r="O4941" s="556" t="str">
        <f>IF(N4941=M4941,"OK","DIF")</f>
        <v>DIF</v>
      </c>
      <c r="P4941" s="573"/>
      <c r="Q4941" s="556"/>
      <c r="R4941" s="582"/>
    </row>
    <row r="4942" ht="23.85" customHeight="1" spans="1:18">
      <c r="A4942" s="556">
        <f>B4942</f>
        <v>0</v>
      </c>
      <c r="B4942" s="557">
        <f>B4941</f>
        <v>0</v>
      </c>
      <c r="C4942" s="100" t="s">
        <v>2893</v>
      </c>
      <c r="D4942" s="99" t="s">
        <v>4478</v>
      </c>
      <c r="E4942" s="100" t="s">
        <v>77</v>
      </c>
      <c r="F4942" s="100" t="s">
        <v>4479</v>
      </c>
      <c r="G4942" s="100" t="s">
        <v>2961</v>
      </c>
      <c r="H4942" s="100"/>
      <c r="I4942" s="101" t="s">
        <v>134</v>
      </c>
      <c r="J4942" s="580">
        <v>0.33</v>
      </c>
      <c r="K4942" s="580">
        <v>20</v>
      </c>
      <c r="L4942" s="102">
        <v>106.59</v>
      </c>
      <c r="M4942" s="102">
        <v>42.2</v>
      </c>
      <c r="N4942" s="573">
        <v>2548.65</v>
      </c>
      <c r="O4942" s="556" t="str">
        <f>IF(N4942=M4942,"OK","DIF")</f>
        <v>DIF</v>
      </c>
      <c r="P4942" s="573"/>
      <c r="Q4942" s="556"/>
      <c r="R4942" s="582"/>
    </row>
    <row r="4943" ht="23.85" customHeight="1" spans="1:18">
      <c r="A4943" s="556"/>
      <c r="B4943" s="557"/>
      <c r="C4943" s="100" t="s">
        <v>2893</v>
      </c>
      <c r="D4943" s="99" t="s">
        <v>4013</v>
      </c>
      <c r="E4943" s="100" t="s">
        <v>77</v>
      </c>
      <c r="F4943" s="100" t="s">
        <v>4014</v>
      </c>
      <c r="G4943" s="100" t="s">
        <v>2896</v>
      </c>
      <c r="H4943" s="100"/>
      <c r="I4943" s="101" t="s">
        <v>2897</v>
      </c>
      <c r="J4943" s="580">
        <v>1</v>
      </c>
      <c r="K4943" s="580">
        <v>3</v>
      </c>
      <c r="L4943" s="102">
        <v>26.52</v>
      </c>
      <c r="M4943" s="102">
        <v>27.31</v>
      </c>
      <c r="N4943" s="573"/>
      <c r="O4943" s="556"/>
      <c r="P4943" s="573"/>
      <c r="Q4943" s="556"/>
      <c r="R4943" s="582"/>
    </row>
    <row r="4944" ht="15" customHeight="1" spans="1:18">
      <c r="A4944" s="556"/>
      <c r="B4944" s="557"/>
      <c r="C4944" s="100" t="s">
        <v>2893</v>
      </c>
      <c r="D4944" s="99" t="s">
        <v>3943</v>
      </c>
      <c r="E4944" s="100" t="s">
        <v>77</v>
      </c>
      <c r="F4944" s="100" t="s">
        <v>3944</v>
      </c>
      <c r="G4944" s="100" t="s">
        <v>2961</v>
      </c>
      <c r="H4944" s="100"/>
      <c r="I4944" s="101" t="s">
        <v>134</v>
      </c>
      <c r="J4944" s="580">
        <v>2.66</v>
      </c>
      <c r="K4944" s="580">
        <v>20</v>
      </c>
      <c r="L4944" s="102">
        <v>0.08</v>
      </c>
      <c r="M4944" s="102">
        <v>0.25</v>
      </c>
      <c r="N4944" s="573"/>
      <c r="O4944" s="556"/>
      <c r="P4944" s="573"/>
      <c r="Q4944" s="556"/>
      <c r="R4944" s="582"/>
    </row>
    <row r="4945" ht="15" customHeight="1" spans="1:18">
      <c r="A4945" s="556"/>
      <c r="B4945" s="557" t="str">
        <f>C4944</f>
        <v>Insumo</v>
      </c>
      <c r="C4945" s="100" t="s">
        <v>2893</v>
      </c>
      <c r="D4945" s="99" t="s">
        <v>3947</v>
      </c>
      <c r="E4945" s="100" t="s">
        <v>77</v>
      </c>
      <c r="F4945" s="100" t="s">
        <v>3948</v>
      </c>
      <c r="G4945" s="100" t="s">
        <v>2961</v>
      </c>
      <c r="H4945" s="100"/>
      <c r="I4945" s="101" t="s">
        <v>134</v>
      </c>
      <c r="J4945" s="580">
        <v>2.66</v>
      </c>
      <c r="K4945" s="580">
        <v>20</v>
      </c>
      <c r="L4945" s="102">
        <v>0.08</v>
      </c>
      <c r="M4945" s="102">
        <v>0.25</v>
      </c>
      <c r="N4945" s="573">
        <v>3500</v>
      </c>
      <c r="O4945" s="556" t="str">
        <f>IF(N4945=M4945,"OK","DIF")</f>
        <v>DIF</v>
      </c>
      <c r="P4945" s="573"/>
      <c r="Q4945" s="556"/>
      <c r="R4945" s="582"/>
    </row>
    <row r="4946" ht="23.85" customHeight="1" spans="1:18">
      <c r="A4946" s="556" t="str">
        <f>B4946</f>
        <v>Insumo</v>
      </c>
      <c r="B4946" s="557" t="str">
        <f>B4945</f>
        <v>Insumo</v>
      </c>
      <c r="C4946" s="100" t="s">
        <v>2893</v>
      </c>
      <c r="D4946" s="99" t="s">
        <v>3108</v>
      </c>
      <c r="E4946" s="100" t="s">
        <v>77</v>
      </c>
      <c r="F4946" s="100" t="s">
        <v>3109</v>
      </c>
      <c r="G4946" s="100" t="s">
        <v>2896</v>
      </c>
      <c r="H4946" s="100"/>
      <c r="I4946" s="101" t="s">
        <v>2897</v>
      </c>
      <c r="J4946" s="580">
        <v>1</v>
      </c>
      <c r="K4946" s="580">
        <v>3</v>
      </c>
      <c r="L4946" s="102">
        <v>19.16</v>
      </c>
      <c r="M4946" s="102">
        <v>19.73</v>
      </c>
      <c r="N4946" s="573">
        <v>350.61</v>
      </c>
      <c r="O4946" s="556" t="str">
        <f>IF(N4946=M4946,"OK","DIF")</f>
        <v>DIF</v>
      </c>
      <c r="P4946" s="573"/>
      <c r="Q4946" s="556"/>
      <c r="R4946" s="582"/>
    </row>
    <row r="4947" ht="15" customHeight="1" spans="1:18">
      <c r="A4947" s="556" t="str">
        <f>B4947</f>
        <v>Insumo</v>
      </c>
      <c r="B4947" s="557" t="str">
        <f>B4946</f>
        <v>Insumo</v>
      </c>
      <c r="C4947" s="100" t="s">
        <v>2893</v>
      </c>
      <c r="D4947" s="99" t="s">
        <v>3937</v>
      </c>
      <c r="E4947" s="100" t="s">
        <v>77</v>
      </c>
      <c r="F4947" s="100" t="s">
        <v>3938</v>
      </c>
      <c r="G4947" s="100" t="s">
        <v>2961</v>
      </c>
      <c r="H4947" s="100"/>
      <c r="I4947" s="101" t="s">
        <v>134</v>
      </c>
      <c r="J4947" s="580">
        <v>1.33</v>
      </c>
      <c r="K4947" s="580">
        <v>20</v>
      </c>
      <c r="L4947" s="102">
        <v>1.43</v>
      </c>
      <c r="M4947" s="102">
        <v>2.28</v>
      </c>
      <c r="N4947" s="573">
        <v>250.74</v>
      </c>
      <c r="O4947" s="556" t="str">
        <f>IF(N4947=M4947,"OK","DIF")</f>
        <v>DIF</v>
      </c>
      <c r="P4947" s="573"/>
      <c r="Q4947" s="556"/>
      <c r="R4947" s="582"/>
    </row>
    <row r="4948" ht="15" customHeight="1" spans="1:18">
      <c r="A4948" s="556" t="str">
        <f>B4948</f>
        <v>Insumo</v>
      </c>
      <c r="B4948" s="557" t="str">
        <f>B4947</f>
        <v>Insumo</v>
      </c>
      <c r="C4948" s="100" t="s">
        <v>2893</v>
      </c>
      <c r="D4948" s="99" t="s">
        <v>3939</v>
      </c>
      <c r="E4948" s="100" t="s">
        <v>77</v>
      </c>
      <c r="F4948" s="100" t="s">
        <v>3940</v>
      </c>
      <c r="G4948" s="100" t="s">
        <v>2961</v>
      </c>
      <c r="H4948" s="100"/>
      <c r="I4948" s="101" t="s">
        <v>134</v>
      </c>
      <c r="J4948" s="580">
        <v>0.666</v>
      </c>
      <c r="K4948" s="580">
        <v>20</v>
      </c>
      <c r="L4948" s="102">
        <v>9.73</v>
      </c>
      <c r="M4948" s="102">
        <v>7.77</v>
      </c>
      <c r="N4948" s="573">
        <v>2898.65</v>
      </c>
      <c r="O4948" s="556" t="str">
        <f>IF(N4948=M4948,"OK","DIF")</f>
        <v>DIF</v>
      </c>
      <c r="P4948" s="573"/>
      <c r="Q4948" s="556"/>
      <c r="R4948" s="582"/>
    </row>
    <row r="4949" ht="23.85" customHeight="1" spans="1:18">
      <c r="A4949" s="556"/>
      <c r="B4949" s="557"/>
      <c r="C4949" s="100" t="s">
        <v>2893</v>
      </c>
      <c r="D4949" s="99" t="s">
        <v>3951</v>
      </c>
      <c r="E4949" s="100" t="s">
        <v>77</v>
      </c>
      <c r="F4949" s="100" t="s">
        <v>3952</v>
      </c>
      <c r="G4949" s="100" t="s">
        <v>2961</v>
      </c>
      <c r="H4949" s="100"/>
      <c r="I4949" s="101" t="s">
        <v>134</v>
      </c>
      <c r="J4949" s="580">
        <v>0.666</v>
      </c>
      <c r="K4949" s="580">
        <v>20</v>
      </c>
      <c r="L4949" s="102">
        <v>9.27</v>
      </c>
      <c r="M4949" s="102">
        <v>7.4</v>
      </c>
      <c r="N4949" s="573"/>
      <c r="O4949" s="556"/>
      <c r="P4949" s="573"/>
      <c r="Q4949" s="556"/>
      <c r="R4949" s="582"/>
    </row>
    <row r="4950" ht="23.85" customHeight="1" spans="1:18">
      <c r="A4950" s="556"/>
      <c r="B4950" s="557"/>
      <c r="C4950" s="100" t="s">
        <v>2893</v>
      </c>
      <c r="D4950" s="99" t="s">
        <v>3941</v>
      </c>
      <c r="E4950" s="100" t="s">
        <v>77</v>
      </c>
      <c r="F4950" s="100" t="s">
        <v>3942</v>
      </c>
      <c r="G4950" s="100" t="s">
        <v>2961</v>
      </c>
      <c r="H4950" s="100"/>
      <c r="I4950" s="101" t="s">
        <v>134</v>
      </c>
      <c r="J4950" s="580">
        <v>0.0133</v>
      </c>
      <c r="K4950" s="580">
        <v>20</v>
      </c>
      <c r="L4950" s="102">
        <v>41.44</v>
      </c>
      <c r="M4950" s="102">
        <v>0.66</v>
      </c>
      <c r="N4950" s="573"/>
      <c r="O4950" s="556"/>
      <c r="P4950" s="573"/>
      <c r="Q4950" s="556"/>
      <c r="R4950" s="582"/>
    </row>
    <row r="4951" ht="25.5" spans="1:18">
      <c r="A4951" s="556"/>
      <c r="B4951" s="557" t="str">
        <f>C4950</f>
        <v>Insumo</v>
      </c>
      <c r="C4951" s="108"/>
      <c r="D4951" s="108"/>
      <c r="E4951" s="108"/>
      <c r="F4951" s="108"/>
      <c r="G4951" s="108"/>
      <c r="H4951" s="108" t="s">
        <v>2898</v>
      </c>
      <c r="I4951" s="581">
        <v>47.04</v>
      </c>
      <c r="J4951" s="108" t="s">
        <v>2899</v>
      </c>
      <c r="K4951" s="581">
        <v>0</v>
      </c>
      <c r="L4951" s="108" t="s">
        <v>2900</v>
      </c>
      <c r="M4951" s="581">
        <v>47.04</v>
      </c>
      <c r="N4951" s="573">
        <v>235.9</v>
      </c>
      <c r="O4951" s="556" t="str">
        <f>IF(N4951=M4951,"OK","DIF")</f>
        <v>DIF</v>
      </c>
      <c r="P4951" s="573"/>
      <c r="Q4951" s="556"/>
      <c r="R4951" s="582"/>
    </row>
    <row r="4952" ht="26.25" spans="1:18">
      <c r="A4952" s="556" t="str">
        <f>B4952</f>
        <v>Insumo</v>
      </c>
      <c r="B4952" s="557" t="str">
        <f>B4951</f>
        <v>Insumo</v>
      </c>
      <c r="C4952" s="108"/>
      <c r="D4952" s="108"/>
      <c r="E4952" s="108"/>
      <c r="F4952" s="108"/>
      <c r="G4952" s="108"/>
      <c r="H4952" s="108" t="s">
        <v>2901</v>
      </c>
      <c r="I4952" s="581">
        <v>27.49</v>
      </c>
      <c r="J4952" s="114"/>
      <c r="K4952" s="114" t="s">
        <v>2902</v>
      </c>
      <c r="L4952" s="108"/>
      <c r="M4952" s="581">
        <v>135.34</v>
      </c>
      <c r="N4952" s="573">
        <v>33.07</v>
      </c>
      <c r="O4952" s="556" t="str">
        <f>IF(N4952=M4952,"OK","DIF")</f>
        <v>DIF</v>
      </c>
      <c r="P4952" s="573"/>
      <c r="Q4952" s="556"/>
      <c r="R4952" s="582"/>
    </row>
    <row r="4953" ht="15" spans="1:18">
      <c r="A4953" s="556" t="str">
        <f>B4953</f>
        <v>Insumo</v>
      </c>
      <c r="B4953" s="557" t="str">
        <f>B4952</f>
        <v>Insumo</v>
      </c>
      <c r="C4953" s="571"/>
      <c r="D4953" s="571"/>
      <c r="E4953" s="571"/>
      <c r="F4953" s="571"/>
      <c r="G4953" s="571"/>
      <c r="H4953" s="571"/>
      <c r="I4953" s="571"/>
      <c r="J4953" s="571"/>
      <c r="K4953" s="571"/>
      <c r="L4953" s="571"/>
      <c r="M4953" s="571"/>
      <c r="N4953" s="573">
        <v>25.95</v>
      </c>
      <c r="O4953" s="556" t="str">
        <f>IF(N4953=M4953,"OK","DIF")</f>
        <v>DIF</v>
      </c>
      <c r="P4953" s="573"/>
      <c r="Q4953" s="556"/>
      <c r="R4953" s="582"/>
    </row>
    <row r="4954" ht="15" customHeight="1" spans="1:18">
      <c r="A4954" s="556" t="str">
        <f>B4954</f>
        <v>Insumo</v>
      </c>
      <c r="B4954" s="557" t="str">
        <f>B4953</f>
        <v>Insumo</v>
      </c>
      <c r="C4954" s="76" t="s">
        <v>1704</v>
      </c>
      <c r="D4954" s="75" t="s">
        <v>63</v>
      </c>
      <c r="E4954" s="76" t="s">
        <v>64</v>
      </c>
      <c r="F4954" s="76" t="s">
        <v>65</v>
      </c>
      <c r="G4954" s="76" t="s">
        <v>2889</v>
      </c>
      <c r="H4954" s="76"/>
      <c r="I4954" s="77" t="s">
        <v>66</v>
      </c>
      <c r="J4954" s="75" t="s">
        <v>67</v>
      </c>
      <c r="K4954" s="75" t="s">
        <v>2890</v>
      </c>
      <c r="L4954" s="75" t="s">
        <v>68</v>
      </c>
      <c r="M4954" s="75" t="s">
        <v>70</v>
      </c>
      <c r="N4954" s="573">
        <v>176.88</v>
      </c>
      <c r="O4954" s="556" t="str">
        <f>IF(N4954=M4954,"OK","DIF")</f>
        <v>DIF</v>
      </c>
      <c r="P4954" s="573"/>
      <c r="Q4954" s="556"/>
      <c r="R4954" s="582"/>
    </row>
    <row r="4955" ht="38.25" spans="1:18">
      <c r="A4955" s="556"/>
      <c r="B4955" s="557"/>
      <c r="C4955" s="569" t="s">
        <v>2891</v>
      </c>
      <c r="D4955" s="570" t="s">
        <v>993</v>
      </c>
      <c r="E4955" s="569" t="s">
        <v>132</v>
      </c>
      <c r="F4955" s="569" t="s">
        <v>994</v>
      </c>
      <c r="G4955" s="569">
        <v>15</v>
      </c>
      <c r="H4955" s="569"/>
      <c r="I4955" s="577" t="s">
        <v>204</v>
      </c>
      <c r="J4955" s="578">
        <v>1</v>
      </c>
      <c r="K4955" s="579"/>
      <c r="L4955" s="579">
        <v>26.96</v>
      </c>
      <c r="M4955" s="579">
        <v>26.96</v>
      </c>
      <c r="N4955" s="573"/>
      <c r="O4955" s="556"/>
      <c r="P4955" s="573"/>
      <c r="Q4955" s="556"/>
      <c r="R4955" s="582"/>
    </row>
    <row r="4956" ht="23.85" customHeight="1" spans="1:18">
      <c r="A4956" s="556"/>
      <c r="B4956" s="557"/>
      <c r="C4956" s="79" t="s">
        <v>2921</v>
      </c>
      <c r="D4956" s="78" t="s">
        <v>3153</v>
      </c>
      <c r="E4956" s="79" t="s">
        <v>139</v>
      </c>
      <c r="F4956" s="79" t="s">
        <v>3154</v>
      </c>
      <c r="G4956" s="79" t="s">
        <v>2928</v>
      </c>
      <c r="H4956" s="79"/>
      <c r="I4956" s="80" t="s">
        <v>2897</v>
      </c>
      <c r="J4956" s="583">
        <v>0.4</v>
      </c>
      <c r="K4956" s="583">
        <v>0</v>
      </c>
      <c r="L4956" s="92">
        <v>30.6</v>
      </c>
      <c r="M4956" s="92">
        <v>12.24</v>
      </c>
      <c r="N4956" s="573"/>
      <c r="O4956" s="556"/>
      <c r="P4956" s="573"/>
      <c r="Q4956" s="556"/>
      <c r="R4956" s="582"/>
    </row>
    <row r="4957" ht="23.85" customHeight="1" spans="1:18">
      <c r="A4957" s="556"/>
      <c r="B4957" s="557" t="str">
        <f>C4956</f>
        <v>Composição Auxiliar</v>
      </c>
      <c r="C4957" s="79" t="s">
        <v>2921</v>
      </c>
      <c r="D4957" s="78" t="s">
        <v>3151</v>
      </c>
      <c r="E4957" s="79" t="s">
        <v>139</v>
      </c>
      <c r="F4957" s="79" t="s">
        <v>3152</v>
      </c>
      <c r="G4957" s="79" t="s">
        <v>2928</v>
      </c>
      <c r="H4957" s="79"/>
      <c r="I4957" s="80" t="s">
        <v>2897</v>
      </c>
      <c r="J4957" s="583">
        <v>0.4</v>
      </c>
      <c r="K4957" s="583">
        <v>0</v>
      </c>
      <c r="L4957" s="92">
        <v>36.82</v>
      </c>
      <c r="M4957" s="92">
        <v>14.72</v>
      </c>
      <c r="N4957" s="573">
        <v>72373.6</v>
      </c>
      <c r="O4957" s="556" t="str">
        <f>IF(N4957=M4957,"OK","DIF")</f>
        <v>DIF</v>
      </c>
      <c r="P4957" s="573"/>
      <c r="Q4957" s="556"/>
      <c r="R4957" s="582"/>
    </row>
    <row r="4958" ht="25.5" spans="1:18">
      <c r="A4958" s="556" t="str">
        <f>B4958</f>
        <v>Composição Auxiliar</v>
      </c>
      <c r="B4958" s="557" t="str">
        <f>B4957</f>
        <v>Composição Auxiliar</v>
      </c>
      <c r="C4958" s="108"/>
      <c r="D4958" s="108"/>
      <c r="E4958" s="108"/>
      <c r="F4958" s="108"/>
      <c r="G4958" s="108"/>
      <c r="H4958" s="108" t="s">
        <v>2898</v>
      </c>
      <c r="I4958" s="581">
        <v>18.92</v>
      </c>
      <c r="J4958" s="108" t="s">
        <v>2899</v>
      </c>
      <c r="K4958" s="581">
        <v>0</v>
      </c>
      <c r="L4958" s="108" t="s">
        <v>2900</v>
      </c>
      <c r="M4958" s="581">
        <v>18.92</v>
      </c>
      <c r="N4958" s="573">
        <v>72373.6</v>
      </c>
      <c r="O4958" s="556" t="str">
        <f>IF(N4958=M4958,"OK","DIF")</f>
        <v>DIF</v>
      </c>
      <c r="P4958" s="573"/>
      <c r="Q4958" s="556"/>
      <c r="R4958" s="582"/>
    </row>
    <row r="4959" ht="26.25" spans="1:18">
      <c r="A4959" s="556"/>
      <c r="B4959" s="557"/>
      <c r="C4959" s="108"/>
      <c r="D4959" s="108"/>
      <c r="E4959" s="108"/>
      <c r="F4959" s="108"/>
      <c r="G4959" s="108"/>
      <c r="H4959" s="108" t="s">
        <v>2901</v>
      </c>
      <c r="I4959" s="581">
        <v>6.87</v>
      </c>
      <c r="J4959" s="114"/>
      <c r="K4959" s="114" t="s">
        <v>2902</v>
      </c>
      <c r="L4959" s="108"/>
      <c r="M4959" s="581">
        <v>33.83</v>
      </c>
      <c r="N4959" s="573"/>
      <c r="O4959" s="556"/>
      <c r="P4959" s="573"/>
      <c r="Q4959" s="556"/>
      <c r="R4959" s="582"/>
    </row>
    <row r="4960" ht="15" spans="1:18">
      <c r="A4960" s="556"/>
      <c r="B4960" s="557"/>
      <c r="C4960" s="571"/>
      <c r="D4960" s="571"/>
      <c r="E4960" s="571"/>
      <c r="F4960" s="571"/>
      <c r="G4960" s="571"/>
      <c r="H4960" s="571"/>
      <c r="I4960" s="571"/>
      <c r="J4960" s="571"/>
      <c r="K4960" s="571"/>
      <c r="L4960" s="571"/>
      <c r="M4960" s="571"/>
      <c r="N4960" s="573"/>
      <c r="O4960" s="556"/>
      <c r="P4960" s="573"/>
      <c r="Q4960" s="556"/>
      <c r="R4960" s="582"/>
    </row>
    <row r="4961" ht="15" customHeight="1" spans="1:18">
      <c r="A4961" s="556"/>
      <c r="B4961" s="557">
        <f>C4960</f>
        <v>0</v>
      </c>
      <c r="C4961" s="76" t="s">
        <v>1705</v>
      </c>
      <c r="D4961" s="75" t="s">
        <v>63</v>
      </c>
      <c r="E4961" s="76" t="s">
        <v>64</v>
      </c>
      <c r="F4961" s="76" t="s">
        <v>65</v>
      </c>
      <c r="G4961" s="76" t="s">
        <v>2889</v>
      </c>
      <c r="H4961" s="76"/>
      <c r="I4961" s="77" t="s">
        <v>66</v>
      </c>
      <c r="J4961" s="75" t="s">
        <v>67</v>
      </c>
      <c r="K4961" s="75" t="s">
        <v>2890</v>
      </c>
      <c r="L4961" s="75" t="s">
        <v>68</v>
      </c>
      <c r="M4961" s="75" t="s">
        <v>70</v>
      </c>
      <c r="N4961" s="573">
        <v>159.44</v>
      </c>
      <c r="O4961" s="556" t="str">
        <f>IF(N4961=M4961,"OK","DIF")</f>
        <v>DIF</v>
      </c>
      <c r="P4961" s="573"/>
      <c r="Q4961" s="556"/>
      <c r="R4961" s="582"/>
    </row>
    <row r="4962" ht="51" spans="1:18">
      <c r="A4962" s="556">
        <f>B4962</f>
        <v>0</v>
      </c>
      <c r="B4962" s="557">
        <f>B4961</f>
        <v>0</v>
      </c>
      <c r="C4962" s="569" t="s">
        <v>2891</v>
      </c>
      <c r="D4962" s="570" t="s">
        <v>1002</v>
      </c>
      <c r="E4962" s="569" t="s">
        <v>132</v>
      </c>
      <c r="F4962" s="569" t="s">
        <v>1003</v>
      </c>
      <c r="G4962" s="569">
        <v>15</v>
      </c>
      <c r="H4962" s="569"/>
      <c r="I4962" s="577" t="s">
        <v>204</v>
      </c>
      <c r="J4962" s="578">
        <v>1</v>
      </c>
      <c r="K4962" s="579"/>
      <c r="L4962" s="579">
        <v>82.94</v>
      </c>
      <c r="M4962" s="579">
        <v>82.94</v>
      </c>
      <c r="N4962" s="573">
        <v>71.34</v>
      </c>
      <c r="O4962" s="556" t="str">
        <f>IF(N4962=M4962,"OK","DIF")</f>
        <v>DIF</v>
      </c>
      <c r="P4962" s="573"/>
      <c r="Q4962" s="556"/>
      <c r="R4962" s="582"/>
    </row>
    <row r="4963" ht="23.85" customHeight="1" spans="1:18">
      <c r="A4963" s="556">
        <f>B4963</f>
        <v>0</v>
      </c>
      <c r="B4963" s="557">
        <f>B4962</f>
        <v>0</v>
      </c>
      <c r="C4963" s="79" t="s">
        <v>2921</v>
      </c>
      <c r="D4963" s="78" t="s">
        <v>3153</v>
      </c>
      <c r="E4963" s="79" t="s">
        <v>139</v>
      </c>
      <c r="F4963" s="79" t="s">
        <v>3154</v>
      </c>
      <c r="G4963" s="79" t="s">
        <v>2928</v>
      </c>
      <c r="H4963" s="79"/>
      <c r="I4963" s="80" t="s">
        <v>2897</v>
      </c>
      <c r="J4963" s="583">
        <v>1</v>
      </c>
      <c r="K4963" s="583">
        <v>0</v>
      </c>
      <c r="L4963" s="92">
        <v>30.6</v>
      </c>
      <c r="M4963" s="92">
        <v>30.6</v>
      </c>
      <c r="N4963" s="573">
        <v>88.1</v>
      </c>
      <c r="O4963" s="556" t="str">
        <f>IF(N4963=M4963,"OK","DIF")</f>
        <v>DIF</v>
      </c>
      <c r="P4963" s="573"/>
      <c r="Q4963" s="556"/>
      <c r="R4963" s="582"/>
    </row>
    <row r="4964" ht="23.85" customHeight="1" spans="1:18">
      <c r="A4964" s="556"/>
      <c r="B4964" s="557"/>
      <c r="C4964" s="79" t="s">
        <v>2921</v>
      </c>
      <c r="D4964" s="78" t="s">
        <v>3151</v>
      </c>
      <c r="E4964" s="79" t="s">
        <v>139</v>
      </c>
      <c r="F4964" s="79" t="s">
        <v>3152</v>
      </c>
      <c r="G4964" s="79" t="s">
        <v>2928</v>
      </c>
      <c r="H4964" s="79"/>
      <c r="I4964" s="80" t="s">
        <v>2897</v>
      </c>
      <c r="J4964" s="583">
        <v>1</v>
      </c>
      <c r="K4964" s="583">
        <v>0</v>
      </c>
      <c r="L4964" s="92">
        <v>36.82</v>
      </c>
      <c r="M4964" s="92">
        <v>36.82</v>
      </c>
      <c r="N4964" s="573"/>
      <c r="O4964" s="556"/>
      <c r="P4964" s="573"/>
      <c r="Q4964" s="556"/>
      <c r="R4964" s="582"/>
    </row>
    <row r="4965" ht="23.85" customHeight="1" spans="1:18">
      <c r="A4965" s="556"/>
      <c r="B4965" s="557"/>
      <c r="C4965" s="100" t="s">
        <v>2893</v>
      </c>
      <c r="D4965" s="99" t="s">
        <v>3951</v>
      </c>
      <c r="E4965" s="100" t="s">
        <v>77</v>
      </c>
      <c r="F4965" s="100" t="s">
        <v>3952</v>
      </c>
      <c r="G4965" s="100" t="s">
        <v>2961</v>
      </c>
      <c r="H4965" s="100"/>
      <c r="I4965" s="101" t="s">
        <v>134</v>
      </c>
      <c r="J4965" s="580">
        <v>0.666</v>
      </c>
      <c r="K4965" s="580">
        <v>0</v>
      </c>
      <c r="L4965" s="102">
        <v>9.27</v>
      </c>
      <c r="M4965" s="102">
        <v>6.17</v>
      </c>
      <c r="N4965" s="573"/>
      <c r="O4965" s="556"/>
      <c r="P4965" s="573"/>
      <c r="Q4965" s="556"/>
      <c r="R4965" s="582"/>
    </row>
    <row r="4966" ht="15" customHeight="1" spans="1:18">
      <c r="A4966" s="556"/>
      <c r="B4966" s="557" t="str">
        <f>C4965</f>
        <v>Insumo</v>
      </c>
      <c r="C4966" s="100" t="s">
        <v>2893</v>
      </c>
      <c r="D4966" s="99" t="s">
        <v>3939</v>
      </c>
      <c r="E4966" s="100" t="s">
        <v>77</v>
      </c>
      <c r="F4966" s="100" t="s">
        <v>3940</v>
      </c>
      <c r="G4966" s="100" t="s">
        <v>2961</v>
      </c>
      <c r="H4966" s="100"/>
      <c r="I4966" s="101" t="s">
        <v>134</v>
      </c>
      <c r="J4966" s="580">
        <v>0.666</v>
      </c>
      <c r="K4966" s="580">
        <v>0</v>
      </c>
      <c r="L4966" s="102">
        <v>9.73</v>
      </c>
      <c r="M4966" s="102">
        <v>6.48</v>
      </c>
      <c r="N4966" s="573">
        <v>72373.6</v>
      </c>
      <c r="O4966" s="556" t="str">
        <f>IF(N4966=M4966,"OK","DIF")</f>
        <v>DIF</v>
      </c>
      <c r="P4966" s="573"/>
      <c r="Q4966" s="556"/>
      <c r="R4966" s="582"/>
    </row>
    <row r="4967" ht="15" customHeight="1" spans="1:18">
      <c r="A4967" s="556" t="str">
        <f>B4967</f>
        <v>Insumo</v>
      </c>
      <c r="B4967" s="557" t="str">
        <f>B4966</f>
        <v>Insumo</v>
      </c>
      <c r="C4967" s="100" t="s">
        <v>2893</v>
      </c>
      <c r="D4967" s="99" t="s">
        <v>3937</v>
      </c>
      <c r="E4967" s="100" t="s">
        <v>77</v>
      </c>
      <c r="F4967" s="100" t="s">
        <v>3938</v>
      </c>
      <c r="G4967" s="100" t="s">
        <v>2961</v>
      </c>
      <c r="H4967" s="100"/>
      <c r="I4967" s="101" t="s">
        <v>134</v>
      </c>
      <c r="J4967" s="580">
        <v>1.33</v>
      </c>
      <c r="K4967" s="580">
        <v>0</v>
      </c>
      <c r="L4967" s="102">
        <v>1.43</v>
      </c>
      <c r="M4967" s="102">
        <v>1.9</v>
      </c>
      <c r="N4967" s="573">
        <v>72373.6</v>
      </c>
      <c r="O4967" s="556" t="str">
        <f>IF(N4967=M4967,"OK","DIF")</f>
        <v>DIF</v>
      </c>
      <c r="P4967" s="573"/>
      <c r="Q4967" s="556"/>
      <c r="R4967" s="582"/>
    </row>
    <row r="4968" ht="15" customHeight="1" spans="1:18">
      <c r="A4968" s="556"/>
      <c r="B4968" s="557"/>
      <c r="C4968" s="100" t="s">
        <v>2893</v>
      </c>
      <c r="D4968" s="99" t="s">
        <v>3947</v>
      </c>
      <c r="E4968" s="100" t="s">
        <v>77</v>
      </c>
      <c r="F4968" s="100" t="s">
        <v>3948</v>
      </c>
      <c r="G4968" s="100" t="s">
        <v>2961</v>
      </c>
      <c r="H4968" s="100"/>
      <c r="I4968" s="101" t="s">
        <v>134</v>
      </c>
      <c r="J4968" s="580">
        <v>2.66</v>
      </c>
      <c r="K4968" s="580">
        <v>0</v>
      </c>
      <c r="L4968" s="102">
        <v>0.08</v>
      </c>
      <c r="M4968" s="102">
        <v>0.21</v>
      </c>
      <c r="N4968" s="573"/>
      <c r="O4968" s="556"/>
      <c r="P4968" s="573"/>
      <c r="Q4968" s="556"/>
      <c r="R4968" s="582"/>
    </row>
    <row r="4969" ht="23.85" customHeight="1" spans="1:18">
      <c r="A4969" s="556"/>
      <c r="B4969" s="557"/>
      <c r="C4969" s="100" t="s">
        <v>2893</v>
      </c>
      <c r="D4969" s="99" t="s">
        <v>3941</v>
      </c>
      <c r="E4969" s="100" t="s">
        <v>77</v>
      </c>
      <c r="F4969" s="100" t="s">
        <v>3942</v>
      </c>
      <c r="G4969" s="100" t="s">
        <v>2961</v>
      </c>
      <c r="H4969" s="100"/>
      <c r="I4969" s="101" t="s">
        <v>134</v>
      </c>
      <c r="J4969" s="580">
        <v>0.0133</v>
      </c>
      <c r="K4969" s="580">
        <v>0</v>
      </c>
      <c r="L4969" s="102">
        <v>41.44</v>
      </c>
      <c r="M4969" s="102">
        <v>0.55</v>
      </c>
      <c r="N4969" s="573"/>
      <c r="O4969" s="556"/>
      <c r="P4969" s="573"/>
      <c r="Q4969" s="556"/>
      <c r="R4969" s="582"/>
    </row>
    <row r="4970" ht="15" customHeight="1" spans="1:18">
      <c r="A4970" s="556"/>
      <c r="B4970" s="557" t="str">
        <f>C4969</f>
        <v>Insumo</v>
      </c>
      <c r="C4970" s="100" t="s">
        <v>2893</v>
      </c>
      <c r="D4970" s="99" t="s">
        <v>3943</v>
      </c>
      <c r="E4970" s="100" t="s">
        <v>77</v>
      </c>
      <c r="F4970" s="100" t="s">
        <v>3944</v>
      </c>
      <c r="G4970" s="100" t="s">
        <v>2961</v>
      </c>
      <c r="H4970" s="100"/>
      <c r="I4970" s="101" t="s">
        <v>134</v>
      </c>
      <c r="J4970" s="580">
        <v>2.66</v>
      </c>
      <c r="K4970" s="580">
        <v>0</v>
      </c>
      <c r="L4970" s="102">
        <v>0.08</v>
      </c>
      <c r="M4970" s="102">
        <v>0.21</v>
      </c>
      <c r="N4970" s="573">
        <v>159.44</v>
      </c>
      <c r="O4970" s="556" t="str">
        <f>IF(N4970=M4970,"OK","DIF")</f>
        <v>DIF</v>
      </c>
      <c r="P4970" s="573"/>
      <c r="Q4970" s="556"/>
      <c r="R4970" s="582"/>
    </row>
    <row r="4971" ht="25.5" spans="1:18">
      <c r="A4971" s="556" t="str">
        <f>B4971</f>
        <v>Insumo</v>
      </c>
      <c r="B4971" s="557" t="str">
        <f>B4970</f>
        <v>Insumo</v>
      </c>
      <c r="C4971" s="108"/>
      <c r="D4971" s="108"/>
      <c r="E4971" s="108"/>
      <c r="F4971" s="108"/>
      <c r="G4971" s="108"/>
      <c r="H4971" s="108" t="s">
        <v>2898</v>
      </c>
      <c r="I4971" s="581">
        <v>47.32</v>
      </c>
      <c r="J4971" s="108" t="s">
        <v>2899</v>
      </c>
      <c r="K4971" s="581">
        <v>0</v>
      </c>
      <c r="L4971" s="108" t="s">
        <v>2900</v>
      </c>
      <c r="M4971" s="581">
        <v>47.32</v>
      </c>
      <c r="N4971" s="573">
        <v>71.34</v>
      </c>
      <c r="O4971" s="556" t="str">
        <f>IF(N4971=M4971,"OK","DIF")</f>
        <v>DIF</v>
      </c>
      <c r="P4971" s="573"/>
      <c r="Q4971" s="556"/>
      <c r="R4971" s="582"/>
    </row>
    <row r="4972" ht="26.25" spans="1:18">
      <c r="A4972" s="556" t="str">
        <f>B4972</f>
        <v>Insumo</v>
      </c>
      <c r="B4972" s="557" t="str">
        <f>B4971</f>
        <v>Insumo</v>
      </c>
      <c r="C4972" s="108"/>
      <c r="D4972" s="108"/>
      <c r="E4972" s="108"/>
      <c r="F4972" s="108"/>
      <c r="G4972" s="108"/>
      <c r="H4972" s="108" t="s">
        <v>2901</v>
      </c>
      <c r="I4972" s="581">
        <v>21.14</v>
      </c>
      <c r="J4972" s="114"/>
      <c r="K4972" s="114" t="s">
        <v>2902</v>
      </c>
      <c r="L4972" s="108"/>
      <c r="M4972" s="581">
        <v>104.08</v>
      </c>
      <c r="N4972" s="573">
        <v>88.1</v>
      </c>
      <c r="O4972" s="556" t="str">
        <f>IF(N4972=M4972,"OK","DIF")</f>
        <v>DIF</v>
      </c>
      <c r="P4972" s="573"/>
      <c r="Q4972" s="556"/>
      <c r="R4972" s="582"/>
    </row>
    <row r="4973" ht="15" spans="1:18">
      <c r="A4973" s="556"/>
      <c r="B4973" s="557"/>
      <c r="C4973" s="571"/>
      <c r="D4973" s="571"/>
      <c r="E4973" s="571"/>
      <c r="F4973" s="571"/>
      <c r="G4973" s="571"/>
      <c r="H4973" s="571"/>
      <c r="I4973" s="571"/>
      <c r="J4973" s="571"/>
      <c r="K4973" s="571"/>
      <c r="L4973" s="571"/>
      <c r="M4973" s="571"/>
      <c r="N4973" s="573"/>
      <c r="O4973" s="556"/>
      <c r="P4973" s="573"/>
      <c r="Q4973" s="556"/>
      <c r="R4973" s="582"/>
    </row>
    <row r="4974" ht="15" customHeight="1" spans="1:18">
      <c r="A4974" s="556"/>
      <c r="B4974" s="557"/>
      <c r="C4974" s="76" t="s">
        <v>1706</v>
      </c>
      <c r="D4974" s="75" t="s">
        <v>63</v>
      </c>
      <c r="E4974" s="76" t="s">
        <v>64</v>
      </c>
      <c r="F4974" s="76" t="s">
        <v>65</v>
      </c>
      <c r="G4974" s="76" t="s">
        <v>2889</v>
      </c>
      <c r="H4974" s="76"/>
      <c r="I4974" s="77" t="s">
        <v>66</v>
      </c>
      <c r="J4974" s="75" t="s">
        <v>67</v>
      </c>
      <c r="K4974" s="75" t="s">
        <v>2890</v>
      </c>
      <c r="L4974" s="75" t="s">
        <v>68</v>
      </c>
      <c r="M4974" s="75" t="s">
        <v>70</v>
      </c>
      <c r="N4974" s="573"/>
      <c r="O4974" s="556"/>
      <c r="P4974" s="573"/>
      <c r="Q4974" s="556"/>
      <c r="R4974" s="582"/>
    </row>
    <row r="4975" ht="38.25" spans="1:18">
      <c r="A4975" s="556"/>
      <c r="B4975" s="557" t="str">
        <f>C4974</f>
        <v> 13.6 </v>
      </c>
      <c r="C4975" s="569" t="s">
        <v>2891</v>
      </c>
      <c r="D4975" s="570" t="s">
        <v>1707</v>
      </c>
      <c r="E4975" s="569" t="s">
        <v>77</v>
      </c>
      <c r="F4975" s="569" t="s">
        <v>4480</v>
      </c>
      <c r="G4975" s="569">
        <v>15</v>
      </c>
      <c r="H4975" s="569"/>
      <c r="I4975" s="577" t="s">
        <v>134</v>
      </c>
      <c r="J4975" s="578">
        <v>1</v>
      </c>
      <c r="K4975" s="579"/>
      <c r="L4975" s="579">
        <v>63.29</v>
      </c>
      <c r="M4975" s="579">
        <v>63.29</v>
      </c>
      <c r="N4975" s="573">
        <v>75784.6</v>
      </c>
      <c r="O4975" s="556" t="str">
        <f>IF(N4975=M4975,"OK","DIF")</f>
        <v>DIF</v>
      </c>
      <c r="P4975" s="573"/>
      <c r="Q4975" s="556"/>
      <c r="R4975" s="582"/>
    </row>
    <row r="4976" ht="23.85" customHeight="1" spans="1:18">
      <c r="A4976" s="556" t="str">
        <f>B4976</f>
        <v> 13.6 </v>
      </c>
      <c r="B4976" s="557" t="str">
        <f>B4975</f>
        <v> 13.6 </v>
      </c>
      <c r="C4976" s="100" t="s">
        <v>2893</v>
      </c>
      <c r="D4976" s="99" t="s">
        <v>4481</v>
      </c>
      <c r="E4976" s="100" t="s">
        <v>77</v>
      </c>
      <c r="F4976" s="100" t="s">
        <v>4482</v>
      </c>
      <c r="G4976" s="100" t="s">
        <v>2961</v>
      </c>
      <c r="H4976" s="100"/>
      <c r="I4976" s="101" t="s">
        <v>134</v>
      </c>
      <c r="J4976" s="580">
        <v>1</v>
      </c>
      <c r="K4976" s="580">
        <v>0</v>
      </c>
      <c r="L4976" s="102">
        <v>39.78</v>
      </c>
      <c r="M4976" s="102">
        <v>39.78</v>
      </c>
      <c r="N4976" s="573">
        <v>75784.6</v>
      </c>
      <c r="O4976" s="556" t="str">
        <f>IF(N4976=M4976,"OK","DIF")</f>
        <v>DIF</v>
      </c>
      <c r="P4976" s="573"/>
      <c r="Q4976" s="556"/>
      <c r="R4976" s="582"/>
    </row>
    <row r="4977" ht="23.85" customHeight="1" spans="1:18">
      <c r="A4977" s="556"/>
      <c r="B4977" s="557"/>
      <c r="C4977" s="100" t="s">
        <v>2893</v>
      </c>
      <c r="D4977" s="99" t="s">
        <v>3108</v>
      </c>
      <c r="E4977" s="100" t="s">
        <v>77</v>
      </c>
      <c r="F4977" s="100" t="s">
        <v>3109</v>
      </c>
      <c r="G4977" s="100" t="s">
        <v>2896</v>
      </c>
      <c r="H4977" s="100"/>
      <c r="I4977" s="101" t="s">
        <v>2897</v>
      </c>
      <c r="J4977" s="580">
        <v>0.5</v>
      </c>
      <c r="K4977" s="580">
        <v>3</v>
      </c>
      <c r="L4977" s="102">
        <v>19.16</v>
      </c>
      <c r="M4977" s="102">
        <v>9.86</v>
      </c>
      <c r="N4977" s="573"/>
      <c r="O4977" s="556"/>
      <c r="P4977" s="573"/>
      <c r="Q4977" s="556"/>
      <c r="R4977" s="582"/>
    </row>
    <row r="4978" ht="23.85" customHeight="1" spans="1:18">
      <c r="A4978" s="556"/>
      <c r="B4978" s="557"/>
      <c r="C4978" s="100" t="s">
        <v>2893</v>
      </c>
      <c r="D4978" s="99" t="s">
        <v>4013</v>
      </c>
      <c r="E4978" s="100" t="s">
        <v>77</v>
      </c>
      <c r="F4978" s="100" t="s">
        <v>4014</v>
      </c>
      <c r="G4978" s="100" t="s">
        <v>2896</v>
      </c>
      <c r="H4978" s="100"/>
      <c r="I4978" s="101" t="s">
        <v>2897</v>
      </c>
      <c r="J4978" s="580">
        <v>0.5</v>
      </c>
      <c r="K4978" s="580">
        <v>3</v>
      </c>
      <c r="L4978" s="102">
        <v>26.52</v>
      </c>
      <c r="M4978" s="102">
        <v>13.65</v>
      </c>
      <c r="N4978" s="573"/>
      <c r="O4978" s="556"/>
      <c r="P4978" s="573"/>
      <c r="Q4978" s="556"/>
      <c r="R4978" s="582"/>
    </row>
    <row r="4979" ht="25.5" spans="1:18">
      <c r="A4979" s="556"/>
      <c r="B4979" s="557" t="str">
        <f>C4978</f>
        <v>Insumo</v>
      </c>
      <c r="C4979" s="108"/>
      <c r="D4979" s="108"/>
      <c r="E4979" s="108"/>
      <c r="F4979" s="108"/>
      <c r="G4979" s="108"/>
      <c r="H4979" s="108" t="s">
        <v>2898</v>
      </c>
      <c r="I4979" s="581">
        <v>23.51</v>
      </c>
      <c r="J4979" s="108" t="s">
        <v>2899</v>
      </c>
      <c r="K4979" s="581">
        <v>0</v>
      </c>
      <c r="L4979" s="108" t="s">
        <v>2900</v>
      </c>
      <c r="M4979" s="581">
        <v>23.51</v>
      </c>
      <c r="N4979" s="573">
        <v>159.44</v>
      </c>
      <c r="O4979" s="556" t="str">
        <f>IF(N4979=M4979,"OK","DIF")</f>
        <v>DIF</v>
      </c>
      <c r="P4979" s="573"/>
      <c r="Q4979" s="556"/>
      <c r="R4979" s="582"/>
    </row>
    <row r="4980" ht="26.25" spans="1:18">
      <c r="A4980" s="556" t="str">
        <f>B4980</f>
        <v>Insumo</v>
      </c>
      <c r="B4980" s="557" t="str">
        <f>B4979</f>
        <v>Insumo</v>
      </c>
      <c r="C4980" s="108"/>
      <c r="D4980" s="108"/>
      <c r="E4980" s="108"/>
      <c r="F4980" s="108"/>
      <c r="G4980" s="108"/>
      <c r="H4980" s="108" t="s">
        <v>2901</v>
      </c>
      <c r="I4980" s="581">
        <v>16.13</v>
      </c>
      <c r="J4980" s="114"/>
      <c r="K4980" s="114" t="s">
        <v>2902</v>
      </c>
      <c r="L4980" s="108"/>
      <c r="M4980" s="581">
        <v>79.42</v>
      </c>
      <c r="N4980" s="573">
        <v>88.1</v>
      </c>
      <c r="O4980" s="556" t="str">
        <f>IF(N4980=M4980,"OK","DIF")</f>
        <v>DIF</v>
      </c>
      <c r="P4980" s="573"/>
      <c r="Q4980" s="556"/>
      <c r="R4980" s="582"/>
    </row>
    <row r="4981" ht="15" spans="1:18">
      <c r="A4981" s="556" t="str">
        <f>B4981</f>
        <v>Insumo</v>
      </c>
      <c r="B4981" s="557" t="str">
        <f>B4980</f>
        <v>Insumo</v>
      </c>
      <c r="C4981" s="571"/>
      <c r="D4981" s="571"/>
      <c r="E4981" s="571"/>
      <c r="F4981" s="571"/>
      <c r="G4981" s="571"/>
      <c r="H4981" s="571"/>
      <c r="I4981" s="571"/>
      <c r="J4981" s="571"/>
      <c r="K4981" s="571"/>
      <c r="L4981" s="571"/>
      <c r="M4981" s="571"/>
      <c r="N4981" s="573">
        <v>71.34</v>
      </c>
      <c r="O4981" s="556" t="str">
        <f>IF(N4981=M4981,"OK","DIF")</f>
        <v>DIF</v>
      </c>
      <c r="P4981" s="573"/>
      <c r="Q4981" s="556"/>
      <c r="R4981" s="582"/>
    </row>
    <row r="4982" ht="15" customHeight="1" spans="1:18">
      <c r="A4982" s="556"/>
      <c r="B4982" s="557"/>
      <c r="C4982" s="76" t="s">
        <v>1709</v>
      </c>
      <c r="D4982" s="75" t="s">
        <v>63</v>
      </c>
      <c r="E4982" s="76" t="s">
        <v>64</v>
      </c>
      <c r="F4982" s="76" t="s">
        <v>65</v>
      </c>
      <c r="G4982" s="76" t="s">
        <v>2889</v>
      </c>
      <c r="H4982" s="76"/>
      <c r="I4982" s="77" t="s">
        <v>66</v>
      </c>
      <c r="J4982" s="75" t="s">
        <v>67</v>
      </c>
      <c r="K4982" s="75" t="s">
        <v>2890</v>
      </c>
      <c r="L4982" s="75" t="s">
        <v>68</v>
      </c>
      <c r="M4982" s="75" t="s">
        <v>70</v>
      </c>
      <c r="N4982" s="573"/>
      <c r="O4982" s="556"/>
      <c r="P4982" s="573"/>
      <c r="Q4982" s="556"/>
      <c r="R4982" s="582"/>
    </row>
    <row r="4983" ht="38.25" spans="1:18">
      <c r="A4983" s="556"/>
      <c r="B4983" s="557"/>
      <c r="C4983" s="569" t="s">
        <v>2891</v>
      </c>
      <c r="D4983" s="570" t="s">
        <v>1710</v>
      </c>
      <c r="E4983" s="569" t="s">
        <v>77</v>
      </c>
      <c r="F4983" s="569" t="s">
        <v>4483</v>
      </c>
      <c r="G4983" s="569">
        <v>15</v>
      </c>
      <c r="H4983" s="569"/>
      <c r="I4983" s="577" t="s">
        <v>134</v>
      </c>
      <c r="J4983" s="578">
        <v>1</v>
      </c>
      <c r="K4983" s="579"/>
      <c r="L4983" s="579">
        <v>83.02</v>
      </c>
      <c r="M4983" s="579">
        <v>83.02</v>
      </c>
      <c r="N4983" s="573"/>
      <c r="O4983" s="556"/>
      <c r="P4983" s="573"/>
      <c r="Q4983" s="556"/>
      <c r="R4983" s="582"/>
    </row>
    <row r="4984" ht="23.85" customHeight="1" spans="1:18">
      <c r="A4984" s="556"/>
      <c r="B4984" s="557" t="str">
        <f>C4983</f>
        <v>Composição</v>
      </c>
      <c r="C4984" s="100" t="s">
        <v>2893</v>
      </c>
      <c r="D4984" s="99" t="s">
        <v>4013</v>
      </c>
      <c r="E4984" s="100" t="s">
        <v>77</v>
      </c>
      <c r="F4984" s="100" t="s">
        <v>4014</v>
      </c>
      <c r="G4984" s="100" t="s">
        <v>2896</v>
      </c>
      <c r="H4984" s="100"/>
      <c r="I4984" s="101" t="s">
        <v>2897</v>
      </c>
      <c r="J4984" s="580">
        <v>0.5</v>
      </c>
      <c r="K4984" s="580">
        <v>3</v>
      </c>
      <c r="L4984" s="102">
        <v>26.52</v>
      </c>
      <c r="M4984" s="102">
        <v>13.65</v>
      </c>
      <c r="N4984" s="573">
        <v>75784.6</v>
      </c>
      <c r="O4984" s="556" t="str">
        <f>IF(N4984=M4984,"OK","DIF")</f>
        <v>DIF</v>
      </c>
      <c r="P4984" s="573"/>
      <c r="Q4984" s="556"/>
      <c r="R4984" s="582"/>
    </row>
    <row r="4985" ht="23.85" customHeight="1" spans="1:18">
      <c r="A4985" s="556" t="str">
        <f>B4985</f>
        <v>Composição</v>
      </c>
      <c r="B4985" s="557" t="str">
        <f>B4984</f>
        <v>Composição</v>
      </c>
      <c r="C4985" s="100" t="s">
        <v>2893</v>
      </c>
      <c r="D4985" s="99" t="s">
        <v>3108</v>
      </c>
      <c r="E4985" s="100" t="s">
        <v>77</v>
      </c>
      <c r="F4985" s="100" t="s">
        <v>3109</v>
      </c>
      <c r="G4985" s="100" t="s">
        <v>2896</v>
      </c>
      <c r="H4985" s="100"/>
      <c r="I4985" s="101" t="s">
        <v>2897</v>
      </c>
      <c r="J4985" s="580">
        <v>0.5</v>
      </c>
      <c r="K4985" s="580">
        <v>3</v>
      </c>
      <c r="L4985" s="102">
        <v>19.16</v>
      </c>
      <c r="M4985" s="102">
        <v>9.86</v>
      </c>
      <c r="N4985" s="573">
        <v>75784.6</v>
      </c>
      <c r="O4985" s="556" t="str">
        <f>IF(N4985=M4985,"OK","DIF")</f>
        <v>DIF</v>
      </c>
      <c r="P4985" s="573"/>
      <c r="Q4985" s="556"/>
      <c r="R4985" s="582"/>
    </row>
    <row r="4986" ht="23.85" customHeight="1" spans="1:18">
      <c r="A4986" s="556"/>
      <c r="B4986" s="557"/>
      <c r="C4986" s="100" t="s">
        <v>2893</v>
      </c>
      <c r="D4986" s="99" t="s">
        <v>4484</v>
      </c>
      <c r="E4986" s="100" t="s">
        <v>77</v>
      </c>
      <c r="F4986" s="100" t="s">
        <v>4485</v>
      </c>
      <c r="G4986" s="100" t="s">
        <v>2961</v>
      </c>
      <c r="H4986" s="100"/>
      <c r="I4986" s="101" t="s">
        <v>134</v>
      </c>
      <c r="J4986" s="580">
        <v>1</v>
      </c>
      <c r="K4986" s="580">
        <v>0</v>
      </c>
      <c r="L4986" s="102">
        <v>59.51</v>
      </c>
      <c r="M4986" s="102">
        <v>59.51</v>
      </c>
      <c r="N4986" s="573"/>
      <c r="O4986" s="556"/>
      <c r="P4986" s="573"/>
      <c r="Q4986" s="556"/>
      <c r="R4986" s="582"/>
    </row>
    <row r="4987" ht="25.5" spans="1:18">
      <c r="A4987" s="556"/>
      <c r="B4987" s="557"/>
      <c r="C4987" s="108"/>
      <c r="D4987" s="108"/>
      <c r="E4987" s="108"/>
      <c r="F4987" s="108"/>
      <c r="G4987" s="108"/>
      <c r="H4987" s="108" t="s">
        <v>2898</v>
      </c>
      <c r="I4987" s="581">
        <v>23.51</v>
      </c>
      <c r="J4987" s="108" t="s">
        <v>2899</v>
      </c>
      <c r="K4987" s="581">
        <v>0</v>
      </c>
      <c r="L4987" s="108" t="s">
        <v>2900</v>
      </c>
      <c r="M4987" s="581">
        <v>23.51</v>
      </c>
      <c r="N4987" s="573"/>
      <c r="O4987" s="556"/>
      <c r="P4987" s="573"/>
      <c r="Q4987" s="556"/>
      <c r="R4987" s="582"/>
    </row>
    <row r="4988" ht="26.25" spans="1:18">
      <c r="A4988" s="556"/>
      <c r="B4988" s="557">
        <f>C4987</f>
        <v>0</v>
      </c>
      <c r="C4988" s="108"/>
      <c r="D4988" s="108"/>
      <c r="E4988" s="108"/>
      <c r="F4988" s="108"/>
      <c r="G4988" s="108"/>
      <c r="H4988" s="108" t="s">
        <v>2901</v>
      </c>
      <c r="I4988" s="581">
        <v>21.16</v>
      </c>
      <c r="J4988" s="114"/>
      <c r="K4988" s="114" t="s">
        <v>2902</v>
      </c>
      <c r="L4988" s="108"/>
      <c r="M4988" s="581">
        <v>104.18</v>
      </c>
      <c r="N4988" s="573">
        <v>159.44</v>
      </c>
      <c r="O4988" s="556" t="str">
        <f>IF(N4988=M4988,"OK","DIF")</f>
        <v>DIF</v>
      </c>
      <c r="P4988" s="573"/>
      <c r="Q4988" s="556"/>
      <c r="R4988" s="582"/>
    </row>
    <row r="4989" ht="15" spans="1:18">
      <c r="A4989" s="556">
        <f>B4989</f>
        <v>0</v>
      </c>
      <c r="B4989" s="557">
        <f>B4988</f>
        <v>0</v>
      </c>
      <c r="C4989" s="571"/>
      <c r="D4989" s="571"/>
      <c r="E4989" s="571"/>
      <c r="F4989" s="571"/>
      <c r="G4989" s="571"/>
      <c r="H4989" s="571"/>
      <c r="I4989" s="571"/>
      <c r="J4989" s="571"/>
      <c r="K4989" s="571"/>
      <c r="L4989" s="571"/>
      <c r="M4989" s="571"/>
      <c r="N4989" s="573">
        <v>71.34</v>
      </c>
      <c r="O4989" s="556" t="str">
        <f>IF(N4989=M4989,"OK","DIF")</f>
        <v>DIF</v>
      </c>
      <c r="P4989" s="573"/>
      <c r="Q4989" s="556"/>
      <c r="R4989" s="582"/>
    </row>
    <row r="4990" ht="15" customHeight="1" spans="1:18">
      <c r="A4990" s="556">
        <f>B4990</f>
        <v>0</v>
      </c>
      <c r="B4990" s="557">
        <f>B4989</f>
        <v>0</v>
      </c>
      <c r="C4990" s="76" t="s">
        <v>1712</v>
      </c>
      <c r="D4990" s="75" t="s">
        <v>63</v>
      </c>
      <c r="E4990" s="76" t="s">
        <v>64</v>
      </c>
      <c r="F4990" s="76" t="s">
        <v>65</v>
      </c>
      <c r="G4990" s="76" t="s">
        <v>2889</v>
      </c>
      <c r="H4990" s="76"/>
      <c r="I4990" s="77" t="s">
        <v>66</v>
      </c>
      <c r="J4990" s="75" t="s">
        <v>67</v>
      </c>
      <c r="K4990" s="75" t="s">
        <v>2890</v>
      </c>
      <c r="L4990" s="75" t="s">
        <v>68</v>
      </c>
      <c r="M4990" s="75" t="s">
        <v>70</v>
      </c>
      <c r="N4990" s="573">
        <v>88.1</v>
      </c>
      <c r="O4990" s="556" t="str">
        <f>IF(N4990=M4990,"OK","DIF")</f>
        <v>DIF</v>
      </c>
      <c r="P4990" s="573"/>
      <c r="Q4990" s="556"/>
      <c r="R4990" s="582"/>
    </row>
    <row r="4991" ht="38.25" spans="1:18">
      <c r="A4991" s="556"/>
      <c r="B4991" s="557"/>
      <c r="C4991" s="569" t="s">
        <v>2891</v>
      </c>
      <c r="D4991" s="570" t="s">
        <v>1713</v>
      </c>
      <c r="E4991" s="569" t="s">
        <v>77</v>
      </c>
      <c r="F4991" s="569" t="s">
        <v>4486</v>
      </c>
      <c r="G4991" s="569">
        <v>15</v>
      </c>
      <c r="H4991" s="569"/>
      <c r="I4991" s="577" t="s">
        <v>134</v>
      </c>
      <c r="J4991" s="578">
        <v>1</v>
      </c>
      <c r="K4991" s="579"/>
      <c r="L4991" s="579">
        <v>82.27</v>
      </c>
      <c r="M4991" s="579">
        <v>82.27</v>
      </c>
      <c r="N4991" s="573"/>
      <c r="O4991" s="556"/>
      <c r="P4991" s="573"/>
      <c r="Q4991" s="556"/>
      <c r="R4991" s="582"/>
    </row>
    <row r="4992" ht="23.85" customHeight="1" spans="1:18">
      <c r="A4992" s="556"/>
      <c r="B4992" s="557"/>
      <c r="C4992" s="100" t="s">
        <v>2893</v>
      </c>
      <c r="D4992" s="99" t="s">
        <v>4013</v>
      </c>
      <c r="E4992" s="100" t="s">
        <v>77</v>
      </c>
      <c r="F4992" s="100" t="s">
        <v>4014</v>
      </c>
      <c r="G4992" s="100" t="s">
        <v>2896</v>
      </c>
      <c r="H4992" s="100"/>
      <c r="I4992" s="101" t="s">
        <v>2897</v>
      </c>
      <c r="J4992" s="580">
        <v>0.5</v>
      </c>
      <c r="K4992" s="580">
        <v>3</v>
      </c>
      <c r="L4992" s="102">
        <v>26.52</v>
      </c>
      <c r="M4992" s="102">
        <v>13.65</v>
      </c>
      <c r="N4992" s="573"/>
      <c r="O4992" s="556"/>
      <c r="P4992" s="573"/>
      <c r="Q4992" s="556"/>
      <c r="R4992" s="582"/>
    </row>
    <row r="4993" ht="23.85" customHeight="1" spans="1:18">
      <c r="A4993" s="556"/>
      <c r="B4993" s="557" t="str">
        <f>C4992</f>
        <v>Insumo</v>
      </c>
      <c r="C4993" s="100" t="s">
        <v>2893</v>
      </c>
      <c r="D4993" s="99" t="s">
        <v>4487</v>
      </c>
      <c r="E4993" s="100" t="s">
        <v>77</v>
      </c>
      <c r="F4993" s="100" t="s">
        <v>4488</v>
      </c>
      <c r="G4993" s="100" t="s">
        <v>2961</v>
      </c>
      <c r="H4993" s="100"/>
      <c r="I4993" s="101" t="s">
        <v>134</v>
      </c>
      <c r="J4993" s="580">
        <v>1</v>
      </c>
      <c r="K4993" s="580">
        <v>0</v>
      </c>
      <c r="L4993" s="102">
        <v>58.76</v>
      </c>
      <c r="M4993" s="102">
        <v>58.76</v>
      </c>
      <c r="N4993" s="573">
        <v>817969.85</v>
      </c>
      <c r="O4993" s="556" t="str">
        <f>IF(N4993=M4993,"OK","DIF")</f>
        <v>DIF</v>
      </c>
      <c r="P4993" s="573"/>
      <c r="Q4993" s="556"/>
      <c r="R4993" s="582"/>
    </row>
    <row r="4994" ht="23.85" customHeight="1" spans="1:18">
      <c r="A4994" s="556" t="str">
        <f>B4994</f>
        <v>Insumo</v>
      </c>
      <c r="B4994" s="557" t="str">
        <f>B4993</f>
        <v>Insumo</v>
      </c>
      <c r="C4994" s="100" t="s">
        <v>2893</v>
      </c>
      <c r="D4994" s="99" t="s">
        <v>3108</v>
      </c>
      <c r="E4994" s="100" t="s">
        <v>77</v>
      </c>
      <c r="F4994" s="100" t="s">
        <v>3109</v>
      </c>
      <c r="G4994" s="100" t="s">
        <v>2896</v>
      </c>
      <c r="H4994" s="100"/>
      <c r="I4994" s="101" t="s">
        <v>2897</v>
      </c>
      <c r="J4994" s="580">
        <v>0.5</v>
      </c>
      <c r="K4994" s="580">
        <v>3</v>
      </c>
      <c r="L4994" s="102">
        <v>19.16</v>
      </c>
      <c r="M4994" s="102">
        <v>9.86</v>
      </c>
      <c r="N4994" s="573">
        <v>817969.85</v>
      </c>
      <c r="O4994" s="556" t="str">
        <f>IF(N4994=M4994,"OK","DIF")</f>
        <v>DIF</v>
      </c>
      <c r="P4994" s="573"/>
      <c r="Q4994" s="556"/>
      <c r="R4994" s="582"/>
    </row>
    <row r="4995" ht="25.5" spans="1:18">
      <c r="A4995" s="556"/>
      <c r="B4995" s="557"/>
      <c r="C4995" s="108"/>
      <c r="D4995" s="108"/>
      <c r="E4995" s="108"/>
      <c r="F4995" s="108"/>
      <c r="G4995" s="108"/>
      <c r="H4995" s="108" t="s">
        <v>2898</v>
      </c>
      <c r="I4995" s="581">
        <v>23.51</v>
      </c>
      <c r="J4995" s="108" t="s">
        <v>2899</v>
      </c>
      <c r="K4995" s="581">
        <v>0</v>
      </c>
      <c r="L4995" s="108" t="s">
        <v>2900</v>
      </c>
      <c r="M4995" s="581">
        <v>23.51</v>
      </c>
      <c r="N4995" s="573"/>
      <c r="O4995" s="556"/>
      <c r="P4995" s="573"/>
      <c r="Q4995" s="556"/>
      <c r="R4995" s="582"/>
    </row>
    <row r="4996" ht="26.25" spans="1:18">
      <c r="A4996" s="556"/>
      <c r="B4996" s="557"/>
      <c r="C4996" s="108"/>
      <c r="D4996" s="108"/>
      <c r="E4996" s="108"/>
      <c r="F4996" s="108"/>
      <c r="G4996" s="108"/>
      <c r="H4996" s="108" t="s">
        <v>2901</v>
      </c>
      <c r="I4996" s="581">
        <v>20.97</v>
      </c>
      <c r="J4996" s="114"/>
      <c r="K4996" s="114" t="s">
        <v>2902</v>
      </c>
      <c r="L4996" s="108"/>
      <c r="M4996" s="581">
        <v>103.24</v>
      </c>
      <c r="N4996" s="573"/>
      <c r="O4996" s="556"/>
      <c r="P4996" s="573"/>
      <c r="Q4996" s="556"/>
      <c r="R4996" s="582"/>
    </row>
    <row r="4997" ht="15" spans="1:18">
      <c r="A4997" s="556"/>
      <c r="B4997" s="557">
        <f>C4996</f>
        <v>0</v>
      </c>
      <c r="C4997" s="571"/>
      <c r="D4997" s="571"/>
      <c r="E4997" s="571"/>
      <c r="F4997" s="571"/>
      <c r="G4997" s="571"/>
      <c r="H4997" s="571"/>
      <c r="I4997" s="571"/>
      <c r="J4997" s="571"/>
      <c r="K4997" s="571"/>
      <c r="L4997" s="571"/>
      <c r="M4997" s="571"/>
      <c r="N4997" s="573">
        <v>40876.74</v>
      </c>
      <c r="O4997" s="556" t="str">
        <f t="shared" ref="O4997:O5005" si="378">IF(N4997=M4997,"OK","DIF")</f>
        <v>DIF</v>
      </c>
      <c r="P4997" s="573"/>
      <c r="Q4997" s="556"/>
      <c r="R4997" s="582"/>
    </row>
    <row r="4998" ht="15" customHeight="1" spans="1:18">
      <c r="A4998" s="556">
        <f t="shared" ref="A4998:A5005" si="379">B4998</f>
        <v>0</v>
      </c>
      <c r="B4998" s="557">
        <f t="shared" ref="B4998:B5005" si="380">B4997</f>
        <v>0</v>
      </c>
      <c r="C4998" s="76" t="s">
        <v>1715</v>
      </c>
      <c r="D4998" s="75" t="s">
        <v>63</v>
      </c>
      <c r="E4998" s="76" t="s">
        <v>64</v>
      </c>
      <c r="F4998" s="76" t="s">
        <v>65</v>
      </c>
      <c r="G4998" s="76" t="s">
        <v>2889</v>
      </c>
      <c r="H4998" s="76"/>
      <c r="I4998" s="77" t="s">
        <v>66</v>
      </c>
      <c r="J4998" s="75" t="s">
        <v>67</v>
      </c>
      <c r="K4998" s="75" t="s">
        <v>2890</v>
      </c>
      <c r="L4998" s="75" t="s">
        <v>68</v>
      </c>
      <c r="M4998" s="75" t="s">
        <v>70</v>
      </c>
      <c r="N4998" s="573">
        <v>171.29</v>
      </c>
      <c r="O4998" s="556" t="str">
        <f t="shared" si="378"/>
        <v>DIF</v>
      </c>
      <c r="P4998" s="573"/>
      <c r="Q4998" s="556"/>
      <c r="R4998" s="582"/>
    </row>
    <row r="4999" ht="38.25" spans="1:18">
      <c r="A4999" s="556">
        <f t="shared" si="379"/>
        <v>0</v>
      </c>
      <c r="B4999" s="557">
        <f t="shared" si="380"/>
        <v>0</v>
      </c>
      <c r="C4999" s="569" t="s">
        <v>2891</v>
      </c>
      <c r="D4999" s="570" t="s">
        <v>1716</v>
      </c>
      <c r="E4999" s="569" t="s">
        <v>77</v>
      </c>
      <c r="F4999" s="569" t="s">
        <v>4489</v>
      </c>
      <c r="G4999" s="569">
        <v>15</v>
      </c>
      <c r="H4999" s="569"/>
      <c r="I4999" s="577" t="s">
        <v>134</v>
      </c>
      <c r="J4999" s="578">
        <v>1</v>
      </c>
      <c r="K4999" s="579"/>
      <c r="L4999" s="579">
        <v>72.45</v>
      </c>
      <c r="M4999" s="579">
        <v>72.45</v>
      </c>
      <c r="N4999" s="573">
        <v>876.35</v>
      </c>
      <c r="O4999" s="556" t="str">
        <f t="shared" si="378"/>
        <v>DIF</v>
      </c>
      <c r="P4999" s="573"/>
      <c r="Q4999" s="556"/>
      <c r="R4999" s="582"/>
    </row>
    <row r="5000" ht="23.85" customHeight="1" spans="1:18">
      <c r="A5000" s="556">
        <f t="shared" si="379"/>
        <v>0</v>
      </c>
      <c r="B5000" s="557">
        <f t="shared" si="380"/>
        <v>0</v>
      </c>
      <c r="C5000" s="100" t="s">
        <v>2893</v>
      </c>
      <c r="D5000" s="99" t="s">
        <v>4490</v>
      </c>
      <c r="E5000" s="100" t="s">
        <v>77</v>
      </c>
      <c r="F5000" s="100" t="s">
        <v>4491</v>
      </c>
      <c r="G5000" s="100" t="s">
        <v>2961</v>
      </c>
      <c r="H5000" s="100"/>
      <c r="I5000" s="101" t="s">
        <v>134</v>
      </c>
      <c r="J5000" s="580">
        <v>1</v>
      </c>
      <c r="K5000" s="580">
        <v>0</v>
      </c>
      <c r="L5000" s="102">
        <v>48.94</v>
      </c>
      <c r="M5000" s="102">
        <v>48.94</v>
      </c>
      <c r="N5000" s="573">
        <v>1081.74</v>
      </c>
      <c r="O5000" s="556" t="str">
        <f t="shared" si="378"/>
        <v>DIF</v>
      </c>
      <c r="P5000" s="573"/>
      <c r="Q5000" s="556"/>
      <c r="R5000" s="582"/>
    </row>
    <row r="5001" ht="23.85" customHeight="1" spans="1:18">
      <c r="A5001" s="556">
        <f t="shared" si="379"/>
        <v>0</v>
      </c>
      <c r="B5001" s="557">
        <f t="shared" si="380"/>
        <v>0</v>
      </c>
      <c r="C5001" s="100" t="s">
        <v>2893</v>
      </c>
      <c r="D5001" s="99" t="s">
        <v>3108</v>
      </c>
      <c r="E5001" s="100" t="s">
        <v>77</v>
      </c>
      <c r="F5001" s="100" t="s">
        <v>3109</v>
      </c>
      <c r="G5001" s="100" t="s">
        <v>2896</v>
      </c>
      <c r="H5001" s="100"/>
      <c r="I5001" s="101" t="s">
        <v>2897</v>
      </c>
      <c r="J5001" s="580">
        <v>0.5</v>
      </c>
      <c r="K5001" s="580">
        <v>3</v>
      </c>
      <c r="L5001" s="102">
        <v>19.16</v>
      </c>
      <c r="M5001" s="102">
        <v>9.86</v>
      </c>
      <c r="N5001" s="573">
        <v>26057.85</v>
      </c>
      <c r="O5001" s="556" t="str">
        <f t="shared" si="378"/>
        <v>DIF</v>
      </c>
      <c r="P5001" s="573"/>
      <c r="Q5001" s="556"/>
      <c r="R5001" s="582"/>
    </row>
    <row r="5002" ht="23.85" customHeight="1" spans="1:18">
      <c r="A5002" s="556">
        <f t="shared" si="379"/>
        <v>0</v>
      </c>
      <c r="B5002" s="557">
        <f t="shared" si="380"/>
        <v>0</v>
      </c>
      <c r="C5002" s="100" t="s">
        <v>2893</v>
      </c>
      <c r="D5002" s="99" t="s">
        <v>4013</v>
      </c>
      <c r="E5002" s="100" t="s">
        <v>77</v>
      </c>
      <c r="F5002" s="100" t="s">
        <v>4014</v>
      </c>
      <c r="G5002" s="100" t="s">
        <v>2896</v>
      </c>
      <c r="H5002" s="100"/>
      <c r="I5002" s="101" t="s">
        <v>2897</v>
      </c>
      <c r="J5002" s="580">
        <v>0.5</v>
      </c>
      <c r="K5002" s="580">
        <v>3</v>
      </c>
      <c r="L5002" s="102">
        <v>26.52</v>
      </c>
      <c r="M5002" s="102">
        <v>13.65</v>
      </c>
      <c r="N5002" s="573">
        <v>10759.38</v>
      </c>
      <c r="O5002" s="556" t="str">
        <f t="shared" si="378"/>
        <v>DIF</v>
      </c>
      <c r="P5002" s="573"/>
      <c r="Q5002" s="556"/>
      <c r="R5002" s="582"/>
    </row>
    <row r="5003" ht="25.5" spans="1:18">
      <c r="A5003" s="556">
        <f t="shared" si="379"/>
        <v>0</v>
      </c>
      <c r="B5003" s="557">
        <f t="shared" si="380"/>
        <v>0</v>
      </c>
      <c r="C5003" s="108"/>
      <c r="D5003" s="108"/>
      <c r="E5003" s="108"/>
      <c r="F5003" s="108"/>
      <c r="G5003" s="108"/>
      <c r="H5003" s="108" t="s">
        <v>2898</v>
      </c>
      <c r="I5003" s="581">
        <v>23.51</v>
      </c>
      <c r="J5003" s="108" t="s">
        <v>2899</v>
      </c>
      <c r="K5003" s="581">
        <v>0</v>
      </c>
      <c r="L5003" s="108" t="s">
        <v>2900</v>
      </c>
      <c r="M5003" s="581">
        <v>23.51</v>
      </c>
      <c r="N5003" s="573">
        <v>217.46</v>
      </c>
      <c r="O5003" s="556" t="str">
        <f t="shared" si="378"/>
        <v>DIF</v>
      </c>
      <c r="P5003" s="573"/>
      <c r="Q5003" s="556"/>
      <c r="R5003" s="582"/>
    </row>
    <row r="5004" ht="26.25" spans="1:18">
      <c r="A5004" s="556">
        <f t="shared" si="379"/>
        <v>0</v>
      </c>
      <c r="B5004" s="557">
        <f t="shared" si="380"/>
        <v>0</v>
      </c>
      <c r="C5004" s="108"/>
      <c r="D5004" s="108"/>
      <c r="E5004" s="108"/>
      <c r="F5004" s="108"/>
      <c r="G5004" s="108"/>
      <c r="H5004" s="108" t="s">
        <v>2901</v>
      </c>
      <c r="I5004" s="581">
        <v>18.46</v>
      </c>
      <c r="J5004" s="114"/>
      <c r="K5004" s="114" t="s">
        <v>2902</v>
      </c>
      <c r="L5004" s="108"/>
      <c r="M5004" s="581">
        <v>90.91</v>
      </c>
      <c r="N5004" s="573">
        <v>831.09</v>
      </c>
      <c r="O5004" s="556" t="str">
        <f t="shared" si="378"/>
        <v>DIF</v>
      </c>
      <c r="P5004" s="573"/>
      <c r="Q5004" s="556"/>
      <c r="R5004" s="582"/>
    </row>
    <row r="5005" ht="15" spans="1:18">
      <c r="A5005" s="556">
        <f t="shared" si="379"/>
        <v>0</v>
      </c>
      <c r="B5005" s="557">
        <f t="shared" si="380"/>
        <v>0</v>
      </c>
      <c r="C5005" s="571"/>
      <c r="D5005" s="571"/>
      <c r="E5005" s="571"/>
      <c r="F5005" s="571"/>
      <c r="G5005" s="571"/>
      <c r="H5005" s="571"/>
      <c r="I5005" s="571"/>
      <c r="J5005" s="571"/>
      <c r="K5005" s="571"/>
      <c r="L5005" s="571"/>
      <c r="M5005" s="571"/>
      <c r="N5005" s="573">
        <v>881.58</v>
      </c>
      <c r="O5005" s="556" t="str">
        <f t="shared" si="378"/>
        <v>DIF</v>
      </c>
      <c r="P5005" s="573"/>
      <c r="Q5005" s="556"/>
      <c r="R5005" s="582"/>
    </row>
    <row r="5006" ht="15" customHeight="1" spans="1:18">
      <c r="A5006" s="556"/>
      <c r="B5006" s="557"/>
      <c r="C5006" s="76" t="s">
        <v>1718</v>
      </c>
      <c r="D5006" s="75" t="s">
        <v>63</v>
      </c>
      <c r="E5006" s="76" t="s">
        <v>64</v>
      </c>
      <c r="F5006" s="76" t="s">
        <v>65</v>
      </c>
      <c r="G5006" s="76" t="s">
        <v>2889</v>
      </c>
      <c r="H5006" s="76"/>
      <c r="I5006" s="77" t="s">
        <v>66</v>
      </c>
      <c r="J5006" s="75" t="s">
        <v>67</v>
      </c>
      <c r="K5006" s="75" t="s">
        <v>2890</v>
      </c>
      <c r="L5006" s="75" t="s">
        <v>68</v>
      </c>
      <c r="M5006" s="75" t="s">
        <v>70</v>
      </c>
      <c r="N5006" s="573"/>
      <c r="O5006" s="556"/>
      <c r="P5006" s="573"/>
      <c r="Q5006" s="556"/>
      <c r="R5006" s="582"/>
    </row>
    <row r="5007" ht="38.25" spans="1:18">
      <c r="A5007" s="556"/>
      <c r="B5007" s="557"/>
      <c r="C5007" s="569" t="s">
        <v>2891</v>
      </c>
      <c r="D5007" s="570" t="s">
        <v>1719</v>
      </c>
      <c r="E5007" s="569" t="s">
        <v>77</v>
      </c>
      <c r="F5007" s="569" t="s">
        <v>4492</v>
      </c>
      <c r="G5007" s="569">
        <v>15</v>
      </c>
      <c r="H5007" s="569"/>
      <c r="I5007" s="577" t="s">
        <v>134</v>
      </c>
      <c r="J5007" s="578">
        <v>1</v>
      </c>
      <c r="K5007" s="579"/>
      <c r="L5007" s="579">
        <v>54.23</v>
      </c>
      <c r="M5007" s="579">
        <v>54.23</v>
      </c>
      <c r="N5007" s="573"/>
      <c r="O5007" s="556"/>
      <c r="P5007" s="573"/>
      <c r="Q5007" s="556"/>
      <c r="R5007" s="582"/>
    </row>
    <row r="5008" ht="23.85" customHeight="1" spans="1:18">
      <c r="A5008" s="556"/>
      <c r="B5008" s="557" t="str">
        <f>C5007</f>
        <v>Composição</v>
      </c>
      <c r="C5008" s="100" t="s">
        <v>2893</v>
      </c>
      <c r="D5008" s="99" t="s">
        <v>3108</v>
      </c>
      <c r="E5008" s="100" t="s">
        <v>77</v>
      </c>
      <c r="F5008" s="100" t="s">
        <v>3109</v>
      </c>
      <c r="G5008" s="100" t="s">
        <v>2896</v>
      </c>
      <c r="H5008" s="100"/>
      <c r="I5008" s="101" t="s">
        <v>2897</v>
      </c>
      <c r="J5008" s="580">
        <v>0.5</v>
      </c>
      <c r="K5008" s="580">
        <v>3</v>
      </c>
      <c r="L5008" s="102">
        <v>19.16</v>
      </c>
      <c r="M5008" s="102">
        <v>9.86</v>
      </c>
      <c r="N5008" s="573">
        <v>149407.21</v>
      </c>
      <c r="O5008" s="556" t="str">
        <f>IF(N5008=M5008,"OK","DIF")</f>
        <v>DIF</v>
      </c>
      <c r="P5008" s="573"/>
      <c r="Q5008" s="556"/>
      <c r="R5008" s="582"/>
    </row>
    <row r="5009" ht="23.85" customHeight="1" spans="1:18">
      <c r="A5009" s="556" t="str">
        <f>B5009</f>
        <v>Composição</v>
      </c>
      <c r="B5009" s="557" t="str">
        <f>B5008</f>
        <v>Composição</v>
      </c>
      <c r="C5009" s="100" t="s">
        <v>2893</v>
      </c>
      <c r="D5009" s="99" t="s">
        <v>4493</v>
      </c>
      <c r="E5009" s="100" t="s">
        <v>77</v>
      </c>
      <c r="F5009" s="100" t="s">
        <v>4494</v>
      </c>
      <c r="G5009" s="100" t="s">
        <v>2961</v>
      </c>
      <c r="H5009" s="100"/>
      <c r="I5009" s="101" t="s">
        <v>134</v>
      </c>
      <c r="J5009" s="580">
        <v>1</v>
      </c>
      <c r="K5009" s="580">
        <v>0</v>
      </c>
      <c r="L5009" s="102">
        <v>30.72</v>
      </c>
      <c r="M5009" s="102">
        <v>30.72</v>
      </c>
      <c r="N5009" s="573">
        <v>149407.21</v>
      </c>
      <c r="O5009" s="556" t="str">
        <f>IF(N5009=M5009,"OK","DIF")</f>
        <v>DIF</v>
      </c>
      <c r="P5009" s="573"/>
      <c r="Q5009" s="556"/>
      <c r="R5009" s="582"/>
    </row>
    <row r="5010" ht="23.85" customHeight="1" spans="1:18">
      <c r="A5010" s="556"/>
      <c r="B5010" s="557"/>
      <c r="C5010" s="100" t="s">
        <v>2893</v>
      </c>
      <c r="D5010" s="99" t="s">
        <v>4013</v>
      </c>
      <c r="E5010" s="100" t="s">
        <v>77</v>
      </c>
      <c r="F5010" s="100" t="s">
        <v>4014</v>
      </c>
      <c r="G5010" s="100" t="s">
        <v>2896</v>
      </c>
      <c r="H5010" s="100"/>
      <c r="I5010" s="101" t="s">
        <v>2897</v>
      </c>
      <c r="J5010" s="580">
        <v>0.5</v>
      </c>
      <c r="K5010" s="580">
        <v>3</v>
      </c>
      <c r="L5010" s="102">
        <v>26.52</v>
      </c>
      <c r="M5010" s="102">
        <v>13.65</v>
      </c>
      <c r="N5010" s="573"/>
      <c r="O5010" s="556"/>
      <c r="P5010" s="573"/>
      <c r="Q5010" s="556"/>
      <c r="R5010" s="582"/>
    </row>
    <row r="5011" ht="25.5" spans="1:18">
      <c r="A5011" s="556"/>
      <c r="B5011" s="557"/>
      <c r="C5011" s="108"/>
      <c r="D5011" s="108"/>
      <c r="E5011" s="108"/>
      <c r="F5011" s="108"/>
      <c r="G5011" s="108"/>
      <c r="H5011" s="108" t="s">
        <v>2898</v>
      </c>
      <c r="I5011" s="581">
        <v>23.51</v>
      </c>
      <c r="J5011" s="108" t="s">
        <v>2899</v>
      </c>
      <c r="K5011" s="581">
        <v>0</v>
      </c>
      <c r="L5011" s="108" t="s">
        <v>2900</v>
      </c>
      <c r="M5011" s="581">
        <v>23.51</v>
      </c>
      <c r="N5011" s="573"/>
      <c r="O5011" s="556"/>
      <c r="P5011" s="573"/>
      <c r="Q5011" s="556"/>
      <c r="R5011" s="582"/>
    </row>
    <row r="5012" ht="26.25" spans="1:18">
      <c r="A5012" s="556"/>
      <c r="B5012" s="557">
        <f>C5011</f>
        <v>0</v>
      </c>
      <c r="C5012" s="108"/>
      <c r="D5012" s="108"/>
      <c r="E5012" s="108"/>
      <c r="F5012" s="108"/>
      <c r="G5012" s="108"/>
      <c r="H5012" s="108" t="s">
        <v>2901</v>
      </c>
      <c r="I5012" s="581">
        <v>13.82</v>
      </c>
      <c r="J5012" s="114"/>
      <c r="K5012" s="114" t="s">
        <v>2902</v>
      </c>
      <c r="L5012" s="108"/>
      <c r="M5012" s="581">
        <v>68.05</v>
      </c>
      <c r="N5012" s="573">
        <v>774.96</v>
      </c>
      <c r="O5012" s="556" t="str">
        <f>IF(N5012=M5012,"OK","DIF")</f>
        <v>DIF</v>
      </c>
      <c r="P5012" s="573"/>
      <c r="Q5012" s="556"/>
      <c r="R5012" s="582"/>
    </row>
    <row r="5013" ht="15" spans="1:18">
      <c r="A5013" s="556">
        <f>B5013</f>
        <v>0</v>
      </c>
      <c r="B5013" s="557">
        <f>B5012</f>
        <v>0</v>
      </c>
      <c r="C5013" s="571"/>
      <c r="D5013" s="571"/>
      <c r="E5013" s="571"/>
      <c r="F5013" s="571"/>
      <c r="G5013" s="571"/>
      <c r="H5013" s="571"/>
      <c r="I5013" s="571"/>
      <c r="J5013" s="571"/>
      <c r="K5013" s="571"/>
      <c r="L5013" s="571"/>
      <c r="M5013" s="571"/>
      <c r="N5013" s="573">
        <v>292</v>
      </c>
      <c r="O5013" s="556" t="str">
        <f>IF(N5013=M5013,"OK","DIF")</f>
        <v>DIF</v>
      </c>
      <c r="P5013" s="573"/>
      <c r="Q5013" s="556"/>
      <c r="R5013" s="582"/>
    </row>
    <row r="5014" ht="15" customHeight="1" spans="1:18">
      <c r="A5014" s="556">
        <f>B5014</f>
        <v>0</v>
      </c>
      <c r="B5014" s="557">
        <f>B5013</f>
        <v>0</v>
      </c>
      <c r="C5014" s="76" t="s">
        <v>1721</v>
      </c>
      <c r="D5014" s="75" t="s">
        <v>63</v>
      </c>
      <c r="E5014" s="76" t="s">
        <v>64</v>
      </c>
      <c r="F5014" s="76" t="s">
        <v>65</v>
      </c>
      <c r="G5014" s="76" t="s">
        <v>2889</v>
      </c>
      <c r="H5014" s="76"/>
      <c r="I5014" s="77" t="s">
        <v>66</v>
      </c>
      <c r="J5014" s="75" t="s">
        <v>67</v>
      </c>
      <c r="K5014" s="75" t="s">
        <v>2890</v>
      </c>
      <c r="L5014" s="75" t="s">
        <v>68</v>
      </c>
      <c r="M5014" s="75" t="s">
        <v>70</v>
      </c>
      <c r="N5014" s="573">
        <v>264.56</v>
      </c>
      <c r="O5014" s="556" t="str">
        <f>IF(N5014=M5014,"OK","DIF")</f>
        <v>DIF</v>
      </c>
      <c r="P5014" s="573"/>
      <c r="Q5014" s="556"/>
      <c r="R5014" s="582"/>
    </row>
    <row r="5015" ht="38.25" spans="1:18">
      <c r="A5015" s="556">
        <f>B5015</f>
        <v>0</v>
      </c>
      <c r="B5015" s="557">
        <f>B5014</f>
        <v>0</v>
      </c>
      <c r="C5015" s="569" t="s">
        <v>2891</v>
      </c>
      <c r="D5015" s="570" t="s">
        <v>1722</v>
      </c>
      <c r="E5015" s="569" t="s">
        <v>77</v>
      </c>
      <c r="F5015" s="569" t="s">
        <v>4495</v>
      </c>
      <c r="G5015" s="569">
        <v>15</v>
      </c>
      <c r="H5015" s="569"/>
      <c r="I5015" s="577" t="s">
        <v>134</v>
      </c>
      <c r="J5015" s="578">
        <v>1</v>
      </c>
      <c r="K5015" s="579"/>
      <c r="L5015" s="579">
        <v>79.65</v>
      </c>
      <c r="M5015" s="579">
        <v>79.65</v>
      </c>
      <c r="N5015" s="573">
        <v>218.4</v>
      </c>
      <c r="O5015" s="556" t="str">
        <f>IF(N5015=M5015,"OK","DIF")</f>
        <v>DIF</v>
      </c>
      <c r="P5015" s="573"/>
      <c r="Q5015" s="556"/>
      <c r="R5015" s="582"/>
    </row>
    <row r="5016" ht="23.85" customHeight="1" spans="1:18">
      <c r="A5016" s="556"/>
      <c r="B5016" s="557"/>
      <c r="C5016" s="100" t="s">
        <v>2893</v>
      </c>
      <c r="D5016" s="99" t="s">
        <v>4496</v>
      </c>
      <c r="E5016" s="100" t="s">
        <v>77</v>
      </c>
      <c r="F5016" s="100" t="s">
        <v>4497</v>
      </c>
      <c r="G5016" s="100" t="s">
        <v>2961</v>
      </c>
      <c r="H5016" s="100"/>
      <c r="I5016" s="101" t="s">
        <v>134</v>
      </c>
      <c r="J5016" s="580">
        <v>1</v>
      </c>
      <c r="K5016" s="580">
        <v>0</v>
      </c>
      <c r="L5016" s="102">
        <v>56.14</v>
      </c>
      <c r="M5016" s="102">
        <v>56.14</v>
      </c>
      <c r="N5016" s="573"/>
      <c r="O5016" s="556"/>
      <c r="P5016" s="573"/>
      <c r="Q5016" s="556"/>
      <c r="R5016" s="582"/>
    </row>
    <row r="5017" ht="23.85" customHeight="1" spans="1:18">
      <c r="A5017" s="556"/>
      <c r="B5017" s="557"/>
      <c r="C5017" s="100" t="s">
        <v>2893</v>
      </c>
      <c r="D5017" s="99" t="s">
        <v>4013</v>
      </c>
      <c r="E5017" s="100" t="s">
        <v>77</v>
      </c>
      <c r="F5017" s="100" t="s">
        <v>4014</v>
      </c>
      <c r="G5017" s="100" t="s">
        <v>2896</v>
      </c>
      <c r="H5017" s="100"/>
      <c r="I5017" s="101" t="s">
        <v>2897</v>
      </c>
      <c r="J5017" s="580">
        <v>0.5</v>
      </c>
      <c r="K5017" s="580">
        <v>3</v>
      </c>
      <c r="L5017" s="102">
        <v>26.52</v>
      </c>
      <c r="M5017" s="102">
        <v>13.65</v>
      </c>
      <c r="N5017" s="573"/>
      <c r="O5017" s="556"/>
      <c r="P5017" s="573"/>
      <c r="Q5017" s="556"/>
      <c r="R5017" s="582"/>
    </row>
    <row r="5018" ht="23.85" customHeight="1" spans="1:18">
      <c r="A5018" s="556"/>
      <c r="B5018" s="557" t="str">
        <f>C5017</f>
        <v>Insumo</v>
      </c>
      <c r="C5018" s="100" t="s">
        <v>2893</v>
      </c>
      <c r="D5018" s="99" t="s">
        <v>3108</v>
      </c>
      <c r="E5018" s="100" t="s">
        <v>77</v>
      </c>
      <c r="F5018" s="100" t="s">
        <v>3109</v>
      </c>
      <c r="G5018" s="100" t="s">
        <v>2896</v>
      </c>
      <c r="H5018" s="100"/>
      <c r="I5018" s="101" t="s">
        <v>2897</v>
      </c>
      <c r="J5018" s="580">
        <v>0.5</v>
      </c>
      <c r="K5018" s="580">
        <v>3</v>
      </c>
      <c r="L5018" s="102">
        <v>19.16</v>
      </c>
      <c r="M5018" s="102">
        <v>9.86</v>
      </c>
      <c r="N5018" s="573">
        <v>177218.85</v>
      </c>
      <c r="O5018" s="556" t="str">
        <f>IF(N5018=M5018,"OK","DIF")</f>
        <v>DIF</v>
      </c>
      <c r="P5018" s="573"/>
      <c r="Q5018" s="556"/>
      <c r="R5018" s="582"/>
    </row>
    <row r="5019" ht="25.5" spans="1:18">
      <c r="A5019" s="556" t="str">
        <f>B5019</f>
        <v>Insumo</v>
      </c>
      <c r="B5019" s="557" t="str">
        <f>B5018</f>
        <v>Insumo</v>
      </c>
      <c r="C5019" s="108"/>
      <c r="D5019" s="108"/>
      <c r="E5019" s="108"/>
      <c r="F5019" s="108"/>
      <c r="G5019" s="108"/>
      <c r="H5019" s="108" t="s">
        <v>2898</v>
      </c>
      <c r="I5019" s="581">
        <v>23.51</v>
      </c>
      <c r="J5019" s="108" t="s">
        <v>2899</v>
      </c>
      <c r="K5019" s="581">
        <v>0</v>
      </c>
      <c r="L5019" s="108" t="s">
        <v>2900</v>
      </c>
      <c r="M5019" s="581">
        <v>23.51</v>
      </c>
      <c r="N5019" s="573">
        <v>177218.85</v>
      </c>
      <c r="O5019" s="556" t="str">
        <f>IF(N5019=M5019,"OK","DIF")</f>
        <v>DIF</v>
      </c>
      <c r="P5019" s="573"/>
      <c r="Q5019" s="556"/>
      <c r="R5019" s="582"/>
    </row>
    <row r="5020" ht="26.25" spans="1:18">
      <c r="A5020" s="556"/>
      <c r="B5020" s="557"/>
      <c r="C5020" s="108"/>
      <c r="D5020" s="108"/>
      <c r="E5020" s="108"/>
      <c r="F5020" s="108"/>
      <c r="G5020" s="108"/>
      <c r="H5020" s="108" t="s">
        <v>2901</v>
      </c>
      <c r="I5020" s="581">
        <v>20.3</v>
      </c>
      <c r="J5020" s="114"/>
      <c r="K5020" s="114" t="s">
        <v>2902</v>
      </c>
      <c r="L5020" s="108"/>
      <c r="M5020" s="581">
        <v>99.95</v>
      </c>
      <c r="N5020" s="573"/>
      <c r="O5020" s="556"/>
      <c r="P5020" s="573"/>
      <c r="Q5020" s="556"/>
      <c r="R5020" s="582"/>
    </row>
    <row r="5021" ht="15" spans="1:18">
      <c r="A5021" s="556"/>
      <c r="B5021" s="557"/>
      <c r="C5021" s="571"/>
      <c r="D5021" s="571"/>
      <c r="E5021" s="571"/>
      <c r="F5021" s="571"/>
      <c r="G5021" s="571"/>
      <c r="H5021" s="571"/>
      <c r="I5021" s="571"/>
      <c r="J5021" s="571"/>
      <c r="K5021" s="571"/>
      <c r="L5021" s="571"/>
      <c r="M5021" s="571"/>
      <c r="N5021" s="573"/>
      <c r="O5021" s="556"/>
      <c r="P5021" s="573"/>
      <c r="Q5021" s="556"/>
      <c r="R5021" s="582"/>
    </row>
    <row r="5022" ht="15" customHeight="1" spans="1:18">
      <c r="A5022" s="556"/>
      <c r="B5022" s="557">
        <f>C5021</f>
        <v>0</v>
      </c>
      <c r="C5022" s="76" t="s">
        <v>1724</v>
      </c>
      <c r="D5022" s="75" t="s">
        <v>63</v>
      </c>
      <c r="E5022" s="76" t="s">
        <v>64</v>
      </c>
      <c r="F5022" s="76" t="s">
        <v>65</v>
      </c>
      <c r="G5022" s="76" t="s">
        <v>2889</v>
      </c>
      <c r="H5022" s="76"/>
      <c r="I5022" s="77" t="s">
        <v>66</v>
      </c>
      <c r="J5022" s="75" t="s">
        <v>67</v>
      </c>
      <c r="K5022" s="75" t="s">
        <v>2890</v>
      </c>
      <c r="L5022" s="75" t="s">
        <v>68</v>
      </c>
      <c r="M5022" s="75" t="s">
        <v>70</v>
      </c>
      <c r="N5022" s="573">
        <v>12233.63</v>
      </c>
      <c r="O5022" s="556" t="str">
        <f t="shared" ref="O5022:O5029" si="381">IF(N5022=M5022,"OK","DIF")</f>
        <v>DIF</v>
      </c>
      <c r="P5022" s="573"/>
      <c r="Q5022" s="556"/>
      <c r="R5022" s="582"/>
    </row>
    <row r="5023" ht="38.25" spans="1:18">
      <c r="A5023" s="556">
        <f t="shared" ref="A5023:A5029" si="382">B5023</f>
        <v>0</v>
      </c>
      <c r="B5023" s="557">
        <f t="shared" ref="B5023:B5029" si="383">B5022</f>
        <v>0</v>
      </c>
      <c r="C5023" s="569" t="s">
        <v>2891</v>
      </c>
      <c r="D5023" s="570" t="s">
        <v>1725</v>
      </c>
      <c r="E5023" s="569" t="s">
        <v>77</v>
      </c>
      <c r="F5023" s="569" t="s">
        <v>4498</v>
      </c>
      <c r="G5023" s="569">
        <v>15</v>
      </c>
      <c r="H5023" s="569"/>
      <c r="I5023" s="577" t="s">
        <v>134</v>
      </c>
      <c r="J5023" s="578">
        <v>1</v>
      </c>
      <c r="K5023" s="579"/>
      <c r="L5023" s="579">
        <v>55.47</v>
      </c>
      <c r="M5023" s="579">
        <v>55.47</v>
      </c>
      <c r="N5023" s="573">
        <v>3307.9</v>
      </c>
      <c r="O5023" s="556" t="str">
        <f t="shared" si="381"/>
        <v>DIF</v>
      </c>
      <c r="P5023" s="573"/>
      <c r="Q5023" s="556"/>
      <c r="R5023" s="582"/>
    </row>
    <row r="5024" ht="23.85" customHeight="1" spans="1:18">
      <c r="A5024" s="556">
        <f t="shared" si="382"/>
        <v>0</v>
      </c>
      <c r="B5024" s="557">
        <f t="shared" si="383"/>
        <v>0</v>
      </c>
      <c r="C5024" s="100" t="s">
        <v>2893</v>
      </c>
      <c r="D5024" s="99" t="s">
        <v>4013</v>
      </c>
      <c r="E5024" s="100" t="s">
        <v>77</v>
      </c>
      <c r="F5024" s="100" t="s">
        <v>4014</v>
      </c>
      <c r="G5024" s="100" t="s">
        <v>2896</v>
      </c>
      <c r="H5024" s="100"/>
      <c r="I5024" s="101" t="s">
        <v>2897</v>
      </c>
      <c r="J5024" s="580">
        <v>0.5</v>
      </c>
      <c r="K5024" s="580">
        <v>3</v>
      </c>
      <c r="L5024" s="102">
        <v>26.52</v>
      </c>
      <c r="M5024" s="102">
        <v>13.65</v>
      </c>
      <c r="N5024" s="573">
        <v>8053.5</v>
      </c>
      <c r="O5024" s="556" t="str">
        <f t="shared" si="381"/>
        <v>DIF</v>
      </c>
      <c r="P5024" s="573"/>
      <c r="Q5024" s="556"/>
      <c r="R5024" s="582"/>
    </row>
    <row r="5025" ht="23.85" customHeight="1" spans="1:18">
      <c r="A5025" s="556">
        <f t="shared" si="382"/>
        <v>0</v>
      </c>
      <c r="B5025" s="557">
        <f t="shared" si="383"/>
        <v>0</v>
      </c>
      <c r="C5025" s="100" t="s">
        <v>2893</v>
      </c>
      <c r="D5025" s="99" t="s">
        <v>3108</v>
      </c>
      <c r="E5025" s="100" t="s">
        <v>77</v>
      </c>
      <c r="F5025" s="100" t="s">
        <v>3109</v>
      </c>
      <c r="G5025" s="100" t="s">
        <v>2896</v>
      </c>
      <c r="H5025" s="100"/>
      <c r="I5025" s="101" t="s">
        <v>2897</v>
      </c>
      <c r="J5025" s="580">
        <v>0.5</v>
      </c>
      <c r="K5025" s="580">
        <v>3</v>
      </c>
      <c r="L5025" s="102">
        <v>19.16</v>
      </c>
      <c r="M5025" s="102">
        <v>9.86</v>
      </c>
      <c r="N5025" s="573">
        <v>51.16</v>
      </c>
      <c r="O5025" s="556" t="str">
        <f t="shared" si="381"/>
        <v>DIF</v>
      </c>
      <c r="P5025" s="573"/>
      <c r="Q5025" s="556"/>
      <c r="R5025" s="582"/>
    </row>
    <row r="5026" ht="23.85" customHeight="1" spans="1:18">
      <c r="A5026" s="556">
        <f t="shared" si="382"/>
        <v>0</v>
      </c>
      <c r="B5026" s="557">
        <f t="shared" si="383"/>
        <v>0</v>
      </c>
      <c r="C5026" s="100" t="s">
        <v>2893</v>
      </c>
      <c r="D5026" s="99" t="s">
        <v>4499</v>
      </c>
      <c r="E5026" s="100" t="s">
        <v>77</v>
      </c>
      <c r="F5026" s="100" t="s">
        <v>4500</v>
      </c>
      <c r="G5026" s="100" t="s">
        <v>2961</v>
      </c>
      <c r="H5026" s="100"/>
      <c r="I5026" s="101" t="s">
        <v>134</v>
      </c>
      <c r="J5026" s="580">
        <v>1</v>
      </c>
      <c r="K5026" s="580">
        <v>0</v>
      </c>
      <c r="L5026" s="102">
        <v>31.96</v>
      </c>
      <c r="M5026" s="102">
        <v>31.96</v>
      </c>
      <c r="N5026" s="573">
        <v>195.55</v>
      </c>
      <c r="O5026" s="556" t="str">
        <f t="shared" si="381"/>
        <v>DIF</v>
      </c>
      <c r="P5026" s="573"/>
      <c r="Q5026" s="556"/>
      <c r="R5026" s="582"/>
    </row>
    <row r="5027" ht="25.5" spans="1:18">
      <c r="A5027" s="556">
        <f t="shared" si="382"/>
        <v>0</v>
      </c>
      <c r="B5027" s="557">
        <f t="shared" si="383"/>
        <v>0</v>
      </c>
      <c r="C5027" s="108"/>
      <c r="D5027" s="108"/>
      <c r="E5027" s="108"/>
      <c r="F5027" s="108"/>
      <c r="G5027" s="108"/>
      <c r="H5027" s="108" t="s">
        <v>2898</v>
      </c>
      <c r="I5027" s="581">
        <v>23.51</v>
      </c>
      <c r="J5027" s="108" t="s">
        <v>2899</v>
      </c>
      <c r="K5027" s="581">
        <v>0</v>
      </c>
      <c r="L5027" s="108" t="s">
        <v>2900</v>
      </c>
      <c r="M5027" s="581">
        <v>23.51</v>
      </c>
      <c r="N5027" s="573">
        <v>254.52</v>
      </c>
      <c r="O5027" s="556" t="str">
        <f t="shared" si="381"/>
        <v>DIF</v>
      </c>
      <c r="P5027" s="573"/>
      <c r="Q5027" s="556"/>
      <c r="R5027" s="582"/>
    </row>
    <row r="5028" ht="26.25" spans="1:18">
      <c r="A5028" s="556">
        <f t="shared" si="382"/>
        <v>0</v>
      </c>
      <c r="B5028" s="557">
        <f t="shared" si="383"/>
        <v>0</v>
      </c>
      <c r="C5028" s="108"/>
      <c r="D5028" s="108"/>
      <c r="E5028" s="108"/>
      <c r="F5028" s="108"/>
      <c r="G5028" s="108"/>
      <c r="H5028" s="108" t="s">
        <v>2901</v>
      </c>
      <c r="I5028" s="581">
        <v>14.13</v>
      </c>
      <c r="J5028" s="114"/>
      <c r="K5028" s="114" t="s">
        <v>2902</v>
      </c>
      <c r="L5028" s="108"/>
      <c r="M5028" s="581">
        <v>69.6</v>
      </c>
      <c r="N5028" s="573">
        <v>330.7</v>
      </c>
      <c r="O5028" s="556" t="str">
        <f t="shared" si="381"/>
        <v>DIF</v>
      </c>
      <c r="P5028" s="573"/>
      <c r="Q5028" s="556"/>
      <c r="R5028" s="582"/>
    </row>
    <row r="5029" ht="15" spans="1:18">
      <c r="A5029" s="556">
        <f t="shared" si="382"/>
        <v>0</v>
      </c>
      <c r="B5029" s="557">
        <f t="shared" si="383"/>
        <v>0</v>
      </c>
      <c r="C5029" s="571"/>
      <c r="D5029" s="571"/>
      <c r="E5029" s="571"/>
      <c r="F5029" s="571"/>
      <c r="G5029" s="571"/>
      <c r="H5029" s="571"/>
      <c r="I5029" s="571"/>
      <c r="J5029" s="571"/>
      <c r="K5029" s="571"/>
      <c r="L5029" s="571"/>
      <c r="M5029" s="571"/>
      <c r="N5029" s="573">
        <v>40.3</v>
      </c>
      <c r="O5029" s="556" t="str">
        <f t="shared" si="381"/>
        <v>DIF</v>
      </c>
      <c r="P5029" s="573"/>
      <c r="Q5029" s="556"/>
      <c r="R5029" s="582"/>
    </row>
    <row r="5030" ht="15" customHeight="1" spans="1:18">
      <c r="A5030" s="556"/>
      <c r="B5030" s="557"/>
      <c r="C5030" s="76" t="s">
        <v>1727</v>
      </c>
      <c r="D5030" s="75" t="s">
        <v>63</v>
      </c>
      <c r="E5030" s="76" t="s">
        <v>64</v>
      </c>
      <c r="F5030" s="76" t="s">
        <v>65</v>
      </c>
      <c r="G5030" s="76" t="s">
        <v>2889</v>
      </c>
      <c r="H5030" s="76"/>
      <c r="I5030" s="77" t="s">
        <v>66</v>
      </c>
      <c r="J5030" s="75" t="s">
        <v>67</v>
      </c>
      <c r="K5030" s="75" t="s">
        <v>2890</v>
      </c>
      <c r="L5030" s="75" t="s">
        <v>68</v>
      </c>
      <c r="M5030" s="75" t="s">
        <v>70</v>
      </c>
      <c r="N5030" s="573"/>
      <c r="O5030" s="556"/>
      <c r="P5030" s="573"/>
      <c r="Q5030" s="556"/>
      <c r="R5030" s="582"/>
    </row>
    <row r="5031" ht="23.85" customHeight="1" spans="1:18">
      <c r="A5031" s="556"/>
      <c r="B5031" s="557"/>
      <c r="C5031" s="569" t="s">
        <v>2891</v>
      </c>
      <c r="D5031" s="570" t="s">
        <v>1228</v>
      </c>
      <c r="E5031" s="569" t="s">
        <v>149</v>
      </c>
      <c r="F5031" s="569" t="s">
        <v>1229</v>
      </c>
      <c r="G5031" s="569" t="s">
        <v>3953</v>
      </c>
      <c r="H5031" s="569"/>
      <c r="I5031" s="577" t="s">
        <v>134</v>
      </c>
      <c r="J5031" s="578">
        <v>1</v>
      </c>
      <c r="K5031" s="579"/>
      <c r="L5031" s="579">
        <v>11.93</v>
      </c>
      <c r="M5031" s="579">
        <v>11.93</v>
      </c>
      <c r="N5031" s="573"/>
      <c r="O5031" s="556"/>
      <c r="P5031" s="573"/>
      <c r="Q5031" s="556"/>
      <c r="R5031" s="582"/>
    </row>
    <row r="5032" ht="15" customHeight="1" spans="1:18">
      <c r="A5032" s="556"/>
      <c r="B5032" s="557" t="str">
        <f>C5031</f>
        <v>Composição</v>
      </c>
      <c r="C5032" s="100" t="s">
        <v>2893</v>
      </c>
      <c r="D5032" s="99" t="s">
        <v>4163</v>
      </c>
      <c r="E5032" s="100" t="s">
        <v>149</v>
      </c>
      <c r="F5032" s="100" t="s">
        <v>4164</v>
      </c>
      <c r="G5032" s="100" t="s">
        <v>2961</v>
      </c>
      <c r="H5032" s="100"/>
      <c r="I5032" s="101" t="s">
        <v>134</v>
      </c>
      <c r="J5032" s="580">
        <v>1</v>
      </c>
      <c r="K5032" s="580">
        <v>0</v>
      </c>
      <c r="L5032" s="102">
        <v>5.3</v>
      </c>
      <c r="M5032" s="102">
        <v>5.3</v>
      </c>
      <c r="N5032" s="573">
        <v>196244.38</v>
      </c>
      <c r="O5032" s="556" t="str">
        <f>IF(N5032=M5032,"OK","DIF")</f>
        <v>DIF</v>
      </c>
      <c r="P5032" s="573"/>
      <c r="Q5032" s="556"/>
      <c r="R5032" s="582"/>
    </row>
    <row r="5033" ht="15" customHeight="1" spans="1:18">
      <c r="A5033" s="556" t="str">
        <f>B5033</f>
        <v>Composição</v>
      </c>
      <c r="B5033" s="557" t="str">
        <f>B5032</f>
        <v>Composição</v>
      </c>
      <c r="C5033" s="100" t="s">
        <v>2893</v>
      </c>
      <c r="D5033" s="99" t="s">
        <v>2976</v>
      </c>
      <c r="E5033" s="100" t="s">
        <v>149</v>
      </c>
      <c r="F5033" s="100" t="s">
        <v>2977</v>
      </c>
      <c r="G5033" s="100" t="s">
        <v>2896</v>
      </c>
      <c r="H5033" s="100"/>
      <c r="I5033" s="101" t="s">
        <v>2897</v>
      </c>
      <c r="J5033" s="580">
        <v>0.14</v>
      </c>
      <c r="K5033" s="580">
        <v>0</v>
      </c>
      <c r="L5033" s="102">
        <v>20.515752</v>
      </c>
      <c r="M5033" s="102">
        <v>2.87</v>
      </c>
      <c r="N5033" s="573">
        <v>196244.38</v>
      </c>
      <c r="O5033" s="556" t="str">
        <f>IF(N5033=M5033,"OK","DIF")</f>
        <v>DIF</v>
      </c>
      <c r="P5033" s="573"/>
      <c r="Q5033" s="556"/>
      <c r="R5033" s="582"/>
    </row>
    <row r="5034" ht="15" customHeight="1" spans="1:18">
      <c r="A5034" s="556"/>
      <c r="B5034" s="557"/>
      <c r="C5034" s="100" t="s">
        <v>2893</v>
      </c>
      <c r="D5034" s="99" t="s">
        <v>2986</v>
      </c>
      <c r="E5034" s="100" t="s">
        <v>149</v>
      </c>
      <c r="F5034" s="100" t="s">
        <v>2987</v>
      </c>
      <c r="G5034" s="100" t="s">
        <v>2896</v>
      </c>
      <c r="H5034" s="100"/>
      <c r="I5034" s="101" t="s">
        <v>2897</v>
      </c>
      <c r="J5034" s="580">
        <v>0.14</v>
      </c>
      <c r="K5034" s="580">
        <v>0</v>
      </c>
      <c r="L5034" s="102">
        <v>26.928256</v>
      </c>
      <c r="M5034" s="102">
        <v>3.76</v>
      </c>
      <c r="N5034" s="573"/>
      <c r="O5034" s="556"/>
      <c r="P5034" s="573"/>
      <c r="Q5034" s="556"/>
      <c r="R5034" s="582"/>
    </row>
    <row r="5035" ht="25.5" spans="1:18">
      <c r="A5035" s="556"/>
      <c r="B5035" s="557"/>
      <c r="C5035" s="108"/>
      <c r="D5035" s="108"/>
      <c r="E5035" s="108"/>
      <c r="F5035" s="108"/>
      <c r="G5035" s="108"/>
      <c r="H5035" s="108" t="s">
        <v>2898</v>
      </c>
      <c r="I5035" s="581">
        <v>6.63</v>
      </c>
      <c r="J5035" s="108" t="s">
        <v>2899</v>
      </c>
      <c r="K5035" s="581">
        <v>0</v>
      </c>
      <c r="L5035" s="108" t="s">
        <v>2900</v>
      </c>
      <c r="M5035" s="581">
        <v>6.63</v>
      </c>
      <c r="N5035" s="573"/>
      <c r="O5035" s="556"/>
      <c r="P5035" s="573"/>
      <c r="Q5035" s="556"/>
      <c r="R5035" s="582"/>
    </row>
    <row r="5036" ht="26.25" spans="1:18">
      <c r="A5036" s="556"/>
      <c r="B5036" s="557">
        <f>C5035</f>
        <v>0</v>
      </c>
      <c r="C5036" s="108"/>
      <c r="D5036" s="108"/>
      <c r="E5036" s="108"/>
      <c r="F5036" s="108"/>
      <c r="G5036" s="108"/>
      <c r="H5036" s="108" t="s">
        <v>2901</v>
      </c>
      <c r="I5036" s="581">
        <v>3.04</v>
      </c>
      <c r="J5036" s="114"/>
      <c r="K5036" s="114" t="s">
        <v>2902</v>
      </c>
      <c r="L5036" s="108"/>
      <c r="M5036" s="581">
        <v>14.97</v>
      </c>
      <c r="N5036" s="573">
        <v>12233.63</v>
      </c>
      <c r="O5036" s="556" t="str">
        <f t="shared" ref="O5036:O5043" si="384">IF(N5036=M5036,"OK","DIF")</f>
        <v>DIF</v>
      </c>
      <c r="P5036" s="573"/>
      <c r="Q5036" s="556"/>
      <c r="R5036" s="582"/>
    </row>
    <row r="5037" ht="15" spans="1:18">
      <c r="A5037" s="556">
        <f t="shared" ref="A5037:A5043" si="385">B5037</f>
        <v>0</v>
      </c>
      <c r="B5037" s="557">
        <f t="shared" ref="B5037:B5043" si="386">B5036</f>
        <v>0</v>
      </c>
      <c r="C5037" s="571"/>
      <c r="D5037" s="571"/>
      <c r="E5037" s="571"/>
      <c r="F5037" s="571"/>
      <c r="G5037" s="571"/>
      <c r="H5037" s="571"/>
      <c r="I5037" s="571"/>
      <c r="J5037" s="571"/>
      <c r="K5037" s="571"/>
      <c r="L5037" s="571"/>
      <c r="M5037" s="571"/>
      <c r="N5037" s="573">
        <v>254.52</v>
      </c>
      <c r="O5037" s="556" t="str">
        <f t="shared" si="384"/>
        <v>DIF</v>
      </c>
      <c r="P5037" s="573"/>
      <c r="Q5037" s="556"/>
      <c r="R5037" s="582"/>
    </row>
    <row r="5038" ht="15" customHeight="1" spans="1:18">
      <c r="A5038" s="556">
        <f t="shared" si="385"/>
        <v>0</v>
      </c>
      <c r="B5038" s="557">
        <f t="shared" si="386"/>
        <v>0</v>
      </c>
      <c r="C5038" s="76" t="s">
        <v>1728</v>
      </c>
      <c r="D5038" s="75" t="s">
        <v>63</v>
      </c>
      <c r="E5038" s="76" t="s">
        <v>64</v>
      </c>
      <c r="F5038" s="76" t="s">
        <v>65</v>
      </c>
      <c r="G5038" s="76" t="s">
        <v>2889</v>
      </c>
      <c r="H5038" s="76"/>
      <c r="I5038" s="77" t="s">
        <v>66</v>
      </c>
      <c r="J5038" s="75" t="s">
        <v>67</v>
      </c>
      <c r="K5038" s="75" t="s">
        <v>2890</v>
      </c>
      <c r="L5038" s="75" t="s">
        <v>68</v>
      </c>
      <c r="M5038" s="75" t="s">
        <v>70</v>
      </c>
      <c r="N5038" s="573">
        <v>195.55</v>
      </c>
      <c r="O5038" s="556" t="str">
        <f t="shared" si="384"/>
        <v>DIF</v>
      </c>
      <c r="P5038" s="573"/>
      <c r="Q5038" s="556"/>
      <c r="R5038" s="582"/>
    </row>
    <row r="5039" ht="25.5" spans="1:18">
      <c r="A5039" s="556">
        <f t="shared" si="385"/>
        <v>0</v>
      </c>
      <c r="B5039" s="557">
        <f t="shared" si="386"/>
        <v>0</v>
      </c>
      <c r="C5039" s="569" t="s">
        <v>2891</v>
      </c>
      <c r="D5039" s="570" t="s">
        <v>1729</v>
      </c>
      <c r="E5039" s="569" t="s">
        <v>77</v>
      </c>
      <c r="F5039" s="569" t="s">
        <v>4501</v>
      </c>
      <c r="G5039" s="569">
        <v>15</v>
      </c>
      <c r="H5039" s="569"/>
      <c r="I5039" s="577" t="s">
        <v>134</v>
      </c>
      <c r="J5039" s="578">
        <v>1</v>
      </c>
      <c r="K5039" s="579"/>
      <c r="L5039" s="579">
        <v>70.86</v>
      </c>
      <c r="M5039" s="579">
        <v>70.86</v>
      </c>
      <c r="N5039" s="573">
        <v>3307.9</v>
      </c>
      <c r="O5039" s="556" t="str">
        <f t="shared" si="384"/>
        <v>DIF</v>
      </c>
      <c r="P5039" s="573"/>
      <c r="Q5039" s="556"/>
      <c r="R5039" s="582"/>
    </row>
    <row r="5040" ht="23.85" customHeight="1" spans="1:18">
      <c r="A5040" s="556">
        <f t="shared" si="385"/>
        <v>0</v>
      </c>
      <c r="B5040" s="557">
        <f t="shared" si="386"/>
        <v>0</v>
      </c>
      <c r="C5040" s="100" t="s">
        <v>2893</v>
      </c>
      <c r="D5040" s="99" t="s">
        <v>4502</v>
      </c>
      <c r="E5040" s="100" t="s">
        <v>77</v>
      </c>
      <c r="F5040" s="100" t="s">
        <v>4503</v>
      </c>
      <c r="G5040" s="100" t="s">
        <v>2961</v>
      </c>
      <c r="H5040" s="100"/>
      <c r="I5040" s="101" t="s">
        <v>134</v>
      </c>
      <c r="J5040" s="580">
        <v>1</v>
      </c>
      <c r="K5040" s="580">
        <v>0</v>
      </c>
      <c r="L5040" s="102">
        <v>47.35</v>
      </c>
      <c r="M5040" s="102">
        <v>47.35</v>
      </c>
      <c r="N5040" s="573">
        <v>330.7</v>
      </c>
      <c r="O5040" s="556" t="str">
        <f t="shared" si="384"/>
        <v>DIF</v>
      </c>
      <c r="P5040" s="573"/>
      <c r="Q5040" s="556"/>
      <c r="R5040" s="582"/>
    </row>
    <row r="5041" ht="23.85" customHeight="1" spans="1:18">
      <c r="A5041" s="556">
        <f t="shared" si="385"/>
        <v>0</v>
      </c>
      <c r="B5041" s="557">
        <f t="shared" si="386"/>
        <v>0</v>
      </c>
      <c r="C5041" s="100" t="s">
        <v>2893</v>
      </c>
      <c r="D5041" s="99" t="s">
        <v>4013</v>
      </c>
      <c r="E5041" s="100" t="s">
        <v>77</v>
      </c>
      <c r="F5041" s="100" t="s">
        <v>4014</v>
      </c>
      <c r="G5041" s="100" t="s">
        <v>2896</v>
      </c>
      <c r="H5041" s="100"/>
      <c r="I5041" s="101" t="s">
        <v>2897</v>
      </c>
      <c r="J5041" s="580">
        <v>0.5</v>
      </c>
      <c r="K5041" s="580">
        <v>3</v>
      </c>
      <c r="L5041" s="102">
        <v>26.52</v>
      </c>
      <c r="M5041" s="102">
        <v>13.65</v>
      </c>
      <c r="N5041" s="573">
        <v>40.3</v>
      </c>
      <c r="O5041" s="556" t="str">
        <f t="shared" si="384"/>
        <v>DIF</v>
      </c>
      <c r="P5041" s="573"/>
      <c r="Q5041" s="556"/>
      <c r="R5041" s="582"/>
    </row>
    <row r="5042" ht="23.85" customHeight="1" spans="1:18">
      <c r="A5042" s="556">
        <f t="shared" si="385"/>
        <v>0</v>
      </c>
      <c r="B5042" s="557">
        <f t="shared" si="386"/>
        <v>0</v>
      </c>
      <c r="C5042" s="100" t="s">
        <v>2893</v>
      </c>
      <c r="D5042" s="99" t="s">
        <v>3108</v>
      </c>
      <c r="E5042" s="100" t="s">
        <v>77</v>
      </c>
      <c r="F5042" s="100" t="s">
        <v>3109</v>
      </c>
      <c r="G5042" s="100" t="s">
        <v>2896</v>
      </c>
      <c r="H5042" s="100"/>
      <c r="I5042" s="101" t="s">
        <v>2897</v>
      </c>
      <c r="J5042" s="580">
        <v>0.5</v>
      </c>
      <c r="K5042" s="580">
        <v>3</v>
      </c>
      <c r="L5042" s="102">
        <v>19.16</v>
      </c>
      <c r="M5042" s="102">
        <v>9.86</v>
      </c>
      <c r="N5042" s="573">
        <v>51.16</v>
      </c>
      <c r="O5042" s="556" t="str">
        <f t="shared" si="384"/>
        <v>DIF</v>
      </c>
      <c r="P5042" s="573"/>
      <c r="Q5042" s="556"/>
      <c r="R5042" s="582"/>
    </row>
    <row r="5043" ht="25.5" spans="1:18">
      <c r="A5043" s="556">
        <f t="shared" si="385"/>
        <v>0</v>
      </c>
      <c r="B5043" s="557">
        <f t="shared" si="386"/>
        <v>0</v>
      </c>
      <c r="C5043" s="108"/>
      <c r="D5043" s="108"/>
      <c r="E5043" s="108"/>
      <c r="F5043" s="108"/>
      <c r="G5043" s="108"/>
      <c r="H5043" s="108" t="s">
        <v>2898</v>
      </c>
      <c r="I5043" s="581">
        <v>23.51</v>
      </c>
      <c r="J5043" s="108" t="s">
        <v>2899</v>
      </c>
      <c r="K5043" s="581">
        <v>0</v>
      </c>
      <c r="L5043" s="108" t="s">
        <v>2900</v>
      </c>
      <c r="M5043" s="581">
        <v>23.51</v>
      </c>
      <c r="N5043" s="573">
        <v>8053.5</v>
      </c>
      <c r="O5043" s="556" t="str">
        <f t="shared" si="384"/>
        <v>DIF</v>
      </c>
      <c r="P5043" s="573"/>
      <c r="Q5043" s="556"/>
      <c r="R5043" s="582"/>
    </row>
    <row r="5044" ht="26.25" spans="1:18">
      <c r="A5044" s="556"/>
      <c r="B5044" s="557"/>
      <c r="C5044" s="108"/>
      <c r="D5044" s="108"/>
      <c r="E5044" s="108"/>
      <c r="F5044" s="108"/>
      <c r="G5044" s="108"/>
      <c r="H5044" s="108" t="s">
        <v>2901</v>
      </c>
      <c r="I5044" s="581">
        <v>18.06</v>
      </c>
      <c r="J5044" s="114"/>
      <c r="K5044" s="114" t="s">
        <v>2902</v>
      </c>
      <c r="L5044" s="108"/>
      <c r="M5044" s="581">
        <v>88.92</v>
      </c>
      <c r="N5044" s="573"/>
      <c r="O5044" s="556"/>
      <c r="P5044" s="573"/>
      <c r="Q5044" s="556"/>
      <c r="R5044" s="582"/>
    </row>
    <row r="5045" ht="15" spans="1:18">
      <c r="A5045" s="556"/>
      <c r="B5045" s="557"/>
      <c r="C5045" s="571"/>
      <c r="D5045" s="571"/>
      <c r="E5045" s="571"/>
      <c r="F5045" s="571"/>
      <c r="G5045" s="571"/>
      <c r="H5045" s="571"/>
      <c r="I5045" s="571"/>
      <c r="J5045" s="571"/>
      <c r="K5045" s="571"/>
      <c r="L5045" s="571"/>
      <c r="M5045" s="571"/>
      <c r="N5045" s="573"/>
      <c r="O5045" s="556"/>
      <c r="P5045" s="573"/>
      <c r="Q5045" s="556"/>
      <c r="R5045" s="582"/>
    </row>
    <row r="5046" ht="15" customHeight="1" spans="1:18">
      <c r="A5046" s="556"/>
      <c r="B5046" s="557">
        <f>C5045</f>
        <v>0</v>
      </c>
      <c r="C5046" s="76" t="s">
        <v>1731</v>
      </c>
      <c r="D5046" s="75" t="s">
        <v>63</v>
      </c>
      <c r="E5046" s="76" t="s">
        <v>64</v>
      </c>
      <c r="F5046" s="76" t="s">
        <v>65</v>
      </c>
      <c r="G5046" s="76" t="s">
        <v>2889</v>
      </c>
      <c r="H5046" s="76"/>
      <c r="I5046" s="77" t="s">
        <v>66</v>
      </c>
      <c r="J5046" s="75" t="s">
        <v>67</v>
      </c>
      <c r="K5046" s="75" t="s">
        <v>2890</v>
      </c>
      <c r="L5046" s="75" t="s">
        <v>68</v>
      </c>
      <c r="M5046" s="75" t="s">
        <v>70</v>
      </c>
      <c r="N5046" s="573">
        <v>33650.1</v>
      </c>
      <c r="O5046" s="556" t="str">
        <f>IF(N5046=M5046,"OK","DIF")</f>
        <v>DIF</v>
      </c>
      <c r="P5046" s="573"/>
      <c r="Q5046" s="556"/>
      <c r="R5046" s="582"/>
    </row>
    <row r="5047" ht="38.25" spans="1:18">
      <c r="A5047" s="556">
        <f>B5047</f>
        <v>0</v>
      </c>
      <c r="B5047" s="557">
        <f>B5046</f>
        <v>0</v>
      </c>
      <c r="C5047" s="569" t="s">
        <v>2891</v>
      </c>
      <c r="D5047" s="570" t="s">
        <v>1732</v>
      </c>
      <c r="E5047" s="569" t="s">
        <v>77</v>
      </c>
      <c r="F5047" s="569" t="s">
        <v>4504</v>
      </c>
      <c r="G5047" s="569">
        <v>15</v>
      </c>
      <c r="H5047" s="569"/>
      <c r="I5047" s="577" t="s">
        <v>134</v>
      </c>
      <c r="J5047" s="578">
        <v>1</v>
      </c>
      <c r="K5047" s="579"/>
      <c r="L5047" s="579">
        <v>64.67</v>
      </c>
      <c r="M5047" s="579">
        <v>64.67</v>
      </c>
      <c r="N5047" s="573">
        <v>198.42</v>
      </c>
      <c r="O5047" s="556" t="str">
        <f>IF(N5047=M5047,"OK","DIF")</f>
        <v>DIF</v>
      </c>
      <c r="P5047" s="573"/>
      <c r="Q5047" s="556"/>
      <c r="R5047" s="582"/>
    </row>
    <row r="5048" ht="23.85" customHeight="1" spans="1:18">
      <c r="A5048" s="556">
        <f>B5048</f>
        <v>0</v>
      </c>
      <c r="B5048" s="557">
        <f>B5047</f>
        <v>0</v>
      </c>
      <c r="C5048" s="100" t="s">
        <v>2893</v>
      </c>
      <c r="D5048" s="99" t="s">
        <v>4505</v>
      </c>
      <c r="E5048" s="100" t="s">
        <v>77</v>
      </c>
      <c r="F5048" s="100" t="s">
        <v>4506</v>
      </c>
      <c r="G5048" s="100" t="s">
        <v>2961</v>
      </c>
      <c r="H5048" s="100"/>
      <c r="I5048" s="101" t="s">
        <v>134</v>
      </c>
      <c r="J5048" s="580">
        <v>1</v>
      </c>
      <c r="K5048" s="580">
        <v>0</v>
      </c>
      <c r="L5048" s="102">
        <v>41.16</v>
      </c>
      <c r="M5048" s="102">
        <v>41.16</v>
      </c>
      <c r="N5048" s="573">
        <v>163.8</v>
      </c>
      <c r="O5048" s="556" t="str">
        <f>IF(N5048=M5048,"OK","DIF")</f>
        <v>DIF</v>
      </c>
      <c r="P5048" s="573"/>
      <c r="Q5048" s="556"/>
      <c r="R5048" s="582"/>
    </row>
    <row r="5049" ht="23.85" customHeight="1" spans="1:18">
      <c r="A5049" s="556">
        <f>B5049</f>
        <v>0</v>
      </c>
      <c r="B5049" s="557">
        <f>B5048</f>
        <v>0</v>
      </c>
      <c r="C5049" s="100" t="s">
        <v>2893</v>
      </c>
      <c r="D5049" s="99" t="s">
        <v>3108</v>
      </c>
      <c r="E5049" s="100" t="s">
        <v>77</v>
      </c>
      <c r="F5049" s="100" t="s">
        <v>3109</v>
      </c>
      <c r="G5049" s="100" t="s">
        <v>2896</v>
      </c>
      <c r="H5049" s="100"/>
      <c r="I5049" s="101" t="s">
        <v>2897</v>
      </c>
      <c r="J5049" s="580">
        <v>0.5</v>
      </c>
      <c r="K5049" s="580">
        <v>3</v>
      </c>
      <c r="L5049" s="102">
        <v>19.16</v>
      </c>
      <c r="M5049" s="102">
        <v>9.86</v>
      </c>
      <c r="N5049" s="573">
        <v>33287.88</v>
      </c>
      <c r="O5049" s="556" t="str">
        <f>IF(N5049=M5049,"OK","DIF")</f>
        <v>DIF</v>
      </c>
      <c r="P5049" s="573"/>
      <c r="Q5049" s="556"/>
      <c r="R5049" s="582"/>
    </row>
    <row r="5050" ht="23.85" customHeight="1" spans="1:18">
      <c r="A5050" s="556"/>
      <c r="B5050" s="557"/>
      <c r="C5050" s="100" t="s">
        <v>2893</v>
      </c>
      <c r="D5050" s="99" t="s">
        <v>4013</v>
      </c>
      <c r="E5050" s="100" t="s">
        <v>77</v>
      </c>
      <c r="F5050" s="100" t="s">
        <v>4014</v>
      </c>
      <c r="G5050" s="100" t="s">
        <v>2896</v>
      </c>
      <c r="H5050" s="100"/>
      <c r="I5050" s="101" t="s">
        <v>2897</v>
      </c>
      <c r="J5050" s="580">
        <v>0.5</v>
      </c>
      <c r="K5050" s="580">
        <v>3</v>
      </c>
      <c r="L5050" s="102">
        <v>26.52</v>
      </c>
      <c r="M5050" s="102">
        <v>13.65</v>
      </c>
      <c r="N5050" s="573"/>
      <c r="O5050" s="556"/>
      <c r="P5050" s="573"/>
      <c r="Q5050" s="556"/>
      <c r="R5050" s="582"/>
    </row>
    <row r="5051" ht="25.5" spans="1:18">
      <c r="A5051" s="556"/>
      <c r="B5051" s="557"/>
      <c r="C5051" s="108"/>
      <c r="D5051" s="108"/>
      <c r="E5051" s="108"/>
      <c r="F5051" s="108"/>
      <c r="G5051" s="108"/>
      <c r="H5051" s="108" t="s">
        <v>2898</v>
      </c>
      <c r="I5051" s="581">
        <v>23.51</v>
      </c>
      <c r="J5051" s="108" t="s">
        <v>2899</v>
      </c>
      <c r="K5051" s="581">
        <v>0</v>
      </c>
      <c r="L5051" s="108" t="s">
        <v>2900</v>
      </c>
      <c r="M5051" s="581">
        <v>23.51</v>
      </c>
      <c r="N5051" s="573"/>
      <c r="O5051" s="556"/>
      <c r="P5051" s="573"/>
      <c r="Q5051" s="556"/>
      <c r="R5051" s="582"/>
    </row>
    <row r="5052" ht="26.25" spans="1:18">
      <c r="A5052" s="556"/>
      <c r="B5052" s="557">
        <f>C5051</f>
        <v>0</v>
      </c>
      <c r="C5052" s="108"/>
      <c r="D5052" s="108"/>
      <c r="E5052" s="108"/>
      <c r="F5052" s="108"/>
      <c r="G5052" s="108"/>
      <c r="H5052" s="108" t="s">
        <v>2901</v>
      </c>
      <c r="I5052" s="581">
        <v>16.48</v>
      </c>
      <c r="J5052" s="114"/>
      <c r="K5052" s="114" t="s">
        <v>2902</v>
      </c>
      <c r="L5052" s="108"/>
      <c r="M5052" s="581">
        <v>81.15</v>
      </c>
      <c r="N5052" s="573">
        <v>24294.6</v>
      </c>
      <c r="O5052" s="556" t="str">
        <f>IF(N5052=M5052,"OK","DIF")</f>
        <v>DIF</v>
      </c>
      <c r="P5052" s="573"/>
      <c r="Q5052" s="556"/>
      <c r="R5052" s="582"/>
    </row>
    <row r="5053" ht="15" spans="1:18">
      <c r="A5053" s="556">
        <f>B5053</f>
        <v>0</v>
      </c>
      <c r="B5053" s="557">
        <f>B5052</f>
        <v>0</v>
      </c>
      <c r="C5053" s="571"/>
      <c r="D5053" s="571"/>
      <c r="E5053" s="571"/>
      <c r="F5053" s="571"/>
      <c r="G5053" s="571"/>
      <c r="H5053" s="571"/>
      <c r="I5053" s="571"/>
      <c r="J5053" s="571"/>
      <c r="K5053" s="571"/>
      <c r="L5053" s="571"/>
      <c r="M5053" s="571"/>
      <c r="N5053" s="573">
        <v>163.8</v>
      </c>
      <c r="O5053" s="556" t="str">
        <f>IF(N5053=M5053,"OK","DIF")</f>
        <v>DIF</v>
      </c>
      <c r="P5053" s="573"/>
      <c r="Q5053" s="556"/>
      <c r="R5053" s="582"/>
    </row>
    <row r="5054" ht="15" customHeight="1" spans="1:18">
      <c r="A5054" s="556">
        <f>B5054</f>
        <v>0</v>
      </c>
      <c r="B5054" s="557">
        <f>B5053</f>
        <v>0</v>
      </c>
      <c r="C5054" s="76" t="s">
        <v>1734</v>
      </c>
      <c r="D5054" s="75" t="s">
        <v>63</v>
      </c>
      <c r="E5054" s="76" t="s">
        <v>64</v>
      </c>
      <c r="F5054" s="76" t="s">
        <v>65</v>
      </c>
      <c r="G5054" s="76" t="s">
        <v>2889</v>
      </c>
      <c r="H5054" s="76"/>
      <c r="I5054" s="77" t="s">
        <v>66</v>
      </c>
      <c r="J5054" s="75" t="s">
        <v>67</v>
      </c>
      <c r="K5054" s="75" t="s">
        <v>2890</v>
      </c>
      <c r="L5054" s="75" t="s">
        <v>68</v>
      </c>
      <c r="M5054" s="75" t="s">
        <v>70</v>
      </c>
      <c r="N5054" s="573">
        <v>198.42</v>
      </c>
      <c r="O5054" s="556" t="str">
        <f>IF(N5054=M5054,"OK","DIF")</f>
        <v>DIF</v>
      </c>
      <c r="P5054" s="573"/>
      <c r="Q5054" s="556"/>
      <c r="R5054" s="582"/>
    </row>
    <row r="5055" ht="51" spans="1:18">
      <c r="A5055" s="556">
        <f>B5055</f>
        <v>0</v>
      </c>
      <c r="B5055" s="557">
        <f>B5054</f>
        <v>0</v>
      </c>
      <c r="C5055" s="569" t="s">
        <v>2891</v>
      </c>
      <c r="D5055" s="570" t="s">
        <v>1074</v>
      </c>
      <c r="E5055" s="569" t="s">
        <v>77</v>
      </c>
      <c r="F5055" s="569" t="s">
        <v>4017</v>
      </c>
      <c r="G5055" s="569">
        <v>15</v>
      </c>
      <c r="H5055" s="569"/>
      <c r="I5055" s="577" t="s">
        <v>204</v>
      </c>
      <c r="J5055" s="578">
        <v>1</v>
      </c>
      <c r="K5055" s="579"/>
      <c r="L5055" s="579">
        <v>21.39</v>
      </c>
      <c r="M5055" s="579">
        <v>21.39</v>
      </c>
      <c r="N5055" s="573">
        <v>23932.38</v>
      </c>
      <c r="O5055" s="556" t="str">
        <f>IF(N5055=M5055,"OK","DIF")</f>
        <v>DIF</v>
      </c>
      <c r="P5055" s="573"/>
      <c r="Q5055" s="556"/>
      <c r="R5055" s="582"/>
    </row>
    <row r="5056" ht="23.85" customHeight="1" spans="1:18">
      <c r="A5056" s="556"/>
      <c r="B5056" s="557"/>
      <c r="C5056" s="100" t="s">
        <v>2893</v>
      </c>
      <c r="D5056" s="99" t="s">
        <v>3108</v>
      </c>
      <c r="E5056" s="100" t="s">
        <v>77</v>
      </c>
      <c r="F5056" s="100" t="s">
        <v>3109</v>
      </c>
      <c r="G5056" s="100" t="s">
        <v>2896</v>
      </c>
      <c r="H5056" s="100"/>
      <c r="I5056" s="101" t="s">
        <v>2897</v>
      </c>
      <c r="J5056" s="580">
        <v>0.16</v>
      </c>
      <c r="K5056" s="580">
        <v>3</v>
      </c>
      <c r="L5056" s="102">
        <v>19.16</v>
      </c>
      <c r="M5056" s="102">
        <v>3.15</v>
      </c>
      <c r="N5056" s="573"/>
      <c r="O5056" s="556"/>
      <c r="P5056" s="573"/>
      <c r="Q5056" s="556"/>
      <c r="R5056" s="582"/>
    </row>
    <row r="5057" ht="23.85" customHeight="1" spans="1:18">
      <c r="A5057" s="556"/>
      <c r="B5057" s="557"/>
      <c r="C5057" s="100" t="s">
        <v>2893</v>
      </c>
      <c r="D5057" s="99" t="s">
        <v>4013</v>
      </c>
      <c r="E5057" s="100" t="s">
        <v>77</v>
      </c>
      <c r="F5057" s="100" t="s">
        <v>4014</v>
      </c>
      <c r="G5057" s="100" t="s">
        <v>2896</v>
      </c>
      <c r="H5057" s="100"/>
      <c r="I5057" s="101" t="s">
        <v>2897</v>
      </c>
      <c r="J5057" s="580">
        <v>0.16</v>
      </c>
      <c r="K5057" s="580">
        <v>3</v>
      </c>
      <c r="L5057" s="102">
        <v>26.52</v>
      </c>
      <c r="M5057" s="102">
        <v>4.37</v>
      </c>
      <c r="N5057" s="573"/>
      <c r="O5057" s="556"/>
      <c r="P5057" s="573"/>
      <c r="Q5057" s="556"/>
      <c r="R5057" s="582"/>
    </row>
    <row r="5058" ht="23.85" customHeight="1" spans="1:18">
      <c r="A5058" s="556"/>
      <c r="B5058" s="557"/>
      <c r="C5058" s="100" t="s">
        <v>2893</v>
      </c>
      <c r="D5058" s="99" t="s">
        <v>4018</v>
      </c>
      <c r="E5058" s="100" t="s">
        <v>77</v>
      </c>
      <c r="F5058" s="100" t="s">
        <v>4019</v>
      </c>
      <c r="G5058" s="100" t="s">
        <v>2961</v>
      </c>
      <c r="H5058" s="100"/>
      <c r="I5058" s="101" t="s">
        <v>134</v>
      </c>
      <c r="J5058" s="580">
        <v>0.35</v>
      </c>
      <c r="K5058" s="580">
        <v>10</v>
      </c>
      <c r="L5058" s="102">
        <v>36.04</v>
      </c>
      <c r="M5058" s="102">
        <v>13.87</v>
      </c>
      <c r="N5058" s="573"/>
      <c r="O5058" s="556"/>
      <c r="P5058" s="573"/>
      <c r="Q5058" s="556"/>
      <c r="R5058" s="582"/>
    </row>
    <row r="5059" ht="25.5" spans="1:18">
      <c r="A5059" s="556"/>
      <c r="B5059" s="557" t="str">
        <f>C5058</f>
        <v>Insumo</v>
      </c>
      <c r="C5059" s="108"/>
      <c r="D5059" s="108"/>
      <c r="E5059" s="108"/>
      <c r="F5059" s="108"/>
      <c r="G5059" s="108"/>
      <c r="H5059" s="108" t="s">
        <v>2898</v>
      </c>
      <c r="I5059" s="581">
        <v>7.52</v>
      </c>
      <c r="J5059" s="108" t="s">
        <v>2899</v>
      </c>
      <c r="K5059" s="581">
        <v>0</v>
      </c>
      <c r="L5059" s="108" t="s">
        <v>2900</v>
      </c>
      <c r="M5059" s="581">
        <v>7.52</v>
      </c>
      <c r="N5059" s="573">
        <v>14.57</v>
      </c>
      <c r="O5059" s="556" t="str">
        <f>IF(N5059=M5059,"OK","DIF")</f>
        <v>DIF</v>
      </c>
      <c r="P5059" s="573"/>
      <c r="Q5059" s="556"/>
      <c r="R5059" s="582"/>
    </row>
    <row r="5060" ht="26.25" spans="1:18">
      <c r="A5060" s="556" t="str">
        <f>B5060</f>
        <v>Insumo</v>
      </c>
      <c r="B5060" s="557" t="str">
        <f>B5059</f>
        <v>Insumo</v>
      </c>
      <c r="C5060" s="108"/>
      <c r="D5060" s="108"/>
      <c r="E5060" s="108"/>
      <c r="F5060" s="108"/>
      <c r="G5060" s="108"/>
      <c r="H5060" s="108" t="s">
        <v>2901</v>
      </c>
      <c r="I5060" s="581">
        <v>5.45</v>
      </c>
      <c r="J5060" s="114"/>
      <c r="K5060" s="114" t="s">
        <v>2902</v>
      </c>
      <c r="L5060" s="108"/>
      <c r="M5060" s="581">
        <v>26.84</v>
      </c>
      <c r="N5060" s="573">
        <v>5.58</v>
      </c>
      <c r="O5060" s="556" t="str">
        <f>IF(N5060=M5060,"OK","DIF")</f>
        <v>DIF</v>
      </c>
      <c r="P5060" s="573"/>
      <c r="Q5060" s="556"/>
      <c r="R5060" s="582"/>
    </row>
    <row r="5061" ht="15" spans="1:18">
      <c r="A5061" s="556" t="str">
        <f>B5061</f>
        <v>Insumo</v>
      </c>
      <c r="B5061" s="557" t="str">
        <f>B5060</f>
        <v>Insumo</v>
      </c>
      <c r="C5061" s="571"/>
      <c r="D5061" s="571"/>
      <c r="E5061" s="571"/>
      <c r="F5061" s="571"/>
      <c r="G5061" s="571"/>
      <c r="H5061" s="571"/>
      <c r="I5061" s="571"/>
      <c r="J5061" s="571"/>
      <c r="K5061" s="571"/>
      <c r="L5061" s="571"/>
      <c r="M5061" s="571"/>
      <c r="N5061" s="573">
        <v>8.99</v>
      </c>
      <c r="O5061" s="556" t="str">
        <f>IF(N5061=M5061,"OK","DIF")</f>
        <v>DIF</v>
      </c>
      <c r="P5061" s="573"/>
      <c r="Q5061" s="556"/>
      <c r="R5061" s="582"/>
    </row>
    <row r="5062" ht="15" customHeight="1" spans="1:18">
      <c r="A5062" s="556"/>
      <c r="B5062" s="557"/>
      <c r="C5062" s="76" t="s">
        <v>1735</v>
      </c>
      <c r="D5062" s="75" t="s">
        <v>63</v>
      </c>
      <c r="E5062" s="76" t="s">
        <v>64</v>
      </c>
      <c r="F5062" s="76" t="s">
        <v>65</v>
      </c>
      <c r="G5062" s="76" t="s">
        <v>2889</v>
      </c>
      <c r="H5062" s="76"/>
      <c r="I5062" s="77" t="s">
        <v>66</v>
      </c>
      <c r="J5062" s="75" t="s">
        <v>67</v>
      </c>
      <c r="K5062" s="75" t="s">
        <v>2890</v>
      </c>
      <c r="L5062" s="75" t="s">
        <v>68</v>
      </c>
      <c r="M5062" s="75" t="s">
        <v>70</v>
      </c>
      <c r="N5062" s="573"/>
      <c r="O5062" s="556"/>
      <c r="P5062" s="573"/>
      <c r="Q5062" s="556"/>
      <c r="R5062" s="582"/>
    </row>
    <row r="5063" ht="35.05" customHeight="1" spans="1:18">
      <c r="A5063" s="556"/>
      <c r="B5063" s="557"/>
      <c r="C5063" s="569" t="s">
        <v>2891</v>
      </c>
      <c r="D5063" s="570" t="s">
        <v>1736</v>
      </c>
      <c r="E5063" s="569" t="s">
        <v>139</v>
      </c>
      <c r="F5063" s="569" t="s">
        <v>1737</v>
      </c>
      <c r="G5063" s="569" t="s">
        <v>3235</v>
      </c>
      <c r="H5063" s="569"/>
      <c r="I5063" s="577" t="s">
        <v>134</v>
      </c>
      <c r="J5063" s="578">
        <v>1</v>
      </c>
      <c r="K5063" s="579"/>
      <c r="L5063" s="579">
        <v>52.68</v>
      </c>
      <c r="M5063" s="579">
        <v>52.68</v>
      </c>
      <c r="N5063" s="573"/>
      <c r="O5063" s="556"/>
      <c r="P5063" s="573"/>
      <c r="Q5063" s="556"/>
      <c r="R5063" s="582"/>
    </row>
    <row r="5064" ht="23.85" customHeight="1" spans="1:18">
      <c r="A5064" s="556"/>
      <c r="B5064" s="557" t="str">
        <f>C5063</f>
        <v>Composição</v>
      </c>
      <c r="C5064" s="79" t="s">
        <v>2921</v>
      </c>
      <c r="D5064" s="78" t="s">
        <v>3151</v>
      </c>
      <c r="E5064" s="79" t="s">
        <v>139</v>
      </c>
      <c r="F5064" s="79" t="s">
        <v>3152</v>
      </c>
      <c r="G5064" s="79" t="s">
        <v>2928</v>
      </c>
      <c r="H5064" s="79"/>
      <c r="I5064" s="80" t="s">
        <v>2897</v>
      </c>
      <c r="J5064" s="583">
        <v>0.4578</v>
      </c>
      <c r="K5064" s="583">
        <v>0</v>
      </c>
      <c r="L5064" s="92">
        <v>36.82</v>
      </c>
      <c r="M5064" s="92">
        <v>16.85</v>
      </c>
      <c r="N5064" s="573">
        <v>30.72</v>
      </c>
      <c r="O5064" s="556" t="str">
        <f>IF(N5064=M5064,"OK","DIF")</f>
        <v>DIF</v>
      </c>
      <c r="P5064" s="573"/>
      <c r="Q5064" s="556"/>
      <c r="R5064" s="582"/>
    </row>
    <row r="5065" ht="23.85" customHeight="1" spans="1:18">
      <c r="A5065" s="556" t="str">
        <f>B5065</f>
        <v>Composição</v>
      </c>
      <c r="B5065" s="557" t="str">
        <f>B5064</f>
        <v>Composição</v>
      </c>
      <c r="C5065" s="79" t="s">
        <v>2921</v>
      </c>
      <c r="D5065" s="78" t="s">
        <v>3153</v>
      </c>
      <c r="E5065" s="79" t="s">
        <v>139</v>
      </c>
      <c r="F5065" s="79" t="s">
        <v>3154</v>
      </c>
      <c r="G5065" s="79" t="s">
        <v>2928</v>
      </c>
      <c r="H5065" s="79"/>
      <c r="I5065" s="80" t="s">
        <v>2897</v>
      </c>
      <c r="J5065" s="583">
        <v>0.4578</v>
      </c>
      <c r="K5065" s="583">
        <v>0</v>
      </c>
      <c r="L5065" s="92">
        <v>30.6</v>
      </c>
      <c r="M5065" s="92">
        <v>14</v>
      </c>
      <c r="N5065" s="573">
        <v>11.77</v>
      </c>
      <c r="O5065" s="556" t="str">
        <f>IF(N5065=M5065,"OK","DIF")</f>
        <v>DIF</v>
      </c>
      <c r="P5065" s="573"/>
      <c r="Q5065" s="556"/>
      <c r="R5065" s="582"/>
    </row>
    <row r="5066" ht="23.85" customHeight="1" spans="1:18">
      <c r="A5066" s="556" t="str">
        <f>B5066</f>
        <v>Composição</v>
      </c>
      <c r="B5066" s="557" t="str">
        <f>B5065</f>
        <v>Composição</v>
      </c>
      <c r="C5066" s="100" t="s">
        <v>2893</v>
      </c>
      <c r="D5066" s="99" t="s">
        <v>4038</v>
      </c>
      <c r="E5066" s="100" t="s">
        <v>139</v>
      </c>
      <c r="F5066" s="100" t="s">
        <v>4039</v>
      </c>
      <c r="G5066" s="100" t="s">
        <v>2961</v>
      </c>
      <c r="H5066" s="100"/>
      <c r="I5066" s="101" t="s">
        <v>134</v>
      </c>
      <c r="J5066" s="580">
        <v>2</v>
      </c>
      <c r="K5066" s="580">
        <v>0</v>
      </c>
      <c r="L5066" s="102">
        <v>0.26</v>
      </c>
      <c r="M5066" s="102">
        <v>0.52</v>
      </c>
      <c r="N5066" s="573">
        <v>18.95</v>
      </c>
      <c r="O5066" s="556" t="str">
        <f>IF(N5066=M5066,"OK","DIF")</f>
        <v>DIF</v>
      </c>
      <c r="P5066" s="573"/>
      <c r="Q5066" s="556"/>
      <c r="R5066" s="582"/>
    </row>
    <row r="5067" ht="23.85" customHeight="1" spans="1:18">
      <c r="A5067" s="556"/>
      <c r="B5067" s="557"/>
      <c r="C5067" s="100" t="s">
        <v>2893</v>
      </c>
      <c r="D5067" s="99" t="s">
        <v>4507</v>
      </c>
      <c r="E5067" s="100" t="s">
        <v>139</v>
      </c>
      <c r="F5067" s="100" t="s">
        <v>4508</v>
      </c>
      <c r="G5067" s="100" t="s">
        <v>2961</v>
      </c>
      <c r="H5067" s="100"/>
      <c r="I5067" s="101" t="s">
        <v>134</v>
      </c>
      <c r="J5067" s="580">
        <v>1</v>
      </c>
      <c r="K5067" s="580">
        <v>0</v>
      </c>
      <c r="L5067" s="102">
        <v>21.31</v>
      </c>
      <c r="M5067" s="102">
        <v>21.31</v>
      </c>
      <c r="N5067" s="573"/>
      <c r="O5067" s="556"/>
      <c r="P5067" s="573"/>
      <c r="Q5067" s="556"/>
      <c r="R5067" s="582"/>
    </row>
    <row r="5068" ht="25.5" spans="1:18">
      <c r="A5068" s="556"/>
      <c r="B5068" s="557"/>
      <c r="C5068" s="108"/>
      <c r="D5068" s="108"/>
      <c r="E5068" s="108"/>
      <c r="F5068" s="108"/>
      <c r="G5068" s="108"/>
      <c r="H5068" s="108" t="s">
        <v>2898</v>
      </c>
      <c r="I5068" s="581">
        <v>21.65</v>
      </c>
      <c r="J5068" s="108" t="s">
        <v>2899</v>
      </c>
      <c r="K5068" s="581">
        <v>0</v>
      </c>
      <c r="L5068" s="108" t="s">
        <v>2900</v>
      </c>
      <c r="M5068" s="581">
        <v>21.65</v>
      </c>
      <c r="N5068" s="573"/>
      <c r="O5068" s="556"/>
      <c r="P5068" s="573"/>
      <c r="Q5068" s="556"/>
      <c r="R5068" s="582"/>
    </row>
    <row r="5069" ht="26.25" spans="1:18">
      <c r="A5069" s="556"/>
      <c r="B5069" s="557">
        <f>C5068</f>
        <v>0</v>
      </c>
      <c r="C5069" s="108"/>
      <c r="D5069" s="108"/>
      <c r="E5069" s="108"/>
      <c r="F5069" s="108"/>
      <c r="G5069" s="108"/>
      <c r="H5069" s="108" t="s">
        <v>2901</v>
      </c>
      <c r="I5069" s="581">
        <v>13.42</v>
      </c>
      <c r="J5069" s="114"/>
      <c r="K5069" s="114" t="s">
        <v>2902</v>
      </c>
      <c r="L5069" s="108"/>
      <c r="M5069" s="581">
        <v>66.1</v>
      </c>
      <c r="N5069" s="573">
        <v>41.02</v>
      </c>
      <c r="O5069" s="556" t="str">
        <f>IF(N5069=M5069,"OK","DIF")</f>
        <v>DIF</v>
      </c>
      <c r="P5069" s="573"/>
      <c r="Q5069" s="556"/>
      <c r="R5069" s="582"/>
    </row>
    <row r="5070" ht="15" spans="1:18">
      <c r="A5070" s="556">
        <f>B5070</f>
        <v>0</v>
      </c>
      <c r="B5070" s="557">
        <f>B5069</f>
        <v>0</v>
      </c>
      <c r="C5070" s="571"/>
      <c r="D5070" s="571"/>
      <c r="E5070" s="571"/>
      <c r="F5070" s="571"/>
      <c r="G5070" s="571"/>
      <c r="H5070" s="571"/>
      <c r="I5070" s="571"/>
      <c r="J5070" s="571"/>
      <c r="K5070" s="571"/>
      <c r="L5070" s="571"/>
      <c r="M5070" s="571"/>
      <c r="N5070" s="573">
        <v>25.31</v>
      </c>
      <c r="O5070" s="556" t="str">
        <f>IF(N5070=M5070,"OK","DIF")</f>
        <v>DIF</v>
      </c>
      <c r="P5070" s="573"/>
      <c r="Q5070" s="556"/>
      <c r="R5070" s="582"/>
    </row>
    <row r="5071" ht="15" customHeight="1" spans="1:18">
      <c r="A5071" s="556">
        <f>B5071</f>
        <v>0</v>
      </c>
      <c r="B5071" s="557">
        <f>B5070</f>
        <v>0</v>
      </c>
      <c r="C5071" s="76" t="s">
        <v>1738</v>
      </c>
      <c r="D5071" s="75" t="s">
        <v>63</v>
      </c>
      <c r="E5071" s="76" t="s">
        <v>64</v>
      </c>
      <c r="F5071" s="76" t="s">
        <v>65</v>
      </c>
      <c r="G5071" s="76" t="s">
        <v>2889</v>
      </c>
      <c r="H5071" s="76"/>
      <c r="I5071" s="77" t="s">
        <v>66</v>
      </c>
      <c r="J5071" s="75" t="s">
        <v>67</v>
      </c>
      <c r="K5071" s="75" t="s">
        <v>2890</v>
      </c>
      <c r="L5071" s="75" t="s">
        <v>68</v>
      </c>
      <c r="M5071" s="75" t="s">
        <v>70</v>
      </c>
      <c r="N5071" s="573">
        <v>15.71</v>
      </c>
      <c r="O5071" s="556" t="str">
        <f>IF(N5071=M5071,"OK","DIF")</f>
        <v>DIF</v>
      </c>
      <c r="P5071" s="573"/>
      <c r="Q5071" s="556"/>
      <c r="R5071" s="582"/>
    </row>
    <row r="5072" ht="35.05" customHeight="1" spans="1:18">
      <c r="A5072" s="556"/>
      <c r="B5072" s="557"/>
      <c r="C5072" s="569" t="s">
        <v>2891</v>
      </c>
      <c r="D5072" s="570" t="s">
        <v>1107</v>
      </c>
      <c r="E5072" s="569" t="s">
        <v>139</v>
      </c>
      <c r="F5072" s="569" t="s">
        <v>1108</v>
      </c>
      <c r="G5072" s="569" t="s">
        <v>3235</v>
      </c>
      <c r="H5072" s="569"/>
      <c r="I5072" s="577" t="s">
        <v>134</v>
      </c>
      <c r="J5072" s="578">
        <v>1</v>
      </c>
      <c r="K5072" s="579"/>
      <c r="L5072" s="579">
        <v>44.86</v>
      </c>
      <c r="M5072" s="579">
        <v>44.86</v>
      </c>
      <c r="N5072" s="573"/>
      <c r="O5072" s="556"/>
      <c r="P5072" s="573"/>
      <c r="Q5072" s="556"/>
      <c r="R5072" s="582"/>
    </row>
    <row r="5073" ht="23.85" customHeight="1" spans="1:18">
      <c r="A5073" s="556"/>
      <c r="B5073" s="557"/>
      <c r="C5073" s="79" t="s">
        <v>2921</v>
      </c>
      <c r="D5073" s="78" t="s">
        <v>3151</v>
      </c>
      <c r="E5073" s="79" t="s">
        <v>139</v>
      </c>
      <c r="F5073" s="79" t="s">
        <v>3152</v>
      </c>
      <c r="G5073" s="79" t="s">
        <v>2928</v>
      </c>
      <c r="H5073" s="79"/>
      <c r="I5073" s="80" t="s">
        <v>2897</v>
      </c>
      <c r="J5073" s="583">
        <v>0.3902</v>
      </c>
      <c r="K5073" s="583">
        <v>0</v>
      </c>
      <c r="L5073" s="92">
        <v>36.82</v>
      </c>
      <c r="M5073" s="92">
        <v>14.36</v>
      </c>
      <c r="N5073" s="573"/>
      <c r="O5073" s="556"/>
      <c r="P5073" s="573"/>
      <c r="Q5073" s="556"/>
      <c r="R5073" s="582"/>
    </row>
    <row r="5074" ht="23.85" customHeight="1" spans="1:18">
      <c r="A5074" s="556"/>
      <c r="B5074" s="557" t="str">
        <f>C5073</f>
        <v>Composição Auxiliar</v>
      </c>
      <c r="C5074" s="79" t="s">
        <v>2921</v>
      </c>
      <c r="D5074" s="78" t="s">
        <v>3153</v>
      </c>
      <c r="E5074" s="79" t="s">
        <v>139</v>
      </c>
      <c r="F5074" s="79" t="s">
        <v>3154</v>
      </c>
      <c r="G5074" s="79" t="s">
        <v>2928</v>
      </c>
      <c r="H5074" s="79"/>
      <c r="I5074" s="80" t="s">
        <v>2897</v>
      </c>
      <c r="J5074" s="583">
        <v>0.3902</v>
      </c>
      <c r="K5074" s="583">
        <v>0</v>
      </c>
      <c r="L5074" s="92">
        <v>30.6</v>
      </c>
      <c r="M5074" s="92">
        <v>11.94</v>
      </c>
      <c r="N5074" s="573">
        <v>333.77</v>
      </c>
      <c r="O5074" s="556" t="str">
        <f>IF(N5074=M5074,"OK","DIF")</f>
        <v>DIF</v>
      </c>
      <c r="P5074" s="573"/>
      <c r="Q5074" s="556"/>
      <c r="R5074" s="582"/>
    </row>
    <row r="5075" ht="23.85" customHeight="1" spans="1:18">
      <c r="A5075" s="556" t="str">
        <f>B5075</f>
        <v>Composição Auxiliar</v>
      </c>
      <c r="B5075" s="557" t="str">
        <f>B5074</f>
        <v>Composição Auxiliar</v>
      </c>
      <c r="C5075" s="100" t="s">
        <v>2893</v>
      </c>
      <c r="D5075" s="99" t="s">
        <v>4046</v>
      </c>
      <c r="E5075" s="100" t="s">
        <v>139</v>
      </c>
      <c r="F5075" s="100" t="s">
        <v>4047</v>
      </c>
      <c r="G5075" s="100" t="s">
        <v>2961</v>
      </c>
      <c r="H5075" s="100"/>
      <c r="I5075" s="101" t="s">
        <v>134</v>
      </c>
      <c r="J5075" s="580">
        <v>1</v>
      </c>
      <c r="K5075" s="580">
        <v>0</v>
      </c>
      <c r="L5075" s="102">
        <v>18.04</v>
      </c>
      <c r="M5075" s="102">
        <v>18.04</v>
      </c>
      <c r="N5075" s="573">
        <v>35.86</v>
      </c>
      <c r="O5075" s="556" t="str">
        <f>IF(N5075=M5075,"OK","DIF")</f>
        <v>DIF</v>
      </c>
      <c r="P5075" s="573"/>
      <c r="Q5075" s="556"/>
      <c r="R5075" s="582"/>
    </row>
    <row r="5076" ht="23.85" customHeight="1" spans="1:18">
      <c r="A5076" s="556" t="str">
        <f>B5076</f>
        <v>Composição Auxiliar</v>
      </c>
      <c r="B5076" s="557" t="str">
        <f>B5075</f>
        <v>Composição Auxiliar</v>
      </c>
      <c r="C5076" s="100" t="s">
        <v>2893</v>
      </c>
      <c r="D5076" s="99" t="s">
        <v>4038</v>
      </c>
      <c r="E5076" s="100" t="s">
        <v>139</v>
      </c>
      <c r="F5076" s="100" t="s">
        <v>4039</v>
      </c>
      <c r="G5076" s="100" t="s">
        <v>2961</v>
      </c>
      <c r="H5076" s="100"/>
      <c r="I5076" s="101" t="s">
        <v>134</v>
      </c>
      <c r="J5076" s="580">
        <v>2</v>
      </c>
      <c r="K5076" s="580">
        <v>0</v>
      </c>
      <c r="L5076" s="102">
        <v>0.26</v>
      </c>
      <c r="M5076" s="102">
        <v>0.52</v>
      </c>
      <c r="N5076" s="573">
        <v>32.36</v>
      </c>
      <c r="O5076" s="556" t="str">
        <f>IF(N5076=M5076,"OK","DIF")</f>
        <v>DIF</v>
      </c>
      <c r="P5076" s="573"/>
      <c r="Q5076" s="556"/>
      <c r="R5076" s="582"/>
    </row>
    <row r="5077" ht="25.5" spans="1:18">
      <c r="A5077" s="556" t="str">
        <f>B5077</f>
        <v>Composição Auxiliar</v>
      </c>
      <c r="B5077" s="557" t="str">
        <f>B5076</f>
        <v>Composição Auxiliar</v>
      </c>
      <c r="C5077" s="108"/>
      <c r="D5077" s="108"/>
      <c r="E5077" s="108"/>
      <c r="F5077" s="108"/>
      <c r="G5077" s="108"/>
      <c r="H5077" s="108" t="s">
        <v>2898</v>
      </c>
      <c r="I5077" s="581">
        <v>18.45</v>
      </c>
      <c r="J5077" s="108" t="s">
        <v>2899</v>
      </c>
      <c r="K5077" s="581">
        <v>0</v>
      </c>
      <c r="L5077" s="108" t="s">
        <v>2900</v>
      </c>
      <c r="M5077" s="581">
        <v>18.45</v>
      </c>
      <c r="N5077" s="573">
        <v>265.55</v>
      </c>
      <c r="O5077" s="556" t="str">
        <f>IF(N5077=M5077,"OK","DIF")</f>
        <v>DIF</v>
      </c>
      <c r="P5077" s="573"/>
      <c r="Q5077" s="556"/>
      <c r="R5077" s="582"/>
    </row>
    <row r="5078" ht="26.25" spans="1:18">
      <c r="A5078" s="556"/>
      <c r="B5078" s="557"/>
      <c r="C5078" s="108"/>
      <c r="D5078" s="108"/>
      <c r="E5078" s="108"/>
      <c r="F5078" s="108"/>
      <c r="G5078" s="108"/>
      <c r="H5078" s="108" t="s">
        <v>2901</v>
      </c>
      <c r="I5078" s="581">
        <v>11.43</v>
      </c>
      <c r="J5078" s="114"/>
      <c r="K5078" s="114" t="s">
        <v>2902</v>
      </c>
      <c r="L5078" s="108"/>
      <c r="M5078" s="581">
        <v>56.29</v>
      </c>
      <c r="N5078" s="573"/>
      <c r="O5078" s="556"/>
      <c r="P5078" s="573"/>
      <c r="Q5078" s="556"/>
      <c r="R5078" s="582"/>
    </row>
    <row r="5079" ht="15" spans="1:18">
      <c r="A5079" s="556"/>
      <c r="B5079" s="557"/>
      <c r="C5079" s="571"/>
      <c r="D5079" s="571"/>
      <c r="E5079" s="571"/>
      <c r="F5079" s="571"/>
      <c r="G5079" s="571"/>
      <c r="H5079" s="571"/>
      <c r="I5079" s="571"/>
      <c r="J5079" s="571"/>
      <c r="K5079" s="571"/>
      <c r="L5079" s="571"/>
      <c r="M5079" s="571"/>
      <c r="N5079" s="573"/>
      <c r="O5079" s="556"/>
      <c r="P5079" s="573"/>
      <c r="Q5079" s="556"/>
      <c r="R5079" s="582"/>
    </row>
    <row r="5080" ht="15" customHeight="1" spans="1:18">
      <c r="A5080" s="556"/>
      <c r="B5080" s="557">
        <f>C5079</f>
        <v>0</v>
      </c>
      <c r="C5080" s="76" t="s">
        <v>1739</v>
      </c>
      <c r="D5080" s="75" t="s">
        <v>63</v>
      </c>
      <c r="E5080" s="76" t="s">
        <v>64</v>
      </c>
      <c r="F5080" s="76" t="s">
        <v>65</v>
      </c>
      <c r="G5080" s="76" t="s">
        <v>2889</v>
      </c>
      <c r="H5080" s="76"/>
      <c r="I5080" s="77" t="s">
        <v>66</v>
      </c>
      <c r="J5080" s="75" t="s">
        <v>67</v>
      </c>
      <c r="K5080" s="75" t="s">
        <v>2890</v>
      </c>
      <c r="L5080" s="75" t="s">
        <v>68</v>
      </c>
      <c r="M5080" s="75" t="s">
        <v>70</v>
      </c>
      <c r="N5080" s="573">
        <v>235.4</v>
      </c>
      <c r="O5080" s="556" t="str">
        <f>IF(N5080=M5080,"OK","DIF")</f>
        <v>DIF</v>
      </c>
      <c r="P5080" s="573"/>
      <c r="Q5080" s="556"/>
      <c r="R5080" s="582"/>
    </row>
    <row r="5081" ht="35.05" customHeight="1" spans="1:18">
      <c r="A5081" s="556">
        <f>B5081</f>
        <v>0</v>
      </c>
      <c r="B5081" s="557">
        <f>B5080</f>
        <v>0</v>
      </c>
      <c r="C5081" s="569" t="s">
        <v>2891</v>
      </c>
      <c r="D5081" s="570" t="s">
        <v>1122</v>
      </c>
      <c r="E5081" s="569" t="s">
        <v>132</v>
      </c>
      <c r="F5081" s="569" t="s">
        <v>1123</v>
      </c>
      <c r="G5081" s="569" t="s">
        <v>3177</v>
      </c>
      <c r="H5081" s="569"/>
      <c r="I5081" s="577" t="s">
        <v>134</v>
      </c>
      <c r="J5081" s="578">
        <v>1</v>
      </c>
      <c r="K5081" s="579"/>
      <c r="L5081" s="579">
        <v>11.59</v>
      </c>
      <c r="M5081" s="579">
        <v>11.59</v>
      </c>
      <c r="N5081" s="573">
        <v>8.99</v>
      </c>
      <c r="O5081" s="556" t="str">
        <f>IF(N5081=M5081,"OK","DIF")</f>
        <v>DIF</v>
      </c>
      <c r="P5081" s="573"/>
      <c r="Q5081" s="556"/>
      <c r="R5081" s="582"/>
    </row>
    <row r="5082" ht="23.85" customHeight="1" spans="1:18">
      <c r="A5082" s="556">
        <f>B5082</f>
        <v>0</v>
      </c>
      <c r="B5082" s="557">
        <f>B5081</f>
        <v>0</v>
      </c>
      <c r="C5082" s="79" t="s">
        <v>2921</v>
      </c>
      <c r="D5082" s="78" t="s">
        <v>3151</v>
      </c>
      <c r="E5082" s="79" t="s">
        <v>139</v>
      </c>
      <c r="F5082" s="79" t="s">
        <v>3152</v>
      </c>
      <c r="G5082" s="79" t="s">
        <v>2928</v>
      </c>
      <c r="H5082" s="79"/>
      <c r="I5082" s="80" t="s">
        <v>2897</v>
      </c>
      <c r="J5082" s="583">
        <v>0.1946</v>
      </c>
      <c r="K5082" s="583">
        <v>0</v>
      </c>
      <c r="L5082" s="92">
        <v>36.82</v>
      </c>
      <c r="M5082" s="92">
        <v>7.16</v>
      </c>
      <c r="N5082" s="573">
        <v>5.58</v>
      </c>
      <c r="O5082" s="556" t="str">
        <f>IF(N5082=M5082,"OK","DIF")</f>
        <v>DIF</v>
      </c>
      <c r="P5082" s="573"/>
      <c r="Q5082" s="556"/>
      <c r="R5082" s="582"/>
    </row>
    <row r="5083" ht="23.85" customHeight="1" spans="1:18">
      <c r="A5083" s="556">
        <f>B5083</f>
        <v>0</v>
      </c>
      <c r="B5083" s="557">
        <f>B5082</f>
        <v>0</v>
      </c>
      <c r="C5083" s="79" t="s">
        <v>2921</v>
      </c>
      <c r="D5083" s="78" t="s">
        <v>3153</v>
      </c>
      <c r="E5083" s="79" t="s">
        <v>139</v>
      </c>
      <c r="F5083" s="79" t="s">
        <v>3154</v>
      </c>
      <c r="G5083" s="79" t="s">
        <v>2928</v>
      </c>
      <c r="H5083" s="79"/>
      <c r="I5083" s="80" t="s">
        <v>2897</v>
      </c>
      <c r="J5083" s="583">
        <v>0.0442</v>
      </c>
      <c r="K5083" s="583">
        <v>0</v>
      </c>
      <c r="L5083" s="92">
        <v>30.6</v>
      </c>
      <c r="M5083" s="92">
        <v>1.35</v>
      </c>
      <c r="N5083" s="573">
        <v>220.83</v>
      </c>
      <c r="O5083" s="556" t="str">
        <f>IF(N5083=M5083,"OK","DIF")</f>
        <v>DIF</v>
      </c>
      <c r="P5083" s="573"/>
      <c r="Q5083" s="556"/>
      <c r="R5083" s="582"/>
    </row>
    <row r="5084" ht="23.85" customHeight="1" spans="1:18">
      <c r="A5084" s="556"/>
      <c r="B5084" s="557"/>
      <c r="C5084" s="100" t="s">
        <v>2893</v>
      </c>
      <c r="D5084" s="99" t="s">
        <v>4056</v>
      </c>
      <c r="E5084" s="100" t="s">
        <v>139</v>
      </c>
      <c r="F5084" s="100" t="s">
        <v>4057</v>
      </c>
      <c r="G5084" s="100" t="s">
        <v>2961</v>
      </c>
      <c r="H5084" s="100"/>
      <c r="I5084" s="101" t="s">
        <v>134</v>
      </c>
      <c r="J5084" s="580">
        <v>1.25</v>
      </c>
      <c r="K5084" s="580">
        <v>0</v>
      </c>
      <c r="L5084" s="102">
        <v>2.47</v>
      </c>
      <c r="M5084" s="102">
        <v>3.08</v>
      </c>
      <c r="N5084" s="573"/>
      <c r="O5084" s="556"/>
      <c r="P5084" s="573"/>
      <c r="Q5084" s="556"/>
      <c r="R5084" s="582"/>
    </row>
    <row r="5085" ht="25.5" spans="1:18">
      <c r="A5085" s="556"/>
      <c r="B5085" s="557"/>
      <c r="C5085" s="108"/>
      <c r="D5085" s="108"/>
      <c r="E5085" s="108"/>
      <c r="F5085" s="108"/>
      <c r="G5085" s="108"/>
      <c r="H5085" s="108" t="s">
        <v>2898</v>
      </c>
      <c r="I5085" s="581">
        <v>6.1</v>
      </c>
      <c r="J5085" s="108" t="s">
        <v>2899</v>
      </c>
      <c r="K5085" s="581">
        <v>0</v>
      </c>
      <c r="L5085" s="108" t="s">
        <v>2900</v>
      </c>
      <c r="M5085" s="581">
        <v>6.1</v>
      </c>
      <c r="N5085" s="573"/>
      <c r="O5085" s="556"/>
      <c r="P5085" s="573"/>
      <c r="Q5085" s="556"/>
      <c r="R5085" s="582"/>
    </row>
    <row r="5086" ht="26.25" spans="1:18">
      <c r="A5086" s="556"/>
      <c r="B5086" s="557">
        <f>C5085</f>
        <v>0</v>
      </c>
      <c r="C5086" s="108"/>
      <c r="D5086" s="108"/>
      <c r="E5086" s="108"/>
      <c r="F5086" s="108"/>
      <c r="G5086" s="108"/>
      <c r="H5086" s="108" t="s">
        <v>2901</v>
      </c>
      <c r="I5086" s="581">
        <v>2.95</v>
      </c>
      <c r="J5086" s="114"/>
      <c r="K5086" s="114" t="s">
        <v>2902</v>
      </c>
      <c r="L5086" s="108"/>
      <c r="M5086" s="581">
        <v>14.54</v>
      </c>
      <c r="N5086" s="573">
        <v>230.48</v>
      </c>
      <c r="O5086" s="556" t="str">
        <f>IF(N5086=M5086,"OK","DIF")</f>
        <v>DIF</v>
      </c>
      <c r="P5086" s="573"/>
      <c r="Q5086" s="556"/>
      <c r="R5086" s="582"/>
    </row>
    <row r="5087" ht="15" spans="1:18">
      <c r="A5087" s="556">
        <f>B5087</f>
        <v>0</v>
      </c>
      <c r="B5087" s="557">
        <f>B5086</f>
        <v>0</v>
      </c>
      <c r="C5087" s="571"/>
      <c r="D5087" s="571"/>
      <c r="E5087" s="571"/>
      <c r="F5087" s="571"/>
      <c r="G5087" s="571"/>
      <c r="H5087" s="571"/>
      <c r="I5087" s="571"/>
      <c r="J5087" s="571"/>
      <c r="K5087" s="571"/>
      <c r="L5087" s="571"/>
      <c r="M5087" s="571"/>
      <c r="N5087" s="573">
        <v>3.88</v>
      </c>
      <c r="O5087" s="556" t="str">
        <f>IF(N5087=M5087,"OK","DIF")</f>
        <v>DIF</v>
      </c>
      <c r="P5087" s="573"/>
      <c r="Q5087" s="556"/>
      <c r="R5087" s="582"/>
    </row>
    <row r="5088" ht="15" customHeight="1" spans="1:18">
      <c r="A5088" s="556">
        <f>B5088</f>
        <v>0</v>
      </c>
      <c r="B5088" s="557">
        <f>B5087</f>
        <v>0</v>
      </c>
      <c r="C5088" s="76" t="s">
        <v>1740</v>
      </c>
      <c r="D5088" s="75" t="s">
        <v>63</v>
      </c>
      <c r="E5088" s="76" t="s">
        <v>64</v>
      </c>
      <c r="F5088" s="76" t="s">
        <v>65</v>
      </c>
      <c r="G5088" s="76" t="s">
        <v>2889</v>
      </c>
      <c r="H5088" s="76"/>
      <c r="I5088" s="77" t="s">
        <v>66</v>
      </c>
      <c r="J5088" s="75" t="s">
        <v>67</v>
      </c>
      <c r="K5088" s="75" t="s">
        <v>2890</v>
      </c>
      <c r="L5088" s="75" t="s">
        <v>68</v>
      </c>
      <c r="M5088" s="75" t="s">
        <v>70</v>
      </c>
      <c r="N5088" s="573">
        <v>220.83</v>
      </c>
      <c r="O5088" s="556" t="str">
        <f>IF(N5088=M5088,"OK","DIF")</f>
        <v>DIF</v>
      </c>
      <c r="P5088" s="573"/>
      <c r="Q5088" s="556"/>
      <c r="R5088" s="582"/>
    </row>
    <row r="5089" ht="35.05" customHeight="1" spans="1:18">
      <c r="A5089" s="556">
        <f>B5089</f>
        <v>0</v>
      </c>
      <c r="B5089" s="557">
        <f>B5088</f>
        <v>0</v>
      </c>
      <c r="C5089" s="569" t="s">
        <v>2891</v>
      </c>
      <c r="D5089" s="570" t="s">
        <v>859</v>
      </c>
      <c r="E5089" s="569" t="s">
        <v>132</v>
      </c>
      <c r="F5089" s="569" t="s">
        <v>860</v>
      </c>
      <c r="G5089" s="569" t="s">
        <v>3177</v>
      </c>
      <c r="H5089" s="569"/>
      <c r="I5089" s="577" t="s">
        <v>134</v>
      </c>
      <c r="J5089" s="578">
        <v>1</v>
      </c>
      <c r="K5089" s="579"/>
      <c r="L5089" s="579">
        <v>25.31</v>
      </c>
      <c r="M5089" s="579">
        <v>25.31</v>
      </c>
      <c r="N5089" s="573">
        <v>5.77</v>
      </c>
      <c r="O5089" s="556" t="str">
        <f>IF(N5089=M5089,"OK","DIF")</f>
        <v>DIF</v>
      </c>
      <c r="P5089" s="573"/>
      <c r="Q5089" s="556"/>
      <c r="R5089" s="582"/>
    </row>
    <row r="5090" ht="23.85" customHeight="1" spans="1:18">
      <c r="A5090" s="556"/>
      <c r="B5090" s="557"/>
      <c r="C5090" s="79" t="s">
        <v>2921</v>
      </c>
      <c r="D5090" s="78" t="s">
        <v>3151</v>
      </c>
      <c r="E5090" s="79" t="s">
        <v>139</v>
      </c>
      <c r="F5090" s="79" t="s">
        <v>3152</v>
      </c>
      <c r="G5090" s="79" t="s">
        <v>2928</v>
      </c>
      <c r="H5090" s="79"/>
      <c r="I5090" s="80" t="s">
        <v>2897</v>
      </c>
      <c r="J5090" s="583">
        <v>0.3</v>
      </c>
      <c r="K5090" s="583">
        <v>0</v>
      </c>
      <c r="L5090" s="92">
        <v>36.82</v>
      </c>
      <c r="M5090" s="92">
        <v>11.04</v>
      </c>
      <c r="N5090" s="573"/>
      <c r="O5090" s="556"/>
      <c r="P5090" s="573"/>
      <c r="Q5090" s="556"/>
      <c r="R5090" s="582"/>
    </row>
    <row r="5091" ht="23.85" customHeight="1" spans="1:18">
      <c r="A5091" s="556"/>
      <c r="B5091" s="557"/>
      <c r="C5091" s="79" t="s">
        <v>2921</v>
      </c>
      <c r="D5091" s="78" t="s">
        <v>2952</v>
      </c>
      <c r="E5091" s="79" t="s">
        <v>139</v>
      </c>
      <c r="F5091" s="79" t="s">
        <v>2953</v>
      </c>
      <c r="G5091" s="79" t="s">
        <v>2928</v>
      </c>
      <c r="H5091" s="79"/>
      <c r="I5091" s="80" t="s">
        <v>2897</v>
      </c>
      <c r="J5091" s="583">
        <v>0.3</v>
      </c>
      <c r="K5091" s="583">
        <v>0</v>
      </c>
      <c r="L5091" s="92">
        <v>29.15</v>
      </c>
      <c r="M5091" s="92">
        <v>8.74</v>
      </c>
      <c r="N5091" s="573"/>
      <c r="O5091" s="556"/>
      <c r="P5091" s="573"/>
      <c r="Q5091" s="556"/>
      <c r="R5091" s="582"/>
    </row>
    <row r="5092" ht="15" customHeight="1" spans="1:18">
      <c r="A5092" s="556"/>
      <c r="B5092" s="557" t="str">
        <f>C5091</f>
        <v>Composição Auxiliar</v>
      </c>
      <c r="C5092" s="100" t="s">
        <v>2893</v>
      </c>
      <c r="D5092" s="99" t="s">
        <v>3674</v>
      </c>
      <c r="E5092" s="100" t="s">
        <v>139</v>
      </c>
      <c r="F5092" s="100" t="s">
        <v>3675</v>
      </c>
      <c r="G5092" s="100" t="s">
        <v>2961</v>
      </c>
      <c r="H5092" s="100"/>
      <c r="I5092" s="101" t="s">
        <v>134</v>
      </c>
      <c r="J5092" s="580">
        <v>1</v>
      </c>
      <c r="K5092" s="580">
        <v>0</v>
      </c>
      <c r="L5092" s="102">
        <v>0.4</v>
      </c>
      <c r="M5092" s="102">
        <v>0.4</v>
      </c>
      <c r="N5092" s="573">
        <v>351.96</v>
      </c>
      <c r="O5092" s="556" t="str">
        <f>IF(N5092=M5092,"OK","DIF")</f>
        <v>DIF</v>
      </c>
      <c r="P5092" s="573"/>
      <c r="Q5092" s="556"/>
      <c r="R5092" s="582"/>
    </row>
    <row r="5093" ht="23.85" customHeight="1" spans="1:18">
      <c r="A5093" s="556" t="str">
        <f>B5093</f>
        <v>Composição Auxiliar</v>
      </c>
      <c r="B5093" s="557" t="str">
        <f>B5092</f>
        <v>Composição Auxiliar</v>
      </c>
      <c r="C5093" s="100" t="s">
        <v>2893</v>
      </c>
      <c r="D5093" s="99" t="s">
        <v>3772</v>
      </c>
      <c r="E5093" s="100" t="s">
        <v>139</v>
      </c>
      <c r="F5093" s="100" t="s">
        <v>3773</v>
      </c>
      <c r="G5093" s="100" t="s">
        <v>2961</v>
      </c>
      <c r="H5093" s="100"/>
      <c r="I5093" s="101" t="s">
        <v>134</v>
      </c>
      <c r="J5093" s="580">
        <v>1</v>
      </c>
      <c r="K5093" s="580">
        <v>0</v>
      </c>
      <c r="L5093" s="102">
        <v>1.61</v>
      </c>
      <c r="M5093" s="102">
        <v>1.61</v>
      </c>
      <c r="N5093" s="573">
        <v>12.17</v>
      </c>
      <c r="O5093" s="556" t="str">
        <f>IF(N5093=M5093,"OK","DIF")</f>
        <v>DIF</v>
      </c>
      <c r="P5093" s="573"/>
      <c r="Q5093" s="556"/>
      <c r="R5093" s="582"/>
    </row>
    <row r="5094" ht="15" customHeight="1" spans="1:18">
      <c r="A5094" s="556" t="str">
        <f>B5094</f>
        <v>Composição Auxiliar</v>
      </c>
      <c r="B5094" s="557" t="str">
        <f>B5093</f>
        <v>Composição Auxiliar</v>
      </c>
      <c r="C5094" s="100" t="s">
        <v>2893</v>
      </c>
      <c r="D5094" s="99" t="s">
        <v>3676</v>
      </c>
      <c r="E5094" s="100" t="s">
        <v>139</v>
      </c>
      <c r="F5094" s="100" t="s">
        <v>3677</v>
      </c>
      <c r="G5094" s="100" t="s">
        <v>2961</v>
      </c>
      <c r="H5094" s="100"/>
      <c r="I5094" s="101" t="s">
        <v>204</v>
      </c>
      <c r="J5094" s="580">
        <v>1</v>
      </c>
      <c r="K5094" s="580">
        <v>0</v>
      </c>
      <c r="L5094" s="102">
        <v>3.52</v>
      </c>
      <c r="M5094" s="102">
        <v>3.52</v>
      </c>
      <c r="N5094" s="573">
        <v>8.17</v>
      </c>
      <c r="O5094" s="556" t="str">
        <f>IF(N5094=M5094,"OK","DIF")</f>
        <v>DIF</v>
      </c>
      <c r="P5094" s="573"/>
      <c r="Q5094" s="556"/>
      <c r="R5094" s="582"/>
    </row>
    <row r="5095" ht="25.5" spans="1:18">
      <c r="A5095" s="556" t="str">
        <f>B5095</f>
        <v>Composição Auxiliar</v>
      </c>
      <c r="B5095" s="557" t="str">
        <f>B5094</f>
        <v>Composição Auxiliar</v>
      </c>
      <c r="C5095" s="108"/>
      <c r="D5095" s="108"/>
      <c r="E5095" s="108"/>
      <c r="F5095" s="108"/>
      <c r="G5095" s="108"/>
      <c r="H5095" s="108" t="s">
        <v>2898</v>
      </c>
      <c r="I5095" s="581">
        <v>13.79</v>
      </c>
      <c r="J5095" s="108" t="s">
        <v>2899</v>
      </c>
      <c r="K5095" s="581">
        <v>0</v>
      </c>
      <c r="L5095" s="108" t="s">
        <v>2900</v>
      </c>
      <c r="M5095" s="581">
        <v>13.79</v>
      </c>
      <c r="N5095" s="573">
        <v>331.62</v>
      </c>
      <c r="O5095" s="556" t="str">
        <f>IF(N5095=M5095,"OK","DIF")</f>
        <v>DIF</v>
      </c>
      <c r="P5095" s="573"/>
      <c r="Q5095" s="556"/>
      <c r="R5095" s="582"/>
    </row>
    <row r="5096" ht="26.25" spans="1:18">
      <c r="A5096" s="556"/>
      <c r="B5096" s="557"/>
      <c r="C5096" s="108"/>
      <c r="D5096" s="108"/>
      <c r="E5096" s="108"/>
      <c r="F5096" s="108"/>
      <c r="G5096" s="108"/>
      <c r="H5096" s="108" t="s">
        <v>2901</v>
      </c>
      <c r="I5096" s="581">
        <v>6.45</v>
      </c>
      <c r="J5096" s="114"/>
      <c r="K5096" s="114" t="s">
        <v>2902</v>
      </c>
      <c r="L5096" s="108"/>
      <c r="M5096" s="581">
        <v>31.76</v>
      </c>
      <c r="N5096" s="573"/>
      <c r="O5096" s="556"/>
      <c r="P5096" s="573"/>
      <c r="Q5096" s="556"/>
      <c r="R5096" s="582"/>
    </row>
    <row r="5097" ht="15" spans="1:18">
      <c r="A5097" s="556"/>
      <c r="B5097" s="557"/>
      <c r="C5097" s="571"/>
      <c r="D5097" s="571"/>
      <c r="E5097" s="571"/>
      <c r="F5097" s="571"/>
      <c r="G5097" s="571"/>
      <c r="H5097" s="571"/>
      <c r="I5097" s="571"/>
      <c r="J5097" s="571"/>
      <c r="K5097" s="571"/>
      <c r="L5097" s="571"/>
      <c r="M5097" s="571"/>
      <c r="N5097" s="573"/>
      <c r="O5097" s="556"/>
      <c r="P5097" s="573"/>
      <c r="Q5097" s="556"/>
      <c r="R5097" s="582"/>
    </row>
    <row r="5098" ht="15" customHeight="1" spans="1:18">
      <c r="A5098" s="556"/>
      <c r="B5098" s="557">
        <f>C5097</f>
        <v>0</v>
      </c>
      <c r="C5098" s="76" t="s">
        <v>1742</v>
      </c>
      <c r="D5098" s="75" t="s">
        <v>63</v>
      </c>
      <c r="E5098" s="76" t="s">
        <v>64</v>
      </c>
      <c r="F5098" s="76" t="s">
        <v>65</v>
      </c>
      <c r="G5098" s="76" t="s">
        <v>2889</v>
      </c>
      <c r="H5098" s="76"/>
      <c r="I5098" s="77" t="s">
        <v>66</v>
      </c>
      <c r="J5098" s="75" t="s">
        <v>67</v>
      </c>
      <c r="K5098" s="75" t="s">
        <v>2890</v>
      </c>
      <c r="L5098" s="75" t="s">
        <v>68</v>
      </c>
      <c r="M5098" s="75" t="s">
        <v>70</v>
      </c>
      <c r="N5098" s="573">
        <v>510.96</v>
      </c>
      <c r="O5098" s="556" t="str">
        <f>IF(N5098=M5098,"OK","DIF")</f>
        <v>DIF</v>
      </c>
      <c r="P5098" s="573"/>
      <c r="Q5098" s="556"/>
      <c r="R5098" s="582"/>
    </row>
    <row r="5099" ht="35.05" customHeight="1" spans="1:18">
      <c r="A5099" s="556">
        <f>B5099</f>
        <v>0</v>
      </c>
      <c r="B5099" s="557">
        <f>B5098</f>
        <v>0</v>
      </c>
      <c r="C5099" s="569" t="s">
        <v>2891</v>
      </c>
      <c r="D5099" s="570" t="s">
        <v>865</v>
      </c>
      <c r="E5099" s="569" t="s">
        <v>132</v>
      </c>
      <c r="F5099" s="569" t="s">
        <v>866</v>
      </c>
      <c r="G5099" s="569" t="s">
        <v>3774</v>
      </c>
      <c r="H5099" s="569"/>
      <c r="I5099" s="577" t="s">
        <v>134</v>
      </c>
      <c r="J5099" s="578">
        <v>1</v>
      </c>
      <c r="K5099" s="579"/>
      <c r="L5099" s="579">
        <v>0.12</v>
      </c>
      <c r="M5099" s="579">
        <v>0.12</v>
      </c>
      <c r="N5099" s="573">
        <v>16.25</v>
      </c>
      <c r="O5099" s="556" t="str">
        <f>IF(N5099=M5099,"OK","DIF")</f>
        <v>DIF</v>
      </c>
      <c r="P5099" s="573"/>
      <c r="Q5099" s="556"/>
      <c r="R5099" s="582"/>
    </row>
    <row r="5100" ht="15" customHeight="1" spans="1:18">
      <c r="A5100" s="556">
        <f>B5100</f>
        <v>0</v>
      </c>
      <c r="B5100" s="557">
        <f>B5099</f>
        <v>0</v>
      </c>
      <c r="C5100" s="100" t="s">
        <v>2893</v>
      </c>
      <c r="D5100" s="99" t="s">
        <v>3775</v>
      </c>
      <c r="E5100" s="100" t="s">
        <v>796</v>
      </c>
      <c r="F5100" s="100" t="s">
        <v>3776</v>
      </c>
      <c r="G5100" s="100" t="s">
        <v>2961</v>
      </c>
      <c r="H5100" s="100"/>
      <c r="I5100" s="101" t="s">
        <v>334</v>
      </c>
      <c r="J5100" s="580">
        <v>1</v>
      </c>
      <c r="K5100" s="580">
        <v>0</v>
      </c>
      <c r="L5100" s="102">
        <v>0.12</v>
      </c>
      <c r="M5100" s="102">
        <v>0.12</v>
      </c>
      <c r="N5100" s="573">
        <v>10.91</v>
      </c>
      <c r="O5100" s="556" t="str">
        <f>IF(N5100=M5100,"OK","DIF")</f>
        <v>DIF</v>
      </c>
      <c r="P5100" s="573"/>
      <c r="Q5100" s="556"/>
      <c r="R5100" s="582"/>
    </row>
    <row r="5101" ht="25.5" spans="1:18">
      <c r="A5101" s="556">
        <f>B5101</f>
        <v>0</v>
      </c>
      <c r="B5101" s="557">
        <f>B5100</f>
        <v>0</v>
      </c>
      <c r="C5101" s="108"/>
      <c r="D5101" s="108"/>
      <c r="E5101" s="108"/>
      <c r="F5101" s="108"/>
      <c r="G5101" s="108"/>
      <c r="H5101" s="108" t="s">
        <v>2898</v>
      </c>
      <c r="I5101" s="581">
        <v>0</v>
      </c>
      <c r="J5101" s="108" t="s">
        <v>2899</v>
      </c>
      <c r="K5101" s="581">
        <v>0</v>
      </c>
      <c r="L5101" s="108" t="s">
        <v>2900</v>
      </c>
      <c r="M5101" s="581">
        <v>0</v>
      </c>
      <c r="N5101" s="573">
        <v>483.8</v>
      </c>
      <c r="O5101" s="556" t="str">
        <f>IF(N5101=M5101,"OK","DIF")</f>
        <v>DIF</v>
      </c>
      <c r="P5101" s="573"/>
      <c r="Q5101" s="556"/>
      <c r="R5101" s="582"/>
    </row>
    <row r="5102" ht="26.25" spans="1:18">
      <c r="A5102" s="556"/>
      <c r="B5102" s="557"/>
      <c r="C5102" s="108"/>
      <c r="D5102" s="108"/>
      <c r="E5102" s="108"/>
      <c r="F5102" s="108"/>
      <c r="G5102" s="108"/>
      <c r="H5102" s="108" t="s">
        <v>2901</v>
      </c>
      <c r="I5102" s="581">
        <v>0.03</v>
      </c>
      <c r="J5102" s="114"/>
      <c r="K5102" s="114" t="s">
        <v>2902</v>
      </c>
      <c r="L5102" s="108"/>
      <c r="M5102" s="581">
        <v>0.15</v>
      </c>
      <c r="N5102" s="573"/>
      <c r="O5102" s="556"/>
      <c r="P5102" s="573"/>
      <c r="Q5102" s="556"/>
      <c r="R5102" s="582"/>
    </row>
    <row r="5103" ht="15" spans="1:18">
      <c r="A5103" s="556"/>
      <c r="B5103" s="557"/>
      <c r="C5103" s="571"/>
      <c r="D5103" s="571"/>
      <c r="E5103" s="571"/>
      <c r="F5103" s="571"/>
      <c r="G5103" s="571"/>
      <c r="H5103" s="571"/>
      <c r="I5103" s="571"/>
      <c r="J5103" s="571"/>
      <c r="K5103" s="571"/>
      <c r="L5103" s="571"/>
      <c r="M5103" s="571"/>
      <c r="N5103" s="573"/>
      <c r="O5103" s="556"/>
      <c r="P5103" s="573"/>
      <c r="Q5103" s="556"/>
      <c r="R5103" s="582"/>
    </row>
    <row r="5104" ht="15" customHeight="1" spans="1:18">
      <c r="A5104" s="556"/>
      <c r="B5104" s="557">
        <f>C5103</f>
        <v>0</v>
      </c>
      <c r="C5104" s="76" t="s">
        <v>1743</v>
      </c>
      <c r="D5104" s="75" t="s">
        <v>63</v>
      </c>
      <c r="E5104" s="76" t="s">
        <v>64</v>
      </c>
      <c r="F5104" s="76" t="s">
        <v>65</v>
      </c>
      <c r="G5104" s="76" t="s">
        <v>2889</v>
      </c>
      <c r="H5104" s="76"/>
      <c r="I5104" s="77" t="s">
        <v>66</v>
      </c>
      <c r="J5104" s="75" t="s">
        <v>67</v>
      </c>
      <c r="K5104" s="75" t="s">
        <v>2890</v>
      </c>
      <c r="L5104" s="75" t="s">
        <v>68</v>
      </c>
      <c r="M5104" s="75" t="s">
        <v>70</v>
      </c>
      <c r="N5104" s="573">
        <v>573.2</v>
      </c>
      <c r="O5104" s="556" t="str">
        <f>IF(N5104=M5104,"OK","DIF")</f>
        <v>DIF</v>
      </c>
      <c r="P5104" s="573"/>
      <c r="Q5104" s="556"/>
      <c r="R5104" s="582"/>
    </row>
    <row r="5105" ht="35.05" customHeight="1" spans="1:18">
      <c r="A5105" s="556">
        <f>B5105</f>
        <v>0</v>
      </c>
      <c r="B5105" s="557">
        <f>B5104</f>
        <v>0</v>
      </c>
      <c r="C5105" s="569" t="s">
        <v>2891</v>
      </c>
      <c r="D5105" s="570" t="s">
        <v>1744</v>
      </c>
      <c r="E5105" s="569" t="s">
        <v>132</v>
      </c>
      <c r="F5105" s="569" t="s">
        <v>1745</v>
      </c>
      <c r="G5105" s="569" t="s">
        <v>3177</v>
      </c>
      <c r="H5105" s="569"/>
      <c r="I5105" s="577" t="s">
        <v>134</v>
      </c>
      <c r="J5105" s="578">
        <v>1</v>
      </c>
      <c r="K5105" s="579"/>
      <c r="L5105" s="579">
        <v>3.68</v>
      </c>
      <c r="M5105" s="579">
        <v>3.68</v>
      </c>
      <c r="N5105" s="573">
        <v>15.71</v>
      </c>
      <c r="O5105" s="556" t="str">
        <f>IF(N5105=M5105,"OK","DIF")</f>
        <v>DIF</v>
      </c>
      <c r="P5105" s="573"/>
      <c r="Q5105" s="556"/>
      <c r="R5105" s="582"/>
    </row>
    <row r="5106" ht="23.85" customHeight="1" spans="1:18">
      <c r="A5106" s="556">
        <f>B5106</f>
        <v>0</v>
      </c>
      <c r="B5106" s="557">
        <f>B5105</f>
        <v>0</v>
      </c>
      <c r="C5106" s="79" t="s">
        <v>2921</v>
      </c>
      <c r="D5106" s="78" t="s">
        <v>3153</v>
      </c>
      <c r="E5106" s="79" t="s">
        <v>139</v>
      </c>
      <c r="F5106" s="79" t="s">
        <v>3154</v>
      </c>
      <c r="G5106" s="79" t="s">
        <v>2928</v>
      </c>
      <c r="H5106" s="79"/>
      <c r="I5106" s="80" t="s">
        <v>2897</v>
      </c>
      <c r="J5106" s="583">
        <v>0.01</v>
      </c>
      <c r="K5106" s="583">
        <v>0</v>
      </c>
      <c r="L5106" s="92">
        <v>30.6</v>
      </c>
      <c r="M5106" s="92">
        <v>0.3</v>
      </c>
      <c r="N5106" s="573">
        <v>25.31</v>
      </c>
      <c r="O5106" s="556" t="str">
        <f>IF(N5106=M5106,"OK","DIF")</f>
        <v>DIF</v>
      </c>
      <c r="P5106" s="573"/>
      <c r="Q5106" s="556"/>
      <c r="R5106" s="582"/>
    </row>
    <row r="5107" ht="23.85" customHeight="1" spans="1:18">
      <c r="A5107" s="556">
        <f>B5107</f>
        <v>0</v>
      </c>
      <c r="B5107" s="557">
        <f>B5106</f>
        <v>0</v>
      </c>
      <c r="C5107" s="79" t="s">
        <v>2921</v>
      </c>
      <c r="D5107" s="78" t="s">
        <v>3151</v>
      </c>
      <c r="E5107" s="79" t="s">
        <v>139</v>
      </c>
      <c r="F5107" s="79" t="s">
        <v>3152</v>
      </c>
      <c r="G5107" s="79" t="s">
        <v>2928</v>
      </c>
      <c r="H5107" s="79"/>
      <c r="I5107" s="80" t="s">
        <v>2897</v>
      </c>
      <c r="J5107" s="583">
        <v>0.01</v>
      </c>
      <c r="K5107" s="583">
        <v>0</v>
      </c>
      <c r="L5107" s="92">
        <v>36.82</v>
      </c>
      <c r="M5107" s="92">
        <v>0.36</v>
      </c>
      <c r="N5107" s="573">
        <v>532.18</v>
      </c>
      <c r="O5107" s="556" t="str">
        <f>IF(N5107=M5107,"OK","DIF")</f>
        <v>DIF</v>
      </c>
      <c r="P5107" s="573"/>
      <c r="Q5107" s="556"/>
      <c r="R5107" s="582"/>
    </row>
    <row r="5108" ht="15" customHeight="1" spans="1:18">
      <c r="A5108" s="556"/>
      <c r="B5108" s="557"/>
      <c r="C5108" s="100" t="s">
        <v>2893</v>
      </c>
      <c r="D5108" s="99" t="s">
        <v>4509</v>
      </c>
      <c r="E5108" s="100" t="s">
        <v>149</v>
      </c>
      <c r="F5108" s="100" t="s">
        <v>4510</v>
      </c>
      <c r="G5108" s="100" t="s">
        <v>2961</v>
      </c>
      <c r="H5108" s="100"/>
      <c r="I5108" s="101" t="s">
        <v>1491</v>
      </c>
      <c r="J5108" s="580">
        <v>1</v>
      </c>
      <c r="K5108" s="580">
        <v>0</v>
      </c>
      <c r="L5108" s="102">
        <v>3.02</v>
      </c>
      <c r="M5108" s="102">
        <v>3.02</v>
      </c>
      <c r="N5108" s="573"/>
      <c r="O5108" s="556"/>
      <c r="P5108" s="573"/>
      <c r="Q5108" s="556"/>
      <c r="R5108" s="582"/>
    </row>
    <row r="5109" ht="25.5" spans="1:18">
      <c r="A5109" s="556"/>
      <c r="B5109" s="557"/>
      <c r="C5109" s="108"/>
      <c r="D5109" s="108"/>
      <c r="E5109" s="108"/>
      <c r="F5109" s="108"/>
      <c r="G5109" s="108"/>
      <c r="H5109" s="108" t="s">
        <v>2898</v>
      </c>
      <c r="I5109" s="581">
        <v>0.46</v>
      </c>
      <c r="J5109" s="108" t="s">
        <v>2899</v>
      </c>
      <c r="K5109" s="581">
        <v>0</v>
      </c>
      <c r="L5109" s="108" t="s">
        <v>2900</v>
      </c>
      <c r="M5109" s="581">
        <v>0.46</v>
      </c>
      <c r="N5109" s="573"/>
      <c r="O5109" s="556"/>
      <c r="P5109" s="573"/>
      <c r="Q5109" s="556"/>
      <c r="R5109" s="582"/>
    </row>
    <row r="5110" ht="26.25" spans="1:18">
      <c r="A5110" s="556"/>
      <c r="B5110" s="557">
        <f>C5109</f>
        <v>0</v>
      </c>
      <c r="C5110" s="108"/>
      <c r="D5110" s="108"/>
      <c r="E5110" s="108"/>
      <c r="F5110" s="108"/>
      <c r="G5110" s="108"/>
      <c r="H5110" s="108" t="s">
        <v>2901</v>
      </c>
      <c r="I5110" s="581">
        <v>0.93</v>
      </c>
      <c r="J5110" s="114"/>
      <c r="K5110" s="114" t="s">
        <v>2902</v>
      </c>
      <c r="L5110" s="108"/>
      <c r="M5110" s="581">
        <v>4.61</v>
      </c>
      <c r="N5110" s="573">
        <v>669.96</v>
      </c>
      <c r="O5110" s="556" t="str">
        <f>IF(N5110=M5110,"OK","DIF")</f>
        <v>DIF</v>
      </c>
      <c r="P5110" s="573"/>
      <c r="Q5110" s="556"/>
      <c r="R5110" s="582"/>
    </row>
    <row r="5111" ht="15" spans="1:18">
      <c r="A5111" s="556">
        <f>B5111</f>
        <v>0</v>
      </c>
      <c r="B5111" s="557">
        <f>B5110</f>
        <v>0</v>
      </c>
      <c r="C5111" s="571"/>
      <c r="D5111" s="571"/>
      <c r="E5111" s="571"/>
      <c r="F5111" s="571"/>
      <c r="G5111" s="571"/>
      <c r="H5111" s="571"/>
      <c r="I5111" s="571"/>
      <c r="J5111" s="571"/>
      <c r="K5111" s="571"/>
      <c r="L5111" s="571"/>
      <c r="M5111" s="571"/>
      <c r="N5111" s="573">
        <v>15.71</v>
      </c>
      <c r="O5111" s="556" t="str">
        <f>IF(N5111=M5111,"OK","DIF")</f>
        <v>DIF</v>
      </c>
      <c r="P5111" s="573"/>
      <c r="Q5111" s="556"/>
      <c r="R5111" s="582"/>
    </row>
    <row r="5112" ht="15" customHeight="1" spans="1:18">
      <c r="A5112" s="556">
        <f>B5112</f>
        <v>0</v>
      </c>
      <c r="B5112" s="557">
        <f>B5111</f>
        <v>0</v>
      </c>
      <c r="C5112" s="76" t="s">
        <v>1746</v>
      </c>
      <c r="D5112" s="75" t="s">
        <v>63</v>
      </c>
      <c r="E5112" s="76" t="s">
        <v>64</v>
      </c>
      <c r="F5112" s="76" t="s">
        <v>65</v>
      </c>
      <c r="G5112" s="76" t="s">
        <v>2889</v>
      </c>
      <c r="H5112" s="76"/>
      <c r="I5112" s="77" t="s">
        <v>66</v>
      </c>
      <c r="J5112" s="75" t="s">
        <v>67</v>
      </c>
      <c r="K5112" s="75" t="s">
        <v>2890</v>
      </c>
      <c r="L5112" s="75" t="s">
        <v>68</v>
      </c>
      <c r="M5112" s="75" t="s">
        <v>70</v>
      </c>
      <c r="N5112" s="573">
        <v>25.31</v>
      </c>
      <c r="O5112" s="556" t="str">
        <f>IF(N5112=M5112,"OK","DIF")</f>
        <v>DIF</v>
      </c>
      <c r="P5112" s="573"/>
      <c r="Q5112" s="556"/>
      <c r="R5112" s="582"/>
    </row>
    <row r="5113" ht="23.85" customHeight="1" spans="1:18">
      <c r="A5113" s="556">
        <f>B5113</f>
        <v>0</v>
      </c>
      <c r="B5113" s="557">
        <f>B5112</f>
        <v>0</v>
      </c>
      <c r="C5113" s="569" t="s">
        <v>2891</v>
      </c>
      <c r="D5113" s="570" t="s">
        <v>1747</v>
      </c>
      <c r="E5113" s="569" t="s">
        <v>139</v>
      </c>
      <c r="F5113" s="569" t="s">
        <v>1748</v>
      </c>
      <c r="G5113" s="569" t="s">
        <v>4227</v>
      </c>
      <c r="H5113" s="569"/>
      <c r="I5113" s="577" t="s">
        <v>204</v>
      </c>
      <c r="J5113" s="578">
        <v>1</v>
      </c>
      <c r="K5113" s="579"/>
      <c r="L5113" s="579">
        <v>8.3</v>
      </c>
      <c r="M5113" s="579">
        <v>8.3</v>
      </c>
      <c r="N5113" s="573">
        <v>628.94</v>
      </c>
      <c r="O5113" s="556" t="str">
        <f>IF(N5113=M5113,"OK","DIF")</f>
        <v>DIF</v>
      </c>
      <c r="P5113" s="573"/>
      <c r="Q5113" s="556"/>
      <c r="R5113" s="582"/>
    </row>
    <row r="5114" ht="23.85" customHeight="1" spans="1:18">
      <c r="A5114" s="556"/>
      <c r="B5114" s="557"/>
      <c r="C5114" s="79" t="s">
        <v>2921</v>
      </c>
      <c r="D5114" s="78" t="s">
        <v>3153</v>
      </c>
      <c r="E5114" s="79" t="s">
        <v>139</v>
      </c>
      <c r="F5114" s="79" t="s">
        <v>3154</v>
      </c>
      <c r="G5114" s="79" t="s">
        <v>2928</v>
      </c>
      <c r="H5114" s="79"/>
      <c r="I5114" s="80" t="s">
        <v>2897</v>
      </c>
      <c r="J5114" s="583">
        <v>0.0045</v>
      </c>
      <c r="K5114" s="583">
        <v>0</v>
      </c>
      <c r="L5114" s="92">
        <v>30.6</v>
      </c>
      <c r="M5114" s="92">
        <v>0.13</v>
      </c>
      <c r="N5114" s="573"/>
      <c r="O5114" s="556"/>
      <c r="P5114" s="573"/>
      <c r="Q5114" s="556"/>
      <c r="R5114" s="582"/>
    </row>
    <row r="5115" ht="23.85" customHeight="1" spans="1:18">
      <c r="A5115" s="556"/>
      <c r="B5115" s="557"/>
      <c r="C5115" s="79" t="s">
        <v>2921</v>
      </c>
      <c r="D5115" s="78" t="s">
        <v>3151</v>
      </c>
      <c r="E5115" s="79" t="s">
        <v>139</v>
      </c>
      <c r="F5115" s="79" t="s">
        <v>3152</v>
      </c>
      <c r="G5115" s="79" t="s">
        <v>2928</v>
      </c>
      <c r="H5115" s="79"/>
      <c r="I5115" s="80" t="s">
        <v>2897</v>
      </c>
      <c r="J5115" s="583">
        <v>0.0045</v>
      </c>
      <c r="K5115" s="583">
        <v>0</v>
      </c>
      <c r="L5115" s="92">
        <v>36.82</v>
      </c>
      <c r="M5115" s="92">
        <v>0.16</v>
      </c>
      <c r="N5115" s="573"/>
      <c r="O5115" s="556"/>
      <c r="P5115" s="573"/>
      <c r="Q5115" s="556"/>
      <c r="R5115" s="582"/>
    </row>
    <row r="5116" ht="23.85" customHeight="1" spans="1:18">
      <c r="A5116" s="556"/>
      <c r="B5116" s="557" t="str">
        <f>C5115</f>
        <v>Composição Auxiliar</v>
      </c>
      <c r="C5116" s="100" t="s">
        <v>2893</v>
      </c>
      <c r="D5116" s="99" t="s">
        <v>4188</v>
      </c>
      <c r="E5116" s="100" t="s">
        <v>139</v>
      </c>
      <c r="F5116" s="100" t="s">
        <v>4189</v>
      </c>
      <c r="G5116" s="100" t="s">
        <v>2961</v>
      </c>
      <c r="H5116" s="100"/>
      <c r="I5116" s="101" t="s">
        <v>204</v>
      </c>
      <c r="J5116" s="580">
        <v>1.05</v>
      </c>
      <c r="K5116" s="580">
        <v>0</v>
      </c>
      <c r="L5116" s="102">
        <v>7.63</v>
      </c>
      <c r="M5116" s="102">
        <v>8.01</v>
      </c>
      <c r="N5116" s="573">
        <v>1023.06</v>
      </c>
      <c r="O5116" s="556" t="str">
        <f>IF(N5116=M5116,"OK","DIF")</f>
        <v>DIF</v>
      </c>
      <c r="P5116" s="573"/>
      <c r="Q5116" s="556"/>
      <c r="R5116" s="582"/>
    </row>
    <row r="5117" ht="25.5" spans="1:18">
      <c r="A5117" s="556" t="str">
        <f>B5117</f>
        <v>Composição Auxiliar</v>
      </c>
      <c r="B5117" s="557" t="str">
        <f>B5116</f>
        <v>Composição Auxiliar</v>
      </c>
      <c r="C5117" s="108"/>
      <c r="D5117" s="108"/>
      <c r="E5117" s="108"/>
      <c r="F5117" s="108"/>
      <c r="G5117" s="108"/>
      <c r="H5117" s="108" t="s">
        <v>2898</v>
      </c>
      <c r="I5117" s="581">
        <v>0.21</v>
      </c>
      <c r="J5117" s="108" t="s">
        <v>2899</v>
      </c>
      <c r="K5117" s="581">
        <v>0</v>
      </c>
      <c r="L5117" s="108" t="s">
        <v>2900</v>
      </c>
      <c r="M5117" s="581">
        <v>0.21</v>
      </c>
      <c r="N5117" s="573">
        <v>91.51</v>
      </c>
      <c r="O5117" s="556" t="str">
        <f>IF(N5117=M5117,"OK","DIF")</f>
        <v>DIF</v>
      </c>
      <c r="P5117" s="573"/>
      <c r="Q5117" s="556"/>
      <c r="R5117" s="582"/>
    </row>
    <row r="5118" ht="26.25" spans="1:18">
      <c r="A5118" s="556" t="str">
        <f>B5118</f>
        <v>Composição Auxiliar</v>
      </c>
      <c r="B5118" s="557" t="str">
        <f>B5117</f>
        <v>Composição Auxiliar</v>
      </c>
      <c r="C5118" s="108"/>
      <c r="D5118" s="108"/>
      <c r="E5118" s="108"/>
      <c r="F5118" s="108"/>
      <c r="G5118" s="108"/>
      <c r="H5118" s="108" t="s">
        <v>2901</v>
      </c>
      <c r="I5118" s="581">
        <v>2.11</v>
      </c>
      <c r="J5118" s="114"/>
      <c r="K5118" s="114" t="s">
        <v>2902</v>
      </c>
      <c r="L5118" s="108"/>
      <c r="M5118" s="581">
        <v>10.41</v>
      </c>
      <c r="N5118" s="573">
        <v>74.04</v>
      </c>
      <c r="O5118" s="556" t="str">
        <f>IF(N5118=M5118,"OK","DIF")</f>
        <v>DIF</v>
      </c>
      <c r="P5118" s="573"/>
      <c r="Q5118" s="556"/>
      <c r="R5118" s="582"/>
    </row>
    <row r="5119" ht="15" spans="1:18">
      <c r="A5119" s="556" t="str">
        <f>B5119</f>
        <v>Composição Auxiliar</v>
      </c>
      <c r="B5119" s="557" t="str">
        <f>B5118</f>
        <v>Composição Auxiliar</v>
      </c>
      <c r="C5119" s="571"/>
      <c r="D5119" s="571"/>
      <c r="E5119" s="571"/>
      <c r="F5119" s="571"/>
      <c r="G5119" s="571"/>
      <c r="H5119" s="571"/>
      <c r="I5119" s="571"/>
      <c r="J5119" s="571"/>
      <c r="K5119" s="571"/>
      <c r="L5119" s="571"/>
      <c r="M5119" s="571"/>
      <c r="N5119" s="573">
        <v>857.51</v>
      </c>
      <c r="O5119" s="556" t="str">
        <f>IF(N5119=M5119,"OK","DIF")</f>
        <v>DIF</v>
      </c>
      <c r="P5119" s="573"/>
      <c r="Q5119" s="556"/>
      <c r="R5119" s="582"/>
    </row>
    <row r="5120" ht="15" customHeight="1" spans="1:18">
      <c r="A5120" s="556"/>
      <c r="B5120" s="557"/>
      <c r="C5120" s="76" t="s">
        <v>1749</v>
      </c>
      <c r="D5120" s="75" t="s">
        <v>63</v>
      </c>
      <c r="E5120" s="76" t="s">
        <v>64</v>
      </c>
      <c r="F5120" s="76" t="s">
        <v>65</v>
      </c>
      <c r="G5120" s="76" t="s">
        <v>2889</v>
      </c>
      <c r="H5120" s="76"/>
      <c r="I5120" s="77" t="s">
        <v>66</v>
      </c>
      <c r="J5120" s="75" t="s">
        <v>67</v>
      </c>
      <c r="K5120" s="75" t="s">
        <v>2890</v>
      </c>
      <c r="L5120" s="75" t="s">
        <v>68</v>
      </c>
      <c r="M5120" s="75" t="s">
        <v>70</v>
      </c>
      <c r="N5120" s="573"/>
      <c r="O5120" s="556"/>
      <c r="P5120" s="573"/>
      <c r="Q5120" s="556"/>
      <c r="R5120" s="582"/>
    </row>
    <row r="5121" ht="38.25" spans="1:18">
      <c r="A5121" s="556"/>
      <c r="B5121" s="557"/>
      <c r="C5121" s="569" t="s">
        <v>2891</v>
      </c>
      <c r="D5121" s="570" t="s">
        <v>1750</v>
      </c>
      <c r="E5121" s="569" t="s">
        <v>132</v>
      </c>
      <c r="F5121" s="569" t="s">
        <v>1751</v>
      </c>
      <c r="G5121" s="569">
        <v>59</v>
      </c>
      <c r="H5121" s="569"/>
      <c r="I5121" s="577" t="s">
        <v>204</v>
      </c>
      <c r="J5121" s="578">
        <v>1</v>
      </c>
      <c r="K5121" s="579"/>
      <c r="L5121" s="579">
        <v>8.48</v>
      </c>
      <c r="M5121" s="579">
        <v>8.48</v>
      </c>
      <c r="N5121" s="573"/>
      <c r="O5121" s="556"/>
      <c r="P5121" s="573"/>
      <c r="Q5121" s="556"/>
      <c r="R5121" s="582"/>
    </row>
    <row r="5122" ht="23.85" customHeight="1" spans="1:18">
      <c r="A5122" s="556"/>
      <c r="B5122" s="557" t="str">
        <f>C5121</f>
        <v>Composição</v>
      </c>
      <c r="C5122" s="79" t="s">
        <v>2921</v>
      </c>
      <c r="D5122" s="78" t="s">
        <v>4190</v>
      </c>
      <c r="E5122" s="79" t="s">
        <v>139</v>
      </c>
      <c r="F5122" s="79" t="s">
        <v>4191</v>
      </c>
      <c r="G5122" s="79" t="s">
        <v>2928</v>
      </c>
      <c r="H5122" s="79"/>
      <c r="I5122" s="80" t="s">
        <v>2897</v>
      </c>
      <c r="J5122" s="583">
        <v>0.03</v>
      </c>
      <c r="K5122" s="583">
        <v>0</v>
      </c>
      <c r="L5122" s="92">
        <v>40.65</v>
      </c>
      <c r="M5122" s="92">
        <v>1.21</v>
      </c>
      <c r="N5122" s="573">
        <v>39.77</v>
      </c>
      <c r="O5122" s="556" t="str">
        <f>IF(N5122=M5122,"OK","DIF")</f>
        <v>DIF</v>
      </c>
      <c r="P5122" s="573"/>
      <c r="Q5122" s="556"/>
      <c r="R5122" s="582"/>
    </row>
    <row r="5123" ht="23.85" customHeight="1" spans="1:18">
      <c r="A5123" s="556" t="str">
        <f>B5123</f>
        <v>Composição</v>
      </c>
      <c r="B5123" s="557" t="str">
        <f>B5122</f>
        <v>Composição</v>
      </c>
      <c r="C5123" s="79" t="s">
        <v>2921</v>
      </c>
      <c r="D5123" s="78" t="s">
        <v>3487</v>
      </c>
      <c r="E5123" s="79" t="s">
        <v>139</v>
      </c>
      <c r="F5123" s="79" t="s">
        <v>3488</v>
      </c>
      <c r="G5123" s="79" t="s">
        <v>2928</v>
      </c>
      <c r="H5123" s="79"/>
      <c r="I5123" s="80" t="s">
        <v>2897</v>
      </c>
      <c r="J5123" s="583">
        <v>0.03</v>
      </c>
      <c r="K5123" s="583">
        <v>0</v>
      </c>
      <c r="L5123" s="92">
        <v>30.31</v>
      </c>
      <c r="M5123" s="92">
        <v>0.9</v>
      </c>
      <c r="N5123" s="573">
        <v>4.82</v>
      </c>
      <c r="O5123" s="556" t="str">
        <f>IF(N5123=M5123,"OK","DIF")</f>
        <v>DIF</v>
      </c>
      <c r="P5123" s="573"/>
      <c r="Q5123" s="556"/>
      <c r="R5123" s="582"/>
    </row>
    <row r="5124" ht="23.85" customHeight="1" spans="1:18">
      <c r="A5124" s="556" t="str">
        <f>B5124</f>
        <v>Composição</v>
      </c>
      <c r="B5124" s="557" t="str">
        <f>B5123</f>
        <v>Composição</v>
      </c>
      <c r="C5124" s="100" t="s">
        <v>2893</v>
      </c>
      <c r="D5124" s="99" t="s">
        <v>4511</v>
      </c>
      <c r="E5124" s="100" t="s">
        <v>149</v>
      </c>
      <c r="F5124" s="100" t="s">
        <v>4512</v>
      </c>
      <c r="G5124" s="100" t="s">
        <v>2961</v>
      </c>
      <c r="H5124" s="100"/>
      <c r="I5124" s="101" t="s">
        <v>204</v>
      </c>
      <c r="J5124" s="580">
        <v>1</v>
      </c>
      <c r="K5124" s="580">
        <v>0</v>
      </c>
      <c r="L5124" s="102">
        <v>6.37</v>
      </c>
      <c r="M5124" s="102">
        <v>6.37</v>
      </c>
      <c r="N5124" s="573">
        <v>5.95</v>
      </c>
      <c r="O5124" s="556" t="str">
        <f>IF(N5124=M5124,"OK","DIF")</f>
        <v>DIF</v>
      </c>
      <c r="P5124" s="573"/>
      <c r="Q5124" s="556"/>
      <c r="R5124" s="582"/>
    </row>
    <row r="5125" ht="25.5" spans="1:18">
      <c r="A5125" s="556" t="str">
        <f>B5125</f>
        <v>Composição</v>
      </c>
      <c r="B5125" s="557" t="str">
        <f>B5124</f>
        <v>Composição</v>
      </c>
      <c r="C5125" s="108"/>
      <c r="D5125" s="108"/>
      <c r="E5125" s="108"/>
      <c r="F5125" s="108"/>
      <c r="G5125" s="108"/>
      <c r="H5125" s="108" t="s">
        <v>2898</v>
      </c>
      <c r="I5125" s="581">
        <v>1.52</v>
      </c>
      <c r="J5125" s="108" t="s">
        <v>2899</v>
      </c>
      <c r="K5125" s="581">
        <v>0</v>
      </c>
      <c r="L5125" s="108" t="s">
        <v>2900</v>
      </c>
      <c r="M5125" s="581">
        <v>1.52</v>
      </c>
      <c r="N5125" s="573">
        <v>29</v>
      </c>
      <c r="O5125" s="556" t="str">
        <f>IF(N5125=M5125,"OK","DIF")</f>
        <v>DIF</v>
      </c>
      <c r="P5125" s="573"/>
      <c r="Q5125" s="556"/>
      <c r="R5125" s="582"/>
    </row>
    <row r="5126" ht="26.25" spans="1:18">
      <c r="A5126" s="556"/>
      <c r="B5126" s="557"/>
      <c r="C5126" s="108"/>
      <c r="D5126" s="108"/>
      <c r="E5126" s="108"/>
      <c r="F5126" s="108"/>
      <c r="G5126" s="108"/>
      <c r="H5126" s="108" t="s">
        <v>2901</v>
      </c>
      <c r="I5126" s="581">
        <v>2.16</v>
      </c>
      <c r="J5126" s="114"/>
      <c r="K5126" s="114" t="s">
        <v>2902</v>
      </c>
      <c r="L5126" s="108"/>
      <c r="M5126" s="581">
        <v>10.64</v>
      </c>
      <c r="N5126" s="573"/>
      <c r="O5126" s="556"/>
      <c r="P5126" s="573"/>
      <c r="Q5126" s="556"/>
      <c r="R5126" s="582"/>
    </row>
    <row r="5127" ht="15" spans="1:18">
      <c r="A5127" s="556"/>
      <c r="B5127" s="557"/>
      <c r="C5127" s="571"/>
      <c r="D5127" s="571"/>
      <c r="E5127" s="571"/>
      <c r="F5127" s="571"/>
      <c r="G5127" s="571"/>
      <c r="H5127" s="571"/>
      <c r="I5127" s="571"/>
      <c r="J5127" s="571"/>
      <c r="K5127" s="571"/>
      <c r="L5127" s="571"/>
      <c r="M5127" s="571"/>
      <c r="N5127" s="573"/>
      <c r="O5127" s="556"/>
      <c r="P5127" s="573"/>
      <c r="Q5127" s="556"/>
      <c r="R5127" s="582"/>
    </row>
    <row r="5128" ht="15" customHeight="1" spans="1:18">
      <c r="A5128" s="556"/>
      <c r="B5128" s="557">
        <f>C5127</f>
        <v>0</v>
      </c>
      <c r="C5128" s="76" t="s">
        <v>1752</v>
      </c>
      <c r="D5128" s="75" t="s">
        <v>63</v>
      </c>
      <c r="E5128" s="76" t="s">
        <v>64</v>
      </c>
      <c r="F5128" s="76" t="s">
        <v>65</v>
      </c>
      <c r="G5128" s="76" t="s">
        <v>2889</v>
      </c>
      <c r="H5128" s="76"/>
      <c r="I5128" s="77" t="s">
        <v>66</v>
      </c>
      <c r="J5128" s="75" t="s">
        <v>67</v>
      </c>
      <c r="K5128" s="75" t="s">
        <v>2890</v>
      </c>
      <c r="L5128" s="75" t="s">
        <v>68</v>
      </c>
      <c r="M5128" s="75" t="s">
        <v>70</v>
      </c>
      <c r="N5128" s="573">
        <v>13369.71</v>
      </c>
      <c r="O5128" s="556" t="str">
        <f>IF(N5128=M5128,"OK","DIF")</f>
        <v>DIF</v>
      </c>
      <c r="P5128" s="573"/>
      <c r="Q5128" s="556"/>
      <c r="R5128" s="582"/>
    </row>
    <row r="5129" ht="38.25" spans="1:18">
      <c r="A5129" s="556">
        <f>B5129</f>
        <v>0</v>
      </c>
      <c r="B5129" s="557">
        <f>B5128</f>
        <v>0</v>
      </c>
      <c r="C5129" s="569" t="s">
        <v>2891</v>
      </c>
      <c r="D5129" s="570" t="s">
        <v>1753</v>
      </c>
      <c r="E5129" s="569" t="s">
        <v>132</v>
      </c>
      <c r="F5129" s="569" t="s">
        <v>1754</v>
      </c>
      <c r="G5129" s="569">
        <v>59</v>
      </c>
      <c r="H5129" s="569"/>
      <c r="I5129" s="577" t="s">
        <v>204</v>
      </c>
      <c r="J5129" s="578">
        <v>1</v>
      </c>
      <c r="K5129" s="579"/>
      <c r="L5129" s="579">
        <v>8.6</v>
      </c>
      <c r="M5129" s="579">
        <v>8.6</v>
      </c>
      <c r="N5129" s="573">
        <v>62.03</v>
      </c>
      <c r="O5129" s="556" t="str">
        <f>IF(N5129=M5129,"OK","DIF")</f>
        <v>DIF</v>
      </c>
      <c r="P5129" s="573"/>
      <c r="Q5129" s="556"/>
      <c r="R5129" s="582"/>
    </row>
    <row r="5130" ht="23.85" customHeight="1" spans="1:18">
      <c r="A5130" s="556">
        <f>B5130</f>
        <v>0</v>
      </c>
      <c r="B5130" s="557">
        <f>B5129</f>
        <v>0</v>
      </c>
      <c r="C5130" s="79" t="s">
        <v>2921</v>
      </c>
      <c r="D5130" s="78" t="s">
        <v>4190</v>
      </c>
      <c r="E5130" s="79" t="s">
        <v>139</v>
      </c>
      <c r="F5130" s="79" t="s">
        <v>4191</v>
      </c>
      <c r="G5130" s="79" t="s">
        <v>2928</v>
      </c>
      <c r="H5130" s="79"/>
      <c r="I5130" s="80" t="s">
        <v>2897</v>
      </c>
      <c r="J5130" s="583">
        <v>0.03</v>
      </c>
      <c r="K5130" s="583">
        <v>0</v>
      </c>
      <c r="L5130" s="92">
        <v>40.65</v>
      </c>
      <c r="M5130" s="92">
        <v>1.21</v>
      </c>
      <c r="N5130" s="573">
        <v>68.74</v>
      </c>
      <c r="O5130" s="556" t="str">
        <f>IF(N5130=M5130,"OK","DIF")</f>
        <v>DIF</v>
      </c>
      <c r="P5130" s="573"/>
      <c r="Q5130" s="556"/>
      <c r="R5130" s="582"/>
    </row>
    <row r="5131" ht="23.85" customHeight="1" spans="1:18">
      <c r="A5131" s="556">
        <f>B5131</f>
        <v>0</v>
      </c>
      <c r="B5131" s="557">
        <f>B5130</f>
        <v>0</v>
      </c>
      <c r="C5131" s="79" t="s">
        <v>2921</v>
      </c>
      <c r="D5131" s="78" t="s">
        <v>3487</v>
      </c>
      <c r="E5131" s="79" t="s">
        <v>139</v>
      </c>
      <c r="F5131" s="79" t="s">
        <v>3488</v>
      </c>
      <c r="G5131" s="79" t="s">
        <v>2928</v>
      </c>
      <c r="H5131" s="79"/>
      <c r="I5131" s="80" t="s">
        <v>2897</v>
      </c>
      <c r="J5131" s="583">
        <v>0.03</v>
      </c>
      <c r="K5131" s="583">
        <v>0</v>
      </c>
      <c r="L5131" s="92">
        <v>30.31</v>
      </c>
      <c r="M5131" s="92">
        <v>0.9</v>
      </c>
      <c r="N5131" s="573">
        <v>13238.94</v>
      </c>
      <c r="O5131" s="556" t="str">
        <f>IF(N5131=M5131,"OK","DIF")</f>
        <v>DIF</v>
      </c>
      <c r="P5131" s="573"/>
      <c r="Q5131" s="556"/>
      <c r="R5131" s="582"/>
    </row>
    <row r="5132" ht="15" customHeight="1" spans="1:18">
      <c r="A5132" s="556"/>
      <c r="B5132" s="557"/>
      <c r="C5132" s="100" t="s">
        <v>2893</v>
      </c>
      <c r="D5132" s="99" t="s">
        <v>4513</v>
      </c>
      <c r="E5132" s="100" t="s">
        <v>132</v>
      </c>
      <c r="F5132" s="100" t="s">
        <v>4514</v>
      </c>
      <c r="G5132" s="100" t="s">
        <v>2961</v>
      </c>
      <c r="H5132" s="100"/>
      <c r="I5132" s="101" t="s">
        <v>1508</v>
      </c>
      <c r="J5132" s="580">
        <v>1</v>
      </c>
      <c r="K5132" s="580">
        <v>0</v>
      </c>
      <c r="L5132" s="102">
        <v>6.49</v>
      </c>
      <c r="M5132" s="102">
        <v>6.49</v>
      </c>
      <c r="N5132" s="573"/>
      <c r="O5132" s="556"/>
      <c r="P5132" s="573"/>
      <c r="Q5132" s="556"/>
      <c r="R5132" s="582"/>
    </row>
    <row r="5133" ht="25.5" spans="1:18">
      <c r="A5133" s="556"/>
      <c r="B5133" s="557"/>
      <c r="C5133" s="108"/>
      <c r="D5133" s="108"/>
      <c r="E5133" s="108"/>
      <c r="F5133" s="108"/>
      <c r="G5133" s="108"/>
      <c r="H5133" s="108" t="s">
        <v>2898</v>
      </c>
      <c r="I5133" s="581">
        <v>1.52</v>
      </c>
      <c r="J5133" s="108" t="s">
        <v>2899</v>
      </c>
      <c r="K5133" s="581">
        <v>0</v>
      </c>
      <c r="L5133" s="108" t="s">
        <v>2900</v>
      </c>
      <c r="M5133" s="581">
        <v>1.52</v>
      </c>
      <c r="N5133" s="573"/>
      <c r="O5133" s="556"/>
      <c r="P5133" s="573"/>
      <c r="Q5133" s="556"/>
      <c r="R5133" s="582"/>
    </row>
    <row r="5134" ht="26.25" spans="1:18">
      <c r="A5134" s="556"/>
      <c r="B5134" s="557">
        <f>C5133</f>
        <v>0</v>
      </c>
      <c r="C5134" s="108"/>
      <c r="D5134" s="108"/>
      <c r="E5134" s="108"/>
      <c r="F5134" s="108"/>
      <c r="G5134" s="108"/>
      <c r="H5134" s="108" t="s">
        <v>2901</v>
      </c>
      <c r="I5134" s="581">
        <v>2.19</v>
      </c>
      <c r="J5134" s="114"/>
      <c r="K5134" s="114" t="s">
        <v>2902</v>
      </c>
      <c r="L5134" s="108"/>
      <c r="M5134" s="581">
        <v>10.79</v>
      </c>
      <c r="N5134" s="573">
        <v>14855.23</v>
      </c>
      <c r="O5134" s="556" t="str">
        <f>IF(N5134=M5134,"OK","DIF")</f>
        <v>DIF</v>
      </c>
      <c r="P5134" s="573"/>
      <c r="Q5134" s="556"/>
      <c r="R5134" s="582"/>
    </row>
    <row r="5135" ht="15" spans="1:18">
      <c r="A5135" s="556">
        <f>B5135</f>
        <v>0</v>
      </c>
      <c r="B5135" s="557">
        <f>B5134</f>
        <v>0</v>
      </c>
      <c r="C5135" s="571"/>
      <c r="D5135" s="571"/>
      <c r="E5135" s="571"/>
      <c r="F5135" s="571"/>
      <c r="G5135" s="571"/>
      <c r="H5135" s="571"/>
      <c r="I5135" s="571"/>
      <c r="J5135" s="571"/>
      <c r="K5135" s="571"/>
      <c r="L5135" s="571"/>
      <c r="M5135" s="571"/>
      <c r="N5135" s="573">
        <v>62.03</v>
      </c>
      <c r="O5135" s="556" t="str">
        <f>IF(N5135=M5135,"OK","DIF")</f>
        <v>DIF</v>
      </c>
      <c r="P5135" s="573"/>
      <c r="Q5135" s="556"/>
      <c r="R5135" s="582"/>
    </row>
    <row r="5136" ht="15" customHeight="1" spans="1:18">
      <c r="A5136" s="556">
        <f>B5136</f>
        <v>0</v>
      </c>
      <c r="B5136" s="557">
        <f>B5135</f>
        <v>0</v>
      </c>
      <c r="C5136" s="76" t="s">
        <v>1755</v>
      </c>
      <c r="D5136" s="75" t="s">
        <v>63</v>
      </c>
      <c r="E5136" s="76" t="s">
        <v>64</v>
      </c>
      <c r="F5136" s="76" t="s">
        <v>65</v>
      </c>
      <c r="G5136" s="76" t="s">
        <v>2889</v>
      </c>
      <c r="H5136" s="76"/>
      <c r="I5136" s="77" t="s">
        <v>66</v>
      </c>
      <c r="J5136" s="75" t="s">
        <v>67</v>
      </c>
      <c r="K5136" s="75" t="s">
        <v>2890</v>
      </c>
      <c r="L5136" s="75" t="s">
        <v>68</v>
      </c>
      <c r="M5136" s="75" t="s">
        <v>70</v>
      </c>
      <c r="N5136" s="573">
        <v>68.74</v>
      </c>
      <c r="O5136" s="556" t="str">
        <f>IF(N5136=M5136,"OK","DIF")</f>
        <v>DIF</v>
      </c>
      <c r="P5136" s="573"/>
      <c r="Q5136" s="556"/>
      <c r="R5136" s="582"/>
    </row>
    <row r="5137" ht="35.05" customHeight="1" spans="1:18">
      <c r="A5137" s="556">
        <f>B5137</f>
        <v>0</v>
      </c>
      <c r="B5137" s="557">
        <f>B5136</f>
        <v>0</v>
      </c>
      <c r="C5137" s="569" t="s">
        <v>2891</v>
      </c>
      <c r="D5137" s="570" t="s">
        <v>1137</v>
      </c>
      <c r="E5137" s="569" t="s">
        <v>132</v>
      </c>
      <c r="F5137" s="569" t="s">
        <v>1138</v>
      </c>
      <c r="G5137" s="569" t="s">
        <v>3177</v>
      </c>
      <c r="H5137" s="569"/>
      <c r="I5137" s="577" t="s">
        <v>134</v>
      </c>
      <c r="J5137" s="578">
        <v>1</v>
      </c>
      <c r="K5137" s="579"/>
      <c r="L5137" s="579">
        <v>55.5</v>
      </c>
      <c r="M5137" s="579">
        <v>55.5</v>
      </c>
      <c r="N5137" s="573">
        <v>14724.46</v>
      </c>
      <c r="O5137" s="556" t="str">
        <f>IF(N5137=M5137,"OK","DIF")</f>
        <v>DIF</v>
      </c>
      <c r="P5137" s="573"/>
      <c r="Q5137" s="556"/>
      <c r="R5137" s="582"/>
    </row>
    <row r="5138" ht="23.85" customHeight="1" spans="1:18">
      <c r="A5138" s="556"/>
      <c r="B5138" s="557"/>
      <c r="C5138" s="79" t="s">
        <v>2921</v>
      </c>
      <c r="D5138" s="78" t="s">
        <v>3151</v>
      </c>
      <c r="E5138" s="79" t="s">
        <v>139</v>
      </c>
      <c r="F5138" s="79" t="s">
        <v>3152</v>
      </c>
      <c r="G5138" s="79" t="s">
        <v>2928</v>
      </c>
      <c r="H5138" s="79"/>
      <c r="I5138" s="80" t="s">
        <v>2897</v>
      </c>
      <c r="J5138" s="583">
        <v>0.3618</v>
      </c>
      <c r="K5138" s="583">
        <v>0</v>
      </c>
      <c r="L5138" s="92">
        <v>36.82</v>
      </c>
      <c r="M5138" s="92">
        <v>13.32</v>
      </c>
      <c r="N5138" s="573"/>
      <c r="O5138" s="556"/>
      <c r="P5138" s="573"/>
      <c r="Q5138" s="556"/>
      <c r="R5138" s="582"/>
    </row>
    <row r="5139" ht="23.85" customHeight="1" spans="1:18">
      <c r="A5139" s="556"/>
      <c r="B5139" s="557"/>
      <c r="C5139" s="79" t="s">
        <v>2921</v>
      </c>
      <c r="D5139" s="78" t="s">
        <v>3153</v>
      </c>
      <c r="E5139" s="79" t="s">
        <v>139</v>
      </c>
      <c r="F5139" s="79" t="s">
        <v>3154</v>
      </c>
      <c r="G5139" s="79" t="s">
        <v>2928</v>
      </c>
      <c r="H5139" s="79"/>
      <c r="I5139" s="80" t="s">
        <v>2897</v>
      </c>
      <c r="J5139" s="583">
        <v>0.3618</v>
      </c>
      <c r="K5139" s="583">
        <v>0</v>
      </c>
      <c r="L5139" s="92">
        <v>30.6</v>
      </c>
      <c r="M5139" s="92">
        <v>11.07</v>
      </c>
      <c r="N5139" s="573"/>
      <c r="O5139" s="556"/>
      <c r="P5139" s="573"/>
      <c r="Q5139" s="556"/>
      <c r="R5139" s="582"/>
    </row>
    <row r="5140" ht="23.85" customHeight="1" spans="1:18">
      <c r="A5140" s="556"/>
      <c r="B5140" s="557" t="str">
        <f>C5139</f>
        <v>Composição Auxiliar</v>
      </c>
      <c r="C5140" s="100" t="s">
        <v>2893</v>
      </c>
      <c r="D5140" s="99" t="s">
        <v>4038</v>
      </c>
      <c r="E5140" s="100" t="s">
        <v>139</v>
      </c>
      <c r="F5140" s="100" t="s">
        <v>4039</v>
      </c>
      <c r="G5140" s="100" t="s">
        <v>2961</v>
      </c>
      <c r="H5140" s="100"/>
      <c r="I5140" s="101" t="s">
        <v>134</v>
      </c>
      <c r="J5140" s="580">
        <v>2</v>
      </c>
      <c r="K5140" s="580">
        <v>0</v>
      </c>
      <c r="L5140" s="102">
        <v>0.26</v>
      </c>
      <c r="M5140" s="102">
        <v>0.52</v>
      </c>
      <c r="N5140" s="573">
        <v>24431.91</v>
      </c>
      <c r="O5140" s="556" t="str">
        <f>IF(N5140=M5140,"OK","DIF")</f>
        <v>DIF</v>
      </c>
      <c r="P5140" s="573"/>
      <c r="Q5140" s="556"/>
      <c r="R5140" s="582"/>
    </row>
    <row r="5141" ht="15" customHeight="1" spans="1:18">
      <c r="A5141" s="556" t="str">
        <f>B5141</f>
        <v>Composição Auxiliar</v>
      </c>
      <c r="B5141" s="557" t="str">
        <f>B5140</f>
        <v>Composição Auxiliar</v>
      </c>
      <c r="C5141" s="100" t="s">
        <v>2893</v>
      </c>
      <c r="D5141" s="99" t="s">
        <v>4064</v>
      </c>
      <c r="E5141" s="100" t="s">
        <v>132</v>
      </c>
      <c r="F5141" s="100" t="s">
        <v>4065</v>
      </c>
      <c r="G5141" s="100" t="s">
        <v>2961</v>
      </c>
      <c r="H5141" s="100"/>
      <c r="I5141" s="101" t="s">
        <v>134</v>
      </c>
      <c r="J5141" s="580">
        <v>1</v>
      </c>
      <c r="K5141" s="580">
        <v>0</v>
      </c>
      <c r="L5141" s="102">
        <v>30.59</v>
      </c>
      <c r="M5141" s="102">
        <v>30.59</v>
      </c>
      <c r="N5141" s="573">
        <v>62.03</v>
      </c>
      <c r="O5141" s="556" t="str">
        <f>IF(N5141=M5141,"OK","DIF")</f>
        <v>DIF</v>
      </c>
      <c r="P5141" s="573"/>
      <c r="Q5141" s="556"/>
      <c r="R5141" s="582"/>
    </row>
    <row r="5142" ht="25.5" spans="1:18">
      <c r="A5142" s="556" t="str">
        <f>B5142</f>
        <v>Composição Auxiliar</v>
      </c>
      <c r="B5142" s="557" t="str">
        <f>B5141</f>
        <v>Composição Auxiliar</v>
      </c>
      <c r="C5142" s="108"/>
      <c r="D5142" s="108"/>
      <c r="E5142" s="108"/>
      <c r="F5142" s="108"/>
      <c r="G5142" s="108"/>
      <c r="H5142" s="108" t="s">
        <v>2898</v>
      </c>
      <c r="I5142" s="581">
        <v>17.11</v>
      </c>
      <c r="J5142" s="108" t="s">
        <v>2899</v>
      </c>
      <c r="K5142" s="581">
        <v>0</v>
      </c>
      <c r="L5142" s="108" t="s">
        <v>2900</v>
      </c>
      <c r="M5142" s="581">
        <v>17.11</v>
      </c>
      <c r="N5142" s="573">
        <v>68.74</v>
      </c>
      <c r="O5142" s="556" t="str">
        <f>IF(N5142=M5142,"OK","DIF")</f>
        <v>DIF</v>
      </c>
      <c r="P5142" s="573"/>
      <c r="Q5142" s="556"/>
      <c r="R5142" s="582"/>
    </row>
    <row r="5143" ht="26.25" spans="1:18">
      <c r="A5143" s="556" t="str">
        <f>B5143</f>
        <v>Composição Auxiliar</v>
      </c>
      <c r="B5143" s="557" t="str">
        <f>B5142</f>
        <v>Composição Auxiliar</v>
      </c>
      <c r="C5143" s="108"/>
      <c r="D5143" s="108"/>
      <c r="E5143" s="108"/>
      <c r="F5143" s="108"/>
      <c r="G5143" s="108"/>
      <c r="H5143" s="108" t="s">
        <v>2901</v>
      </c>
      <c r="I5143" s="581">
        <v>14.14</v>
      </c>
      <c r="J5143" s="114"/>
      <c r="K5143" s="114" t="s">
        <v>2902</v>
      </c>
      <c r="L5143" s="108"/>
      <c r="M5143" s="581">
        <v>69.64</v>
      </c>
      <c r="N5143" s="573">
        <v>24301.14</v>
      </c>
      <c r="O5143" s="556" t="str">
        <f>IF(N5143=M5143,"OK","DIF")</f>
        <v>DIF</v>
      </c>
      <c r="P5143" s="573"/>
      <c r="Q5143" s="556"/>
      <c r="R5143" s="582"/>
    </row>
    <row r="5144" ht="15" spans="1:18">
      <c r="A5144" s="556"/>
      <c r="B5144" s="557"/>
      <c r="C5144" s="571"/>
      <c r="D5144" s="571"/>
      <c r="E5144" s="571"/>
      <c r="F5144" s="571"/>
      <c r="G5144" s="571"/>
      <c r="H5144" s="571"/>
      <c r="I5144" s="571"/>
      <c r="J5144" s="571"/>
      <c r="K5144" s="571"/>
      <c r="L5144" s="571"/>
      <c r="M5144" s="571"/>
      <c r="N5144" s="573"/>
      <c r="O5144" s="556"/>
      <c r="P5144" s="573"/>
      <c r="Q5144" s="556"/>
      <c r="R5144" s="582"/>
    </row>
    <row r="5145" ht="15" customHeight="1" spans="1:18">
      <c r="A5145" s="556"/>
      <c r="B5145" s="557"/>
      <c r="C5145" s="76" t="s">
        <v>1756</v>
      </c>
      <c r="D5145" s="75" t="s">
        <v>63</v>
      </c>
      <c r="E5145" s="76" t="s">
        <v>64</v>
      </c>
      <c r="F5145" s="76" t="s">
        <v>65</v>
      </c>
      <c r="G5145" s="76" t="s">
        <v>2889</v>
      </c>
      <c r="H5145" s="76"/>
      <c r="I5145" s="77" t="s">
        <v>66</v>
      </c>
      <c r="J5145" s="75" t="s">
        <v>67</v>
      </c>
      <c r="K5145" s="75" t="s">
        <v>2890</v>
      </c>
      <c r="L5145" s="75" t="s">
        <v>68</v>
      </c>
      <c r="M5145" s="75" t="s">
        <v>70</v>
      </c>
      <c r="N5145" s="573"/>
      <c r="O5145" s="556"/>
      <c r="P5145" s="573"/>
      <c r="Q5145" s="556"/>
      <c r="R5145" s="582"/>
    </row>
    <row r="5146" ht="25.5" spans="1:18">
      <c r="A5146" s="556"/>
      <c r="B5146" s="557" t="str">
        <f>C5145</f>
        <v> 13.28 </v>
      </c>
      <c r="C5146" s="569" t="s">
        <v>2891</v>
      </c>
      <c r="D5146" s="570" t="s">
        <v>1757</v>
      </c>
      <c r="E5146" s="569" t="s">
        <v>77</v>
      </c>
      <c r="F5146" s="569" t="s">
        <v>4515</v>
      </c>
      <c r="G5146" s="569">
        <v>15</v>
      </c>
      <c r="H5146" s="569"/>
      <c r="I5146" s="577" t="s">
        <v>134</v>
      </c>
      <c r="J5146" s="578">
        <v>1</v>
      </c>
      <c r="K5146" s="579"/>
      <c r="L5146" s="579">
        <v>23.86</v>
      </c>
      <c r="M5146" s="579">
        <v>23.86</v>
      </c>
      <c r="N5146" s="573">
        <v>28096.7</v>
      </c>
      <c r="O5146" s="556" t="str">
        <f>IF(N5146=M5146,"OK","DIF")</f>
        <v>DIF</v>
      </c>
      <c r="P5146" s="573"/>
      <c r="Q5146" s="556"/>
      <c r="R5146" s="582"/>
    </row>
    <row r="5147" ht="15" customHeight="1" spans="1:18">
      <c r="A5147" s="556" t="str">
        <f>B5147</f>
        <v> 13.28 </v>
      </c>
      <c r="B5147" s="557" t="str">
        <f>B5146</f>
        <v> 13.28 </v>
      </c>
      <c r="C5147" s="100" t="s">
        <v>2893</v>
      </c>
      <c r="D5147" s="99" t="s">
        <v>4516</v>
      </c>
      <c r="E5147" s="100" t="s">
        <v>77</v>
      </c>
      <c r="F5147" s="100" t="s">
        <v>4517</v>
      </c>
      <c r="G5147" s="100" t="s">
        <v>2961</v>
      </c>
      <c r="H5147" s="100"/>
      <c r="I5147" s="101" t="s">
        <v>134</v>
      </c>
      <c r="J5147" s="580">
        <v>1</v>
      </c>
      <c r="K5147" s="580">
        <v>0</v>
      </c>
      <c r="L5147" s="102">
        <v>18.4</v>
      </c>
      <c r="M5147" s="102">
        <v>18.4</v>
      </c>
      <c r="N5147" s="573">
        <v>68.74</v>
      </c>
      <c r="O5147" s="556" t="str">
        <f>IF(N5147=M5147,"OK","DIF")</f>
        <v>DIF</v>
      </c>
      <c r="P5147" s="573"/>
      <c r="Q5147" s="556"/>
      <c r="R5147" s="582"/>
    </row>
    <row r="5148" ht="23.85" customHeight="1" spans="1:18">
      <c r="A5148" s="556" t="str">
        <f>B5148</f>
        <v> 13.28 </v>
      </c>
      <c r="B5148" s="557" t="str">
        <f>B5147</f>
        <v> 13.28 </v>
      </c>
      <c r="C5148" s="100" t="s">
        <v>2893</v>
      </c>
      <c r="D5148" s="99" t="s">
        <v>4013</v>
      </c>
      <c r="E5148" s="100" t="s">
        <v>77</v>
      </c>
      <c r="F5148" s="100" t="s">
        <v>4014</v>
      </c>
      <c r="G5148" s="100" t="s">
        <v>2896</v>
      </c>
      <c r="H5148" s="100"/>
      <c r="I5148" s="101" t="s">
        <v>2897</v>
      </c>
      <c r="J5148" s="580">
        <v>0.2</v>
      </c>
      <c r="K5148" s="580">
        <v>3</v>
      </c>
      <c r="L5148" s="102">
        <v>26.52</v>
      </c>
      <c r="M5148" s="102">
        <v>5.46</v>
      </c>
      <c r="N5148" s="573">
        <v>62.03</v>
      </c>
      <c r="O5148" s="556" t="str">
        <f>IF(N5148=M5148,"OK","DIF")</f>
        <v>DIF</v>
      </c>
      <c r="P5148" s="573"/>
      <c r="Q5148" s="556"/>
      <c r="R5148" s="582"/>
    </row>
    <row r="5149" ht="25.5" spans="1:18">
      <c r="A5149" s="556" t="str">
        <f>B5149</f>
        <v> 13.28 </v>
      </c>
      <c r="B5149" s="557" t="str">
        <f>B5148</f>
        <v> 13.28 </v>
      </c>
      <c r="C5149" s="108"/>
      <c r="D5149" s="108"/>
      <c r="E5149" s="108"/>
      <c r="F5149" s="108"/>
      <c r="G5149" s="108"/>
      <c r="H5149" s="108" t="s">
        <v>2898</v>
      </c>
      <c r="I5149" s="581">
        <v>5.46</v>
      </c>
      <c r="J5149" s="108" t="s">
        <v>2899</v>
      </c>
      <c r="K5149" s="581">
        <v>0</v>
      </c>
      <c r="L5149" s="108" t="s">
        <v>2900</v>
      </c>
      <c r="M5149" s="581">
        <v>5.46</v>
      </c>
      <c r="N5149" s="573">
        <v>27965.93</v>
      </c>
      <c r="O5149" s="556" t="str">
        <f>IF(N5149=M5149,"OK","DIF")</f>
        <v>DIF</v>
      </c>
      <c r="P5149" s="573"/>
      <c r="Q5149" s="556"/>
      <c r="R5149" s="582"/>
    </row>
    <row r="5150" ht="26.25" spans="1:18">
      <c r="A5150" s="556"/>
      <c r="B5150" s="557"/>
      <c r="C5150" s="108"/>
      <c r="D5150" s="108"/>
      <c r="E5150" s="108"/>
      <c r="F5150" s="108"/>
      <c r="G5150" s="108"/>
      <c r="H5150" s="108" t="s">
        <v>2901</v>
      </c>
      <c r="I5150" s="581">
        <v>6.08</v>
      </c>
      <c r="J5150" s="114"/>
      <c r="K5150" s="114" t="s">
        <v>2902</v>
      </c>
      <c r="L5150" s="108"/>
      <c r="M5150" s="581">
        <v>29.94</v>
      </c>
      <c r="N5150" s="573"/>
      <c r="O5150" s="556"/>
      <c r="P5150" s="573"/>
      <c r="Q5150" s="556"/>
      <c r="R5150" s="582"/>
    </row>
    <row r="5151" ht="15" spans="1:18">
      <c r="A5151" s="556"/>
      <c r="B5151" s="557"/>
      <c r="C5151" s="571"/>
      <c r="D5151" s="571"/>
      <c r="E5151" s="571"/>
      <c r="F5151" s="571"/>
      <c r="G5151" s="571"/>
      <c r="H5151" s="571"/>
      <c r="I5151" s="571"/>
      <c r="J5151" s="571"/>
      <c r="K5151" s="571"/>
      <c r="L5151" s="571"/>
      <c r="M5151" s="571"/>
      <c r="N5151" s="573"/>
      <c r="O5151" s="556"/>
      <c r="P5151" s="573"/>
      <c r="Q5151" s="556"/>
      <c r="R5151" s="582"/>
    </row>
    <row r="5152" ht="15" customHeight="1" spans="1:18">
      <c r="A5152" s="556"/>
      <c r="B5152" s="557">
        <f>C5151</f>
        <v>0</v>
      </c>
      <c r="C5152" s="76" t="s">
        <v>1759</v>
      </c>
      <c r="D5152" s="75" t="s">
        <v>63</v>
      </c>
      <c r="E5152" s="76" t="s">
        <v>64</v>
      </c>
      <c r="F5152" s="76" t="s">
        <v>65</v>
      </c>
      <c r="G5152" s="76" t="s">
        <v>2889</v>
      </c>
      <c r="H5152" s="76"/>
      <c r="I5152" s="77" t="s">
        <v>66</v>
      </c>
      <c r="J5152" s="75" t="s">
        <v>67</v>
      </c>
      <c r="K5152" s="75" t="s">
        <v>2890</v>
      </c>
      <c r="L5152" s="75" t="s">
        <v>68</v>
      </c>
      <c r="M5152" s="75" t="s">
        <v>70</v>
      </c>
      <c r="N5152" s="573">
        <v>68.22</v>
      </c>
      <c r="O5152" s="556" t="str">
        <f>IF(N5152=M5152,"OK","DIF")</f>
        <v>DIF</v>
      </c>
      <c r="P5152" s="573"/>
      <c r="Q5152" s="556"/>
      <c r="R5152" s="582"/>
    </row>
    <row r="5153" ht="23.85" customHeight="1" spans="1:18">
      <c r="A5153" s="556">
        <f>B5153</f>
        <v>0</v>
      </c>
      <c r="B5153" s="557">
        <f>B5152</f>
        <v>0</v>
      </c>
      <c r="C5153" s="569" t="s">
        <v>2891</v>
      </c>
      <c r="D5153" s="570" t="s">
        <v>1760</v>
      </c>
      <c r="E5153" s="569" t="s">
        <v>139</v>
      </c>
      <c r="F5153" s="569" t="s">
        <v>1761</v>
      </c>
      <c r="G5153" s="569" t="s">
        <v>4518</v>
      </c>
      <c r="H5153" s="569"/>
      <c r="I5153" s="577" t="s">
        <v>134</v>
      </c>
      <c r="J5153" s="578">
        <v>1</v>
      </c>
      <c r="K5153" s="579"/>
      <c r="L5153" s="579">
        <v>1330.92</v>
      </c>
      <c r="M5153" s="579">
        <v>1330.92</v>
      </c>
      <c r="N5153" s="573">
        <v>35.86</v>
      </c>
      <c r="O5153" s="556" t="str">
        <f>IF(N5153=M5153,"OK","DIF")</f>
        <v>DIF</v>
      </c>
      <c r="P5153" s="573"/>
      <c r="Q5153" s="556"/>
      <c r="R5153" s="582"/>
    </row>
    <row r="5154" ht="23.85" customHeight="1" spans="1:18">
      <c r="A5154" s="556">
        <f>B5154</f>
        <v>0</v>
      </c>
      <c r="B5154" s="557">
        <f>B5153</f>
        <v>0</v>
      </c>
      <c r="C5154" s="79" t="s">
        <v>2921</v>
      </c>
      <c r="D5154" s="78" t="s">
        <v>3153</v>
      </c>
      <c r="E5154" s="79" t="s">
        <v>139</v>
      </c>
      <c r="F5154" s="79" t="s">
        <v>3154</v>
      </c>
      <c r="G5154" s="79" t="s">
        <v>2928</v>
      </c>
      <c r="H5154" s="79"/>
      <c r="I5154" s="80" t="s">
        <v>2897</v>
      </c>
      <c r="J5154" s="583">
        <v>6.2007</v>
      </c>
      <c r="K5154" s="583">
        <v>0</v>
      </c>
      <c r="L5154" s="92">
        <v>30.6</v>
      </c>
      <c r="M5154" s="92">
        <v>189.74</v>
      </c>
      <c r="N5154" s="573">
        <v>32.36</v>
      </c>
      <c r="O5154" s="556" t="str">
        <f>IF(N5154=M5154,"OK","DIF")</f>
        <v>DIF</v>
      </c>
      <c r="P5154" s="573"/>
      <c r="Q5154" s="556"/>
      <c r="R5154" s="582"/>
    </row>
    <row r="5155" ht="23.85" customHeight="1" spans="1:18">
      <c r="A5155" s="556"/>
      <c r="B5155" s="557"/>
      <c r="C5155" s="79" t="s">
        <v>2921</v>
      </c>
      <c r="D5155" s="78" t="s">
        <v>3151</v>
      </c>
      <c r="E5155" s="79" t="s">
        <v>139</v>
      </c>
      <c r="F5155" s="79" t="s">
        <v>3152</v>
      </c>
      <c r="G5155" s="79" t="s">
        <v>2928</v>
      </c>
      <c r="H5155" s="79"/>
      <c r="I5155" s="80" t="s">
        <v>2897</v>
      </c>
      <c r="J5155" s="583">
        <v>6.2007</v>
      </c>
      <c r="K5155" s="583">
        <v>0</v>
      </c>
      <c r="L5155" s="92">
        <v>36.82</v>
      </c>
      <c r="M5155" s="92">
        <v>228.3</v>
      </c>
      <c r="N5155" s="573"/>
      <c r="O5155" s="556"/>
      <c r="P5155" s="573"/>
      <c r="Q5155" s="556"/>
      <c r="R5155" s="582"/>
    </row>
    <row r="5156" ht="23.85" customHeight="1" spans="1:18">
      <c r="A5156" s="556"/>
      <c r="B5156" s="557"/>
      <c r="C5156" s="100" t="s">
        <v>2893</v>
      </c>
      <c r="D5156" s="99" t="s">
        <v>4519</v>
      </c>
      <c r="E5156" s="100" t="s">
        <v>139</v>
      </c>
      <c r="F5156" s="100" t="s">
        <v>4520</v>
      </c>
      <c r="G5156" s="100" t="s">
        <v>2961</v>
      </c>
      <c r="H5156" s="100"/>
      <c r="I5156" s="101" t="s">
        <v>134</v>
      </c>
      <c r="J5156" s="580">
        <v>1</v>
      </c>
      <c r="K5156" s="580">
        <v>0</v>
      </c>
      <c r="L5156" s="102">
        <v>912.88</v>
      </c>
      <c r="M5156" s="102">
        <v>912.88</v>
      </c>
      <c r="N5156" s="573"/>
      <c r="O5156" s="556"/>
      <c r="P5156" s="573"/>
      <c r="Q5156" s="556"/>
      <c r="R5156" s="582"/>
    </row>
    <row r="5157" ht="25.5" spans="1:18">
      <c r="A5157" s="556"/>
      <c r="B5157" s="557" t="str">
        <f>C5156</f>
        <v>Insumo</v>
      </c>
      <c r="C5157" s="108"/>
      <c r="D5157" s="108"/>
      <c r="E5157" s="108"/>
      <c r="F5157" s="108"/>
      <c r="G5157" s="108"/>
      <c r="H5157" s="108" t="s">
        <v>2898</v>
      </c>
      <c r="I5157" s="581">
        <v>293.41</v>
      </c>
      <c r="J5157" s="108" t="s">
        <v>2899</v>
      </c>
      <c r="K5157" s="581">
        <v>0</v>
      </c>
      <c r="L5157" s="108" t="s">
        <v>2900</v>
      </c>
      <c r="M5157" s="581">
        <v>293.41</v>
      </c>
      <c r="N5157" s="573">
        <v>68.22</v>
      </c>
      <c r="O5157" s="556" t="str">
        <f>IF(N5157=M5157,"OK","DIF")</f>
        <v>DIF</v>
      </c>
      <c r="P5157" s="573"/>
      <c r="Q5157" s="556"/>
      <c r="R5157" s="582"/>
    </row>
    <row r="5158" ht="26.25" spans="1:18">
      <c r="A5158" s="556" t="str">
        <f>B5158</f>
        <v>Insumo</v>
      </c>
      <c r="B5158" s="557" t="str">
        <f>B5157</f>
        <v>Insumo</v>
      </c>
      <c r="C5158" s="108"/>
      <c r="D5158" s="108"/>
      <c r="E5158" s="108"/>
      <c r="F5158" s="108"/>
      <c r="G5158" s="108"/>
      <c r="H5158" s="108" t="s">
        <v>2901</v>
      </c>
      <c r="I5158" s="581">
        <v>339.25</v>
      </c>
      <c r="J5158" s="114"/>
      <c r="K5158" s="114" t="s">
        <v>2902</v>
      </c>
      <c r="L5158" s="108"/>
      <c r="M5158" s="581">
        <v>1670.17</v>
      </c>
      <c r="N5158" s="573">
        <v>35.86</v>
      </c>
      <c r="O5158" s="556" t="str">
        <f>IF(N5158=M5158,"OK","DIF")</f>
        <v>DIF</v>
      </c>
      <c r="P5158" s="573"/>
      <c r="Q5158" s="556"/>
      <c r="R5158" s="582"/>
    </row>
    <row r="5159" ht="15" spans="1:18">
      <c r="A5159" s="556" t="str">
        <f>B5159</f>
        <v>Insumo</v>
      </c>
      <c r="B5159" s="557" t="str">
        <f>B5158</f>
        <v>Insumo</v>
      </c>
      <c r="C5159" s="571"/>
      <c r="D5159" s="571"/>
      <c r="E5159" s="571"/>
      <c r="F5159" s="571"/>
      <c r="G5159" s="571"/>
      <c r="H5159" s="571"/>
      <c r="I5159" s="571"/>
      <c r="J5159" s="571"/>
      <c r="K5159" s="571"/>
      <c r="L5159" s="571"/>
      <c r="M5159" s="571"/>
      <c r="N5159" s="573">
        <v>32.36</v>
      </c>
      <c r="O5159" s="556" t="str">
        <f>IF(N5159=M5159,"OK","DIF")</f>
        <v>DIF</v>
      </c>
      <c r="P5159" s="573"/>
      <c r="Q5159" s="556"/>
      <c r="R5159" s="582"/>
    </row>
    <row r="5160" ht="15" customHeight="1" spans="1:18">
      <c r="A5160" s="556"/>
      <c r="B5160" s="557"/>
      <c r="C5160" s="76" t="s">
        <v>1762</v>
      </c>
      <c r="D5160" s="75" t="s">
        <v>63</v>
      </c>
      <c r="E5160" s="76" t="s">
        <v>64</v>
      </c>
      <c r="F5160" s="76" t="s">
        <v>65</v>
      </c>
      <c r="G5160" s="76" t="s">
        <v>2889</v>
      </c>
      <c r="H5160" s="76"/>
      <c r="I5160" s="77" t="s">
        <v>66</v>
      </c>
      <c r="J5160" s="75" t="s">
        <v>67</v>
      </c>
      <c r="K5160" s="75" t="s">
        <v>2890</v>
      </c>
      <c r="L5160" s="75" t="s">
        <v>68</v>
      </c>
      <c r="M5160" s="75" t="s">
        <v>70</v>
      </c>
      <c r="N5160" s="573"/>
      <c r="O5160" s="556"/>
      <c r="P5160" s="573"/>
      <c r="Q5160" s="556"/>
      <c r="R5160" s="582"/>
    </row>
    <row r="5161" spans="1:18">
      <c r="A5161" s="556"/>
      <c r="B5161" s="557"/>
      <c r="C5161" s="569" t="s">
        <v>2891</v>
      </c>
      <c r="D5161" s="570" t="s">
        <v>1763</v>
      </c>
      <c r="E5161" s="569" t="s">
        <v>149</v>
      </c>
      <c r="F5161" s="569" t="s">
        <v>1764</v>
      </c>
      <c r="G5161" s="569">
        <v>79</v>
      </c>
      <c r="H5161" s="569"/>
      <c r="I5161" s="577" t="s">
        <v>134</v>
      </c>
      <c r="J5161" s="578">
        <v>1</v>
      </c>
      <c r="K5161" s="579"/>
      <c r="L5161" s="579">
        <v>42.25</v>
      </c>
      <c r="M5161" s="579">
        <v>42.25</v>
      </c>
      <c r="N5161" s="573"/>
      <c r="O5161" s="556"/>
      <c r="P5161" s="573"/>
      <c r="Q5161" s="556"/>
      <c r="R5161" s="582"/>
    </row>
    <row r="5162" ht="15" customHeight="1" spans="1:18">
      <c r="A5162" s="556"/>
      <c r="B5162" s="557" t="str">
        <f>C5161</f>
        <v>Composição</v>
      </c>
      <c r="C5162" s="100" t="s">
        <v>2893</v>
      </c>
      <c r="D5162" s="99" t="s">
        <v>4521</v>
      </c>
      <c r="E5162" s="100" t="s">
        <v>149</v>
      </c>
      <c r="F5162" s="100" t="s">
        <v>4522</v>
      </c>
      <c r="G5162" s="100" t="s">
        <v>2961</v>
      </c>
      <c r="H5162" s="100"/>
      <c r="I5162" s="101" t="s">
        <v>134</v>
      </c>
      <c r="J5162" s="580">
        <v>1</v>
      </c>
      <c r="K5162" s="580">
        <v>0</v>
      </c>
      <c r="L5162" s="102">
        <v>32</v>
      </c>
      <c r="M5162" s="102">
        <v>32</v>
      </c>
      <c r="N5162" s="573">
        <v>68.22</v>
      </c>
      <c r="O5162" s="556" t="str">
        <f>IF(N5162=M5162,"OK","DIF")</f>
        <v>DIF</v>
      </c>
      <c r="P5162" s="573"/>
      <c r="Q5162" s="556"/>
      <c r="R5162" s="582"/>
    </row>
    <row r="5163" ht="15" customHeight="1" spans="1:18">
      <c r="A5163" s="556" t="str">
        <f>B5163</f>
        <v>Composição</v>
      </c>
      <c r="B5163" s="557" t="str">
        <f>B5162</f>
        <v>Composição</v>
      </c>
      <c r="C5163" s="100" t="s">
        <v>2893</v>
      </c>
      <c r="D5163" s="99" t="s">
        <v>4523</v>
      </c>
      <c r="E5163" s="100" t="s">
        <v>149</v>
      </c>
      <c r="F5163" s="100" t="s">
        <v>4524</v>
      </c>
      <c r="G5163" s="100" t="s">
        <v>2896</v>
      </c>
      <c r="H5163" s="100"/>
      <c r="I5163" s="101" t="s">
        <v>2897</v>
      </c>
      <c r="J5163" s="580">
        <v>0.5</v>
      </c>
      <c r="K5163" s="580">
        <v>0</v>
      </c>
      <c r="L5163" s="102">
        <v>20.515752</v>
      </c>
      <c r="M5163" s="102">
        <v>10.25</v>
      </c>
      <c r="N5163" s="573">
        <v>35.86</v>
      </c>
      <c r="O5163" s="556" t="str">
        <f>IF(N5163=M5163,"OK","DIF")</f>
        <v>DIF</v>
      </c>
      <c r="P5163" s="573"/>
      <c r="Q5163" s="556"/>
      <c r="R5163" s="582"/>
    </row>
    <row r="5164" ht="25.5" spans="1:18">
      <c r="A5164" s="556" t="str">
        <f>B5164</f>
        <v>Composição</v>
      </c>
      <c r="B5164" s="557" t="str">
        <f>B5163</f>
        <v>Composição</v>
      </c>
      <c r="C5164" s="108"/>
      <c r="D5164" s="108"/>
      <c r="E5164" s="108"/>
      <c r="F5164" s="108"/>
      <c r="G5164" s="108"/>
      <c r="H5164" s="108" t="s">
        <v>2898</v>
      </c>
      <c r="I5164" s="581">
        <v>10.25</v>
      </c>
      <c r="J5164" s="108" t="s">
        <v>2899</v>
      </c>
      <c r="K5164" s="581">
        <v>0</v>
      </c>
      <c r="L5164" s="108" t="s">
        <v>2900</v>
      </c>
      <c r="M5164" s="581">
        <v>10.25</v>
      </c>
      <c r="N5164" s="573">
        <v>32.36</v>
      </c>
      <c r="O5164" s="556" t="str">
        <f>IF(N5164=M5164,"OK","DIF")</f>
        <v>DIF</v>
      </c>
      <c r="P5164" s="573"/>
      <c r="Q5164" s="556"/>
      <c r="R5164" s="582"/>
    </row>
    <row r="5165" ht="26.25" spans="1:18">
      <c r="A5165" s="556"/>
      <c r="B5165" s="557"/>
      <c r="C5165" s="108"/>
      <c r="D5165" s="108"/>
      <c r="E5165" s="108"/>
      <c r="F5165" s="108"/>
      <c r="G5165" s="108"/>
      <c r="H5165" s="108" t="s">
        <v>2901</v>
      </c>
      <c r="I5165" s="581">
        <v>10.76</v>
      </c>
      <c r="J5165" s="114"/>
      <c r="K5165" s="114" t="s">
        <v>2902</v>
      </c>
      <c r="L5165" s="108"/>
      <c r="M5165" s="581">
        <v>53.01</v>
      </c>
      <c r="N5165" s="573"/>
      <c r="O5165" s="556"/>
      <c r="P5165" s="573"/>
      <c r="Q5165" s="556"/>
      <c r="R5165" s="582"/>
    </row>
    <row r="5166" ht="15" spans="1:18">
      <c r="A5166" s="556"/>
      <c r="B5166" s="557"/>
      <c r="C5166" s="571"/>
      <c r="D5166" s="571"/>
      <c r="E5166" s="571"/>
      <c r="F5166" s="571"/>
      <c r="G5166" s="571"/>
      <c r="H5166" s="571"/>
      <c r="I5166" s="571"/>
      <c r="J5166" s="571"/>
      <c r="K5166" s="571"/>
      <c r="L5166" s="571"/>
      <c r="M5166" s="571"/>
      <c r="N5166" s="573"/>
      <c r="O5166" s="556"/>
      <c r="P5166" s="573"/>
      <c r="Q5166" s="556"/>
      <c r="R5166" s="582"/>
    </row>
    <row r="5167" ht="15" customHeight="1" spans="1:18">
      <c r="A5167" s="556"/>
      <c r="B5167" s="557">
        <f>C5166</f>
        <v>0</v>
      </c>
      <c r="C5167" s="76" t="s">
        <v>1765</v>
      </c>
      <c r="D5167" s="75" t="s">
        <v>63</v>
      </c>
      <c r="E5167" s="76" t="s">
        <v>64</v>
      </c>
      <c r="F5167" s="76" t="s">
        <v>65</v>
      </c>
      <c r="G5167" s="76" t="s">
        <v>2889</v>
      </c>
      <c r="H5167" s="76"/>
      <c r="I5167" s="77" t="s">
        <v>66</v>
      </c>
      <c r="J5167" s="75" t="s">
        <v>67</v>
      </c>
      <c r="K5167" s="75" t="s">
        <v>2890</v>
      </c>
      <c r="L5167" s="75" t="s">
        <v>68</v>
      </c>
      <c r="M5167" s="75" t="s">
        <v>70</v>
      </c>
      <c r="N5167" s="573">
        <v>127.78</v>
      </c>
      <c r="O5167" s="556" t="str">
        <f>IF(N5167=M5167,"OK","DIF")</f>
        <v>DIF</v>
      </c>
      <c r="P5167" s="573"/>
      <c r="Q5167" s="556"/>
      <c r="R5167" s="582"/>
    </row>
    <row r="5168" ht="23.85" customHeight="1" spans="1:18">
      <c r="A5168" s="556">
        <f>B5168</f>
        <v>0</v>
      </c>
      <c r="B5168" s="557">
        <f>B5167</f>
        <v>0</v>
      </c>
      <c r="C5168" s="569" t="s">
        <v>2891</v>
      </c>
      <c r="D5168" s="570" t="s">
        <v>1766</v>
      </c>
      <c r="E5168" s="569" t="s">
        <v>149</v>
      </c>
      <c r="F5168" s="569" t="s">
        <v>1767</v>
      </c>
      <c r="G5168" s="569" t="s">
        <v>4525</v>
      </c>
      <c r="H5168" s="569"/>
      <c r="I5168" s="577" t="s">
        <v>134</v>
      </c>
      <c r="J5168" s="578">
        <v>1</v>
      </c>
      <c r="K5168" s="579"/>
      <c r="L5168" s="579">
        <v>445.83</v>
      </c>
      <c r="M5168" s="579">
        <v>445.83</v>
      </c>
      <c r="N5168" s="573">
        <v>32.36</v>
      </c>
      <c r="O5168" s="556" t="str">
        <f>IF(N5168=M5168,"OK","DIF")</f>
        <v>DIF</v>
      </c>
      <c r="P5168" s="573"/>
      <c r="Q5168" s="556"/>
      <c r="R5168" s="582"/>
    </row>
    <row r="5169" ht="23.85" customHeight="1" spans="1:18">
      <c r="A5169" s="556">
        <f>B5169</f>
        <v>0</v>
      </c>
      <c r="B5169" s="557">
        <f>B5168</f>
        <v>0</v>
      </c>
      <c r="C5169" s="100" t="s">
        <v>2893</v>
      </c>
      <c r="D5169" s="99" t="s">
        <v>4526</v>
      </c>
      <c r="E5169" s="100" t="s">
        <v>149</v>
      </c>
      <c r="F5169" s="100" t="s">
        <v>4527</v>
      </c>
      <c r="G5169" s="100" t="s">
        <v>2961</v>
      </c>
      <c r="H5169" s="100"/>
      <c r="I5169" s="101" t="s">
        <v>134</v>
      </c>
      <c r="J5169" s="580">
        <v>1</v>
      </c>
      <c r="K5169" s="580">
        <v>0</v>
      </c>
      <c r="L5169" s="102">
        <v>325</v>
      </c>
      <c r="M5169" s="102">
        <v>325</v>
      </c>
      <c r="N5169" s="573">
        <v>35.86</v>
      </c>
      <c r="O5169" s="556" t="str">
        <f>IF(N5169=M5169,"OK","DIF")</f>
        <v>DIF</v>
      </c>
      <c r="P5169" s="573"/>
      <c r="Q5169" s="556"/>
      <c r="R5169" s="582"/>
    </row>
    <row r="5170" ht="15" customHeight="1" spans="1:18">
      <c r="A5170" s="556">
        <f>B5170</f>
        <v>0</v>
      </c>
      <c r="B5170" s="557">
        <f>B5169</f>
        <v>0</v>
      </c>
      <c r="C5170" s="100" t="s">
        <v>2893</v>
      </c>
      <c r="D5170" s="99" t="s">
        <v>4528</v>
      </c>
      <c r="E5170" s="100" t="s">
        <v>149</v>
      </c>
      <c r="F5170" s="100" t="s">
        <v>4529</v>
      </c>
      <c r="G5170" s="100" t="s">
        <v>2896</v>
      </c>
      <c r="H5170" s="100"/>
      <c r="I5170" s="101" t="s">
        <v>2897</v>
      </c>
      <c r="J5170" s="580">
        <v>2.1</v>
      </c>
      <c r="K5170" s="580">
        <v>0</v>
      </c>
      <c r="L5170" s="102">
        <v>37.026352</v>
      </c>
      <c r="M5170" s="102">
        <v>77.75</v>
      </c>
      <c r="N5170" s="573">
        <v>59.56</v>
      </c>
      <c r="O5170" s="556" t="str">
        <f>IF(N5170=M5170,"OK","DIF")</f>
        <v>DIF</v>
      </c>
      <c r="P5170" s="573"/>
      <c r="Q5170" s="556"/>
      <c r="R5170" s="582"/>
    </row>
    <row r="5171" ht="15" customHeight="1" spans="1:18">
      <c r="A5171" s="556"/>
      <c r="B5171" s="557"/>
      <c r="C5171" s="100" t="s">
        <v>2893</v>
      </c>
      <c r="D5171" s="99" t="s">
        <v>4523</v>
      </c>
      <c r="E5171" s="100" t="s">
        <v>149</v>
      </c>
      <c r="F5171" s="100" t="s">
        <v>4524</v>
      </c>
      <c r="G5171" s="100" t="s">
        <v>2896</v>
      </c>
      <c r="H5171" s="100"/>
      <c r="I5171" s="101" t="s">
        <v>2897</v>
      </c>
      <c r="J5171" s="580">
        <v>2.1</v>
      </c>
      <c r="K5171" s="580">
        <v>0</v>
      </c>
      <c r="L5171" s="102">
        <v>20.515752</v>
      </c>
      <c r="M5171" s="102">
        <v>43.08</v>
      </c>
      <c r="N5171" s="573"/>
      <c r="O5171" s="556"/>
      <c r="P5171" s="573"/>
      <c r="Q5171" s="556"/>
      <c r="R5171" s="582"/>
    </row>
    <row r="5172" ht="25.5" spans="1:18">
      <c r="A5172" s="556"/>
      <c r="B5172" s="557"/>
      <c r="C5172" s="108"/>
      <c r="D5172" s="108"/>
      <c r="E5172" s="108"/>
      <c r="F5172" s="108"/>
      <c r="G5172" s="108"/>
      <c r="H5172" s="108" t="s">
        <v>2898</v>
      </c>
      <c r="I5172" s="581">
        <v>120.83</v>
      </c>
      <c r="J5172" s="108" t="s">
        <v>2899</v>
      </c>
      <c r="K5172" s="581">
        <v>0</v>
      </c>
      <c r="L5172" s="108" t="s">
        <v>2900</v>
      </c>
      <c r="M5172" s="581">
        <v>120.83</v>
      </c>
      <c r="N5172" s="573"/>
      <c r="O5172" s="556"/>
      <c r="P5172" s="573"/>
      <c r="Q5172" s="556"/>
      <c r="R5172" s="582"/>
    </row>
    <row r="5173" ht="26.25" spans="1:18">
      <c r="A5173" s="556"/>
      <c r="B5173" s="557">
        <f>C5172</f>
        <v>0</v>
      </c>
      <c r="C5173" s="108"/>
      <c r="D5173" s="108"/>
      <c r="E5173" s="108"/>
      <c r="F5173" s="108"/>
      <c r="G5173" s="108"/>
      <c r="H5173" s="108" t="s">
        <v>2901</v>
      </c>
      <c r="I5173" s="581">
        <v>113.64</v>
      </c>
      <c r="J5173" s="114"/>
      <c r="K5173" s="114" t="s">
        <v>2902</v>
      </c>
      <c r="L5173" s="108"/>
      <c r="M5173" s="581">
        <v>559.47</v>
      </c>
      <c r="N5173" s="573">
        <v>186.47</v>
      </c>
      <c r="O5173" s="556" t="str">
        <f>IF(N5173=M5173,"OK","DIF")</f>
        <v>DIF</v>
      </c>
      <c r="P5173" s="573"/>
      <c r="Q5173" s="556"/>
      <c r="R5173" s="582"/>
    </row>
    <row r="5174" ht="15" spans="1:18">
      <c r="A5174" s="556">
        <f>B5174</f>
        <v>0</v>
      </c>
      <c r="B5174" s="557">
        <f>B5173</f>
        <v>0</v>
      </c>
      <c r="C5174" s="571"/>
      <c r="D5174" s="571"/>
      <c r="E5174" s="571"/>
      <c r="F5174" s="571"/>
      <c r="G5174" s="571"/>
      <c r="H5174" s="571"/>
      <c r="I5174" s="571"/>
      <c r="J5174" s="571"/>
      <c r="K5174" s="571"/>
      <c r="L5174" s="571"/>
      <c r="M5174" s="571"/>
      <c r="N5174" s="573">
        <v>35.86</v>
      </c>
      <c r="O5174" s="556" t="str">
        <f>IF(N5174=M5174,"OK","DIF")</f>
        <v>DIF</v>
      </c>
      <c r="P5174" s="573"/>
      <c r="Q5174" s="556"/>
      <c r="R5174" s="582"/>
    </row>
    <row r="5175" ht="15" customHeight="1" spans="1:18">
      <c r="A5175" s="556">
        <f>B5175</f>
        <v>0</v>
      </c>
      <c r="B5175" s="557">
        <f>B5174</f>
        <v>0</v>
      </c>
      <c r="C5175" s="76" t="s">
        <v>1768</v>
      </c>
      <c r="D5175" s="75" t="s">
        <v>63</v>
      </c>
      <c r="E5175" s="76" t="s">
        <v>64</v>
      </c>
      <c r="F5175" s="76" t="s">
        <v>65</v>
      </c>
      <c r="G5175" s="76" t="s">
        <v>2889</v>
      </c>
      <c r="H5175" s="76"/>
      <c r="I5175" s="77" t="s">
        <v>66</v>
      </c>
      <c r="J5175" s="75" t="s">
        <v>67</v>
      </c>
      <c r="K5175" s="75" t="s">
        <v>2890</v>
      </c>
      <c r="L5175" s="75" t="s">
        <v>68</v>
      </c>
      <c r="M5175" s="75" t="s">
        <v>70</v>
      </c>
      <c r="N5175" s="573">
        <v>32.36</v>
      </c>
      <c r="O5175" s="556" t="str">
        <f>IF(N5175=M5175,"OK","DIF")</f>
        <v>DIF</v>
      </c>
      <c r="P5175" s="573"/>
      <c r="Q5175" s="556"/>
      <c r="R5175" s="582"/>
    </row>
    <row r="5176" ht="23.85" customHeight="1" spans="1:18">
      <c r="A5176" s="556">
        <f>B5176</f>
        <v>0</v>
      </c>
      <c r="B5176" s="557">
        <f>B5175</f>
        <v>0</v>
      </c>
      <c r="C5176" s="569" t="s">
        <v>2891</v>
      </c>
      <c r="D5176" s="570" t="s">
        <v>1769</v>
      </c>
      <c r="E5176" s="569" t="s">
        <v>139</v>
      </c>
      <c r="F5176" s="569" t="s">
        <v>1770</v>
      </c>
      <c r="G5176" s="569" t="s">
        <v>4518</v>
      </c>
      <c r="H5176" s="569"/>
      <c r="I5176" s="577" t="s">
        <v>134</v>
      </c>
      <c r="J5176" s="578">
        <v>1</v>
      </c>
      <c r="K5176" s="579"/>
      <c r="L5176" s="579">
        <v>2843.1</v>
      </c>
      <c r="M5176" s="579">
        <v>2843.1</v>
      </c>
      <c r="N5176" s="573">
        <v>118.25</v>
      </c>
      <c r="O5176" s="556" t="str">
        <f>IF(N5176=M5176,"OK","DIF")</f>
        <v>DIF</v>
      </c>
      <c r="P5176" s="573"/>
      <c r="Q5176" s="556"/>
      <c r="R5176" s="582"/>
    </row>
    <row r="5177" ht="23.85" customHeight="1" spans="1:18">
      <c r="A5177" s="556"/>
      <c r="B5177" s="557"/>
      <c r="C5177" s="79" t="s">
        <v>2921</v>
      </c>
      <c r="D5177" s="78" t="s">
        <v>3151</v>
      </c>
      <c r="E5177" s="79" t="s">
        <v>139</v>
      </c>
      <c r="F5177" s="79" t="s">
        <v>3152</v>
      </c>
      <c r="G5177" s="79" t="s">
        <v>2928</v>
      </c>
      <c r="H5177" s="79"/>
      <c r="I5177" s="80" t="s">
        <v>2897</v>
      </c>
      <c r="J5177" s="583">
        <v>1.0259</v>
      </c>
      <c r="K5177" s="583">
        <v>0</v>
      </c>
      <c r="L5177" s="92">
        <v>36.82</v>
      </c>
      <c r="M5177" s="92">
        <v>37.77</v>
      </c>
      <c r="N5177" s="573"/>
      <c r="O5177" s="556"/>
      <c r="P5177" s="573"/>
      <c r="Q5177" s="556"/>
      <c r="R5177" s="582"/>
    </row>
    <row r="5178" ht="23.85" customHeight="1" spans="1:18">
      <c r="A5178" s="556"/>
      <c r="B5178" s="557"/>
      <c r="C5178" s="79" t="s">
        <v>2921</v>
      </c>
      <c r="D5178" s="78" t="s">
        <v>3153</v>
      </c>
      <c r="E5178" s="79" t="s">
        <v>139</v>
      </c>
      <c r="F5178" s="79" t="s">
        <v>3154</v>
      </c>
      <c r="G5178" s="79" t="s">
        <v>2928</v>
      </c>
      <c r="H5178" s="79"/>
      <c r="I5178" s="80" t="s">
        <v>2897</v>
      </c>
      <c r="J5178" s="583">
        <v>1.0259</v>
      </c>
      <c r="K5178" s="583">
        <v>0</v>
      </c>
      <c r="L5178" s="92">
        <v>30.6</v>
      </c>
      <c r="M5178" s="92">
        <v>31.39</v>
      </c>
      <c r="N5178" s="573"/>
      <c r="O5178" s="556"/>
      <c r="P5178" s="573"/>
      <c r="Q5178" s="556"/>
      <c r="R5178" s="582"/>
    </row>
    <row r="5179" ht="23.85" customHeight="1" spans="1:18">
      <c r="A5179" s="556"/>
      <c r="B5179" s="557" t="str">
        <f>C5178</f>
        <v>Composição Auxiliar</v>
      </c>
      <c r="C5179" s="100" t="s">
        <v>2893</v>
      </c>
      <c r="D5179" s="99" t="s">
        <v>4530</v>
      </c>
      <c r="E5179" s="100" t="s">
        <v>139</v>
      </c>
      <c r="F5179" s="100" t="s">
        <v>4531</v>
      </c>
      <c r="G5179" s="100" t="s">
        <v>2961</v>
      </c>
      <c r="H5179" s="100"/>
      <c r="I5179" s="101" t="s">
        <v>134</v>
      </c>
      <c r="J5179" s="580">
        <v>1</v>
      </c>
      <c r="K5179" s="580">
        <v>0</v>
      </c>
      <c r="L5179" s="102">
        <v>2773.94</v>
      </c>
      <c r="M5179" s="102">
        <v>2773.94</v>
      </c>
      <c r="N5179" s="573">
        <v>315.72</v>
      </c>
      <c r="O5179" s="556" t="str">
        <f>IF(N5179=M5179,"OK","DIF")</f>
        <v>DIF</v>
      </c>
      <c r="P5179" s="573"/>
      <c r="Q5179" s="556"/>
      <c r="R5179" s="582"/>
    </row>
    <row r="5180" ht="25.5" spans="1:18">
      <c r="A5180" s="556" t="str">
        <f>B5180</f>
        <v>Composição Auxiliar</v>
      </c>
      <c r="B5180" s="557" t="str">
        <f>B5179</f>
        <v>Composição Auxiliar</v>
      </c>
      <c r="C5180" s="108"/>
      <c r="D5180" s="108"/>
      <c r="E5180" s="108"/>
      <c r="F5180" s="108"/>
      <c r="G5180" s="108"/>
      <c r="H5180" s="108" t="s">
        <v>2898</v>
      </c>
      <c r="I5180" s="581">
        <v>48.54</v>
      </c>
      <c r="J5180" s="108" t="s">
        <v>2899</v>
      </c>
      <c r="K5180" s="581">
        <v>0</v>
      </c>
      <c r="L5180" s="108" t="s">
        <v>2900</v>
      </c>
      <c r="M5180" s="581">
        <v>48.54</v>
      </c>
      <c r="N5180" s="573">
        <v>35.86</v>
      </c>
      <c r="O5180" s="556" t="str">
        <f>IF(N5180=M5180,"OK","DIF")</f>
        <v>DIF</v>
      </c>
      <c r="P5180" s="573"/>
      <c r="Q5180" s="556"/>
      <c r="R5180" s="582"/>
    </row>
    <row r="5181" ht="26.25" spans="1:18">
      <c r="A5181" s="556" t="str">
        <f>B5181</f>
        <v>Composição Auxiliar</v>
      </c>
      <c r="B5181" s="557" t="str">
        <f>B5180</f>
        <v>Composição Auxiliar</v>
      </c>
      <c r="C5181" s="108"/>
      <c r="D5181" s="108"/>
      <c r="E5181" s="108"/>
      <c r="F5181" s="108"/>
      <c r="G5181" s="108"/>
      <c r="H5181" s="108" t="s">
        <v>2901</v>
      </c>
      <c r="I5181" s="581">
        <v>724.7</v>
      </c>
      <c r="J5181" s="114"/>
      <c r="K5181" s="114" t="s">
        <v>2902</v>
      </c>
      <c r="L5181" s="108"/>
      <c r="M5181" s="581">
        <v>3567.8</v>
      </c>
      <c r="N5181" s="573">
        <v>32.36</v>
      </c>
      <c r="O5181" s="556" t="str">
        <f>IF(N5181=M5181,"OK","DIF")</f>
        <v>DIF</v>
      </c>
      <c r="P5181" s="573"/>
      <c r="Q5181" s="556"/>
      <c r="R5181" s="582"/>
    </row>
    <row r="5182" ht="15" spans="1:18">
      <c r="A5182" s="556" t="str">
        <f>B5182</f>
        <v>Composição Auxiliar</v>
      </c>
      <c r="B5182" s="557" t="str">
        <f>B5181</f>
        <v>Composição Auxiliar</v>
      </c>
      <c r="C5182" s="571"/>
      <c r="D5182" s="571"/>
      <c r="E5182" s="571"/>
      <c r="F5182" s="571"/>
      <c r="G5182" s="571"/>
      <c r="H5182" s="571"/>
      <c r="I5182" s="571"/>
      <c r="J5182" s="571"/>
      <c r="K5182" s="571"/>
      <c r="L5182" s="571"/>
      <c r="M5182" s="571"/>
      <c r="N5182" s="573">
        <v>247.5</v>
      </c>
      <c r="O5182" s="556" t="str">
        <f>IF(N5182=M5182,"OK","DIF")</f>
        <v>DIF</v>
      </c>
      <c r="P5182" s="573"/>
      <c r="Q5182" s="556"/>
      <c r="R5182" s="582"/>
    </row>
    <row r="5183" ht="15" customHeight="1" spans="1:18">
      <c r="A5183" s="556"/>
      <c r="B5183" s="557"/>
      <c r="C5183" s="76" t="s">
        <v>1771</v>
      </c>
      <c r="D5183" s="75" t="s">
        <v>63</v>
      </c>
      <c r="E5183" s="76" t="s">
        <v>64</v>
      </c>
      <c r="F5183" s="76" t="s">
        <v>65</v>
      </c>
      <c r="G5183" s="76" t="s">
        <v>2889</v>
      </c>
      <c r="H5183" s="76"/>
      <c r="I5183" s="77" t="s">
        <v>66</v>
      </c>
      <c r="J5183" s="75" t="s">
        <v>67</v>
      </c>
      <c r="K5183" s="75" t="s">
        <v>2890</v>
      </c>
      <c r="L5183" s="75" t="s">
        <v>68</v>
      </c>
      <c r="M5183" s="75" t="s">
        <v>70</v>
      </c>
      <c r="N5183" s="573"/>
      <c r="O5183" s="556"/>
      <c r="P5183" s="573"/>
      <c r="Q5183" s="556"/>
      <c r="R5183" s="582"/>
    </row>
    <row r="5184" ht="46.25" customHeight="1" spans="1:18">
      <c r="A5184" s="556"/>
      <c r="B5184" s="557"/>
      <c r="C5184" s="569" t="s">
        <v>2891</v>
      </c>
      <c r="D5184" s="570" t="s">
        <v>1772</v>
      </c>
      <c r="E5184" s="569" t="s">
        <v>132</v>
      </c>
      <c r="F5184" s="569" t="s">
        <v>1773</v>
      </c>
      <c r="G5184" s="569" t="s">
        <v>4532</v>
      </c>
      <c r="H5184" s="569"/>
      <c r="I5184" s="577" t="s">
        <v>134</v>
      </c>
      <c r="J5184" s="578">
        <v>1</v>
      </c>
      <c r="K5184" s="579"/>
      <c r="L5184" s="579">
        <v>1711.95</v>
      </c>
      <c r="M5184" s="579">
        <v>1711.95</v>
      </c>
      <c r="N5184" s="573"/>
      <c r="O5184" s="556"/>
      <c r="P5184" s="573"/>
      <c r="Q5184" s="556"/>
      <c r="R5184" s="582"/>
    </row>
    <row r="5185" ht="23.85" customHeight="1" spans="1:18">
      <c r="A5185" s="556"/>
      <c r="B5185" s="557" t="str">
        <f>C5184</f>
        <v>Composição</v>
      </c>
      <c r="C5185" s="79" t="s">
        <v>2921</v>
      </c>
      <c r="D5185" s="78" t="s">
        <v>3487</v>
      </c>
      <c r="E5185" s="79" t="s">
        <v>139</v>
      </c>
      <c r="F5185" s="79" t="s">
        <v>3488</v>
      </c>
      <c r="G5185" s="79" t="s">
        <v>2928</v>
      </c>
      <c r="H5185" s="79"/>
      <c r="I5185" s="80" t="s">
        <v>2897</v>
      </c>
      <c r="J5185" s="583">
        <v>2</v>
      </c>
      <c r="K5185" s="583">
        <v>0</v>
      </c>
      <c r="L5185" s="92">
        <v>30.31</v>
      </c>
      <c r="M5185" s="92">
        <v>60.62</v>
      </c>
      <c r="N5185" s="573">
        <v>315.72</v>
      </c>
      <c r="O5185" s="556" t="str">
        <f>IF(N5185=M5185,"OK","DIF")</f>
        <v>DIF</v>
      </c>
      <c r="P5185" s="573"/>
      <c r="Q5185" s="556"/>
      <c r="R5185" s="582"/>
    </row>
    <row r="5186" ht="23.85" customHeight="1" spans="1:18">
      <c r="A5186" s="556" t="str">
        <f>B5186</f>
        <v>Composição</v>
      </c>
      <c r="B5186" s="557" t="str">
        <f>B5185</f>
        <v>Composição</v>
      </c>
      <c r="C5186" s="79" t="s">
        <v>2921</v>
      </c>
      <c r="D5186" s="78" t="s">
        <v>4190</v>
      </c>
      <c r="E5186" s="79" t="s">
        <v>139</v>
      </c>
      <c r="F5186" s="79" t="s">
        <v>4191</v>
      </c>
      <c r="G5186" s="79" t="s">
        <v>2928</v>
      </c>
      <c r="H5186" s="79"/>
      <c r="I5186" s="80" t="s">
        <v>2897</v>
      </c>
      <c r="J5186" s="583">
        <v>2</v>
      </c>
      <c r="K5186" s="583">
        <v>0</v>
      </c>
      <c r="L5186" s="92">
        <v>40.65</v>
      </c>
      <c r="M5186" s="92">
        <v>81.3</v>
      </c>
      <c r="N5186" s="573">
        <v>35.86</v>
      </c>
      <c r="O5186" s="556" t="str">
        <f>IF(N5186=M5186,"OK","DIF")</f>
        <v>DIF</v>
      </c>
      <c r="P5186" s="573"/>
      <c r="Q5186" s="556"/>
      <c r="R5186" s="582"/>
    </row>
    <row r="5187" ht="35.05" customHeight="1" spans="1:18">
      <c r="A5187" s="556" t="str">
        <f>B5187</f>
        <v>Composição</v>
      </c>
      <c r="B5187" s="557" t="str">
        <f>B5186</f>
        <v>Composição</v>
      </c>
      <c r="C5187" s="100" t="s">
        <v>2893</v>
      </c>
      <c r="D5187" s="99" t="s">
        <v>4533</v>
      </c>
      <c r="E5187" s="100" t="s">
        <v>132</v>
      </c>
      <c r="F5187" s="100" t="s">
        <v>4534</v>
      </c>
      <c r="G5187" s="100" t="s">
        <v>3395</v>
      </c>
      <c r="H5187" s="100"/>
      <c r="I5187" s="101" t="s">
        <v>134</v>
      </c>
      <c r="J5187" s="580">
        <v>1</v>
      </c>
      <c r="K5187" s="580">
        <v>0</v>
      </c>
      <c r="L5187" s="102">
        <v>1570.03</v>
      </c>
      <c r="M5187" s="102">
        <v>1570.03</v>
      </c>
      <c r="N5187" s="573">
        <v>32.36</v>
      </c>
      <c r="O5187" s="556" t="str">
        <f>IF(N5187=M5187,"OK","DIF")</f>
        <v>DIF</v>
      </c>
      <c r="P5187" s="573"/>
      <c r="Q5187" s="556"/>
      <c r="R5187" s="582"/>
    </row>
    <row r="5188" ht="25.5" spans="1:18">
      <c r="A5188" s="556" t="str">
        <f>B5188</f>
        <v>Composição</v>
      </c>
      <c r="B5188" s="557" t="str">
        <f>B5187</f>
        <v>Composição</v>
      </c>
      <c r="C5188" s="108"/>
      <c r="D5188" s="108"/>
      <c r="E5188" s="108"/>
      <c r="F5188" s="108"/>
      <c r="G5188" s="108"/>
      <c r="H5188" s="108" t="s">
        <v>2898</v>
      </c>
      <c r="I5188" s="581">
        <v>101.96</v>
      </c>
      <c r="J5188" s="108" t="s">
        <v>2899</v>
      </c>
      <c r="K5188" s="581">
        <v>0</v>
      </c>
      <c r="L5188" s="108" t="s">
        <v>2900</v>
      </c>
      <c r="M5188" s="581">
        <v>101.96</v>
      </c>
      <c r="N5188" s="573">
        <v>247.5</v>
      </c>
      <c r="O5188" s="556" t="str">
        <f>IF(N5188=M5188,"OK","DIF")</f>
        <v>DIF</v>
      </c>
      <c r="P5188" s="573"/>
      <c r="Q5188" s="556"/>
      <c r="R5188" s="582"/>
    </row>
    <row r="5189" ht="26.25" spans="1:18">
      <c r="A5189" s="556"/>
      <c r="B5189" s="557"/>
      <c r="C5189" s="108"/>
      <c r="D5189" s="108"/>
      <c r="E5189" s="108"/>
      <c r="F5189" s="108"/>
      <c r="G5189" s="108"/>
      <c r="H5189" s="108" t="s">
        <v>2901</v>
      </c>
      <c r="I5189" s="581">
        <v>436.37</v>
      </c>
      <c r="J5189" s="114"/>
      <c r="K5189" s="114" t="s">
        <v>2902</v>
      </c>
      <c r="L5189" s="108"/>
      <c r="M5189" s="581">
        <v>2148.32</v>
      </c>
      <c r="N5189" s="573"/>
      <c r="O5189" s="556"/>
      <c r="P5189" s="573"/>
      <c r="Q5189" s="556"/>
      <c r="R5189" s="582"/>
    </row>
    <row r="5190" ht="15" spans="1:18">
      <c r="A5190" s="556"/>
      <c r="B5190" s="557"/>
      <c r="C5190" s="571"/>
      <c r="D5190" s="571"/>
      <c r="E5190" s="571"/>
      <c r="F5190" s="571"/>
      <c r="G5190" s="571"/>
      <c r="H5190" s="571"/>
      <c r="I5190" s="571"/>
      <c r="J5190" s="571"/>
      <c r="K5190" s="571"/>
      <c r="L5190" s="571"/>
      <c r="M5190" s="571"/>
      <c r="N5190" s="573"/>
      <c r="O5190" s="556"/>
      <c r="P5190" s="573"/>
      <c r="Q5190" s="556"/>
      <c r="R5190" s="582"/>
    </row>
    <row r="5191" ht="15" customHeight="1" spans="1:18">
      <c r="A5191" s="556"/>
      <c r="B5191" s="557">
        <f>C5190</f>
        <v>0</v>
      </c>
      <c r="C5191" s="76" t="s">
        <v>1774</v>
      </c>
      <c r="D5191" s="75" t="s">
        <v>63</v>
      </c>
      <c r="E5191" s="76" t="s">
        <v>64</v>
      </c>
      <c r="F5191" s="76" t="s">
        <v>65</v>
      </c>
      <c r="G5191" s="76" t="s">
        <v>2889</v>
      </c>
      <c r="H5191" s="76"/>
      <c r="I5191" s="77" t="s">
        <v>66</v>
      </c>
      <c r="J5191" s="75" t="s">
        <v>67</v>
      </c>
      <c r="K5191" s="75" t="s">
        <v>2890</v>
      </c>
      <c r="L5191" s="75" t="s">
        <v>68</v>
      </c>
      <c r="M5191" s="75" t="s">
        <v>70</v>
      </c>
      <c r="N5191" s="573">
        <v>315.72</v>
      </c>
      <c r="O5191" s="556" t="str">
        <f>IF(N5191=M5191,"OK","DIF")</f>
        <v>DIF</v>
      </c>
      <c r="P5191" s="573"/>
      <c r="Q5191" s="556"/>
      <c r="R5191" s="582"/>
    </row>
    <row r="5192" ht="46.25" customHeight="1" spans="1:18">
      <c r="A5192" s="556">
        <f>B5192</f>
        <v>0</v>
      </c>
      <c r="B5192" s="557">
        <f>B5191</f>
        <v>0</v>
      </c>
      <c r="C5192" s="569" t="s">
        <v>2891</v>
      </c>
      <c r="D5192" s="570" t="s">
        <v>1649</v>
      </c>
      <c r="E5192" s="569" t="s">
        <v>139</v>
      </c>
      <c r="F5192" s="569" t="s">
        <v>4437</v>
      </c>
      <c r="G5192" s="569" t="s">
        <v>3215</v>
      </c>
      <c r="H5192" s="569"/>
      <c r="I5192" s="577" t="s">
        <v>279</v>
      </c>
      <c r="J5192" s="578">
        <v>1</v>
      </c>
      <c r="K5192" s="579"/>
      <c r="L5192" s="579">
        <v>17.37</v>
      </c>
      <c r="M5192" s="579">
        <v>17.37</v>
      </c>
      <c r="N5192" s="573">
        <v>32.36</v>
      </c>
      <c r="O5192" s="556" t="str">
        <f>IF(N5192=M5192,"OK","DIF")</f>
        <v>DIF</v>
      </c>
      <c r="P5192" s="573"/>
      <c r="Q5192" s="556"/>
      <c r="R5192" s="582"/>
    </row>
    <row r="5193" ht="46.25" customHeight="1" spans="1:18">
      <c r="A5193" s="556">
        <f>B5193</f>
        <v>0</v>
      </c>
      <c r="B5193" s="557">
        <f>B5192</f>
        <v>0</v>
      </c>
      <c r="C5193" s="79" t="s">
        <v>2921</v>
      </c>
      <c r="D5193" s="78" t="s">
        <v>3924</v>
      </c>
      <c r="E5193" s="79" t="s">
        <v>139</v>
      </c>
      <c r="F5193" s="79" t="s">
        <v>3925</v>
      </c>
      <c r="G5193" s="79" t="s">
        <v>2995</v>
      </c>
      <c r="H5193" s="79"/>
      <c r="I5193" s="80" t="s">
        <v>3002</v>
      </c>
      <c r="J5193" s="583">
        <v>0.0568205</v>
      </c>
      <c r="K5193" s="583">
        <v>0</v>
      </c>
      <c r="L5193" s="92">
        <v>159.84</v>
      </c>
      <c r="M5193" s="92">
        <v>9.08</v>
      </c>
      <c r="N5193" s="573">
        <v>35.86</v>
      </c>
      <c r="O5193" s="556" t="str">
        <f>IF(N5193=M5193,"OK","DIF")</f>
        <v>DIF</v>
      </c>
      <c r="P5193" s="573"/>
      <c r="Q5193" s="556"/>
      <c r="R5193" s="582"/>
    </row>
    <row r="5194" ht="23.85" customHeight="1" spans="1:18">
      <c r="A5194" s="556">
        <f>B5194</f>
        <v>0</v>
      </c>
      <c r="B5194" s="557">
        <f>B5193</f>
        <v>0</v>
      </c>
      <c r="C5194" s="79" t="s">
        <v>2921</v>
      </c>
      <c r="D5194" s="78" t="s">
        <v>2952</v>
      </c>
      <c r="E5194" s="79" t="s">
        <v>139</v>
      </c>
      <c r="F5194" s="79" t="s">
        <v>2953</v>
      </c>
      <c r="G5194" s="79" t="s">
        <v>2928</v>
      </c>
      <c r="H5194" s="79"/>
      <c r="I5194" s="80" t="s">
        <v>2897</v>
      </c>
      <c r="J5194" s="583">
        <v>0.1209135</v>
      </c>
      <c r="K5194" s="583">
        <v>0</v>
      </c>
      <c r="L5194" s="92">
        <v>29.15</v>
      </c>
      <c r="M5194" s="92">
        <v>3.52</v>
      </c>
      <c r="N5194" s="573">
        <v>247.5</v>
      </c>
      <c r="O5194" s="556" t="str">
        <f>IF(N5194=M5194,"OK","DIF")</f>
        <v>DIF</v>
      </c>
      <c r="P5194" s="573"/>
      <c r="Q5194" s="556"/>
      <c r="R5194" s="582"/>
    </row>
    <row r="5195" ht="46.25" customHeight="1" spans="1:18">
      <c r="A5195" s="556"/>
      <c r="B5195" s="557"/>
      <c r="C5195" s="79" t="s">
        <v>2921</v>
      </c>
      <c r="D5195" s="78" t="s">
        <v>3912</v>
      </c>
      <c r="E5195" s="79" t="s">
        <v>139</v>
      </c>
      <c r="F5195" s="79" t="s">
        <v>3913</v>
      </c>
      <c r="G5195" s="79" t="s">
        <v>2995</v>
      </c>
      <c r="H5195" s="79"/>
      <c r="I5195" s="80" t="s">
        <v>2996</v>
      </c>
      <c r="J5195" s="583">
        <v>0.0640929</v>
      </c>
      <c r="K5195" s="583">
        <v>0</v>
      </c>
      <c r="L5195" s="92">
        <v>74.56</v>
      </c>
      <c r="M5195" s="92">
        <v>4.77</v>
      </c>
      <c r="N5195" s="573"/>
      <c r="O5195" s="556"/>
      <c r="P5195" s="573"/>
      <c r="Q5195" s="556"/>
      <c r="R5195" s="582"/>
    </row>
    <row r="5196" ht="25.5" spans="1:18">
      <c r="A5196" s="556"/>
      <c r="B5196" s="557"/>
      <c r="C5196" s="108"/>
      <c r="D5196" s="108"/>
      <c r="E5196" s="108"/>
      <c r="F5196" s="108"/>
      <c r="G5196" s="108"/>
      <c r="H5196" s="108" t="s">
        <v>2898</v>
      </c>
      <c r="I5196" s="581">
        <v>6.09</v>
      </c>
      <c r="J5196" s="108" t="s">
        <v>2899</v>
      </c>
      <c r="K5196" s="581">
        <v>0</v>
      </c>
      <c r="L5196" s="108" t="s">
        <v>2900</v>
      </c>
      <c r="M5196" s="581">
        <v>6.09</v>
      </c>
      <c r="N5196" s="573"/>
      <c r="O5196" s="556"/>
      <c r="P5196" s="573"/>
      <c r="Q5196" s="556"/>
      <c r="R5196" s="582"/>
    </row>
    <row r="5197" ht="26.25" spans="1:18">
      <c r="A5197" s="556"/>
      <c r="B5197" s="557">
        <f>C5196</f>
        <v>0</v>
      </c>
      <c r="C5197" s="108"/>
      <c r="D5197" s="108"/>
      <c r="E5197" s="108"/>
      <c r="F5197" s="108"/>
      <c r="G5197" s="108"/>
      <c r="H5197" s="108" t="s">
        <v>2901</v>
      </c>
      <c r="I5197" s="581">
        <v>4.42</v>
      </c>
      <c r="J5197" s="114"/>
      <c r="K5197" s="114" t="s">
        <v>2902</v>
      </c>
      <c r="L5197" s="108"/>
      <c r="M5197" s="581">
        <v>21.79</v>
      </c>
      <c r="N5197" s="573">
        <v>380.35</v>
      </c>
      <c r="O5197" s="556" t="str">
        <f>IF(N5197=M5197,"OK","DIF")</f>
        <v>DIF</v>
      </c>
      <c r="P5197" s="573"/>
      <c r="Q5197" s="556"/>
      <c r="R5197" s="582"/>
    </row>
    <row r="5198" ht="15" spans="1:18">
      <c r="A5198" s="556">
        <f>B5198</f>
        <v>0</v>
      </c>
      <c r="B5198" s="557">
        <f>B5197</f>
        <v>0</v>
      </c>
      <c r="C5198" s="571"/>
      <c r="D5198" s="571"/>
      <c r="E5198" s="571"/>
      <c r="F5198" s="571"/>
      <c r="G5198" s="571"/>
      <c r="H5198" s="571"/>
      <c r="I5198" s="571"/>
      <c r="J5198" s="571"/>
      <c r="K5198" s="571"/>
      <c r="L5198" s="571"/>
      <c r="M5198" s="571"/>
      <c r="N5198" s="573">
        <v>35.86</v>
      </c>
      <c r="O5198" s="556" t="str">
        <f>IF(N5198=M5198,"OK","DIF")</f>
        <v>DIF</v>
      </c>
      <c r="P5198" s="573"/>
      <c r="Q5198" s="556"/>
      <c r="R5198" s="582"/>
    </row>
    <row r="5199" ht="15" customHeight="1" spans="1:18">
      <c r="A5199" s="556">
        <f>B5199</f>
        <v>0</v>
      </c>
      <c r="B5199" s="557">
        <f>B5198</f>
        <v>0</v>
      </c>
      <c r="C5199" s="76" t="s">
        <v>1775</v>
      </c>
      <c r="D5199" s="75" t="s">
        <v>63</v>
      </c>
      <c r="E5199" s="76" t="s">
        <v>64</v>
      </c>
      <c r="F5199" s="76" t="s">
        <v>65</v>
      </c>
      <c r="G5199" s="76" t="s">
        <v>2889</v>
      </c>
      <c r="H5199" s="76"/>
      <c r="I5199" s="77" t="s">
        <v>66</v>
      </c>
      <c r="J5199" s="75" t="s">
        <v>67</v>
      </c>
      <c r="K5199" s="75" t="s">
        <v>2890</v>
      </c>
      <c r="L5199" s="75" t="s">
        <v>68</v>
      </c>
      <c r="M5199" s="75" t="s">
        <v>70</v>
      </c>
      <c r="N5199" s="573">
        <v>32.36</v>
      </c>
      <c r="O5199" s="556" t="str">
        <f>IF(N5199=M5199,"OK","DIF")</f>
        <v>DIF</v>
      </c>
      <c r="P5199" s="573"/>
      <c r="Q5199" s="556"/>
      <c r="R5199" s="582"/>
    </row>
    <row r="5200" ht="46.25" customHeight="1" spans="1:18">
      <c r="A5200" s="556">
        <f>B5200</f>
        <v>0</v>
      </c>
      <c r="B5200" s="557">
        <f>B5199</f>
        <v>0</v>
      </c>
      <c r="C5200" s="569" t="s">
        <v>2891</v>
      </c>
      <c r="D5200" s="570" t="s">
        <v>1652</v>
      </c>
      <c r="E5200" s="569" t="s">
        <v>139</v>
      </c>
      <c r="F5200" s="569" t="s">
        <v>4438</v>
      </c>
      <c r="G5200" s="569" t="s">
        <v>3303</v>
      </c>
      <c r="H5200" s="569"/>
      <c r="I5200" s="577" t="s">
        <v>279</v>
      </c>
      <c r="J5200" s="578">
        <v>1</v>
      </c>
      <c r="K5200" s="579"/>
      <c r="L5200" s="579">
        <v>22.09</v>
      </c>
      <c r="M5200" s="579">
        <v>22.09</v>
      </c>
      <c r="N5200" s="573">
        <v>312.13</v>
      </c>
      <c r="O5200" s="556" t="str">
        <f>IF(N5200=M5200,"OK","DIF")</f>
        <v>DIF</v>
      </c>
      <c r="P5200" s="573"/>
      <c r="Q5200" s="556"/>
      <c r="R5200" s="582"/>
    </row>
    <row r="5201" ht="46.25" customHeight="1" spans="1:18">
      <c r="A5201" s="556"/>
      <c r="B5201" s="557"/>
      <c r="C5201" s="79" t="s">
        <v>2921</v>
      </c>
      <c r="D5201" s="78" t="s">
        <v>3924</v>
      </c>
      <c r="E5201" s="79" t="s">
        <v>139</v>
      </c>
      <c r="F5201" s="79" t="s">
        <v>3925</v>
      </c>
      <c r="G5201" s="79" t="s">
        <v>2995</v>
      </c>
      <c r="H5201" s="79"/>
      <c r="I5201" s="80" t="s">
        <v>3002</v>
      </c>
      <c r="J5201" s="583">
        <v>0.0538</v>
      </c>
      <c r="K5201" s="583">
        <v>0</v>
      </c>
      <c r="L5201" s="92">
        <v>159.84</v>
      </c>
      <c r="M5201" s="92">
        <v>8.59</v>
      </c>
      <c r="N5201" s="573"/>
      <c r="O5201" s="556"/>
      <c r="P5201" s="573"/>
      <c r="Q5201" s="556"/>
      <c r="R5201" s="582"/>
    </row>
    <row r="5202" ht="23.85" customHeight="1" spans="1:18">
      <c r="A5202" s="556"/>
      <c r="B5202" s="557"/>
      <c r="C5202" s="79" t="s">
        <v>2921</v>
      </c>
      <c r="D5202" s="78" t="s">
        <v>2952</v>
      </c>
      <c r="E5202" s="79" t="s">
        <v>139</v>
      </c>
      <c r="F5202" s="79" t="s">
        <v>2953</v>
      </c>
      <c r="G5202" s="79" t="s">
        <v>2928</v>
      </c>
      <c r="H5202" s="79"/>
      <c r="I5202" s="80" t="s">
        <v>2897</v>
      </c>
      <c r="J5202" s="583">
        <v>0.1676</v>
      </c>
      <c r="K5202" s="583">
        <v>0</v>
      </c>
      <c r="L5202" s="92">
        <v>29.15</v>
      </c>
      <c r="M5202" s="92">
        <v>4.88</v>
      </c>
      <c r="N5202" s="573"/>
      <c r="O5202" s="556"/>
      <c r="P5202" s="573"/>
      <c r="Q5202" s="556"/>
      <c r="R5202" s="582"/>
    </row>
    <row r="5203" ht="35.05" customHeight="1" spans="1:18">
      <c r="A5203" s="556"/>
      <c r="B5203" s="557" t="str">
        <f>C5202</f>
        <v>Composição Auxiliar</v>
      </c>
      <c r="C5203" s="79" t="s">
        <v>2921</v>
      </c>
      <c r="D5203" s="78" t="s">
        <v>4071</v>
      </c>
      <c r="E5203" s="79" t="s">
        <v>139</v>
      </c>
      <c r="F5203" s="79" t="s">
        <v>4072</v>
      </c>
      <c r="G5203" s="79" t="s">
        <v>2995</v>
      </c>
      <c r="H5203" s="79"/>
      <c r="I5203" s="80" t="s">
        <v>3002</v>
      </c>
      <c r="J5203" s="583">
        <v>0.0942</v>
      </c>
      <c r="K5203" s="583">
        <v>0</v>
      </c>
      <c r="L5203" s="92">
        <v>10.19</v>
      </c>
      <c r="M5203" s="92">
        <v>0.95</v>
      </c>
      <c r="N5203" s="573">
        <v>510.97</v>
      </c>
      <c r="O5203" s="556" t="str">
        <f>IF(N5203=M5203,"OK","DIF")</f>
        <v>DIF</v>
      </c>
      <c r="P5203" s="573"/>
      <c r="Q5203" s="556"/>
      <c r="R5203" s="582"/>
    </row>
    <row r="5204" ht="46.25" customHeight="1" spans="1:18">
      <c r="A5204" s="556" t="str">
        <f>B5204</f>
        <v>Composição Auxiliar</v>
      </c>
      <c r="B5204" s="557" t="str">
        <f>B5203</f>
        <v>Composição Auxiliar</v>
      </c>
      <c r="C5204" s="79" t="s">
        <v>2921</v>
      </c>
      <c r="D5204" s="78" t="s">
        <v>3308</v>
      </c>
      <c r="E5204" s="79" t="s">
        <v>139</v>
      </c>
      <c r="F5204" s="79" t="s">
        <v>3309</v>
      </c>
      <c r="G5204" s="79" t="s">
        <v>2995</v>
      </c>
      <c r="H5204" s="79"/>
      <c r="I5204" s="80" t="s">
        <v>3002</v>
      </c>
      <c r="J5204" s="583">
        <v>0.0054</v>
      </c>
      <c r="K5204" s="583">
        <v>0</v>
      </c>
      <c r="L5204" s="92">
        <v>339.64</v>
      </c>
      <c r="M5204" s="92">
        <v>1.83</v>
      </c>
      <c r="N5204" s="573">
        <v>35.86</v>
      </c>
      <c r="O5204" s="556" t="str">
        <f>IF(N5204=M5204,"OK","DIF")</f>
        <v>DIF</v>
      </c>
      <c r="P5204" s="573"/>
      <c r="Q5204" s="556"/>
      <c r="R5204" s="582"/>
    </row>
    <row r="5205" ht="46.25" customHeight="1" spans="1:18">
      <c r="A5205" s="556" t="str">
        <f>B5205</f>
        <v>Composição Auxiliar</v>
      </c>
      <c r="B5205" s="557" t="str">
        <f>B5204</f>
        <v>Composição Auxiliar</v>
      </c>
      <c r="C5205" s="79" t="s">
        <v>2921</v>
      </c>
      <c r="D5205" s="78" t="s">
        <v>3304</v>
      </c>
      <c r="E5205" s="79" t="s">
        <v>139</v>
      </c>
      <c r="F5205" s="79" t="s">
        <v>3305</v>
      </c>
      <c r="G5205" s="79" t="s">
        <v>2995</v>
      </c>
      <c r="H5205" s="79"/>
      <c r="I5205" s="80" t="s">
        <v>2996</v>
      </c>
      <c r="J5205" s="583">
        <v>0.0006</v>
      </c>
      <c r="K5205" s="583">
        <v>0</v>
      </c>
      <c r="L5205" s="92">
        <v>94.91</v>
      </c>
      <c r="M5205" s="92">
        <v>0.05</v>
      </c>
      <c r="N5205" s="573">
        <v>32.36</v>
      </c>
      <c r="O5205" s="556" t="str">
        <f>IF(N5205=M5205,"OK","DIF")</f>
        <v>DIF</v>
      </c>
      <c r="P5205" s="573"/>
      <c r="Q5205" s="556"/>
      <c r="R5205" s="582"/>
    </row>
    <row r="5206" ht="46.25" customHeight="1" spans="1:18">
      <c r="A5206" s="556" t="str">
        <f>B5206</f>
        <v>Composição Auxiliar</v>
      </c>
      <c r="B5206" s="557" t="str">
        <f>B5205</f>
        <v>Composição Auxiliar</v>
      </c>
      <c r="C5206" s="79" t="s">
        <v>2921</v>
      </c>
      <c r="D5206" s="78" t="s">
        <v>3912</v>
      </c>
      <c r="E5206" s="79" t="s">
        <v>139</v>
      </c>
      <c r="F5206" s="79" t="s">
        <v>3913</v>
      </c>
      <c r="G5206" s="79" t="s">
        <v>2995</v>
      </c>
      <c r="H5206" s="79"/>
      <c r="I5206" s="80" t="s">
        <v>2996</v>
      </c>
      <c r="J5206" s="583">
        <v>0.0777</v>
      </c>
      <c r="K5206" s="583">
        <v>0</v>
      </c>
      <c r="L5206" s="92">
        <v>74.56</v>
      </c>
      <c r="M5206" s="92">
        <v>5.79</v>
      </c>
      <c r="N5206" s="573">
        <v>442.75</v>
      </c>
      <c r="O5206" s="556" t="str">
        <f>IF(N5206=M5206,"OK","DIF")</f>
        <v>DIF</v>
      </c>
      <c r="P5206" s="573"/>
      <c r="Q5206" s="556"/>
      <c r="R5206" s="582"/>
    </row>
    <row r="5207" ht="25.5" spans="1:18">
      <c r="A5207" s="556"/>
      <c r="B5207" s="557"/>
      <c r="C5207" s="108"/>
      <c r="D5207" s="108"/>
      <c r="E5207" s="108"/>
      <c r="F5207" s="108"/>
      <c r="G5207" s="108"/>
      <c r="H5207" s="108" t="s">
        <v>2898</v>
      </c>
      <c r="I5207" s="581">
        <v>7.56</v>
      </c>
      <c r="J5207" s="108" t="s">
        <v>2899</v>
      </c>
      <c r="K5207" s="581">
        <v>0</v>
      </c>
      <c r="L5207" s="108" t="s">
        <v>2900</v>
      </c>
      <c r="M5207" s="581">
        <v>7.56</v>
      </c>
      <c r="N5207" s="573"/>
      <c r="O5207" s="556"/>
      <c r="P5207" s="573"/>
      <c r="Q5207" s="556"/>
      <c r="R5207" s="582"/>
    </row>
    <row r="5208" ht="26.25" spans="1:18">
      <c r="A5208" s="556"/>
      <c r="B5208" s="557"/>
      <c r="C5208" s="108"/>
      <c r="D5208" s="108"/>
      <c r="E5208" s="108"/>
      <c r="F5208" s="108"/>
      <c r="G5208" s="108"/>
      <c r="H5208" s="108" t="s">
        <v>2901</v>
      </c>
      <c r="I5208" s="581">
        <v>5.63</v>
      </c>
      <c r="J5208" s="114"/>
      <c r="K5208" s="114" t="s">
        <v>2902</v>
      </c>
      <c r="L5208" s="108"/>
      <c r="M5208" s="581">
        <v>27.72</v>
      </c>
      <c r="N5208" s="573"/>
      <c r="O5208" s="556"/>
      <c r="P5208" s="573"/>
      <c r="Q5208" s="556"/>
      <c r="R5208" s="582"/>
    </row>
    <row r="5209" ht="15" spans="1:18">
      <c r="A5209" s="556"/>
      <c r="B5209" s="557">
        <f>C5208</f>
        <v>0</v>
      </c>
      <c r="C5209" s="571"/>
      <c r="D5209" s="571"/>
      <c r="E5209" s="571"/>
      <c r="F5209" s="571"/>
      <c r="G5209" s="571"/>
      <c r="H5209" s="571"/>
      <c r="I5209" s="571"/>
      <c r="J5209" s="571"/>
      <c r="K5209" s="571"/>
      <c r="L5209" s="571"/>
      <c r="M5209" s="571"/>
      <c r="N5209" s="573">
        <v>1043.1</v>
      </c>
      <c r="O5209" s="556" t="str">
        <f>IF(N5209=M5209,"OK","DIF")</f>
        <v>DIF</v>
      </c>
      <c r="P5209" s="573"/>
      <c r="Q5209" s="556"/>
      <c r="R5209" s="582"/>
    </row>
    <row r="5210" ht="15" customHeight="1" spans="1:18">
      <c r="A5210" s="556">
        <f>B5210</f>
        <v>0</v>
      </c>
      <c r="B5210" s="557">
        <f>B5209</f>
        <v>0</v>
      </c>
      <c r="C5210" s="76" t="s">
        <v>1776</v>
      </c>
      <c r="D5210" s="75" t="s">
        <v>63</v>
      </c>
      <c r="E5210" s="76" t="s">
        <v>64</v>
      </c>
      <c r="F5210" s="76" t="s">
        <v>65</v>
      </c>
      <c r="G5210" s="76" t="s">
        <v>2889</v>
      </c>
      <c r="H5210" s="76"/>
      <c r="I5210" s="77" t="s">
        <v>66</v>
      </c>
      <c r="J5210" s="75" t="s">
        <v>67</v>
      </c>
      <c r="K5210" s="75" t="s">
        <v>2890</v>
      </c>
      <c r="L5210" s="75" t="s">
        <v>68</v>
      </c>
      <c r="M5210" s="75" t="s">
        <v>70</v>
      </c>
      <c r="N5210" s="573">
        <v>35.86</v>
      </c>
      <c r="O5210" s="556" t="str">
        <f>IF(N5210=M5210,"OK","DIF")</f>
        <v>DIF</v>
      </c>
      <c r="P5210" s="573"/>
      <c r="Q5210" s="556"/>
      <c r="R5210" s="582"/>
    </row>
    <row r="5211" ht="35.05" customHeight="1" spans="1:18">
      <c r="A5211" s="556">
        <f>B5211</f>
        <v>0</v>
      </c>
      <c r="B5211" s="557">
        <f>B5210</f>
        <v>0</v>
      </c>
      <c r="C5211" s="569" t="s">
        <v>2891</v>
      </c>
      <c r="D5211" s="570" t="s">
        <v>1151</v>
      </c>
      <c r="E5211" s="569" t="s">
        <v>139</v>
      </c>
      <c r="F5211" s="569" t="s">
        <v>1152</v>
      </c>
      <c r="G5211" s="569" t="s">
        <v>4073</v>
      </c>
      <c r="H5211" s="569"/>
      <c r="I5211" s="577" t="s">
        <v>204</v>
      </c>
      <c r="J5211" s="578">
        <v>1</v>
      </c>
      <c r="K5211" s="579"/>
      <c r="L5211" s="579">
        <v>28.07</v>
      </c>
      <c r="M5211" s="579">
        <v>28.07</v>
      </c>
      <c r="N5211" s="573">
        <v>32.36</v>
      </c>
      <c r="O5211" s="556" t="str">
        <f>IF(N5211=M5211,"OK","DIF")</f>
        <v>DIF</v>
      </c>
      <c r="P5211" s="573"/>
      <c r="Q5211" s="556"/>
      <c r="R5211" s="582"/>
    </row>
    <row r="5212" ht="23.85" customHeight="1" spans="1:18">
      <c r="A5212" s="556">
        <f>B5212</f>
        <v>0</v>
      </c>
      <c r="B5212" s="557">
        <f>B5211</f>
        <v>0</v>
      </c>
      <c r="C5212" s="79" t="s">
        <v>2921</v>
      </c>
      <c r="D5212" s="78" t="s">
        <v>3151</v>
      </c>
      <c r="E5212" s="79" t="s">
        <v>139</v>
      </c>
      <c r="F5212" s="79" t="s">
        <v>3152</v>
      </c>
      <c r="G5212" s="79" t="s">
        <v>2928</v>
      </c>
      <c r="H5212" s="79"/>
      <c r="I5212" s="80" t="s">
        <v>2897</v>
      </c>
      <c r="J5212" s="583">
        <v>0.1721</v>
      </c>
      <c r="K5212" s="583">
        <v>0</v>
      </c>
      <c r="L5212" s="92">
        <v>36.82</v>
      </c>
      <c r="M5212" s="92">
        <v>6.33</v>
      </c>
      <c r="N5212" s="573">
        <v>974.88</v>
      </c>
      <c r="O5212" s="556" t="str">
        <f>IF(N5212=M5212,"OK","DIF")</f>
        <v>DIF</v>
      </c>
      <c r="P5212" s="573"/>
      <c r="Q5212" s="556"/>
      <c r="R5212" s="582"/>
    </row>
    <row r="5213" ht="23.85" customHeight="1" spans="1:18">
      <c r="A5213" s="556"/>
      <c r="B5213" s="557"/>
      <c r="C5213" s="79" t="s">
        <v>2921</v>
      </c>
      <c r="D5213" s="78" t="s">
        <v>3153</v>
      </c>
      <c r="E5213" s="79" t="s">
        <v>139</v>
      </c>
      <c r="F5213" s="79" t="s">
        <v>3154</v>
      </c>
      <c r="G5213" s="79" t="s">
        <v>2928</v>
      </c>
      <c r="H5213" s="79"/>
      <c r="I5213" s="80" t="s">
        <v>2897</v>
      </c>
      <c r="J5213" s="583">
        <v>0.1721</v>
      </c>
      <c r="K5213" s="583">
        <v>0</v>
      </c>
      <c r="L5213" s="92">
        <v>30.6</v>
      </c>
      <c r="M5213" s="92">
        <v>5.26</v>
      </c>
      <c r="N5213" s="573"/>
      <c r="O5213" s="556"/>
      <c r="P5213" s="573"/>
      <c r="Q5213" s="556"/>
      <c r="R5213" s="582"/>
    </row>
    <row r="5214" ht="35.05" customHeight="1" spans="1:18">
      <c r="A5214" s="556"/>
      <c r="B5214" s="557"/>
      <c r="C5214" s="100" t="s">
        <v>2893</v>
      </c>
      <c r="D5214" s="99" t="s">
        <v>4074</v>
      </c>
      <c r="E5214" s="100" t="s">
        <v>139</v>
      </c>
      <c r="F5214" s="100" t="s">
        <v>4075</v>
      </c>
      <c r="G5214" s="100" t="s">
        <v>2961</v>
      </c>
      <c r="H5214" s="100"/>
      <c r="I5214" s="101" t="s">
        <v>204</v>
      </c>
      <c r="J5214" s="580">
        <v>1.1</v>
      </c>
      <c r="K5214" s="580">
        <v>0</v>
      </c>
      <c r="L5214" s="102">
        <v>14.99</v>
      </c>
      <c r="M5214" s="102">
        <v>16.48</v>
      </c>
      <c r="N5214" s="573"/>
      <c r="O5214" s="556"/>
      <c r="P5214" s="573"/>
      <c r="Q5214" s="556"/>
      <c r="R5214" s="582"/>
    </row>
    <row r="5215" ht="25.5" spans="1:18">
      <c r="A5215" s="556"/>
      <c r="B5215" s="557" t="str">
        <f>C5214</f>
        <v>Insumo</v>
      </c>
      <c r="C5215" s="108"/>
      <c r="D5215" s="108"/>
      <c r="E5215" s="108"/>
      <c r="F5215" s="108"/>
      <c r="G5215" s="108"/>
      <c r="H5215" s="108" t="s">
        <v>2898</v>
      </c>
      <c r="I5215" s="581">
        <v>8.13</v>
      </c>
      <c r="J5215" s="108" t="s">
        <v>2899</v>
      </c>
      <c r="K5215" s="581">
        <v>0</v>
      </c>
      <c r="L5215" s="108" t="s">
        <v>2900</v>
      </c>
      <c r="M5215" s="581">
        <v>8.13</v>
      </c>
      <c r="N5215" s="573">
        <v>897.88</v>
      </c>
      <c r="O5215" s="556" t="str">
        <f>IF(N5215=M5215,"OK","DIF")</f>
        <v>DIF</v>
      </c>
      <c r="P5215" s="573"/>
      <c r="Q5215" s="556"/>
      <c r="R5215" s="582"/>
    </row>
    <row r="5216" ht="26.25" spans="1:18">
      <c r="A5216" s="556" t="str">
        <f>B5216</f>
        <v>Insumo</v>
      </c>
      <c r="B5216" s="557" t="str">
        <f>B5215</f>
        <v>Insumo</v>
      </c>
      <c r="C5216" s="108"/>
      <c r="D5216" s="108"/>
      <c r="E5216" s="108"/>
      <c r="F5216" s="108"/>
      <c r="G5216" s="108"/>
      <c r="H5216" s="108" t="s">
        <v>2901</v>
      </c>
      <c r="I5216" s="581">
        <v>7.15</v>
      </c>
      <c r="J5216" s="114"/>
      <c r="K5216" s="114" t="s">
        <v>2902</v>
      </c>
      <c r="L5216" s="108"/>
      <c r="M5216" s="581">
        <v>35.22</v>
      </c>
      <c r="N5216" s="573">
        <v>67.42</v>
      </c>
      <c r="O5216" s="556" t="str">
        <f>IF(N5216=M5216,"OK","DIF")</f>
        <v>DIF</v>
      </c>
      <c r="P5216" s="573"/>
      <c r="Q5216" s="556"/>
      <c r="R5216" s="582"/>
    </row>
    <row r="5217" ht="15" spans="1:18">
      <c r="A5217" s="556" t="str">
        <f>B5217</f>
        <v>Insumo</v>
      </c>
      <c r="B5217" s="557" t="str">
        <f>B5216</f>
        <v>Insumo</v>
      </c>
      <c r="C5217" s="571"/>
      <c r="D5217" s="571"/>
      <c r="E5217" s="571"/>
      <c r="F5217" s="571"/>
      <c r="G5217" s="571"/>
      <c r="H5217" s="571"/>
      <c r="I5217" s="571"/>
      <c r="J5217" s="571"/>
      <c r="K5217" s="571"/>
      <c r="L5217" s="571"/>
      <c r="M5217" s="571"/>
      <c r="N5217" s="573">
        <v>74.72</v>
      </c>
      <c r="O5217" s="556" t="str">
        <f>IF(N5217=M5217,"OK","DIF")</f>
        <v>DIF</v>
      </c>
      <c r="P5217" s="573"/>
      <c r="Q5217" s="556"/>
      <c r="R5217" s="582"/>
    </row>
    <row r="5218" ht="15" customHeight="1" spans="1:18">
      <c r="A5218" s="556" t="str">
        <f>B5218</f>
        <v>Insumo</v>
      </c>
      <c r="B5218" s="557" t="str">
        <f>B5217</f>
        <v>Insumo</v>
      </c>
      <c r="C5218" s="76" t="s">
        <v>1777</v>
      </c>
      <c r="D5218" s="75" t="s">
        <v>63</v>
      </c>
      <c r="E5218" s="76" t="s">
        <v>64</v>
      </c>
      <c r="F5218" s="76" t="s">
        <v>65</v>
      </c>
      <c r="G5218" s="76" t="s">
        <v>2889</v>
      </c>
      <c r="H5218" s="76"/>
      <c r="I5218" s="77" t="s">
        <v>66</v>
      </c>
      <c r="J5218" s="75" t="s">
        <v>67</v>
      </c>
      <c r="K5218" s="75" t="s">
        <v>2890</v>
      </c>
      <c r="L5218" s="75" t="s">
        <v>68</v>
      </c>
      <c r="M5218" s="75" t="s">
        <v>70</v>
      </c>
      <c r="N5218" s="573">
        <v>755.74</v>
      </c>
      <c r="O5218" s="556" t="str">
        <f>IF(N5218=M5218,"OK","DIF")</f>
        <v>DIF</v>
      </c>
      <c r="P5218" s="573"/>
      <c r="Q5218" s="556"/>
      <c r="R5218" s="582"/>
    </row>
    <row r="5219" ht="35.05" customHeight="1" spans="1:18">
      <c r="A5219" s="556"/>
      <c r="B5219" s="557"/>
      <c r="C5219" s="569" t="s">
        <v>2891</v>
      </c>
      <c r="D5219" s="570" t="s">
        <v>1256</v>
      </c>
      <c r="E5219" s="569" t="s">
        <v>139</v>
      </c>
      <c r="F5219" s="569" t="s">
        <v>1257</v>
      </c>
      <c r="G5219" s="569" t="s">
        <v>4073</v>
      </c>
      <c r="H5219" s="569"/>
      <c r="I5219" s="577" t="s">
        <v>204</v>
      </c>
      <c r="J5219" s="578">
        <v>1</v>
      </c>
      <c r="K5219" s="579"/>
      <c r="L5219" s="579">
        <v>14.8</v>
      </c>
      <c r="M5219" s="579">
        <v>14.8</v>
      </c>
      <c r="N5219" s="573"/>
      <c r="O5219" s="556"/>
      <c r="P5219" s="573"/>
      <c r="Q5219" s="556"/>
      <c r="R5219" s="582"/>
    </row>
    <row r="5220" ht="23.85" customHeight="1" spans="1:18">
      <c r="A5220" s="556"/>
      <c r="B5220" s="557"/>
      <c r="C5220" s="79" t="s">
        <v>2921</v>
      </c>
      <c r="D5220" s="78" t="s">
        <v>3151</v>
      </c>
      <c r="E5220" s="79" t="s">
        <v>139</v>
      </c>
      <c r="F5220" s="79" t="s">
        <v>3152</v>
      </c>
      <c r="G5220" s="79" t="s">
        <v>2928</v>
      </c>
      <c r="H5220" s="79"/>
      <c r="I5220" s="80" t="s">
        <v>2897</v>
      </c>
      <c r="J5220" s="583">
        <v>0.0945</v>
      </c>
      <c r="K5220" s="583">
        <v>0</v>
      </c>
      <c r="L5220" s="92">
        <v>36.82</v>
      </c>
      <c r="M5220" s="92">
        <v>3.47</v>
      </c>
      <c r="N5220" s="573"/>
      <c r="O5220" s="556"/>
      <c r="P5220" s="573"/>
      <c r="Q5220" s="556"/>
      <c r="R5220" s="582"/>
    </row>
    <row r="5221" ht="23.85" customHeight="1" spans="1:18">
      <c r="A5221" s="556"/>
      <c r="B5221" s="557" t="str">
        <f>C5220</f>
        <v>Composição Auxiliar</v>
      </c>
      <c r="C5221" s="79" t="s">
        <v>2921</v>
      </c>
      <c r="D5221" s="78" t="s">
        <v>3153</v>
      </c>
      <c r="E5221" s="79" t="s">
        <v>139</v>
      </c>
      <c r="F5221" s="79" t="s">
        <v>3154</v>
      </c>
      <c r="G5221" s="79" t="s">
        <v>2928</v>
      </c>
      <c r="H5221" s="79"/>
      <c r="I5221" s="80" t="s">
        <v>2897</v>
      </c>
      <c r="J5221" s="583">
        <v>0.0945</v>
      </c>
      <c r="K5221" s="583">
        <v>0</v>
      </c>
      <c r="L5221" s="92">
        <v>30.6</v>
      </c>
      <c r="M5221" s="92">
        <v>2.89</v>
      </c>
      <c r="N5221" s="573">
        <v>938.89</v>
      </c>
      <c r="O5221" s="556" t="str">
        <f>IF(N5221=M5221,"OK","DIF")</f>
        <v>DIF</v>
      </c>
      <c r="P5221" s="573"/>
      <c r="Q5221" s="556"/>
      <c r="R5221" s="582"/>
    </row>
    <row r="5222" ht="35.05" customHeight="1" spans="1:18">
      <c r="A5222" s="556" t="str">
        <f>B5222</f>
        <v>Composição Auxiliar</v>
      </c>
      <c r="B5222" s="557" t="str">
        <f>B5221</f>
        <v>Composição Auxiliar</v>
      </c>
      <c r="C5222" s="100" t="s">
        <v>2893</v>
      </c>
      <c r="D5222" s="99" t="s">
        <v>4175</v>
      </c>
      <c r="E5222" s="100" t="s">
        <v>139</v>
      </c>
      <c r="F5222" s="100" t="s">
        <v>4176</v>
      </c>
      <c r="G5222" s="100" t="s">
        <v>2961</v>
      </c>
      <c r="H5222" s="100"/>
      <c r="I5222" s="101" t="s">
        <v>204</v>
      </c>
      <c r="J5222" s="580">
        <v>1.1</v>
      </c>
      <c r="K5222" s="580">
        <v>0</v>
      </c>
      <c r="L5222" s="102">
        <v>7.68</v>
      </c>
      <c r="M5222" s="102">
        <v>8.44</v>
      </c>
      <c r="N5222" s="573">
        <v>67.42</v>
      </c>
      <c r="O5222" s="556" t="str">
        <f>IF(N5222=M5222,"OK","DIF")</f>
        <v>DIF</v>
      </c>
      <c r="P5222" s="573"/>
      <c r="Q5222" s="556"/>
      <c r="R5222" s="582"/>
    </row>
    <row r="5223" ht="25.5" spans="1:18">
      <c r="A5223" s="556" t="str">
        <f>B5223</f>
        <v>Composição Auxiliar</v>
      </c>
      <c r="B5223" s="557" t="str">
        <f>B5222</f>
        <v>Composição Auxiliar</v>
      </c>
      <c r="C5223" s="108"/>
      <c r="D5223" s="108"/>
      <c r="E5223" s="108"/>
      <c r="F5223" s="108"/>
      <c r="G5223" s="108"/>
      <c r="H5223" s="108" t="s">
        <v>2898</v>
      </c>
      <c r="I5223" s="581">
        <v>4.46</v>
      </c>
      <c r="J5223" s="108" t="s">
        <v>2899</v>
      </c>
      <c r="K5223" s="581">
        <v>0</v>
      </c>
      <c r="L5223" s="108" t="s">
        <v>2900</v>
      </c>
      <c r="M5223" s="581">
        <v>4.46</v>
      </c>
      <c r="N5223" s="573">
        <v>74.72</v>
      </c>
      <c r="O5223" s="556" t="str">
        <f>IF(N5223=M5223,"OK","DIF")</f>
        <v>DIF</v>
      </c>
      <c r="P5223" s="573"/>
      <c r="Q5223" s="556"/>
      <c r="R5223" s="582"/>
    </row>
    <row r="5224" ht="26.25" spans="1:18">
      <c r="A5224" s="556" t="str">
        <f>B5224</f>
        <v>Composição Auxiliar</v>
      </c>
      <c r="B5224" s="557" t="str">
        <f>B5223</f>
        <v>Composição Auxiliar</v>
      </c>
      <c r="C5224" s="108"/>
      <c r="D5224" s="108"/>
      <c r="E5224" s="108"/>
      <c r="F5224" s="108"/>
      <c r="G5224" s="108"/>
      <c r="H5224" s="108" t="s">
        <v>2901</v>
      </c>
      <c r="I5224" s="581">
        <v>3.77</v>
      </c>
      <c r="J5224" s="114"/>
      <c r="K5224" s="114" t="s">
        <v>2902</v>
      </c>
      <c r="L5224" s="108"/>
      <c r="M5224" s="581">
        <v>18.57</v>
      </c>
      <c r="N5224" s="573">
        <v>796.75</v>
      </c>
      <c r="O5224" s="556" t="str">
        <f>IF(N5224=M5224,"OK","DIF")</f>
        <v>DIF</v>
      </c>
      <c r="P5224" s="573"/>
      <c r="Q5224" s="556"/>
      <c r="R5224" s="582"/>
    </row>
    <row r="5225" ht="15" spans="1:18">
      <c r="A5225" s="556"/>
      <c r="B5225" s="557"/>
      <c r="C5225" s="571"/>
      <c r="D5225" s="571"/>
      <c r="E5225" s="571"/>
      <c r="F5225" s="571"/>
      <c r="G5225" s="571"/>
      <c r="H5225" s="571"/>
      <c r="I5225" s="571"/>
      <c r="J5225" s="571"/>
      <c r="K5225" s="571"/>
      <c r="L5225" s="571"/>
      <c r="M5225" s="571"/>
      <c r="N5225" s="573"/>
      <c r="O5225" s="556"/>
      <c r="P5225" s="573"/>
      <c r="Q5225" s="556"/>
      <c r="R5225" s="582"/>
    </row>
    <row r="5226" ht="15" customHeight="1" spans="1:18">
      <c r="A5226" s="556"/>
      <c r="B5226" s="557"/>
      <c r="C5226" s="76" t="s">
        <v>1778</v>
      </c>
      <c r="D5226" s="75" t="s">
        <v>63</v>
      </c>
      <c r="E5226" s="76" t="s">
        <v>64</v>
      </c>
      <c r="F5226" s="76" t="s">
        <v>65</v>
      </c>
      <c r="G5226" s="76" t="s">
        <v>2889</v>
      </c>
      <c r="H5226" s="76"/>
      <c r="I5226" s="77" t="s">
        <v>66</v>
      </c>
      <c r="J5226" s="75" t="s">
        <v>67</v>
      </c>
      <c r="K5226" s="75" t="s">
        <v>2890</v>
      </c>
      <c r="L5226" s="75" t="s">
        <v>68</v>
      </c>
      <c r="M5226" s="75" t="s">
        <v>70</v>
      </c>
      <c r="N5226" s="573"/>
      <c r="O5226" s="556"/>
      <c r="P5226" s="573"/>
      <c r="Q5226" s="556"/>
      <c r="R5226" s="582"/>
    </row>
    <row r="5227" ht="38.25" spans="1:18">
      <c r="A5227" s="556"/>
      <c r="B5227" s="557" t="str">
        <f>C5226</f>
        <v> 13.38 </v>
      </c>
      <c r="C5227" s="569" t="s">
        <v>2891</v>
      </c>
      <c r="D5227" s="570" t="s">
        <v>1157</v>
      </c>
      <c r="E5227" s="569" t="s">
        <v>132</v>
      </c>
      <c r="F5227" s="569" t="s">
        <v>1158</v>
      </c>
      <c r="G5227" s="569">
        <v>61</v>
      </c>
      <c r="H5227" s="569"/>
      <c r="I5227" s="577" t="s">
        <v>204</v>
      </c>
      <c r="J5227" s="578">
        <v>1</v>
      </c>
      <c r="K5227" s="579"/>
      <c r="L5227" s="579">
        <v>158.93</v>
      </c>
      <c r="M5227" s="579">
        <v>158.93</v>
      </c>
      <c r="N5227" s="573">
        <v>952.98</v>
      </c>
      <c r="O5227" s="556" t="str">
        <f>IF(N5227=M5227,"OK","DIF")</f>
        <v>DIF</v>
      </c>
      <c r="P5227" s="573"/>
      <c r="Q5227" s="556"/>
      <c r="R5227" s="582"/>
    </row>
    <row r="5228" ht="23.85" customHeight="1" spans="1:18">
      <c r="A5228" s="556" t="str">
        <f>B5228</f>
        <v> 13.38 </v>
      </c>
      <c r="B5228" s="557" t="str">
        <f>B5227</f>
        <v> 13.38 </v>
      </c>
      <c r="C5228" s="79" t="s">
        <v>2921</v>
      </c>
      <c r="D5228" s="78" t="s">
        <v>3017</v>
      </c>
      <c r="E5228" s="79" t="s">
        <v>139</v>
      </c>
      <c r="F5228" s="79" t="s">
        <v>3018</v>
      </c>
      <c r="G5228" s="79" t="s">
        <v>2928</v>
      </c>
      <c r="H5228" s="79"/>
      <c r="I5228" s="80" t="s">
        <v>2897</v>
      </c>
      <c r="J5228" s="583">
        <v>0.66</v>
      </c>
      <c r="K5228" s="583">
        <v>0</v>
      </c>
      <c r="L5228" s="92">
        <v>36.96</v>
      </c>
      <c r="M5228" s="92">
        <v>24.39</v>
      </c>
      <c r="N5228" s="573">
        <v>67.42</v>
      </c>
      <c r="O5228" s="556" t="str">
        <f>IF(N5228=M5228,"OK","DIF")</f>
        <v>DIF</v>
      </c>
      <c r="P5228" s="573"/>
      <c r="Q5228" s="556"/>
      <c r="R5228" s="582"/>
    </row>
    <row r="5229" ht="23.85" customHeight="1" spans="1:18">
      <c r="A5229" s="556" t="str">
        <f>B5229</f>
        <v> 13.38 </v>
      </c>
      <c r="B5229" s="557" t="str">
        <f>B5228</f>
        <v> 13.38 </v>
      </c>
      <c r="C5229" s="79" t="s">
        <v>2921</v>
      </c>
      <c r="D5229" s="78" t="s">
        <v>2952</v>
      </c>
      <c r="E5229" s="79" t="s">
        <v>139</v>
      </c>
      <c r="F5229" s="79" t="s">
        <v>2953</v>
      </c>
      <c r="G5229" s="79" t="s">
        <v>2928</v>
      </c>
      <c r="H5229" s="79"/>
      <c r="I5229" s="80" t="s">
        <v>2897</v>
      </c>
      <c r="J5229" s="583">
        <v>2.64</v>
      </c>
      <c r="K5229" s="583">
        <v>0</v>
      </c>
      <c r="L5229" s="92">
        <v>29.15</v>
      </c>
      <c r="M5229" s="92">
        <v>76.95</v>
      </c>
      <c r="N5229" s="573">
        <v>74.72</v>
      </c>
      <c r="O5229" s="556" t="str">
        <f>IF(N5229=M5229,"OK","DIF")</f>
        <v>DIF</v>
      </c>
      <c r="P5229" s="573"/>
      <c r="Q5229" s="556"/>
      <c r="R5229" s="582"/>
    </row>
    <row r="5230" ht="15" customHeight="1" spans="1:18">
      <c r="A5230" s="556" t="str">
        <f>B5230</f>
        <v> 13.38 </v>
      </c>
      <c r="B5230" s="557" t="str">
        <f>B5229</f>
        <v> 13.38 </v>
      </c>
      <c r="C5230" s="100" t="s">
        <v>2893</v>
      </c>
      <c r="D5230" s="99" t="s">
        <v>4083</v>
      </c>
      <c r="E5230" s="100" t="s">
        <v>149</v>
      </c>
      <c r="F5230" s="100" t="s">
        <v>4084</v>
      </c>
      <c r="G5230" s="100" t="s">
        <v>2961</v>
      </c>
      <c r="H5230" s="100"/>
      <c r="I5230" s="101" t="s">
        <v>279</v>
      </c>
      <c r="J5230" s="580">
        <v>0.128</v>
      </c>
      <c r="K5230" s="580">
        <v>0</v>
      </c>
      <c r="L5230" s="102">
        <v>108.18</v>
      </c>
      <c r="M5230" s="102">
        <v>13.84</v>
      </c>
      <c r="N5230" s="573">
        <v>810.84</v>
      </c>
      <c r="O5230" s="556" t="str">
        <f>IF(N5230=M5230,"OK","DIF")</f>
        <v>DIF</v>
      </c>
      <c r="P5230" s="573"/>
      <c r="Q5230" s="556"/>
      <c r="R5230" s="582"/>
    </row>
    <row r="5231" ht="15" customHeight="1" spans="1:18">
      <c r="A5231" s="556"/>
      <c r="B5231" s="557"/>
      <c r="C5231" s="100" t="s">
        <v>2893</v>
      </c>
      <c r="D5231" s="99" t="s">
        <v>3575</v>
      </c>
      <c r="E5231" s="100" t="s">
        <v>149</v>
      </c>
      <c r="F5231" s="100" t="s">
        <v>3576</v>
      </c>
      <c r="G5231" s="100" t="s">
        <v>2961</v>
      </c>
      <c r="H5231" s="100"/>
      <c r="I5231" s="101" t="s">
        <v>393</v>
      </c>
      <c r="J5231" s="580">
        <v>49.76</v>
      </c>
      <c r="K5231" s="580">
        <v>0</v>
      </c>
      <c r="L5231" s="102">
        <v>0.68</v>
      </c>
      <c r="M5231" s="102">
        <v>33.83</v>
      </c>
      <c r="N5231" s="573"/>
      <c r="O5231" s="556"/>
      <c r="P5231" s="573"/>
      <c r="Q5231" s="556"/>
      <c r="R5231" s="582"/>
    </row>
    <row r="5232" ht="15" customHeight="1" spans="1:18">
      <c r="A5232" s="556"/>
      <c r="B5232" s="557"/>
      <c r="C5232" s="100" t="s">
        <v>2893</v>
      </c>
      <c r="D5232" s="99" t="s">
        <v>3569</v>
      </c>
      <c r="E5232" s="100" t="s">
        <v>149</v>
      </c>
      <c r="F5232" s="100" t="s">
        <v>3570</v>
      </c>
      <c r="G5232" s="100" t="s">
        <v>2961</v>
      </c>
      <c r="H5232" s="100"/>
      <c r="I5232" s="101" t="s">
        <v>279</v>
      </c>
      <c r="J5232" s="580">
        <v>0.112</v>
      </c>
      <c r="K5232" s="580">
        <v>0</v>
      </c>
      <c r="L5232" s="102">
        <v>88.64</v>
      </c>
      <c r="M5232" s="102">
        <v>9.92</v>
      </c>
      <c r="N5232" s="573"/>
      <c r="O5232" s="556"/>
      <c r="P5232" s="573"/>
      <c r="Q5232" s="556"/>
      <c r="R5232" s="582"/>
    </row>
    <row r="5233" ht="25.5" spans="1:18">
      <c r="A5233" s="556"/>
      <c r="B5233" s="557" t="str">
        <f>C5232</f>
        <v>Insumo</v>
      </c>
      <c r="C5233" s="108"/>
      <c r="D5233" s="108"/>
      <c r="E5233" s="108"/>
      <c r="F5233" s="108"/>
      <c r="G5233" s="108"/>
      <c r="H5233" s="108" t="s">
        <v>2898</v>
      </c>
      <c r="I5233" s="581">
        <v>68.52</v>
      </c>
      <c r="J5233" s="108" t="s">
        <v>2899</v>
      </c>
      <c r="K5233" s="581">
        <v>0</v>
      </c>
      <c r="L5233" s="108" t="s">
        <v>2900</v>
      </c>
      <c r="M5233" s="581">
        <v>68.52</v>
      </c>
      <c r="N5233" s="573">
        <v>976.95</v>
      </c>
      <c r="O5233" s="556" t="str">
        <f>IF(N5233=M5233,"OK","DIF")</f>
        <v>DIF</v>
      </c>
      <c r="P5233" s="573"/>
      <c r="Q5233" s="556"/>
      <c r="R5233" s="582"/>
    </row>
    <row r="5234" ht="26.25" spans="1:18">
      <c r="A5234" s="556" t="str">
        <f>B5234</f>
        <v>Insumo</v>
      </c>
      <c r="B5234" s="557" t="str">
        <f>B5233</f>
        <v>Insumo</v>
      </c>
      <c r="C5234" s="108"/>
      <c r="D5234" s="108"/>
      <c r="E5234" s="108"/>
      <c r="F5234" s="108"/>
      <c r="G5234" s="108"/>
      <c r="H5234" s="108" t="s">
        <v>2901</v>
      </c>
      <c r="I5234" s="581">
        <v>40.51</v>
      </c>
      <c r="J5234" s="114"/>
      <c r="K5234" s="114" t="s">
        <v>2902</v>
      </c>
      <c r="L5234" s="108"/>
      <c r="M5234" s="581">
        <v>199.44</v>
      </c>
      <c r="N5234" s="573">
        <v>67.42</v>
      </c>
      <c r="O5234" s="556" t="str">
        <f>IF(N5234=M5234,"OK","DIF")</f>
        <v>DIF</v>
      </c>
      <c r="P5234" s="573"/>
      <c r="Q5234" s="556"/>
      <c r="R5234" s="582"/>
    </row>
    <row r="5235" ht="15" spans="1:18">
      <c r="A5235" s="556" t="str">
        <f>B5235</f>
        <v>Insumo</v>
      </c>
      <c r="B5235" s="557" t="str">
        <f>B5234</f>
        <v>Insumo</v>
      </c>
      <c r="C5235" s="571"/>
      <c r="D5235" s="571"/>
      <c r="E5235" s="571"/>
      <c r="F5235" s="571"/>
      <c r="G5235" s="571"/>
      <c r="H5235" s="571"/>
      <c r="I5235" s="571"/>
      <c r="J5235" s="571"/>
      <c r="K5235" s="571"/>
      <c r="L5235" s="571"/>
      <c r="M5235" s="571"/>
      <c r="N5235" s="573">
        <v>74.72</v>
      </c>
      <c r="O5235" s="556" t="str">
        <f>IF(N5235=M5235,"OK","DIF")</f>
        <v>DIF</v>
      </c>
      <c r="P5235" s="573"/>
      <c r="Q5235" s="556"/>
      <c r="R5235" s="582"/>
    </row>
    <row r="5236" ht="15" customHeight="1" spans="1:18">
      <c r="A5236" s="556" t="str">
        <f>B5236</f>
        <v>Insumo</v>
      </c>
      <c r="B5236" s="557" t="str">
        <f>B5235</f>
        <v>Insumo</v>
      </c>
      <c r="C5236" s="76" t="s">
        <v>1779</v>
      </c>
      <c r="D5236" s="75" t="s">
        <v>63</v>
      </c>
      <c r="E5236" s="76" t="s">
        <v>64</v>
      </c>
      <c r="F5236" s="76" t="s">
        <v>65</v>
      </c>
      <c r="G5236" s="76" t="s">
        <v>2889</v>
      </c>
      <c r="H5236" s="76"/>
      <c r="I5236" s="77" t="s">
        <v>66</v>
      </c>
      <c r="J5236" s="75" t="s">
        <v>67</v>
      </c>
      <c r="K5236" s="75" t="s">
        <v>2890</v>
      </c>
      <c r="L5236" s="75" t="s">
        <v>68</v>
      </c>
      <c r="M5236" s="75" t="s">
        <v>70</v>
      </c>
      <c r="N5236" s="573">
        <v>834.81</v>
      </c>
      <c r="O5236" s="556" t="str">
        <f>IF(N5236=M5236,"OK","DIF")</f>
        <v>DIF</v>
      </c>
      <c r="P5236" s="573"/>
      <c r="Q5236" s="556"/>
      <c r="R5236" s="582"/>
    </row>
    <row r="5237" ht="23.85" customHeight="1" spans="1:18">
      <c r="A5237" s="556"/>
      <c r="B5237" s="557"/>
      <c r="C5237" s="569" t="s">
        <v>2891</v>
      </c>
      <c r="D5237" s="570" t="s">
        <v>1259</v>
      </c>
      <c r="E5237" s="569" t="s">
        <v>149</v>
      </c>
      <c r="F5237" s="569" t="s">
        <v>1260</v>
      </c>
      <c r="G5237" s="569" t="s">
        <v>4029</v>
      </c>
      <c r="H5237" s="569"/>
      <c r="I5237" s="577" t="s">
        <v>204</v>
      </c>
      <c r="J5237" s="578">
        <v>1</v>
      </c>
      <c r="K5237" s="579"/>
      <c r="L5237" s="579">
        <v>76.33</v>
      </c>
      <c r="M5237" s="579">
        <v>76.33</v>
      </c>
      <c r="N5237" s="573"/>
      <c r="O5237" s="556"/>
      <c r="P5237" s="573"/>
      <c r="Q5237" s="556"/>
      <c r="R5237" s="582"/>
    </row>
    <row r="5238" ht="15" customHeight="1" spans="1:18">
      <c r="A5238" s="556"/>
      <c r="B5238" s="557"/>
      <c r="C5238" s="100" t="s">
        <v>2893</v>
      </c>
      <c r="D5238" s="99" t="s">
        <v>3575</v>
      </c>
      <c r="E5238" s="100" t="s">
        <v>149</v>
      </c>
      <c r="F5238" s="100" t="s">
        <v>3576</v>
      </c>
      <c r="G5238" s="100" t="s">
        <v>2961</v>
      </c>
      <c r="H5238" s="100"/>
      <c r="I5238" s="101" t="s">
        <v>393</v>
      </c>
      <c r="J5238" s="580">
        <v>24.88</v>
      </c>
      <c r="K5238" s="580">
        <v>0</v>
      </c>
      <c r="L5238" s="102">
        <v>0.68</v>
      </c>
      <c r="M5238" s="102">
        <v>16.91</v>
      </c>
      <c r="N5238" s="573"/>
      <c r="O5238" s="556"/>
      <c r="P5238" s="573"/>
      <c r="Q5238" s="556"/>
      <c r="R5238" s="582"/>
    </row>
    <row r="5239" ht="15" customHeight="1" spans="1:18">
      <c r="A5239" s="556"/>
      <c r="B5239" s="557" t="str">
        <f>C5238</f>
        <v>Insumo</v>
      </c>
      <c r="C5239" s="100" t="s">
        <v>2893</v>
      </c>
      <c r="D5239" s="99" t="s">
        <v>3283</v>
      </c>
      <c r="E5239" s="100" t="s">
        <v>149</v>
      </c>
      <c r="F5239" s="100" t="s">
        <v>3284</v>
      </c>
      <c r="G5239" s="100" t="s">
        <v>2896</v>
      </c>
      <c r="H5239" s="100"/>
      <c r="I5239" s="101" t="s">
        <v>2897</v>
      </c>
      <c r="J5239" s="580">
        <v>0.33</v>
      </c>
      <c r="K5239" s="580">
        <v>0</v>
      </c>
      <c r="L5239" s="102">
        <v>28.994744</v>
      </c>
      <c r="M5239" s="102">
        <v>9.56</v>
      </c>
      <c r="N5239" s="573">
        <v>996.51</v>
      </c>
      <c r="O5239" s="556" t="str">
        <f>IF(N5239=M5239,"OK","DIF")</f>
        <v>DIF</v>
      </c>
      <c r="P5239" s="573"/>
      <c r="Q5239" s="556"/>
      <c r="R5239" s="582"/>
    </row>
    <row r="5240" ht="15" customHeight="1" spans="1:18">
      <c r="A5240" s="556" t="str">
        <f>B5240</f>
        <v>Insumo</v>
      </c>
      <c r="B5240" s="557" t="str">
        <f>B5239</f>
        <v>Insumo</v>
      </c>
      <c r="C5240" s="100" t="s">
        <v>2893</v>
      </c>
      <c r="D5240" s="99" t="s">
        <v>2974</v>
      </c>
      <c r="E5240" s="100" t="s">
        <v>149</v>
      </c>
      <c r="F5240" s="100" t="s">
        <v>2975</v>
      </c>
      <c r="G5240" s="100" t="s">
        <v>2896</v>
      </c>
      <c r="H5240" s="100"/>
      <c r="I5240" s="101" t="s">
        <v>2897</v>
      </c>
      <c r="J5240" s="580">
        <v>1.32</v>
      </c>
      <c r="K5240" s="580">
        <v>0</v>
      </c>
      <c r="L5240" s="102">
        <v>19.471856</v>
      </c>
      <c r="M5240" s="102">
        <v>25.7</v>
      </c>
      <c r="N5240" s="573">
        <v>74.72</v>
      </c>
      <c r="O5240" s="556" t="str">
        <f>IF(N5240=M5240,"OK","DIF")</f>
        <v>DIF</v>
      </c>
      <c r="P5240" s="573"/>
      <c r="Q5240" s="556"/>
      <c r="R5240" s="582"/>
    </row>
    <row r="5241" ht="15" customHeight="1" spans="1:18">
      <c r="A5241" s="556" t="str">
        <f>B5241</f>
        <v>Insumo</v>
      </c>
      <c r="B5241" s="557" t="str">
        <f>B5240</f>
        <v>Insumo</v>
      </c>
      <c r="C5241" s="100" t="s">
        <v>2893</v>
      </c>
      <c r="D5241" s="99" t="s">
        <v>3569</v>
      </c>
      <c r="E5241" s="100" t="s">
        <v>149</v>
      </c>
      <c r="F5241" s="100" t="s">
        <v>3570</v>
      </c>
      <c r="G5241" s="100" t="s">
        <v>2961</v>
      </c>
      <c r="H5241" s="100"/>
      <c r="I5241" s="101" t="s">
        <v>279</v>
      </c>
      <c r="J5241" s="580">
        <v>0.056</v>
      </c>
      <c r="K5241" s="580">
        <v>0</v>
      </c>
      <c r="L5241" s="102">
        <v>88.64</v>
      </c>
      <c r="M5241" s="102">
        <v>4.96</v>
      </c>
      <c r="N5241" s="573">
        <v>67.42</v>
      </c>
      <c r="O5241" s="556" t="str">
        <f>IF(N5241=M5241,"OK","DIF")</f>
        <v>DIF</v>
      </c>
      <c r="P5241" s="573"/>
      <c r="Q5241" s="556"/>
      <c r="R5241" s="582"/>
    </row>
    <row r="5242" ht="15" customHeight="1" spans="1:18">
      <c r="A5242" s="556" t="str">
        <f>B5242</f>
        <v>Insumo</v>
      </c>
      <c r="B5242" s="557" t="str">
        <f>B5241</f>
        <v>Insumo</v>
      </c>
      <c r="C5242" s="100" t="s">
        <v>2893</v>
      </c>
      <c r="D5242" s="99" t="s">
        <v>4177</v>
      </c>
      <c r="E5242" s="100" t="s">
        <v>149</v>
      </c>
      <c r="F5242" s="100" t="s">
        <v>4178</v>
      </c>
      <c r="G5242" s="100" t="s">
        <v>2961</v>
      </c>
      <c r="H5242" s="100"/>
      <c r="I5242" s="101" t="s">
        <v>204</v>
      </c>
      <c r="J5242" s="580">
        <v>2.4</v>
      </c>
      <c r="K5242" s="580">
        <v>0</v>
      </c>
      <c r="L5242" s="102">
        <v>5.12</v>
      </c>
      <c r="M5242" s="102">
        <v>12.28</v>
      </c>
      <c r="N5242" s="573">
        <v>854.37</v>
      </c>
      <c r="O5242" s="556" t="str">
        <f>IF(N5242=M5242,"OK","DIF")</f>
        <v>DIF</v>
      </c>
      <c r="P5242" s="573"/>
      <c r="Q5242" s="556"/>
      <c r="R5242" s="582"/>
    </row>
    <row r="5243" ht="15" customHeight="1" spans="1:18">
      <c r="A5243" s="556"/>
      <c r="B5243" s="557"/>
      <c r="C5243" s="100" t="s">
        <v>2893</v>
      </c>
      <c r="D5243" s="99" t="s">
        <v>4083</v>
      </c>
      <c r="E5243" s="100" t="s">
        <v>149</v>
      </c>
      <c r="F5243" s="100" t="s">
        <v>4084</v>
      </c>
      <c r="G5243" s="100" t="s">
        <v>2961</v>
      </c>
      <c r="H5243" s="100"/>
      <c r="I5243" s="101" t="s">
        <v>279</v>
      </c>
      <c r="J5243" s="580">
        <v>0.064</v>
      </c>
      <c r="K5243" s="580">
        <v>0</v>
      </c>
      <c r="L5243" s="102">
        <v>108.18</v>
      </c>
      <c r="M5243" s="102">
        <v>6.92</v>
      </c>
      <c r="N5243" s="573"/>
      <c r="O5243" s="556"/>
      <c r="P5243" s="573"/>
      <c r="Q5243" s="556"/>
      <c r="R5243" s="582"/>
    </row>
    <row r="5244" ht="25.5" spans="1:18">
      <c r="A5244" s="556"/>
      <c r="B5244" s="557"/>
      <c r="C5244" s="108"/>
      <c r="D5244" s="108"/>
      <c r="E5244" s="108"/>
      <c r="F5244" s="108"/>
      <c r="G5244" s="108"/>
      <c r="H5244" s="108" t="s">
        <v>2898</v>
      </c>
      <c r="I5244" s="581">
        <v>35.26</v>
      </c>
      <c r="J5244" s="108" t="s">
        <v>2899</v>
      </c>
      <c r="K5244" s="581">
        <v>0</v>
      </c>
      <c r="L5244" s="108" t="s">
        <v>2900</v>
      </c>
      <c r="M5244" s="581">
        <v>35.26</v>
      </c>
      <c r="N5244" s="573"/>
      <c r="O5244" s="556"/>
      <c r="P5244" s="573"/>
      <c r="Q5244" s="556"/>
      <c r="R5244" s="582"/>
    </row>
    <row r="5245" ht="26.25" spans="1:18">
      <c r="A5245" s="556"/>
      <c r="B5245" s="557">
        <f>C5244</f>
        <v>0</v>
      </c>
      <c r="C5245" s="108"/>
      <c r="D5245" s="108"/>
      <c r="E5245" s="108"/>
      <c r="F5245" s="108"/>
      <c r="G5245" s="108"/>
      <c r="H5245" s="108" t="s">
        <v>2901</v>
      </c>
      <c r="I5245" s="581">
        <v>19.45</v>
      </c>
      <c r="J5245" s="114"/>
      <c r="K5245" s="114" t="s">
        <v>2902</v>
      </c>
      <c r="L5245" s="108"/>
      <c r="M5245" s="581">
        <v>95.78</v>
      </c>
      <c r="N5245" s="573">
        <v>1021.57</v>
      </c>
      <c r="O5245" s="556" t="str">
        <f>IF(N5245=M5245,"OK","DIF")</f>
        <v>DIF</v>
      </c>
      <c r="P5245" s="573"/>
      <c r="Q5245" s="556"/>
      <c r="R5245" s="582"/>
    </row>
    <row r="5246" ht="15" spans="1:18">
      <c r="A5246" s="556">
        <f>B5246</f>
        <v>0</v>
      </c>
      <c r="B5246" s="557">
        <f>B5245</f>
        <v>0</v>
      </c>
      <c r="C5246" s="571"/>
      <c r="D5246" s="571"/>
      <c r="E5246" s="571"/>
      <c r="F5246" s="571"/>
      <c r="G5246" s="571"/>
      <c r="H5246" s="571"/>
      <c r="I5246" s="571"/>
      <c r="J5246" s="571"/>
      <c r="K5246" s="571"/>
      <c r="L5246" s="571"/>
      <c r="M5246" s="571"/>
      <c r="N5246" s="573">
        <v>67.42</v>
      </c>
      <c r="O5246" s="556" t="str">
        <f>IF(N5246=M5246,"OK","DIF")</f>
        <v>DIF</v>
      </c>
      <c r="P5246" s="573"/>
      <c r="Q5246" s="556"/>
      <c r="R5246" s="582"/>
    </row>
    <row r="5247" ht="15" customHeight="1" spans="1:18">
      <c r="A5247" s="556">
        <f>B5247</f>
        <v>0</v>
      </c>
      <c r="B5247" s="557">
        <f>B5246</f>
        <v>0</v>
      </c>
      <c r="C5247" s="76" t="s">
        <v>1780</v>
      </c>
      <c r="D5247" s="75" t="s">
        <v>63</v>
      </c>
      <c r="E5247" s="76" t="s">
        <v>64</v>
      </c>
      <c r="F5247" s="76" t="s">
        <v>65</v>
      </c>
      <c r="G5247" s="76" t="s">
        <v>2889</v>
      </c>
      <c r="H5247" s="76"/>
      <c r="I5247" s="77" t="s">
        <v>66</v>
      </c>
      <c r="J5247" s="75" t="s">
        <v>67</v>
      </c>
      <c r="K5247" s="75" t="s">
        <v>2890</v>
      </c>
      <c r="L5247" s="75" t="s">
        <v>68</v>
      </c>
      <c r="M5247" s="75" t="s">
        <v>70</v>
      </c>
      <c r="N5247" s="573">
        <v>74.72</v>
      </c>
      <c r="O5247" s="556" t="str">
        <f>IF(N5247=M5247,"OK","DIF")</f>
        <v>DIF</v>
      </c>
      <c r="P5247" s="573"/>
      <c r="Q5247" s="556"/>
      <c r="R5247" s="582"/>
    </row>
    <row r="5248" ht="46.25" customHeight="1" spans="1:18">
      <c r="A5248" s="556">
        <f>B5248</f>
        <v>0</v>
      </c>
      <c r="B5248" s="557">
        <f>B5247</f>
        <v>0</v>
      </c>
      <c r="C5248" s="569" t="s">
        <v>2891</v>
      </c>
      <c r="D5248" s="570" t="s">
        <v>1262</v>
      </c>
      <c r="E5248" s="569" t="s">
        <v>132</v>
      </c>
      <c r="F5248" s="569" t="s">
        <v>1263</v>
      </c>
      <c r="G5248" s="569" t="s">
        <v>3996</v>
      </c>
      <c r="H5248" s="569"/>
      <c r="I5248" s="577" t="s">
        <v>134</v>
      </c>
      <c r="J5248" s="578">
        <v>1</v>
      </c>
      <c r="K5248" s="579"/>
      <c r="L5248" s="579">
        <v>1081.08</v>
      </c>
      <c r="M5248" s="579">
        <v>1081.08</v>
      </c>
      <c r="N5248" s="573">
        <v>879.43</v>
      </c>
      <c r="O5248" s="556" t="str">
        <f>IF(N5248=M5248,"OK","DIF")</f>
        <v>DIF</v>
      </c>
      <c r="P5248" s="573"/>
      <c r="Q5248" s="556"/>
      <c r="R5248" s="582"/>
    </row>
    <row r="5249" ht="23.85" customHeight="1" spans="1:18">
      <c r="A5249" s="556"/>
      <c r="B5249" s="557"/>
      <c r="C5249" s="79" t="s">
        <v>2921</v>
      </c>
      <c r="D5249" s="78" t="s">
        <v>2954</v>
      </c>
      <c r="E5249" s="79" t="s">
        <v>139</v>
      </c>
      <c r="F5249" s="79" t="s">
        <v>2955</v>
      </c>
      <c r="G5249" s="79" t="s">
        <v>2928</v>
      </c>
      <c r="H5249" s="79"/>
      <c r="I5249" s="80" t="s">
        <v>2897</v>
      </c>
      <c r="J5249" s="583">
        <v>0.808</v>
      </c>
      <c r="K5249" s="583">
        <v>0</v>
      </c>
      <c r="L5249" s="92">
        <v>37.51</v>
      </c>
      <c r="M5249" s="92">
        <v>30.3</v>
      </c>
      <c r="N5249" s="573"/>
      <c r="O5249" s="556"/>
      <c r="P5249" s="573"/>
      <c r="Q5249" s="556"/>
      <c r="R5249" s="582"/>
    </row>
    <row r="5250" ht="23.85" customHeight="1" spans="1:18">
      <c r="A5250" s="556"/>
      <c r="B5250" s="557"/>
      <c r="C5250" s="79" t="s">
        <v>2921</v>
      </c>
      <c r="D5250" s="78" t="s">
        <v>4085</v>
      </c>
      <c r="E5250" s="79" t="s">
        <v>139</v>
      </c>
      <c r="F5250" s="79" t="s">
        <v>4086</v>
      </c>
      <c r="G5250" s="79" t="s">
        <v>2928</v>
      </c>
      <c r="H5250" s="79"/>
      <c r="I5250" s="80" t="s">
        <v>2897</v>
      </c>
      <c r="J5250" s="583">
        <v>0.894</v>
      </c>
      <c r="K5250" s="583">
        <v>0</v>
      </c>
      <c r="L5250" s="92">
        <v>30.13</v>
      </c>
      <c r="M5250" s="92">
        <v>26.93</v>
      </c>
      <c r="N5250" s="573"/>
      <c r="O5250" s="556"/>
      <c r="P5250" s="573"/>
      <c r="Q5250" s="556"/>
      <c r="R5250" s="582"/>
    </row>
    <row r="5251" ht="23.85" customHeight="1" spans="1:18">
      <c r="A5251" s="556"/>
      <c r="B5251" s="557" t="str">
        <f>C5250</f>
        <v>Composição Auxiliar</v>
      </c>
      <c r="C5251" s="79" t="s">
        <v>2921</v>
      </c>
      <c r="D5251" s="78" t="s">
        <v>3313</v>
      </c>
      <c r="E5251" s="79" t="s">
        <v>139</v>
      </c>
      <c r="F5251" s="79" t="s">
        <v>3314</v>
      </c>
      <c r="G5251" s="79" t="s">
        <v>2928</v>
      </c>
      <c r="H5251" s="79"/>
      <c r="I5251" s="80" t="s">
        <v>2897</v>
      </c>
      <c r="J5251" s="583">
        <v>0.086</v>
      </c>
      <c r="K5251" s="583">
        <v>0</v>
      </c>
      <c r="L5251" s="92">
        <v>35.95</v>
      </c>
      <c r="M5251" s="92">
        <v>3.09</v>
      </c>
      <c r="N5251" s="573">
        <v>1026.63</v>
      </c>
      <c r="O5251" s="556" t="str">
        <f>IF(N5251=M5251,"OK","DIF")</f>
        <v>DIF</v>
      </c>
      <c r="P5251" s="573"/>
      <c r="Q5251" s="556"/>
      <c r="R5251" s="582"/>
    </row>
    <row r="5252" ht="23.85" customHeight="1" spans="1:18">
      <c r="A5252" s="556" t="str">
        <f>B5252</f>
        <v>Composição Auxiliar</v>
      </c>
      <c r="B5252" s="557" t="str">
        <f>B5251</f>
        <v>Composição Auxiliar</v>
      </c>
      <c r="C5252" s="79" t="s">
        <v>2921</v>
      </c>
      <c r="D5252" s="78" t="s">
        <v>3017</v>
      </c>
      <c r="E5252" s="79" t="s">
        <v>139</v>
      </c>
      <c r="F5252" s="79" t="s">
        <v>3018</v>
      </c>
      <c r="G5252" s="79" t="s">
        <v>2928</v>
      </c>
      <c r="H5252" s="79"/>
      <c r="I5252" s="80" t="s">
        <v>2897</v>
      </c>
      <c r="J5252" s="583">
        <v>3.301</v>
      </c>
      <c r="K5252" s="583">
        <v>0</v>
      </c>
      <c r="L5252" s="92">
        <v>36.96</v>
      </c>
      <c r="M5252" s="92">
        <v>122</v>
      </c>
      <c r="N5252" s="573">
        <v>74.72</v>
      </c>
      <c r="O5252" s="556" t="str">
        <f>IF(N5252=M5252,"OK","DIF")</f>
        <v>DIF</v>
      </c>
      <c r="P5252" s="573"/>
      <c r="Q5252" s="556"/>
      <c r="R5252" s="582"/>
    </row>
    <row r="5253" ht="23.85" customHeight="1" spans="1:18">
      <c r="A5253" s="556" t="str">
        <f>B5253</f>
        <v>Composição Auxiliar</v>
      </c>
      <c r="B5253" s="557" t="str">
        <f>B5252</f>
        <v>Composição Auxiliar</v>
      </c>
      <c r="C5253" s="79" t="s">
        <v>2921</v>
      </c>
      <c r="D5253" s="78" t="s">
        <v>2952</v>
      </c>
      <c r="E5253" s="79" t="s">
        <v>139</v>
      </c>
      <c r="F5253" s="79" t="s">
        <v>2953</v>
      </c>
      <c r="G5253" s="79" t="s">
        <v>2928</v>
      </c>
      <c r="H5253" s="79"/>
      <c r="I5253" s="80" t="s">
        <v>2897</v>
      </c>
      <c r="J5253" s="583">
        <v>9.164</v>
      </c>
      <c r="K5253" s="583">
        <v>0</v>
      </c>
      <c r="L5253" s="92">
        <v>29.15</v>
      </c>
      <c r="M5253" s="92">
        <v>267.13</v>
      </c>
      <c r="N5253" s="573">
        <v>67.42</v>
      </c>
      <c r="O5253" s="556" t="str">
        <f>IF(N5253=M5253,"OK","DIF")</f>
        <v>DIF</v>
      </c>
      <c r="P5253" s="573"/>
      <c r="Q5253" s="556"/>
      <c r="R5253" s="582"/>
    </row>
    <row r="5254" ht="15" customHeight="1" spans="1:18">
      <c r="A5254" s="556" t="str">
        <f>B5254</f>
        <v>Composição Auxiliar</v>
      </c>
      <c r="B5254" s="557" t="str">
        <f>B5253</f>
        <v>Composição Auxiliar</v>
      </c>
      <c r="C5254" s="100" t="s">
        <v>2893</v>
      </c>
      <c r="D5254" s="99" t="s">
        <v>4095</v>
      </c>
      <c r="E5254" s="100" t="s">
        <v>149</v>
      </c>
      <c r="F5254" s="100" t="s">
        <v>4096</v>
      </c>
      <c r="G5254" s="100" t="s">
        <v>2961</v>
      </c>
      <c r="H5254" s="100"/>
      <c r="I5254" s="101" t="s">
        <v>393</v>
      </c>
      <c r="J5254" s="580">
        <v>2.727</v>
      </c>
      <c r="K5254" s="580">
        <v>0</v>
      </c>
      <c r="L5254" s="102">
        <v>1.53</v>
      </c>
      <c r="M5254" s="102">
        <v>4.17</v>
      </c>
      <c r="N5254" s="573">
        <v>884.49</v>
      </c>
      <c r="O5254" s="556" t="str">
        <f>IF(N5254=M5254,"OK","DIF")</f>
        <v>DIF</v>
      </c>
      <c r="P5254" s="573"/>
      <c r="Q5254" s="556"/>
      <c r="R5254" s="582"/>
    </row>
    <row r="5255" ht="23.85" customHeight="1" spans="1:18">
      <c r="A5255" s="556"/>
      <c r="B5255" s="557"/>
      <c r="C5255" s="100" t="s">
        <v>2893</v>
      </c>
      <c r="D5255" s="99" t="s">
        <v>4117</v>
      </c>
      <c r="E5255" s="100" t="s">
        <v>77</v>
      </c>
      <c r="F5255" s="100" t="s">
        <v>4118</v>
      </c>
      <c r="G5255" s="100" t="s">
        <v>2961</v>
      </c>
      <c r="H5255" s="100"/>
      <c r="I5255" s="101" t="s">
        <v>134</v>
      </c>
      <c r="J5255" s="580">
        <v>1</v>
      </c>
      <c r="K5255" s="580">
        <v>0</v>
      </c>
      <c r="L5255" s="102">
        <v>514.8</v>
      </c>
      <c r="M5255" s="102">
        <v>514.8</v>
      </c>
      <c r="N5255" s="573"/>
      <c r="O5255" s="556"/>
      <c r="P5255" s="573"/>
      <c r="Q5255" s="556"/>
      <c r="R5255" s="582"/>
    </row>
    <row r="5256" ht="15" customHeight="1" spans="1:18">
      <c r="A5256" s="556"/>
      <c r="B5256" s="557"/>
      <c r="C5256" s="100" t="s">
        <v>2893</v>
      </c>
      <c r="D5256" s="99" t="s">
        <v>4089</v>
      </c>
      <c r="E5256" s="100" t="s">
        <v>149</v>
      </c>
      <c r="F5256" s="100" t="s">
        <v>4090</v>
      </c>
      <c r="G5256" s="100" t="s">
        <v>2961</v>
      </c>
      <c r="H5256" s="100"/>
      <c r="I5256" s="101" t="s">
        <v>3084</v>
      </c>
      <c r="J5256" s="580">
        <v>0.764</v>
      </c>
      <c r="K5256" s="580">
        <v>0</v>
      </c>
      <c r="L5256" s="102">
        <v>4.77</v>
      </c>
      <c r="M5256" s="102">
        <v>3.64</v>
      </c>
      <c r="N5256" s="573"/>
      <c r="O5256" s="556"/>
      <c r="P5256" s="573"/>
      <c r="Q5256" s="556"/>
      <c r="R5256" s="582"/>
    </row>
    <row r="5257" ht="15" customHeight="1" spans="1:18">
      <c r="A5257" s="556"/>
      <c r="B5257" s="557" t="str">
        <f>C5256</f>
        <v>Insumo</v>
      </c>
      <c r="C5257" s="100" t="s">
        <v>2893</v>
      </c>
      <c r="D5257" s="99" t="s">
        <v>4099</v>
      </c>
      <c r="E5257" s="100" t="s">
        <v>149</v>
      </c>
      <c r="F5257" s="100" t="s">
        <v>4100</v>
      </c>
      <c r="G5257" s="100" t="s">
        <v>2961</v>
      </c>
      <c r="H5257" s="100"/>
      <c r="I5257" s="101" t="s">
        <v>279</v>
      </c>
      <c r="J5257" s="580">
        <v>0.023</v>
      </c>
      <c r="K5257" s="580">
        <v>0</v>
      </c>
      <c r="L5257" s="102">
        <v>102.18</v>
      </c>
      <c r="M5257" s="102">
        <v>2.35</v>
      </c>
      <c r="N5257" s="573">
        <v>1048.45</v>
      </c>
      <c r="O5257" s="556" t="str">
        <f>IF(N5257=M5257,"OK","DIF")</f>
        <v>DIF</v>
      </c>
      <c r="P5257" s="573"/>
      <c r="Q5257" s="556"/>
      <c r="R5257" s="582"/>
    </row>
    <row r="5258" ht="15" customHeight="1" spans="1:18">
      <c r="A5258" s="556" t="str">
        <f>B5258</f>
        <v>Insumo</v>
      </c>
      <c r="B5258" s="557" t="str">
        <f>B5257</f>
        <v>Insumo</v>
      </c>
      <c r="C5258" s="100" t="s">
        <v>2893</v>
      </c>
      <c r="D5258" s="99" t="s">
        <v>3011</v>
      </c>
      <c r="E5258" s="100" t="s">
        <v>139</v>
      </c>
      <c r="F5258" s="100" t="s">
        <v>3012</v>
      </c>
      <c r="G5258" s="100" t="s">
        <v>2961</v>
      </c>
      <c r="H5258" s="100"/>
      <c r="I5258" s="101" t="s">
        <v>393</v>
      </c>
      <c r="J5258" s="580">
        <v>0.093</v>
      </c>
      <c r="K5258" s="580">
        <v>0</v>
      </c>
      <c r="L5258" s="102">
        <v>18.07</v>
      </c>
      <c r="M5258" s="102">
        <v>1.68</v>
      </c>
      <c r="N5258" s="573">
        <v>74.72</v>
      </c>
      <c r="O5258" s="556" t="str">
        <f>IF(N5258=M5258,"OK","DIF")</f>
        <v>DIF</v>
      </c>
      <c r="P5258" s="573"/>
      <c r="Q5258" s="556"/>
      <c r="R5258" s="582"/>
    </row>
    <row r="5259" ht="23.85" customHeight="1" spans="1:18">
      <c r="A5259" s="556" t="str">
        <f>B5259</f>
        <v>Insumo</v>
      </c>
      <c r="B5259" s="557" t="str">
        <f>B5258</f>
        <v>Insumo</v>
      </c>
      <c r="C5259" s="100" t="s">
        <v>2893</v>
      </c>
      <c r="D5259" s="99" t="s">
        <v>3338</v>
      </c>
      <c r="E5259" s="100" t="s">
        <v>139</v>
      </c>
      <c r="F5259" s="100" t="s">
        <v>3339</v>
      </c>
      <c r="G5259" s="100" t="s">
        <v>2961</v>
      </c>
      <c r="H5259" s="100"/>
      <c r="I5259" s="101" t="s">
        <v>204</v>
      </c>
      <c r="J5259" s="580">
        <v>0.622</v>
      </c>
      <c r="K5259" s="580">
        <v>0</v>
      </c>
      <c r="L5259" s="102">
        <v>14.58</v>
      </c>
      <c r="M5259" s="102">
        <v>9.06</v>
      </c>
      <c r="N5259" s="573">
        <v>67.42</v>
      </c>
      <c r="O5259" s="556" t="str">
        <f>IF(N5259=M5259,"OK","DIF")</f>
        <v>DIF</v>
      </c>
      <c r="P5259" s="573"/>
      <c r="Q5259" s="556"/>
      <c r="R5259" s="582"/>
    </row>
    <row r="5260" ht="15" customHeight="1" spans="1:18">
      <c r="A5260" s="556" t="str">
        <f>B5260</f>
        <v>Insumo</v>
      </c>
      <c r="B5260" s="557" t="str">
        <f>B5259</f>
        <v>Insumo</v>
      </c>
      <c r="C5260" s="100" t="s">
        <v>2893</v>
      </c>
      <c r="D5260" s="99" t="s">
        <v>4091</v>
      </c>
      <c r="E5260" s="100" t="s">
        <v>149</v>
      </c>
      <c r="F5260" s="100" t="s">
        <v>4092</v>
      </c>
      <c r="G5260" s="100" t="s">
        <v>2961</v>
      </c>
      <c r="H5260" s="100"/>
      <c r="I5260" s="101" t="s">
        <v>279</v>
      </c>
      <c r="J5260" s="580">
        <v>0.086</v>
      </c>
      <c r="K5260" s="580">
        <v>0</v>
      </c>
      <c r="L5260" s="102">
        <v>87.5</v>
      </c>
      <c r="M5260" s="102">
        <v>7.52</v>
      </c>
      <c r="N5260" s="573">
        <v>906.31</v>
      </c>
      <c r="O5260" s="556" t="str">
        <f>IF(N5260=M5260,"OK","DIF")</f>
        <v>DIF</v>
      </c>
      <c r="P5260" s="573"/>
      <c r="Q5260" s="556"/>
      <c r="R5260" s="582"/>
    </row>
    <row r="5261" ht="23.85" customHeight="1" spans="1:18">
      <c r="A5261" s="556"/>
      <c r="B5261" s="557"/>
      <c r="C5261" s="100" t="s">
        <v>2893</v>
      </c>
      <c r="D5261" s="99" t="s">
        <v>3342</v>
      </c>
      <c r="E5261" s="100" t="s">
        <v>139</v>
      </c>
      <c r="F5261" s="100" t="s">
        <v>3343</v>
      </c>
      <c r="G5261" s="100" t="s">
        <v>2961</v>
      </c>
      <c r="H5261" s="100"/>
      <c r="I5261" s="101" t="s">
        <v>3084</v>
      </c>
      <c r="J5261" s="580">
        <v>0.249</v>
      </c>
      <c r="K5261" s="580">
        <v>0</v>
      </c>
      <c r="L5261" s="102">
        <v>7.97</v>
      </c>
      <c r="M5261" s="102">
        <v>1.98</v>
      </c>
      <c r="N5261" s="573"/>
      <c r="O5261" s="556"/>
      <c r="P5261" s="573"/>
      <c r="Q5261" s="556"/>
      <c r="R5261" s="582"/>
    </row>
    <row r="5262" ht="15" customHeight="1" spans="1:18">
      <c r="A5262" s="556"/>
      <c r="B5262" s="557"/>
      <c r="C5262" s="100" t="s">
        <v>2893</v>
      </c>
      <c r="D5262" s="99" t="s">
        <v>4103</v>
      </c>
      <c r="E5262" s="100" t="s">
        <v>149</v>
      </c>
      <c r="F5262" s="100" t="s">
        <v>4104</v>
      </c>
      <c r="G5262" s="100" t="s">
        <v>2961</v>
      </c>
      <c r="H5262" s="100"/>
      <c r="I5262" s="101" t="s">
        <v>279</v>
      </c>
      <c r="J5262" s="580">
        <v>0.011</v>
      </c>
      <c r="K5262" s="580">
        <v>0</v>
      </c>
      <c r="L5262" s="102">
        <v>108.18</v>
      </c>
      <c r="M5262" s="102">
        <v>1.18</v>
      </c>
      <c r="N5262" s="573"/>
      <c r="O5262" s="556"/>
      <c r="P5262" s="573"/>
      <c r="Q5262" s="556"/>
      <c r="R5262" s="582"/>
    </row>
    <row r="5263" ht="23.85" customHeight="1" spans="1:18">
      <c r="A5263" s="556"/>
      <c r="B5263" s="557" t="str">
        <f>C5262</f>
        <v>Insumo</v>
      </c>
      <c r="C5263" s="100" t="s">
        <v>2893</v>
      </c>
      <c r="D5263" s="99" t="s">
        <v>4101</v>
      </c>
      <c r="E5263" s="100" t="s">
        <v>139</v>
      </c>
      <c r="F5263" s="100" t="s">
        <v>4102</v>
      </c>
      <c r="G5263" s="100" t="s">
        <v>2961</v>
      </c>
      <c r="H5263" s="100"/>
      <c r="I5263" s="101" t="s">
        <v>134</v>
      </c>
      <c r="J5263" s="580">
        <v>21.858</v>
      </c>
      <c r="K5263" s="580">
        <v>0</v>
      </c>
      <c r="L5263" s="102">
        <v>2.65</v>
      </c>
      <c r="M5263" s="102">
        <v>57.92</v>
      </c>
      <c r="N5263" s="573">
        <v>1073.52</v>
      </c>
      <c r="O5263" s="556" t="str">
        <f>IF(N5263=M5263,"OK","DIF")</f>
        <v>DIF</v>
      </c>
      <c r="P5263" s="573"/>
      <c r="Q5263" s="556"/>
      <c r="R5263" s="582"/>
    </row>
    <row r="5264" ht="15" customHeight="1" spans="1:18">
      <c r="A5264" s="556" t="str">
        <f>B5264</f>
        <v>Insumo</v>
      </c>
      <c r="B5264" s="557" t="str">
        <f>B5263</f>
        <v>Insumo</v>
      </c>
      <c r="C5264" s="100" t="s">
        <v>2893</v>
      </c>
      <c r="D5264" s="99" t="s">
        <v>4097</v>
      </c>
      <c r="E5264" s="100" t="s">
        <v>139</v>
      </c>
      <c r="F5264" s="100" t="s">
        <v>4098</v>
      </c>
      <c r="G5264" s="100" t="s">
        <v>2961</v>
      </c>
      <c r="H5264" s="100"/>
      <c r="I5264" s="101" t="s">
        <v>393</v>
      </c>
      <c r="J5264" s="580">
        <v>24.067</v>
      </c>
      <c r="K5264" s="580">
        <v>0</v>
      </c>
      <c r="L5264" s="102">
        <v>0.57</v>
      </c>
      <c r="M5264" s="102">
        <v>13.71</v>
      </c>
      <c r="N5264" s="573">
        <v>74.72</v>
      </c>
      <c r="O5264" s="556" t="str">
        <f>IF(N5264=M5264,"OK","DIF")</f>
        <v>DIF</v>
      </c>
      <c r="P5264" s="573"/>
      <c r="Q5264" s="556"/>
      <c r="R5264" s="582"/>
    </row>
    <row r="5265" ht="23.85" customHeight="1" spans="1:18">
      <c r="A5265" s="556" t="str">
        <f>B5265</f>
        <v>Insumo</v>
      </c>
      <c r="B5265" s="557" t="str">
        <f>B5264</f>
        <v>Insumo</v>
      </c>
      <c r="C5265" s="100" t="s">
        <v>2893</v>
      </c>
      <c r="D5265" s="99" t="s">
        <v>3318</v>
      </c>
      <c r="E5265" s="100" t="s">
        <v>139</v>
      </c>
      <c r="F5265" s="100" t="s">
        <v>3319</v>
      </c>
      <c r="G5265" s="100" t="s">
        <v>2961</v>
      </c>
      <c r="H5265" s="100"/>
      <c r="I5265" s="101" t="s">
        <v>393</v>
      </c>
      <c r="J5265" s="580">
        <v>0.021</v>
      </c>
      <c r="K5265" s="580">
        <v>0</v>
      </c>
      <c r="L5265" s="102">
        <v>22</v>
      </c>
      <c r="M5265" s="102">
        <v>0.46</v>
      </c>
      <c r="N5265" s="573">
        <v>67.42</v>
      </c>
      <c r="O5265" s="556" t="str">
        <f>IF(N5265=M5265,"OK","DIF")</f>
        <v>DIF</v>
      </c>
      <c r="P5265" s="573"/>
      <c r="Q5265" s="556"/>
      <c r="R5265" s="582"/>
    </row>
    <row r="5266" ht="23.85" customHeight="1" spans="1:18">
      <c r="A5266" s="556" t="str">
        <f>B5266</f>
        <v>Insumo</v>
      </c>
      <c r="B5266" s="557" t="str">
        <f>B5265</f>
        <v>Insumo</v>
      </c>
      <c r="C5266" s="100" t="s">
        <v>2893</v>
      </c>
      <c r="D5266" s="99" t="s">
        <v>2964</v>
      </c>
      <c r="E5266" s="100" t="s">
        <v>139</v>
      </c>
      <c r="F5266" s="100" t="s">
        <v>2965</v>
      </c>
      <c r="G5266" s="100" t="s">
        <v>2961</v>
      </c>
      <c r="H5266" s="100"/>
      <c r="I5266" s="101" t="s">
        <v>204</v>
      </c>
      <c r="J5266" s="580">
        <v>0.311</v>
      </c>
      <c r="K5266" s="580">
        <v>0</v>
      </c>
      <c r="L5266" s="102">
        <v>4.46</v>
      </c>
      <c r="M5266" s="102">
        <v>1.38</v>
      </c>
      <c r="N5266" s="573">
        <v>931.38</v>
      </c>
      <c r="O5266" s="556" t="str">
        <f>IF(N5266=M5266,"OK","DIF")</f>
        <v>DIF</v>
      </c>
      <c r="P5266" s="573"/>
      <c r="Q5266" s="556"/>
      <c r="R5266" s="582"/>
    </row>
    <row r="5267" ht="15" customHeight="1" spans="1:18">
      <c r="A5267" s="556"/>
      <c r="B5267" s="557"/>
      <c r="C5267" s="100" t="s">
        <v>2893</v>
      </c>
      <c r="D5267" s="99" t="s">
        <v>4087</v>
      </c>
      <c r="E5267" s="100" t="s">
        <v>149</v>
      </c>
      <c r="F5267" s="100" t="s">
        <v>4088</v>
      </c>
      <c r="G5267" s="100" t="s">
        <v>2961</v>
      </c>
      <c r="H5267" s="100"/>
      <c r="I5267" s="101" t="s">
        <v>279</v>
      </c>
      <c r="J5267" s="580">
        <v>0.011</v>
      </c>
      <c r="K5267" s="580">
        <v>0</v>
      </c>
      <c r="L5267" s="102">
        <v>108.75</v>
      </c>
      <c r="M5267" s="102">
        <v>1.19</v>
      </c>
      <c r="N5267" s="573"/>
      <c r="O5267" s="556"/>
      <c r="P5267" s="573"/>
      <c r="Q5267" s="556"/>
      <c r="R5267" s="582"/>
    </row>
    <row r="5268" ht="15" customHeight="1" spans="1:18">
      <c r="A5268" s="556"/>
      <c r="B5268" s="557"/>
      <c r="C5268" s="100" t="s">
        <v>2893</v>
      </c>
      <c r="D5268" s="99" t="s">
        <v>4093</v>
      </c>
      <c r="E5268" s="100" t="s">
        <v>139</v>
      </c>
      <c r="F5268" s="100" t="s">
        <v>4094</v>
      </c>
      <c r="G5268" s="100" t="s">
        <v>2961</v>
      </c>
      <c r="H5268" s="100"/>
      <c r="I5268" s="101" t="s">
        <v>393</v>
      </c>
      <c r="J5268" s="580">
        <v>1.176</v>
      </c>
      <c r="K5268" s="580">
        <v>0</v>
      </c>
      <c r="L5268" s="102">
        <v>9.01</v>
      </c>
      <c r="M5268" s="102">
        <v>10.59</v>
      </c>
      <c r="N5268" s="573"/>
      <c r="O5268" s="556"/>
      <c r="P5268" s="573"/>
      <c r="Q5268" s="556"/>
      <c r="R5268" s="582"/>
    </row>
    <row r="5269" ht="25.5" spans="1:18">
      <c r="A5269" s="556"/>
      <c r="B5269" s="557" t="str">
        <f>C5268</f>
        <v>Insumo</v>
      </c>
      <c r="C5269" s="108"/>
      <c r="D5269" s="108"/>
      <c r="E5269" s="108"/>
      <c r="F5269" s="108"/>
      <c r="G5269" s="108"/>
      <c r="H5269" s="108" t="s">
        <v>2898</v>
      </c>
      <c r="I5269" s="581">
        <v>307.62</v>
      </c>
      <c r="J5269" s="108" t="s">
        <v>2899</v>
      </c>
      <c r="K5269" s="581">
        <v>0</v>
      </c>
      <c r="L5269" s="108" t="s">
        <v>2900</v>
      </c>
      <c r="M5269" s="581">
        <v>307.62</v>
      </c>
      <c r="N5269" s="573">
        <v>1105.97</v>
      </c>
      <c r="O5269" s="556" t="str">
        <f>IF(N5269=M5269,"OK","DIF")</f>
        <v>DIF</v>
      </c>
      <c r="P5269" s="573"/>
      <c r="Q5269" s="556"/>
      <c r="R5269" s="582"/>
    </row>
    <row r="5270" ht="26.25" spans="1:18">
      <c r="A5270" s="556" t="str">
        <f>B5270</f>
        <v>Insumo</v>
      </c>
      <c r="B5270" s="557" t="str">
        <f>B5269</f>
        <v>Insumo</v>
      </c>
      <c r="C5270" s="108"/>
      <c r="D5270" s="108"/>
      <c r="E5270" s="108"/>
      <c r="F5270" s="108"/>
      <c r="G5270" s="108"/>
      <c r="H5270" s="108" t="s">
        <v>2901</v>
      </c>
      <c r="I5270" s="581">
        <v>275.56</v>
      </c>
      <c r="J5270" s="114"/>
      <c r="K5270" s="114" t="s">
        <v>2902</v>
      </c>
      <c r="L5270" s="108"/>
      <c r="M5270" s="581">
        <v>1356.64</v>
      </c>
      <c r="N5270" s="573">
        <v>74.72</v>
      </c>
      <c r="O5270" s="556" t="str">
        <f>IF(N5270=M5270,"OK","DIF")</f>
        <v>DIF</v>
      </c>
      <c r="P5270" s="573"/>
      <c r="Q5270" s="556"/>
      <c r="R5270" s="582"/>
    </row>
    <row r="5271" ht="15" spans="1:18">
      <c r="A5271" s="556" t="str">
        <f>B5271</f>
        <v>Insumo</v>
      </c>
      <c r="B5271" s="557" t="str">
        <f>B5270</f>
        <v>Insumo</v>
      </c>
      <c r="C5271" s="571"/>
      <c r="D5271" s="571"/>
      <c r="E5271" s="571"/>
      <c r="F5271" s="571"/>
      <c r="G5271" s="571"/>
      <c r="H5271" s="571"/>
      <c r="I5271" s="571"/>
      <c r="J5271" s="571"/>
      <c r="K5271" s="571"/>
      <c r="L5271" s="571"/>
      <c r="M5271" s="571"/>
      <c r="N5271" s="573">
        <v>67.42</v>
      </c>
      <c r="O5271" s="556" t="str">
        <f>IF(N5271=M5271,"OK","DIF")</f>
        <v>DIF</v>
      </c>
      <c r="P5271" s="573"/>
      <c r="Q5271" s="556"/>
      <c r="R5271" s="582"/>
    </row>
    <row r="5272" ht="15" customHeight="1" spans="1:18">
      <c r="A5272" s="556" t="str">
        <f>B5272</f>
        <v>Insumo</v>
      </c>
      <c r="B5272" s="557" t="str">
        <f>B5271</f>
        <v>Insumo</v>
      </c>
      <c r="C5272" s="76" t="s">
        <v>1785</v>
      </c>
      <c r="D5272" s="75" t="s">
        <v>63</v>
      </c>
      <c r="E5272" s="76" t="s">
        <v>64</v>
      </c>
      <c r="F5272" s="76" t="s">
        <v>65</v>
      </c>
      <c r="G5272" s="76" t="s">
        <v>2889</v>
      </c>
      <c r="H5272" s="76"/>
      <c r="I5272" s="77" t="s">
        <v>66</v>
      </c>
      <c r="J5272" s="75" t="s">
        <v>67</v>
      </c>
      <c r="K5272" s="75" t="s">
        <v>2890</v>
      </c>
      <c r="L5272" s="75" t="s">
        <v>68</v>
      </c>
      <c r="M5272" s="75" t="s">
        <v>70</v>
      </c>
      <c r="N5272" s="573">
        <v>963.83</v>
      </c>
      <c r="O5272" s="556" t="str">
        <f>IF(N5272=M5272,"OK","DIF")</f>
        <v>DIF</v>
      </c>
      <c r="P5272" s="573"/>
      <c r="Q5272" s="556"/>
      <c r="R5272" s="582"/>
    </row>
    <row r="5273" ht="38.25" spans="1:18">
      <c r="A5273" s="556"/>
      <c r="B5273" s="557"/>
      <c r="C5273" s="569" t="s">
        <v>2891</v>
      </c>
      <c r="D5273" s="570" t="s">
        <v>1786</v>
      </c>
      <c r="E5273" s="569" t="s">
        <v>132</v>
      </c>
      <c r="F5273" s="569" t="s">
        <v>1787</v>
      </c>
      <c r="G5273" s="569">
        <v>15</v>
      </c>
      <c r="H5273" s="569"/>
      <c r="I5273" s="577" t="s">
        <v>204</v>
      </c>
      <c r="J5273" s="578">
        <v>1</v>
      </c>
      <c r="K5273" s="579"/>
      <c r="L5273" s="579">
        <v>10.55</v>
      </c>
      <c r="M5273" s="579">
        <v>10.55</v>
      </c>
      <c r="N5273" s="573"/>
      <c r="O5273" s="556"/>
      <c r="P5273" s="573"/>
      <c r="Q5273" s="556"/>
      <c r="R5273" s="582"/>
    </row>
    <row r="5274" ht="23.85" customHeight="1" spans="1:18">
      <c r="A5274" s="556"/>
      <c r="B5274" s="557"/>
      <c r="C5274" s="79" t="s">
        <v>2921</v>
      </c>
      <c r="D5274" s="78" t="s">
        <v>3151</v>
      </c>
      <c r="E5274" s="79" t="s">
        <v>139</v>
      </c>
      <c r="F5274" s="79" t="s">
        <v>3152</v>
      </c>
      <c r="G5274" s="79" t="s">
        <v>2928</v>
      </c>
      <c r="H5274" s="79"/>
      <c r="I5274" s="80" t="s">
        <v>2897</v>
      </c>
      <c r="J5274" s="583">
        <v>0.16</v>
      </c>
      <c r="K5274" s="583">
        <v>0</v>
      </c>
      <c r="L5274" s="92">
        <v>36.82</v>
      </c>
      <c r="M5274" s="92">
        <v>5.89</v>
      </c>
      <c r="N5274" s="573"/>
      <c r="O5274" s="556"/>
      <c r="P5274" s="573"/>
      <c r="Q5274" s="556"/>
      <c r="R5274" s="582"/>
    </row>
    <row r="5275" ht="23.85" customHeight="1" spans="1:18">
      <c r="A5275" s="556"/>
      <c r="B5275" s="557" t="str">
        <f>C5274</f>
        <v>Composição Auxiliar</v>
      </c>
      <c r="C5275" s="79" t="s">
        <v>2921</v>
      </c>
      <c r="D5275" s="78" t="s">
        <v>2952</v>
      </c>
      <c r="E5275" s="79" t="s">
        <v>139</v>
      </c>
      <c r="F5275" s="79" t="s">
        <v>2953</v>
      </c>
      <c r="G5275" s="79" t="s">
        <v>2928</v>
      </c>
      <c r="H5275" s="79"/>
      <c r="I5275" s="80" t="s">
        <v>2897</v>
      </c>
      <c r="J5275" s="583">
        <v>0.16</v>
      </c>
      <c r="K5275" s="583">
        <v>0</v>
      </c>
      <c r="L5275" s="92">
        <v>29.15</v>
      </c>
      <c r="M5275" s="92">
        <v>4.66</v>
      </c>
      <c r="N5275" s="573">
        <v>1081.78</v>
      </c>
      <c r="O5275" s="556" t="str">
        <f>IF(N5275=M5275,"OK","DIF")</f>
        <v>DIF</v>
      </c>
      <c r="P5275" s="573"/>
      <c r="Q5275" s="556"/>
      <c r="R5275" s="582"/>
    </row>
    <row r="5276" ht="25.5" spans="1:18">
      <c r="A5276" s="556" t="str">
        <f>B5276</f>
        <v>Composição Auxiliar</v>
      </c>
      <c r="B5276" s="557" t="str">
        <f>B5275</f>
        <v>Composição Auxiliar</v>
      </c>
      <c r="C5276" s="108"/>
      <c r="D5276" s="108"/>
      <c r="E5276" s="108"/>
      <c r="F5276" s="108"/>
      <c r="G5276" s="108"/>
      <c r="H5276" s="108" t="s">
        <v>2898</v>
      </c>
      <c r="I5276" s="581">
        <v>7.35</v>
      </c>
      <c r="J5276" s="108" t="s">
        <v>2899</v>
      </c>
      <c r="K5276" s="581">
        <v>0</v>
      </c>
      <c r="L5276" s="108" t="s">
        <v>2900</v>
      </c>
      <c r="M5276" s="581">
        <v>7.35</v>
      </c>
      <c r="N5276" s="573">
        <v>67.42</v>
      </c>
      <c r="O5276" s="556" t="str">
        <f>IF(N5276=M5276,"OK","DIF")</f>
        <v>DIF</v>
      </c>
      <c r="P5276" s="573"/>
      <c r="Q5276" s="556"/>
      <c r="R5276" s="582"/>
    </row>
    <row r="5277" ht="26.25" spans="1:18">
      <c r="A5277" s="556" t="str">
        <f>B5277</f>
        <v>Composição Auxiliar</v>
      </c>
      <c r="B5277" s="557" t="str">
        <f>B5276</f>
        <v>Composição Auxiliar</v>
      </c>
      <c r="C5277" s="108"/>
      <c r="D5277" s="108"/>
      <c r="E5277" s="108"/>
      <c r="F5277" s="108"/>
      <c r="G5277" s="108"/>
      <c r="H5277" s="108" t="s">
        <v>2901</v>
      </c>
      <c r="I5277" s="581">
        <v>2.68</v>
      </c>
      <c r="J5277" s="114"/>
      <c r="K5277" s="114" t="s">
        <v>2902</v>
      </c>
      <c r="L5277" s="108"/>
      <c r="M5277" s="581">
        <v>13.23</v>
      </c>
      <c r="N5277" s="573">
        <v>74.72</v>
      </c>
      <c r="O5277" s="556" t="str">
        <f>IF(N5277=M5277,"OK","DIF")</f>
        <v>DIF</v>
      </c>
      <c r="P5277" s="573"/>
      <c r="Q5277" s="556"/>
      <c r="R5277" s="582"/>
    </row>
    <row r="5278" ht="15" spans="1:18">
      <c r="A5278" s="556" t="str">
        <f>B5278</f>
        <v>Composição Auxiliar</v>
      </c>
      <c r="B5278" s="557" t="str">
        <f>B5277</f>
        <v>Composição Auxiliar</v>
      </c>
      <c r="C5278" s="571"/>
      <c r="D5278" s="571"/>
      <c r="E5278" s="571"/>
      <c r="F5278" s="571"/>
      <c r="G5278" s="571"/>
      <c r="H5278" s="571"/>
      <c r="I5278" s="571"/>
      <c r="J5278" s="571"/>
      <c r="K5278" s="571"/>
      <c r="L5278" s="571"/>
      <c r="M5278" s="571"/>
      <c r="N5278" s="573">
        <v>939.64</v>
      </c>
      <c r="O5278" s="556" t="str">
        <f>IF(N5278=M5278,"OK","DIF")</f>
        <v>DIF</v>
      </c>
      <c r="P5278" s="573"/>
      <c r="Q5278" s="556"/>
      <c r="R5278" s="582"/>
    </row>
    <row r="5279" ht="15" customHeight="1" spans="1:18">
      <c r="A5279" s="556"/>
      <c r="B5279" s="557"/>
      <c r="C5279" s="76" t="s">
        <v>1788</v>
      </c>
      <c r="D5279" s="75" t="s">
        <v>63</v>
      </c>
      <c r="E5279" s="76" t="s">
        <v>64</v>
      </c>
      <c r="F5279" s="76" t="s">
        <v>65</v>
      </c>
      <c r="G5279" s="76" t="s">
        <v>2889</v>
      </c>
      <c r="H5279" s="76"/>
      <c r="I5279" s="77" t="s">
        <v>66</v>
      </c>
      <c r="J5279" s="75" t="s">
        <v>67</v>
      </c>
      <c r="K5279" s="75" t="s">
        <v>2890</v>
      </c>
      <c r="L5279" s="75" t="s">
        <v>68</v>
      </c>
      <c r="M5279" s="75" t="s">
        <v>70</v>
      </c>
      <c r="N5279" s="573"/>
      <c r="O5279" s="556"/>
      <c r="P5279" s="573"/>
      <c r="Q5279" s="556"/>
      <c r="R5279" s="582"/>
    </row>
    <row r="5280" ht="51" spans="1:18">
      <c r="A5280" s="556"/>
      <c r="B5280" s="557"/>
      <c r="C5280" s="569" t="s">
        <v>2891</v>
      </c>
      <c r="D5280" s="570" t="s">
        <v>1074</v>
      </c>
      <c r="E5280" s="569" t="s">
        <v>77</v>
      </c>
      <c r="F5280" s="569" t="s">
        <v>4017</v>
      </c>
      <c r="G5280" s="569">
        <v>15</v>
      </c>
      <c r="H5280" s="569"/>
      <c r="I5280" s="577" t="s">
        <v>204</v>
      </c>
      <c r="J5280" s="578">
        <v>1</v>
      </c>
      <c r="K5280" s="579"/>
      <c r="L5280" s="579">
        <v>21.39</v>
      </c>
      <c r="M5280" s="579">
        <v>21.39</v>
      </c>
      <c r="N5280" s="573"/>
      <c r="O5280" s="556"/>
      <c r="P5280" s="573"/>
      <c r="Q5280" s="556"/>
      <c r="R5280" s="582"/>
    </row>
    <row r="5281" ht="23.85" customHeight="1" spans="1:18">
      <c r="A5281" s="556"/>
      <c r="B5281" s="557" t="str">
        <f>C5280</f>
        <v>Composição</v>
      </c>
      <c r="C5281" s="100" t="s">
        <v>2893</v>
      </c>
      <c r="D5281" s="99" t="s">
        <v>3108</v>
      </c>
      <c r="E5281" s="100" t="s">
        <v>77</v>
      </c>
      <c r="F5281" s="100" t="s">
        <v>3109</v>
      </c>
      <c r="G5281" s="100" t="s">
        <v>2896</v>
      </c>
      <c r="H5281" s="100"/>
      <c r="I5281" s="101" t="s">
        <v>2897</v>
      </c>
      <c r="J5281" s="580">
        <v>0.16</v>
      </c>
      <c r="K5281" s="580">
        <v>3</v>
      </c>
      <c r="L5281" s="102">
        <v>19.16</v>
      </c>
      <c r="M5281" s="102">
        <v>3.15</v>
      </c>
      <c r="N5281" s="573">
        <v>1191.44</v>
      </c>
      <c r="O5281" s="556" t="str">
        <f>IF(N5281=M5281,"OK","DIF")</f>
        <v>DIF</v>
      </c>
      <c r="P5281" s="573"/>
      <c r="Q5281" s="556"/>
      <c r="R5281" s="582"/>
    </row>
    <row r="5282" ht="23.85" customHeight="1" spans="1:18">
      <c r="A5282" s="556" t="str">
        <f>B5282</f>
        <v>Composição</v>
      </c>
      <c r="B5282" s="557" t="str">
        <f>B5281</f>
        <v>Composição</v>
      </c>
      <c r="C5282" s="100" t="s">
        <v>2893</v>
      </c>
      <c r="D5282" s="99" t="s">
        <v>4013</v>
      </c>
      <c r="E5282" s="100" t="s">
        <v>77</v>
      </c>
      <c r="F5282" s="100" t="s">
        <v>4014</v>
      </c>
      <c r="G5282" s="100" t="s">
        <v>2896</v>
      </c>
      <c r="H5282" s="100"/>
      <c r="I5282" s="101" t="s">
        <v>2897</v>
      </c>
      <c r="J5282" s="580">
        <v>0.16</v>
      </c>
      <c r="K5282" s="580">
        <v>3</v>
      </c>
      <c r="L5282" s="102">
        <v>26.52</v>
      </c>
      <c r="M5282" s="102">
        <v>4.37</v>
      </c>
      <c r="N5282" s="573">
        <v>67.42</v>
      </c>
      <c r="O5282" s="556" t="str">
        <f>IF(N5282=M5282,"OK","DIF")</f>
        <v>DIF</v>
      </c>
      <c r="P5282" s="573"/>
      <c r="Q5282" s="556"/>
      <c r="R5282" s="582"/>
    </row>
    <row r="5283" ht="23.85" customHeight="1" spans="1:18">
      <c r="A5283" s="556" t="str">
        <f>B5283</f>
        <v>Composição</v>
      </c>
      <c r="B5283" s="557" t="str">
        <f>B5282</f>
        <v>Composição</v>
      </c>
      <c r="C5283" s="100" t="s">
        <v>2893</v>
      </c>
      <c r="D5283" s="99" t="s">
        <v>4018</v>
      </c>
      <c r="E5283" s="100" t="s">
        <v>77</v>
      </c>
      <c r="F5283" s="100" t="s">
        <v>4019</v>
      </c>
      <c r="G5283" s="100" t="s">
        <v>2961</v>
      </c>
      <c r="H5283" s="100"/>
      <c r="I5283" s="101" t="s">
        <v>134</v>
      </c>
      <c r="J5283" s="580">
        <v>0.35</v>
      </c>
      <c r="K5283" s="580">
        <v>10</v>
      </c>
      <c r="L5283" s="102">
        <v>36.04</v>
      </c>
      <c r="M5283" s="102">
        <v>13.87</v>
      </c>
      <c r="N5283" s="573">
        <v>74.72</v>
      </c>
      <c r="O5283" s="556" t="str">
        <f>IF(N5283=M5283,"OK","DIF")</f>
        <v>DIF</v>
      </c>
      <c r="P5283" s="573"/>
      <c r="Q5283" s="556"/>
      <c r="R5283" s="582"/>
    </row>
    <row r="5284" ht="25.5" spans="1:18">
      <c r="A5284" s="556" t="str">
        <f>B5284</f>
        <v>Composição</v>
      </c>
      <c r="B5284" s="557" t="str">
        <f>B5283</f>
        <v>Composição</v>
      </c>
      <c r="C5284" s="108"/>
      <c r="D5284" s="108"/>
      <c r="E5284" s="108"/>
      <c r="F5284" s="108"/>
      <c r="G5284" s="108"/>
      <c r="H5284" s="108" t="s">
        <v>2898</v>
      </c>
      <c r="I5284" s="581">
        <v>7.52</v>
      </c>
      <c r="J5284" s="108" t="s">
        <v>2899</v>
      </c>
      <c r="K5284" s="581">
        <v>0</v>
      </c>
      <c r="L5284" s="108" t="s">
        <v>2900</v>
      </c>
      <c r="M5284" s="581">
        <v>7.52</v>
      </c>
      <c r="N5284" s="573">
        <v>1049.3</v>
      </c>
      <c r="O5284" s="556" t="str">
        <f>IF(N5284=M5284,"OK","DIF")</f>
        <v>DIF</v>
      </c>
      <c r="P5284" s="573"/>
      <c r="Q5284" s="556"/>
      <c r="R5284" s="582"/>
    </row>
    <row r="5285" ht="26.25" spans="1:18">
      <c r="A5285" s="556"/>
      <c r="B5285" s="557"/>
      <c r="C5285" s="108"/>
      <c r="D5285" s="108"/>
      <c r="E5285" s="108"/>
      <c r="F5285" s="108"/>
      <c r="G5285" s="108"/>
      <c r="H5285" s="108" t="s">
        <v>2901</v>
      </c>
      <c r="I5285" s="581">
        <v>5.45</v>
      </c>
      <c r="J5285" s="114"/>
      <c r="K5285" s="114" t="s">
        <v>2902</v>
      </c>
      <c r="L5285" s="108"/>
      <c r="M5285" s="581">
        <v>26.84</v>
      </c>
      <c r="N5285" s="573"/>
      <c r="O5285" s="556"/>
      <c r="P5285" s="573"/>
      <c r="Q5285" s="556"/>
      <c r="R5285" s="582"/>
    </row>
    <row r="5286" ht="15" spans="1:18">
      <c r="A5286" s="556"/>
      <c r="B5286" s="557"/>
      <c r="C5286" s="571"/>
      <c r="D5286" s="571"/>
      <c r="E5286" s="571"/>
      <c r="F5286" s="571"/>
      <c r="G5286" s="571"/>
      <c r="H5286" s="571"/>
      <c r="I5286" s="571"/>
      <c r="J5286" s="571"/>
      <c r="K5286" s="571"/>
      <c r="L5286" s="571"/>
      <c r="M5286" s="571"/>
      <c r="N5286" s="573"/>
      <c r="O5286" s="556"/>
      <c r="P5286" s="573"/>
      <c r="Q5286" s="556"/>
      <c r="R5286" s="582"/>
    </row>
    <row r="5287" ht="15" customHeight="1" spans="1:18">
      <c r="A5287" s="556"/>
      <c r="B5287" s="557">
        <f>C5286</f>
        <v>0</v>
      </c>
      <c r="C5287" s="76" t="s">
        <v>1789</v>
      </c>
      <c r="D5287" s="75" t="s">
        <v>63</v>
      </c>
      <c r="E5287" s="76" t="s">
        <v>64</v>
      </c>
      <c r="F5287" s="76" t="s">
        <v>65</v>
      </c>
      <c r="G5287" s="76" t="s">
        <v>2889</v>
      </c>
      <c r="H5287" s="76"/>
      <c r="I5287" s="77" t="s">
        <v>66</v>
      </c>
      <c r="J5287" s="75" t="s">
        <v>67</v>
      </c>
      <c r="K5287" s="75" t="s">
        <v>2890</v>
      </c>
      <c r="L5287" s="75" t="s">
        <v>68</v>
      </c>
      <c r="M5287" s="75" t="s">
        <v>70</v>
      </c>
      <c r="N5287" s="573">
        <v>1227.45</v>
      </c>
      <c r="O5287" s="556" t="str">
        <f>IF(N5287=M5287,"OK","DIF")</f>
        <v>DIF</v>
      </c>
      <c r="P5287" s="573"/>
      <c r="Q5287" s="556"/>
      <c r="R5287" s="582"/>
    </row>
    <row r="5288" ht="38.25" spans="1:18">
      <c r="A5288" s="556">
        <f>B5288</f>
        <v>0</v>
      </c>
      <c r="B5288" s="557">
        <f>B5287</f>
        <v>0</v>
      </c>
      <c r="C5288" s="569" t="s">
        <v>2891</v>
      </c>
      <c r="D5288" s="570" t="s">
        <v>1790</v>
      </c>
      <c r="E5288" s="569" t="s">
        <v>132</v>
      </c>
      <c r="F5288" s="569" t="s">
        <v>1791</v>
      </c>
      <c r="G5288" s="569">
        <v>15</v>
      </c>
      <c r="H5288" s="569"/>
      <c r="I5288" s="577" t="s">
        <v>204</v>
      </c>
      <c r="J5288" s="578">
        <v>1</v>
      </c>
      <c r="K5288" s="579"/>
      <c r="L5288" s="579">
        <v>38.01</v>
      </c>
      <c r="M5288" s="579">
        <v>38.01</v>
      </c>
      <c r="N5288" s="573">
        <v>74.72</v>
      </c>
      <c r="O5288" s="556" t="str">
        <f>IF(N5288=M5288,"OK","DIF")</f>
        <v>DIF</v>
      </c>
      <c r="P5288" s="573"/>
      <c r="Q5288" s="556"/>
      <c r="R5288" s="582"/>
    </row>
    <row r="5289" ht="23.85" customHeight="1" spans="1:18">
      <c r="A5289" s="556">
        <f>B5289</f>
        <v>0</v>
      </c>
      <c r="B5289" s="557">
        <f>B5288</f>
        <v>0</v>
      </c>
      <c r="C5289" s="79" t="s">
        <v>2921</v>
      </c>
      <c r="D5289" s="78" t="s">
        <v>3151</v>
      </c>
      <c r="E5289" s="79" t="s">
        <v>139</v>
      </c>
      <c r="F5289" s="79" t="s">
        <v>3152</v>
      </c>
      <c r="G5289" s="79" t="s">
        <v>2928</v>
      </c>
      <c r="H5289" s="79"/>
      <c r="I5289" s="80" t="s">
        <v>2897</v>
      </c>
      <c r="J5289" s="583">
        <v>0.14</v>
      </c>
      <c r="K5289" s="583">
        <v>0</v>
      </c>
      <c r="L5289" s="92">
        <v>36.82</v>
      </c>
      <c r="M5289" s="92">
        <v>5.15</v>
      </c>
      <c r="N5289" s="573">
        <v>67.42</v>
      </c>
      <c r="O5289" s="556" t="str">
        <f>IF(N5289=M5289,"OK","DIF")</f>
        <v>DIF</v>
      </c>
      <c r="P5289" s="573"/>
      <c r="Q5289" s="556"/>
      <c r="R5289" s="582"/>
    </row>
    <row r="5290" ht="23.85" customHeight="1" spans="1:18">
      <c r="A5290" s="556">
        <f>B5290</f>
        <v>0</v>
      </c>
      <c r="B5290" s="557">
        <f>B5289</f>
        <v>0</v>
      </c>
      <c r="C5290" s="79" t="s">
        <v>2921</v>
      </c>
      <c r="D5290" s="78" t="s">
        <v>3153</v>
      </c>
      <c r="E5290" s="79" t="s">
        <v>139</v>
      </c>
      <c r="F5290" s="79" t="s">
        <v>3154</v>
      </c>
      <c r="G5290" s="79" t="s">
        <v>2928</v>
      </c>
      <c r="H5290" s="79"/>
      <c r="I5290" s="80" t="s">
        <v>2897</v>
      </c>
      <c r="J5290" s="583">
        <v>0.14</v>
      </c>
      <c r="K5290" s="583">
        <v>0</v>
      </c>
      <c r="L5290" s="92">
        <v>30.6</v>
      </c>
      <c r="M5290" s="92">
        <v>4.28</v>
      </c>
      <c r="N5290" s="573">
        <v>1085.31</v>
      </c>
      <c r="O5290" s="556" t="str">
        <f>IF(N5290=M5290,"OK","DIF")</f>
        <v>DIF</v>
      </c>
      <c r="P5290" s="573"/>
      <c r="Q5290" s="556"/>
      <c r="R5290" s="582"/>
    </row>
    <row r="5291" ht="15" customHeight="1" spans="1:18">
      <c r="A5291" s="556"/>
      <c r="B5291" s="557"/>
      <c r="C5291" s="100" t="s">
        <v>2893</v>
      </c>
      <c r="D5291" s="99" t="s">
        <v>4535</v>
      </c>
      <c r="E5291" s="100" t="s">
        <v>132</v>
      </c>
      <c r="F5291" s="100" t="s">
        <v>4536</v>
      </c>
      <c r="G5291" s="100" t="s">
        <v>2961</v>
      </c>
      <c r="H5291" s="100"/>
      <c r="I5291" s="101" t="s">
        <v>204</v>
      </c>
      <c r="J5291" s="580">
        <v>0.35</v>
      </c>
      <c r="K5291" s="580">
        <v>0</v>
      </c>
      <c r="L5291" s="102">
        <v>81.68</v>
      </c>
      <c r="M5291" s="102">
        <v>28.58</v>
      </c>
      <c r="N5291" s="573"/>
      <c r="O5291" s="556"/>
      <c r="P5291" s="573"/>
      <c r="Q5291" s="556"/>
      <c r="R5291" s="582"/>
    </row>
    <row r="5292" ht="25.5" spans="1:18">
      <c r="A5292" s="556"/>
      <c r="B5292" s="557"/>
      <c r="C5292" s="108"/>
      <c r="D5292" s="108"/>
      <c r="E5292" s="108"/>
      <c r="F5292" s="108"/>
      <c r="G5292" s="108"/>
      <c r="H5292" s="108" t="s">
        <v>2898</v>
      </c>
      <c r="I5292" s="581">
        <v>6.61</v>
      </c>
      <c r="J5292" s="108" t="s">
        <v>2899</v>
      </c>
      <c r="K5292" s="581">
        <v>0</v>
      </c>
      <c r="L5292" s="108" t="s">
        <v>2900</v>
      </c>
      <c r="M5292" s="581">
        <v>6.61</v>
      </c>
      <c r="N5292" s="573"/>
      <c r="O5292" s="556"/>
      <c r="P5292" s="573"/>
      <c r="Q5292" s="556"/>
      <c r="R5292" s="582"/>
    </row>
    <row r="5293" ht="26.25" spans="1:18">
      <c r="A5293" s="556"/>
      <c r="B5293" s="557">
        <f>C5292</f>
        <v>0</v>
      </c>
      <c r="C5293" s="108"/>
      <c r="D5293" s="108"/>
      <c r="E5293" s="108"/>
      <c r="F5293" s="108"/>
      <c r="G5293" s="108"/>
      <c r="H5293" s="108" t="s">
        <v>2901</v>
      </c>
      <c r="I5293" s="581">
        <v>9.68</v>
      </c>
      <c r="J5293" s="114"/>
      <c r="K5293" s="114" t="s">
        <v>2902</v>
      </c>
      <c r="L5293" s="108"/>
      <c r="M5293" s="581">
        <v>47.69</v>
      </c>
      <c r="N5293" s="573">
        <v>1264.55</v>
      </c>
      <c r="O5293" s="556" t="str">
        <f>IF(N5293=M5293,"OK","DIF")</f>
        <v>DIF</v>
      </c>
      <c r="P5293" s="573"/>
      <c r="Q5293" s="556"/>
      <c r="R5293" s="582"/>
    </row>
    <row r="5294" ht="15" spans="1:18">
      <c r="A5294" s="556">
        <f>B5294</f>
        <v>0</v>
      </c>
      <c r="B5294" s="557">
        <f>B5293</f>
        <v>0</v>
      </c>
      <c r="C5294" s="571"/>
      <c r="D5294" s="571"/>
      <c r="E5294" s="571"/>
      <c r="F5294" s="571"/>
      <c r="G5294" s="571"/>
      <c r="H5294" s="571"/>
      <c r="I5294" s="571"/>
      <c r="J5294" s="571"/>
      <c r="K5294" s="571"/>
      <c r="L5294" s="571"/>
      <c r="M5294" s="571"/>
      <c r="N5294" s="573">
        <v>74.72</v>
      </c>
      <c r="O5294" s="556" t="str">
        <f>IF(N5294=M5294,"OK","DIF")</f>
        <v>DIF</v>
      </c>
      <c r="P5294" s="573"/>
      <c r="Q5294" s="556"/>
      <c r="R5294" s="582"/>
    </row>
    <row r="5295" ht="15" customHeight="1" spans="1:18">
      <c r="A5295" s="556">
        <f>B5295</f>
        <v>0</v>
      </c>
      <c r="B5295" s="557">
        <f>B5294</f>
        <v>0</v>
      </c>
      <c r="C5295" s="76" t="s">
        <v>1792</v>
      </c>
      <c r="D5295" s="75" t="s">
        <v>63</v>
      </c>
      <c r="E5295" s="76" t="s">
        <v>64</v>
      </c>
      <c r="F5295" s="76" t="s">
        <v>65</v>
      </c>
      <c r="G5295" s="76" t="s">
        <v>2889</v>
      </c>
      <c r="H5295" s="76"/>
      <c r="I5295" s="77" t="s">
        <v>66</v>
      </c>
      <c r="J5295" s="75" t="s">
        <v>67</v>
      </c>
      <c r="K5295" s="75" t="s">
        <v>2890</v>
      </c>
      <c r="L5295" s="75" t="s">
        <v>68</v>
      </c>
      <c r="M5295" s="75" t="s">
        <v>70</v>
      </c>
      <c r="N5295" s="573">
        <v>67.42</v>
      </c>
      <c r="O5295" s="556" t="str">
        <f>IF(N5295=M5295,"OK","DIF")</f>
        <v>DIF</v>
      </c>
      <c r="P5295" s="573"/>
      <c r="Q5295" s="556"/>
      <c r="R5295" s="582"/>
    </row>
    <row r="5296" ht="23.85" customHeight="1" spans="1:18">
      <c r="A5296" s="556">
        <f>B5296</f>
        <v>0</v>
      </c>
      <c r="B5296" s="557">
        <f>B5295</f>
        <v>0</v>
      </c>
      <c r="C5296" s="569" t="s">
        <v>2891</v>
      </c>
      <c r="D5296" s="570" t="s">
        <v>1793</v>
      </c>
      <c r="E5296" s="569" t="s">
        <v>149</v>
      </c>
      <c r="F5296" s="569" t="s">
        <v>1794</v>
      </c>
      <c r="G5296" s="569" t="s">
        <v>4029</v>
      </c>
      <c r="H5296" s="569"/>
      <c r="I5296" s="577" t="s">
        <v>204</v>
      </c>
      <c r="J5296" s="578">
        <v>1</v>
      </c>
      <c r="K5296" s="579"/>
      <c r="L5296" s="579">
        <v>27.96</v>
      </c>
      <c r="M5296" s="579">
        <v>27.96</v>
      </c>
      <c r="N5296" s="573">
        <v>1122.41</v>
      </c>
      <c r="O5296" s="556" t="str">
        <f>IF(N5296=M5296,"OK","DIF")</f>
        <v>DIF</v>
      </c>
      <c r="P5296" s="573"/>
      <c r="Q5296" s="556"/>
      <c r="R5296" s="582"/>
    </row>
    <row r="5297" ht="15" customHeight="1" spans="1:18">
      <c r="A5297" s="556"/>
      <c r="B5297" s="557"/>
      <c r="C5297" s="100" t="s">
        <v>2893</v>
      </c>
      <c r="D5297" s="99" t="s">
        <v>2976</v>
      </c>
      <c r="E5297" s="100" t="s">
        <v>149</v>
      </c>
      <c r="F5297" s="100" t="s">
        <v>2977</v>
      </c>
      <c r="G5297" s="100" t="s">
        <v>2896</v>
      </c>
      <c r="H5297" s="100"/>
      <c r="I5297" s="101" t="s">
        <v>2897</v>
      </c>
      <c r="J5297" s="580">
        <v>0.305</v>
      </c>
      <c r="K5297" s="580">
        <v>0</v>
      </c>
      <c r="L5297" s="102">
        <v>20.515752</v>
      </c>
      <c r="M5297" s="102">
        <v>6.25</v>
      </c>
      <c r="N5297" s="573"/>
      <c r="O5297" s="556"/>
      <c r="P5297" s="573"/>
      <c r="Q5297" s="556"/>
      <c r="R5297" s="582"/>
    </row>
    <row r="5298" ht="15" customHeight="1" spans="1:18">
      <c r="A5298" s="556"/>
      <c r="B5298" s="557"/>
      <c r="C5298" s="100" t="s">
        <v>2893</v>
      </c>
      <c r="D5298" s="99" t="s">
        <v>4537</v>
      </c>
      <c r="E5298" s="100" t="s">
        <v>149</v>
      </c>
      <c r="F5298" s="100" t="s">
        <v>4538</v>
      </c>
      <c r="G5298" s="100" t="s">
        <v>2961</v>
      </c>
      <c r="H5298" s="100"/>
      <c r="I5298" s="101" t="s">
        <v>204</v>
      </c>
      <c r="J5298" s="580">
        <v>1</v>
      </c>
      <c r="K5298" s="580">
        <v>0</v>
      </c>
      <c r="L5298" s="102">
        <v>13.5</v>
      </c>
      <c r="M5298" s="102">
        <v>13.5</v>
      </c>
      <c r="N5298" s="573"/>
      <c r="O5298" s="556"/>
      <c r="P5298" s="573"/>
      <c r="Q5298" s="556"/>
      <c r="R5298" s="582"/>
    </row>
    <row r="5299" ht="15" customHeight="1" spans="1:18">
      <c r="A5299" s="556"/>
      <c r="B5299" s="557" t="str">
        <f>C5298</f>
        <v>Insumo</v>
      </c>
      <c r="C5299" s="100" t="s">
        <v>2893</v>
      </c>
      <c r="D5299" s="99" t="s">
        <v>2986</v>
      </c>
      <c r="E5299" s="100" t="s">
        <v>149</v>
      </c>
      <c r="F5299" s="100" t="s">
        <v>2987</v>
      </c>
      <c r="G5299" s="100" t="s">
        <v>2896</v>
      </c>
      <c r="H5299" s="100"/>
      <c r="I5299" s="101" t="s">
        <v>2897</v>
      </c>
      <c r="J5299" s="580">
        <v>0.305</v>
      </c>
      <c r="K5299" s="580">
        <v>0</v>
      </c>
      <c r="L5299" s="102">
        <v>26.928256</v>
      </c>
      <c r="M5299" s="102">
        <v>8.21</v>
      </c>
      <c r="N5299" s="573">
        <v>1298.13</v>
      </c>
      <c r="O5299" s="556" t="str">
        <f>IF(N5299=M5299,"OK","DIF")</f>
        <v>DIF</v>
      </c>
      <c r="P5299" s="573"/>
      <c r="Q5299" s="556"/>
      <c r="R5299" s="582"/>
    </row>
    <row r="5300" ht="25.5" spans="1:18">
      <c r="A5300" s="556" t="str">
        <f>B5300</f>
        <v>Insumo</v>
      </c>
      <c r="B5300" s="557" t="str">
        <f>B5299</f>
        <v>Insumo</v>
      </c>
      <c r="C5300" s="108"/>
      <c r="D5300" s="108"/>
      <c r="E5300" s="108"/>
      <c r="F5300" s="108"/>
      <c r="G5300" s="108"/>
      <c r="H5300" s="108" t="s">
        <v>2898</v>
      </c>
      <c r="I5300" s="581">
        <v>14.46</v>
      </c>
      <c r="J5300" s="108" t="s">
        <v>2899</v>
      </c>
      <c r="K5300" s="581">
        <v>0</v>
      </c>
      <c r="L5300" s="108" t="s">
        <v>2900</v>
      </c>
      <c r="M5300" s="581">
        <v>14.46</v>
      </c>
      <c r="N5300" s="573">
        <v>74.72</v>
      </c>
      <c r="O5300" s="556" t="str">
        <f>IF(N5300=M5300,"OK","DIF")</f>
        <v>DIF</v>
      </c>
      <c r="P5300" s="573"/>
      <c r="Q5300" s="556"/>
      <c r="R5300" s="582"/>
    </row>
    <row r="5301" ht="26.25" spans="1:18">
      <c r="A5301" s="556" t="str">
        <f>B5301</f>
        <v>Insumo</v>
      </c>
      <c r="B5301" s="557" t="str">
        <f>B5300</f>
        <v>Insumo</v>
      </c>
      <c r="C5301" s="108"/>
      <c r="D5301" s="108"/>
      <c r="E5301" s="108"/>
      <c r="F5301" s="108"/>
      <c r="G5301" s="108"/>
      <c r="H5301" s="108" t="s">
        <v>2901</v>
      </c>
      <c r="I5301" s="581">
        <v>7.12</v>
      </c>
      <c r="J5301" s="114"/>
      <c r="K5301" s="114" t="s">
        <v>2902</v>
      </c>
      <c r="L5301" s="108"/>
      <c r="M5301" s="581">
        <v>35.08</v>
      </c>
      <c r="N5301" s="573">
        <v>67.42</v>
      </c>
      <c r="O5301" s="556" t="str">
        <f>IF(N5301=M5301,"OK","DIF")</f>
        <v>DIF</v>
      </c>
      <c r="P5301" s="573"/>
      <c r="Q5301" s="556"/>
      <c r="R5301" s="582"/>
    </row>
    <row r="5302" ht="15" spans="1:18">
      <c r="A5302" s="556" t="str">
        <f>B5302</f>
        <v>Insumo</v>
      </c>
      <c r="B5302" s="557" t="str">
        <f>B5301</f>
        <v>Insumo</v>
      </c>
      <c r="C5302" s="571"/>
      <c r="D5302" s="571"/>
      <c r="E5302" s="571"/>
      <c r="F5302" s="571"/>
      <c r="G5302" s="571"/>
      <c r="H5302" s="571"/>
      <c r="I5302" s="571"/>
      <c r="J5302" s="571"/>
      <c r="K5302" s="571"/>
      <c r="L5302" s="571"/>
      <c r="M5302" s="571"/>
      <c r="N5302" s="573">
        <v>1155.99</v>
      </c>
      <c r="O5302" s="556" t="str">
        <f>IF(N5302=M5302,"OK","DIF")</f>
        <v>DIF</v>
      </c>
      <c r="P5302" s="573"/>
      <c r="Q5302" s="556"/>
      <c r="R5302" s="582"/>
    </row>
    <row r="5303" ht="15" customHeight="1" spans="1:18">
      <c r="A5303" s="556"/>
      <c r="B5303" s="557"/>
      <c r="C5303" s="76" t="s">
        <v>1795</v>
      </c>
      <c r="D5303" s="75" t="s">
        <v>63</v>
      </c>
      <c r="E5303" s="76" t="s">
        <v>64</v>
      </c>
      <c r="F5303" s="76" t="s">
        <v>65</v>
      </c>
      <c r="G5303" s="76" t="s">
        <v>2889</v>
      </c>
      <c r="H5303" s="76"/>
      <c r="I5303" s="77" t="s">
        <v>66</v>
      </c>
      <c r="J5303" s="75" t="s">
        <v>67</v>
      </c>
      <c r="K5303" s="75" t="s">
        <v>2890</v>
      </c>
      <c r="L5303" s="75" t="s">
        <v>68</v>
      </c>
      <c r="M5303" s="75" t="s">
        <v>70</v>
      </c>
      <c r="N5303" s="573"/>
      <c r="O5303" s="556"/>
      <c r="P5303" s="573"/>
      <c r="Q5303" s="556"/>
      <c r="R5303" s="582"/>
    </row>
    <row r="5304" ht="35.05" customHeight="1" spans="1:18">
      <c r="A5304" s="556"/>
      <c r="B5304" s="557"/>
      <c r="C5304" s="569" t="s">
        <v>2891</v>
      </c>
      <c r="D5304" s="570" t="s">
        <v>1796</v>
      </c>
      <c r="E5304" s="569" t="s">
        <v>132</v>
      </c>
      <c r="F5304" s="569" t="s">
        <v>1797</v>
      </c>
      <c r="G5304" s="569" t="s">
        <v>4227</v>
      </c>
      <c r="H5304" s="569"/>
      <c r="I5304" s="577" t="s">
        <v>134</v>
      </c>
      <c r="J5304" s="578">
        <v>1</v>
      </c>
      <c r="K5304" s="579"/>
      <c r="L5304" s="579">
        <v>14.24</v>
      </c>
      <c r="M5304" s="579">
        <v>14.24</v>
      </c>
      <c r="N5304" s="573"/>
      <c r="O5304" s="556"/>
      <c r="P5304" s="573"/>
      <c r="Q5304" s="556"/>
      <c r="R5304" s="582"/>
    </row>
    <row r="5305" ht="23.85" customHeight="1" spans="1:18">
      <c r="A5305" s="556"/>
      <c r="B5305" s="557" t="str">
        <f>C5304</f>
        <v>Composição</v>
      </c>
      <c r="C5305" s="79" t="s">
        <v>2921</v>
      </c>
      <c r="D5305" s="78" t="s">
        <v>3146</v>
      </c>
      <c r="E5305" s="79" t="s">
        <v>139</v>
      </c>
      <c r="F5305" s="79" t="s">
        <v>3147</v>
      </c>
      <c r="G5305" s="79" t="s">
        <v>2928</v>
      </c>
      <c r="H5305" s="79"/>
      <c r="I5305" s="80" t="s">
        <v>2897</v>
      </c>
      <c r="J5305" s="583">
        <v>0.158</v>
      </c>
      <c r="K5305" s="583">
        <v>0</v>
      </c>
      <c r="L5305" s="92">
        <v>29.54</v>
      </c>
      <c r="M5305" s="92">
        <v>4.66</v>
      </c>
      <c r="N5305" s="573">
        <v>662.17</v>
      </c>
      <c r="O5305" s="556" t="str">
        <f>IF(N5305=M5305,"OK","DIF")</f>
        <v>DIF</v>
      </c>
      <c r="P5305" s="573"/>
      <c r="Q5305" s="556"/>
      <c r="R5305" s="582"/>
    </row>
    <row r="5306" ht="23.85" customHeight="1" spans="1:18">
      <c r="A5306" s="556" t="str">
        <f>B5306</f>
        <v>Composição</v>
      </c>
      <c r="B5306" s="557" t="str">
        <f>B5305</f>
        <v>Composição</v>
      </c>
      <c r="C5306" s="79" t="s">
        <v>2921</v>
      </c>
      <c r="D5306" s="78" t="s">
        <v>3144</v>
      </c>
      <c r="E5306" s="79" t="s">
        <v>139</v>
      </c>
      <c r="F5306" s="79" t="s">
        <v>3145</v>
      </c>
      <c r="G5306" s="79" t="s">
        <v>2928</v>
      </c>
      <c r="H5306" s="79"/>
      <c r="I5306" s="80" t="s">
        <v>2897</v>
      </c>
      <c r="J5306" s="583">
        <v>0.158</v>
      </c>
      <c r="K5306" s="583">
        <v>0</v>
      </c>
      <c r="L5306" s="92">
        <v>35.55</v>
      </c>
      <c r="M5306" s="92">
        <v>5.61</v>
      </c>
      <c r="N5306" s="573">
        <v>31.14</v>
      </c>
      <c r="O5306" s="556" t="str">
        <f>IF(N5306=M5306,"OK","DIF")</f>
        <v>DIF</v>
      </c>
      <c r="P5306" s="573"/>
      <c r="Q5306" s="556"/>
      <c r="R5306" s="582"/>
    </row>
    <row r="5307" ht="23.85" customHeight="1" spans="1:18">
      <c r="A5307" s="556" t="str">
        <f>B5307</f>
        <v>Composição</v>
      </c>
      <c r="B5307" s="557" t="str">
        <f>B5306</f>
        <v>Composição</v>
      </c>
      <c r="C5307" s="100" t="s">
        <v>2893</v>
      </c>
      <c r="D5307" s="99" t="s">
        <v>4539</v>
      </c>
      <c r="E5307" s="100" t="s">
        <v>139</v>
      </c>
      <c r="F5307" s="100" t="s">
        <v>4540</v>
      </c>
      <c r="G5307" s="100" t="s">
        <v>2961</v>
      </c>
      <c r="H5307" s="100"/>
      <c r="I5307" s="101" t="s">
        <v>134</v>
      </c>
      <c r="J5307" s="580">
        <v>1</v>
      </c>
      <c r="K5307" s="580">
        <v>0</v>
      </c>
      <c r="L5307" s="102">
        <v>3.97</v>
      </c>
      <c r="M5307" s="102">
        <v>3.97</v>
      </c>
      <c r="N5307" s="573">
        <v>50.37</v>
      </c>
      <c r="O5307" s="556" t="str">
        <f>IF(N5307=M5307,"OK","DIF")</f>
        <v>DIF</v>
      </c>
      <c r="P5307" s="573"/>
      <c r="Q5307" s="556"/>
      <c r="R5307" s="582"/>
    </row>
    <row r="5308" ht="25.5" spans="1:18">
      <c r="A5308" s="556" t="str">
        <f>B5308</f>
        <v>Composição</v>
      </c>
      <c r="B5308" s="557" t="str">
        <f>B5307</f>
        <v>Composição</v>
      </c>
      <c r="C5308" s="108"/>
      <c r="D5308" s="108"/>
      <c r="E5308" s="108"/>
      <c r="F5308" s="108"/>
      <c r="G5308" s="108"/>
      <c r="H5308" s="108" t="s">
        <v>2898</v>
      </c>
      <c r="I5308" s="581">
        <v>7.31</v>
      </c>
      <c r="J5308" s="108" t="s">
        <v>2899</v>
      </c>
      <c r="K5308" s="581">
        <v>0</v>
      </c>
      <c r="L5308" s="108" t="s">
        <v>2900</v>
      </c>
      <c r="M5308" s="581">
        <v>7.31</v>
      </c>
      <c r="N5308" s="573">
        <v>580.66</v>
      </c>
      <c r="O5308" s="556" t="str">
        <f>IF(N5308=M5308,"OK","DIF")</f>
        <v>DIF</v>
      </c>
      <c r="P5308" s="573"/>
      <c r="Q5308" s="556"/>
      <c r="R5308" s="582"/>
    </row>
    <row r="5309" ht="26.25" spans="1:18">
      <c r="A5309" s="556"/>
      <c r="B5309" s="557"/>
      <c r="C5309" s="108"/>
      <c r="D5309" s="108"/>
      <c r="E5309" s="108"/>
      <c r="F5309" s="108"/>
      <c r="G5309" s="108"/>
      <c r="H5309" s="108" t="s">
        <v>2901</v>
      </c>
      <c r="I5309" s="581">
        <v>3.62</v>
      </c>
      <c r="J5309" s="114"/>
      <c r="K5309" s="114" t="s">
        <v>2902</v>
      </c>
      <c r="L5309" s="108"/>
      <c r="M5309" s="581">
        <v>17.86</v>
      </c>
      <c r="N5309" s="573"/>
      <c r="O5309" s="556"/>
      <c r="P5309" s="573"/>
      <c r="Q5309" s="556"/>
      <c r="R5309" s="582"/>
    </row>
    <row r="5310" ht="15" spans="1:18">
      <c r="A5310" s="556"/>
      <c r="B5310" s="557"/>
      <c r="C5310" s="571"/>
      <c r="D5310" s="571"/>
      <c r="E5310" s="571"/>
      <c r="F5310" s="571"/>
      <c r="G5310" s="571"/>
      <c r="H5310" s="571"/>
      <c r="I5310" s="571"/>
      <c r="J5310" s="571"/>
      <c r="K5310" s="571"/>
      <c r="L5310" s="571"/>
      <c r="M5310" s="571"/>
      <c r="N5310" s="573"/>
      <c r="O5310" s="556"/>
      <c r="P5310" s="573"/>
      <c r="Q5310" s="556"/>
      <c r="R5310" s="582"/>
    </row>
    <row r="5311" ht="15" customHeight="1" spans="1:18">
      <c r="A5311" s="556"/>
      <c r="B5311" s="557">
        <f>C5310</f>
        <v>0</v>
      </c>
      <c r="C5311" s="76" t="s">
        <v>1798</v>
      </c>
      <c r="D5311" s="75" t="s">
        <v>63</v>
      </c>
      <c r="E5311" s="76" t="s">
        <v>64</v>
      </c>
      <c r="F5311" s="76" t="s">
        <v>65</v>
      </c>
      <c r="G5311" s="76" t="s">
        <v>2889</v>
      </c>
      <c r="H5311" s="76"/>
      <c r="I5311" s="77" t="s">
        <v>66</v>
      </c>
      <c r="J5311" s="75" t="s">
        <v>67</v>
      </c>
      <c r="K5311" s="75" t="s">
        <v>2890</v>
      </c>
      <c r="L5311" s="75" t="s">
        <v>68</v>
      </c>
      <c r="M5311" s="75" t="s">
        <v>70</v>
      </c>
      <c r="N5311" s="573">
        <v>1014.12</v>
      </c>
      <c r="O5311" s="556" t="str">
        <f>IF(N5311=M5311,"OK","DIF")</f>
        <v>DIF</v>
      </c>
      <c r="P5311" s="573"/>
      <c r="Q5311" s="556"/>
      <c r="R5311" s="582"/>
    </row>
    <row r="5312" ht="35.05" customHeight="1" spans="1:18">
      <c r="A5312" s="556">
        <f>B5312</f>
        <v>0</v>
      </c>
      <c r="B5312" s="557">
        <f>B5311</f>
        <v>0</v>
      </c>
      <c r="C5312" s="569" t="s">
        <v>2891</v>
      </c>
      <c r="D5312" s="570" t="s">
        <v>1736</v>
      </c>
      <c r="E5312" s="569" t="s">
        <v>139</v>
      </c>
      <c r="F5312" s="569" t="s">
        <v>1737</v>
      </c>
      <c r="G5312" s="569" t="s">
        <v>3235</v>
      </c>
      <c r="H5312" s="569"/>
      <c r="I5312" s="577" t="s">
        <v>134</v>
      </c>
      <c r="J5312" s="578">
        <v>1</v>
      </c>
      <c r="K5312" s="579"/>
      <c r="L5312" s="579">
        <v>52.68</v>
      </c>
      <c r="M5312" s="579">
        <v>52.68</v>
      </c>
      <c r="N5312" s="573">
        <v>21.63</v>
      </c>
      <c r="O5312" s="556" t="str">
        <f>IF(N5312=M5312,"OK","DIF")</f>
        <v>DIF</v>
      </c>
      <c r="P5312" s="573"/>
      <c r="Q5312" s="556"/>
      <c r="R5312" s="582"/>
    </row>
    <row r="5313" ht="23.85" customHeight="1" spans="1:18">
      <c r="A5313" s="556">
        <f>B5313</f>
        <v>0</v>
      </c>
      <c r="B5313" s="557">
        <f>B5312</f>
        <v>0</v>
      </c>
      <c r="C5313" s="79" t="s">
        <v>2921</v>
      </c>
      <c r="D5313" s="78" t="s">
        <v>3151</v>
      </c>
      <c r="E5313" s="79" t="s">
        <v>139</v>
      </c>
      <c r="F5313" s="79" t="s">
        <v>3152</v>
      </c>
      <c r="G5313" s="79" t="s">
        <v>2928</v>
      </c>
      <c r="H5313" s="79"/>
      <c r="I5313" s="80" t="s">
        <v>2897</v>
      </c>
      <c r="J5313" s="583">
        <v>0.4578</v>
      </c>
      <c r="K5313" s="583">
        <v>0</v>
      </c>
      <c r="L5313" s="92">
        <v>36.82</v>
      </c>
      <c r="M5313" s="92">
        <v>16.85</v>
      </c>
      <c r="N5313" s="573">
        <v>30.2</v>
      </c>
      <c r="O5313" s="556" t="str">
        <f>IF(N5313=M5313,"OK","DIF")</f>
        <v>DIF</v>
      </c>
      <c r="P5313" s="573"/>
      <c r="Q5313" s="556"/>
      <c r="R5313" s="582"/>
    </row>
    <row r="5314" ht="23.85" customHeight="1" spans="1:18">
      <c r="A5314" s="556">
        <f>B5314</f>
        <v>0</v>
      </c>
      <c r="B5314" s="557">
        <f>B5313</f>
        <v>0</v>
      </c>
      <c r="C5314" s="79" t="s">
        <v>2921</v>
      </c>
      <c r="D5314" s="78" t="s">
        <v>3153</v>
      </c>
      <c r="E5314" s="79" t="s">
        <v>139</v>
      </c>
      <c r="F5314" s="79" t="s">
        <v>3154</v>
      </c>
      <c r="G5314" s="79" t="s">
        <v>2928</v>
      </c>
      <c r="H5314" s="79"/>
      <c r="I5314" s="80" t="s">
        <v>2897</v>
      </c>
      <c r="J5314" s="583">
        <v>0.4578</v>
      </c>
      <c r="K5314" s="583">
        <v>0</v>
      </c>
      <c r="L5314" s="92">
        <v>30.6</v>
      </c>
      <c r="M5314" s="92">
        <v>14</v>
      </c>
      <c r="N5314" s="573">
        <v>962.29</v>
      </c>
      <c r="O5314" s="556" t="str">
        <f>IF(N5314=M5314,"OK","DIF")</f>
        <v>DIF</v>
      </c>
      <c r="P5314" s="573"/>
      <c r="Q5314" s="556"/>
      <c r="R5314" s="582"/>
    </row>
    <row r="5315" ht="23.85" customHeight="1" spans="1:18">
      <c r="A5315" s="556"/>
      <c r="B5315" s="557"/>
      <c r="C5315" s="100" t="s">
        <v>2893</v>
      </c>
      <c r="D5315" s="99" t="s">
        <v>4038</v>
      </c>
      <c r="E5315" s="100" t="s">
        <v>139</v>
      </c>
      <c r="F5315" s="100" t="s">
        <v>4039</v>
      </c>
      <c r="G5315" s="100" t="s">
        <v>2961</v>
      </c>
      <c r="H5315" s="100"/>
      <c r="I5315" s="101" t="s">
        <v>134</v>
      </c>
      <c r="J5315" s="580">
        <v>2</v>
      </c>
      <c r="K5315" s="580">
        <v>0</v>
      </c>
      <c r="L5315" s="102">
        <v>0.26</v>
      </c>
      <c r="M5315" s="102">
        <v>0.52</v>
      </c>
      <c r="N5315" s="573"/>
      <c r="O5315" s="556"/>
      <c r="P5315" s="573"/>
      <c r="Q5315" s="556"/>
      <c r="R5315" s="582"/>
    </row>
    <row r="5316" ht="23.85" customHeight="1" spans="1:18">
      <c r="A5316" s="556"/>
      <c r="B5316" s="557"/>
      <c r="C5316" s="100" t="s">
        <v>2893</v>
      </c>
      <c r="D5316" s="99" t="s">
        <v>4507</v>
      </c>
      <c r="E5316" s="100" t="s">
        <v>139</v>
      </c>
      <c r="F5316" s="100" t="s">
        <v>4508</v>
      </c>
      <c r="G5316" s="100" t="s">
        <v>2961</v>
      </c>
      <c r="H5316" s="100"/>
      <c r="I5316" s="101" t="s">
        <v>134</v>
      </c>
      <c r="J5316" s="580">
        <v>1</v>
      </c>
      <c r="K5316" s="580">
        <v>0</v>
      </c>
      <c r="L5316" s="102">
        <v>21.31</v>
      </c>
      <c r="M5316" s="102">
        <v>21.31</v>
      </c>
      <c r="N5316" s="573"/>
      <c r="O5316" s="556"/>
      <c r="P5316" s="573"/>
      <c r="Q5316" s="556"/>
      <c r="R5316" s="582"/>
    </row>
    <row r="5317" ht="25.5" spans="1:18">
      <c r="A5317" s="556"/>
      <c r="B5317" s="557" t="str">
        <f>C5316</f>
        <v>Insumo</v>
      </c>
      <c r="C5317" s="108"/>
      <c r="D5317" s="108"/>
      <c r="E5317" s="108"/>
      <c r="F5317" s="108"/>
      <c r="G5317" s="108"/>
      <c r="H5317" s="108" t="s">
        <v>2898</v>
      </c>
      <c r="I5317" s="581">
        <v>21.65</v>
      </c>
      <c r="J5317" s="108" t="s">
        <v>2899</v>
      </c>
      <c r="K5317" s="581">
        <v>0</v>
      </c>
      <c r="L5317" s="108" t="s">
        <v>2900</v>
      </c>
      <c r="M5317" s="581">
        <v>21.65</v>
      </c>
      <c r="N5317" s="573">
        <v>1466.07</v>
      </c>
      <c r="O5317" s="556" t="str">
        <f>IF(N5317=M5317,"OK","DIF")</f>
        <v>DIF</v>
      </c>
      <c r="P5317" s="573"/>
      <c r="Q5317" s="556"/>
      <c r="R5317" s="582"/>
    </row>
    <row r="5318" ht="26.25" spans="1:18">
      <c r="A5318" s="556" t="str">
        <f>B5318</f>
        <v>Insumo</v>
      </c>
      <c r="B5318" s="557" t="str">
        <f>B5317</f>
        <v>Insumo</v>
      </c>
      <c r="C5318" s="108"/>
      <c r="D5318" s="108"/>
      <c r="E5318" s="108"/>
      <c r="F5318" s="108"/>
      <c r="G5318" s="108"/>
      <c r="H5318" s="108" t="s">
        <v>2901</v>
      </c>
      <c r="I5318" s="581">
        <v>13.42</v>
      </c>
      <c r="J5318" s="114"/>
      <c r="K5318" s="114" t="s">
        <v>2902</v>
      </c>
      <c r="L5318" s="108"/>
      <c r="M5318" s="581">
        <v>66.1</v>
      </c>
      <c r="N5318" s="573">
        <v>52.59</v>
      </c>
      <c r="O5318" s="556" t="str">
        <f>IF(N5318=M5318,"OK","DIF")</f>
        <v>DIF</v>
      </c>
      <c r="P5318" s="573"/>
      <c r="Q5318" s="556"/>
      <c r="R5318" s="582"/>
    </row>
    <row r="5319" ht="15" spans="1:18">
      <c r="A5319" s="556" t="str">
        <f>B5319</f>
        <v>Insumo</v>
      </c>
      <c r="B5319" s="557" t="str">
        <f>B5318</f>
        <v>Insumo</v>
      </c>
      <c r="C5319" s="571"/>
      <c r="D5319" s="571"/>
      <c r="E5319" s="571"/>
      <c r="F5319" s="571"/>
      <c r="G5319" s="571"/>
      <c r="H5319" s="571"/>
      <c r="I5319" s="571"/>
      <c r="J5319" s="571"/>
      <c r="K5319" s="571"/>
      <c r="L5319" s="571"/>
      <c r="M5319" s="571"/>
      <c r="N5319" s="573">
        <v>41.34</v>
      </c>
      <c r="O5319" s="556" t="str">
        <f>IF(N5319=M5319,"OK","DIF")</f>
        <v>DIF</v>
      </c>
      <c r="P5319" s="573"/>
      <c r="Q5319" s="556"/>
      <c r="R5319" s="582"/>
    </row>
    <row r="5320" ht="15" customHeight="1" spans="1:18">
      <c r="A5320" s="556" t="str">
        <f>B5320</f>
        <v>Insumo</v>
      </c>
      <c r="B5320" s="557" t="str">
        <f>B5319</f>
        <v>Insumo</v>
      </c>
      <c r="C5320" s="76" t="s">
        <v>1799</v>
      </c>
      <c r="D5320" s="75" t="s">
        <v>63</v>
      </c>
      <c r="E5320" s="76" t="s">
        <v>64</v>
      </c>
      <c r="F5320" s="76" t="s">
        <v>65</v>
      </c>
      <c r="G5320" s="76" t="s">
        <v>2889</v>
      </c>
      <c r="H5320" s="76"/>
      <c r="I5320" s="77" t="s">
        <v>66</v>
      </c>
      <c r="J5320" s="75" t="s">
        <v>67</v>
      </c>
      <c r="K5320" s="75" t="s">
        <v>2890</v>
      </c>
      <c r="L5320" s="75" t="s">
        <v>68</v>
      </c>
      <c r="M5320" s="75" t="s">
        <v>70</v>
      </c>
      <c r="N5320" s="573">
        <v>1372.14</v>
      </c>
      <c r="O5320" s="556" t="str">
        <f>IF(N5320=M5320,"OK","DIF")</f>
        <v>DIF</v>
      </c>
      <c r="P5320" s="573"/>
      <c r="Q5320" s="556"/>
      <c r="R5320" s="582"/>
    </row>
    <row r="5321" ht="35.05" customHeight="1" spans="1:18">
      <c r="A5321" s="556"/>
      <c r="B5321" s="557"/>
      <c r="C5321" s="569" t="s">
        <v>2891</v>
      </c>
      <c r="D5321" s="570" t="s">
        <v>1107</v>
      </c>
      <c r="E5321" s="569" t="s">
        <v>139</v>
      </c>
      <c r="F5321" s="569" t="s">
        <v>1108</v>
      </c>
      <c r="G5321" s="569" t="s">
        <v>3235</v>
      </c>
      <c r="H5321" s="569"/>
      <c r="I5321" s="577" t="s">
        <v>134</v>
      </c>
      <c r="J5321" s="578">
        <v>1</v>
      </c>
      <c r="K5321" s="579"/>
      <c r="L5321" s="579">
        <v>44.86</v>
      </c>
      <c r="M5321" s="579">
        <v>44.86</v>
      </c>
      <c r="N5321" s="573"/>
      <c r="O5321" s="556"/>
      <c r="P5321" s="573"/>
      <c r="Q5321" s="556"/>
      <c r="R5321" s="582"/>
    </row>
    <row r="5322" ht="23.85" customHeight="1" spans="1:18">
      <c r="A5322" s="556"/>
      <c r="B5322" s="557"/>
      <c r="C5322" s="79" t="s">
        <v>2921</v>
      </c>
      <c r="D5322" s="78" t="s">
        <v>3151</v>
      </c>
      <c r="E5322" s="79" t="s">
        <v>139</v>
      </c>
      <c r="F5322" s="79" t="s">
        <v>3152</v>
      </c>
      <c r="G5322" s="79" t="s">
        <v>2928</v>
      </c>
      <c r="H5322" s="79"/>
      <c r="I5322" s="80" t="s">
        <v>2897</v>
      </c>
      <c r="J5322" s="583">
        <v>0.3902</v>
      </c>
      <c r="K5322" s="583">
        <v>0</v>
      </c>
      <c r="L5322" s="92">
        <v>36.82</v>
      </c>
      <c r="M5322" s="92">
        <v>14.36</v>
      </c>
      <c r="N5322" s="573"/>
      <c r="O5322" s="556"/>
      <c r="P5322" s="573"/>
      <c r="Q5322" s="556"/>
      <c r="R5322" s="582"/>
    </row>
    <row r="5323" ht="23.85" customHeight="1" spans="1:18">
      <c r="A5323" s="556"/>
      <c r="B5323" s="557" t="str">
        <f>C5322</f>
        <v>Composição Auxiliar</v>
      </c>
      <c r="C5323" s="79" t="s">
        <v>2921</v>
      </c>
      <c r="D5323" s="78" t="s">
        <v>3153</v>
      </c>
      <c r="E5323" s="79" t="s">
        <v>139</v>
      </c>
      <c r="F5323" s="79" t="s">
        <v>3154</v>
      </c>
      <c r="G5323" s="79" t="s">
        <v>2928</v>
      </c>
      <c r="H5323" s="79"/>
      <c r="I5323" s="80" t="s">
        <v>2897</v>
      </c>
      <c r="J5323" s="583">
        <v>0.3902</v>
      </c>
      <c r="K5323" s="583">
        <v>0</v>
      </c>
      <c r="L5323" s="92">
        <v>30.6</v>
      </c>
      <c r="M5323" s="92">
        <v>11.94</v>
      </c>
      <c r="N5323" s="573">
        <v>1702.36</v>
      </c>
      <c r="O5323" s="556" t="str">
        <f>IF(N5323=M5323,"OK","DIF")</f>
        <v>DIF</v>
      </c>
      <c r="P5323" s="573"/>
      <c r="Q5323" s="556"/>
      <c r="R5323" s="582"/>
    </row>
    <row r="5324" ht="23.85" customHeight="1" spans="1:18">
      <c r="A5324" s="556" t="str">
        <f>B5324</f>
        <v>Composição Auxiliar</v>
      </c>
      <c r="B5324" s="557" t="str">
        <f>B5323</f>
        <v>Composição Auxiliar</v>
      </c>
      <c r="C5324" s="100" t="s">
        <v>2893</v>
      </c>
      <c r="D5324" s="99" t="s">
        <v>4046</v>
      </c>
      <c r="E5324" s="100" t="s">
        <v>139</v>
      </c>
      <c r="F5324" s="100" t="s">
        <v>4047</v>
      </c>
      <c r="G5324" s="100" t="s">
        <v>2961</v>
      </c>
      <c r="H5324" s="100"/>
      <c r="I5324" s="101" t="s">
        <v>134</v>
      </c>
      <c r="J5324" s="580">
        <v>1</v>
      </c>
      <c r="K5324" s="580">
        <v>0</v>
      </c>
      <c r="L5324" s="102">
        <v>18.04</v>
      </c>
      <c r="M5324" s="102">
        <v>18.04</v>
      </c>
      <c r="N5324" s="573">
        <v>83.96</v>
      </c>
      <c r="O5324" s="556" t="str">
        <f>IF(N5324=M5324,"OK","DIF")</f>
        <v>DIF</v>
      </c>
      <c r="P5324" s="573"/>
      <c r="Q5324" s="556"/>
      <c r="R5324" s="582"/>
    </row>
    <row r="5325" ht="23.85" customHeight="1" spans="1:18">
      <c r="A5325" s="556" t="str">
        <f>B5325</f>
        <v>Composição Auxiliar</v>
      </c>
      <c r="B5325" s="557" t="str">
        <f>B5324</f>
        <v>Composição Auxiliar</v>
      </c>
      <c r="C5325" s="100" t="s">
        <v>2893</v>
      </c>
      <c r="D5325" s="99" t="s">
        <v>4038</v>
      </c>
      <c r="E5325" s="100" t="s">
        <v>139</v>
      </c>
      <c r="F5325" s="100" t="s">
        <v>4039</v>
      </c>
      <c r="G5325" s="100" t="s">
        <v>2961</v>
      </c>
      <c r="H5325" s="100"/>
      <c r="I5325" s="101" t="s">
        <v>134</v>
      </c>
      <c r="J5325" s="580">
        <v>2</v>
      </c>
      <c r="K5325" s="580">
        <v>0</v>
      </c>
      <c r="L5325" s="102">
        <v>0.26</v>
      </c>
      <c r="M5325" s="102">
        <v>0.52</v>
      </c>
      <c r="N5325" s="573">
        <v>51.9</v>
      </c>
      <c r="O5325" s="556" t="str">
        <f>IF(N5325=M5325,"OK","DIF")</f>
        <v>DIF</v>
      </c>
      <c r="P5325" s="573"/>
      <c r="Q5325" s="556"/>
      <c r="R5325" s="582"/>
    </row>
    <row r="5326" ht="25.5" spans="1:18">
      <c r="A5326" s="556" t="str">
        <f>B5326</f>
        <v>Composição Auxiliar</v>
      </c>
      <c r="B5326" s="557" t="str">
        <f>B5325</f>
        <v>Composição Auxiliar</v>
      </c>
      <c r="C5326" s="108"/>
      <c r="D5326" s="108"/>
      <c r="E5326" s="108"/>
      <c r="F5326" s="108"/>
      <c r="G5326" s="108"/>
      <c r="H5326" s="108" t="s">
        <v>2898</v>
      </c>
      <c r="I5326" s="581">
        <v>18.45</v>
      </c>
      <c r="J5326" s="108" t="s">
        <v>2899</v>
      </c>
      <c r="K5326" s="581">
        <v>0</v>
      </c>
      <c r="L5326" s="108" t="s">
        <v>2900</v>
      </c>
      <c r="M5326" s="581">
        <v>18.45</v>
      </c>
      <c r="N5326" s="573">
        <v>1566.5</v>
      </c>
      <c r="O5326" s="556" t="str">
        <f>IF(N5326=M5326,"OK","DIF")</f>
        <v>DIF</v>
      </c>
      <c r="P5326" s="573"/>
      <c r="Q5326" s="556"/>
      <c r="R5326" s="582"/>
    </row>
    <row r="5327" ht="26.25" spans="1:18">
      <c r="A5327" s="556"/>
      <c r="B5327" s="557"/>
      <c r="C5327" s="108"/>
      <c r="D5327" s="108"/>
      <c r="E5327" s="108"/>
      <c r="F5327" s="108"/>
      <c r="G5327" s="108"/>
      <c r="H5327" s="108" t="s">
        <v>2901</v>
      </c>
      <c r="I5327" s="581">
        <v>11.43</v>
      </c>
      <c r="J5327" s="114"/>
      <c r="K5327" s="114" t="s">
        <v>2902</v>
      </c>
      <c r="L5327" s="108"/>
      <c r="M5327" s="581">
        <v>56.29</v>
      </c>
      <c r="N5327" s="573"/>
      <c r="O5327" s="556"/>
      <c r="P5327" s="573"/>
      <c r="Q5327" s="556"/>
      <c r="R5327" s="582"/>
    </row>
    <row r="5328" ht="15" spans="1:18">
      <c r="A5328" s="556"/>
      <c r="B5328" s="557"/>
      <c r="C5328" s="571"/>
      <c r="D5328" s="571"/>
      <c r="E5328" s="571"/>
      <c r="F5328" s="571"/>
      <c r="G5328" s="571"/>
      <c r="H5328" s="571"/>
      <c r="I5328" s="571"/>
      <c r="J5328" s="571"/>
      <c r="K5328" s="571"/>
      <c r="L5328" s="571"/>
      <c r="M5328" s="571"/>
      <c r="N5328" s="573"/>
      <c r="O5328" s="556"/>
      <c r="P5328" s="573"/>
      <c r="Q5328" s="556"/>
      <c r="R5328" s="582"/>
    </row>
    <row r="5329" ht="15" customHeight="1" spans="1:18">
      <c r="A5329" s="556"/>
      <c r="B5329" s="557">
        <f>C5328</f>
        <v>0</v>
      </c>
      <c r="C5329" s="76" t="s">
        <v>1800</v>
      </c>
      <c r="D5329" s="75" t="s">
        <v>63</v>
      </c>
      <c r="E5329" s="76" t="s">
        <v>64</v>
      </c>
      <c r="F5329" s="76" t="s">
        <v>65</v>
      </c>
      <c r="G5329" s="76" t="s">
        <v>2889</v>
      </c>
      <c r="H5329" s="76"/>
      <c r="I5329" s="77" t="s">
        <v>66</v>
      </c>
      <c r="J5329" s="75" t="s">
        <v>67</v>
      </c>
      <c r="K5329" s="75" t="s">
        <v>2890</v>
      </c>
      <c r="L5329" s="75" t="s">
        <v>68</v>
      </c>
      <c r="M5329" s="75" t="s">
        <v>70</v>
      </c>
      <c r="N5329" s="573">
        <v>1702.36</v>
      </c>
      <c r="O5329" s="556" t="str">
        <f>IF(N5329=M5329,"OK","DIF")</f>
        <v>DIF</v>
      </c>
      <c r="P5329" s="573"/>
      <c r="Q5329" s="556"/>
      <c r="R5329" s="582"/>
    </row>
    <row r="5330" ht="35.05" customHeight="1" spans="1:18">
      <c r="A5330" s="556">
        <f>B5330</f>
        <v>0</v>
      </c>
      <c r="B5330" s="557">
        <f>B5329</f>
        <v>0</v>
      </c>
      <c r="C5330" s="569" t="s">
        <v>2891</v>
      </c>
      <c r="D5330" s="570" t="s">
        <v>1801</v>
      </c>
      <c r="E5330" s="569" t="s">
        <v>139</v>
      </c>
      <c r="F5330" s="569" t="s">
        <v>1802</v>
      </c>
      <c r="G5330" s="569" t="s">
        <v>3235</v>
      </c>
      <c r="H5330" s="569"/>
      <c r="I5330" s="577" t="s">
        <v>134</v>
      </c>
      <c r="J5330" s="578">
        <v>1</v>
      </c>
      <c r="K5330" s="579"/>
      <c r="L5330" s="579">
        <v>39.4</v>
      </c>
      <c r="M5330" s="579">
        <v>39.4</v>
      </c>
      <c r="N5330" s="573">
        <v>83.96</v>
      </c>
      <c r="O5330" s="556" t="str">
        <f>IF(N5330=M5330,"OK","DIF")</f>
        <v>DIF</v>
      </c>
      <c r="P5330" s="573"/>
      <c r="Q5330" s="556"/>
      <c r="R5330" s="582"/>
    </row>
    <row r="5331" ht="23.85" customHeight="1" spans="1:18">
      <c r="A5331" s="556">
        <f>B5331</f>
        <v>0</v>
      </c>
      <c r="B5331" s="557">
        <f>B5330</f>
        <v>0</v>
      </c>
      <c r="C5331" s="79" t="s">
        <v>2921</v>
      </c>
      <c r="D5331" s="78" t="s">
        <v>3151</v>
      </c>
      <c r="E5331" s="79" t="s">
        <v>139</v>
      </c>
      <c r="F5331" s="79" t="s">
        <v>3152</v>
      </c>
      <c r="G5331" s="79" t="s">
        <v>2928</v>
      </c>
      <c r="H5331" s="79"/>
      <c r="I5331" s="80" t="s">
        <v>2897</v>
      </c>
      <c r="J5331" s="583">
        <v>0.3226</v>
      </c>
      <c r="K5331" s="583">
        <v>0</v>
      </c>
      <c r="L5331" s="92">
        <v>36.82</v>
      </c>
      <c r="M5331" s="92">
        <v>11.87</v>
      </c>
      <c r="N5331" s="573">
        <v>51.9</v>
      </c>
      <c r="O5331" s="556" t="str">
        <f>IF(N5331=M5331,"OK","DIF")</f>
        <v>DIF</v>
      </c>
      <c r="P5331" s="573"/>
      <c r="Q5331" s="556"/>
      <c r="R5331" s="582"/>
    </row>
    <row r="5332" ht="23.85" customHeight="1" spans="1:18">
      <c r="A5332" s="556">
        <f>B5332</f>
        <v>0</v>
      </c>
      <c r="B5332" s="557">
        <f>B5331</f>
        <v>0</v>
      </c>
      <c r="C5332" s="79" t="s">
        <v>2921</v>
      </c>
      <c r="D5332" s="78" t="s">
        <v>3153</v>
      </c>
      <c r="E5332" s="79" t="s">
        <v>139</v>
      </c>
      <c r="F5332" s="79" t="s">
        <v>3154</v>
      </c>
      <c r="G5332" s="79" t="s">
        <v>2928</v>
      </c>
      <c r="H5332" s="79"/>
      <c r="I5332" s="80" t="s">
        <v>2897</v>
      </c>
      <c r="J5332" s="583">
        <v>0.3226</v>
      </c>
      <c r="K5332" s="583">
        <v>0</v>
      </c>
      <c r="L5332" s="92">
        <v>30.6</v>
      </c>
      <c r="M5332" s="92">
        <v>9.87</v>
      </c>
      <c r="N5332" s="573">
        <v>1566.5</v>
      </c>
      <c r="O5332" s="556" t="str">
        <f>IF(N5332=M5332,"OK","DIF")</f>
        <v>DIF</v>
      </c>
      <c r="P5332" s="573"/>
      <c r="Q5332" s="556"/>
      <c r="R5332" s="582"/>
    </row>
    <row r="5333" ht="23.85" customHeight="1" spans="1:18">
      <c r="A5333" s="556"/>
      <c r="B5333" s="557"/>
      <c r="C5333" s="100" t="s">
        <v>2893</v>
      </c>
      <c r="D5333" s="99" t="s">
        <v>4541</v>
      </c>
      <c r="E5333" s="100" t="s">
        <v>139</v>
      </c>
      <c r="F5333" s="100" t="s">
        <v>4542</v>
      </c>
      <c r="G5333" s="100" t="s">
        <v>2961</v>
      </c>
      <c r="H5333" s="100"/>
      <c r="I5333" s="101" t="s">
        <v>134</v>
      </c>
      <c r="J5333" s="580">
        <v>1</v>
      </c>
      <c r="K5333" s="580">
        <v>0</v>
      </c>
      <c r="L5333" s="102">
        <v>17.14</v>
      </c>
      <c r="M5333" s="102">
        <v>17.14</v>
      </c>
      <c r="N5333" s="573"/>
      <c r="O5333" s="556"/>
      <c r="P5333" s="573"/>
      <c r="Q5333" s="556"/>
      <c r="R5333" s="582"/>
    </row>
    <row r="5334" ht="23.85" customHeight="1" spans="1:18">
      <c r="A5334" s="556"/>
      <c r="B5334" s="557"/>
      <c r="C5334" s="100" t="s">
        <v>2893</v>
      </c>
      <c r="D5334" s="99" t="s">
        <v>4038</v>
      </c>
      <c r="E5334" s="100" t="s">
        <v>139</v>
      </c>
      <c r="F5334" s="100" t="s">
        <v>4039</v>
      </c>
      <c r="G5334" s="100" t="s">
        <v>2961</v>
      </c>
      <c r="H5334" s="100"/>
      <c r="I5334" s="101" t="s">
        <v>134</v>
      </c>
      <c r="J5334" s="580">
        <v>2</v>
      </c>
      <c r="K5334" s="580">
        <v>0</v>
      </c>
      <c r="L5334" s="102">
        <v>0.26</v>
      </c>
      <c r="M5334" s="102">
        <v>0.52</v>
      </c>
      <c r="N5334" s="573"/>
      <c r="O5334" s="556"/>
      <c r="P5334" s="573"/>
      <c r="Q5334" s="556"/>
      <c r="R5334" s="582"/>
    </row>
    <row r="5335" ht="25.5" spans="1:18">
      <c r="A5335" s="556"/>
      <c r="B5335" s="557" t="str">
        <f>C5334</f>
        <v>Insumo</v>
      </c>
      <c r="C5335" s="108"/>
      <c r="D5335" s="108"/>
      <c r="E5335" s="108"/>
      <c r="F5335" s="108"/>
      <c r="G5335" s="108"/>
      <c r="H5335" s="108" t="s">
        <v>2898</v>
      </c>
      <c r="I5335" s="581">
        <v>15.25</v>
      </c>
      <c r="J5335" s="108" t="s">
        <v>2899</v>
      </c>
      <c r="K5335" s="581">
        <v>0</v>
      </c>
      <c r="L5335" s="108" t="s">
        <v>2900</v>
      </c>
      <c r="M5335" s="581">
        <v>15.25</v>
      </c>
      <c r="N5335" s="573">
        <v>1652.89</v>
      </c>
      <c r="O5335" s="556" t="str">
        <f>IF(N5335=M5335,"OK","DIF")</f>
        <v>DIF</v>
      </c>
      <c r="P5335" s="573"/>
      <c r="Q5335" s="556"/>
      <c r="R5335" s="582"/>
    </row>
    <row r="5336" ht="26.25" spans="1:18">
      <c r="A5336" s="556" t="str">
        <f>B5336</f>
        <v>Insumo</v>
      </c>
      <c r="B5336" s="557" t="str">
        <f>B5335</f>
        <v>Insumo</v>
      </c>
      <c r="C5336" s="108"/>
      <c r="D5336" s="108"/>
      <c r="E5336" s="108"/>
      <c r="F5336" s="108"/>
      <c r="G5336" s="108"/>
      <c r="H5336" s="108" t="s">
        <v>2901</v>
      </c>
      <c r="I5336" s="581">
        <v>10.04</v>
      </c>
      <c r="J5336" s="114"/>
      <c r="K5336" s="114" t="s">
        <v>2902</v>
      </c>
      <c r="L5336" s="108"/>
      <c r="M5336" s="581">
        <v>49.44</v>
      </c>
      <c r="N5336" s="573">
        <v>36.05</v>
      </c>
      <c r="O5336" s="556" t="str">
        <f>IF(N5336=M5336,"OK","DIF")</f>
        <v>DIF</v>
      </c>
      <c r="P5336" s="573"/>
      <c r="Q5336" s="556"/>
      <c r="R5336" s="582"/>
    </row>
    <row r="5337" ht="15" spans="1:18">
      <c r="A5337" s="556" t="str">
        <f>B5337</f>
        <v>Insumo</v>
      </c>
      <c r="B5337" s="557" t="str">
        <f>B5336</f>
        <v>Insumo</v>
      </c>
      <c r="C5337" s="571"/>
      <c r="D5337" s="571"/>
      <c r="E5337" s="571"/>
      <c r="F5337" s="571"/>
      <c r="G5337" s="571"/>
      <c r="H5337" s="571"/>
      <c r="I5337" s="571"/>
      <c r="J5337" s="571"/>
      <c r="K5337" s="571"/>
      <c r="L5337" s="571"/>
      <c r="M5337" s="571"/>
      <c r="N5337" s="573">
        <v>50.34</v>
      </c>
      <c r="O5337" s="556" t="str">
        <f>IF(N5337=M5337,"OK","DIF")</f>
        <v>DIF</v>
      </c>
      <c r="P5337" s="573"/>
      <c r="Q5337" s="556"/>
      <c r="R5337" s="582"/>
    </row>
    <row r="5338" ht="15" customHeight="1" spans="1:18">
      <c r="A5338" s="556" t="str">
        <f>B5338</f>
        <v>Insumo</v>
      </c>
      <c r="B5338" s="557" t="str">
        <f>B5337</f>
        <v>Insumo</v>
      </c>
      <c r="C5338" s="76" t="s">
        <v>1803</v>
      </c>
      <c r="D5338" s="75" t="s">
        <v>63</v>
      </c>
      <c r="E5338" s="76" t="s">
        <v>64</v>
      </c>
      <c r="F5338" s="76" t="s">
        <v>65</v>
      </c>
      <c r="G5338" s="76" t="s">
        <v>2889</v>
      </c>
      <c r="H5338" s="76"/>
      <c r="I5338" s="77" t="s">
        <v>66</v>
      </c>
      <c r="J5338" s="75" t="s">
        <v>67</v>
      </c>
      <c r="K5338" s="75" t="s">
        <v>2890</v>
      </c>
      <c r="L5338" s="75" t="s">
        <v>68</v>
      </c>
      <c r="M5338" s="75" t="s">
        <v>70</v>
      </c>
      <c r="N5338" s="573">
        <v>1566.5</v>
      </c>
      <c r="O5338" s="556" t="str">
        <f>IF(N5338=M5338,"OK","DIF")</f>
        <v>DIF</v>
      </c>
      <c r="P5338" s="573"/>
      <c r="Q5338" s="556"/>
      <c r="R5338" s="582"/>
    </row>
    <row r="5339" ht="35.05" customHeight="1" spans="1:18">
      <c r="A5339" s="556"/>
      <c r="B5339" s="557"/>
      <c r="C5339" s="569" t="s">
        <v>2891</v>
      </c>
      <c r="D5339" s="570" t="s">
        <v>1116</v>
      </c>
      <c r="E5339" s="569" t="s">
        <v>139</v>
      </c>
      <c r="F5339" s="569" t="s">
        <v>1117</v>
      </c>
      <c r="G5339" s="569" t="s">
        <v>3235</v>
      </c>
      <c r="H5339" s="569"/>
      <c r="I5339" s="577" t="s">
        <v>134</v>
      </c>
      <c r="J5339" s="578">
        <v>1</v>
      </c>
      <c r="K5339" s="579"/>
      <c r="L5339" s="579">
        <v>36.35</v>
      </c>
      <c r="M5339" s="579">
        <v>36.35</v>
      </c>
      <c r="N5339" s="573"/>
      <c r="O5339" s="556"/>
      <c r="P5339" s="573"/>
      <c r="Q5339" s="556"/>
      <c r="R5339" s="582"/>
    </row>
    <row r="5340" ht="23.85" customHeight="1" spans="1:18">
      <c r="A5340" s="556"/>
      <c r="B5340" s="557"/>
      <c r="C5340" s="79" t="s">
        <v>2921</v>
      </c>
      <c r="D5340" s="78" t="s">
        <v>3153</v>
      </c>
      <c r="E5340" s="79" t="s">
        <v>139</v>
      </c>
      <c r="F5340" s="79" t="s">
        <v>3154</v>
      </c>
      <c r="G5340" s="79" t="s">
        <v>2928</v>
      </c>
      <c r="H5340" s="79"/>
      <c r="I5340" s="80" t="s">
        <v>2897</v>
      </c>
      <c r="J5340" s="583">
        <v>0.255</v>
      </c>
      <c r="K5340" s="583">
        <v>0</v>
      </c>
      <c r="L5340" s="92">
        <v>30.6</v>
      </c>
      <c r="M5340" s="92">
        <v>7.8</v>
      </c>
      <c r="N5340" s="573"/>
      <c r="O5340" s="556"/>
      <c r="P5340" s="573"/>
      <c r="Q5340" s="556"/>
      <c r="R5340" s="582"/>
    </row>
    <row r="5341" ht="23.85" customHeight="1" spans="1:18">
      <c r="A5341" s="556"/>
      <c r="B5341" s="557" t="str">
        <f>C5340</f>
        <v>Composição Auxiliar</v>
      </c>
      <c r="C5341" s="79" t="s">
        <v>2921</v>
      </c>
      <c r="D5341" s="78" t="s">
        <v>3151</v>
      </c>
      <c r="E5341" s="79" t="s">
        <v>139</v>
      </c>
      <c r="F5341" s="79" t="s">
        <v>3152</v>
      </c>
      <c r="G5341" s="79" t="s">
        <v>2928</v>
      </c>
      <c r="H5341" s="79"/>
      <c r="I5341" s="80" t="s">
        <v>2897</v>
      </c>
      <c r="J5341" s="583">
        <v>0.255</v>
      </c>
      <c r="K5341" s="583">
        <v>0</v>
      </c>
      <c r="L5341" s="92">
        <v>36.82</v>
      </c>
      <c r="M5341" s="92">
        <v>9.38</v>
      </c>
      <c r="N5341" s="573">
        <v>6115.83</v>
      </c>
      <c r="O5341" s="556" t="str">
        <f>IF(N5341=M5341,"OK","DIF")</f>
        <v>DIF</v>
      </c>
      <c r="P5341" s="573"/>
      <c r="Q5341" s="556"/>
      <c r="R5341" s="582"/>
    </row>
    <row r="5342" ht="23.85" customHeight="1" spans="1:18">
      <c r="A5342" s="556" t="str">
        <f>B5342</f>
        <v>Composição Auxiliar</v>
      </c>
      <c r="B5342" s="557" t="str">
        <f>B5341</f>
        <v>Composição Auxiliar</v>
      </c>
      <c r="C5342" s="100" t="s">
        <v>2893</v>
      </c>
      <c r="D5342" s="99" t="s">
        <v>4038</v>
      </c>
      <c r="E5342" s="100" t="s">
        <v>139</v>
      </c>
      <c r="F5342" s="100" t="s">
        <v>4039</v>
      </c>
      <c r="G5342" s="100" t="s">
        <v>2961</v>
      </c>
      <c r="H5342" s="100"/>
      <c r="I5342" s="101" t="s">
        <v>134</v>
      </c>
      <c r="J5342" s="580">
        <v>2</v>
      </c>
      <c r="K5342" s="580">
        <v>0</v>
      </c>
      <c r="L5342" s="102">
        <v>0.26</v>
      </c>
      <c r="M5342" s="102">
        <v>0.52</v>
      </c>
      <c r="N5342" s="573">
        <v>83.96</v>
      </c>
      <c r="O5342" s="556" t="str">
        <f>IF(N5342=M5342,"OK","DIF")</f>
        <v>DIF</v>
      </c>
      <c r="P5342" s="573"/>
      <c r="Q5342" s="556"/>
      <c r="R5342" s="582"/>
    </row>
    <row r="5343" ht="23.85" customHeight="1" spans="1:18">
      <c r="A5343" s="556" t="str">
        <f>B5343</f>
        <v>Composição Auxiliar</v>
      </c>
      <c r="B5343" s="557" t="str">
        <f>B5342</f>
        <v>Composição Auxiliar</v>
      </c>
      <c r="C5343" s="100" t="s">
        <v>2893</v>
      </c>
      <c r="D5343" s="99" t="s">
        <v>4052</v>
      </c>
      <c r="E5343" s="100" t="s">
        <v>139</v>
      </c>
      <c r="F5343" s="100" t="s">
        <v>4053</v>
      </c>
      <c r="G5343" s="100" t="s">
        <v>2961</v>
      </c>
      <c r="H5343" s="100"/>
      <c r="I5343" s="101" t="s">
        <v>134</v>
      </c>
      <c r="J5343" s="580">
        <v>1</v>
      </c>
      <c r="K5343" s="580">
        <v>0</v>
      </c>
      <c r="L5343" s="102">
        <v>18.65</v>
      </c>
      <c r="M5343" s="102">
        <v>18.65</v>
      </c>
      <c r="N5343" s="573">
        <v>51.9</v>
      </c>
      <c r="O5343" s="556" t="str">
        <f>IF(N5343=M5343,"OK","DIF")</f>
        <v>DIF</v>
      </c>
      <c r="P5343" s="573"/>
      <c r="Q5343" s="556"/>
      <c r="R5343" s="582"/>
    </row>
    <row r="5344" ht="25.5" spans="1:18">
      <c r="A5344" s="556" t="str">
        <f>B5344</f>
        <v>Composição Auxiliar</v>
      </c>
      <c r="B5344" s="557" t="str">
        <f>B5343</f>
        <v>Composição Auxiliar</v>
      </c>
      <c r="C5344" s="108"/>
      <c r="D5344" s="108"/>
      <c r="E5344" s="108"/>
      <c r="F5344" s="108"/>
      <c r="G5344" s="108"/>
      <c r="H5344" s="108" t="s">
        <v>2898</v>
      </c>
      <c r="I5344" s="581">
        <v>12.06</v>
      </c>
      <c r="J5344" s="108" t="s">
        <v>2899</v>
      </c>
      <c r="K5344" s="581">
        <v>0</v>
      </c>
      <c r="L5344" s="108" t="s">
        <v>2900</v>
      </c>
      <c r="M5344" s="581">
        <v>12.06</v>
      </c>
      <c r="N5344" s="573">
        <v>5979.97</v>
      </c>
      <c r="O5344" s="556" t="str">
        <f>IF(N5344=M5344,"OK","DIF")</f>
        <v>DIF</v>
      </c>
      <c r="P5344" s="573"/>
      <c r="Q5344" s="556"/>
      <c r="R5344" s="582"/>
    </row>
    <row r="5345" ht="26.25" spans="1:18">
      <c r="A5345" s="556"/>
      <c r="B5345" s="557"/>
      <c r="C5345" s="108"/>
      <c r="D5345" s="108"/>
      <c r="E5345" s="108"/>
      <c r="F5345" s="108"/>
      <c r="G5345" s="108"/>
      <c r="H5345" s="108" t="s">
        <v>2901</v>
      </c>
      <c r="I5345" s="581">
        <v>9.26</v>
      </c>
      <c r="J5345" s="114"/>
      <c r="K5345" s="114" t="s">
        <v>2902</v>
      </c>
      <c r="L5345" s="108"/>
      <c r="M5345" s="581">
        <v>45.61</v>
      </c>
      <c r="N5345" s="573"/>
      <c r="O5345" s="556"/>
      <c r="P5345" s="573"/>
      <c r="Q5345" s="556"/>
      <c r="R5345" s="582"/>
    </row>
    <row r="5346" ht="15" spans="1:18">
      <c r="A5346" s="556"/>
      <c r="B5346" s="557"/>
      <c r="C5346" s="571"/>
      <c r="D5346" s="571"/>
      <c r="E5346" s="571"/>
      <c r="F5346" s="571"/>
      <c r="G5346" s="571"/>
      <c r="H5346" s="571"/>
      <c r="I5346" s="571"/>
      <c r="J5346" s="571"/>
      <c r="K5346" s="571"/>
      <c r="L5346" s="571"/>
      <c r="M5346" s="571"/>
      <c r="N5346" s="573"/>
      <c r="O5346" s="556"/>
      <c r="P5346" s="573"/>
      <c r="Q5346" s="556"/>
      <c r="R5346" s="582"/>
    </row>
    <row r="5347" ht="15" customHeight="1" spans="1:18">
      <c r="A5347" s="556"/>
      <c r="B5347" s="557">
        <f>C5346</f>
        <v>0</v>
      </c>
      <c r="C5347" s="76" t="s">
        <v>1804</v>
      </c>
      <c r="D5347" s="75" t="s">
        <v>63</v>
      </c>
      <c r="E5347" s="76" t="s">
        <v>64</v>
      </c>
      <c r="F5347" s="76" t="s">
        <v>65</v>
      </c>
      <c r="G5347" s="76" t="s">
        <v>2889</v>
      </c>
      <c r="H5347" s="76"/>
      <c r="I5347" s="77" t="s">
        <v>66</v>
      </c>
      <c r="J5347" s="75" t="s">
        <v>67</v>
      </c>
      <c r="K5347" s="75" t="s">
        <v>2890</v>
      </c>
      <c r="L5347" s="75" t="s">
        <v>68</v>
      </c>
      <c r="M5347" s="75" t="s">
        <v>70</v>
      </c>
      <c r="N5347" s="573">
        <v>6727.41</v>
      </c>
      <c r="O5347" s="556" t="str">
        <f>IF(N5347=M5347,"OK","DIF")</f>
        <v>DIF</v>
      </c>
      <c r="P5347" s="573"/>
      <c r="Q5347" s="556"/>
      <c r="R5347" s="582"/>
    </row>
    <row r="5348" ht="35.05" customHeight="1" spans="1:18">
      <c r="A5348" s="556">
        <f>B5348</f>
        <v>0</v>
      </c>
      <c r="B5348" s="557">
        <f>B5347</f>
        <v>0</v>
      </c>
      <c r="C5348" s="569" t="s">
        <v>2891</v>
      </c>
      <c r="D5348" s="570" t="s">
        <v>1805</v>
      </c>
      <c r="E5348" s="569" t="s">
        <v>139</v>
      </c>
      <c r="F5348" s="569" t="s">
        <v>1806</v>
      </c>
      <c r="G5348" s="569" t="s">
        <v>3235</v>
      </c>
      <c r="H5348" s="569"/>
      <c r="I5348" s="577" t="s">
        <v>134</v>
      </c>
      <c r="J5348" s="578">
        <v>1</v>
      </c>
      <c r="K5348" s="579"/>
      <c r="L5348" s="579">
        <v>56.33</v>
      </c>
      <c r="M5348" s="579">
        <v>56.33</v>
      </c>
      <c r="N5348" s="573">
        <v>51.9</v>
      </c>
      <c r="O5348" s="556" t="str">
        <f>IF(N5348=M5348,"OK","DIF")</f>
        <v>DIF</v>
      </c>
      <c r="P5348" s="573"/>
      <c r="Q5348" s="556"/>
      <c r="R5348" s="582"/>
    </row>
    <row r="5349" ht="23.85" customHeight="1" spans="1:18">
      <c r="A5349" s="556">
        <f>B5349</f>
        <v>0</v>
      </c>
      <c r="B5349" s="557">
        <f>B5348</f>
        <v>0</v>
      </c>
      <c r="C5349" s="79" t="s">
        <v>2921</v>
      </c>
      <c r="D5349" s="78" t="s">
        <v>3153</v>
      </c>
      <c r="E5349" s="79" t="s">
        <v>139</v>
      </c>
      <c r="F5349" s="79" t="s">
        <v>3154</v>
      </c>
      <c r="G5349" s="79" t="s">
        <v>2928</v>
      </c>
      <c r="H5349" s="79"/>
      <c r="I5349" s="80" t="s">
        <v>2897</v>
      </c>
      <c r="J5349" s="583">
        <v>0.5254</v>
      </c>
      <c r="K5349" s="583">
        <v>0</v>
      </c>
      <c r="L5349" s="92">
        <v>30.6</v>
      </c>
      <c r="M5349" s="92">
        <v>16.07</v>
      </c>
      <c r="N5349" s="573">
        <v>83.96</v>
      </c>
      <c r="O5349" s="556" t="str">
        <f>IF(N5349=M5349,"OK","DIF")</f>
        <v>DIF</v>
      </c>
      <c r="P5349" s="573"/>
      <c r="Q5349" s="556"/>
      <c r="R5349" s="582"/>
    </row>
    <row r="5350" ht="23.85" customHeight="1" spans="1:18">
      <c r="A5350" s="556">
        <f>B5350</f>
        <v>0</v>
      </c>
      <c r="B5350" s="557">
        <f>B5349</f>
        <v>0</v>
      </c>
      <c r="C5350" s="79" t="s">
        <v>2921</v>
      </c>
      <c r="D5350" s="78" t="s">
        <v>3151</v>
      </c>
      <c r="E5350" s="79" t="s">
        <v>139</v>
      </c>
      <c r="F5350" s="79" t="s">
        <v>3152</v>
      </c>
      <c r="G5350" s="79" t="s">
        <v>2928</v>
      </c>
      <c r="H5350" s="79"/>
      <c r="I5350" s="80" t="s">
        <v>2897</v>
      </c>
      <c r="J5350" s="583">
        <v>0.5254</v>
      </c>
      <c r="K5350" s="583">
        <v>0</v>
      </c>
      <c r="L5350" s="92">
        <v>36.82</v>
      </c>
      <c r="M5350" s="92">
        <v>19.34</v>
      </c>
      <c r="N5350" s="573">
        <v>6591.55</v>
      </c>
      <c r="O5350" s="556" t="str">
        <f>IF(N5350=M5350,"OK","DIF")</f>
        <v>DIF</v>
      </c>
      <c r="P5350" s="573"/>
      <c r="Q5350" s="556"/>
      <c r="R5350" s="582"/>
    </row>
    <row r="5351" ht="23.85" customHeight="1" spans="1:18">
      <c r="A5351" s="556"/>
      <c r="B5351" s="557"/>
      <c r="C5351" s="100" t="s">
        <v>2893</v>
      </c>
      <c r="D5351" s="99" t="s">
        <v>4543</v>
      </c>
      <c r="E5351" s="100" t="s">
        <v>139</v>
      </c>
      <c r="F5351" s="100" t="s">
        <v>4544</v>
      </c>
      <c r="G5351" s="100" t="s">
        <v>2961</v>
      </c>
      <c r="H5351" s="100"/>
      <c r="I5351" s="101" t="s">
        <v>134</v>
      </c>
      <c r="J5351" s="580">
        <v>1</v>
      </c>
      <c r="K5351" s="580">
        <v>0</v>
      </c>
      <c r="L5351" s="102">
        <v>20.4</v>
      </c>
      <c r="M5351" s="102">
        <v>20.4</v>
      </c>
      <c r="N5351" s="573"/>
      <c r="O5351" s="556"/>
      <c r="P5351" s="573"/>
      <c r="Q5351" s="556"/>
      <c r="R5351" s="582"/>
    </row>
    <row r="5352" ht="23.85" customHeight="1" spans="1:18">
      <c r="A5352" s="556"/>
      <c r="B5352" s="557"/>
      <c r="C5352" s="100" t="s">
        <v>2893</v>
      </c>
      <c r="D5352" s="99" t="s">
        <v>4038</v>
      </c>
      <c r="E5352" s="100" t="s">
        <v>139</v>
      </c>
      <c r="F5352" s="100" t="s">
        <v>4039</v>
      </c>
      <c r="G5352" s="100" t="s">
        <v>2961</v>
      </c>
      <c r="H5352" s="100"/>
      <c r="I5352" s="101" t="s">
        <v>134</v>
      </c>
      <c r="J5352" s="580">
        <v>2</v>
      </c>
      <c r="K5352" s="580">
        <v>0</v>
      </c>
      <c r="L5352" s="102">
        <v>0.26</v>
      </c>
      <c r="M5352" s="102">
        <v>0.52</v>
      </c>
      <c r="N5352" s="573"/>
      <c r="O5352" s="556"/>
      <c r="P5352" s="573"/>
      <c r="Q5352" s="556"/>
      <c r="R5352" s="582"/>
    </row>
    <row r="5353" ht="25.5" spans="1:18">
      <c r="A5353" s="556"/>
      <c r="B5353" s="557" t="str">
        <f>C5352</f>
        <v>Insumo</v>
      </c>
      <c r="C5353" s="108"/>
      <c r="D5353" s="108"/>
      <c r="E5353" s="108"/>
      <c r="F5353" s="108"/>
      <c r="G5353" s="108"/>
      <c r="H5353" s="108" t="s">
        <v>2898</v>
      </c>
      <c r="I5353" s="581">
        <v>24.85</v>
      </c>
      <c r="J5353" s="108" t="s">
        <v>2899</v>
      </c>
      <c r="K5353" s="581">
        <v>0</v>
      </c>
      <c r="L5353" s="108" t="s">
        <v>2900</v>
      </c>
      <c r="M5353" s="581">
        <v>24.85</v>
      </c>
      <c r="N5353" s="573">
        <v>56.86</v>
      </c>
      <c r="O5353" s="556" t="str">
        <f>IF(N5353=M5353,"OK","DIF")</f>
        <v>DIF</v>
      </c>
      <c r="P5353" s="573"/>
      <c r="Q5353" s="556"/>
      <c r="R5353" s="582"/>
    </row>
    <row r="5354" ht="26.25" spans="1:18">
      <c r="A5354" s="556" t="str">
        <f>B5354</f>
        <v>Insumo</v>
      </c>
      <c r="B5354" s="557" t="str">
        <f>B5353</f>
        <v>Insumo</v>
      </c>
      <c r="C5354" s="108"/>
      <c r="D5354" s="108"/>
      <c r="E5354" s="108"/>
      <c r="F5354" s="108"/>
      <c r="G5354" s="108"/>
      <c r="H5354" s="108" t="s">
        <v>2901</v>
      </c>
      <c r="I5354" s="581">
        <v>14.35</v>
      </c>
      <c r="J5354" s="114"/>
      <c r="K5354" s="114" t="s">
        <v>2902</v>
      </c>
      <c r="L5354" s="108"/>
      <c r="M5354" s="581">
        <v>70.68</v>
      </c>
      <c r="N5354" s="573">
        <v>26.97</v>
      </c>
      <c r="O5354" s="556" t="str">
        <f>IF(N5354=M5354,"OK","DIF")</f>
        <v>DIF</v>
      </c>
      <c r="P5354" s="573"/>
      <c r="Q5354" s="556"/>
      <c r="R5354" s="582"/>
    </row>
    <row r="5355" ht="15" spans="1:18">
      <c r="A5355" s="556" t="str">
        <f>B5355</f>
        <v>Insumo</v>
      </c>
      <c r="B5355" s="557" t="str">
        <f>B5354</f>
        <v>Insumo</v>
      </c>
      <c r="C5355" s="571"/>
      <c r="D5355" s="571"/>
      <c r="E5355" s="571"/>
      <c r="F5355" s="571"/>
      <c r="G5355" s="571"/>
      <c r="H5355" s="571"/>
      <c r="I5355" s="571"/>
      <c r="J5355" s="571"/>
      <c r="K5355" s="571"/>
      <c r="L5355" s="571"/>
      <c r="M5355" s="571"/>
      <c r="N5355" s="573">
        <v>29.89</v>
      </c>
      <c r="O5355" s="556" t="str">
        <f>IF(N5355=M5355,"OK","DIF")</f>
        <v>DIF</v>
      </c>
      <c r="P5355" s="573"/>
      <c r="Q5355" s="556"/>
      <c r="R5355" s="582"/>
    </row>
    <row r="5356" ht="15" customHeight="1" spans="1:18">
      <c r="A5356" s="556"/>
      <c r="B5356" s="557"/>
      <c r="C5356" s="76" t="s">
        <v>1807</v>
      </c>
      <c r="D5356" s="75" t="s">
        <v>63</v>
      </c>
      <c r="E5356" s="76" t="s">
        <v>64</v>
      </c>
      <c r="F5356" s="76" t="s">
        <v>65</v>
      </c>
      <c r="G5356" s="76" t="s">
        <v>2889</v>
      </c>
      <c r="H5356" s="76"/>
      <c r="I5356" s="77" t="s">
        <v>66</v>
      </c>
      <c r="J5356" s="75" t="s">
        <v>67</v>
      </c>
      <c r="K5356" s="75" t="s">
        <v>2890</v>
      </c>
      <c r="L5356" s="75" t="s">
        <v>68</v>
      </c>
      <c r="M5356" s="75" t="s">
        <v>70</v>
      </c>
      <c r="N5356" s="573"/>
      <c r="O5356" s="556"/>
      <c r="P5356" s="573"/>
      <c r="Q5356" s="556"/>
      <c r="R5356" s="582"/>
    </row>
    <row r="5357" ht="35.05" customHeight="1" spans="1:18">
      <c r="A5357" s="556"/>
      <c r="B5357" s="557"/>
      <c r="C5357" s="569" t="s">
        <v>2891</v>
      </c>
      <c r="D5357" s="570" t="s">
        <v>1122</v>
      </c>
      <c r="E5357" s="569" t="s">
        <v>132</v>
      </c>
      <c r="F5357" s="569" t="s">
        <v>1123</v>
      </c>
      <c r="G5357" s="569" t="s">
        <v>3177</v>
      </c>
      <c r="H5357" s="569"/>
      <c r="I5357" s="577" t="s">
        <v>134</v>
      </c>
      <c r="J5357" s="578">
        <v>1</v>
      </c>
      <c r="K5357" s="579"/>
      <c r="L5357" s="579">
        <v>11.59</v>
      </c>
      <c r="M5357" s="579">
        <v>11.59</v>
      </c>
      <c r="N5357" s="573"/>
      <c r="O5357" s="556"/>
      <c r="P5357" s="573"/>
      <c r="Q5357" s="556"/>
      <c r="R5357" s="582"/>
    </row>
    <row r="5358" ht="23.85" customHeight="1" spans="1:18">
      <c r="A5358" s="556"/>
      <c r="B5358" s="557" t="str">
        <f>C5357</f>
        <v>Composição</v>
      </c>
      <c r="C5358" s="79" t="s">
        <v>2921</v>
      </c>
      <c r="D5358" s="78" t="s">
        <v>3151</v>
      </c>
      <c r="E5358" s="79" t="s">
        <v>139</v>
      </c>
      <c r="F5358" s="79" t="s">
        <v>3152</v>
      </c>
      <c r="G5358" s="79" t="s">
        <v>2928</v>
      </c>
      <c r="H5358" s="79"/>
      <c r="I5358" s="80" t="s">
        <v>2897</v>
      </c>
      <c r="J5358" s="583">
        <v>0.1946</v>
      </c>
      <c r="K5358" s="583">
        <v>0</v>
      </c>
      <c r="L5358" s="92">
        <v>36.82</v>
      </c>
      <c r="M5358" s="92">
        <v>7.16</v>
      </c>
      <c r="N5358" s="573">
        <v>56.86</v>
      </c>
      <c r="O5358" s="556" t="str">
        <f>IF(N5358=M5358,"OK","DIF")</f>
        <v>DIF</v>
      </c>
      <c r="P5358" s="573"/>
      <c r="Q5358" s="556"/>
      <c r="R5358" s="582"/>
    </row>
    <row r="5359" ht="23.85" customHeight="1" spans="1:18">
      <c r="A5359" s="556" t="str">
        <f>B5359</f>
        <v>Composição</v>
      </c>
      <c r="B5359" s="557" t="str">
        <f>B5358</f>
        <v>Composição</v>
      </c>
      <c r="C5359" s="79" t="s">
        <v>2921</v>
      </c>
      <c r="D5359" s="78" t="s">
        <v>3153</v>
      </c>
      <c r="E5359" s="79" t="s">
        <v>139</v>
      </c>
      <c r="F5359" s="79" t="s">
        <v>3154</v>
      </c>
      <c r="G5359" s="79" t="s">
        <v>2928</v>
      </c>
      <c r="H5359" s="79"/>
      <c r="I5359" s="80" t="s">
        <v>2897</v>
      </c>
      <c r="J5359" s="583">
        <v>0.0442</v>
      </c>
      <c r="K5359" s="583">
        <v>0</v>
      </c>
      <c r="L5359" s="92">
        <v>30.6</v>
      </c>
      <c r="M5359" s="92">
        <v>1.35</v>
      </c>
      <c r="N5359" s="573">
        <v>26.97</v>
      </c>
      <c r="O5359" s="556" t="str">
        <f>IF(N5359=M5359,"OK","DIF")</f>
        <v>DIF</v>
      </c>
      <c r="P5359" s="573"/>
      <c r="Q5359" s="556"/>
      <c r="R5359" s="582"/>
    </row>
    <row r="5360" ht="23.85" customHeight="1" spans="1:18">
      <c r="A5360" s="556" t="str">
        <f>B5360</f>
        <v>Composição</v>
      </c>
      <c r="B5360" s="557" t="str">
        <f>B5359</f>
        <v>Composição</v>
      </c>
      <c r="C5360" s="100" t="s">
        <v>2893</v>
      </c>
      <c r="D5360" s="99" t="s">
        <v>4056</v>
      </c>
      <c r="E5360" s="100" t="s">
        <v>139</v>
      </c>
      <c r="F5360" s="100" t="s">
        <v>4057</v>
      </c>
      <c r="G5360" s="100" t="s">
        <v>2961</v>
      </c>
      <c r="H5360" s="100"/>
      <c r="I5360" s="101" t="s">
        <v>134</v>
      </c>
      <c r="J5360" s="580">
        <v>1.25</v>
      </c>
      <c r="K5360" s="580">
        <v>0</v>
      </c>
      <c r="L5360" s="102">
        <v>2.47</v>
      </c>
      <c r="M5360" s="102">
        <v>3.08</v>
      </c>
      <c r="N5360" s="573">
        <v>29.89</v>
      </c>
      <c r="O5360" s="556" t="str">
        <f>IF(N5360=M5360,"OK","DIF")</f>
        <v>DIF</v>
      </c>
      <c r="P5360" s="573"/>
      <c r="Q5360" s="556"/>
      <c r="R5360" s="582"/>
    </row>
    <row r="5361" ht="25.5" spans="1:18">
      <c r="A5361" s="556"/>
      <c r="B5361" s="557"/>
      <c r="C5361" s="108"/>
      <c r="D5361" s="108"/>
      <c r="E5361" s="108"/>
      <c r="F5361" s="108"/>
      <c r="G5361" s="108"/>
      <c r="H5361" s="108" t="s">
        <v>2898</v>
      </c>
      <c r="I5361" s="581">
        <v>6.1</v>
      </c>
      <c r="J5361" s="108" t="s">
        <v>2899</v>
      </c>
      <c r="K5361" s="581">
        <v>0</v>
      </c>
      <c r="L5361" s="108" t="s">
        <v>2900</v>
      </c>
      <c r="M5361" s="581">
        <v>6.1</v>
      </c>
      <c r="N5361" s="573"/>
      <c r="O5361" s="556"/>
      <c r="P5361" s="573"/>
      <c r="Q5361" s="556"/>
      <c r="R5361" s="582"/>
    </row>
    <row r="5362" ht="26.25" spans="1:18">
      <c r="A5362" s="556"/>
      <c r="B5362" s="557"/>
      <c r="C5362" s="108"/>
      <c r="D5362" s="108"/>
      <c r="E5362" s="108"/>
      <c r="F5362" s="108"/>
      <c r="G5362" s="108"/>
      <c r="H5362" s="108" t="s">
        <v>2901</v>
      </c>
      <c r="I5362" s="581">
        <v>2.95</v>
      </c>
      <c r="J5362" s="114"/>
      <c r="K5362" s="114" t="s">
        <v>2902</v>
      </c>
      <c r="L5362" s="108"/>
      <c r="M5362" s="581">
        <v>14.54</v>
      </c>
      <c r="N5362" s="573"/>
      <c r="O5362" s="556"/>
      <c r="P5362" s="573"/>
      <c r="Q5362" s="556"/>
      <c r="R5362" s="582"/>
    </row>
    <row r="5363" ht="15" spans="1:18">
      <c r="A5363" s="556"/>
      <c r="B5363" s="557">
        <f>C5362</f>
        <v>0</v>
      </c>
      <c r="C5363" s="571"/>
      <c r="D5363" s="571"/>
      <c r="E5363" s="571"/>
      <c r="F5363" s="571"/>
      <c r="G5363" s="571"/>
      <c r="H5363" s="571"/>
      <c r="I5363" s="571"/>
      <c r="J5363" s="571"/>
      <c r="K5363" s="571"/>
      <c r="L5363" s="571"/>
      <c r="M5363" s="571"/>
      <c r="N5363" s="573">
        <v>56.86</v>
      </c>
      <c r="O5363" s="556" t="str">
        <f>IF(N5363=M5363,"OK","DIF")</f>
        <v>DIF</v>
      </c>
      <c r="P5363" s="573"/>
      <c r="Q5363" s="556"/>
      <c r="R5363" s="582"/>
    </row>
    <row r="5364" ht="15" customHeight="1" spans="1:18">
      <c r="A5364" s="556">
        <f>B5364</f>
        <v>0</v>
      </c>
      <c r="B5364" s="557">
        <f>B5363</f>
        <v>0</v>
      </c>
      <c r="C5364" s="76" t="s">
        <v>1808</v>
      </c>
      <c r="D5364" s="75" t="s">
        <v>63</v>
      </c>
      <c r="E5364" s="76" t="s">
        <v>64</v>
      </c>
      <c r="F5364" s="76" t="s">
        <v>65</v>
      </c>
      <c r="G5364" s="76" t="s">
        <v>2889</v>
      </c>
      <c r="H5364" s="76"/>
      <c r="I5364" s="77" t="s">
        <v>66</v>
      </c>
      <c r="J5364" s="75" t="s">
        <v>67</v>
      </c>
      <c r="K5364" s="75" t="s">
        <v>2890</v>
      </c>
      <c r="L5364" s="75" t="s">
        <v>68</v>
      </c>
      <c r="M5364" s="75" t="s">
        <v>70</v>
      </c>
      <c r="N5364" s="573">
        <v>26.97</v>
      </c>
      <c r="O5364" s="556" t="str">
        <f>IF(N5364=M5364,"OK","DIF")</f>
        <v>DIF</v>
      </c>
      <c r="P5364" s="573"/>
      <c r="Q5364" s="556"/>
      <c r="R5364" s="582"/>
    </row>
    <row r="5365" ht="35.05" customHeight="1" spans="1:18">
      <c r="A5365" s="556">
        <f>B5365</f>
        <v>0</v>
      </c>
      <c r="B5365" s="557">
        <f>B5364</f>
        <v>0</v>
      </c>
      <c r="C5365" s="569" t="s">
        <v>2891</v>
      </c>
      <c r="D5365" s="570" t="s">
        <v>1119</v>
      </c>
      <c r="E5365" s="569" t="s">
        <v>132</v>
      </c>
      <c r="F5365" s="569" t="s">
        <v>1120</v>
      </c>
      <c r="G5365" s="569" t="s">
        <v>3177</v>
      </c>
      <c r="H5365" s="569"/>
      <c r="I5365" s="577" t="s">
        <v>134</v>
      </c>
      <c r="J5365" s="578">
        <v>1</v>
      </c>
      <c r="K5365" s="579"/>
      <c r="L5365" s="579">
        <v>11.38</v>
      </c>
      <c r="M5365" s="579">
        <v>11.38</v>
      </c>
      <c r="N5365" s="573">
        <v>29.89</v>
      </c>
      <c r="O5365" s="556" t="str">
        <f>IF(N5365=M5365,"OK","DIF")</f>
        <v>DIF</v>
      </c>
      <c r="P5365" s="573"/>
      <c r="Q5365" s="556"/>
      <c r="R5365" s="582"/>
    </row>
    <row r="5366" ht="23.85" customHeight="1" spans="1:18">
      <c r="A5366" s="556"/>
      <c r="B5366" s="557"/>
      <c r="C5366" s="79" t="s">
        <v>2921</v>
      </c>
      <c r="D5366" s="78" t="s">
        <v>3153</v>
      </c>
      <c r="E5366" s="79" t="s">
        <v>139</v>
      </c>
      <c r="F5366" s="79" t="s">
        <v>3154</v>
      </c>
      <c r="G5366" s="79" t="s">
        <v>2928</v>
      </c>
      <c r="H5366" s="79"/>
      <c r="I5366" s="80" t="s">
        <v>2897</v>
      </c>
      <c r="J5366" s="583">
        <v>0.0442</v>
      </c>
      <c r="K5366" s="583">
        <v>0</v>
      </c>
      <c r="L5366" s="92">
        <v>30.6</v>
      </c>
      <c r="M5366" s="92">
        <v>1.35</v>
      </c>
      <c r="N5366" s="573"/>
      <c r="O5366" s="556"/>
      <c r="P5366" s="573"/>
      <c r="Q5366" s="556"/>
      <c r="R5366" s="582"/>
    </row>
    <row r="5367" ht="23.85" customHeight="1" spans="1:18">
      <c r="A5367" s="556"/>
      <c r="B5367" s="557"/>
      <c r="C5367" s="79" t="s">
        <v>2921</v>
      </c>
      <c r="D5367" s="78" t="s">
        <v>3151</v>
      </c>
      <c r="E5367" s="79" t="s">
        <v>139</v>
      </c>
      <c r="F5367" s="79" t="s">
        <v>3152</v>
      </c>
      <c r="G5367" s="79" t="s">
        <v>2928</v>
      </c>
      <c r="H5367" s="79"/>
      <c r="I5367" s="80" t="s">
        <v>2897</v>
      </c>
      <c r="J5367" s="583">
        <v>0.1946</v>
      </c>
      <c r="K5367" s="583">
        <v>0</v>
      </c>
      <c r="L5367" s="92">
        <v>36.82</v>
      </c>
      <c r="M5367" s="92">
        <v>7.16</v>
      </c>
      <c r="N5367" s="573"/>
      <c r="O5367" s="556"/>
      <c r="P5367" s="573"/>
      <c r="Q5367" s="556"/>
      <c r="R5367" s="582"/>
    </row>
    <row r="5368" ht="23.85" customHeight="1" spans="1:18">
      <c r="A5368" s="556"/>
      <c r="B5368" s="557" t="str">
        <f>C5367</f>
        <v>Composição Auxiliar</v>
      </c>
      <c r="C5368" s="100" t="s">
        <v>2893</v>
      </c>
      <c r="D5368" s="99" t="s">
        <v>4054</v>
      </c>
      <c r="E5368" s="100" t="s">
        <v>139</v>
      </c>
      <c r="F5368" s="100" t="s">
        <v>4055</v>
      </c>
      <c r="G5368" s="100" t="s">
        <v>2961</v>
      </c>
      <c r="H5368" s="100"/>
      <c r="I5368" s="101" t="s">
        <v>134</v>
      </c>
      <c r="J5368" s="580">
        <v>1.25</v>
      </c>
      <c r="K5368" s="580">
        <v>0</v>
      </c>
      <c r="L5368" s="102">
        <v>2.3</v>
      </c>
      <c r="M5368" s="102">
        <v>2.87</v>
      </c>
      <c r="N5368" s="573">
        <v>56.86</v>
      </c>
      <c r="O5368" s="556" t="str">
        <f>IF(N5368=M5368,"OK","DIF")</f>
        <v>DIF</v>
      </c>
      <c r="P5368" s="573"/>
      <c r="Q5368" s="556"/>
      <c r="R5368" s="582"/>
    </row>
    <row r="5369" ht="25.5" spans="1:18">
      <c r="A5369" s="556" t="str">
        <f>B5369</f>
        <v>Composição Auxiliar</v>
      </c>
      <c r="B5369" s="557" t="str">
        <f>B5368</f>
        <v>Composição Auxiliar</v>
      </c>
      <c r="C5369" s="108"/>
      <c r="D5369" s="108"/>
      <c r="E5369" s="108"/>
      <c r="F5369" s="108"/>
      <c r="G5369" s="108"/>
      <c r="H5369" s="108" t="s">
        <v>2898</v>
      </c>
      <c r="I5369" s="581">
        <v>6.1</v>
      </c>
      <c r="J5369" s="108" t="s">
        <v>2899</v>
      </c>
      <c r="K5369" s="581">
        <v>0</v>
      </c>
      <c r="L5369" s="108" t="s">
        <v>2900</v>
      </c>
      <c r="M5369" s="581">
        <v>6.1</v>
      </c>
      <c r="N5369" s="573">
        <v>26.97</v>
      </c>
      <c r="O5369" s="556" t="str">
        <f>IF(N5369=M5369,"OK","DIF")</f>
        <v>DIF</v>
      </c>
      <c r="P5369" s="573"/>
      <c r="Q5369" s="556"/>
      <c r="R5369" s="582"/>
    </row>
    <row r="5370" ht="26.25" spans="1:18">
      <c r="A5370" s="556" t="str">
        <f>B5370</f>
        <v>Composição Auxiliar</v>
      </c>
      <c r="B5370" s="557" t="str">
        <f>B5369</f>
        <v>Composição Auxiliar</v>
      </c>
      <c r="C5370" s="108"/>
      <c r="D5370" s="108"/>
      <c r="E5370" s="108"/>
      <c r="F5370" s="108"/>
      <c r="G5370" s="108"/>
      <c r="H5370" s="108" t="s">
        <v>2901</v>
      </c>
      <c r="I5370" s="581">
        <v>2.9</v>
      </c>
      <c r="J5370" s="114"/>
      <c r="K5370" s="114" t="s">
        <v>2902</v>
      </c>
      <c r="L5370" s="108"/>
      <c r="M5370" s="581">
        <v>14.28</v>
      </c>
      <c r="N5370" s="573">
        <v>29.89</v>
      </c>
      <c r="O5370" s="556" t="str">
        <f>IF(N5370=M5370,"OK","DIF")</f>
        <v>DIF</v>
      </c>
      <c r="P5370" s="573"/>
      <c r="Q5370" s="556"/>
      <c r="R5370" s="582"/>
    </row>
    <row r="5371" ht="15" spans="1:18">
      <c r="A5371" s="556"/>
      <c r="B5371" s="557"/>
      <c r="C5371" s="571"/>
      <c r="D5371" s="571"/>
      <c r="E5371" s="571"/>
      <c r="F5371" s="571"/>
      <c r="G5371" s="571"/>
      <c r="H5371" s="571"/>
      <c r="I5371" s="571"/>
      <c r="J5371" s="571"/>
      <c r="K5371" s="571"/>
      <c r="L5371" s="571"/>
      <c r="M5371" s="571"/>
      <c r="N5371" s="573"/>
      <c r="O5371" s="556"/>
      <c r="P5371" s="573"/>
      <c r="Q5371" s="556"/>
      <c r="R5371" s="582"/>
    </row>
    <row r="5372" ht="15" customHeight="1" spans="1:18">
      <c r="A5372" s="556"/>
      <c r="B5372" s="557"/>
      <c r="C5372" s="76" t="s">
        <v>1809</v>
      </c>
      <c r="D5372" s="75" t="s">
        <v>63</v>
      </c>
      <c r="E5372" s="76" t="s">
        <v>64</v>
      </c>
      <c r="F5372" s="76" t="s">
        <v>65</v>
      </c>
      <c r="G5372" s="76" t="s">
        <v>2889</v>
      </c>
      <c r="H5372" s="76"/>
      <c r="I5372" s="77" t="s">
        <v>66</v>
      </c>
      <c r="J5372" s="75" t="s">
        <v>67</v>
      </c>
      <c r="K5372" s="75" t="s">
        <v>2890</v>
      </c>
      <c r="L5372" s="75" t="s">
        <v>68</v>
      </c>
      <c r="M5372" s="75" t="s">
        <v>70</v>
      </c>
      <c r="N5372" s="573"/>
      <c r="O5372" s="556"/>
      <c r="P5372" s="573"/>
      <c r="Q5372" s="556"/>
      <c r="R5372" s="582"/>
    </row>
    <row r="5373" ht="35.05" customHeight="1" spans="1:18">
      <c r="A5373" s="556"/>
      <c r="B5373" s="557" t="str">
        <f>C5372</f>
        <v> 14.1.1.13 </v>
      </c>
      <c r="C5373" s="569" t="s">
        <v>2891</v>
      </c>
      <c r="D5373" s="570" t="s">
        <v>859</v>
      </c>
      <c r="E5373" s="569" t="s">
        <v>132</v>
      </c>
      <c r="F5373" s="569" t="s">
        <v>860</v>
      </c>
      <c r="G5373" s="569" t="s">
        <v>3177</v>
      </c>
      <c r="H5373" s="569"/>
      <c r="I5373" s="577" t="s">
        <v>134</v>
      </c>
      <c r="J5373" s="578">
        <v>1</v>
      </c>
      <c r="K5373" s="579"/>
      <c r="L5373" s="579">
        <v>25.31</v>
      </c>
      <c r="M5373" s="579">
        <v>25.31</v>
      </c>
      <c r="N5373" s="573">
        <v>58.72</v>
      </c>
      <c r="O5373" s="556" t="str">
        <f>IF(N5373=M5373,"OK","DIF")</f>
        <v>DIF</v>
      </c>
      <c r="P5373" s="573"/>
      <c r="Q5373" s="556"/>
      <c r="R5373" s="582"/>
    </row>
    <row r="5374" ht="23.85" customHeight="1" spans="1:18">
      <c r="A5374" s="556" t="str">
        <f>B5374</f>
        <v> 14.1.1.13 </v>
      </c>
      <c r="B5374" s="557" t="str">
        <f>B5373</f>
        <v> 14.1.1.13 </v>
      </c>
      <c r="C5374" s="79" t="s">
        <v>2921</v>
      </c>
      <c r="D5374" s="78" t="s">
        <v>3151</v>
      </c>
      <c r="E5374" s="79" t="s">
        <v>139</v>
      </c>
      <c r="F5374" s="79" t="s">
        <v>3152</v>
      </c>
      <c r="G5374" s="79" t="s">
        <v>2928</v>
      </c>
      <c r="H5374" s="79"/>
      <c r="I5374" s="80" t="s">
        <v>2897</v>
      </c>
      <c r="J5374" s="583">
        <v>0.3</v>
      </c>
      <c r="K5374" s="583">
        <v>0</v>
      </c>
      <c r="L5374" s="92">
        <v>36.82</v>
      </c>
      <c r="M5374" s="92">
        <v>11.04</v>
      </c>
      <c r="N5374" s="573">
        <v>25.04</v>
      </c>
      <c r="O5374" s="556" t="str">
        <f>IF(N5374=M5374,"OK","DIF")</f>
        <v>DIF</v>
      </c>
      <c r="P5374" s="573"/>
      <c r="Q5374" s="556"/>
      <c r="R5374" s="582"/>
    </row>
    <row r="5375" ht="23.85" customHeight="1" spans="1:18">
      <c r="A5375" s="556" t="str">
        <f>B5375</f>
        <v> 14.1.1.13 </v>
      </c>
      <c r="B5375" s="557" t="str">
        <f>B5374</f>
        <v> 14.1.1.13 </v>
      </c>
      <c r="C5375" s="79" t="s">
        <v>2921</v>
      </c>
      <c r="D5375" s="78" t="s">
        <v>2952</v>
      </c>
      <c r="E5375" s="79" t="s">
        <v>139</v>
      </c>
      <c r="F5375" s="79" t="s">
        <v>2953</v>
      </c>
      <c r="G5375" s="79" t="s">
        <v>2928</v>
      </c>
      <c r="H5375" s="79"/>
      <c r="I5375" s="80" t="s">
        <v>2897</v>
      </c>
      <c r="J5375" s="583">
        <v>0.3</v>
      </c>
      <c r="K5375" s="583">
        <v>0</v>
      </c>
      <c r="L5375" s="92">
        <v>29.15</v>
      </c>
      <c r="M5375" s="92">
        <v>8.74</v>
      </c>
      <c r="N5375" s="573">
        <v>13.3</v>
      </c>
      <c r="O5375" s="556" t="str">
        <f>IF(N5375=M5375,"OK","DIF")</f>
        <v>DIF</v>
      </c>
      <c r="P5375" s="573"/>
      <c r="Q5375" s="556"/>
      <c r="R5375" s="582"/>
    </row>
    <row r="5376" ht="15" customHeight="1" spans="1:18">
      <c r="A5376" s="556" t="str">
        <f>B5376</f>
        <v> 14.1.1.13 </v>
      </c>
      <c r="B5376" s="557" t="str">
        <f>B5375</f>
        <v> 14.1.1.13 </v>
      </c>
      <c r="C5376" s="100" t="s">
        <v>2893</v>
      </c>
      <c r="D5376" s="99" t="s">
        <v>3674</v>
      </c>
      <c r="E5376" s="100" t="s">
        <v>139</v>
      </c>
      <c r="F5376" s="100" t="s">
        <v>3675</v>
      </c>
      <c r="G5376" s="100" t="s">
        <v>2961</v>
      </c>
      <c r="H5376" s="100"/>
      <c r="I5376" s="101" t="s">
        <v>134</v>
      </c>
      <c r="J5376" s="580">
        <v>1</v>
      </c>
      <c r="K5376" s="580">
        <v>0</v>
      </c>
      <c r="L5376" s="102">
        <v>0.4</v>
      </c>
      <c r="M5376" s="102">
        <v>0.4</v>
      </c>
      <c r="N5376" s="573">
        <v>0.7</v>
      </c>
      <c r="O5376" s="556" t="str">
        <f>IF(N5376=M5376,"OK","DIF")</f>
        <v>DIF</v>
      </c>
      <c r="P5376" s="573"/>
      <c r="Q5376" s="556"/>
      <c r="R5376" s="582"/>
    </row>
    <row r="5377" ht="23.85" customHeight="1" spans="1:18">
      <c r="A5377" s="556" t="str">
        <f>B5377</f>
        <v> 14.1.1.13 </v>
      </c>
      <c r="B5377" s="557" t="str">
        <f>B5376</f>
        <v> 14.1.1.13 </v>
      </c>
      <c r="C5377" s="100" t="s">
        <v>2893</v>
      </c>
      <c r="D5377" s="99" t="s">
        <v>3772</v>
      </c>
      <c r="E5377" s="100" t="s">
        <v>139</v>
      </c>
      <c r="F5377" s="100" t="s">
        <v>3773</v>
      </c>
      <c r="G5377" s="100" t="s">
        <v>2961</v>
      </c>
      <c r="H5377" s="100"/>
      <c r="I5377" s="101" t="s">
        <v>134</v>
      </c>
      <c r="J5377" s="580">
        <v>1</v>
      </c>
      <c r="K5377" s="580">
        <v>0</v>
      </c>
      <c r="L5377" s="102">
        <v>1.61</v>
      </c>
      <c r="M5377" s="102">
        <v>1.61</v>
      </c>
      <c r="N5377" s="573">
        <v>19.68</v>
      </c>
      <c r="O5377" s="556" t="str">
        <f>IF(N5377=M5377,"OK","DIF")</f>
        <v>DIF</v>
      </c>
      <c r="P5377" s="573"/>
      <c r="Q5377" s="556"/>
      <c r="R5377" s="582"/>
    </row>
    <row r="5378" ht="15" customHeight="1" spans="1:18">
      <c r="A5378" s="556"/>
      <c r="B5378" s="557"/>
      <c r="C5378" s="100" t="s">
        <v>2893</v>
      </c>
      <c r="D5378" s="99" t="s">
        <v>3676</v>
      </c>
      <c r="E5378" s="100" t="s">
        <v>139</v>
      </c>
      <c r="F5378" s="100" t="s">
        <v>3677</v>
      </c>
      <c r="G5378" s="100" t="s">
        <v>2961</v>
      </c>
      <c r="H5378" s="100"/>
      <c r="I5378" s="101" t="s">
        <v>204</v>
      </c>
      <c r="J5378" s="580">
        <v>1</v>
      </c>
      <c r="K5378" s="580">
        <v>0</v>
      </c>
      <c r="L5378" s="102">
        <v>3.52</v>
      </c>
      <c r="M5378" s="102">
        <v>3.52</v>
      </c>
      <c r="N5378" s="573"/>
      <c r="O5378" s="556"/>
      <c r="P5378" s="573"/>
      <c r="Q5378" s="556"/>
      <c r="R5378" s="582"/>
    </row>
    <row r="5379" ht="25.5" spans="1:18">
      <c r="A5379" s="556"/>
      <c r="B5379" s="557"/>
      <c r="C5379" s="108"/>
      <c r="D5379" s="108"/>
      <c r="E5379" s="108"/>
      <c r="F5379" s="108"/>
      <c r="G5379" s="108"/>
      <c r="H5379" s="108" t="s">
        <v>2898</v>
      </c>
      <c r="I5379" s="581">
        <v>13.79</v>
      </c>
      <c r="J5379" s="108" t="s">
        <v>2899</v>
      </c>
      <c r="K5379" s="581">
        <v>0</v>
      </c>
      <c r="L5379" s="108" t="s">
        <v>2900</v>
      </c>
      <c r="M5379" s="581">
        <v>13.79</v>
      </c>
      <c r="N5379" s="573"/>
      <c r="O5379" s="556"/>
      <c r="P5379" s="573"/>
      <c r="Q5379" s="556"/>
      <c r="R5379" s="582"/>
    </row>
    <row r="5380" ht="26.25" spans="1:18">
      <c r="A5380" s="556"/>
      <c r="B5380" s="557">
        <f>C5379</f>
        <v>0</v>
      </c>
      <c r="C5380" s="108"/>
      <c r="D5380" s="108"/>
      <c r="E5380" s="108"/>
      <c r="F5380" s="108"/>
      <c r="G5380" s="108"/>
      <c r="H5380" s="108" t="s">
        <v>2901</v>
      </c>
      <c r="I5380" s="581">
        <v>6.45</v>
      </c>
      <c r="J5380" s="114"/>
      <c r="K5380" s="114" t="s">
        <v>2902</v>
      </c>
      <c r="L5380" s="108"/>
      <c r="M5380" s="581">
        <v>31.76</v>
      </c>
      <c r="N5380" s="573">
        <v>73.46</v>
      </c>
      <c r="O5380" s="556" t="str">
        <f>IF(N5380=M5380,"OK","DIF")</f>
        <v>DIF</v>
      </c>
      <c r="P5380" s="573"/>
      <c r="Q5380" s="556"/>
      <c r="R5380" s="582"/>
    </row>
    <row r="5381" ht="15" spans="1:18">
      <c r="A5381" s="556">
        <f>B5381</f>
        <v>0</v>
      </c>
      <c r="B5381" s="557">
        <f>B5380</f>
        <v>0</v>
      </c>
      <c r="C5381" s="571"/>
      <c r="D5381" s="571"/>
      <c r="E5381" s="571"/>
      <c r="F5381" s="571"/>
      <c r="G5381" s="571"/>
      <c r="H5381" s="571"/>
      <c r="I5381" s="571"/>
      <c r="J5381" s="571"/>
      <c r="K5381" s="571"/>
      <c r="L5381" s="571"/>
      <c r="M5381" s="571"/>
      <c r="N5381" s="573">
        <v>29.89</v>
      </c>
      <c r="O5381" s="556" t="str">
        <f>IF(N5381=M5381,"OK","DIF")</f>
        <v>DIF</v>
      </c>
      <c r="P5381" s="573"/>
      <c r="Q5381" s="556"/>
      <c r="R5381" s="582"/>
    </row>
    <row r="5382" ht="15" customHeight="1" spans="1:18">
      <c r="A5382" s="556">
        <f>B5382</f>
        <v>0</v>
      </c>
      <c r="B5382" s="557">
        <f>B5381</f>
        <v>0</v>
      </c>
      <c r="C5382" s="76" t="s">
        <v>1811</v>
      </c>
      <c r="D5382" s="75" t="s">
        <v>63</v>
      </c>
      <c r="E5382" s="76" t="s">
        <v>64</v>
      </c>
      <c r="F5382" s="76" t="s">
        <v>65</v>
      </c>
      <c r="G5382" s="76" t="s">
        <v>2889</v>
      </c>
      <c r="H5382" s="76"/>
      <c r="I5382" s="77" t="s">
        <v>66</v>
      </c>
      <c r="J5382" s="75" t="s">
        <v>67</v>
      </c>
      <c r="K5382" s="75" t="s">
        <v>2890</v>
      </c>
      <c r="L5382" s="75" t="s">
        <v>68</v>
      </c>
      <c r="M5382" s="75" t="s">
        <v>70</v>
      </c>
      <c r="N5382" s="573">
        <v>26.97</v>
      </c>
      <c r="O5382" s="556" t="str">
        <f>IF(N5382=M5382,"OK","DIF")</f>
        <v>DIF</v>
      </c>
      <c r="P5382" s="573"/>
      <c r="Q5382" s="556"/>
      <c r="R5382" s="582"/>
    </row>
    <row r="5383" ht="35.05" customHeight="1" spans="1:18">
      <c r="A5383" s="556">
        <f>B5383</f>
        <v>0</v>
      </c>
      <c r="B5383" s="557">
        <f>B5382</f>
        <v>0</v>
      </c>
      <c r="C5383" s="569" t="s">
        <v>2891</v>
      </c>
      <c r="D5383" s="570" t="s">
        <v>865</v>
      </c>
      <c r="E5383" s="569" t="s">
        <v>132</v>
      </c>
      <c r="F5383" s="569" t="s">
        <v>866</v>
      </c>
      <c r="G5383" s="569" t="s">
        <v>3774</v>
      </c>
      <c r="H5383" s="569"/>
      <c r="I5383" s="577" t="s">
        <v>134</v>
      </c>
      <c r="J5383" s="578">
        <v>1</v>
      </c>
      <c r="K5383" s="579"/>
      <c r="L5383" s="579">
        <v>0.12</v>
      </c>
      <c r="M5383" s="579">
        <v>0.12</v>
      </c>
      <c r="N5383" s="573">
        <v>15.9</v>
      </c>
      <c r="O5383" s="556" t="str">
        <f>IF(N5383=M5383,"OK","DIF")</f>
        <v>DIF</v>
      </c>
      <c r="P5383" s="573"/>
      <c r="Q5383" s="556"/>
      <c r="R5383" s="582"/>
    </row>
    <row r="5384" ht="15" customHeight="1" spans="1:18">
      <c r="A5384" s="556">
        <f>B5384</f>
        <v>0</v>
      </c>
      <c r="B5384" s="557">
        <f>B5383</f>
        <v>0</v>
      </c>
      <c r="C5384" s="100" t="s">
        <v>2893</v>
      </c>
      <c r="D5384" s="99" t="s">
        <v>3775</v>
      </c>
      <c r="E5384" s="100" t="s">
        <v>796</v>
      </c>
      <c r="F5384" s="100" t="s">
        <v>3776</v>
      </c>
      <c r="G5384" s="100" t="s">
        <v>2961</v>
      </c>
      <c r="H5384" s="100"/>
      <c r="I5384" s="101" t="s">
        <v>334</v>
      </c>
      <c r="J5384" s="580">
        <v>1</v>
      </c>
      <c r="K5384" s="580">
        <v>0</v>
      </c>
      <c r="L5384" s="102">
        <v>0.12</v>
      </c>
      <c r="M5384" s="102">
        <v>0.12</v>
      </c>
      <c r="N5384" s="573">
        <v>0.7</v>
      </c>
      <c r="O5384" s="556" t="str">
        <f>IF(N5384=M5384,"OK","DIF")</f>
        <v>DIF</v>
      </c>
      <c r="P5384" s="573"/>
      <c r="Q5384" s="556"/>
      <c r="R5384" s="582"/>
    </row>
    <row r="5385" ht="25.5" spans="1:18">
      <c r="A5385" s="556"/>
      <c r="B5385" s="557"/>
      <c r="C5385" s="108"/>
      <c r="D5385" s="108"/>
      <c r="E5385" s="108"/>
      <c r="F5385" s="108"/>
      <c r="G5385" s="108"/>
      <c r="H5385" s="108" t="s">
        <v>2898</v>
      </c>
      <c r="I5385" s="581">
        <v>0</v>
      </c>
      <c r="J5385" s="108" t="s">
        <v>2899</v>
      </c>
      <c r="K5385" s="581">
        <v>0</v>
      </c>
      <c r="L5385" s="108" t="s">
        <v>2900</v>
      </c>
      <c r="M5385" s="581">
        <v>0</v>
      </c>
      <c r="N5385" s="573"/>
      <c r="O5385" s="556"/>
      <c r="P5385" s="573"/>
      <c r="Q5385" s="556"/>
      <c r="R5385" s="582"/>
    </row>
    <row r="5386" ht="26.25" spans="1:18">
      <c r="A5386" s="556"/>
      <c r="B5386" s="557"/>
      <c r="C5386" s="108"/>
      <c r="D5386" s="108"/>
      <c r="E5386" s="108"/>
      <c r="F5386" s="108"/>
      <c r="G5386" s="108"/>
      <c r="H5386" s="108" t="s">
        <v>2901</v>
      </c>
      <c r="I5386" s="581">
        <v>0.03</v>
      </c>
      <c r="J5386" s="114"/>
      <c r="K5386" s="114" t="s">
        <v>2902</v>
      </c>
      <c r="L5386" s="108"/>
      <c r="M5386" s="581">
        <v>0.15</v>
      </c>
      <c r="N5386" s="573"/>
      <c r="O5386" s="556"/>
      <c r="P5386" s="573"/>
      <c r="Q5386" s="556"/>
      <c r="R5386" s="582"/>
    </row>
    <row r="5387" ht="15" spans="1:18">
      <c r="A5387" s="556"/>
      <c r="B5387" s="557">
        <f>C5386</f>
        <v>0</v>
      </c>
      <c r="C5387" s="571"/>
      <c r="D5387" s="571"/>
      <c r="E5387" s="571"/>
      <c r="F5387" s="571"/>
      <c r="G5387" s="571"/>
      <c r="H5387" s="571"/>
      <c r="I5387" s="571"/>
      <c r="J5387" s="571"/>
      <c r="K5387" s="571"/>
      <c r="L5387" s="571"/>
      <c r="M5387" s="571"/>
      <c r="N5387" s="573">
        <v>74.46</v>
      </c>
      <c r="O5387" s="556" t="str">
        <f>IF(N5387=M5387,"OK","DIF")</f>
        <v>DIF</v>
      </c>
      <c r="P5387" s="573"/>
      <c r="Q5387" s="556"/>
      <c r="R5387" s="582"/>
    </row>
    <row r="5388" ht="15" customHeight="1" spans="1:18">
      <c r="A5388" s="556">
        <f>B5388</f>
        <v>0</v>
      </c>
      <c r="B5388" s="557">
        <f>B5387</f>
        <v>0</v>
      </c>
      <c r="C5388" s="76" t="s">
        <v>1812</v>
      </c>
      <c r="D5388" s="75" t="s">
        <v>63</v>
      </c>
      <c r="E5388" s="76" t="s">
        <v>64</v>
      </c>
      <c r="F5388" s="76" t="s">
        <v>65</v>
      </c>
      <c r="G5388" s="76" t="s">
        <v>2889</v>
      </c>
      <c r="H5388" s="76"/>
      <c r="I5388" s="77" t="s">
        <v>66</v>
      </c>
      <c r="J5388" s="75" t="s">
        <v>67</v>
      </c>
      <c r="K5388" s="75" t="s">
        <v>2890</v>
      </c>
      <c r="L5388" s="75" t="s">
        <v>68</v>
      </c>
      <c r="M5388" s="75" t="s">
        <v>70</v>
      </c>
      <c r="N5388" s="573">
        <v>26.97</v>
      </c>
      <c r="O5388" s="556" t="str">
        <f>IF(N5388=M5388,"OK","DIF")</f>
        <v>DIF</v>
      </c>
      <c r="P5388" s="573"/>
      <c r="Q5388" s="556"/>
      <c r="R5388" s="582"/>
    </row>
    <row r="5389" ht="35.05" customHeight="1" spans="1:18">
      <c r="A5389" s="556">
        <f>B5389</f>
        <v>0</v>
      </c>
      <c r="B5389" s="557">
        <f>B5388</f>
        <v>0</v>
      </c>
      <c r="C5389" s="569" t="s">
        <v>2891</v>
      </c>
      <c r="D5389" s="570" t="s">
        <v>1744</v>
      </c>
      <c r="E5389" s="569" t="s">
        <v>132</v>
      </c>
      <c r="F5389" s="569" t="s">
        <v>1745</v>
      </c>
      <c r="G5389" s="569" t="s">
        <v>3177</v>
      </c>
      <c r="H5389" s="569"/>
      <c r="I5389" s="577" t="s">
        <v>134</v>
      </c>
      <c r="J5389" s="578">
        <v>1</v>
      </c>
      <c r="K5389" s="579"/>
      <c r="L5389" s="579">
        <v>3.68</v>
      </c>
      <c r="M5389" s="579">
        <v>3.68</v>
      </c>
      <c r="N5389" s="573">
        <v>29.89</v>
      </c>
      <c r="O5389" s="556" t="str">
        <f>IF(N5389=M5389,"OK","DIF")</f>
        <v>DIF</v>
      </c>
      <c r="P5389" s="573"/>
      <c r="Q5389" s="556"/>
      <c r="R5389" s="582"/>
    </row>
    <row r="5390" ht="23.85" customHeight="1" spans="1:18">
      <c r="A5390" s="556">
        <f>B5390</f>
        <v>0</v>
      </c>
      <c r="B5390" s="557">
        <f>B5389</f>
        <v>0</v>
      </c>
      <c r="C5390" s="79" t="s">
        <v>2921</v>
      </c>
      <c r="D5390" s="78" t="s">
        <v>3153</v>
      </c>
      <c r="E5390" s="79" t="s">
        <v>139</v>
      </c>
      <c r="F5390" s="79" t="s">
        <v>3154</v>
      </c>
      <c r="G5390" s="79" t="s">
        <v>2928</v>
      </c>
      <c r="H5390" s="79"/>
      <c r="I5390" s="80" t="s">
        <v>2897</v>
      </c>
      <c r="J5390" s="583">
        <v>0.01</v>
      </c>
      <c r="K5390" s="583">
        <v>0</v>
      </c>
      <c r="L5390" s="92">
        <v>30.6</v>
      </c>
      <c r="M5390" s="92">
        <v>0.3</v>
      </c>
      <c r="N5390" s="573">
        <v>16.9</v>
      </c>
      <c r="O5390" s="556" t="str">
        <f>IF(N5390=M5390,"OK","DIF")</f>
        <v>DIF</v>
      </c>
      <c r="P5390" s="573"/>
      <c r="Q5390" s="556"/>
      <c r="R5390" s="582"/>
    </row>
    <row r="5391" ht="23.85" customHeight="1" spans="1:18">
      <c r="A5391" s="556">
        <f>B5391</f>
        <v>0</v>
      </c>
      <c r="B5391" s="557">
        <f>B5390</f>
        <v>0</v>
      </c>
      <c r="C5391" s="79" t="s">
        <v>2921</v>
      </c>
      <c r="D5391" s="78" t="s">
        <v>3151</v>
      </c>
      <c r="E5391" s="79" t="s">
        <v>139</v>
      </c>
      <c r="F5391" s="79" t="s">
        <v>3152</v>
      </c>
      <c r="G5391" s="79" t="s">
        <v>2928</v>
      </c>
      <c r="H5391" s="79"/>
      <c r="I5391" s="80" t="s">
        <v>2897</v>
      </c>
      <c r="J5391" s="583">
        <v>0.01</v>
      </c>
      <c r="K5391" s="583">
        <v>0</v>
      </c>
      <c r="L5391" s="92">
        <v>36.82</v>
      </c>
      <c r="M5391" s="92">
        <v>0.36</v>
      </c>
      <c r="N5391" s="573">
        <v>0.7</v>
      </c>
      <c r="O5391" s="556" t="str">
        <f>IF(N5391=M5391,"OK","DIF")</f>
        <v>DIF</v>
      </c>
      <c r="P5391" s="573"/>
      <c r="Q5391" s="556"/>
      <c r="R5391" s="582"/>
    </row>
    <row r="5392" ht="15" customHeight="1" spans="1:18">
      <c r="A5392" s="556"/>
      <c r="B5392" s="557"/>
      <c r="C5392" s="100" t="s">
        <v>2893</v>
      </c>
      <c r="D5392" s="99" t="s">
        <v>4509</v>
      </c>
      <c r="E5392" s="100" t="s">
        <v>149</v>
      </c>
      <c r="F5392" s="100" t="s">
        <v>4510</v>
      </c>
      <c r="G5392" s="100" t="s">
        <v>2961</v>
      </c>
      <c r="H5392" s="100"/>
      <c r="I5392" s="101" t="s">
        <v>1491</v>
      </c>
      <c r="J5392" s="580">
        <v>1</v>
      </c>
      <c r="K5392" s="580">
        <v>0</v>
      </c>
      <c r="L5392" s="102">
        <v>3.02</v>
      </c>
      <c r="M5392" s="102">
        <v>3.02</v>
      </c>
      <c r="N5392" s="573"/>
      <c r="O5392" s="556"/>
      <c r="P5392" s="573"/>
      <c r="Q5392" s="556"/>
      <c r="R5392" s="582"/>
    </row>
    <row r="5393" ht="25.5" spans="1:18">
      <c r="A5393" s="556"/>
      <c r="B5393" s="557"/>
      <c r="C5393" s="108"/>
      <c r="D5393" s="108"/>
      <c r="E5393" s="108"/>
      <c r="F5393" s="108"/>
      <c r="G5393" s="108"/>
      <c r="H5393" s="108" t="s">
        <v>2898</v>
      </c>
      <c r="I5393" s="581">
        <v>0.46</v>
      </c>
      <c r="J5393" s="108" t="s">
        <v>2899</v>
      </c>
      <c r="K5393" s="581">
        <v>0</v>
      </c>
      <c r="L5393" s="108" t="s">
        <v>2900</v>
      </c>
      <c r="M5393" s="581">
        <v>0.46</v>
      </c>
      <c r="N5393" s="573"/>
      <c r="O5393" s="556"/>
      <c r="P5393" s="573"/>
      <c r="Q5393" s="556"/>
      <c r="R5393" s="582"/>
    </row>
    <row r="5394" ht="26.25" spans="1:18">
      <c r="A5394" s="556"/>
      <c r="B5394" s="557">
        <f>C5393</f>
        <v>0</v>
      </c>
      <c r="C5394" s="108"/>
      <c r="D5394" s="108"/>
      <c r="E5394" s="108"/>
      <c r="F5394" s="108"/>
      <c r="G5394" s="108"/>
      <c r="H5394" s="108" t="s">
        <v>2901</v>
      </c>
      <c r="I5394" s="581">
        <v>0.93</v>
      </c>
      <c r="J5394" s="114"/>
      <c r="K5394" s="114" t="s">
        <v>2902</v>
      </c>
      <c r="L5394" s="108"/>
      <c r="M5394" s="581">
        <v>4.61</v>
      </c>
      <c r="N5394" s="573">
        <v>77.64</v>
      </c>
      <c r="O5394" s="556" t="str">
        <f>IF(N5394=M5394,"OK","DIF")</f>
        <v>DIF</v>
      </c>
      <c r="P5394" s="573"/>
      <c r="Q5394" s="556"/>
      <c r="R5394" s="582"/>
    </row>
    <row r="5395" ht="15" spans="1:18">
      <c r="A5395" s="556">
        <f>B5395</f>
        <v>0</v>
      </c>
      <c r="B5395" s="557">
        <f>B5394</f>
        <v>0</v>
      </c>
      <c r="C5395" s="571"/>
      <c r="D5395" s="571"/>
      <c r="E5395" s="571"/>
      <c r="F5395" s="571"/>
      <c r="G5395" s="571"/>
      <c r="H5395" s="571"/>
      <c r="I5395" s="571"/>
      <c r="J5395" s="571"/>
      <c r="K5395" s="571"/>
      <c r="L5395" s="571"/>
      <c r="M5395" s="571"/>
      <c r="N5395" s="573">
        <v>26.97</v>
      </c>
      <c r="O5395" s="556" t="str">
        <f>IF(N5395=M5395,"OK","DIF")</f>
        <v>DIF</v>
      </c>
      <c r="P5395" s="573"/>
      <c r="Q5395" s="556"/>
      <c r="R5395" s="582"/>
    </row>
    <row r="5396" ht="15" customHeight="1" spans="1:18">
      <c r="A5396" s="556">
        <f>B5396</f>
        <v>0</v>
      </c>
      <c r="B5396" s="557">
        <f>B5395</f>
        <v>0</v>
      </c>
      <c r="C5396" s="76" t="s">
        <v>1813</v>
      </c>
      <c r="D5396" s="75" t="s">
        <v>63</v>
      </c>
      <c r="E5396" s="76" t="s">
        <v>64</v>
      </c>
      <c r="F5396" s="76" t="s">
        <v>65</v>
      </c>
      <c r="G5396" s="76" t="s">
        <v>2889</v>
      </c>
      <c r="H5396" s="76"/>
      <c r="I5396" s="77" t="s">
        <v>66</v>
      </c>
      <c r="J5396" s="75" t="s">
        <v>67</v>
      </c>
      <c r="K5396" s="75" t="s">
        <v>2890</v>
      </c>
      <c r="L5396" s="75" t="s">
        <v>68</v>
      </c>
      <c r="M5396" s="75" t="s">
        <v>70</v>
      </c>
      <c r="N5396" s="573">
        <v>29.89</v>
      </c>
      <c r="O5396" s="556" t="str">
        <f>IF(N5396=M5396,"OK","DIF")</f>
        <v>DIF</v>
      </c>
      <c r="P5396" s="573"/>
      <c r="Q5396" s="556"/>
      <c r="R5396" s="582"/>
    </row>
    <row r="5397" ht="35.05" customHeight="1" spans="1:18">
      <c r="A5397" s="556">
        <f>B5397</f>
        <v>0</v>
      </c>
      <c r="B5397" s="557">
        <f>B5396</f>
        <v>0</v>
      </c>
      <c r="C5397" s="569" t="s">
        <v>2891</v>
      </c>
      <c r="D5397" s="570" t="s">
        <v>1250</v>
      </c>
      <c r="E5397" s="569" t="s">
        <v>132</v>
      </c>
      <c r="F5397" s="569" t="s">
        <v>1251</v>
      </c>
      <c r="G5397" s="569" t="s">
        <v>3177</v>
      </c>
      <c r="H5397" s="569"/>
      <c r="I5397" s="577" t="s">
        <v>134</v>
      </c>
      <c r="J5397" s="578">
        <v>1</v>
      </c>
      <c r="K5397" s="579"/>
      <c r="L5397" s="579">
        <v>3.33</v>
      </c>
      <c r="M5397" s="579">
        <v>3.33</v>
      </c>
      <c r="N5397" s="573">
        <v>20.08</v>
      </c>
      <c r="O5397" s="556" t="str">
        <f>IF(N5397=M5397,"OK","DIF")</f>
        <v>DIF</v>
      </c>
      <c r="P5397" s="573"/>
      <c r="Q5397" s="556"/>
      <c r="R5397" s="582"/>
    </row>
    <row r="5398" ht="23.85" customHeight="1" spans="1:18">
      <c r="A5398" s="556">
        <f>B5398</f>
        <v>0</v>
      </c>
      <c r="B5398" s="557">
        <f>B5397</f>
        <v>0</v>
      </c>
      <c r="C5398" s="79" t="s">
        <v>2921</v>
      </c>
      <c r="D5398" s="78" t="s">
        <v>3153</v>
      </c>
      <c r="E5398" s="79" t="s">
        <v>139</v>
      </c>
      <c r="F5398" s="79" t="s">
        <v>3154</v>
      </c>
      <c r="G5398" s="79" t="s">
        <v>2928</v>
      </c>
      <c r="H5398" s="79"/>
      <c r="I5398" s="80" t="s">
        <v>2897</v>
      </c>
      <c r="J5398" s="583">
        <v>0.01</v>
      </c>
      <c r="K5398" s="583">
        <v>0</v>
      </c>
      <c r="L5398" s="92">
        <v>30.6</v>
      </c>
      <c r="M5398" s="92">
        <v>0.3</v>
      </c>
      <c r="N5398" s="573">
        <v>0.7</v>
      </c>
      <c r="O5398" s="556" t="str">
        <f>IF(N5398=M5398,"OK","DIF")</f>
        <v>DIF</v>
      </c>
      <c r="P5398" s="573"/>
      <c r="Q5398" s="556"/>
      <c r="R5398" s="582"/>
    </row>
    <row r="5399" ht="23.85" customHeight="1" spans="1:18">
      <c r="A5399" s="556"/>
      <c r="B5399" s="557"/>
      <c r="C5399" s="79" t="s">
        <v>2921</v>
      </c>
      <c r="D5399" s="78" t="s">
        <v>3151</v>
      </c>
      <c r="E5399" s="79" t="s">
        <v>139</v>
      </c>
      <c r="F5399" s="79" t="s">
        <v>3152</v>
      </c>
      <c r="G5399" s="79" t="s">
        <v>2928</v>
      </c>
      <c r="H5399" s="79"/>
      <c r="I5399" s="80" t="s">
        <v>2897</v>
      </c>
      <c r="J5399" s="583">
        <v>0.01</v>
      </c>
      <c r="K5399" s="583">
        <v>0</v>
      </c>
      <c r="L5399" s="92">
        <v>36.82</v>
      </c>
      <c r="M5399" s="92">
        <v>0.36</v>
      </c>
      <c r="N5399" s="573"/>
      <c r="O5399" s="556"/>
      <c r="P5399" s="573"/>
      <c r="Q5399" s="556"/>
      <c r="R5399" s="582"/>
    </row>
    <row r="5400" ht="15" customHeight="1" spans="1:18">
      <c r="A5400" s="556"/>
      <c r="B5400" s="557"/>
      <c r="C5400" s="100" t="s">
        <v>2893</v>
      </c>
      <c r="D5400" s="99" t="s">
        <v>4171</v>
      </c>
      <c r="E5400" s="100" t="s">
        <v>149</v>
      </c>
      <c r="F5400" s="100" t="s">
        <v>4172</v>
      </c>
      <c r="G5400" s="100" t="s">
        <v>2961</v>
      </c>
      <c r="H5400" s="100"/>
      <c r="I5400" s="101" t="s">
        <v>1491</v>
      </c>
      <c r="J5400" s="580">
        <v>1</v>
      </c>
      <c r="K5400" s="580">
        <v>0</v>
      </c>
      <c r="L5400" s="102">
        <v>2.67</v>
      </c>
      <c r="M5400" s="102">
        <v>2.67</v>
      </c>
      <c r="N5400" s="573"/>
      <c r="O5400" s="556"/>
      <c r="P5400" s="573"/>
      <c r="Q5400" s="556"/>
      <c r="R5400" s="582"/>
    </row>
    <row r="5401" ht="25.5" spans="1:18">
      <c r="A5401" s="556"/>
      <c r="B5401" s="557" t="str">
        <f>C5400</f>
        <v>Insumo</v>
      </c>
      <c r="C5401" s="108"/>
      <c r="D5401" s="108"/>
      <c r="E5401" s="108"/>
      <c r="F5401" s="108"/>
      <c r="G5401" s="108"/>
      <c r="H5401" s="108" t="s">
        <v>2898</v>
      </c>
      <c r="I5401" s="581">
        <v>0.46</v>
      </c>
      <c r="J5401" s="108" t="s">
        <v>2899</v>
      </c>
      <c r="K5401" s="581">
        <v>0</v>
      </c>
      <c r="L5401" s="108" t="s">
        <v>2900</v>
      </c>
      <c r="M5401" s="581">
        <v>0.46</v>
      </c>
      <c r="N5401" s="573">
        <v>66.32</v>
      </c>
      <c r="O5401" s="556" t="str">
        <f>IF(N5401=M5401,"OK","DIF")</f>
        <v>DIF</v>
      </c>
      <c r="P5401" s="573"/>
      <c r="Q5401" s="556"/>
      <c r="R5401" s="582"/>
    </row>
    <row r="5402" ht="26.25" spans="1:18">
      <c r="A5402" s="556" t="str">
        <f>B5402</f>
        <v>Insumo</v>
      </c>
      <c r="B5402" s="557" t="str">
        <f>B5401</f>
        <v>Insumo</v>
      </c>
      <c r="C5402" s="108"/>
      <c r="D5402" s="108"/>
      <c r="E5402" s="108"/>
      <c r="F5402" s="108"/>
      <c r="G5402" s="108"/>
      <c r="H5402" s="108" t="s">
        <v>2901</v>
      </c>
      <c r="I5402" s="581">
        <v>0.84</v>
      </c>
      <c r="J5402" s="114"/>
      <c r="K5402" s="114" t="s">
        <v>2902</v>
      </c>
      <c r="L5402" s="108"/>
      <c r="M5402" s="581">
        <v>4.17</v>
      </c>
      <c r="N5402" s="573">
        <v>0.7</v>
      </c>
      <c r="O5402" s="556" t="str">
        <f>IF(N5402=M5402,"OK","DIF")</f>
        <v>DIF</v>
      </c>
      <c r="P5402" s="573"/>
      <c r="Q5402" s="556"/>
      <c r="R5402" s="582"/>
    </row>
    <row r="5403" ht="15" spans="1:18">
      <c r="A5403" s="556" t="str">
        <f>B5403</f>
        <v>Insumo</v>
      </c>
      <c r="B5403" s="557" t="str">
        <f>B5402</f>
        <v>Insumo</v>
      </c>
      <c r="C5403" s="571"/>
      <c r="D5403" s="571"/>
      <c r="E5403" s="571"/>
      <c r="F5403" s="571"/>
      <c r="G5403" s="571"/>
      <c r="H5403" s="571"/>
      <c r="I5403" s="571"/>
      <c r="J5403" s="571"/>
      <c r="K5403" s="571"/>
      <c r="L5403" s="571"/>
      <c r="M5403" s="571"/>
      <c r="N5403" s="573">
        <v>20.9</v>
      </c>
      <c r="O5403" s="556" t="str">
        <f>IF(N5403=M5403,"OK","DIF")</f>
        <v>DIF</v>
      </c>
      <c r="P5403" s="573"/>
      <c r="Q5403" s="556"/>
      <c r="R5403" s="582"/>
    </row>
    <row r="5404" ht="15" customHeight="1" spans="1:18">
      <c r="A5404" s="556" t="str">
        <f>B5404</f>
        <v>Insumo</v>
      </c>
      <c r="B5404" s="557" t="str">
        <f>B5403</f>
        <v>Insumo</v>
      </c>
      <c r="C5404" s="76" t="s">
        <v>1814</v>
      </c>
      <c r="D5404" s="75" t="s">
        <v>63</v>
      </c>
      <c r="E5404" s="76" t="s">
        <v>64</v>
      </c>
      <c r="F5404" s="76" t="s">
        <v>65</v>
      </c>
      <c r="G5404" s="76" t="s">
        <v>2889</v>
      </c>
      <c r="H5404" s="76"/>
      <c r="I5404" s="77" t="s">
        <v>66</v>
      </c>
      <c r="J5404" s="75" t="s">
        <v>67</v>
      </c>
      <c r="K5404" s="75" t="s">
        <v>2890</v>
      </c>
      <c r="L5404" s="75" t="s">
        <v>68</v>
      </c>
      <c r="M5404" s="75" t="s">
        <v>70</v>
      </c>
      <c r="N5404" s="573">
        <v>25.04</v>
      </c>
      <c r="O5404" s="556" t="str">
        <f>IF(N5404=M5404,"OK","DIF")</f>
        <v>DIF</v>
      </c>
      <c r="P5404" s="573"/>
      <c r="Q5404" s="556"/>
      <c r="R5404" s="582"/>
    </row>
    <row r="5405" ht="51" spans="1:18">
      <c r="A5405" s="556" t="str">
        <f>B5405</f>
        <v>Insumo</v>
      </c>
      <c r="B5405" s="557" t="str">
        <f>B5404</f>
        <v>Insumo</v>
      </c>
      <c r="C5405" s="569" t="s">
        <v>2891</v>
      </c>
      <c r="D5405" s="570" t="s">
        <v>1815</v>
      </c>
      <c r="E5405" s="569" t="s">
        <v>77</v>
      </c>
      <c r="F5405" s="569" t="s">
        <v>4545</v>
      </c>
      <c r="G5405" s="569">
        <v>15</v>
      </c>
      <c r="H5405" s="569"/>
      <c r="I5405" s="577" t="s">
        <v>204</v>
      </c>
      <c r="J5405" s="578">
        <v>1</v>
      </c>
      <c r="K5405" s="579"/>
      <c r="L5405" s="579">
        <v>7.94</v>
      </c>
      <c r="M5405" s="579">
        <v>7.94</v>
      </c>
      <c r="N5405" s="573">
        <v>19.68</v>
      </c>
      <c r="O5405" s="556" t="str">
        <f>IF(N5405=M5405,"OK","DIF")</f>
        <v>DIF</v>
      </c>
      <c r="P5405" s="573"/>
      <c r="Q5405" s="556"/>
      <c r="R5405" s="582"/>
    </row>
    <row r="5406" ht="23.85" customHeight="1" spans="1:18">
      <c r="A5406" s="556"/>
      <c r="B5406" s="557"/>
      <c r="C5406" s="100" t="s">
        <v>2893</v>
      </c>
      <c r="D5406" s="99" t="s">
        <v>3108</v>
      </c>
      <c r="E5406" s="100" t="s">
        <v>77</v>
      </c>
      <c r="F5406" s="100" t="s">
        <v>3109</v>
      </c>
      <c r="G5406" s="100" t="s">
        <v>2896</v>
      </c>
      <c r="H5406" s="100"/>
      <c r="I5406" s="101" t="s">
        <v>2897</v>
      </c>
      <c r="J5406" s="580">
        <v>0.05</v>
      </c>
      <c r="K5406" s="580">
        <v>3</v>
      </c>
      <c r="L5406" s="102">
        <v>19.16</v>
      </c>
      <c r="M5406" s="102">
        <v>0.98</v>
      </c>
      <c r="N5406" s="573"/>
      <c r="O5406" s="556"/>
      <c r="P5406" s="573"/>
      <c r="Q5406" s="556"/>
      <c r="R5406" s="582"/>
    </row>
    <row r="5407" ht="23.85" customHeight="1" spans="1:18">
      <c r="A5407" s="556"/>
      <c r="B5407" s="557"/>
      <c r="C5407" s="100" t="s">
        <v>2893</v>
      </c>
      <c r="D5407" s="99" t="s">
        <v>4013</v>
      </c>
      <c r="E5407" s="100" t="s">
        <v>77</v>
      </c>
      <c r="F5407" s="100" t="s">
        <v>4014</v>
      </c>
      <c r="G5407" s="100" t="s">
        <v>2896</v>
      </c>
      <c r="H5407" s="100"/>
      <c r="I5407" s="101" t="s">
        <v>2897</v>
      </c>
      <c r="J5407" s="580">
        <v>0.05</v>
      </c>
      <c r="K5407" s="580">
        <v>3</v>
      </c>
      <c r="L5407" s="102">
        <v>26.52</v>
      </c>
      <c r="M5407" s="102">
        <v>1.36</v>
      </c>
      <c r="N5407" s="573"/>
      <c r="O5407" s="556"/>
      <c r="P5407" s="573"/>
      <c r="Q5407" s="556"/>
      <c r="R5407" s="582"/>
    </row>
    <row r="5408" ht="23.85" customHeight="1" spans="1:18">
      <c r="A5408" s="556"/>
      <c r="B5408" s="557" t="str">
        <f>C5407</f>
        <v>Insumo</v>
      </c>
      <c r="C5408" s="100" t="s">
        <v>2893</v>
      </c>
      <c r="D5408" s="99" t="s">
        <v>4546</v>
      </c>
      <c r="E5408" s="100" t="s">
        <v>77</v>
      </c>
      <c r="F5408" s="100" t="s">
        <v>4547</v>
      </c>
      <c r="G5408" s="100" t="s">
        <v>2961</v>
      </c>
      <c r="H5408" s="100"/>
      <c r="I5408" s="101" t="s">
        <v>204</v>
      </c>
      <c r="J5408" s="580">
        <v>1</v>
      </c>
      <c r="K5408" s="580">
        <v>0</v>
      </c>
      <c r="L5408" s="102">
        <v>5.6</v>
      </c>
      <c r="M5408" s="102">
        <v>5.6</v>
      </c>
      <c r="N5408" s="573">
        <v>82.46</v>
      </c>
      <c r="O5408" s="556" t="str">
        <f>IF(N5408=M5408,"OK","DIF")</f>
        <v>DIF</v>
      </c>
      <c r="P5408" s="573"/>
      <c r="Q5408" s="556"/>
      <c r="R5408" s="582"/>
    </row>
    <row r="5409" ht="25.5" spans="1:18">
      <c r="A5409" s="556" t="str">
        <f>B5409</f>
        <v>Insumo</v>
      </c>
      <c r="B5409" s="557" t="str">
        <f>B5408</f>
        <v>Insumo</v>
      </c>
      <c r="C5409" s="108"/>
      <c r="D5409" s="108"/>
      <c r="E5409" s="108"/>
      <c r="F5409" s="108"/>
      <c r="G5409" s="108"/>
      <c r="H5409" s="108" t="s">
        <v>2898</v>
      </c>
      <c r="I5409" s="581">
        <v>2.34</v>
      </c>
      <c r="J5409" s="108" t="s">
        <v>2899</v>
      </c>
      <c r="K5409" s="581">
        <v>0</v>
      </c>
      <c r="L5409" s="108" t="s">
        <v>2900</v>
      </c>
      <c r="M5409" s="581">
        <v>2.34</v>
      </c>
      <c r="N5409" s="573">
        <v>29.89</v>
      </c>
      <c r="O5409" s="556" t="str">
        <f>IF(N5409=M5409,"OK","DIF")</f>
        <v>DIF</v>
      </c>
      <c r="P5409" s="573"/>
      <c r="Q5409" s="556"/>
      <c r="R5409" s="582"/>
    </row>
    <row r="5410" ht="26.25" spans="1:18">
      <c r="A5410" s="556" t="str">
        <f>B5410</f>
        <v>Insumo</v>
      </c>
      <c r="B5410" s="557" t="str">
        <f>B5409</f>
        <v>Insumo</v>
      </c>
      <c r="C5410" s="108"/>
      <c r="D5410" s="108"/>
      <c r="E5410" s="108"/>
      <c r="F5410" s="108"/>
      <c r="G5410" s="108"/>
      <c r="H5410" s="108" t="s">
        <v>2901</v>
      </c>
      <c r="I5410" s="581">
        <v>2.02</v>
      </c>
      <c r="J5410" s="114"/>
      <c r="K5410" s="114" t="s">
        <v>2902</v>
      </c>
      <c r="L5410" s="108"/>
      <c r="M5410" s="581">
        <v>9.96</v>
      </c>
      <c r="N5410" s="573">
        <v>26.97</v>
      </c>
      <c r="O5410" s="556" t="str">
        <f>IF(N5410=M5410,"OK","DIF")</f>
        <v>DIF</v>
      </c>
      <c r="P5410" s="573"/>
      <c r="Q5410" s="556"/>
      <c r="R5410" s="582"/>
    </row>
    <row r="5411" ht="15" spans="1:18">
      <c r="A5411" s="556" t="str">
        <f>B5411</f>
        <v>Insumo</v>
      </c>
      <c r="B5411" s="557" t="str">
        <f>B5410</f>
        <v>Insumo</v>
      </c>
      <c r="C5411" s="571"/>
      <c r="D5411" s="571"/>
      <c r="E5411" s="571"/>
      <c r="F5411" s="571"/>
      <c r="G5411" s="571"/>
      <c r="H5411" s="571"/>
      <c r="I5411" s="571"/>
      <c r="J5411" s="571"/>
      <c r="K5411" s="571"/>
      <c r="L5411" s="571"/>
      <c r="M5411" s="571"/>
      <c r="N5411" s="573">
        <v>0.7</v>
      </c>
      <c r="O5411" s="556" t="str">
        <f>IF(N5411=M5411,"OK","DIF")</f>
        <v>DIF</v>
      </c>
      <c r="P5411" s="573"/>
      <c r="Q5411" s="556"/>
      <c r="R5411" s="582"/>
    </row>
    <row r="5412" ht="15" customHeight="1" spans="1:18">
      <c r="A5412" s="556" t="str">
        <f>B5412</f>
        <v>Insumo</v>
      </c>
      <c r="B5412" s="557" t="str">
        <f>B5411</f>
        <v>Insumo</v>
      </c>
      <c r="C5412" s="76" t="s">
        <v>1817</v>
      </c>
      <c r="D5412" s="75" t="s">
        <v>63</v>
      </c>
      <c r="E5412" s="76" t="s">
        <v>64</v>
      </c>
      <c r="F5412" s="76" t="s">
        <v>65</v>
      </c>
      <c r="G5412" s="76" t="s">
        <v>2889</v>
      </c>
      <c r="H5412" s="76"/>
      <c r="I5412" s="77" t="s">
        <v>66</v>
      </c>
      <c r="J5412" s="75" t="s">
        <v>67</v>
      </c>
      <c r="K5412" s="75" t="s">
        <v>2890</v>
      </c>
      <c r="L5412" s="75" t="s">
        <v>68</v>
      </c>
      <c r="M5412" s="75" t="s">
        <v>70</v>
      </c>
      <c r="N5412" s="573">
        <v>24.9</v>
      </c>
      <c r="O5412" s="556" t="str">
        <f>IF(N5412=M5412,"OK","DIF")</f>
        <v>DIF</v>
      </c>
      <c r="P5412" s="573"/>
      <c r="Q5412" s="556"/>
      <c r="R5412" s="582"/>
    </row>
    <row r="5413" ht="46.25" customHeight="1" spans="1:18">
      <c r="A5413" s="556"/>
      <c r="B5413" s="557"/>
      <c r="C5413" s="569" t="s">
        <v>2891</v>
      </c>
      <c r="D5413" s="570" t="s">
        <v>1818</v>
      </c>
      <c r="E5413" s="569" t="s">
        <v>132</v>
      </c>
      <c r="F5413" s="569" t="s">
        <v>1819</v>
      </c>
      <c r="G5413" s="569" t="s">
        <v>4227</v>
      </c>
      <c r="H5413" s="569"/>
      <c r="I5413" s="577" t="s">
        <v>204</v>
      </c>
      <c r="J5413" s="578">
        <v>1</v>
      </c>
      <c r="K5413" s="579"/>
      <c r="L5413" s="579">
        <v>13.02</v>
      </c>
      <c r="M5413" s="579">
        <v>13.02</v>
      </c>
      <c r="N5413" s="573"/>
      <c r="O5413" s="556"/>
      <c r="P5413" s="573"/>
      <c r="Q5413" s="556"/>
      <c r="R5413" s="582"/>
    </row>
    <row r="5414" ht="23.85" customHeight="1" spans="1:18">
      <c r="A5414" s="556"/>
      <c r="B5414" s="557"/>
      <c r="C5414" s="79" t="s">
        <v>2921</v>
      </c>
      <c r="D5414" s="78" t="s">
        <v>3153</v>
      </c>
      <c r="E5414" s="79" t="s">
        <v>139</v>
      </c>
      <c r="F5414" s="79" t="s">
        <v>3154</v>
      </c>
      <c r="G5414" s="79" t="s">
        <v>2928</v>
      </c>
      <c r="H5414" s="79"/>
      <c r="I5414" s="80" t="s">
        <v>2897</v>
      </c>
      <c r="J5414" s="583">
        <v>0.1</v>
      </c>
      <c r="K5414" s="583">
        <v>0</v>
      </c>
      <c r="L5414" s="92">
        <v>30.6</v>
      </c>
      <c r="M5414" s="92">
        <v>3.06</v>
      </c>
      <c r="N5414" s="573"/>
      <c r="O5414" s="556"/>
      <c r="P5414" s="573"/>
      <c r="Q5414" s="556"/>
      <c r="R5414" s="582"/>
    </row>
    <row r="5415" ht="23.85" customHeight="1" spans="1:18">
      <c r="A5415" s="556"/>
      <c r="B5415" s="557" t="str">
        <f>C5414</f>
        <v>Composição Auxiliar</v>
      </c>
      <c r="C5415" s="79" t="s">
        <v>2921</v>
      </c>
      <c r="D5415" s="78" t="s">
        <v>3151</v>
      </c>
      <c r="E5415" s="79" t="s">
        <v>139</v>
      </c>
      <c r="F5415" s="79" t="s">
        <v>3152</v>
      </c>
      <c r="G5415" s="79" t="s">
        <v>2928</v>
      </c>
      <c r="H5415" s="79"/>
      <c r="I5415" s="80" t="s">
        <v>2897</v>
      </c>
      <c r="J5415" s="583">
        <v>0.1</v>
      </c>
      <c r="K5415" s="583">
        <v>0</v>
      </c>
      <c r="L5415" s="92">
        <v>36.82</v>
      </c>
      <c r="M5415" s="92">
        <v>3.68</v>
      </c>
      <c r="N5415" s="573">
        <v>58.61</v>
      </c>
      <c r="O5415" s="556" t="str">
        <f>IF(N5415=M5415,"OK","DIF")</f>
        <v>DIF</v>
      </c>
      <c r="P5415" s="573"/>
      <c r="Q5415" s="556"/>
      <c r="R5415" s="582"/>
    </row>
    <row r="5416" ht="23.85" customHeight="1" spans="1:18">
      <c r="A5416" s="556" t="str">
        <f>B5416</f>
        <v>Composição Auxiliar</v>
      </c>
      <c r="B5416" s="557" t="str">
        <f>B5415</f>
        <v>Composição Auxiliar</v>
      </c>
      <c r="C5416" s="100" t="s">
        <v>2893</v>
      </c>
      <c r="D5416" s="99" t="s">
        <v>4548</v>
      </c>
      <c r="E5416" s="100" t="s">
        <v>149</v>
      </c>
      <c r="F5416" s="100" t="s">
        <v>4549</v>
      </c>
      <c r="G5416" s="100" t="s">
        <v>2961</v>
      </c>
      <c r="H5416" s="100"/>
      <c r="I5416" s="101" t="s">
        <v>204</v>
      </c>
      <c r="J5416" s="580">
        <v>1</v>
      </c>
      <c r="K5416" s="580">
        <v>0</v>
      </c>
      <c r="L5416" s="102">
        <v>6.28</v>
      </c>
      <c r="M5416" s="102">
        <v>6.28</v>
      </c>
      <c r="N5416" s="573">
        <v>30.81</v>
      </c>
      <c r="O5416" s="556" t="str">
        <f>IF(N5416=M5416,"OK","DIF")</f>
        <v>DIF</v>
      </c>
      <c r="P5416" s="573"/>
      <c r="Q5416" s="556"/>
      <c r="R5416" s="582"/>
    </row>
    <row r="5417" ht="25.5" spans="1:18">
      <c r="A5417" s="556" t="str">
        <f>B5417</f>
        <v>Composição Auxiliar</v>
      </c>
      <c r="B5417" s="557" t="str">
        <f>B5416</f>
        <v>Composição Auxiliar</v>
      </c>
      <c r="C5417" s="108"/>
      <c r="D5417" s="108"/>
      <c r="E5417" s="108"/>
      <c r="F5417" s="108"/>
      <c r="G5417" s="108"/>
      <c r="H5417" s="108" t="s">
        <v>2898</v>
      </c>
      <c r="I5417" s="581">
        <v>4.72</v>
      </c>
      <c r="J5417" s="108" t="s">
        <v>2899</v>
      </c>
      <c r="K5417" s="581">
        <v>0</v>
      </c>
      <c r="L5417" s="108" t="s">
        <v>2900</v>
      </c>
      <c r="M5417" s="581">
        <v>4.72</v>
      </c>
      <c r="N5417" s="573">
        <v>27.8</v>
      </c>
      <c r="O5417" s="556" t="str">
        <f>IF(N5417=M5417,"OK","DIF")</f>
        <v>DIF</v>
      </c>
      <c r="P5417" s="573"/>
      <c r="Q5417" s="556"/>
      <c r="R5417" s="582"/>
    </row>
    <row r="5418" ht="26.25" spans="1:18">
      <c r="A5418" s="556"/>
      <c r="B5418" s="557"/>
      <c r="C5418" s="108"/>
      <c r="D5418" s="108"/>
      <c r="E5418" s="108"/>
      <c r="F5418" s="108"/>
      <c r="G5418" s="108"/>
      <c r="H5418" s="108" t="s">
        <v>2901</v>
      </c>
      <c r="I5418" s="581">
        <v>3.31</v>
      </c>
      <c r="J5418" s="114"/>
      <c r="K5418" s="114" t="s">
        <v>2902</v>
      </c>
      <c r="L5418" s="108"/>
      <c r="M5418" s="581">
        <v>16.33</v>
      </c>
      <c r="N5418" s="573"/>
      <c r="O5418" s="556"/>
      <c r="P5418" s="573"/>
      <c r="Q5418" s="556"/>
      <c r="R5418" s="582"/>
    </row>
    <row r="5419" ht="15" spans="1:18">
      <c r="A5419" s="556"/>
      <c r="B5419" s="557"/>
      <c r="C5419" s="571"/>
      <c r="D5419" s="571"/>
      <c r="E5419" s="571"/>
      <c r="F5419" s="571"/>
      <c r="G5419" s="571"/>
      <c r="H5419" s="571"/>
      <c r="I5419" s="571"/>
      <c r="J5419" s="571"/>
      <c r="K5419" s="571"/>
      <c r="L5419" s="571"/>
      <c r="M5419" s="571"/>
      <c r="N5419" s="573"/>
      <c r="O5419" s="556"/>
      <c r="P5419" s="573"/>
      <c r="Q5419" s="556"/>
      <c r="R5419" s="582"/>
    </row>
    <row r="5420" ht="15" customHeight="1" spans="1:18">
      <c r="A5420" s="556"/>
      <c r="B5420" s="557">
        <f>C5419</f>
        <v>0</v>
      </c>
      <c r="C5420" s="76" t="s">
        <v>1820</v>
      </c>
      <c r="D5420" s="75" t="s">
        <v>63</v>
      </c>
      <c r="E5420" s="76" t="s">
        <v>64</v>
      </c>
      <c r="F5420" s="76" t="s">
        <v>65</v>
      </c>
      <c r="G5420" s="76" t="s">
        <v>2889</v>
      </c>
      <c r="H5420" s="76"/>
      <c r="I5420" s="77" t="s">
        <v>66</v>
      </c>
      <c r="J5420" s="75" t="s">
        <v>67</v>
      </c>
      <c r="K5420" s="75" t="s">
        <v>2890</v>
      </c>
      <c r="L5420" s="75" t="s">
        <v>68</v>
      </c>
      <c r="M5420" s="75" t="s">
        <v>70</v>
      </c>
      <c r="N5420" s="573">
        <v>56.86</v>
      </c>
      <c r="O5420" s="556" t="str">
        <f>IF(N5420=M5420,"OK","DIF")</f>
        <v>DIF</v>
      </c>
      <c r="P5420" s="573"/>
      <c r="Q5420" s="556"/>
      <c r="R5420" s="582"/>
    </row>
    <row r="5421" ht="46.25" customHeight="1" spans="1:18">
      <c r="A5421" s="556">
        <f>B5421</f>
        <v>0</v>
      </c>
      <c r="B5421" s="557">
        <f>B5420</f>
        <v>0</v>
      </c>
      <c r="C5421" s="569" t="s">
        <v>2891</v>
      </c>
      <c r="D5421" s="570" t="s">
        <v>1821</v>
      </c>
      <c r="E5421" s="569" t="s">
        <v>132</v>
      </c>
      <c r="F5421" s="569" t="s">
        <v>1822</v>
      </c>
      <c r="G5421" s="569" t="s">
        <v>4227</v>
      </c>
      <c r="H5421" s="569"/>
      <c r="I5421" s="577" t="s">
        <v>134</v>
      </c>
      <c r="J5421" s="578">
        <v>1</v>
      </c>
      <c r="K5421" s="579"/>
      <c r="L5421" s="579">
        <v>47319.59</v>
      </c>
      <c r="M5421" s="579">
        <v>47319.59</v>
      </c>
      <c r="N5421" s="573">
        <v>26.97</v>
      </c>
      <c r="O5421" s="556" t="str">
        <f>IF(N5421=M5421,"OK","DIF")</f>
        <v>DIF</v>
      </c>
      <c r="P5421" s="573"/>
      <c r="Q5421" s="556"/>
      <c r="R5421" s="582"/>
    </row>
    <row r="5422" ht="23.85" customHeight="1" spans="1:18">
      <c r="A5422" s="556">
        <f>B5422</f>
        <v>0</v>
      </c>
      <c r="B5422" s="557">
        <f>B5421</f>
        <v>0</v>
      </c>
      <c r="C5422" s="79" t="s">
        <v>2921</v>
      </c>
      <c r="D5422" s="78" t="s">
        <v>3151</v>
      </c>
      <c r="E5422" s="79" t="s">
        <v>139</v>
      </c>
      <c r="F5422" s="79" t="s">
        <v>3152</v>
      </c>
      <c r="G5422" s="79" t="s">
        <v>2928</v>
      </c>
      <c r="H5422" s="79"/>
      <c r="I5422" s="80" t="s">
        <v>2897</v>
      </c>
      <c r="J5422" s="583">
        <v>1</v>
      </c>
      <c r="K5422" s="583">
        <v>0</v>
      </c>
      <c r="L5422" s="92">
        <v>36.82</v>
      </c>
      <c r="M5422" s="92">
        <v>36.82</v>
      </c>
      <c r="N5422" s="573">
        <v>29.89</v>
      </c>
      <c r="O5422" s="556" t="str">
        <f>IF(N5422=M5422,"OK","DIF")</f>
        <v>DIF</v>
      </c>
      <c r="P5422" s="573"/>
      <c r="Q5422" s="556"/>
      <c r="R5422" s="582"/>
    </row>
    <row r="5423" ht="46.25" customHeight="1" spans="1:18">
      <c r="A5423" s="556"/>
      <c r="B5423" s="557"/>
      <c r="C5423" s="100" t="s">
        <v>2893</v>
      </c>
      <c r="D5423" s="99" t="s">
        <v>4550</v>
      </c>
      <c r="E5423" s="100" t="s">
        <v>132</v>
      </c>
      <c r="F5423" s="100" t="s">
        <v>4551</v>
      </c>
      <c r="G5423" s="100" t="s">
        <v>2961</v>
      </c>
      <c r="H5423" s="100"/>
      <c r="I5423" s="101" t="s">
        <v>134</v>
      </c>
      <c r="J5423" s="580">
        <v>1</v>
      </c>
      <c r="K5423" s="580">
        <v>0</v>
      </c>
      <c r="L5423" s="102">
        <v>47282.77</v>
      </c>
      <c r="M5423" s="102">
        <v>47282.77</v>
      </c>
      <c r="N5423" s="573"/>
      <c r="O5423" s="556"/>
      <c r="P5423" s="573"/>
      <c r="Q5423" s="556"/>
      <c r="R5423" s="582"/>
    </row>
    <row r="5424" ht="25.5" spans="1:18">
      <c r="A5424" s="556"/>
      <c r="B5424" s="557"/>
      <c r="C5424" s="108"/>
      <c r="D5424" s="108"/>
      <c r="E5424" s="108"/>
      <c r="F5424" s="108"/>
      <c r="G5424" s="108"/>
      <c r="H5424" s="108" t="s">
        <v>2898</v>
      </c>
      <c r="I5424" s="581">
        <v>26.77</v>
      </c>
      <c r="J5424" s="108" t="s">
        <v>2899</v>
      </c>
      <c r="K5424" s="581">
        <v>0</v>
      </c>
      <c r="L5424" s="108" t="s">
        <v>2900</v>
      </c>
      <c r="M5424" s="581">
        <v>26.77</v>
      </c>
      <c r="N5424" s="573"/>
      <c r="O5424" s="556"/>
      <c r="P5424" s="573"/>
      <c r="Q5424" s="556"/>
      <c r="R5424" s="582"/>
    </row>
    <row r="5425" ht="26.25" spans="1:18">
      <c r="A5425" s="556"/>
      <c r="B5425" s="557">
        <f>C5424</f>
        <v>0</v>
      </c>
      <c r="C5425" s="108"/>
      <c r="D5425" s="108"/>
      <c r="E5425" s="108"/>
      <c r="F5425" s="108"/>
      <c r="G5425" s="108"/>
      <c r="H5425" s="108" t="s">
        <v>2901</v>
      </c>
      <c r="I5425" s="581">
        <v>7627.91</v>
      </c>
      <c r="J5425" s="114"/>
      <c r="K5425" s="114" t="s">
        <v>2902</v>
      </c>
      <c r="L5425" s="108"/>
      <c r="M5425" s="581">
        <v>54947.5</v>
      </c>
      <c r="N5425" s="573">
        <v>56.86</v>
      </c>
      <c r="O5425" s="556" t="str">
        <f>IF(N5425=M5425,"OK","DIF")</f>
        <v>DIF</v>
      </c>
      <c r="P5425" s="573"/>
      <c r="Q5425" s="556"/>
      <c r="R5425" s="582"/>
    </row>
    <row r="5426" ht="15" spans="1:18">
      <c r="A5426" s="556">
        <f>B5426</f>
        <v>0</v>
      </c>
      <c r="B5426" s="557">
        <f>B5425</f>
        <v>0</v>
      </c>
      <c r="C5426" s="571"/>
      <c r="D5426" s="571"/>
      <c r="E5426" s="571"/>
      <c r="F5426" s="571"/>
      <c r="G5426" s="571"/>
      <c r="H5426" s="571"/>
      <c r="I5426" s="571"/>
      <c r="J5426" s="571"/>
      <c r="K5426" s="571"/>
      <c r="L5426" s="571"/>
      <c r="M5426" s="571"/>
      <c r="N5426" s="573">
        <v>29.89</v>
      </c>
      <c r="O5426" s="556" t="str">
        <f>IF(N5426=M5426,"OK","DIF")</f>
        <v>DIF</v>
      </c>
      <c r="P5426" s="573"/>
      <c r="Q5426" s="556"/>
      <c r="R5426" s="582"/>
    </row>
    <row r="5427" ht="15" customHeight="1" spans="1:18">
      <c r="A5427" s="556">
        <f>B5427</f>
        <v>0</v>
      </c>
      <c r="B5427" s="557">
        <f>B5426</f>
        <v>0</v>
      </c>
      <c r="C5427" s="76" t="s">
        <v>1824</v>
      </c>
      <c r="D5427" s="75" t="s">
        <v>63</v>
      </c>
      <c r="E5427" s="76" t="s">
        <v>64</v>
      </c>
      <c r="F5427" s="76" t="s">
        <v>65</v>
      </c>
      <c r="G5427" s="76" t="s">
        <v>2889</v>
      </c>
      <c r="H5427" s="76"/>
      <c r="I5427" s="77" t="s">
        <v>66</v>
      </c>
      <c r="J5427" s="75" t="s">
        <v>67</v>
      </c>
      <c r="K5427" s="75" t="s">
        <v>2890</v>
      </c>
      <c r="L5427" s="75" t="s">
        <v>68</v>
      </c>
      <c r="M5427" s="75" t="s">
        <v>70</v>
      </c>
      <c r="N5427" s="573">
        <v>26.97</v>
      </c>
      <c r="O5427" s="556" t="str">
        <f>IF(N5427=M5427,"OK","DIF")</f>
        <v>DIF</v>
      </c>
      <c r="P5427" s="573"/>
      <c r="Q5427" s="556"/>
      <c r="R5427" s="582"/>
    </row>
    <row r="5428" ht="35.05" customHeight="1" spans="1:18">
      <c r="A5428" s="556"/>
      <c r="B5428" s="557"/>
      <c r="C5428" s="569" t="s">
        <v>2891</v>
      </c>
      <c r="D5428" s="570" t="s">
        <v>1825</v>
      </c>
      <c r="E5428" s="569" t="s">
        <v>132</v>
      </c>
      <c r="F5428" s="569" t="s">
        <v>1826</v>
      </c>
      <c r="G5428" s="569" t="s">
        <v>4227</v>
      </c>
      <c r="H5428" s="569"/>
      <c r="I5428" s="577" t="s">
        <v>134</v>
      </c>
      <c r="J5428" s="578">
        <v>1</v>
      </c>
      <c r="K5428" s="579"/>
      <c r="L5428" s="579">
        <v>505.58</v>
      </c>
      <c r="M5428" s="579">
        <v>505.58</v>
      </c>
      <c r="N5428" s="573"/>
      <c r="O5428" s="556"/>
      <c r="P5428" s="573"/>
      <c r="Q5428" s="556"/>
      <c r="R5428" s="582"/>
    </row>
    <row r="5429" ht="23.85" customHeight="1" spans="1:18">
      <c r="A5429" s="556"/>
      <c r="B5429" s="557"/>
      <c r="C5429" s="79" t="s">
        <v>2921</v>
      </c>
      <c r="D5429" s="78" t="s">
        <v>3151</v>
      </c>
      <c r="E5429" s="79" t="s">
        <v>139</v>
      </c>
      <c r="F5429" s="79" t="s">
        <v>3152</v>
      </c>
      <c r="G5429" s="79" t="s">
        <v>2928</v>
      </c>
      <c r="H5429" s="79"/>
      <c r="I5429" s="80" t="s">
        <v>2897</v>
      </c>
      <c r="J5429" s="583">
        <v>2.976</v>
      </c>
      <c r="K5429" s="583">
        <v>0</v>
      </c>
      <c r="L5429" s="92">
        <v>36.82</v>
      </c>
      <c r="M5429" s="92">
        <v>109.57</v>
      </c>
      <c r="N5429" s="573"/>
      <c r="O5429" s="556"/>
      <c r="P5429" s="573"/>
      <c r="Q5429" s="556"/>
      <c r="R5429" s="582"/>
    </row>
    <row r="5430" ht="23.85" customHeight="1" spans="1:18">
      <c r="A5430" s="556"/>
      <c r="B5430" s="557" t="str">
        <f>C5429</f>
        <v>Composição Auxiliar</v>
      </c>
      <c r="C5430" s="79" t="s">
        <v>2921</v>
      </c>
      <c r="D5430" s="78" t="s">
        <v>3153</v>
      </c>
      <c r="E5430" s="79" t="s">
        <v>139</v>
      </c>
      <c r="F5430" s="79" t="s">
        <v>3154</v>
      </c>
      <c r="G5430" s="79" t="s">
        <v>2928</v>
      </c>
      <c r="H5430" s="79"/>
      <c r="I5430" s="80" t="s">
        <v>2897</v>
      </c>
      <c r="J5430" s="583">
        <v>3.401</v>
      </c>
      <c r="K5430" s="583">
        <v>0</v>
      </c>
      <c r="L5430" s="92">
        <v>30.6</v>
      </c>
      <c r="M5430" s="92">
        <v>104.07</v>
      </c>
      <c r="N5430" s="573">
        <v>56.86</v>
      </c>
      <c r="O5430" s="556" t="str">
        <f>IF(N5430=M5430,"OK","DIF")</f>
        <v>DIF</v>
      </c>
      <c r="P5430" s="573"/>
      <c r="Q5430" s="556"/>
      <c r="R5430" s="582"/>
    </row>
    <row r="5431" ht="15" customHeight="1" spans="1:18">
      <c r="A5431" s="556" t="str">
        <f>B5431</f>
        <v>Composição Auxiliar</v>
      </c>
      <c r="B5431" s="557" t="str">
        <f>B5430</f>
        <v>Composição Auxiliar</v>
      </c>
      <c r="C5431" s="100" t="s">
        <v>2893</v>
      </c>
      <c r="D5431" s="99" t="s">
        <v>4552</v>
      </c>
      <c r="E5431" s="100" t="s">
        <v>132</v>
      </c>
      <c r="F5431" s="100" t="s">
        <v>4553</v>
      </c>
      <c r="G5431" s="100" t="s">
        <v>2961</v>
      </c>
      <c r="H5431" s="100"/>
      <c r="I5431" s="101" t="s">
        <v>134</v>
      </c>
      <c r="J5431" s="580">
        <v>1</v>
      </c>
      <c r="K5431" s="580">
        <v>0</v>
      </c>
      <c r="L5431" s="102">
        <v>291.94</v>
      </c>
      <c r="M5431" s="102">
        <v>291.94</v>
      </c>
      <c r="N5431" s="573">
        <v>26.97</v>
      </c>
      <c r="O5431" s="556" t="str">
        <f>IF(N5431=M5431,"OK","DIF")</f>
        <v>DIF</v>
      </c>
      <c r="P5431" s="573"/>
      <c r="Q5431" s="556"/>
      <c r="R5431" s="582"/>
    </row>
    <row r="5432" ht="25.5" spans="1:18">
      <c r="A5432" s="556" t="str">
        <f>B5432</f>
        <v>Composição Auxiliar</v>
      </c>
      <c r="B5432" s="557" t="str">
        <f>B5431</f>
        <v>Composição Auxiliar</v>
      </c>
      <c r="C5432" s="108"/>
      <c r="D5432" s="108"/>
      <c r="E5432" s="108"/>
      <c r="F5432" s="108"/>
      <c r="G5432" s="108"/>
      <c r="H5432" s="108" t="s">
        <v>2898</v>
      </c>
      <c r="I5432" s="581">
        <v>149.55</v>
      </c>
      <c r="J5432" s="108" t="s">
        <v>2899</v>
      </c>
      <c r="K5432" s="581">
        <v>0</v>
      </c>
      <c r="L5432" s="108" t="s">
        <v>2900</v>
      </c>
      <c r="M5432" s="581">
        <v>149.55</v>
      </c>
      <c r="N5432" s="573">
        <v>29.89</v>
      </c>
      <c r="O5432" s="556" t="str">
        <f>IF(N5432=M5432,"OK","DIF")</f>
        <v>DIF</v>
      </c>
      <c r="P5432" s="573"/>
      <c r="Q5432" s="556"/>
      <c r="R5432" s="582"/>
    </row>
    <row r="5433" ht="26.25" spans="1:18">
      <c r="A5433" s="556"/>
      <c r="B5433" s="557"/>
      <c r="C5433" s="108"/>
      <c r="D5433" s="108"/>
      <c r="E5433" s="108"/>
      <c r="F5433" s="108"/>
      <c r="G5433" s="108"/>
      <c r="H5433" s="108" t="s">
        <v>2901</v>
      </c>
      <c r="I5433" s="581">
        <v>128.87</v>
      </c>
      <c r="J5433" s="114"/>
      <c r="K5433" s="114" t="s">
        <v>2902</v>
      </c>
      <c r="L5433" s="108"/>
      <c r="M5433" s="581">
        <v>634.45</v>
      </c>
      <c r="N5433" s="573"/>
      <c r="O5433" s="556"/>
      <c r="P5433" s="573"/>
      <c r="Q5433" s="556"/>
      <c r="R5433" s="582"/>
    </row>
    <row r="5434" ht="15" spans="1:18">
      <c r="A5434" s="556"/>
      <c r="B5434" s="557"/>
      <c r="C5434" s="571"/>
      <c r="D5434" s="571"/>
      <c r="E5434" s="571"/>
      <c r="F5434" s="571"/>
      <c r="G5434" s="571"/>
      <c r="H5434" s="571"/>
      <c r="I5434" s="571"/>
      <c r="J5434" s="571"/>
      <c r="K5434" s="571"/>
      <c r="L5434" s="571"/>
      <c r="M5434" s="571"/>
      <c r="N5434" s="573"/>
      <c r="O5434" s="556"/>
      <c r="P5434" s="573"/>
      <c r="Q5434" s="556"/>
      <c r="R5434" s="582"/>
    </row>
    <row r="5435" ht="15" customHeight="1" spans="1:18">
      <c r="A5435" s="556"/>
      <c r="B5435" s="557">
        <f>C5434</f>
        <v>0</v>
      </c>
      <c r="C5435" s="76" t="s">
        <v>1827</v>
      </c>
      <c r="D5435" s="75" t="s">
        <v>63</v>
      </c>
      <c r="E5435" s="76" t="s">
        <v>64</v>
      </c>
      <c r="F5435" s="76" t="s">
        <v>65</v>
      </c>
      <c r="G5435" s="76" t="s">
        <v>2889</v>
      </c>
      <c r="H5435" s="76"/>
      <c r="I5435" s="77" t="s">
        <v>66</v>
      </c>
      <c r="J5435" s="75" t="s">
        <v>67</v>
      </c>
      <c r="K5435" s="75" t="s">
        <v>2890</v>
      </c>
      <c r="L5435" s="75" t="s">
        <v>68</v>
      </c>
      <c r="M5435" s="75" t="s">
        <v>70</v>
      </c>
      <c r="N5435" s="573">
        <v>52.17</v>
      </c>
      <c r="O5435" s="556" t="str">
        <f>IF(N5435=M5435,"OK","DIF")</f>
        <v>DIF</v>
      </c>
      <c r="P5435" s="573"/>
      <c r="Q5435" s="556"/>
      <c r="R5435" s="582"/>
    </row>
    <row r="5436" ht="35.05" customHeight="1" spans="1:18">
      <c r="A5436" s="556">
        <f>B5436</f>
        <v>0</v>
      </c>
      <c r="B5436" s="557">
        <f>B5435</f>
        <v>0</v>
      </c>
      <c r="C5436" s="569" t="s">
        <v>2891</v>
      </c>
      <c r="D5436" s="570" t="s">
        <v>1828</v>
      </c>
      <c r="E5436" s="569" t="s">
        <v>132</v>
      </c>
      <c r="F5436" s="569" t="s">
        <v>1829</v>
      </c>
      <c r="G5436" s="569" t="s">
        <v>4227</v>
      </c>
      <c r="H5436" s="569"/>
      <c r="I5436" s="577" t="s">
        <v>134</v>
      </c>
      <c r="J5436" s="578">
        <v>1</v>
      </c>
      <c r="K5436" s="579"/>
      <c r="L5436" s="579">
        <v>391.73</v>
      </c>
      <c r="M5436" s="579">
        <v>391.73</v>
      </c>
      <c r="N5436" s="573">
        <v>25.04</v>
      </c>
      <c r="O5436" s="556" t="str">
        <f>IF(N5436=M5436,"OK","DIF")</f>
        <v>DIF</v>
      </c>
      <c r="P5436" s="573"/>
      <c r="Q5436" s="556"/>
      <c r="R5436" s="582"/>
    </row>
    <row r="5437" ht="23.85" customHeight="1" spans="1:18">
      <c r="A5437" s="556">
        <f>B5437</f>
        <v>0</v>
      </c>
      <c r="B5437" s="557">
        <f>B5436</f>
        <v>0</v>
      </c>
      <c r="C5437" s="79" t="s">
        <v>2921</v>
      </c>
      <c r="D5437" s="78" t="s">
        <v>3153</v>
      </c>
      <c r="E5437" s="79" t="s">
        <v>139</v>
      </c>
      <c r="F5437" s="79" t="s">
        <v>3154</v>
      </c>
      <c r="G5437" s="79" t="s">
        <v>2928</v>
      </c>
      <c r="H5437" s="79"/>
      <c r="I5437" s="80" t="s">
        <v>2897</v>
      </c>
      <c r="J5437" s="583">
        <v>1.488</v>
      </c>
      <c r="K5437" s="583">
        <v>0</v>
      </c>
      <c r="L5437" s="92">
        <v>30.6</v>
      </c>
      <c r="M5437" s="92">
        <v>45.53</v>
      </c>
      <c r="N5437" s="573">
        <v>6.75</v>
      </c>
      <c r="O5437" s="556" t="str">
        <f>IF(N5437=M5437,"OK","DIF")</f>
        <v>DIF</v>
      </c>
      <c r="P5437" s="573"/>
      <c r="Q5437" s="556"/>
      <c r="R5437" s="582"/>
    </row>
    <row r="5438" ht="23.85" customHeight="1" spans="1:18">
      <c r="A5438" s="556">
        <f>B5438</f>
        <v>0</v>
      </c>
      <c r="B5438" s="557">
        <f>B5437</f>
        <v>0</v>
      </c>
      <c r="C5438" s="79" t="s">
        <v>2921</v>
      </c>
      <c r="D5438" s="78" t="s">
        <v>3151</v>
      </c>
      <c r="E5438" s="79" t="s">
        <v>139</v>
      </c>
      <c r="F5438" s="79" t="s">
        <v>3152</v>
      </c>
      <c r="G5438" s="79" t="s">
        <v>2928</v>
      </c>
      <c r="H5438" s="79"/>
      <c r="I5438" s="80" t="s">
        <v>2897</v>
      </c>
      <c r="J5438" s="583">
        <v>1.275</v>
      </c>
      <c r="K5438" s="583">
        <v>0</v>
      </c>
      <c r="L5438" s="92">
        <v>36.82</v>
      </c>
      <c r="M5438" s="92">
        <v>46.94</v>
      </c>
      <c r="N5438" s="573">
        <v>19.68</v>
      </c>
      <c r="O5438" s="556" t="str">
        <f>IF(N5438=M5438,"OK","DIF")</f>
        <v>DIF</v>
      </c>
      <c r="P5438" s="573"/>
      <c r="Q5438" s="556"/>
      <c r="R5438" s="582"/>
    </row>
    <row r="5439" ht="15" customHeight="1" spans="1:18">
      <c r="A5439" s="556">
        <f>B5439</f>
        <v>0</v>
      </c>
      <c r="B5439" s="557">
        <f>B5438</f>
        <v>0</v>
      </c>
      <c r="C5439" s="100" t="s">
        <v>2893</v>
      </c>
      <c r="D5439" s="99" t="s">
        <v>4554</v>
      </c>
      <c r="E5439" s="100" t="s">
        <v>132</v>
      </c>
      <c r="F5439" s="100" t="s">
        <v>4555</v>
      </c>
      <c r="G5439" s="100" t="s">
        <v>2961</v>
      </c>
      <c r="H5439" s="100"/>
      <c r="I5439" s="101" t="s">
        <v>134</v>
      </c>
      <c r="J5439" s="580">
        <v>1</v>
      </c>
      <c r="K5439" s="580">
        <v>0</v>
      </c>
      <c r="L5439" s="102">
        <v>299.26</v>
      </c>
      <c r="M5439" s="102">
        <v>299.26</v>
      </c>
      <c r="N5439" s="573">
        <v>0.7</v>
      </c>
      <c r="O5439" s="556" t="str">
        <f>IF(N5439=M5439,"OK","DIF")</f>
        <v>DIF</v>
      </c>
      <c r="P5439" s="573"/>
      <c r="Q5439" s="556"/>
      <c r="R5439" s="582"/>
    </row>
    <row r="5440" ht="25.5" spans="1:18">
      <c r="A5440" s="556"/>
      <c r="B5440" s="557"/>
      <c r="C5440" s="108"/>
      <c r="D5440" s="108"/>
      <c r="E5440" s="108"/>
      <c r="F5440" s="108"/>
      <c r="G5440" s="108"/>
      <c r="H5440" s="108" t="s">
        <v>2898</v>
      </c>
      <c r="I5440" s="581">
        <v>64.7</v>
      </c>
      <c r="J5440" s="108" t="s">
        <v>2899</v>
      </c>
      <c r="K5440" s="581">
        <v>0</v>
      </c>
      <c r="L5440" s="108" t="s">
        <v>2900</v>
      </c>
      <c r="M5440" s="581">
        <v>64.7</v>
      </c>
      <c r="N5440" s="573"/>
      <c r="O5440" s="556"/>
      <c r="P5440" s="573"/>
      <c r="Q5440" s="556"/>
      <c r="R5440" s="582"/>
    </row>
    <row r="5441" ht="26.25" spans="1:18">
      <c r="A5441" s="556"/>
      <c r="B5441" s="557"/>
      <c r="C5441" s="108"/>
      <c r="D5441" s="108"/>
      <c r="E5441" s="108"/>
      <c r="F5441" s="108"/>
      <c r="G5441" s="108"/>
      <c r="H5441" s="108" t="s">
        <v>2901</v>
      </c>
      <c r="I5441" s="581">
        <v>99.85</v>
      </c>
      <c r="J5441" s="114"/>
      <c r="K5441" s="114" t="s">
        <v>2902</v>
      </c>
      <c r="L5441" s="108"/>
      <c r="M5441" s="581">
        <v>491.58</v>
      </c>
      <c r="N5441" s="573"/>
      <c r="O5441" s="556"/>
      <c r="P5441" s="573"/>
      <c r="Q5441" s="556"/>
      <c r="R5441" s="582"/>
    </row>
    <row r="5442" ht="15" spans="1:18">
      <c r="A5442" s="556"/>
      <c r="B5442" s="557">
        <f>C5441</f>
        <v>0</v>
      </c>
      <c r="C5442" s="571"/>
      <c r="D5442" s="571"/>
      <c r="E5442" s="571"/>
      <c r="F5442" s="571"/>
      <c r="G5442" s="571"/>
      <c r="H5442" s="571"/>
      <c r="I5442" s="571"/>
      <c r="J5442" s="571"/>
      <c r="K5442" s="571"/>
      <c r="L5442" s="571"/>
      <c r="M5442" s="571"/>
      <c r="N5442" s="573">
        <v>67.78</v>
      </c>
      <c r="O5442" s="556" t="str">
        <f>IF(N5442=M5442,"OK","DIF")</f>
        <v>DIF</v>
      </c>
      <c r="P5442" s="573"/>
      <c r="Q5442" s="556"/>
      <c r="R5442" s="582"/>
    </row>
    <row r="5443" ht="15" customHeight="1" spans="1:18">
      <c r="A5443" s="556">
        <f>B5443</f>
        <v>0</v>
      </c>
      <c r="B5443" s="557">
        <f>B5442</f>
        <v>0</v>
      </c>
      <c r="C5443" s="76" t="s">
        <v>1830</v>
      </c>
      <c r="D5443" s="75" t="s">
        <v>63</v>
      </c>
      <c r="E5443" s="76" t="s">
        <v>64</v>
      </c>
      <c r="F5443" s="76" t="s">
        <v>65</v>
      </c>
      <c r="G5443" s="76" t="s">
        <v>2889</v>
      </c>
      <c r="H5443" s="76"/>
      <c r="I5443" s="77" t="s">
        <v>66</v>
      </c>
      <c r="J5443" s="75" t="s">
        <v>67</v>
      </c>
      <c r="K5443" s="75" t="s">
        <v>2890</v>
      </c>
      <c r="L5443" s="75" t="s">
        <v>68</v>
      </c>
      <c r="M5443" s="75" t="s">
        <v>70</v>
      </c>
      <c r="N5443" s="573">
        <v>30.81</v>
      </c>
      <c r="O5443" s="556" t="str">
        <f>IF(N5443=M5443,"OK","DIF")</f>
        <v>DIF</v>
      </c>
      <c r="P5443" s="573"/>
      <c r="Q5443" s="556"/>
      <c r="R5443" s="582"/>
    </row>
    <row r="5444" ht="35.05" customHeight="1" spans="1:18">
      <c r="A5444" s="556">
        <f>B5444</f>
        <v>0</v>
      </c>
      <c r="B5444" s="557">
        <f>B5443</f>
        <v>0</v>
      </c>
      <c r="C5444" s="569" t="s">
        <v>2891</v>
      </c>
      <c r="D5444" s="570" t="s">
        <v>1831</v>
      </c>
      <c r="E5444" s="569" t="s">
        <v>132</v>
      </c>
      <c r="F5444" s="569" t="s">
        <v>1832</v>
      </c>
      <c r="G5444" s="569" t="s">
        <v>4227</v>
      </c>
      <c r="H5444" s="569"/>
      <c r="I5444" s="577" t="s">
        <v>134</v>
      </c>
      <c r="J5444" s="578">
        <v>1</v>
      </c>
      <c r="K5444" s="579"/>
      <c r="L5444" s="579">
        <v>105.95</v>
      </c>
      <c r="M5444" s="579">
        <v>105.95</v>
      </c>
      <c r="N5444" s="573">
        <v>27.8</v>
      </c>
      <c r="O5444" s="556" t="str">
        <f>IF(N5444=M5444,"OK","DIF")</f>
        <v>DIF</v>
      </c>
      <c r="P5444" s="573"/>
      <c r="Q5444" s="556"/>
      <c r="R5444" s="582"/>
    </row>
    <row r="5445" ht="23.85" customHeight="1" spans="1:18">
      <c r="A5445" s="556">
        <f>B5445</f>
        <v>0</v>
      </c>
      <c r="B5445" s="557">
        <f>B5444</f>
        <v>0</v>
      </c>
      <c r="C5445" s="79" t="s">
        <v>2921</v>
      </c>
      <c r="D5445" s="78" t="s">
        <v>3151</v>
      </c>
      <c r="E5445" s="79" t="s">
        <v>139</v>
      </c>
      <c r="F5445" s="79" t="s">
        <v>3152</v>
      </c>
      <c r="G5445" s="79" t="s">
        <v>2928</v>
      </c>
      <c r="H5445" s="79"/>
      <c r="I5445" s="80" t="s">
        <v>2897</v>
      </c>
      <c r="J5445" s="583">
        <v>1</v>
      </c>
      <c r="K5445" s="583">
        <v>0</v>
      </c>
      <c r="L5445" s="92">
        <v>36.82</v>
      </c>
      <c r="M5445" s="92">
        <v>36.82</v>
      </c>
      <c r="N5445" s="573">
        <v>9.17</v>
      </c>
      <c r="O5445" s="556" t="str">
        <f>IF(N5445=M5445,"OK","DIF")</f>
        <v>DIF</v>
      </c>
      <c r="P5445" s="573"/>
      <c r="Q5445" s="556"/>
      <c r="R5445" s="582"/>
    </row>
    <row r="5446" ht="23.85" customHeight="1" spans="1:18">
      <c r="A5446" s="556"/>
      <c r="B5446" s="557"/>
      <c r="C5446" s="79" t="s">
        <v>2921</v>
      </c>
      <c r="D5446" s="78" t="s">
        <v>3153</v>
      </c>
      <c r="E5446" s="79" t="s">
        <v>139</v>
      </c>
      <c r="F5446" s="79" t="s">
        <v>3154</v>
      </c>
      <c r="G5446" s="79" t="s">
        <v>2928</v>
      </c>
      <c r="H5446" s="79"/>
      <c r="I5446" s="80" t="s">
        <v>2897</v>
      </c>
      <c r="J5446" s="583">
        <v>1</v>
      </c>
      <c r="K5446" s="583">
        <v>0</v>
      </c>
      <c r="L5446" s="92">
        <v>30.6</v>
      </c>
      <c r="M5446" s="92">
        <v>30.6</v>
      </c>
      <c r="N5446" s="573"/>
      <c r="O5446" s="556"/>
      <c r="P5446" s="573"/>
      <c r="Q5446" s="556"/>
      <c r="R5446" s="582"/>
    </row>
    <row r="5447" ht="23.85" customHeight="1" spans="1:18">
      <c r="A5447" s="556"/>
      <c r="B5447" s="557"/>
      <c r="C5447" s="100" t="s">
        <v>2893</v>
      </c>
      <c r="D5447" s="99" t="s">
        <v>4556</v>
      </c>
      <c r="E5447" s="100" t="s">
        <v>132</v>
      </c>
      <c r="F5447" s="100" t="s">
        <v>4557</v>
      </c>
      <c r="G5447" s="100" t="s">
        <v>2961</v>
      </c>
      <c r="H5447" s="100"/>
      <c r="I5447" s="101" t="s">
        <v>134</v>
      </c>
      <c r="J5447" s="580">
        <v>1</v>
      </c>
      <c r="K5447" s="580">
        <v>0</v>
      </c>
      <c r="L5447" s="102">
        <v>38.53</v>
      </c>
      <c r="M5447" s="102">
        <v>38.53</v>
      </c>
      <c r="N5447" s="573"/>
      <c r="O5447" s="556"/>
      <c r="P5447" s="573"/>
      <c r="Q5447" s="556"/>
      <c r="R5447" s="582"/>
    </row>
    <row r="5448" ht="25.5" spans="1:18">
      <c r="A5448" s="556"/>
      <c r="B5448" s="557" t="str">
        <f>C5447</f>
        <v>Insumo</v>
      </c>
      <c r="C5448" s="108"/>
      <c r="D5448" s="108"/>
      <c r="E5448" s="108"/>
      <c r="F5448" s="108"/>
      <c r="G5448" s="108"/>
      <c r="H5448" s="108" t="s">
        <v>2898</v>
      </c>
      <c r="I5448" s="581">
        <v>47.32</v>
      </c>
      <c r="J5448" s="108" t="s">
        <v>2899</v>
      </c>
      <c r="K5448" s="581">
        <v>0</v>
      </c>
      <c r="L5448" s="108" t="s">
        <v>2900</v>
      </c>
      <c r="M5448" s="581">
        <v>47.32</v>
      </c>
      <c r="N5448" s="573">
        <v>68.31</v>
      </c>
      <c r="O5448" s="556" t="str">
        <f>IF(N5448=M5448,"OK","DIF")</f>
        <v>DIF</v>
      </c>
      <c r="P5448" s="573"/>
      <c r="Q5448" s="556"/>
      <c r="R5448" s="582"/>
    </row>
    <row r="5449" ht="26.25" spans="1:18">
      <c r="A5449" s="556" t="str">
        <f>B5449</f>
        <v>Insumo</v>
      </c>
      <c r="B5449" s="557" t="str">
        <f>B5448</f>
        <v>Insumo</v>
      </c>
      <c r="C5449" s="108"/>
      <c r="D5449" s="108"/>
      <c r="E5449" s="108"/>
      <c r="F5449" s="108"/>
      <c r="G5449" s="108"/>
      <c r="H5449" s="108" t="s">
        <v>2901</v>
      </c>
      <c r="I5449" s="581">
        <v>27</v>
      </c>
      <c r="J5449" s="114"/>
      <c r="K5449" s="114" t="s">
        <v>2902</v>
      </c>
      <c r="L5449" s="108"/>
      <c r="M5449" s="581">
        <v>132.95</v>
      </c>
      <c r="N5449" s="573">
        <v>26.97</v>
      </c>
      <c r="O5449" s="556" t="str">
        <f>IF(N5449=M5449,"OK","DIF")</f>
        <v>DIF</v>
      </c>
      <c r="P5449" s="573"/>
      <c r="Q5449" s="556"/>
      <c r="R5449" s="582"/>
    </row>
    <row r="5450" ht="15" spans="1:18">
      <c r="A5450" s="556" t="str">
        <f>B5450</f>
        <v>Insumo</v>
      </c>
      <c r="B5450" s="557" t="str">
        <f>B5449</f>
        <v>Insumo</v>
      </c>
      <c r="C5450" s="571"/>
      <c r="D5450" s="571"/>
      <c r="E5450" s="571"/>
      <c r="F5450" s="571"/>
      <c r="G5450" s="571"/>
      <c r="H5450" s="571"/>
      <c r="I5450" s="571"/>
      <c r="J5450" s="571"/>
      <c r="K5450" s="571"/>
      <c r="L5450" s="571"/>
      <c r="M5450" s="571"/>
      <c r="N5450" s="573">
        <v>29.89</v>
      </c>
      <c r="O5450" s="556" t="str">
        <f>IF(N5450=M5450,"OK","DIF")</f>
        <v>DIF</v>
      </c>
      <c r="P5450" s="573"/>
      <c r="Q5450" s="556"/>
      <c r="R5450" s="582"/>
    </row>
    <row r="5451" ht="15" customHeight="1" spans="1:18">
      <c r="A5451" s="556" t="str">
        <f>B5451</f>
        <v>Insumo</v>
      </c>
      <c r="B5451" s="557" t="str">
        <f>B5450</f>
        <v>Insumo</v>
      </c>
      <c r="C5451" s="76" t="s">
        <v>1833</v>
      </c>
      <c r="D5451" s="75" t="s">
        <v>63</v>
      </c>
      <c r="E5451" s="76" t="s">
        <v>64</v>
      </c>
      <c r="F5451" s="76" t="s">
        <v>65</v>
      </c>
      <c r="G5451" s="76" t="s">
        <v>2889</v>
      </c>
      <c r="H5451" s="76"/>
      <c r="I5451" s="77" t="s">
        <v>66</v>
      </c>
      <c r="J5451" s="75" t="s">
        <v>67</v>
      </c>
      <c r="K5451" s="75" t="s">
        <v>2890</v>
      </c>
      <c r="L5451" s="75" t="s">
        <v>68</v>
      </c>
      <c r="M5451" s="75" t="s">
        <v>70</v>
      </c>
      <c r="N5451" s="573">
        <v>11.45</v>
      </c>
      <c r="O5451" s="556" t="str">
        <f>IF(N5451=M5451,"OK","DIF")</f>
        <v>DIF</v>
      </c>
      <c r="P5451" s="573"/>
      <c r="Q5451" s="556"/>
      <c r="R5451" s="582"/>
    </row>
    <row r="5452" ht="35.05" customHeight="1" spans="1:18">
      <c r="A5452" s="556"/>
      <c r="B5452" s="557"/>
      <c r="C5452" s="569" t="s">
        <v>2891</v>
      </c>
      <c r="D5452" s="570" t="s">
        <v>1834</v>
      </c>
      <c r="E5452" s="569" t="s">
        <v>132</v>
      </c>
      <c r="F5452" s="569" t="s">
        <v>1835</v>
      </c>
      <c r="G5452" s="569" t="s">
        <v>4227</v>
      </c>
      <c r="H5452" s="569"/>
      <c r="I5452" s="577" t="s">
        <v>134</v>
      </c>
      <c r="J5452" s="578">
        <v>1</v>
      </c>
      <c r="K5452" s="579"/>
      <c r="L5452" s="579">
        <v>327.73</v>
      </c>
      <c r="M5452" s="579">
        <v>327.73</v>
      </c>
      <c r="N5452" s="573"/>
      <c r="O5452" s="556"/>
      <c r="P5452" s="573"/>
      <c r="Q5452" s="556"/>
      <c r="R5452" s="582"/>
    </row>
    <row r="5453" ht="23.85" customHeight="1" spans="1:18">
      <c r="A5453" s="556"/>
      <c r="B5453" s="557"/>
      <c r="C5453" s="79" t="s">
        <v>2921</v>
      </c>
      <c r="D5453" s="78" t="s">
        <v>3151</v>
      </c>
      <c r="E5453" s="79" t="s">
        <v>139</v>
      </c>
      <c r="F5453" s="79" t="s">
        <v>3152</v>
      </c>
      <c r="G5453" s="79" t="s">
        <v>2928</v>
      </c>
      <c r="H5453" s="79"/>
      <c r="I5453" s="80" t="s">
        <v>2897</v>
      </c>
      <c r="J5453" s="583">
        <v>1</v>
      </c>
      <c r="K5453" s="583">
        <v>0</v>
      </c>
      <c r="L5453" s="92">
        <v>36.82</v>
      </c>
      <c r="M5453" s="92">
        <v>36.82</v>
      </c>
      <c r="N5453" s="573"/>
      <c r="O5453" s="556"/>
      <c r="P5453" s="573"/>
      <c r="Q5453" s="556"/>
      <c r="R5453" s="582"/>
    </row>
    <row r="5454" ht="23.85" customHeight="1" spans="1:18">
      <c r="A5454" s="556"/>
      <c r="B5454" s="557" t="str">
        <f>C5453</f>
        <v>Composição Auxiliar</v>
      </c>
      <c r="C5454" s="79" t="s">
        <v>2921</v>
      </c>
      <c r="D5454" s="78" t="s">
        <v>3153</v>
      </c>
      <c r="E5454" s="79" t="s">
        <v>139</v>
      </c>
      <c r="F5454" s="79" t="s">
        <v>3154</v>
      </c>
      <c r="G5454" s="79" t="s">
        <v>2928</v>
      </c>
      <c r="H5454" s="79"/>
      <c r="I5454" s="80" t="s">
        <v>2897</v>
      </c>
      <c r="J5454" s="583">
        <v>1</v>
      </c>
      <c r="K5454" s="583">
        <v>0</v>
      </c>
      <c r="L5454" s="92">
        <v>30.6</v>
      </c>
      <c r="M5454" s="92">
        <v>30.6</v>
      </c>
      <c r="N5454" s="573">
        <v>70.46</v>
      </c>
      <c r="O5454" s="556" t="str">
        <f>IF(N5454=M5454,"OK","DIF")</f>
        <v>DIF</v>
      </c>
      <c r="P5454" s="573"/>
      <c r="Q5454" s="556"/>
      <c r="R5454" s="582"/>
    </row>
    <row r="5455" ht="23.85" customHeight="1" spans="1:18">
      <c r="A5455" s="556" t="str">
        <f>B5455</f>
        <v>Composição Auxiliar</v>
      </c>
      <c r="B5455" s="557" t="str">
        <f>B5454</f>
        <v>Composição Auxiliar</v>
      </c>
      <c r="C5455" s="100" t="s">
        <v>2893</v>
      </c>
      <c r="D5455" s="99" t="s">
        <v>4558</v>
      </c>
      <c r="E5455" s="100" t="s">
        <v>132</v>
      </c>
      <c r="F5455" s="100" t="s">
        <v>4559</v>
      </c>
      <c r="G5455" s="100" t="s">
        <v>2961</v>
      </c>
      <c r="H5455" s="100"/>
      <c r="I5455" s="101" t="s">
        <v>134</v>
      </c>
      <c r="J5455" s="580">
        <v>1</v>
      </c>
      <c r="K5455" s="580">
        <v>0</v>
      </c>
      <c r="L5455" s="102">
        <v>260.31</v>
      </c>
      <c r="M5455" s="102">
        <v>260.31</v>
      </c>
      <c r="N5455" s="573">
        <v>29.89</v>
      </c>
      <c r="O5455" s="556" t="str">
        <f>IF(N5455=M5455,"OK","DIF")</f>
        <v>DIF</v>
      </c>
      <c r="P5455" s="573"/>
      <c r="Q5455" s="556"/>
      <c r="R5455" s="582"/>
    </row>
    <row r="5456" ht="25.5" spans="1:18">
      <c r="A5456" s="556" t="str">
        <f>B5456</f>
        <v>Composição Auxiliar</v>
      </c>
      <c r="B5456" s="557" t="str">
        <f>B5455</f>
        <v>Composição Auxiliar</v>
      </c>
      <c r="C5456" s="108"/>
      <c r="D5456" s="108"/>
      <c r="E5456" s="108"/>
      <c r="F5456" s="108"/>
      <c r="G5456" s="108"/>
      <c r="H5456" s="108" t="s">
        <v>2898</v>
      </c>
      <c r="I5456" s="581">
        <v>47.32</v>
      </c>
      <c r="J5456" s="108" t="s">
        <v>2899</v>
      </c>
      <c r="K5456" s="581">
        <v>0</v>
      </c>
      <c r="L5456" s="108" t="s">
        <v>2900</v>
      </c>
      <c r="M5456" s="581">
        <v>47.32</v>
      </c>
      <c r="N5456" s="573">
        <v>26.97</v>
      </c>
      <c r="O5456" s="556" t="str">
        <f>IF(N5456=M5456,"OK","DIF")</f>
        <v>DIF</v>
      </c>
      <c r="P5456" s="573"/>
      <c r="Q5456" s="556"/>
      <c r="R5456" s="582"/>
    </row>
    <row r="5457" ht="26.25" spans="1:18">
      <c r="A5457" s="556" t="str">
        <f>B5457</f>
        <v>Composição Auxiliar</v>
      </c>
      <c r="B5457" s="557" t="str">
        <f>B5456</f>
        <v>Composição Auxiliar</v>
      </c>
      <c r="C5457" s="108"/>
      <c r="D5457" s="108"/>
      <c r="E5457" s="108"/>
      <c r="F5457" s="108"/>
      <c r="G5457" s="108"/>
      <c r="H5457" s="108" t="s">
        <v>2901</v>
      </c>
      <c r="I5457" s="581">
        <v>83.53</v>
      </c>
      <c r="J5457" s="114"/>
      <c r="K5457" s="114" t="s">
        <v>2902</v>
      </c>
      <c r="L5457" s="108"/>
      <c r="M5457" s="581">
        <v>411.26</v>
      </c>
      <c r="N5457" s="573">
        <v>0.7</v>
      </c>
      <c r="O5457" s="556" t="str">
        <f>IF(N5457=M5457,"OK","DIF")</f>
        <v>DIF</v>
      </c>
      <c r="P5457" s="573"/>
      <c r="Q5457" s="556"/>
      <c r="R5457" s="582"/>
    </row>
    <row r="5458" ht="15" spans="1:18">
      <c r="A5458" s="556" t="str">
        <f>B5458</f>
        <v>Composição Auxiliar</v>
      </c>
      <c r="B5458" s="557" t="str">
        <f>B5457</f>
        <v>Composição Auxiliar</v>
      </c>
      <c r="C5458" s="571"/>
      <c r="D5458" s="571"/>
      <c r="E5458" s="571"/>
      <c r="F5458" s="571"/>
      <c r="G5458" s="571"/>
      <c r="H5458" s="571"/>
      <c r="I5458" s="571"/>
      <c r="J5458" s="571"/>
      <c r="K5458" s="571"/>
      <c r="L5458" s="571"/>
      <c r="M5458" s="571"/>
      <c r="N5458" s="573">
        <v>12.9</v>
      </c>
      <c r="O5458" s="556" t="str">
        <f>IF(N5458=M5458,"OK","DIF")</f>
        <v>DIF</v>
      </c>
      <c r="P5458" s="573"/>
      <c r="Q5458" s="556"/>
      <c r="R5458" s="582"/>
    </row>
    <row r="5459" ht="15" customHeight="1" spans="1:18">
      <c r="A5459" s="556"/>
      <c r="B5459" s="557"/>
      <c r="C5459" s="76" t="s">
        <v>1836</v>
      </c>
      <c r="D5459" s="75" t="s">
        <v>63</v>
      </c>
      <c r="E5459" s="76" t="s">
        <v>64</v>
      </c>
      <c r="F5459" s="76" t="s">
        <v>65</v>
      </c>
      <c r="G5459" s="76" t="s">
        <v>2889</v>
      </c>
      <c r="H5459" s="76"/>
      <c r="I5459" s="77" t="s">
        <v>66</v>
      </c>
      <c r="J5459" s="75" t="s">
        <v>67</v>
      </c>
      <c r="K5459" s="75" t="s">
        <v>2890</v>
      </c>
      <c r="L5459" s="75" t="s">
        <v>68</v>
      </c>
      <c r="M5459" s="75" t="s">
        <v>70</v>
      </c>
      <c r="N5459" s="573"/>
      <c r="O5459" s="556"/>
      <c r="P5459" s="573"/>
      <c r="Q5459" s="556"/>
      <c r="R5459" s="582"/>
    </row>
    <row r="5460" ht="35.05" customHeight="1" spans="1:18">
      <c r="A5460" s="556"/>
      <c r="B5460" s="557"/>
      <c r="C5460" s="569" t="s">
        <v>2891</v>
      </c>
      <c r="D5460" s="570" t="s">
        <v>1837</v>
      </c>
      <c r="E5460" s="569" t="s">
        <v>132</v>
      </c>
      <c r="F5460" s="569" t="s">
        <v>1838</v>
      </c>
      <c r="G5460" s="569" t="s">
        <v>4227</v>
      </c>
      <c r="H5460" s="569"/>
      <c r="I5460" s="577" t="s">
        <v>134</v>
      </c>
      <c r="J5460" s="578">
        <v>1</v>
      </c>
      <c r="K5460" s="579"/>
      <c r="L5460" s="579">
        <v>361.69</v>
      </c>
      <c r="M5460" s="579">
        <v>361.69</v>
      </c>
      <c r="N5460" s="573"/>
      <c r="O5460" s="556"/>
      <c r="P5460" s="573"/>
      <c r="Q5460" s="556"/>
      <c r="R5460" s="582"/>
    </row>
    <row r="5461" ht="23.85" customHeight="1" spans="1:18">
      <c r="A5461" s="556"/>
      <c r="B5461" s="557" t="str">
        <f>C5460</f>
        <v>Composição</v>
      </c>
      <c r="C5461" s="79" t="s">
        <v>2921</v>
      </c>
      <c r="D5461" s="78" t="s">
        <v>3151</v>
      </c>
      <c r="E5461" s="79" t="s">
        <v>139</v>
      </c>
      <c r="F5461" s="79" t="s">
        <v>3152</v>
      </c>
      <c r="G5461" s="79" t="s">
        <v>2928</v>
      </c>
      <c r="H5461" s="79"/>
      <c r="I5461" s="80" t="s">
        <v>2897</v>
      </c>
      <c r="J5461" s="583">
        <v>1.701</v>
      </c>
      <c r="K5461" s="583">
        <v>0</v>
      </c>
      <c r="L5461" s="92">
        <v>36.82</v>
      </c>
      <c r="M5461" s="92">
        <v>62.63</v>
      </c>
      <c r="N5461" s="573">
        <v>58.32</v>
      </c>
      <c r="O5461" s="556" t="str">
        <f>IF(N5461=M5461,"OK","DIF")</f>
        <v>DIF</v>
      </c>
      <c r="P5461" s="573"/>
      <c r="Q5461" s="556"/>
      <c r="R5461" s="582"/>
    </row>
    <row r="5462" ht="23.85" customHeight="1" spans="1:18">
      <c r="A5462" s="556" t="str">
        <f>B5462</f>
        <v>Composição</v>
      </c>
      <c r="B5462" s="557" t="str">
        <f>B5461</f>
        <v>Composição</v>
      </c>
      <c r="C5462" s="79" t="s">
        <v>2921</v>
      </c>
      <c r="D5462" s="78" t="s">
        <v>3153</v>
      </c>
      <c r="E5462" s="79" t="s">
        <v>139</v>
      </c>
      <c r="F5462" s="79" t="s">
        <v>3154</v>
      </c>
      <c r="G5462" s="79" t="s">
        <v>2928</v>
      </c>
      <c r="H5462" s="79"/>
      <c r="I5462" s="80" t="s">
        <v>2897</v>
      </c>
      <c r="J5462" s="583">
        <v>2.338</v>
      </c>
      <c r="K5462" s="583">
        <v>0</v>
      </c>
      <c r="L5462" s="92">
        <v>30.6</v>
      </c>
      <c r="M5462" s="92">
        <v>71.54</v>
      </c>
      <c r="N5462" s="573">
        <v>0.7</v>
      </c>
      <c r="O5462" s="556" t="str">
        <f>IF(N5462=M5462,"OK","DIF")</f>
        <v>DIF</v>
      </c>
      <c r="P5462" s="573"/>
      <c r="Q5462" s="556"/>
      <c r="R5462" s="582"/>
    </row>
    <row r="5463" ht="23.85" customHeight="1" spans="1:18">
      <c r="A5463" s="556" t="str">
        <f>B5463</f>
        <v>Composição</v>
      </c>
      <c r="B5463" s="557" t="str">
        <f>B5462</f>
        <v>Composição</v>
      </c>
      <c r="C5463" s="100" t="s">
        <v>2893</v>
      </c>
      <c r="D5463" s="99" t="s">
        <v>4560</v>
      </c>
      <c r="E5463" s="100" t="s">
        <v>132</v>
      </c>
      <c r="F5463" s="100" t="s">
        <v>4561</v>
      </c>
      <c r="G5463" s="100" t="s">
        <v>2961</v>
      </c>
      <c r="H5463" s="100"/>
      <c r="I5463" s="101" t="s">
        <v>134</v>
      </c>
      <c r="J5463" s="580">
        <v>1</v>
      </c>
      <c r="K5463" s="580">
        <v>0</v>
      </c>
      <c r="L5463" s="102">
        <v>227.52</v>
      </c>
      <c r="M5463" s="102">
        <v>227.52</v>
      </c>
      <c r="N5463" s="573">
        <v>12.9</v>
      </c>
      <c r="O5463" s="556" t="str">
        <f>IF(N5463=M5463,"OK","DIF")</f>
        <v>DIF</v>
      </c>
      <c r="P5463" s="573"/>
      <c r="Q5463" s="556"/>
      <c r="R5463" s="582"/>
    </row>
    <row r="5464" ht="25.5" spans="1:18">
      <c r="A5464" s="556" t="str">
        <f>B5464</f>
        <v>Composição</v>
      </c>
      <c r="B5464" s="557" t="str">
        <f>B5463</f>
        <v>Composição</v>
      </c>
      <c r="C5464" s="108"/>
      <c r="D5464" s="108"/>
      <c r="E5464" s="108"/>
      <c r="F5464" s="108"/>
      <c r="G5464" s="108"/>
      <c r="H5464" s="108" t="s">
        <v>2898</v>
      </c>
      <c r="I5464" s="581">
        <v>93.57</v>
      </c>
      <c r="J5464" s="108" t="s">
        <v>2899</v>
      </c>
      <c r="K5464" s="581">
        <v>0</v>
      </c>
      <c r="L5464" s="108" t="s">
        <v>2900</v>
      </c>
      <c r="M5464" s="581">
        <v>93.57</v>
      </c>
      <c r="N5464" s="573">
        <v>19.68</v>
      </c>
      <c r="O5464" s="556" t="str">
        <f>IF(N5464=M5464,"OK","DIF")</f>
        <v>DIF</v>
      </c>
      <c r="P5464" s="573"/>
      <c r="Q5464" s="556"/>
      <c r="R5464" s="582"/>
    </row>
    <row r="5465" ht="26.25" spans="1:18">
      <c r="A5465" s="556" t="str">
        <f>B5465</f>
        <v>Composição</v>
      </c>
      <c r="B5465" s="557" t="str">
        <f>B5464</f>
        <v>Composição</v>
      </c>
      <c r="C5465" s="108"/>
      <c r="D5465" s="108"/>
      <c r="E5465" s="108"/>
      <c r="F5465" s="108"/>
      <c r="G5465" s="108"/>
      <c r="H5465" s="108" t="s">
        <v>2901</v>
      </c>
      <c r="I5465" s="581">
        <v>92.19</v>
      </c>
      <c r="J5465" s="114"/>
      <c r="K5465" s="114" t="s">
        <v>2902</v>
      </c>
      <c r="L5465" s="108"/>
      <c r="M5465" s="581">
        <v>453.88</v>
      </c>
      <c r="N5465" s="573">
        <v>25.04</v>
      </c>
      <c r="O5465" s="556" t="str">
        <f>IF(N5465=M5465,"OK","DIF")</f>
        <v>DIF</v>
      </c>
      <c r="P5465" s="573"/>
      <c r="Q5465" s="556"/>
      <c r="R5465" s="582"/>
    </row>
    <row r="5466" ht="15" spans="1:18">
      <c r="A5466" s="556"/>
      <c r="B5466" s="557"/>
      <c r="C5466" s="571"/>
      <c r="D5466" s="571"/>
      <c r="E5466" s="571"/>
      <c r="F5466" s="571"/>
      <c r="G5466" s="571"/>
      <c r="H5466" s="571"/>
      <c r="I5466" s="571"/>
      <c r="J5466" s="571"/>
      <c r="K5466" s="571"/>
      <c r="L5466" s="571"/>
      <c r="M5466" s="571"/>
      <c r="N5466" s="573"/>
      <c r="O5466" s="556"/>
      <c r="P5466" s="573"/>
      <c r="Q5466" s="556"/>
      <c r="R5466" s="582"/>
    </row>
    <row r="5467" ht="15" customHeight="1" spans="1:18">
      <c r="A5467" s="556"/>
      <c r="B5467" s="557"/>
      <c r="C5467" s="76" t="s">
        <v>1839</v>
      </c>
      <c r="D5467" s="75" t="s">
        <v>63</v>
      </c>
      <c r="E5467" s="76" t="s">
        <v>64</v>
      </c>
      <c r="F5467" s="76" t="s">
        <v>65</v>
      </c>
      <c r="G5467" s="76" t="s">
        <v>2889</v>
      </c>
      <c r="H5467" s="76"/>
      <c r="I5467" s="77" t="s">
        <v>66</v>
      </c>
      <c r="J5467" s="75" t="s">
        <v>67</v>
      </c>
      <c r="K5467" s="75" t="s">
        <v>2890</v>
      </c>
      <c r="L5467" s="75" t="s">
        <v>68</v>
      </c>
      <c r="M5467" s="75" t="s">
        <v>70</v>
      </c>
      <c r="N5467" s="573"/>
      <c r="O5467" s="556"/>
      <c r="P5467" s="573"/>
      <c r="Q5467" s="556"/>
      <c r="R5467" s="582"/>
    </row>
    <row r="5468" ht="35.05" customHeight="1" spans="1:18">
      <c r="A5468" s="556"/>
      <c r="B5468" s="557" t="str">
        <f>C5467</f>
        <v> 14.1.1.26 </v>
      </c>
      <c r="C5468" s="569" t="s">
        <v>2891</v>
      </c>
      <c r="D5468" s="570" t="s">
        <v>1840</v>
      </c>
      <c r="E5468" s="569" t="s">
        <v>132</v>
      </c>
      <c r="F5468" s="569" t="s">
        <v>1841</v>
      </c>
      <c r="G5468" s="569" t="s">
        <v>4227</v>
      </c>
      <c r="H5468" s="569"/>
      <c r="I5468" s="577" t="s">
        <v>134</v>
      </c>
      <c r="J5468" s="578">
        <v>1</v>
      </c>
      <c r="K5468" s="579"/>
      <c r="L5468" s="579">
        <v>1617.79</v>
      </c>
      <c r="M5468" s="579">
        <v>1617.79</v>
      </c>
      <c r="N5468" s="573">
        <v>72.46</v>
      </c>
      <c r="O5468" s="556" t="str">
        <f>IF(N5468=M5468,"OK","DIF")</f>
        <v>DIF</v>
      </c>
      <c r="P5468" s="573"/>
      <c r="Q5468" s="556"/>
      <c r="R5468" s="582"/>
    </row>
    <row r="5469" ht="23.85" customHeight="1" spans="1:18">
      <c r="A5469" s="556" t="str">
        <f>B5469</f>
        <v> 14.1.1.26 </v>
      </c>
      <c r="B5469" s="557" t="str">
        <f>B5468</f>
        <v> 14.1.1.26 </v>
      </c>
      <c r="C5469" s="79" t="s">
        <v>2921</v>
      </c>
      <c r="D5469" s="78" t="s">
        <v>3153</v>
      </c>
      <c r="E5469" s="79" t="s">
        <v>139</v>
      </c>
      <c r="F5469" s="79" t="s">
        <v>3154</v>
      </c>
      <c r="G5469" s="79" t="s">
        <v>2928</v>
      </c>
      <c r="H5469" s="79"/>
      <c r="I5469" s="80" t="s">
        <v>2897</v>
      </c>
      <c r="J5469" s="583">
        <v>0.3</v>
      </c>
      <c r="K5469" s="583">
        <v>0</v>
      </c>
      <c r="L5469" s="92">
        <v>30.6</v>
      </c>
      <c r="M5469" s="92">
        <v>9.18</v>
      </c>
      <c r="N5469" s="573">
        <v>29.89</v>
      </c>
      <c r="O5469" s="556" t="str">
        <f>IF(N5469=M5469,"OK","DIF")</f>
        <v>DIF</v>
      </c>
      <c r="P5469" s="573"/>
      <c r="Q5469" s="556"/>
      <c r="R5469" s="582"/>
    </row>
    <row r="5470" ht="23.85" customHeight="1" spans="1:18">
      <c r="A5470" s="556" t="str">
        <f>B5470</f>
        <v> 14.1.1.26 </v>
      </c>
      <c r="B5470" s="557" t="str">
        <f>B5469</f>
        <v> 14.1.1.26 </v>
      </c>
      <c r="C5470" s="79" t="s">
        <v>2921</v>
      </c>
      <c r="D5470" s="78" t="s">
        <v>3151</v>
      </c>
      <c r="E5470" s="79" t="s">
        <v>139</v>
      </c>
      <c r="F5470" s="79" t="s">
        <v>3152</v>
      </c>
      <c r="G5470" s="79" t="s">
        <v>2928</v>
      </c>
      <c r="H5470" s="79"/>
      <c r="I5470" s="80" t="s">
        <v>2897</v>
      </c>
      <c r="J5470" s="583">
        <v>0.3</v>
      </c>
      <c r="K5470" s="583">
        <v>0</v>
      </c>
      <c r="L5470" s="92">
        <v>36.82</v>
      </c>
      <c r="M5470" s="92">
        <v>11.04</v>
      </c>
      <c r="N5470" s="573">
        <v>26.97</v>
      </c>
      <c r="O5470" s="556" t="str">
        <f>IF(N5470=M5470,"OK","DIF")</f>
        <v>DIF</v>
      </c>
      <c r="P5470" s="573"/>
      <c r="Q5470" s="556"/>
      <c r="R5470" s="582"/>
    </row>
    <row r="5471" ht="15" customHeight="1" spans="1:18">
      <c r="A5471" s="556" t="str">
        <f>B5471</f>
        <v> 14.1.1.26 </v>
      </c>
      <c r="B5471" s="557" t="str">
        <f>B5470</f>
        <v> 14.1.1.26 </v>
      </c>
      <c r="C5471" s="100" t="s">
        <v>2893</v>
      </c>
      <c r="D5471" s="99" t="s">
        <v>4562</v>
      </c>
      <c r="E5471" s="100" t="s">
        <v>132</v>
      </c>
      <c r="F5471" s="100" t="s">
        <v>4563</v>
      </c>
      <c r="G5471" s="100" t="s">
        <v>2961</v>
      </c>
      <c r="H5471" s="100"/>
      <c r="I5471" s="101" t="s">
        <v>134</v>
      </c>
      <c r="J5471" s="580">
        <v>1</v>
      </c>
      <c r="K5471" s="580">
        <v>0</v>
      </c>
      <c r="L5471" s="102">
        <v>1597.57</v>
      </c>
      <c r="M5471" s="102">
        <v>1597.57</v>
      </c>
      <c r="N5471" s="573">
        <v>14.9</v>
      </c>
      <c r="O5471" s="556" t="str">
        <f>IF(N5471=M5471,"OK","DIF")</f>
        <v>DIF</v>
      </c>
      <c r="P5471" s="573"/>
      <c r="Q5471" s="556"/>
      <c r="R5471" s="582"/>
    </row>
    <row r="5472" ht="25.5" spans="1:18">
      <c r="A5472" s="556" t="str">
        <f>B5472</f>
        <v> 14.1.1.26 </v>
      </c>
      <c r="B5472" s="557" t="str">
        <f>B5471</f>
        <v> 14.1.1.26 </v>
      </c>
      <c r="C5472" s="108"/>
      <c r="D5472" s="108"/>
      <c r="E5472" s="108"/>
      <c r="F5472" s="108"/>
      <c r="G5472" s="108"/>
      <c r="H5472" s="108" t="s">
        <v>2898</v>
      </c>
      <c r="I5472" s="581">
        <v>14.19</v>
      </c>
      <c r="J5472" s="108" t="s">
        <v>2899</v>
      </c>
      <c r="K5472" s="581">
        <v>0</v>
      </c>
      <c r="L5472" s="108" t="s">
        <v>2900</v>
      </c>
      <c r="M5472" s="581">
        <v>14.19</v>
      </c>
      <c r="N5472" s="573">
        <v>0.7</v>
      </c>
      <c r="O5472" s="556" t="str">
        <f>IF(N5472=M5472,"OK","DIF")</f>
        <v>DIF</v>
      </c>
      <c r="P5472" s="573"/>
      <c r="Q5472" s="556"/>
      <c r="R5472" s="582"/>
    </row>
    <row r="5473" ht="26.25" spans="1:18">
      <c r="A5473" s="556"/>
      <c r="B5473" s="557"/>
      <c r="C5473" s="108"/>
      <c r="D5473" s="108"/>
      <c r="E5473" s="108"/>
      <c r="F5473" s="108"/>
      <c r="G5473" s="108"/>
      <c r="H5473" s="108" t="s">
        <v>2901</v>
      </c>
      <c r="I5473" s="581">
        <v>412.37</v>
      </c>
      <c r="J5473" s="114"/>
      <c r="K5473" s="114" t="s">
        <v>2902</v>
      </c>
      <c r="L5473" s="108"/>
      <c r="M5473" s="581">
        <v>2030.16</v>
      </c>
      <c r="N5473" s="573"/>
      <c r="O5473" s="556"/>
      <c r="P5473" s="573"/>
      <c r="Q5473" s="556"/>
      <c r="R5473" s="582"/>
    </row>
    <row r="5474" ht="15" spans="1:18">
      <c r="A5474" s="556"/>
      <c r="B5474" s="557"/>
      <c r="C5474" s="571"/>
      <c r="D5474" s="571"/>
      <c r="E5474" s="571"/>
      <c r="F5474" s="571"/>
      <c r="G5474" s="571"/>
      <c r="H5474" s="571"/>
      <c r="I5474" s="571"/>
      <c r="J5474" s="571"/>
      <c r="K5474" s="571"/>
      <c r="L5474" s="571"/>
      <c r="M5474" s="571"/>
      <c r="N5474" s="573"/>
      <c r="O5474" s="556"/>
      <c r="P5474" s="573"/>
      <c r="Q5474" s="556"/>
      <c r="R5474" s="582"/>
    </row>
    <row r="5475" ht="15" customHeight="1" spans="1:18">
      <c r="A5475" s="556"/>
      <c r="B5475" s="557"/>
      <c r="C5475" s="76" t="s">
        <v>1842</v>
      </c>
      <c r="D5475" s="75" t="s">
        <v>63</v>
      </c>
      <c r="E5475" s="76" t="s">
        <v>64</v>
      </c>
      <c r="F5475" s="76" t="s">
        <v>65</v>
      </c>
      <c r="G5475" s="76" t="s">
        <v>2889</v>
      </c>
      <c r="H5475" s="76"/>
      <c r="I5475" s="77" t="s">
        <v>66</v>
      </c>
      <c r="J5475" s="75" t="s">
        <v>67</v>
      </c>
      <c r="K5475" s="75" t="s">
        <v>2890</v>
      </c>
      <c r="L5475" s="75" t="s">
        <v>68</v>
      </c>
      <c r="M5475" s="75" t="s">
        <v>70</v>
      </c>
      <c r="N5475" s="573"/>
      <c r="O5475" s="556"/>
      <c r="P5475" s="573"/>
      <c r="Q5475" s="556"/>
      <c r="R5475" s="582"/>
    </row>
    <row r="5476" ht="35.05" customHeight="1" spans="1:18">
      <c r="A5476" s="556"/>
      <c r="B5476" s="557" t="str">
        <f>C5475</f>
        <v> 14.1.1.27 </v>
      </c>
      <c r="C5476" s="569" t="s">
        <v>2891</v>
      </c>
      <c r="D5476" s="570" t="s">
        <v>1843</v>
      </c>
      <c r="E5476" s="569" t="s">
        <v>132</v>
      </c>
      <c r="F5476" s="569" t="s">
        <v>1844</v>
      </c>
      <c r="G5476" s="569" t="s">
        <v>4227</v>
      </c>
      <c r="H5476" s="569"/>
      <c r="I5476" s="577" t="s">
        <v>134</v>
      </c>
      <c r="J5476" s="578">
        <v>1</v>
      </c>
      <c r="K5476" s="579"/>
      <c r="L5476" s="579">
        <v>3422.52</v>
      </c>
      <c r="M5476" s="579">
        <v>3422.52</v>
      </c>
      <c r="N5476" s="573">
        <v>18.57</v>
      </c>
      <c r="O5476" s="556" t="str">
        <f>IF(N5476=M5476,"OK","DIF")</f>
        <v>DIF</v>
      </c>
      <c r="P5476" s="573"/>
      <c r="Q5476" s="556"/>
      <c r="R5476" s="582"/>
    </row>
    <row r="5477" ht="23.85" customHeight="1" spans="1:18">
      <c r="A5477" s="556" t="str">
        <f>B5477</f>
        <v> 14.1.1.27 </v>
      </c>
      <c r="B5477" s="557" t="str">
        <f>B5476</f>
        <v> 14.1.1.27 </v>
      </c>
      <c r="C5477" s="79" t="s">
        <v>2921</v>
      </c>
      <c r="D5477" s="78" t="s">
        <v>3153</v>
      </c>
      <c r="E5477" s="79" t="s">
        <v>139</v>
      </c>
      <c r="F5477" s="79" t="s">
        <v>3154</v>
      </c>
      <c r="G5477" s="79" t="s">
        <v>2928</v>
      </c>
      <c r="H5477" s="79"/>
      <c r="I5477" s="80" t="s">
        <v>2897</v>
      </c>
      <c r="J5477" s="583">
        <v>0.5</v>
      </c>
      <c r="K5477" s="583">
        <v>0</v>
      </c>
      <c r="L5477" s="92">
        <v>30.6</v>
      </c>
      <c r="M5477" s="92">
        <v>15.3</v>
      </c>
      <c r="N5477" s="573">
        <v>3.45</v>
      </c>
      <c r="O5477" s="556" t="str">
        <f>IF(N5477=M5477,"OK","DIF")</f>
        <v>DIF</v>
      </c>
      <c r="P5477" s="573"/>
      <c r="Q5477" s="556"/>
      <c r="R5477" s="582"/>
    </row>
    <row r="5478" ht="23.85" customHeight="1" spans="1:18">
      <c r="A5478" s="556" t="str">
        <f>B5478</f>
        <v> 14.1.1.27 </v>
      </c>
      <c r="B5478" s="557" t="str">
        <f>B5477</f>
        <v> 14.1.1.27 </v>
      </c>
      <c r="C5478" s="79" t="s">
        <v>2921</v>
      </c>
      <c r="D5478" s="78" t="s">
        <v>3151</v>
      </c>
      <c r="E5478" s="79" t="s">
        <v>139</v>
      </c>
      <c r="F5478" s="79" t="s">
        <v>3152</v>
      </c>
      <c r="G5478" s="79" t="s">
        <v>2928</v>
      </c>
      <c r="H5478" s="79"/>
      <c r="I5478" s="80" t="s">
        <v>2897</v>
      </c>
      <c r="J5478" s="583">
        <v>0.5</v>
      </c>
      <c r="K5478" s="583">
        <v>0</v>
      </c>
      <c r="L5478" s="92">
        <v>36.82</v>
      </c>
      <c r="M5478" s="92">
        <v>18.41</v>
      </c>
      <c r="N5478" s="573">
        <v>5.34</v>
      </c>
      <c r="O5478" s="556" t="str">
        <f>IF(N5478=M5478,"OK","DIF")</f>
        <v>DIF</v>
      </c>
      <c r="P5478" s="573"/>
      <c r="Q5478" s="556"/>
      <c r="R5478" s="582"/>
    </row>
    <row r="5479" ht="15" customHeight="1" spans="1:18">
      <c r="A5479" s="556" t="str">
        <f>B5479</f>
        <v> 14.1.1.27 </v>
      </c>
      <c r="B5479" s="557" t="str">
        <f>B5478</f>
        <v> 14.1.1.27 </v>
      </c>
      <c r="C5479" s="100" t="s">
        <v>2893</v>
      </c>
      <c r="D5479" s="99" t="s">
        <v>4564</v>
      </c>
      <c r="E5479" s="100" t="s">
        <v>132</v>
      </c>
      <c r="F5479" s="100" t="s">
        <v>4565</v>
      </c>
      <c r="G5479" s="100" t="s">
        <v>2961</v>
      </c>
      <c r="H5479" s="100"/>
      <c r="I5479" s="101" t="s">
        <v>134</v>
      </c>
      <c r="J5479" s="580">
        <v>1</v>
      </c>
      <c r="K5479" s="580">
        <v>0</v>
      </c>
      <c r="L5479" s="102">
        <v>3388.81</v>
      </c>
      <c r="M5479" s="102">
        <v>3388.81</v>
      </c>
      <c r="N5479" s="573">
        <v>9.78</v>
      </c>
      <c r="O5479" s="556" t="str">
        <f>IF(N5479=M5479,"OK","DIF")</f>
        <v>DIF</v>
      </c>
      <c r="P5479" s="573"/>
      <c r="Q5479" s="556"/>
      <c r="R5479" s="582"/>
    </row>
    <row r="5480" ht="25.5" spans="1:18">
      <c r="A5480" s="556"/>
      <c r="B5480" s="557"/>
      <c r="C5480" s="108"/>
      <c r="D5480" s="108"/>
      <c r="E5480" s="108"/>
      <c r="F5480" s="108"/>
      <c r="G5480" s="108"/>
      <c r="H5480" s="108" t="s">
        <v>2898</v>
      </c>
      <c r="I5480" s="581">
        <v>23.65</v>
      </c>
      <c r="J5480" s="108" t="s">
        <v>2899</v>
      </c>
      <c r="K5480" s="581">
        <v>0</v>
      </c>
      <c r="L5480" s="108" t="s">
        <v>2900</v>
      </c>
      <c r="M5480" s="581">
        <v>23.65</v>
      </c>
      <c r="N5480" s="573"/>
      <c r="O5480" s="556"/>
      <c r="P5480" s="573"/>
      <c r="Q5480" s="556"/>
      <c r="R5480" s="582"/>
    </row>
    <row r="5481" ht="26.25" spans="1:18">
      <c r="A5481" s="556"/>
      <c r="B5481" s="557"/>
      <c r="C5481" s="108"/>
      <c r="D5481" s="108"/>
      <c r="E5481" s="108"/>
      <c r="F5481" s="108"/>
      <c r="G5481" s="108"/>
      <c r="H5481" s="108" t="s">
        <v>2901</v>
      </c>
      <c r="I5481" s="581">
        <v>872.4</v>
      </c>
      <c r="J5481" s="114"/>
      <c r="K5481" s="114" t="s">
        <v>2902</v>
      </c>
      <c r="L5481" s="108"/>
      <c r="M5481" s="581">
        <v>4294.92</v>
      </c>
      <c r="N5481" s="573"/>
      <c r="O5481" s="556"/>
      <c r="P5481" s="573"/>
      <c r="Q5481" s="556"/>
      <c r="R5481" s="582"/>
    </row>
    <row r="5482" ht="15" spans="1:18">
      <c r="A5482" s="556"/>
      <c r="B5482" s="557">
        <f>C5481</f>
        <v>0</v>
      </c>
      <c r="C5482" s="571"/>
      <c r="D5482" s="571"/>
      <c r="E5482" s="571"/>
      <c r="F5482" s="571"/>
      <c r="G5482" s="571"/>
      <c r="H5482" s="571"/>
      <c r="I5482" s="571"/>
      <c r="J5482" s="571"/>
      <c r="K5482" s="571"/>
      <c r="L5482" s="571"/>
      <c r="M5482" s="571"/>
      <c r="N5482" s="573">
        <v>16.3</v>
      </c>
      <c r="O5482" s="556" t="str">
        <f>IF(N5482=M5482,"OK","DIF")</f>
        <v>DIF</v>
      </c>
      <c r="P5482" s="573"/>
      <c r="Q5482" s="556"/>
      <c r="R5482" s="582"/>
    </row>
    <row r="5483" ht="15" customHeight="1" spans="1:18">
      <c r="A5483" s="556">
        <f>B5483</f>
        <v>0</v>
      </c>
      <c r="B5483" s="557">
        <f>B5482</f>
        <v>0</v>
      </c>
      <c r="C5483" s="76" t="s">
        <v>1845</v>
      </c>
      <c r="D5483" s="75" t="s">
        <v>63</v>
      </c>
      <c r="E5483" s="76" t="s">
        <v>64</v>
      </c>
      <c r="F5483" s="76" t="s">
        <v>65</v>
      </c>
      <c r="G5483" s="76" t="s">
        <v>2889</v>
      </c>
      <c r="H5483" s="76"/>
      <c r="I5483" s="77" t="s">
        <v>66</v>
      </c>
      <c r="J5483" s="75" t="s">
        <v>67</v>
      </c>
      <c r="K5483" s="75" t="s">
        <v>2890</v>
      </c>
      <c r="L5483" s="75" t="s">
        <v>68</v>
      </c>
      <c r="M5483" s="75" t="s">
        <v>70</v>
      </c>
      <c r="N5483" s="573">
        <v>10.59</v>
      </c>
      <c r="O5483" s="556" t="str">
        <f>IF(N5483=M5483,"OK","DIF")</f>
        <v>DIF</v>
      </c>
      <c r="P5483" s="573"/>
      <c r="Q5483" s="556"/>
      <c r="R5483" s="582"/>
    </row>
    <row r="5484" ht="35.05" customHeight="1" spans="1:18">
      <c r="A5484" s="556">
        <f>B5484</f>
        <v>0</v>
      </c>
      <c r="B5484" s="557">
        <f>B5483</f>
        <v>0</v>
      </c>
      <c r="C5484" s="569" t="s">
        <v>2891</v>
      </c>
      <c r="D5484" s="570" t="s">
        <v>1846</v>
      </c>
      <c r="E5484" s="569" t="s">
        <v>132</v>
      </c>
      <c r="F5484" s="569" t="s">
        <v>1847</v>
      </c>
      <c r="G5484" s="569" t="s">
        <v>4227</v>
      </c>
      <c r="H5484" s="569"/>
      <c r="I5484" s="577" t="s">
        <v>134</v>
      </c>
      <c r="J5484" s="578">
        <v>1</v>
      </c>
      <c r="K5484" s="579"/>
      <c r="L5484" s="579">
        <v>302.89</v>
      </c>
      <c r="M5484" s="579">
        <v>302.89</v>
      </c>
      <c r="N5484" s="573">
        <v>3.2</v>
      </c>
      <c r="O5484" s="556" t="str">
        <f>IF(N5484=M5484,"OK","DIF")</f>
        <v>DIF</v>
      </c>
      <c r="P5484" s="573"/>
      <c r="Q5484" s="556"/>
      <c r="R5484" s="582"/>
    </row>
    <row r="5485" ht="23.85" customHeight="1" spans="1:18">
      <c r="A5485" s="556">
        <f>B5485</f>
        <v>0</v>
      </c>
      <c r="B5485" s="557">
        <f>B5484</f>
        <v>0</v>
      </c>
      <c r="C5485" s="79" t="s">
        <v>2921</v>
      </c>
      <c r="D5485" s="78" t="s">
        <v>3151</v>
      </c>
      <c r="E5485" s="79" t="s">
        <v>139</v>
      </c>
      <c r="F5485" s="79" t="s">
        <v>3152</v>
      </c>
      <c r="G5485" s="79" t="s">
        <v>2928</v>
      </c>
      <c r="H5485" s="79"/>
      <c r="I5485" s="80" t="s">
        <v>2897</v>
      </c>
      <c r="J5485" s="583">
        <v>0.5</v>
      </c>
      <c r="K5485" s="583">
        <v>0</v>
      </c>
      <c r="L5485" s="92">
        <v>36.82</v>
      </c>
      <c r="M5485" s="92">
        <v>18.41</v>
      </c>
      <c r="N5485" s="573">
        <v>2.51</v>
      </c>
      <c r="O5485" s="556" t="str">
        <f>IF(N5485=M5485,"OK","DIF")</f>
        <v>DIF</v>
      </c>
      <c r="P5485" s="573"/>
      <c r="Q5485" s="556"/>
      <c r="R5485" s="582"/>
    </row>
    <row r="5486" ht="23.85" customHeight="1" spans="1:18">
      <c r="A5486" s="556"/>
      <c r="B5486" s="557"/>
      <c r="C5486" s="79" t="s">
        <v>2921</v>
      </c>
      <c r="D5486" s="78" t="s">
        <v>3153</v>
      </c>
      <c r="E5486" s="79" t="s">
        <v>139</v>
      </c>
      <c r="F5486" s="79" t="s">
        <v>3154</v>
      </c>
      <c r="G5486" s="79" t="s">
        <v>2928</v>
      </c>
      <c r="H5486" s="79"/>
      <c r="I5486" s="80" t="s">
        <v>2897</v>
      </c>
      <c r="J5486" s="583">
        <v>0.5</v>
      </c>
      <c r="K5486" s="583">
        <v>0</v>
      </c>
      <c r="L5486" s="92">
        <v>30.6</v>
      </c>
      <c r="M5486" s="92">
        <v>15.3</v>
      </c>
      <c r="N5486" s="573"/>
      <c r="O5486" s="556"/>
      <c r="P5486" s="573"/>
      <c r="Q5486" s="556"/>
      <c r="R5486" s="582"/>
    </row>
    <row r="5487" ht="15" customHeight="1" spans="1:18">
      <c r="A5487" s="556"/>
      <c r="B5487" s="557"/>
      <c r="C5487" s="100" t="s">
        <v>2893</v>
      </c>
      <c r="D5487" s="99" t="s">
        <v>4566</v>
      </c>
      <c r="E5487" s="100" t="s">
        <v>132</v>
      </c>
      <c r="F5487" s="100" t="s">
        <v>4567</v>
      </c>
      <c r="G5487" s="100" t="s">
        <v>2961</v>
      </c>
      <c r="H5487" s="100"/>
      <c r="I5487" s="101" t="s">
        <v>134</v>
      </c>
      <c r="J5487" s="580">
        <v>1</v>
      </c>
      <c r="K5487" s="580">
        <v>0</v>
      </c>
      <c r="L5487" s="102">
        <v>269.18</v>
      </c>
      <c r="M5487" s="102">
        <v>269.18</v>
      </c>
      <c r="N5487" s="573"/>
      <c r="O5487" s="556"/>
      <c r="P5487" s="573"/>
      <c r="Q5487" s="556"/>
      <c r="R5487" s="582"/>
    </row>
    <row r="5488" ht="25.5" spans="1:18">
      <c r="A5488" s="556"/>
      <c r="B5488" s="557" t="str">
        <f>C5487</f>
        <v>Insumo</v>
      </c>
      <c r="C5488" s="108"/>
      <c r="D5488" s="108"/>
      <c r="E5488" s="108"/>
      <c r="F5488" s="108"/>
      <c r="G5488" s="108"/>
      <c r="H5488" s="108" t="s">
        <v>2898</v>
      </c>
      <c r="I5488" s="581">
        <v>23.65</v>
      </c>
      <c r="J5488" s="108" t="s">
        <v>2899</v>
      </c>
      <c r="K5488" s="581">
        <v>0</v>
      </c>
      <c r="L5488" s="108" t="s">
        <v>2900</v>
      </c>
      <c r="M5488" s="581">
        <v>23.65</v>
      </c>
      <c r="N5488" s="573">
        <v>16.36</v>
      </c>
      <c r="O5488" s="556" t="str">
        <f>IF(N5488=M5488,"OK","DIF")</f>
        <v>DIF</v>
      </c>
      <c r="P5488" s="573"/>
      <c r="Q5488" s="556"/>
      <c r="R5488" s="582"/>
    </row>
    <row r="5489" ht="26.25" spans="1:18">
      <c r="A5489" s="556" t="str">
        <f>B5489</f>
        <v>Insumo</v>
      </c>
      <c r="B5489" s="557" t="str">
        <f>B5488</f>
        <v>Insumo</v>
      </c>
      <c r="C5489" s="108"/>
      <c r="D5489" s="108"/>
      <c r="E5489" s="108"/>
      <c r="F5489" s="108"/>
      <c r="G5489" s="108"/>
      <c r="H5489" s="108" t="s">
        <v>2901</v>
      </c>
      <c r="I5489" s="581">
        <v>77.2</v>
      </c>
      <c r="J5489" s="114"/>
      <c r="K5489" s="114" t="s">
        <v>2902</v>
      </c>
      <c r="L5489" s="108"/>
      <c r="M5489" s="581">
        <v>380.09</v>
      </c>
      <c r="N5489" s="573">
        <v>2.51</v>
      </c>
      <c r="O5489" s="556" t="str">
        <f>IF(N5489=M5489,"OK","DIF")</f>
        <v>DIF</v>
      </c>
      <c r="P5489" s="573"/>
      <c r="Q5489" s="556"/>
      <c r="R5489" s="582"/>
    </row>
    <row r="5490" ht="15" spans="1:18">
      <c r="A5490" s="556" t="str">
        <f>B5490</f>
        <v>Insumo</v>
      </c>
      <c r="B5490" s="557" t="str">
        <f>B5489</f>
        <v>Insumo</v>
      </c>
      <c r="C5490" s="571"/>
      <c r="D5490" s="571"/>
      <c r="E5490" s="571"/>
      <c r="F5490" s="571"/>
      <c r="G5490" s="571"/>
      <c r="H5490" s="571"/>
      <c r="I5490" s="571"/>
      <c r="J5490" s="571"/>
      <c r="K5490" s="571"/>
      <c r="L5490" s="571"/>
      <c r="M5490" s="571"/>
      <c r="N5490" s="573">
        <v>10.65</v>
      </c>
      <c r="O5490" s="556" t="str">
        <f>IF(N5490=M5490,"OK","DIF")</f>
        <v>DIF</v>
      </c>
      <c r="P5490" s="573"/>
      <c r="Q5490" s="556"/>
      <c r="R5490" s="582"/>
    </row>
    <row r="5491" ht="15" customHeight="1" spans="1:18">
      <c r="A5491" s="556" t="str">
        <f>B5491</f>
        <v>Insumo</v>
      </c>
      <c r="B5491" s="557" t="str">
        <f>B5490</f>
        <v>Insumo</v>
      </c>
      <c r="C5491" s="76" t="s">
        <v>1853</v>
      </c>
      <c r="D5491" s="75" t="s">
        <v>63</v>
      </c>
      <c r="E5491" s="76" t="s">
        <v>64</v>
      </c>
      <c r="F5491" s="76" t="s">
        <v>65</v>
      </c>
      <c r="G5491" s="76" t="s">
        <v>2889</v>
      </c>
      <c r="H5491" s="76"/>
      <c r="I5491" s="77" t="s">
        <v>66</v>
      </c>
      <c r="J5491" s="75" t="s">
        <v>67</v>
      </c>
      <c r="K5491" s="75" t="s">
        <v>2890</v>
      </c>
      <c r="L5491" s="75" t="s">
        <v>68</v>
      </c>
      <c r="M5491" s="75" t="s">
        <v>70</v>
      </c>
      <c r="N5491" s="573">
        <v>3.2</v>
      </c>
      <c r="O5491" s="556" t="str">
        <f>IF(N5491=M5491,"OK","DIF")</f>
        <v>DIF</v>
      </c>
      <c r="P5491" s="573"/>
      <c r="Q5491" s="556"/>
      <c r="R5491" s="582"/>
    </row>
    <row r="5492" ht="46.25" customHeight="1" spans="1:18">
      <c r="A5492" s="556"/>
      <c r="B5492" s="557"/>
      <c r="C5492" s="569" t="s">
        <v>2891</v>
      </c>
      <c r="D5492" s="570" t="s">
        <v>1649</v>
      </c>
      <c r="E5492" s="569" t="s">
        <v>139</v>
      </c>
      <c r="F5492" s="569" t="s">
        <v>4437</v>
      </c>
      <c r="G5492" s="569" t="s">
        <v>3215</v>
      </c>
      <c r="H5492" s="569"/>
      <c r="I5492" s="577" t="s">
        <v>279</v>
      </c>
      <c r="J5492" s="578">
        <v>1</v>
      </c>
      <c r="K5492" s="579"/>
      <c r="L5492" s="579">
        <v>17.37</v>
      </c>
      <c r="M5492" s="579">
        <v>17.37</v>
      </c>
      <c r="N5492" s="573"/>
      <c r="O5492" s="556"/>
      <c r="P5492" s="573"/>
      <c r="Q5492" s="556"/>
      <c r="R5492" s="582"/>
    </row>
    <row r="5493" ht="46.25" customHeight="1" spans="1:18">
      <c r="A5493" s="556"/>
      <c r="B5493" s="557"/>
      <c r="C5493" s="79" t="s">
        <v>2921</v>
      </c>
      <c r="D5493" s="78" t="s">
        <v>3924</v>
      </c>
      <c r="E5493" s="79" t="s">
        <v>139</v>
      </c>
      <c r="F5493" s="79" t="s">
        <v>3925</v>
      </c>
      <c r="G5493" s="79" t="s">
        <v>2995</v>
      </c>
      <c r="H5493" s="79"/>
      <c r="I5493" s="80" t="s">
        <v>3002</v>
      </c>
      <c r="J5493" s="583">
        <v>0.0568205</v>
      </c>
      <c r="K5493" s="583">
        <v>0</v>
      </c>
      <c r="L5493" s="92">
        <v>159.84</v>
      </c>
      <c r="M5493" s="92">
        <v>9.08</v>
      </c>
      <c r="N5493" s="573"/>
      <c r="O5493" s="556"/>
      <c r="P5493" s="573"/>
      <c r="Q5493" s="556"/>
      <c r="R5493" s="582"/>
    </row>
    <row r="5494" ht="23.85" customHeight="1" spans="1:18">
      <c r="A5494" s="556"/>
      <c r="B5494" s="557" t="str">
        <f>C5493</f>
        <v>Composição Auxiliar</v>
      </c>
      <c r="C5494" s="79" t="s">
        <v>2921</v>
      </c>
      <c r="D5494" s="78" t="s">
        <v>2952</v>
      </c>
      <c r="E5494" s="79" t="s">
        <v>139</v>
      </c>
      <c r="F5494" s="79" t="s">
        <v>2953</v>
      </c>
      <c r="G5494" s="79" t="s">
        <v>2928</v>
      </c>
      <c r="H5494" s="79"/>
      <c r="I5494" s="80" t="s">
        <v>2897</v>
      </c>
      <c r="J5494" s="583">
        <v>0.1209135</v>
      </c>
      <c r="K5494" s="583">
        <v>0</v>
      </c>
      <c r="L5494" s="92">
        <v>29.15</v>
      </c>
      <c r="M5494" s="92">
        <v>3.52</v>
      </c>
      <c r="N5494" s="573">
        <v>16.82</v>
      </c>
      <c r="O5494" s="556" t="str">
        <f>IF(N5494=M5494,"OK","DIF")</f>
        <v>DIF</v>
      </c>
      <c r="P5494" s="573"/>
      <c r="Q5494" s="556"/>
      <c r="R5494" s="582"/>
    </row>
    <row r="5495" ht="46.25" customHeight="1" spans="1:18">
      <c r="A5495" s="556" t="str">
        <f>B5495</f>
        <v>Composição Auxiliar</v>
      </c>
      <c r="B5495" s="557" t="str">
        <f>B5494</f>
        <v>Composição Auxiliar</v>
      </c>
      <c r="C5495" s="79" t="s">
        <v>2921</v>
      </c>
      <c r="D5495" s="78" t="s">
        <v>3912</v>
      </c>
      <c r="E5495" s="79" t="s">
        <v>139</v>
      </c>
      <c r="F5495" s="79" t="s">
        <v>3913</v>
      </c>
      <c r="G5495" s="79" t="s">
        <v>2995</v>
      </c>
      <c r="H5495" s="79"/>
      <c r="I5495" s="80" t="s">
        <v>2996</v>
      </c>
      <c r="J5495" s="583">
        <v>0.0640929</v>
      </c>
      <c r="K5495" s="583">
        <v>0</v>
      </c>
      <c r="L5495" s="92">
        <v>74.56</v>
      </c>
      <c r="M5495" s="92">
        <v>4.77</v>
      </c>
      <c r="N5495" s="573">
        <v>2.51</v>
      </c>
      <c r="O5495" s="556" t="str">
        <f>IF(N5495=M5495,"OK","DIF")</f>
        <v>DIF</v>
      </c>
      <c r="P5495" s="573"/>
      <c r="Q5495" s="556"/>
      <c r="R5495" s="582"/>
    </row>
    <row r="5496" ht="25.5" spans="1:18">
      <c r="A5496" s="556" t="str">
        <f>B5496</f>
        <v>Composição Auxiliar</v>
      </c>
      <c r="B5496" s="557" t="str">
        <f>B5495</f>
        <v>Composição Auxiliar</v>
      </c>
      <c r="C5496" s="108"/>
      <c r="D5496" s="108"/>
      <c r="E5496" s="108"/>
      <c r="F5496" s="108"/>
      <c r="G5496" s="108"/>
      <c r="H5496" s="108" t="s">
        <v>2898</v>
      </c>
      <c r="I5496" s="581">
        <v>6.09</v>
      </c>
      <c r="J5496" s="108" t="s">
        <v>2899</v>
      </c>
      <c r="K5496" s="581">
        <v>0</v>
      </c>
      <c r="L5496" s="108" t="s">
        <v>2900</v>
      </c>
      <c r="M5496" s="581">
        <v>6.09</v>
      </c>
      <c r="N5496" s="573">
        <v>3.2</v>
      </c>
      <c r="O5496" s="556" t="str">
        <f>IF(N5496=M5496,"OK","DIF")</f>
        <v>DIF</v>
      </c>
      <c r="P5496" s="573"/>
      <c r="Q5496" s="556"/>
      <c r="R5496" s="582"/>
    </row>
    <row r="5497" ht="26.25" spans="1:18">
      <c r="A5497" s="556" t="str">
        <f>B5497</f>
        <v>Composição Auxiliar</v>
      </c>
      <c r="B5497" s="557" t="str">
        <f>B5496</f>
        <v>Composição Auxiliar</v>
      </c>
      <c r="C5497" s="108"/>
      <c r="D5497" s="108"/>
      <c r="E5497" s="108"/>
      <c r="F5497" s="108"/>
      <c r="G5497" s="108"/>
      <c r="H5497" s="108" t="s">
        <v>2901</v>
      </c>
      <c r="I5497" s="581">
        <v>4.42</v>
      </c>
      <c r="J5497" s="114"/>
      <c r="K5497" s="114" t="s">
        <v>2902</v>
      </c>
      <c r="L5497" s="108"/>
      <c r="M5497" s="581">
        <v>21.79</v>
      </c>
      <c r="N5497" s="573">
        <v>11.11</v>
      </c>
      <c r="O5497" s="556" t="str">
        <f>IF(N5497=M5497,"OK","DIF")</f>
        <v>DIF</v>
      </c>
      <c r="P5497" s="573"/>
      <c r="Q5497" s="556"/>
      <c r="R5497" s="582"/>
    </row>
    <row r="5498" ht="15" spans="1:18">
      <c r="A5498" s="556"/>
      <c r="B5498" s="557"/>
      <c r="C5498" s="571"/>
      <c r="D5498" s="571"/>
      <c r="E5498" s="571"/>
      <c r="F5498" s="571"/>
      <c r="G5498" s="571"/>
      <c r="H5498" s="571"/>
      <c r="I5498" s="571"/>
      <c r="J5498" s="571"/>
      <c r="K5498" s="571"/>
      <c r="L5498" s="571"/>
      <c r="M5498" s="571"/>
      <c r="N5498" s="573"/>
      <c r="O5498" s="556"/>
      <c r="P5498" s="573"/>
      <c r="Q5498" s="556"/>
      <c r="R5498" s="582"/>
    </row>
    <row r="5499" ht="15" customHeight="1" spans="1:18">
      <c r="A5499" s="556"/>
      <c r="B5499" s="557"/>
      <c r="C5499" s="76" t="s">
        <v>1854</v>
      </c>
      <c r="D5499" s="75" t="s">
        <v>63</v>
      </c>
      <c r="E5499" s="76" t="s">
        <v>64</v>
      </c>
      <c r="F5499" s="76" t="s">
        <v>65</v>
      </c>
      <c r="G5499" s="76" t="s">
        <v>2889</v>
      </c>
      <c r="H5499" s="76"/>
      <c r="I5499" s="77" t="s">
        <v>66</v>
      </c>
      <c r="J5499" s="75" t="s">
        <v>67</v>
      </c>
      <c r="K5499" s="75" t="s">
        <v>2890</v>
      </c>
      <c r="L5499" s="75" t="s">
        <v>68</v>
      </c>
      <c r="M5499" s="75" t="s">
        <v>70</v>
      </c>
      <c r="N5499" s="573"/>
      <c r="O5499" s="556"/>
      <c r="P5499" s="573"/>
      <c r="Q5499" s="556"/>
      <c r="R5499" s="582"/>
    </row>
    <row r="5500" ht="46.25" customHeight="1" spans="1:18">
      <c r="A5500" s="556"/>
      <c r="B5500" s="557" t="str">
        <f>C5499</f>
        <v> 14.1.2.3 </v>
      </c>
      <c r="C5500" s="569" t="s">
        <v>2891</v>
      </c>
      <c r="D5500" s="570" t="s">
        <v>1652</v>
      </c>
      <c r="E5500" s="569" t="s">
        <v>139</v>
      </c>
      <c r="F5500" s="569" t="s">
        <v>4438</v>
      </c>
      <c r="G5500" s="569" t="s">
        <v>3303</v>
      </c>
      <c r="H5500" s="569"/>
      <c r="I5500" s="577" t="s">
        <v>279</v>
      </c>
      <c r="J5500" s="578">
        <v>1</v>
      </c>
      <c r="K5500" s="579"/>
      <c r="L5500" s="579">
        <v>22.09</v>
      </c>
      <c r="M5500" s="579">
        <v>22.09</v>
      </c>
      <c r="N5500" s="573">
        <v>34.14</v>
      </c>
      <c r="O5500" s="556" t="str">
        <f>IF(N5500=M5500,"OK","DIF")</f>
        <v>DIF</v>
      </c>
      <c r="P5500" s="573"/>
      <c r="Q5500" s="556"/>
      <c r="R5500" s="582"/>
    </row>
    <row r="5501" ht="46.25" customHeight="1" spans="1:18">
      <c r="A5501" s="556" t="str">
        <f>B5501</f>
        <v> 14.1.2.3 </v>
      </c>
      <c r="B5501" s="557" t="str">
        <f>B5500</f>
        <v> 14.1.2.3 </v>
      </c>
      <c r="C5501" s="79" t="s">
        <v>2921</v>
      </c>
      <c r="D5501" s="78" t="s">
        <v>3924</v>
      </c>
      <c r="E5501" s="79" t="s">
        <v>139</v>
      </c>
      <c r="F5501" s="79" t="s">
        <v>3925</v>
      </c>
      <c r="G5501" s="79" t="s">
        <v>2995</v>
      </c>
      <c r="H5501" s="79"/>
      <c r="I5501" s="80" t="s">
        <v>3002</v>
      </c>
      <c r="J5501" s="583">
        <v>0.0538</v>
      </c>
      <c r="K5501" s="583">
        <v>0</v>
      </c>
      <c r="L5501" s="92">
        <v>159.84</v>
      </c>
      <c r="M5501" s="92">
        <v>8.59</v>
      </c>
      <c r="N5501" s="573">
        <v>7.87</v>
      </c>
      <c r="O5501" s="556" t="str">
        <f>IF(N5501=M5501,"OK","DIF")</f>
        <v>DIF</v>
      </c>
      <c r="P5501" s="573"/>
      <c r="Q5501" s="556"/>
      <c r="R5501" s="582"/>
    </row>
    <row r="5502" ht="23.85" customHeight="1" spans="1:18">
      <c r="A5502" s="556" t="str">
        <f>B5502</f>
        <v> 14.1.2.3 </v>
      </c>
      <c r="B5502" s="557" t="str">
        <f>B5501</f>
        <v> 14.1.2.3 </v>
      </c>
      <c r="C5502" s="79" t="s">
        <v>2921</v>
      </c>
      <c r="D5502" s="78" t="s">
        <v>2952</v>
      </c>
      <c r="E5502" s="79" t="s">
        <v>139</v>
      </c>
      <c r="F5502" s="79" t="s">
        <v>2953</v>
      </c>
      <c r="G5502" s="79" t="s">
        <v>2928</v>
      </c>
      <c r="H5502" s="79"/>
      <c r="I5502" s="80" t="s">
        <v>2897</v>
      </c>
      <c r="J5502" s="583">
        <v>0.1676</v>
      </c>
      <c r="K5502" s="583">
        <v>0</v>
      </c>
      <c r="L5502" s="92">
        <v>29.15</v>
      </c>
      <c r="M5502" s="92">
        <v>4.88</v>
      </c>
      <c r="N5502" s="573">
        <v>10.01</v>
      </c>
      <c r="O5502" s="556" t="str">
        <f>IF(N5502=M5502,"OK","DIF")</f>
        <v>DIF</v>
      </c>
      <c r="P5502" s="573"/>
      <c r="Q5502" s="556"/>
      <c r="R5502" s="582"/>
    </row>
    <row r="5503" ht="35.05" customHeight="1" spans="1:18">
      <c r="A5503" s="556" t="str">
        <f>B5503</f>
        <v> 14.1.2.3 </v>
      </c>
      <c r="B5503" s="557" t="str">
        <f>B5502</f>
        <v> 14.1.2.3 </v>
      </c>
      <c r="C5503" s="79" t="s">
        <v>2921</v>
      </c>
      <c r="D5503" s="78" t="s">
        <v>4071</v>
      </c>
      <c r="E5503" s="79" t="s">
        <v>139</v>
      </c>
      <c r="F5503" s="79" t="s">
        <v>4072</v>
      </c>
      <c r="G5503" s="79" t="s">
        <v>2995</v>
      </c>
      <c r="H5503" s="79"/>
      <c r="I5503" s="80" t="s">
        <v>3002</v>
      </c>
      <c r="J5503" s="583">
        <v>0.0942</v>
      </c>
      <c r="K5503" s="583">
        <v>0</v>
      </c>
      <c r="L5503" s="92">
        <v>10.19</v>
      </c>
      <c r="M5503" s="92">
        <v>0.95</v>
      </c>
      <c r="N5503" s="573">
        <v>16.26</v>
      </c>
      <c r="O5503" s="556" t="str">
        <f>IF(N5503=M5503,"OK","DIF")</f>
        <v>DIF</v>
      </c>
      <c r="P5503" s="573"/>
      <c r="Q5503" s="556"/>
      <c r="R5503" s="582"/>
    </row>
    <row r="5504" ht="46.25" customHeight="1" spans="1:18">
      <c r="A5504" s="556"/>
      <c r="B5504" s="557"/>
      <c r="C5504" s="79" t="s">
        <v>2921</v>
      </c>
      <c r="D5504" s="78" t="s">
        <v>3308</v>
      </c>
      <c r="E5504" s="79" t="s">
        <v>139</v>
      </c>
      <c r="F5504" s="79" t="s">
        <v>3309</v>
      </c>
      <c r="G5504" s="79" t="s">
        <v>2995</v>
      </c>
      <c r="H5504" s="79"/>
      <c r="I5504" s="80" t="s">
        <v>3002</v>
      </c>
      <c r="J5504" s="583">
        <v>0.0054</v>
      </c>
      <c r="K5504" s="583">
        <v>0</v>
      </c>
      <c r="L5504" s="92">
        <v>339.64</v>
      </c>
      <c r="M5504" s="92">
        <v>1.83</v>
      </c>
      <c r="N5504" s="573"/>
      <c r="O5504" s="556"/>
      <c r="P5504" s="573"/>
      <c r="Q5504" s="556"/>
      <c r="R5504" s="582"/>
    </row>
    <row r="5505" ht="46.25" customHeight="1" spans="1:18">
      <c r="A5505" s="556"/>
      <c r="B5505" s="557"/>
      <c r="C5505" s="79" t="s">
        <v>2921</v>
      </c>
      <c r="D5505" s="78" t="s">
        <v>3304</v>
      </c>
      <c r="E5505" s="79" t="s">
        <v>139</v>
      </c>
      <c r="F5505" s="79" t="s">
        <v>3305</v>
      </c>
      <c r="G5505" s="79" t="s">
        <v>2995</v>
      </c>
      <c r="H5505" s="79"/>
      <c r="I5505" s="80" t="s">
        <v>2996</v>
      </c>
      <c r="J5505" s="583">
        <v>0.0006</v>
      </c>
      <c r="K5505" s="583">
        <v>0</v>
      </c>
      <c r="L5505" s="92">
        <v>94.91</v>
      </c>
      <c r="M5505" s="92">
        <v>0.05</v>
      </c>
      <c r="N5505" s="573"/>
      <c r="O5505" s="556"/>
      <c r="P5505" s="573"/>
      <c r="Q5505" s="556"/>
      <c r="R5505" s="582"/>
    </row>
    <row r="5506" ht="46.25" customHeight="1" spans="1:18">
      <c r="A5506" s="556"/>
      <c r="B5506" s="557" t="str">
        <f>C5505</f>
        <v>Composição Auxiliar</v>
      </c>
      <c r="C5506" s="79" t="s">
        <v>2921</v>
      </c>
      <c r="D5506" s="78" t="s">
        <v>3912</v>
      </c>
      <c r="E5506" s="79" t="s">
        <v>139</v>
      </c>
      <c r="F5506" s="79" t="s">
        <v>3913</v>
      </c>
      <c r="G5506" s="79" t="s">
        <v>2995</v>
      </c>
      <c r="H5506" s="79"/>
      <c r="I5506" s="80" t="s">
        <v>2996</v>
      </c>
      <c r="J5506" s="583">
        <v>0.0777</v>
      </c>
      <c r="K5506" s="583">
        <v>0</v>
      </c>
      <c r="L5506" s="92">
        <v>74.56</v>
      </c>
      <c r="M5506" s="92">
        <v>5.79</v>
      </c>
      <c r="N5506" s="573">
        <v>125.13</v>
      </c>
      <c r="O5506" s="556" t="str">
        <f>IF(N5506=M5506,"OK","DIF")</f>
        <v>DIF</v>
      </c>
      <c r="P5506" s="573"/>
      <c r="Q5506" s="556"/>
      <c r="R5506" s="582"/>
    </row>
    <row r="5507" ht="25.5" spans="1:18">
      <c r="A5507" s="556" t="str">
        <f>B5507</f>
        <v>Composição Auxiliar</v>
      </c>
      <c r="B5507" s="557" t="str">
        <f>B5506</f>
        <v>Composição Auxiliar</v>
      </c>
      <c r="C5507" s="108"/>
      <c r="D5507" s="108"/>
      <c r="E5507" s="108"/>
      <c r="F5507" s="108"/>
      <c r="G5507" s="108"/>
      <c r="H5507" s="108" t="s">
        <v>2898</v>
      </c>
      <c r="I5507" s="581">
        <v>7.56</v>
      </c>
      <c r="J5507" s="108" t="s">
        <v>2899</v>
      </c>
      <c r="K5507" s="581">
        <v>0</v>
      </c>
      <c r="L5507" s="108" t="s">
        <v>2900</v>
      </c>
      <c r="M5507" s="581">
        <v>7.56</v>
      </c>
      <c r="N5507" s="573">
        <v>7.87</v>
      </c>
      <c r="O5507" s="556" t="str">
        <f>IF(N5507=M5507,"OK","DIF")</f>
        <v>DIF</v>
      </c>
      <c r="P5507" s="573"/>
      <c r="Q5507" s="556"/>
      <c r="R5507" s="582"/>
    </row>
    <row r="5508" ht="26.25" spans="1:18">
      <c r="A5508" s="556" t="str">
        <f>B5508</f>
        <v>Composição Auxiliar</v>
      </c>
      <c r="B5508" s="557" t="str">
        <f>B5507</f>
        <v>Composição Auxiliar</v>
      </c>
      <c r="C5508" s="108"/>
      <c r="D5508" s="108"/>
      <c r="E5508" s="108"/>
      <c r="F5508" s="108"/>
      <c r="G5508" s="108"/>
      <c r="H5508" s="108" t="s">
        <v>2901</v>
      </c>
      <c r="I5508" s="581">
        <v>5.63</v>
      </c>
      <c r="J5508" s="114"/>
      <c r="K5508" s="114" t="s">
        <v>2902</v>
      </c>
      <c r="L5508" s="108"/>
      <c r="M5508" s="581">
        <v>27.72</v>
      </c>
      <c r="N5508" s="573">
        <v>10.01</v>
      </c>
      <c r="O5508" s="556" t="str">
        <f>IF(N5508=M5508,"OK","DIF")</f>
        <v>DIF</v>
      </c>
      <c r="P5508" s="573"/>
      <c r="Q5508" s="556"/>
      <c r="R5508" s="582"/>
    </row>
    <row r="5509" ht="15" spans="1:18">
      <c r="A5509" s="556" t="str">
        <f>B5509</f>
        <v>Composição Auxiliar</v>
      </c>
      <c r="B5509" s="557" t="str">
        <f>B5508</f>
        <v>Composição Auxiliar</v>
      </c>
      <c r="C5509" s="571"/>
      <c r="D5509" s="571"/>
      <c r="E5509" s="571"/>
      <c r="F5509" s="571"/>
      <c r="G5509" s="571"/>
      <c r="H5509" s="571"/>
      <c r="I5509" s="571"/>
      <c r="J5509" s="571"/>
      <c r="K5509" s="571"/>
      <c r="L5509" s="571"/>
      <c r="M5509" s="571"/>
      <c r="N5509" s="573">
        <v>107.25</v>
      </c>
      <c r="O5509" s="556" t="str">
        <f>IF(N5509=M5509,"OK","DIF")</f>
        <v>DIF</v>
      </c>
      <c r="P5509" s="573"/>
      <c r="Q5509" s="556"/>
      <c r="R5509" s="582"/>
    </row>
    <row r="5510" ht="15" customHeight="1" spans="1:18">
      <c r="A5510" s="556"/>
      <c r="B5510" s="557"/>
      <c r="C5510" s="76" t="s">
        <v>1855</v>
      </c>
      <c r="D5510" s="75" t="s">
        <v>63</v>
      </c>
      <c r="E5510" s="76" t="s">
        <v>64</v>
      </c>
      <c r="F5510" s="76" t="s">
        <v>65</v>
      </c>
      <c r="G5510" s="76" t="s">
        <v>2889</v>
      </c>
      <c r="H5510" s="76"/>
      <c r="I5510" s="77" t="s">
        <v>66</v>
      </c>
      <c r="J5510" s="75" t="s">
        <v>67</v>
      </c>
      <c r="K5510" s="75" t="s">
        <v>2890</v>
      </c>
      <c r="L5510" s="75" t="s">
        <v>68</v>
      </c>
      <c r="M5510" s="75" t="s">
        <v>70</v>
      </c>
      <c r="N5510" s="573"/>
      <c r="O5510" s="556"/>
      <c r="P5510" s="573"/>
      <c r="Q5510" s="556"/>
      <c r="R5510" s="582"/>
    </row>
    <row r="5511" ht="46.25" customHeight="1" spans="1:18">
      <c r="A5511" s="556"/>
      <c r="B5511" s="557"/>
      <c r="C5511" s="569" t="s">
        <v>2891</v>
      </c>
      <c r="D5511" s="570" t="s">
        <v>1262</v>
      </c>
      <c r="E5511" s="569" t="s">
        <v>132</v>
      </c>
      <c r="F5511" s="569" t="s">
        <v>1263</v>
      </c>
      <c r="G5511" s="569" t="s">
        <v>3996</v>
      </c>
      <c r="H5511" s="569"/>
      <c r="I5511" s="577" t="s">
        <v>134</v>
      </c>
      <c r="J5511" s="578">
        <v>1</v>
      </c>
      <c r="K5511" s="579"/>
      <c r="L5511" s="579">
        <v>1081.08</v>
      </c>
      <c r="M5511" s="579">
        <v>1081.08</v>
      </c>
      <c r="N5511" s="573"/>
      <c r="O5511" s="556"/>
      <c r="P5511" s="573"/>
      <c r="Q5511" s="556"/>
      <c r="R5511" s="582"/>
    </row>
    <row r="5512" ht="23.85" customHeight="1" spans="1:18">
      <c r="A5512" s="556"/>
      <c r="B5512" s="557" t="str">
        <f>C5511</f>
        <v>Composição</v>
      </c>
      <c r="C5512" s="79" t="s">
        <v>2921</v>
      </c>
      <c r="D5512" s="78" t="s">
        <v>2954</v>
      </c>
      <c r="E5512" s="79" t="s">
        <v>139</v>
      </c>
      <c r="F5512" s="79" t="s">
        <v>2955</v>
      </c>
      <c r="G5512" s="79" t="s">
        <v>2928</v>
      </c>
      <c r="H5512" s="79"/>
      <c r="I5512" s="80" t="s">
        <v>2897</v>
      </c>
      <c r="J5512" s="583">
        <v>0.808</v>
      </c>
      <c r="K5512" s="583">
        <v>0</v>
      </c>
      <c r="L5512" s="92">
        <v>37.51</v>
      </c>
      <c r="M5512" s="92">
        <v>30.3</v>
      </c>
      <c r="N5512" s="573">
        <v>42.37</v>
      </c>
      <c r="O5512" s="556" t="str">
        <f>IF(N5512=M5512,"OK","DIF")</f>
        <v>DIF</v>
      </c>
      <c r="P5512" s="573"/>
      <c r="Q5512" s="556"/>
      <c r="R5512" s="582"/>
    </row>
    <row r="5513" ht="23.85" customHeight="1" spans="1:18">
      <c r="A5513" s="556" t="str">
        <f>B5513</f>
        <v>Composição</v>
      </c>
      <c r="B5513" s="557" t="str">
        <f>B5512</f>
        <v>Composição</v>
      </c>
      <c r="C5513" s="79" t="s">
        <v>2921</v>
      </c>
      <c r="D5513" s="78" t="s">
        <v>4085</v>
      </c>
      <c r="E5513" s="79" t="s">
        <v>139</v>
      </c>
      <c r="F5513" s="79" t="s">
        <v>4086</v>
      </c>
      <c r="G5513" s="79" t="s">
        <v>2928</v>
      </c>
      <c r="H5513" s="79"/>
      <c r="I5513" s="80" t="s">
        <v>2897</v>
      </c>
      <c r="J5513" s="583">
        <v>0.894</v>
      </c>
      <c r="K5513" s="583">
        <v>0</v>
      </c>
      <c r="L5513" s="92">
        <v>30.13</v>
      </c>
      <c r="M5513" s="92">
        <v>26.93</v>
      </c>
      <c r="N5513" s="573">
        <v>10.01</v>
      </c>
      <c r="O5513" s="556" t="str">
        <f>IF(N5513=M5513,"OK","DIF")</f>
        <v>DIF</v>
      </c>
      <c r="P5513" s="573"/>
      <c r="Q5513" s="556"/>
      <c r="R5513" s="582"/>
    </row>
    <row r="5514" ht="23.85" customHeight="1" spans="1:18">
      <c r="A5514" s="556" t="str">
        <f>B5514</f>
        <v>Composição</v>
      </c>
      <c r="B5514" s="557" t="str">
        <f>B5513</f>
        <v>Composição</v>
      </c>
      <c r="C5514" s="79" t="s">
        <v>2921</v>
      </c>
      <c r="D5514" s="78" t="s">
        <v>3313</v>
      </c>
      <c r="E5514" s="79" t="s">
        <v>139</v>
      </c>
      <c r="F5514" s="79" t="s">
        <v>3314</v>
      </c>
      <c r="G5514" s="79" t="s">
        <v>2928</v>
      </c>
      <c r="H5514" s="79"/>
      <c r="I5514" s="80" t="s">
        <v>2897</v>
      </c>
      <c r="J5514" s="583">
        <v>0.086</v>
      </c>
      <c r="K5514" s="583">
        <v>0</v>
      </c>
      <c r="L5514" s="92">
        <v>35.95</v>
      </c>
      <c r="M5514" s="92">
        <v>3.09</v>
      </c>
      <c r="N5514" s="573">
        <v>7.87</v>
      </c>
      <c r="O5514" s="556" t="str">
        <f>IF(N5514=M5514,"OK","DIF")</f>
        <v>DIF</v>
      </c>
      <c r="P5514" s="573"/>
      <c r="Q5514" s="556"/>
      <c r="R5514" s="582"/>
    </row>
    <row r="5515" ht="23.85" customHeight="1" spans="1:18">
      <c r="A5515" s="556" t="str">
        <f>B5515</f>
        <v>Composição</v>
      </c>
      <c r="B5515" s="557" t="str">
        <f>B5514</f>
        <v>Composição</v>
      </c>
      <c r="C5515" s="79" t="s">
        <v>2921</v>
      </c>
      <c r="D5515" s="78" t="s">
        <v>3017</v>
      </c>
      <c r="E5515" s="79" t="s">
        <v>139</v>
      </c>
      <c r="F5515" s="79" t="s">
        <v>3018</v>
      </c>
      <c r="G5515" s="79" t="s">
        <v>2928</v>
      </c>
      <c r="H5515" s="79"/>
      <c r="I5515" s="80" t="s">
        <v>2897</v>
      </c>
      <c r="J5515" s="583">
        <v>3.301</v>
      </c>
      <c r="K5515" s="583">
        <v>0</v>
      </c>
      <c r="L5515" s="92">
        <v>36.96</v>
      </c>
      <c r="M5515" s="92">
        <v>122</v>
      </c>
      <c r="N5515" s="573">
        <v>24.49</v>
      </c>
      <c r="O5515" s="556" t="str">
        <f>IF(N5515=M5515,"OK","DIF")</f>
        <v>DIF</v>
      </c>
      <c r="P5515" s="573"/>
      <c r="Q5515" s="556"/>
      <c r="R5515" s="582"/>
    </row>
    <row r="5516" ht="23.85" customHeight="1" spans="1:18">
      <c r="A5516" s="556"/>
      <c r="B5516" s="557"/>
      <c r="C5516" s="79" t="s">
        <v>2921</v>
      </c>
      <c r="D5516" s="78" t="s">
        <v>2952</v>
      </c>
      <c r="E5516" s="79" t="s">
        <v>139</v>
      </c>
      <c r="F5516" s="79" t="s">
        <v>2953</v>
      </c>
      <c r="G5516" s="79" t="s">
        <v>2928</v>
      </c>
      <c r="H5516" s="79"/>
      <c r="I5516" s="80" t="s">
        <v>2897</v>
      </c>
      <c r="J5516" s="583">
        <v>9.164</v>
      </c>
      <c r="K5516" s="583">
        <v>0</v>
      </c>
      <c r="L5516" s="92">
        <v>29.15</v>
      </c>
      <c r="M5516" s="92">
        <v>267.13</v>
      </c>
      <c r="N5516" s="573"/>
      <c r="O5516" s="556"/>
      <c r="P5516" s="573"/>
      <c r="Q5516" s="556"/>
      <c r="R5516" s="582"/>
    </row>
    <row r="5517" ht="15" customHeight="1" spans="1:18">
      <c r="A5517" s="556"/>
      <c r="B5517" s="557"/>
      <c r="C5517" s="100" t="s">
        <v>2893</v>
      </c>
      <c r="D5517" s="99" t="s">
        <v>4095</v>
      </c>
      <c r="E5517" s="100" t="s">
        <v>149</v>
      </c>
      <c r="F5517" s="100" t="s">
        <v>4096</v>
      </c>
      <c r="G5517" s="100" t="s">
        <v>2961</v>
      </c>
      <c r="H5517" s="100"/>
      <c r="I5517" s="101" t="s">
        <v>393</v>
      </c>
      <c r="J5517" s="580">
        <v>2.727</v>
      </c>
      <c r="K5517" s="580">
        <v>0</v>
      </c>
      <c r="L5517" s="102">
        <v>1.53</v>
      </c>
      <c r="M5517" s="102">
        <v>4.17</v>
      </c>
      <c r="N5517" s="573"/>
      <c r="O5517" s="556"/>
      <c r="P5517" s="573"/>
      <c r="Q5517" s="556"/>
      <c r="R5517" s="582"/>
    </row>
    <row r="5518" ht="23.85" customHeight="1" spans="1:18">
      <c r="A5518" s="556"/>
      <c r="B5518" s="557" t="str">
        <f>C5517</f>
        <v>Insumo</v>
      </c>
      <c r="C5518" s="100" t="s">
        <v>2893</v>
      </c>
      <c r="D5518" s="99" t="s">
        <v>4117</v>
      </c>
      <c r="E5518" s="100" t="s">
        <v>77</v>
      </c>
      <c r="F5518" s="100" t="s">
        <v>4118</v>
      </c>
      <c r="G5518" s="100" t="s">
        <v>2961</v>
      </c>
      <c r="H5518" s="100"/>
      <c r="I5518" s="101" t="s">
        <v>134</v>
      </c>
      <c r="J5518" s="580">
        <v>1</v>
      </c>
      <c r="K5518" s="580">
        <v>0</v>
      </c>
      <c r="L5518" s="102">
        <v>514.8</v>
      </c>
      <c r="M5518" s="102">
        <v>514.8</v>
      </c>
      <c r="N5518" s="573">
        <v>43.09</v>
      </c>
      <c r="O5518" s="556" t="str">
        <f>IF(N5518=M5518,"OK","DIF")</f>
        <v>DIF</v>
      </c>
      <c r="P5518" s="573"/>
      <c r="Q5518" s="556"/>
      <c r="R5518" s="582"/>
    </row>
    <row r="5519" ht="15" customHeight="1" spans="1:18">
      <c r="A5519" s="556" t="str">
        <f>B5519</f>
        <v>Insumo</v>
      </c>
      <c r="B5519" s="557" t="str">
        <f>B5518</f>
        <v>Insumo</v>
      </c>
      <c r="C5519" s="100" t="s">
        <v>2893</v>
      </c>
      <c r="D5519" s="99" t="s">
        <v>4089</v>
      </c>
      <c r="E5519" s="100" t="s">
        <v>149</v>
      </c>
      <c r="F5519" s="100" t="s">
        <v>4090</v>
      </c>
      <c r="G5519" s="100" t="s">
        <v>2961</v>
      </c>
      <c r="H5519" s="100"/>
      <c r="I5519" s="101" t="s">
        <v>3084</v>
      </c>
      <c r="J5519" s="580">
        <v>0.764</v>
      </c>
      <c r="K5519" s="580">
        <v>0</v>
      </c>
      <c r="L5519" s="102">
        <v>4.77</v>
      </c>
      <c r="M5519" s="102">
        <v>3.64</v>
      </c>
      <c r="N5519" s="573">
        <v>10.01</v>
      </c>
      <c r="O5519" s="556" t="str">
        <f>IF(N5519=M5519,"OK","DIF")</f>
        <v>DIF</v>
      </c>
      <c r="P5519" s="573"/>
      <c r="Q5519" s="556"/>
      <c r="R5519" s="582"/>
    </row>
    <row r="5520" ht="15" customHeight="1" spans="1:18">
      <c r="A5520" s="556" t="str">
        <f>B5520</f>
        <v>Insumo</v>
      </c>
      <c r="B5520" s="557" t="str">
        <f>B5519</f>
        <v>Insumo</v>
      </c>
      <c r="C5520" s="100" t="s">
        <v>2893</v>
      </c>
      <c r="D5520" s="99" t="s">
        <v>4099</v>
      </c>
      <c r="E5520" s="100" t="s">
        <v>149</v>
      </c>
      <c r="F5520" s="100" t="s">
        <v>4100</v>
      </c>
      <c r="G5520" s="100" t="s">
        <v>2961</v>
      </c>
      <c r="H5520" s="100"/>
      <c r="I5520" s="101" t="s">
        <v>279</v>
      </c>
      <c r="J5520" s="580">
        <v>0.023</v>
      </c>
      <c r="K5520" s="580">
        <v>0</v>
      </c>
      <c r="L5520" s="102">
        <v>102.18</v>
      </c>
      <c r="M5520" s="102">
        <v>2.35</v>
      </c>
      <c r="N5520" s="573">
        <v>25.21</v>
      </c>
      <c r="O5520" s="556" t="str">
        <f>IF(N5520=M5520,"OK","DIF")</f>
        <v>DIF</v>
      </c>
      <c r="P5520" s="573"/>
      <c r="Q5520" s="556"/>
      <c r="R5520" s="582"/>
    </row>
    <row r="5521" ht="15" customHeight="1" spans="1:18">
      <c r="A5521" s="556" t="str">
        <f>B5521</f>
        <v>Insumo</v>
      </c>
      <c r="B5521" s="557" t="str">
        <f>B5520</f>
        <v>Insumo</v>
      </c>
      <c r="C5521" s="100" t="s">
        <v>2893</v>
      </c>
      <c r="D5521" s="99" t="s">
        <v>3011</v>
      </c>
      <c r="E5521" s="100" t="s">
        <v>139</v>
      </c>
      <c r="F5521" s="100" t="s">
        <v>3012</v>
      </c>
      <c r="G5521" s="100" t="s">
        <v>2961</v>
      </c>
      <c r="H5521" s="100"/>
      <c r="I5521" s="101" t="s">
        <v>393</v>
      </c>
      <c r="J5521" s="580">
        <v>0.093</v>
      </c>
      <c r="K5521" s="580">
        <v>0</v>
      </c>
      <c r="L5521" s="102">
        <v>18.07</v>
      </c>
      <c r="M5521" s="102">
        <v>1.68</v>
      </c>
      <c r="N5521" s="573">
        <v>7.87</v>
      </c>
      <c r="O5521" s="556" t="str">
        <f>IF(N5521=M5521,"OK","DIF")</f>
        <v>DIF</v>
      </c>
      <c r="P5521" s="573"/>
      <c r="Q5521" s="556"/>
      <c r="R5521" s="582"/>
    </row>
    <row r="5522" ht="23.85" customHeight="1" spans="1:18">
      <c r="A5522" s="556"/>
      <c r="B5522" s="557"/>
      <c r="C5522" s="100" t="s">
        <v>2893</v>
      </c>
      <c r="D5522" s="99" t="s">
        <v>3338</v>
      </c>
      <c r="E5522" s="100" t="s">
        <v>139</v>
      </c>
      <c r="F5522" s="100" t="s">
        <v>3339</v>
      </c>
      <c r="G5522" s="100" t="s">
        <v>2961</v>
      </c>
      <c r="H5522" s="100"/>
      <c r="I5522" s="101" t="s">
        <v>204</v>
      </c>
      <c r="J5522" s="580">
        <v>0.622</v>
      </c>
      <c r="K5522" s="580">
        <v>0</v>
      </c>
      <c r="L5522" s="102">
        <v>14.58</v>
      </c>
      <c r="M5522" s="102">
        <v>9.06</v>
      </c>
      <c r="N5522" s="573"/>
      <c r="O5522" s="556"/>
      <c r="P5522" s="573"/>
      <c r="Q5522" s="556"/>
      <c r="R5522" s="582"/>
    </row>
    <row r="5523" ht="15" customHeight="1" spans="1:18">
      <c r="A5523" s="556"/>
      <c r="B5523" s="557"/>
      <c r="C5523" s="100" t="s">
        <v>2893</v>
      </c>
      <c r="D5523" s="99" t="s">
        <v>4091</v>
      </c>
      <c r="E5523" s="100" t="s">
        <v>149</v>
      </c>
      <c r="F5523" s="100" t="s">
        <v>4092</v>
      </c>
      <c r="G5523" s="100" t="s">
        <v>2961</v>
      </c>
      <c r="H5523" s="100"/>
      <c r="I5523" s="101" t="s">
        <v>279</v>
      </c>
      <c r="J5523" s="580">
        <v>0.086</v>
      </c>
      <c r="K5523" s="580">
        <v>0</v>
      </c>
      <c r="L5523" s="102">
        <v>87.5</v>
      </c>
      <c r="M5523" s="102">
        <v>7.52</v>
      </c>
      <c r="N5523" s="573"/>
      <c r="O5523" s="556"/>
      <c r="P5523" s="573"/>
      <c r="Q5523" s="556"/>
      <c r="R5523" s="582"/>
    </row>
    <row r="5524" ht="23.85" customHeight="1" spans="1:18">
      <c r="A5524" s="556"/>
      <c r="B5524" s="557" t="str">
        <f>C5523</f>
        <v>Insumo</v>
      </c>
      <c r="C5524" s="100" t="s">
        <v>2893</v>
      </c>
      <c r="D5524" s="99" t="s">
        <v>3342</v>
      </c>
      <c r="E5524" s="100" t="s">
        <v>139</v>
      </c>
      <c r="F5524" s="100" t="s">
        <v>3343</v>
      </c>
      <c r="G5524" s="100" t="s">
        <v>2961</v>
      </c>
      <c r="H5524" s="100"/>
      <c r="I5524" s="101" t="s">
        <v>3084</v>
      </c>
      <c r="J5524" s="580">
        <v>0.249</v>
      </c>
      <c r="K5524" s="580">
        <v>0</v>
      </c>
      <c r="L5524" s="102">
        <v>7.97</v>
      </c>
      <c r="M5524" s="102">
        <v>1.98</v>
      </c>
      <c r="N5524" s="573">
        <v>48.15</v>
      </c>
      <c r="O5524" s="556" t="str">
        <f>IF(N5524=M5524,"OK","DIF")</f>
        <v>DIF</v>
      </c>
      <c r="P5524" s="573"/>
      <c r="Q5524" s="556"/>
      <c r="R5524" s="582"/>
    </row>
    <row r="5525" ht="15" customHeight="1" spans="1:18">
      <c r="A5525" s="556" t="str">
        <f>B5525</f>
        <v>Insumo</v>
      </c>
      <c r="B5525" s="557" t="str">
        <f>B5524</f>
        <v>Insumo</v>
      </c>
      <c r="C5525" s="100" t="s">
        <v>2893</v>
      </c>
      <c r="D5525" s="99" t="s">
        <v>4103</v>
      </c>
      <c r="E5525" s="100" t="s">
        <v>149</v>
      </c>
      <c r="F5525" s="100" t="s">
        <v>4104</v>
      </c>
      <c r="G5525" s="100" t="s">
        <v>2961</v>
      </c>
      <c r="H5525" s="100"/>
      <c r="I5525" s="101" t="s">
        <v>279</v>
      </c>
      <c r="J5525" s="580">
        <v>0.011</v>
      </c>
      <c r="K5525" s="580">
        <v>0</v>
      </c>
      <c r="L5525" s="102">
        <v>108.18</v>
      </c>
      <c r="M5525" s="102">
        <v>1.18</v>
      </c>
      <c r="N5525" s="573">
        <v>7.87</v>
      </c>
      <c r="O5525" s="556" t="str">
        <f>IF(N5525=M5525,"OK","DIF")</f>
        <v>DIF</v>
      </c>
      <c r="P5525" s="573"/>
      <c r="Q5525" s="556"/>
      <c r="R5525" s="582"/>
    </row>
    <row r="5526" ht="23.85" customHeight="1" spans="1:18">
      <c r="A5526" s="556" t="str">
        <f>B5526</f>
        <v>Insumo</v>
      </c>
      <c r="B5526" s="557" t="str">
        <f>B5525</f>
        <v>Insumo</v>
      </c>
      <c r="C5526" s="100" t="s">
        <v>2893</v>
      </c>
      <c r="D5526" s="99" t="s">
        <v>4101</v>
      </c>
      <c r="E5526" s="100" t="s">
        <v>139</v>
      </c>
      <c r="F5526" s="100" t="s">
        <v>4102</v>
      </c>
      <c r="G5526" s="100" t="s">
        <v>2961</v>
      </c>
      <c r="H5526" s="100"/>
      <c r="I5526" s="101" t="s">
        <v>134</v>
      </c>
      <c r="J5526" s="580">
        <v>21.858</v>
      </c>
      <c r="K5526" s="580">
        <v>0</v>
      </c>
      <c r="L5526" s="102">
        <v>2.65</v>
      </c>
      <c r="M5526" s="102">
        <v>57.92</v>
      </c>
      <c r="N5526" s="573">
        <v>10.01</v>
      </c>
      <c r="O5526" s="556" t="str">
        <f>IF(N5526=M5526,"OK","DIF")</f>
        <v>DIF</v>
      </c>
      <c r="P5526" s="573"/>
      <c r="Q5526" s="556"/>
      <c r="R5526" s="582"/>
    </row>
    <row r="5527" ht="15" customHeight="1" spans="1:18">
      <c r="A5527" s="556" t="str">
        <f>B5527</f>
        <v>Insumo</v>
      </c>
      <c r="B5527" s="557" t="str">
        <f>B5526</f>
        <v>Insumo</v>
      </c>
      <c r="C5527" s="100" t="s">
        <v>2893</v>
      </c>
      <c r="D5527" s="99" t="s">
        <v>4097</v>
      </c>
      <c r="E5527" s="100" t="s">
        <v>139</v>
      </c>
      <c r="F5527" s="100" t="s">
        <v>4098</v>
      </c>
      <c r="G5527" s="100" t="s">
        <v>2961</v>
      </c>
      <c r="H5527" s="100"/>
      <c r="I5527" s="101" t="s">
        <v>393</v>
      </c>
      <c r="J5527" s="580">
        <v>24.067</v>
      </c>
      <c r="K5527" s="580">
        <v>0</v>
      </c>
      <c r="L5527" s="102">
        <v>0.57</v>
      </c>
      <c r="M5527" s="102">
        <v>13.71</v>
      </c>
      <c r="N5527" s="573">
        <v>30.27</v>
      </c>
      <c r="O5527" s="556" t="str">
        <f>IF(N5527=M5527,"OK","DIF")</f>
        <v>DIF</v>
      </c>
      <c r="P5527" s="573"/>
      <c r="Q5527" s="556"/>
      <c r="R5527" s="582"/>
    </row>
    <row r="5528" ht="23.85" customHeight="1" spans="1:18">
      <c r="A5528" s="556"/>
      <c r="B5528" s="557"/>
      <c r="C5528" s="100" t="s">
        <v>2893</v>
      </c>
      <c r="D5528" s="99" t="s">
        <v>3318</v>
      </c>
      <c r="E5528" s="100" t="s">
        <v>139</v>
      </c>
      <c r="F5528" s="100" t="s">
        <v>3319</v>
      </c>
      <c r="G5528" s="100" t="s">
        <v>2961</v>
      </c>
      <c r="H5528" s="100"/>
      <c r="I5528" s="101" t="s">
        <v>393</v>
      </c>
      <c r="J5528" s="580">
        <v>0.021</v>
      </c>
      <c r="K5528" s="580">
        <v>0</v>
      </c>
      <c r="L5528" s="102">
        <v>22</v>
      </c>
      <c r="M5528" s="102">
        <v>0.46</v>
      </c>
      <c r="N5528" s="573"/>
      <c r="O5528" s="556"/>
      <c r="P5528" s="573"/>
      <c r="Q5528" s="556"/>
      <c r="R5528" s="582"/>
    </row>
    <row r="5529" ht="23.85" customHeight="1" spans="1:18">
      <c r="A5529" s="556"/>
      <c r="B5529" s="557"/>
      <c r="C5529" s="100" t="s">
        <v>2893</v>
      </c>
      <c r="D5529" s="99" t="s">
        <v>2964</v>
      </c>
      <c r="E5529" s="100" t="s">
        <v>139</v>
      </c>
      <c r="F5529" s="100" t="s">
        <v>2965</v>
      </c>
      <c r="G5529" s="100" t="s">
        <v>2961</v>
      </c>
      <c r="H5529" s="100"/>
      <c r="I5529" s="101" t="s">
        <v>204</v>
      </c>
      <c r="J5529" s="580">
        <v>0.311</v>
      </c>
      <c r="K5529" s="580">
        <v>0</v>
      </c>
      <c r="L5529" s="102">
        <v>4.46</v>
      </c>
      <c r="M5529" s="102">
        <v>1.38</v>
      </c>
      <c r="N5529" s="573"/>
      <c r="O5529" s="556"/>
      <c r="P5529" s="573"/>
      <c r="Q5529" s="556"/>
      <c r="R5529" s="582"/>
    </row>
    <row r="5530" ht="15" customHeight="1" spans="1:18">
      <c r="A5530" s="556"/>
      <c r="B5530" s="557" t="str">
        <f>C5529</f>
        <v>Insumo</v>
      </c>
      <c r="C5530" s="100" t="s">
        <v>2893</v>
      </c>
      <c r="D5530" s="99" t="s">
        <v>4087</v>
      </c>
      <c r="E5530" s="100" t="s">
        <v>149</v>
      </c>
      <c r="F5530" s="100" t="s">
        <v>4088</v>
      </c>
      <c r="G5530" s="100" t="s">
        <v>2961</v>
      </c>
      <c r="H5530" s="100"/>
      <c r="I5530" s="101" t="s">
        <v>279</v>
      </c>
      <c r="J5530" s="580">
        <v>0.011</v>
      </c>
      <c r="K5530" s="580">
        <v>0</v>
      </c>
      <c r="L5530" s="102">
        <v>108.75</v>
      </c>
      <c r="M5530" s="102">
        <v>1.19</v>
      </c>
      <c r="N5530" s="573">
        <v>63.53</v>
      </c>
      <c r="O5530" s="556" t="str">
        <f>IF(N5530=M5530,"OK","DIF")</f>
        <v>DIF</v>
      </c>
      <c r="P5530" s="573"/>
      <c r="Q5530" s="556"/>
      <c r="R5530" s="582"/>
    </row>
    <row r="5531" ht="15" customHeight="1" spans="1:18">
      <c r="A5531" s="556" t="str">
        <f>B5531</f>
        <v>Insumo</v>
      </c>
      <c r="B5531" s="557" t="str">
        <f>B5530</f>
        <v>Insumo</v>
      </c>
      <c r="C5531" s="100" t="s">
        <v>2893</v>
      </c>
      <c r="D5531" s="99" t="s">
        <v>4093</v>
      </c>
      <c r="E5531" s="100" t="s">
        <v>139</v>
      </c>
      <c r="F5531" s="100" t="s">
        <v>4094</v>
      </c>
      <c r="G5531" s="100" t="s">
        <v>2961</v>
      </c>
      <c r="H5531" s="100"/>
      <c r="I5531" s="101" t="s">
        <v>393</v>
      </c>
      <c r="J5531" s="580">
        <v>1.176</v>
      </c>
      <c r="K5531" s="580">
        <v>0</v>
      </c>
      <c r="L5531" s="102">
        <v>9.01</v>
      </c>
      <c r="M5531" s="102">
        <v>10.59</v>
      </c>
      <c r="N5531" s="573">
        <v>10.78</v>
      </c>
      <c r="O5531" s="556" t="str">
        <f>IF(N5531=M5531,"OK","DIF")</f>
        <v>DIF</v>
      </c>
      <c r="P5531" s="573"/>
      <c r="Q5531" s="556"/>
      <c r="R5531" s="582"/>
    </row>
    <row r="5532" ht="25.5" spans="1:18">
      <c r="A5532" s="556" t="str">
        <f>B5532</f>
        <v>Insumo</v>
      </c>
      <c r="B5532" s="557" t="str">
        <f>B5531</f>
        <v>Insumo</v>
      </c>
      <c r="C5532" s="108"/>
      <c r="D5532" s="108"/>
      <c r="E5532" s="108"/>
      <c r="F5532" s="108"/>
      <c r="G5532" s="108"/>
      <c r="H5532" s="108" t="s">
        <v>2898</v>
      </c>
      <c r="I5532" s="581">
        <v>307.62</v>
      </c>
      <c r="J5532" s="108" t="s">
        <v>2899</v>
      </c>
      <c r="K5532" s="581">
        <v>0</v>
      </c>
      <c r="L5532" s="108" t="s">
        <v>2900</v>
      </c>
      <c r="M5532" s="581">
        <v>307.62</v>
      </c>
      <c r="N5532" s="573">
        <v>16.71</v>
      </c>
      <c r="O5532" s="556" t="str">
        <f>IF(N5532=M5532,"OK","DIF")</f>
        <v>DIF</v>
      </c>
      <c r="P5532" s="573"/>
      <c r="Q5532" s="556"/>
      <c r="R5532" s="582"/>
    </row>
    <row r="5533" ht="26.25" spans="1:18">
      <c r="A5533" s="556" t="str">
        <f>B5533</f>
        <v>Insumo</v>
      </c>
      <c r="B5533" s="557" t="str">
        <f>B5532</f>
        <v>Insumo</v>
      </c>
      <c r="C5533" s="108"/>
      <c r="D5533" s="108"/>
      <c r="E5533" s="108"/>
      <c r="F5533" s="108"/>
      <c r="G5533" s="108"/>
      <c r="H5533" s="108" t="s">
        <v>2901</v>
      </c>
      <c r="I5533" s="581">
        <v>275.56</v>
      </c>
      <c r="J5533" s="114"/>
      <c r="K5533" s="114" t="s">
        <v>2902</v>
      </c>
      <c r="L5533" s="108"/>
      <c r="M5533" s="581">
        <v>1356.64</v>
      </c>
      <c r="N5533" s="573">
        <v>36.04</v>
      </c>
      <c r="O5533" s="556" t="str">
        <f>IF(N5533=M5533,"OK","DIF")</f>
        <v>DIF</v>
      </c>
      <c r="P5533" s="573"/>
      <c r="Q5533" s="556"/>
      <c r="R5533" s="582"/>
    </row>
    <row r="5534" ht="15" spans="1:18">
      <c r="A5534" s="556"/>
      <c r="B5534" s="557"/>
      <c r="C5534" s="571"/>
      <c r="D5534" s="571"/>
      <c r="E5534" s="571"/>
      <c r="F5534" s="571"/>
      <c r="G5534" s="571"/>
      <c r="H5534" s="571"/>
      <c r="I5534" s="571"/>
      <c r="J5534" s="571"/>
      <c r="K5534" s="571"/>
      <c r="L5534" s="571"/>
      <c r="M5534" s="571"/>
      <c r="N5534" s="573"/>
      <c r="O5534" s="556"/>
      <c r="P5534" s="573"/>
      <c r="Q5534" s="556"/>
      <c r="R5534" s="582"/>
    </row>
    <row r="5535" ht="15" customHeight="1" spans="1:18">
      <c r="A5535" s="556"/>
      <c r="B5535" s="557"/>
      <c r="C5535" s="76" t="s">
        <v>1856</v>
      </c>
      <c r="D5535" s="75" t="s">
        <v>63</v>
      </c>
      <c r="E5535" s="76" t="s">
        <v>64</v>
      </c>
      <c r="F5535" s="76" t="s">
        <v>65</v>
      </c>
      <c r="G5535" s="76" t="s">
        <v>2889</v>
      </c>
      <c r="H5535" s="76"/>
      <c r="I5535" s="77" t="s">
        <v>66</v>
      </c>
      <c r="J5535" s="75" t="s">
        <v>67</v>
      </c>
      <c r="K5535" s="75" t="s">
        <v>2890</v>
      </c>
      <c r="L5535" s="75" t="s">
        <v>68</v>
      </c>
      <c r="M5535" s="75" t="s">
        <v>70</v>
      </c>
      <c r="N5535" s="573"/>
      <c r="O5535" s="556"/>
      <c r="P5535" s="573"/>
      <c r="Q5535" s="556"/>
      <c r="R5535" s="582"/>
    </row>
    <row r="5536" ht="23.85" customHeight="1" spans="1:18">
      <c r="A5536" s="556"/>
      <c r="B5536" s="557" t="str">
        <f>C5535</f>
        <v> 14.1.2.5 </v>
      </c>
      <c r="C5536" s="569" t="s">
        <v>2891</v>
      </c>
      <c r="D5536" s="570" t="s">
        <v>1857</v>
      </c>
      <c r="E5536" s="569" t="s">
        <v>139</v>
      </c>
      <c r="F5536" s="569" t="s">
        <v>1858</v>
      </c>
      <c r="G5536" s="569" t="s">
        <v>3928</v>
      </c>
      <c r="H5536" s="569"/>
      <c r="I5536" s="577" t="s">
        <v>279</v>
      </c>
      <c r="J5536" s="578">
        <v>1</v>
      </c>
      <c r="K5536" s="579"/>
      <c r="L5536" s="579">
        <v>344.76</v>
      </c>
      <c r="M5536" s="579">
        <v>344.76</v>
      </c>
      <c r="N5536" s="573">
        <v>27.49</v>
      </c>
      <c r="O5536" s="556" t="str">
        <f>IF(N5536=M5536,"OK","DIF")</f>
        <v>DIF</v>
      </c>
      <c r="P5536" s="573"/>
      <c r="Q5536" s="556"/>
      <c r="R5536" s="582"/>
    </row>
    <row r="5537" ht="23.85" customHeight="1" spans="1:18">
      <c r="A5537" s="556" t="str">
        <f>B5537</f>
        <v> 14.1.2.5 </v>
      </c>
      <c r="B5537" s="557" t="str">
        <f>B5536</f>
        <v> 14.1.2.5 </v>
      </c>
      <c r="C5537" s="79" t="s">
        <v>2921</v>
      </c>
      <c r="D5537" s="78" t="s">
        <v>3017</v>
      </c>
      <c r="E5537" s="79" t="s">
        <v>139</v>
      </c>
      <c r="F5537" s="79" t="s">
        <v>3018</v>
      </c>
      <c r="G5537" s="79" t="s">
        <v>2928</v>
      </c>
      <c r="H5537" s="79"/>
      <c r="I5537" s="80" t="s">
        <v>2897</v>
      </c>
      <c r="J5537" s="583">
        <v>2.4938</v>
      </c>
      <c r="K5537" s="583">
        <v>0</v>
      </c>
      <c r="L5537" s="92">
        <v>36.96</v>
      </c>
      <c r="M5537" s="92">
        <v>92.17</v>
      </c>
      <c r="N5537" s="573">
        <v>16.71</v>
      </c>
      <c r="O5537" s="556" t="str">
        <f>IF(N5537=M5537,"OK","DIF")</f>
        <v>DIF</v>
      </c>
      <c r="P5537" s="573"/>
      <c r="Q5537" s="556"/>
      <c r="R5537" s="582"/>
    </row>
    <row r="5538" ht="23.85" customHeight="1" spans="1:18">
      <c r="A5538" s="556" t="str">
        <f>B5538</f>
        <v> 14.1.2.5 </v>
      </c>
      <c r="B5538" s="557" t="str">
        <f>B5537</f>
        <v> 14.1.2.5 </v>
      </c>
      <c r="C5538" s="79" t="s">
        <v>2921</v>
      </c>
      <c r="D5538" s="78" t="s">
        <v>2952</v>
      </c>
      <c r="E5538" s="79" t="s">
        <v>139</v>
      </c>
      <c r="F5538" s="79" t="s">
        <v>2953</v>
      </c>
      <c r="G5538" s="79" t="s">
        <v>2928</v>
      </c>
      <c r="H5538" s="79"/>
      <c r="I5538" s="80" t="s">
        <v>2897</v>
      </c>
      <c r="J5538" s="583">
        <v>3.7407</v>
      </c>
      <c r="K5538" s="583">
        <v>0</v>
      </c>
      <c r="L5538" s="92">
        <v>29.15</v>
      </c>
      <c r="M5538" s="92">
        <v>109.04</v>
      </c>
      <c r="N5538" s="573">
        <v>10.78</v>
      </c>
      <c r="O5538" s="556" t="str">
        <f>IF(N5538=M5538,"OK","DIF")</f>
        <v>DIF</v>
      </c>
      <c r="P5538" s="573"/>
      <c r="Q5538" s="556"/>
      <c r="R5538" s="582"/>
    </row>
    <row r="5539" ht="23.85" customHeight="1" spans="1:18">
      <c r="A5539" s="556"/>
      <c r="B5539" s="557"/>
      <c r="C5539" s="79" t="s">
        <v>2921</v>
      </c>
      <c r="D5539" s="78" t="s">
        <v>3306</v>
      </c>
      <c r="E5539" s="79" t="s">
        <v>139</v>
      </c>
      <c r="F5539" s="79" t="s">
        <v>3307</v>
      </c>
      <c r="G5539" s="79" t="s">
        <v>2995</v>
      </c>
      <c r="H5539" s="79"/>
      <c r="I5539" s="80" t="s">
        <v>3002</v>
      </c>
      <c r="J5539" s="583">
        <v>0.0718</v>
      </c>
      <c r="K5539" s="583">
        <v>0</v>
      </c>
      <c r="L5539" s="92">
        <v>48.29</v>
      </c>
      <c r="M5539" s="92">
        <v>3.46</v>
      </c>
      <c r="N5539" s="573"/>
      <c r="O5539" s="556"/>
      <c r="P5539" s="573"/>
      <c r="Q5539" s="556"/>
      <c r="R5539" s="582"/>
    </row>
    <row r="5540" ht="23.85" customHeight="1" spans="1:18">
      <c r="A5540" s="556"/>
      <c r="B5540" s="557"/>
      <c r="C5540" s="79" t="s">
        <v>2921</v>
      </c>
      <c r="D5540" s="78" t="s">
        <v>4568</v>
      </c>
      <c r="E5540" s="79" t="s">
        <v>139</v>
      </c>
      <c r="F5540" s="79" t="s">
        <v>4569</v>
      </c>
      <c r="G5540" s="79" t="s">
        <v>2995</v>
      </c>
      <c r="H5540" s="79"/>
      <c r="I5540" s="80" t="s">
        <v>2996</v>
      </c>
      <c r="J5540" s="583">
        <v>0.0666</v>
      </c>
      <c r="K5540" s="583">
        <v>0</v>
      </c>
      <c r="L5540" s="92">
        <v>40.97</v>
      </c>
      <c r="M5540" s="92">
        <v>2.72</v>
      </c>
      <c r="N5540" s="573"/>
      <c r="O5540" s="556"/>
      <c r="P5540" s="573"/>
      <c r="Q5540" s="556"/>
      <c r="R5540" s="582"/>
    </row>
    <row r="5541" ht="23.85" customHeight="1" spans="1:18">
      <c r="A5541" s="556"/>
      <c r="B5541" s="557" t="str">
        <f>C5540</f>
        <v>Composição Auxiliar</v>
      </c>
      <c r="C5541" s="100" t="s">
        <v>2893</v>
      </c>
      <c r="D5541" s="99" t="s">
        <v>4570</v>
      </c>
      <c r="E5541" s="100" t="s">
        <v>139</v>
      </c>
      <c r="F5541" s="100" t="s">
        <v>4571</v>
      </c>
      <c r="G5541" s="100" t="s">
        <v>2961</v>
      </c>
      <c r="H5541" s="100"/>
      <c r="I5541" s="101" t="s">
        <v>279</v>
      </c>
      <c r="J5541" s="580">
        <v>1.1</v>
      </c>
      <c r="K5541" s="580">
        <v>0</v>
      </c>
      <c r="L5541" s="102">
        <v>124.89</v>
      </c>
      <c r="M5541" s="102">
        <v>137.37</v>
      </c>
      <c r="N5541" s="573">
        <v>27.49</v>
      </c>
      <c r="O5541" s="556" t="str">
        <f>IF(N5541=M5541,"OK","DIF")</f>
        <v>DIF</v>
      </c>
      <c r="P5541" s="573"/>
      <c r="Q5541" s="556"/>
      <c r="R5541" s="582"/>
    </row>
    <row r="5542" ht="25.5" spans="1:18">
      <c r="A5542" s="556" t="str">
        <f>B5542</f>
        <v>Composição Auxiliar</v>
      </c>
      <c r="B5542" s="557" t="str">
        <f>B5541</f>
        <v>Composição Auxiliar</v>
      </c>
      <c r="C5542" s="108"/>
      <c r="D5542" s="108"/>
      <c r="E5542" s="108"/>
      <c r="F5542" s="108"/>
      <c r="G5542" s="108"/>
      <c r="H5542" s="108" t="s">
        <v>2898</v>
      </c>
      <c r="I5542" s="581">
        <v>143.35</v>
      </c>
      <c r="J5542" s="108" t="s">
        <v>2899</v>
      </c>
      <c r="K5542" s="581">
        <v>0</v>
      </c>
      <c r="L5542" s="108" t="s">
        <v>2900</v>
      </c>
      <c r="M5542" s="581">
        <v>143.35</v>
      </c>
      <c r="N5542" s="573">
        <v>16.71</v>
      </c>
      <c r="O5542" s="556" t="str">
        <f>IF(N5542=M5542,"OK","DIF")</f>
        <v>DIF</v>
      </c>
      <c r="P5542" s="573"/>
      <c r="Q5542" s="556"/>
      <c r="R5542" s="582"/>
    </row>
    <row r="5543" ht="26.25" spans="1:18">
      <c r="A5543" s="556" t="str">
        <f>B5543</f>
        <v>Composição Auxiliar</v>
      </c>
      <c r="B5543" s="557" t="str">
        <f>B5542</f>
        <v>Composição Auxiliar</v>
      </c>
      <c r="C5543" s="108"/>
      <c r="D5543" s="108"/>
      <c r="E5543" s="108"/>
      <c r="F5543" s="108"/>
      <c r="G5543" s="108"/>
      <c r="H5543" s="108" t="s">
        <v>2901</v>
      </c>
      <c r="I5543" s="581">
        <v>87.87</v>
      </c>
      <c r="J5543" s="114"/>
      <c r="K5543" s="114" t="s">
        <v>2902</v>
      </c>
      <c r="L5543" s="108"/>
      <c r="M5543" s="581">
        <v>432.63</v>
      </c>
      <c r="N5543" s="573">
        <v>10.78</v>
      </c>
      <c r="O5543" s="556" t="str">
        <f>IF(N5543=M5543,"OK","DIF")</f>
        <v>DIF</v>
      </c>
      <c r="P5543" s="573"/>
      <c r="Q5543" s="556"/>
      <c r="R5543" s="582"/>
    </row>
    <row r="5544" ht="15" spans="1:18">
      <c r="A5544" s="556"/>
      <c r="B5544" s="557"/>
      <c r="C5544" s="571"/>
      <c r="D5544" s="571"/>
      <c r="E5544" s="571"/>
      <c r="F5544" s="571"/>
      <c r="G5544" s="571"/>
      <c r="H5544" s="571"/>
      <c r="I5544" s="571"/>
      <c r="J5544" s="571"/>
      <c r="K5544" s="571"/>
      <c r="L5544" s="571"/>
      <c r="M5544" s="571"/>
      <c r="N5544" s="573"/>
      <c r="O5544" s="556"/>
      <c r="P5544" s="573"/>
      <c r="Q5544" s="556"/>
      <c r="R5544" s="582"/>
    </row>
    <row r="5545" ht="15" customHeight="1" spans="1:18">
      <c r="A5545" s="556"/>
      <c r="B5545" s="557"/>
      <c r="C5545" s="76" t="s">
        <v>1859</v>
      </c>
      <c r="D5545" s="75" t="s">
        <v>63</v>
      </c>
      <c r="E5545" s="76" t="s">
        <v>64</v>
      </c>
      <c r="F5545" s="76" t="s">
        <v>65</v>
      </c>
      <c r="G5545" s="76" t="s">
        <v>2889</v>
      </c>
      <c r="H5545" s="76"/>
      <c r="I5545" s="77" t="s">
        <v>66</v>
      </c>
      <c r="J5545" s="75" t="s">
        <v>67</v>
      </c>
      <c r="K5545" s="75" t="s">
        <v>2890</v>
      </c>
      <c r="L5545" s="75" t="s">
        <v>68</v>
      </c>
      <c r="M5545" s="75" t="s">
        <v>70</v>
      </c>
      <c r="N5545" s="573"/>
      <c r="O5545" s="556"/>
      <c r="P5545" s="573"/>
      <c r="Q5545" s="556"/>
      <c r="R5545" s="582"/>
    </row>
    <row r="5546" ht="46.25" customHeight="1" spans="1:18">
      <c r="A5546" s="556"/>
      <c r="B5546" s="557" t="str">
        <f>C5545</f>
        <v> 14.1.2.6 </v>
      </c>
      <c r="C5546" s="569" t="s">
        <v>2891</v>
      </c>
      <c r="D5546" s="570" t="s">
        <v>1860</v>
      </c>
      <c r="E5546" s="569" t="s">
        <v>796</v>
      </c>
      <c r="F5546" s="569" t="s">
        <v>1861</v>
      </c>
      <c r="G5546" s="569" t="s">
        <v>3704</v>
      </c>
      <c r="H5546" s="569"/>
      <c r="I5546" s="577" t="s">
        <v>1508</v>
      </c>
      <c r="J5546" s="578">
        <v>1</v>
      </c>
      <c r="K5546" s="579"/>
      <c r="L5546" s="579">
        <v>18.88</v>
      </c>
      <c r="M5546" s="579">
        <v>18.88</v>
      </c>
      <c r="N5546" s="573">
        <v>27.49</v>
      </c>
      <c r="O5546" s="556" t="str">
        <f>IF(N5546=M5546,"OK","DIF")</f>
        <v>DIF</v>
      </c>
      <c r="P5546" s="573"/>
      <c r="Q5546" s="556"/>
      <c r="R5546" s="582"/>
    </row>
    <row r="5547" ht="15" customHeight="1" spans="1:18">
      <c r="A5547" s="556" t="str">
        <f>B5547</f>
        <v> 14.1.2.6 </v>
      </c>
      <c r="B5547" s="557" t="str">
        <f>B5546</f>
        <v> 14.1.2.6 </v>
      </c>
      <c r="C5547" s="100" t="s">
        <v>2893</v>
      </c>
      <c r="D5547" s="99" t="s">
        <v>3717</v>
      </c>
      <c r="E5547" s="100" t="s">
        <v>796</v>
      </c>
      <c r="F5547" s="100" t="s">
        <v>3718</v>
      </c>
      <c r="G5547" s="100" t="s">
        <v>2896</v>
      </c>
      <c r="H5547" s="100"/>
      <c r="I5547" s="101" t="s">
        <v>3707</v>
      </c>
      <c r="J5547" s="580">
        <v>0.45</v>
      </c>
      <c r="K5547" s="580">
        <v>0</v>
      </c>
      <c r="L5547" s="102">
        <v>23.89</v>
      </c>
      <c r="M5547" s="102">
        <v>10.75</v>
      </c>
      <c r="N5547" s="573">
        <v>16.71</v>
      </c>
      <c r="O5547" s="556" t="str">
        <f>IF(N5547=M5547,"OK","DIF")</f>
        <v>DIF</v>
      </c>
      <c r="P5547" s="573"/>
      <c r="Q5547" s="556"/>
      <c r="R5547" s="582"/>
    </row>
    <row r="5548" ht="23.85" customHeight="1" spans="1:18">
      <c r="A5548" s="556" t="str">
        <f>B5548</f>
        <v> 14.1.2.6 </v>
      </c>
      <c r="B5548" s="557" t="str">
        <f>B5547</f>
        <v> 14.1.2.6 </v>
      </c>
      <c r="C5548" s="100" t="s">
        <v>2893</v>
      </c>
      <c r="D5548" s="99" t="s">
        <v>4572</v>
      </c>
      <c r="E5548" s="100" t="s">
        <v>796</v>
      </c>
      <c r="F5548" s="100" t="s">
        <v>4573</v>
      </c>
      <c r="G5548" s="100" t="s">
        <v>2961</v>
      </c>
      <c r="H5548" s="100"/>
      <c r="I5548" s="101" t="s">
        <v>1508</v>
      </c>
      <c r="J5548" s="580">
        <v>1.015</v>
      </c>
      <c r="K5548" s="580">
        <v>0</v>
      </c>
      <c r="L5548" s="102">
        <v>7.7</v>
      </c>
      <c r="M5548" s="102">
        <v>7.81</v>
      </c>
      <c r="N5548" s="573">
        <v>10.78</v>
      </c>
      <c r="O5548" s="556" t="str">
        <f>IF(N5548=M5548,"OK","DIF")</f>
        <v>DIF</v>
      </c>
      <c r="P5548" s="573"/>
      <c r="Q5548" s="556"/>
      <c r="R5548" s="582"/>
    </row>
    <row r="5549" ht="35.05" customHeight="1" spans="1:18">
      <c r="A5549" s="556"/>
      <c r="B5549" s="557"/>
      <c r="C5549" s="100" t="s">
        <v>2893</v>
      </c>
      <c r="D5549" s="99" t="s">
        <v>3713</v>
      </c>
      <c r="E5549" s="100" t="s">
        <v>796</v>
      </c>
      <c r="F5549" s="100" t="s">
        <v>3714</v>
      </c>
      <c r="G5549" s="100" t="s">
        <v>3715</v>
      </c>
      <c r="H5549" s="100"/>
      <c r="I5549" s="101" t="s">
        <v>3716</v>
      </c>
      <c r="J5549" s="580">
        <v>10.75</v>
      </c>
      <c r="K5549" s="580">
        <v>3</v>
      </c>
      <c r="L5549" s="102">
        <v>1</v>
      </c>
      <c r="M5549" s="102">
        <v>0.32</v>
      </c>
      <c r="N5549" s="573"/>
      <c r="O5549" s="556"/>
      <c r="P5549" s="573"/>
      <c r="Q5549" s="556"/>
      <c r="R5549" s="582"/>
    </row>
    <row r="5550" ht="25.5" spans="1:18">
      <c r="A5550" s="556"/>
      <c r="B5550" s="557"/>
      <c r="C5550" s="108"/>
      <c r="D5550" s="108"/>
      <c r="E5550" s="108"/>
      <c r="F5550" s="108"/>
      <c r="G5550" s="108"/>
      <c r="H5550" s="108" t="s">
        <v>2898</v>
      </c>
      <c r="I5550" s="581">
        <v>10.75</v>
      </c>
      <c r="J5550" s="108" t="s">
        <v>2899</v>
      </c>
      <c r="K5550" s="581">
        <v>0</v>
      </c>
      <c r="L5550" s="108" t="s">
        <v>2900</v>
      </c>
      <c r="M5550" s="581">
        <v>10.75</v>
      </c>
      <c r="N5550" s="573"/>
      <c r="O5550" s="556"/>
      <c r="P5550" s="573"/>
      <c r="Q5550" s="556"/>
      <c r="R5550" s="582"/>
    </row>
    <row r="5551" ht="26.25" spans="1:18">
      <c r="A5551" s="556"/>
      <c r="B5551" s="557">
        <f>C5550</f>
        <v>0</v>
      </c>
      <c r="C5551" s="108"/>
      <c r="D5551" s="108"/>
      <c r="E5551" s="108"/>
      <c r="F5551" s="108"/>
      <c r="G5551" s="108"/>
      <c r="H5551" s="108" t="s">
        <v>2901</v>
      </c>
      <c r="I5551" s="581">
        <v>4.81</v>
      </c>
      <c r="J5551" s="114"/>
      <c r="K5551" s="114" t="s">
        <v>2902</v>
      </c>
      <c r="L5551" s="108"/>
      <c r="M5551" s="581">
        <v>23.69</v>
      </c>
      <c r="N5551" s="573">
        <v>27.49</v>
      </c>
      <c r="O5551" s="556" t="str">
        <f>IF(N5551=M5551,"OK","DIF")</f>
        <v>DIF</v>
      </c>
      <c r="P5551" s="573"/>
      <c r="Q5551" s="556"/>
      <c r="R5551" s="582"/>
    </row>
    <row r="5552" ht="15" spans="1:18">
      <c r="A5552" s="556">
        <f>B5552</f>
        <v>0</v>
      </c>
      <c r="B5552" s="557">
        <f>B5551</f>
        <v>0</v>
      </c>
      <c r="C5552" s="571"/>
      <c r="D5552" s="571"/>
      <c r="E5552" s="571"/>
      <c r="F5552" s="571"/>
      <c r="G5552" s="571"/>
      <c r="H5552" s="571"/>
      <c r="I5552" s="571"/>
      <c r="J5552" s="571"/>
      <c r="K5552" s="571"/>
      <c r="L5552" s="571"/>
      <c r="M5552" s="571"/>
      <c r="N5552" s="573">
        <v>16.71</v>
      </c>
      <c r="O5552" s="556" t="str">
        <f>IF(N5552=M5552,"OK","DIF")</f>
        <v>DIF</v>
      </c>
      <c r="P5552" s="573"/>
      <c r="Q5552" s="556"/>
      <c r="R5552" s="582"/>
    </row>
    <row r="5553" ht="15" customHeight="1" spans="1:18">
      <c r="A5553" s="556">
        <f>B5553</f>
        <v>0</v>
      </c>
      <c r="B5553" s="557">
        <f>B5552</f>
        <v>0</v>
      </c>
      <c r="C5553" s="76" t="s">
        <v>1862</v>
      </c>
      <c r="D5553" s="75" t="s">
        <v>63</v>
      </c>
      <c r="E5553" s="76" t="s">
        <v>64</v>
      </c>
      <c r="F5553" s="76" t="s">
        <v>65</v>
      </c>
      <c r="G5553" s="76" t="s">
        <v>2889</v>
      </c>
      <c r="H5553" s="76"/>
      <c r="I5553" s="77" t="s">
        <v>66</v>
      </c>
      <c r="J5553" s="75" t="s">
        <v>67</v>
      </c>
      <c r="K5553" s="75" t="s">
        <v>2890</v>
      </c>
      <c r="L5553" s="75" t="s">
        <v>68</v>
      </c>
      <c r="M5553" s="75" t="s">
        <v>70</v>
      </c>
      <c r="N5553" s="573">
        <v>10.78</v>
      </c>
      <c r="O5553" s="556" t="str">
        <f>IF(N5553=M5553,"OK","DIF")</f>
        <v>DIF</v>
      </c>
      <c r="P5553" s="573"/>
      <c r="Q5553" s="556"/>
      <c r="R5553" s="582"/>
    </row>
    <row r="5554" ht="51" spans="1:18">
      <c r="A5554" s="556"/>
      <c r="B5554" s="557"/>
      <c r="C5554" s="569" t="s">
        <v>2891</v>
      </c>
      <c r="D5554" s="570" t="s">
        <v>1863</v>
      </c>
      <c r="E5554" s="569" t="s">
        <v>132</v>
      </c>
      <c r="F5554" s="569" t="s">
        <v>1864</v>
      </c>
      <c r="G5554" s="569"/>
      <c r="H5554" s="569"/>
      <c r="I5554" s="577" t="s">
        <v>134</v>
      </c>
      <c r="J5554" s="578">
        <v>1</v>
      </c>
      <c r="K5554" s="579"/>
      <c r="L5554" s="579">
        <v>4561.85</v>
      </c>
      <c r="M5554" s="579">
        <v>4561.85</v>
      </c>
      <c r="N5554" s="573"/>
      <c r="O5554" s="556"/>
      <c r="P5554" s="573"/>
      <c r="Q5554" s="556"/>
      <c r="R5554" s="582"/>
    </row>
    <row r="5555" ht="23.85" customHeight="1" spans="1:18">
      <c r="A5555" s="556"/>
      <c r="B5555" s="557"/>
      <c r="C5555" s="79" t="s">
        <v>2921</v>
      </c>
      <c r="D5555" s="78" t="s">
        <v>3151</v>
      </c>
      <c r="E5555" s="79" t="s">
        <v>139</v>
      </c>
      <c r="F5555" s="79" t="s">
        <v>3152</v>
      </c>
      <c r="G5555" s="79" t="s">
        <v>2928</v>
      </c>
      <c r="H5555" s="79"/>
      <c r="I5555" s="80" t="s">
        <v>2897</v>
      </c>
      <c r="J5555" s="583">
        <v>1</v>
      </c>
      <c r="K5555" s="583">
        <v>0</v>
      </c>
      <c r="L5555" s="92">
        <v>36.82</v>
      </c>
      <c r="M5555" s="92">
        <v>36.82</v>
      </c>
      <c r="N5555" s="573"/>
      <c r="O5555" s="556"/>
      <c r="P5555" s="573"/>
      <c r="Q5555" s="556"/>
      <c r="R5555" s="582"/>
    </row>
    <row r="5556" ht="23.85" customHeight="1" spans="1:18">
      <c r="A5556" s="556"/>
      <c r="B5556" s="557" t="str">
        <f>C5555</f>
        <v>Composição Auxiliar</v>
      </c>
      <c r="C5556" s="100" t="s">
        <v>2893</v>
      </c>
      <c r="D5556" s="99" t="s">
        <v>4574</v>
      </c>
      <c r="E5556" s="100" t="s">
        <v>132</v>
      </c>
      <c r="F5556" s="100" t="s">
        <v>4575</v>
      </c>
      <c r="G5556" s="100" t="s">
        <v>2961</v>
      </c>
      <c r="H5556" s="100"/>
      <c r="I5556" s="101" t="s">
        <v>134</v>
      </c>
      <c r="J5556" s="580">
        <v>1</v>
      </c>
      <c r="K5556" s="580">
        <v>0</v>
      </c>
      <c r="L5556" s="102">
        <v>4525.03</v>
      </c>
      <c r="M5556" s="102">
        <v>4525.03</v>
      </c>
      <c r="N5556" s="573">
        <v>55</v>
      </c>
      <c r="O5556" s="556" t="str">
        <f>IF(N5556=M5556,"OK","DIF")</f>
        <v>DIF</v>
      </c>
      <c r="P5556" s="573"/>
      <c r="Q5556" s="556"/>
      <c r="R5556" s="582"/>
    </row>
    <row r="5557" ht="25.5" spans="1:18">
      <c r="A5557" s="556" t="str">
        <f>B5557</f>
        <v>Composição Auxiliar</v>
      </c>
      <c r="B5557" s="557" t="str">
        <f>B5556</f>
        <v>Composição Auxiliar</v>
      </c>
      <c r="C5557" s="108"/>
      <c r="D5557" s="108"/>
      <c r="E5557" s="108"/>
      <c r="F5557" s="108"/>
      <c r="G5557" s="108"/>
      <c r="H5557" s="108" t="s">
        <v>2898</v>
      </c>
      <c r="I5557" s="581">
        <v>26.77</v>
      </c>
      <c r="J5557" s="108" t="s">
        <v>2899</v>
      </c>
      <c r="K5557" s="581">
        <v>0</v>
      </c>
      <c r="L5557" s="108" t="s">
        <v>2900</v>
      </c>
      <c r="M5557" s="581">
        <v>26.77</v>
      </c>
      <c r="N5557" s="573">
        <v>37.12</v>
      </c>
      <c r="O5557" s="556" t="str">
        <f>IF(N5557=M5557,"OK","DIF")</f>
        <v>DIF</v>
      </c>
      <c r="P5557" s="573"/>
      <c r="Q5557" s="556"/>
      <c r="R5557" s="582"/>
    </row>
    <row r="5558" ht="26.25" spans="1:18">
      <c r="A5558" s="556" t="str">
        <f>B5558</f>
        <v>Composição Auxiliar</v>
      </c>
      <c r="B5558" s="557" t="str">
        <f>B5557</f>
        <v>Composição Auxiliar</v>
      </c>
      <c r="C5558" s="108"/>
      <c r="D5558" s="108"/>
      <c r="E5558" s="108"/>
      <c r="F5558" s="108"/>
      <c r="G5558" s="108"/>
      <c r="H5558" s="108" t="s">
        <v>2901</v>
      </c>
      <c r="I5558" s="581">
        <v>1162.81</v>
      </c>
      <c r="J5558" s="114"/>
      <c r="K5558" s="114" t="s">
        <v>2902</v>
      </c>
      <c r="L5558" s="108"/>
      <c r="M5558" s="581">
        <v>5724.66</v>
      </c>
      <c r="N5558" s="573">
        <v>7.87</v>
      </c>
      <c r="O5558" s="556" t="str">
        <f>IF(N5558=M5558,"OK","DIF")</f>
        <v>DIF</v>
      </c>
      <c r="P5558" s="573"/>
      <c r="Q5558" s="556"/>
      <c r="R5558" s="582"/>
    </row>
    <row r="5559" ht="15" spans="1:18">
      <c r="A5559" s="556" t="str">
        <f>B5559</f>
        <v>Composição Auxiliar</v>
      </c>
      <c r="B5559" s="557" t="str">
        <f>B5558</f>
        <v>Composição Auxiliar</v>
      </c>
      <c r="C5559" s="571"/>
      <c r="D5559" s="571"/>
      <c r="E5559" s="571"/>
      <c r="F5559" s="571"/>
      <c r="G5559" s="571"/>
      <c r="H5559" s="571"/>
      <c r="I5559" s="571"/>
      <c r="J5559" s="571"/>
      <c r="K5559" s="571"/>
      <c r="L5559" s="571"/>
      <c r="M5559" s="571"/>
      <c r="N5559" s="573">
        <v>10.01</v>
      </c>
      <c r="O5559" s="556" t="str">
        <f>IF(N5559=M5559,"OK","DIF")</f>
        <v>DIF</v>
      </c>
      <c r="P5559" s="573"/>
      <c r="Q5559" s="556"/>
      <c r="R5559" s="582"/>
    </row>
    <row r="5560" ht="15" customHeight="1" spans="1:18">
      <c r="A5560" s="556"/>
      <c r="B5560" s="557"/>
      <c r="C5560" s="76" t="s">
        <v>1869</v>
      </c>
      <c r="D5560" s="75" t="s">
        <v>63</v>
      </c>
      <c r="E5560" s="76" t="s">
        <v>64</v>
      </c>
      <c r="F5560" s="76" t="s">
        <v>65</v>
      </c>
      <c r="G5560" s="76" t="s">
        <v>2889</v>
      </c>
      <c r="H5560" s="76"/>
      <c r="I5560" s="77" t="s">
        <v>66</v>
      </c>
      <c r="J5560" s="75" t="s">
        <v>67</v>
      </c>
      <c r="K5560" s="75" t="s">
        <v>2890</v>
      </c>
      <c r="L5560" s="75" t="s">
        <v>68</v>
      </c>
      <c r="M5560" s="75" t="s">
        <v>70</v>
      </c>
      <c r="N5560" s="573"/>
      <c r="O5560" s="556"/>
      <c r="P5560" s="573"/>
      <c r="Q5560" s="556"/>
      <c r="R5560" s="582"/>
    </row>
    <row r="5561" ht="35.05" customHeight="1" spans="1:18">
      <c r="A5561" s="556"/>
      <c r="B5561" s="557"/>
      <c r="C5561" s="569" t="s">
        <v>2891</v>
      </c>
      <c r="D5561" s="570" t="s">
        <v>1870</v>
      </c>
      <c r="E5561" s="569" t="s">
        <v>139</v>
      </c>
      <c r="F5561" s="569" t="s">
        <v>1871</v>
      </c>
      <c r="G5561" s="569" t="s">
        <v>3642</v>
      </c>
      <c r="H5561" s="569"/>
      <c r="I5561" s="577" t="s">
        <v>204</v>
      </c>
      <c r="J5561" s="578">
        <v>1</v>
      </c>
      <c r="K5561" s="579"/>
      <c r="L5561" s="579">
        <v>53.47</v>
      </c>
      <c r="M5561" s="579">
        <v>53.47</v>
      </c>
      <c r="N5561" s="573"/>
      <c r="O5561" s="556"/>
      <c r="P5561" s="573"/>
      <c r="Q5561" s="556"/>
      <c r="R5561" s="582"/>
    </row>
    <row r="5562" ht="23.85" customHeight="1" spans="1:18">
      <c r="A5562" s="556"/>
      <c r="B5562" s="557" t="str">
        <f>C5561</f>
        <v>Composição</v>
      </c>
      <c r="C5562" s="79" t="s">
        <v>2921</v>
      </c>
      <c r="D5562" s="78" t="s">
        <v>3146</v>
      </c>
      <c r="E5562" s="79" t="s">
        <v>139</v>
      </c>
      <c r="F5562" s="79" t="s">
        <v>3147</v>
      </c>
      <c r="G5562" s="79" t="s">
        <v>2928</v>
      </c>
      <c r="H5562" s="79"/>
      <c r="I5562" s="80" t="s">
        <v>2897</v>
      </c>
      <c r="J5562" s="583">
        <v>0.26</v>
      </c>
      <c r="K5562" s="583">
        <v>0</v>
      </c>
      <c r="L5562" s="92">
        <v>29.54</v>
      </c>
      <c r="M5562" s="92">
        <v>7.68</v>
      </c>
      <c r="N5562" s="573">
        <v>69.81</v>
      </c>
      <c r="O5562" s="556" t="str">
        <f>IF(N5562=M5562,"OK","DIF")</f>
        <v>DIF</v>
      </c>
      <c r="P5562" s="573"/>
      <c r="Q5562" s="556"/>
      <c r="R5562" s="582"/>
    </row>
    <row r="5563" ht="23.85" customHeight="1" spans="1:18">
      <c r="A5563" s="556" t="str">
        <f>B5563</f>
        <v>Composição</v>
      </c>
      <c r="B5563" s="557" t="str">
        <f>B5562</f>
        <v>Composição</v>
      </c>
      <c r="C5563" s="79" t="s">
        <v>2921</v>
      </c>
      <c r="D5563" s="78" t="s">
        <v>3144</v>
      </c>
      <c r="E5563" s="79" t="s">
        <v>139</v>
      </c>
      <c r="F5563" s="79" t="s">
        <v>3145</v>
      </c>
      <c r="G5563" s="79" t="s">
        <v>2928</v>
      </c>
      <c r="H5563" s="79"/>
      <c r="I5563" s="80" t="s">
        <v>2897</v>
      </c>
      <c r="J5563" s="583">
        <v>0.26</v>
      </c>
      <c r="K5563" s="583">
        <v>0</v>
      </c>
      <c r="L5563" s="92">
        <v>35.55</v>
      </c>
      <c r="M5563" s="92">
        <v>9.24</v>
      </c>
      <c r="N5563" s="573">
        <v>51.93</v>
      </c>
      <c r="O5563" s="556" t="str">
        <f>IF(N5563=M5563,"OK","DIF")</f>
        <v>DIF</v>
      </c>
      <c r="P5563" s="573"/>
      <c r="Q5563" s="556"/>
      <c r="R5563" s="582"/>
    </row>
    <row r="5564" ht="23.85" customHeight="1" spans="1:18">
      <c r="A5564" s="556" t="str">
        <f>B5564</f>
        <v>Composição</v>
      </c>
      <c r="B5564" s="557" t="str">
        <f>B5563</f>
        <v>Composição</v>
      </c>
      <c r="C5564" s="100" t="s">
        <v>2893</v>
      </c>
      <c r="D5564" s="99" t="s">
        <v>4576</v>
      </c>
      <c r="E5564" s="100" t="s">
        <v>139</v>
      </c>
      <c r="F5564" s="100" t="s">
        <v>4577</v>
      </c>
      <c r="G5564" s="100" t="s">
        <v>2961</v>
      </c>
      <c r="H5564" s="100"/>
      <c r="I5564" s="101" t="s">
        <v>204</v>
      </c>
      <c r="J5564" s="580">
        <v>1.039</v>
      </c>
      <c r="K5564" s="580">
        <v>0</v>
      </c>
      <c r="L5564" s="102">
        <v>35.18</v>
      </c>
      <c r="M5564" s="102">
        <v>36.55</v>
      </c>
      <c r="N5564" s="573">
        <v>7.87</v>
      </c>
      <c r="O5564" s="556" t="str">
        <f>IF(N5564=M5564,"OK","DIF")</f>
        <v>DIF</v>
      </c>
      <c r="P5564" s="573"/>
      <c r="Q5564" s="556"/>
      <c r="R5564" s="582"/>
    </row>
    <row r="5565" ht="25.5" spans="1:18">
      <c r="A5565" s="556" t="str">
        <f>B5565</f>
        <v>Composição</v>
      </c>
      <c r="B5565" s="557" t="str">
        <f>B5564</f>
        <v>Composição</v>
      </c>
      <c r="C5565" s="108"/>
      <c r="D5565" s="108"/>
      <c r="E5565" s="108"/>
      <c r="F5565" s="108"/>
      <c r="G5565" s="108"/>
      <c r="H5565" s="108" t="s">
        <v>2898</v>
      </c>
      <c r="I5565" s="581">
        <v>12.04</v>
      </c>
      <c r="J5565" s="108" t="s">
        <v>2899</v>
      </c>
      <c r="K5565" s="581">
        <v>0</v>
      </c>
      <c r="L5565" s="108" t="s">
        <v>2900</v>
      </c>
      <c r="M5565" s="581">
        <v>12.04</v>
      </c>
      <c r="N5565" s="573">
        <v>10.01</v>
      </c>
      <c r="O5565" s="556" t="str">
        <f>IF(N5565=M5565,"OK","DIF")</f>
        <v>DIF</v>
      </c>
      <c r="P5565" s="573"/>
      <c r="Q5565" s="556"/>
      <c r="R5565" s="582"/>
    </row>
    <row r="5566" ht="26.25" spans="1:18">
      <c r="A5566" s="556"/>
      <c r="B5566" s="557"/>
      <c r="C5566" s="108"/>
      <c r="D5566" s="108"/>
      <c r="E5566" s="108"/>
      <c r="F5566" s="108"/>
      <c r="G5566" s="108"/>
      <c r="H5566" s="108" t="s">
        <v>2901</v>
      </c>
      <c r="I5566" s="581">
        <v>13.62</v>
      </c>
      <c r="J5566" s="114"/>
      <c r="K5566" s="114" t="s">
        <v>2902</v>
      </c>
      <c r="L5566" s="108"/>
      <c r="M5566" s="581">
        <v>67.09</v>
      </c>
      <c r="N5566" s="573"/>
      <c r="O5566" s="556"/>
      <c r="P5566" s="573"/>
      <c r="Q5566" s="556"/>
      <c r="R5566" s="582"/>
    </row>
    <row r="5567" ht="15" spans="1:18">
      <c r="A5567" s="556"/>
      <c r="B5567" s="557"/>
      <c r="C5567" s="571"/>
      <c r="D5567" s="571"/>
      <c r="E5567" s="571"/>
      <c r="F5567" s="571"/>
      <c r="G5567" s="571"/>
      <c r="H5567" s="571"/>
      <c r="I5567" s="571"/>
      <c r="J5567" s="571"/>
      <c r="K5567" s="571"/>
      <c r="L5567" s="571"/>
      <c r="M5567" s="571"/>
      <c r="N5567" s="573"/>
      <c r="O5567" s="556"/>
      <c r="P5567" s="573"/>
      <c r="Q5567" s="556"/>
      <c r="R5567" s="582"/>
    </row>
    <row r="5568" ht="15" customHeight="1" spans="1:18">
      <c r="A5568" s="556"/>
      <c r="B5568" s="557">
        <f>C5567</f>
        <v>0</v>
      </c>
      <c r="C5568" s="76" t="s">
        <v>1872</v>
      </c>
      <c r="D5568" s="75" t="s">
        <v>63</v>
      </c>
      <c r="E5568" s="76" t="s">
        <v>64</v>
      </c>
      <c r="F5568" s="76" t="s">
        <v>65</v>
      </c>
      <c r="G5568" s="76" t="s">
        <v>2889</v>
      </c>
      <c r="H5568" s="76"/>
      <c r="I5568" s="77" t="s">
        <v>66</v>
      </c>
      <c r="J5568" s="75" t="s">
        <v>67</v>
      </c>
      <c r="K5568" s="75" t="s">
        <v>2890</v>
      </c>
      <c r="L5568" s="75" t="s">
        <v>68</v>
      </c>
      <c r="M5568" s="75" t="s">
        <v>70</v>
      </c>
      <c r="N5568" s="573">
        <v>39.04</v>
      </c>
      <c r="O5568" s="556" t="str">
        <f>IF(N5568=M5568,"OK","DIF")</f>
        <v>DIF</v>
      </c>
      <c r="P5568" s="573"/>
      <c r="Q5568" s="556"/>
      <c r="R5568" s="582"/>
    </row>
    <row r="5569" ht="35.05" customHeight="1" spans="1:18">
      <c r="A5569" s="556">
        <f>B5569</f>
        <v>0</v>
      </c>
      <c r="B5569" s="557">
        <f>B5568</f>
        <v>0</v>
      </c>
      <c r="C5569" s="569" t="s">
        <v>2891</v>
      </c>
      <c r="D5569" s="570" t="s">
        <v>1873</v>
      </c>
      <c r="E5569" s="569" t="s">
        <v>139</v>
      </c>
      <c r="F5569" s="569" t="s">
        <v>1874</v>
      </c>
      <c r="G5569" s="569" t="s">
        <v>3642</v>
      </c>
      <c r="H5569" s="569"/>
      <c r="I5569" s="577" t="s">
        <v>134</v>
      </c>
      <c r="J5569" s="578">
        <v>1</v>
      </c>
      <c r="K5569" s="579"/>
      <c r="L5569" s="579">
        <v>45.92</v>
      </c>
      <c r="M5569" s="579">
        <v>45.92</v>
      </c>
      <c r="N5569" s="573">
        <v>10.78</v>
      </c>
      <c r="O5569" s="556" t="str">
        <f>IF(N5569=M5569,"OK","DIF")</f>
        <v>DIF</v>
      </c>
      <c r="P5569" s="573"/>
      <c r="Q5569" s="556"/>
      <c r="R5569" s="582"/>
    </row>
    <row r="5570" ht="23.85" customHeight="1" spans="1:18">
      <c r="A5570" s="556">
        <f>B5570</f>
        <v>0</v>
      </c>
      <c r="B5570" s="557">
        <f>B5569</f>
        <v>0</v>
      </c>
      <c r="C5570" s="79" t="s">
        <v>2921</v>
      </c>
      <c r="D5570" s="78" t="s">
        <v>3144</v>
      </c>
      <c r="E5570" s="79" t="s">
        <v>139</v>
      </c>
      <c r="F5570" s="79" t="s">
        <v>3145</v>
      </c>
      <c r="G5570" s="79" t="s">
        <v>2928</v>
      </c>
      <c r="H5570" s="79"/>
      <c r="I5570" s="80" t="s">
        <v>2897</v>
      </c>
      <c r="J5570" s="583">
        <v>0.451</v>
      </c>
      <c r="K5570" s="583">
        <v>0</v>
      </c>
      <c r="L5570" s="92">
        <v>35.55</v>
      </c>
      <c r="M5570" s="92">
        <v>16.03</v>
      </c>
      <c r="N5570" s="573">
        <v>16.71</v>
      </c>
      <c r="O5570" s="556" t="str">
        <f>IF(N5570=M5570,"OK","DIF")</f>
        <v>DIF</v>
      </c>
      <c r="P5570" s="573"/>
      <c r="Q5570" s="556"/>
      <c r="R5570" s="582"/>
    </row>
    <row r="5571" ht="23.85" customHeight="1" spans="1:18">
      <c r="A5571" s="556">
        <f>B5571</f>
        <v>0</v>
      </c>
      <c r="B5571" s="557">
        <f>B5570</f>
        <v>0</v>
      </c>
      <c r="C5571" s="79" t="s">
        <v>2921</v>
      </c>
      <c r="D5571" s="78" t="s">
        <v>3146</v>
      </c>
      <c r="E5571" s="79" t="s">
        <v>139</v>
      </c>
      <c r="F5571" s="79" t="s">
        <v>3147</v>
      </c>
      <c r="G5571" s="79" t="s">
        <v>2928</v>
      </c>
      <c r="H5571" s="79"/>
      <c r="I5571" s="80" t="s">
        <v>2897</v>
      </c>
      <c r="J5571" s="583">
        <v>0.451</v>
      </c>
      <c r="K5571" s="583">
        <v>0</v>
      </c>
      <c r="L5571" s="92">
        <v>29.54</v>
      </c>
      <c r="M5571" s="92">
        <v>13.32</v>
      </c>
      <c r="N5571" s="573">
        <v>11.55</v>
      </c>
      <c r="O5571" s="556" t="str">
        <f>IF(N5571=M5571,"OK","DIF")</f>
        <v>DIF</v>
      </c>
      <c r="P5571" s="573"/>
      <c r="Q5571" s="556"/>
      <c r="R5571" s="582"/>
    </row>
    <row r="5572" ht="15" customHeight="1" spans="1:18">
      <c r="A5572" s="556"/>
      <c r="B5572" s="557"/>
      <c r="C5572" s="100" t="s">
        <v>2893</v>
      </c>
      <c r="D5572" s="99" t="s">
        <v>4578</v>
      </c>
      <c r="E5572" s="100" t="s">
        <v>139</v>
      </c>
      <c r="F5572" s="100" t="s">
        <v>4579</v>
      </c>
      <c r="G5572" s="100" t="s">
        <v>2961</v>
      </c>
      <c r="H5572" s="100"/>
      <c r="I5572" s="101" t="s">
        <v>134</v>
      </c>
      <c r="J5572" s="580">
        <v>1</v>
      </c>
      <c r="K5572" s="580">
        <v>0</v>
      </c>
      <c r="L5572" s="102">
        <v>16.24</v>
      </c>
      <c r="M5572" s="102">
        <v>16.24</v>
      </c>
      <c r="N5572" s="573"/>
      <c r="O5572" s="556"/>
      <c r="P5572" s="573"/>
      <c r="Q5572" s="556"/>
      <c r="R5572" s="582"/>
    </row>
    <row r="5573" ht="15" customHeight="1" spans="1:18">
      <c r="A5573" s="556"/>
      <c r="B5573" s="557"/>
      <c r="C5573" s="100" t="s">
        <v>2893</v>
      </c>
      <c r="D5573" s="99" t="s">
        <v>3473</v>
      </c>
      <c r="E5573" s="100" t="s">
        <v>139</v>
      </c>
      <c r="F5573" s="100" t="s">
        <v>3474</v>
      </c>
      <c r="G5573" s="100" t="s">
        <v>2961</v>
      </c>
      <c r="H5573" s="100"/>
      <c r="I5573" s="101" t="s">
        <v>3084</v>
      </c>
      <c r="J5573" s="580">
        <v>0.003</v>
      </c>
      <c r="K5573" s="580">
        <v>0</v>
      </c>
      <c r="L5573" s="102">
        <v>55.41</v>
      </c>
      <c r="M5573" s="102">
        <v>0.16</v>
      </c>
      <c r="N5573" s="573"/>
      <c r="O5573" s="556"/>
      <c r="P5573" s="573"/>
      <c r="Q5573" s="556"/>
      <c r="R5573" s="582"/>
    </row>
    <row r="5574" ht="15" customHeight="1" spans="1:18">
      <c r="A5574" s="556"/>
      <c r="B5574" s="557" t="str">
        <f>C5573</f>
        <v>Insumo</v>
      </c>
      <c r="C5574" s="100" t="s">
        <v>2893</v>
      </c>
      <c r="D5574" s="99" t="s">
        <v>3643</v>
      </c>
      <c r="E5574" s="100" t="s">
        <v>139</v>
      </c>
      <c r="F5574" s="100" t="s">
        <v>3644</v>
      </c>
      <c r="G5574" s="100" t="s">
        <v>2961</v>
      </c>
      <c r="H5574" s="100"/>
      <c r="I5574" s="101" t="s">
        <v>134</v>
      </c>
      <c r="J5574" s="580">
        <v>0.013</v>
      </c>
      <c r="K5574" s="580">
        <v>0</v>
      </c>
      <c r="L5574" s="102">
        <v>13.46</v>
      </c>
      <c r="M5574" s="102">
        <v>0.17</v>
      </c>
      <c r="N5574" s="573">
        <v>96.77</v>
      </c>
      <c r="O5574" s="556" t="str">
        <f>IF(N5574=M5574,"OK","DIF")</f>
        <v>DIF</v>
      </c>
      <c r="P5574" s="573"/>
      <c r="Q5574" s="556"/>
      <c r="R5574" s="582"/>
    </row>
    <row r="5575" ht="25.5" spans="1:18">
      <c r="A5575" s="556" t="str">
        <f>B5575</f>
        <v>Insumo</v>
      </c>
      <c r="B5575" s="557" t="str">
        <f>B5574</f>
        <v>Insumo</v>
      </c>
      <c r="C5575" s="108"/>
      <c r="D5575" s="108"/>
      <c r="E5575" s="108"/>
      <c r="F5575" s="108"/>
      <c r="G5575" s="108"/>
      <c r="H5575" s="108" t="s">
        <v>2898</v>
      </c>
      <c r="I5575" s="581">
        <v>20.89</v>
      </c>
      <c r="J5575" s="108" t="s">
        <v>2899</v>
      </c>
      <c r="K5575" s="581">
        <v>0</v>
      </c>
      <c r="L5575" s="108" t="s">
        <v>2900</v>
      </c>
      <c r="M5575" s="581">
        <v>20.89</v>
      </c>
      <c r="N5575" s="573">
        <v>34.05</v>
      </c>
      <c r="O5575" s="556" t="str">
        <f>IF(N5575=M5575,"OK","DIF")</f>
        <v>DIF</v>
      </c>
      <c r="P5575" s="573"/>
      <c r="Q5575" s="556"/>
      <c r="R5575" s="582"/>
    </row>
    <row r="5576" ht="26.25" spans="1:18">
      <c r="A5576" s="556" t="str">
        <f>B5576</f>
        <v>Insumo</v>
      </c>
      <c r="B5576" s="557" t="str">
        <f>B5575</f>
        <v>Insumo</v>
      </c>
      <c r="C5576" s="108"/>
      <c r="D5576" s="108"/>
      <c r="E5576" s="108"/>
      <c r="F5576" s="108"/>
      <c r="G5576" s="108"/>
      <c r="H5576" s="108" t="s">
        <v>2901</v>
      </c>
      <c r="I5576" s="581">
        <v>11.7</v>
      </c>
      <c r="J5576" s="114"/>
      <c r="K5576" s="114" t="s">
        <v>2902</v>
      </c>
      <c r="L5576" s="108"/>
      <c r="M5576" s="581">
        <v>57.62</v>
      </c>
      <c r="N5576" s="573">
        <v>43.33</v>
      </c>
      <c r="O5576" s="556" t="str">
        <f>IF(N5576=M5576,"OK","DIF")</f>
        <v>DIF</v>
      </c>
      <c r="P5576" s="573"/>
      <c r="Q5576" s="556"/>
      <c r="R5576" s="582"/>
    </row>
    <row r="5577" ht="15" spans="1:18">
      <c r="A5577" s="556" t="str">
        <f>B5577</f>
        <v>Insumo</v>
      </c>
      <c r="B5577" s="557" t="str">
        <f>B5576</f>
        <v>Insumo</v>
      </c>
      <c r="C5577" s="571"/>
      <c r="D5577" s="571"/>
      <c r="E5577" s="571"/>
      <c r="F5577" s="571"/>
      <c r="G5577" s="571"/>
      <c r="H5577" s="571"/>
      <c r="I5577" s="571"/>
      <c r="J5577" s="571"/>
      <c r="K5577" s="571"/>
      <c r="L5577" s="571"/>
      <c r="M5577" s="571"/>
      <c r="N5577" s="573">
        <v>19.39</v>
      </c>
      <c r="O5577" s="556" t="str">
        <f>IF(N5577=M5577,"OK","DIF")</f>
        <v>DIF</v>
      </c>
      <c r="P5577" s="573"/>
      <c r="Q5577" s="556"/>
      <c r="R5577" s="582"/>
    </row>
    <row r="5578" ht="15" customHeight="1" spans="1:18">
      <c r="A5578" s="556"/>
      <c r="B5578" s="557"/>
      <c r="C5578" s="76" t="s">
        <v>1875</v>
      </c>
      <c r="D5578" s="75" t="s">
        <v>63</v>
      </c>
      <c r="E5578" s="76" t="s">
        <v>64</v>
      </c>
      <c r="F5578" s="76" t="s">
        <v>65</v>
      </c>
      <c r="G5578" s="76" t="s">
        <v>2889</v>
      </c>
      <c r="H5578" s="76"/>
      <c r="I5578" s="77" t="s">
        <v>66</v>
      </c>
      <c r="J5578" s="75" t="s">
        <v>67</v>
      </c>
      <c r="K5578" s="75" t="s">
        <v>2890</v>
      </c>
      <c r="L5578" s="75" t="s">
        <v>68</v>
      </c>
      <c r="M5578" s="75" t="s">
        <v>70</v>
      </c>
      <c r="N5578" s="573"/>
      <c r="O5578" s="556"/>
      <c r="P5578" s="573"/>
      <c r="Q5578" s="556"/>
      <c r="R5578" s="582"/>
    </row>
    <row r="5579" ht="35.05" customHeight="1" spans="1:18">
      <c r="A5579" s="556"/>
      <c r="B5579" s="557"/>
      <c r="C5579" s="569" t="s">
        <v>2891</v>
      </c>
      <c r="D5579" s="570" t="s">
        <v>1876</v>
      </c>
      <c r="E5579" s="569" t="s">
        <v>139</v>
      </c>
      <c r="F5579" s="569" t="s">
        <v>1877</v>
      </c>
      <c r="G5579" s="569" t="s">
        <v>3642</v>
      </c>
      <c r="H5579" s="569"/>
      <c r="I5579" s="577" t="s">
        <v>134</v>
      </c>
      <c r="J5579" s="578">
        <v>1</v>
      </c>
      <c r="K5579" s="579"/>
      <c r="L5579" s="579">
        <v>33.73</v>
      </c>
      <c r="M5579" s="579">
        <v>33.73</v>
      </c>
      <c r="N5579" s="573"/>
      <c r="O5579" s="556"/>
      <c r="P5579" s="573"/>
      <c r="Q5579" s="556"/>
      <c r="R5579" s="582"/>
    </row>
    <row r="5580" ht="23.85" customHeight="1" spans="1:18">
      <c r="A5580" s="556"/>
      <c r="B5580" s="557"/>
      <c r="C5580" s="79" t="s">
        <v>2921</v>
      </c>
      <c r="D5580" s="78" t="s">
        <v>3144</v>
      </c>
      <c r="E5580" s="79" t="s">
        <v>139</v>
      </c>
      <c r="F5580" s="79" t="s">
        <v>3145</v>
      </c>
      <c r="G5580" s="79" t="s">
        <v>2928</v>
      </c>
      <c r="H5580" s="79"/>
      <c r="I5580" s="80" t="s">
        <v>2897</v>
      </c>
      <c r="J5580" s="583">
        <v>0.301</v>
      </c>
      <c r="K5580" s="583">
        <v>0</v>
      </c>
      <c r="L5580" s="92">
        <v>35.55</v>
      </c>
      <c r="M5580" s="92">
        <v>10.7</v>
      </c>
      <c r="N5580" s="573"/>
      <c r="O5580" s="556"/>
      <c r="P5580" s="573"/>
      <c r="Q5580" s="556"/>
      <c r="R5580" s="582"/>
    </row>
    <row r="5581" ht="23.85" customHeight="1" spans="1:18">
      <c r="A5581" s="556"/>
      <c r="B5581" s="557" t="str">
        <f>C5580</f>
        <v>Composição Auxiliar</v>
      </c>
      <c r="C5581" s="79" t="s">
        <v>2921</v>
      </c>
      <c r="D5581" s="78" t="s">
        <v>3146</v>
      </c>
      <c r="E5581" s="79" t="s">
        <v>139</v>
      </c>
      <c r="F5581" s="79" t="s">
        <v>3147</v>
      </c>
      <c r="G5581" s="79" t="s">
        <v>2928</v>
      </c>
      <c r="H5581" s="79"/>
      <c r="I5581" s="80" t="s">
        <v>2897</v>
      </c>
      <c r="J5581" s="583">
        <v>0.301</v>
      </c>
      <c r="K5581" s="583">
        <v>0</v>
      </c>
      <c r="L5581" s="92">
        <v>29.54</v>
      </c>
      <c r="M5581" s="92">
        <v>8.89</v>
      </c>
      <c r="N5581" s="573">
        <v>30.85</v>
      </c>
      <c r="O5581" s="556" t="str">
        <f>IF(N5581=M5581,"OK","DIF")</f>
        <v>DIF</v>
      </c>
      <c r="P5581" s="573"/>
      <c r="Q5581" s="556"/>
      <c r="R5581" s="582"/>
    </row>
    <row r="5582" ht="23.85" customHeight="1" spans="1:18">
      <c r="A5582" s="556" t="str">
        <f>B5582</f>
        <v>Composição Auxiliar</v>
      </c>
      <c r="B5582" s="557" t="str">
        <f>B5581</f>
        <v>Composição Auxiliar</v>
      </c>
      <c r="C5582" s="100" t="s">
        <v>2893</v>
      </c>
      <c r="D5582" s="99" t="s">
        <v>4580</v>
      </c>
      <c r="E5582" s="100" t="s">
        <v>139</v>
      </c>
      <c r="F5582" s="100" t="s">
        <v>4581</v>
      </c>
      <c r="G5582" s="100" t="s">
        <v>2961</v>
      </c>
      <c r="H5582" s="100"/>
      <c r="I5582" s="101" t="s">
        <v>134</v>
      </c>
      <c r="J5582" s="580">
        <v>1</v>
      </c>
      <c r="K5582" s="580">
        <v>0</v>
      </c>
      <c r="L5582" s="102">
        <v>13.81</v>
      </c>
      <c r="M5582" s="102">
        <v>13.81</v>
      </c>
      <c r="N5582" s="573">
        <v>4.58</v>
      </c>
      <c r="O5582" s="556" t="str">
        <f>IF(N5582=M5582,"OK","DIF")</f>
        <v>DIF</v>
      </c>
      <c r="P5582" s="573"/>
      <c r="Q5582" s="556"/>
      <c r="R5582" s="582"/>
    </row>
    <row r="5583" ht="15" customHeight="1" spans="1:18">
      <c r="A5583" s="556" t="str">
        <f>B5583</f>
        <v>Composição Auxiliar</v>
      </c>
      <c r="B5583" s="557" t="str">
        <f>B5582</f>
        <v>Composição Auxiliar</v>
      </c>
      <c r="C5583" s="100" t="s">
        <v>2893</v>
      </c>
      <c r="D5583" s="99" t="s">
        <v>3473</v>
      </c>
      <c r="E5583" s="100" t="s">
        <v>139</v>
      </c>
      <c r="F5583" s="100" t="s">
        <v>3474</v>
      </c>
      <c r="G5583" s="100" t="s">
        <v>2961</v>
      </c>
      <c r="H5583" s="100"/>
      <c r="I5583" s="101" t="s">
        <v>3084</v>
      </c>
      <c r="J5583" s="580">
        <v>0.003</v>
      </c>
      <c r="K5583" s="580">
        <v>0</v>
      </c>
      <c r="L5583" s="102">
        <v>55.41</v>
      </c>
      <c r="M5583" s="102">
        <v>0.16</v>
      </c>
      <c r="N5583" s="573">
        <v>26.27</v>
      </c>
      <c r="O5583" s="556" t="str">
        <f>IF(N5583=M5583,"OK","DIF")</f>
        <v>DIF</v>
      </c>
      <c r="P5583" s="573"/>
      <c r="Q5583" s="556"/>
      <c r="R5583" s="582"/>
    </row>
    <row r="5584" ht="15" customHeight="1" spans="1:18">
      <c r="A5584" s="556"/>
      <c r="B5584" s="557"/>
      <c r="C5584" s="100" t="s">
        <v>2893</v>
      </c>
      <c r="D5584" s="99" t="s">
        <v>3643</v>
      </c>
      <c r="E5584" s="100" t="s">
        <v>139</v>
      </c>
      <c r="F5584" s="100" t="s">
        <v>3644</v>
      </c>
      <c r="G5584" s="100" t="s">
        <v>2961</v>
      </c>
      <c r="H5584" s="100"/>
      <c r="I5584" s="101" t="s">
        <v>134</v>
      </c>
      <c r="J5584" s="580">
        <v>0.013</v>
      </c>
      <c r="K5584" s="580">
        <v>0</v>
      </c>
      <c r="L5584" s="102">
        <v>13.46</v>
      </c>
      <c r="M5584" s="102">
        <v>0.17</v>
      </c>
      <c r="N5584" s="573"/>
      <c r="O5584" s="556"/>
      <c r="P5584" s="573"/>
      <c r="Q5584" s="556"/>
      <c r="R5584" s="582"/>
    </row>
    <row r="5585" ht="25.5" spans="1:18">
      <c r="A5585" s="556"/>
      <c r="B5585" s="557"/>
      <c r="C5585" s="108"/>
      <c r="D5585" s="108"/>
      <c r="E5585" s="108"/>
      <c r="F5585" s="108"/>
      <c r="G5585" s="108"/>
      <c r="H5585" s="108" t="s">
        <v>2898</v>
      </c>
      <c r="I5585" s="581">
        <v>13.95</v>
      </c>
      <c r="J5585" s="108" t="s">
        <v>2899</v>
      </c>
      <c r="K5585" s="581">
        <v>0</v>
      </c>
      <c r="L5585" s="108" t="s">
        <v>2900</v>
      </c>
      <c r="M5585" s="581">
        <v>13.95</v>
      </c>
      <c r="N5585" s="573"/>
      <c r="O5585" s="556"/>
      <c r="P5585" s="573"/>
      <c r="Q5585" s="556"/>
      <c r="R5585" s="582"/>
    </row>
    <row r="5586" ht="26.25" spans="1:18">
      <c r="A5586" s="556"/>
      <c r="B5586" s="557">
        <f>C5585</f>
        <v>0</v>
      </c>
      <c r="C5586" s="108"/>
      <c r="D5586" s="108"/>
      <c r="E5586" s="108"/>
      <c r="F5586" s="108"/>
      <c r="G5586" s="108"/>
      <c r="H5586" s="108" t="s">
        <v>2901</v>
      </c>
      <c r="I5586" s="581">
        <v>8.59</v>
      </c>
      <c r="J5586" s="114"/>
      <c r="K5586" s="114" t="s">
        <v>2902</v>
      </c>
      <c r="L5586" s="108"/>
      <c r="M5586" s="581">
        <v>42.32</v>
      </c>
      <c r="N5586" s="573">
        <v>47.5</v>
      </c>
      <c r="O5586" s="556" t="str">
        <f>IF(N5586=M5586,"OK","DIF")</f>
        <v>DIF</v>
      </c>
      <c r="P5586" s="573"/>
      <c r="Q5586" s="556"/>
      <c r="R5586" s="582"/>
    </row>
    <row r="5587" ht="15" spans="1:18">
      <c r="A5587" s="556">
        <f>B5587</f>
        <v>0</v>
      </c>
      <c r="B5587" s="557">
        <f>B5586</f>
        <v>0</v>
      </c>
      <c r="C5587" s="571"/>
      <c r="D5587" s="571"/>
      <c r="E5587" s="571"/>
      <c r="F5587" s="571"/>
      <c r="G5587" s="571"/>
      <c r="H5587" s="571"/>
      <c r="I5587" s="571"/>
      <c r="J5587" s="571"/>
      <c r="K5587" s="571"/>
      <c r="L5587" s="571"/>
      <c r="M5587" s="571"/>
      <c r="N5587" s="573">
        <v>4.58</v>
      </c>
      <c r="O5587" s="556" t="str">
        <f>IF(N5587=M5587,"OK","DIF")</f>
        <v>DIF</v>
      </c>
      <c r="P5587" s="573"/>
      <c r="Q5587" s="556"/>
      <c r="R5587" s="582"/>
    </row>
    <row r="5588" ht="15" customHeight="1" spans="1:18">
      <c r="A5588" s="556">
        <f>B5588</f>
        <v>0</v>
      </c>
      <c r="B5588" s="557">
        <f>B5587</f>
        <v>0</v>
      </c>
      <c r="C5588" s="76" t="s">
        <v>1878</v>
      </c>
      <c r="D5588" s="75" t="s">
        <v>63</v>
      </c>
      <c r="E5588" s="76" t="s">
        <v>64</v>
      </c>
      <c r="F5588" s="76" t="s">
        <v>65</v>
      </c>
      <c r="G5588" s="76" t="s">
        <v>2889</v>
      </c>
      <c r="H5588" s="76"/>
      <c r="I5588" s="77" t="s">
        <v>66</v>
      </c>
      <c r="J5588" s="75" t="s">
        <v>67</v>
      </c>
      <c r="K5588" s="75" t="s">
        <v>2890</v>
      </c>
      <c r="L5588" s="75" t="s">
        <v>68</v>
      </c>
      <c r="M5588" s="75" t="s">
        <v>70</v>
      </c>
      <c r="N5588" s="573">
        <v>42.92</v>
      </c>
      <c r="O5588" s="556" t="str">
        <f>IF(N5588=M5588,"OK","DIF")</f>
        <v>DIF</v>
      </c>
      <c r="P5588" s="573"/>
      <c r="Q5588" s="556"/>
      <c r="R5588" s="582"/>
    </row>
    <row r="5589" ht="35.05" customHeight="1" spans="1:18">
      <c r="A5589" s="556"/>
      <c r="B5589" s="557"/>
      <c r="C5589" s="569" t="s">
        <v>2891</v>
      </c>
      <c r="D5589" s="570" t="s">
        <v>1879</v>
      </c>
      <c r="E5589" s="569" t="s">
        <v>139</v>
      </c>
      <c r="F5589" s="569" t="s">
        <v>1880</v>
      </c>
      <c r="G5589" s="569" t="s">
        <v>3642</v>
      </c>
      <c r="H5589" s="569"/>
      <c r="I5589" s="577" t="s">
        <v>134</v>
      </c>
      <c r="J5589" s="578">
        <v>1</v>
      </c>
      <c r="K5589" s="579"/>
      <c r="L5589" s="579">
        <v>42.09</v>
      </c>
      <c r="M5589" s="579">
        <v>42.09</v>
      </c>
      <c r="N5589" s="573"/>
      <c r="O5589" s="556"/>
      <c r="P5589" s="573"/>
      <c r="Q5589" s="556"/>
      <c r="R5589" s="582"/>
    </row>
    <row r="5590" ht="23.85" customHeight="1" spans="1:18">
      <c r="A5590" s="556"/>
      <c r="B5590" s="557"/>
      <c r="C5590" s="79" t="s">
        <v>2921</v>
      </c>
      <c r="D5590" s="78" t="s">
        <v>3146</v>
      </c>
      <c r="E5590" s="79" t="s">
        <v>139</v>
      </c>
      <c r="F5590" s="79" t="s">
        <v>3147</v>
      </c>
      <c r="G5590" s="79" t="s">
        <v>2928</v>
      </c>
      <c r="H5590" s="79"/>
      <c r="I5590" s="80" t="s">
        <v>2897</v>
      </c>
      <c r="J5590" s="583">
        <v>0.318</v>
      </c>
      <c r="K5590" s="583">
        <v>0</v>
      </c>
      <c r="L5590" s="92">
        <v>29.54</v>
      </c>
      <c r="M5590" s="92">
        <v>9.39</v>
      </c>
      <c r="N5590" s="573"/>
      <c r="O5590" s="556"/>
      <c r="P5590" s="573"/>
      <c r="Q5590" s="556"/>
      <c r="R5590" s="582"/>
    </row>
    <row r="5591" ht="23.85" customHeight="1" spans="1:18">
      <c r="A5591" s="556"/>
      <c r="B5591" s="557" t="str">
        <f>C5590</f>
        <v>Composição Auxiliar</v>
      </c>
      <c r="C5591" s="79" t="s">
        <v>2921</v>
      </c>
      <c r="D5591" s="78" t="s">
        <v>3144</v>
      </c>
      <c r="E5591" s="79" t="s">
        <v>139</v>
      </c>
      <c r="F5591" s="79" t="s">
        <v>3145</v>
      </c>
      <c r="G5591" s="79" t="s">
        <v>2928</v>
      </c>
      <c r="H5591" s="79"/>
      <c r="I5591" s="80" t="s">
        <v>2897</v>
      </c>
      <c r="J5591" s="583">
        <v>0.318</v>
      </c>
      <c r="K5591" s="583">
        <v>0</v>
      </c>
      <c r="L5591" s="92">
        <v>35.55</v>
      </c>
      <c r="M5591" s="92">
        <v>11.3</v>
      </c>
      <c r="N5591" s="573">
        <v>59.14</v>
      </c>
      <c r="O5591" s="556" t="str">
        <f>IF(N5591=M5591,"OK","DIF")</f>
        <v>DIF</v>
      </c>
      <c r="P5591" s="573"/>
      <c r="Q5591" s="556"/>
      <c r="R5591" s="582"/>
    </row>
    <row r="5592" ht="23.85" customHeight="1" spans="1:18">
      <c r="A5592" s="556" t="str">
        <f>B5592</f>
        <v>Composição Auxiliar</v>
      </c>
      <c r="B5592" s="557" t="str">
        <f>B5591</f>
        <v>Composição Auxiliar</v>
      </c>
      <c r="C5592" s="100" t="s">
        <v>2893</v>
      </c>
      <c r="D5592" s="99" t="s">
        <v>4582</v>
      </c>
      <c r="E5592" s="100" t="s">
        <v>139</v>
      </c>
      <c r="F5592" s="100" t="s">
        <v>4583</v>
      </c>
      <c r="G5592" s="100" t="s">
        <v>2961</v>
      </c>
      <c r="H5592" s="100"/>
      <c r="I5592" s="101" t="s">
        <v>134</v>
      </c>
      <c r="J5592" s="580">
        <v>1</v>
      </c>
      <c r="K5592" s="580">
        <v>0</v>
      </c>
      <c r="L5592" s="102">
        <v>20.96</v>
      </c>
      <c r="M5592" s="102">
        <v>20.96</v>
      </c>
      <c r="N5592" s="573">
        <v>54.56</v>
      </c>
      <c r="O5592" s="556" t="str">
        <f>IF(N5592=M5592,"OK","DIF")</f>
        <v>DIF</v>
      </c>
      <c r="P5592" s="573"/>
      <c r="Q5592" s="556"/>
      <c r="R5592" s="582"/>
    </row>
    <row r="5593" ht="15" customHeight="1" spans="1:18">
      <c r="A5593" s="556" t="str">
        <f>B5593</f>
        <v>Composição Auxiliar</v>
      </c>
      <c r="B5593" s="557" t="str">
        <f>B5592</f>
        <v>Composição Auxiliar</v>
      </c>
      <c r="C5593" s="100" t="s">
        <v>2893</v>
      </c>
      <c r="D5593" s="99" t="s">
        <v>3643</v>
      </c>
      <c r="E5593" s="100" t="s">
        <v>139</v>
      </c>
      <c r="F5593" s="100" t="s">
        <v>3644</v>
      </c>
      <c r="G5593" s="100" t="s">
        <v>2961</v>
      </c>
      <c r="H5593" s="100"/>
      <c r="I5593" s="101" t="s">
        <v>134</v>
      </c>
      <c r="J5593" s="580">
        <v>0.017</v>
      </c>
      <c r="K5593" s="580">
        <v>0</v>
      </c>
      <c r="L5593" s="102">
        <v>13.46</v>
      </c>
      <c r="M5593" s="102">
        <v>0.22</v>
      </c>
      <c r="N5593" s="573">
        <v>4.58</v>
      </c>
      <c r="O5593" s="556" t="str">
        <f>IF(N5593=M5593,"OK","DIF")</f>
        <v>DIF</v>
      </c>
      <c r="P5593" s="573"/>
      <c r="Q5593" s="556"/>
      <c r="R5593" s="582"/>
    </row>
    <row r="5594" ht="15" customHeight="1" spans="1:18">
      <c r="A5594" s="556"/>
      <c r="B5594" s="557"/>
      <c r="C5594" s="100" t="s">
        <v>2893</v>
      </c>
      <c r="D5594" s="99" t="s">
        <v>3473</v>
      </c>
      <c r="E5594" s="100" t="s">
        <v>139</v>
      </c>
      <c r="F5594" s="100" t="s">
        <v>3474</v>
      </c>
      <c r="G5594" s="100" t="s">
        <v>2961</v>
      </c>
      <c r="H5594" s="100"/>
      <c r="I5594" s="101" t="s">
        <v>3084</v>
      </c>
      <c r="J5594" s="580">
        <v>0.004</v>
      </c>
      <c r="K5594" s="580">
        <v>0</v>
      </c>
      <c r="L5594" s="102">
        <v>55.41</v>
      </c>
      <c r="M5594" s="102">
        <v>0.22</v>
      </c>
      <c r="N5594" s="573"/>
      <c r="O5594" s="556"/>
      <c r="P5594" s="573"/>
      <c r="Q5594" s="556"/>
      <c r="R5594" s="582"/>
    </row>
    <row r="5595" ht="25.5" spans="1:18">
      <c r="A5595" s="556"/>
      <c r="B5595" s="557"/>
      <c r="C5595" s="108"/>
      <c r="D5595" s="108"/>
      <c r="E5595" s="108"/>
      <c r="F5595" s="108"/>
      <c r="G5595" s="108"/>
      <c r="H5595" s="108" t="s">
        <v>2898</v>
      </c>
      <c r="I5595" s="581">
        <v>14.73</v>
      </c>
      <c r="J5595" s="108" t="s">
        <v>2899</v>
      </c>
      <c r="K5595" s="581">
        <v>0</v>
      </c>
      <c r="L5595" s="108" t="s">
        <v>2900</v>
      </c>
      <c r="M5595" s="581">
        <v>14.73</v>
      </c>
      <c r="N5595" s="573"/>
      <c r="O5595" s="556"/>
      <c r="P5595" s="573"/>
      <c r="Q5595" s="556"/>
      <c r="R5595" s="582"/>
    </row>
    <row r="5596" ht="26.25" spans="1:18">
      <c r="A5596" s="556"/>
      <c r="B5596" s="557">
        <f>C5595</f>
        <v>0</v>
      </c>
      <c r="C5596" s="108"/>
      <c r="D5596" s="108"/>
      <c r="E5596" s="108"/>
      <c r="F5596" s="108"/>
      <c r="G5596" s="108"/>
      <c r="H5596" s="108" t="s">
        <v>2901</v>
      </c>
      <c r="I5596" s="581">
        <v>10.72</v>
      </c>
      <c r="J5596" s="114"/>
      <c r="K5596" s="114" t="s">
        <v>2902</v>
      </c>
      <c r="L5596" s="108"/>
      <c r="M5596" s="581">
        <v>52.81</v>
      </c>
      <c r="N5596" s="573">
        <v>71.11</v>
      </c>
      <c r="O5596" s="556" t="str">
        <f>IF(N5596=M5596,"OK","DIF")</f>
        <v>DIF</v>
      </c>
      <c r="P5596" s="573"/>
      <c r="Q5596" s="556"/>
      <c r="R5596" s="582"/>
    </row>
    <row r="5597" ht="15" spans="1:18">
      <c r="A5597" s="556">
        <f>B5597</f>
        <v>0</v>
      </c>
      <c r="B5597" s="557">
        <f>B5596</f>
        <v>0</v>
      </c>
      <c r="C5597" s="571"/>
      <c r="D5597" s="571"/>
      <c r="E5597" s="571"/>
      <c r="F5597" s="571"/>
      <c r="G5597" s="571"/>
      <c r="H5597" s="571"/>
      <c r="I5597" s="571"/>
      <c r="J5597" s="571"/>
      <c r="K5597" s="571"/>
      <c r="L5597" s="571"/>
      <c r="M5597" s="571"/>
      <c r="N5597" s="573">
        <v>66.53</v>
      </c>
      <c r="O5597" s="556" t="str">
        <f>IF(N5597=M5597,"OK","DIF")</f>
        <v>DIF</v>
      </c>
      <c r="P5597" s="573"/>
      <c r="Q5597" s="556"/>
      <c r="R5597" s="582"/>
    </row>
    <row r="5598" ht="15" customHeight="1" spans="1:18">
      <c r="A5598" s="556">
        <f>B5598</f>
        <v>0</v>
      </c>
      <c r="B5598" s="557">
        <f>B5597</f>
        <v>0</v>
      </c>
      <c r="C5598" s="76" t="s">
        <v>1881</v>
      </c>
      <c r="D5598" s="75" t="s">
        <v>63</v>
      </c>
      <c r="E5598" s="76" t="s">
        <v>64</v>
      </c>
      <c r="F5598" s="76" t="s">
        <v>65</v>
      </c>
      <c r="G5598" s="76" t="s">
        <v>2889</v>
      </c>
      <c r="H5598" s="76"/>
      <c r="I5598" s="77" t="s">
        <v>66</v>
      </c>
      <c r="J5598" s="75" t="s">
        <v>67</v>
      </c>
      <c r="K5598" s="75" t="s">
        <v>2890</v>
      </c>
      <c r="L5598" s="75" t="s">
        <v>68</v>
      </c>
      <c r="M5598" s="75" t="s">
        <v>70</v>
      </c>
      <c r="N5598" s="573">
        <v>4.58</v>
      </c>
      <c r="O5598" s="556" t="str">
        <f>IF(N5598=M5598,"OK","DIF")</f>
        <v>DIF</v>
      </c>
      <c r="P5598" s="573"/>
      <c r="Q5598" s="556"/>
      <c r="R5598" s="582"/>
    </row>
    <row r="5599" ht="35.05" customHeight="1" spans="1:18">
      <c r="A5599" s="556"/>
      <c r="B5599" s="557"/>
      <c r="C5599" s="569" t="s">
        <v>2891</v>
      </c>
      <c r="D5599" s="570" t="s">
        <v>1882</v>
      </c>
      <c r="E5599" s="569" t="s">
        <v>139</v>
      </c>
      <c r="F5599" s="569" t="s">
        <v>1883</v>
      </c>
      <c r="G5599" s="569" t="s">
        <v>3642</v>
      </c>
      <c r="H5599" s="569"/>
      <c r="I5599" s="577" t="s">
        <v>134</v>
      </c>
      <c r="J5599" s="578">
        <v>1</v>
      </c>
      <c r="K5599" s="579"/>
      <c r="L5599" s="579">
        <v>47.84</v>
      </c>
      <c r="M5599" s="579">
        <v>47.84</v>
      </c>
      <c r="N5599" s="573"/>
      <c r="O5599" s="556"/>
      <c r="P5599" s="573"/>
      <c r="Q5599" s="556"/>
      <c r="R5599" s="582"/>
    </row>
    <row r="5600" ht="23.85" customHeight="1" spans="1:18">
      <c r="A5600" s="556"/>
      <c r="B5600" s="557"/>
      <c r="C5600" s="79" t="s">
        <v>2921</v>
      </c>
      <c r="D5600" s="78" t="s">
        <v>3144</v>
      </c>
      <c r="E5600" s="79" t="s">
        <v>139</v>
      </c>
      <c r="F5600" s="79" t="s">
        <v>3145</v>
      </c>
      <c r="G5600" s="79" t="s">
        <v>2928</v>
      </c>
      <c r="H5600" s="79"/>
      <c r="I5600" s="80" t="s">
        <v>2897</v>
      </c>
      <c r="J5600" s="583">
        <v>0.337</v>
      </c>
      <c r="K5600" s="583">
        <v>0</v>
      </c>
      <c r="L5600" s="92">
        <v>35.55</v>
      </c>
      <c r="M5600" s="92">
        <v>11.98</v>
      </c>
      <c r="N5600" s="573"/>
      <c r="O5600" s="556"/>
      <c r="P5600" s="573"/>
      <c r="Q5600" s="556"/>
      <c r="R5600" s="582"/>
    </row>
    <row r="5601" ht="23.85" customHeight="1" spans="1:18">
      <c r="A5601" s="556"/>
      <c r="B5601" s="557" t="str">
        <f>C5600</f>
        <v>Composição Auxiliar</v>
      </c>
      <c r="C5601" s="79" t="s">
        <v>2921</v>
      </c>
      <c r="D5601" s="78" t="s">
        <v>3146</v>
      </c>
      <c r="E5601" s="79" t="s">
        <v>139</v>
      </c>
      <c r="F5601" s="79" t="s">
        <v>3147</v>
      </c>
      <c r="G5601" s="79" t="s">
        <v>2928</v>
      </c>
      <c r="H5601" s="79"/>
      <c r="I5601" s="80" t="s">
        <v>2897</v>
      </c>
      <c r="J5601" s="583">
        <v>0.337</v>
      </c>
      <c r="K5601" s="583">
        <v>0</v>
      </c>
      <c r="L5601" s="92">
        <v>29.54</v>
      </c>
      <c r="M5601" s="92">
        <v>9.95</v>
      </c>
      <c r="N5601" s="573">
        <v>102.47</v>
      </c>
      <c r="O5601" s="556" t="str">
        <f>IF(N5601=M5601,"OK","DIF")</f>
        <v>DIF</v>
      </c>
      <c r="P5601" s="573"/>
      <c r="Q5601" s="556"/>
      <c r="R5601" s="582"/>
    </row>
    <row r="5602" ht="15" customHeight="1" spans="1:18">
      <c r="A5602" s="556" t="str">
        <f>B5602</f>
        <v>Composição Auxiliar</v>
      </c>
      <c r="B5602" s="557" t="str">
        <f>B5601</f>
        <v>Composição Auxiliar</v>
      </c>
      <c r="C5602" s="100" t="s">
        <v>2893</v>
      </c>
      <c r="D5602" s="99" t="s">
        <v>3643</v>
      </c>
      <c r="E5602" s="100" t="s">
        <v>139</v>
      </c>
      <c r="F5602" s="100" t="s">
        <v>3644</v>
      </c>
      <c r="G5602" s="100" t="s">
        <v>2961</v>
      </c>
      <c r="H5602" s="100"/>
      <c r="I5602" s="101" t="s">
        <v>134</v>
      </c>
      <c r="J5602" s="580">
        <v>0.019</v>
      </c>
      <c r="K5602" s="580">
        <v>0</v>
      </c>
      <c r="L5602" s="102">
        <v>13.46</v>
      </c>
      <c r="M5602" s="102">
        <v>0.25</v>
      </c>
      <c r="N5602" s="573">
        <v>4.58</v>
      </c>
      <c r="O5602" s="556" t="str">
        <f>IF(N5602=M5602,"OK","DIF")</f>
        <v>DIF</v>
      </c>
      <c r="P5602" s="573"/>
      <c r="Q5602" s="556"/>
      <c r="R5602" s="582"/>
    </row>
    <row r="5603" ht="23.85" customHeight="1" spans="1:18">
      <c r="A5603" s="556" t="str">
        <f>B5603</f>
        <v>Composição Auxiliar</v>
      </c>
      <c r="B5603" s="557" t="str">
        <f>B5602</f>
        <v>Composição Auxiliar</v>
      </c>
      <c r="C5603" s="100" t="s">
        <v>2893</v>
      </c>
      <c r="D5603" s="99" t="s">
        <v>4584</v>
      </c>
      <c r="E5603" s="100" t="s">
        <v>139</v>
      </c>
      <c r="F5603" s="100" t="s">
        <v>4585</v>
      </c>
      <c r="G5603" s="100" t="s">
        <v>2961</v>
      </c>
      <c r="H5603" s="100"/>
      <c r="I5603" s="101" t="s">
        <v>134</v>
      </c>
      <c r="J5603" s="580">
        <v>1</v>
      </c>
      <c r="K5603" s="580">
        <v>0</v>
      </c>
      <c r="L5603" s="102">
        <v>25.39</v>
      </c>
      <c r="M5603" s="102">
        <v>25.39</v>
      </c>
      <c r="N5603" s="573">
        <v>97.89</v>
      </c>
      <c r="O5603" s="556" t="str">
        <f>IF(N5603=M5603,"OK","DIF")</f>
        <v>DIF</v>
      </c>
      <c r="P5603" s="573"/>
      <c r="Q5603" s="556"/>
      <c r="R5603" s="582"/>
    </row>
    <row r="5604" ht="15" customHeight="1" spans="1:18">
      <c r="A5604" s="556"/>
      <c r="B5604" s="557"/>
      <c r="C5604" s="100" t="s">
        <v>2893</v>
      </c>
      <c r="D5604" s="99" t="s">
        <v>3473</v>
      </c>
      <c r="E5604" s="100" t="s">
        <v>139</v>
      </c>
      <c r="F5604" s="100" t="s">
        <v>3474</v>
      </c>
      <c r="G5604" s="100" t="s">
        <v>2961</v>
      </c>
      <c r="H5604" s="100"/>
      <c r="I5604" s="101" t="s">
        <v>3084</v>
      </c>
      <c r="J5604" s="580">
        <v>0.005</v>
      </c>
      <c r="K5604" s="580">
        <v>0</v>
      </c>
      <c r="L5604" s="102">
        <v>55.41</v>
      </c>
      <c r="M5604" s="102">
        <v>0.27</v>
      </c>
      <c r="N5604" s="573"/>
      <c r="O5604" s="556"/>
      <c r="P5604" s="573"/>
      <c r="Q5604" s="556"/>
      <c r="R5604" s="582"/>
    </row>
    <row r="5605" ht="25.5" spans="1:18">
      <c r="A5605" s="556"/>
      <c r="B5605" s="557"/>
      <c r="C5605" s="108"/>
      <c r="D5605" s="108"/>
      <c r="E5605" s="108"/>
      <c r="F5605" s="108"/>
      <c r="G5605" s="108"/>
      <c r="H5605" s="108" t="s">
        <v>2898</v>
      </c>
      <c r="I5605" s="581">
        <v>15.61</v>
      </c>
      <c r="J5605" s="108" t="s">
        <v>2899</v>
      </c>
      <c r="K5605" s="581">
        <v>0</v>
      </c>
      <c r="L5605" s="108" t="s">
        <v>2900</v>
      </c>
      <c r="M5605" s="581">
        <v>15.61</v>
      </c>
      <c r="N5605" s="573"/>
      <c r="O5605" s="556"/>
      <c r="P5605" s="573"/>
      <c r="Q5605" s="556"/>
      <c r="R5605" s="582"/>
    </row>
    <row r="5606" ht="26.25" spans="1:18">
      <c r="A5606" s="556"/>
      <c r="B5606" s="557">
        <f>C5605</f>
        <v>0</v>
      </c>
      <c r="C5606" s="108"/>
      <c r="D5606" s="108"/>
      <c r="E5606" s="108"/>
      <c r="F5606" s="108"/>
      <c r="G5606" s="108"/>
      <c r="H5606" s="108" t="s">
        <v>2901</v>
      </c>
      <c r="I5606" s="581">
        <v>12.19</v>
      </c>
      <c r="J5606" s="114"/>
      <c r="K5606" s="114" t="s">
        <v>2902</v>
      </c>
      <c r="L5606" s="108"/>
      <c r="M5606" s="581">
        <v>60.03</v>
      </c>
      <c r="N5606" s="573">
        <v>119.71</v>
      </c>
      <c r="O5606" s="556" t="str">
        <f>IF(N5606=M5606,"OK","DIF")</f>
        <v>DIF</v>
      </c>
      <c r="P5606" s="573"/>
      <c r="Q5606" s="556"/>
      <c r="R5606" s="582"/>
    </row>
    <row r="5607" ht="15" spans="1:18">
      <c r="A5607" s="556">
        <f>B5607</f>
        <v>0</v>
      </c>
      <c r="B5607" s="557">
        <f>B5606</f>
        <v>0</v>
      </c>
      <c r="C5607" s="571"/>
      <c r="D5607" s="571"/>
      <c r="E5607" s="571"/>
      <c r="F5607" s="571"/>
      <c r="G5607" s="571"/>
      <c r="H5607" s="571"/>
      <c r="I5607" s="571"/>
      <c r="J5607" s="571"/>
      <c r="K5607" s="571"/>
      <c r="L5607" s="571"/>
      <c r="M5607" s="571"/>
      <c r="N5607" s="573">
        <v>4.58</v>
      </c>
      <c r="O5607" s="556" t="str">
        <f>IF(N5607=M5607,"OK","DIF")</f>
        <v>DIF</v>
      </c>
      <c r="P5607" s="573"/>
      <c r="Q5607" s="556"/>
      <c r="R5607" s="582"/>
    </row>
    <row r="5608" ht="15" customHeight="1" spans="1:18">
      <c r="A5608" s="556">
        <f>B5608</f>
        <v>0</v>
      </c>
      <c r="B5608" s="557">
        <f>B5607</f>
        <v>0</v>
      </c>
      <c r="C5608" s="76" t="s">
        <v>1884</v>
      </c>
      <c r="D5608" s="75" t="s">
        <v>63</v>
      </c>
      <c r="E5608" s="76" t="s">
        <v>64</v>
      </c>
      <c r="F5608" s="76" t="s">
        <v>65</v>
      </c>
      <c r="G5608" s="76" t="s">
        <v>2889</v>
      </c>
      <c r="H5608" s="76"/>
      <c r="I5608" s="77" t="s">
        <v>66</v>
      </c>
      <c r="J5608" s="75" t="s">
        <v>67</v>
      </c>
      <c r="K5608" s="75" t="s">
        <v>2890</v>
      </c>
      <c r="L5608" s="75" t="s">
        <v>68</v>
      </c>
      <c r="M5608" s="75" t="s">
        <v>70</v>
      </c>
      <c r="N5608" s="573">
        <v>115.13</v>
      </c>
      <c r="O5608" s="556" t="str">
        <f>IF(N5608=M5608,"OK","DIF")</f>
        <v>DIF</v>
      </c>
      <c r="P5608" s="573"/>
      <c r="Q5608" s="556"/>
      <c r="R5608" s="582"/>
    </row>
    <row r="5609" ht="35.05" customHeight="1" spans="1:18">
      <c r="A5609" s="556"/>
      <c r="B5609" s="557"/>
      <c r="C5609" s="569" t="s">
        <v>2891</v>
      </c>
      <c r="D5609" s="570" t="s">
        <v>1885</v>
      </c>
      <c r="E5609" s="569" t="s">
        <v>139</v>
      </c>
      <c r="F5609" s="569" t="s">
        <v>1886</v>
      </c>
      <c r="G5609" s="569" t="s">
        <v>3642</v>
      </c>
      <c r="H5609" s="569"/>
      <c r="I5609" s="577" t="s">
        <v>134</v>
      </c>
      <c r="J5609" s="578">
        <v>1</v>
      </c>
      <c r="K5609" s="579"/>
      <c r="L5609" s="579">
        <v>64.86</v>
      </c>
      <c r="M5609" s="579">
        <v>64.86</v>
      </c>
      <c r="N5609" s="573"/>
      <c r="O5609" s="556"/>
      <c r="P5609" s="573"/>
      <c r="Q5609" s="556"/>
      <c r="R5609" s="582"/>
    </row>
    <row r="5610" ht="23.85" customHeight="1" spans="1:18">
      <c r="A5610" s="556"/>
      <c r="B5610" s="557"/>
      <c r="C5610" s="79" t="s">
        <v>2921</v>
      </c>
      <c r="D5610" s="78" t="s">
        <v>3144</v>
      </c>
      <c r="E5610" s="79" t="s">
        <v>139</v>
      </c>
      <c r="F5610" s="79" t="s">
        <v>3145</v>
      </c>
      <c r="G5610" s="79" t="s">
        <v>2928</v>
      </c>
      <c r="H5610" s="79"/>
      <c r="I5610" s="80" t="s">
        <v>2897</v>
      </c>
      <c r="J5610" s="583">
        <v>0.362</v>
      </c>
      <c r="K5610" s="583">
        <v>0</v>
      </c>
      <c r="L5610" s="92">
        <v>35.55</v>
      </c>
      <c r="M5610" s="92">
        <v>12.86</v>
      </c>
      <c r="N5610" s="573"/>
      <c r="O5610" s="556"/>
      <c r="P5610" s="573"/>
      <c r="Q5610" s="556"/>
      <c r="R5610" s="582"/>
    </row>
    <row r="5611" ht="23.85" customHeight="1" spans="1:18">
      <c r="A5611" s="556"/>
      <c r="B5611" s="557" t="str">
        <f>C5610</f>
        <v>Composição Auxiliar</v>
      </c>
      <c r="C5611" s="79" t="s">
        <v>2921</v>
      </c>
      <c r="D5611" s="78" t="s">
        <v>3146</v>
      </c>
      <c r="E5611" s="79" t="s">
        <v>139</v>
      </c>
      <c r="F5611" s="79" t="s">
        <v>3147</v>
      </c>
      <c r="G5611" s="79" t="s">
        <v>2928</v>
      </c>
      <c r="H5611" s="79"/>
      <c r="I5611" s="80" t="s">
        <v>2897</v>
      </c>
      <c r="J5611" s="583">
        <v>0.362</v>
      </c>
      <c r="K5611" s="583">
        <v>0</v>
      </c>
      <c r="L5611" s="92">
        <v>29.54</v>
      </c>
      <c r="M5611" s="92">
        <v>10.69</v>
      </c>
      <c r="N5611" s="573">
        <v>119.71</v>
      </c>
      <c r="O5611" s="556" t="str">
        <f>IF(N5611=M5611,"OK","DIF")</f>
        <v>DIF</v>
      </c>
      <c r="P5611" s="573"/>
      <c r="Q5611" s="556"/>
      <c r="R5611" s="582"/>
    </row>
    <row r="5612" ht="15" customHeight="1" spans="1:18">
      <c r="A5612" s="556" t="str">
        <f>B5612</f>
        <v>Composição Auxiliar</v>
      </c>
      <c r="B5612" s="557" t="str">
        <f>B5611</f>
        <v>Composição Auxiliar</v>
      </c>
      <c r="C5612" s="100" t="s">
        <v>2893</v>
      </c>
      <c r="D5612" s="99" t="s">
        <v>3473</v>
      </c>
      <c r="E5612" s="100" t="s">
        <v>139</v>
      </c>
      <c r="F5612" s="100" t="s">
        <v>3474</v>
      </c>
      <c r="G5612" s="100" t="s">
        <v>2961</v>
      </c>
      <c r="H5612" s="100"/>
      <c r="I5612" s="101" t="s">
        <v>3084</v>
      </c>
      <c r="J5612" s="580">
        <v>0.006</v>
      </c>
      <c r="K5612" s="580">
        <v>0</v>
      </c>
      <c r="L5612" s="102">
        <v>55.41</v>
      </c>
      <c r="M5612" s="102">
        <v>0.33</v>
      </c>
      <c r="N5612" s="573">
        <v>4.58</v>
      </c>
      <c r="O5612" s="556" t="str">
        <f>IF(N5612=M5612,"OK","DIF")</f>
        <v>DIF</v>
      </c>
      <c r="P5612" s="573"/>
      <c r="Q5612" s="556"/>
      <c r="R5612" s="582"/>
    </row>
    <row r="5613" ht="15" customHeight="1" spans="1:18">
      <c r="A5613" s="556" t="str">
        <f>B5613</f>
        <v>Composição Auxiliar</v>
      </c>
      <c r="B5613" s="557" t="str">
        <f>B5612</f>
        <v>Composição Auxiliar</v>
      </c>
      <c r="C5613" s="100" t="s">
        <v>2893</v>
      </c>
      <c r="D5613" s="99" t="s">
        <v>3643</v>
      </c>
      <c r="E5613" s="100" t="s">
        <v>139</v>
      </c>
      <c r="F5613" s="100" t="s">
        <v>3644</v>
      </c>
      <c r="G5613" s="100" t="s">
        <v>2961</v>
      </c>
      <c r="H5613" s="100"/>
      <c r="I5613" s="101" t="s">
        <v>134</v>
      </c>
      <c r="J5613" s="580">
        <v>0.024</v>
      </c>
      <c r="K5613" s="580">
        <v>0</v>
      </c>
      <c r="L5613" s="102">
        <v>13.46</v>
      </c>
      <c r="M5613" s="102">
        <v>0.32</v>
      </c>
      <c r="N5613" s="573">
        <v>115.13</v>
      </c>
      <c r="O5613" s="556" t="str">
        <f>IF(N5613=M5613,"OK","DIF")</f>
        <v>DIF</v>
      </c>
      <c r="P5613" s="573"/>
      <c r="Q5613" s="556"/>
      <c r="R5613" s="582"/>
    </row>
    <row r="5614" ht="23.85" customHeight="1" spans="1:18">
      <c r="A5614" s="556"/>
      <c r="B5614" s="557"/>
      <c r="C5614" s="100" t="s">
        <v>2893</v>
      </c>
      <c r="D5614" s="99" t="s">
        <v>4586</v>
      </c>
      <c r="E5614" s="100" t="s">
        <v>139</v>
      </c>
      <c r="F5614" s="100" t="s">
        <v>4587</v>
      </c>
      <c r="G5614" s="100" t="s">
        <v>2961</v>
      </c>
      <c r="H5614" s="100"/>
      <c r="I5614" s="101" t="s">
        <v>134</v>
      </c>
      <c r="J5614" s="580">
        <v>1</v>
      </c>
      <c r="K5614" s="580">
        <v>0</v>
      </c>
      <c r="L5614" s="102">
        <v>40.66</v>
      </c>
      <c r="M5614" s="102">
        <v>40.66</v>
      </c>
      <c r="N5614" s="573"/>
      <c r="O5614" s="556"/>
      <c r="P5614" s="573"/>
      <c r="Q5614" s="556"/>
      <c r="R5614" s="582"/>
    </row>
    <row r="5615" ht="25.5" spans="1:18">
      <c r="A5615" s="556"/>
      <c r="B5615" s="557"/>
      <c r="C5615" s="108"/>
      <c r="D5615" s="108"/>
      <c r="E5615" s="108"/>
      <c r="F5615" s="108"/>
      <c r="G5615" s="108"/>
      <c r="H5615" s="108" t="s">
        <v>2898</v>
      </c>
      <c r="I5615" s="581">
        <v>16.77</v>
      </c>
      <c r="J5615" s="108" t="s">
        <v>2899</v>
      </c>
      <c r="K5615" s="581">
        <v>0</v>
      </c>
      <c r="L5615" s="108" t="s">
        <v>2900</v>
      </c>
      <c r="M5615" s="581">
        <v>16.77</v>
      </c>
      <c r="N5615" s="573"/>
      <c r="O5615" s="556"/>
      <c r="P5615" s="573"/>
      <c r="Q5615" s="556"/>
      <c r="R5615" s="582"/>
    </row>
    <row r="5616" ht="26.25" spans="1:18">
      <c r="A5616" s="556"/>
      <c r="B5616" s="557">
        <f>C5615</f>
        <v>0</v>
      </c>
      <c r="C5616" s="108"/>
      <c r="D5616" s="108"/>
      <c r="E5616" s="108"/>
      <c r="F5616" s="108"/>
      <c r="G5616" s="108"/>
      <c r="H5616" s="108" t="s">
        <v>2901</v>
      </c>
      <c r="I5616" s="581">
        <v>16.53</v>
      </c>
      <c r="J5616" s="114"/>
      <c r="K5616" s="114" t="s">
        <v>2902</v>
      </c>
      <c r="L5616" s="108"/>
      <c r="M5616" s="581">
        <v>81.39</v>
      </c>
      <c r="N5616" s="573">
        <v>245.83</v>
      </c>
      <c r="O5616" s="556" t="str">
        <f>IF(N5616=M5616,"OK","DIF")</f>
        <v>DIF</v>
      </c>
      <c r="P5616" s="573"/>
      <c r="Q5616" s="556"/>
      <c r="R5616" s="582"/>
    </row>
    <row r="5617" ht="15" spans="1:18">
      <c r="A5617" s="556">
        <f>B5617</f>
        <v>0</v>
      </c>
      <c r="B5617" s="557">
        <f>B5616</f>
        <v>0</v>
      </c>
      <c r="C5617" s="571"/>
      <c r="D5617" s="571"/>
      <c r="E5617" s="571"/>
      <c r="F5617" s="571"/>
      <c r="G5617" s="571"/>
      <c r="H5617" s="571"/>
      <c r="I5617" s="571"/>
      <c r="J5617" s="571"/>
      <c r="K5617" s="571"/>
      <c r="L5617" s="571"/>
      <c r="M5617" s="571"/>
      <c r="N5617" s="573">
        <v>4.92</v>
      </c>
      <c r="O5617" s="556" t="str">
        <f>IF(N5617=M5617,"OK","DIF")</f>
        <v>DIF</v>
      </c>
      <c r="P5617" s="573"/>
      <c r="Q5617" s="556"/>
      <c r="R5617" s="582"/>
    </row>
    <row r="5618" ht="15" customHeight="1" spans="1:18">
      <c r="A5618" s="556">
        <f>B5618</f>
        <v>0</v>
      </c>
      <c r="B5618" s="557">
        <f>B5617</f>
        <v>0</v>
      </c>
      <c r="C5618" s="76" t="s">
        <v>1887</v>
      </c>
      <c r="D5618" s="75" t="s">
        <v>63</v>
      </c>
      <c r="E5618" s="76" t="s">
        <v>64</v>
      </c>
      <c r="F5618" s="76" t="s">
        <v>65</v>
      </c>
      <c r="G5618" s="76" t="s">
        <v>2889</v>
      </c>
      <c r="H5618" s="76"/>
      <c r="I5618" s="77" t="s">
        <v>66</v>
      </c>
      <c r="J5618" s="75" t="s">
        <v>67</v>
      </c>
      <c r="K5618" s="75" t="s">
        <v>2890</v>
      </c>
      <c r="L5618" s="75" t="s">
        <v>68</v>
      </c>
      <c r="M5618" s="75" t="s">
        <v>70</v>
      </c>
      <c r="N5618" s="573">
        <v>234.65</v>
      </c>
      <c r="O5618" s="556" t="str">
        <f>IF(N5618=M5618,"OK","DIF")</f>
        <v>DIF</v>
      </c>
      <c r="P5618" s="573"/>
      <c r="Q5618" s="556"/>
      <c r="R5618" s="582"/>
    </row>
    <row r="5619" ht="23.85" customHeight="1" spans="1:18">
      <c r="A5619" s="556">
        <f>B5619</f>
        <v>0</v>
      </c>
      <c r="B5619" s="557">
        <f>B5618</f>
        <v>0</v>
      </c>
      <c r="C5619" s="569" t="s">
        <v>2891</v>
      </c>
      <c r="D5619" s="570" t="s">
        <v>1888</v>
      </c>
      <c r="E5619" s="569" t="s">
        <v>139</v>
      </c>
      <c r="F5619" s="569" t="s">
        <v>1889</v>
      </c>
      <c r="G5619" s="569" t="s">
        <v>3642</v>
      </c>
      <c r="H5619" s="569"/>
      <c r="I5619" s="577" t="s">
        <v>134</v>
      </c>
      <c r="J5619" s="578">
        <v>1</v>
      </c>
      <c r="K5619" s="579"/>
      <c r="L5619" s="579">
        <v>53.45</v>
      </c>
      <c r="M5619" s="579">
        <v>53.45</v>
      </c>
      <c r="N5619" s="573">
        <v>6.26</v>
      </c>
      <c r="O5619" s="556" t="str">
        <f>IF(N5619=M5619,"OK","DIF")</f>
        <v>DIF</v>
      </c>
      <c r="P5619" s="573"/>
      <c r="Q5619" s="556"/>
      <c r="R5619" s="582"/>
    </row>
    <row r="5620" ht="23.85" customHeight="1" spans="1:18">
      <c r="A5620" s="556"/>
      <c r="B5620" s="557"/>
      <c r="C5620" s="79" t="s">
        <v>2921</v>
      </c>
      <c r="D5620" s="78" t="s">
        <v>3146</v>
      </c>
      <c r="E5620" s="79" t="s">
        <v>139</v>
      </c>
      <c r="F5620" s="79" t="s">
        <v>3147</v>
      </c>
      <c r="G5620" s="79" t="s">
        <v>2928</v>
      </c>
      <c r="H5620" s="79"/>
      <c r="I5620" s="80" t="s">
        <v>2897</v>
      </c>
      <c r="J5620" s="583">
        <v>0.07</v>
      </c>
      <c r="K5620" s="583">
        <v>0</v>
      </c>
      <c r="L5620" s="92">
        <v>29.54</v>
      </c>
      <c r="M5620" s="92">
        <v>2.06</v>
      </c>
      <c r="N5620" s="573"/>
      <c r="O5620" s="556"/>
      <c r="P5620" s="573"/>
      <c r="Q5620" s="556"/>
      <c r="R5620" s="582"/>
    </row>
    <row r="5621" ht="23.85" customHeight="1" spans="1:18">
      <c r="A5621" s="556"/>
      <c r="B5621" s="557"/>
      <c r="C5621" s="79" t="s">
        <v>2921</v>
      </c>
      <c r="D5621" s="78" t="s">
        <v>3144</v>
      </c>
      <c r="E5621" s="79" t="s">
        <v>139</v>
      </c>
      <c r="F5621" s="79" t="s">
        <v>3145</v>
      </c>
      <c r="G5621" s="79" t="s">
        <v>2928</v>
      </c>
      <c r="H5621" s="79"/>
      <c r="I5621" s="80" t="s">
        <v>2897</v>
      </c>
      <c r="J5621" s="583">
        <v>0.07</v>
      </c>
      <c r="K5621" s="583">
        <v>0</v>
      </c>
      <c r="L5621" s="92">
        <v>35.55</v>
      </c>
      <c r="M5621" s="92">
        <v>2.48</v>
      </c>
      <c r="N5621" s="573"/>
      <c r="O5621" s="556"/>
      <c r="P5621" s="573"/>
      <c r="Q5621" s="556"/>
      <c r="R5621" s="582"/>
    </row>
    <row r="5622" ht="23.85" customHeight="1" spans="1:18">
      <c r="A5622" s="556"/>
      <c r="B5622" s="557"/>
      <c r="C5622" s="100" t="s">
        <v>2893</v>
      </c>
      <c r="D5622" s="99" t="s">
        <v>4588</v>
      </c>
      <c r="E5622" s="100" t="s">
        <v>139</v>
      </c>
      <c r="F5622" s="100" t="s">
        <v>4589</v>
      </c>
      <c r="G5622" s="100" t="s">
        <v>2961</v>
      </c>
      <c r="H5622" s="100"/>
      <c r="I5622" s="101" t="s">
        <v>134</v>
      </c>
      <c r="J5622" s="580">
        <v>1</v>
      </c>
      <c r="K5622" s="580">
        <v>0</v>
      </c>
      <c r="L5622" s="102">
        <v>42</v>
      </c>
      <c r="M5622" s="102">
        <v>42</v>
      </c>
      <c r="N5622" s="573"/>
      <c r="O5622" s="556"/>
      <c r="P5622" s="573"/>
      <c r="Q5622" s="556"/>
      <c r="R5622" s="582"/>
    </row>
    <row r="5623" ht="15" customHeight="1" spans="1:18">
      <c r="A5623" s="556"/>
      <c r="B5623" s="557" t="str">
        <f>C5622</f>
        <v>Insumo</v>
      </c>
      <c r="C5623" s="100" t="s">
        <v>2893</v>
      </c>
      <c r="D5623" s="99" t="s">
        <v>3643</v>
      </c>
      <c r="E5623" s="100" t="s">
        <v>139</v>
      </c>
      <c r="F5623" s="100" t="s">
        <v>3644</v>
      </c>
      <c r="G5623" s="100" t="s">
        <v>2961</v>
      </c>
      <c r="H5623" s="100"/>
      <c r="I5623" s="101" t="s">
        <v>134</v>
      </c>
      <c r="J5623" s="580">
        <v>0.004</v>
      </c>
      <c r="K5623" s="580">
        <v>0</v>
      </c>
      <c r="L5623" s="102">
        <v>13.46</v>
      </c>
      <c r="M5623" s="102">
        <v>0.05</v>
      </c>
      <c r="N5623" s="573">
        <v>41.57</v>
      </c>
      <c r="O5623" s="556" t="str">
        <f>IF(N5623=M5623,"OK","DIF")</f>
        <v>DIF</v>
      </c>
      <c r="P5623" s="573"/>
      <c r="Q5623" s="556"/>
      <c r="R5623" s="582"/>
    </row>
    <row r="5624" ht="23.85" customHeight="1" spans="1:18">
      <c r="A5624" s="556" t="str">
        <f>B5624</f>
        <v>Insumo</v>
      </c>
      <c r="B5624" s="557" t="str">
        <f>B5623</f>
        <v>Insumo</v>
      </c>
      <c r="C5624" s="100" t="s">
        <v>2893</v>
      </c>
      <c r="D5624" s="99" t="s">
        <v>4590</v>
      </c>
      <c r="E5624" s="100" t="s">
        <v>139</v>
      </c>
      <c r="F5624" s="100" t="s">
        <v>4591</v>
      </c>
      <c r="G5624" s="100" t="s">
        <v>2961</v>
      </c>
      <c r="H5624" s="100"/>
      <c r="I5624" s="101" t="s">
        <v>134</v>
      </c>
      <c r="J5624" s="580">
        <v>1</v>
      </c>
      <c r="K5624" s="580">
        <v>0</v>
      </c>
      <c r="L5624" s="102">
        <v>6.86</v>
      </c>
      <c r="M5624" s="102">
        <v>6.86</v>
      </c>
      <c r="N5624" s="573">
        <v>2.89</v>
      </c>
      <c r="O5624" s="556" t="str">
        <f>IF(N5624=M5624,"OK","DIF")</f>
        <v>DIF</v>
      </c>
      <c r="P5624" s="573"/>
      <c r="Q5624" s="556"/>
      <c r="R5624" s="582"/>
    </row>
    <row r="5625" ht="25.5" spans="1:18">
      <c r="A5625" s="556" t="str">
        <f>B5625</f>
        <v>Insumo</v>
      </c>
      <c r="B5625" s="557" t="str">
        <f>B5624</f>
        <v>Insumo</v>
      </c>
      <c r="C5625" s="108"/>
      <c r="D5625" s="108"/>
      <c r="E5625" s="108"/>
      <c r="F5625" s="108"/>
      <c r="G5625" s="108"/>
      <c r="H5625" s="108" t="s">
        <v>2898</v>
      </c>
      <c r="I5625" s="581">
        <v>3.24</v>
      </c>
      <c r="J5625" s="108" t="s">
        <v>2899</v>
      </c>
      <c r="K5625" s="581">
        <v>0</v>
      </c>
      <c r="L5625" s="108" t="s">
        <v>2900</v>
      </c>
      <c r="M5625" s="581">
        <v>3.24</v>
      </c>
      <c r="N5625" s="573">
        <v>3.56</v>
      </c>
      <c r="O5625" s="556" t="str">
        <f>IF(N5625=M5625,"OK","DIF")</f>
        <v>DIF</v>
      </c>
      <c r="P5625" s="573"/>
      <c r="Q5625" s="556"/>
      <c r="R5625" s="582"/>
    </row>
    <row r="5626" ht="26.25" spans="1:18">
      <c r="A5626" s="556" t="str">
        <f>B5626</f>
        <v>Insumo</v>
      </c>
      <c r="B5626" s="557" t="str">
        <f>B5625</f>
        <v>Insumo</v>
      </c>
      <c r="C5626" s="108"/>
      <c r="D5626" s="108"/>
      <c r="E5626" s="108"/>
      <c r="F5626" s="108"/>
      <c r="G5626" s="108"/>
      <c r="H5626" s="108" t="s">
        <v>2901</v>
      </c>
      <c r="I5626" s="581">
        <v>13.62</v>
      </c>
      <c r="J5626" s="114"/>
      <c r="K5626" s="114" t="s">
        <v>2902</v>
      </c>
      <c r="L5626" s="108"/>
      <c r="M5626" s="581">
        <v>67.07</v>
      </c>
      <c r="N5626" s="573">
        <v>35</v>
      </c>
      <c r="O5626" s="556" t="str">
        <f>IF(N5626=M5626,"OK","DIF")</f>
        <v>DIF</v>
      </c>
      <c r="P5626" s="573"/>
      <c r="Q5626" s="556"/>
      <c r="R5626" s="582"/>
    </row>
    <row r="5627" ht="15" spans="1:18">
      <c r="A5627" s="556" t="str">
        <f>B5627</f>
        <v>Insumo</v>
      </c>
      <c r="B5627" s="557" t="str">
        <f>B5626</f>
        <v>Insumo</v>
      </c>
      <c r="C5627" s="571"/>
      <c r="D5627" s="571"/>
      <c r="E5627" s="571"/>
      <c r="F5627" s="571"/>
      <c r="G5627" s="571"/>
      <c r="H5627" s="571"/>
      <c r="I5627" s="571"/>
      <c r="J5627" s="571"/>
      <c r="K5627" s="571"/>
      <c r="L5627" s="571"/>
      <c r="M5627" s="571"/>
      <c r="N5627" s="573">
        <v>0.12</v>
      </c>
      <c r="O5627" s="556" t="str">
        <f>IF(N5627=M5627,"OK","DIF")</f>
        <v>DIF</v>
      </c>
      <c r="P5627" s="573"/>
      <c r="Q5627" s="556"/>
      <c r="R5627" s="582"/>
    </row>
    <row r="5628" ht="15" customHeight="1" spans="1:18">
      <c r="A5628" s="556"/>
      <c r="B5628" s="557"/>
      <c r="C5628" s="76" t="s">
        <v>1890</v>
      </c>
      <c r="D5628" s="75" t="s">
        <v>63</v>
      </c>
      <c r="E5628" s="76" t="s">
        <v>64</v>
      </c>
      <c r="F5628" s="76" t="s">
        <v>65</v>
      </c>
      <c r="G5628" s="76" t="s">
        <v>2889</v>
      </c>
      <c r="H5628" s="76"/>
      <c r="I5628" s="77" t="s">
        <v>66</v>
      </c>
      <c r="J5628" s="75" t="s">
        <v>67</v>
      </c>
      <c r="K5628" s="75" t="s">
        <v>2890</v>
      </c>
      <c r="L5628" s="75" t="s">
        <v>68</v>
      </c>
      <c r="M5628" s="75" t="s">
        <v>70</v>
      </c>
      <c r="N5628" s="573"/>
      <c r="O5628" s="556"/>
      <c r="P5628" s="573"/>
      <c r="Q5628" s="556"/>
      <c r="R5628" s="582"/>
    </row>
    <row r="5629" ht="35.05" customHeight="1" spans="1:18">
      <c r="A5629" s="556"/>
      <c r="B5629" s="557"/>
      <c r="C5629" s="569" t="s">
        <v>2891</v>
      </c>
      <c r="D5629" s="570" t="s">
        <v>1891</v>
      </c>
      <c r="E5629" s="569" t="s">
        <v>132</v>
      </c>
      <c r="F5629" s="569" t="s">
        <v>1892</v>
      </c>
      <c r="G5629" s="569" t="s">
        <v>3129</v>
      </c>
      <c r="H5629" s="569"/>
      <c r="I5629" s="577" t="s">
        <v>134</v>
      </c>
      <c r="J5629" s="578">
        <v>1</v>
      </c>
      <c r="K5629" s="579"/>
      <c r="L5629" s="579">
        <v>34.18</v>
      </c>
      <c r="M5629" s="579">
        <v>34.18</v>
      </c>
      <c r="N5629" s="573"/>
      <c r="O5629" s="556"/>
      <c r="P5629" s="573"/>
      <c r="Q5629" s="556"/>
      <c r="R5629" s="582"/>
    </row>
    <row r="5630" ht="23.85" customHeight="1" spans="1:18">
      <c r="A5630" s="556"/>
      <c r="B5630" s="557" t="str">
        <f>C5629</f>
        <v>Composição</v>
      </c>
      <c r="C5630" s="79" t="s">
        <v>2921</v>
      </c>
      <c r="D5630" s="78" t="s">
        <v>3146</v>
      </c>
      <c r="E5630" s="79" t="s">
        <v>139</v>
      </c>
      <c r="F5630" s="79" t="s">
        <v>3147</v>
      </c>
      <c r="G5630" s="79" t="s">
        <v>2928</v>
      </c>
      <c r="H5630" s="79"/>
      <c r="I5630" s="80" t="s">
        <v>2897</v>
      </c>
      <c r="J5630" s="583">
        <v>0.07</v>
      </c>
      <c r="K5630" s="583">
        <v>0</v>
      </c>
      <c r="L5630" s="92">
        <v>29.54</v>
      </c>
      <c r="M5630" s="92">
        <v>2.06</v>
      </c>
      <c r="N5630" s="573">
        <v>56.09</v>
      </c>
      <c r="O5630" s="556" t="str">
        <f>IF(N5630=M5630,"OK","DIF")</f>
        <v>DIF</v>
      </c>
      <c r="P5630" s="573"/>
      <c r="Q5630" s="556"/>
      <c r="R5630" s="582"/>
    </row>
    <row r="5631" ht="23.85" customHeight="1" spans="1:18">
      <c r="A5631" s="556" t="str">
        <f>B5631</f>
        <v>Composição</v>
      </c>
      <c r="B5631" s="557" t="str">
        <f>B5630</f>
        <v>Composição</v>
      </c>
      <c r="C5631" s="79" t="s">
        <v>2921</v>
      </c>
      <c r="D5631" s="78" t="s">
        <v>3144</v>
      </c>
      <c r="E5631" s="79" t="s">
        <v>139</v>
      </c>
      <c r="F5631" s="79" t="s">
        <v>3145</v>
      </c>
      <c r="G5631" s="79" t="s">
        <v>2928</v>
      </c>
      <c r="H5631" s="79"/>
      <c r="I5631" s="80" t="s">
        <v>2897</v>
      </c>
      <c r="J5631" s="583">
        <v>0.07</v>
      </c>
      <c r="K5631" s="583">
        <v>0</v>
      </c>
      <c r="L5631" s="92">
        <v>35.55</v>
      </c>
      <c r="M5631" s="92">
        <v>2.48</v>
      </c>
      <c r="N5631" s="573">
        <v>4.8</v>
      </c>
      <c r="O5631" s="556" t="str">
        <f>IF(N5631=M5631,"OK","DIF")</f>
        <v>DIF</v>
      </c>
      <c r="P5631" s="573"/>
      <c r="Q5631" s="556"/>
      <c r="R5631" s="582"/>
    </row>
    <row r="5632" ht="15" customHeight="1" spans="1:18">
      <c r="A5632" s="556" t="str">
        <f>B5632</f>
        <v>Composição</v>
      </c>
      <c r="B5632" s="557" t="str">
        <f>B5631</f>
        <v>Composição</v>
      </c>
      <c r="C5632" s="100" t="s">
        <v>2893</v>
      </c>
      <c r="D5632" s="99" t="s">
        <v>4592</v>
      </c>
      <c r="E5632" s="100" t="s">
        <v>132</v>
      </c>
      <c r="F5632" s="100" t="s">
        <v>4593</v>
      </c>
      <c r="G5632" s="100" t="s">
        <v>2961</v>
      </c>
      <c r="H5632" s="100"/>
      <c r="I5632" s="101" t="s">
        <v>134</v>
      </c>
      <c r="J5632" s="580">
        <v>1</v>
      </c>
      <c r="K5632" s="580">
        <v>0</v>
      </c>
      <c r="L5632" s="102">
        <v>22.73</v>
      </c>
      <c r="M5632" s="102">
        <v>22.73</v>
      </c>
      <c r="N5632" s="573">
        <v>3.89</v>
      </c>
      <c r="O5632" s="556" t="str">
        <f>IF(N5632=M5632,"OK","DIF")</f>
        <v>DIF</v>
      </c>
      <c r="P5632" s="573"/>
      <c r="Q5632" s="556"/>
      <c r="R5632" s="582"/>
    </row>
    <row r="5633" ht="23.85" customHeight="1" spans="1:18">
      <c r="A5633" s="556" t="str">
        <f>B5633</f>
        <v>Composição</v>
      </c>
      <c r="B5633" s="557" t="str">
        <f>B5632</f>
        <v>Composição</v>
      </c>
      <c r="C5633" s="100" t="s">
        <v>2893</v>
      </c>
      <c r="D5633" s="99" t="s">
        <v>4590</v>
      </c>
      <c r="E5633" s="100" t="s">
        <v>139</v>
      </c>
      <c r="F5633" s="100" t="s">
        <v>4591</v>
      </c>
      <c r="G5633" s="100" t="s">
        <v>2961</v>
      </c>
      <c r="H5633" s="100"/>
      <c r="I5633" s="101" t="s">
        <v>134</v>
      </c>
      <c r="J5633" s="580">
        <v>1</v>
      </c>
      <c r="K5633" s="580">
        <v>0</v>
      </c>
      <c r="L5633" s="102">
        <v>6.86</v>
      </c>
      <c r="M5633" s="102">
        <v>6.86</v>
      </c>
      <c r="N5633" s="573">
        <v>47.25</v>
      </c>
      <c r="O5633" s="556" t="str">
        <f>IF(N5633=M5633,"OK","DIF")</f>
        <v>DIF</v>
      </c>
      <c r="P5633" s="573"/>
      <c r="Q5633" s="556"/>
      <c r="R5633" s="582"/>
    </row>
    <row r="5634" ht="15" customHeight="1" spans="1:18">
      <c r="A5634" s="556" t="str">
        <f>B5634</f>
        <v>Composição</v>
      </c>
      <c r="B5634" s="557" t="str">
        <f>B5633</f>
        <v>Composição</v>
      </c>
      <c r="C5634" s="100" t="s">
        <v>2893</v>
      </c>
      <c r="D5634" s="99" t="s">
        <v>3643</v>
      </c>
      <c r="E5634" s="100" t="s">
        <v>139</v>
      </c>
      <c r="F5634" s="100" t="s">
        <v>3644</v>
      </c>
      <c r="G5634" s="100" t="s">
        <v>2961</v>
      </c>
      <c r="H5634" s="100"/>
      <c r="I5634" s="101" t="s">
        <v>134</v>
      </c>
      <c r="J5634" s="580">
        <v>0.004</v>
      </c>
      <c r="K5634" s="580">
        <v>0</v>
      </c>
      <c r="L5634" s="102">
        <v>13.46</v>
      </c>
      <c r="M5634" s="102">
        <v>0.05</v>
      </c>
      <c r="N5634" s="573">
        <v>0.15</v>
      </c>
      <c r="O5634" s="556" t="str">
        <f>IF(N5634=M5634,"OK","DIF")</f>
        <v>DIF</v>
      </c>
      <c r="P5634" s="573"/>
      <c r="Q5634" s="556"/>
      <c r="R5634" s="582"/>
    </row>
    <row r="5635" ht="25.5" spans="1:18">
      <c r="A5635" s="556"/>
      <c r="B5635" s="557"/>
      <c r="C5635" s="108"/>
      <c r="D5635" s="108"/>
      <c r="E5635" s="108"/>
      <c r="F5635" s="108"/>
      <c r="G5635" s="108"/>
      <c r="H5635" s="108" t="s">
        <v>2898</v>
      </c>
      <c r="I5635" s="581">
        <v>3.24</v>
      </c>
      <c r="J5635" s="108" t="s">
        <v>2899</v>
      </c>
      <c r="K5635" s="581">
        <v>0</v>
      </c>
      <c r="L5635" s="108" t="s">
        <v>2900</v>
      </c>
      <c r="M5635" s="581">
        <v>3.24</v>
      </c>
      <c r="N5635" s="573"/>
      <c r="O5635" s="556"/>
      <c r="P5635" s="573"/>
      <c r="Q5635" s="556"/>
      <c r="R5635" s="582"/>
    </row>
    <row r="5636" ht="26.25" spans="1:18">
      <c r="A5636" s="556"/>
      <c r="B5636" s="557"/>
      <c r="C5636" s="108"/>
      <c r="D5636" s="108"/>
      <c r="E5636" s="108"/>
      <c r="F5636" s="108"/>
      <c r="G5636" s="108"/>
      <c r="H5636" s="108" t="s">
        <v>2901</v>
      </c>
      <c r="I5636" s="581">
        <v>8.71</v>
      </c>
      <c r="J5636" s="114"/>
      <c r="K5636" s="114" t="s">
        <v>2902</v>
      </c>
      <c r="L5636" s="108"/>
      <c r="M5636" s="581">
        <v>42.89</v>
      </c>
      <c r="N5636" s="573"/>
      <c r="O5636" s="556"/>
      <c r="P5636" s="573"/>
      <c r="Q5636" s="556"/>
      <c r="R5636" s="582"/>
    </row>
    <row r="5637" ht="15" spans="1:18">
      <c r="A5637" s="556"/>
      <c r="B5637" s="557">
        <f>C5636</f>
        <v>0</v>
      </c>
      <c r="C5637" s="571"/>
      <c r="D5637" s="571"/>
      <c r="E5637" s="571"/>
      <c r="F5637" s="571"/>
      <c r="G5637" s="571"/>
      <c r="H5637" s="571"/>
      <c r="I5637" s="571"/>
      <c r="J5637" s="571"/>
      <c r="K5637" s="571"/>
      <c r="L5637" s="571"/>
      <c r="M5637" s="571"/>
      <c r="N5637" s="573">
        <v>82.45</v>
      </c>
      <c r="O5637" s="556" t="str">
        <f>IF(N5637=M5637,"OK","DIF")</f>
        <v>DIF</v>
      </c>
      <c r="P5637" s="573"/>
      <c r="Q5637" s="556"/>
      <c r="R5637" s="582"/>
    </row>
    <row r="5638" ht="15" customHeight="1" spans="1:18">
      <c r="A5638" s="556">
        <f>B5638</f>
        <v>0</v>
      </c>
      <c r="B5638" s="557">
        <f>B5637</f>
        <v>0</v>
      </c>
      <c r="C5638" s="76" t="s">
        <v>1893</v>
      </c>
      <c r="D5638" s="75" t="s">
        <v>63</v>
      </c>
      <c r="E5638" s="76" t="s">
        <v>64</v>
      </c>
      <c r="F5638" s="76" t="s">
        <v>65</v>
      </c>
      <c r="G5638" s="76" t="s">
        <v>2889</v>
      </c>
      <c r="H5638" s="76"/>
      <c r="I5638" s="77" t="s">
        <v>66</v>
      </c>
      <c r="J5638" s="75" t="s">
        <v>67</v>
      </c>
      <c r="K5638" s="75" t="s">
        <v>2890</v>
      </c>
      <c r="L5638" s="75" t="s">
        <v>68</v>
      </c>
      <c r="M5638" s="75" t="s">
        <v>70</v>
      </c>
      <c r="N5638" s="573">
        <v>5.3</v>
      </c>
      <c r="O5638" s="556" t="str">
        <f>IF(N5638=M5638,"OK","DIF")</f>
        <v>DIF</v>
      </c>
      <c r="P5638" s="573"/>
      <c r="Q5638" s="556"/>
      <c r="R5638" s="582"/>
    </row>
    <row r="5639" ht="23.85" customHeight="1" spans="1:18">
      <c r="A5639" s="556">
        <f>B5639</f>
        <v>0</v>
      </c>
      <c r="B5639" s="557">
        <f>B5638</f>
        <v>0</v>
      </c>
      <c r="C5639" s="569" t="s">
        <v>2891</v>
      </c>
      <c r="D5639" s="570" t="s">
        <v>1894</v>
      </c>
      <c r="E5639" s="569" t="s">
        <v>149</v>
      </c>
      <c r="F5639" s="569" t="s">
        <v>1895</v>
      </c>
      <c r="G5639" s="569" t="s">
        <v>3657</v>
      </c>
      <c r="H5639" s="569"/>
      <c r="I5639" s="577" t="s">
        <v>134</v>
      </c>
      <c r="J5639" s="578">
        <v>1</v>
      </c>
      <c r="K5639" s="579"/>
      <c r="L5639" s="579">
        <v>487.9</v>
      </c>
      <c r="M5639" s="579">
        <v>487.9</v>
      </c>
      <c r="N5639" s="573">
        <v>6.54</v>
      </c>
      <c r="O5639" s="556" t="str">
        <f>IF(N5639=M5639,"OK","DIF")</f>
        <v>DIF</v>
      </c>
      <c r="P5639" s="573"/>
      <c r="Q5639" s="556"/>
      <c r="R5639" s="582"/>
    </row>
    <row r="5640" ht="15" customHeight="1" spans="1:18">
      <c r="A5640" s="556">
        <f>B5640</f>
        <v>0</v>
      </c>
      <c r="B5640" s="557">
        <f>B5639</f>
        <v>0</v>
      </c>
      <c r="C5640" s="100" t="s">
        <v>2893</v>
      </c>
      <c r="D5640" s="99" t="s">
        <v>2988</v>
      </c>
      <c r="E5640" s="100" t="s">
        <v>149</v>
      </c>
      <c r="F5640" s="100" t="s">
        <v>2989</v>
      </c>
      <c r="G5640" s="100" t="s">
        <v>2896</v>
      </c>
      <c r="H5640" s="100"/>
      <c r="I5640" s="101" t="s">
        <v>2897</v>
      </c>
      <c r="J5640" s="580">
        <v>0.978</v>
      </c>
      <c r="K5640" s="580">
        <v>0</v>
      </c>
      <c r="L5640" s="102">
        <v>26.928256</v>
      </c>
      <c r="M5640" s="102">
        <v>26.33</v>
      </c>
      <c r="N5640" s="573">
        <v>0.19</v>
      </c>
      <c r="O5640" s="556" t="str">
        <f>IF(N5640=M5640,"OK","DIF")</f>
        <v>DIF</v>
      </c>
      <c r="P5640" s="573"/>
      <c r="Q5640" s="556"/>
      <c r="R5640" s="582"/>
    </row>
    <row r="5641" ht="15" customHeight="1" spans="1:18">
      <c r="A5641" s="556">
        <f>B5641</f>
        <v>0</v>
      </c>
      <c r="B5641" s="557">
        <f>B5640</f>
        <v>0</v>
      </c>
      <c r="C5641" s="100" t="s">
        <v>2893</v>
      </c>
      <c r="D5641" s="99" t="s">
        <v>3660</v>
      </c>
      <c r="E5641" s="100" t="s">
        <v>149</v>
      </c>
      <c r="F5641" s="100" t="s">
        <v>3661</v>
      </c>
      <c r="G5641" s="100" t="s">
        <v>2896</v>
      </c>
      <c r="H5641" s="100"/>
      <c r="I5641" s="101" t="s">
        <v>2897</v>
      </c>
      <c r="J5641" s="580">
        <v>1.063</v>
      </c>
      <c r="K5641" s="580">
        <v>0</v>
      </c>
      <c r="L5641" s="102">
        <v>20.515752</v>
      </c>
      <c r="M5641" s="102">
        <v>21.8</v>
      </c>
      <c r="N5641" s="573">
        <v>70.42</v>
      </c>
      <c r="O5641" s="556" t="str">
        <f>IF(N5641=M5641,"OK","DIF")</f>
        <v>DIF</v>
      </c>
      <c r="P5641" s="573"/>
      <c r="Q5641" s="556"/>
      <c r="R5641" s="582"/>
    </row>
    <row r="5642" ht="15" customHeight="1" spans="1:18">
      <c r="A5642" s="556"/>
      <c r="B5642" s="557"/>
      <c r="C5642" s="100" t="s">
        <v>2893</v>
      </c>
      <c r="D5642" s="99" t="s">
        <v>3662</v>
      </c>
      <c r="E5642" s="100" t="s">
        <v>149</v>
      </c>
      <c r="F5642" s="100" t="s">
        <v>3663</v>
      </c>
      <c r="G5642" s="100" t="s">
        <v>2961</v>
      </c>
      <c r="H5642" s="100"/>
      <c r="I5642" s="101" t="s">
        <v>204</v>
      </c>
      <c r="J5642" s="580">
        <v>6.72</v>
      </c>
      <c r="K5642" s="580">
        <v>0</v>
      </c>
      <c r="L5642" s="102">
        <v>0.35</v>
      </c>
      <c r="M5642" s="102">
        <v>2.35</v>
      </c>
      <c r="N5642" s="573"/>
      <c r="O5642" s="556"/>
      <c r="P5642" s="573"/>
      <c r="Q5642" s="556"/>
      <c r="R5642" s="582"/>
    </row>
    <row r="5643" ht="23.85" customHeight="1" spans="1:18">
      <c r="A5643" s="556"/>
      <c r="B5643" s="557"/>
      <c r="C5643" s="100" t="s">
        <v>2893</v>
      </c>
      <c r="D5643" s="99" t="s">
        <v>4594</v>
      </c>
      <c r="E5643" s="100" t="s">
        <v>149</v>
      </c>
      <c r="F5643" s="100" t="s">
        <v>4595</v>
      </c>
      <c r="G5643" s="100" t="s">
        <v>2961</v>
      </c>
      <c r="H5643" s="100"/>
      <c r="I5643" s="101" t="s">
        <v>134</v>
      </c>
      <c r="J5643" s="580">
        <v>1</v>
      </c>
      <c r="K5643" s="580">
        <v>0</v>
      </c>
      <c r="L5643" s="102">
        <v>437.42</v>
      </c>
      <c r="M5643" s="102">
        <v>437.42</v>
      </c>
      <c r="N5643" s="573"/>
      <c r="O5643" s="556"/>
      <c r="P5643" s="573"/>
      <c r="Q5643" s="556"/>
      <c r="R5643" s="582"/>
    </row>
    <row r="5644" ht="25.5" spans="1:18">
      <c r="A5644" s="556"/>
      <c r="B5644" s="557" t="str">
        <f>C5643</f>
        <v>Insumo</v>
      </c>
      <c r="C5644" s="108"/>
      <c r="D5644" s="108"/>
      <c r="E5644" s="108"/>
      <c r="F5644" s="108"/>
      <c r="G5644" s="108"/>
      <c r="H5644" s="108" t="s">
        <v>2898</v>
      </c>
      <c r="I5644" s="581">
        <v>48.13</v>
      </c>
      <c r="J5644" s="108" t="s">
        <v>2899</v>
      </c>
      <c r="K5644" s="581">
        <v>0</v>
      </c>
      <c r="L5644" s="108" t="s">
        <v>2900</v>
      </c>
      <c r="M5644" s="581">
        <v>48.13</v>
      </c>
      <c r="N5644" s="573">
        <v>680.82</v>
      </c>
      <c r="O5644" s="556" t="str">
        <f>IF(N5644=M5644,"OK","DIF")</f>
        <v>DIF</v>
      </c>
      <c r="P5644" s="573"/>
      <c r="Q5644" s="556"/>
      <c r="R5644" s="582"/>
    </row>
    <row r="5645" ht="26.25" spans="1:18">
      <c r="A5645" s="556" t="str">
        <f>B5645</f>
        <v>Insumo</v>
      </c>
      <c r="B5645" s="557" t="str">
        <f>B5644</f>
        <v>Insumo</v>
      </c>
      <c r="C5645" s="108"/>
      <c r="D5645" s="108"/>
      <c r="E5645" s="108"/>
      <c r="F5645" s="108"/>
      <c r="G5645" s="108"/>
      <c r="H5645" s="108" t="s">
        <v>2901</v>
      </c>
      <c r="I5645" s="581">
        <v>124.36</v>
      </c>
      <c r="J5645" s="114"/>
      <c r="K5645" s="114" t="s">
        <v>2902</v>
      </c>
      <c r="L5645" s="108"/>
      <c r="M5645" s="581">
        <v>612.26</v>
      </c>
      <c r="N5645" s="573">
        <v>674.53</v>
      </c>
      <c r="O5645" s="556" t="str">
        <f>IF(N5645=M5645,"OK","DIF")</f>
        <v>DIF</v>
      </c>
      <c r="P5645" s="573"/>
      <c r="Q5645" s="556"/>
      <c r="R5645" s="582"/>
    </row>
    <row r="5646" ht="15" spans="1:18">
      <c r="A5646" s="556" t="str">
        <f>B5646</f>
        <v>Insumo</v>
      </c>
      <c r="B5646" s="557" t="str">
        <f>B5645</f>
        <v>Insumo</v>
      </c>
      <c r="C5646" s="571"/>
      <c r="D5646" s="571"/>
      <c r="E5646" s="571"/>
      <c r="F5646" s="571"/>
      <c r="G5646" s="571"/>
      <c r="H5646" s="571"/>
      <c r="I5646" s="571"/>
      <c r="J5646" s="571"/>
      <c r="K5646" s="571"/>
      <c r="L5646" s="571"/>
      <c r="M5646" s="571"/>
      <c r="N5646" s="573">
        <v>6.29</v>
      </c>
      <c r="O5646" s="556" t="str">
        <f>IF(N5646=M5646,"OK","DIF")</f>
        <v>DIF</v>
      </c>
      <c r="P5646" s="573"/>
      <c r="Q5646" s="556"/>
      <c r="R5646" s="582"/>
    </row>
    <row r="5647" ht="15" customHeight="1" spans="1:18">
      <c r="A5647" s="556"/>
      <c r="B5647" s="557"/>
      <c r="C5647" s="76" t="s">
        <v>1896</v>
      </c>
      <c r="D5647" s="75" t="s">
        <v>63</v>
      </c>
      <c r="E5647" s="76" t="s">
        <v>64</v>
      </c>
      <c r="F5647" s="76" t="s">
        <v>65</v>
      </c>
      <c r="G5647" s="76" t="s">
        <v>2889</v>
      </c>
      <c r="H5647" s="76"/>
      <c r="I5647" s="77" t="s">
        <v>66</v>
      </c>
      <c r="J5647" s="75" t="s">
        <v>67</v>
      </c>
      <c r="K5647" s="75" t="s">
        <v>2890</v>
      </c>
      <c r="L5647" s="75" t="s">
        <v>68</v>
      </c>
      <c r="M5647" s="75" t="s">
        <v>70</v>
      </c>
      <c r="N5647" s="573"/>
      <c r="O5647" s="556"/>
      <c r="P5647" s="573"/>
      <c r="Q5647" s="556"/>
      <c r="R5647" s="582"/>
    </row>
    <row r="5648" ht="23.85" customHeight="1" spans="1:18">
      <c r="A5648" s="556"/>
      <c r="B5648" s="557"/>
      <c r="C5648" s="569" t="s">
        <v>2891</v>
      </c>
      <c r="D5648" s="570" t="s">
        <v>1897</v>
      </c>
      <c r="E5648" s="569" t="s">
        <v>139</v>
      </c>
      <c r="F5648" s="569" t="s">
        <v>1898</v>
      </c>
      <c r="G5648" s="569" t="s">
        <v>3198</v>
      </c>
      <c r="H5648" s="569"/>
      <c r="I5648" s="577" t="s">
        <v>134</v>
      </c>
      <c r="J5648" s="578">
        <v>1</v>
      </c>
      <c r="K5648" s="579"/>
      <c r="L5648" s="579">
        <v>566.4</v>
      </c>
      <c r="M5648" s="579">
        <v>566.4</v>
      </c>
      <c r="N5648" s="573"/>
      <c r="O5648" s="556"/>
      <c r="P5648" s="573"/>
      <c r="Q5648" s="556"/>
      <c r="R5648" s="582"/>
    </row>
    <row r="5649" ht="23.85" customHeight="1" spans="1:18">
      <c r="A5649" s="556"/>
      <c r="B5649" s="557" t="str">
        <f>C5648</f>
        <v>Composição</v>
      </c>
      <c r="C5649" s="79" t="s">
        <v>2921</v>
      </c>
      <c r="D5649" s="78" t="s">
        <v>3146</v>
      </c>
      <c r="E5649" s="79" t="s">
        <v>139</v>
      </c>
      <c r="F5649" s="79" t="s">
        <v>3147</v>
      </c>
      <c r="G5649" s="79" t="s">
        <v>2928</v>
      </c>
      <c r="H5649" s="79"/>
      <c r="I5649" s="80" t="s">
        <v>2897</v>
      </c>
      <c r="J5649" s="583">
        <v>0.7225</v>
      </c>
      <c r="K5649" s="583">
        <v>0</v>
      </c>
      <c r="L5649" s="92">
        <v>29.54</v>
      </c>
      <c r="M5649" s="92">
        <v>21.34</v>
      </c>
      <c r="N5649" s="573">
        <v>629.46</v>
      </c>
      <c r="O5649" s="556" t="str">
        <f>IF(N5649=M5649,"OK","DIF")</f>
        <v>DIF</v>
      </c>
      <c r="P5649" s="573"/>
      <c r="Q5649" s="556"/>
      <c r="R5649" s="582"/>
    </row>
    <row r="5650" ht="23.85" customHeight="1" spans="1:18">
      <c r="A5650" s="556" t="str">
        <f>B5650</f>
        <v>Composição</v>
      </c>
      <c r="B5650" s="557" t="str">
        <f>B5649</f>
        <v>Composição</v>
      </c>
      <c r="C5650" s="79" t="s">
        <v>2921</v>
      </c>
      <c r="D5650" s="78" t="s">
        <v>3144</v>
      </c>
      <c r="E5650" s="79" t="s">
        <v>139</v>
      </c>
      <c r="F5650" s="79" t="s">
        <v>3145</v>
      </c>
      <c r="G5650" s="79" t="s">
        <v>2928</v>
      </c>
      <c r="H5650" s="79"/>
      <c r="I5650" s="80" t="s">
        <v>2897</v>
      </c>
      <c r="J5650" s="583">
        <v>0.7225</v>
      </c>
      <c r="K5650" s="583">
        <v>0</v>
      </c>
      <c r="L5650" s="92">
        <v>35.55</v>
      </c>
      <c r="M5650" s="92">
        <v>25.68</v>
      </c>
      <c r="N5650" s="573">
        <v>623.17</v>
      </c>
      <c r="O5650" s="556" t="str">
        <f>IF(N5650=M5650,"OK","DIF")</f>
        <v>DIF</v>
      </c>
      <c r="P5650" s="573"/>
      <c r="Q5650" s="556"/>
      <c r="R5650" s="582"/>
    </row>
    <row r="5651" ht="15" customHeight="1" spans="1:18">
      <c r="A5651" s="556" t="str">
        <f>B5651</f>
        <v>Composição</v>
      </c>
      <c r="B5651" s="557" t="str">
        <f>B5650</f>
        <v>Composição</v>
      </c>
      <c r="C5651" s="100" t="s">
        <v>2893</v>
      </c>
      <c r="D5651" s="99" t="s">
        <v>4596</v>
      </c>
      <c r="E5651" s="100" t="s">
        <v>139</v>
      </c>
      <c r="F5651" s="100" t="s">
        <v>4597</v>
      </c>
      <c r="G5651" s="100" t="s">
        <v>2961</v>
      </c>
      <c r="H5651" s="100"/>
      <c r="I5651" s="101" t="s">
        <v>134</v>
      </c>
      <c r="J5651" s="580">
        <v>1</v>
      </c>
      <c r="K5651" s="580">
        <v>0</v>
      </c>
      <c r="L5651" s="102">
        <v>518.78</v>
      </c>
      <c r="M5651" s="102">
        <v>518.78</v>
      </c>
      <c r="N5651" s="573">
        <v>6.29</v>
      </c>
      <c r="O5651" s="556" t="str">
        <f>IF(N5651=M5651,"OK","DIF")</f>
        <v>DIF</v>
      </c>
      <c r="P5651" s="573"/>
      <c r="Q5651" s="556"/>
      <c r="R5651" s="582"/>
    </row>
    <row r="5652" ht="15" customHeight="1" spans="1:18">
      <c r="A5652" s="556"/>
      <c r="B5652" s="557"/>
      <c r="C5652" s="100" t="s">
        <v>2893</v>
      </c>
      <c r="D5652" s="99" t="s">
        <v>3643</v>
      </c>
      <c r="E5652" s="100" t="s">
        <v>139</v>
      </c>
      <c r="F5652" s="100" t="s">
        <v>3644</v>
      </c>
      <c r="G5652" s="100" t="s">
        <v>2961</v>
      </c>
      <c r="H5652" s="100"/>
      <c r="I5652" s="101" t="s">
        <v>134</v>
      </c>
      <c r="J5652" s="580">
        <v>0.0452</v>
      </c>
      <c r="K5652" s="580">
        <v>0</v>
      </c>
      <c r="L5652" s="102">
        <v>13.46</v>
      </c>
      <c r="M5652" s="102">
        <v>0.6</v>
      </c>
      <c r="N5652" s="573"/>
      <c r="O5652" s="556"/>
      <c r="P5652" s="573"/>
      <c r="Q5652" s="556"/>
      <c r="R5652" s="582"/>
    </row>
    <row r="5653" ht="25.5" spans="1:18">
      <c r="A5653" s="556"/>
      <c r="B5653" s="557"/>
      <c r="C5653" s="108"/>
      <c r="D5653" s="108"/>
      <c r="E5653" s="108"/>
      <c r="F5653" s="108"/>
      <c r="G5653" s="108"/>
      <c r="H5653" s="108" t="s">
        <v>2898</v>
      </c>
      <c r="I5653" s="581">
        <v>33.48</v>
      </c>
      <c r="J5653" s="108" t="s">
        <v>2899</v>
      </c>
      <c r="K5653" s="581">
        <v>0</v>
      </c>
      <c r="L5653" s="108" t="s">
        <v>2900</v>
      </c>
      <c r="M5653" s="581">
        <v>33.48</v>
      </c>
      <c r="N5653" s="573"/>
      <c r="O5653" s="556"/>
      <c r="P5653" s="573"/>
      <c r="Q5653" s="556"/>
      <c r="R5653" s="582"/>
    </row>
    <row r="5654" ht="26.25" spans="1:18">
      <c r="A5654" s="556"/>
      <c r="B5654" s="557">
        <f>C5653</f>
        <v>0</v>
      </c>
      <c r="C5654" s="108"/>
      <c r="D5654" s="108"/>
      <c r="E5654" s="108"/>
      <c r="F5654" s="108"/>
      <c r="G5654" s="108"/>
      <c r="H5654" s="108" t="s">
        <v>2901</v>
      </c>
      <c r="I5654" s="581">
        <v>144.37</v>
      </c>
      <c r="J5654" s="114"/>
      <c r="K5654" s="114" t="s">
        <v>2902</v>
      </c>
      <c r="L5654" s="108"/>
      <c r="M5654" s="581">
        <v>710.77</v>
      </c>
      <c r="N5654" s="573">
        <v>2352.18</v>
      </c>
      <c r="O5654" s="556" t="str">
        <f>IF(N5654=M5654,"OK","DIF")</f>
        <v>DIF</v>
      </c>
      <c r="P5654" s="573"/>
      <c r="Q5654" s="556"/>
      <c r="R5654" s="582"/>
    </row>
    <row r="5655" ht="15" spans="1:18">
      <c r="A5655" s="556">
        <f>B5655</f>
        <v>0</v>
      </c>
      <c r="B5655" s="557">
        <f>B5654</f>
        <v>0</v>
      </c>
      <c r="C5655" s="571"/>
      <c r="D5655" s="571"/>
      <c r="E5655" s="571"/>
      <c r="F5655" s="571"/>
      <c r="G5655" s="571"/>
      <c r="H5655" s="571"/>
      <c r="I5655" s="571"/>
      <c r="J5655" s="571"/>
      <c r="K5655" s="571"/>
      <c r="L5655" s="571"/>
      <c r="M5655" s="571"/>
      <c r="N5655" s="573">
        <v>9.61</v>
      </c>
      <c r="O5655" s="556" t="str">
        <f>IF(N5655=M5655,"OK","DIF")</f>
        <v>DIF</v>
      </c>
      <c r="P5655" s="573"/>
      <c r="Q5655" s="556"/>
      <c r="R5655" s="582"/>
    </row>
    <row r="5656" ht="15" customHeight="1" spans="1:18">
      <c r="A5656" s="556">
        <f>B5656</f>
        <v>0</v>
      </c>
      <c r="B5656" s="557">
        <f>B5655</f>
        <v>0</v>
      </c>
      <c r="C5656" s="76" t="s">
        <v>1899</v>
      </c>
      <c r="D5656" s="75" t="s">
        <v>63</v>
      </c>
      <c r="E5656" s="76" t="s">
        <v>64</v>
      </c>
      <c r="F5656" s="76" t="s">
        <v>65</v>
      </c>
      <c r="G5656" s="76" t="s">
        <v>2889</v>
      </c>
      <c r="H5656" s="76"/>
      <c r="I5656" s="77" t="s">
        <v>66</v>
      </c>
      <c r="J5656" s="75" t="s">
        <v>67</v>
      </c>
      <c r="K5656" s="75" t="s">
        <v>2890</v>
      </c>
      <c r="L5656" s="75" t="s">
        <v>68</v>
      </c>
      <c r="M5656" s="75" t="s">
        <v>70</v>
      </c>
      <c r="N5656" s="573">
        <v>2334.34</v>
      </c>
      <c r="O5656" s="556" t="str">
        <f>IF(N5656=M5656,"OK","DIF")</f>
        <v>DIF</v>
      </c>
      <c r="P5656" s="573"/>
      <c r="Q5656" s="556"/>
      <c r="R5656" s="582"/>
    </row>
    <row r="5657" ht="23.85" customHeight="1" spans="1:18">
      <c r="A5657" s="556">
        <f>B5657</f>
        <v>0</v>
      </c>
      <c r="B5657" s="557">
        <f>B5656</f>
        <v>0</v>
      </c>
      <c r="C5657" s="569" t="s">
        <v>2891</v>
      </c>
      <c r="D5657" s="570" t="s">
        <v>1900</v>
      </c>
      <c r="E5657" s="569" t="s">
        <v>149</v>
      </c>
      <c r="F5657" s="569" t="s">
        <v>4598</v>
      </c>
      <c r="G5657" s="569" t="s">
        <v>4599</v>
      </c>
      <c r="H5657" s="569"/>
      <c r="I5657" s="577" t="s">
        <v>134</v>
      </c>
      <c r="J5657" s="578">
        <v>1</v>
      </c>
      <c r="K5657" s="579"/>
      <c r="L5657" s="579">
        <v>259.44</v>
      </c>
      <c r="M5657" s="579">
        <v>259.44</v>
      </c>
      <c r="N5657" s="573">
        <v>0.08</v>
      </c>
      <c r="O5657" s="556" t="str">
        <f>IF(N5657=M5657,"OK","DIF")</f>
        <v>DIF</v>
      </c>
      <c r="P5657" s="573"/>
      <c r="Q5657" s="556"/>
      <c r="R5657" s="582"/>
    </row>
    <row r="5658" ht="15" customHeight="1" spans="1:18">
      <c r="A5658" s="556">
        <f>B5658</f>
        <v>0</v>
      </c>
      <c r="B5658" s="557">
        <f>B5657</f>
        <v>0</v>
      </c>
      <c r="C5658" s="100" t="s">
        <v>2893</v>
      </c>
      <c r="D5658" s="99" t="s">
        <v>4600</v>
      </c>
      <c r="E5658" s="100" t="s">
        <v>149</v>
      </c>
      <c r="F5658" s="100" t="s">
        <v>4601</v>
      </c>
      <c r="G5658" s="100" t="s">
        <v>2896</v>
      </c>
      <c r="H5658" s="100"/>
      <c r="I5658" s="101" t="s">
        <v>2897</v>
      </c>
      <c r="J5658" s="580">
        <v>4</v>
      </c>
      <c r="K5658" s="580">
        <v>0</v>
      </c>
      <c r="L5658" s="102">
        <v>20.515752</v>
      </c>
      <c r="M5658" s="102">
        <v>82.06</v>
      </c>
      <c r="N5658" s="573">
        <v>8.15</v>
      </c>
      <c r="O5658" s="556" t="str">
        <f>IF(N5658=M5658,"OK","DIF")</f>
        <v>DIF</v>
      </c>
      <c r="P5658" s="573"/>
      <c r="Q5658" s="556"/>
      <c r="R5658" s="582"/>
    </row>
    <row r="5659" ht="15" customHeight="1" spans="1:18">
      <c r="A5659" s="556"/>
      <c r="B5659" s="557"/>
      <c r="C5659" s="100" t="s">
        <v>2893</v>
      </c>
      <c r="D5659" s="99" t="s">
        <v>4602</v>
      </c>
      <c r="E5659" s="100" t="s">
        <v>149</v>
      </c>
      <c r="F5659" s="100" t="s">
        <v>4603</v>
      </c>
      <c r="G5659" s="100" t="s">
        <v>2961</v>
      </c>
      <c r="H5659" s="100"/>
      <c r="I5659" s="101" t="s">
        <v>134</v>
      </c>
      <c r="J5659" s="580">
        <v>1</v>
      </c>
      <c r="K5659" s="580">
        <v>0</v>
      </c>
      <c r="L5659" s="102">
        <v>116.88</v>
      </c>
      <c r="M5659" s="102">
        <v>116.88</v>
      </c>
      <c r="N5659" s="573"/>
      <c r="O5659" s="556"/>
      <c r="P5659" s="573"/>
      <c r="Q5659" s="556"/>
      <c r="R5659" s="582"/>
    </row>
    <row r="5660" ht="15" customHeight="1" spans="1:18">
      <c r="A5660" s="556"/>
      <c r="B5660" s="557"/>
      <c r="C5660" s="100" t="s">
        <v>2893</v>
      </c>
      <c r="D5660" s="99" t="s">
        <v>4604</v>
      </c>
      <c r="E5660" s="100" t="s">
        <v>149</v>
      </c>
      <c r="F5660" s="100" t="s">
        <v>4605</v>
      </c>
      <c r="G5660" s="100" t="s">
        <v>2896</v>
      </c>
      <c r="H5660" s="100"/>
      <c r="I5660" s="101" t="s">
        <v>2897</v>
      </c>
      <c r="J5660" s="580">
        <v>2</v>
      </c>
      <c r="K5660" s="580">
        <v>0</v>
      </c>
      <c r="L5660" s="102">
        <v>30.25168</v>
      </c>
      <c r="M5660" s="102">
        <v>60.5</v>
      </c>
      <c r="N5660" s="573"/>
      <c r="O5660" s="556"/>
      <c r="P5660" s="573"/>
      <c r="Q5660" s="556"/>
      <c r="R5660" s="582"/>
    </row>
    <row r="5661" ht="25.5" spans="1:18">
      <c r="A5661" s="556"/>
      <c r="B5661" s="557" t="str">
        <f>C5660</f>
        <v>Insumo</v>
      </c>
      <c r="C5661" s="108"/>
      <c r="D5661" s="108"/>
      <c r="E5661" s="108"/>
      <c r="F5661" s="108"/>
      <c r="G5661" s="108"/>
      <c r="H5661" s="108" t="s">
        <v>2898</v>
      </c>
      <c r="I5661" s="581">
        <v>142.56</v>
      </c>
      <c r="J5661" s="108" t="s">
        <v>2899</v>
      </c>
      <c r="K5661" s="581">
        <v>0</v>
      </c>
      <c r="L5661" s="108" t="s">
        <v>2900</v>
      </c>
      <c r="M5661" s="581">
        <v>142.56</v>
      </c>
      <c r="N5661" s="573">
        <v>115.42</v>
      </c>
      <c r="O5661" s="556" t="str">
        <f>IF(N5661=M5661,"OK","DIF")</f>
        <v>DIF</v>
      </c>
      <c r="P5661" s="573"/>
      <c r="Q5661" s="556"/>
      <c r="R5661" s="582"/>
    </row>
    <row r="5662" ht="26.25" spans="1:18">
      <c r="A5662" s="556" t="str">
        <f>B5662</f>
        <v>Insumo</v>
      </c>
      <c r="B5662" s="557" t="str">
        <f>B5661</f>
        <v>Insumo</v>
      </c>
      <c r="C5662" s="108"/>
      <c r="D5662" s="108"/>
      <c r="E5662" s="108"/>
      <c r="F5662" s="108"/>
      <c r="G5662" s="108"/>
      <c r="H5662" s="108" t="s">
        <v>2901</v>
      </c>
      <c r="I5662" s="581">
        <v>66.13</v>
      </c>
      <c r="J5662" s="114"/>
      <c r="K5662" s="114" t="s">
        <v>2902</v>
      </c>
      <c r="L5662" s="108"/>
      <c r="M5662" s="581">
        <v>325.57</v>
      </c>
      <c r="N5662" s="573">
        <v>0.1</v>
      </c>
      <c r="O5662" s="556" t="str">
        <f>IF(N5662=M5662,"OK","DIF")</f>
        <v>DIF</v>
      </c>
      <c r="P5662" s="573"/>
      <c r="Q5662" s="556"/>
      <c r="R5662" s="582"/>
    </row>
    <row r="5663" ht="15" spans="1:18">
      <c r="A5663" s="556" t="str">
        <f>B5663</f>
        <v>Insumo</v>
      </c>
      <c r="B5663" s="557" t="str">
        <f>B5662</f>
        <v>Insumo</v>
      </c>
      <c r="C5663" s="571"/>
      <c r="D5663" s="571"/>
      <c r="E5663" s="571"/>
      <c r="F5663" s="571"/>
      <c r="G5663" s="571"/>
      <c r="H5663" s="571"/>
      <c r="I5663" s="571"/>
      <c r="J5663" s="571"/>
      <c r="K5663" s="571"/>
      <c r="L5663" s="571"/>
      <c r="M5663" s="571"/>
      <c r="N5663" s="573">
        <v>89.91</v>
      </c>
      <c r="O5663" s="556" t="str">
        <f>IF(N5663=M5663,"OK","DIF")</f>
        <v>DIF</v>
      </c>
      <c r="P5663" s="573"/>
      <c r="Q5663" s="556"/>
      <c r="R5663" s="582"/>
    </row>
    <row r="5664" ht="15" customHeight="1" spans="1:18">
      <c r="A5664" s="556" t="str">
        <f>B5664</f>
        <v>Insumo</v>
      </c>
      <c r="B5664" s="557" t="str">
        <f>B5663</f>
        <v>Insumo</v>
      </c>
      <c r="C5664" s="76" t="s">
        <v>1902</v>
      </c>
      <c r="D5664" s="75" t="s">
        <v>63</v>
      </c>
      <c r="E5664" s="76" t="s">
        <v>64</v>
      </c>
      <c r="F5664" s="76" t="s">
        <v>65</v>
      </c>
      <c r="G5664" s="76" t="s">
        <v>2889</v>
      </c>
      <c r="H5664" s="76"/>
      <c r="I5664" s="77" t="s">
        <v>66</v>
      </c>
      <c r="J5664" s="75" t="s">
        <v>67</v>
      </c>
      <c r="K5664" s="75" t="s">
        <v>2890</v>
      </c>
      <c r="L5664" s="75" t="s">
        <v>68</v>
      </c>
      <c r="M5664" s="75" t="s">
        <v>70</v>
      </c>
      <c r="N5664" s="573">
        <v>11.57</v>
      </c>
      <c r="O5664" s="556" t="str">
        <f>IF(N5664=M5664,"OK","DIF")</f>
        <v>DIF</v>
      </c>
      <c r="P5664" s="573"/>
      <c r="Q5664" s="556"/>
      <c r="R5664" s="582"/>
    </row>
    <row r="5665" ht="46.25" customHeight="1" spans="1:18">
      <c r="A5665" s="556" t="str">
        <f>B5665</f>
        <v>Insumo</v>
      </c>
      <c r="B5665" s="557" t="str">
        <f>B5664</f>
        <v>Insumo</v>
      </c>
      <c r="C5665" s="569" t="s">
        <v>2891</v>
      </c>
      <c r="D5665" s="570" t="s">
        <v>1903</v>
      </c>
      <c r="E5665" s="569" t="s">
        <v>132</v>
      </c>
      <c r="F5665" s="569" t="s">
        <v>1904</v>
      </c>
      <c r="G5665" s="569" t="s">
        <v>4227</v>
      </c>
      <c r="H5665" s="569"/>
      <c r="I5665" s="577" t="s">
        <v>134</v>
      </c>
      <c r="J5665" s="578">
        <v>1</v>
      </c>
      <c r="K5665" s="579"/>
      <c r="L5665" s="579">
        <v>2383.07</v>
      </c>
      <c r="M5665" s="579">
        <v>2383.07</v>
      </c>
      <c r="N5665" s="573">
        <v>13.84</v>
      </c>
      <c r="O5665" s="556" t="str">
        <f>IF(N5665=M5665,"OK","DIF")</f>
        <v>DIF</v>
      </c>
      <c r="P5665" s="573"/>
      <c r="Q5665" s="556"/>
      <c r="R5665" s="582"/>
    </row>
    <row r="5666" ht="23.85" customHeight="1" spans="1:18">
      <c r="A5666" s="556"/>
      <c r="B5666" s="557"/>
      <c r="C5666" s="79" t="s">
        <v>2921</v>
      </c>
      <c r="D5666" s="78" t="s">
        <v>3146</v>
      </c>
      <c r="E5666" s="79" t="s">
        <v>139</v>
      </c>
      <c r="F5666" s="79" t="s">
        <v>3147</v>
      </c>
      <c r="G5666" s="79" t="s">
        <v>2928</v>
      </c>
      <c r="H5666" s="79"/>
      <c r="I5666" s="80" t="s">
        <v>2897</v>
      </c>
      <c r="J5666" s="583">
        <v>3.037</v>
      </c>
      <c r="K5666" s="583">
        <v>0</v>
      </c>
      <c r="L5666" s="92">
        <v>29.54</v>
      </c>
      <c r="M5666" s="92">
        <v>89.71</v>
      </c>
      <c r="N5666" s="573"/>
      <c r="O5666" s="556"/>
      <c r="P5666" s="573"/>
      <c r="Q5666" s="556"/>
      <c r="R5666" s="582"/>
    </row>
    <row r="5667" ht="23.85" customHeight="1" spans="1:18">
      <c r="A5667" s="556"/>
      <c r="B5667" s="557"/>
      <c r="C5667" s="79" t="s">
        <v>2921</v>
      </c>
      <c r="D5667" s="78" t="s">
        <v>3144</v>
      </c>
      <c r="E5667" s="79" t="s">
        <v>139</v>
      </c>
      <c r="F5667" s="79" t="s">
        <v>3145</v>
      </c>
      <c r="G5667" s="79" t="s">
        <v>2928</v>
      </c>
      <c r="H5667" s="79"/>
      <c r="I5667" s="80" t="s">
        <v>2897</v>
      </c>
      <c r="J5667" s="583">
        <v>3.037</v>
      </c>
      <c r="K5667" s="583">
        <v>0</v>
      </c>
      <c r="L5667" s="92">
        <v>35.55</v>
      </c>
      <c r="M5667" s="92">
        <v>107.96</v>
      </c>
      <c r="N5667" s="573"/>
      <c r="O5667" s="556"/>
      <c r="P5667" s="573"/>
      <c r="Q5667" s="556"/>
      <c r="R5667" s="582"/>
    </row>
    <row r="5668" ht="35.05" customHeight="1" spans="1:18">
      <c r="A5668" s="556"/>
      <c r="B5668" s="557" t="str">
        <f>C5667</f>
        <v>Composição Auxiliar</v>
      </c>
      <c r="C5668" s="100" t="s">
        <v>2893</v>
      </c>
      <c r="D5668" s="99" t="s">
        <v>4606</v>
      </c>
      <c r="E5668" s="100" t="s">
        <v>139</v>
      </c>
      <c r="F5668" s="100" t="s">
        <v>4607</v>
      </c>
      <c r="G5668" s="100" t="s">
        <v>2961</v>
      </c>
      <c r="H5668" s="100"/>
      <c r="I5668" s="101" t="s">
        <v>134</v>
      </c>
      <c r="J5668" s="580">
        <v>2</v>
      </c>
      <c r="K5668" s="580">
        <v>0</v>
      </c>
      <c r="L5668" s="102">
        <v>569.87</v>
      </c>
      <c r="M5668" s="102">
        <v>1139.74</v>
      </c>
      <c r="N5668" s="573">
        <v>62.07</v>
      </c>
      <c r="O5668" s="556" t="str">
        <f>IF(N5668=M5668,"OK","DIF")</f>
        <v>DIF</v>
      </c>
      <c r="P5668" s="573"/>
      <c r="Q5668" s="556"/>
      <c r="R5668" s="582"/>
    </row>
    <row r="5669" ht="23.85" customHeight="1" spans="1:18">
      <c r="A5669" s="556" t="str">
        <f>B5669</f>
        <v>Composição Auxiliar</v>
      </c>
      <c r="B5669" s="557" t="str">
        <f>B5668</f>
        <v>Composição Auxiliar</v>
      </c>
      <c r="C5669" s="100" t="s">
        <v>2893</v>
      </c>
      <c r="D5669" s="99" t="s">
        <v>4608</v>
      </c>
      <c r="E5669" s="100" t="s">
        <v>139</v>
      </c>
      <c r="F5669" s="100" t="s">
        <v>4609</v>
      </c>
      <c r="G5669" s="100" t="s">
        <v>2961</v>
      </c>
      <c r="H5669" s="100"/>
      <c r="I5669" s="101" t="s">
        <v>134</v>
      </c>
      <c r="J5669" s="580">
        <v>1</v>
      </c>
      <c r="K5669" s="580">
        <v>0</v>
      </c>
      <c r="L5669" s="102">
        <v>20.76</v>
      </c>
      <c r="M5669" s="102">
        <v>20.76</v>
      </c>
      <c r="N5669" s="573">
        <v>10.81</v>
      </c>
      <c r="O5669" s="556" t="str">
        <f>IF(N5669=M5669,"OK","DIF")</f>
        <v>DIF</v>
      </c>
      <c r="P5669" s="573"/>
      <c r="Q5669" s="556"/>
      <c r="R5669" s="582"/>
    </row>
    <row r="5670" ht="35.05" customHeight="1" spans="1:18">
      <c r="A5670" s="556" t="str">
        <f>B5670</f>
        <v>Composição Auxiliar</v>
      </c>
      <c r="B5670" s="557" t="str">
        <f>B5669</f>
        <v>Composição Auxiliar</v>
      </c>
      <c r="C5670" s="100" t="s">
        <v>2893</v>
      </c>
      <c r="D5670" s="99" t="s">
        <v>4610</v>
      </c>
      <c r="E5670" s="100" t="s">
        <v>139</v>
      </c>
      <c r="F5670" s="100" t="s">
        <v>4611</v>
      </c>
      <c r="G5670" s="100" t="s">
        <v>2961</v>
      </c>
      <c r="H5670" s="100"/>
      <c r="I5670" s="101" t="s">
        <v>134</v>
      </c>
      <c r="J5670" s="580">
        <v>1</v>
      </c>
      <c r="K5670" s="580">
        <v>0</v>
      </c>
      <c r="L5670" s="102">
        <v>218</v>
      </c>
      <c r="M5670" s="102">
        <v>218</v>
      </c>
      <c r="N5670" s="573">
        <v>36.31</v>
      </c>
      <c r="O5670" s="556" t="str">
        <f>IF(N5670=M5670,"OK","DIF")</f>
        <v>DIF</v>
      </c>
      <c r="P5670" s="573"/>
      <c r="Q5670" s="556"/>
      <c r="R5670" s="582"/>
    </row>
    <row r="5671" ht="23.85" customHeight="1" spans="1:18">
      <c r="A5671" s="556" t="str">
        <f>B5671</f>
        <v>Composição Auxiliar</v>
      </c>
      <c r="B5671" s="557" t="str">
        <f>B5670</f>
        <v>Composição Auxiliar</v>
      </c>
      <c r="C5671" s="100" t="s">
        <v>2893</v>
      </c>
      <c r="D5671" s="99" t="s">
        <v>4612</v>
      </c>
      <c r="E5671" s="100" t="s">
        <v>139</v>
      </c>
      <c r="F5671" s="100" t="s">
        <v>4613</v>
      </c>
      <c r="G5671" s="100" t="s">
        <v>2961</v>
      </c>
      <c r="H5671" s="100"/>
      <c r="I5671" s="101" t="s">
        <v>134</v>
      </c>
      <c r="J5671" s="580">
        <v>1</v>
      </c>
      <c r="K5671" s="580">
        <v>0</v>
      </c>
      <c r="L5671" s="102">
        <v>74.74</v>
      </c>
      <c r="M5671" s="102">
        <v>74.74</v>
      </c>
      <c r="N5671" s="573">
        <v>14.95</v>
      </c>
      <c r="O5671" s="556" t="str">
        <f>IF(N5671=M5671,"OK","DIF")</f>
        <v>DIF</v>
      </c>
      <c r="P5671" s="573"/>
      <c r="Q5671" s="556"/>
      <c r="R5671" s="582"/>
    </row>
    <row r="5672" ht="35.05" customHeight="1" spans="1:18">
      <c r="A5672" s="556"/>
      <c r="B5672" s="557"/>
      <c r="C5672" s="100" t="s">
        <v>2893</v>
      </c>
      <c r="D5672" s="99" t="s">
        <v>3761</v>
      </c>
      <c r="E5672" s="100" t="s">
        <v>139</v>
      </c>
      <c r="F5672" s="100" t="s">
        <v>3762</v>
      </c>
      <c r="G5672" s="100" t="s">
        <v>2961</v>
      </c>
      <c r="H5672" s="100"/>
      <c r="I5672" s="101" t="s">
        <v>134</v>
      </c>
      <c r="J5672" s="580">
        <v>4</v>
      </c>
      <c r="K5672" s="580">
        <v>0</v>
      </c>
      <c r="L5672" s="102">
        <v>0.85</v>
      </c>
      <c r="M5672" s="102">
        <v>3.4</v>
      </c>
      <c r="N5672" s="573"/>
      <c r="O5672" s="556"/>
      <c r="P5672" s="573"/>
      <c r="Q5672" s="556"/>
      <c r="R5672" s="582"/>
    </row>
    <row r="5673" ht="23.85" customHeight="1" spans="1:18">
      <c r="A5673" s="556"/>
      <c r="B5673" s="557"/>
      <c r="C5673" s="100" t="s">
        <v>2893</v>
      </c>
      <c r="D5673" s="99" t="s">
        <v>4614</v>
      </c>
      <c r="E5673" s="100" t="s">
        <v>139</v>
      </c>
      <c r="F5673" s="100" t="s">
        <v>4615</v>
      </c>
      <c r="G5673" s="100" t="s">
        <v>2961</v>
      </c>
      <c r="H5673" s="100"/>
      <c r="I5673" s="101" t="s">
        <v>134</v>
      </c>
      <c r="J5673" s="580">
        <v>1</v>
      </c>
      <c r="K5673" s="580">
        <v>0</v>
      </c>
      <c r="L5673" s="102">
        <v>256.01</v>
      </c>
      <c r="M5673" s="102">
        <v>256.01</v>
      </c>
      <c r="N5673" s="573"/>
      <c r="O5673" s="556"/>
      <c r="P5673" s="573"/>
      <c r="Q5673" s="556"/>
      <c r="R5673" s="582"/>
    </row>
    <row r="5674" ht="57.45" customHeight="1" spans="1:18">
      <c r="A5674" s="556"/>
      <c r="B5674" s="557" t="str">
        <f>C5673</f>
        <v>Insumo</v>
      </c>
      <c r="C5674" s="100" t="s">
        <v>2893</v>
      </c>
      <c r="D5674" s="99" t="s">
        <v>4616</v>
      </c>
      <c r="E5674" s="100" t="s">
        <v>139</v>
      </c>
      <c r="F5674" s="100" t="s">
        <v>4617</v>
      </c>
      <c r="G5674" s="100" t="s">
        <v>2961</v>
      </c>
      <c r="H5674" s="100"/>
      <c r="I5674" s="101" t="s">
        <v>134</v>
      </c>
      <c r="J5674" s="580">
        <v>1</v>
      </c>
      <c r="K5674" s="580">
        <v>0</v>
      </c>
      <c r="L5674" s="102">
        <v>472.75</v>
      </c>
      <c r="M5674" s="102">
        <v>472.75</v>
      </c>
      <c r="N5674" s="573">
        <v>70.71</v>
      </c>
      <c r="O5674" s="556" t="str">
        <f>IF(N5674=M5674,"OK","DIF")</f>
        <v>DIF</v>
      </c>
      <c r="P5674" s="573"/>
      <c r="Q5674" s="556"/>
      <c r="R5674" s="582"/>
    </row>
    <row r="5675" ht="25.5" spans="1:18">
      <c r="A5675" s="556" t="str">
        <f>B5675</f>
        <v>Insumo</v>
      </c>
      <c r="B5675" s="557" t="str">
        <f>B5674</f>
        <v>Insumo</v>
      </c>
      <c r="C5675" s="108"/>
      <c r="D5675" s="108"/>
      <c r="E5675" s="108"/>
      <c r="F5675" s="108"/>
      <c r="G5675" s="108"/>
      <c r="H5675" s="108" t="s">
        <v>2898</v>
      </c>
      <c r="I5675" s="581">
        <v>140.75</v>
      </c>
      <c r="J5675" s="108" t="s">
        <v>2899</v>
      </c>
      <c r="K5675" s="581">
        <v>0</v>
      </c>
      <c r="L5675" s="108" t="s">
        <v>2900</v>
      </c>
      <c r="M5675" s="581">
        <v>140.75</v>
      </c>
      <c r="N5675" s="573">
        <v>10.81</v>
      </c>
      <c r="O5675" s="556" t="str">
        <f>IF(N5675=M5675,"OK","DIF")</f>
        <v>DIF</v>
      </c>
      <c r="P5675" s="573"/>
      <c r="Q5675" s="556"/>
      <c r="R5675" s="582"/>
    </row>
    <row r="5676" ht="26.25" spans="1:18">
      <c r="A5676" s="556" t="str">
        <f>B5676</f>
        <v>Insumo</v>
      </c>
      <c r="B5676" s="557" t="str">
        <f>B5675</f>
        <v>Insumo</v>
      </c>
      <c r="C5676" s="108"/>
      <c r="D5676" s="108"/>
      <c r="E5676" s="108"/>
      <c r="F5676" s="108"/>
      <c r="G5676" s="108"/>
      <c r="H5676" s="108" t="s">
        <v>2901</v>
      </c>
      <c r="I5676" s="581">
        <v>607.44</v>
      </c>
      <c r="J5676" s="114"/>
      <c r="K5676" s="114" t="s">
        <v>2902</v>
      </c>
      <c r="L5676" s="108"/>
      <c r="M5676" s="581">
        <v>2990.51</v>
      </c>
      <c r="N5676" s="573">
        <v>14.95</v>
      </c>
      <c r="O5676" s="556" t="str">
        <f>IF(N5676=M5676,"OK","DIF")</f>
        <v>DIF</v>
      </c>
      <c r="P5676" s="573"/>
      <c r="Q5676" s="556"/>
      <c r="R5676" s="582"/>
    </row>
    <row r="5677" ht="15" spans="1:18">
      <c r="A5677" s="556" t="str">
        <f>B5677</f>
        <v>Insumo</v>
      </c>
      <c r="B5677" s="557" t="str">
        <f>B5676</f>
        <v>Insumo</v>
      </c>
      <c r="C5677" s="571"/>
      <c r="D5677" s="571"/>
      <c r="E5677" s="571"/>
      <c r="F5677" s="571"/>
      <c r="G5677" s="571"/>
      <c r="H5677" s="571"/>
      <c r="I5677" s="571"/>
      <c r="J5677" s="571"/>
      <c r="K5677" s="571"/>
      <c r="L5677" s="571"/>
      <c r="M5677" s="571"/>
      <c r="N5677" s="573">
        <v>44.95</v>
      </c>
      <c r="O5677" s="556" t="str">
        <f>IF(N5677=M5677,"OK","DIF")</f>
        <v>DIF</v>
      </c>
      <c r="P5677" s="573"/>
      <c r="Q5677" s="556"/>
      <c r="R5677" s="582"/>
    </row>
    <row r="5678" ht="15" customHeight="1" spans="1:18">
      <c r="A5678" s="556"/>
      <c r="B5678" s="557"/>
      <c r="C5678" s="76" t="s">
        <v>1905</v>
      </c>
      <c r="D5678" s="75" t="s">
        <v>63</v>
      </c>
      <c r="E5678" s="76" t="s">
        <v>64</v>
      </c>
      <c r="F5678" s="76" t="s">
        <v>65</v>
      </c>
      <c r="G5678" s="76" t="s">
        <v>2889</v>
      </c>
      <c r="H5678" s="76"/>
      <c r="I5678" s="77" t="s">
        <v>66</v>
      </c>
      <c r="J5678" s="75" t="s">
        <v>67</v>
      </c>
      <c r="K5678" s="75" t="s">
        <v>2890</v>
      </c>
      <c r="L5678" s="75" t="s">
        <v>68</v>
      </c>
      <c r="M5678" s="75" t="s">
        <v>70</v>
      </c>
      <c r="N5678" s="573"/>
      <c r="O5678" s="556"/>
      <c r="P5678" s="573"/>
      <c r="Q5678" s="556"/>
      <c r="R5678" s="582"/>
    </row>
    <row r="5679" ht="51" spans="1:18">
      <c r="A5679" s="556"/>
      <c r="B5679" s="557"/>
      <c r="C5679" s="569" t="s">
        <v>2891</v>
      </c>
      <c r="D5679" s="570" t="s">
        <v>1906</v>
      </c>
      <c r="E5679" s="569" t="s">
        <v>77</v>
      </c>
      <c r="F5679" s="569" t="s">
        <v>4618</v>
      </c>
      <c r="G5679" s="569">
        <v>17</v>
      </c>
      <c r="H5679" s="569"/>
      <c r="I5679" s="577" t="s">
        <v>134</v>
      </c>
      <c r="J5679" s="578">
        <v>1</v>
      </c>
      <c r="K5679" s="579"/>
      <c r="L5679" s="579">
        <v>41.99</v>
      </c>
      <c r="M5679" s="579">
        <v>41.99</v>
      </c>
      <c r="N5679" s="573"/>
      <c r="O5679" s="556"/>
      <c r="P5679" s="573"/>
      <c r="Q5679" s="556"/>
      <c r="R5679" s="582"/>
    </row>
    <row r="5680" ht="23.85" customHeight="1" spans="1:18">
      <c r="A5680" s="556"/>
      <c r="B5680" s="557" t="str">
        <f>C5679</f>
        <v>Composição</v>
      </c>
      <c r="C5680" s="100" t="s">
        <v>2893</v>
      </c>
      <c r="D5680" s="99" t="s">
        <v>4619</v>
      </c>
      <c r="E5680" s="100" t="s">
        <v>77</v>
      </c>
      <c r="F5680" s="100" t="s">
        <v>4620</v>
      </c>
      <c r="G5680" s="100" t="s">
        <v>2896</v>
      </c>
      <c r="H5680" s="100"/>
      <c r="I5680" s="101" t="s">
        <v>2897</v>
      </c>
      <c r="J5680" s="580">
        <v>0.95</v>
      </c>
      <c r="K5680" s="580">
        <v>3</v>
      </c>
      <c r="L5680" s="102">
        <v>26.52</v>
      </c>
      <c r="M5680" s="102">
        <v>25.94</v>
      </c>
      <c r="N5680" s="573">
        <v>428.1</v>
      </c>
      <c r="O5680" s="556" t="str">
        <f t="shared" ref="O5680:O5686" si="387">IF(N5680=M5680,"OK","DIF")</f>
        <v>DIF</v>
      </c>
      <c r="P5680" s="573"/>
      <c r="Q5680" s="556"/>
      <c r="R5680" s="582"/>
    </row>
    <row r="5681" ht="23.85" customHeight="1" spans="1:18">
      <c r="A5681" s="556" t="str">
        <f t="shared" ref="A5681:A5686" si="388">B5681</f>
        <v>Composição</v>
      </c>
      <c r="B5681" s="557" t="str">
        <f t="shared" ref="B5681:B5686" si="389">B5680</f>
        <v>Composição</v>
      </c>
      <c r="C5681" s="100" t="s">
        <v>2893</v>
      </c>
      <c r="D5681" s="99" t="s">
        <v>4621</v>
      </c>
      <c r="E5681" s="100" t="s">
        <v>77</v>
      </c>
      <c r="F5681" s="100" t="s">
        <v>4622</v>
      </c>
      <c r="G5681" s="100" t="s">
        <v>2961</v>
      </c>
      <c r="H5681" s="100"/>
      <c r="I5681" s="101" t="s">
        <v>134</v>
      </c>
      <c r="J5681" s="580">
        <v>0.0122</v>
      </c>
      <c r="K5681" s="580">
        <v>0</v>
      </c>
      <c r="L5681" s="102">
        <v>463.5</v>
      </c>
      <c r="M5681" s="102">
        <v>5.65</v>
      </c>
      <c r="N5681" s="573">
        <v>3.33</v>
      </c>
      <c r="O5681" s="556" t="str">
        <f t="shared" si="387"/>
        <v>DIF</v>
      </c>
      <c r="P5681" s="573"/>
      <c r="Q5681" s="556"/>
      <c r="R5681" s="582"/>
    </row>
    <row r="5682" ht="15" customHeight="1" spans="1:18">
      <c r="A5682" s="556" t="str">
        <f t="shared" si="388"/>
        <v>Composição</v>
      </c>
      <c r="B5682" s="557" t="str">
        <f t="shared" si="389"/>
        <v>Composição</v>
      </c>
      <c r="C5682" s="100" t="s">
        <v>2893</v>
      </c>
      <c r="D5682" s="99" t="s">
        <v>4623</v>
      </c>
      <c r="E5682" s="100" t="s">
        <v>77</v>
      </c>
      <c r="F5682" s="100" t="s">
        <v>4624</v>
      </c>
      <c r="G5682" s="100" t="s">
        <v>2961</v>
      </c>
      <c r="H5682" s="100"/>
      <c r="I5682" s="101" t="s">
        <v>134</v>
      </c>
      <c r="J5682" s="580">
        <v>0.22</v>
      </c>
      <c r="K5682" s="580">
        <v>0</v>
      </c>
      <c r="L5682" s="102">
        <v>5.17</v>
      </c>
      <c r="M5682" s="102">
        <v>1.13</v>
      </c>
      <c r="N5682" s="573">
        <v>2.7</v>
      </c>
      <c r="O5682" s="556" t="str">
        <f t="shared" si="387"/>
        <v>DIF</v>
      </c>
      <c r="P5682" s="573"/>
      <c r="Q5682" s="556"/>
      <c r="R5682" s="582"/>
    </row>
    <row r="5683" ht="23.85" customHeight="1" spans="1:18">
      <c r="A5683" s="556" t="str">
        <f t="shared" si="388"/>
        <v>Composição</v>
      </c>
      <c r="B5683" s="557" t="str">
        <f t="shared" si="389"/>
        <v>Composição</v>
      </c>
      <c r="C5683" s="100" t="s">
        <v>2893</v>
      </c>
      <c r="D5683" s="99" t="s">
        <v>3108</v>
      </c>
      <c r="E5683" s="100" t="s">
        <v>77</v>
      </c>
      <c r="F5683" s="100" t="s">
        <v>3109</v>
      </c>
      <c r="G5683" s="100" t="s">
        <v>2896</v>
      </c>
      <c r="H5683" s="100"/>
      <c r="I5683" s="101" t="s">
        <v>2897</v>
      </c>
      <c r="J5683" s="580">
        <v>0.47</v>
      </c>
      <c r="K5683" s="580">
        <v>3</v>
      </c>
      <c r="L5683" s="102">
        <v>19.16</v>
      </c>
      <c r="M5683" s="102">
        <v>9.27</v>
      </c>
      <c r="N5683" s="573">
        <v>0.12</v>
      </c>
      <c r="O5683" s="556" t="str">
        <f t="shared" si="387"/>
        <v>DIF</v>
      </c>
      <c r="P5683" s="573"/>
      <c r="Q5683" s="556"/>
      <c r="R5683" s="582"/>
    </row>
    <row r="5684" ht="25.5" spans="1:18">
      <c r="A5684" s="556" t="str">
        <f t="shared" si="388"/>
        <v>Composição</v>
      </c>
      <c r="B5684" s="557" t="str">
        <f t="shared" si="389"/>
        <v>Composição</v>
      </c>
      <c r="C5684" s="108"/>
      <c r="D5684" s="108"/>
      <c r="E5684" s="108"/>
      <c r="F5684" s="108"/>
      <c r="G5684" s="108"/>
      <c r="H5684" s="108" t="s">
        <v>2898</v>
      </c>
      <c r="I5684" s="581">
        <v>35.21</v>
      </c>
      <c r="J5684" s="108" t="s">
        <v>2899</v>
      </c>
      <c r="K5684" s="581">
        <v>0</v>
      </c>
      <c r="L5684" s="108" t="s">
        <v>2900</v>
      </c>
      <c r="M5684" s="581">
        <v>35.21</v>
      </c>
      <c r="N5684" s="573">
        <v>421.16</v>
      </c>
      <c r="O5684" s="556" t="str">
        <f t="shared" si="387"/>
        <v>DIF</v>
      </c>
      <c r="P5684" s="573"/>
      <c r="Q5684" s="556"/>
      <c r="R5684" s="582"/>
    </row>
    <row r="5685" ht="26.25" spans="1:18">
      <c r="A5685" s="556" t="str">
        <f t="shared" si="388"/>
        <v>Composição</v>
      </c>
      <c r="B5685" s="557" t="str">
        <f t="shared" si="389"/>
        <v>Composição</v>
      </c>
      <c r="C5685" s="108"/>
      <c r="D5685" s="108"/>
      <c r="E5685" s="108"/>
      <c r="F5685" s="108"/>
      <c r="G5685" s="108"/>
      <c r="H5685" s="108" t="s">
        <v>2901</v>
      </c>
      <c r="I5685" s="581">
        <v>10.7</v>
      </c>
      <c r="J5685" s="114"/>
      <c r="K5685" s="114" t="s">
        <v>2902</v>
      </c>
      <c r="L5685" s="108"/>
      <c r="M5685" s="581">
        <v>52.69</v>
      </c>
      <c r="N5685" s="573">
        <v>0.03</v>
      </c>
      <c r="O5685" s="556" t="str">
        <f t="shared" si="387"/>
        <v>DIF</v>
      </c>
      <c r="P5685" s="573"/>
      <c r="Q5685" s="556"/>
      <c r="R5685" s="582"/>
    </row>
    <row r="5686" ht="15" spans="1:18">
      <c r="A5686" s="556" t="str">
        <f t="shared" si="388"/>
        <v>Composição</v>
      </c>
      <c r="B5686" s="557" t="str">
        <f t="shared" si="389"/>
        <v>Composição</v>
      </c>
      <c r="C5686" s="571"/>
      <c r="D5686" s="571"/>
      <c r="E5686" s="571"/>
      <c r="F5686" s="571"/>
      <c r="G5686" s="571"/>
      <c r="H5686" s="571"/>
      <c r="I5686" s="571"/>
      <c r="J5686" s="571"/>
      <c r="K5686" s="571"/>
      <c r="L5686" s="571"/>
      <c r="M5686" s="571"/>
      <c r="N5686" s="573">
        <v>0.76</v>
      </c>
      <c r="O5686" s="556" t="str">
        <f t="shared" si="387"/>
        <v>DIF</v>
      </c>
      <c r="P5686" s="573"/>
      <c r="Q5686" s="556"/>
      <c r="R5686" s="582"/>
    </row>
    <row r="5687" ht="15" customHeight="1" spans="1:18">
      <c r="A5687" s="556"/>
      <c r="B5687" s="557"/>
      <c r="C5687" s="76" t="s">
        <v>1908</v>
      </c>
      <c r="D5687" s="75" t="s">
        <v>63</v>
      </c>
      <c r="E5687" s="76" t="s">
        <v>64</v>
      </c>
      <c r="F5687" s="76" t="s">
        <v>65</v>
      </c>
      <c r="G5687" s="76" t="s">
        <v>2889</v>
      </c>
      <c r="H5687" s="76"/>
      <c r="I5687" s="77" t="s">
        <v>66</v>
      </c>
      <c r="J5687" s="75" t="s">
        <v>67</v>
      </c>
      <c r="K5687" s="75" t="s">
        <v>2890</v>
      </c>
      <c r="L5687" s="75" t="s">
        <v>68</v>
      </c>
      <c r="M5687" s="75" t="s">
        <v>70</v>
      </c>
      <c r="N5687" s="573"/>
      <c r="O5687" s="556"/>
      <c r="P5687" s="573"/>
      <c r="Q5687" s="556"/>
      <c r="R5687" s="582"/>
    </row>
    <row r="5688" ht="35.05" customHeight="1" spans="1:18">
      <c r="A5688" s="556"/>
      <c r="B5688" s="557"/>
      <c r="C5688" s="569" t="s">
        <v>2891</v>
      </c>
      <c r="D5688" s="570" t="s">
        <v>1909</v>
      </c>
      <c r="E5688" s="569" t="s">
        <v>132</v>
      </c>
      <c r="F5688" s="569" t="s">
        <v>1910</v>
      </c>
      <c r="G5688" s="569" t="s">
        <v>4227</v>
      </c>
      <c r="H5688" s="569"/>
      <c r="I5688" s="577" t="s">
        <v>1491</v>
      </c>
      <c r="J5688" s="578">
        <v>1</v>
      </c>
      <c r="K5688" s="579"/>
      <c r="L5688" s="579">
        <v>502.91</v>
      </c>
      <c r="M5688" s="579">
        <v>502.91</v>
      </c>
      <c r="N5688" s="573"/>
      <c r="O5688" s="556"/>
      <c r="P5688" s="573"/>
      <c r="Q5688" s="556"/>
      <c r="R5688" s="582"/>
    </row>
    <row r="5689" ht="23.85" customHeight="1" spans="1:18">
      <c r="A5689" s="556"/>
      <c r="B5689" s="557" t="str">
        <f>C5688</f>
        <v>Composição</v>
      </c>
      <c r="C5689" s="79" t="s">
        <v>2921</v>
      </c>
      <c r="D5689" s="78" t="s">
        <v>3146</v>
      </c>
      <c r="E5689" s="79" t="s">
        <v>139</v>
      </c>
      <c r="F5689" s="79" t="s">
        <v>3147</v>
      </c>
      <c r="G5689" s="79" t="s">
        <v>2928</v>
      </c>
      <c r="H5689" s="79"/>
      <c r="I5689" s="80" t="s">
        <v>2897</v>
      </c>
      <c r="J5689" s="583">
        <v>1.15</v>
      </c>
      <c r="K5689" s="583">
        <v>0</v>
      </c>
      <c r="L5689" s="92">
        <v>29.54</v>
      </c>
      <c r="M5689" s="92">
        <v>33.97</v>
      </c>
      <c r="N5689" s="573">
        <v>499.2</v>
      </c>
      <c r="O5689" s="556" t="str">
        <f t="shared" ref="O5689:O5695" si="390">IF(N5689=M5689,"OK","DIF")</f>
        <v>DIF</v>
      </c>
      <c r="P5689" s="573"/>
      <c r="Q5689" s="556"/>
      <c r="R5689" s="582"/>
    </row>
    <row r="5690" ht="23.85" customHeight="1" spans="1:18">
      <c r="A5690" s="556" t="str">
        <f t="shared" ref="A5690:A5695" si="391">B5690</f>
        <v>Composição</v>
      </c>
      <c r="B5690" s="557" t="str">
        <f t="shared" ref="B5690:B5695" si="392">B5689</f>
        <v>Composição</v>
      </c>
      <c r="C5690" s="79" t="s">
        <v>2921</v>
      </c>
      <c r="D5690" s="78" t="s">
        <v>3144</v>
      </c>
      <c r="E5690" s="79" t="s">
        <v>139</v>
      </c>
      <c r="F5690" s="79" t="s">
        <v>3145</v>
      </c>
      <c r="G5690" s="79" t="s">
        <v>2928</v>
      </c>
      <c r="H5690" s="79"/>
      <c r="I5690" s="80" t="s">
        <v>2897</v>
      </c>
      <c r="J5690" s="583">
        <v>1.15</v>
      </c>
      <c r="K5690" s="583">
        <v>0</v>
      </c>
      <c r="L5690" s="92">
        <v>35.55</v>
      </c>
      <c r="M5690" s="92">
        <v>40.88</v>
      </c>
      <c r="N5690" s="573">
        <v>5.04</v>
      </c>
      <c r="O5690" s="556" t="str">
        <f t="shared" si="390"/>
        <v>DIF</v>
      </c>
      <c r="P5690" s="573"/>
      <c r="Q5690" s="556"/>
      <c r="R5690" s="582"/>
    </row>
    <row r="5691" ht="35.05" customHeight="1" spans="1:18">
      <c r="A5691" s="556" t="str">
        <f t="shared" si="391"/>
        <v>Composição</v>
      </c>
      <c r="B5691" s="557" t="str">
        <f t="shared" si="392"/>
        <v>Composição</v>
      </c>
      <c r="C5691" s="100" t="s">
        <v>2893</v>
      </c>
      <c r="D5691" s="99" t="s">
        <v>4610</v>
      </c>
      <c r="E5691" s="100" t="s">
        <v>139</v>
      </c>
      <c r="F5691" s="100" t="s">
        <v>4611</v>
      </c>
      <c r="G5691" s="100" t="s">
        <v>2961</v>
      </c>
      <c r="H5691" s="100"/>
      <c r="I5691" s="101" t="s">
        <v>134</v>
      </c>
      <c r="J5691" s="580">
        <v>1</v>
      </c>
      <c r="K5691" s="580">
        <v>0</v>
      </c>
      <c r="L5691" s="102">
        <v>218</v>
      </c>
      <c r="M5691" s="102">
        <v>218</v>
      </c>
      <c r="N5691" s="573">
        <v>4.08</v>
      </c>
      <c r="O5691" s="556" t="str">
        <f t="shared" si="390"/>
        <v>DIF</v>
      </c>
      <c r="P5691" s="573"/>
      <c r="Q5691" s="556"/>
      <c r="R5691" s="582"/>
    </row>
    <row r="5692" ht="23.85" customHeight="1" spans="1:18">
      <c r="A5692" s="556" t="str">
        <f t="shared" si="391"/>
        <v>Composição</v>
      </c>
      <c r="B5692" s="557" t="str">
        <f t="shared" si="392"/>
        <v>Composição</v>
      </c>
      <c r="C5692" s="100" t="s">
        <v>2893</v>
      </c>
      <c r="D5692" s="99" t="s">
        <v>4625</v>
      </c>
      <c r="E5692" s="100" t="s">
        <v>139</v>
      </c>
      <c r="F5692" s="100" t="s">
        <v>4626</v>
      </c>
      <c r="G5692" s="100" t="s">
        <v>2961</v>
      </c>
      <c r="H5692" s="100"/>
      <c r="I5692" s="101" t="s">
        <v>134</v>
      </c>
      <c r="J5692" s="580">
        <v>1</v>
      </c>
      <c r="K5692" s="580">
        <v>0</v>
      </c>
      <c r="L5692" s="102">
        <v>95.5</v>
      </c>
      <c r="M5692" s="102">
        <v>95.5</v>
      </c>
      <c r="N5692" s="573">
        <v>1.31</v>
      </c>
      <c r="O5692" s="556" t="str">
        <f t="shared" si="390"/>
        <v>DIF</v>
      </c>
      <c r="P5692" s="573"/>
      <c r="Q5692" s="556"/>
      <c r="R5692" s="582"/>
    </row>
    <row r="5693" ht="15" customHeight="1" spans="1:18">
      <c r="A5693" s="556" t="str">
        <f t="shared" si="391"/>
        <v>Composição</v>
      </c>
      <c r="B5693" s="557" t="str">
        <f t="shared" si="392"/>
        <v>Composição</v>
      </c>
      <c r="C5693" s="100" t="s">
        <v>2893</v>
      </c>
      <c r="D5693" s="99" t="s">
        <v>3643</v>
      </c>
      <c r="E5693" s="100" t="s">
        <v>139</v>
      </c>
      <c r="F5693" s="100" t="s">
        <v>3644</v>
      </c>
      <c r="G5693" s="100" t="s">
        <v>2961</v>
      </c>
      <c r="H5693" s="100"/>
      <c r="I5693" s="101" t="s">
        <v>134</v>
      </c>
      <c r="J5693" s="580">
        <v>0.0282</v>
      </c>
      <c r="K5693" s="580">
        <v>0</v>
      </c>
      <c r="L5693" s="102">
        <v>13.46</v>
      </c>
      <c r="M5693" s="102">
        <v>0.37</v>
      </c>
      <c r="N5693" s="573">
        <v>488.53</v>
      </c>
      <c r="O5693" s="556" t="str">
        <f t="shared" si="390"/>
        <v>DIF</v>
      </c>
      <c r="P5693" s="573"/>
      <c r="Q5693" s="556"/>
      <c r="R5693" s="582"/>
    </row>
    <row r="5694" ht="23.85" customHeight="1" spans="1:18">
      <c r="A5694" s="556" t="str">
        <f t="shared" si="391"/>
        <v>Composição</v>
      </c>
      <c r="B5694" s="557" t="str">
        <f t="shared" si="392"/>
        <v>Composição</v>
      </c>
      <c r="C5694" s="100" t="s">
        <v>2893</v>
      </c>
      <c r="D5694" s="99" t="s">
        <v>4627</v>
      </c>
      <c r="E5694" s="100" t="s">
        <v>139</v>
      </c>
      <c r="F5694" s="100" t="s">
        <v>4628</v>
      </c>
      <c r="G5694" s="100" t="s">
        <v>2961</v>
      </c>
      <c r="H5694" s="100"/>
      <c r="I5694" s="101" t="s">
        <v>134</v>
      </c>
      <c r="J5694" s="580">
        <v>1</v>
      </c>
      <c r="K5694" s="580">
        <v>0</v>
      </c>
      <c r="L5694" s="102">
        <v>114.19</v>
      </c>
      <c r="M5694" s="102">
        <v>114.19</v>
      </c>
      <c r="N5694" s="573">
        <v>0.18</v>
      </c>
      <c r="O5694" s="556" t="str">
        <f t="shared" si="390"/>
        <v>DIF</v>
      </c>
      <c r="P5694" s="573"/>
      <c r="Q5694" s="556"/>
      <c r="R5694" s="582"/>
    </row>
    <row r="5695" ht="25.5" spans="1:18">
      <c r="A5695" s="556" t="str">
        <f t="shared" si="391"/>
        <v>Composição</v>
      </c>
      <c r="B5695" s="557" t="str">
        <f t="shared" si="392"/>
        <v>Composição</v>
      </c>
      <c r="C5695" s="108"/>
      <c r="D5695" s="108"/>
      <c r="E5695" s="108"/>
      <c r="F5695" s="108"/>
      <c r="G5695" s="108"/>
      <c r="H5695" s="108" t="s">
        <v>2898</v>
      </c>
      <c r="I5695" s="581">
        <v>53.29</v>
      </c>
      <c r="J5695" s="108" t="s">
        <v>2899</v>
      </c>
      <c r="K5695" s="581">
        <v>0</v>
      </c>
      <c r="L5695" s="108" t="s">
        <v>2900</v>
      </c>
      <c r="M5695" s="581">
        <v>53.29</v>
      </c>
      <c r="N5695" s="573">
        <v>0.06</v>
      </c>
      <c r="O5695" s="556" t="str">
        <f t="shared" si="390"/>
        <v>DIF</v>
      </c>
      <c r="P5695" s="573"/>
      <c r="Q5695" s="556"/>
      <c r="R5695" s="582"/>
    </row>
    <row r="5696" ht="26.25" spans="1:18">
      <c r="A5696" s="556"/>
      <c r="B5696" s="557"/>
      <c r="C5696" s="108"/>
      <c r="D5696" s="108"/>
      <c r="E5696" s="108"/>
      <c r="F5696" s="108"/>
      <c r="G5696" s="108"/>
      <c r="H5696" s="108" t="s">
        <v>2901</v>
      </c>
      <c r="I5696" s="581">
        <v>128.19</v>
      </c>
      <c r="J5696" s="114"/>
      <c r="K5696" s="114" t="s">
        <v>2902</v>
      </c>
      <c r="L5696" s="108"/>
      <c r="M5696" s="581">
        <v>631.1</v>
      </c>
      <c r="N5696" s="573"/>
      <c r="O5696" s="556"/>
      <c r="P5696" s="573"/>
      <c r="Q5696" s="556"/>
      <c r="R5696" s="582"/>
    </row>
    <row r="5697" ht="15" spans="1:18">
      <c r="A5697" s="556"/>
      <c r="B5697" s="557"/>
      <c r="C5697" s="571"/>
      <c r="D5697" s="571"/>
      <c r="E5697" s="571"/>
      <c r="F5697" s="571"/>
      <c r="G5697" s="571"/>
      <c r="H5697" s="571"/>
      <c r="I5697" s="571"/>
      <c r="J5697" s="571"/>
      <c r="K5697" s="571"/>
      <c r="L5697" s="571"/>
      <c r="M5697" s="571"/>
      <c r="N5697" s="573"/>
      <c r="O5697" s="556"/>
      <c r="P5697" s="573"/>
      <c r="Q5697" s="556"/>
      <c r="R5697" s="582"/>
    </row>
    <row r="5698" ht="15" customHeight="1" spans="1:18">
      <c r="A5698" s="556"/>
      <c r="B5698" s="557">
        <f>C5697</f>
        <v>0</v>
      </c>
      <c r="C5698" s="76" t="s">
        <v>1911</v>
      </c>
      <c r="D5698" s="75" t="s">
        <v>63</v>
      </c>
      <c r="E5698" s="76" t="s">
        <v>64</v>
      </c>
      <c r="F5698" s="76" t="s">
        <v>65</v>
      </c>
      <c r="G5698" s="76" t="s">
        <v>2889</v>
      </c>
      <c r="H5698" s="76"/>
      <c r="I5698" s="77" t="s">
        <v>66</v>
      </c>
      <c r="J5698" s="75" t="s">
        <v>67</v>
      </c>
      <c r="K5698" s="75" t="s">
        <v>2890</v>
      </c>
      <c r="L5698" s="75" t="s">
        <v>68</v>
      </c>
      <c r="M5698" s="75" t="s">
        <v>70</v>
      </c>
      <c r="N5698" s="573">
        <v>43.67</v>
      </c>
      <c r="O5698" s="556" t="str">
        <f>IF(N5698=M5698,"OK","DIF")</f>
        <v>DIF</v>
      </c>
      <c r="P5698" s="573"/>
      <c r="Q5698" s="556"/>
      <c r="R5698" s="582"/>
    </row>
    <row r="5699" ht="35.05" customHeight="1" spans="1:18">
      <c r="A5699" s="556">
        <f>B5699</f>
        <v>0</v>
      </c>
      <c r="B5699" s="557">
        <f>B5698</f>
        <v>0</v>
      </c>
      <c r="C5699" s="569" t="s">
        <v>2891</v>
      </c>
      <c r="D5699" s="570" t="s">
        <v>1912</v>
      </c>
      <c r="E5699" s="569" t="s">
        <v>132</v>
      </c>
      <c r="F5699" s="569" t="s">
        <v>1913</v>
      </c>
      <c r="G5699" s="569" t="s">
        <v>4629</v>
      </c>
      <c r="H5699" s="569"/>
      <c r="I5699" s="577" t="s">
        <v>204</v>
      </c>
      <c r="J5699" s="578">
        <v>1</v>
      </c>
      <c r="K5699" s="579"/>
      <c r="L5699" s="579">
        <v>10.25</v>
      </c>
      <c r="M5699" s="579">
        <v>10.25</v>
      </c>
      <c r="N5699" s="573">
        <v>33.95</v>
      </c>
      <c r="O5699" s="556" t="str">
        <f>IF(N5699=M5699,"OK","DIF")</f>
        <v>DIF</v>
      </c>
      <c r="P5699" s="573"/>
      <c r="Q5699" s="556"/>
      <c r="R5699" s="582"/>
    </row>
    <row r="5700" ht="23.85" customHeight="1" spans="1:18">
      <c r="A5700" s="556">
        <f>B5700</f>
        <v>0</v>
      </c>
      <c r="B5700" s="557">
        <f>B5699</f>
        <v>0</v>
      </c>
      <c r="C5700" s="79" t="s">
        <v>2921</v>
      </c>
      <c r="D5700" s="78" t="s">
        <v>2952</v>
      </c>
      <c r="E5700" s="79" t="s">
        <v>139</v>
      </c>
      <c r="F5700" s="79" t="s">
        <v>2953</v>
      </c>
      <c r="G5700" s="79" t="s">
        <v>2928</v>
      </c>
      <c r="H5700" s="79"/>
      <c r="I5700" s="80" t="s">
        <v>2897</v>
      </c>
      <c r="J5700" s="583">
        <v>0.04</v>
      </c>
      <c r="K5700" s="583">
        <v>0</v>
      </c>
      <c r="L5700" s="92">
        <v>29.15</v>
      </c>
      <c r="M5700" s="92">
        <v>1.16</v>
      </c>
      <c r="N5700" s="573">
        <v>4.17</v>
      </c>
      <c r="O5700" s="556" t="str">
        <f>IF(N5700=M5700,"OK","DIF")</f>
        <v>DIF</v>
      </c>
      <c r="P5700" s="573"/>
      <c r="Q5700" s="556"/>
      <c r="R5700" s="582"/>
    </row>
    <row r="5701" ht="23.85" customHeight="1" spans="1:18">
      <c r="A5701" s="556">
        <f>B5701</f>
        <v>0</v>
      </c>
      <c r="B5701" s="557">
        <f>B5700</f>
        <v>0</v>
      </c>
      <c r="C5701" s="79" t="s">
        <v>2921</v>
      </c>
      <c r="D5701" s="78" t="s">
        <v>3080</v>
      </c>
      <c r="E5701" s="79" t="s">
        <v>139</v>
      </c>
      <c r="F5701" s="79" t="s">
        <v>3081</v>
      </c>
      <c r="G5701" s="79" t="s">
        <v>2928</v>
      </c>
      <c r="H5701" s="79"/>
      <c r="I5701" s="80" t="s">
        <v>2897</v>
      </c>
      <c r="J5701" s="583">
        <v>0.124</v>
      </c>
      <c r="K5701" s="583">
        <v>0</v>
      </c>
      <c r="L5701" s="92">
        <v>38.02</v>
      </c>
      <c r="M5701" s="92">
        <v>4.71</v>
      </c>
      <c r="N5701" s="573">
        <v>0.08</v>
      </c>
      <c r="O5701" s="556" t="str">
        <f>IF(N5701=M5701,"OK","DIF")</f>
        <v>DIF</v>
      </c>
      <c r="P5701" s="573"/>
      <c r="Q5701" s="556"/>
      <c r="R5701" s="582"/>
    </row>
    <row r="5702" ht="15" customHeight="1" spans="1:18">
      <c r="A5702" s="556">
        <f>B5702</f>
        <v>0</v>
      </c>
      <c r="B5702" s="557">
        <f>B5701</f>
        <v>0</v>
      </c>
      <c r="C5702" s="100" t="s">
        <v>2893</v>
      </c>
      <c r="D5702" s="99" t="s">
        <v>3598</v>
      </c>
      <c r="E5702" s="100" t="s">
        <v>149</v>
      </c>
      <c r="F5702" s="100" t="s">
        <v>3599</v>
      </c>
      <c r="G5702" s="100" t="s">
        <v>2961</v>
      </c>
      <c r="H5702" s="100"/>
      <c r="I5702" s="101" t="s">
        <v>134</v>
      </c>
      <c r="J5702" s="580">
        <v>0.5</v>
      </c>
      <c r="K5702" s="580">
        <v>0</v>
      </c>
      <c r="L5702" s="102">
        <v>3.5</v>
      </c>
      <c r="M5702" s="102">
        <v>1.75</v>
      </c>
      <c r="N5702" s="573">
        <v>5.47</v>
      </c>
      <c r="O5702" s="556" t="str">
        <f>IF(N5702=M5702,"OK","DIF")</f>
        <v>DIF</v>
      </c>
      <c r="P5702" s="573"/>
      <c r="Q5702" s="556"/>
      <c r="R5702" s="582"/>
    </row>
    <row r="5703" ht="15" customHeight="1" spans="1:18">
      <c r="A5703" s="556"/>
      <c r="B5703" s="557"/>
      <c r="C5703" s="100" t="s">
        <v>2893</v>
      </c>
      <c r="D5703" s="99" t="s">
        <v>3596</v>
      </c>
      <c r="E5703" s="100" t="s">
        <v>149</v>
      </c>
      <c r="F5703" s="100" t="s">
        <v>3597</v>
      </c>
      <c r="G5703" s="100" t="s">
        <v>2961</v>
      </c>
      <c r="H5703" s="100"/>
      <c r="I5703" s="101" t="s">
        <v>3084</v>
      </c>
      <c r="J5703" s="580">
        <v>0.014</v>
      </c>
      <c r="K5703" s="580">
        <v>0</v>
      </c>
      <c r="L5703" s="102">
        <v>81.1</v>
      </c>
      <c r="M5703" s="102">
        <v>1.13</v>
      </c>
      <c r="N5703" s="573"/>
      <c r="O5703" s="556"/>
      <c r="P5703" s="573"/>
      <c r="Q5703" s="556"/>
      <c r="R5703" s="582"/>
    </row>
    <row r="5704" ht="15" customHeight="1" spans="1:18">
      <c r="A5704" s="556"/>
      <c r="B5704" s="557"/>
      <c r="C5704" s="100" t="s">
        <v>2893</v>
      </c>
      <c r="D5704" s="99" t="s">
        <v>3594</v>
      </c>
      <c r="E5704" s="100" t="s">
        <v>149</v>
      </c>
      <c r="F5704" s="100" t="s">
        <v>3595</v>
      </c>
      <c r="G5704" s="100" t="s">
        <v>2961</v>
      </c>
      <c r="H5704" s="100"/>
      <c r="I5704" s="101" t="s">
        <v>3084</v>
      </c>
      <c r="J5704" s="580">
        <v>0.013</v>
      </c>
      <c r="K5704" s="580">
        <v>0</v>
      </c>
      <c r="L5704" s="102">
        <v>66.63</v>
      </c>
      <c r="M5704" s="102">
        <v>0.86</v>
      </c>
      <c r="N5704" s="573"/>
      <c r="O5704" s="556"/>
      <c r="P5704" s="573"/>
      <c r="Q5704" s="556"/>
      <c r="R5704" s="582"/>
    </row>
    <row r="5705" ht="15" customHeight="1" spans="1:18">
      <c r="A5705" s="556"/>
      <c r="B5705" s="557" t="str">
        <f>C5704</f>
        <v>Insumo</v>
      </c>
      <c r="C5705" s="100" t="s">
        <v>2893</v>
      </c>
      <c r="D5705" s="99" t="s">
        <v>3592</v>
      </c>
      <c r="E5705" s="100" t="s">
        <v>149</v>
      </c>
      <c r="F5705" s="100" t="s">
        <v>3593</v>
      </c>
      <c r="G5705" s="100" t="s">
        <v>2961</v>
      </c>
      <c r="H5705" s="100"/>
      <c r="I5705" s="101" t="s">
        <v>3084</v>
      </c>
      <c r="J5705" s="580">
        <v>0.013</v>
      </c>
      <c r="K5705" s="580">
        <v>0</v>
      </c>
      <c r="L5705" s="102">
        <v>49.97</v>
      </c>
      <c r="M5705" s="102">
        <v>0.64</v>
      </c>
      <c r="N5705" s="573">
        <v>67.3</v>
      </c>
      <c r="O5705" s="556" t="str">
        <f>IF(N5705=M5705,"OK","DIF")</f>
        <v>DIF</v>
      </c>
      <c r="P5705" s="573"/>
      <c r="Q5705" s="556"/>
      <c r="R5705" s="582"/>
    </row>
    <row r="5706" ht="25.5" spans="1:18">
      <c r="A5706" s="556" t="str">
        <f>B5706</f>
        <v>Insumo</v>
      </c>
      <c r="B5706" s="557" t="str">
        <f>B5705</f>
        <v>Insumo</v>
      </c>
      <c r="C5706" s="108"/>
      <c r="D5706" s="108"/>
      <c r="E5706" s="108"/>
      <c r="F5706" s="108"/>
      <c r="G5706" s="108"/>
      <c r="H5706" s="108" t="s">
        <v>2898</v>
      </c>
      <c r="I5706" s="581">
        <v>4</v>
      </c>
      <c r="J5706" s="108" t="s">
        <v>2899</v>
      </c>
      <c r="K5706" s="581">
        <v>0</v>
      </c>
      <c r="L5706" s="108" t="s">
        <v>2900</v>
      </c>
      <c r="M5706" s="581">
        <v>4</v>
      </c>
      <c r="N5706" s="573">
        <v>5.23</v>
      </c>
      <c r="O5706" s="556" t="str">
        <f>IF(N5706=M5706,"OK","DIF")</f>
        <v>DIF</v>
      </c>
      <c r="P5706" s="573"/>
      <c r="Q5706" s="556"/>
      <c r="R5706" s="582"/>
    </row>
    <row r="5707" ht="26.25" spans="1:18">
      <c r="A5707" s="556" t="str">
        <f>B5707</f>
        <v>Insumo</v>
      </c>
      <c r="B5707" s="557" t="str">
        <f>B5706</f>
        <v>Insumo</v>
      </c>
      <c r="C5707" s="108"/>
      <c r="D5707" s="108"/>
      <c r="E5707" s="108"/>
      <c r="F5707" s="108"/>
      <c r="G5707" s="108"/>
      <c r="H5707" s="108" t="s">
        <v>2901</v>
      </c>
      <c r="I5707" s="581">
        <v>2.61</v>
      </c>
      <c r="J5707" s="114"/>
      <c r="K5707" s="114" t="s">
        <v>2902</v>
      </c>
      <c r="L5707" s="108"/>
      <c r="M5707" s="581">
        <v>12.86</v>
      </c>
      <c r="N5707" s="573">
        <v>6.87</v>
      </c>
      <c r="O5707" s="556" t="str">
        <f>IF(N5707=M5707,"OK","DIF")</f>
        <v>DIF</v>
      </c>
      <c r="P5707" s="573"/>
      <c r="Q5707" s="556"/>
      <c r="R5707" s="582"/>
    </row>
    <row r="5708" ht="15" spans="1:18">
      <c r="A5708" s="556" t="str">
        <f>B5708</f>
        <v>Insumo</v>
      </c>
      <c r="B5708" s="557" t="str">
        <f>B5707</f>
        <v>Insumo</v>
      </c>
      <c r="C5708" s="571"/>
      <c r="D5708" s="571"/>
      <c r="E5708" s="571"/>
      <c r="F5708" s="571"/>
      <c r="G5708" s="571"/>
      <c r="H5708" s="571"/>
      <c r="I5708" s="571"/>
      <c r="J5708" s="571"/>
      <c r="K5708" s="571"/>
      <c r="L5708" s="571"/>
      <c r="M5708" s="571"/>
      <c r="N5708" s="573">
        <v>54.99</v>
      </c>
      <c r="O5708" s="556" t="str">
        <f>IF(N5708=M5708,"OK","DIF")</f>
        <v>DIF</v>
      </c>
      <c r="P5708" s="573"/>
      <c r="Q5708" s="556"/>
      <c r="R5708" s="582"/>
    </row>
    <row r="5709" ht="15" customHeight="1" spans="1:18">
      <c r="A5709" s="556" t="str">
        <f>B5709</f>
        <v>Insumo</v>
      </c>
      <c r="B5709" s="557" t="str">
        <f>B5708</f>
        <v>Insumo</v>
      </c>
      <c r="C5709" s="76" t="s">
        <v>1914</v>
      </c>
      <c r="D5709" s="75" t="s">
        <v>63</v>
      </c>
      <c r="E5709" s="76" t="s">
        <v>64</v>
      </c>
      <c r="F5709" s="76" t="s">
        <v>65</v>
      </c>
      <c r="G5709" s="76" t="s">
        <v>2889</v>
      </c>
      <c r="H5709" s="76"/>
      <c r="I5709" s="77" t="s">
        <v>66</v>
      </c>
      <c r="J5709" s="75" t="s">
        <v>67</v>
      </c>
      <c r="K5709" s="75" t="s">
        <v>2890</v>
      </c>
      <c r="L5709" s="75" t="s">
        <v>68</v>
      </c>
      <c r="M5709" s="75" t="s">
        <v>70</v>
      </c>
      <c r="N5709" s="573">
        <v>0.21</v>
      </c>
      <c r="O5709" s="556" t="str">
        <f>IF(N5709=M5709,"OK","DIF")</f>
        <v>DIF</v>
      </c>
      <c r="P5709" s="573"/>
      <c r="Q5709" s="556"/>
      <c r="R5709" s="582"/>
    </row>
    <row r="5710" ht="35.05" customHeight="1" spans="1:18">
      <c r="A5710" s="556"/>
      <c r="B5710" s="557"/>
      <c r="C5710" s="569" t="s">
        <v>2891</v>
      </c>
      <c r="D5710" s="570" t="s">
        <v>1915</v>
      </c>
      <c r="E5710" s="569" t="s">
        <v>132</v>
      </c>
      <c r="F5710" s="569" t="s">
        <v>1916</v>
      </c>
      <c r="G5710" s="569" t="s">
        <v>4629</v>
      </c>
      <c r="H5710" s="569"/>
      <c r="I5710" s="577" t="s">
        <v>204</v>
      </c>
      <c r="J5710" s="578">
        <v>1</v>
      </c>
      <c r="K5710" s="579"/>
      <c r="L5710" s="579">
        <v>12.71</v>
      </c>
      <c r="M5710" s="579">
        <v>12.71</v>
      </c>
      <c r="N5710" s="573"/>
      <c r="O5710" s="556"/>
      <c r="P5710" s="573"/>
      <c r="Q5710" s="556"/>
      <c r="R5710" s="582"/>
    </row>
    <row r="5711" ht="23.85" customHeight="1" spans="1:18">
      <c r="A5711" s="556"/>
      <c r="B5711" s="557"/>
      <c r="C5711" s="79" t="s">
        <v>2921</v>
      </c>
      <c r="D5711" s="78" t="s">
        <v>2952</v>
      </c>
      <c r="E5711" s="79" t="s">
        <v>139</v>
      </c>
      <c r="F5711" s="79" t="s">
        <v>2953</v>
      </c>
      <c r="G5711" s="79" t="s">
        <v>2928</v>
      </c>
      <c r="H5711" s="79"/>
      <c r="I5711" s="80" t="s">
        <v>2897</v>
      </c>
      <c r="J5711" s="583">
        <v>0.049</v>
      </c>
      <c r="K5711" s="583">
        <v>0</v>
      </c>
      <c r="L5711" s="92">
        <v>29.15</v>
      </c>
      <c r="M5711" s="92">
        <v>1.42</v>
      </c>
      <c r="N5711" s="573"/>
      <c r="O5711" s="556"/>
      <c r="P5711" s="573"/>
      <c r="Q5711" s="556"/>
      <c r="R5711" s="582"/>
    </row>
    <row r="5712" ht="23.85" customHeight="1" spans="1:18">
      <c r="A5712" s="556"/>
      <c r="B5712" s="557" t="str">
        <f>C5711</f>
        <v>Composição Auxiliar</v>
      </c>
      <c r="C5712" s="79" t="s">
        <v>2921</v>
      </c>
      <c r="D5712" s="78" t="s">
        <v>3080</v>
      </c>
      <c r="E5712" s="79" t="s">
        <v>139</v>
      </c>
      <c r="F5712" s="79" t="s">
        <v>3081</v>
      </c>
      <c r="G5712" s="79" t="s">
        <v>2928</v>
      </c>
      <c r="H5712" s="79"/>
      <c r="I5712" s="80" t="s">
        <v>2897</v>
      </c>
      <c r="J5712" s="583">
        <v>0.155</v>
      </c>
      <c r="K5712" s="583">
        <v>0</v>
      </c>
      <c r="L5712" s="92">
        <v>38.02</v>
      </c>
      <c r="M5712" s="92">
        <v>5.89</v>
      </c>
      <c r="N5712" s="573">
        <v>116.72</v>
      </c>
      <c r="O5712" s="556" t="str">
        <f>IF(N5712=M5712,"OK","DIF")</f>
        <v>DIF</v>
      </c>
      <c r="P5712" s="573"/>
      <c r="Q5712" s="556"/>
      <c r="R5712" s="582"/>
    </row>
    <row r="5713" ht="15" customHeight="1" spans="1:18">
      <c r="A5713" s="556" t="str">
        <f>B5713</f>
        <v>Composição Auxiliar</v>
      </c>
      <c r="B5713" s="557" t="str">
        <f>B5712</f>
        <v>Composição Auxiliar</v>
      </c>
      <c r="C5713" s="100" t="s">
        <v>2893</v>
      </c>
      <c r="D5713" s="99" t="s">
        <v>3596</v>
      </c>
      <c r="E5713" s="100" t="s">
        <v>149</v>
      </c>
      <c r="F5713" s="100" t="s">
        <v>3597</v>
      </c>
      <c r="G5713" s="100" t="s">
        <v>2961</v>
      </c>
      <c r="H5713" s="100"/>
      <c r="I5713" s="101" t="s">
        <v>3084</v>
      </c>
      <c r="J5713" s="580">
        <v>0.017</v>
      </c>
      <c r="K5713" s="580">
        <v>0</v>
      </c>
      <c r="L5713" s="102">
        <v>81.1</v>
      </c>
      <c r="M5713" s="102">
        <v>1.37</v>
      </c>
      <c r="N5713" s="573">
        <v>7.12</v>
      </c>
      <c r="O5713" s="556" t="str">
        <f>IF(N5713=M5713,"OK","DIF")</f>
        <v>DIF</v>
      </c>
      <c r="P5713" s="573"/>
      <c r="Q5713" s="556"/>
      <c r="R5713" s="582"/>
    </row>
    <row r="5714" ht="15" customHeight="1" spans="1:18">
      <c r="A5714" s="556" t="str">
        <f>B5714</f>
        <v>Composição Auxiliar</v>
      </c>
      <c r="B5714" s="557" t="str">
        <f>B5713</f>
        <v>Composição Auxiliar</v>
      </c>
      <c r="C5714" s="100" t="s">
        <v>2893</v>
      </c>
      <c r="D5714" s="99" t="s">
        <v>3598</v>
      </c>
      <c r="E5714" s="100" t="s">
        <v>149</v>
      </c>
      <c r="F5714" s="100" t="s">
        <v>3599</v>
      </c>
      <c r="G5714" s="100" t="s">
        <v>2961</v>
      </c>
      <c r="H5714" s="100"/>
      <c r="I5714" s="101" t="s">
        <v>134</v>
      </c>
      <c r="J5714" s="580">
        <v>0.625</v>
      </c>
      <c r="K5714" s="580">
        <v>0</v>
      </c>
      <c r="L5714" s="102">
        <v>3.5</v>
      </c>
      <c r="M5714" s="102">
        <v>2.18</v>
      </c>
      <c r="N5714" s="573">
        <v>99.98</v>
      </c>
      <c r="O5714" s="556" t="str">
        <f>IF(N5714=M5714,"OK","DIF")</f>
        <v>DIF</v>
      </c>
      <c r="P5714" s="573"/>
      <c r="Q5714" s="556"/>
      <c r="R5714" s="582"/>
    </row>
    <row r="5715" ht="15" customHeight="1" spans="1:18">
      <c r="A5715" s="556" t="str">
        <f>B5715</f>
        <v>Composição Auxiliar</v>
      </c>
      <c r="B5715" s="557" t="str">
        <f>B5714</f>
        <v>Composição Auxiliar</v>
      </c>
      <c r="C5715" s="100" t="s">
        <v>2893</v>
      </c>
      <c r="D5715" s="99" t="s">
        <v>3592</v>
      </c>
      <c r="E5715" s="100" t="s">
        <v>149</v>
      </c>
      <c r="F5715" s="100" t="s">
        <v>3593</v>
      </c>
      <c r="G5715" s="100" t="s">
        <v>2961</v>
      </c>
      <c r="H5715" s="100"/>
      <c r="I5715" s="101" t="s">
        <v>3084</v>
      </c>
      <c r="J5715" s="580">
        <v>0.016</v>
      </c>
      <c r="K5715" s="580">
        <v>0</v>
      </c>
      <c r="L5715" s="102">
        <v>49.97</v>
      </c>
      <c r="M5715" s="102">
        <v>0.79</v>
      </c>
      <c r="N5715" s="573">
        <v>9.35</v>
      </c>
      <c r="O5715" s="556" t="str">
        <f>IF(N5715=M5715,"OK","DIF")</f>
        <v>DIF</v>
      </c>
      <c r="P5715" s="573"/>
      <c r="Q5715" s="556"/>
      <c r="R5715" s="582"/>
    </row>
    <row r="5716" ht="15" customHeight="1" spans="1:18">
      <c r="A5716" s="556" t="str">
        <f>B5716</f>
        <v>Composição Auxiliar</v>
      </c>
      <c r="B5716" s="557" t="str">
        <f>B5715</f>
        <v>Composição Auxiliar</v>
      </c>
      <c r="C5716" s="100" t="s">
        <v>2893</v>
      </c>
      <c r="D5716" s="99" t="s">
        <v>3594</v>
      </c>
      <c r="E5716" s="100" t="s">
        <v>149</v>
      </c>
      <c r="F5716" s="100" t="s">
        <v>3595</v>
      </c>
      <c r="G5716" s="100" t="s">
        <v>2961</v>
      </c>
      <c r="H5716" s="100"/>
      <c r="I5716" s="101" t="s">
        <v>3084</v>
      </c>
      <c r="J5716" s="580">
        <v>0.016</v>
      </c>
      <c r="K5716" s="580">
        <v>0</v>
      </c>
      <c r="L5716" s="102">
        <v>66.63</v>
      </c>
      <c r="M5716" s="102">
        <v>1.06</v>
      </c>
      <c r="N5716" s="573">
        <v>0.27</v>
      </c>
      <c r="O5716" s="556" t="str">
        <f>IF(N5716=M5716,"OK","DIF")</f>
        <v>DIF</v>
      </c>
      <c r="P5716" s="573"/>
      <c r="Q5716" s="556"/>
      <c r="R5716" s="582"/>
    </row>
    <row r="5717" ht="25.5" spans="1:18">
      <c r="A5717" s="556"/>
      <c r="B5717" s="557"/>
      <c r="C5717" s="108"/>
      <c r="D5717" s="108"/>
      <c r="E5717" s="108"/>
      <c r="F5717" s="108"/>
      <c r="G5717" s="108"/>
      <c r="H5717" s="108" t="s">
        <v>2898</v>
      </c>
      <c r="I5717" s="581">
        <v>4.99</v>
      </c>
      <c r="J5717" s="108" t="s">
        <v>2899</v>
      </c>
      <c r="K5717" s="581">
        <v>0</v>
      </c>
      <c r="L5717" s="108" t="s">
        <v>2900</v>
      </c>
      <c r="M5717" s="581">
        <v>4.99</v>
      </c>
      <c r="N5717" s="573"/>
      <c r="O5717" s="556"/>
      <c r="P5717" s="573"/>
      <c r="Q5717" s="556"/>
      <c r="R5717" s="582"/>
    </row>
    <row r="5718" ht="26.25" spans="1:18">
      <c r="A5718" s="556"/>
      <c r="B5718" s="557"/>
      <c r="C5718" s="108"/>
      <c r="D5718" s="108"/>
      <c r="E5718" s="108"/>
      <c r="F5718" s="108"/>
      <c r="G5718" s="108"/>
      <c r="H5718" s="108" t="s">
        <v>2901</v>
      </c>
      <c r="I5718" s="581">
        <v>3.23</v>
      </c>
      <c r="J5718" s="114"/>
      <c r="K5718" s="114" t="s">
        <v>2902</v>
      </c>
      <c r="L5718" s="108"/>
      <c r="M5718" s="581">
        <v>15.94</v>
      </c>
      <c r="N5718" s="573"/>
      <c r="O5718" s="556"/>
      <c r="P5718" s="573"/>
      <c r="Q5718" s="556"/>
      <c r="R5718" s="582"/>
    </row>
    <row r="5719" ht="15" spans="1:18">
      <c r="A5719" s="556"/>
      <c r="B5719" s="557">
        <f>C5718</f>
        <v>0</v>
      </c>
      <c r="C5719" s="571"/>
      <c r="D5719" s="571"/>
      <c r="E5719" s="571"/>
      <c r="F5719" s="571"/>
      <c r="G5719" s="571"/>
      <c r="H5719" s="571"/>
      <c r="I5719" s="571"/>
      <c r="J5719" s="571"/>
      <c r="K5719" s="571"/>
      <c r="L5719" s="571"/>
      <c r="M5719" s="571"/>
      <c r="N5719" s="573">
        <v>926.3</v>
      </c>
      <c r="O5719" s="556" t="str">
        <f>IF(N5719=M5719,"OK","DIF")</f>
        <v>DIF</v>
      </c>
      <c r="P5719" s="573"/>
      <c r="Q5719" s="556"/>
      <c r="R5719" s="582"/>
    </row>
    <row r="5720" ht="15" customHeight="1" spans="1:18">
      <c r="A5720" s="556">
        <f>B5720</f>
        <v>0</v>
      </c>
      <c r="B5720" s="557">
        <f>B5719</f>
        <v>0</v>
      </c>
      <c r="C5720" s="76" t="s">
        <v>1917</v>
      </c>
      <c r="D5720" s="75" t="s">
        <v>63</v>
      </c>
      <c r="E5720" s="76" t="s">
        <v>64</v>
      </c>
      <c r="F5720" s="76" t="s">
        <v>65</v>
      </c>
      <c r="G5720" s="76" t="s">
        <v>2889</v>
      </c>
      <c r="H5720" s="76"/>
      <c r="I5720" s="77" t="s">
        <v>66</v>
      </c>
      <c r="J5720" s="75" t="s">
        <v>67</v>
      </c>
      <c r="K5720" s="75" t="s">
        <v>2890</v>
      </c>
      <c r="L5720" s="75" t="s">
        <v>68</v>
      </c>
      <c r="M5720" s="75" t="s">
        <v>70</v>
      </c>
      <c r="N5720" s="573">
        <v>13.95</v>
      </c>
      <c r="O5720" s="556" t="str">
        <f>IF(N5720=M5720,"OK","DIF")</f>
        <v>DIF</v>
      </c>
      <c r="P5720" s="573"/>
      <c r="Q5720" s="556"/>
      <c r="R5720" s="582"/>
    </row>
    <row r="5721" ht="35.05" customHeight="1" spans="1:18">
      <c r="A5721" s="556">
        <f>B5721</f>
        <v>0</v>
      </c>
      <c r="B5721" s="557">
        <f>B5720</f>
        <v>0</v>
      </c>
      <c r="C5721" s="569" t="s">
        <v>2891</v>
      </c>
      <c r="D5721" s="570" t="s">
        <v>1918</v>
      </c>
      <c r="E5721" s="569" t="s">
        <v>132</v>
      </c>
      <c r="F5721" s="569" t="s">
        <v>1919</v>
      </c>
      <c r="G5721" s="569" t="s">
        <v>4629</v>
      </c>
      <c r="H5721" s="569"/>
      <c r="I5721" s="577" t="s">
        <v>204</v>
      </c>
      <c r="J5721" s="578">
        <v>1</v>
      </c>
      <c r="K5721" s="579"/>
      <c r="L5721" s="579">
        <v>15.22</v>
      </c>
      <c r="M5721" s="579">
        <v>15.22</v>
      </c>
      <c r="N5721" s="573">
        <v>0.86</v>
      </c>
      <c r="O5721" s="556" t="str">
        <f>IF(N5721=M5721,"OK","DIF")</f>
        <v>DIF</v>
      </c>
      <c r="P5721" s="573"/>
      <c r="Q5721" s="556"/>
      <c r="R5721" s="582"/>
    </row>
    <row r="5722" ht="23.85" customHeight="1" spans="1:18">
      <c r="A5722" s="556">
        <f>B5722</f>
        <v>0</v>
      </c>
      <c r="B5722" s="557">
        <f>B5721</f>
        <v>0</v>
      </c>
      <c r="C5722" s="79" t="s">
        <v>2921</v>
      </c>
      <c r="D5722" s="78" t="s">
        <v>2952</v>
      </c>
      <c r="E5722" s="79" t="s">
        <v>139</v>
      </c>
      <c r="F5722" s="79" t="s">
        <v>2953</v>
      </c>
      <c r="G5722" s="79" t="s">
        <v>2928</v>
      </c>
      <c r="H5722" s="79"/>
      <c r="I5722" s="80" t="s">
        <v>2897</v>
      </c>
      <c r="J5722" s="583">
        <v>0.059</v>
      </c>
      <c r="K5722" s="583">
        <v>0</v>
      </c>
      <c r="L5722" s="92">
        <v>29.15</v>
      </c>
      <c r="M5722" s="92">
        <v>1.71</v>
      </c>
      <c r="N5722" s="573">
        <v>18.31</v>
      </c>
      <c r="O5722" s="556" t="str">
        <f>IF(N5722=M5722,"OK","DIF")</f>
        <v>DIF</v>
      </c>
      <c r="P5722" s="573"/>
      <c r="Q5722" s="556"/>
      <c r="R5722" s="582"/>
    </row>
    <row r="5723" ht="23.85" customHeight="1" spans="1:18">
      <c r="A5723" s="556">
        <f>B5723</f>
        <v>0</v>
      </c>
      <c r="B5723" s="557">
        <f>B5722</f>
        <v>0</v>
      </c>
      <c r="C5723" s="79" t="s">
        <v>2921</v>
      </c>
      <c r="D5723" s="78" t="s">
        <v>3080</v>
      </c>
      <c r="E5723" s="79" t="s">
        <v>139</v>
      </c>
      <c r="F5723" s="79" t="s">
        <v>3081</v>
      </c>
      <c r="G5723" s="79" t="s">
        <v>2928</v>
      </c>
      <c r="H5723" s="79"/>
      <c r="I5723" s="80" t="s">
        <v>2897</v>
      </c>
      <c r="J5723" s="583">
        <v>0.186</v>
      </c>
      <c r="K5723" s="583">
        <v>0</v>
      </c>
      <c r="L5723" s="92">
        <v>38.02</v>
      </c>
      <c r="M5723" s="92">
        <v>7.07</v>
      </c>
      <c r="N5723" s="573">
        <v>893.18</v>
      </c>
      <c r="O5723" s="556" t="str">
        <f>IF(N5723=M5723,"OK","DIF")</f>
        <v>DIF</v>
      </c>
      <c r="P5723" s="573"/>
      <c r="Q5723" s="556"/>
      <c r="R5723" s="582"/>
    </row>
    <row r="5724" ht="15" customHeight="1" spans="1:18">
      <c r="A5724" s="556"/>
      <c r="B5724" s="557"/>
      <c r="C5724" s="100" t="s">
        <v>2893</v>
      </c>
      <c r="D5724" s="99" t="s">
        <v>3596</v>
      </c>
      <c r="E5724" s="100" t="s">
        <v>149</v>
      </c>
      <c r="F5724" s="100" t="s">
        <v>3597</v>
      </c>
      <c r="G5724" s="100" t="s">
        <v>2961</v>
      </c>
      <c r="H5724" s="100"/>
      <c r="I5724" s="101" t="s">
        <v>3084</v>
      </c>
      <c r="J5724" s="580">
        <v>0.02</v>
      </c>
      <c r="K5724" s="580">
        <v>0</v>
      </c>
      <c r="L5724" s="102">
        <v>81.1</v>
      </c>
      <c r="M5724" s="102">
        <v>1.62</v>
      </c>
      <c r="N5724" s="573"/>
      <c r="O5724" s="556"/>
      <c r="P5724" s="573"/>
      <c r="Q5724" s="556"/>
      <c r="R5724" s="582"/>
    </row>
    <row r="5725" ht="15" customHeight="1" spans="1:18">
      <c r="A5725" s="556"/>
      <c r="B5725" s="557"/>
      <c r="C5725" s="100" t="s">
        <v>2893</v>
      </c>
      <c r="D5725" s="99" t="s">
        <v>3592</v>
      </c>
      <c r="E5725" s="100" t="s">
        <v>149</v>
      </c>
      <c r="F5725" s="100" t="s">
        <v>3593</v>
      </c>
      <c r="G5725" s="100" t="s">
        <v>2961</v>
      </c>
      <c r="H5725" s="100"/>
      <c r="I5725" s="101" t="s">
        <v>3084</v>
      </c>
      <c r="J5725" s="580">
        <v>0.019</v>
      </c>
      <c r="K5725" s="580">
        <v>0</v>
      </c>
      <c r="L5725" s="102">
        <v>49.97</v>
      </c>
      <c r="M5725" s="102">
        <v>0.94</v>
      </c>
      <c r="N5725" s="573"/>
      <c r="O5725" s="556"/>
      <c r="P5725" s="573"/>
      <c r="Q5725" s="556"/>
      <c r="R5725" s="582"/>
    </row>
    <row r="5726" ht="15" customHeight="1" spans="1:18">
      <c r="A5726" s="556"/>
      <c r="B5726" s="557" t="str">
        <f>C5725</f>
        <v>Insumo</v>
      </c>
      <c r="C5726" s="100" t="s">
        <v>2893</v>
      </c>
      <c r="D5726" s="99" t="s">
        <v>3598</v>
      </c>
      <c r="E5726" s="100" t="s">
        <v>149</v>
      </c>
      <c r="F5726" s="100" t="s">
        <v>3599</v>
      </c>
      <c r="G5726" s="100" t="s">
        <v>2961</v>
      </c>
      <c r="H5726" s="100"/>
      <c r="I5726" s="101" t="s">
        <v>134</v>
      </c>
      <c r="J5726" s="580">
        <v>0.75</v>
      </c>
      <c r="K5726" s="580">
        <v>0</v>
      </c>
      <c r="L5726" s="102">
        <v>3.5</v>
      </c>
      <c r="M5726" s="102">
        <v>2.62</v>
      </c>
      <c r="N5726" s="573">
        <v>134.19</v>
      </c>
      <c r="O5726" s="556" t="str">
        <f>IF(N5726=M5726,"OK","DIF")</f>
        <v>DIF</v>
      </c>
      <c r="P5726" s="573"/>
      <c r="Q5726" s="556"/>
      <c r="R5726" s="582"/>
    </row>
    <row r="5727" ht="15" customHeight="1" spans="1:18">
      <c r="A5727" s="556" t="str">
        <f>B5727</f>
        <v>Insumo</v>
      </c>
      <c r="B5727" s="557" t="str">
        <f>B5726</f>
        <v>Insumo</v>
      </c>
      <c r="C5727" s="100" t="s">
        <v>2893</v>
      </c>
      <c r="D5727" s="99" t="s">
        <v>3594</v>
      </c>
      <c r="E5727" s="100" t="s">
        <v>149</v>
      </c>
      <c r="F5727" s="100" t="s">
        <v>3595</v>
      </c>
      <c r="G5727" s="100" t="s">
        <v>2961</v>
      </c>
      <c r="H5727" s="100"/>
      <c r="I5727" s="101" t="s">
        <v>3084</v>
      </c>
      <c r="J5727" s="580">
        <v>0.019</v>
      </c>
      <c r="K5727" s="580">
        <v>0</v>
      </c>
      <c r="L5727" s="102">
        <v>66.63</v>
      </c>
      <c r="M5727" s="102">
        <v>1.26</v>
      </c>
      <c r="N5727" s="573">
        <v>12.32</v>
      </c>
      <c r="O5727" s="556" t="str">
        <f>IF(N5727=M5727,"OK","DIF")</f>
        <v>DIF</v>
      </c>
      <c r="P5727" s="573"/>
      <c r="Q5727" s="556"/>
      <c r="R5727" s="582"/>
    </row>
    <row r="5728" ht="25.5" spans="1:18">
      <c r="A5728" s="556" t="str">
        <f>B5728</f>
        <v>Insumo</v>
      </c>
      <c r="B5728" s="557" t="str">
        <f>B5727</f>
        <v>Insumo</v>
      </c>
      <c r="C5728" s="108"/>
      <c r="D5728" s="108"/>
      <c r="E5728" s="108"/>
      <c r="F5728" s="108"/>
      <c r="G5728" s="108"/>
      <c r="H5728" s="108" t="s">
        <v>2898</v>
      </c>
      <c r="I5728" s="581">
        <v>6</v>
      </c>
      <c r="J5728" s="108" t="s">
        <v>2899</v>
      </c>
      <c r="K5728" s="581">
        <v>0</v>
      </c>
      <c r="L5728" s="108" t="s">
        <v>2900</v>
      </c>
      <c r="M5728" s="581">
        <v>6</v>
      </c>
      <c r="N5728" s="573">
        <v>112.48</v>
      </c>
      <c r="O5728" s="556" t="str">
        <f>IF(N5728=M5728,"OK","DIF")</f>
        <v>DIF</v>
      </c>
      <c r="P5728" s="573"/>
      <c r="Q5728" s="556"/>
      <c r="R5728" s="582"/>
    </row>
    <row r="5729" ht="26.25" spans="1:18">
      <c r="A5729" s="556" t="str">
        <f>B5729</f>
        <v>Insumo</v>
      </c>
      <c r="B5729" s="557" t="str">
        <f>B5728</f>
        <v>Insumo</v>
      </c>
      <c r="C5729" s="108"/>
      <c r="D5729" s="108"/>
      <c r="E5729" s="108"/>
      <c r="F5729" s="108"/>
      <c r="G5729" s="108"/>
      <c r="H5729" s="108" t="s">
        <v>2901</v>
      </c>
      <c r="I5729" s="581">
        <v>3.87</v>
      </c>
      <c r="J5729" s="114"/>
      <c r="K5729" s="114" t="s">
        <v>2902</v>
      </c>
      <c r="L5729" s="108"/>
      <c r="M5729" s="581">
        <v>19.09</v>
      </c>
      <c r="N5729" s="573">
        <v>9.39</v>
      </c>
      <c r="O5729" s="556" t="str">
        <f>IF(N5729=M5729,"OK","DIF")</f>
        <v>DIF</v>
      </c>
      <c r="P5729" s="573"/>
      <c r="Q5729" s="556"/>
      <c r="R5729" s="582"/>
    </row>
    <row r="5730" ht="15" spans="1:18">
      <c r="A5730" s="556"/>
      <c r="B5730" s="557"/>
      <c r="C5730" s="571"/>
      <c r="D5730" s="571"/>
      <c r="E5730" s="571"/>
      <c r="F5730" s="571"/>
      <c r="G5730" s="571"/>
      <c r="H5730" s="571"/>
      <c r="I5730" s="571"/>
      <c r="J5730" s="571"/>
      <c r="K5730" s="571"/>
      <c r="L5730" s="571"/>
      <c r="M5730" s="571"/>
      <c r="N5730" s="573"/>
      <c r="O5730" s="556"/>
      <c r="P5730" s="573"/>
      <c r="Q5730" s="556"/>
      <c r="R5730" s="582"/>
    </row>
    <row r="5731" ht="15" customHeight="1" spans="1:18">
      <c r="A5731" s="556"/>
      <c r="B5731" s="557"/>
      <c r="C5731" s="76" t="s">
        <v>1920</v>
      </c>
      <c r="D5731" s="75" t="s">
        <v>63</v>
      </c>
      <c r="E5731" s="76" t="s">
        <v>64</v>
      </c>
      <c r="F5731" s="76" t="s">
        <v>65</v>
      </c>
      <c r="G5731" s="76" t="s">
        <v>2889</v>
      </c>
      <c r="H5731" s="76"/>
      <c r="I5731" s="77" t="s">
        <v>66</v>
      </c>
      <c r="J5731" s="75" t="s">
        <v>67</v>
      </c>
      <c r="K5731" s="75" t="s">
        <v>2890</v>
      </c>
      <c r="L5731" s="75" t="s">
        <v>68</v>
      </c>
      <c r="M5731" s="75" t="s">
        <v>70</v>
      </c>
      <c r="N5731" s="573"/>
      <c r="O5731" s="556"/>
      <c r="P5731" s="573"/>
      <c r="Q5731" s="556"/>
      <c r="R5731" s="582"/>
    </row>
    <row r="5732" ht="35.05" customHeight="1" spans="1:18">
      <c r="A5732" s="556"/>
      <c r="B5732" s="557" t="str">
        <f>C5731</f>
        <v> 14.2.1.18 </v>
      </c>
      <c r="C5732" s="569" t="s">
        <v>2891</v>
      </c>
      <c r="D5732" s="570" t="s">
        <v>1921</v>
      </c>
      <c r="E5732" s="569" t="s">
        <v>132</v>
      </c>
      <c r="F5732" s="569" t="s">
        <v>1922</v>
      </c>
      <c r="G5732" s="569" t="s">
        <v>4629</v>
      </c>
      <c r="H5732" s="569"/>
      <c r="I5732" s="577" t="s">
        <v>204</v>
      </c>
      <c r="J5732" s="578">
        <v>1</v>
      </c>
      <c r="K5732" s="579"/>
      <c r="L5732" s="579">
        <v>20.3</v>
      </c>
      <c r="M5732" s="579">
        <v>20.3</v>
      </c>
      <c r="N5732" s="573">
        <v>21.92</v>
      </c>
      <c r="O5732" s="556" t="str">
        <f>IF(N5732=M5732,"OK","DIF")</f>
        <v>DIF</v>
      </c>
      <c r="P5732" s="573"/>
      <c r="Q5732" s="556"/>
      <c r="R5732" s="582"/>
    </row>
    <row r="5733" ht="23.85" customHeight="1" spans="1:18">
      <c r="A5733" s="556" t="str">
        <f>B5733</f>
        <v> 14.2.1.18 </v>
      </c>
      <c r="B5733" s="557" t="str">
        <f>B5732</f>
        <v> 14.2.1.18 </v>
      </c>
      <c r="C5733" s="79" t="s">
        <v>2921</v>
      </c>
      <c r="D5733" s="78" t="s">
        <v>3080</v>
      </c>
      <c r="E5733" s="79" t="s">
        <v>139</v>
      </c>
      <c r="F5733" s="79" t="s">
        <v>3081</v>
      </c>
      <c r="G5733" s="79" t="s">
        <v>2928</v>
      </c>
      <c r="H5733" s="79"/>
      <c r="I5733" s="80" t="s">
        <v>2897</v>
      </c>
      <c r="J5733" s="583">
        <v>0.248</v>
      </c>
      <c r="K5733" s="583">
        <v>0</v>
      </c>
      <c r="L5733" s="92">
        <v>38.02</v>
      </c>
      <c r="M5733" s="92">
        <v>9.42</v>
      </c>
      <c r="N5733" s="573">
        <v>6.55</v>
      </c>
      <c r="O5733" s="556" t="str">
        <f>IF(N5733=M5733,"OK","DIF")</f>
        <v>DIF</v>
      </c>
      <c r="P5733" s="573"/>
      <c r="Q5733" s="556"/>
      <c r="R5733" s="582"/>
    </row>
    <row r="5734" ht="23.85" customHeight="1" spans="1:18">
      <c r="A5734" s="556" t="str">
        <f>B5734</f>
        <v> 14.2.1.18 </v>
      </c>
      <c r="B5734" s="557" t="str">
        <f>B5733</f>
        <v> 14.2.1.18 </v>
      </c>
      <c r="C5734" s="79" t="s">
        <v>2921</v>
      </c>
      <c r="D5734" s="78" t="s">
        <v>2952</v>
      </c>
      <c r="E5734" s="79" t="s">
        <v>139</v>
      </c>
      <c r="F5734" s="79" t="s">
        <v>2953</v>
      </c>
      <c r="G5734" s="79" t="s">
        <v>2928</v>
      </c>
      <c r="H5734" s="79"/>
      <c r="I5734" s="80" t="s">
        <v>2897</v>
      </c>
      <c r="J5734" s="583">
        <v>0.079</v>
      </c>
      <c r="K5734" s="583">
        <v>0</v>
      </c>
      <c r="L5734" s="92">
        <v>29.15</v>
      </c>
      <c r="M5734" s="92">
        <v>2.3</v>
      </c>
      <c r="N5734" s="573">
        <v>7.93</v>
      </c>
      <c r="O5734" s="556" t="str">
        <f>IF(N5734=M5734,"OK","DIF")</f>
        <v>DIF</v>
      </c>
      <c r="P5734" s="573"/>
      <c r="Q5734" s="556"/>
      <c r="R5734" s="582"/>
    </row>
    <row r="5735" ht="15" customHeight="1" spans="1:18">
      <c r="A5735" s="556" t="str">
        <f>B5735</f>
        <v> 14.2.1.18 </v>
      </c>
      <c r="B5735" s="557" t="str">
        <f>B5734</f>
        <v> 14.2.1.18 </v>
      </c>
      <c r="C5735" s="100" t="s">
        <v>2893</v>
      </c>
      <c r="D5735" s="99" t="s">
        <v>3594</v>
      </c>
      <c r="E5735" s="100" t="s">
        <v>149</v>
      </c>
      <c r="F5735" s="100" t="s">
        <v>3595</v>
      </c>
      <c r="G5735" s="100" t="s">
        <v>2961</v>
      </c>
      <c r="H5735" s="100"/>
      <c r="I5735" s="101" t="s">
        <v>3084</v>
      </c>
      <c r="J5735" s="580">
        <v>0.025</v>
      </c>
      <c r="K5735" s="580">
        <v>0</v>
      </c>
      <c r="L5735" s="102">
        <v>66.63</v>
      </c>
      <c r="M5735" s="102">
        <v>1.66</v>
      </c>
      <c r="N5735" s="573">
        <v>7.44</v>
      </c>
      <c r="O5735" s="556" t="str">
        <f>IF(N5735=M5735,"OK","DIF")</f>
        <v>DIF</v>
      </c>
      <c r="P5735" s="573"/>
      <c r="Q5735" s="556"/>
      <c r="R5735" s="582"/>
    </row>
    <row r="5736" ht="15" customHeight="1" spans="1:18">
      <c r="A5736" s="556"/>
      <c r="B5736" s="557"/>
      <c r="C5736" s="100" t="s">
        <v>2893</v>
      </c>
      <c r="D5736" s="99" t="s">
        <v>3592</v>
      </c>
      <c r="E5736" s="100" t="s">
        <v>149</v>
      </c>
      <c r="F5736" s="100" t="s">
        <v>3593</v>
      </c>
      <c r="G5736" s="100" t="s">
        <v>2961</v>
      </c>
      <c r="H5736" s="100"/>
      <c r="I5736" s="101" t="s">
        <v>3084</v>
      </c>
      <c r="J5736" s="580">
        <v>0.025</v>
      </c>
      <c r="K5736" s="580">
        <v>0</v>
      </c>
      <c r="L5736" s="102">
        <v>49.97</v>
      </c>
      <c r="M5736" s="102">
        <v>1.24</v>
      </c>
      <c r="N5736" s="573"/>
      <c r="O5736" s="556"/>
      <c r="P5736" s="573"/>
      <c r="Q5736" s="556"/>
      <c r="R5736" s="582"/>
    </row>
    <row r="5737" ht="15" customHeight="1" spans="1:18">
      <c r="A5737" s="556"/>
      <c r="B5737" s="557"/>
      <c r="C5737" s="100" t="s">
        <v>2893</v>
      </c>
      <c r="D5737" s="99" t="s">
        <v>3598</v>
      </c>
      <c r="E5737" s="100" t="s">
        <v>149</v>
      </c>
      <c r="F5737" s="100" t="s">
        <v>3599</v>
      </c>
      <c r="G5737" s="100" t="s">
        <v>2961</v>
      </c>
      <c r="H5737" s="100"/>
      <c r="I5737" s="101" t="s">
        <v>134</v>
      </c>
      <c r="J5737" s="580">
        <v>1</v>
      </c>
      <c r="K5737" s="580">
        <v>0</v>
      </c>
      <c r="L5737" s="102">
        <v>3.5</v>
      </c>
      <c r="M5737" s="102">
        <v>3.5</v>
      </c>
      <c r="N5737" s="573"/>
      <c r="O5737" s="556"/>
      <c r="P5737" s="573"/>
      <c r="Q5737" s="556"/>
      <c r="R5737" s="582"/>
    </row>
    <row r="5738" ht="15" customHeight="1" spans="1:18">
      <c r="A5738" s="556"/>
      <c r="B5738" s="557" t="str">
        <f>C5737</f>
        <v>Insumo</v>
      </c>
      <c r="C5738" s="100" t="s">
        <v>2893</v>
      </c>
      <c r="D5738" s="99" t="s">
        <v>3596</v>
      </c>
      <c r="E5738" s="100" t="s">
        <v>149</v>
      </c>
      <c r="F5738" s="100" t="s">
        <v>3597</v>
      </c>
      <c r="G5738" s="100" t="s">
        <v>2961</v>
      </c>
      <c r="H5738" s="100"/>
      <c r="I5738" s="101" t="s">
        <v>3084</v>
      </c>
      <c r="J5738" s="580">
        <v>0.027</v>
      </c>
      <c r="K5738" s="580">
        <v>0</v>
      </c>
      <c r="L5738" s="102">
        <v>81.1</v>
      </c>
      <c r="M5738" s="102">
        <v>2.18</v>
      </c>
      <c r="N5738" s="573">
        <v>60.37</v>
      </c>
      <c r="O5738" s="556" t="str">
        <f>IF(N5738=M5738,"OK","DIF")</f>
        <v>DIF</v>
      </c>
      <c r="P5738" s="573"/>
      <c r="Q5738" s="556"/>
      <c r="R5738" s="582"/>
    </row>
    <row r="5739" ht="25.5" spans="1:18">
      <c r="A5739" s="556" t="str">
        <f>B5739</f>
        <v>Insumo</v>
      </c>
      <c r="B5739" s="557" t="str">
        <f>B5738</f>
        <v>Insumo</v>
      </c>
      <c r="C5739" s="108"/>
      <c r="D5739" s="108"/>
      <c r="E5739" s="108"/>
      <c r="F5739" s="108"/>
      <c r="G5739" s="108"/>
      <c r="H5739" s="108" t="s">
        <v>2898</v>
      </c>
      <c r="I5739" s="581">
        <v>8</v>
      </c>
      <c r="J5739" s="108" t="s">
        <v>2899</v>
      </c>
      <c r="K5739" s="581">
        <v>0</v>
      </c>
      <c r="L5739" s="108" t="s">
        <v>2900</v>
      </c>
      <c r="M5739" s="581">
        <v>8</v>
      </c>
      <c r="N5739" s="573">
        <v>33.07</v>
      </c>
      <c r="O5739" s="556" t="str">
        <f>IF(N5739=M5739,"OK","DIF")</f>
        <v>DIF</v>
      </c>
      <c r="P5739" s="573"/>
      <c r="Q5739" s="556"/>
      <c r="R5739" s="582"/>
    </row>
    <row r="5740" ht="26.25" spans="1:18">
      <c r="A5740" s="556" t="str">
        <f>B5740</f>
        <v>Insumo</v>
      </c>
      <c r="B5740" s="557" t="str">
        <f>B5739</f>
        <v>Insumo</v>
      </c>
      <c r="C5740" s="108"/>
      <c r="D5740" s="108"/>
      <c r="E5740" s="108"/>
      <c r="F5740" s="108"/>
      <c r="G5740" s="108"/>
      <c r="H5740" s="108" t="s">
        <v>2901</v>
      </c>
      <c r="I5740" s="581">
        <v>5.17</v>
      </c>
      <c r="J5740" s="114"/>
      <c r="K5740" s="114" t="s">
        <v>2902</v>
      </c>
      <c r="L5740" s="108"/>
      <c r="M5740" s="581">
        <v>25.47</v>
      </c>
      <c r="N5740" s="573">
        <v>27.3</v>
      </c>
      <c r="O5740" s="556" t="str">
        <f>IF(N5740=M5740,"OK","DIF")</f>
        <v>DIF</v>
      </c>
      <c r="P5740" s="573"/>
      <c r="Q5740" s="556"/>
      <c r="R5740" s="582"/>
    </row>
    <row r="5741" ht="15" spans="1:18">
      <c r="A5741" s="556"/>
      <c r="B5741" s="557"/>
      <c r="C5741" s="571"/>
      <c r="D5741" s="571"/>
      <c r="E5741" s="571"/>
      <c r="F5741" s="571"/>
      <c r="G5741" s="571"/>
      <c r="H5741" s="571"/>
      <c r="I5741" s="571"/>
      <c r="J5741" s="571"/>
      <c r="K5741" s="571"/>
      <c r="L5741" s="571"/>
      <c r="M5741" s="571"/>
      <c r="N5741" s="573"/>
      <c r="O5741" s="556"/>
      <c r="P5741" s="573"/>
      <c r="Q5741" s="556"/>
      <c r="R5741" s="582"/>
    </row>
    <row r="5742" ht="15" customHeight="1" spans="1:18">
      <c r="A5742" s="556"/>
      <c r="B5742" s="557"/>
      <c r="C5742" s="76" t="s">
        <v>1923</v>
      </c>
      <c r="D5742" s="75" t="s">
        <v>63</v>
      </c>
      <c r="E5742" s="76" t="s">
        <v>64</v>
      </c>
      <c r="F5742" s="76" t="s">
        <v>65</v>
      </c>
      <c r="G5742" s="76" t="s">
        <v>2889</v>
      </c>
      <c r="H5742" s="76"/>
      <c r="I5742" s="77" t="s">
        <v>66</v>
      </c>
      <c r="J5742" s="75" t="s">
        <v>67</v>
      </c>
      <c r="K5742" s="75" t="s">
        <v>2890</v>
      </c>
      <c r="L5742" s="75" t="s">
        <v>68</v>
      </c>
      <c r="M5742" s="75" t="s">
        <v>70</v>
      </c>
      <c r="N5742" s="573"/>
      <c r="O5742" s="556"/>
      <c r="P5742" s="573"/>
      <c r="Q5742" s="556"/>
      <c r="R5742" s="582"/>
    </row>
    <row r="5743" ht="35.05" customHeight="1" spans="1:18">
      <c r="A5743" s="556"/>
      <c r="B5743" s="557" t="str">
        <f>C5742</f>
        <v> 14.2.1.19 </v>
      </c>
      <c r="C5743" s="569" t="s">
        <v>2891</v>
      </c>
      <c r="D5743" s="570" t="s">
        <v>1924</v>
      </c>
      <c r="E5743" s="569" t="s">
        <v>132</v>
      </c>
      <c r="F5743" s="569" t="s">
        <v>1925</v>
      </c>
      <c r="G5743" s="569" t="s">
        <v>4629</v>
      </c>
      <c r="H5743" s="569"/>
      <c r="I5743" s="577" t="s">
        <v>204</v>
      </c>
      <c r="J5743" s="578">
        <v>1</v>
      </c>
      <c r="K5743" s="579"/>
      <c r="L5743" s="579">
        <v>30.59</v>
      </c>
      <c r="M5743" s="579">
        <v>30.59</v>
      </c>
      <c r="N5743" s="573">
        <v>0.12</v>
      </c>
      <c r="O5743" s="556" t="str">
        <f>IF(N5743=M5743,"OK","DIF")</f>
        <v>DIF</v>
      </c>
      <c r="P5743" s="573"/>
      <c r="Q5743" s="556"/>
      <c r="R5743" s="582"/>
    </row>
    <row r="5744" ht="23.85" customHeight="1" spans="1:18">
      <c r="A5744" s="556" t="str">
        <f>B5744</f>
        <v> 14.2.1.19 </v>
      </c>
      <c r="B5744" s="557" t="str">
        <f>B5743</f>
        <v> 14.2.1.19 </v>
      </c>
      <c r="C5744" s="79" t="s">
        <v>2921</v>
      </c>
      <c r="D5744" s="78" t="s">
        <v>2952</v>
      </c>
      <c r="E5744" s="79" t="s">
        <v>139</v>
      </c>
      <c r="F5744" s="79" t="s">
        <v>2953</v>
      </c>
      <c r="G5744" s="79" t="s">
        <v>2928</v>
      </c>
      <c r="H5744" s="79"/>
      <c r="I5744" s="80" t="s">
        <v>2897</v>
      </c>
      <c r="J5744" s="583">
        <v>0.119</v>
      </c>
      <c r="K5744" s="583">
        <v>0</v>
      </c>
      <c r="L5744" s="92">
        <v>29.15</v>
      </c>
      <c r="M5744" s="92">
        <v>3.46</v>
      </c>
      <c r="N5744" s="573">
        <v>0.12</v>
      </c>
      <c r="O5744" s="556" t="str">
        <f>IF(N5744=M5744,"OK","DIF")</f>
        <v>DIF</v>
      </c>
      <c r="P5744" s="573"/>
      <c r="Q5744" s="556"/>
      <c r="R5744" s="582"/>
    </row>
    <row r="5745" ht="23.85" customHeight="1" spans="1:18">
      <c r="A5745" s="556"/>
      <c r="B5745" s="557"/>
      <c r="C5745" s="79" t="s">
        <v>2921</v>
      </c>
      <c r="D5745" s="78" t="s">
        <v>3080</v>
      </c>
      <c r="E5745" s="79" t="s">
        <v>139</v>
      </c>
      <c r="F5745" s="79" t="s">
        <v>3081</v>
      </c>
      <c r="G5745" s="79" t="s">
        <v>2928</v>
      </c>
      <c r="H5745" s="79"/>
      <c r="I5745" s="80" t="s">
        <v>2897</v>
      </c>
      <c r="J5745" s="583">
        <v>0.372</v>
      </c>
      <c r="K5745" s="583">
        <v>0</v>
      </c>
      <c r="L5745" s="92">
        <v>38.02</v>
      </c>
      <c r="M5745" s="92">
        <v>14.14</v>
      </c>
      <c r="N5745" s="573"/>
      <c r="O5745" s="556"/>
      <c r="P5745" s="573"/>
      <c r="Q5745" s="556"/>
      <c r="R5745" s="582"/>
    </row>
    <row r="5746" ht="15" customHeight="1" spans="1:18">
      <c r="A5746" s="556"/>
      <c r="B5746" s="557"/>
      <c r="C5746" s="100" t="s">
        <v>2893</v>
      </c>
      <c r="D5746" s="99" t="s">
        <v>3598</v>
      </c>
      <c r="E5746" s="100" t="s">
        <v>149</v>
      </c>
      <c r="F5746" s="100" t="s">
        <v>3599</v>
      </c>
      <c r="G5746" s="100" t="s">
        <v>2961</v>
      </c>
      <c r="H5746" s="100"/>
      <c r="I5746" s="101" t="s">
        <v>134</v>
      </c>
      <c r="J5746" s="580">
        <v>1.5</v>
      </c>
      <c r="K5746" s="580">
        <v>0</v>
      </c>
      <c r="L5746" s="102">
        <v>3.5</v>
      </c>
      <c r="M5746" s="102">
        <v>5.25</v>
      </c>
      <c r="N5746" s="573"/>
      <c r="O5746" s="556"/>
      <c r="P5746" s="573"/>
      <c r="Q5746" s="556"/>
      <c r="R5746" s="582"/>
    </row>
    <row r="5747" ht="15" customHeight="1" spans="1:18">
      <c r="A5747" s="556"/>
      <c r="B5747" s="557" t="str">
        <f>C5746</f>
        <v>Insumo</v>
      </c>
      <c r="C5747" s="100" t="s">
        <v>2893</v>
      </c>
      <c r="D5747" s="99" t="s">
        <v>3594</v>
      </c>
      <c r="E5747" s="100" t="s">
        <v>149</v>
      </c>
      <c r="F5747" s="100" t="s">
        <v>3595</v>
      </c>
      <c r="G5747" s="100" t="s">
        <v>2961</v>
      </c>
      <c r="H5747" s="100"/>
      <c r="I5747" s="101" t="s">
        <v>3084</v>
      </c>
      <c r="J5747" s="580">
        <v>0.038</v>
      </c>
      <c r="K5747" s="580">
        <v>0</v>
      </c>
      <c r="L5747" s="102">
        <v>66.63</v>
      </c>
      <c r="M5747" s="102">
        <v>2.53</v>
      </c>
      <c r="N5747" s="573">
        <v>0.09</v>
      </c>
      <c r="O5747" s="556" t="str">
        <f>IF(N5747=M5747,"OK","DIF")</f>
        <v>DIF</v>
      </c>
      <c r="P5747" s="573"/>
      <c r="Q5747" s="556"/>
      <c r="R5747" s="582"/>
    </row>
    <row r="5748" ht="15" customHeight="1" spans="1:18">
      <c r="A5748" s="556"/>
      <c r="B5748" s="557"/>
      <c r="C5748" s="100" t="s">
        <v>2893</v>
      </c>
      <c r="D5748" s="99" t="s">
        <v>3592</v>
      </c>
      <c r="E5748" s="100" t="s">
        <v>149</v>
      </c>
      <c r="F5748" s="100" t="s">
        <v>3593</v>
      </c>
      <c r="G5748" s="100" t="s">
        <v>2961</v>
      </c>
      <c r="H5748" s="100"/>
      <c r="I5748" s="101" t="s">
        <v>3084</v>
      </c>
      <c r="J5748" s="580">
        <v>0.038</v>
      </c>
      <c r="K5748" s="580">
        <v>0</v>
      </c>
      <c r="L5748" s="102">
        <v>49.97</v>
      </c>
      <c r="M5748" s="102">
        <v>1.89</v>
      </c>
      <c r="N5748" s="573"/>
      <c r="O5748" s="556"/>
      <c r="P5748" s="573"/>
      <c r="Q5748" s="556"/>
      <c r="R5748" s="582"/>
    </row>
    <row r="5749" ht="15" customHeight="1" spans="1:18">
      <c r="A5749" s="556"/>
      <c r="B5749" s="557"/>
      <c r="C5749" s="100" t="s">
        <v>2893</v>
      </c>
      <c r="D5749" s="99" t="s">
        <v>3596</v>
      </c>
      <c r="E5749" s="100" t="s">
        <v>149</v>
      </c>
      <c r="F5749" s="100" t="s">
        <v>3597</v>
      </c>
      <c r="G5749" s="100" t="s">
        <v>2961</v>
      </c>
      <c r="H5749" s="100"/>
      <c r="I5749" s="101" t="s">
        <v>3084</v>
      </c>
      <c r="J5749" s="580">
        <v>0.041</v>
      </c>
      <c r="K5749" s="580">
        <v>0</v>
      </c>
      <c r="L5749" s="102">
        <v>81.1</v>
      </c>
      <c r="M5749" s="102">
        <v>3.32</v>
      </c>
      <c r="N5749" s="573"/>
      <c r="O5749" s="556"/>
      <c r="P5749" s="573"/>
      <c r="Q5749" s="556"/>
      <c r="R5749" s="582"/>
    </row>
    <row r="5750" ht="25.5" spans="1:18">
      <c r="A5750" s="556"/>
      <c r="B5750" s="557" t="str">
        <f>C5749</f>
        <v>Insumo</v>
      </c>
      <c r="C5750" s="108"/>
      <c r="D5750" s="108"/>
      <c r="E5750" s="108"/>
      <c r="F5750" s="108"/>
      <c r="G5750" s="108"/>
      <c r="H5750" s="108" t="s">
        <v>2898</v>
      </c>
      <c r="I5750" s="581">
        <v>12.02</v>
      </c>
      <c r="J5750" s="108" t="s">
        <v>2899</v>
      </c>
      <c r="K5750" s="581">
        <v>0</v>
      </c>
      <c r="L5750" s="108" t="s">
        <v>2900</v>
      </c>
      <c r="M5750" s="581">
        <v>12.02</v>
      </c>
      <c r="N5750" s="573">
        <v>68.98</v>
      </c>
      <c r="O5750" s="556" t="str">
        <f>IF(N5750=M5750,"OK","DIF")</f>
        <v>DIF</v>
      </c>
      <c r="P5750" s="573"/>
      <c r="Q5750" s="556"/>
      <c r="R5750" s="582"/>
    </row>
    <row r="5751" ht="26.25" spans="1:18">
      <c r="A5751" s="556" t="str">
        <f>B5751</f>
        <v>Insumo</v>
      </c>
      <c r="B5751" s="557" t="str">
        <f>B5750</f>
        <v>Insumo</v>
      </c>
      <c r="C5751" s="108"/>
      <c r="D5751" s="108"/>
      <c r="E5751" s="108"/>
      <c r="F5751" s="108"/>
      <c r="G5751" s="108"/>
      <c r="H5751" s="108" t="s">
        <v>2901</v>
      </c>
      <c r="I5751" s="581">
        <v>7.79</v>
      </c>
      <c r="J5751" s="114"/>
      <c r="K5751" s="114" t="s">
        <v>2902</v>
      </c>
      <c r="L5751" s="108"/>
      <c r="M5751" s="581">
        <v>38.38</v>
      </c>
      <c r="N5751" s="573">
        <v>14.27</v>
      </c>
      <c r="O5751" s="556" t="str">
        <f>IF(N5751=M5751,"OK","DIF")</f>
        <v>DIF</v>
      </c>
      <c r="P5751" s="573"/>
      <c r="Q5751" s="556"/>
      <c r="R5751" s="582"/>
    </row>
    <row r="5752" ht="15" spans="1:18">
      <c r="A5752" s="556" t="str">
        <f>B5752</f>
        <v>Insumo</v>
      </c>
      <c r="B5752" s="557" t="str">
        <f>B5751</f>
        <v>Insumo</v>
      </c>
      <c r="C5752" s="571"/>
      <c r="D5752" s="571"/>
      <c r="E5752" s="571"/>
      <c r="F5752" s="571"/>
      <c r="G5752" s="571"/>
      <c r="H5752" s="571"/>
      <c r="I5752" s="571"/>
      <c r="J5752" s="571"/>
      <c r="K5752" s="571"/>
      <c r="L5752" s="571"/>
      <c r="M5752" s="571"/>
      <c r="N5752" s="573">
        <v>17.81</v>
      </c>
      <c r="O5752" s="556" t="str">
        <f>IF(N5752=M5752,"OK","DIF")</f>
        <v>DIF</v>
      </c>
      <c r="P5752" s="573"/>
      <c r="Q5752" s="556"/>
      <c r="R5752" s="582"/>
    </row>
    <row r="5753" ht="15" customHeight="1" spans="1:18">
      <c r="A5753" s="556" t="str">
        <f>B5753</f>
        <v>Insumo</v>
      </c>
      <c r="B5753" s="557" t="str">
        <f>B5752</f>
        <v>Insumo</v>
      </c>
      <c r="C5753" s="76" t="s">
        <v>1926</v>
      </c>
      <c r="D5753" s="75" t="s">
        <v>63</v>
      </c>
      <c r="E5753" s="76" t="s">
        <v>64</v>
      </c>
      <c r="F5753" s="76" t="s">
        <v>65</v>
      </c>
      <c r="G5753" s="76" t="s">
        <v>2889</v>
      </c>
      <c r="H5753" s="76"/>
      <c r="I5753" s="77" t="s">
        <v>66</v>
      </c>
      <c r="J5753" s="75" t="s">
        <v>67</v>
      </c>
      <c r="K5753" s="75" t="s">
        <v>2890</v>
      </c>
      <c r="L5753" s="75" t="s">
        <v>68</v>
      </c>
      <c r="M5753" s="75" t="s">
        <v>70</v>
      </c>
      <c r="N5753" s="573">
        <v>36.9</v>
      </c>
      <c r="O5753" s="556" t="str">
        <f>IF(N5753=M5753,"OK","DIF")</f>
        <v>DIF</v>
      </c>
      <c r="P5753" s="573"/>
      <c r="Q5753" s="556"/>
      <c r="R5753" s="582"/>
    </row>
    <row r="5754" ht="35.05" customHeight="1" spans="1:18">
      <c r="A5754" s="556"/>
      <c r="B5754" s="557"/>
      <c r="C5754" s="569" t="s">
        <v>2891</v>
      </c>
      <c r="D5754" s="570" t="s">
        <v>1927</v>
      </c>
      <c r="E5754" s="569" t="s">
        <v>132</v>
      </c>
      <c r="F5754" s="569" t="s">
        <v>1928</v>
      </c>
      <c r="G5754" s="569" t="s">
        <v>4629</v>
      </c>
      <c r="H5754" s="569"/>
      <c r="I5754" s="577" t="s">
        <v>204</v>
      </c>
      <c r="J5754" s="578">
        <v>1</v>
      </c>
      <c r="K5754" s="579"/>
      <c r="L5754" s="579">
        <v>40.64</v>
      </c>
      <c r="M5754" s="579">
        <v>40.64</v>
      </c>
      <c r="N5754" s="573"/>
      <c r="O5754" s="556"/>
      <c r="P5754" s="573"/>
      <c r="Q5754" s="556"/>
      <c r="R5754" s="582"/>
    </row>
    <row r="5755" ht="23.85" customHeight="1" spans="1:18">
      <c r="A5755" s="556"/>
      <c r="B5755" s="557"/>
      <c r="C5755" s="79" t="s">
        <v>2921</v>
      </c>
      <c r="D5755" s="78" t="s">
        <v>3080</v>
      </c>
      <c r="E5755" s="79" t="s">
        <v>139</v>
      </c>
      <c r="F5755" s="79" t="s">
        <v>3081</v>
      </c>
      <c r="G5755" s="79" t="s">
        <v>2928</v>
      </c>
      <c r="H5755" s="79"/>
      <c r="I5755" s="80" t="s">
        <v>2897</v>
      </c>
      <c r="J5755" s="583">
        <v>0.496</v>
      </c>
      <c r="K5755" s="583">
        <v>0</v>
      </c>
      <c r="L5755" s="92">
        <v>38.02</v>
      </c>
      <c r="M5755" s="92">
        <v>18.85</v>
      </c>
      <c r="N5755" s="573"/>
      <c r="O5755" s="556"/>
      <c r="P5755" s="573"/>
      <c r="Q5755" s="556"/>
      <c r="R5755" s="582"/>
    </row>
    <row r="5756" ht="23.85" customHeight="1" spans="1:18">
      <c r="A5756" s="556"/>
      <c r="B5756" s="557" t="str">
        <f>C5755</f>
        <v>Composição Auxiliar</v>
      </c>
      <c r="C5756" s="79" t="s">
        <v>2921</v>
      </c>
      <c r="D5756" s="78" t="s">
        <v>2952</v>
      </c>
      <c r="E5756" s="79" t="s">
        <v>139</v>
      </c>
      <c r="F5756" s="79" t="s">
        <v>2953</v>
      </c>
      <c r="G5756" s="79" t="s">
        <v>2928</v>
      </c>
      <c r="H5756" s="79"/>
      <c r="I5756" s="80" t="s">
        <v>2897</v>
      </c>
      <c r="J5756" s="583">
        <v>0.158</v>
      </c>
      <c r="K5756" s="583">
        <v>0</v>
      </c>
      <c r="L5756" s="92">
        <v>29.15</v>
      </c>
      <c r="M5756" s="92">
        <v>4.6</v>
      </c>
      <c r="N5756" s="573">
        <v>87.58</v>
      </c>
      <c r="O5756" s="556" t="str">
        <f>IF(N5756=M5756,"OK","DIF")</f>
        <v>DIF</v>
      </c>
      <c r="P5756" s="573"/>
      <c r="Q5756" s="556"/>
      <c r="R5756" s="582"/>
    </row>
    <row r="5757" ht="15" customHeight="1" spans="1:18">
      <c r="A5757" s="556" t="str">
        <f>B5757</f>
        <v>Composição Auxiliar</v>
      </c>
      <c r="B5757" s="557" t="str">
        <f>B5756</f>
        <v>Composição Auxiliar</v>
      </c>
      <c r="C5757" s="100" t="s">
        <v>2893</v>
      </c>
      <c r="D5757" s="99" t="s">
        <v>3592</v>
      </c>
      <c r="E5757" s="100" t="s">
        <v>149</v>
      </c>
      <c r="F5757" s="100" t="s">
        <v>3593</v>
      </c>
      <c r="G5757" s="100" t="s">
        <v>2961</v>
      </c>
      <c r="H5757" s="100"/>
      <c r="I5757" s="101" t="s">
        <v>3084</v>
      </c>
      <c r="J5757" s="580">
        <v>0.05</v>
      </c>
      <c r="K5757" s="580">
        <v>0</v>
      </c>
      <c r="L5757" s="102">
        <v>49.97</v>
      </c>
      <c r="M5757" s="102">
        <v>2.49</v>
      </c>
      <c r="N5757" s="573">
        <v>18.16</v>
      </c>
      <c r="O5757" s="556" t="str">
        <f>IF(N5757=M5757,"OK","DIF")</f>
        <v>DIF</v>
      </c>
      <c r="P5757" s="573"/>
      <c r="Q5757" s="556"/>
      <c r="R5757" s="582"/>
    </row>
    <row r="5758" ht="15" customHeight="1" spans="1:18">
      <c r="A5758" s="556" t="str">
        <f>B5758</f>
        <v>Composição Auxiliar</v>
      </c>
      <c r="B5758" s="557" t="str">
        <f>B5757</f>
        <v>Composição Auxiliar</v>
      </c>
      <c r="C5758" s="100" t="s">
        <v>2893</v>
      </c>
      <c r="D5758" s="99" t="s">
        <v>3594</v>
      </c>
      <c r="E5758" s="100" t="s">
        <v>149</v>
      </c>
      <c r="F5758" s="100" t="s">
        <v>3595</v>
      </c>
      <c r="G5758" s="100" t="s">
        <v>2961</v>
      </c>
      <c r="H5758" s="100"/>
      <c r="I5758" s="101" t="s">
        <v>3084</v>
      </c>
      <c r="J5758" s="580">
        <v>0.05</v>
      </c>
      <c r="K5758" s="580">
        <v>0</v>
      </c>
      <c r="L5758" s="102">
        <v>66.63</v>
      </c>
      <c r="M5758" s="102">
        <v>3.33</v>
      </c>
      <c r="N5758" s="573">
        <v>22.67</v>
      </c>
      <c r="O5758" s="556" t="str">
        <f>IF(N5758=M5758,"OK","DIF")</f>
        <v>DIF</v>
      </c>
      <c r="P5758" s="573"/>
      <c r="Q5758" s="556"/>
      <c r="R5758" s="582"/>
    </row>
    <row r="5759" ht="15" customHeight="1" spans="1:18">
      <c r="A5759" s="556" t="str">
        <f>B5759</f>
        <v>Composição Auxiliar</v>
      </c>
      <c r="B5759" s="557" t="str">
        <f>B5758</f>
        <v>Composição Auxiliar</v>
      </c>
      <c r="C5759" s="100" t="s">
        <v>2893</v>
      </c>
      <c r="D5759" s="99" t="s">
        <v>3598</v>
      </c>
      <c r="E5759" s="100" t="s">
        <v>149</v>
      </c>
      <c r="F5759" s="100" t="s">
        <v>3599</v>
      </c>
      <c r="G5759" s="100" t="s">
        <v>2961</v>
      </c>
      <c r="H5759" s="100"/>
      <c r="I5759" s="101" t="s">
        <v>134</v>
      </c>
      <c r="J5759" s="580">
        <v>2</v>
      </c>
      <c r="K5759" s="580">
        <v>0</v>
      </c>
      <c r="L5759" s="102">
        <v>3.5</v>
      </c>
      <c r="M5759" s="102">
        <v>7</v>
      </c>
      <c r="N5759" s="573">
        <v>46.75</v>
      </c>
      <c r="O5759" s="556" t="str">
        <f>IF(N5759=M5759,"OK","DIF")</f>
        <v>DIF</v>
      </c>
      <c r="P5759" s="573"/>
      <c r="Q5759" s="556"/>
      <c r="R5759" s="582"/>
    </row>
    <row r="5760" ht="15" customHeight="1" spans="1:18">
      <c r="A5760" s="556"/>
      <c r="B5760" s="557"/>
      <c r="C5760" s="100" t="s">
        <v>2893</v>
      </c>
      <c r="D5760" s="99" t="s">
        <v>3596</v>
      </c>
      <c r="E5760" s="100" t="s">
        <v>149</v>
      </c>
      <c r="F5760" s="100" t="s">
        <v>3597</v>
      </c>
      <c r="G5760" s="100" t="s">
        <v>2961</v>
      </c>
      <c r="H5760" s="100"/>
      <c r="I5760" s="101" t="s">
        <v>3084</v>
      </c>
      <c r="J5760" s="580">
        <v>0.054</v>
      </c>
      <c r="K5760" s="580">
        <v>0</v>
      </c>
      <c r="L5760" s="102">
        <v>81.1</v>
      </c>
      <c r="M5760" s="102">
        <v>4.37</v>
      </c>
      <c r="N5760" s="573"/>
      <c r="O5760" s="556"/>
      <c r="P5760" s="573"/>
      <c r="Q5760" s="556"/>
      <c r="R5760" s="582"/>
    </row>
    <row r="5761" ht="25.5" spans="1:18">
      <c r="A5761" s="556"/>
      <c r="B5761" s="557"/>
      <c r="C5761" s="108"/>
      <c r="D5761" s="108"/>
      <c r="E5761" s="108"/>
      <c r="F5761" s="108"/>
      <c r="G5761" s="108"/>
      <c r="H5761" s="108" t="s">
        <v>2898</v>
      </c>
      <c r="I5761" s="581">
        <v>16.02</v>
      </c>
      <c r="J5761" s="108" t="s">
        <v>2899</v>
      </c>
      <c r="K5761" s="581">
        <v>0</v>
      </c>
      <c r="L5761" s="108" t="s">
        <v>2900</v>
      </c>
      <c r="M5761" s="581">
        <v>16.02</v>
      </c>
      <c r="N5761" s="573"/>
      <c r="O5761" s="556"/>
      <c r="P5761" s="573"/>
      <c r="Q5761" s="556"/>
      <c r="R5761" s="582"/>
    </row>
    <row r="5762" ht="26.25" spans="1:18">
      <c r="A5762" s="556"/>
      <c r="B5762" s="557">
        <f>C5761</f>
        <v>0</v>
      </c>
      <c r="C5762" s="108"/>
      <c r="D5762" s="108"/>
      <c r="E5762" s="108"/>
      <c r="F5762" s="108"/>
      <c r="G5762" s="108"/>
      <c r="H5762" s="108" t="s">
        <v>2901</v>
      </c>
      <c r="I5762" s="581">
        <v>10.35</v>
      </c>
      <c r="J5762" s="114"/>
      <c r="K5762" s="114" t="s">
        <v>2902</v>
      </c>
      <c r="L5762" s="108"/>
      <c r="M5762" s="581">
        <v>50.99</v>
      </c>
      <c r="N5762" s="573">
        <v>120.73</v>
      </c>
      <c r="O5762" s="556" t="str">
        <f>IF(N5762=M5762,"OK","DIF")</f>
        <v>DIF</v>
      </c>
      <c r="P5762" s="573"/>
      <c r="Q5762" s="556"/>
      <c r="R5762" s="582"/>
    </row>
    <row r="5763" ht="15" spans="1:18">
      <c r="A5763" s="556">
        <f>B5763</f>
        <v>0</v>
      </c>
      <c r="B5763" s="557">
        <f>B5762</f>
        <v>0</v>
      </c>
      <c r="C5763" s="571"/>
      <c r="D5763" s="571"/>
      <c r="E5763" s="571"/>
      <c r="F5763" s="571"/>
      <c r="G5763" s="571"/>
      <c r="H5763" s="571"/>
      <c r="I5763" s="571"/>
      <c r="J5763" s="571"/>
      <c r="K5763" s="571"/>
      <c r="L5763" s="571"/>
      <c r="M5763" s="571"/>
      <c r="N5763" s="573">
        <v>20.76</v>
      </c>
      <c r="O5763" s="556" t="str">
        <f>IF(N5763=M5763,"OK","DIF")</f>
        <v>DIF</v>
      </c>
      <c r="P5763" s="573"/>
      <c r="Q5763" s="556"/>
      <c r="R5763" s="582"/>
    </row>
    <row r="5764" ht="15" customHeight="1" spans="1:18">
      <c r="A5764" s="556">
        <f>B5764</f>
        <v>0</v>
      </c>
      <c r="B5764" s="557">
        <f>B5763</f>
        <v>0</v>
      </c>
      <c r="C5764" s="76" t="s">
        <v>1929</v>
      </c>
      <c r="D5764" s="75" t="s">
        <v>63</v>
      </c>
      <c r="E5764" s="76" t="s">
        <v>64</v>
      </c>
      <c r="F5764" s="76" t="s">
        <v>65</v>
      </c>
      <c r="G5764" s="76" t="s">
        <v>2889</v>
      </c>
      <c r="H5764" s="76"/>
      <c r="I5764" s="77" t="s">
        <v>66</v>
      </c>
      <c r="J5764" s="75" t="s">
        <v>67</v>
      </c>
      <c r="K5764" s="75" t="s">
        <v>2890</v>
      </c>
      <c r="L5764" s="75" t="s">
        <v>68</v>
      </c>
      <c r="M5764" s="75" t="s">
        <v>70</v>
      </c>
      <c r="N5764" s="573">
        <v>25.91</v>
      </c>
      <c r="O5764" s="556" t="str">
        <f>IF(N5764=M5764,"OK","DIF")</f>
        <v>DIF</v>
      </c>
      <c r="P5764" s="573"/>
      <c r="Q5764" s="556"/>
      <c r="R5764" s="582"/>
    </row>
    <row r="5765" ht="35.05" customHeight="1" spans="1:18">
      <c r="A5765" s="556">
        <f>B5765</f>
        <v>0</v>
      </c>
      <c r="B5765" s="557">
        <f>B5764</f>
        <v>0</v>
      </c>
      <c r="C5765" s="569" t="s">
        <v>2891</v>
      </c>
      <c r="D5765" s="570" t="s">
        <v>1930</v>
      </c>
      <c r="E5765" s="569" t="s">
        <v>132</v>
      </c>
      <c r="F5765" s="569" t="s">
        <v>1931</v>
      </c>
      <c r="G5765" s="569" t="s">
        <v>4629</v>
      </c>
      <c r="H5765" s="569"/>
      <c r="I5765" s="577" t="s">
        <v>204</v>
      </c>
      <c r="J5765" s="578">
        <v>1</v>
      </c>
      <c r="K5765" s="579"/>
      <c r="L5765" s="579">
        <v>60.97</v>
      </c>
      <c r="M5765" s="579">
        <v>60.97</v>
      </c>
      <c r="N5765" s="573">
        <v>74.06</v>
      </c>
      <c r="O5765" s="556" t="str">
        <f>IF(N5765=M5765,"OK","DIF")</f>
        <v>DIF</v>
      </c>
      <c r="P5765" s="573"/>
      <c r="Q5765" s="556"/>
      <c r="R5765" s="582"/>
    </row>
    <row r="5766" ht="23.85" customHeight="1" spans="1:18">
      <c r="A5766" s="556"/>
      <c r="B5766" s="557"/>
      <c r="C5766" s="79" t="s">
        <v>2921</v>
      </c>
      <c r="D5766" s="78" t="s">
        <v>3080</v>
      </c>
      <c r="E5766" s="79" t="s">
        <v>139</v>
      </c>
      <c r="F5766" s="79" t="s">
        <v>3081</v>
      </c>
      <c r="G5766" s="79" t="s">
        <v>2928</v>
      </c>
      <c r="H5766" s="79"/>
      <c r="I5766" s="80" t="s">
        <v>2897</v>
      </c>
      <c r="J5766" s="583">
        <v>0.744</v>
      </c>
      <c r="K5766" s="583">
        <v>0</v>
      </c>
      <c r="L5766" s="92">
        <v>38.02</v>
      </c>
      <c r="M5766" s="92">
        <v>28.28</v>
      </c>
      <c r="N5766" s="573"/>
      <c r="O5766" s="556"/>
      <c r="P5766" s="573"/>
      <c r="Q5766" s="556"/>
      <c r="R5766" s="582"/>
    </row>
    <row r="5767" ht="23.85" customHeight="1" spans="1:18">
      <c r="A5767" s="556"/>
      <c r="B5767" s="557"/>
      <c r="C5767" s="79" t="s">
        <v>2921</v>
      </c>
      <c r="D5767" s="78" t="s">
        <v>2952</v>
      </c>
      <c r="E5767" s="79" t="s">
        <v>139</v>
      </c>
      <c r="F5767" s="79" t="s">
        <v>2953</v>
      </c>
      <c r="G5767" s="79" t="s">
        <v>2928</v>
      </c>
      <c r="H5767" s="79"/>
      <c r="I5767" s="80" t="s">
        <v>2897</v>
      </c>
      <c r="J5767" s="583">
        <v>0.237</v>
      </c>
      <c r="K5767" s="583">
        <v>0</v>
      </c>
      <c r="L5767" s="92">
        <v>29.15</v>
      </c>
      <c r="M5767" s="92">
        <v>6.9</v>
      </c>
      <c r="N5767" s="573"/>
      <c r="O5767" s="556"/>
      <c r="P5767" s="573"/>
      <c r="Q5767" s="556"/>
      <c r="R5767" s="582"/>
    </row>
    <row r="5768" ht="15" customHeight="1" spans="1:18">
      <c r="A5768" s="556"/>
      <c r="B5768" s="557" t="str">
        <f>C5767</f>
        <v>Composição Auxiliar</v>
      </c>
      <c r="C5768" s="100" t="s">
        <v>2893</v>
      </c>
      <c r="D5768" s="99" t="s">
        <v>3598</v>
      </c>
      <c r="E5768" s="100" t="s">
        <v>149</v>
      </c>
      <c r="F5768" s="100" t="s">
        <v>3599</v>
      </c>
      <c r="G5768" s="100" t="s">
        <v>2961</v>
      </c>
      <c r="H5768" s="100"/>
      <c r="I5768" s="101" t="s">
        <v>134</v>
      </c>
      <c r="J5768" s="580">
        <v>3</v>
      </c>
      <c r="K5768" s="580">
        <v>0</v>
      </c>
      <c r="L5768" s="102">
        <v>3.5</v>
      </c>
      <c r="M5768" s="102">
        <v>10.5</v>
      </c>
      <c r="N5768" s="573">
        <v>411.39</v>
      </c>
      <c r="O5768" s="556" t="str">
        <f>IF(N5768=M5768,"OK","DIF")</f>
        <v>DIF</v>
      </c>
      <c r="P5768" s="573"/>
      <c r="Q5768" s="556"/>
      <c r="R5768" s="582"/>
    </row>
    <row r="5769" ht="15" customHeight="1" spans="1:18">
      <c r="A5769" s="556" t="str">
        <f>B5769</f>
        <v>Composição Auxiliar</v>
      </c>
      <c r="B5769" s="557" t="str">
        <f>B5768</f>
        <v>Composição Auxiliar</v>
      </c>
      <c r="C5769" s="100" t="s">
        <v>2893</v>
      </c>
      <c r="D5769" s="99" t="s">
        <v>3592</v>
      </c>
      <c r="E5769" s="100" t="s">
        <v>149</v>
      </c>
      <c r="F5769" s="100" t="s">
        <v>3593</v>
      </c>
      <c r="G5769" s="100" t="s">
        <v>2961</v>
      </c>
      <c r="H5769" s="100"/>
      <c r="I5769" s="101" t="s">
        <v>3084</v>
      </c>
      <c r="J5769" s="580">
        <v>0.075</v>
      </c>
      <c r="K5769" s="580">
        <v>0</v>
      </c>
      <c r="L5769" s="102">
        <v>49.97</v>
      </c>
      <c r="M5769" s="102">
        <v>3.74</v>
      </c>
      <c r="N5769" s="573">
        <v>28.54</v>
      </c>
      <c r="O5769" s="556" t="str">
        <f>IF(N5769=M5769,"OK","DIF")</f>
        <v>DIF</v>
      </c>
      <c r="P5769" s="573"/>
      <c r="Q5769" s="556"/>
      <c r="R5769" s="582"/>
    </row>
    <row r="5770" ht="15" customHeight="1" spans="1:18">
      <c r="A5770" s="556" t="str">
        <f>B5770</f>
        <v>Composição Auxiliar</v>
      </c>
      <c r="B5770" s="557" t="str">
        <f>B5769</f>
        <v>Composição Auxiliar</v>
      </c>
      <c r="C5770" s="100" t="s">
        <v>2893</v>
      </c>
      <c r="D5770" s="99" t="s">
        <v>3596</v>
      </c>
      <c r="E5770" s="100" t="s">
        <v>149</v>
      </c>
      <c r="F5770" s="100" t="s">
        <v>3597</v>
      </c>
      <c r="G5770" s="100" t="s">
        <v>2961</v>
      </c>
      <c r="H5770" s="100"/>
      <c r="I5770" s="101" t="s">
        <v>3084</v>
      </c>
      <c r="J5770" s="580">
        <v>0.081</v>
      </c>
      <c r="K5770" s="580">
        <v>0</v>
      </c>
      <c r="L5770" s="102">
        <v>81.1</v>
      </c>
      <c r="M5770" s="102">
        <v>6.56</v>
      </c>
      <c r="N5770" s="573">
        <v>35.62</v>
      </c>
      <c r="O5770" s="556" t="str">
        <f>IF(N5770=M5770,"OK","DIF")</f>
        <v>DIF</v>
      </c>
      <c r="P5770" s="573"/>
      <c r="Q5770" s="556"/>
      <c r="R5770" s="582"/>
    </row>
    <row r="5771" ht="15" customHeight="1" spans="1:18">
      <c r="A5771" s="556" t="str">
        <f>B5771</f>
        <v>Composição Auxiliar</v>
      </c>
      <c r="B5771" s="557" t="str">
        <f>B5770</f>
        <v>Composição Auxiliar</v>
      </c>
      <c r="C5771" s="100" t="s">
        <v>2893</v>
      </c>
      <c r="D5771" s="99" t="s">
        <v>3594</v>
      </c>
      <c r="E5771" s="100" t="s">
        <v>149</v>
      </c>
      <c r="F5771" s="100" t="s">
        <v>3595</v>
      </c>
      <c r="G5771" s="100" t="s">
        <v>2961</v>
      </c>
      <c r="H5771" s="100"/>
      <c r="I5771" s="101" t="s">
        <v>3084</v>
      </c>
      <c r="J5771" s="580">
        <v>0.075</v>
      </c>
      <c r="K5771" s="580">
        <v>0</v>
      </c>
      <c r="L5771" s="102">
        <v>66.63</v>
      </c>
      <c r="M5771" s="102">
        <v>4.99</v>
      </c>
      <c r="N5771" s="573">
        <v>347.23</v>
      </c>
      <c r="O5771" s="556" t="str">
        <f>IF(N5771=M5771,"OK","DIF")</f>
        <v>DIF</v>
      </c>
      <c r="P5771" s="573"/>
      <c r="Q5771" s="556"/>
      <c r="R5771" s="582"/>
    </row>
    <row r="5772" ht="25.5" spans="1:18">
      <c r="A5772" s="556"/>
      <c r="B5772" s="557"/>
      <c r="C5772" s="108"/>
      <c r="D5772" s="108"/>
      <c r="E5772" s="108"/>
      <c r="F5772" s="108"/>
      <c r="G5772" s="108"/>
      <c r="H5772" s="108" t="s">
        <v>2898</v>
      </c>
      <c r="I5772" s="581">
        <v>24.03</v>
      </c>
      <c r="J5772" s="108" t="s">
        <v>2899</v>
      </c>
      <c r="K5772" s="581">
        <v>0</v>
      </c>
      <c r="L5772" s="108" t="s">
        <v>2900</v>
      </c>
      <c r="M5772" s="581">
        <v>24.03</v>
      </c>
      <c r="N5772" s="573"/>
      <c r="O5772" s="556"/>
      <c r="P5772" s="573"/>
      <c r="Q5772" s="556"/>
      <c r="R5772" s="582"/>
    </row>
    <row r="5773" ht="26.25" spans="1:18">
      <c r="A5773" s="556"/>
      <c r="B5773" s="557"/>
      <c r="C5773" s="108"/>
      <c r="D5773" s="108"/>
      <c r="E5773" s="108"/>
      <c r="F5773" s="108"/>
      <c r="G5773" s="108"/>
      <c r="H5773" s="108" t="s">
        <v>2901</v>
      </c>
      <c r="I5773" s="581">
        <v>15.54</v>
      </c>
      <c r="J5773" s="114"/>
      <c r="K5773" s="114" t="s">
        <v>2902</v>
      </c>
      <c r="L5773" s="108"/>
      <c r="M5773" s="581">
        <v>76.51</v>
      </c>
      <c r="N5773" s="573"/>
      <c r="O5773" s="556"/>
      <c r="P5773" s="573"/>
      <c r="Q5773" s="556"/>
      <c r="R5773" s="582"/>
    </row>
    <row r="5774" ht="15" spans="1:18">
      <c r="A5774" s="556"/>
      <c r="B5774" s="557">
        <f>C5773</f>
        <v>0</v>
      </c>
      <c r="C5774" s="571"/>
      <c r="D5774" s="571"/>
      <c r="E5774" s="571"/>
      <c r="F5774" s="571"/>
      <c r="G5774" s="571"/>
      <c r="H5774" s="571"/>
      <c r="I5774" s="571"/>
      <c r="J5774" s="571"/>
      <c r="K5774" s="571"/>
      <c r="L5774" s="571"/>
      <c r="M5774" s="571"/>
      <c r="N5774" s="573">
        <v>568.9</v>
      </c>
      <c r="O5774" s="556" t="str">
        <f>IF(N5774=M5774,"OK","DIF")</f>
        <v>DIF</v>
      </c>
      <c r="P5774" s="573"/>
      <c r="Q5774" s="556"/>
      <c r="R5774" s="582"/>
    </row>
    <row r="5775" ht="15" customHeight="1" spans="1:18">
      <c r="A5775" s="556">
        <f>B5775</f>
        <v>0</v>
      </c>
      <c r="B5775" s="557">
        <f>B5774</f>
        <v>0</v>
      </c>
      <c r="C5775" s="76" t="s">
        <v>1932</v>
      </c>
      <c r="D5775" s="75" t="s">
        <v>63</v>
      </c>
      <c r="E5775" s="76" t="s">
        <v>64</v>
      </c>
      <c r="F5775" s="76" t="s">
        <v>65</v>
      </c>
      <c r="G5775" s="76" t="s">
        <v>2889</v>
      </c>
      <c r="H5775" s="76"/>
      <c r="I5775" s="77" t="s">
        <v>66</v>
      </c>
      <c r="J5775" s="75" t="s">
        <v>67</v>
      </c>
      <c r="K5775" s="75" t="s">
        <v>2890</v>
      </c>
      <c r="L5775" s="75" t="s">
        <v>68</v>
      </c>
      <c r="M5775" s="75" t="s">
        <v>70</v>
      </c>
      <c r="N5775" s="573">
        <v>40.48</v>
      </c>
      <c r="O5775" s="556" t="str">
        <f>IF(N5775=M5775,"OK","DIF")</f>
        <v>DIF</v>
      </c>
      <c r="P5775" s="573"/>
      <c r="Q5775" s="556"/>
      <c r="R5775" s="582"/>
    </row>
    <row r="5776" ht="23.85" customHeight="1" spans="1:18">
      <c r="A5776" s="556">
        <f>B5776</f>
        <v>0</v>
      </c>
      <c r="B5776" s="557">
        <f>B5775</f>
        <v>0</v>
      </c>
      <c r="C5776" s="569" t="s">
        <v>2891</v>
      </c>
      <c r="D5776" s="570" t="s">
        <v>1933</v>
      </c>
      <c r="E5776" s="569" t="s">
        <v>139</v>
      </c>
      <c r="F5776" s="569" t="s">
        <v>1934</v>
      </c>
      <c r="G5776" s="569" t="s">
        <v>3642</v>
      </c>
      <c r="H5776" s="569"/>
      <c r="I5776" s="577" t="s">
        <v>134</v>
      </c>
      <c r="J5776" s="578">
        <v>1</v>
      </c>
      <c r="K5776" s="579"/>
      <c r="L5776" s="579">
        <v>321.47</v>
      </c>
      <c r="M5776" s="579">
        <v>321.47</v>
      </c>
      <c r="N5776" s="573">
        <v>32.43</v>
      </c>
      <c r="O5776" s="556" t="str">
        <f>IF(N5776=M5776,"OK","DIF")</f>
        <v>DIF</v>
      </c>
      <c r="P5776" s="573"/>
      <c r="Q5776" s="556"/>
      <c r="R5776" s="582"/>
    </row>
    <row r="5777" ht="23.85" customHeight="1" spans="1:18">
      <c r="A5777" s="556">
        <f>B5777</f>
        <v>0</v>
      </c>
      <c r="B5777" s="557">
        <f>B5776</f>
        <v>0</v>
      </c>
      <c r="C5777" s="79" t="s">
        <v>2921</v>
      </c>
      <c r="D5777" s="78" t="s">
        <v>3146</v>
      </c>
      <c r="E5777" s="79" t="s">
        <v>139</v>
      </c>
      <c r="F5777" s="79" t="s">
        <v>3147</v>
      </c>
      <c r="G5777" s="79" t="s">
        <v>2928</v>
      </c>
      <c r="H5777" s="79"/>
      <c r="I5777" s="80" t="s">
        <v>2897</v>
      </c>
      <c r="J5777" s="583">
        <v>0.4574</v>
      </c>
      <c r="K5777" s="583">
        <v>0</v>
      </c>
      <c r="L5777" s="92">
        <v>29.54</v>
      </c>
      <c r="M5777" s="92">
        <v>13.51</v>
      </c>
      <c r="N5777" s="573">
        <v>495.99</v>
      </c>
      <c r="O5777" s="556" t="str">
        <f>IF(N5777=M5777,"OK","DIF")</f>
        <v>DIF</v>
      </c>
      <c r="P5777" s="573"/>
      <c r="Q5777" s="556"/>
      <c r="R5777" s="582"/>
    </row>
    <row r="5778" ht="23.85" customHeight="1" spans="1:18">
      <c r="A5778" s="556"/>
      <c r="B5778" s="557"/>
      <c r="C5778" s="79" t="s">
        <v>2921</v>
      </c>
      <c r="D5778" s="78" t="s">
        <v>3144</v>
      </c>
      <c r="E5778" s="79" t="s">
        <v>139</v>
      </c>
      <c r="F5778" s="79" t="s">
        <v>3145</v>
      </c>
      <c r="G5778" s="79" t="s">
        <v>2928</v>
      </c>
      <c r="H5778" s="79"/>
      <c r="I5778" s="80" t="s">
        <v>2897</v>
      </c>
      <c r="J5778" s="583">
        <v>0.4574</v>
      </c>
      <c r="K5778" s="583">
        <v>0</v>
      </c>
      <c r="L5778" s="92">
        <v>35.55</v>
      </c>
      <c r="M5778" s="92">
        <v>16.26</v>
      </c>
      <c r="N5778" s="573"/>
      <c r="O5778" s="556"/>
      <c r="P5778" s="573"/>
      <c r="Q5778" s="556"/>
      <c r="R5778" s="582"/>
    </row>
    <row r="5779" ht="23.85" customHeight="1" spans="1:18">
      <c r="A5779" s="556"/>
      <c r="B5779" s="557"/>
      <c r="C5779" s="100" t="s">
        <v>2893</v>
      </c>
      <c r="D5779" s="99" t="s">
        <v>4630</v>
      </c>
      <c r="E5779" s="100" t="s">
        <v>139</v>
      </c>
      <c r="F5779" s="100" t="s">
        <v>4631</v>
      </c>
      <c r="G5779" s="100" t="s">
        <v>2961</v>
      </c>
      <c r="H5779" s="100"/>
      <c r="I5779" s="101" t="s">
        <v>134</v>
      </c>
      <c r="J5779" s="580">
        <v>1</v>
      </c>
      <c r="K5779" s="580">
        <v>0</v>
      </c>
      <c r="L5779" s="102">
        <v>290</v>
      </c>
      <c r="M5779" s="102">
        <v>290</v>
      </c>
      <c r="N5779" s="573"/>
      <c r="O5779" s="556"/>
      <c r="P5779" s="573"/>
      <c r="Q5779" s="556"/>
      <c r="R5779" s="582"/>
    </row>
    <row r="5780" ht="35.05" customHeight="1" spans="1:18">
      <c r="A5780" s="556"/>
      <c r="B5780" s="557" t="str">
        <f>C5779</f>
        <v>Insumo</v>
      </c>
      <c r="C5780" s="100" t="s">
        <v>2893</v>
      </c>
      <c r="D5780" s="99" t="s">
        <v>3761</v>
      </c>
      <c r="E5780" s="100" t="s">
        <v>139</v>
      </c>
      <c r="F5780" s="100" t="s">
        <v>3762</v>
      </c>
      <c r="G5780" s="100" t="s">
        <v>2961</v>
      </c>
      <c r="H5780" s="100"/>
      <c r="I5780" s="101" t="s">
        <v>134</v>
      </c>
      <c r="J5780" s="580">
        <v>2</v>
      </c>
      <c r="K5780" s="580">
        <v>0</v>
      </c>
      <c r="L5780" s="102">
        <v>0.85</v>
      </c>
      <c r="M5780" s="102">
        <v>1.7</v>
      </c>
      <c r="N5780" s="573">
        <v>27.01</v>
      </c>
      <c r="O5780" s="556" t="str">
        <f>IF(N5780=M5780,"OK","DIF")</f>
        <v>DIF</v>
      </c>
      <c r="P5780" s="573"/>
      <c r="Q5780" s="556"/>
      <c r="R5780" s="582"/>
    </row>
    <row r="5781" ht="25.5" spans="1:18">
      <c r="A5781" s="556" t="str">
        <f>B5781</f>
        <v>Insumo</v>
      </c>
      <c r="B5781" s="557" t="str">
        <f>B5780</f>
        <v>Insumo</v>
      </c>
      <c r="C5781" s="108"/>
      <c r="D5781" s="108"/>
      <c r="E5781" s="108"/>
      <c r="F5781" s="108"/>
      <c r="G5781" s="108"/>
      <c r="H5781" s="108" t="s">
        <v>2898</v>
      </c>
      <c r="I5781" s="581">
        <v>21.19</v>
      </c>
      <c r="J5781" s="108" t="s">
        <v>2899</v>
      </c>
      <c r="K5781" s="581">
        <v>0</v>
      </c>
      <c r="L5781" s="108" t="s">
        <v>2900</v>
      </c>
      <c r="M5781" s="581">
        <v>21.19</v>
      </c>
      <c r="N5781" s="573">
        <v>4.66</v>
      </c>
      <c r="O5781" s="556" t="str">
        <f>IF(N5781=M5781,"OK","DIF")</f>
        <v>DIF</v>
      </c>
      <c r="P5781" s="573"/>
      <c r="Q5781" s="556"/>
      <c r="R5781" s="582"/>
    </row>
    <row r="5782" ht="26.25" spans="1:18">
      <c r="A5782" s="556" t="str">
        <f>B5782</f>
        <v>Insumo</v>
      </c>
      <c r="B5782" s="557" t="str">
        <f>B5781</f>
        <v>Insumo</v>
      </c>
      <c r="C5782" s="108"/>
      <c r="D5782" s="108"/>
      <c r="E5782" s="108"/>
      <c r="F5782" s="108"/>
      <c r="G5782" s="108"/>
      <c r="H5782" s="108" t="s">
        <v>2901</v>
      </c>
      <c r="I5782" s="581">
        <v>81.94</v>
      </c>
      <c r="J5782" s="114"/>
      <c r="K5782" s="114" t="s">
        <v>2902</v>
      </c>
      <c r="L5782" s="108"/>
      <c r="M5782" s="581">
        <v>403.41</v>
      </c>
      <c r="N5782" s="573">
        <v>0.24</v>
      </c>
      <c r="O5782" s="556" t="str">
        <f>IF(N5782=M5782,"OK","DIF")</f>
        <v>DIF</v>
      </c>
      <c r="P5782" s="573"/>
      <c r="Q5782" s="556"/>
      <c r="R5782" s="582"/>
    </row>
    <row r="5783" ht="15" spans="1:18">
      <c r="A5783" s="556" t="str">
        <f>B5783</f>
        <v>Insumo</v>
      </c>
      <c r="B5783" s="557" t="str">
        <f>B5782</f>
        <v>Insumo</v>
      </c>
      <c r="C5783" s="571"/>
      <c r="D5783" s="571"/>
      <c r="E5783" s="571"/>
      <c r="F5783" s="571"/>
      <c r="G5783" s="571"/>
      <c r="H5783" s="571"/>
      <c r="I5783" s="571"/>
      <c r="J5783" s="571"/>
      <c r="K5783" s="571"/>
      <c r="L5783" s="571"/>
      <c r="M5783" s="571"/>
      <c r="N5783" s="573">
        <v>6.12</v>
      </c>
      <c r="O5783" s="556" t="str">
        <f>IF(N5783=M5783,"OK","DIF")</f>
        <v>DIF</v>
      </c>
      <c r="P5783" s="573"/>
      <c r="Q5783" s="556"/>
      <c r="R5783" s="582"/>
    </row>
    <row r="5784" ht="15" customHeight="1" spans="1:18">
      <c r="A5784" s="556" t="str">
        <f>B5784</f>
        <v>Insumo</v>
      </c>
      <c r="B5784" s="557" t="str">
        <f>B5783</f>
        <v>Insumo</v>
      </c>
      <c r="C5784" s="76" t="s">
        <v>1935</v>
      </c>
      <c r="D5784" s="75" t="s">
        <v>63</v>
      </c>
      <c r="E5784" s="76" t="s">
        <v>64</v>
      </c>
      <c r="F5784" s="76" t="s">
        <v>65</v>
      </c>
      <c r="G5784" s="76" t="s">
        <v>2889</v>
      </c>
      <c r="H5784" s="76"/>
      <c r="I5784" s="77" t="s">
        <v>66</v>
      </c>
      <c r="J5784" s="75" t="s">
        <v>67</v>
      </c>
      <c r="K5784" s="75" t="s">
        <v>2890</v>
      </c>
      <c r="L5784" s="75" t="s">
        <v>68</v>
      </c>
      <c r="M5784" s="75" t="s">
        <v>70</v>
      </c>
      <c r="N5784" s="573">
        <v>15.99</v>
      </c>
      <c r="O5784" s="556" t="str">
        <f>IF(N5784=M5784,"OK","DIF")</f>
        <v>DIF</v>
      </c>
      <c r="P5784" s="573"/>
      <c r="Q5784" s="556"/>
      <c r="R5784" s="582"/>
    </row>
    <row r="5785" ht="23.85" customHeight="1" spans="1:18">
      <c r="A5785" s="556"/>
      <c r="B5785" s="557"/>
      <c r="C5785" s="569" t="s">
        <v>2891</v>
      </c>
      <c r="D5785" s="570" t="s">
        <v>1936</v>
      </c>
      <c r="E5785" s="569" t="s">
        <v>149</v>
      </c>
      <c r="F5785" s="569" t="s">
        <v>1937</v>
      </c>
      <c r="G5785" s="569" t="s">
        <v>3657</v>
      </c>
      <c r="H5785" s="569"/>
      <c r="I5785" s="577" t="s">
        <v>134</v>
      </c>
      <c r="J5785" s="578">
        <v>1</v>
      </c>
      <c r="K5785" s="579"/>
      <c r="L5785" s="579">
        <v>200.72</v>
      </c>
      <c r="M5785" s="579">
        <v>200.72</v>
      </c>
      <c r="N5785" s="573"/>
      <c r="O5785" s="556"/>
      <c r="P5785" s="573"/>
      <c r="Q5785" s="556"/>
      <c r="R5785" s="582"/>
    </row>
    <row r="5786" ht="15" customHeight="1" spans="1:18">
      <c r="A5786" s="556"/>
      <c r="B5786" s="557"/>
      <c r="C5786" s="100" t="s">
        <v>2893</v>
      </c>
      <c r="D5786" s="99" t="s">
        <v>4632</v>
      </c>
      <c r="E5786" s="100" t="s">
        <v>149</v>
      </c>
      <c r="F5786" s="100" t="s">
        <v>4633</v>
      </c>
      <c r="G5786" s="100" t="s">
        <v>2961</v>
      </c>
      <c r="H5786" s="100"/>
      <c r="I5786" s="101" t="s">
        <v>134</v>
      </c>
      <c r="J5786" s="580">
        <v>1</v>
      </c>
      <c r="K5786" s="580">
        <v>0</v>
      </c>
      <c r="L5786" s="102">
        <v>199.49</v>
      </c>
      <c r="M5786" s="102">
        <v>199.49</v>
      </c>
      <c r="N5786" s="573"/>
      <c r="O5786" s="556"/>
      <c r="P5786" s="573"/>
      <c r="Q5786" s="556"/>
      <c r="R5786" s="582"/>
    </row>
    <row r="5787" ht="15" customHeight="1" spans="1:18">
      <c r="A5787" s="556"/>
      <c r="B5787" s="557" t="str">
        <f>C5786</f>
        <v>Insumo</v>
      </c>
      <c r="C5787" s="100" t="s">
        <v>2893</v>
      </c>
      <c r="D5787" s="99" t="s">
        <v>3660</v>
      </c>
      <c r="E5787" s="100" t="s">
        <v>149</v>
      </c>
      <c r="F5787" s="100" t="s">
        <v>3661</v>
      </c>
      <c r="G5787" s="100" t="s">
        <v>2896</v>
      </c>
      <c r="H5787" s="100"/>
      <c r="I5787" s="101" t="s">
        <v>2897</v>
      </c>
      <c r="J5787" s="580">
        <v>0.06</v>
      </c>
      <c r="K5787" s="580">
        <v>0</v>
      </c>
      <c r="L5787" s="102">
        <v>20.515752</v>
      </c>
      <c r="M5787" s="102">
        <v>1.23</v>
      </c>
      <c r="N5787" s="573">
        <v>46.12</v>
      </c>
      <c r="O5787" s="556" t="str">
        <f>IF(N5787=M5787,"OK","DIF")</f>
        <v>DIF</v>
      </c>
      <c r="P5787" s="573"/>
      <c r="Q5787" s="556"/>
      <c r="R5787" s="582"/>
    </row>
    <row r="5788" ht="25.5" spans="1:18">
      <c r="A5788" s="556" t="str">
        <f>B5788</f>
        <v>Insumo</v>
      </c>
      <c r="B5788" s="557" t="str">
        <f>B5787</f>
        <v>Insumo</v>
      </c>
      <c r="C5788" s="108"/>
      <c r="D5788" s="108"/>
      <c r="E5788" s="108"/>
      <c r="F5788" s="108"/>
      <c r="G5788" s="108"/>
      <c r="H5788" s="108" t="s">
        <v>2898</v>
      </c>
      <c r="I5788" s="581">
        <v>1.23</v>
      </c>
      <c r="J5788" s="108" t="s">
        <v>2899</v>
      </c>
      <c r="K5788" s="581">
        <v>0</v>
      </c>
      <c r="L5788" s="108" t="s">
        <v>2900</v>
      </c>
      <c r="M5788" s="581">
        <v>1.23</v>
      </c>
      <c r="N5788" s="573">
        <v>28.75</v>
      </c>
      <c r="O5788" s="556" t="str">
        <f>IF(N5788=M5788,"OK","DIF")</f>
        <v>DIF</v>
      </c>
      <c r="P5788" s="573"/>
      <c r="Q5788" s="556"/>
      <c r="R5788" s="582"/>
    </row>
    <row r="5789" ht="26.25" spans="1:18">
      <c r="A5789" s="556" t="str">
        <f>B5789</f>
        <v>Insumo</v>
      </c>
      <c r="B5789" s="557" t="str">
        <f>B5788</f>
        <v>Insumo</v>
      </c>
      <c r="C5789" s="108"/>
      <c r="D5789" s="108"/>
      <c r="E5789" s="108"/>
      <c r="F5789" s="108"/>
      <c r="G5789" s="108"/>
      <c r="H5789" s="108" t="s">
        <v>2901</v>
      </c>
      <c r="I5789" s="581">
        <v>51.16</v>
      </c>
      <c r="J5789" s="114"/>
      <c r="K5789" s="114" t="s">
        <v>2902</v>
      </c>
      <c r="L5789" s="108"/>
      <c r="M5789" s="581">
        <v>251.88</v>
      </c>
      <c r="N5789" s="573">
        <v>9.81</v>
      </c>
      <c r="O5789" s="556" t="str">
        <f>IF(N5789=M5789,"OK","DIF")</f>
        <v>DIF</v>
      </c>
      <c r="P5789" s="573"/>
      <c r="Q5789" s="556"/>
      <c r="R5789" s="582"/>
    </row>
    <row r="5790" ht="15" spans="1:18">
      <c r="A5790" s="556" t="str">
        <f>B5790</f>
        <v>Insumo</v>
      </c>
      <c r="B5790" s="557" t="str">
        <f>B5789</f>
        <v>Insumo</v>
      </c>
      <c r="C5790" s="571"/>
      <c r="D5790" s="571"/>
      <c r="E5790" s="571"/>
      <c r="F5790" s="571"/>
      <c r="G5790" s="571"/>
      <c r="H5790" s="571"/>
      <c r="I5790" s="571"/>
      <c r="J5790" s="571"/>
      <c r="K5790" s="571"/>
      <c r="L5790" s="571"/>
      <c r="M5790" s="571"/>
      <c r="N5790" s="573">
        <v>0.08</v>
      </c>
      <c r="O5790" s="556" t="str">
        <f>IF(N5790=M5790,"OK","DIF")</f>
        <v>DIF</v>
      </c>
      <c r="P5790" s="573"/>
      <c r="Q5790" s="556"/>
      <c r="R5790" s="582"/>
    </row>
    <row r="5791" ht="15" customHeight="1" spans="1:18">
      <c r="A5791" s="556" t="str">
        <f>B5791</f>
        <v>Insumo</v>
      </c>
      <c r="B5791" s="557" t="str">
        <f>B5790</f>
        <v>Insumo</v>
      </c>
      <c r="C5791" s="76" t="s">
        <v>1938</v>
      </c>
      <c r="D5791" s="75" t="s">
        <v>63</v>
      </c>
      <c r="E5791" s="76" t="s">
        <v>64</v>
      </c>
      <c r="F5791" s="76" t="s">
        <v>65</v>
      </c>
      <c r="G5791" s="76" t="s">
        <v>2889</v>
      </c>
      <c r="H5791" s="76"/>
      <c r="I5791" s="77" t="s">
        <v>66</v>
      </c>
      <c r="J5791" s="75" t="s">
        <v>67</v>
      </c>
      <c r="K5791" s="75" t="s">
        <v>2890</v>
      </c>
      <c r="L5791" s="75" t="s">
        <v>68</v>
      </c>
      <c r="M5791" s="75" t="s">
        <v>70</v>
      </c>
      <c r="N5791" s="573">
        <v>7.48</v>
      </c>
      <c r="O5791" s="556" t="str">
        <f>IF(N5791=M5791,"OK","DIF")</f>
        <v>DIF</v>
      </c>
      <c r="P5791" s="573"/>
      <c r="Q5791" s="556"/>
      <c r="R5791" s="582"/>
    </row>
    <row r="5792" ht="23.85" customHeight="1" spans="1:18">
      <c r="A5792" s="556"/>
      <c r="B5792" s="557"/>
      <c r="C5792" s="569" t="s">
        <v>2891</v>
      </c>
      <c r="D5792" s="570" t="s">
        <v>1939</v>
      </c>
      <c r="E5792" s="569" t="s">
        <v>149</v>
      </c>
      <c r="F5792" s="569" t="s">
        <v>1940</v>
      </c>
      <c r="G5792" s="569" t="s">
        <v>3657</v>
      </c>
      <c r="H5792" s="569"/>
      <c r="I5792" s="577" t="s">
        <v>134</v>
      </c>
      <c r="J5792" s="578">
        <v>1</v>
      </c>
      <c r="K5792" s="579"/>
      <c r="L5792" s="579">
        <v>3015.21</v>
      </c>
      <c r="M5792" s="579">
        <v>3015.21</v>
      </c>
      <c r="N5792" s="573"/>
      <c r="O5792" s="556"/>
      <c r="P5792" s="573"/>
      <c r="Q5792" s="556"/>
      <c r="R5792" s="582"/>
    </row>
    <row r="5793" ht="15" customHeight="1" spans="1:18">
      <c r="A5793" s="556"/>
      <c r="B5793" s="557"/>
      <c r="C5793" s="100" t="s">
        <v>2893</v>
      </c>
      <c r="D5793" s="99" t="s">
        <v>4634</v>
      </c>
      <c r="E5793" s="100" t="s">
        <v>149</v>
      </c>
      <c r="F5793" s="100" t="s">
        <v>4635</v>
      </c>
      <c r="G5793" s="100" t="s">
        <v>2961</v>
      </c>
      <c r="H5793" s="100"/>
      <c r="I5793" s="101" t="s">
        <v>134</v>
      </c>
      <c r="J5793" s="580">
        <v>1</v>
      </c>
      <c r="K5793" s="580">
        <v>0</v>
      </c>
      <c r="L5793" s="102">
        <v>3013.98</v>
      </c>
      <c r="M5793" s="102">
        <v>3013.98</v>
      </c>
      <c r="N5793" s="573"/>
      <c r="O5793" s="556"/>
      <c r="P5793" s="573"/>
      <c r="Q5793" s="556"/>
      <c r="R5793" s="582"/>
    </row>
    <row r="5794" ht="15" customHeight="1" spans="1:18">
      <c r="A5794" s="556"/>
      <c r="B5794" s="557" t="str">
        <f>C5793</f>
        <v>Insumo</v>
      </c>
      <c r="C5794" s="100" t="s">
        <v>2893</v>
      </c>
      <c r="D5794" s="99" t="s">
        <v>3660</v>
      </c>
      <c r="E5794" s="100" t="s">
        <v>149</v>
      </c>
      <c r="F5794" s="100" t="s">
        <v>3661</v>
      </c>
      <c r="G5794" s="100" t="s">
        <v>2896</v>
      </c>
      <c r="H5794" s="100"/>
      <c r="I5794" s="101" t="s">
        <v>2897</v>
      </c>
      <c r="J5794" s="580">
        <v>0.06</v>
      </c>
      <c r="K5794" s="580">
        <v>0</v>
      </c>
      <c r="L5794" s="102">
        <v>20.515752</v>
      </c>
      <c r="M5794" s="102">
        <v>1.23</v>
      </c>
      <c r="N5794" s="573">
        <v>43.62</v>
      </c>
      <c r="O5794" s="556" t="str">
        <f>IF(N5794=M5794,"OK","DIF")</f>
        <v>DIF</v>
      </c>
      <c r="P5794" s="573"/>
      <c r="Q5794" s="556"/>
      <c r="R5794" s="582"/>
    </row>
    <row r="5795" ht="25.5" spans="1:18">
      <c r="A5795" s="556" t="str">
        <f>B5795</f>
        <v>Insumo</v>
      </c>
      <c r="B5795" s="557" t="str">
        <f>B5794</f>
        <v>Insumo</v>
      </c>
      <c r="C5795" s="108"/>
      <c r="D5795" s="108"/>
      <c r="E5795" s="108"/>
      <c r="F5795" s="108"/>
      <c r="G5795" s="108"/>
      <c r="H5795" s="108" t="s">
        <v>2898</v>
      </c>
      <c r="I5795" s="581">
        <v>1.23</v>
      </c>
      <c r="J5795" s="108" t="s">
        <v>2899</v>
      </c>
      <c r="K5795" s="581">
        <v>0</v>
      </c>
      <c r="L5795" s="108" t="s">
        <v>2900</v>
      </c>
      <c r="M5795" s="581">
        <v>1.23</v>
      </c>
      <c r="N5795" s="573">
        <v>8.26</v>
      </c>
      <c r="O5795" s="556" t="str">
        <f>IF(N5795=M5795,"OK","DIF")</f>
        <v>DIF</v>
      </c>
      <c r="P5795" s="573"/>
      <c r="Q5795" s="556"/>
      <c r="R5795" s="582"/>
    </row>
    <row r="5796" ht="26.25" spans="1:18">
      <c r="A5796" s="556" t="str">
        <f>B5796</f>
        <v>Insumo</v>
      </c>
      <c r="B5796" s="557" t="str">
        <f>B5795</f>
        <v>Insumo</v>
      </c>
      <c r="C5796" s="108"/>
      <c r="D5796" s="108"/>
      <c r="E5796" s="108"/>
      <c r="F5796" s="108"/>
      <c r="G5796" s="108"/>
      <c r="H5796" s="108" t="s">
        <v>2901</v>
      </c>
      <c r="I5796" s="581">
        <v>768.57</v>
      </c>
      <c r="J5796" s="114"/>
      <c r="K5796" s="114" t="s">
        <v>2902</v>
      </c>
      <c r="L5796" s="108"/>
      <c r="M5796" s="581">
        <v>3783.78</v>
      </c>
      <c r="N5796" s="573">
        <v>6.29</v>
      </c>
      <c r="O5796" s="556" t="str">
        <f>IF(N5796=M5796,"OK","DIF")</f>
        <v>DIF</v>
      </c>
      <c r="P5796" s="573"/>
      <c r="Q5796" s="556"/>
      <c r="R5796" s="582"/>
    </row>
    <row r="5797" ht="15" spans="1:18">
      <c r="A5797" s="556" t="str">
        <f>B5797</f>
        <v>Insumo</v>
      </c>
      <c r="B5797" s="557" t="str">
        <f>B5796</f>
        <v>Insumo</v>
      </c>
      <c r="C5797" s="571"/>
      <c r="D5797" s="571"/>
      <c r="E5797" s="571"/>
      <c r="F5797" s="571"/>
      <c r="G5797" s="571"/>
      <c r="H5797" s="571"/>
      <c r="I5797" s="571"/>
      <c r="J5797" s="571"/>
      <c r="K5797" s="571"/>
      <c r="L5797" s="571"/>
      <c r="M5797" s="571"/>
      <c r="N5797" s="573">
        <v>0.32</v>
      </c>
      <c r="O5797" s="556" t="str">
        <f>IF(N5797=M5797,"OK","DIF")</f>
        <v>DIF</v>
      </c>
      <c r="P5797" s="573"/>
      <c r="Q5797" s="556"/>
      <c r="R5797" s="582"/>
    </row>
    <row r="5798" ht="15" customHeight="1" spans="1:18">
      <c r="A5798" s="556" t="str">
        <f>B5798</f>
        <v>Insumo</v>
      </c>
      <c r="B5798" s="557" t="str">
        <f>B5797</f>
        <v>Insumo</v>
      </c>
      <c r="C5798" s="76" t="s">
        <v>1941</v>
      </c>
      <c r="D5798" s="75" t="s">
        <v>63</v>
      </c>
      <c r="E5798" s="76" t="s">
        <v>64</v>
      </c>
      <c r="F5798" s="76" t="s">
        <v>65</v>
      </c>
      <c r="G5798" s="76" t="s">
        <v>2889</v>
      </c>
      <c r="H5798" s="76"/>
      <c r="I5798" s="77" t="s">
        <v>66</v>
      </c>
      <c r="J5798" s="75" t="s">
        <v>67</v>
      </c>
      <c r="K5798" s="75" t="s">
        <v>2890</v>
      </c>
      <c r="L5798" s="75" t="s">
        <v>68</v>
      </c>
      <c r="M5798" s="75" t="s">
        <v>70</v>
      </c>
      <c r="N5798" s="573">
        <v>28.75</v>
      </c>
      <c r="O5798" s="556" t="str">
        <f>IF(N5798=M5798,"OK","DIF")</f>
        <v>DIF</v>
      </c>
      <c r="P5798" s="573"/>
      <c r="Q5798" s="556"/>
      <c r="R5798" s="582"/>
    </row>
    <row r="5799" ht="23.85" customHeight="1" spans="1:18">
      <c r="A5799" s="556"/>
      <c r="B5799" s="557"/>
      <c r="C5799" s="569" t="s">
        <v>2891</v>
      </c>
      <c r="D5799" s="570" t="s">
        <v>1942</v>
      </c>
      <c r="E5799" s="569" t="s">
        <v>139</v>
      </c>
      <c r="F5799" s="569" t="s">
        <v>1943</v>
      </c>
      <c r="G5799" s="569" t="s">
        <v>3642</v>
      </c>
      <c r="H5799" s="569"/>
      <c r="I5799" s="577" t="s">
        <v>134</v>
      </c>
      <c r="J5799" s="578">
        <v>1</v>
      </c>
      <c r="K5799" s="579"/>
      <c r="L5799" s="579">
        <v>901.47</v>
      </c>
      <c r="M5799" s="579">
        <v>901.47</v>
      </c>
      <c r="N5799" s="573"/>
      <c r="O5799" s="556"/>
      <c r="P5799" s="573"/>
      <c r="Q5799" s="556"/>
      <c r="R5799" s="582"/>
    </row>
    <row r="5800" ht="23.85" customHeight="1" spans="1:18">
      <c r="A5800" s="556"/>
      <c r="B5800" s="557"/>
      <c r="C5800" s="79" t="s">
        <v>2921</v>
      </c>
      <c r="D5800" s="78" t="s">
        <v>3144</v>
      </c>
      <c r="E5800" s="79" t="s">
        <v>139</v>
      </c>
      <c r="F5800" s="79" t="s">
        <v>3145</v>
      </c>
      <c r="G5800" s="79" t="s">
        <v>2928</v>
      </c>
      <c r="H5800" s="79"/>
      <c r="I5800" s="80" t="s">
        <v>2897</v>
      </c>
      <c r="J5800" s="583">
        <v>0.4574</v>
      </c>
      <c r="K5800" s="583">
        <v>0</v>
      </c>
      <c r="L5800" s="92">
        <v>35.55</v>
      </c>
      <c r="M5800" s="92">
        <v>16.26</v>
      </c>
      <c r="N5800" s="573"/>
      <c r="O5800" s="556"/>
      <c r="P5800" s="573"/>
      <c r="Q5800" s="556"/>
      <c r="R5800" s="582"/>
    </row>
    <row r="5801" ht="23.85" customHeight="1" spans="1:18">
      <c r="A5801" s="556"/>
      <c r="B5801" s="557" t="str">
        <f>C5800</f>
        <v>Composição Auxiliar</v>
      </c>
      <c r="C5801" s="79" t="s">
        <v>2921</v>
      </c>
      <c r="D5801" s="78" t="s">
        <v>3146</v>
      </c>
      <c r="E5801" s="79" t="s">
        <v>139</v>
      </c>
      <c r="F5801" s="79" t="s">
        <v>3147</v>
      </c>
      <c r="G5801" s="79" t="s">
        <v>2928</v>
      </c>
      <c r="H5801" s="79"/>
      <c r="I5801" s="80" t="s">
        <v>2897</v>
      </c>
      <c r="J5801" s="583">
        <v>0.4574</v>
      </c>
      <c r="K5801" s="583">
        <v>0</v>
      </c>
      <c r="L5801" s="92">
        <v>29.54</v>
      </c>
      <c r="M5801" s="92">
        <v>13.51</v>
      </c>
      <c r="N5801" s="573">
        <v>55.9</v>
      </c>
      <c r="O5801" s="556" t="str">
        <f>IF(N5801=M5801,"OK","DIF")</f>
        <v>DIF</v>
      </c>
      <c r="P5801" s="573"/>
      <c r="Q5801" s="556"/>
      <c r="R5801" s="582"/>
    </row>
    <row r="5802" ht="35.05" customHeight="1" spans="1:18">
      <c r="A5802" s="556" t="str">
        <f>B5802</f>
        <v>Composição Auxiliar</v>
      </c>
      <c r="B5802" s="557" t="str">
        <f>B5801</f>
        <v>Composição Auxiliar</v>
      </c>
      <c r="C5802" s="100" t="s">
        <v>2893</v>
      </c>
      <c r="D5802" s="99" t="s">
        <v>3761</v>
      </c>
      <c r="E5802" s="100" t="s">
        <v>139</v>
      </c>
      <c r="F5802" s="100" t="s">
        <v>3762</v>
      </c>
      <c r="G5802" s="100" t="s">
        <v>2961</v>
      </c>
      <c r="H5802" s="100"/>
      <c r="I5802" s="101" t="s">
        <v>134</v>
      </c>
      <c r="J5802" s="580">
        <v>2</v>
      </c>
      <c r="K5802" s="580">
        <v>0</v>
      </c>
      <c r="L5802" s="102">
        <v>0.85</v>
      </c>
      <c r="M5802" s="102">
        <v>1.7</v>
      </c>
      <c r="N5802" s="573">
        <v>0.4</v>
      </c>
      <c r="O5802" s="556" t="str">
        <f>IF(N5802=M5802,"OK","DIF")</f>
        <v>DIF</v>
      </c>
      <c r="P5802" s="573"/>
      <c r="Q5802" s="556"/>
      <c r="R5802" s="582"/>
    </row>
    <row r="5803" ht="23.85" customHeight="1" spans="1:18">
      <c r="A5803" s="556" t="str">
        <f>B5803</f>
        <v>Composição Auxiliar</v>
      </c>
      <c r="B5803" s="557" t="str">
        <f>B5802</f>
        <v>Composição Auxiliar</v>
      </c>
      <c r="C5803" s="100" t="s">
        <v>2893</v>
      </c>
      <c r="D5803" s="99" t="s">
        <v>4636</v>
      </c>
      <c r="E5803" s="100" t="s">
        <v>139</v>
      </c>
      <c r="F5803" s="100" t="s">
        <v>4637</v>
      </c>
      <c r="G5803" s="100" t="s">
        <v>2961</v>
      </c>
      <c r="H5803" s="100"/>
      <c r="I5803" s="101" t="s">
        <v>134</v>
      </c>
      <c r="J5803" s="580">
        <v>1</v>
      </c>
      <c r="K5803" s="580">
        <v>0</v>
      </c>
      <c r="L5803" s="102">
        <v>870</v>
      </c>
      <c r="M5803" s="102">
        <v>870</v>
      </c>
      <c r="N5803" s="573">
        <v>8.52</v>
      </c>
      <c r="O5803" s="556" t="str">
        <f>IF(N5803=M5803,"OK","DIF")</f>
        <v>DIF</v>
      </c>
      <c r="P5803" s="573"/>
      <c r="Q5803" s="556"/>
      <c r="R5803" s="582"/>
    </row>
    <row r="5804" ht="25.5" spans="1:18">
      <c r="A5804" s="556" t="str">
        <f>B5804</f>
        <v>Composição Auxiliar</v>
      </c>
      <c r="B5804" s="557" t="str">
        <f>B5803</f>
        <v>Composição Auxiliar</v>
      </c>
      <c r="C5804" s="108"/>
      <c r="D5804" s="108"/>
      <c r="E5804" s="108"/>
      <c r="F5804" s="108"/>
      <c r="G5804" s="108"/>
      <c r="H5804" s="108" t="s">
        <v>2898</v>
      </c>
      <c r="I5804" s="581">
        <v>21.19</v>
      </c>
      <c r="J5804" s="108" t="s">
        <v>2899</v>
      </c>
      <c r="K5804" s="581">
        <v>0</v>
      </c>
      <c r="L5804" s="108" t="s">
        <v>2900</v>
      </c>
      <c r="M5804" s="581">
        <v>21.19</v>
      </c>
      <c r="N5804" s="573">
        <v>40.49</v>
      </c>
      <c r="O5804" s="556" t="str">
        <f>IF(N5804=M5804,"OK","DIF")</f>
        <v>DIF</v>
      </c>
      <c r="P5804" s="573"/>
      <c r="Q5804" s="556"/>
      <c r="R5804" s="582"/>
    </row>
    <row r="5805" ht="26.25" spans="1:18">
      <c r="A5805" s="556" t="str">
        <f>B5805</f>
        <v>Composição Auxiliar</v>
      </c>
      <c r="B5805" s="557" t="str">
        <f>B5804</f>
        <v>Composição Auxiliar</v>
      </c>
      <c r="C5805" s="108"/>
      <c r="D5805" s="108"/>
      <c r="E5805" s="108"/>
      <c r="F5805" s="108"/>
      <c r="G5805" s="108"/>
      <c r="H5805" s="108" t="s">
        <v>2901</v>
      </c>
      <c r="I5805" s="581">
        <v>229.78</v>
      </c>
      <c r="J5805" s="114"/>
      <c r="K5805" s="114" t="s">
        <v>2902</v>
      </c>
      <c r="L5805" s="108"/>
      <c r="M5805" s="581">
        <v>1131.25</v>
      </c>
      <c r="N5805" s="573">
        <v>6.49</v>
      </c>
      <c r="O5805" s="556" t="str">
        <f>IF(N5805=M5805,"OK","DIF")</f>
        <v>DIF</v>
      </c>
      <c r="P5805" s="573"/>
      <c r="Q5805" s="556"/>
      <c r="R5805" s="582"/>
    </row>
    <row r="5806" ht="15" spans="1:18">
      <c r="A5806" s="556"/>
      <c r="B5806" s="557"/>
      <c r="C5806" s="571"/>
      <c r="D5806" s="571"/>
      <c r="E5806" s="571"/>
      <c r="F5806" s="571"/>
      <c r="G5806" s="571"/>
      <c r="H5806" s="571"/>
      <c r="I5806" s="571"/>
      <c r="J5806" s="571"/>
      <c r="K5806" s="571"/>
      <c r="L5806" s="571"/>
      <c r="M5806" s="571"/>
      <c r="N5806" s="573"/>
      <c r="O5806" s="556"/>
      <c r="P5806" s="573"/>
      <c r="Q5806" s="556"/>
      <c r="R5806" s="582"/>
    </row>
    <row r="5807" ht="15" customHeight="1" spans="1:18">
      <c r="A5807" s="556"/>
      <c r="B5807" s="557"/>
      <c r="C5807" s="76" t="s">
        <v>1944</v>
      </c>
      <c r="D5807" s="75" t="s">
        <v>63</v>
      </c>
      <c r="E5807" s="76" t="s">
        <v>64</v>
      </c>
      <c r="F5807" s="76" t="s">
        <v>65</v>
      </c>
      <c r="G5807" s="76" t="s">
        <v>2889</v>
      </c>
      <c r="H5807" s="76"/>
      <c r="I5807" s="77" t="s">
        <v>66</v>
      </c>
      <c r="J5807" s="75" t="s">
        <v>67</v>
      </c>
      <c r="K5807" s="75" t="s">
        <v>2890</v>
      </c>
      <c r="L5807" s="75" t="s">
        <v>68</v>
      </c>
      <c r="M5807" s="75" t="s">
        <v>70</v>
      </c>
      <c r="N5807" s="573"/>
      <c r="O5807" s="556"/>
      <c r="P5807" s="573"/>
      <c r="Q5807" s="556"/>
      <c r="R5807" s="582"/>
    </row>
    <row r="5808" ht="38.25" spans="1:18">
      <c r="A5808" s="556"/>
      <c r="B5808" s="557" t="str">
        <f>C5807</f>
        <v> 14.2.1.26 </v>
      </c>
      <c r="C5808" s="569" t="s">
        <v>2891</v>
      </c>
      <c r="D5808" s="570" t="s">
        <v>1945</v>
      </c>
      <c r="E5808" s="569" t="s">
        <v>132</v>
      </c>
      <c r="F5808" s="569" t="s">
        <v>1946</v>
      </c>
      <c r="G5808" s="569">
        <v>55</v>
      </c>
      <c r="H5808" s="569"/>
      <c r="I5808" s="577" t="s">
        <v>134</v>
      </c>
      <c r="J5808" s="578">
        <v>1</v>
      </c>
      <c r="K5808" s="579"/>
      <c r="L5808" s="579">
        <v>5990</v>
      </c>
      <c r="M5808" s="579">
        <v>5990</v>
      </c>
      <c r="N5808" s="573">
        <v>56.36</v>
      </c>
      <c r="O5808" s="556" t="str">
        <f>IF(N5808=M5808,"OK","DIF")</f>
        <v>DIF</v>
      </c>
      <c r="P5808" s="573"/>
      <c r="Q5808" s="556"/>
      <c r="R5808" s="582"/>
    </row>
    <row r="5809" ht="23.85" customHeight="1" spans="1:18">
      <c r="A5809" s="556" t="str">
        <f>B5809</f>
        <v> 14.2.1.26 </v>
      </c>
      <c r="B5809" s="557" t="str">
        <f>B5808</f>
        <v> 14.2.1.26 </v>
      </c>
      <c r="C5809" s="100" t="s">
        <v>2893</v>
      </c>
      <c r="D5809" s="99" t="s">
        <v>4638</v>
      </c>
      <c r="E5809" s="100" t="s">
        <v>132</v>
      </c>
      <c r="F5809" s="100" t="s">
        <v>1946</v>
      </c>
      <c r="G5809" s="100" t="s">
        <v>2961</v>
      </c>
      <c r="H5809" s="100"/>
      <c r="I5809" s="101" t="s">
        <v>134</v>
      </c>
      <c r="J5809" s="580">
        <v>1</v>
      </c>
      <c r="K5809" s="580">
        <v>0</v>
      </c>
      <c r="L5809" s="102">
        <v>5990</v>
      </c>
      <c r="M5809" s="102">
        <v>5990</v>
      </c>
      <c r="N5809" s="573">
        <v>6.69</v>
      </c>
      <c r="O5809" s="556" t="str">
        <f>IF(N5809=M5809,"OK","DIF")</f>
        <v>DIF</v>
      </c>
      <c r="P5809" s="573"/>
      <c r="Q5809" s="556"/>
      <c r="R5809" s="582"/>
    </row>
    <row r="5810" ht="25.5" spans="1:18">
      <c r="A5810" s="556" t="str">
        <f>B5810</f>
        <v> 14.2.1.26 </v>
      </c>
      <c r="B5810" s="557" t="str">
        <f>B5809</f>
        <v> 14.2.1.26 </v>
      </c>
      <c r="C5810" s="108"/>
      <c r="D5810" s="108"/>
      <c r="E5810" s="108"/>
      <c r="F5810" s="108"/>
      <c r="G5810" s="108"/>
      <c r="H5810" s="108" t="s">
        <v>2898</v>
      </c>
      <c r="I5810" s="581">
        <v>0</v>
      </c>
      <c r="J5810" s="108" t="s">
        <v>2899</v>
      </c>
      <c r="K5810" s="581">
        <v>0</v>
      </c>
      <c r="L5810" s="108" t="s">
        <v>2900</v>
      </c>
      <c r="M5810" s="581">
        <v>0</v>
      </c>
      <c r="N5810" s="573">
        <v>8.78</v>
      </c>
      <c r="O5810" s="556" t="str">
        <f>IF(N5810=M5810,"OK","DIF")</f>
        <v>DIF</v>
      </c>
      <c r="P5810" s="573"/>
      <c r="Q5810" s="556"/>
      <c r="R5810" s="582"/>
    </row>
    <row r="5811" ht="26.25" spans="1:18">
      <c r="A5811" s="556" t="str">
        <f>B5811</f>
        <v> 14.2.1.26 </v>
      </c>
      <c r="B5811" s="557" t="str">
        <f>B5810</f>
        <v> 14.2.1.26 </v>
      </c>
      <c r="C5811" s="108"/>
      <c r="D5811" s="108"/>
      <c r="E5811" s="108"/>
      <c r="F5811" s="108"/>
      <c r="G5811" s="108"/>
      <c r="H5811" s="108" t="s">
        <v>2901</v>
      </c>
      <c r="I5811" s="581">
        <v>1526.85</v>
      </c>
      <c r="J5811" s="114"/>
      <c r="K5811" s="114" t="s">
        <v>2902</v>
      </c>
      <c r="L5811" s="108"/>
      <c r="M5811" s="581">
        <v>7516.85</v>
      </c>
      <c r="N5811" s="573">
        <v>40.49</v>
      </c>
      <c r="O5811" s="556" t="str">
        <f>IF(N5811=M5811,"OK","DIF")</f>
        <v>DIF</v>
      </c>
      <c r="P5811" s="573"/>
      <c r="Q5811" s="556"/>
      <c r="R5811" s="582"/>
    </row>
    <row r="5812" ht="15" spans="1:18">
      <c r="A5812" s="556" t="str">
        <f>B5812</f>
        <v> 14.2.1.26 </v>
      </c>
      <c r="B5812" s="557" t="str">
        <f>B5811</f>
        <v> 14.2.1.26 </v>
      </c>
      <c r="C5812" s="571"/>
      <c r="D5812" s="571"/>
      <c r="E5812" s="571"/>
      <c r="F5812" s="571"/>
      <c r="G5812" s="571"/>
      <c r="H5812" s="571"/>
      <c r="I5812" s="571"/>
      <c r="J5812" s="571"/>
      <c r="K5812" s="571"/>
      <c r="L5812" s="571"/>
      <c r="M5812" s="571"/>
      <c r="N5812" s="573">
        <v>0.4</v>
      </c>
      <c r="O5812" s="556" t="str">
        <f>IF(N5812=M5812,"OK","DIF")</f>
        <v>DIF</v>
      </c>
      <c r="P5812" s="573"/>
      <c r="Q5812" s="556"/>
      <c r="R5812" s="582"/>
    </row>
    <row r="5813" ht="15" customHeight="1" spans="1:18">
      <c r="A5813" s="556"/>
      <c r="B5813" s="557"/>
      <c r="C5813" s="76" t="s">
        <v>1947</v>
      </c>
      <c r="D5813" s="75" t="s">
        <v>63</v>
      </c>
      <c r="E5813" s="76" t="s">
        <v>64</v>
      </c>
      <c r="F5813" s="76" t="s">
        <v>65</v>
      </c>
      <c r="G5813" s="76" t="s">
        <v>2889</v>
      </c>
      <c r="H5813" s="76"/>
      <c r="I5813" s="77" t="s">
        <v>66</v>
      </c>
      <c r="J5813" s="75" t="s">
        <v>67</v>
      </c>
      <c r="K5813" s="75" t="s">
        <v>2890</v>
      </c>
      <c r="L5813" s="75" t="s">
        <v>68</v>
      </c>
      <c r="M5813" s="75" t="s">
        <v>70</v>
      </c>
      <c r="N5813" s="573"/>
      <c r="O5813" s="556"/>
      <c r="P5813" s="573"/>
      <c r="Q5813" s="556"/>
      <c r="R5813" s="582"/>
    </row>
    <row r="5814" ht="35.05" customHeight="1" spans="1:18">
      <c r="A5814" s="556"/>
      <c r="B5814" s="557"/>
      <c r="C5814" s="569" t="s">
        <v>2891</v>
      </c>
      <c r="D5814" s="570" t="s">
        <v>1948</v>
      </c>
      <c r="E5814" s="569" t="s">
        <v>132</v>
      </c>
      <c r="F5814" s="569" t="s">
        <v>1949</v>
      </c>
      <c r="G5814" s="569" t="s">
        <v>4227</v>
      </c>
      <c r="H5814" s="569"/>
      <c r="I5814" s="577" t="s">
        <v>134</v>
      </c>
      <c r="J5814" s="578">
        <v>1</v>
      </c>
      <c r="K5814" s="579"/>
      <c r="L5814" s="579">
        <v>512.77</v>
      </c>
      <c r="M5814" s="579">
        <v>512.77</v>
      </c>
      <c r="N5814" s="573"/>
      <c r="O5814" s="556"/>
      <c r="P5814" s="573"/>
      <c r="Q5814" s="556"/>
      <c r="R5814" s="582"/>
    </row>
    <row r="5815" ht="23.85" customHeight="1" spans="1:18">
      <c r="A5815" s="556"/>
      <c r="B5815" s="557" t="str">
        <f>C5814</f>
        <v>Composição</v>
      </c>
      <c r="C5815" s="79" t="s">
        <v>2921</v>
      </c>
      <c r="D5815" s="78" t="s">
        <v>3144</v>
      </c>
      <c r="E5815" s="79" t="s">
        <v>139</v>
      </c>
      <c r="F5815" s="79" t="s">
        <v>3145</v>
      </c>
      <c r="G5815" s="79" t="s">
        <v>2928</v>
      </c>
      <c r="H5815" s="79"/>
      <c r="I5815" s="80" t="s">
        <v>2897</v>
      </c>
      <c r="J5815" s="583">
        <v>0.4574</v>
      </c>
      <c r="K5815" s="583">
        <v>0</v>
      </c>
      <c r="L5815" s="92">
        <v>35.55</v>
      </c>
      <c r="M5815" s="92">
        <v>16.26</v>
      </c>
      <c r="N5815" s="573">
        <v>56.59</v>
      </c>
      <c r="O5815" s="556" t="str">
        <f>IF(N5815=M5815,"OK","DIF")</f>
        <v>DIF</v>
      </c>
      <c r="P5815" s="573"/>
      <c r="Q5815" s="556"/>
      <c r="R5815" s="582"/>
    </row>
    <row r="5816" ht="23.85" customHeight="1" spans="1:18">
      <c r="A5816" s="556" t="str">
        <f>B5816</f>
        <v>Composição</v>
      </c>
      <c r="B5816" s="557" t="str">
        <f>B5815</f>
        <v>Composição</v>
      </c>
      <c r="C5816" s="79" t="s">
        <v>2921</v>
      </c>
      <c r="D5816" s="78" t="s">
        <v>3146</v>
      </c>
      <c r="E5816" s="79" t="s">
        <v>139</v>
      </c>
      <c r="F5816" s="79" t="s">
        <v>3147</v>
      </c>
      <c r="G5816" s="79" t="s">
        <v>2928</v>
      </c>
      <c r="H5816" s="79"/>
      <c r="I5816" s="80" t="s">
        <v>2897</v>
      </c>
      <c r="J5816" s="583">
        <v>0.4574</v>
      </c>
      <c r="K5816" s="583">
        <v>0</v>
      </c>
      <c r="L5816" s="92">
        <v>29.54</v>
      </c>
      <c r="M5816" s="92">
        <v>13.51</v>
      </c>
      <c r="N5816" s="573">
        <v>6.79</v>
      </c>
      <c r="O5816" s="556" t="str">
        <f>IF(N5816=M5816,"OK","DIF")</f>
        <v>DIF</v>
      </c>
      <c r="P5816" s="573"/>
      <c r="Q5816" s="556"/>
      <c r="R5816" s="582"/>
    </row>
    <row r="5817" ht="23.85" customHeight="1" spans="1:18">
      <c r="A5817" s="556" t="str">
        <f>B5817</f>
        <v>Composição</v>
      </c>
      <c r="B5817" s="557" t="str">
        <f>B5816</f>
        <v>Composição</v>
      </c>
      <c r="C5817" s="100" t="s">
        <v>2893</v>
      </c>
      <c r="D5817" s="99" t="s">
        <v>4639</v>
      </c>
      <c r="E5817" s="100" t="s">
        <v>149</v>
      </c>
      <c r="F5817" s="100" t="s">
        <v>4640</v>
      </c>
      <c r="G5817" s="100" t="s">
        <v>2961</v>
      </c>
      <c r="H5817" s="100"/>
      <c r="I5817" s="101" t="s">
        <v>134</v>
      </c>
      <c r="J5817" s="580">
        <v>1</v>
      </c>
      <c r="K5817" s="580">
        <v>0</v>
      </c>
      <c r="L5817" s="102">
        <v>481.3</v>
      </c>
      <c r="M5817" s="102">
        <v>481.3</v>
      </c>
      <c r="N5817" s="573">
        <v>40.49</v>
      </c>
      <c r="O5817" s="556" t="str">
        <f>IF(N5817=M5817,"OK","DIF")</f>
        <v>DIF</v>
      </c>
      <c r="P5817" s="573"/>
      <c r="Q5817" s="556"/>
      <c r="R5817" s="582"/>
    </row>
    <row r="5818" ht="35.05" customHeight="1" spans="1:18">
      <c r="A5818" s="556" t="str">
        <f>B5818</f>
        <v>Composição</v>
      </c>
      <c r="B5818" s="557" t="str">
        <f>B5817</f>
        <v>Composição</v>
      </c>
      <c r="C5818" s="100" t="s">
        <v>2893</v>
      </c>
      <c r="D5818" s="99" t="s">
        <v>3761</v>
      </c>
      <c r="E5818" s="100" t="s">
        <v>139</v>
      </c>
      <c r="F5818" s="100" t="s">
        <v>3762</v>
      </c>
      <c r="G5818" s="100" t="s">
        <v>2961</v>
      </c>
      <c r="H5818" s="100"/>
      <c r="I5818" s="101" t="s">
        <v>134</v>
      </c>
      <c r="J5818" s="580">
        <v>2</v>
      </c>
      <c r="K5818" s="580">
        <v>0</v>
      </c>
      <c r="L5818" s="102">
        <v>0.85</v>
      </c>
      <c r="M5818" s="102">
        <v>1.7</v>
      </c>
      <c r="N5818" s="573">
        <v>0.4</v>
      </c>
      <c r="O5818" s="556" t="str">
        <f>IF(N5818=M5818,"OK","DIF")</f>
        <v>DIF</v>
      </c>
      <c r="P5818" s="573"/>
      <c r="Q5818" s="556"/>
      <c r="R5818" s="582"/>
    </row>
    <row r="5819" ht="25.5" spans="1:18">
      <c r="A5819" s="556" t="str">
        <f>B5819</f>
        <v>Composição</v>
      </c>
      <c r="B5819" s="557" t="str">
        <f>B5818</f>
        <v>Composição</v>
      </c>
      <c r="C5819" s="108"/>
      <c r="D5819" s="108"/>
      <c r="E5819" s="108"/>
      <c r="F5819" s="108"/>
      <c r="G5819" s="108"/>
      <c r="H5819" s="108" t="s">
        <v>2898</v>
      </c>
      <c r="I5819" s="581">
        <v>21.19</v>
      </c>
      <c r="J5819" s="108" t="s">
        <v>2899</v>
      </c>
      <c r="K5819" s="581">
        <v>0</v>
      </c>
      <c r="L5819" s="108" t="s">
        <v>2900</v>
      </c>
      <c r="M5819" s="581">
        <v>21.19</v>
      </c>
      <c r="N5819" s="573">
        <v>8.91</v>
      </c>
      <c r="O5819" s="556" t="str">
        <f>IF(N5819=M5819,"OK","DIF")</f>
        <v>DIF</v>
      </c>
      <c r="P5819" s="573"/>
      <c r="Q5819" s="556"/>
      <c r="R5819" s="582"/>
    </row>
    <row r="5820" ht="26.25" spans="1:18">
      <c r="A5820" s="556"/>
      <c r="B5820" s="557"/>
      <c r="C5820" s="108"/>
      <c r="D5820" s="108"/>
      <c r="E5820" s="108"/>
      <c r="F5820" s="108"/>
      <c r="G5820" s="108"/>
      <c r="H5820" s="108" t="s">
        <v>2901</v>
      </c>
      <c r="I5820" s="581">
        <v>130.7</v>
      </c>
      <c r="J5820" s="114"/>
      <c r="K5820" s="114" t="s">
        <v>2902</v>
      </c>
      <c r="L5820" s="108"/>
      <c r="M5820" s="581">
        <v>643.47</v>
      </c>
      <c r="N5820" s="573"/>
      <c r="O5820" s="556"/>
      <c r="P5820" s="573"/>
      <c r="Q5820" s="556"/>
      <c r="R5820" s="582"/>
    </row>
    <row r="5821" ht="15" spans="1:18">
      <c r="A5821" s="556"/>
      <c r="B5821" s="557"/>
      <c r="C5821" s="571"/>
      <c r="D5821" s="571"/>
      <c r="E5821" s="571"/>
      <c r="F5821" s="571"/>
      <c r="G5821" s="571"/>
      <c r="H5821" s="571"/>
      <c r="I5821" s="571"/>
      <c r="J5821" s="571"/>
      <c r="K5821" s="571"/>
      <c r="L5821" s="571"/>
      <c r="M5821" s="571"/>
      <c r="N5821" s="573"/>
      <c r="O5821" s="556"/>
      <c r="P5821" s="573"/>
      <c r="Q5821" s="556"/>
      <c r="R5821" s="582"/>
    </row>
    <row r="5822" ht="15" customHeight="1" spans="1:18">
      <c r="A5822" s="556"/>
      <c r="B5822" s="557">
        <f>C5821</f>
        <v>0</v>
      </c>
      <c r="C5822" s="76" t="s">
        <v>1950</v>
      </c>
      <c r="D5822" s="75" t="s">
        <v>63</v>
      </c>
      <c r="E5822" s="76" t="s">
        <v>64</v>
      </c>
      <c r="F5822" s="76" t="s">
        <v>65</v>
      </c>
      <c r="G5822" s="76" t="s">
        <v>2889</v>
      </c>
      <c r="H5822" s="76"/>
      <c r="I5822" s="77" t="s">
        <v>66</v>
      </c>
      <c r="J5822" s="75" t="s">
        <v>67</v>
      </c>
      <c r="K5822" s="75" t="s">
        <v>2890</v>
      </c>
      <c r="L5822" s="75" t="s">
        <v>68</v>
      </c>
      <c r="M5822" s="75" t="s">
        <v>70</v>
      </c>
      <c r="N5822" s="573">
        <v>76.49</v>
      </c>
      <c r="O5822" s="556" t="str">
        <f>IF(N5822=M5822,"OK","DIF")</f>
        <v>DIF</v>
      </c>
      <c r="P5822" s="573"/>
      <c r="Q5822" s="556"/>
      <c r="R5822" s="582"/>
    </row>
    <row r="5823" ht="23.85" customHeight="1" spans="1:18">
      <c r="A5823" s="556">
        <f>B5823</f>
        <v>0</v>
      </c>
      <c r="B5823" s="557">
        <f>B5822</f>
        <v>0</v>
      </c>
      <c r="C5823" s="569" t="s">
        <v>2891</v>
      </c>
      <c r="D5823" s="570" t="s">
        <v>1951</v>
      </c>
      <c r="E5823" s="569" t="s">
        <v>132</v>
      </c>
      <c r="F5823" s="569" t="s">
        <v>1952</v>
      </c>
      <c r="G5823" s="569" t="s">
        <v>3996</v>
      </c>
      <c r="H5823" s="569"/>
      <c r="I5823" s="577" t="s">
        <v>134</v>
      </c>
      <c r="J5823" s="578">
        <v>1</v>
      </c>
      <c r="K5823" s="579"/>
      <c r="L5823" s="579">
        <v>163</v>
      </c>
      <c r="M5823" s="579">
        <v>163</v>
      </c>
      <c r="N5823" s="573">
        <v>57.49</v>
      </c>
      <c r="O5823" s="556" t="str">
        <f>IF(N5823=M5823,"OK","DIF")</f>
        <v>DIF</v>
      </c>
      <c r="P5823" s="573"/>
      <c r="Q5823" s="556"/>
      <c r="R5823" s="582"/>
    </row>
    <row r="5824" ht="15" customHeight="1" spans="1:18">
      <c r="A5824" s="556">
        <f>B5824</f>
        <v>0</v>
      </c>
      <c r="B5824" s="557">
        <f>B5823</f>
        <v>0</v>
      </c>
      <c r="C5824" s="100" t="s">
        <v>2893</v>
      </c>
      <c r="D5824" s="99" t="s">
        <v>4641</v>
      </c>
      <c r="E5824" s="100" t="s">
        <v>132</v>
      </c>
      <c r="F5824" s="100" t="s">
        <v>4642</v>
      </c>
      <c r="G5824" s="100" t="s">
        <v>2961</v>
      </c>
      <c r="H5824" s="100"/>
      <c r="I5824" s="101" t="s">
        <v>134</v>
      </c>
      <c r="J5824" s="580">
        <v>1</v>
      </c>
      <c r="K5824" s="580">
        <v>0</v>
      </c>
      <c r="L5824" s="102">
        <v>163</v>
      </c>
      <c r="M5824" s="102">
        <v>163</v>
      </c>
      <c r="N5824" s="573">
        <v>0.48</v>
      </c>
      <c r="O5824" s="556" t="str">
        <f>IF(N5824=M5824,"OK","DIF")</f>
        <v>DIF</v>
      </c>
      <c r="P5824" s="573"/>
      <c r="Q5824" s="556"/>
      <c r="R5824" s="582"/>
    </row>
    <row r="5825" ht="25.5" spans="1:18">
      <c r="A5825" s="556">
        <f>B5825</f>
        <v>0</v>
      </c>
      <c r="B5825" s="557">
        <f>B5824</f>
        <v>0</v>
      </c>
      <c r="C5825" s="108"/>
      <c r="D5825" s="108"/>
      <c r="E5825" s="108"/>
      <c r="F5825" s="108"/>
      <c r="G5825" s="108"/>
      <c r="H5825" s="108" t="s">
        <v>2898</v>
      </c>
      <c r="I5825" s="581">
        <v>0</v>
      </c>
      <c r="J5825" s="108" t="s">
        <v>2899</v>
      </c>
      <c r="K5825" s="581">
        <v>0</v>
      </c>
      <c r="L5825" s="108" t="s">
        <v>2900</v>
      </c>
      <c r="M5825" s="581">
        <v>0</v>
      </c>
      <c r="N5825" s="573">
        <v>10.51</v>
      </c>
      <c r="O5825" s="556" t="str">
        <f>IF(N5825=M5825,"OK","DIF")</f>
        <v>DIF</v>
      </c>
      <c r="P5825" s="573"/>
      <c r="Q5825" s="556"/>
      <c r="R5825" s="582"/>
    </row>
    <row r="5826" ht="26.25" spans="1:18">
      <c r="A5826" s="556">
        <f>B5826</f>
        <v>0</v>
      </c>
      <c r="B5826" s="557">
        <f>B5825</f>
        <v>0</v>
      </c>
      <c r="C5826" s="108"/>
      <c r="D5826" s="108"/>
      <c r="E5826" s="108"/>
      <c r="F5826" s="108"/>
      <c r="G5826" s="108"/>
      <c r="H5826" s="108" t="s">
        <v>2901</v>
      </c>
      <c r="I5826" s="581">
        <v>41.54</v>
      </c>
      <c r="J5826" s="114"/>
      <c r="K5826" s="114" t="s">
        <v>2902</v>
      </c>
      <c r="L5826" s="108"/>
      <c r="M5826" s="581">
        <v>204.54</v>
      </c>
      <c r="N5826" s="573">
        <v>8.01</v>
      </c>
      <c r="O5826" s="556" t="str">
        <f>IF(N5826=M5826,"OK","DIF")</f>
        <v>DIF</v>
      </c>
      <c r="P5826" s="573"/>
      <c r="Q5826" s="556"/>
      <c r="R5826" s="582"/>
    </row>
    <row r="5827" ht="15" spans="1:18">
      <c r="A5827" s="556"/>
      <c r="B5827" s="557"/>
      <c r="C5827" s="571"/>
      <c r="D5827" s="571"/>
      <c r="E5827" s="571"/>
      <c r="F5827" s="571"/>
      <c r="G5827" s="571"/>
      <c r="H5827" s="571"/>
      <c r="I5827" s="571"/>
      <c r="J5827" s="571"/>
      <c r="K5827" s="571"/>
      <c r="L5827" s="571"/>
      <c r="M5827" s="571"/>
      <c r="N5827" s="573"/>
      <c r="O5827" s="556"/>
      <c r="P5827" s="573"/>
      <c r="Q5827" s="556"/>
      <c r="R5827" s="582"/>
    </row>
    <row r="5828" ht="15" customHeight="1" spans="1:18">
      <c r="A5828" s="556"/>
      <c r="B5828" s="557"/>
      <c r="C5828" s="76" t="s">
        <v>1953</v>
      </c>
      <c r="D5828" s="75" t="s">
        <v>63</v>
      </c>
      <c r="E5828" s="76" t="s">
        <v>64</v>
      </c>
      <c r="F5828" s="76" t="s">
        <v>65</v>
      </c>
      <c r="G5828" s="76" t="s">
        <v>2889</v>
      </c>
      <c r="H5828" s="76"/>
      <c r="I5828" s="77" t="s">
        <v>66</v>
      </c>
      <c r="J5828" s="75" t="s">
        <v>67</v>
      </c>
      <c r="K5828" s="75" t="s">
        <v>2890</v>
      </c>
      <c r="L5828" s="75" t="s">
        <v>68</v>
      </c>
      <c r="M5828" s="75" t="s">
        <v>70</v>
      </c>
      <c r="N5828" s="573"/>
      <c r="O5828" s="556"/>
      <c r="P5828" s="573"/>
      <c r="Q5828" s="556"/>
      <c r="R5828" s="582"/>
    </row>
    <row r="5829" ht="35.05" customHeight="1" spans="1:18">
      <c r="A5829" s="556"/>
      <c r="B5829" s="557" t="str">
        <f>C5828</f>
        <v> 14.2.1.29 </v>
      </c>
      <c r="C5829" s="569" t="s">
        <v>2891</v>
      </c>
      <c r="D5829" s="570" t="s">
        <v>1954</v>
      </c>
      <c r="E5829" s="569" t="s">
        <v>132</v>
      </c>
      <c r="F5829" s="569" t="s">
        <v>1955</v>
      </c>
      <c r="G5829" s="569" t="s">
        <v>3177</v>
      </c>
      <c r="H5829" s="569"/>
      <c r="I5829" s="577" t="s">
        <v>134</v>
      </c>
      <c r="J5829" s="578">
        <v>1</v>
      </c>
      <c r="K5829" s="579"/>
      <c r="L5829" s="579">
        <v>312.41</v>
      </c>
      <c r="M5829" s="579">
        <v>312.41</v>
      </c>
      <c r="N5829" s="573">
        <v>112.81</v>
      </c>
      <c r="O5829" s="556" t="str">
        <f>IF(N5829=M5829,"OK","DIF")</f>
        <v>DIF</v>
      </c>
      <c r="P5829" s="573"/>
      <c r="Q5829" s="556"/>
      <c r="R5829" s="582"/>
    </row>
    <row r="5830" ht="23.85" customHeight="1" spans="1:18">
      <c r="A5830" s="556" t="str">
        <f>B5830</f>
        <v> 14.2.1.29 </v>
      </c>
      <c r="B5830" s="557" t="str">
        <f>B5829</f>
        <v> 14.2.1.29 </v>
      </c>
      <c r="C5830" s="79" t="s">
        <v>2921</v>
      </c>
      <c r="D5830" s="78" t="s">
        <v>3151</v>
      </c>
      <c r="E5830" s="79" t="s">
        <v>139</v>
      </c>
      <c r="F5830" s="79" t="s">
        <v>3152</v>
      </c>
      <c r="G5830" s="79" t="s">
        <v>2928</v>
      </c>
      <c r="H5830" s="79"/>
      <c r="I5830" s="80" t="s">
        <v>2897</v>
      </c>
      <c r="J5830" s="583">
        <v>0.4</v>
      </c>
      <c r="K5830" s="583">
        <v>0</v>
      </c>
      <c r="L5830" s="92">
        <v>36.82</v>
      </c>
      <c r="M5830" s="92">
        <v>14.72</v>
      </c>
      <c r="N5830" s="573">
        <v>92.49</v>
      </c>
      <c r="O5830" s="556" t="str">
        <f>IF(N5830=M5830,"OK","DIF")</f>
        <v>DIF</v>
      </c>
      <c r="P5830" s="573"/>
      <c r="Q5830" s="556"/>
      <c r="R5830" s="582"/>
    </row>
    <row r="5831" ht="23.85" customHeight="1" spans="1:18">
      <c r="A5831" s="556" t="str">
        <f>B5831</f>
        <v> 14.2.1.29 </v>
      </c>
      <c r="B5831" s="557" t="str">
        <f>B5830</f>
        <v> 14.2.1.29 </v>
      </c>
      <c r="C5831" s="79" t="s">
        <v>2921</v>
      </c>
      <c r="D5831" s="78" t="s">
        <v>3153</v>
      </c>
      <c r="E5831" s="79" t="s">
        <v>139</v>
      </c>
      <c r="F5831" s="79" t="s">
        <v>3154</v>
      </c>
      <c r="G5831" s="79" t="s">
        <v>2928</v>
      </c>
      <c r="H5831" s="79"/>
      <c r="I5831" s="80" t="s">
        <v>2897</v>
      </c>
      <c r="J5831" s="583">
        <v>0.2</v>
      </c>
      <c r="K5831" s="583">
        <v>0</v>
      </c>
      <c r="L5831" s="92">
        <v>30.6</v>
      </c>
      <c r="M5831" s="92">
        <v>6.12</v>
      </c>
      <c r="N5831" s="573">
        <v>11.18</v>
      </c>
      <c r="O5831" s="556" t="str">
        <f>IF(N5831=M5831,"OK","DIF")</f>
        <v>DIF</v>
      </c>
      <c r="P5831" s="573"/>
      <c r="Q5831" s="556"/>
      <c r="R5831" s="582"/>
    </row>
    <row r="5832" ht="23.85" customHeight="1" spans="1:18">
      <c r="A5832" s="556" t="str">
        <f>B5832</f>
        <v> 14.2.1.29 </v>
      </c>
      <c r="B5832" s="557" t="str">
        <f>B5831</f>
        <v> 14.2.1.29 </v>
      </c>
      <c r="C5832" s="100" t="s">
        <v>2893</v>
      </c>
      <c r="D5832" s="99" t="s">
        <v>4643</v>
      </c>
      <c r="E5832" s="100" t="s">
        <v>149</v>
      </c>
      <c r="F5832" s="100" t="s">
        <v>4644</v>
      </c>
      <c r="G5832" s="100" t="s">
        <v>2961</v>
      </c>
      <c r="H5832" s="100"/>
      <c r="I5832" s="101" t="s">
        <v>134</v>
      </c>
      <c r="J5832" s="580">
        <v>1</v>
      </c>
      <c r="K5832" s="580">
        <v>0</v>
      </c>
      <c r="L5832" s="102">
        <v>291.57</v>
      </c>
      <c r="M5832" s="102">
        <v>291.57</v>
      </c>
      <c r="N5832" s="573">
        <v>0.62</v>
      </c>
      <c r="O5832" s="556" t="str">
        <f>IF(N5832=M5832,"OK","DIF")</f>
        <v>DIF</v>
      </c>
      <c r="P5832" s="573"/>
      <c r="Q5832" s="556"/>
      <c r="R5832" s="582"/>
    </row>
    <row r="5833" ht="25.5" spans="1:18">
      <c r="A5833" s="556" t="str">
        <f>B5833</f>
        <v> 14.2.1.29 </v>
      </c>
      <c r="B5833" s="557" t="str">
        <f>B5832</f>
        <v> 14.2.1.29 </v>
      </c>
      <c r="C5833" s="108"/>
      <c r="D5833" s="108"/>
      <c r="E5833" s="108"/>
      <c r="F5833" s="108"/>
      <c r="G5833" s="108"/>
      <c r="H5833" s="108" t="s">
        <v>2898</v>
      </c>
      <c r="I5833" s="581">
        <v>14.81</v>
      </c>
      <c r="J5833" s="108" t="s">
        <v>2899</v>
      </c>
      <c r="K5833" s="581">
        <v>0</v>
      </c>
      <c r="L5833" s="108" t="s">
        <v>2900</v>
      </c>
      <c r="M5833" s="581">
        <v>14.81</v>
      </c>
      <c r="N5833" s="573">
        <v>8.52</v>
      </c>
      <c r="O5833" s="556" t="str">
        <f>IF(N5833=M5833,"OK","DIF")</f>
        <v>DIF</v>
      </c>
      <c r="P5833" s="573"/>
      <c r="Q5833" s="556"/>
      <c r="R5833" s="582"/>
    </row>
    <row r="5834" ht="26.25" spans="1:18">
      <c r="A5834" s="556"/>
      <c r="B5834" s="557"/>
      <c r="C5834" s="108"/>
      <c r="D5834" s="108"/>
      <c r="E5834" s="108"/>
      <c r="F5834" s="108"/>
      <c r="G5834" s="108"/>
      <c r="H5834" s="108" t="s">
        <v>2901</v>
      </c>
      <c r="I5834" s="581">
        <v>79.63</v>
      </c>
      <c r="J5834" s="114"/>
      <c r="K5834" s="114" t="s">
        <v>2902</v>
      </c>
      <c r="L5834" s="108"/>
      <c r="M5834" s="581">
        <v>392.04</v>
      </c>
      <c r="N5834" s="573"/>
      <c r="O5834" s="556"/>
      <c r="P5834" s="573"/>
      <c r="Q5834" s="556"/>
      <c r="R5834" s="582"/>
    </row>
    <row r="5835" ht="15" spans="1:18">
      <c r="A5835" s="556"/>
      <c r="B5835" s="557"/>
      <c r="C5835" s="571"/>
      <c r="D5835" s="571"/>
      <c r="E5835" s="571"/>
      <c r="F5835" s="571"/>
      <c r="G5835" s="571"/>
      <c r="H5835" s="571"/>
      <c r="I5835" s="571"/>
      <c r="J5835" s="571"/>
      <c r="K5835" s="571"/>
      <c r="L5835" s="571"/>
      <c r="M5835" s="571"/>
      <c r="N5835" s="573"/>
      <c r="O5835" s="556"/>
      <c r="P5835" s="573"/>
      <c r="Q5835" s="556"/>
      <c r="R5835" s="582"/>
    </row>
    <row r="5836" ht="15" customHeight="1" spans="1:18">
      <c r="A5836" s="556"/>
      <c r="B5836" s="557">
        <f>C5835</f>
        <v>0</v>
      </c>
      <c r="C5836" s="76" t="s">
        <v>1956</v>
      </c>
      <c r="D5836" s="75" t="s">
        <v>63</v>
      </c>
      <c r="E5836" s="76" t="s">
        <v>64</v>
      </c>
      <c r="F5836" s="76" t="s">
        <v>65</v>
      </c>
      <c r="G5836" s="76" t="s">
        <v>2889</v>
      </c>
      <c r="H5836" s="76"/>
      <c r="I5836" s="77" t="s">
        <v>66</v>
      </c>
      <c r="J5836" s="75" t="s">
        <v>67</v>
      </c>
      <c r="K5836" s="75" t="s">
        <v>2890</v>
      </c>
      <c r="L5836" s="75" t="s">
        <v>68</v>
      </c>
      <c r="M5836" s="75" t="s">
        <v>70</v>
      </c>
      <c r="N5836" s="573">
        <v>237.96</v>
      </c>
      <c r="O5836" s="556" t="str">
        <f>IF(N5836=M5836,"OK","DIF")</f>
        <v>DIF</v>
      </c>
      <c r="P5836" s="573"/>
      <c r="Q5836" s="556"/>
      <c r="R5836" s="582"/>
    </row>
    <row r="5837" ht="35.05" customHeight="1" spans="1:18">
      <c r="A5837" s="556">
        <f>B5837</f>
        <v>0</v>
      </c>
      <c r="B5837" s="557">
        <f>B5836</f>
        <v>0</v>
      </c>
      <c r="C5837" s="569" t="s">
        <v>2891</v>
      </c>
      <c r="D5837" s="570" t="s">
        <v>1957</v>
      </c>
      <c r="E5837" s="569" t="s">
        <v>132</v>
      </c>
      <c r="F5837" s="569" t="s">
        <v>1958</v>
      </c>
      <c r="G5837" s="569" t="s">
        <v>4227</v>
      </c>
      <c r="H5837" s="569"/>
      <c r="I5837" s="577" t="s">
        <v>134</v>
      </c>
      <c r="J5837" s="578">
        <v>1</v>
      </c>
      <c r="K5837" s="579"/>
      <c r="L5837" s="579">
        <v>437.2</v>
      </c>
      <c r="M5837" s="579">
        <v>437.2</v>
      </c>
      <c r="N5837" s="573">
        <v>212.46</v>
      </c>
      <c r="O5837" s="556" t="str">
        <f>IF(N5837=M5837,"OK","DIF")</f>
        <v>DIF</v>
      </c>
      <c r="P5837" s="573"/>
      <c r="Q5837" s="556"/>
      <c r="R5837" s="582"/>
    </row>
    <row r="5838" ht="23.85" customHeight="1" spans="1:18">
      <c r="A5838" s="556">
        <f>B5838</f>
        <v>0</v>
      </c>
      <c r="B5838" s="557">
        <f>B5837</f>
        <v>0</v>
      </c>
      <c r="C5838" s="79" t="s">
        <v>2921</v>
      </c>
      <c r="D5838" s="78" t="s">
        <v>3153</v>
      </c>
      <c r="E5838" s="79" t="s">
        <v>139</v>
      </c>
      <c r="F5838" s="79" t="s">
        <v>3154</v>
      </c>
      <c r="G5838" s="79" t="s">
        <v>2928</v>
      </c>
      <c r="H5838" s="79"/>
      <c r="I5838" s="80" t="s">
        <v>2897</v>
      </c>
      <c r="J5838" s="583">
        <v>0.0748</v>
      </c>
      <c r="K5838" s="583">
        <v>0</v>
      </c>
      <c r="L5838" s="92">
        <v>30.6</v>
      </c>
      <c r="M5838" s="92">
        <v>2.28</v>
      </c>
      <c r="N5838" s="573">
        <v>10.61</v>
      </c>
      <c r="O5838" s="556" t="str">
        <f>IF(N5838=M5838,"OK","DIF")</f>
        <v>DIF</v>
      </c>
      <c r="P5838" s="573"/>
      <c r="Q5838" s="556"/>
      <c r="R5838" s="582"/>
    </row>
    <row r="5839" ht="23.85" customHeight="1" spans="1:18">
      <c r="A5839" s="556">
        <f>B5839</f>
        <v>0</v>
      </c>
      <c r="B5839" s="557">
        <f>B5838</f>
        <v>0</v>
      </c>
      <c r="C5839" s="79" t="s">
        <v>2921</v>
      </c>
      <c r="D5839" s="78" t="s">
        <v>3151</v>
      </c>
      <c r="E5839" s="79" t="s">
        <v>139</v>
      </c>
      <c r="F5839" s="79" t="s">
        <v>3152</v>
      </c>
      <c r="G5839" s="79" t="s">
        <v>2928</v>
      </c>
      <c r="H5839" s="79"/>
      <c r="I5839" s="80" t="s">
        <v>2897</v>
      </c>
      <c r="J5839" s="583">
        <v>0.1795</v>
      </c>
      <c r="K5839" s="583">
        <v>0</v>
      </c>
      <c r="L5839" s="92">
        <v>36.82</v>
      </c>
      <c r="M5839" s="92">
        <v>6.6</v>
      </c>
      <c r="N5839" s="573">
        <v>0.97</v>
      </c>
      <c r="O5839" s="556" t="str">
        <f>IF(N5839=M5839,"OK","DIF")</f>
        <v>DIF</v>
      </c>
      <c r="P5839" s="573"/>
      <c r="Q5839" s="556"/>
      <c r="R5839" s="582"/>
    </row>
    <row r="5840" ht="35.05" customHeight="1" spans="1:18">
      <c r="A5840" s="556">
        <f>B5840</f>
        <v>0</v>
      </c>
      <c r="B5840" s="557">
        <f>B5839</f>
        <v>0</v>
      </c>
      <c r="C5840" s="100" t="s">
        <v>2893</v>
      </c>
      <c r="D5840" s="99" t="s">
        <v>4645</v>
      </c>
      <c r="E5840" s="100" t="s">
        <v>132</v>
      </c>
      <c r="F5840" s="100" t="s">
        <v>1958</v>
      </c>
      <c r="G5840" s="100" t="s">
        <v>2961</v>
      </c>
      <c r="H5840" s="100"/>
      <c r="I5840" s="101" t="s">
        <v>134</v>
      </c>
      <c r="J5840" s="580">
        <v>1</v>
      </c>
      <c r="K5840" s="580">
        <v>0</v>
      </c>
      <c r="L5840" s="102">
        <v>428.32</v>
      </c>
      <c r="M5840" s="102">
        <v>428.32</v>
      </c>
      <c r="N5840" s="573">
        <v>13.92</v>
      </c>
      <c r="O5840" s="556" t="str">
        <f>IF(N5840=M5840,"OK","DIF")</f>
        <v>DIF</v>
      </c>
      <c r="P5840" s="573"/>
      <c r="Q5840" s="556"/>
      <c r="R5840" s="582"/>
    </row>
    <row r="5841" ht="25.5" spans="1:18">
      <c r="A5841" s="556"/>
      <c r="B5841" s="557"/>
      <c r="C5841" s="108"/>
      <c r="D5841" s="108"/>
      <c r="E5841" s="108"/>
      <c r="F5841" s="108"/>
      <c r="G5841" s="108"/>
      <c r="H5841" s="108" t="s">
        <v>2898</v>
      </c>
      <c r="I5841" s="581">
        <v>6.33</v>
      </c>
      <c r="J5841" s="108" t="s">
        <v>2899</v>
      </c>
      <c r="K5841" s="581">
        <v>0</v>
      </c>
      <c r="L5841" s="108" t="s">
        <v>2900</v>
      </c>
      <c r="M5841" s="581">
        <v>6.33</v>
      </c>
      <c r="N5841" s="573"/>
      <c r="O5841" s="556"/>
      <c r="P5841" s="573"/>
      <c r="Q5841" s="556"/>
      <c r="R5841" s="582"/>
    </row>
    <row r="5842" ht="26.25" spans="1:18">
      <c r="A5842" s="556"/>
      <c r="B5842" s="557"/>
      <c r="C5842" s="108"/>
      <c r="D5842" s="108"/>
      <c r="E5842" s="108"/>
      <c r="F5842" s="108"/>
      <c r="G5842" s="108"/>
      <c r="H5842" s="108" t="s">
        <v>2901</v>
      </c>
      <c r="I5842" s="581">
        <v>111.44</v>
      </c>
      <c r="J5842" s="114"/>
      <c r="K5842" s="114" t="s">
        <v>2902</v>
      </c>
      <c r="L5842" s="108"/>
      <c r="M5842" s="581">
        <v>548.64</v>
      </c>
      <c r="N5842" s="573"/>
      <c r="O5842" s="556"/>
      <c r="P5842" s="573"/>
      <c r="Q5842" s="556"/>
      <c r="R5842" s="582"/>
    </row>
    <row r="5843" ht="15" spans="1:18">
      <c r="A5843" s="556"/>
      <c r="B5843" s="557">
        <f>C5842</f>
        <v>0</v>
      </c>
      <c r="C5843" s="571"/>
      <c r="D5843" s="571"/>
      <c r="E5843" s="571"/>
      <c r="F5843" s="571"/>
      <c r="G5843" s="571"/>
      <c r="H5843" s="571"/>
      <c r="I5843" s="571"/>
      <c r="J5843" s="571"/>
      <c r="K5843" s="571"/>
      <c r="L5843" s="571"/>
      <c r="M5843" s="571"/>
      <c r="N5843" s="573">
        <v>41</v>
      </c>
      <c r="O5843" s="556" t="str">
        <f>IF(N5843=M5843,"OK","DIF")</f>
        <v>DIF</v>
      </c>
      <c r="P5843" s="573"/>
      <c r="Q5843" s="556"/>
      <c r="R5843" s="582"/>
    </row>
    <row r="5844" ht="15" customHeight="1" spans="1:18">
      <c r="A5844" s="556">
        <f>B5844</f>
        <v>0</v>
      </c>
      <c r="B5844" s="557">
        <f>B5843</f>
        <v>0</v>
      </c>
      <c r="C5844" s="76" t="s">
        <v>1959</v>
      </c>
      <c r="D5844" s="75" t="s">
        <v>63</v>
      </c>
      <c r="E5844" s="76" t="s">
        <v>64</v>
      </c>
      <c r="F5844" s="76" t="s">
        <v>65</v>
      </c>
      <c r="G5844" s="76" t="s">
        <v>2889</v>
      </c>
      <c r="H5844" s="76"/>
      <c r="I5844" s="77" t="s">
        <v>66</v>
      </c>
      <c r="J5844" s="75" t="s">
        <v>67</v>
      </c>
      <c r="K5844" s="75" t="s">
        <v>2890</v>
      </c>
      <c r="L5844" s="75" t="s">
        <v>68</v>
      </c>
      <c r="M5844" s="75" t="s">
        <v>70</v>
      </c>
      <c r="N5844" s="573">
        <v>11.41</v>
      </c>
      <c r="O5844" s="556" t="str">
        <f>IF(N5844=M5844,"OK","DIF")</f>
        <v>DIF</v>
      </c>
      <c r="P5844" s="573"/>
      <c r="Q5844" s="556"/>
      <c r="R5844" s="582"/>
    </row>
    <row r="5845" ht="46.25" customHeight="1" spans="1:18">
      <c r="A5845" s="556">
        <f>B5845</f>
        <v>0</v>
      </c>
      <c r="B5845" s="557">
        <f>B5844</f>
        <v>0</v>
      </c>
      <c r="C5845" s="569" t="s">
        <v>2891</v>
      </c>
      <c r="D5845" s="570" t="s">
        <v>1960</v>
      </c>
      <c r="E5845" s="569" t="s">
        <v>132</v>
      </c>
      <c r="F5845" s="569" t="s">
        <v>1961</v>
      </c>
      <c r="G5845" s="569" t="s">
        <v>4227</v>
      </c>
      <c r="H5845" s="569"/>
      <c r="I5845" s="577" t="s">
        <v>134</v>
      </c>
      <c r="J5845" s="578">
        <v>1</v>
      </c>
      <c r="K5845" s="579"/>
      <c r="L5845" s="579">
        <v>833.88</v>
      </c>
      <c r="M5845" s="579">
        <v>833.88</v>
      </c>
      <c r="N5845" s="573">
        <v>14.25</v>
      </c>
      <c r="O5845" s="556" t="str">
        <f>IF(N5845=M5845,"OK","DIF")</f>
        <v>DIF</v>
      </c>
      <c r="P5845" s="573"/>
      <c r="Q5845" s="556"/>
      <c r="R5845" s="582"/>
    </row>
    <row r="5846" ht="23.85" customHeight="1" spans="1:18">
      <c r="A5846" s="556">
        <f>B5846</f>
        <v>0</v>
      </c>
      <c r="B5846" s="557">
        <f>B5845</f>
        <v>0</v>
      </c>
      <c r="C5846" s="79" t="s">
        <v>2921</v>
      </c>
      <c r="D5846" s="78" t="s">
        <v>3153</v>
      </c>
      <c r="E5846" s="79" t="s">
        <v>139</v>
      </c>
      <c r="F5846" s="79" t="s">
        <v>3154</v>
      </c>
      <c r="G5846" s="79" t="s">
        <v>2928</v>
      </c>
      <c r="H5846" s="79"/>
      <c r="I5846" s="80" t="s">
        <v>2897</v>
      </c>
      <c r="J5846" s="583">
        <v>0.0748</v>
      </c>
      <c r="K5846" s="583">
        <v>0</v>
      </c>
      <c r="L5846" s="92">
        <v>30.6</v>
      </c>
      <c r="M5846" s="92">
        <v>2.28</v>
      </c>
      <c r="N5846" s="573">
        <v>0.26</v>
      </c>
      <c r="O5846" s="556" t="str">
        <f>IF(N5846=M5846,"OK","DIF")</f>
        <v>DIF</v>
      </c>
      <c r="P5846" s="573"/>
      <c r="Q5846" s="556"/>
      <c r="R5846" s="582"/>
    </row>
    <row r="5847" ht="23.85" customHeight="1" spans="1:18">
      <c r="A5847" s="556">
        <f>B5847</f>
        <v>0</v>
      </c>
      <c r="B5847" s="557">
        <f>B5846</f>
        <v>0</v>
      </c>
      <c r="C5847" s="79" t="s">
        <v>2921</v>
      </c>
      <c r="D5847" s="78" t="s">
        <v>3151</v>
      </c>
      <c r="E5847" s="79" t="s">
        <v>139</v>
      </c>
      <c r="F5847" s="79" t="s">
        <v>3152</v>
      </c>
      <c r="G5847" s="79" t="s">
        <v>2928</v>
      </c>
      <c r="H5847" s="79"/>
      <c r="I5847" s="80" t="s">
        <v>2897</v>
      </c>
      <c r="J5847" s="583">
        <v>0.1795</v>
      </c>
      <c r="K5847" s="583">
        <v>0</v>
      </c>
      <c r="L5847" s="92">
        <v>36.82</v>
      </c>
      <c r="M5847" s="92">
        <v>6.6</v>
      </c>
      <c r="N5847" s="573">
        <v>15.08</v>
      </c>
      <c r="O5847" s="556" t="str">
        <f>IF(N5847=M5847,"OK","DIF")</f>
        <v>DIF</v>
      </c>
      <c r="P5847" s="573"/>
      <c r="Q5847" s="556"/>
      <c r="R5847" s="582"/>
    </row>
    <row r="5848" ht="46.25" customHeight="1" spans="1:18">
      <c r="A5848" s="556"/>
      <c r="B5848" s="557"/>
      <c r="C5848" s="100" t="s">
        <v>2893</v>
      </c>
      <c r="D5848" s="99" t="s">
        <v>4646</v>
      </c>
      <c r="E5848" s="100" t="s">
        <v>132</v>
      </c>
      <c r="F5848" s="100" t="s">
        <v>1961</v>
      </c>
      <c r="G5848" s="100" t="s">
        <v>2961</v>
      </c>
      <c r="H5848" s="100"/>
      <c r="I5848" s="101" t="s">
        <v>134</v>
      </c>
      <c r="J5848" s="580">
        <v>1</v>
      </c>
      <c r="K5848" s="580">
        <v>0</v>
      </c>
      <c r="L5848" s="102">
        <v>825</v>
      </c>
      <c r="M5848" s="102">
        <v>825</v>
      </c>
      <c r="N5848" s="573"/>
      <c r="O5848" s="556"/>
      <c r="P5848" s="573"/>
      <c r="Q5848" s="556"/>
      <c r="R5848" s="582"/>
    </row>
    <row r="5849" ht="25.5" spans="1:18">
      <c r="A5849" s="556"/>
      <c r="B5849" s="557"/>
      <c r="C5849" s="108"/>
      <c r="D5849" s="108"/>
      <c r="E5849" s="108"/>
      <c r="F5849" s="108"/>
      <c r="G5849" s="108"/>
      <c r="H5849" s="108" t="s">
        <v>2898</v>
      </c>
      <c r="I5849" s="581">
        <v>6.33</v>
      </c>
      <c r="J5849" s="108" t="s">
        <v>2899</v>
      </c>
      <c r="K5849" s="581">
        <v>0</v>
      </c>
      <c r="L5849" s="108" t="s">
        <v>2900</v>
      </c>
      <c r="M5849" s="581">
        <v>6.33</v>
      </c>
      <c r="N5849" s="573"/>
      <c r="O5849" s="556"/>
      <c r="P5849" s="573"/>
      <c r="Q5849" s="556"/>
      <c r="R5849" s="582"/>
    </row>
    <row r="5850" ht="26.25" spans="1:18">
      <c r="A5850" s="556"/>
      <c r="B5850" s="557">
        <f>C5849</f>
        <v>0</v>
      </c>
      <c r="C5850" s="108"/>
      <c r="D5850" s="108"/>
      <c r="E5850" s="108"/>
      <c r="F5850" s="108"/>
      <c r="G5850" s="108"/>
      <c r="H5850" s="108" t="s">
        <v>2901</v>
      </c>
      <c r="I5850" s="581">
        <v>212.55</v>
      </c>
      <c r="J5850" s="114"/>
      <c r="K5850" s="114" t="s">
        <v>2902</v>
      </c>
      <c r="L5850" s="108"/>
      <c r="M5850" s="581">
        <v>1046.43</v>
      </c>
      <c r="N5850" s="573">
        <v>54.89</v>
      </c>
      <c r="O5850" s="556" t="str">
        <f>IF(N5850=M5850,"OK","DIF")</f>
        <v>DIF</v>
      </c>
      <c r="P5850" s="573"/>
      <c r="Q5850" s="556"/>
      <c r="R5850" s="582"/>
    </row>
    <row r="5851" ht="15" spans="1:18">
      <c r="A5851" s="556">
        <f>B5851</f>
        <v>0</v>
      </c>
      <c r="B5851" s="557">
        <f>B5850</f>
        <v>0</v>
      </c>
      <c r="C5851" s="571"/>
      <c r="D5851" s="571"/>
      <c r="E5851" s="571"/>
      <c r="F5851" s="571"/>
      <c r="G5851" s="571"/>
      <c r="H5851" s="571"/>
      <c r="I5851" s="571"/>
      <c r="J5851" s="571"/>
      <c r="K5851" s="571"/>
      <c r="L5851" s="571"/>
      <c r="M5851" s="571"/>
      <c r="N5851" s="573">
        <v>17.81</v>
      </c>
      <c r="O5851" s="556" t="str">
        <f>IF(N5851=M5851,"OK","DIF")</f>
        <v>DIF</v>
      </c>
      <c r="P5851" s="573"/>
      <c r="Q5851" s="556"/>
      <c r="R5851" s="582"/>
    </row>
    <row r="5852" ht="15" customHeight="1" spans="1:18">
      <c r="A5852" s="556">
        <f>B5852</f>
        <v>0</v>
      </c>
      <c r="B5852" s="557">
        <f>B5851</f>
        <v>0</v>
      </c>
      <c r="C5852" s="76" t="s">
        <v>1962</v>
      </c>
      <c r="D5852" s="75" t="s">
        <v>63</v>
      </c>
      <c r="E5852" s="76" t="s">
        <v>64</v>
      </c>
      <c r="F5852" s="76" t="s">
        <v>65</v>
      </c>
      <c r="G5852" s="76" t="s">
        <v>2889</v>
      </c>
      <c r="H5852" s="76"/>
      <c r="I5852" s="77" t="s">
        <v>66</v>
      </c>
      <c r="J5852" s="75" t="s">
        <v>67</v>
      </c>
      <c r="K5852" s="75" t="s">
        <v>2890</v>
      </c>
      <c r="L5852" s="75" t="s">
        <v>68</v>
      </c>
      <c r="M5852" s="75" t="s">
        <v>70</v>
      </c>
      <c r="N5852" s="573">
        <v>14.27</v>
      </c>
      <c r="O5852" s="556" t="str">
        <f>IF(N5852=M5852,"OK","DIF")</f>
        <v>DIF</v>
      </c>
      <c r="P5852" s="573"/>
      <c r="Q5852" s="556"/>
      <c r="R5852" s="582"/>
    </row>
    <row r="5853" ht="35.05" customHeight="1" spans="1:18">
      <c r="A5853" s="556">
        <f>B5853</f>
        <v>0</v>
      </c>
      <c r="B5853" s="557">
        <f>B5852</f>
        <v>0</v>
      </c>
      <c r="C5853" s="569" t="s">
        <v>2891</v>
      </c>
      <c r="D5853" s="570" t="s">
        <v>1963</v>
      </c>
      <c r="E5853" s="569" t="s">
        <v>132</v>
      </c>
      <c r="F5853" s="569" t="s">
        <v>1964</v>
      </c>
      <c r="G5853" s="569" t="s">
        <v>4227</v>
      </c>
      <c r="H5853" s="569"/>
      <c r="I5853" s="577" t="s">
        <v>134</v>
      </c>
      <c r="J5853" s="578">
        <v>1</v>
      </c>
      <c r="K5853" s="579"/>
      <c r="L5853" s="579">
        <v>315.89</v>
      </c>
      <c r="M5853" s="579">
        <v>315.89</v>
      </c>
      <c r="N5853" s="573">
        <v>0.37</v>
      </c>
      <c r="O5853" s="556" t="str">
        <f>IF(N5853=M5853,"OK","DIF")</f>
        <v>DIF</v>
      </c>
      <c r="P5853" s="573"/>
      <c r="Q5853" s="556"/>
      <c r="R5853" s="582"/>
    </row>
    <row r="5854" ht="23.85" customHeight="1" spans="1:18">
      <c r="A5854" s="556">
        <f>B5854</f>
        <v>0</v>
      </c>
      <c r="B5854" s="557">
        <f>B5853</f>
        <v>0</v>
      </c>
      <c r="C5854" s="79" t="s">
        <v>2921</v>
      </c>
      <c r="D5854" s="78" t="s">
        <v>3487</v>
      </c>
      <c r="E5854" s="79" t="s">
        <v>139</v>
      </c>
      <c r="F5854" s="79" t="s">
        <v>3488</v>
      </c>
      <c r="G5854" s="79" t="s">
        <v>2928</v>
      </c>
      <c r="H5854" s="79"/>
      <c r="I5854" s="80" t="s">
        <v>2897</v>
      </c>
      <c r="J5854" s="583">
        <v>3</v>
      </c>
      <c r="K5854" s="583">
        <v>0</v>
      </c>
      <c r="L5854" s="92">
        <v>30.31</v>
      </c>
      <c r="M5854" s="92">
        <v>90.93</v>
      </c>
      <c r="N5854" s="573">
        <v>22.44</v>
      </c>
      <c r="O5854" s="556" t="str">
        <f>IF(N5854=M5854,"OK","DIF")</f>
        <v>DIF</v>
      </c>
      <c r="P5854" s="573"/>
      <c r="Q5854" s="556"/>
      <c r="R5854" s="582"/>
    </row>
    <row r="5855" ht="23.85" customHeight="1" spans="1:18">
      <c r="A5855" s="556"/>
      <c r="B5855" s="557"/>
      <c r="C5855" s="79" t="s">
        <v>2921</v>
      </c>
      <c r="D5855" s="78" t="s">
        <v>3144</v>
      </c>
      <c r="E5855" s="79" t="s">
        <v>139</v>
      </c>
      <c r="F5855" s="79" t="s">
        <v>3145</v>
      </c>
      <c r="G5855" s="79" t="s">
        <v>2928</v>
      </c>
      <c r="H5855" s="79"/>
      <c r="I5855" s="80" t="s">
        <v>2897</v>
      </c>
      <c r="J5855" s="583">
        <v>3</v>
      </c>
      <c r="K5855" s="583">
        <v>0</v>
      </c>
      <c r="L5855" s="92">
        <v>35.55</v>
      </c>
      <c r="M5855" s="92">
        <v>106.65</v>
      </c>
      <c r="N5855" s="573"/>
      <c r="O5855" s="556"/>
      <c r="P5855" s="573"/>
      <c r="Q5855" s="556"/>
      <c r="R5855" s="582"/>
    </row>
    <row r="5856" ht="23.85" customHeight="1" spans="1:18">
      <c r="A5856" s="556"/>
      <c r="B5856" s="557"/>
      <c r="C5856" s="100" t="s">
        <v>2893</v>
      </c>
      <c r="D5856" s="99" t="s">
        <v>4647</v>
      </c>
      <c r="E5856" s="100" t="s">
        <v>77</v>
      </c>
      <c r="F5856" s="100" t="s">
        <v>4648</v>
      </c>
      <c r="G5856" s="100" t="s">
        <v>2961</v>
      </c>
      <c r="H5856" s="100"/>
      <c r="I5856" s="101" t="s">
        <v>134</v>
      </c>
      <c r="J5856" s="580">
        <v>1</v>
      </c>
      <c r="K5856" s="580">
        <v>0</v>
      </c>
      <c r="L5856" s="102">
        <v>9</v>
      </c>
      <c r="M5856" s="102">
        <v>9</v>
      </c>
      <c r="N5856" s="573"/>
      <c r="O5856" s="556"/>
      <c r="P5856" s="573"/>
      <c r="Q5856" s="556"/>
      <c r="R5856" s="582"/>
    </row>
    <row r="5857" ht="15" customHeight="1" spans="1:18">
      <c r="A5857" s="556"/>
      <c r="B5857" s="557" t="str">
        <f>C5856</f>
        <v>Insumo</v>
      </c>
      <c r="C5857" s="100" t="s">
        <v>2893</v>
      </c>
      <c r="D5857" s="99" t="s">
        <v>4649</v>
      </c>
      <c r="E5857" s="100" t="s">
        <v>149</v>
      </c>
      <c r="F5857" s="100" t="s">
        <v>4650</v>
      </c>
      <c r="G5857" s="100" t="s">
        <v>2961</v>
      </c>
      <c r="H5857" s="100"/>
      <c r="I5857" s="101" t="s">
        <v>134</v>
      </c>
      <c r="J5857" s="580">
        <v>8</v>
      </c>
      <c r="K5857" s="580">
        <v>0</v>
      </c>
      <c r="L5857" s="102">
        <v>13.55</v>
      </c>
      <c r="M5857" s="102">
        <v>108.4</v>
      </c>
      <c r="N5857" s="573">
        <v>57.91</v>
      </c>
      <c r="O5857" s="556" t="str">
        <f>IF(N5857=M5857,"OK","DIF")</f>
        <v>DIF</v>
      </c>
      <c r="P5857" s="573"/>
      <c r="Q5857" s="556"/>
      <c r="R5857" s="582"/>
    </row>
    <row r="5858" ht="15" customHeight="1" spans="1:18">
      <c r="A5858" s="556" t="str">
        <f>B5858</f>
        <v>Insumo</v>
      </c>
      <c r="B5858" s="557" t="str">
        <f>B5857</f>
        <v>Insumo</v>
      </c>
      <c r="C5858" s="100" t="s">
        <v>2893</v>
      </c>
      <c r="D5858" s="99" t="s">
        <v>3662</v>
      </c>
      <c r="E5858" s="100" t="s">
        <v>149</v>
      </c>
      <c r="F5858" s="100" t="s">
        <v>3663</v>
      </c>
      <c r="G5858" s="100" t="s">
        <v>2961</v>
      </c>
      <c r="H5858" s="100"/>
      <c r="I5858" s="101" t="s">
        <v>204</v>
      </c>
      <c r="J5858" s="580">
        <v>2.6</v>
      </c>
      <c r="K5858" s="580">
        <v>0</v>
      </c>
      <c r="L5858" s="102">
        <v>0.35</v>
      </c>
      <c r="M5858" s="102">
        <v>0.91</v>
      </c>
      <c r="N5858" s="573">
        <v>19.43</v>
      </c>
      <c r="O5858" s="556" t="str">
        <f>IF(N5858=M5858,"OK","DIF")</f>
        <v>DIF</v>
      </c>
      <c r="P5858" s="573"/>
      <c r="Q5858" s="556"/>
      <c r="R5858" s="582"/>
    </row>
    <row r="5859" ht="25.5" spans="1:18">
      <c r="A5859" s="556" t="str">
        <f>B5859</f>
        <v>Insumo</v>
      </c>
      <c r="B5859" s="557" t="str">
        <f>B5858</f>
        <v>Insumo</v>
      </c>
      <c r="C5859" s="108"/>
      <c r="D5859" s="108"/>
      <c r="E5859" s="108"/>
      <c r="F5859" s="108"/>
      <c r="G5859" s="108"/>
      <c r="H5859" s="108" t="s">
        <v>2898</v>
      </c>
      <c r="I5859" s="581">
        <v>139.68</v>
      </c>
      <c r="J5859" s="108" t="s">
        <v>2899</v>
      </c>
      <c r="K5859" s="581">
        <v>0</v>
      </c>
      <c r="L5859" s="108" t="s">
        <v>2900</v>
      </c>
      <c r="M5859" s="581">
        <v>139.68</v>
      </c>
      <c r="N5859" s="573">
        <v>15.57</v>
      </c>
      <c r="O5859" s="556" t="str">
        <f>IF(N5859=M5859,"OK","DIF")</f>
        <v>DIF</v>
      </c>
      <c r="P5859" s="573"/>
      <c r="Q5859" s="556"/>
      <c r="R5859" s="582"/>
    </row>
    <row r="5860" ht="26.25" spans="1:18">
      <c r="A5860" s="556" t="str">
        <f>B5860</f>
        <v>Insumo</v>
      </c>
      <c r="B5860" s="557" t="str">
        <f>B5859</f>
        <v>Insumo</v>
      </c>
      <c r="C5860" s="108"/>
      <c r="D5860" s="108"/>
      <c r="E5860" s="108"/>
      <c r="F5860" s="108"/>
      <c r="G5860" s="108"/>
      <c r="H5860" s="108" t="s">
        <v>2901</v>
      </c>
      <c r="I5860" s="581">
        <v>80.52</v>
      </c>
      <c r="J5860" s="114"/>
      <c r="K5860" s="114" t="s">
        <v>2902</v>
      </c>
      <c r="L5860" s="108"/>
      <c r="M5860" s="581">
        <v>396.41</v>
      </c>
      <c r="N5860" s="573">
        <v>0.46</v>
      </c>
      <c r="O5860" s="556" t="str">
        <f>IF(N5860=M5860,"OK","DIF")</f>
        <v>DIF</v>
      </c>
      <c r="P5860" s="573"/>
      <c r="Q5860" s="556"/>
      <c r="R5860" s="582"/>
    </row>
    <row r="5861" ht="15" spans="1:18">
      <c r="A5861" s="556" t="str">
        <f>B5861</f>
        <v>Insumo</v>
      </c>
      <c r="B5861" s="557" t="str">
        <f>B5860</f>
        <v>Insumo</v>
      </c>
      <c r="C5861" s="571"/>
      <c r="D5861" s="571"/>
      <c r="E5861" s="571"/>
      <c r="F5861" s="571"/>
      <c r="G5861" s="571"/>
      <c r="H5861" s="571"/>
      <c r="I5861" s="571"/>
      <c r="J5861" s="571"/>
      <c r="K5861" s="571"/>
      <c r="L5861" s="571"/>
      <c r="M5861" s="571"/>
      <c r="N5861" s="573">
        <v>22.45</v>
      </c>
      <c r="O5861" s="556" t="str">
        <f>IF(N5861=M5861,"OK","DIF")</f>
        <v>DIF</v>
      </c>
      <c r="P5861" s="573"/>
      <c r="Q5861" s="556"/>
      <c r="R5861" s="582"/>
    </row>
    <row r="5862" ht="15" customHeight="1" spans="1:18">
      <c r="A5862" s="556"/>
      <c r="B5862" s="557"/>
      <c r="C5862" s="76" t="s">
        <v>1965</v>
      </c>
      <c r="D5862" s="75" t="s">
        <v>63</v>
      </c>
      <c r="E5862" s="76" t="s">
        <v>64</v>
      </c>
      <c r="F5862" s="76" t="s">
        <v>65</v>
      </c>
      <c r="G5862" s="76" t="s">
        <v>2889</v>
      </c>
      <c r="H5862" s="76"/>
      <c r="I5862" s="77" t="s">
        <v>66</v>
      </c>
      <c r="J5862" s="75" t="s">
        <v>67</v>
      </c>
      <c r="K5862" s="75" t="s">
        <v>2890</v>
      </c>
      <c r="L5862" s="75" t="s">
        <v>68</v>
      </c>
      <c r="M5862" s="75" t="s">
        <v>70</v>
      </c>
      <c r="N5862" s="573"/>
      <c r="O5862" s="556"/>
      <c r="P5862" s="573"/>
      <c r="Q5862" s="556"/>
      <c r="R5862" s="582"/>
    </row>
    <row r="5863" ht="35.05" customHeight="1" spans="1:18">
      <c r="A5863" s="556"/>
      <c r="B5863" s="557"/>
      <c r="C5863" s="569" t="s">
        <v>2891</v>
      </c>
      <c r="D5863" s="570" t="s">
        <v>1966</v>
      </c>
      <c r="E5863" s="569" t="s">
        <v>132</v>
      </c>
      <c r="F5863" s="569" t="s">
        <v>1967</v>
      </c>
      <c r="G5863" s="569" t="s">
        <v>4227</v>
      </c>
      <c r="H5863" s="569"/>
      <c r="I5863" s="577" t="s">
        <v>134</v>
      </c>
      <c r="J5863" s="578">
        <v>1</v>
      </c>
      <c r="K5863" s="579"/>
      <c r="L5863" s="579">
        <v>3927.28</v>
      </c>
      <c r="M5863" s="579">
        <v>3927.28</v>
      </c>
      <c r="N5863" s="573"/>
      <c r="O5863" s="556"/>
      <c r="P5863" s="573"/>
      <c r="Q5863" s="556"/>
      <c r="R5863" s="582"/>
    </row>
    <row r="5864" ht="23.85" customHeight="1" spans="1:18">
      <c r="A5864" s="556"/>
      <c r="B5864" s="557" t="str">
        <f>C5863</f>
        <v>Composição</v>
      </c>
      <c r="C5864" s="79" t="s">
        <v>2921</v>
      </c>
      <c r="D5864" s="78" t="s">
        <v>3144</v>
      </c>
      <c r="E5864" s="79" t="s">
        <v>139</v>
      </c>
      <c r="F5864" s="79" t="s">
        <v>3145</v>
      </c>
      <c r="G5864" s="79" t="s">
        <v>2928</v>
      </c>
      <c r="H5864" s="79"/>
      <c r="I5864" s="80" t="s">
        <v>2897</v>
      </c>
      <c r="J5864" s="583">
        <v>10</v>
      </c>
      <c r="K5864" s="583">
        <v>0</v>
      </c>
      <c r="L5864" s="92">
        <v>35.55</v>
      </c>
      <c r="M5864" s="92">
        <v>355.5</v>
      </c>
      <c r="N5864" s="573">
        <v>72.2</v>
      </c>
      <c r="O5864" s="556" t="str">
        <f>IF(N5864=M5864,"OK","DIF")</f>
        <v>DIF</v>
      </c>
      <c r="P5864" s="573"/>
      <c r="Q5864" s="556"/>
      <c r="R5864" s="582"/>
    </row>
    <row r="5865" ht="23.85" customHeight="1" spans="1:18">
      <c r="A5865" s="556" t="str">
        <f>B5865</f>
        <v>Composição</v>
      </c>
      <c r="B5865" s="557" t="str">
        <f>B5864</f>
        <v>Composição</v>
      </c>
      <c r="C5865" s="79" t="s">
        <v>2921</v>
      </c>
      <c r="D5865" s="78" t="s">
        <v>3146</v>
      </c>
      <c r="E5865" s="79" t="s">
        <v>139</v>
      </c>
      <c r="F5865" s="79" t="s">
        <v>3147</v>
      </c>
      <c r="G5865" s="79" t="s">
        <v>2928</v>
      </c>
      <c r="H5865" s="79"/>
      <c r="I5865" s="80" t="s">
        <v>2897</v>
      </c>
      <c r="J5865" s="583">
        <v>10</v>
      </c>
      <c r="K5865" s="583">
        <v>0</v>
      </c>
      <c r="L5865" s="92">
        <v>29.54</v>
      </c>
      <c r="M5865" s="92">
        <v>295.4</v>
      </c>
      <c r="N5865" s="573">
        <v>24.61</v>
      </c>
      <c r="O5865" s="556" t="str">
        <f>IF(N5865=M5865,"OK","DIF")</f>
        <v>DIF</v>
      </c>
      <c r="P5865" s="573"/>
      <c r="Q5865" s="556"/>
      <c r="R5865" s="582"/>
    </row>
    <row r="5866" ht="23.85" customHeight="1" spans="1:18">
      <c r="A5866" s="556" t="str">
        <f>B5866</f>
        <v>Composição</v>
      </c>
      <c r="B5866" s="557" t="str">
        <f>B5865</f>
        <v>Composição</v>
      </c>
      <c r="C5866" s="79" t="s">
        <v>2921</v>
      </c>
      <c r="D5866" s="78" t="s">
        <v>4190</v>
      </c>
      <c r="E5866" s="79" t="s">
        <v>139</v>
      </c>
      <c r="F5866" s="79" t="s">
        <v>4191</v>
      </c>
      <c r="G5866" s="79" t="s">
        <v>2928</v>
      </c>
      <c r="H5866" s="79"/>
      <c r="I5866" s="80" t="s">
        <v>2897</v>
      </c>
      <c r="J5866" s="583">
        <v>2</v>
      </c>
      <c r="K5866" s="583">
        <v>0</v>
      </c>
      <c r="L5866" s="92">
        <v>40.65</v>
      </c>
      <c r="M5866" s="92">
        <v>81.3</v>
      </c>
      <c r="N5866" s="573">
        <v>19.72</v>
      </c>
      <c r="O5866" s="556" t="str">
        <f>IF(N5866=M5866,"OK","DIF")</f>
        <v>DIF</v>
      </c>
      <c r="P5866" s="573"/>
      <c r="Q5866" s="556"/>
      <c r="R5866" s="582"/>
    </row>
    <row r="5867" ht="15" customHeight="1" spans="1:18">
      <c r="A5867" s="556" t="str">
        <f>B5867</f>
        <v>Composição</v>
      </c>
      <c r="B5867" s="557" t="str">
        <f>B5866</f>
        <v>Composição</v>
      </c>
      <c r="C5867" s="100" t="s">
        <v>2893</v>
      </c>
      <c r="D5867" s="99" t="s">
        <v>4651</v>
      </c>
      <c r="E5867" s="100" t="s">
        <v>132</v>
      </c>
      <c r="F5867" s="100" t="s">
        <v>1967</v>
      </c>
      <c r="G5867" s="100" t="s">
        <v>3395</v>
      </c>
      <c r="H5867" s="100"/>
      <c r="I5867" s="101" t="s">
        <v>134</v>
      </c>
      <c r="J5867" s="580">
        <v>1</v>
      </c>
      <c r="K5867" s="580">
        <v>0</v>
      </c>
      <c r="L5867" s="102">
        <v>3195.08</v>
      </c>
      <c r="M5867" s="102">
        <v>3195.08</v>
      </c>
      <c r="N5867" s="573">
        <v>0.67</v>
      </c>
      <c r="O5867" s="556" t="str">
        <f>IF(N5867=M5867,"OK","DIF")</f>
        <v>DIF</v>
      </c>
      <c r="P5867" s="573"/>
      <c r="Q5867" s="556"/>
      <c r="R5867" s="582"/>
    </row>
    <row r="5868" ht="25.5" spans="1:18">
      <c r="A5868" s="556" t="str">
        <f>B5868</f>
        <v>Composição</v>
      </c>
      <c r="B5868" s="557" t="str">
        <f>B5867</f>
        <v>Composição</v>
      </c>
      <c r="C5868" s="108"/>
      <c r="D5868" s="108"/>
      <c r="E5868" s="108"/>
      <c r="F5868" s="108"/>
      <c r="G5868" s="108"/>
      <c r="H5868" s="108" t="s">
        <v>2898</v>
      </c>
      <c r="I5868" s="581">
        <v>524.7</v>
      </c>
      <c r="J5868" s="108" t="s">
        <v>2899</v>
      </c>
      <c r="K5868" s="581">
        <v>0</v>
      </c>
      <c r="L5868" s="108" t="s">
        <v>2900</v>
      </c>
      <c r="M5868" s="581">
        <v>524.7</v>
      </c>
      <c r="N5868" s="573">
        <v>27.2</v>
      </c>
      <c r="O5868" s="556" t="str">
        <f>IF(N5868=M5868,"OK","DIF")</f>
        <v>DIF</v>
      </c>
      <c r="P5868" s="573"/>
      <c r="Q5868" s="556"/>
      <c r="R5868" s="582"/>
    </row>
    <row r="5869" ht="26.25" spans="1:18">
      <c r="A5869" s="556"/>
      <c r="B5869" s="557"/>
      <c r="C5869" s="108"/>
      <c r="D5869" s="108"/>
      <c r="E5869" s="108"/>
      <c r="F5869" s="108"/>
      <c r="G5869" s="108"/>
      <c r="H5869" s="108" t="s">
        <v>2901</v>
      </c>
      <c r="I5869" s="581">
        <v>1001.06</v>
      </c>
      <c r="J5869" s="114"/>
      <c r="K5869" s="114" t="s">
        <v>2902</v>
      </c>
      <c r="L5869" s="108"/>
      <c r="M5869" s="581">
        <v>4928.34</v>
      </c>
      <c r="N5869" s="573"/>
      <c r="O5869" s="556"/>
      <c r="P5869" s="573"/>
      <c r="Q5869" s="556"/>
      <c r="R5869" s="582"/>
    </row>
    <row r="5870" ht="15" spans="1:18">
      <c r="A5870" s="556"/>
      <c r="B5870" s="557"/>
      <c r="C5870" s="571"/>
      <c r="D5870" s="571"/>
      <c r="E5870" s="571"/>
      <c r="F5870" s="571"/>
      <c r="G5870" s="571"/>
      <c r="H5870" s="571"/>
      <c r="I5870" s="571"/>
      <c r="J5870" s="571"/>
      <c r="K5870" s="571"/>
      <c r="L5870" s="571"/>
      <c r="M5870" s="571"/>
      <c r="N5870" s="573"/>
      <c r="O5870" s="556"/>
      <c r="P5870" s="573"/>
      <c r="Q5870" s="556"/>
      <c r="R5870" s="582"/>
    </row>
    <row r="5871" ht="15" customHeight="1" spans="1:18">
      <c r="A5871" s="556"/>
      <c r="B5871" s="557">
        <f>C5870</f>
        <v>0</v>
      </c>
      <c r="C5871" s="76" t="s">
        <v>1968</v>
      </c>
      <c r="D5871" s="75" t="s">
        <v>63</v>
      </c>
      <c r="E5871" s="76" t="s">
        <v>64</v>
      </c>
      <c r="F5871" s="76" t="s">
        <v>65</v>
      </c>
      <c r="G5871" s="76" t="s">
        <v>2889</v>
      </c>
      <c r="H5871" s="76"/>
      <c r="I5871" s="77" t="s">
        <v>66</v>
      </c>
      <c r="J5871" s="75" t="s">
        <v>67</v>
      </c>
      <c r="K5871" s="75" t="s">
        <v>2890</v>
      </c>
      <c r="L5871" s="75" t="s">
        <v>68</v>
      </c>
      <c r="M5871" s="75" t="s">
        <v>70</v>
      </c>
      <c r="N5871" s="573">
        <v>90.96</v>
      </c>
      <c r="O5871" s="556" t="str">
        <f>IF(N5871=M5871,"OK","DIF")</f>
        <v>DIF</v>
      </c>
      <c r="P5871" s="573"/>
      <c r="Q5871" s="556"/>
      <c r="R5871" s="582"/>
    </row>
    <row r="5872" ht="35.05" customHeight="1" spans="1:18">
      <c r="A5872" s="556">
        <f>B5872</f>
        <v>0</v>
      </c>
      <c r="B5872" s="557">
        <f>B5871</f>
        <v>0</v>
      </c>
      <c r="C5872" s="569" t="s">
        <v>2891</v>
      </c>
      <c r="D5872" s="570" t="s">
        <v>1969</v>
      </c>
      <c r="E5872" s="569" t="s">
        <v>132</v>
      </c>
      <c r="F5872" s="569" t="s">
        <v>1970</v>
      </c>
      <c r="G5872" s="569" t="s">
        <v>4227</v>
      </c>
      <c r="H5872" s="569"/>
      <c r="I5872" s="577" t="s">
        <v>134</v>
      </c>
      <c r="J5872" s="578">
        <v>1</v>
      </c>
      <c r="K5872" s="579"/>
      <c r="L5872" s="579">
        <v>5704.65</v>
      </c>
      <c r="M5872" s="579">
        <v>5704.65</v>
      </c>
      <c r="N5872" s="573">
        <v>20.76</v>
      </c>
      <c r="O5872" s="556" t="str">
        <f>IF(N5872=M5872,"OK","DIF")</f>
        <v>DIF</v>
      </c>
      <c r="P5872" s="573"/>
      <c r="Q5872" s="556"/>
      <c r="R5872" s="582"/>
    </row>
    <row r="5873" ht="23.85" customHeight="1" spans="1:18">
      <c r="A5873" s="556">
        <f>B5873</f>
        <v>0</v>
      </c>
      <c r="B5873" s="557">
        <f>B5872</f>
        <v>0</v>
      </c>
      <c r="C5873" s="79" t="s">
        <v>2921</v>
      </c>
      <c r="D5873" s="78" t="s">
        <v>4190</v>
      </c>
      <c r="E5873" s="79" t="s">
        <v>139</v>
      </c>
      <c r="F5873" s="79" t="s">
        <v>4191</v>
      </c>
      <c r="G5873" s="79" t="s">
        <v>2928</v>
      </c>
      <c r="H5873" s="79"/>
      <c r="I5873" s="80" t="s">
        <v>2897</v>
      </c>
      <c r="J5873" s="583">
        <v>2</v>
      </c>
      <c r="K5873" s="583">
        <v>0</v>
      </c>
      <c r="L5873" s="92">
        <v>40.65</v>
      </c>
      <c r="M5873" s="92">
        <v>81.3</v>
      </c>
      <c r="N5873" s="573">
        <v>25.91</v>
      </c>
      <c r="O5873" s="556" t="str">
        <f>IF(N5873=M5873,"OK","DIF")</f>
        <v>DIF</v>
      </c>
      <c r="P5873" s="573"/>
      <c r="Q5873" s="556"/>
      <c r="R5873" s="582"/>
    </row>
    <row r="5874" ht="23.85" customHeight="1" spans="1:18">
      <c r="A5874" s="556">
        <f>B5874</f>
        <v>0</v>
      </c>
      <c r="B5874" s="557">
        <f>B5873</f>
        <v>0</v>
      </c>
      <c r="C5874" s="79" t="s">
        <v>2921</v>
      </c>
      <c r="D5874" s="78" t="s">
        <v>3144</v>
      </c>
      <c r="E5874" s="79" t="s">
        <v>139</v>
      </c>
      <c r="F5874" s="79" t="s">
        <v>3145</v>
      </c>
      <c r="G5874" s="79" t="s">
        <v>2928</v>
      </c>
      <c r="H5874" s="79"/>
      <c r="I5874" s="80" t="s">
        <v>2897</v>
      </c>
      <c r="J5874" s="583">
        <v>10</v>
      </c>
      <c r="K5874" s="583">
        <v>0</v>
      </c>
      <c r="L5874" s="92">
        <v>35.55</v>
      </c>
      <c r="M5874" s="92">
        <v>355.5</v>
      </c>
      <c r="N5874" s="573">
        <v>43.54</v>
      </c>
      <c r="O5874" s="556" t="str">
        <f>IF(N5874=M5874,"OK","DIF")</f>
        <v>DIF</v>
      </c>
      <c r="P5874" s="573"/>
      <c r="Q5874" s="556"/>
      <c r="R5874" s="582"/>
    </row>
    <row r="5875" ht="23.85" customHeight="1" spans="1:18">
      <c r="A5875" s="556">
        <f>B5875</f>
        <v>0</v>
      </c>
      <c r="B5875" s="557">
        <f>B5874</f>
        <v>0</v>
      </c>
      <c r="C5875" s="79" t="s">
        <v>2921</v>
      </c>
      <c r="D5875" s="78" t="s">
        <v>3146</v>
      </c>
      <c r="E5875" s="79" t="s">
        <v>139</v>
      </c>
      <c r="F5875" s="79" t="s">
        <v>3147</v>
      </c>
      <c r="G5875" s="79" t="s">
        <v>2928</v>
      </c>
      <c r="H5875" s="79"/>
      <c r="I5875" s="80" t="s">
        <v>2897</v>
      </c>
      <c r="J5875" s="583">
        <v>10</v>
      </c>
      <c r="K5875" s="583">
        <v>0</v>
      </c>
      <c r="L5875" s="92">
        <v>29.54</v>
      </c>
      <c r="M5875" s="92">
        <v>295.4</v>
      </c>
      <c r="N5875" s="573">
        <v>0.75</v>
      </c>
      <c r="O5875" s="556" t="str">
        <f>IF(N5875=M5875,"OK","DIF")</f>
        <v>DIF</v>
      </c>
      <c r="P5875" s="573"/>
      <c r="Q5875" s="556"/>
      <c r="R5875" s="582"/>
    </row>
    <row r="5876" ht="15" customHeight="1" spans="1:18">
      <c r="A5876" s="556"/>
      <c r="B5876" s="557"/>
      <c r="C5876" s="100" t="s">
        <v>2893</v>
      </c>
      <c r="D5876" s="99" t="s">
        <v>4652</v>
      </c>
      <c r="E5876" s="100" t="s">
        <v>132</v>
      </c>
      <c r="F5876" s="100" t="s">
        <v>1970</v>
      </c>
      <c r="G5876" s="100" t="s">
        <v>3395</v>
      </c>
      <c r="H5876" s="100"/>
      <c r="I5876" s="101" t="s">
        <v>134</v>
      </c>
      <c r="J5876" s="580">
        <v>1</v>
      </c>
      <c r="K5876" s="580">
        <v>0</v>
      </c>
      <c r="L5876" s="102">
        <v>4972.45</v>
      </c>
      <c r="M5876" s="102">
        <v>4972.45</v>
      </c>
      <c r="N5876" s="573"/>
      <c r="O5876" s="556"/>
      <c r="P5876" s="573"/>
      <c r="Q5876" s="556"/>
      <c r="R5876" s="582"/>
    </row>
    <row r="5877" ht="25.5" spans="1:18">
      <c r="A5877" s="556"/>
      <c r="B5877" s="557"/>
      <c r="C5877" s="108"/>
      <c r="D5877" s="108"/>
      <c r="E5877" s="108"/>
      <c r="F5877" s="108"/>
      <c r="G5877" s="108"/>
      <c r="H5877" s="108" t="s">
        <v>2898</v>
      </c>
      <c r="I5877" s="581">
        <v>524.7</v>
      </c>
      <c r="J5877" s="108" t="s">
        <v>2899</v>
      </c>
      <c r="K5877" s="581">
        <v>0</v>
      </c>
      <c r="L5877" s="108" t="s">
        <v>2900</v>
      </c>
      <c r="M5877" s="581">
        <v>524.7</v>
      </c>
      <c r="N5877" s="573"/>
      <c r="O5877" s="556"/>
      <c r="P5877" s="573"/>
      <c r="Q5877" s="556"/>
      <c r="R5877" s="582"/>
    </row>
    <row r="5878" ht="26.25" spans="1:18">
      <c r="A5878" s="556"/>
      <c r="B5878" s="557">
        <f>C5877</f>
        <v>0</v>
      </c>
      <c r="C5878" s="108"/>
      <c r="D5878" s="108"/>
      <c r="E5878" s="108"/>
      <c r="F5878" s="108"/>
      <c r="G5878" s="108"/>
      <c r="H5878" s="108" t="s">
        <v>2901</v>
      </c>
      <c r="I5878" s="581">
        <v>1454.11</v>
      </c>
      <c r="J5878" s="114"/>
      <c r="K5878" s="114" t="s">
        <v>2902</v>
      </c>
      <c r="L5878" s="108"/>
      <c r="M5878" s="581">
        <v>7158.76</v>
      </c>
      <c r="N5878" s="573">
        <v>128.58</v>
      </c>
      <c r="O5878" s="556" t="str">
        <f>IF(N5878=M5878,"OK","DIF")</f>
        <v>DIF</v>
      </c>
      <c r="P5878" s="573"/>
      <c r="Q5878" s="556"/>
      <c r="R5878" s="582"/>
    </row>
    <row r="5879" ht="15" spans="1:18">
      <c r="A5879" s="556">
        <f>B5879</f>
        <v>0</v>
      </c>
      <c r="B5879" s="557">
        <f>B5878</f>
        <v>0</v>
      </c>
      <c r="C5879" s="571"/>
      <c r="D5879" s="571"/>
      <c r="E5879" s="571"/>
      <c r="F5879" s="571"/>
      <c r="G5879" s="571"/>
      <c r="H5879" s="571"/>
      <c r="I5879" s="571"/>
      <c r="J5879" s="571"/>
      <c r="K5879" s="571"/>
      <c r="L5879" s="571"/>
      <c r="M5879" s="571"/>
      <c r="N5879" s="573">
        <v>22.83</v>
      </c>
      <c r="O5879" s="556" t="str">
        <f>IF(N5879=M5879,"OK","DIF")</f>
        <v>DIF</v>
      </c>
      <c r="P5879" s="573"/>
      <c r="Q5879" s="556"/>
      <c r="R5879" s="582"/>
    </row>
    <row r="5880" ht="15" customHeight="1" spans="1:18">
      <c r="A5880" s="556">
        <f>B5880</f>
        <v>0</v>
      </c>
      <c r="B5880" s="557">
        <f>B5879</f>
        <v>0</v>
      </c>
      <c r="C5880" s="76" t="s">
        <v>1971</v>
      </c>
      <c r="D5880" s="75" t="s">
        <v>63</v>
      </c>
      <c r="E5880" s="76" t="s">
        <v>64</v>
      </c>
      <c r="F5880" s="76" t="s">
        <v>65</v>
      </c>
      <c r="G5880" s="76" t="s">
        <v>2889</v>
      </c>
      <c r="H5880" s="76"/>
      <c r="I5880" s="77" t="s">
        <v>66</v>
      </c>
      <c r="J5880" s="75" t="s">
        <v>67</v>
      </c>
      <c r="K5880" s="75" t="s">
        <v>2890</v>
      </c>
      <c r="L5880" s="75" t="s">
        <v>68</v>
      </c>
      <c r="M5880" s="75" t="s">
        <v>70</v>
      </c>
      <c r="N5880" s="573">
        <v>28.5</v>
      </c>
      <c r="O5880" s="556" t="str">
        <f>IF(N5880=M5880,"OK","DIF")</f>
        <v>DIF</v>
      </c>
      <c r="P5880" s="573"/>
      <c r="Q5880" s="556"/>
      <c r="R5880" s="582"/>
    </row>
    <row r="5881" ht="35.05" customHeight="1" spans="1:18">
      <c r="A5881" s="556">
        <f>B5881</f>
        <v>0</v>
      </c>
      <c r="B5881" s="557">
        <f>B5880</f>
        <v>0</v>
      </c>
      <c r="C5881" s="569" t="s">
        <v>2891</v>
      </c>
      <c r="D5881" s="570" t="s">
        <v>1972</v>
      </c>
      <c r="E5881" s="569" t="s">
        <v>132</v>
      </c>
      <c r="F5881" s="569" t="s">
        <v>1973</v>
      </c>
      <c r="G5881" s="569" t="s">
        <v>4227</v>
      </c>
      <c r="H5881" s="569"/>
      <c r="I5881" s="577" t="s">
        <v>134</v>
      </c>
      <c r="J5881" s="578">
        <v>1</v>
      </c>
      <c r="K5881" s="579"/>
      <c r="L5881" s="579">
        <v>8753.93</v>
      </c>
      <c r="M5881" s="579">
        <v>8753.93</v>
      </c>
      <c r="N5881" s="573">
        <v>0.87</v>
      </c>
      <c r="O5881" s="556" t="str">
        <f>IF(N5881=M5881,"OK","DIF")</f>
        <v>DIF</v>
      </c>
      <c r="P5881" s="573"/>
      <c r="Q5881" s="556"/>
      <c r="R5881" s="582"/>
    </row>
    <row r="5882" ht="23.85" customHeight="1" spans="1:18">
      <c r="A5882" s="556">
        <f>B5882</f>
        <v>0</v>
      </c>
      <c r="B5882" s="557">
        <f>B5881</f>
        <v>0</v>
      </c>
      <c r="C5882" s="79" t="s">
        <v>2921</v>
      </c>
      <c r="D5882" s="78" t="s">
        <v>2952</v>
      </c>
      <c r="E5882" s="79" t="s">
        <v>139</v>
      </c>
      <c r="F5882" s="79" t="s">
        <v>2953</v>
      </c>
      <c r="G5882" s="79" t="s">
        <v>2928</v>
      </c>
      <c r="H5882" s="79"/>
      <c r="I5882" s="80" t="s">
        <v>2897</v>
      </c>
      <c r="J5882" s="583">
        <v>10</v>
      </c>
      <c r="K5882" s="583">
        <v>0</v>
      </c>
      <c r="L5882" s="92">
        <v>29.15</v>
      </c>
      <c r="M5882" s="92">
        <v>291.5</v>
      </c>
      <c r="N5882" s="573">
        <v>76.38</v>
      </c>
      <c r="O5882" s="556" t="str">
        <f>IF(N5882=M5882,"OK","DIF")</f>
        <v>DIF</v>
      </c>
      <c r="P5882" s="573"/>
      <c r="Q5882" s="556"/>
      <c r="R5882" s="582"/>
    </row>
    <row r="5883" ht="23.85" customHeight="1" spans="1:18">
      <c r="A5883" s="556"/>
      <c r="B5883" s="557"/>
      <c r="C5883" s="79" t="s">
        <v>2921</v>
      </c>
      <c r="D5883" s="78" t="s">
        <v>3144</v>
      </c>
      <c r="E5883" s="79" t="s">
        <v>139</v>
      </c>
      <c r="F5883" s="79" t="s">
        <v>3145</v>
      </c>
      <c r="G5883" s="79" t="s">
        <v>2928</v>
      </c>
      <c r="H5883" s="79"/>
      <c r="I5883" s="80" t="s">
        <v>2897</v>
      </c>
      <c r="J5883" s="583">
        <v>8</v>
      </c>
      <c r="K5883" s="583">
        <v>0</v>
      </c>
      <c r="L5883" s="92">
        <v>35.55</v>
      </c>
      <c r="M5883" s="92">
        <v>284.4</v>
      </c>
      <c r="N5883" s="573"/>
      <c r="O5883" s="556"/>
      <c r="P5883" s="573"/>
      <c r="Q5883" s="556"/>
      <c r="R5883" s="582"/>
    </row>
    <row r="5884" ht="23.85" customHeight="1" spans="1:18">
      <c r="A5884" s="556"/>
      <c r="B5884" s="557"/>
      <c r="C5884" s="100" t="s">
        <v>2893</v>
      </c>
      <c r="D5884" s="99" t="s">
        <v>4653</v>
      </c>
      <c r="E5884" s="100" t="s">
        <v>796</v>
      </c>
      <c r="F5884" s="100" t="s">
        <v>4654</v>
      </c>
      <c r="G5884" s="100" t="s">
        <v>3395</v>
      </c>
      <c r="H5884" s="100"/>
      <c r="I5884" s="101" t="s">
        <v>334</v>
      </c>
      <c r="J5884" s="580">
        <v>1</v>
      </c>
      <c r="K5884" s="580">
        <v>0</v>
      </c>
      <c r="L5884" s="102">
        <v>8178.03</v>
      </c>
      <c r="M5884" s="102">
        <v>8178.03</v>
      </c>
      <c r="N5884" s="573"/>
      <c r="O5884" s="556"/>
      <c r="P5884" s="573"/>
      <c r="Q5884" s="556"/>
      <c r="R5884" s="582"/>
    </row>
    <row r="5885" ht="25.5" spans="1:18">
      <c r="A5885" s="556"/>
      <c r="B5885" s="557" t="str">
        <f>C5884</f>
        <v>Insumo</v>
      </c>
      <c r="C5885" s="108"/>
      <c r="D5885" s="108"/>
      <c r="E5885" s="108"/>
      <c r="F5885" s="108"/>
      <c r="G5885" s="108"/>
      <c r="H5885" s="108" t="s">
        <v>2898</v>
      </c>
      <c r="I5885" s="581">
        <v>401.64</v>
      </c>
      <c r="J5885" s="108" t="s">
        <v>2899</v>
      </c>
      <c r="K5885" s="581">
        <v>0</v>
      </c>
      <c r="L5885" s="108" t="s">
        <v>2900</v>
      </c>
      <c r="M5885" s="581">
        <v>401.64</v>
      </c>
      <c r="N5885" s="573">
        <v>129.81</v>
      </c>
      <c r="O5885" s="556" t="str">
        <f>IF(N5885=M5885,"OK","DIF")</f>
        <v>DIF</v>
      </c>
      <c r="P5885" s="573"/>
      <c r="Q5885" s="556"/>
      <c r="R5885" s="582"/>
    </row>
    <row r="5886" ht="26.25" spans="1:18">
      <c r="A5886" s="556" t="str">
        <f>B5886</f>
        <v>Insumo</v>
      </c>
      <c r="B5886" s="557" t="str">
        <f>B5885</f>
        <v>Insumo</v>
      </c>
      <c r="C5886" s="108"/>
      <c r="D5886" s="108"/>
      <c r="E5886" s="108"/>
      <c r="F5886" s="108"/>
      <c r="G5886" s="108"/>
      <c r="H5886" s="108" t="s">
        <v>2901</v>
      </c>
      <c r="I5886" s="581">
        <v>2231.37</v>
      </c>
      <c r="J5886" s="114"/>
      <c r="K5886" s="114" t="s">
        <v>2902</v>
      </c>
      <c r="L5886" s="108"/>
      <c r="M5886" s="581">
        <v>10985.3</v>
      </c>
      <c r="N5886" s="573">
        <v>23.35</v>
      </c>
      <c r="O5886" s="556" t="str">
        <f>IF(N5886=M5886,"OK","DIF")</f>
        <v>DIF</v>
      </c>
      <c r="P5886" s="573"/>
      <c r="Q5886" s="556"/>
      <c r="R5886" s="582"/>
    </row>
    <row r="5887" ht="15" spans="1:18">
      <c r="A5887" s="556" t="str">
        <f>B5887</f>
        <v>Insumo</v>
      </c>
      <c r="B5887" s="557" t="str">
        <f>B5886</f>
        <v>Insumo</v>
      </c>
      <c r="C5887" s="571"/>
      <c r="D5887" s="571"/>
      <c r="E5887" s="571"/>
      <c r="F5887" s="571"/>
      <c r="G5887" s="571"/>
      <c r="H5887" s="571"/>
      <c r="I5887" s="571"/>
      <c r="J5887" s="571"/>
      <c r="K5887" s="571"/>
      <c r="L5887" s="571"/>
      <c r="M5887" s="571"/>
      <c r="N5887" s="573">
        <v>29.15</v>
      </c>
      <c r="O5887" s="556" t="str">
        <f>IF(N5887=M5887,"OK","DIF")</f>
        <v>DIF</v>
      </c>
      <c r="P5887" s="573"/>
      <c r="Q5887" s="556"/>
      <c r="R5887" s="582"/>
    </row>
    <row r="5888" ht="15" customHeight="1" spans="1:18">
      <c r="A5888" s="556" t="str">
        <f>B5888</f>
        <v>Insumo</v>
      </c>
      <c r="B5888" s="557" t="str">
        <f>B5887</f>
        <v>Insumo</v>
      </c>
      <c r="C5888" s="76" t="s">
        <v>1974</v>
      </c>
      <c r="D5888" s="75" t="s">
        <v>63</v>
      </c>
      <c r="E5888" s="76" t="s">
        <v>64</v>
      </c>
      <c r="F5888" s="76" t="s">
        <v>65</v>
      </c>
      <c r="G5888" s="76" t="s">
        <v>2889</v>
      </c>
      <c r="H5888" s="76"/>
      <c r="I5888" s="77" t="s">
        <v>66</v>
      </c>
      <c r="J5888" s="75" t="s">
        <v>67</v>
      </c>
      <c r="K5888" s="75" t="s">
        <v>2890</v>
      </c>
      <c r="L5888" s="75" t="s">
        <v>68</v>
      </c>
      <c r="M5888" s="75" t="s">
        <v>70</v>
      </c>
      <c r="N5888" s="573">
        <v>76.38</v>
      </c>
      <c r="O5888" s="556" t="str">
        <f>IF(N5888=M5888,"OK","DIF")</f>
        <v>DIF</v>
      </c>
      <c r="P5888" s="573"/>
      <c r="Q5888" s="556"/>
      <c r="R5888" s="582"/>
    </row>
    <row r="5889" ht="35.05" customHeight="1" spans="1:18">
      <c r="A5889" s="556" t="str">
        <f>B5889</f>
        <v>Insumo</v>
      </c>
      <c r="B5889" s="557" t="str">
        <f>B5888</f>
        <v>Insumo</v>
      </c>
      <c r="C5889" s="569" t="s">
        <v>2891</v>
      </c>
      <c r="D5889" s="570" t="s">
        <v>1975</v>
      </c>
      <c r="E5889" s="569" t="s">
        <v>132</v>
      </c>
      <c r="F5889" s="569" t="s">
        <v>1976</v>
      </c>
      <c r="G5889" s="569" t="s">
        <v>4227</v>
      </c>
      <c r="H5889" s="569"/>
      <c r="I5889" s="577" t="s">
        <v>134</v>
      </c>
      <c r="J5889" s="578">
        <v>1</v>
      </c>
      <c r="K5889" s="579"/>
      <c r="L5889" s="579">
        <v>9579.9</v>
      </c>
      <c r="M5889" s="579">
        <v>9579.9</v>
      </c>
      <c r="N5889" s="573">
        <v>0.93</v>
      </c>
      <c r="O5889" s="556" t="str">
        <f>IF(N5889=M5889,"OK","DIF")</f>
        <v>DIF</v>
      </c>
      <c r="P5889" s="573"/>
      <c r="Q5889" s="556"/>
      <c r="R5889" s="582"/>
    </row>
    <row r="5890" ht="23.85" customHeight="1" spans="1:18">
      <c r="A5890" s="556"/>
      <c r="B5890" s="557"/>
      <c r="C5890" s="79" t="s">
        <v>2921</v>
      </c>
      <c r="D5890" s="78" t="s">
        <v>2952</v>
      </c>
      <c r="E5890" s="79" t="s">
        <v>139</v>
      </c>
      <c r="F5890" s="79" t="s">
        <v>2953</v>
      </c>
      <c r="G5890" s="79" t="s">
        <v>2928</v>
      </c>
      <c r="H5890" s="79"/>
      <c r="I5890" s="80" t="s">
        <v>2897</v>
      </c>
      <c r="J5890" s="583">
        <v>10</v>
      </c>
      <c r="K5890" s="583">
        <v>0</v>
      </c>
      <c r="L5890" s="92">
        <v>29.15</v>
      </c>
      <c r="M5890" s="92">
        <v>291.5</v>
      </c>
      <c r="N5890" s="573"/>
      <c r="O5890" s="556"/>
      <c r="P5890" s="573"/>
      <c r="Q5890" s="556"/>
      <c r="R5890" s="582"/>
    </row>
    <row r="5891" ht="23.85" customHeight="1" spans="1:18">
      <c r="A5891" s="556"/>
      <c r="B5891" s="557"/>
      <c r="C5891" s="79" t="s">
        <v>2921</v>
      </c>
      <c r="D5891" s="78" t="s">
        <v>3144</v>
      </c>
      <c r="E5891" s="79" t="s">
        <v>139</v>
      </c>
      <c r="F5891" s="79" t="s">
        <v>3145</v>
      </c>
      <c r="G5891" s="79" t="s">
        <v>2928</v>
      </c>
      <c r="H5891" s="79"/>
      <c r="I5891" s="80" t="s">
        <v>2897</v>
      </c>
      <c r="J5891" s="583">
        <v>8</v>
      </c>
      <c r="K5891" s="583">
        <v>0</v>
      </c>
      <c r="L5891" s="92">
        <v>35.55</v>
      </c>
      <c r="M5891" s="92">
        <v>284.4</v>
      </c>
      <c r="N5891" s="573"/>
      <c r="O5891" s="556"/>
      <c r="P5891" s="573"/>
      <c r="Q5891" s="556"/>
      <c r="R5891" s="582"/>
    </row>
    <row r="5892" ht="15" customHeight="1" spans="1:18">
      <c r="A5892" s="556"/>
      <c r="B5892" s="557" t="str">
        <f>C5891</f>
        <v>Composição Auxiliar</v>
      </c>
      <c r="C5892" s="100" t="s">
        <v>2893</v>
      </c>
      <c r="D5892" s="99" t="s">
        <v>4655</v>
      </c>
      <c r="E5892" s="100" t="s">
        <v>132</v>
      </c>
      <c r="F5892" s="100" t="s">
        <v>4656</v>
      </c>
      <c r="G5892" s="100" t="s">
        <v>3395</v>
      </c>
      <c r="H5892" s="100"/>
      <c r="I5892" s="101" t="s">
        <v>134</v>
      </c>
      <c r="J5892" s="580">
        <v>1</v>
      </c>
      <c r="K5892" s="580">
        <v>0</v>
      </c>
      <c r="L5892" s="102">
        <v>9004</v>
      </c>
      <c r="M5892" s="102">
        <v>9004</v>
      </c>
      <c r="N5892" s="573">
        <v>174.05</v>
      </c>
      <c r="O5892" s="556" t="str">
        <f>IF(N5892=M5892,"OK","DIF")</f>
        <v>DIF</v>
      </c>
      <c r="P5892" s="573"/>
      <c r="Q5892" s="556"/>
      <c r="R5892" s="582"/>
    </row>
    <row r="5893" ht="25.5" spans="1:18">
      <c r="A5893" s="556" t="str">
        <f>B5893</f>
        <v>Composição Auxiliar</v>
      </c>
      <c r="B5893" s="557" t="str">
        <f>B5892</f>
        <v>Composição Auxiliar</v>
      </c>
      <c r="C5893" s="108"/>
      <c r="D5893" s="108"/>
      <c r="E5893" s="108"/>
      <c r="F5893" s="108"/>
      <c r="G5893" s="108"/>
      <c r="H5893" s="108" t="s">
        <v>2898</v>
      </c>
      <c r="I5893" s="581">
        <v>401.64</v>
      </c>
      <c r="J5893" s="108" t="s">
        <v>2899</v>
      </c>
      <c r="K5893" s="581">
        <v>0</v>
      </c>
      <c r="L5893" s="108" t="s">
        <v>2900</v>
      </c>
      <c r="M5893" s="581">
        <v>401.64</v>
      </c>
      <c r="N5893" s="573">
        <v>25.17</v>
      </c>
      <c r="O5893" s="556" t="str">
        <f>IF(N5893=M5893,"OK","DIF")</f>
        <v>DIF</v>
      </c>
      <c r="P5893" s="573"/>
      <c r="Q5893" s="556"/>
      <c r="R5893" s="582"/>
    </row>
    <row r="5894" ht="26.25" spans="1:18">
      <c r="A5894" s="556" t="str">
        <f>B5894</f>
        <v>Composição Auxiliar</v>
      </c>
      <c r="B5894" s="557" t="str">
        <f>B5893</f>
        <v>Composição Auxiliar</v>
      </c>
      <c r="C5894" s="108"/>
      <c r="D5894" s="108"/>
      <c r="E5894" s="108"/>
      <c r="F5894" s="108"/>
      <c r="G5894" s="108"/>
      <c r="H5894" s="108" t="s">
        <v>2901</v>
      </c>
      <c r="I5894" s="581">
        <v>2441.91</v>
      </c>
      <c r="J5894" s="114"/>
      <c r="K5894" s="114" t="s">
        <v>2902</v>
      </c>
      <c r="L5894" s="108"/>
      <c r="M5894" s="581">
        <v>12021.81</v>
      </c>
      <c r="N5894" s="573">
        <v>31.41</v>
      </c>
      <c r="O5894" s="556" t="str">
        <f>IF(N5894=M5894,"OK","DIF")</f>
        <v>DIF</v>
      </c>
      <c r="P5894" s="573"/>
      <c r="Q5894" s="556"/>
      <c r="R5894" s="582"/>
    </row>
    <row r="5895" ht="15" spans="1:18">
      <c r="A5895" s="556" t="str">
        <f>B5895</f>
        <v>Composição Auxiliar</v>
      </c>
      <c r="B5895" s="557" t="str">
        <f>B5894</f>
        <v>Composição Auxiliar</v>
      </c>
      <c r="C5895" s="571"/>
      <c r="D5895" s="571"/>
      <c r="E5895" s="571"/>
      <c r="F5895" s="571"/>
      <c r="G5895" s="571"/>
      <c r="H5895" s="571"/>
      <c r="I5895" s="571"/>
      <c r="J5895" s="571"/>
      <c r="K5895" s="571"/>
      <c r="L5895" s="571"/>
      <c r="M5895" s="571"/>
      <c r="N5895" s="573">
        <v>116.37</v>
      </c>
      <c r="O5895" s="556" t="str">
        <f>IF(N5895=M5895,"OK","DIF")</f>
        <v>DIF</v>
      </c>
      <c r="P5895" s="573"/>
      <c r="Q5895" s="556"/>
      <c r="R5895" s="582"/>
    </row>
    <row r="5896" ht="15" customHeight="1" spans="1:18">
      <c r="A5896" s="556" t="str">
        <f>B5896</f>
        <v>Composição Auxiliar</v>
      </c>
      <c r="B5896" s="557" t="str">
        <f>B5895</f>
        <v>Composição Auxiliar</v>
      </c>
      <c r="C5896" s="76" t="s">
        <v>1977</v>
      </c>
      <c r="D5896" s="75" t="s">
        <v>63</v>
      </c>
      <c r="E5896" s="76" t="s">
        <v>64</v>
      </c>
      <c r="F5896" s="76" t="s">
        <v>65</v>
      </c>
      <c r="G5896" s="76" t="s">
        <v>2889</v>
      </c>
      <c r="H5896" s="76"/>
      <c r="I5896" s="77" t="s">
        <v>66</v>
      </c>
      <c r="J5896" s="75" t="s">
        <v>67</v>
      </c>
      <c r="K5896" s="75" t="s">
        <v>2890</v>
      </c>
      <c r="L5896" s="75" t="s">
        <v>68</v>
      </c>
      <c r="M5896" s="75" t="s">
        <v>70</v>
      </c>
      <c r="N5896" s="573">
        <v>1.1</v>
      </c>
      <c r="O5896" s="556" t="str">
        <f>IF(N5896=M5896,"OK","DIF")</f>
        <v>DIF</v>
      </c>
      <c r="P5896" s="573"/>
      <c r="Q5896" s="556"/>
      <c r="R5896" s="582"/>
    </row>
    <row r="5897" ht="35.05" customHeight="1" spans="1:18">
      <c r="A5897" s="556"/>
      <c r="B5897" s="557"/>
      <c r="C5897" s="569" t="s">
        <v>2891</v>
      </c>
      <c r="D5897" s="570" t="s">
        <v>1978</v>
      </c>
      <c r="E5897" s="569" t="s">
        <v>132</v>
      </c>
      <c r="F5897" s="569" t="s">
        <v>1979</v>
      </c>
      <c r="G5897" s="569" t="s">
        <v>4227</v>
      </c>
      <c r="H5897" s="569"/>
      <c r="I5897" s="577" t="s">
        <v>134</v>
      </c>
      <c r="J5897" s="578">
        <v>1</v>
      </c>
      <c r="K5897" s="579"/>
      <c r="L5897" s="579">
        <v>16674.44</v>
      </c>
      <c r="M5897" s="579">
        <v>16674.44</v>
      </c>
      <c r="N5897" s="573"/>
      <c r="O5897" s="556"/>
      <c r="P5897" s="573"/>
      <c r="Q5897" s="556"/>
      <c r="R5897" s="582"/>
    </row>
    <row r="5898" ht="23.85" customHeight="1" spans="1:18">
      <c r="A5898" s="556"/>
      <c r="B5898" s="557"/>
      <c r="C5898" s="79" t="s">
        <v>2921</v>
      </c>
      <c r="D5898" s="78" t="s">
        <v>3151</v>
      </c>
      <c r="E5898" s="79" t="s">
        <v>139</v>
      </c>
      <c r="F5898" s="79" t="s">
        <v>3152</v>
      </c>
      <c r="G5898" s="79" t="s">
        <v>2928</v>
      </c>
      <c r="H5898" s="79"/>
      <c r="I5898" s="80" t="s">
        <v>2897</v>
      </c>
      <c r="J5898" s="583">
        <v>3</v>
      </c>
      <c r="K5898" s="583">
        <v>0</v>
      </c>
      <c r="L5898" s="92">
        <v>36.82</v>
      </c>
      <c r="M5898" s="92">
        <v>110.46</v>
      </c>
      <c r="N5898" s="573"/>
      <c r="O5898" s="556"/>
      <c r="P5898" s="573"/>
      <c r="Q5898" s="556"/>
      <c r="R5898" s="582"/>
    </row>
    <row r="5899" ht="23.85" customHeight="1" spans="1:18">
      <c r="A5899" s="556"/>
      <c r="B5899" s="557" t="str">
        <f>C5898</f>
        <v>Composição Auxiliar</v>
      </c>
      <c r="C5899" s="79" t="s">
        <v>2921</v>
      </c>
      <c r="D5899" s="78" t="s">
        <v>2952</v>
      </c>
      <c r="E5899" s="79" t="s">
        <v>139</v>
      </c>
      <c r="F5899" s="79" t="s">
        <v>2953</v>
      </c>
      <c r="G5899" s="79" t="s">
        <v>2928</v>
      </c>
      <c r="H5899" s="79"/>
      <c r="I5899" s="80" t="s">
        <v>2897</v>
      </c>
      <c r="J5899" s="583">
        <v>3</v>
      </c>
      <c r="K5899" s="583">
        <v>0</v>
      </c>
      <c r="L5899" s="92">
        <v>29.15</v>
      </c>
      <c r="M5899" s="92">
        <v>87.45</v>
      </c>
      <c r="N5899" s="573">
        <v>266.32</v>
      </c>
      <c r="O5899" s="556" t="str">
        <f>IF(N5899=M5899,"OK","DIF")</f>
        <v>DIF</v>
      </c>
      <c r="P5899" s="573"/>
      <c r="Q5899" s="556"/>
      <c r="R5899" s="582"/>
    </row>
    <row r="5900" ht="23.85" customHeight="1" spans="1:18">
      <c r="A5900" s="556" t="str">
        <f>B5900</f>
        <v>Composição Auxiliar</v>
      </c>
      <c r="B5900" s="557" t="str">
        <f>B5899</f>
        <v>Composição Auxiliar</v>
      </c>
      <c r="C5900" s="100" t="s">
        <v>2893</v>
      </c>
      <c r="D5900" s="99" t="s">
        <v>4657</v>
      </c>
      <c r="E5900" s="100" t="s">
        <v>132</v>
      </c>
      <c r="F5900" s="100" t="s">
        <v>4658</v>
      </c>
      <c r="G5900" s="100" t="s">
        <v>2961</v>
      </c>
      <c r="H5900" s="100"/>
      <c r="I5900" s="101" t="s">
        <v>134</v>
      </c>
      <c r="J5900" s="580">
        <v>1</v>
      </c>
      <c r="K5900" s="580">
        <v>0</v>
      </c>
      <c r="L5900" s="102">
        <v>16476.53</v>
      </c>
      <c r="M5900" s="102">
        <v>16476.53</v>
      </c>
      <c r="N5900" s="573">
        <v>35.62</v>
      </c>
      <c r="O5900" s="556" t="str">
        <f>IF(N5900=M5900,"OK","DIF")</f>
        <v>DIF</v>
      </c>
      <c r="P5900" s="573"/>
      <c r="Q5900" s="556"/>
      <c r="R5900" s="582"/>
    </row>
    <row r="5901" ht="25.5" spans="1:18">
      <c r="A5901" s="556" t="str">
        <f>B5901</f>
        <v>Composição Auxiliar</v>
      </c>
      <c r="B5901" s="557" t="str">
        <f>B5900</f>
        <v>Composição Auxiliar</v>
      </c>
      <c r="C5901" s="108"/>
      <c r="D5901" s="108"/>
      <c r="E5901" s="108"/>
      <c r="F5901" s="108"/>
      <c r="G5901" s="108"/>
      <c r="H5901" s="108" t="s">
        <v>2898</v>
      </c>
      <c r="I5901" s="581">
        <v>137.97</v>
      </c>
      <c r="J5901" s="108" t="s">
        <v>2899</v>
      </c>
      <c r="K5901" s="581">
        <v>0</v>
      </c>
      <c r="L5901" s="108" t="s">
        <v>2900</v>
      </c>
      <c r="M5901" s="581">
        <v>137.97</v>
      </c>
      <c r="N5901" s="573">
        <v>28.54</v>
      </c>
      <c r="O5901" s="556" t="str">
        <f>IF(N5901=M5901,"OK","DIF")</f>
        <v>DIF</v>
      </c>
      <c r="P5901" s="573"/>
      <c r="Q5901" s="556"/>
      <c r="R5901" s="582"/>
    </row>
    <row r="5902" ht="26.25" spans="1:18">
      <c r="A5902" s="556" t="str">
        <f>B5902</f>
        <v>Composição Auxiliar</v>
      </c>
      <c r="B5902" s="557" t="str">
        <f>B5901</f>
        <v>Composição Auxiliar</v>
      </c>
      <c r="C5902" s="108"/>
      <c r="D5902" s="108"/>
      <c r="E5902" s="108"/>
      <c r="F5902" s="108"/>
      <c r="G5902" s="108"/>
      <c r="H5902" s="108" t="s">
        <v>2901</v>
      </c>
      <c r="I5902" s="581">
        <v>2687.91</v>
      </c>
      <c r="J5902" s="114"/>
      <c r="K5902" s="114" t="s">
        <v>2902</v>
      </c>
      <c r="L5902" s="108"/>
      <c r="M5902" s="581">
        <v>19362.35</v>
      </c>
      <c r="N5902" s="573">
        <v>1.22</v>
      </c>
      <c r="O5902" s="556" t="str">
        <f>IF(N5902=M5902,"OK","DIF")</f>
        <v>DIF</v>
      </c>
      <c r="P5902" s="573"/>
      <c r="Q5902" s="556"/>
      <c r="R5902" s="582"/>
    </row>
    <row r="5903" ht="15" spans="1:18">
      <c r="A5903" s="556" t="str">
        <f>B5903</f>
        <v>Composição Auxiliar</v>
      </c>
      <c r="B5903" s="557" t="str">
        <f>B5902</f>
        <v>Composição Auxiliar</v>
      </c>
      <c r="C5903" s="571"/>
      <c r="D5903" s="571"/>
      <c r="E5903" s="571"/>
      <c r="F5903" s="571"/>
      <c r="G5903" s="571"/>
      <c r="H5903" s="571"/>
      <c r="I5903" s="571"/>
      <c r="J5903" s="571"/>
      <c r="K5903" s="571"/>
      <c r="L5903" s="571"/>
      <c r="M5903" s="571"/>
      <c r="N5903" s="573">
        <v>200.94</v>
      </c>
      <c r="O5903" s="556" t="str">
        <f>IF(N5903=M5903,"OK","DIF")</f>
        <v>DIF</v>
      </c>
      <c r="P5903" s="573"/>
      <c r="Q5903" s="556"/>
      <c r="R5903" s="582"/>
    </row>
    <row r="5904" ht="15" customHeight="1" spans="1:18">
      <c r="A5904" s="556"/>
      <c r="B5904" s="557"/>
      <c r="C5904" s="76" t="s">
        <v>1981</v>
      </c>
      <c r="D5904" s="75" t="s">
        <v>63</v>
      </c>
      <c r="E5904" s="76" t="s">
        <v>64</v>
      </c>
      <c r="F5904" s="76" t="s">
        <v>65</v>
      </c>
      <c r="G5904" s="76" t="s">
        <v>2889</v>
      </c>
      <c r="H5904" s="76"/>
      <c r="I5904" s="77" t="s">
        <v>66</v>
      </c>
      <c r="J5904" s="75" t="s">
        <v>67</v>
      </c>
      <c r="K5904" s="75" t="s">
        <v>2890</v>
      </c>
      <c r="L5904" s="75" t="s">
        <v>68</v>
      </c>
      <c r="M5904" s="75" t="s">
        <v>70</v>
      </c>
      <c r="N5904" s="573"/>
      <c r="O5904" s="556"/>
      <c r="P5904" s="573"/>
      <c r="Q5904" s="556"/>
      <c r="R5904" s="582"/>
    </row>
    <row r="5905" ht="35.05" customHeight="1" spans="1:18">
      <c r="A5905" s="556"/>
      <c r="B5905" s="557"/>
      <c r="C5905" s="569" t="s">
        <v>2891</v>
      </c>
      <c r="D5905" s="570" t="s">
        <v>1982</v>
      </c>
      <c r="E5905" s="569" t="s">
        <v>132</v>
      </c>
      <c r="F5905" s="569" t="s">
        <v>1983</v>
      </c>
      <c r="G5905" s="569" t="s">
        <v>4227</v>
      </c>
      <c r="H5905" s="569"/>
      <c r="I5905" s="577" t="s">
        <v>134</v>
      </c>
      <c r="J5905" s="578">
        <v>1</v>
      </c>
      <c r="K5905" s="579"/>
      <c r="L5905" s="579">
        <v>15723.31</v>
      </c>
      <c r="M5905" s="579">
        <v>15723.31</v>
      </c>
      <c r="N5905" s="573"/>
      <c r="O5905" s="556"/>
      <c r="P5905" s="573"/>
      <c r="Q5905" s="556"/>
      <c r="R5905" s="582"/>
    </row>
    <row r="5906" ht="23.85" customHeight="1" spans="1:18">
      <c r="A5906" s="556"/>
      <c r="B5906" s="557" t="str">
        <f>C5905</f>
        <v>Composição</v>
      </c>
      <c r="C5906" s="79" t="s">
        <v>2921</v>
      </c>
      <c r="D5906" s="78" t="s">
        <v>2952</v>
      </c>
      <c r="E5906" s="79" t="s">
        <v>139</v>
      </c>
      <c r="F5906" s="79" t="s">
        <v>2953</v>
      </c>
      <c r="G5906" s="79" t="s">
        <v>2928</v>
      </c>
      <c r="H5906" s="79"/>
      <c r="I5906" s="80" t="s">
        <v>2897</v>
      </c>
      <c r="J5906" s="583">
        <v>3</v>
      </c>
      <c r="K5906" s="583">
        <v>0</v>
      </c>
      <c r="L5906" s="92">
        <v>29.15</v>
      </c>
      <c r="M5906" s="92">
        <v>87.45</v>
      </c>
      <c r="N5906" s="573">
        <v>57.96</v>
      </c>
      <c r="O5906" s="556" t="str">
        <f>IF(N5906=M5906,"OK","DIF")</f>
        <v>DIF</v>
      </c>
      <c r="P5906" s="573"/>
      <c r="Q5906" s="556"/>
      <c r="R5906" s="582"/>
    </row>
    <row r="5907" ht="23.85" customHeight="1" spans="1:18">
      <c r="A5907" s="556" t="str">
        <f>B5907</f>
        <v>Composição</v>
      </c>
      <c r="B5907" s="557" t="str">
        <f>B5906</f>
        <v>Composição</v>
      </c>
      <c r="C5907" s="79" t="s">
        <v>2921</v>
      </c>
      <c r="D5907" s="78" t="s">
        <v>3151</v>
      </c>
      <c r="E5907" s="79" t="s">
        <v>139</v>
      </c>
      <c r="F5907" s="79" t="s">
        <v>3152</v>
      </c>
      <c r="G5907" s="79" t="s">
        <v>2928</v>
      </c>
      <c r="H5907" s="79"/>
      <c r="I5907" s="80" t="s">
        <v>2897</v>
      </c>
      <c r="J5907" s="583">
        <v>3</v>
      </c>
      <c r="K5907" s="583">
        <v>0</v>
      </c>
      <c r="L5907" s="92">
        <v>36.82</v>
      </c>
      <c r="M5907" s="92">
        <v>110.46</v>
      </c>
      <c r="N5907" s="573">
        <v>6.26</v>
      </c>
      <c r="O5907" s="556" t="str">
        <f>IF(N5907=M5907,"OK","DIF")</f>
        <v>DIF</v>
      </c>
      <c r="P5907" s="573"/>
      <c r="Q5907" s="556"/>
      <c r="R5907" s="582"/>
    </row>
    <row r="5908" ht="23.85" customHeight="1" spans="1:18">
      <c r="A5908" s="556" t="str">
        <f>B5908</f>
        <v>Composição</v>
      </c>
      <c r="B5908" s="557" t="str">
        <f>B5907</f>
        <v>Composição</v>
      </c>
      <c r="C5908" s="100" t="s">
        <v>2893</v>
      </c>
      <c r="D5908" s="99" t="s">
        <v>4659</v>
      </c>
      <c r="E5908" s="100" t="s">
        <v>132</v>
      </c>
      <c r="F5908" s="100" t="s">
        <v>4660</v>
      </c>
      <c r="G5908" s="100" t="s">
        <v>2961</v>
      </c>
      <c r="H5908" s="100"/>
      <c r="I5908" s="101" t="s">
        <v>134</v>
      </c>
      <c r="J5908" s="580">
        <v>1</v>
      </c>
      <c r="K5908" s="580">
        <v>0</v>
      </c>
      <c r="L5908" s="102">
        <v>15525.4</v>
      </c>
      <c r="M5908" s="102">
        <v>15525.4</v>
      </c>
      <c r="N5908" s="573">
        <v>4.92</v>
      </c>
      <c r="O5908" s="556" t="str">
        <f>IF(N5908=M5908,"OK","DIF")</f>
        <v>DIF</v>
      </c>
      <c r="P5908" s="573"/>
      <c r="Q5908" s="556"/>
      <c r="R5908" s="582"/>
    </row>
    <row r="5909" ht="25.5" spans="1:18">
      <c r="A5909" s="556" t="str">
        <f>B5909</f>
        <v>Composição</v>
      </c>
      <c r="B5909" s="557" t="str">
        <f>B5908</f>
        <v>Composição</v>
      </c>
      <c r="C5909" s="108"/>
      <c r="D5909" s="108"/>
      <c r="E5909" s="108"/>
      <c r="F5909" s="108"/>
      <c r="G5909" s="108"/>
      <c r="H5909" s="108" t="s">
        <v>2898</v>
      </c>
      <c r="I5909" s="581">
        <v>137.97</v>
      </c>
      <c r="J5909" s="108" t="s">
        <v>2899</v>
      </c>
      <c r="K5909" s="581">
        <v>0</v>
      </c>
      <c r="L5909" s="108" t="s">
        <v>2900</v>
      </c>
      <c r="M5909" s="581">
        <v>137.97</v>
      </c>
      <c r="N5909" s="573">
        <v>46.78</v>
      </c>
      <c r="O5909" s="556" t="str">
        <f>IF(N5909=M5909,"OK","DIF")</f>
        <v>DIF</v>
      </c>
      <c r="P5909" s="573"/>
      <c r="Q5909" s="556"/>
      <c r="R5909" s="582"/>
    </row>
    <row r="5910" ht="26.25" spans="1:18">
      <c r="A5910" s="556"/>
      <c r="B5910" s="557"/>
      <c r="C5910" s="108"/>
      <c r="D5910" s="108"/>
      <c r="E5910" s="108"/>
      <c r="F5910" s="108"/>
      <c r="G5910" s="108"/>
      <c r="H5910" s="108" t="s">
        <v>2901</v>
      </c>
      <c r="I5910" s="581">
        <v>2534.59</v>
      </c>
      <c r="J5910" s="114"/>
      <c r="K5910" s="114" t="s">
        <v>2902</v>
      </c>
      <c r="L5910" s="108"/>
      <c r="M5910" s="581">
        <v>18257.9</v>
      </c>
      <c r="N5910" s="573"/>
      <c r="O5910" s="556"/>
      <c r="P5910" s="573"/>
      <c r="Q5910" s="556"/>
      <c r="R5910" s="582"/>
    </row>
    <row r="5911" ht="15" spans="1:18">
      <c r="A5911" s="556"/>
      <c r="B5911" s="557"/>
      <c r="C5911" s="571"/>
      <c r="D5911" s="571"/>
      <c r="E5911" s="571"/>
      <c r="F5911" s="571"/>
      <c r="G5911" s="571"/>
      <c r="H5911" s="571"/>
      <c r="I5911" s="571"/>
      <c r="J5911" s="571"/>
      <c r="K5911" s="571"/>
      <c r="L5911" s="571"/>
      <c r="M5911" s="571"/>
      <c r="N5911" s="573"/>
      <c r="O5911" s="556"/>
      <c r="P5911" s="573"/>
      <c r="Q5911" s="556"/>
      <c r="R5911" s="582"/>
    </row>
    <row r="5912" ht="15" customHeight="1" spans="1:18">
      <c r="A5912" s="556"/>
      <c r="B5912" s="557">
        <f>C5911</f>
        <v>0</v>
      </c>
      <c r="C5912" s="76" t="s">
        <v>1985</v>
      </c>
      <c r="D5912" s="75" t="s">
        <v>63</v>
      </c>
      <c r="E5912" s="76" t="s">
        <v>64</v>
      </c>
      <c r="F5912" s="76" t="s">
        <v>65</v>
      </c>
      <c r="G5912" s="76" t="s">
        <v>2889</v>
      </c>
      <c r="H5912" s="76"/>
      <c r="I5912" s="77" t="s">
        <v>66</v>
      </c>
      <c r="J5912" s="75" t="s">
        <v>67</v>
      </c>
      <c r="K5912" s="75" t="s">
        <v>2890</v>
      </c>
      <c r="L5912" s="75" t="s">
        <v>68</v>
      </c>
      <c r="M5912" s="75" t="s">
        <v>70</v>
      </c>
      <c r="N5912" s="573">
        <v>104.18</v>
      </c>
      <c r="O5912" s="556" t="str">
        <f>IF(N5912=M5912,"OK","DIF")</f>
        <v>DIF</v>
      </c>
      <c r="P5912" s="573"/>
      <c r="Q5912" s="556"/>
      <c r="R5912" s="582"/>
    </row>
    <row r="5913" ht="35.05" customHeight="1" spans="1:18">
      <c r="A5913" s="556">
        <f>B5913</f>
        <v>0</v>
      </c>
      <c r="B5913" s="557">
        <f>B5912</f>
        <v>0</v>
      </c>
      <c r="C5913" s="569" t="s">
        <v>2891</v>
      </c>
      <c r="D5913" s="570" t="s">
        <v>1986</v>
      </c>
      <c r="E5913" s="569" t="s">
        <v>132</v>
      </c>
      <c r="F5913" s="569" t="s">
        <v>1987</v>
      </c>
      <c r="G5913" s="569" t="s">
        <v>4227</v>
      </c>
      <c r="H5913" s="569"/>
      <c r="I5913" s="577" t="s">
        <v>134</v>
      </c>
      <c r="J5913" s="578">
        <v>1</v>
      </c>
      <c r="K5913" s="579"/>
      <c r="L5913" s="579">
        <v>9617.37</v>
      </c>
      <c r="M5913" s="579">
        <v>9617.37</v>
      </c>
      <c r="N5913" s="573">
        <v>6.26</v>
      </c>
      <c r="O5913" s="556" t="str">
        <f>IF(N5913=M5913,"OK","DIF")</f>
        <v>DIF</v>
      </c>
      <c r="P5913" s="573"/>
      <c r="Q5913" s="556"/>
      <c r="R5913" s="582"/>
    </row>
    <row r="5914" ht="23.85" customHeight="1" spans="1:18">
      <c r="A5914" s="556">
        <f>B5914</f>
        <v>0</v>
      </c>
      <c r="B5914" s="557">
        <f>B5913</f>
        <v>0</v>
      </c>
      <c r="C5914" s="79" t="s">
        <v>2921</v>
      </c>
      <c r="D5914" s="78" t="s">
        <v>3151</v>
      </c>
      <c r="E5914" s="79" t="s">
        <v>139</v>
      </c>
      <c r="F5914" s="79" t="s">
        <v>3152</v>
      </c>
      <c r="G5914" s="79" t="s">
        <v>2928</v>
      </c>
      <c r="H5914" s="79"/>
      <c r="I5914" s="80" t="s">
        <v>2897</v>
      </c>
      <c r="J5914" s="583">
        <v>2</v>
      </c>
      <c r="K5914" s="583">
        <v>0</v>
      </c>
      <c r="L5914" s="92">
        <v>36.82</v>
      </c>
      <c r="M5914" s="92">
        <v>73.64</v>
      </c>
      <c r="N5914" s="573">
        <v>93</v>
      </c>
      <c r="O5914" s="556" t="str">
        <f>IF(N5914=M5914,"OK","DIF")</f>
        <v>DIF</v>
      </c>
      <c r="P5914" s="573"/>
      <c r="Q5914" s="556"/>
      <c r="R5914" s="582"/>
    </row>
    <row r="5915" ht="23.85" customHeight="1" spans="1:18">
      <c r="A5915" s="556">
        <f>B5915</f>
        <v>0</v>
      </c>
      <c r="B5915" s="557">
        <f>B5914</f>
        <v>0</v>
      </c>
      <c r="C5915" s="79" t="s">
        <v>2921</v>
      </c>
      <c r="D5915" s="78" t="s">
        <v>2952</v>
      </c>
      <c r="E5915" s="79" t="s">
        <v>139</v>
      </c>
      <c r="F5915" s="79" t="s">
        <v>2953</v>
      </c>
      <c r="G5915" s="79" t="s">
        <v>2928</v>
      </c>
      <c r="H5915" s="79"/>
      <c r="I5915" s="80" t="s">
        <v>2897</v>
      </c>
      <c r="J5915" s="583">
        <v>2</v>
      </c>
      <c r="K5915" s="583">
        <v>0</v>
      </c>
      <c r="L5915" s="92">
        <v>29.15</v>
      </c>
      <c r="M5915" s="92">
        <v>58.3</v>
      </c>
      <c r="N5915" s="573">
        <v>4.92</v>
      </c>
      <c r="O5915" s="556" t="str">
        <f>IF(N5915=M5915,"OK","DIF")</f>
        <v>DIF</v>
      </c>
      <c r="P5915" s="573"/>
      <c r="Q5915" s="556"/>
      <c r="R5915" s="582"/>
    </row>
    <row r="5916" ht="23.85" customHeight="1" spans="1:18">
      <c r="A5916" s="556"/>
      <c r="B5916" s="557"/>
      <c r="C5916" s="100" t="s">
        <v>2893</v>
      </c>
      <c r="D5916" s="99" t="s">
        <v>4661</v>
      </c>
      <c r="E5916" s="100" t="s">
        <v>132</v>
      </c>
      <c r="F5916" s="100" t="s">
        <v>4662</v>
      </c>
      <c r="G5916" s="100" t="s">
        <v>2961</v>
      </c>
      <c r="H5916" s="100"/>
      <c r="I5916" s="101" t="s">
        <v>134</v>
      </c>
      <c r="J5916" s="580">
        <v>1</v>
      </c>
      <c r="K5916" s="580">
        <v>0</v>
      </c>
      <c r="L5916" s="102">
        <v>9485.43</v>
      </c>
      <c r="M5916" s="102">
        <v>9485.43</v>
      </c>
      <c r="N5916" s="573"/>
      <c r="O5916" s="556"/>
      <c r="P5916" s="573"/>
      <c r="Q5916" s="556"/>
      <c r="R5916" s="582"/>
    </row>
    <row r="5917" ht="25.5" spans="1:18">
      <c r="A5917" s="556"/>
      <c r="B5917" s="557"/>
      <c r="C5917" s="108"/>
      <c r="D5917" s="108"/>
      <c r="E5917" s="108"/>
      <c r="F5917" s="108"/>
      <c r="G5917" s="108"/>
      <c r="H5917" s="108" t="s">
        <v>2898</v>
      </c>
      <c r="I5917" s="581">
        <v>91.98</v>
      </c>
      <c r="J5917" s="108" t="s">
        <v>2899</v>
      </c>
      <c r="K5917" s="581">
        <v>0</v>
      </c>
      <c r="L5917" s="108" t="s">
        <v>2900</v>
      </c>
      <c r="M5917" s="581">
        <v>91.98</v>
      </c>
      <c r="N5917" s="573"/>
      <c r="O5917" s="556"/>
      <c r="P5917" s="573"/>
      <c r="Q5917" s="556"/>
      <c r="R5917" s="582"/>
    </row>
    <row r="5918" ht="26.25" spans="1:18">
      <c r="A5918" s="556"/>
      <c r="B5918" s="557"/>
      <c r="C5918" s="108"/>
      <c r="D5918" s="108"/>
      <c r="E5918" s="108"/>
      <c r="F5918" s="108"/>
      <c r="G5918" s="108"/>
      <c r="H5918" s="108" t="s">
        <v>2901</v>
      </c>
      <c r="I5918" s="581">
        <v>1550.32</v>
      </c>
      <c r="J5918" s="114"/>
      <c r="K5918" s="114" t="s">
        <v>2902</v>
      </c>
      <c r="L5918" s="108"/>
      <c r="M5918" s="581">
        <v>11167.69</v>
      </c>
      <c r="N5918" s="573"/>
      <c r="O5918" s="556"/>
      <c r="P5918" s="573"/>
      <c r="Q5918" s="556"/>
      <c r="R5918" s="582"/>
    </row>
    <row r="5919" ht="15" spans="1:18">
      <c r="A5919" s="556"/>
      <c r="B5919" s="557">
        <f>C5918</f>
        <v>0</v>
      </c>
      <c r="C5919" s="571"/>
      <c r="D5919" s="571"/>
      <c r="E5919" s="571"/>
      <c r="F5919" s="571"/>
      <c r="G5919" s="571"/>
      <c r="H5919" s="571"/>
      <c r="I5919" s="571"/>
      <c r="J5919" s="571"/>
      <c r="K5919" s="571"/>
      <c r="L5919" s="571"/>
      <c r="M5919" s="571"/>
      <c r="N5919" s="573">
        <v>42.32</v>
      </c>
      <c r="O5919" s="556" t="str">
        <f>IF(N5919=M5919,"OK","DIF")</f>
        <v>DIF</v>
      </c>
      <c r="P5919" s="573"/>
      <c r="Q5919" s="556"/>
      <c r="R5919" s="582"/>
    </row>
    <row r="5920" ht="15" customHeight="1" spans="1:18">
      <c r="A5920" s="556">
        <f>B5920</f>
        <v>0</v>
      </c>
      <c r="B5920" s="557">
        <f>B5919</f>
        <v>0</v>
      </c>
      <c r="C5920" s="76" t="s">
        <v>1989</v>
      </c>
      <c r="D5920" s="75" t="s">
        <v>63</v>
      </c>
      <c r="E5920" s="76" t="s">
        <v>64</v>
      </c>
      <c r="F5920" s="76" t="s">
        <v>65</v>
      </c>
      <c r="G5920" s="76" t="s">
        <v>2889</v>
      </c>
      <c r="H5920" s="76"/>
      <c r="I5920" s="77" t="s">
        <v>66</v>
      </c>
      <c r="J5920" s="75" t="s">
        <v>67</v>
      </c>
      <c r="K5920" s="75" t="s">
        <v>2890</v>
      </c>
      <c r="L5920" s="75" t="s">
        <v>68</v>
      </c>
      <c r="M5920" s="75" t="s">
        <v>70</v>
      </c>
      <c r="N5920" s="573">
        <v>7.79</v>
      </c>
      <c r="O5920" s="556" t="str">
        <f>IF(N5920=M5920,"OK","DIF")</f>
        <v>DIF</v>
      </c>
      <c r="P5920" s="573"/>
      <c r="Q5920" s="556"/>
      <c r="R5920" s="582"/>
    </row>
    <row r="5921" ht="35.05" customHeight="1" spans="1:18">
      <c r="A5921" s="556">
        <f>B5921</f>
        <v>0</v>
      </c>
      <c r="B5921" s="557">
        <f>B5920</f>
        <v>0</v>
      </c>
      <c r="C5921" s="569" t="s">
        <v>2891</v>
      </c>
      <c r="D5921" s="570" t="s">
        <v>1990</v>
      </c>
      <c r="E5921" s="569" t="s">
        <v>132</v>
      </c>
      <c r="F5921" s="569" t="s">
        <v>1991</v>
      </c>
      <c r="G5921" s="569" t="s">
        <v>4227</v>
      </c>
      <c r="H5921" s="569"/>
      <c r="I5921" s="577" t="s">
        <v>134</v>
      </c>
      <c r="J5921" s="578">
        <v>1</v>
      </c>
      <c r="K5921" s="579"/>
      <c r="L5921" s="579">
        <v>10217.32</v>
      </c>
      <c r="M5921" s="579">
        <v>10217.32</v>
      </c>
      <c r="N5921" s="573">
        <v>9.61</v>
      </c>
      <c r="O5921" s="556" t="str">
        <f>IF(N5921=M5921,"OK","DIF")</f>
        <v>DIF</v>
      </c>
      <c r="P5921" s="573"/>
      <c r="Q5921" s="556"/>
      <c r="R5921" s="582"/>
    </row>
    <row r="5922" ht="23.85" customHeight="1" spans="1:18">
      <c r="A5922" s="556">
        <f>B5922</f>
        <v>0</v>
      </c>
      <c r="B5922" s="557">
        <f>B5921</f>
        <v>0</v>
      </c>
      <c r="C5922" s="79" t="s">
        <v>2921</v>
      </c>
      <c r="D5922" s="78" t="s">
        <v>3151</v>
      </c>
      <c r="E5922" s="79" t="s">
        <v>139</v>
      </c>
      <c r="F5922" s="79" t="s">
        <v>3152</v>
      </c>
      <c r="G5922" s="79" t="s">
        <v>2928</v>
      </c>
      <c r="H5922" s="79"/>
      <c r="I5922" s="80" t="s">
        <v>2897</v>
      </c>
      <c r="J5922" s="583">
        <v>2</v>
      </c>
      <c r="K5922" s="583">
        <v>0</v>
      </c>
      <c r="L5922" s="92">
        <v>36.82</v>
      </c>
      <c r="M5922" s="92">
        <v>73.64</v>
      </c>
      <c r="N5922" s="573">
        <v>24.92</v>
      </c>
      <c r="O5922" s="556" t="str">
        <f>IF(N5922=M5922,"OK","DIF")</f>
        <v>DIF</v>
      </c>
      <c r="P5922" s="573"/>
      <c r="Q5922" s="556"/>
      <c r="R5922" s="582"/>
    </row>
    <row r="5923" ht="23.85" customHeight="1" spans="1:18">
      <c r="A5923" s="556"/>
      <c r="B5923" s="557"/>
      <c r="C5923" s="79" t="s">
        <v>2921</v>
      </c>
      <c r="D5923" s="78" t="s">
        <v>2952</v>
      </c>
      <c r="E5923" s="79" t="s">
        <v>139</v>
      </c>
      <c r="F5923" s="79" t="s">
        <v>2953</v>
      </c>
      <c r="G5923" s="79" t="s">
        <v>2928</v>
      </c>
      <c r="H5923" s="79"/>
      <c r="I5923" s="80" t="s">
        <v>2897</v>
      </c>
      <c r="J5923" s="583">
        <v>2</v>
      </c>
      <c r="K5923" s="583">
        <v>0</v>
      </c>
      <c r="L5923" s="92">
        <v>29.15</v>
      </c>
      <c r="M5923" s="92">
        <v>58.3</v>
      </c>
      <c r="N5923" s="573"/>
      <c r="O5923" s="556"/>
      <c r="P5923" s="573"/>
      <c r="Q5923" s="556"/>
      <c r="R5923" s="582"/>
    </row>
    <row r="5924" ht="23.85" customHeight="1" spans="1:18">
      <c r="A5924" s="556"/>
      <c r="B5924" s="557"/>
      <c r="C5924" s="100" t="s">
        <v>2893</v>
      </c>
      <c r="D5924" s="99" t="s">
        <v>4663</v>
      </c>
      <c r="E5924" s="100" t="s">
        <v>132</v>
      </c>
      <c r="F5924" s="100" t="s">
        <v>4664</v>
      </c>
      <c r="G5924" s="100" t="s">
        <v>2961</v>
      </c>
      <c r="H5924" s="100"/>
      <c r="I5924" s="101" t="s">
        <v>134</v>
      </c>
      <c r="J5924" s="580">
        <v>1</v>
      </c>
      <c r="K5924" s="580">
        <v>0</v>
      </c>
      <c r="L5924" s="102">
        <v>10085.38</v>
      </c>
      <c r="M5924" s="102">
        <v>10085.38</v>
      </c>
      <c r="N5924" s="573"/>
      <c r="O5924" s="556"/>
      <c r="P5924" s="573"/>
      <c r="Q5924" s="556"/>
      <c r="R5924" s="582"/>
    </row>
    <row r="5925" ht="25.5" spans="1:18">
      <c r="A5925" s="556"/>
      <c r="B5925" s="557" t="str">
        <f>C5924</f>
        <v>Insumo</v>
      </c>
      <c r="C5925" s="108"/>
      <c r="D5925" s="108"/>
      <c r="E5925" s="108"/>
      <c r="F5925" s="108"/>
      <c r="G5925" s="108"/>
      <c r="H5925" s="108" t="s">
        <v>2898</v>
      </c>
      <c r="I5925" s="581">
        <v>91.98</v>
      </c>
      <c r="J5925" s="108" t="s">
        <v>2899</v>
      </c>
      <c r="K5925" s="581">
        <v>0</v>
      </c>
      <c r="L5925" s="108" t="s">
        <v>2900</v>
      </c>
      <c r="M5925" s="581">
        <v>91.98</v>
      </c>
      <c r="N5925" s="573">
        <v>29.83</v>
      </c>
      <c r="O5925" s="556" t="str">
        <f>IF(N5925=M5925,"OK","DIF")</f>
        <v>DIF</v>
      </c>
      <c r="P5925" s="573"/>
      <c r="Q5925" s="556"/>
      <c r="R5925" s="582"/>
    </row>
    <row r="5926" ht="26.25" spans="1:18">
      <c r="A5926" s="556" t="str">
        <f>B5926</f>
        <v>Insumo</v>
      </c>
      <c r="B5926" s="557" t="str">
        <f>B5925</f>
        <v>Insumo</v>
      </c>
      <c r="C5926" s="108"/>
      <c r="D5926" s="108"/>
      <c r="E5926" s="108"/>
      <c r="F5926" s="108"/>
      <c r="G5926" s="108"/>
      <c r="H5926" s="108" t="s">
        <v>2901</v>
      </c>
      <c r="I5926" s="581">
        <v>1647.03</v>
      </c>
      <c r="J5926" s="114"/>
      <c r="K5926" s="114" t="s">
        <v>2902</v>
      </c>
      <c r="L5926" s="108"/>
      <c r="M5926" s="581">
        <v>11864.35</v>
      </c>
      <c r="N5926" s="573">
        <v>4.53</v>
      </c>
      <c r="O5926" s="556" t="str">
        <f>IF(N5926=M5926,"OK","DIF")</f>
        <v>DIF</v>
      </c>
      <c r="P5926" s="573"/>
      <c r="Q5926" s="556"/>
      <c r="R5926" s="582"/>
    </row>
    <row r="5927" ht="15" spans="1:18">
      <c r="A5927" s="556" t="str">
        <f>B5927</f>
        <v>Insumo</v>
      </c>
      <c r="B5927" s="557" t="str">
        <f>B5926</f>
        <v>Insumo</v>
      </c>
      <c r="C5927" s="571"/>
      <c r="D5927" s="571"/>
      <c r="E5927" s="571"/>
      <c r="F5927" s="571"/>
      <c r="G5927" s="571"/>
      <c r="H5927" s="571"/>
      <c r="I5927" s="571"/>
      <c r="J5927" s="571"/>
      <c r="K5927" s="571"/>
      <c r="L5927" s="571"/>
      <c r="M5927" s="571"/>
      <c r="N5927" s="573">
        <v>5.6</v>
      </c>
      <c r="O5927" s="556" t="str">
        <f>IF(N5927=M5927,"OK","DIF")</f>
        <v>DIF</v>
      </c>
      <c r="P5927" s="573"/>
      <c r="Q5927" s="556"/>
      <c r="R5927" s="582"/>
    </row>
    <row r="5928" ht="15" customHeight="1" spans="1:18">
      <c r="A5928" s="556" t="str">
        <f>B5928</f>
        <v>Insumo</v>
      </c>
      <c r="B5928" s="557" t="str">
        <f>B5927</f>
        <v>Insumo</v>
      </c>
      <c r="C5928" s="76" t="s">
        <v>1993</v>
      </c>
      <c r="D5928" s="75" t="s">
        <v>63</v>
      </c>
      <c r="E5928" s="76" t="s">
        <v>64</v>
      </c>
      <c r="F5928" s="76" t="s">
        <v>65</v>
      </c>
      <c r="G5928" s="76" t="s">
        <v>2889</v>
      </c>
      <c r="H5928" s="76"/>
      <c r="I5928" s="77" t="s">
        <v>66</v>
      </c>
      <c r="J5928" s="75" t="s">
        <v>67</v>
      </c>
      <c r="K5928" s="75" t="s">
        <v>2890</v>
      </c>
      <c r="L5928" s="75" t="s">
        <v>68</v>
      </c>
      <c r="M5928" s="75" t="s">
        <v>70</v>
      </c>
      <c r="N5928" s="573">
        <v>19.7</v>
      </c>
      <c r="O5928" s="556" t="str">
        <f>IF(N5928=M5928,"OK","DIF")</f>
        <v>DIF</v>
      </c>
      <c r="P5928" s="573"/>
      <c r="Q5928" s="556"/>
      <c r="R5928" s="582"/>
    </row>
    <row r="5929" ht="15" customHeight="1" spans="1:18">
      <c r="A5929" s="556"/>
      <c r="B5929" s="557"/>
      <c r="C5929" s="569" t="s">
        <v>2891</v>
      </c>
      <c r="D5929" s="570" t="s">
        <v>1994</v>
      </c>
      <c r="E5929" s="569" t="s">
        <v>149</v>
      </c>
      <c r="F5929" s="569" t="s">
        <v>1995</v>
      </c>
      <c r="G5929" s="569" t="s">
        <v>33</v>
      </c>
      <c r="H5929" s="569"/>
      <c r="I5929" s="577" t="s">
        <v>134</v>
      </c>
      <c r="J5929" s="578">
        <v>1</v>
      </c>
      <c r="K5929" s="579"/>
      <c r="L5929" s="579">
        <v>182.47</v>
      </c>
      <c r="M5929" s="579">
        <v>182.47</v>
      </c>
      <c r="N5929" s="573"/>
      <c r="O5929" s="556"/>
      <c r="P5929" s="573"/>
      <c r="Q5929" s="556"/>
      <c r="R5929" s="582"/>
    </row>
    <row r="5930" ht="15" customHeight="1" spans="1:18">
      <c r="A5930" s="556"/>
      <c r="B5930" s="557"/>
      <c r="C5930" s="100" t="s">
        <v>2893</v>
      </c>
      <c r="D5930" s="99" t="s">
        <v>4665</v>
      </c>
      <c r="E5930" s="100" t="s">
        <v>149</v>
      </c>
      <c r="F5930" s="100" t="s">
        <v>4666</v>
      </c>
      <c r="G5930" s="100" t="s">
        <v>2896</v>
      </c>
      <c r="H5930" s="100"/>
      <c r="I5930" s="101" t="s">
        <v>2897</v>
      </c>
      <c r="J5930" s="580">
        <v>2.968</v>
      </c>
      <c r="K5930" s="580">
        <v>0</v>
      </c>
      <c r="L5930" s="102">
        <v>28.994744</v>
      </c>
      <c r="M5930" s="102">
        <v>86.05</v>
      </c>
      <c r="N5930" s="573"/>
      <c r="O5930" s="556"/>
      <c r="P5930" s="573"/>
      <c r="Q5930" s="556"/>
      <c r="R5930" s="582"/>
    </row>
    <row r="5931" ht="15" customHeight="1" spans="1:18">
      <c r="A5931" s="556"/>
      <c r="B5931" s="557" t="str">
        <f>C5930</f>
        <v>Insumo</v>
      </c>
      <c r="C5931" s="100" t="s">
        <v>2893</v>
      </c>
      <c r="D5931" s="99" t="s">
        <v>2984</v>
      </c>
      <c r="E5931" s="100" t="s">
        <v>149</v>
      </c>
      <c r="F5931" s="100" t="s">
        <v>2985</v>
      </c>
      <c r="G5931" s="100" t="s">
        <v>2896</v>
      </c>
      <c r="H5931" s="100"/>
      <c r="I5931" s="101" t="s">
        <v>2897</v>
      </c>
      <c r="J5931" s="580">
        <v>3.196</v>
      </c>
      <c r="K5931" s="580">
        <v>0</v>
      </c>
      <c r="L5931" s="102">
        <v>20.515752</v>
      </c>
      <c r="M5931" s="102">
        <v>65.56</v>
      </c>
      <c r="N5931" s="573">
        <v>52.21</v>
      </c>
      <c r="O5931" s="556" t="str">
        <f>IF(N5931=M5931,"OK","DIF")</f>
        <v>DIF</v>
      </c>
      <c r="P5931" s="573"/>
      <c r="Q5931" s="556"/>
      <c r="R5931" s="582"/>
    </row>
    <row r="5932" ht="23.85" customHeight="1" spans="1:18">
      <c r="A5932" s="556" t="str">
        <f>B5932</f>
        <v>Insumo</v>
      </c>
      <c r="B5932" s="557" t="str">
        <f>B5931</f>
        <v>Insumo</v>
      </c>
      <c r="C5932" s="100" t="s">
        <v>2893</v>
      </c>
      <c r="D5932" s="99" t="s">
        <v>4667</v>
      </c>
      <c r="E5932" s="100" t="s">
        <v>149</v>
      </c>
      <c r="F5932" s="100" t="s">
        <v>4668</v>
      </c>
      <c r="G5932" s="100" t="s">
        <v>2961</v>
      </c>
      <c r="H5932" s="100"/>
      <c r="I5932" s="101" t="s">
        <v>141</v>
      </c>
      <c r="J5932" s="580">
        <v>1</v>
      </c>
      <c r="K5932" s="580">
        <v>0</v>
      </c>
      <c r="L5932" s="102">
        <v>30.86</v>
      </c>
      <c r="M5932" s="102">
        <v>30.86</v>
      </c>
      <c r="N5932" s="573">
        <v>6.81</v>
      </c>
      <c r="O5932" s="556" t="str">
        <f>IF(N5932=M5932,"OK","DIF")</f>
        <v>DIF</v>
      </c>
      <c r="P5932" s="573"/>
      <c r="Q5932" s="556"/>
      <c r="R5932" s="582"/>
    </row>
    <row r="5933" ht="25.5" spans="1:18">
      <c r="A5933" s="556" t="str">
        <f>B5933</f>
        <v>Insumo</v>
      </c>
      <c r="B5933" s="557" t="str">
        <f>B5932</f>
        <v>Insumo</v>
      </c>
      <c r="C5933" s="108"/>
      <c r="D5933" s="108"/>
      <c r="E5933" s="108"/>
      <c r="F5933" s="108"/>
      <c r="G5933" s="108"/>
      <c r="H5933" s="108" t="s">
        <v>2898</v>
      </c>
      <c r="I5933" s="581">
        <v>151.61</v>
      </c>
      <c r="J5933" s="108" t="s">
        <v>2899</v>
      </c>
      <c r="K5933" s="581">
        <v>0</v>
      </c>
      <c r="L5933" s="108" t="s">
        <v>2900</v>
      </c>
      <c r="M5933" s="581">
        <v>151.61</v>
      </c>
      <c r="N5933" s="573">
        <v>8.42</v>
      </c>
      <c r="O5933" s="556" t="str">
        <f>IF(N5933=M5933,"OK","DIF")</f>
        <v>DIF</v>
      </c>
      <c r="P5933" s="573"/>
      <c r="Q5933" s="556"/>
      <c r="R5933" s="582"/>
    </row>
    <row r="5934" ht="26.25" spans="1:18">
      <c r="A5934" s="556" t="str">
        <f>B5934</f>
        <v>Insumo</v>
      </c>
      <c r="B5934" s="557" t="str">
        <f>B5933</f>
        <v>Insumo</v>
      </c>
      <c r="C5934" s="108"/>
      <c r="D5934" s="108"/>
      <c r="E5934" s="108"/>
      <c r="F5934" s="108"/>
      <c r="G5934" s="108"/>
      <c r="H5934" s="108" t="s">
        <v>2901</v>
      </c>
      <c r="I5934" s="581">
        <v>46.51</v>
      </c>
      <c r="J5934" s="114"/>
      <c r="K5934" s="114" t="s">
        <v>2902</v>
      </c>
      <c r="L5934" s="108"/>
      <c r="M5934" s="581">
        <v>228.98</v>
      </c>
      <c r="N5934" s="573">
        <v>36.98</v>
      </c>
      <c r="O5934" s="556" t="str">
        <f>IF(N5934=M5934,"OK","DIF")</f>
        <v>DIF</v>
      </c>
      <c r="P5934" s="573"/>
      <c r="Q5934" s="556"/>
      <c r="R5934" s="582"/>
    </row>
    <row r="5935" ht="15" spans="1:18">
      <c r="A5935" s="556"/>
      <c r="B5935" s="557"/>
      <c r="C5935" s="571"/>
      <c r="D5935" s="571"/>
      <c r="E5935" s="571"/>
      <c r="F5935" s="571"/>
      <c r="G5935" s="571"/>
      <c r="H5935" s="571"/>
      <c r="I5935" s="571"/>
      <c r="J5935" s="571"/>
      <c r="K5935" s="571"/>
      <c r="L5935" s="571"/>
      <c r="M5935" s="571"/>
      <c r="N5935" s="573"/>
      <c r="O5935" s="556"/>
      <c r="P5935" s="573"/>
      <c r="Q5935" s="556"/>
      <c r="R5935" s="582"/>
    </row>
    <row r="5936" ht="15" customHeight="1" spans="1:18">
      <c r="A5936" s="556"/>
      <c r="B5936" s="557"/>
      <c r="C5936" s="76" t="s">
        <v>1998</v>
      </c>
      <c r="D5936" s="75" t="s">
        <v>63</v>
      </c>
      <c r="E5936" s="76" t="s">
        <v>64</v>
      </c>
      <c r="F5936" s="76" t="s">
        <v>65</v>
      </c>
      <c r="G5936" s="76" t="s">
        <v>2889</v>
      </c>
      <c r="H5936" s="76"/>
      <c r="I5936" s="77" t="s">
        <v>66</v>
      </c>
      <c r="J5936" s="75" t="s">
        <v>67</v>
      </c>
      <c r="K5936" s="75" t="s">
        <v>2890</v>
      </c>
      <c r="L5936" s="75" t="s">
        <v>68</v>
      </c>
      <c r="M5936" s="75" t="s">
        <v>70</v>
      </c>
      <c r="N5936" s="573"/>
      <c r="O5936" s="556"/>
      <c r="P5936" s="573"/>
      <c r="Q5936" s="556"/>
      <c r="R5936" s="582"/>
    </row>
    <row r="5937" ht="35.05" customHeight="1" spans="1:18">
      <c r="A5937" s="556"/>
      <c r="B5937" s="557" t="str">
        <f>C5936</f>
        <v> 14.2.2.1 </v>
      </c>
      <c r="C5937" s="569" t="s">
        <v>2891</v>
      </c>
      <c r="D5937" s="570" t="s">
        <v>1999</v>
      </c>
      <c r="E5937" s="569" t="s">
        <v>139</v>
      </c>
      <c r="F5937" s="569" t="s">
        <v>2000</v>
      </c>
      <c r="G5937" s="569" t="s">
        <v>3642</v>
      </c>
      <c r="H5937" s="569"/>
      <c r="I5937" s="577" t="s">
        <v>204</v>
      </c>
      <c r="J5937" s="578">
        <v>1</v>
      </c>
      <c r="K5937" s="579"/>
      <c r="L5937" s="579">
        <v>43.95</v>
      </c>
      <c r="M5937" s="579">
        <v>43.95</v>
      </c>
      <c r="N5937" s="573">
        <v>62.75</v>
      </c>
      <c r="O5937" s="556" t="str">
        <f>IF(N5937=M5937,"OK","DIF")</f>
        <v>DIF</v>
      </c>
      <c r="P5937" s="573"/>
      <c r="Q5937" s="556"/>
      <c r="R5937" s="582"/>
    </row>
    <row r="5938" ht="23.85" customHeight="1" spans="1:18">
      <c r="A5938" s="556" t="str">
        <f>B5938</f>
        <v> 14.2.2.1 </v>
      </c>
      <c r="B5938" s="557" t="str">
        <f>B5937</f>
        <v> 14.2.2.1 </v>
      </c>
      <c r="C5938" s="79" t="s">
        <v>2921</v>
      </c>
      <c r="D5938" s="78" t="s">
        <v>3144</v>
      </c>
      <c r="E5938" s="79" t="s">
        <v>139</v>
      </c>
      <c r="F5938" s="79" t="s">
        <v>3145</v>
      </c>
      <c r="G5938" s="79" t="s">
        <v>2928</v>
      </c>
      <c r="H5938" s="79"/>
      <c r="I5938" s="80" t="s">
        <v>2897</v>
      </c>
      <c r="J5938" s="583">
        <v>0.297</v>
      </c>
      <c r="K5938" s="583">
        <v>0</v>
      </c>
      <c r="L5938" s="92">
        <v>35.55</v>
      </c>
      <c r="M5938" s="92">
        <v>10.55</v>
      </c>
      <c r="N5938" s="573">
        <v>8.9</v>
      </c>
      <c r="O5938" s="556" t="str">
        <f>IF(N5938=M5938,"OK","DIF")</f>
        <v>DIF</v>
      </c>
      <c r="P5938" s="573"/>
      <c r="Q5938" s="556"/>
      <c r="R5938" s="582"/>
    </row>
    <row r="5939" ht="23.85" customHeight="1" spans="1:18">
      <c r="A5939" s="556" t="str">
        <f>B5939</f>
        <v> 14.2.2.1 </v>
      </c>
      <c r="B5939" s="557" t="str">
        <f>B5938</f>
        <v> 14.2.2.1 </v>
      </c>
      <c r="C5939" s="79" t="s">
        <v>2921</v>
      </c>
      <c r="D5939" s="78" t="s">
        <v>3146</v>
      </c>
      <c r="E5939" s="79" t="s">
        <v>139</v>
      </c>
      <c r="F5939" s="79" t="s">
        <v>3147</v>
      </c>
      <c r="G5939" s="79" t="s">
        <v>2928</v>
      </c>
      <c r="H5939" s="79"/>
      <c r="I5939" s="80" t="s">
        <v>2897</v>
      </c>
      <c r="J5939" s="583">
        <v>0.297</v>
      </c>
      <c r="K5939" s="583">
        <v>0</v>
      </c>
      <c r="L5939" s="92">
        <v>29.54</v>
      </c>
      <c r="M5939" s="92">
        <v>8.77</v>
      </c>
      <c r="N5939" s="573">
        <v>7.21</v>
      </c>
      <c r="O5939" s="556" t="str">
        <f>IF(N5939=M5939,"OK","DIF")</f>
        <v>DIF</v>
      </c>
      <c r="P5939" s="573"/>
      <c r="Q5939" s="556"/>
      <c r="R5939" s="582"/>
    </row>
    <row r="5940" ht="23.85" customHeight="1" spans="1:18">
      <c r="A5940" s="556" t="str">
        <f>B5940</f>
        <v> 14.2.2.1 </v>
      </c>
      <c r="B5940" s="557" t="str">
        <f>B5939</f>
        <v> 14.2.2.1 </v>
      </c>
      <c r="C5940" s="100" t="s">
        <v>2893</v>
      </c>
      <c r="D5940" s="99" t="s">
        <v>4669</v>
      </c>
      <c r="E5940" s="100" t="s">
        <v>139</v>
      </c>
      <c r="F5940" s="100" t="s">
        <v>4670</v>
      </c>
      <c r="G5940" s="100" t="s">
        <v>2961</v>
      </c>
      <c r="H5940" s="100"/>
      <c r="I5940" s="101" t="s">
        <v>204</v>
      </c>
      <c r="J5940" s="580">
        <v>1.039</v>
      </c>
      <c r="K5940" s="580">
        <v>0</v>
      </c>
      <c r="L5940" s="102">
        <v>23.71</v>
      </c>
      <c r="M5940" s="102">
        <v>24.63</v>
      </c>
      <c r="N5940" s="573">
        <v>46.64</v>
      </c>
      <c r="O5940" s="556" t="str">
        <f>IF(N5940=M5940,"OK","DIF")</f>
        <v>DIF</v>
      </c>
      <c r="P5940" s="573"/>
      <c r="Q5940" s="556"/>
      <c r="R5940" s="582"/>
    </row>
    <row r="5941" ht="25.5" spans="1:18">
      <c r="A5941" s="556"/>
      <c r="B5941" s="557"/>
      <c r="C5941" s="108"/>
      <c r="D5941" s="108"/>
      <c r="E5941" s="108"/>
      <c r="F5941" s="108"/>
      <c r="G5941" s="108"/>
      <c r="H5941" s="108" t="s">
        <v>2898</v>
      </c>
      <c r="I5941" s="581">
        <v>13.76</v>
      </c>
      <c r="J5941" s="108" t="s">
        <v>2899</v>
      </c>
      <c r="K5941" s="581">
        <v>0</v>
      </c>
      <c r="L5941" s="108" t="s">
        <v>2900</v>
      </c>
      <c r="M5941" s="581">
        <v>13.76</v>
      </c>
      <c r="N5941" s="573"/>
      <c r="O5941" s="556"/>
      <c r="P5941" s="573"/>
      <c r="Q5941" s="556"/>
      <c r="R5941" s="582"/>
    </row>
    <row r="5942" ht="26.25" spans="1:18">
      <c r="A5942" s="556"/>
      <c r="B5942" s="557"/>
      <c r="C5942" s="108"/>
      <c r="D5942" s="108"/>
      <c r="E5942" s="108"/>
      <c r="F5942" s="108"/>
      <c r="G5942" s="108"/>
      <c r="H5942" s="108" t="s">
        <v>2901</v>
      </c>
      <c r="I5942" s="581">
        <v>11.2</v>
      </c>
      <c r="J5942" s="114"/>
      <c r="K5942" s="114" t="s">
        <v>2902</v>
      </c>
      <c r="L5942" s="108"/>
      <c r="M5942" s="581">
        <v>55.15</v>
      </c>
      <c r="N5942" s="573"/>
      <c r="O5942" s="556"/>
      <c r="P5942" s="573"/>
      <c r="Q5942" s="556"/>
      <c r="R5942" s="582"/>
    </row>
    <row r="5943" ht="15" spans="1:18">
      <c r="A5943" s="556"/>
      <c r="B5943" s="557">
        <f>C5942</f>
        <v>0</v>
      </c>
      <c r="C5943" s="571"/>
      <c r="D5943" s="571"/>
      <c r="E5943" s="571"/>
      <c r="F5943" s="571"/>
      <c r="G5943" s="571"/>
      <c r="H5943" s="571"/>
      <c r="I5943" s="571"/>
      <c r="J5943" s="571"/>
      <c r="K5943" s="571"/>
      <c r="L5943" s="571"/>
      <c r="M5943" s="571"/>
      <c r="N5943" s="573">
        <v>71.28</v>
      </c>
      <c r="O5943" s="556" t="str">
        <f>IF(N5943=M5943,"OK","DIF")</f>
        <v>DIF</v>
      </c>
      <c r="P5943" s="573"/>
      <c r="Q5943" s="556"/>
      <c r="R5943" s="582"/>
    </row>
    <row r="5944" ht="15" customHeight="1" spans="1:18">
      <c r="A5944" s="556">
        <f>B5944</f>
        <v>0</v>
      </c>
      <c r="B5944" s="557">
        <f>B5943</f>
        <v>0</v>
      </c>
      <c r="C5944" s="76" t="s">
        <v>2001</v>
      </c>
      <c r="D5944" s="75" t="s">
        <v>63</v>
      </c>
      <c r="E5944" s="76" t="s">
        <v>64</v>
      </c>
      <c r="F5944" s="76" t="s">
        <v>65</v>
      </c>
      <c r="G5944" s="76" t="s">
        <v>2889</v>
      </c>
      <c r="H5944" s="76"/>
      <c r="I5944" s="77" t="s">
        <v>66</v>
      </c>
      <c r="J5944" s="75" t="s">
        <v>67</v>
      </c>
      <c r="K5944" s="75" t="s">
        <v>2890</v>
      </c>
      <c r="L5944" s="75" t="s">
        <v>68</v>
      </c>
      <c r="M5944" s="75" t="s">
        <v>70</v>
      </c>
      <c r="N5944" s="573">
        <v>7.65</v>
      </c>
      <c r="O5944" s="556" t="str">
        <f>IF(N5944=M5944,"OK","DIF")</f>
        <v>DIF</v>
      </c>
      <c r="P5944" s="573"/>
      <c r="Q5944" s="556"/>
      <c r="R5944" s="582"/>
    </row>
    <row r="5945" ht="23.85" customHeight="1" spans="1:18">
      <c r="A5945" s="556">
        <f>B5945</f>
        <v>0</v>
      </c>
      <c r="B5945" s="557">
        <f>B5944</f>
        <v>0</v>
      </c>
      <c r="C5945" s="569" t="s">
        <v>2891</v>
      </c>
      <c r="D5945" s="570" t="s">
        <v>2002</v>
      </c>
      <c r="E5945" s="569" t="s">
        <v>149</v>
      </c>
      <c r="F5945" s="569" t="s">
        <v>2003</v>
      </c>
      <c r="G5945" s="569" t="s">
        <v>3657</v>
      </c>
      <c r="H5945" s="569"/>
      <c r="I5945" s="577" t="s">
        <v>134</v>
      </c>
      <c r="J5945" s="578">
        <v>1</v>
      </c>
      <c r="K5945" s="579"/>
      <c r="L5945" s="579">
        <v>97.18</v>
      </c>
      <c r="M5945" s="579">
        <v>97.18</v>
      </c>
      <c r="N5945" s="573">
        <v>9.45</v>
      </c>
      <c r="O5945" s="556" t="str">
        <f>IF(N5945=M5945,"OK","DIF")</f>
        <v>DIF</v>
      </c>
      <c r="P5945" s="573"/>
      <c r="Q5945" s="556"/>
      <c r="R5945" s="582"/>
    </row>
    <row r="5946" ht="15" customHeight="1" spans="1:18">
      <c r="A5946" s="556">
        <f>B5946</f>
        <v>0</v>
      </c>
      <c r="B5946" s="557">
        <f>B5945</f>
        <v>0</v>
      </c>
      <c r="C5946" s="100" t="s">
        <v>2893</v>
      </c>
      <c r="D5946" s="99" t="s">
        <v>4671</v>
      </c>
      <c r="E5946" s="100" t="s">
        <v>149</v>
      </c>
      <c r="F5946" s="100" t="s">
        <v>4672</v>
      </c>
      <c r="G5946" s="100" t="s">
        <v>2961</v>
      </c>
      <c r="H5946" s="100"/>
      <c r="I5946" s="101" t="s">
        <v>134</v>
      </c>
      <c r="J5946" s="580">
        <v>1</v>
      </c>
      <c r="K5946" s="580">
        <v>0</v>
      </c>
      <c r="L5946" s="102">
        <v>79.9</v>
      </c>
      <c r="M5946" s="102">
        <v>79.9</v>
      </c>
      <c r="N5946" s="573">
        <v>54.18</v>
      </c>
      <c r="O5946" s="556" t="str">
        <f>IF(N5946=M5946,"OK","DIF")</f>
        <v>DIF</v>
      </c>
      <c r="P5946" s="573"/>
      <c r="Q5946" s="556"/>
      <c r="R5946" s="582"/>
    </row>
    <row r="5947" ht="15" customHeight="1" spans="1:18">
      <c r="A5947" s="556"/>
      <c r="B5947" s="557"/>
      <c r="C5947" s="100" t="s">
        <v>2893</v>
      </c>
      <c r="D5947" s="99" t="s">
        <v>2988</v>
      </c>
      <c r="E5947" s="100" t="s">
        <v>149</v>
      </c>
      <c r="F5947" s="100" t="s">
        <v>2989</v>
      </c>
      <c r="G5947" s="100" t="s">
        <v>2896</v>
      </c>
      <c r="H5947" s="100"/>
      <c r="I5947" s="101" t="s">
        <v>2897</v>
      </c>
      <c r="J5947" s="580">
        <v>0.361</v>
      </c>
      <c r="K5947" s="580">
        <v>0</v>
      </c>
      <c r="L5947" s="102">
        <v>26.928256</v>
      </c>
      <c r="M5947" s="102">
        <v>9.72</v>
      </c>
      <c r="N5947" s="573"/>
      <c r="O5947" s="556"/>
      <c r="P5947" s="573"/>
      <c r="Q5947" s="556"/>
      <c r="R5947" s="582"/>
    </row>
    <row r="5948" ht="15" customHeight="1" spans="1:18">
      <c r="A5948" s="556"/>
      <c r="B5948" s="557"/>
      <c r="C5948" s="100" t="s">
        <v>2893</v>
      </c>
      <c r="D5948" s="99" t="s">
        <v>3662</v>
      </c>
      <c r="E5948" s="100" t="s">
        <v>149</v>
      </c>
      <c r="F5948" s="100" t="s">
        <v>3663</v>
      </c>
      <c r="G5948" s="100" t="s">
        <v>2961</v>
      </c>
      <c r="H5948" s="100"/>
      <c r="I5948" s="101" t="s">
        <v>204</v>
      </c>
      <c r="J5948" s="580">
        <v>0.478</v>
      </c>
      <c r="K5948" s="580">
        <v>0</v>
      </c>
      <c r="L5948" s="102">
        <v>0.35</v>
      </c>
      <c r="M5948" s="102">
        <v>0.16</v>
      </c>
      <c r="N5948" s="573"/>
      <c r="O5948" s="556"/>
      <c r="P5948" s="573"/>
      <c r="Q5948" s="556"/>
      <c r="R5948" s="582"/>
    </row>
    <row r="5949" ht="15" customHeight="1" spans="1:18">
      <c r="A5949" s="556"/>
      <c r="B5949" s="557" t="str">
        <f>C5948</f>
        <v>Insumo</v>
      </c>
      <c r="C5949" s="100" t="s">
        <v>2893</v>
      </c>
      <c r="D5949" s="99" t="s">
        <v>3660</v>
      </c>
      <c r="E5949" s="100" t="s">
        <v>149</v>
      </c>
      <c r="F5949" s="100" t="s">
        <v>3661</v>
      </c>
      <c r="G5949" s="100" t="s">
        <v>2896</v>
      </c>
      <c r="H5949" s="100"/>
      <c r="I5949" s="101" t="s">
        <v>2897</v>
      </c>
      <c r="J5949" s="580">
        <v>0.361</v>
      </c>
      <c r="K5949" s="580">
        <v>0</v>
      </c>
      <c r="L5949" s="102">
        <v>20.515752</v>
      </c>
      <c r="M5949" s="102">
        <v>7.4</v>
      </c>
      <c r="N5949" s="573">
        <v>96.47</v>
      </c>
      <c r="O5949" s="556" t="str">
        <f>IF(N5949=M5949,"OK","DIF")</f>
        <v>DIF</v>
      </c>
      <c r="P5949" s="573"/>
      <c r="Q5949" s="556"/>
      <c r="R5949" s="582"/>
    </row>
    <row r="5950" ht="25.5" spans="1:18">
      <c r="A5950" s="556" t="str">
        <f>B5950</f>
        <v>Insumo</v>
      </c>
      <c r="B5950" s="557" t="str">
        <f>B5949</f>
        <v>Insumo</v>
      </c>
      <c r="C5950" s="108"/>
      <c r="D5950" s="108"/>
      <c r="E5950" s="108"/>
      <c r="F5950" s="108"/>
      <c r="G5950" s="108"/>
      <c r="H5950" s="108" t="s">
        <v>2898</v>
      </c>
      <c r="I5950" s="581">
        <v>17.12</v>
      </c>
      <c r="J5950" s="108" t="s">
        <v>2899</v>
      </c>
      <c r="K5950" s="581">
        <v>0</v>
      </c>
      <c r="L5950" s="108" t="s">
        <v>2900</v>
      </c>
      <c r="M5950" s="581">
        <v>17.12</v>
      </c>
      <c r="N5950" s="573">
        <v>10.13</v>
      </c>
      <c r="O5950" s="556" t="str">
        <f>IF(N5950=M5950,"OK","DIF")</f>
        <v>DIF</v>
      </c>
      <c r="P5950" s="573"/>
      <c r="Q5950" s="556"/>
      <c r="R5950" s="582"/>
    </row>
    <row r="5951" ht="26.25" spans="1:18">
      <c r="A5951" s="556" t="str">
        <f>B5951</f>
        <v>Insumo</v>
      </c>
      <c r="B5951" s="557" t="str">
        <f>B5950</f>
        <v>Insumo</v>
      </c>
      <c r="C5951" s="108"/>
      <c r="D5951" s="108"/>
      <c r="E5951" s="108"/>
      <c r="F5951" s="108"/>
      <c r="G5951" s="108"/>
      <c r="H5951" s="108" t="s">
        <v>2901</v>
      </c>
      <c r="I5951" s="581">
        <v>24.77</v>
      </c>
      <c r="J5951" s="114"/>
      <c r="K5951" s="114" t="s">
        <v>2902</v>
      </c>
      <c r="L5951" s="108"/>
      <c r="M5951" s="581">
        <v>121.95</v>
      </c>
      <c r="N5951" s="573">
        <v>8.2</v>
      </c>
      <c r="O5951" s="556" t="str">
        <f>IF(N5951=M5951,"OK","DIF")</f>
        <v>DIF</v>
      </c>
      <c r="P5951" s="573"/>
      <c r="Q5951" s="556"/>
      <c r="R5951" s="582"/>
    </row>
    <row r="5952" ht="15" spans="1:18">
      <c r="A5952" s="556" t="str">
        <f>B5952</f>
        <v>Insumo</v>
      </c>
      <c r="B5952" s="557" t="str">
        <f>B5951</f>
        <v>Insumo</v>
      </c>
      <c r="C5952" s="571"/>
      <c r="D5952" s="571"/>
      <c r="E5952" s="571"/>
      <c r="F5952" s="571"/>
      <c r="G5952" s="571"/>
      <c r="H5952" s="571"/>
      <c r="I5952" s="571"/>
      <c r="J5952" s="571"/>
      <c r="K5952" s="571"/>
      <c r="L5952" s="571"/>
      <c r="M5952" s="571"/>
      <c r="N5952" s="573">
        <v>78.14</v>
      </c>
      <c r="O5952" s="556" t="str">
        <f>IF(N5952=M5952,"OK","DIF")</f>
        <v>DIF</v>
      </c>
      <c r="P5952" s="573"/>
      <c r="Q5952" s="556"/>
      <c r="R5952" s="582"/>
    </row>
    <row r="5953" ht="15" customHeight="1" spans="1:18">
      <c r="A5953" s="556"/>
      <c r="B5953" s="557"/>
      <c r="C5953" s="76" t="s">
        <v>2004</v>
      </c>
      <c r="D5953" s="75" t="s">
        <v>63</v>
      </c>
      <c r="E5953" s="76" t="s">
        <v>64</v>
      </c>
      <c r="F5953" s="76" t="s">
        <v>65</v>
      </c>
      <c r="G5953" s="76" t="s">
        <v>2889</v>
      </c>
      <c r="H5953" s="76"/>
      <c r="I5953" s="77" t="s">
        <v>66</v>
      </c>
      <c r="J5953" s="75" t="s">
        <v>67</v>
      </c>
      <c r="K5953" s="75" t="s">
        <v>2890</v>
      </c>
      <c r="L5953" s="75" t="s">
        <v>68</v>
      </c>
      <c r="M5953" s="75" t="s">
        <v>70</v>
      </c>
      <c r="N5953" s="573"/>
      <c r="O5953" s="556"/>
      <c r="P5953" s="573"/>
      <c r="Q5953" s="556"/>
      <c r="R5953" s="582"/>
    </row>
    <row r="5954" ht="23.85" customHeight="1" spans="1:18">
      <c r="A5954" s="556"/>
      <c r="B5954" s="557"/>
      <c r="C5954" s="569" t="s">
        <v>2891</v>
      </c>
      <c r="D5954" s="570" t="s">
        <v>820</v>
      </c>
      <c r="E5954" s="569" t="s">
        <v>139</v>
      </c>
      <c r="F5954" s="569" t="s">
        <v>821</v>
      </c>
      <c r="G5954" s="569" t="s">
        <v>3198</v>
      </c>
      <c r="H5954" s="569"/>
      <c r="I5954" s="577" t="s">
        <v>134</v>
      </c>
      <c r="J5954" s="578">
        <v>1</v>
      </c>
      <c r="K5954" s="579"/>
      <c r="L5954" s="579">
        <v>42.03</v>
      </c>
      <c r="M5954" s="579">
        <v>42.03</v>
      </c>
      <c r="N5954" s="573"/>
      <c r="O5954" s="556"/>
      <c r="P5954" s="573"/>
      <c r="Q5954" s="556"/>
      <c r="R5954" s="582"/>
    </row>
    <row r="5955" ht="23.85" customHeight="1" spans="1:18">
      <c r="A5955" s="556"/>
      <c r="B5955" s="557" t="str">
        <f>C5954</f>
        <v>Composição</v>
      </c>
      <c r="C5955" s="79" t="s">
        <v>2921</v>
      </c>
      <c r="D5955" s="78" t="s">
        <v>3146</v>
      </c>
      <c r="E5955" s="79" t="s">
        <v>139</v>
      </c>
      <c r="F5955" s="79" t="s">
        <v>3147</v>
      </c>
      <c r="G5955" s="79" t="s">
        <v>2928</v>
      </c>
      <c r="H5955" s="79"/>
      <c r="I5955" s="80" t="s">
        <v>2897</v>
      </c>
      <c r="J5955" s="583">
        <v>0.0719</v>
      </c>
      <c r="K5955" s="583">
        <v>0</v>
      </c>
      <c r="L5955" s="92">
        <v>29.54</v>
      </c>
      <c r="M5955" s="92">
        <v>2.12</v>
      </c>
      <c r="N5955" s="573">
        <v>117.17</v>
      </c>
      <c r="O5955" s="556" t="str">
        <f>IF(N5955=M5955,"OK","DIF")</f>
        <v>DIF</v>
      </c>
      <c r="P5955" s="573"/>
      <c r="Q5955" s="556"/>
      <c r="R5955" s="582"/>
    </row>
    <row r="5956" ht="23.85" customHeight="1" spans="1:18">
      <c r="A5956" s="556" t="str">
        <f>B5956</f>
        <v>Composição</v>
      </c>
      <c r="B5956" s="557" t="str">
        <f>B5955</f>
        <v>Composição</v>
      </c>
      <c r="C5956" s="79" t="s">
        <v>2921</v>
      </c>
      <c r="D5956" s="78" t="s">
        <v>3144</v>
      </c>
      <c r="E5956" s="79" t="s">
        <v>139</v>
      </c>
      <c r="F5956" s="79" t="s">
        <v>3145</v>
      </c>
      <c r="G5956" s="79" t="s">
        <v>2928</v>
      </c>
      <c r="H5956" s="79"/>
      <c r="I5956" s="80" t="s">
        <v>2897</v>
      </c>
      <c r="J5956" s="583">
        <v>0.0719</v>
      </c>
      <c r="K5956" s="583">
        <v>0</v>
      </c>
      <c r="L5956" s="92">
        <v>35.55</v>
      </c>
      <c r="M5956" s="92">
        <v>2.55</v>
      </c>
      <c r="N5956" s="573">
        <v>11.17</v>
      </c>
      <c r="O5956" s="556" t="str">
        <f>IF(N5956=M5956,"OK","DIF")</f>
        <v>DIF</v>
      </c>
      <c r="P5956" s="573"/>
      <c r="Q5956" s="556"/>
      <c r="R5956" s="582"/>
    </row>
    <row r="5957" ht="15" customHeight="1" spans="1:18">
      <c r="A5957" s="556" t="str">
        <f>B5957</f>
        <v>Composição</v>
      </c>
      <c r="B5957" s="557" t="str">
        <f>B5956</f>
        <v>Composição</v>
      </c>
      <c r="C5957" s="100" t="s">
        <v>2893</v>
      </c>
      <c r="D5957" s="99" t="s">
        <v>3643</v>
      </c>
      <c r="E5957" s="100" t="s">
        <v>139</v>
      </c>
      <c r="F5957" s="100" t="s">
        <v>3644</v>
      </c>
      <c r="G5957" s="100" t="s">
        <v>2961</v>
      </c>
      <c r="H5957" s="100"/>
      <c r="I5957" s="101" t="s">
        <v>134</v>
      </c>
      <c r="J5957" s="580">
        <v>0.0084</v>
      </c>
      <c r="K5957" s="580">
        <v>0</v>
      </c>
      <c r="L5957" s="102">
        <v>13.46</v>
      </c>
      <c r="M5957" s="102">
        <v>0.11</v>
      </c>
      <c r="N5957" s="573">
        <v>9.04</v>
      </c>
      <c r="O5957" s="556" t="str">
        <f>IF(N5957=M5957,"OK","DIF")</f>
        <v>DIF</v>
      </c>
      <c r="P5957" s="573"/>
      <c r="Q5957" s="556"/>
      <c r="R5957" s="582"/>
    </row>
    <row r="5958" ht="15" customHeight="1" spans="1:18">
      <c r="A5958" s="556" t="str">
        <f>B5958</f>
        <v>Composição</v>
      </c>
      <c r="B5958" s="557" t="str">
        <f>B5957</f>
        <v>Composição</v>
      </c>
      <c r="C5958" s="100" t="s">
        <v>2893</v>
      </c>
      <c r="D5958" s="99" t="s">
        <v>3725</v>
      </c>
      <c r="E5958" s="100" t="s">
        <v>139</v>
      </c>
      <c r="F5958" s="100" t="s">
        <v>3726</v>
      </c>
      <c r="G5958" s="100" t="s">
        <v>2961</v>
      </c>
      <c r="H5958" s="100"/>
      <c r="I5958" s="101" t="s">
        <v>134</v>
      </c>
      <c r="J5958" s="580">
        <v>1</v>
      </c>
      <c r="K5958" s="580">
        <v>0</v>
      </c>
      <c r="L5958" s="102">
        <v>37.25</v>
      </c>
      <c r="M5958" s="102">
        <v>37.25</v>
      </c>
      <c r="N5958" s="573">
        <v>96.96</v>
      </c>
      <c r="O5958" s="556" t="str">
        <f>IF(N5958=M5958,"OK","DIF")</f>
        <v>DIF</v>
      </c>
      <c r="P5958" s="573"/>
      <c r="Q5958" s="556"/>
      <c r="R5958" s="582"/>
    </row>
    <row r="5959" ht="25.5" spans="1:18">
      <c r="A5959" s="556"/>
      <c r="B5959" s="557"/>
      <c r="C5959" s="108"/>
      <c r="D5959" s="108"/>
      <c r="E5959" s="108"/>
      <c r="F5959" s="108"/>
      <c r="G5959" s="108"/>
      <c r="H5959" s="108" t="s">
        <v>2898</v>
      </c>
      <c r="I5959" s="581">
        <v>3.33</v>
      </c>
      <c r="J5959" s="108" t="s">
        <v>2899</v>
      </c>
      <c r="K5959" s="581">
        <v>0</v>
      </c>
      <c r="L5959" s="108" t="s">
        <v>2900</v>
      </c>
      <c r="M5959" s="581">
        <v>3.33</v>
      </c>
      <c r="N5959" s="573"/>
      <c r="O5959" s="556"/>
      <c r="P5959" s="573"/>
      <c r="Q5959" s="556"/>
      <c r="R5959" s="582"/>
    </row>
    <row r="5960" ht="26.25" spans="1:18">
      <c r="A5960" s="556"/>
      <c r="B5960" s="557"/>
      <c r="C5960" s="108"/>
      <c r="D5960" s="108"/>
      <c r="E5960" s="108"/>
      <c r="F5960" s="108"/>
      <c r="G5960" s="108"/>
      <c r="H5960" s="108" t="s">
        <v>2901</v>
      </c>
      <c r="I5960" s="581">
        <v>10.71</v>
      </c>
      <c r="J5960" s="114"/>
      <c r="K5960" s="114" t="s">
        <v>2902</v>
      </c>
      <c r="L5960" s="108"/>
      <c r="M5960" s="581">
        <v>52.74</v>
      </c>
      <c r="N5960" s="573"/>
      <c r="O5960" s="556"/>
      <c r="P5960" s="573"/>
      <c r="Q5960" s="556"/>
      <c r="R5960" s="582"/>
    </row>
    <row r="5961" ht="15" spans="1:18">
      <c r="A5961" s="556"/>
      <c r="B5961" s="557">
        <f>C5960</f>
        <v>0</v>
      </c>
      <c r="C5961" s="571"/>
      <c r="D5961" s="571"/>
      <c r="E5961" s="571"/>
      <c r="F5961" s="571"/>
      <c r="G5961" s="571"/>
      <c r="H5961" s="571"/>
      <c r="I5961" s="571"/>
      <c r="J5961" s="571"/>
      <c r="K5961" s="571"/>
      <c r="L5961" s="571"/>
      <c r="M5961" s="571"/>
      <c r="N5961" s="573">
        <v>313.85</v>
      </c>
      <c r="O5961" s="556" t="str">
        <f>IF(N5961=M5961,"OK","DIF")</f>
        <v>DIF</v>
      </c>
      <c r="P5961" s="573"/>
      <c r="Q5961" s="556"/>
      <c r="R5961" s="582"/>
    </row>
    <row r="5962" ht="15" customHeight="1" spans="1:18">
      <c r="A5962" s="556">
        <f>B5962</f>
        <v>0</v>
      </c>
      <c r="B5962" s="557">
        <f>B5961</f>
        <v>0</v>
      </c>
      <c r="C5962" s="76" t="s">
        <v>2005</v>
      </c>
      <c r="D5962" s="75" t="s">
        <v>63</v>
      </c>
      <c r="E5962" s="76" t="s">
        <v>64</v>
      </c>
      <c r="F5962" s="76" t="s">
        <v>65</v>
      </c>
      <c r="G5962" s="76" t="s">
        <v>2889</v>
      </c>
      <c r="H5962" s="76"/>
      <c r="I5962" s="77" t="s">
        <v>66</v>
      </c>
      <c r="J5962" s="75" t="s">
        <v>67</v>
      </c>
      <c r="K5962" s="75" t="s">
        <v>2890</v>
      </c>
      <c r="L5962" s="75" t="s">
        <v>68</v>
      </c>
      <c r="M5962" s="75" t="s">
        <v>70</v>
      </c>
      <c r="N5962" s="573">
        <v>12.17</v>
      </c>
      <c r="O5962" s="556" t="str">
        <f>IF(N5962=M5962,"OK","DIF")</f>
        <v>DIF</v>
      </c>
      <c r="P5962" s="573"/>
      <c r="Q5962" s="556"/>
      <c r="R5962" s="582"/>
    </row>
    <row r="5963" ht="23.85" customHeight="1" spans="1:18">
      <c r="A5963" s="556">
        <f>B5963</f>
        <v>0</v>
      </c>
      <c r="B5963" s="557">
        <f>B5962</f>
        <v>0</v>
      </c>
      <c r="C5963" s="569" t="s">
        <v>2891</v>
      </c>
      <c r="D5963" s="570" t="s">
        <v>2006</v>
      </c>
      <c r="E5963" s="569" t="s">
        <v>149</v>
      </c>
      <c r="F5963" s="569" t="s">
        <v>2007</v>
      </c>
      <c r="G5963" s="569" t="s">
        <v>3657</v>
      </c>
      <c r="H5963" s="569"/>
      <c r="I5963" s="577" t="s">
        <v>134</v>
      </c>
      <c r="J5963" s="578">
        <v>1</v>
      </c>
      <c r="K5963" s="579"/>
      <c r="L5963" s="579">
        <v>35.42</v>
      </c>
      <c r="M5963" s="579">
        <v>35.42</v>
      </c>
      <c r="N5963" s="573">
        <v>9.86</v>
      </c>
      <c r="O5963" s="556" t="str">
        <f>IF(N5963=M5963,"OK","DIF")</f>
        <v>DIF</v>
      </c>
      <c r="P5963" s="573"/>
      <c r="Q5963" s="556"/>
      <c r="R5963" s="582"/>
    </row>
    <row r="5964" ht="15" customHeight="1" spans="1:18">
      <c r="A5964" s="556">
        <f>B5964</f>
        <v>0</v>
      </c>
      <c r="B5964" s="557">
        <f>B5963</f>
        <v>0</v>
      </c>
      <c r="C5964" s="100" t="s">
        <v>2893</v>
      </c>
      <c r="D5964" s="99" t="s">
        <v>4673</v>
      </c>
      <c r="E5964" s="100" t="s">
        <v>149</v>
      </c>
      <c r="F5964" s="100" t="s">
        <v>4674</v>
      </c>
      <c r="G5964" s="100" t="s">
        <v>2961</v>
      </c>
      <c r="H5964" s="100"/>
      <c r="I5964" s="101" t="s">
        <v>134</v>
      </c>
      <c r="J5964" s="580">
        <v>1</v>
      </c>
      <c r="K5964" s="580">
        <v>0</v>
      </c>
      <c r="L5964" s="102">
        <v>15.5</v>
      </c>
      <c r="M5964" s="102">
        <v>15.5</v>
      </c>
      <c r="N5964" s="573">
        <v>291.82</v>
      </c>
      <c r="O5964" s="556" t="str">
        <f>IF(N5964=M5964,"OK","DIF")</f>
        <v>DIF</v>
      </c>
      <c r="P5964" s="573"/>
      <c r="Q5964" s="556"/>
      <c r="R5964" s="582"/>
    </row>
    <row r="5965" ht="15" customHeight="1" spans="1:18">
      <c r="A5965" s="556"/>
      <c r="B5965" s="557"/>
      <c r="C5965" s="100" t="s">
        <v>2893</v>
      </c>
      <c r="D5965" s="99" t="s">
        <v>3660</v>
      </c>
      <c r="E5965" s="100" t="s">
        <v>149</v>
      </c>
      <c r="F5965" s="100" t="s">
        <v>3661</v>
      </c>
      <c r="G5965" s="100" t="s">
        <v>2896</v>
      </c>
      <c r="H5965" s="100"/>
      <c r="I5965" s="101" t="s">
        <v>2897</v>
      </c>
      <c r="J5965" s="580">
        <v>0.412</v>
      </c>
      <c r="K5965" s="580">
        <v>0</v>
      </c>
      <c r="L5965" s="102">
        <v>20.515752</v>
      </c>
      <c r="M5965" s="102">
        <v>8.45</v>
      </c>
      <c r="N5965" s="573"/>
      <c r="O5965" s="556"/>
      <c r="P5965" s="573"/>
      <c r="Q5965" s="556"/>
      <c r="R5965" s="582"/>
    </row>
    <row r="5966" ht="15" customHeight="1" spans="1:18">
      <c r="A5966" s="556"/>
      <c r="B5966" s="557"/>
      <c r="C5966" s="100" t="s">
        <v>2893</v>
      </c>
      <c r="D5966" s="99" t="s">
        <v>2988</v>
      </c>
      <c r="E5966" s="100" t="s">
        <v>149</v>
      </c>
      <c r="F5966" s="100" t="s">
        <v>2989</v>
      </c>
      <c r="G5966" s="100" t="s">
        <v>2896</v>
      </c>
      <c r="H5966" s="100"/>
      <c r="I5966" s="101" t="s">
        <v>2897</v>
      </c>
      <c r="J5966" s="580">
        <v>0.412</v>
      </c>
      <c r="K5966" s="580">
        <v>0</v>
      </c>
      <c r="L5966" s="102">
        <v>26.928256</v>
      </c>
      <c r="M5966" s="102">
        <v>11.09</v>
      </c>
      <c r="N5966" s="573"/>
      <c r="O5966" s="556"/>
      <c r="P5966" s="573"/>
      <c r="Q5966" s="556"/>
      <c r="R5966" s="582"/>
    </row>
    <row r="5967" ht="15" customHeight="1" spans="1:18">
      <c r="A5967" s="556"/>
      <c r="B5967" s="557" t="str">
        <f>C5966</f>
        <v>Insumo</v>
      </c>
      <c r="C5967" s="100" t="s">
        <v>2893</v>
      </c>
      <c r="D5967" s="99" t="s">
        <v>3662</v>
      </c>
      <c r="E5967" s="100" t="s">
        <v>149</v>
      </c>
      <c r="F5967" s="100" t="s">
        <v>3663</v>
      </c>
      <c r="G5967" s="100" t="s">
        <v>2961</v>
      </c>
      <c r="H5967" s="100"/>
      <c r="I5967" s="101" t="s">
        <v>204</v>
      </c>
      <c r="J5967" s="580">
        <v>1.1</v>
      </c>
      <c r="K5967" s="580">
        <v>0</v>
      </c>
      <c r="L5967" s="102">
        <v>0.35</v>
      </c>
      <c r="M5967" s="102">
        <v>0.38</v>
      </c>
      <c r="N5967" s="573">
        <v>254.47</v>
      </c>
      <c r="O5967" s="556" t="str">
        <f>IF(N5967=M5967,"OK","DIF")</f>
        <v>DIF</v>
      </c>
      <c r="P5967" s="573"/>
      <c r="Q5967" s="556"/>
      <c r="R5967" s="582"/>
    </row>
    <row r="5968" ht="25.5" spans="1:18">
      <c r="A5968" s="556" t="str">
        <f>B5968</f>
        <v>Insumo</v>
      </c>
      <c r="B5968" s="557" t="str">
        <f>B5967</f>
        <v>Insumo</v>
      </c>
      <c r="C5968" s="108"/>
      <c r="D5968" s="108"/>
      <c r="E5968" s="108"/>
      <c r="F5968" s="108"/>
      <c r="G5968" s="108"/>
      <c r="H5968" s="108" t="s">
        <v>2898</v>
      </c>
      <c r="I5968" s="581">
        <v>19.54</v>
      </c>
      <c r="J5968" s="108" t="s">
        <v>2899</v>
      </c>
      <c r="K5968" s="581">
        <v>0</v>
      </c>
      <c r="L5968" s="108" t="s">
        <v>2900</v>
      </c>
      <c r="M5968" s="581">
        <v>19.54</v>
      </c>
      <c r="N5968" s="573">
        <v>4.72</v>
      </c>
      <c r="O5968" s="556" t="str">
        <f>IF(N5968=M5968,"OK","DIF")</f>
        <v>DIF</v>
      </c>
      <c r="P5968" s="573"/>
      <c r="Q5968" s="556"/>
      <c r="R5968" s="582"/>
    </row>
    <row r="5969" ht="26.25" spans="1:18">
      <c r="A5969" s="556" t="str">
        <f>B5969</f>
        <v>Insumo</v>
      </c>
      <c r="B5969" s="557" t="str">
        <f>B5968</f>
        <v>Insumo</v>
      </c>
      <c r="C5969" s="108"/>
      <c r="D5969" s="108"/>
      <c r="E5969" s="108"/>
      <c r="F5969" s="108"/>
      <c r="G5969" s="108"/>
      <c r="H5969" s="108" t="s">
        <v>2901</v>
      </c>
      <c r="I5969" s="581">
        <v>9.02</v>
      </c>
      <c r="J5969" s="114"/>
      <c r="K5969" s="114" t="s">
        <v>2902</v>
      </c>
      <c r="L5969" s="108"/>
      <c r="M5969" s="581">
        <v>44.44</v>
      </c>
      <c r="N5969" s="573">
        <v>6.62</v>
      </c>
      <c r="O5969" s="556" t="str">
        <f>IF(N5969=M5969,"OK","DIF")</f>
        <v>DIF</v>
      </c>
      <c r="P5969" s="573"/>
      <c r="Q5969" s="556"/>
      <c r="R5969" s="582"/>
    </row>
    <row r="5970" ht="15" spans="1:18">
      <c r="A5970" s="556" t="str">
        <f>B5970</f>
        <v>Insumo</v>
      </c>
      <c r="B5970" s="557" t="str">
        <f>B5969</f>
        <v>Insumo</v>
      </c>
      <c r="C5970" s="571"/>
      <c r="D5970" s="571"/>
      <c r="E5970" s="571"/>
      <c r="F5970" s="571"/>
      <c r="G5970" s="571"/>
      <c r="H5970" s="571"/>
      <c r="I5970" s="571"/>
      <c r="J5970" s="571"/>
      <c r="K5970" s="571"/>
      <c r="L5970" s="571"/>
      <c r="M5970" s="571"/>
      <c r="N5970" s="573">
        <v>5.83</v>
      </c>
      <c r="O5970" s="556" t="str">
        <f>IF(N5970=M5970,"OK","DIF")</f>
        <v>DIF</v>
      </c>
      <c r="P5970" s="573"/>
      <c r="Q5970" s="556"/>
      <c r="R5970" s="582"/>
    </row>
    <row r="5971" ht="15" customHeight="1" spans="1:18">
      <c r="A5971" s="556" t="str">
        <f>B5971</f>
        <v>Insumo</v>
      </c>
      <c r="B5971" s="557" t="str">
        <f>B5970</f>
        <v>Insumo</v>
      </c>
      <c r="C5971" s="76" t="s">
        <v>2008</v>
      </c>
      <c r="D5971" s="75" t="s">
        <v>63</v>
      </c>
      <c r="E5971" s="76" t="s">
        <v>64</v>
      </c>
      <c r="F5971" s="76" t="s">
        <v>65</v>
      </c>
      <c r="G5971" s="76" t="s">
        <v>2889</v>
      </c>
      <c r="H5971" s="76"/>
      <c r="I5971" s="77" t="s">
        <v>66</v>
      </c>
      <c r="J5971" s="75" t="s">
        <v>67</v>
      </c>
      <c r="K5971" s="75" t="s">
        <v>2890</v>
      </c>
      <c r="L5971" s="75" t="s">
        <v>68</v>
      </c>
      <c r="M5971" s="75" t="s">
        <v>70</v>
      </c>
      <c r="N5971" s="573">
        <v>237.3</v>
      </c>
      <c r="O5971" s="556" t="str">
        <f>IF(N5971=M5971,"OK","DIF")</f>
        <v>DIF</v>
      </c>
      <c r="P5971" s="573"/>
      <c r="Q5971" s="556"/>
      <c r="R5971" s="582"/>
    </row>
    <row r="5972" ht="23.85" customHeight="1" spans="1:18">
      <c r="A5972" s="556"/>
      <c r="B5972" s="557"/>
      <c r="C5972" s="569" t="s">
        <v>2891</v>
      </c>
      <c r="D5972" s="570" t="s">
        <v>2009</v>
      </c>
      <c r="E5972" s="569" t="s">
        <v>149</v>
      </c>
      <c r="F5972" s="569" t="s">
        <v>2010</v>
      </c>
      <c r="G5972" s="569" t="s">
        <v>3657</v>
      </c>
      <c r="H5972" s="569"/>
      <c r="I5972" s="577" t="s">
        <v>134</v>
      </c>
      <c r="J5972" s="578">
        <v>1</v>
      </c>
      <c r="K5972" s="579"/>
      <c r="L5972" s="579">
        <v>33.26</v>
      </c>
      <c r="M5972" s="579">
        <v>33.26</v>
      </c>
      <c r="N5972" s="573"/>
      <c r="O5972" s="556"/>
      <c r="P5972" s="573"/>
      <c r="Q5972" s="556"/>
      <c r="R5972" s="582"/>
    </row>
    <row r="5973" ht="15" customHeight="1" spans="1:18">
      <c r="A5973" s="556"/>
      <c r="B5973" s="557"/>
      <c r="C5973" s="100" t="s">
        <v>2893</v>
      </c>
      <c r="D5973" s="99" t="s">
        <v>2988</v>
      </c>
      <c r="E5973" s="100" t="s">
        <v>149</v>
      </c>
      <c r="F5973" s="100" t="s">
        <v>2989</v>
      </c>
      <c r="G5973" s="100" t="s">
        <v>2896</v>
      </c>
      <c r="H5973" s="100"/>
      <c r="I5973" s="101" t="s">
        <v>2897</v>
      </c>
      <c r="J5973" s="580">
        <v>0.361</v>
      </c>
      <c r="K5973" s="580">
        <v>0</v>
      </c>
      <c r="L5973" s="102">
        <v>26.928256</v>
      </c>
      <c r="M5973" s="102">
        <v>9.72</v>
      </c>
      <c r="N5973" s="573"/>
      <c r="O5973" s="556"/>
      <c r="P5973" s="573"/>
      <c r="Q5973" s="556"/>
      <c r="R5973" s="582"/>
    </row>
    <row r="5974" ht="15" customHeight="1" spans="1:18">
      <c r="A5974" s="556"/>
      <c r="B5974" s="557" t="str">
        <f>C5973</f>
        <v>Insumo</v>
      </c>
      <c r="C5974" s="100" t="s">
        <v>2893</v>
      </c>
      <c r="D5974" s="99" t="s">
        <v>3660</v>
      </c>
      <c r="E5974" s="100" t="s">
        <v>149</v>
      </c>
      <c r="F5974" s="100" t="s">
        <v>3661</v>
      </c>
      <c r="G5974" s="100" t="s">
        <v>2896</v>
      </c>
      <c r="H5974" s="100"/>
      <c r="I5974" s="101" t="s">
        <v>2897</v>
      </c>
      <c r="J5974" s="580">
        <v>0.361</v>
      </c>
      <c r="K5974" s="580">
        <v>0</v>
      </c>
      <c r="L5974" s="102">
        <v>20.515752</v>
      </c>
      <c r="M5974" s="102">
        <v>7.4</v>
      </c>
      <c r="N5974" s="573">
        <v>362.45</v>
      </c>
      <c r="O5974" s="556" t="str">
        <f>IF(N5974=M5974,"OK","DIF")</f>
        <v>DIF</v>
      </c>
      <c r="P5974" s="573"/>
      <c r="Q5974" s="556"/>
      <c r="R5974" s="582"/>
    </row>
    <row r="5975" ht="15" customHeight="1" spans="1:18">
      <c r="A5975" s="556" t="str">
        <f>B5975</f>
        <v>Insumo</v>
      </c>
      <c r="B5975" s="557" t="str">
        <f>B5974</f>
        <v>Insumo</v>
      </c>
      <c r="C5975" s="100" t="s">
        <v>2893</v>
      </c>
      <c r="D5975" s="99" t="s">
        <v>3662</v>
      </c>
      <c r="E5975" s="100" t="s">
        <v>149</v>
      </c>
      <c r="F5975" s="100" t="s">
        <v>3663</v>
      </c>
      <c r="G5975" s="100" t="s">
        <v>2961</v>
      </c>
      <c r="H5975" s="100"/>
      <c r="I5975" s="101" t="s">
        <v>204</v>
      </c>
      <c r="J5975" s="580">
        <v>0.449</v>
      </c>
      <c r="K5975" s="580">
        <v>0</v>
      </c>
      <c r="L5975" s="102">
        <v>0.35</v>
      </c>
      <c r="M5975" s="102">
        <v>0.15</v>
      </c>
      <c r="N5975" s="573">
        <v>5.83</v>
      </c>
      <c r="O5975" s="556" t="str">
        <f>IF(N5975=M5975,"OK","DIF")</f>
        <v>DIF</v>
      </c>
      <c r="P5975" s="573"/>
      <c r="Q5975" s="556"/>
      <c r="R5975" s="582"/>
    </row>
    <row r="5976" ht="15" customHeight="1" spans="1:18">
      <c r="A5976" s="556" t="str">
        <f>B5976</f>
        <v>Insumo</v>
      </c>
      <c r="B5976" s="557" t="str">
        <f>B5975</f>
        <v>Insumo</v>
      </c>
      <c r="C5976" s="100" t="s">
        <v>2893</v>
      </c>
      <c r="D5976" s="99" t="s">
        <v>3655</v>
      </c>
      <c r="E5976" s="100" t="s">
        <v>149</v>
      </c>
      <c r="F5976" s="100" t="s">
        <v>3656</v>
      </c>
      <c r="G5976" s="100" t="s">
        <v>2961</v>
      </c>
      <c r="H5976" s="100"/>
      <c r="I5976" s="101" t="s">
        <v>134</v>
      </c>
      <c r="J5976" s="580">
        <v>1</v>
      </c>
      <c r="K5976" s="580">
        <v>0</v>
      </c>
      <c r="L5976" s="102">
        <v>15.99</v>
      </c>
      <c r="M5976" s="102">
        <v>15.99</v>
      </c>
      <c r="N5976" s="573">
        <v>4.72</v>
      </c>
      <c r="O5976" s="556" t="str">
        <f>IF(N5976=M5976,"OK","DIF")</f>
        <v>DIF</v>
      </c>
      <c r="P5976" s="573"/>
      <c r="Q5976" s="556"/>
      <c r="R5976" s="582"/>
    </row>
    <row r="5977" ht="25.5" spans="1:18">
      <c r="A5977" s="556" t="str">
        <f>B5977</f>
        <v>Insumo</v>
      </c>
      <c r="B5977" s="557" t="str">
        <f>B5976</f>
        <v>Insumo</v>
      </c>
      <c r="C5977" s="108"/>
      <c r="D5977" s="108"/>
      <c r="E5977" s="108"/>
      <c r="F5977" s="108"/>
      <c r="G5977" s="108"/>
      <c r="H5977" s="108" t="s">
        <v>2898</v>
      </c>
      <c r="I5977" s="581">
        <v>17.12</v>
      </c>
      <c r="J5977" s="108" t="s">
        <v>2899</v>
      </c>
      <c r="K5977" s="581">
        <v>0</v>
      </c>
      <c r="L5977" s="108" t="s">
        <v>2900</v>
      </c>
      <c r="M5977" s="581">
        <v>17.12</v>
      </c>
      <c r="N5977" s="573">
        <v>6.62</v>
      </c>
      <c r="O5977" s="556" t="str">
        <f>IF(N5977=M5977,"OK","DIF")</f>
        <v>DIF</v>
      </c>
      <c r="P5977" s="573"/>
      <c r="Q5977" s="556"/>
      <c r="R5977" s="582"/>
    </row>
    <row r="5978" ht="26.25" spans="1:18">
      <c r="A5978" s="556" t="str">
        <f>B5978</f>
        <v>Insumo</v>
      </c>
      <c r="B5978" s="557" t="str">
        <f>B5977</f>
        <v>Insumo</v>
      </c>
      <c r="C5978" s="108"/>
      <c r="D5978" s="108"/>
      <c r="E5978" s="108"/>
      <c r="F5978" s="108"/>
      <c r="G5978" s="108"/>
      <c r="H5978" s="108" t="s">
        <v>2901</v>
      </c>
      <c r="I5978" s="581">
        <v>8.47</v>
      </c>
      <c r="J5978" s="114"/>
      <c r="K5978" s="114" t="s">
        <v>2902</v>
      </c>
      <c r="L5978" s="108"/>
      <c r="M5978" s="581">
        <v>41.73</v>
      </c>
      <c r="N5978" s="573">
        <v>345.28</v>
      </c>
      <c r="O5978" s="556" t="str">
        <f>IF(N5978=M5978,"OK","DIF")</f>
        <v>DIF</v>
      </c>
      <c r="P5978" s="573"/>
      <c r="Q5978" s="556"/>
      <c r="R5978" s="582"/>
    </row>
    <row r="5979" ht="15" spans="1:18">
      <c r="A5979" s="556"/>
      <c r="B5979" s="557"/>
      <c r="C5979" s="571"/>
      <c r="D5979" s="571"/>
      <c r="E5979" s="571"/>
      <c r="F5979" s="571"/>
      <c r="G5979" s="571"/>
      <c r="H5979" s="571"/>
      <c r="I5979" s="571"/>
      <c r="J5979" s="571"/>
      <c r="K5979" s="571"/>
      <c r="L5979" s="571"/>
      <c r="M5979" s="571"/>
      <c r="N5979" s="573"/>
      <c r="O5979" s="556"/>
      <c r="P5979" s="573"/>
      <c r="Q5979" s="556"/>
      <c r="R5979" s="582"/>
    </row>
    <row r="5980" ht="15" customHeight="1" spans="1:18">
      <c r="A5980" s="556"/>
      <c r="B5980" s="557"/>
      <c r="C5980" s="76" t="s">
        <v>2011</v>
      </c>
      <c r="D5980" s="75" t="s">
        <v>63</v>
      </c>
      <c r="E5980" s="76" t="s">
        <v>64</v>
      </c>
      <c r="F5980" s="76" t="s">
        <v>65</v>
      </c>
      <c r="G5980" s="76" t="s">
        <v>2889</v>
      </c>
      <c r="H5980" s="76"/>
      <c r="I5980" s="77" t="s">
        <v>66</v>
      </c>
      <c r="J5980" s="75" t="s">
        <v>67</v>
      </c>
      <c r="K5980" s="75" t="s">
        <v>2890</v>
      </c>
      <c r="L5980" s="75" t="s">
        <v>68</v>
      </c>
      <c r="M5980" s="75" t="s">
        <v>70</v>
      </c>
      <c r="N5980" s="573"/>
      <c r="O5980" s="556"/>
      <c r="P5980" s="573"/>
      <c r="Q5980" s="556"/>
      <c r="R5980" s="582"/>
    </row>
    <row r="5981" ht="38.25" spans="1:18">
      <c r="A5981" s="556"/>
      <c r="B5981" s="557" t="str">
        <f>C5980</f>
        <v> 14.2.2.6 </v>
      </c>
      <c r="C5981" s="569" t="s">
        <v>2891</v>
      </c>
      <c r="D5981" s="570" t="s">
        <v>2012</v>
      </c>
      <c r="E5981" s="569" t="s">
        <v>132</v>
      </c>
      <c r="F5981" s="569" t="s">
        <v>2013</v>
      </c>
      <c r="G5981" s="569">
        <v>55</v>
      </c>
      <c r="H5981" s="569"/>
      <c r="I5981" s="577" t="s">
        <v>134</v>
      </c>
      <c r="J5981" s="578">
        <v>1</v>
      </c>
      <c r="K5981" s="579"/>
      <c r="L5981" s="579">
        <v>36.24</v>
      </c>
      <c r="M5981" s="579">
        <v>36.24</v>
      </c>
      <c r="N5981" s="573">
        <v>626.86</v>
      </c>
      <c r="O5981" s="556" t="str">
        <f>IF(N5981=M5981,"OK","DIF")</f>
        <v>DIF</v>
      </c>
      <c r="P5981" s="573"/>
      <c r="Q5981" s="556"/>
      <c r="R5981" s="582"/>
    </row>
    <row r="5982" ht="23.85" customHeight="1" spans="1:18">
      <c r="A5982" s="556" t="str">
        <f>B5982</f>
        <v> 14.2.2.6 </v>
      </c>
      <c r="B5982" s="557" t="str">
        <f>B5981</f>
        <v> 14.2.2.6 </v>
      </c>
      <c r="C5982" s="79" t="s">
        <v>2921</v>
      </c>
      <c r="D5982" s="78" t="s">
        <v>3144</v>
      </c>
      <c r="E5982" s="79" t="s">
        <v>139</v>
      </c>
      <c r="F5982" s="79" t="s">
        <v>3145</v>
      </c>
      <c r="G5982" s="79" t="s">
        <v>2928</v>
      </c>
      <c r="H5982" s="79"/>
      <c r="I5982" s="80" t="s">
        <v>2897</v>
      </c>
      <c r="J5982" s="583">
        <v>0.34</v>
      </c>
      <c r="K5982" s="583">
        <v>0</v>
      </c>
      <c r="L5982" s="92">
        <v>35.55</v>
      </c>
      <c r="M5982" s="92">
        <v>12.08</v>
      </c>
      <c r="N5982" s="573">
        <v>5.83</v>
      </c>
      <c r="O5982" s="556" t="str">
        <f>IF(N5982=M5982,"OK","DIF")</f>
        <v>DIF</v>
      </c>
      <c r="P5982" s="573"/>
      <c r="Q5982" s="556"/>
      <c r="R5982" s="582"/>
    </row>
    <row r="5983" ht="23.85" customHeight="1" spans="1:18">
      <c r="A5983" s="556" t="str">
        <f>B5983</f>
        <v> 14.2.2.6 </v>
      </c>
      <c r="B5983" s="557" t="str">
        <f>B5982</f>
        <v> 14.2.2.6 </v>
      </c>
      <c r="C5983" s="79" t="s">
        <v>2921</v>
      </c>
      <c r="D5983" s="78" t="s">
        <v>3146</v>
      </c>
      <c r="E5983" s="79" t="s">
        <v>139</v>
      </c>
      <c r="F5983" s="79" t="s">
        <v>3147</v>
      </c>
      <c r="G5983" s="79" t="s">
        <v>2928</v>
      </c>
      <c r="H5983" s="79"/>
      <c r="I5983" s="80" t="s">
        <v>2897</v>
      </c>
      <c r="J5983" s="583">
        <v>0.34</v>
      </c>
      <c r="K5983" s="583">
        <v>0</v>
      </c>
      <c r="L5983" s="92">
        <v>29.54</v>
      </c>
      <c r="M5983" s="92">
        <v>10.04</v>
      </c>
      <c r="N5983" s="573">
        <v>6.62</v>
      </c>
      <c r="O5983" s="556" t="str">
        <f>IF(N5983=M5983,"OK","DIF")</f>
        <v>DIF</v>
      </c>
      <c r="P5983" s="573"/>
      <c r="Q5983" s="556"/>
      <c r="R5983" s="582"/>
    </row>
    <row r="5984" ht="15" customHeight="1" spans="1:18">
      <c r="A5984" s="556" t="str">
        <f>B5984</f>
        <v> 14.2.2.6 </v>
      </c>
      <c r="B5984" s="557" t="str">
        <f>B5983</f>
        <v> 14.2.2.6 </v>
      </c>
      <c r="C5984" s="100" t="s">
        <v>2893</v>
      </c>
      <c r="D5984" s="99" t="s">
        <v>3662</v>
      </c>
      <c r="E5984" s="100" t="s">
        <v>149</v>
      </c>
      <c r="F5984" s="100" t="s">
        <v>3663</v>
      </c>
      <c r="G5984" s="100" t="s">
        <v>2961</v>
      </c>
      <c r="H5984" s="100"/>
      <c r="I5984" s="101" t="s">
        <v>204</v>
      </c>
      <c r="J5984" s="580">
        <v>5.8</v>
      </c>
      <c r="K5984" s="580">
        <v>0</v>
      </c>
      <c r="L5984" s="102">
        <v>0.35</v>
      </c>
      <c r="M5984" s="102">
        <v>2.03</v>
      </c>
      <c r="N5984" s="573">
        <v>4.72</v>
      </c>
      <c r="O5984" s="556" t="str">
        <f>IF(N5984=M5984,"OK","DIF")</f>
        <v>DIF</v>
      </c>
      <c r="P5984" s="573"/>
      <c r="Q5984" s="556"/>
      <c r="R5984" s="582"/>
    </row>
    <row r="5985" ht="23.85" customHeight="1" spans="1:18">
      <c r="A5985" s="556" t="str">
        <f>B5985</f>
        <v> 14.2.2.6 </v>
      </c>
      <c r="B5985" s="557" t="str">
        <f>B5984</f>
        <v> 14.2.2.6 </v>
      </c>
      <c r="C5985" s="100" t="s">
        <v>2893</v>
      </c>
      <c r="D5985" s="99" t="s">
        <v>4675</v>
      </c>
      <c r="E5985" s="100" t="s">
        <v>139</v>
      </c>
      <c r="F5985" s="100" t="s">
        <v>4676</v>
      </c>
      <c r="G5985" s="100" t="s">
        <v>2961</v>
      </c>
      <c r="H5985" s="100"/>
      <c r="I5985" s="101" t="s">
        <v>134</v>
      </c>
      <c r="J5985" s="580">
        <v>1</v>
      </c>
      <c r="K5985" s="580">
        <v>0</v>
      </c>
      <c r="L5985" s="102">
        <v>12.09</v>
      </c>
      <c r="M5985" s="102">
        <v>12.09</v>
      </c>
      <c r="N5985" s="573">
        <v>609.69</v>
      </c>
      <c r="O5985" s="556" t="str">
        <f>IF(N5985=M5985,"OK","DIF")</f>
        <v>DIF</v>
      </c>
      <c r="P5985" s="573"/>
      <c r="Q5985" s="556"/>
      <c r="R5985" s="582"/>
    </row>
    <row r="5986" ht="25.5" spans="1:18">
      <c r="A5986" s="556"/>
      <c r="B5986" s="557"/>
      <c r="C5986" s="108"/>
      <c r="D5986" s="108"/>
      <c r="E5986" s="108"/>
      <c r="F5986" s="108"/>
      <c r="G5986" s="108"/>
      <c r="H5986" s="108" t="s">
        <v>2898</v>
      </c>
      <c r="I5986" s="581">
        <v>15.75</v>
      </c>
      <c r="J5986" s="108" t="s">
        <v>2899</v>
      </c>
      <c r="K5986" s="581">
        <v>0</v>
      </c>
      <c r="L5986" s="108" t="s">
        <v>2900</v>
      </c>
      <c r="M5986" s="581">
        <v>15.75</v>
      </c>
      <c r="N5986" s="573"/>
      <c r="O5986" s="556"/>
      <c r="P5986" s="573"/>
      <c r="Q5986" s="556"/>
      <c r="R5986" s="582"/>
    </row>
    <row r="5987" ht="26.25" spans="1:18">
      <c r="A5987" s="556"/>
      <c r="B5987" s="557"/>
      <c r="C5987" s="108"/>
      <c r="D5987" s="108"/>
      <c r="E5987" s="108"/>
      <c r="F5987" s="108"/>
      <c r="G5987" s="108"/>
      <c r="H5987" s="108" t="s">
        <v>2901</v>
      </c>
      <c r="I5987" s="581">
        <v>9.23</v>
      </c>
      <c r="J5987" s="114"/>
      <c r="K5987" s="114" t="s">
        <v>2902</v>
      </c>
      <c r="L5987" s="108"/>
      <c r="M5987" s="581">
        <v>45.47</v>
      </c>
      <c r="N5987" s="573"/>
      <c r="O5987" s="556"/>
      <c r="P5987" s="573"/>
      <c r="Q5987" s="556"/>
      <c r="R5987" s="582"/>
    </row>
    <row r="5988" ht="15" spans="1:18">
      <c r="A5988" s="556"/>
      <c r="B5988" s="557">
        <f>C5987</f>
        <v>0</v>
      </c>
      <c r="C5988" s="571"/>
      <c r="D5988" s="571"/>
      <c r="E5988" s="571"/>
      <c r="F5988" s="571"/>
      <c r="G5988" s="571"/>
      <c r="H5988" s="571"/>
      <c r="I5988" s="571"/>
      <c r="J5988" s="571"/>
      <c r="K5988" s="571"/>
      <c r="L5988" s="571"/>
      <c r="M5988" s="571"/>
      <c r="N5988" s="573">
        <v>245.83</v>
      </c>
      <c r="O5988" s="556" t="str">
        <f>IF(N5988=M5988,"OK","DIF")</f>
        <v>DIF</v>
      </c>
      <c r="P5988" s="573"/>
      <c r="Q5988" s="556"/>
      <c r="R5988" s="582"/>
    </row>
    <row r="5989" ht="15" customHeight="1" spans="1:18">
      <c r="A5989" s="556">
        <f>B5989</f>
        <v>0</v>
      </c>
      <c r="B5989" s="557">
        <f>B5988</f>
        <v>0</v>
      </c>
      <c r="C5989" s="76" t="s">
        <v>2014</v>
      </c>
      <c r="D5989" s="75" t="s">
        <v>63</v>
      </c>
      <c r="E5989" s="76" t="s">
        <v>64</v>
      </c>
      <c r="F5989" s="76" t="s">
        <v>65</v>
      </c>
      <c r="G5989" s="76" t="s">
        <v>2889</v>
      </c>
      <c r="H5989" s="76"/>
      <c r="I5989" s="77" t="s">
        <v>66</v>
      </c>
      <c r="J5989" s="75" t="s">
        <v>67</v>
      </c>
      <c r="K5989" s="75" t="s">
        <v>2890</v>
      </c>
      <c r="L5989" s="75" t="s">
        <v>68</v>
      </c>
      <c r="M5989" s="75" t="s">
        <v>70</v>
      </c>
      <c r="N5989" s="573">
        <v>4.92</v>
      </c>
      <c r="O5989" s="556" t="str">
        <f>IF(N5989=M5989,"OK","DIF")</f>
        <v>DIF</v>
      </c>
      <c r="P5989" s="573"/>
      <c r="Q5989" s="556"/>
      <c r="R5989" s="582"/>
    </row>
    <row r="5990" ht="35.05" customHeight="1" spans="1:18">
      <c r="A5990" s="556">
        <f>B5990</f>
        <v>0</v>
      </c>
      <c r="B5990" s="557">
        <f>B5989</f>
        <v>0</v>
      </c>
      <c r="C5990" s="569" t="s">
        <v>2891</v>
      </c>
      <c r="D5990" s="570" t="s">
        <v>2015</v>
      </c>
      <c r="E5990" s="569" t="s">
        <v>139</v>
      </c>
      <c r="F5990" s="569" t="s">
        <v>2016</v>
      </c>
      <c r="G5990" s="569" t="s">
        <v>3201</v>
      </c>
      <c r="H5990" s="569"/>
      <c r="I5990" s="577" t="s">
        <v>134</v>
      </c>
      <c r="J5990" s="578">
        <v>1</v>
      </c>
      <c r="K5990" s="579"/>
      <c r="L5990" s="579">
        <v>93.69</v>
      </c>
      <c r="M5990" s="579">
        <v>93.69</v>
      </c>
      <c r="N5990" s="573">
        <v>234.65</v>
      </c>
      <c r="O5990" s="556" t="str">
        <f>IF(N5990=M5990,"OK","DIF")</f>
        <v>DIF</v>
      </c>
      <c r="P5990" s="573"/>
      <c r="Q5990" s="556"/>
      <c r="R5990" s="582"/>
    </row>
    <row r="5991" ht="23.85" customHeight="1" spans="1:18">
      <c r="A5991" s="556">
        <f>B5991</f>
        <v>0</v>
      </c>
      <c r="B5991" s="557">
        <f>B5990</f>
        <v>0</v>
      </c>
      <c r="C5991" s="79" t="s">
        <v>2921</v>
      </c>
      <c r="D5991" s="78" t="s">
        <v>3146</v>
      </c>
      <c r="E5991" s="79" t="s">
        <v>139</v>
      </c>
      <c r="F5991" s="79" t="s">
        <v>3147</v>
      </c>
      <c r="G5991" s="79" t="s">
        <v>2928</v>
      </c>
      <c r="H5991" s="79"/>
      <c r="I5991" s="80" t="s">
        <v>2897</v>
      </c>
      <c r="J5991" s="583">
        <v>0.3726</v>
      </c>
      <c r="K5991" s="583">
        <v>0</v>
      </c>
      <c r="L5991" s="92">
        <v>29.54</v>
      </c>
      <c r="M5991" s="92">
        <v>11</v>
      </c>
      <c r="N5991" s="573">
        <v>6.26</v>
      </c>
      <c r="O5991" s="556" t="str">
        <f>IF(N5991=M5991,"OK","DIF")</f>
        <v>DIF</v>
      </c>
      <c r="P5991" s="573"/>
      <c r="Q5991" s="556"/>
      <c r="R5991" s="582"/>
    </row>
    <row r="5992" ht="23.85" customHeight="1" spans="1:18">
      <c r="A5992" s="556"/>
      <c r="B5992" s="557"/>
      <c r="C5992" s="79" t="s">
        <v>2921</v>
      </c>
      <c r="D5992" s="78" t="s">
        <v>3144</v>
      </c>
      <c r="E5992" s="79" t="s">
        <v>139</v>
      </c>
      <c r="F5992" s="79" t="s">
        <v>3145</v>
      </c>
      <c r="G5992" s="79" t="s">
        <v>2928</v>
      </c>
      <c r="H5992" s="79"/>
      <c r="I5992" s="80" t="s">
        <v>2897</v>
      </c>
      <c r="J5992" s="583">
        <v>0.3726</v>
      </c>
      <c r="K5992" s="583">
        <v>0</v>
      </c>
      <c r="L5992" s="92">
        <v>35.55</v>
      </c>
      <c r="M5992" s="92">
        <v>13.24</v>
      </c>
      <c r="N5992" s="573"/>
      <c r="O5992" s="556"/>
      <c r="P5992" s="573"/>
      <c r="Q5992" s="556"/>
      <c r="R5992" s="582"/>
    </row>
    <row r="5993" ht="15" customHeight="1" spans="1:18">
      <c r="A5993" s="556"/>
      <c r="B5993" s="557"/>
      <c r="C5993" s="100" t="s">
        <v>2893</v>
      </c>
      <c r="D5993" s="99" t="s">
        <v>3643</v>
      </c>
      <c r="E5993" s="100" t="s">
        <v>139</v>
      </c>
      <c r="F5993" s="100" t="s">
        <v>3644</v>
      </c>
      <c r="G5993" s="100" t="s">
        <v>2961</v>
      </c>
      <c r="H5993" s="100"/>
      <c r="I5993" s="101" t="s">
        <v>134</v>
      </c>
      <c r="J5993" s="580">
        <v>0.0297</v>
      </c>
      <c r="K5993" s="580">
        <v>0</v>
      </c>
      <c r="L5993" s="102">
        <v>13.46</v>
      </c>
      <c r="M5993" s="102">
        <v>0.39</v>
      </c>
      <c r="N5993" s="573"/>
      <c r="O5993" s="556"/>
      <c r="P5993" s="573"/>
      <c r="Q5993" s="556"/>
      <c r="R5993" s="582"/>
    </row>
    <row r="5994" ht="23.85" customHeight="1" spans="1:18">
      <c r="A5994" s="556"/>
      <c r="B5994" s="557"/>
      <c r="C5994" s="100" t="s">
        <v>2893</v>
      </c>
      <c r="D5994" s="99" t="s">
        <v>4677</v>
      </c>
      <c r="E5994" s="100" t="s">
        <v>139</v>
      </c>
      <c r="F5994" s="100" t="s">
        <v>4678</v>
      </c>
      <c r="G5994" s="100" t="s">
        <v>2961</v>
      </c>
      <c r="H5994" s="100"/>
      <c r="I5994" s="101" t="s">
        <v>134</v>
      </c>
      <c r="J5994" s="580">
        <v>1</v>
      </c>
      <c r="K5994" s="580">
        <v>0</v>
      </c>
      <c r="L5994" s="102">
        <v>68.68</v>
      </c>
      <c r="M5994" s="102">
        <v>68.68</v>
      </c>
      <c r="N5994" s="573"/>
      <c r="O5994" s="556"/>
      <c r="P5994" s="573"/>
      <c r="Q5994" s="556"/>
      <c r="R5994" s="582"/>
    </row>
    <row r="5995" ht="15" customHeight="1" spans="1:18">
      <c r="A5995" s="556"/>
      <c r="B5995" s="557" t="str">
        <f>C5994</f>
        <v>Insumo</v>
      </c>
      <c r="C5995" s="100" t="s">
        <v>2893</v>
      </c>
      <c r="D5995" s="99" t="s">
        <v>3473</v>
      </c>
      <c r="E5995" s="100" t="s">
        <v>139</v>
      </c>
      <c r="F5995" s="100" t="s">
        <v>3474</v>
      </c>
      <c r="G5995" s="100" t="s">
        <v>2961</v>
      </c>
      <c r="H5995" s="100"/>
      <c r="I5995" s="101" t="s">
        <v>3084</v>
      </c>
      <c r="J5995" s="580">
        <v>0.007</v>
      </c>
      <c r="K5995" s="580">
        <v>0</v>
      </c>
      <c r="L5995" s="102">
        <v>55.41</v>
      </c>
      <c r="M5995" s="102">
        <v>0.38</v>
      </c>
      <c r="N5995" s="573">
        <v>15.89</v>
      </c>
      <c r="O5995" s="556" t="str">
        <f>IF(N5995=M5995,"OK","DIF")</f>
        <v>DIF</v>
      </c>
      <c r="P5995" s="573"/>
      <c r="Q5995" s="556"/>
      <c r="R5995" s="582"/>
    </row>
    <row r="5996" ht="25.5" spans="1:18">
      <c r="A5996" s="556" t="str">
        <f>B5996</f>
        <v>Insumo</v>
      </c>
      <c r="B5996" s="557" t="str">
        <f>B5995</f>
        <v>Insumo</v>
      </c>
      <c r="C5996" s="108"/>
      <c r="D5996" s="108"/>
      <c r="E5996" s="108"/>
      <c r="F5996" s="108"/>
      <c r="G5996" s="108"/>
      <c r="H5996" s="108" t="s">
        <v>2898</v>
      </c>
      <c r="I5996" s="581">
        <v>17.26</v>
      </c>
      <c r="J5996" s="108" t="s">
        <v>2899</v>
      </c>
      <c r="K5996" s="581">
        <v>0</v>
      </c>
      <c r="L5996" s="108" t="s">
        <v>2900</v>
      </c>
      <c r="M5996" s="581">
        <v>17.26</v>
      </c>
      <c r="N5996" s="573">
        <v>15.89</v>
      </c>
      <c r="O5996" s="556" t="str">
        <f>IF(N5996=M5996,"OK","DIF")</f>
        <v>DIF</v>
      </c>
      <c r="P5996" s="573"/>
      <c r="Q5996" s="556"/>
      <c r="R5996" s="582"/>
    </row>
    <row r="5997" ht="26.25" spans="1:18">
      <c r="A5997" s="556"/>
      <c r="B5997" s="557"/>
      <c r="C5997" s="108"/>
      <c r="D5997" s="108"/>
      <c r="E5997" s="108"/>
      <c r="F5997" s="108"/>
      <c r="G5997" s="108"/>
      <c r="H5997" s="108" t="s">
        <v>2901</v>
      </c>
      <c r="I5997" s="581">
        <v>23.88</v>
      </c>
      <c r="J5997" s="114"/>
      <c r="K5997" s="114" t="s">
        <v>2902</v>
      </c>
      <c r="L5997" s="108"/>
      <c r="M5997" s="581">
        <v>117.57</v>
      </c>
      <c r="N5997" s="573"/>
      <c r="O5997" s="556"/>
      <c r="P5997" s="573"/>
      <c r="Q5997" s="556"/>
      <c r="R5997" s="582"/>
    </row>
    <row r="5998" ht="15" spans="1:18">
      <c r="A5998" s="556"/>
      <c r="B5998" s="557"/>
      <c r="C5998" s="571"/>
      <c r="D5998" s="571"/>
      <c r="E5998" s="571"/>
      <c r="F5998" s="571"/>
      <c r="G5998" s="571"/>
      <c r="H5998" s="571"/>
      <c r="I5998" s="571"/>
      <c r="J5998" s="571"/>
      <c r="K5998" s="571"/>
      <c r="L5998" s="571"/>
      <c r="M5998" s="571"/>
      <c r="N5998" s="573"/>
      <c r="O5998" s="556"/>
      <c r="P5998" s="573"/>
      <c r="Q5998" s="556"/>
      <c r="R5998" s="582"/>
    </row>
    <row r="5999" ht="15" customHeight="1" spans="1:18">
      <c r="A5999" s="556"/>
      <c r="B5999" s="557">
        <f>C5998</f>
        <v>0</v>
      </c>
      <c r="C5999" s="76" t="s">
        <v>2017</v>
      </c>
      <c r="D5999" s="75" t="s">
        <v>63</v>
      </c>
      <c r="E5999" s="76" t="s">
        <v>64</v>
      </c>
      <c r="F5999" s="76" t="s">
        <v>65</v>
      </c>
      <c r="G5999" s="76" t="s">
        <v>2889</v>
      </c>
      <c r="H5999" s="76"/>
      <c r="I5999" s="77" t="s">
        <v>66</v>
      </c>
      <c r="J5999" s="75" t="s">
        <v>67</v>
      </c>
      <c r="K5999" s="75" t="s">
        <v>2890</v>
      </c>
      <c r="L5999" s="75" t="s">
        <v>68</v>
      </c>
      <c r="M5999" s="75" t="s">
        <v>70</v>
      </c>
      <c r="N5999" s="573">
        <v>6.08</v>
      </c>
      <c r="O5999" s="556" t="str">
        <f>IF(N5999=M5999,"OK","DIF")</f>
        <v>DIF</v>
      </c>
      <c r="P5999" s="573"/>
      <c r="Q5999" s="556"/>
      <c r="R5999" s="582"/>
    </row>
    <row r="6000" ht="38.25" spans="1:18">
      <c r="A6000" s="556">
        <f>B6000</f>
        <v>0</v>
      </c>
      <c r="B6000" s="557">
        <f>B5999</f>
        <v>0</v>
      </c>
      <c r="C6000" s="569" t="s">
        <v>2891</v>
      </c>
      <c r="D6000" s="570" t="s">
        <v>2018</v>
      </c>
      <c r="E6000" s="569" t="s">
        <v>132</v>
      </c>
      <c r="F6000" s="569" t="s">
        <v>2019</v>
      </c>
      <c r="G6000" s="569">
        <v>61</v>
      </c>
      <c r="H6000" s="569"/>
      <c r="I6000" s="577" t="s">
        <v>134</v>
      </c>
      <c r="J6000" s="578">
        <v>1</v>
      </c>
      <c r="K6000" s="579"/>
      <c r="L6000" s="579">
        <v>41.21</v>
      </c>
      <c r="M6000" s="579">
        <v>41.21</v>
      </c>
      <c r="N6000" s="573">
        <v>6.08</v>
      </c>
      <c r="O6000" s="556" t="str">
        <f>IF(N6000=M6000,"OK","DIF")</f>
        <v>DIF</v>
      </c>
      <c r="P6000" s="573"/>
      <c r="Q6000" s="556"/>
      <c r="R6000" s="582"/>
    </row>
    <row r="6001" ht="23.85" customHeight="1" spans="1:18">
      <c r="A6001" s="556"/>
      <c r="B6001" s="557"/>
      <c r="C6001" s="79" t="s">
        <v>2921</v>
      </c>
      <c r="D6001" s="78" t="s">
        <v>3146</v>
      </c>
      <c r="E6001" s="79" t="s">
        <v>139</v>
      </c>
      <c r="F6001" s="79" t="s">
        <v>3147</v>
      </c>
      <c r="G6001" s="79" t="s">
        <v>2928</v>
      </c>
      <c r="H6001" s="79"/>
      <c r="I6001" s="80" t="s">
        <v>2897</v>
      </c>
      <c r="J6001" s="583">
        <v>0.3726</v>
      </c>
      <c r="K6001" s="583">
        <v>0</v>
      </c>
      <c r="L6001" s="92">
        <v>29.54</v>
      </c>
      <c r="M6001" s="92">
        <v>11</v>
      </c>
      <c r="N6001" s="573"/>
      <c r="O6001" s="556"/>
      <c r="P6001" s="573"/>
      <c r="Q6001" s="556"/>
      <c r="R6001" s="582"/>
    </row>
    <row r="6002" ht="23.85" customHeight="1" spans="1:18">
      <c r="A6002" s="556"/>
      <c r="B6002" s="557"/>
      <c r="C6002" s="79" t="s">
        <v>2921</v>
      </c>
      <c r="D6002" s="78" t="s">
        <v>3144</v>
      </c>
      <c r="E6002" s="79" t="s">
        <v>139</v>
      </c>
      <c r="F6002" s="79" t="s">
        <v>3145</v>
      </c>
      <c r="G6002" s="79" t="s">
        <v>2928</v>
      </c>
      <c r="H6002" s="79"/>
      <c r="I6002" s="80" t="s">
        <v>2897</v>
      </c>
      <c r="J6002" s="583">
        <v>0.3726</v>
      </c>
      <c r="K6002" s="583">
        <v>0</v>
      </c>
      <c r="L6002" s="92">
        <v>35.55</v>
      </c>
      <c r="M6002" s="92">
        <v>13.24</v>
      </c>
      <c r="N6002" s="573"/>
      <c r="O6002" s="556"/>
      <c r="P6002" s="573"/>
      <c r="Q6002" s="556"/>
      <c r="R6002" s="582"/>
    </row>
    <row r="6003" ht="15" customHeight="1" spans="1:18">
      <c r="A6003" s="556"/>
      <c r="B6003" s="557"/>
      <c r="C6003" s="100" t="s">
        <v>2893</v>
      </c>
      <c r="D6003" s="99" t="s">
        <v>3643</v>
      </c>
      <c r="E6003" s="100" t="s">
        <v>139</v>
      </c>
      <c r="F6003" s="100" t="s">
        <v>3644</v>
      </c>
      <c r="G6003" s="100" t="s">
        <v>2961</v>
      </c>
      <c r="H6003" s="100"/>
      <c r="I6003" s="101" t="s">
        <v>134</v>
      </c>
      <c r="J6003" s="580">
        <v>0.0297</v>
      </c>
      <c r="K6003" s="580">
        <v>0</v>
      </c>
      <c r="L6003" s="102">
        <v>13.46</v>
      </c>
      <c r="M6003" s="102">
        <v>0.39</v>
      </c>
      <c r="N6003" s="573"/>
      <c r="O6003" s="556"/>
      <c r="P6003" s="573"/>
      <c r="Q6003" s="556"/>
      <c r="R6003" s="582"/>
    </row>
    <row r="6004" ht="15" customHeight="1" spans="1:18">
      <c r="A6004" s="556"/>
      <c r="B6004" s="557" t="str">
        <f>C6003</f>
        <v>Insumo</v>
      </c>
      <c r="C6004" s="100" t="s">
        <v>2893</v>
      </c>
      <c r="D6004" s="99" t="s">
        <v>3473</v>
      </c>
      <c r="E6004" s="100" t="s">
        <v>139</v>
      </c>
      <c r="F6004" s="100" t="s">
        <v>3474</v>
      </c>
      <c r="G6004" s="100" t="s">
        <v>2961</v>
      </c>
      <c r="H6004" s="100"/>
      <c r="I6004" s="101" t="s">
        <v>3084</v>
      </c>
      <c r="J6004" s="580">
        <v>0.007</v>
      </c>
      <c r="K6004" s="580">
        <v>0</v>
      </c>
      <c r="L6004" s="102">
        <v>55.41</v>
      </c>
      <c r="M6004" s="102">
        <v>0.38</v>
      </c>
      <c r="N6004" s="573">
        <v>65.58</v>
      </c>
      <c r="O6004" s="556" t="str">
        <f>IF(N6004=M6004,"OK","DIF")</f>
        <v>DIF</v>
      </c>
      <c r="P6004" s="573"/>
      <c r="Q6004" s="556"/>
      <c r="R6004" s="582"/>
    </row>
    <row r="6005" ht="23.85" customHeight="1" spans="1:18">
      <c r="A6005" s="556" t="str">
        <f>B6005</f>
        <v>Insumo</v>
      </c>
      <c r="B6005" s="557" t="str">
        <f>B6004</f>
        <v>Insumo</v>
      </c>
      <c r="C6005" s="100" t="s">
        <v>2893</v>
      </c>
      <c r="D6005" s="99" t="s">
        <v>4679</v>
      </c>
      <c r="E6005" s="100" t="s">
        <v>132</v>
      </c>
      <c r="F6005" s="100" t="s">
        <v>4680</v>
      </c>
      <c r="G6005" s="100" t="s">
        <v>2961</v>
      </c>
      <c r="H6005" s="100"/>
      <c r="I6005" s="101" t="s">
        <v>134</v>
      </c>
      <c r="J6005" s="580">
        <v>1</v>
      </c>
      <c r="K6005" s="580">
        <v>0</v>
      </c>
      <c r="L6005" s="102">
        <v>16.2</v>
      </c>
      <c r="M6005" s="102">
        <v>16.2</v>
      </c>
      <c r="N6005" s="573">
        <v>22.66</v>
      </c>
      <c r="O6005" s="556" t="str">
        <f>IF(N6005=M6005,"OK","DIF")</f>
        <v>DIF</v>
      </c>
      <c r="P6005" s="573"/>
      <c r="Q6005" s="556"/>
      <c r="R6005" s="582"/>
    </row>
    <row r="6006" ht="25.5" spans="1:18">
      <c r="A6006" s="556" t="str">
        <f>B6006</f>
        <v>Insumo</v>
      </c>
      <c r="B6006" s="557" t="str">
        <f>B6005</f>
        <v>Insumo</v>
      </c>
      <c r="C6006" s="108"/>
      <c r="D6006" s="108"/>
      <c r="E6006" s="108"/>
      <c r="F6006" s="108"/>
      <c r="G6006" s="108"/>
      <c r="H6006" s="108" t="s">
        <v>2898</v>
      </c>
      <c r="I6006" s="581">
        <v>17.26</v>
      </c>
      <c r="J6006" s="108" t="s">
        <v>2899</v>
      </c>
      <c r="K6006" s="581">
        <v>0</v>
      </c>
      <c r="L6006" s="108" t="s">
        <v>2900</v>
      </c>
      <c r="M6006" s="581">
        <v>17.26</v>
      </c>
      <c r="N6006" s="573">
        <v>17.62</v>
      </c>
      <c r="O6006" s="556" t="str">
        <f>IF(N6006=M6006,"OK","DIF")</f>
        <v>DIF</v>
      </c>
      <c r="P6006" s="573"/>
      <c r="Q6006" s="556"/>
      <c r="R6006" s="582"/>
    </row>
    <row r="6007" ht="26.25" spans="1:18">
      <c r="A6007" s="556" t="str">
        <f>B6007</f>
        <v>Insumo</v>
      </c>
      <c r="B6007" s="557" t="str">
        <f>B6006</f>
        <v>Insumo</v>
      </c>
      <c r="C6007" s="108"/>
      <c r="D6007" s="108"/>
      <c r="E6007" s="108"/>
      <c r="F6007" s="108"/>
      <c r="G6007" s="108"/>
      <c r="H6007" s="108" t="s">
        <v>2901</v>
      </c>
      <c r="I6007" s="581">
        <v>10.5</v>
      </c>
      <c r="J6007" s="114"/>
      <c r="K6007" s="114" t="s">
        <v>2902</v>
      </c>
      <c r="L6007" s="108"/>
      <c r="M6007" s="581">
        <v>51.71</v>
      </c>
      <c r="N6007" s="573">
        <v>22.96</v>
      </c>
      <c r="O6007" s="556" t="str">
        <f>IF(N6007=M6007,"OK","DIF")</f>
        <v>DIF</v>
      </c>
      <c r="P6007" s="573"/>
      <c r="Q6007" s="556"/>
      <c r="R6007" s="582"/>
    </row>
    <row r="6008" ht="15" spans="1:18">
      <c r="A6008" s="556" t="str">
        <f>B6008</f>
        <v>Insumo</v>
      </c>
      <c r="B6008" s="557" t="str">
        <f>B6007</f>
        <v>Insumo</v>
      </c>
      <c r="C6008" s="571"/>
      <c r="D6008" s="571"/>
      <c r="E6008" s="571"/>
      <c r="F6008" s="571"/>
      <c r="G6008" s="571"/>
      <c r="H6008" s="571"/>
      <c r="I6008" s="571"/>
      <c r="J6008" s="571"/>
      <c r="K6008" s="571"/>
      <c r="L6008" s="571"/>
      <c r="M6008" s="571"/>
      <c r="N6008" s="573">
        <v>2.34</v>
      </c>
      <c r="O6008" s="556" t="str">
        <f>IF(N6008=M6008,"OK","DIF")</f>
        <v>DIF</v>
      </c>
      <c r="P6008" s="573"/>
      <c r="Q6008" s="556"/>
      <c r="R6008" s="582"/>
    </row>
    <row r="6009" ht="15" customHeight="1" spans="1:18">
      <c r="A6009" s="556"/>
      <c r="B6009" s="557"/>
      <c r="C6009" s="76" t="s">
        <v>2020</v>
      </c>
      <c r="D6009" s="75" t="s">
        <v>63</v>
      </c>
      <c r="E6009" s="76" t="s">
        <v>64</v>
      </c>
      <c r="F6009" s="76" t="s">
        <v>65</v>
      </c>
      <c r="G6009" s="76" t="s">
        <v>2889</v>
      </c>
      <c r="H6009" s="76"/>
      <c r="I6009" s="77" t="s">
        <v>66</v>
      </c>
      <c r="J6009" s="75" t="s">
        <v>67</v>
      </c>
      <c r="K6009" s="75" t="s">
        <v>2890</v>
      </c>
      <c r="L6009" s="75" t="s">
        <v>68</v>
      </c>
      <c r="M6009" s="75" t="s">
        <v>70</v>
      </c>
      <c r="N6009" s="573"/>
      <c r="O6009" s="556"/>
      <c r="P6009" s="573"/>
      <c r="Q6009" s="556"/>
      <c r="R6009" s="582"/>
    </row>
    <row r="6010" ht="38.25" spans="1:18">
      <c r="A6010" s="556"/>
      <c r="B6010" s="557"/>
      <c r="C6010" s="569" t="s">
        <v>2891</v>
      </c>
      <c r="D6010" s="570" t="s">
        <v>2021</v>
      </c>
      <c r="E6010" s="569" t="s">
        <v>132</v>
      </c>
      <c r="F6010" s="569" t="s">
        <v>2022</v>
      </c>
      <c r="G6010" s="569">
        <v>61</v>
      </c>
      <c r="H6010" s="569"/>
      <c r="I6010" s="577" t="s">
        <v>134</v>
      </c>
      <c r="J6010" s="578">
        <v>1</v>
      </c>
      <c r="K6010" s="579"/>
      <c r="L6010" s="579">
        <v>30.99</v>
      </c>
      <c r="M6010" s="579">
        <v>30.99</v>
      </c>
      <c r="N6010" s="573"/>
      <c r="O6010" s="556"/>
      <c r="P6010" s="573"/>
      <c r="Q6010" s="556"/>
      <c r="R6010" s="582"/>
    </row>
    <row r="6011" ht="23.85" customHeight="1" spans="1:18">
      <c r="A6011" s="556"/>
      <c r="B6011" s="557" t="str">
        <f>C6010</f>
        <v>Composição</v>
      </c>
      <c r="C6011" s="79" t="s">
        <v>2921</v>
      </c>
      <c r="D6011" s="78" t="s">
        <v>3146</v>
      </c>
      <c r="E6011" s="79" t="s">
        <v>139</v>
      </c>
      <c r="F6011" s="79" t="s">
        <v>3147</v>
      </c>
      <c r="G6011" s="79" t="s">
        <v>2928</v>
      </c>
      <c r="H6011" s="79"/>
      <c r="I6011" s="80" t="s">
        <v>2897</v>
      </c>
      <c r="J6011" s="583">
        <v>0.3726</v>
      </c>
      <c r="K6011" s="583">
        <v>0</v>
      </c>
      <c r="L6011" s="92">
        <v>29.54</v>
      </c>
      <c r="M6011" s="92">
        <v>11</v>
      </c>
      <c r="N6011" s="573">
        <v>4.66</v>
      </c>
      <c r="O6011" s="556" t="str">
        <f>IF(N6011=M6011,"OK","DIF")</f>
        <v>DIF</v>
      </c>
      <c r="P6011" s="573"/>
      <c r="Q6011" s="556"/>
      <c r="R6011" s="582"/>
    </row>
    <row r="6012" ht="23.85" customHeight="1" spans="1:18">
      <c r="A6012" s="556" t="str">
        <f>B6012</f>
        <v>Composição</v>
      </c>
      <c r="B6012" s="557" t="str">
        <f>B6011</f>
        <v>Composição</v>
      </c>
      <c r="C6012" s="79" t="s">
        <v>2921</v>
      </c>
      <c r="D6012" s="78" t="s">
        <v>3144</v>
      </c>
      <c r="E6012" s="79" t="s">
        <v>139</v>
      </c>
      <c r="F6012" s="79" t="s">
        <v>3145</v>
      </c>
      <c r="G6012" s="79" t="s">
        <v>2928</v>
      </c>
      <c r="H6012" s="79"/>
      <c r="I6012" s="80" t="s">
        <v>2897</v>
      </c>
      <c r="J6012" s="583">
        <v>0.3726</v>
      </c>
      <c r="K6012" s="583">
        <v>0</v>
      </c>
      <c r="L6012" s="92">
        <v>35.55</v>
      </c>
      <c r="M6012" s="92">
        <v>13.24</v>
      </c>
      <c r="N6012" s="573">
        <v>1.73</v>
      </c>
      <c r="O6012" s="556" t="str">
        <f>IF(N6012=M6012,"OK","DIF")</f>
        <v>DIF</v>
      </c>
      <c r="P6012" s="573"/>
      <c r="Q6012" s="556"/>
      <c r="R6012" s="582"/>
    </row>
    <row r="6013" ht="23.85" customHeight="1" spans="1:18">
      <c r="A6013" s="556" t="str">
        <f>B6013</f>
        <v>Composição</v>
      </c>
      <c r="B6013" s="557" t="str">
        <f>B6012</f>
        <v>Composição</v>
      </c>
      <c r="C6013" s="100" t="s">
        <v>2893</v>
      </c>
      <c r="D6013" s="99" t="s">
        <v>4681</v>
      </c>
      <c r="E6013" s="100" t="s">
        <v>139</v>
      </c>
      <c r="F6013" s="100" t="s">
        <v>4682</v>
      </c>
      <c r="G6013" s="100" t="s">
        <v>2961</v>
      </c>
      <c r="H6013" s="100"/>
      <c r="I6013" s="101" t="s">
        <v>134</v>
      </c>
      <c r="J6013" s="580">
        <v>1</v>
      </c>
      <c r="K6013" s="580">
        <v>0</v>
      </c>
      <c r="L6013" s="102">
        <v>5.98</v>
      </c>
      <c r="M6013" s="102">
        <v>5.98</v>
      </c>
      <c r="N6013" s="573">
        <v>0.66</v>
      </c>
      <c r="O6013" s="556" t="str">
        <f>IF(N6013=M6013,"OK","DIF")</f>
        <v>DIF</v>
      </c>
      <c r="P6013" s="573"/>
      <c r="Q6013" s="556"/>
      <c r="R6013" s="582"/>
    </row>
    <row r="6014" ht="15" customHeight="1" spans="1:18">
      <c r="A6014" s="556" t="str">
        <f>B6014</f>
        <v>Composição</v>
      </c>
      <c r="B6014" s="557" t="str">
        <f>B6013</f>
        <v>Composição</v>
      </c>
      <c r="C6014" s="100" t="s">
        <v>2893</v>
      </c>
      <c r="D6014" s="99" t="s">
        <v>3643</v>
      </c>
      <c r="E6014" s="100" t="s">
        <v>139</v>
      </c>
      <c r="F6014" s="100" t="s">
        <v>3644</v>
      </c>
      <c r="G6014" s="100" t="s">
        <v>2961</v>
      </c>
      <c r="H6014" s="100"/>
      <c r="I6014" s="101" t="s">
        <v>134</v>
      </c>
      <c r="J6014" s="580">
        <v>0.0297</v>
      </c>
      <c r="K6014" s="580">
        <v>0</v>
      </c>
      <c r="L6014" s="102">
        <v>13.46</v>
      </c>
      <c r="M6014" s="102">
        <v>0.39</v>
      </c>
      <c r="N6014" s="573">
        <v>2.27</v>
      </c>
      <c r="O6014" s="556" t="str">
        <f>IF(N6014=M6014,"OK","DIF")</f>
        <v>DIF</v>
      </c>
      <c r="P6014" s="573"/>
      <c r="Q6014" s="556"/>
      <c r="R6014" s="582"/>
    </row>
    <row r="6015" ht="15" customHeight="1" spans="1:18">
      <c r="A6015" s="556"/>
      <c r="B6015" s="557"/>
      <c r="C6015" s="100" t="s">
        <v>2893</v>
      </c>
      <c r="D6015" s="99" t="s">
        <v>3473</v>
      </c>
      <c r="E6015" s="100" t="s">
        <v>139</v>
      </c>
      <c r="F6015" s="100" t="s">
        <v>3474</v>
      </c>
      <c r="G6015" s="100" t="s">
        <v>2961</v>
      </c>
      <c r="H6015" s="100"/>
      <c r="I6015" s="101" t="s">
        <v>3084</v>
      </c>
      <c r="J6015" s="580">
        <v>0.007</v>
      </c>
      <c r="K6015" s="580">
        <v>0</v>
      </c>
      <c r="L6015" s="102">
        <v>55.41</v>
      </c>
      <c r="M6015" s="102">
        <v>0.38</v>
      </c>
      <c r="N6015" s="573"/>
      <c r="O6015" s="556"/>
      <c r="P6015" s="573"/>
      <c r="Q6015" s="556"/>
      <c r="R6015" s="582"/>
    </row>
    <row r="6016" ht="25.5" spans="1:18">
      <c r="A6016" s="556"/>
      <c r="B6016" s="557"/>
      <c r="C6016" s="108"/>
      <c r="D6016" s="108"/>
      <c r="E6016" s="108"/>
      <c r="F6016" s="108"/>
      <c r="G6016" s="108"/>
      <c r="H6016" s="108" t="s">
        <v>2898</v>
      </c>
      <c r="I6016" s="581">
        <v>17.26</v>
      </c>
      <c r="J6016" s="108" t="s">
        <v>2899</v>
      </c>
      <c r="K6016" s="581">
        <v>0</v>
      </c>
      <c r="L6016" s="108" t="s">
        <v>2900</v>
      </c>
      <c r="M6016" s="581">
        <v>17.26</v>
      </c>
      <c r="N6016" s="573"/>
      <c r="O6016" s="556"/>
      <c r="P6016" s="573"/>
      <c r="Q6016" s="556"/>
      <c r="R6016" s="582"/>
    </row>
    <row r="6017" ht="26.25" spans="1:18">
      <c r="A6017" s="556"/>
      <c r="B6017" s="557">
        <f>C6016</f>
        <v>0</v>
      </c>
      <c r="C6017" s="108"/>
      <c r="D6017" s="108"/>
      <c r="E6017" s="108"/>
      <c r="F6017" s="108"/>
      <c r="G6017" s="108"/>
      <c r="H6017" s="108" t="s">
        <v>2901</v>
      </c>
      <c r="I6017" s="581">
        <v>7.89</v>
      </c>
      <c r="J6017" s="114"/>
      <c r="K6017" s="114" t="s">
        <v>2902</v>
      </c>
      <c r="L6017" s="108"/>
      <c r="M6017" s="581">
        <v>38.88</v>
      </c>
      <c r="N6017" s="573">
        <v>2.71</v>
      </c>
      <c r="O6017" s="556" t="str">
        <f>IF(N6017=M6017,"OK","DIF")</f>
        <v>DIF</v>
      </c>
      <c r="P6017" s="573"/>
      <c r="Q6017" s="556"/>
      <c r="R6017" s="582"/>
    </row>
    <row r="6018" ht="15" spans="1:18">
      <c r="A6018" s="556">
        <f>B6018</f>
        <v>0</v>
      </c>
      <c r="B6018" s="557">
        <f>B6017</f>
        <v>0</v>
      </c>
      <c r="C6018" s="571"/>
      <c r="D6018" s="571"/>
      <c r="E6018" s="571"/>
      <c r="F6018" s="571"/>
      <c r="G6018" s="571"/>
      <c r="H6018" s="571"/>
      <c r="I6018" s="571"/>
      <c r="J6018" s="571"/>
      <c r="K6018" s="571"/>
      <c r="L6018" s="571"/>
      <c r="M6018" s="571"/>
      <c r="N6018" s="573">
        <v>0.3</v>
      </c>
      <c r="O6018" s="556" t="str">
        <f>IF(N6018=M6018,"OK","DIF")</f>
        <v>DIF</v>
      </c>
      <c r="P6018" s="573"/>
      <c r="Q6018" s="556"/>
      <c r="R6018" s="582"/>
    </row>
    <row r="6019" ht="15" customHeight="1" spans="1:18">
      <c r="A6019" s="556">
        <f>B6019</f>
        <v>0</v>
      </c>
      <c r="B6019" s="557">
        <f>B6018</f>
        <v>0</v>
      </c>
      <c r="C6019" s="76" t="s">
        <v>2023</v>
      </c>
      <c r="D6019" s="75" t="s">
        <v>63</v>
      </c>
      <c r="E6019" s="76" t="s">
        <v>64</v>
      </c>
      <c r="F6019" s="76" t="s">
        <v>65</v>
      </c>
      <c r="G6019" s="76" t="s">
        <v>2889</v>
      </c>
      <c r="H6019" s="76"/>
      <c r="I6019" s="77" t="s">
        <v>66</v>
      </c>
      <c r="J6019" s="75" t="s">
        <v>67</v>
      </c>
      <c r="K6019" s="75" t="s">
        <v>2890</v>
      </c>
      <c r="L6019" s="75" t="s">
        <v>68</v>
      </c>
      <c r="M6019" s="75" t="s">
        <v>70</v>
      </c>
      <c r="N6019" s="573">
        <v>2.41</v>
      </c>
      <c r="O6019" s="556" t="str">
        <f>IF(N6019=M6019,"OK","DIF")</f>
        <v>DIF</v>
      </c>
      <c r="P6019" s="573"/>
      <c r="Q6019" s="556"/>
      <c r="R6019" s="582"/>
    </row>
    <row r="6020" ht="38.25" spans="1:18">
      <c r="A6020" s="556"/>
      <c r="B6020" s="557"/>
      <c r="C6020" s="569" t="s">
        <v>2891</v>
      </c>
      <c r="D6020" s="570" t="s">
        <v>2024</v>
      </c>
      <c r="E6020" s="569" t="s">
        <v>132</v>
      </c>
      <c r="F6020" s="569" t="s">
        <v>2025</v>
      </c>
      <c r="G6020" s="569">
        <v>61</v>
      </c>
      <c r="H6020" s="569"/>
      <c r="I6020" s="577" t="s">
        <v>134</v>
      </c>
      <c r="J6020" s="578">
        <v>1</v>
      </c>
      <c r="K6020" s="579"/>
      <c r="L6020" s="579">
        <v>372.31</v>
      </c>
      <c r="M6020" s="579">
        <v>372.31</v>
      </c>
      <c r="N6020" s="573"/>
      <c r="O6020" s="556"/>
      <c r="P6020" s="573"/>
      <c r="Q6020" s="556"/>
      <c r="R6020" s="582"/>
    </row>
    <row r="6021" ht="23.85" customHeight="1" spans="1:18">
      <c r="A6021" s="556"/>
      <c r="B6021" s="557"/>
      <c r="C6021" s="79" t="s">
        <v>2921</v>
      </c>
      <c r="D6021" s="78" t="s">
        <v>3146</v>
      </c>
      <c r="E6021" s="79" t="s">
        <v>139</v>
      </c>
      <c r="F6021" s="79" t="s">
        <v>3147</v>
      </c>
      <c r="G6021" s="79" t="s">
        <v>2928</v>
      </c>
      <c r="H6021" s="79"/>
      <c r="I6021" s="80" t="s">
        <v>2897</v>
      </c>
      <c r="J6021" s="583">
        <v>0.3726</v>
      </c>
      <c r="K6021" s="583">
        <v>0</v>
      </c>
      <c r="L6021" s="92">
        <v>29.54</v>
      </c>
      <c r="M6021" s="92">
        <v>11</v>
      </c>
      <c r="N6021" s="573"/>
      <c r="O6021" s="556"/>
      <c r="P6021" s="573"/>
      <c r="Q6021" s="556"/>
      <c r="R6021" s="582"/>
    </row>
    <row r="6022" ht="23.85" customHeight="1" spans="1:18">
      <c r="A6022" s="556"/>
      <c r="B6022" s="557" t="str">
        <f>C6021</f>
        <v>Composição Auxiliar</v>
      </c>
      <c r="C6022" s="79" t="s">
        <v>2921</v>
      </c>
      <c r="D6022" s="78" t="s">
        <v>3144</v>
      </c>
      <c r="E6022" s="79" t="s">
        <v>139</v>
      </c>
      <c r="F6022" s="79" t="s">
        <v>3145</v>
      </c>
      <c r="G6022" s="79" t="s">
        <v>2928</v>
      </c>
      <c r="H6022" s="79"/>
      <c r="I6022" s="80" t="s">
        <v>2897</v>
      </c>
      <c r="J6022" s="583">
        <v>0.3726</v>
      </c>
      <c r="K6022" s="583">
        <v>0</v>
      </c>
      <c r="L6022" s="92">
        <v>35.55</v>
      </c>
      <c r="M6022" s="92">
        <v>13.24</v>
      </c>
      <c r="N6022" s="573">
        <v>124.61</v>
      </c>
      <c r="O6022" s="556" t="str">
        <f t="shared" ref="O6022:O6027" si="393">IF(N6022=M6022,"OK","DIF")</f>
        <v>DIF</v>
      </c>
      <c r="P6022" s="573"/>
      <c r="Q6022" s="556"/>
      <c r="R6022" s="582"/>
    </row>
    <row r="6023" ht="15" customHeight="1" spans="1:18">
      <c r="A6023" s="556" t="str">
        <f>B6023</f>
        <v>Composição Auxiliar</v>
      </c>
      <c r="B6023" s="557" t="str">
        <f>B6022</f>
        <v>Composição Auxiliar</v>
      </c>
      <c r="C6023" s="100" t="s">
        <v>2893</v>
      </c>
      <c r="D6023" s="99" t="s">
        <v>3643</v>
      </c>
      <c r="E6023" s="100" t="s">
        <v>139</v>
      </c>
      <c r="F6023" s="100" t="s">
        <v>3644</v>
      </c>
      <c r="G6023" s="100" t="s">
        <v>2961</v>
      </c>
      <c r="H6023" s="100"/>
      <c r="I6023" s="101" t="s">
        <v>134</v>
      </c>
      <c r="J6023" s="580">
        <v>0.0297</v>
      </c>
      <c r="K6023" s="580">
        <v>0</v>
      </c>
      <c r="L6023" s="102">
        <v>13.46</v>
      </c>
      <c r="M6023" s="102">
        <v>0.39</v>
      </c>
      <c r="N6023" s="573">
        <v>17.17</v>
      </c>
      <c r="O6023" s="556" t="str">
        <f t="shared" si="393"/>
        <v>DIF</v>
      </c>
      <c r="P6023" s="573"/>
      <c r="Q6023" s="556"/>
      <c r="R6023" s="582"/>
    </row>
    <row r="6024" ht="23.85" customHeight="1" spans="1:18">
      <c r="A6024" s="556" t="str">
        <f>B6024</f>
        <v>Composição Auxiliar</v>
      </c>
      <c r="B6024" s="557" t="str">
        <f>B6023</f>
        <v>Composição Auxiliar</v>
      </c>
      <c r="C6024" s="100" t="s">
        <v>2893</v>
      </c>
      <c r="D6024" s="99" t="s">
        <v>4683</v>
      </c>
      <c r="E6024" s="100" t="s">
        <v>139</v>
      </c>
      <c r="F6024" s="100" t="s">
        <v>4684</v>
      </c>
      <c r="G6024" s="100" t="s">
        <v>2961</v>
      </c>
      <c r="H6024" s="100"/>
      <c r="I6024" s="101" t="s">
        <v>134</v>
      </c>
      <c r="J6024" s="580">
        <v>1</v>
      </c>
      <c r="K6024" s="580">
        <v>0</v>
      </c>
      <c r="L6024" s="102">
        <v>347.3</v>
      </c>
      <c r="M6024" s="102">
        <v>347.3</v>
      </c>
      <c r="N6024" s="573">
        <v>22.25</v>
      </c>
      <c r="O6024" s="556" t="str">
        <f t="shared" si="393"/>
        <v>DIF</v>
      </c>
      <c r="P6024" s="573"/>
      <c r="Q6024" s="556"/>
      <c r="R6024" s="582"/>
    </row>
    <row r="6025" ht="15" customHeight="1" spans="1:18">
      <c r="A6025" s="556" t="str">
        <f>B6025</f>
        <v>Composição Auxiliar</v>
      </c>
      <c r="B6025" s="557" t="str">
        <f>B6024</f>
        <v>Composição Auxiliar</v>
      </c>
      <c r="C6025" s="100" t="s">
        <v>2893</v>
      </c>
      <c r="D6025" s="99" t="s">
        <v>3473</v>
      </c>
      <c r="E6025" s="100" t="s">
        <v>139</v>
      </c>
      <c r="F6025" s="100" t="s">
        <v>3474</v>
      </c>
      <c r="G6025" s="100" t="s">
        <v>2961</v>
      </c>
      <c r="H6025" s="100"/>
      <c r="I6025" s="101" t="s">
        <v>3084</v>
      </c>
      <c r="J6025" s="580">
        <v>0.007</v>
      </c>
      <c r="K6025" s="580">
        <v>0</v>
      </c>
      <c r="L6025" s="102">
        <v>55.41</v>
      </c>
      <c r="M6025" s="102">
        <v>0.38</v>
      </c>
      <c r="N6025" s="573">
        <v>11.8</v>
      </c>
      <c r="O6025" s="556" t="str">
        <f t="shared" si="393"/>
        <v>DIF</v>
      </c>
      <c r="P6025" s="573"/>
      <c r="Q6025" s="556"/>
      <c r="R6025" s="582"/>
    </row>
    <row r="6026" ht="25.5" spans="1:18">
      <c r="A6026" s="556" t="str">
        <f>B6026</f>
        <v>Composição Auxiliar</v>
      </c>
      <c r="B6026" s="557" t="str">
        <f>B6025</f>
        <v>Composição Auxiliar</v>
      </c>
      <c r="C6026" s="108"/>
      <c r="D6026" s="108"/>
      <c r="E6026" s="108"/>
      <c r="F6026" s="108"/>
      <c r="G6026" s="108"/>
      <c r="H6026" s="108" t="s">
        <v>2898</v>
      </c>
      <c r="I6026" s="581">
        <v>17.26</v>
      </c>
      <c r="J6026" s="108" t="s">
        <v>2899</v>
      </c>
      <c r="K6026" s="581">
        <v>0</v>
      </c>
      <c r="L6026" s="108" t="s">
        <v>2900</v>
      </c>
      <c r="M6026" s="581">
        <v>17.26</v>
      </c>
      <c r="N6026" s="573">
        <v>2.49</v>
      </c>
      <c r="O6026" s="556" t="str">
        <f t="shared" si="393"/>
        <v>DIF</v>
      </c>
      <c r="P6026" s="573"/>
      <c r="Q6026" s="556"/>
      <c r="R6026" s="582"/>
    </row>
    <row r="6027" ht="26.25" spans="1:18">
      <c r="A6027" s="556" t="str">
        <f>B6027</f>
        <v>Composição Auxiliar</v>
      </c>
      <c r="B6027" s="557" t="str">
        <f>B6026</f>
        <v>Composição Auxiliar</v>
      </c>
      <c r="C6027" s="108"/>
      <c r="D6027" s="108"/>
      <c r="E6027" s="108"/>
      <c r="F6027" s="108"/>
      <c r="G6027" s="108"/>
      <c r="H6027" s="108" t="s">
        <v>2901</v>
      </c>
      <c r="I6027" s="581">
        <v>94.9</v>
      </c>
      <c r="J6027" s="114"/>
      <c r="K6027" s="114" t="s">
        <v>2902</v>
      </c>
      <c r="L6027" s="108"/>
      <c r="M6027" s="581">
        <v>467.21</v>
      </c>
      <c r="N6027" s="573">
        <v>70.9</v>
      </c>
      <c r="O6027" s="556" t="str">
        <f t="shared" si="393"/>
        <v>DIF</v>
      </c>
      <c r="P6027" s="573"/>
      <c r="Q6027" s="556"/>
      <c r="R6027" s="582"/>
    </row>
    <row r="6028" ht="15" spans="1:18">
      <c r="A6028" s="556"/>
      <c r="B6028" s="557"/>
      <c r="C6028" s="571"/>
      <c r="D6028" s="571"/>
      <c r="E6028" s="571"/>
      <c r="F6028" s="571"/>
      <c r="G6028" s="571"/>
      <c r="H6028" s="571"/>
      <c r="I6028" s="571"/>
      <c r="J6028" s="571"/>
      <c r="K6028" s="571"/>
      <c r="L6028" s="571"/>
      <c r="M6028" s="571"/>
      <c r="N6028" s="573"/>
      <c r="O6028" s="556"/>
      <c r="P6028" s="573"/>
      <c r="Q6028" s="556"/>
      <c r="R6028" s="582"/>
    </row>
    <row r="6029" ht="15" customHeight="1" spans="1:18">
      <c r="A6029" s="556"/>
      <c r="B6029" s="557"/>
      <c r="C6029" s="76" t="s">
        <v>2026</v>
      </c>
      <c r="D6029" s="75" t="s">
        <v>63</v>
      </c>
      <c r="E6029" s="76" t="s">
        <v>64</v>
      </c>
      <c r="F6029" s="76" t="s">
        <v>65</v>
      </c>
      <c r="G6029" s="76" t="s">
        <v>2889</v>
      </c>
      <c r="H6029" s="76"/>
      <c r="I6029" s="77" t="s">
        <v>66</v>
      </c>
      <c r="J6029" s="75" t="s">
        <v>67</v>
      </c>
      <c r="K6029" s="75" t="s">
        <v>2890</v>
      </c>
      <c r="L6029" s="75" t="s">
        <v>68</v>
      </c>
      <c r="M6029" s="75" t="s">
        <v>70</v>
      </c>
      <c r="N6029" s="573"/>
      <c r="O6029" s="556"/>
      <c r="P6029" s="573"/>
      <c r="Q6029" s="556"/>
      <c r="R6029" s="582"/>
    </row>
    <row r="6030" ht="38.25" spans="1:18">
      <c r="A6030" s="556"/>
      <c r="B6030" s="557"/>
      <c r="C6030" s="569" t="s">
        <v>2891</v>
      </c>
      <c r="D6030" s="570" t="s">
        <v>2027</v>
      </c>
      <c r="E6030" s="569" t="s">
        <v>132</v>
      </c>
      <c r="F6030" s="569" t="s">
        <v>2028</v>
      </c>
      <c r="G6030" s="569">
        <v>61</v>
      </c>
      <c r="H6030" s="569"/>
      <c r="I6030" s="577" t="s">
        <v>134</v>
      </c>
      <c r="J6030" s="578">
        <v>1</v>
      </c>
      <c r="K6030" s="579"/>
      <c r="L6030" s="579">
        <v>151.91</v>
      </c>
      <c r="M6030" s="579">
        <v>151.91</v>
      </c>
      <c r="N6030" s="573"/>
      <c r="O6030" s="556"/>
      <c r="P6030" s="573"/>
      <c r="Q6030" s="556"/>
      <c r="R6030" s="582"/>
    </row>
    <row r="6031" ht="23.85" customHeight="1" spans="1:18">
      <c r="A6031" s="556"/>
      <c r="B6031" s="557"/>
      <c r="C6031" s="79" t="s">
        <v>2921</v>
      </c>
      <c r="D6031" s="78" t="s">
        <v>3144</v>
      </c>
      <c r="E6031" s="79" t="s">
        <v>139</v>
      </c>
      <c r="F6031" s="79" t="s">
        <v>3145</v>
      </c>
      <c r="G6031" s="79" t="s">
        <v>2928</v>
      </c>
      <c r="H6031" s="79"/>
      <c r="I6031" s="80" t="s">
        <v>2897</v>
      </c>
      <c r="J6031" s="583">
        <v>0.3726</v>
      </c>
      <c r="K6031" s="583">
        <v>0</v>
      </c>
      <c r="L6031" s="92">
        <v>35.55</v>
      </c>
      <c r="M6031" s="92">
        <v>13.24</v>
      </c>
      <c r="N6031" s="573"/>
      <c r="O6031" s="556"/>
      <c r="P6031" s="573"/>
      <c r="Q6031" s="556"/>
      <c r="R6031" s="582"/>
    </row>
    <row r="6032" ht="23.85" customHeight="1" spans="1:18">
      <c r="A6032" s="556"/>
      <c r="B6032" s="557" t="str">
        <f>C6031</f>
        <v>Composição Auxiliar</v>
      </c>
      <c r="C6032" s="79" t="s">
        <v>2921</v>
      </c>
      <c r="D6032" s="78" t="s">
        <v>3146</v>
      </c>
      <c r="E6032" s="79" t="s">
        <v>139</v>
      </c>
      <c r="F6032" s="79" t="s">
        <v>3147</v>
      </c>
      <c r="G6032" s="79" t="s">
        <v>2928</v>
      </c>
      <c r="H6032" s="79"/>
      <c r="I6032" s="80" t="s">
        <v>2897</v>
      </c>
      <c r="J6032" s="583">
        <v>0.3726</v>
      </c>
      <c r="K6032" s="583">
        <v>0</v>
      </c>
      <c r="L6032" s="92">
        <v>29.54</v>
      </c>
      <c r="M6032" s="92">
        <v>11</v>
      </c>
      <c r="N6032" s="573">
        <v>94.5</v>
      </c>
      <c r="O6032" s="556" t="str">
        <f t="shared" ref="O6032:O6043" si="394">IF(N6032=M6032,"OK","DIF")</f>
        <v>DIF</v>
      </c>
      <c r="P6032" s="573"/>
      <c r="Q6032" s="556"/>
      <c r="R6032" s="582"/>
    </row>
    <row r="6033" ht="23.85" customHeight="1" spans="1:18">
      <c r="A6033" s="556" t="str">
        <f t="shared" ref="A6033:A6043" si="395">B6033</f>
        <v>Composição Auxiliar</v>
      </c>
      <c r="B6033" s="557" t="str">
        <f t="shared" ref="B6033:B6043" si="396">B6032</f>
        <v>Composição Auxiliar</v>
      </c>
      <c r="C6033" s="100" t="s">
        <v>2893</v>
      </c>
      <c r="D6033" s="99" t="s">
        <v>4685</v>
      </c>
      <c r="E6033" s="100" t="s">
        <v>139</v>
      </c>
      <c r="F6033" s="100" t="s">
        <v>4686</v>
      </c>
      <c r="G6033" s="100" t="s">
        <v>2961</v>
      </c>
      <c r="H6033" s="100"/>
      <c r="I6033" s="101" t="s">
        <v>134</v>
      </c>
      <c r="J6033" s="580">
        <v>1</v>
      </c>
      <c r="K6033" s="580">
        <v>0</v>
      </c>
      <c r="L6033" s="102">
        <v>126.9</v>
      </c>
      <c r="M6033" s="102">
        <v>126.9</v>
      </c>
      <c r="N6033" s="573">
        <v>0.34</v>
      </c>
      <c r="O6033" s="556" t="str">
        <f t="shared" si="394"/>
        <v>DIF</v>
      </c>
      <c r="P6033" s="573"/>
      <c r="Q6033" s="556"/>
      <c r="R6033" s="582"/>
    </row>
    <row r="6034" ht="15" customHeight="1" spans="1:18">
      <c r="A6034" s="556" t="str">
        <f t="shared" si="395"/>
        <v>Composição Auxiliar</v>
      </c>
      <c r="B6034" s="557" t="str">
        <f t="shared" si="396"/>
        <v>Composição Auxiliar</v>
      </c>
      <c r="C6034" s="100" t="s">
        <v>2893</v>
      </c>
      <c r="D6034" s="99" t="s">
        <v>3473</v>
      </c>
      <c r="E6034" s="100" t="s">
        <v>139</v>
      </c>
      <c r="F6034" s="100" t="s">
        <v>3474</v>
      </c>
      <c r="G6034" s="100" t="s">
        <v>2961</v>
      </c>
      <c r="H6034" s="100"/>
      <c r="I6034" s="101" t="s">
        <v>3084</v>
      </c>
      <c r="J6034" s="580">
        <v>0.007</v>
      </c>
      <c r="K6034" s="580">
        <v>0</v>
      </c>
      <c r="L6034" s="102">
        <v>55.41</v>
      </c>
      <c r="M6034" s="102">
        <v>0.38</v>
      </c>
      <c r="N6034" s="573">
        <v>12.9</v>
      </c>
      <c r="O6034" s="556" t="str">
        <f t="shared" si="394"/>
        <v>DIF</v>
      </c>
      <c r="P6034" s="573"/>
      <c r="Q6034" s="556"/>
      <c r="R6034" s="582"/>
    </row>
    <row r="6035" ht="15" customHeight="1" spans="1:18">
      <c r="A6035" s="556" t="str">
        <f t="shared" si="395"/>
        <v>Composição Auxiliar</v>
      </c>
      <c r="B6035" s="557" t="str">
        <f t="shared" si="396"/>
        <v>Composição Auxiliar</v>
      </c>
      <c r="C6035" s="100" t="s">
        <v>2893</v>
      </c>
      <c r="D6035" s="99" t="s">
        <v>3643</v>
      </c>
      <c r="E6035" s="100" t="s">
        <v>139</v>
      </c>
      <c r="F6035" s="100" t="s">
        <v>3644</v>
      </c>
      <c r="G6035" s="100" t="s">
        <v>2961</v>
      </c>
      <c r="H6035" s="100"/>
      <c r="I6035" s="101" t="s">
        <v>134</v>
      </c>
      <c r="J6035" s="580">
        <v>0.0297</v>
      </c>
      <c r="K6035" s="580">
        <v>0</v>
      </c>
      <c r="L6035" s="102">
        <v>13.46</v>
      </c>
      <c r="M6035" s="102">
        <v>0.39</v>
      </c>
      <c r="N6035" s="573">
        <v>30.39</v>
      </c>
      <c r="O6035" s="556" t="str">
        <f t="shared" si="394"/>
        <v>DIF</v>
      </c>
      <c r="P6035" s="573"/>
      <c r="Q6035" s="556"/>
      <c r="R6035" s="582"/>
    </row>
    <row r="6036" ht="25.5" spans="1:18">
      <c r="A6036" s="556" t="str">
        <f t="shared" si="395"/>
        <v>Composição Auxiliar</v>
      </c>
      <c r="B6036" s="557" t="str">
        <f t="shared" si="396"/>
        <v>Composição Auxiliar</v>
      </c>
      <c r="C6036" s="108"/>
      <c r="D6036" s="108"/>
      <c r="E6036" s="108"/>
      <c r="F6036" s="108"/>
      <c r="G6036" s="108"/>
      <c r="H6036" s="108" t="s">
        <v>2898</v>
      </c>
      <c r="I6036" s="581">
        <v>17.26</v>
      </c>
      <c r="J6036" s="108" t="s">
        <v>2899</v>
      </c>
      <c r="K6036" s="581">
        <v>0</v>
      </c>
      <c r="L6036" s="108" t="s">
        <v>2900</v>
      </c>
      <c r="M6036" s="581">
        <v>17.26</v>
      </c>
      <c r="N6036" s="573">
        <v>0.1</v>
      </c>
      <c r="O6036" s="556" t="str">
        <f t="shared" si="394"/>
        <v>DIF</v>
      </c>
      <c r="P6036" s="573"/>
      <c r="Q6036" s="556"/>
      <c r="R6036" s="582"/>
    </row>
    <row r="6037" ht="26.25" spans="1:18">
      <c r="A6037" s="556" t="str">
        <f t="shared" si="395"/>
        <v>Composição Auxiliar</v>
      </c>
      <c r="B6037" s="557" t="str">
        <f t="shared" si="396"/>
        <v>Composição Auxiliar</v>
      </c>
      <c r="C6037" s="108"/>
      <c r="D6037" s="108"/>
      <c r="E6037" s="108"/>
      <c r="F6037" s="108"/>
      <c r="G6037" s="108"/>
      <c r="H6037" s="108" t="s">
        <v>2901</v>
      </c>
      <c r="I6037" s="581">
        <v>38.72</v>
      </c>
      <c r="J6037" s="114"/>
      <c r="K6037" s="114" t="s">
        <v>2902</v>
      </c>
      <c r="L6037" s="108"/>
      <c r="M6037" s="581">
        <v>190.63</v>
      </c>
      <c r="N6037" s="573">
        <v>0.12</v>
      </c>
      <c r="O6037" s="556" t="str">
        <f t="shared" si="394"/>
        <v>DIF</v>
      </c>
      <c r="P6037" s="573"/>
      <c r="Q6037" s="556"/>
      <c r="R6037" s="582"/>
    </row>
    <row r="6038" ht="15" spans="1:18">
      <c r="A6038" s="556" t="str">
        <f t="shared" si="395"/>
        <v>Composição Auxiliar</v>
      </c>
      <c r="B6038" s="557" t="str">
        <f t="shared" si="396"/>
        <v>Composição Auxiliar</v>
      </c>
      <c r="C6038" s="571"/>
      <c r="D6038" s="571"/>
      <c r="E6038" s="571"/>
      <c r="F6038" s="571"/>
      <c r="G6038" s="571"/>
      <c r="H6038" s="571"/>
      <c r="I6038" s="571"/>
      <c r="J6038" s="571"/>
      <c r="K6038" s="571"/>
      <c r="L6038" s="571"/>
      <c r="M6038" s="571"/>
      <c r="N6038" s="573">
        <v>0.15</v>
      </c>
      <c r="O6038" s="556" t="str">
        <f t="shared" si="394"/>
        <v>DIF</v>
      </c>
      <c r="P6038" s="573"/>
      <c r="Q6038" s="556"/>
      <c r="R6038" s="582"/>
    </row>
    <row r="6039" ht="15" customHeight="1" spans="1:18">
      <c r="A6039" s="556" t="str">
        <f t="shared" si="395"/>
        <v>Composição Auxiliar</v>
      </c>
      <c r="B6039" s="557" t="str">
        <f t="shared" si="396"/>
        <v>Composição Auxiliar</v>
      </c>
      <c r="C6039" s="76" t="s">
        <v>2029</v>
      </c>
      <c r="D6039" s="75" t="s">
        <v>63</v>
      </c>
      <c r="E6039" s="76" t="s">
        <v>64</v>
      </c>
      <c r="F6039" s="76" t="s">
        <v>65</v>
      </c>
      <c r="G6039" s="76" t="s">
        <v>2889</v>
      </c>
      <c r="H6039" s="76"/>
      <c r="I6039" s="77" t="s">
        <v>66</v>
      </c>
      <c r="J6039" s="75" t="s">
        <v>67</v>
      </c>
      <c r="K6039" s="75" t="s">
        <v>2890</v>
      </c>
      <c r="L6039" s="75" t="s">
        <v>68</v>
      </c>
      <c r="M6039" s="75" t="s">
        <v>70</v>
      </c>
      <c r="N6039" s="573">
        <v>33</v>
      </c>
      <c r="O6039" s="556" t="str">
        <f t="shared" si="394"/>
        <v>DIF</v>
      </c>
      <c r="P6039" s="573"/>
      <c r="Q6039" s="556"/>
      <c r="R6039" s="582"/>
    </row>
    <row r="6040" ht="35.05" customHeight="1" spans="1:18">
      <c r="A6040" s="556" t="str">
        <f t="shared" si="395"/>
        <v>Composição Auxiliar</v>
      </c>
      <c r="B6040" s="557" t="str">
        <f t="shared" si="396"/>
        <v>Composição Auxiliar</v>
      </c>
      <c r="C6040" s="569" t="s">
        <v>2891</v>
      </c>
      <c r="D6040" s="570" t="s">
        <v>2030</v>
      </c>
      <c r="E6040" s="569" t="s">
        <v>139</v>
      </c>
      <c r="F6040" s="569" t="s">
        <v>2031</v>
      </c>
      <c r="G6040" s="569" t="s">
        <v>3642</v>
      </c>
      <c r="H6040" s="569"/>
      <c r="I6040" s="577" t="s">
        <v>134</v>
      </c>
      <c r="J6040" s="578">
        <v>1</v>
      </c>
      <c r="K6040" s="579"/>
      <c r="L6040" s="579">
        <v>27.78</v>
      </c>
      <c r="M6040" s="579">
        <v>27.78</v>
      </c>
      <c r="N6040" s="573">
        <v>14.6</v>
      </c>
      <c r="O6040" s="556" t="str">
        <f t="shared" si="394"/>
        <v>DIF</v>
      </c>
      <c r="P6040" s="573"/>
      <c r="Q6040" s="556"/>
      <c r="R6040" s="582"/>
    </row>
    <row r="6041" ht="23.85" customHeight="1" spans="1:18">
      <c r="A6041" s="556" t="str">
        <f t="shared" si="395"/>
        <v>Composição Auxiliar</v>
      </c>
      <c r="B6041" s="557" t="str">
        <f t="shared" si="396"/>
        <v>Composição Auxiliar</v>
      </c>
      <c r="C6041" s="79" t="s">
        <v>2921</v>
      </c>
      <c r="D6041" s="78" t="s">
        <v>3146</v>
      </c>
      <c r="E6041" s="79" t="s">
        <v>139</v>
      </c>
      <c r="F6041" s="79" t="s">
        <v>3147</v>
      </c>
      <c r="G6041" s="79" t="s">
        <v>2928</v>
      </c>
      <c r="H6041" s="79"/>
      <c r="I6041" s="80" t="s">
        <v>2897</v>
      </c>
      <c r="J6041" s="583">
        <v>0.297</v>
      </c>
      <c r="K6041" s="583">
        <v>0</v>
      </c>
      <c r="L6041" s="92">
        <v>29.54</v>
      </c>
      <c r="M6041" s="92">
        <v>8.77</v>
      </c>
      <c r="N6041" s="573">
        <v>0.26</v>
      </c>
      <c r="O6041" s="556" t="str">
        <f t="shared" si="394"/>
        <v>DIF</v>
      </c>
      <c r="P6041" s="573"/>
      <c r="Q6041" s="556"/>
      <c r="R6041" s="582"/>
    </row>
    <row r="6042" ht="23.85" customHeight="1" spans="1:18">
      <c r="A6042" s="556" t="str">
        <f t="shared" si="395"/>
        <v>Composição Auxiliar</v>
      </c>
      <c r="B6042" s="557" t="str">
        <f t="shared" si="396"/>
        <v>Composição Auxiliar</v>
      </c>
      <c r="C6042" s="79" t="s">
        <v>2921</v>
      </c>
      <c r="D6042" s="78" t="s">
        <v>3144</v>
      </c>
      <c r="E6042" s="79" t="s">
        <v>139</v>
      </c>
      <c r="F6042" s="79" t="s">
        <v>3145</v>
      </c>
      <c r="G6042" s="79" t="s">
        <v>2928</v>
      </c>
      <c r="H6042" s="79"/>
      <c r="I6042" s="80" t="s">
        <v>2897</v>
      </c>
      <c r="J6042" s="583">
        <v>0.297</v>
      </c>
      <c r="K6042" s="583">
        <v>0</v>
      </c>
      <c r="L6042" s="92">
        <v>35.55</v>
      </c>
      <c r="M6042" s="92">
        <v>10.55</v>
      </c>
      <c r="N6042" s="573">
        <v>2.15</v>
      </c>
      <c r="O6042" s="556" t="str">
        <f t="shared" si="394"/>
        <v>DIF</v>
      </c>
      <c r="P6042" s="573"/>
      <c r="Q6042" s="556"/>
      <c r="R6042" s="582"/>
    </row>
    <row r="6043" ht="15" customHeight="1" spans="1:18">
      <c r="A6043" s="556" t="str">
        <f t="shared" si="395"/>
        <v>Composição Auxiliar</v>
      </c>
      <c r="B6043" s="557" t="str">
        <f t="shared" si="396"/>
        <v>Composição Auxiliar</v>
      </c>
      <c r="C6043" s="100" t="s">
        <v>2893</v>
      </c>
      <c r="D6043" s="99" t="s">
        <v>3473</v>
      </c>
      <c r="E6043" s="100" t="s">
        <v>139</v>
      </c>
      <c r="F6043" s="100" t="s">
        <v>3474</v>
      </c>
      <c r="G6043" s="100" t="s">
        <v>2961</v>
      </c>
      <c r="H6043" s="100"/>
      <c r="I6043" s="101" t="s">
        <v>3084</v>
      </c>
      <c r="J6043" s="580">
        <v>0.003</v>
      </c>
      <c r="K6043" s="580">
        <v>0</v>
      </c>
      <c r="L6043" s="102">
        <v>55.41</v>
      </c>
      <c r="M6043" s="102">
        <v>0.16</v>
      </c>
      <c r="N6043" s="573">
        <v>0.49</v>
      </c>
      <c r="O6043" s="556" t="str">
        <f t="shared" si="394"/>
        <v>DIF</v>
      </c>
      <c r="P6043" s="573"/>
      <c r="Q6043" s="556"/>
      <c r="R6043" s="582"/>
    </row>
    <row r="6044" ht="15" customHeight="1" spans="1:18">
      <c r="A6044" s="556"/>
      <c r="B6044" s="557"/>
      <c r="C6044" s="100" t="s">
        <v>2893</v>
      </c>
      <c r="D6044" s="99" t="s">
        <v>3643</v>
      </c>
      <c r="E6044" s="100" t="s">
        <v>139</v>
      </c>
      <c r="F6044" s="100" t="s">
        <v>3644</v>
      </c>
      <c r="G6044" s="100" t="s">
        <v>2961</v>
      </c>
      <c r="H6044" s="100"/>
      <c r="I6044" s="101" t="s">
        <v>134</v>
      </c>
      <c r="J6044" s="580">
        <v>0.011</v>
      </c>
      <c r="K6044" s="580">
        <v>0</v>
      </c>
      <c r="L6044" s="102">
        <v>13.46</v>
      </c>
      <c r="M6044" s="102">
        <v>0.14</v>
      </c>
      <c r="N6044" s="573"/>
      <c r="O6044" s="556"/>
      <c r="P6044" s="573"/>
      <c r="Q6044" s="556"/>
      <c r="R6044" s="582"/>
    </row>
    <row r="6045" ht="15" customHeight="1" spans="1:18">
      <c r="A6045" s="556"/>
      <c r="B6045" s="557"/>
      <c r="C6045" s="100" t="s">
        <v>2893</v>
      </c>
      <c r="D6045" s="99" t="s">
        <v>4687</v>
      </c>
      <c r="E6045" s="100" t="s">
        <v>139</v>
      </c>
      <c r="F6045" s="100" t="s">
        <v>4688</v>
      </c>
      <c r="G6045" s="100" t="s">
        <v>2961</v>
      </c>
      <c r="H6045" s="100"/>
      <c r="I6045" s="101" t="s">
        <v>134</v>
      </c>
      <c r="J6045" s="580">
        <v>1</v>
      </c>
      <c r="K6045" s="580">
        <v>0</v>
      </c>
      <c r="L6045" s="102">
        <v>8.16</v>
      </c>
      <c r="M6045" s="102">
        <v>8.16</v>
      </c>
      <c r="N6045" s="573"/>
      <c r="O6045" s="556"/>
      <c r="P6045" s="573"/>
      <c r="Q6045" s="556"/>
      <c r="R6045" s="582"/>
    </row>
    <row r="6046" ht="25.5" spans="1:18">
      <c r="A6046" s="556"/>
      <c r="B6046" s="557" t="str">
        <f>C6045</f>
        <v>Insumo</v>
      </c>
      <c r="C6046" s="108"/>
      <c r="D6046" s="108"/>
      <c r="E6046" s="108"/>
      <c r="F6046" s="108"/>
      <c r="G6046" s="108"/>
      <c r="H6046" s="108" t="s">
        <v>2898</v>
      </c>
      <c r="I6046" s="581">
        <v>13.76</v>
      </c>
      <c r="J6046" s="108" t="s">
        <v>2899</v>
      </c>
      <c r="K6046" s="581">
        <v>0</v>
      </c>
      <c r="L6046" s="108" t="s">
        <v>2900</v>
      </c>
      <c r="M6046" s="581">
        <v>13.76</v>
      </c>
      <c r="N6046" s="573">
        <v>54.94</v>
      </c>
      <c r="O6046" s="556" t="str">
        <f t="shared" ref="O6046:O6054" si="397">IF(N6046=M6046,"OK","DIF")</f>
        <v>DIF</v>
      </c>
      <c r="P6046" s="573"/>
      <c r="Q6046" s="556"/>
      <c r="R6046" s="582"/>
    </row>
    <row r="6047" ht="26.25" spans="1:18">
      <c r="A6047" s="556" t="str">
        <f t="shared" ref="A6047:A6054" si="398">B6047</f>
        <v>Insumo</v>
      </c>
      <c r="B6047" s="557" t="str">
        <f t="shared" ref="B6047:B6054" si="399">B6046</f>
        <v>Insumo</v>
      </c>
      <c r="C6047" s="108"/>
      <c r="D6047" s="108"/>
      <c r="E6047" s="108"/>
      <c r="F6047" s="108"/>
      <c r="G6047" s="108"/>
      <c r="H6047" s="108" t="s">
        <v>2901</v>
      </c>
      <c r="I6047" s="581">
        <v>7.08</v>
      </c>
      <c r="J6047" s="114"/>
      <c r="K6047" s="114" t="s">
        <v>2902</v>
      </c>
      <c r="L6047" s="108"/>
      <c r="M6047" s="581">
        <v>34.86</v>
      </c>
      <c r="N6047" s="573">
        <v>0.47</v>
      </c>
      <c r="O6047" s="556" t="str">
        <f t="shared" si="397"/>
        <v>DIF</v>
      </c>
      <c r="P6047" s="573"/>
      <c r="Q6047" s="556"/>
      <c r="R6047" s="582"/>
    </row>
    <row r="6048" ht="15" spans="1:18">
      <c r="A6048" s="556" t="str">
        <f t="shared" si="398"/>
        <v>Insumo</v>
      </c>
      <c r="B6048" s="557" t="str">
        <f t="shared" si="399"/>
        <v>Insumo</v>
      </c>
      <c r="C6048" s="571"/>
      <c r="D6048" s="571"/>
      <c r="E6048" s="571"/>
      <c r="F6048" s="571"/>
      <c r="G6048" s="571"/>
      <c r="H6048" s="571"/>
      <c r="I6048" s="571"/>
      <c r="J6048" s="571"/>
      <c r="K6048" s="571"/>
      <c r="L6048" s="571"/>
      <c r="M6048" s="571"/>
      <c r="N6048" s="573">
        <v>19.41</v>
      </c>
      <c r="O6048" s="556" t="str">
        <f t="shared" si="397"/>
        <v>DIF</v>
      </c>
      <c r="P6048" s="573"/>
      <c r="Q6048" s="556"/>
      <c r="R6048" s="582"/>
    </row>
    <row r="6049" ht="15" customHeight="1" spans="1:18">
      <c r="A6049" s="556" t="str">
        <f t="shared" si="398"/>
        <v>Insumo</v>
      </c>
      <c r="B6049" s="557" t="str">
        <f t="shared" si="399"/>
        <v>Insumo</v>
      </c>
      <c r="C6049" s="76" t="s">
        <v>2032</v>
      </c>
      <c r="D6049" s="75" t="s">
        <v>63</v>
      </c>
      <c r="E6049" s="76" t="s">
        <v>64</v>
      </c>
      <c r="F6049" s="76" t="s">
        <v>65</v>
      </c>
      <c r="G6049" s="76" t="s">
        <v>2889</v>
      </c>
      <c r="H6049" s="76"/>
      <c r="I6049" s="77" t="s">
        <v>66</v>
      </c>
      <c r="J6049" s="75" t="s">
        <v>67</v>
      </c>
      <c r="K6049" s="75" t="s">
        <v>2890</v>
      </c>
      <c r="L6049" s="75" t="s">
        <v>68</v>
      </c>
      <c r="M6049" s="75" t="s">
        <v>70</v>
      </c>
      <c r="N6049" s="573">
        <v>0.97</v>
      </c>
      <c r="O6049" s="556" t="str">
        <f t="shared" si="397"/>
        <v>DIF</v>
      </c>
      <c r="P6049" s="573"/>
      <c r="Q6049" s="556"/>
      <c r="R6049" s="582"/>
    </row>
    <row r="6050" ht="35.05" customHeight="1" spans="1:18">
      <c r="A6050" s="556" t="str">
        <f t="shared" si="398"/>
        <v>Insumo</v>
      </c>
      <c r="B6050" s="557" t="str">
        <f t="shared" si="399"/>
        <v>Insumo</v>
      </c>
      <c r="C6050" s="569" t="s">
        <v>2891</v>
      </c>
      <c r="D6050" s="570" t="s">
        <v>2033</v>
      </c>
      <c r="E6050" s="569" t="s">
        <v>132</v>
      </c>
      <c r="F6050" s="569" t="s">
        <v>2034</v>
      </c>
      <c r="G6050" s="569" t="s">
        <v>3129</v>
      </c>
      <c r="H6050" s="569"/>
      <c r="I6050" s="577" t="s">
        <v>134</v>
      </c>
      <c r="J6050" s="578">
        <v>1</v>
      </c>
      <c r="K6050" s="579"/>
      <c r="L6050" s="579">
        <v>14.9</v>
      </c>
      <c r="M6050" s="579">
        <v>14.9</v>
      </c>
      <c r="N6050" s="573">
        <v>12.97</v>
      </c>
      <c r="O6050" s="556" t="str">
        <f t="shared" si="397"/>
        <v>DIF</v>
      </c>
      <c r="P6050" s="573"/>
      <c r="Q6050" s="556"/>
      <c r="R6050" s="582"/>
    </row>
    <row r="6051" ht="23.85" customHeight="1" spans="1:18">
      <c r="A6051" s="556" t="str">
        <f t="shared" si="398"/>
        <v>Insumo</v>
      </c>
      <c r="B6051" s="557" t="str">
        <f t="shared" si="399"/>
        <v>Insumo</v>
      </c>
      <c r="C6051" s="79" t="s">
        <v>2921</v>
      </c>
      <c r="D6051" s="78" t="s">
        <v>3144</v>
      </c>
      <c r="E6051" s="79" t="s">
        <v>139</v>
      </c>
      <c r="F6051" s="79" t="s">
        <v>3145</v>
      </c>
      <c r="G6051" s="79" t="s">
        <v>2928</v>
      </c>
      <c r="H6051" s="79"/>
      <c r="I6051" s="80" t="s">
        <v>2897</v>
      </c>
      <c r="J6051" s="583">
        <v>0.173</v>
      </c>
      <c r="K6051" s="583">
        <v>0</v>
      </c>
      <c r="L6051" s="92">
        <v>35.55</v>
      </c>
      <c r="M6051" s="92">
        <v>6.15</v>
      </c>
      <c r="N6051" s="573">
        <v>7.53</v>
      </c>
      <c r="O6051" s="556" t="str">
        <f t="shared" si="397"/>
        <v>DIF</v>
      </c>
      <c r="P6051" s="573"/>
      <c r="Q6051" s="556"/>
      <c r="R6051" s="582"/>
    </row>
    <row r="6052" ht="23.85" customHeight="1" spans="1:18">
      <c r="A6052" s="556" t="str">
        <f t="shared" si="398"/>
        <v>Insumo</v>
      </c>
      <c r="B6052" s="557" t="str">
        <f t="shared" si="399"/>
        <v>Insumo</v>
      </c>
      <c r="C6052" s="79" t="s">
        <v>2921</v>
      </c>
      <c r="D6052" s="78" t="s">
        <v>3146</v>
      </c>
      <c r="E6052" s="79" t="s">
        <v>139</v>
      </c>
      <c r="F6052" s="79" t="s">
        <v>3147</v>
      </c>
      <c r="G6052" s="79" t="s">
        <v>2928</v>
      </c>
      <c r="H6052" s="79"/>
      <c r="I6052" s="80" t="s">
        <v>2897</v>
      </c>
      <c r="J6052" s="583">
        <v>0.173</v>
      </c>
      <c r="K6052" s="583">
        <v>0</v>
      </c>
      <c r="L6052" s="92">
        <v>29.54</v>
      </c>
      <c r="M6052" s="92">
        <v>5.11</v>
      </c>
      <c r="N6052" s="573">
        <v>2.7</v>
      </c>
      <c r="O6052" s="556" t="str">
        <f t="shared" si="397"/>
        <v>DIF</v>
      </c>
      <c r="P6052" s="573"/>
      <c r="Q6052" s="556"/>
      <c r="R6052" s="582"/>
    </row>
    <row r="6053" ht="15" customHeight="1" spans="1:18">
      <c r="A6053" s="556" t="str">
        <f t="shared" si="398"/>
        <v>Insumo</v>
      </c>
      <c r="B6053" s="557" t="str">
        <f t="shared" si="399"/>
        <v>Insumo</v>
      </c>
      <c r="C6053" s="100" t="s">
        <v>2893</v>
      </c>
      <c r="D6053" s="99" t="s">
        <v>3473</v>
      </c>
      <c r="E6053" s="100" t="s">
        <v>139</v>
      </c>
      <c r="F6053" s="100" t="s">
        <v>3474</v>
      </c>
      <c r="G6053" s="100" t="s">
        <v>2961</v>
      </c>
      <c r="H6053" s="100"/>
      <c r="I6053" s="101" t="s">
        <v>3084</v>
      </c>
      <c r="J6053" s="580">
        <v>0.002</v>
      </c>
      <c r="K6053" s="580">
        <v>0</v>
      </c>
      <c r="L6053" s="102">
        <v>55.41</v>
      </c>
      <c r="M6053" s="102">
        <v>0.11</v>
      </c>
      <c r="N6053" s="573">
        <v>10.48</v>
      </c>
      <c r="O6053" s="556" t="str">
        <f t="shared" si="397"/>
        <v>DIF</v>
      </c>
      <c r="P6053" s="573"/>
      <c r="Q6053" s="556"/>
      <c r="R6053" s="582"/>
    </row>
    <row r="6054" ht="15" customHeight="1" spans="1:18">
      <c r="A6054" s="556" t="str">
        <f t="shared" si="398"/>
        <v>Insumo</v>
      </c>
      <c r="B6054" s="557" t="str">
        <f t="shared" si="399"/>
        <v>Insumo</v>
      </c>
      <c r="C6054" s="100" t="s">
        <v>2893</v>
      </c>
      <c r="D6054" s="99" t="s">
        <v>3643</v>
      </c>
      <c r="E6054" s="100" t="s">
        <v>139</v>
      </c>
      <c r="F6054" s="100" t="s">
        <v>3644</v>
      </c>
      <c r="G6054" s="100" t="s">
        <v>2961</v>
      </c>
      <c r="H6054" s="100"/>
      <c r="I6054" s="101" t="s">
        <v>134</v>
      </c>
      <c r="J6054" s="580">
        <v>0.008</v>
      </c>
      <c r="K6054" s="580">
        <v>0</v>
      </c>
      <c r="L6054" s="102">
        <v>13.46</v>
      </c>
      <c r="M6054" s="102">
        <v>0.1</v>
      </c>
      <c r="N6054" s="573">
        <v>0.41</v>
      </c>
      <c r="O6054" s="556" t="str">
        <f t="shared" si="397"/>
        <v>DIF</v>
      </c>
      <c r="P6054" s="573"/>
      <c r="Q6054" s="556"/>
      <c r="R6054" s="582"/>
    </row>
    <row r="6055" ht="15" customHeight="1" spans="1:18">
      <c r="A6055" s="556"/>
      <c r="B6055" s="557"/>
      <c r="C6055" s="100" t="s">
        <v>2893</v>
      </c>
      <c r="D6055" s="99" t="s">
        <v>4689</v>
      </c>
      <c r="E6055" s="100" t="s">
        <v>132</v>
      </c>
      <c r="F6055" s="100" t="s">
        <v>4690</v>
      </c>
      <c r="G6055" s="100" t="s">
        <v>2961</v>
      </c>
      <c r="H6055" s="100"/>
      <c r="I6055" s="101" t="s">
        <v>134</v>
      </c>
      <c r="J6055" s="580">
        <v>1</v>
      </c>
      <c r="K6055" s="580">
        <v>0</v>
      </c>
      <c r="L6055" s="102">
        <v>3.43</v>
      </c>
      <c r="M6055" s="102">
        <v>3.43</v>
      </c>
      <c r="N6055" s="573"/>
      <c r="O6055" s="556"/>
      <c r="P6055" s="573"/>
      <c r="Q6055" s="556"/>
      <c r="R6055" s="582"/>
    </row>
    <row r="6056" ht="25.5" spans="1:18">
      <c r="A6056" s="556"/>
      <c r="B6056" s="557"/>
      <c r="C6056" s="108"/>
      <c r="D6056" s="108"/>
      <c r="E6056" s="108"/>
      <c r="F6056" s="108"/>
      <c r="G6056" s="108"/>
      <c r="H6056" s="108" t="s">
        <v>2898</v>
      </c>
      <c r="I6056" s="581">
        <v>8</v>
      </c>
      <c r="J6056" s="108" t="s">
        <v>2899</v>
      </c>
      <c r="K6056" s="581">
        <v>0</v>
      </c>
      <c r="L6056" s="108" t="s">
        <v>2900</v>
      </c>
      <c r="M6056" s="581">
        <v>8</v>
      </c>
      <c r="N6056" s="573"/>
      <c r="O6056" s="556"/>
      <c r="P6056" s="573"/>
      <c r="Q6056" s="556"/>
      <c r="R6056" s="582"/>
    </row>
    <row r="6057" ht="26.25" spans="1:18">
      <c r="A6057" s="556"/>
      <c r="B6057" s="557">
        <f>C6056</f>
        <v>0</v>
      </c>
      <c r="C6057" s="108"/>
      <c r="D6057" s="108"/>
      <c r="E6057" s="108"/>
      <c r="F6057" s="108"/>
      <c r="G6057" s="108"/>
      <c r="H6057" s="108" t="s">
        <v>2901</v>
      </c>
      <c r="I6057" s="581">
        <v>3.79</v>
      </c>
      <c r="J6057" s="114"/>
      <c r="K6057" s="114" t="s">
        <v>2902</v>
      </c>
      <c r="L6057" s="108"/>
      <c r="M6057" s="581">
        <v>18.69</v>
      </c>
      <c r="N6057" s="573">
        <v>76.39</v>
      </c>
      <c r="O6057" s="556" t="str">
        <f>IF(N6057=M6057,"OK","DIF")</f>
        <v>DIF</v>
      </c>
      <c r="P6057" s="573"/>
      <c r="Q6057" s="556"/>
      <c r="R6057" s="582"/>
    </row>
    <row r="6058" ht="15" spans="1:18">
      <c r="A6058" s="556">
        <f>B6058</f>
        <v>0</v>
      </c>
      <c r="B6058" s="557">
        <f>B6057</f>
        <v>0</v>
      </c>
      <c r="C6058" s="571"/>
      <c r="D6058" s="571"/>
      <c r="E6058" s="571"/>
      <c r="F6058" s="571"/>
      <c r="G6058" s="571"/>
      <c r="H6058" s="571"/>
      <c r="I6058" s="571"/>
      <c r="J6058" s="571"/>
      <c r="K6058" s="571"/>
      <c r="L6058" s="571"/>
      <c r="M6058" s="571"/>
      <c r="N6058" s="573">
        <v>74.78</v>
      </c>
      <c r="O6058" s="556" t="str">
        <f>IF(N6058=M6058,"OK","DIF")</f>
        <v>DIF</v>
      </c>
      <c r="P6058" s="573"/>
      <c r="Q6058" s="556"/>
      <c r="R6058" s="582"/>
    </row>
    <row r="6059" ht="15" customHeight="1" spans="1:18">
      <c r="A6059" s="556">
        <f>B6059</f>
        <v>0</v>
      </c>
      <c r="B6059" s="557">
        <f>B6058</f>
        <v>0</v>
      </c>
      <c r="C6059" s="76" t="s">
        <v>2035</v>
      </c>
      <c r="D6059" s="75" t="s">
        <v>63</v>
      </c>
      <c r="E6059" s="76" t="s">
        <v>64</v>
      </c>
      <c r="F6059" s="76" t="s">
        <v>65</v>
      </c>
      <c r="G6059" s="76" t="s">
        <v>2889</v>
      </c>
      <c r="H6059" s="76"/>
      <c r="I6059" s="77" t="s">
        <v>66</v>
      </c>
      <c r="J6059" s="75" t="s">
        <v>67</v>
      </c>
      <c r="K6059" s="75" t="s">
        <v>2890</v>
      </c>
      <c r="L6059" s="75" t="s">
        <v>68</v>
      </c>
      <c r="M6059" s="75" t="s">
        <v>70</v>
      </c>
      <c r="N6059" s="573">
        <v>1.32</v>
      </c>
      <c r="O6059" s="556" t="str">
        <f>IF(N6059=M6059,"OK","DIF")</f>
        <v>DIF</v>
      </c>
      <c r="P6059" s="573"/>
      <c r="Q6059" s="556"/>
      <c r="R6059" s="582"/>
    </row>
    <row r="6060" ht="38.25" spans="1:18">
      <c r="A6060" s="556">
        <f>B6060</f>
        <v>0</v>
      </c>
      <c r="B6060" s="557">
        <f>B6059</f>
        <v>0</v>
      </c>
      <c r="C6060" s="569" t="s">
        <v>2891</v>
      </c>
      <c r="D6060" s="570" t="s">
        <v>2036</v>
      </c>
      <c r="E6060" s="569" t="s">
        <v>132</v>
      </c>
      <c r="F6060" s="569" t="s">
        <v>2037</v>
      </c>
      <c r="G6060" s="569">
        <v>56</v>
      </c>
      <c r="H6060" s="569"/>
      <c r="I6060" s="577" t="s">
        <v>134</v>
      </c>
      <c r="J6060" s="578">
        <v>1</v>
      </c>
      <c r="K6060" s="579"/>
      <c r="L6060" s="579">
        <v>14.88</v>
      </c>
      <c r="M6060" s="579">
        <v>14.88</v>
      </c>
      <c r="N6060" s="573">
        <v>0.29</v>
      </c>
      <c r="O6060" s="556" t="str">
        <f>IF(N6060=M6060,"OK","DIF")</f>
        <v>DIF</v>
      </c>
      <c r="P6060" s="573"/>
      <c r="Q6060" s="556"/>
      <c r="R6060" s="582"/>
    </row>
    <row r="6061" ht="23.85" customHeight="1" spans="1:18">
      <c r="A6061" s="556"/>
      <c r="B6061" s="557"/>
      <c r="C6061" s="79" t="s">
        <v>2921</v>
      </c>
      <c r="D6061" s="78" t="s">
        <v>3144</v>
      </c>
      <c r="E6061" s="79" t="s">
        <v>139</v>
      </c>
      <c r="F6061" s="79" t="s">
        <v>3145</v>
      </c>
      <c r="G6061" s="79" t="s">
        <v>2928</v>
      </c>
      <c r="H6061" s="79"/>
      <c r="I6061" s="80" t="s">
        <v>2897</v>
      </c>
      <c r="J6061" s="583">
        <v>0.171</v>
      </c>
      <c r="K6061" s="583">
        <v>0</v>
      </c>
      <c r="L6061" s="92">
        <v>35.55</v>
      </c>
      <c r="M6061" s="92">
        <v>6.07</v>
      </c>
      <c r="N6061" s="573"/>
      <c r="O6061" s="556"/>
      <c r="P6061" s="573"/>
      <c r="Q6061" s="556"/>
      <c r="R6061" s="582"/>
    </row>
    <row r="6062" ht="23.85" customHeight="1" spans="1:18">
      <c r="A6062" s="556"/>
      <c r="B6062" s="557"/>
      <c r="C6062" s="79" t="s">
        <v>2921</v>
      </c>
      <c r="D6062" s="78" t="s">
        <v>3146</v>
      </c>
      <c r="E6062" s="79" t="s">
        <v>139</v>
      </c>
      <c r="F6062" s="79" t="s">
        <v>3147</v>
      </c>
      <c r="G6062" s="79" t="s">
        <v>2928</v>
      </c>
      <c r="H6062" s="79"/>
      <c r="I6062" s="80" t="s">
        <v>2897</v>
      </c>
      <c r="J6062" s="583">
        <v>0.171</v>
      </c>
      <c r="K6062" s="583">
        <v>0</v>
      </c>
      <c r="L6062" s="92">
        <v>29.54</v>
      </c>
      <c r="M6062" s="92">
        <v>5.05</v>
      </c>
      <c r="N6062" s="573"/>
      <c r="O6062" s="556"/>
      <c r="P6062" s="573"/>
      <c r="Q6062" s="556"/>
      <c r="R6062" s="582"/>
    </row>
    <row r="6063" ht="15" customHeight="1" spans="1:18">
      <c r="A6063" s="556"/>
      <c r="B6063" s="557" t="str">
        <f>C6062</f>
        <v>Composição Auxiliar</v>
      </c>
      <c r="C6063" s="100" t="s">
        <v>2893</v>
      </c>
      <c r="D6063" s="99" t="s">
        <v>3662</v>
      </c>
      <c r="E6063" s="100" t="s">
        <v>149</v>
      </c>
      <c r="F6063" s="100" t="s">
        <v>3663</v>
      </c>
      <c r="G6063" s="100" t="s">
        <v>2961</v>
      </c>
      <c r="H6063" s="100"/>
      <c r="I6063" s="101" t="s">
        <v>204</v>
      </c>
      <c r="J6063" s="580">
        <v>0.32</v>
      </c>
      <c r="K6063" s="580">
        <v>0</v>
      </c>
      <c r="L6063" s="102">
        <v>0.35</v>
      </c>
      <c r="M6063" s="102">
        <v>0.11</v>
      </c>
      <c r="N6063" s="573">
        <v>222.13</v>
      </c>
      <c r="O6063" s="556" t="str">
        <f>IF(N6063=M6063,"OK","DIF")</f>
        <v>DIF</v>
      </c>
      <c r="P6063" s="573"/>
      <c r="Q6063" s="556"/>
      <c r="R6063" s="582"/>
    </row>
    <row r="6064" ht="15" customHeight="1" spans="1:18">
      <c r="A6064" s="556" t="str">
        <f>B6064</f>
        <v>Composição Auxiliar</v>
      </c>
      <c r="B6064" s="557" t="str">
        <f>B6063</f>
        <v>Composição Auxiliar</v>
      </c>
      <c r="C6064" s="100" t="s">
        <v>2893</v>
      </c>
      <c r="D6064" s="99" t="s">
        <v>4691</v>
      </c>
      <c r="E6064" s="100" t="s">
        <v>132</v>
      </c>
      <c r="F6064" s="100" t="s">
        <v>4692</v>
      </c>
      <c r="G6064" s="100" t="s">
        <v>2961</v>
      </c>
      <c r="H6064" s="100"/>
      <c r="I6064" s="101" t="s">
        <v>134</v>
      </c>
      <c r="J6064" s="580">
        <v>1</v>
      </c>
      <c r="K6064" s="580">
        <v>0</v>
      </c>
      <c r="L6064" s="102">
        <v>3.65</v>
      </c>
      <c r="M6064" s="102">
        <v>3.65</v>
      </c>
      <c r="N6064" s="573">
        <v>2.2</v>
      </c>
      <c r="O6064" s="556" t="str">
        <f>IF(N6064=M6064,"OK","DIF")</f>
        <v>DIF</v>
      </c>
      <c r="P6064" s="573"/>
      <c r="Q6064" s="556"/>
      <c r="R6064" s="582"/>
    </row>
    <row r="6065" ht="25.5" spans="1:18">
      <c r="A6065" s="556" t="str">
        <f>B6065</f>
        <v>Composição Auxiliar</v>
      </c>
      <c r="B6065" s="557" t="str">
        <f>B6064</f>
        <v>Composição Auxiliar</v>
      </c>
      <c r="C6065" s="108"/>
      <c r="D6065" s="108"/>
      <c r="E6065" s="108"/>
      <c r="F6065" s="108"/>
      <c r="G6065" s="108"/>
      <c r="H6065" s="108" t="s">
        <v>2898</v>
      </c>
      <c r="I6065" s="581">
        <v>7.91</v>
      </c>
      <c r="J6065" s="108" t="s">
        <v>2899</v>
      </c>
      <c r="K6065" s="581">
        <v>0</v>
      </c>
      <c r="L6065" s="108" t="s">
        <v>2900</v>
      </c>
      <c r="M6065" s="581">
        <v>7.91</v>
      </c>
      <c r="N6065" s="573">
        <v>5.7</v>
      </c>
      <c r="O6065" s="556" t="str">
        <f>IF(N6065=M6065,"OK","DIF")</f>
        <v>DIF</v>
      </c>
      <c r="P6065" s="573"/>
      <c r="Q6065" s="556"/>
      <c r="R6065" s="582"/>
    </row>
    <row r="6066" ht="26.25" spans="1:18">
      <c r="A6066" s="556" t="str">
        <f>B6066</f>
        <v>Composição Auxiliar</v>
      </c>
      <c r="B6066" s="557" t="str">
        <f>B6065</f>
        <v>Composição Auxiliar</v>
      </c>
      <c r="C6066" s="108"/>
      <c r="D6066" s="108"/>
      <c r="E6066" s="108"/>
      <c r="F6066" s="108"/>
      <c r="G6066" s="108"/>
      <c r="H6066" s="108" t="s">
        <v>2901</v>
      </c>
      <c r="I6066" s="581">
        <v>3.79</v>
      </c>
      <c r="J6066" s="114"/>
      <c r="K6066" s="114" t="s">
        <v>2902</v>
      </c>
      <c r="L6066" s="108"/>
      <c r="M6066" s="581">
        <v>18.67</v>
      </c>
      <c r="N6066" s="573">
        <v>209.15</v>
      </c>
      <c r="O6066" s="556" t="str">
        <f>IF(N6066=M6066,"OK","DIF")</f>
        <v>DIF</v>
      </c>
      <c r="P6066" s="573"/>
      <c r="Q6066" s="556"/>
      <c r="R6066" s="582"/>
    </row>
    <row r="6067" ht="15" spans="1:18">
      <c r="A6067" s="556" t="str">
        <f>B6067</f>
        <v>Composição Auxiliar</v>
      </c>
      <c r="B6067" s="557" t="str">
        <f>B6066</f>
        <v>Composição Auxiliar</v>
      </c>
      <c r="C6067" s="571"/>
      <c r="D6067" s="571"/>
      <c r="E6067" s="571"/>
      <c r="F6067" s="571"/>
      <c r="G6067" s="571"/>
      <c r="H6067" s="571"/>
      <c r="I6067" s="571"/>
      <c r="J6067" s="571"/>
      <c r="K6067" s="571"/>
      <c r="L6067" s="571"/>
      <c r="M6067" s="571"/>
      <c r="N6067" s="573">
        <v>5.08</v>
      </c>
      <c r="O6067" s="556" t="str">
        <f>IF(N6067=M6067,"OK","DIF")</f>
        <v>DIF</v>
      </c>
      <c r="P6067" s="573"/>
      <c r="Q6067" s="556"/>
      <c r="R6067" s="582"/>
    </row>
    <row r="6068" ht="15" customHeight="1" spans="1:18">
      <c r="A6068" s="556"/>
      <c r="B6068" s="557"/>
      <c r="C6068" s="76" t="s">
        <v>2038</v>
      </c>
      <c r="D6068" s="75" t="s">
        <v>63</v>
      </c>
      <c r="E6068" s="76" t="s">
        <v>64</v>
      </c>
      <c r="F6068" s="76" t="s">
        <v>65</v>
      </c>
      <c r="G6068" s="76" t="s">
        <v>2889</v>
      </c>
      <c r="H6068" s="76"/>
      <c r="I6068" s="77" t="s">
        <v>66</v>
      </c>
      <c r="J6068" s="75" t="s">
        <v>67</v>
      </c>
      <c r="K6068" s="75" t="s">
        <v>2890</v>
      </c>
      <c r="L6068" s="75" t="s">
        <v>68</v>
      </c>
      <c r="M6068" s="75" t="s">
        <v>70</v>
      </c>
      <c r="N6068" s="573"/>
      <c r="O6068" s="556"/>
      <c r="P6068" s="573"/>
      <c r="Q6068" s="556"/>
      <c r="R6068" s="582"/>
    </row>
    <row r="6069" ht="23.85" customHeight="1" spans="1:18">
      <c r="A6069" s="556"/>
      <c r="B6069" s="557"/>
      <c r="C6069" s="569" t="s">
        <v>2891</v>
      </c>
      <c r="D6069" s="570" t="s">
        <v>832</v>
      </c>
      <c r="E6069" s="569" t="s">
        <v>139</v>
      </c>
      <c r="F6069" s="569" t="s">
        <v>833</v>
      </c>
      <c r="G6069" s="569" t="s">
        <v>3642</v>
      </c>
      <c r="H6069" s="569"/>
      <c r="I6069" s="577" t="s">
        <v>134</v>
      </c>
      <c r="J6069" s="578">
        <v>1</v>
      </c>
      <c r="K6069" s="579"/>
      <c r="L6069" s="579">
        <v>187.29</v>
      </c>
      <c r="M6069" s="579">
        <v>187.29</v>
      </c>
      <c r="N6069" s="573"/>
      <c r="O6069" s="556"/>
      <c r="P6069" s="573"/>
      <c r="Q6069" s="556"/>
      <c r="R6069" s="582"/>
    </row>
    <row r="6070" ht="23.85" customHeight="1" spans="1:18">
      <c r="A6070" s="556"/>
      <c r="B6070" s="557" t="str">
        <f>C6069</f>
        <v>Composição</v>
      </c>
      <c r="C6070" s="79" t="s">
        <v>2921</v>
      </c>
      <c r="D6070" s="78" t="s">
        <v>3146</v>
      </c>
      <c r="E6070" s="79" t="s">
        <v>139</v>
      </c>
      <c r="F6070" s="79" t="s">
        <v>3147</v>
      </c>
      <c r="G6070" s="79" t="s">
        <v>2928</v>
      </c>
      <c r="H6070" s="79"/>
      <c r="I6070" s="80" t="s">
        <v>2897</v>
      </c>
      <c r="J6070" s="583">
        <v>0.843</v>
      </c>
      <c r="K6070" s="583">
        <v>0</v>
      </c>
      <c r="L6070" s="92">
        <v>29.54</v>
      </c>
      <c r="M6070" s="92">
        <v>24.9</v>
      </c>
      <c r="N6070" s="573">
        <v>31.19</v>
      </c>
      <c r="O6070" s="556" t="str">
        <f>IF(N6070=M6070,"OK","DIF")</f>
        <v>DIF</v>
      </c>
      <c r="P6070" s="573"/>
      <c r="Q6070" s="556"/>
      <c r="R6070" s="582"/>
    </row>
    <row r="6071" ht="23.85" customHeight="1" spans="1:18">
      <c r="A6071" s="556" t="str">
        <f>B6071</f>
        <v>Composição</v>
      </c>
      <c r="B6071" s="557" t="str">
        <f>B6070</f>
        <v>Composição</v>
      </c>
      <c r="C6071" s="79" t="s">
        <v>2921</v>
      </c>
      <c r="D6071" s="78" t="s">
        <v>3144</v>
      </c>
      <c r="E6071" s="79" t="s">
        <v>139</v>
      </c>
      <c r="F6071" s="79" t="s">
        <v>3145</v>
      </c>
      <c r="G6071" s="79" t="s">
        <v>2928</v>
      </c>
      <c r="H6071" s="79"/>
      <c r="I6071" s="80" t="s">
        <v>2897</v>
      </c>
      <c r="J6071" s="583">
        <v>0.843</v>
      </c>
      <c r="K6071" s="583">
        <v>0</v>
      </c>
      <c r="L6071" s="92">
        <v>35.55</v>
      </c>
      <c r="M6071" s="92">
        <v>29.96</v>
      </c>
      <c r="N6071" s="573">
        <v>6.45</v>
      </c>
      <c r="O6071" s="556" t="str">
        <f>IF(N6071=M6071,"OK","DIF")</f>
        <v>DIF</v>
      </c>
      <c r="P6071" s="573"/>
      <c r="Q6071" s="556"/>
      <c r="R6071" s="582"/>
    </row>
    <row r="6072" ht="23.85" customHeight="1" spans="1:18">
      <c r="A6072" s="556" t="str">
        <f>B6072</f>
        <v>Composição</v>
      </c>
      <c r="B6072" s="557" t="str">
        <f>B6071</f>
        <v>Composição</v>
      </c>
      <c r="C6072" s="100" t="s">
        <v>2893</v>
      </c>
      <c r="D6072" s="99" t="s">
        <v>3736</v>
      </c>
      <c r="E6072" s="100" t="s">
        <v>139</v>
      </c>
      <c r="F6072" s="100" t="s">
        <v>3737</v>
      </c>
      <c r="G6072" s="100" t="s">
        <v>2961</v>
      </c>
      <c r="H6072" s="100"/>
      <c r="I6072" s="101" t="s">
        <v>134</v>
      </c>
      <c r="J6072" s="580">
        <v>1</v>
      </c>
      <c r="K6072" s="580">
        <v>0</v>
      </c>
      <c r="L6072" s="102">
        <v>132.39</v>
      </c>
      <c r="M6072" s="102">
        <v>132.39</v>
      </c>
      <c r="N6072" s="573">
        <v>14.83</v>
      </c>
      <c r="O6072" s="556" t="str">
        <f>IF(N6072=M6072,"OK","DIF")</f>
        <v>DIF</v>
      </c>
      <c r="P6072" s="573"/>
      <c r="Q6072" s="556"/>
      <c r="R6072" s="582"/>
    </row>
    <row r="6073" ht="15" customHeight="1" spans="1:18">
      <c r="A6073" s="556" t="str">
        <f>B6073</f>
        <v>Composição</v>
      </c>
      <c r="B6073" s="557" t="str">
        <f>B6072</f>
        <v>Composição</v>
      </c>
      <c r="C6073" s="100" t="s">
        <v>2893</v>
      </c>
      <c r="D6073" s="99" t="s">
        <v>3738</v>
      </c>
      <c r="E6073" s="100" t="s">
        <v>139</v>
      </c>
      <c r="F6073" s="100" t="s">
        <v>3739</v>
      </c>
      <c r="G6073" s="100" t="s">
        <v>2961</v>
      </c>
      <c r="H6073" s="100"/>
      <c r="I6073" s="101" t="s">
        <v>134</v>
      </c>
      <c r="J6073" s="580">
        <v>0.012</v>
      </c>
      <c r="K6073" s="580">
        <v>0</v>
      </c>
      <c r="L6073" s="102">
        <v>3.65</v>
      </c>
      <c r="M6073" s="102">
        <v>0.04</v>
      </c>
      <c r="N6073" s="573">
        <v>5.24</v>
      </c>
      <c r="O6073" s="556" t="str">
        <f>IF(N6073=M6073,"OK","DIF")</f>
        <v>DIF</v>
      </c>
      <c r="P6073" s="573"/>
      <c r="Q6073" s="556"/>
      <c r="R6073" s="582"/>
    </row>
    <row r="6074" ht="25.5" spans="1:18">
      <c r="A6074" s="556" t="str">
        <f>B6074</f>
        <v>Composição</v>
      </c>
      <c r="B6074" s="557" t="str">
        <f>B6073</f>
        <v>Composição</v>
      </c>
      <c r="C6074" s="108"/>
      <c r="D6074" s="108"/>
      <c r="E6074" s="108"/>
      <c r="F6074" s="108"/>
      <c r="G6074" s="108"/>
      <c r="H6074" s="108" t="s">
        <v>2898</v>
      </c>
      <c r="I6074" s="581">
        <v>39.06</v>
      </c>
      <c r="J6074" s="108" t="s">
        <v>2899</v>
      </c>
      <c r="K6074" s="581">
        <v>0</v>
      </c>
      <c r="L6074" s="108" t="s">
        <v>2900</v>
      </c>
      <c r="M6074" s="581">
        <v>39.06</v>
      </c>
      <c r="N6074" s="573">
        <v>4.67</v>
      </c>
      <c r="O6074" s="556" t="str">
        <f>IF(N6074=M6074,"OK","DIF")</f>
        <v>DIF</v>
      </c>
      <c r="P6074" s="573"/>
      <c r="Q6074" s="556"/>
      <c r="R6074" s="582"/>
    </row>
    <row r="6075" ht="26.25" spans="1:18">
      <c r="A6075" s="556"/>
      <c r="B6075" s="557"/>
      <c r="C6075" s="108"/>
      <c r="D6075" s="108"/>
      <c r="E6075" s="108"/>
      <c r="F6075" s="108"/>
      <c r="G6075" s="108"/>
      <c r="H6075" s="108" t="s">
        <v>2901</v>
      </c>
      <c r="I6075" s="581">
        <v>47.74</v>
      </c>
      <c r="J6075" s="114"/>
      <c r="K6075" s="114" t="s">
        <v>2902</v>
      </c>
      <c r="L6075" s="108"/>
      <c r="M6075" s="581">
        <v>235.03</v>
      </c>
      <c r="N6075" s="573"/>
      <c r="O6075" s="556"/>
      <c r="P6075" s="573"/>
      <c r="Q6075" s="556"/>
      <c r="R6075" s="582"/>
    </row>
    <row r="6076" ht="15" spans="1:18">
      <c r="A6076" s="556"/>
      <c r="B6076" s="557"/>
      <c r="C6076" s="571"/>
      <c r="D6076" s="571"/>
      <c r="E6076" s="571"/>
      <c r="F6076" s="571"/>
      <c r="G6076" s="571"/>
      <c r="H6076" s="571"/>
      <c r="I6076" s="571"/>
      <c r="J6076" s="571"/>
      <c r="K6076" s="571"/>
      <c r="L6076" s="571"/>
      <c r="M6076" s="571"/>
      <c r="N6076" s="573"/>
      <c r="O6076" s="556"/>
      <c r="P6076" s="573"/>
      <c r="Q6076" s="556"/>
      <c r="R6076" s="582"/>
    </row>
    <row r="6077" ht="15" customHeight="1" spans="1:18">
      <c r="A6077" s="556"/>
      <c r="B6077" s="557">
        <f>C6076</f>
        <v>0</v>
      </c>
      <c r="C6077" s="76" t="s">
        <v>2039</v>
      </c>
      <c r="D6077" s="75" t="s">
        <v>63</v>
      </c>
      <c r="E6077" s="76" t="s">
        <v>64</v>
      </c>
      <c r="F6077" s="76" t="s">
        <v>65</v>
      </c>
      <c r="G6077" s="76" t="s">
        <v>2889</v>
      </c>
      <c r="H6077" s="76"/>
      <c r="I6077" s="77" t="s">
        <v>66</v>
      </c>
      <c r="J6077" s="75" t="s">
        <v>67</v>
      </c>
      <c r="K6077" s="75" t="s">
        <v>2890</v>
      </c>
      <c r="L6077" s="75" t="s">
        <v>68</v>
      </c>
      <c r="M6077" s="75" t="s">
        <v>70</v>
      </c>
      <c r="N6077" s="573">
        <v>52.93</v>
      </c>
      <c r="O6077" s="556" t="str">
        <f t="shared" ref="O6077:O6082" si="400">IF(N6077=M6077,"OK","DIF")</f>
        <v>DIF</v>
      </c>
      <c r="P6077" s="573"/>
      <c r="Q6077" s="556"/>
      <c r="R6077" s="582"/>
    </row>
    <row r="6078" ht="23.85" customHeight="1" spans="1:18">
      <c r="A6078" s="556">
        <f>B6078</f>
        <v>0</v>
      </c>
      <c r="B6078" s="557">
        <f>B6077</f>
        <v>0</v>
      </c>
      <c r="C6078" s="569" t="s">
        <v>2891</v>
      </c>
      <c r="D6078" s="570" t="s">
        <v>2040</v>
      </c>
      <c r="E6078" s="569" t="s">
        <v>149</v>
      </c>
      <c r="F6078" s="569" t="s">
        <v>2041</v>
      </c>
      <c r="G6078" s="569" t="s">
        <v>3657</v>
      </c>
      <c r="H6078" s="569"/>
      <c r="I6078" s="577" t="s">
        <v>134</v>
      </c>
      <c r="J6078" s="578">
        <v>1</v>
      </c>
      <c r="K6078" s="579"/>
      <c r="L6078" s="579">
        <v>460.67</v>
      </c>
      <c r="M6078" s="579">
        <v>460.67</v>
      </c>
      <c r="N6078" s="573">
        <v>13.95</v>
      </c>
      <c r="O6078" s="556" t="str">
        <f t="shared" si="400"/>
        <v>DIF</v>
      </c>
      <c r="P6078" s="573"/>
      <c r="Q6078" s="556"/>
      <c r="R6078" s="582"/>
    </row>
    <row r="6079" ht="15" customHeight="1" spans="1:18">
      <c r="A6079" s="556">
        <f>B6079</f>
        <v>0</v>
      </c>
      <c r="B6079" s="557">
        <f>B6078</f>
        <v>0</v>
      </c>
      <c r="C6079" s="100" t="s">
        <v>2893</v>
      </c>
      <c r="D6079" s="99" t="s">
        <v>3660</v>
      </c>
      <c r="E6079" s="100" t="s">
        <v>149</v>
      </c>
      <c r="F6079" s="100" t="s">
        <v>3661</v>
      </c>
      <c r="G6079" s="100" t="s">
        <v>2896</v>
      </c>
      <c r="H6079" s="100"/>
      <c r="I6079" s="101" t="s">
        <v>2897</v>
      </c>
      <c r="J6079" s="580">
        <v>1.701</v>
      </c>
      <c r="K6079" s="580">
        <v>0</v>
      </c>
      <c r="L6079" s="102">
        <v>20.515752</v>
      </c>
      <c r="M6079" s="102">
        <v>34.89</v>
      </c>
      <c r="N6079" s="573">
        <v>5.42</v>
      </c>
      <c r="O6079" s="556" t="str">
        <f t="shared" si="400"/>
        <v>DIF</v>
      </c>
      <c r="P6079" s="573"/>
      <c r="Q6079" s="556"/>
      <c r="R6079" s="582"/>
    </row>
    <row r="6080" ht="15" customHeight="1" spans="1:18">
      <c r="A6080" s="556">
        <f>B6080</f>
        <v>0</v>
      </c>
      <c r="B6080" s="557">
        <f>B6079</f>
        <v>0</v>
      </c>
      <c r="C6080" s="100" t="s">
        <v>2893</v>
      </c>
      <c r="D6080" s="99" t="s">
        <v>4693</v>
      </c>
      <c r="E6080" s="100" t="s">
        <v>149</v>
      </c>
      <c r="F6080" s="100" t="s">
        <v>2041</v>
      </c>
      <c r="G6080" s="100" t="s">
        <v>2961</v>
      </c>
      <c r="H6080" s="100"/>
      <c r="I6080" s="101" t="s">
        <v>134</v>
      </c>
      <c r="J6080" s="580">
        <v>1</v>
      </c>
      <c r="K6080" s="580">
        <v>0</v>
      </c>
      <c r="L6080" s="102">
        <v>379.98</v>
      </c>
      <c r="M6080" s="102">
        <v>379.98</v>
      </c>
      <c r="N6080" s="573">
        <v>31.1</v>
      </c>
      <c r="O6080" s="556" t="str">
        <f t="shared" si="400"/>
        <v>DIF</v>
      </c>
      <c r="P6080" s="573"/>
      <c r="Q6080" s="556"/>
      <c r="R6080" s="582"/>
    </row>
    <row r="6081" ht="15" customHeight="1" spans="1:18">
      <c r="A6081" s="556">
        <f>B6081</f>
        <v>0</v>
      </c>
      <c r="B6081" s="557">
        <f>B6080</f>
        <v>0</v>
      </c>
      <c r="C6081" s="100" t="s">
        <v>2893</v>
      </c>
      <c r="D6081" s="99" t="s">
        <v>2988</v>
      </c>
      <c r="E6081" s="100" t="s">
        <v>149</v>
      </c>
      <c r="F6081" s="100" t="s">
        <v>2989</v>
      </c>
      <c r="G6081" s="100" t="s">
        <v>2896</v>
      </c>
      <c r="H6081" s="100"/>
      <c r="I6081" s="101" t="s">
        <v>2897</v>
      </c>
      <c r="J6081" s="580">
        <v>1.701</v>
      </c>
      <c r="K6081" s="580">
        <v>0</v>
      </c>
      <c r="L6081" s="102">
        <v>26.928256</v>
      </c>
      <c r="M6081" s="102">
        <v>45.8</v>
      </c>
      <c r="N6081" s="573">
        <v>0.31</v>
      </c>
      <c r="O6081" s="556" t="str">
        <f t="shared" si="400"/>
        <v>DIF</v>
      </c>
      <c r="P6081" s="573"/>
      <c r="Q6081" s="556"/>
      <c r="R6081" s="582"/>
    </row>
    <row r="6082" ht="25.5" spans="1:18">
      <c r="A6082" s="556">
        <f>B6082</f>
        <v>0</v>
      </c>
      <c r="B6082" s="557">
        <f>B6081</f>
        <v>0</v>
      </c>
      <c r="C6082" s="108"/>
      <c r="D6082" s="108"/>
      <c r="E6082" s="108"/>
      <c r="F6082" s="108"/>
      <c r="G6082" s="108"/>
      <c r="H6082" s="108" t="s">
        <v>2898</v>
      </c>
      <c r="I6082" s="581">
        <v>80.69</v>
      </c>
      <c r="J6082" s="108" t="s">
        <v>2899</v>
      </c>
      <c r="K6082" s="581">
        <v>0</v>
      </c>
      <c r="L6082" s="108" t="s">
        <v>2900</v>
      </c>
      <c r="M6082" s="581">
        <v>80.69</v>
      </c>
      <c r="N6082" s="573">
        <v>2.15</v>
      </c>
      <c r="O6082" s="556" t="str">
        <f t="shared" si="400"/>
        <v>DIF</v>
      </c>
      <c r="P6082" s="573"/>
      <c r="Q6082" s="556"/>
      <c r="R6082" s="582"/>
    </row>
    <row r="6083" ht="26.25" spans="1:18">
      <c r="A6083" s="556"/>
      <c r="B6083" s="557"/>
      <c r="C6083" s="108"/>
      <c r="D6083" s="108"/>
      <c r="E6083" s="108"/>
      <c r="F6083" s="108"/>
      <c r="G6083" s="108"/>
      <c r="H6083" s="108" t="s">
        <v>2901</v>
      </c>
      <c r="I6083" s="581">
        <v>117.42</v>
      </c>
      <c r="J6083" s="114"/>
      <c r="K6083" s="114" t="s">
        <v>2902</v>
      </c>
      <c r="L6083" s="108"/>
      <c r="M6083" s="581">
        <v>578.09</v>
      </c>
      <c r="N6083" s="573"/>
      <c r="O6083" s="556"/>
      <c r="P6083" s="573"/>
      <c r="Q6083" s="556"/>
      <c r="R6083" s="582"/>
    </row>
    <row r="6084" ht="15" spans="1:18">
      <c r="A6084" s="556"/>
      <c r="B6084" s="557"/>
      <c r="C6084" s="571"/>
      <c r="D6084" s="571"/>
      <c r="E6084" s="571"/>
      <c r="F6084" s="571"/>
      <c r="G6084" s="571"/>
      <c r="H6084" s="571"/>
      <c r="I6084" s="571"/>
      <c r="J6084" s="571"/>
      <c r="K6084" s="571"/>
      <c r="L6084" s="571"/>
      <c r="M6084" s="571"/>
      <c r="N6084" s="573"/>
      <c r="O6084" s="556"/>
      <c r="P6084" s="573"/>
      <c r="Q6084" s="556"/>
      <c r="R6084" s="582"/>
    </row>
    <row r="6085" ht="15" customHeight="1" spans="1:18">
      <c r="A6085" s="556"/>
      <c r="B6085" s="557">
        <f>C6084</f>
        <v>0</v>
      </c>
      <c r="C6085" s="76" t="s">
        <v>2042</v>
      </c>
      <c r="D6085" s="75" t="s">
        <v>63</v>
      </c>
      <c r="E6085" s="76" t="s">
        <v>64</v>
      </c>
      <c r="F6085" s="76" t="s">
        <v>65</v>
      </c>
      <c r="G6085" s="76" t="s">
        <v>2889</v>
      </c>
      <c r="H6085" s="76"/>
      <c r="I6085" s="77" t="s">
        <v>66</v>
      </c>
      <c r="J6085" s="75" t="s">
        <v>67</v>
      </c>
      <c r="K6085" s="75" t="s">
        <v>2890</v>
      </c>
      <c r="L6085" s="75" t="s">
        <v>68</v>
      </c>
      <c r="M6085" s="75" t="s">
        <v>70</v>
      </c>
      <c r="N6085" s="573">
        <v>96.29</v>
      </c>
      <c r="O6085" s="556" t="str">
        <f t="shared" ref="O6085:O6090" si="401">IF(N6085=M6085,"OK","DIF")</f>
        <v>DIF</v>
      </c>
      <c r="P6085" s="573"/>
      <c r="Q6085" s="556"/>
      <c r="R6085" s="582"/>
    </row>
    <row r="6086" ht="23.85" customHeight="1" spans="1:18">
      <c r="A6086" s="556">
        <f>B6086</f>
        <v>0</v>
      </c>
      <c r="B6086" s="557">
        <f>B6085</f>
        <v>0</v>
      </c>
      <c r="C6086" s="569" t="s">
        <v>2891</v>
      </c>
      <c r="D6086" s="570" t="s">
        <v>2043</v>
      </c>
      <c r="E6086" s="569" t="s">
        <v>149</v>
      </c>
      <c r="F6086" s="569" t="s">
        <v>2044</v>
      </c>
      <c r="G6086" s="569" t="s">
        <v>3657</v>
      </c>
      <c r="H6086" s="569"/>
      <c r="I6086" s="577" t="s">
        <v>134</v>
      </c>
      <c r="J6086" s="578">
        <v>1</v>
      </c>
      <c r="K6086" s="579"/>
      <c r="L6086" s="579">
        <v>1037.4</v>
      </c>
      <c r="M6086" s="579">
        <v>1037.4</v>
      </c>
      <c r="N6086" s="573">
        <v>8.09</v>
      </c>
      <c r="O6086" s="556" t="str">
        <f t="shared" si="401"/>
        <v>DIF</v>
      </c>
      <c r="P6086" s="573"/>
      <c r="Q6086" s="556"/>
      <c r="R6086" s="582"/>
    </row>
    <row r="6087" ht="15" customHeight="1" spans="1:18">
      <c r="A6087" s="556">
        <f>B6087</f>
        <v>0</v>
      </c>
      <c r="B6087" s="557">
        <f>B6086</f>
        <v>0</v>
      </c>
      <c r="C6087" s="100" t="s">
        <v>2893</v>
      </c>
      <c r="D6087" s="99" t="s">
        <v>4694</v>
      </c>
      <c r="E6087" s="100" t="s">
        <v>149</v>
      </c>
      <c r="F6087" s="100" t="s">
        <v>4695</v>
      </c>
      <c r="G6087" s="100" t="s">
        <v>2961</v>
      </c>
      <c r="H6087" s="100"/>
      <c r="I6087" s="101" t="s">
        <v>134</v>
      </c>
      <c r="J6087" s="580">
        <v>1</v>
      </c>
      <c r="K6087" s="580">
        <v>0</v>
      </c>
      <c r="L6087" s="102">
        <v>32.99</v>
      </c>
      <c r="M6087" s="102">
        <v>32.99</v>
      </c>
      <c r="N6087" s="573">
        <v>20.03</v>
      </c>
      <c r="O6087" s="556" t="str">
        <f t="shared" si="401"/>
        <v>DIF</v>
      </c>
      <c r="P6087" s="573"/>
      <c r="Q6087" s="556"/>
      <c r="R6087" s="582"/>
    </row>
    <row r="6088" ht="15" customHeight="1" spans="1:18">
      <c r="A6088" s="556">
        <f>B6088</f>
        <v>0</v>
      </c>
      <c r="B6088" s="557">
        <f>B6087</f>
        <v>0</v>
      </c>
      <c r="C6088" s="100" t="s">
        <v>2893</v>
      </c>
      <c r="D6088" s="99" t="s">
        <v>2988</v>
      </c>
      <c r="E6088" s="100" t="s">
        <v>149</v>
      </c>
      <c r="F6088" s="100" t="s">
        <v>2989</v>
      </c>
      <c r="G6088" s="100" t="s">
        <v>2896</v>
      </c>
      <c r="H6088" s="100"/>
      <c r="I6088" s="101" t="s">
        <v>2897</v>
      </c>
      <c r="J6088" s="580">
        <v>3.712</v>
      </c>
      <c r="K6088" s="580">
        <v>0</v>
      </c>
      <c r="L6088" s="102">
        <v>26.928256</v>
      </c>
      <c r="M6088" s="102">
        <v>99.95</v>
      </c>
      <c r="N6088" s="573">
        <v>60.39</v>
      </c>
      <c r="O6088" s="556" t="str">
        <f t="shared" si="401"/>
        <v>DIF</v>
      </c>
      <c r="P6088" s="573"/>
      <c r="Q6088" s="556"/>
      <c r="R6088" s="582"/>
    </row>
    <row r="6089" ht="15" customHeight="1" spans="1:18">
      <c r="A6089" s="556">
        <f>B6089</f>
        <v>0</v>
      </c>
      <c r="B6089" s="557">
        <f>B6088</f>
        <v>0</v>
      </c>
      <c r="C6089" s="100" t="s">
        <v>2893</v>
      </c>
      <c r="D6089" s="99" t="s">
        <v>3660</v>
      </c>
      <c r="E6089" s="100" t="s">
        <v>149</v>
      </c>
      <c r="F6089" s="100" t="s">
        <v>3661</v>
      </c>
      <c r="G6089" s="100" t="s">
        <v>2896</v>
      </c>
      <c r="H6089" s="100"/>
      <c r="I6089" s="101" t="s">
        <v>2897</v>
      </c>
      <c r="J6089" s="580">
        <v>4.33</v>
      </c>
      <c r="K6089" s="580">
        <v>0</v>
      </c>
      <c r="L6089" s="102">
        <v>20.515752</v>
      </c>
      <c r="M6089" s="102">
        <v>88.83</v>
      </c>
      <c r="N6089" s="573">
        <v>5.89</v>
      </c>
      <c r="O6089" s="556" t="str">
        <f t="shared" si="401"/>
        <v>DIF</v>
      </c>
      <c r="P6089" s="573"/>
      <c r="Q6089" s="556"/>
      <c r="R6089" s="582"/>
    </row>
    <row r="6090" ht="15" customHeight="1" spans="1:18">
      <c r="A6090" s="556">
        <f>B6090</f>
        <v>0</v>
      </c>
      <c r="B6090" s="557">
        <f>B6089</f>
        <v>0</v>
      </c>
      <c r="C6090" s="100" t="s">
        <v>2893</v>
      </c>
      <c r="D6090" s="99" t="s">
        <v>4696</v>
      </c>
      <c r="E6090" s="100" t="s">
        <v>149</v>
      </c>
      <c r="F6090" s="100" t="s">
        <v>4697</v>
      </c>
      <c r="G6090" s="100" t="s">
        <v>2961</v>
      </c>
      <c r="H6090" s="100"/>
      <c r="I6090" s="101" t="s">
        <v>134</v>
      </c>
      <c r="J6090" s="580">
        <v>1</v>
      </c>
      <c r="K6090" s="580">
        <v>0</v>
      </c>
      <c r="L6090" s="102">
        <v>815.63</v>
      </c>
      <c r="M6090" s="102">
        <v>815.63</v>
      </c>
      <c r="N6090" s="573">
        <v>1.89</v>
      </c>
      <c r="O6090" s="556" t="str">
        <f t="shared" si="401"/>
        <v>DIF</v>
      </c>
      <c r="P6090" s="573"/>
      <c r="Q6090" s="556"/>
      <c r="R6090" s="582"/>
    </row>
    <row r="6091" ht="25.5" spans="1:18">
      <c r="A6091" s="556"/>
      <c r="B6091" s="557"/>
      <c r="C6091" s="108"/>
      <c r="D6091" s="108"/>
      <c r="E6091" s="108"/>
      <c r="F6091" s="108"/>
      <c r="G6091" s="108"/>
      <c r="H6091" s="108" t="s">
        <v>2898</v>
      </c>
      <c r="I6091" s="581">
        <v>188.78</v>
      </c>
      <c r="J6091" s="108" t="s">
        <v>2899</v>
      </c>
      <c r="K6091" s="581">
        <v>0</v>
      </c>
      <c r="L6091" s="108" t="s">
        <v>2900</v>
      </c>
      <c r="M6091" s="581">
        <v>188.78</v>
      </c>
      <c r="N6091" s="573"/>
      <c r="O6091" s="556"/>
      <c r="P6091" s="573"/>
      <c r="Q6091" s="556"/>
      <c r="R6091" s="582"/>
    </row>
    <row r="6092" ht="26.25" spans="1:18">
      <c r="A6092" s="556"/>
      <c r="B6092" s="557"/>
      <c r="C6092" s="108"/>
      <c r="D6092" s="108"/>
      <c r="E6092" s="108"/>
      <c r="F6092" s="108"/>
      <c r="G6092" s="108"/>
      <c r="H6092" s="108" t="s">
        <v>2901</v>
      </c>
      <c r="I6092" s="581">
        <v>264.43</v>
      </c>
      <c r="J6092" s="114"/>
      <c r="K6092" s="114" t="s">
        <v>2902</v>
      </c>
      <c r="L6092" s="108"/>
      <c r="M6092" s="581">
        <v>1301.83</v>
      </c>
      <c r="N6092" s="573"/>
      <c r="O6092" s="556"/>
      <c r="P6092" s="573"/>
      <c r="Q6092" s="556"/>
      <c r="R6092" s="582"/>
    </row>
    <row r="6093" ht="15" spans="1:18">
      <c r="A6093" s="556"/>
      <c r="B6093" s="557">
        <f>C6092</f>
        <v>0</v>
      </c>
      <c r="C6093" s="571"/>
      <c r="D6093" s="571"/>
      <c r="E6093" s="571"/>
      <c r="F6093" s="571"/>
      <c r="G6093" s="571"/>
      <c r="H6093" s="571"/>
      <c r="I6093" s="571"/>
      <c r="J6093" s="571"/>
      <c r="K6093" s="571"/>
      <c r="L6093" s="571"/>
      <c r="M6093" s="571"/>
      <c r="N6093" s="573">
        <v>8.04</v>
      </c>
      <c r="O6093" s="556" t="str">
        <f t="shared" ref="O6093:O6098" si="402">IF(N6093=M6093,"OK","DIF")</f>
        <v>DIF</v>
      </c>
      <c r="P6093" s="573"/>
      <c r="Q6093" s="556"/>
      <c r="R6093" s="582"/>
    </row>
    <row r="6094" ht="15" customHeight="1" spans="1:18">
      <c r="A6094" s="556">
        <f>B6094</f>
        <v>0</v>
      </c>
      <c r="B6094" s="557">
        <f>B6093</f>
        <v>0</v>
      </c>
      <c r="C6094" s="76" t="s">
        <v>2047</v>
      </c>
      <c r="D6094" s="75" t="s">
        <v>63</v>
      </c>
      <c r="E6094" s="76" t="s">
        <v>64</v>
      </c>
      <c r="F6094" s="76" t="s">
        <v>65</v>
      </c>
      <c r="G6094" s="76" t="s">
        <v>2889</v>
      </c>
      <c r="H6094" s="76"/>
      <c r="I6094" s="77" t="s">
        <v>66</v>
      </c>
      <c r="J6094" s="75" t="s">
        <v>67</v>
      </c>
      <c r="K6094" s="75" t="s">
        <v>2890</v>
      </c>
      <c r="L6094" s="75" t="s">
        <v>68</v>
      </c>
      <c r="M6094" s="75" t="s">
        <v>70</v>
      </c>
      <c r="N6094" s="573">
        <v>0.74</v>
      </c>
      <c r="O6094" s="556" t="str">
        <f t="shared" si="402"/>
        <v>DIF</v>
      </c>
      <c r="P6094" s="573"/>
      <c r="Q6094" s="556"/>
      <c r="R6094" s="582"/>
    </row>
    <row r="6095" ht="63.75" spans="1:18">
      <c r="A6095" s="556">
        <f>B6095</f>
        <v>0</v>
      </c>
      <c r="B6095" s="557">
        <f>B6094</f>
        <v>0</v>
      </c>
      <c r="C6095" s="569" t="s">
        <v>2891</v>
      </c>
      <c r="D6095" s="570" t="s">
        <v>2048</v>
      </c>
      <c r="E6095" s="569" t="s">
        <v>77</v>
      </c>
      <c r="F6095" s="569" t="s">
        <v>4698</v>
      </c>
      <c r="G6095" s="569">
        <v>5</v>
      </c>
      <c r="H6095" s="569"/>
      <c r="I6095" s="577" t="s">
        <v>134</v>
      </c>
      <c r="J6095" s="578">
        <v>1</v>
      </c>
      <c r="K6095" s="579"/>
      <c r="L6095" s="579">
        <v>11.38</v>
      </c>
      <c r="M6095" s="579">
        <v>11.38</v>
      </c>
      <c r="N6095" s="573">
        <v>2.55</v>
      </c>
      <c r="O6095" s="556" t="str">
        <f t="shared" si="402"/>
        <v>DIF</v>
      </c>
      <c r="P6095" s="573"/>
      <c r="Q6095" s="556"/>
      <c r="R6095" s="582"/>
    </row>
    <row r="6096" ht="35.05" customHeight="1" spans="1:18">
      <c r="A6096" s="556">
        <f>B6096</f>
        <v>0</v>
      </c>
      <c r="B6096" s="557">
        <f>B6095</f>
        <v>0</v>
      </c>
      <c r="C6096" s="100" t="s">
        <v>2893</v>
      </c>
      <c r="D6096" s="99" t="s">
        <v>4699</v>
      </c>
      <c r="E6096" s="100" t="s">
        <v>77</v>
      </c>
      <c r="F6096" s="100" t="s">
        <v>4700</v>
      </c>
      <c r="G6096" s="100" t="s">
        <v>2961</v>
      </c>
      <c r="H6096" s="100"/>
      <c r="I6096" s="101" t="s">
        <v>134</v>
      </c>
      <c r="J6096" s="580">
        <v>1</v>
      </c>
      <c r="K6096" s="580">
        <v>0</v>
      </c>
      <c r="L6096" s="102">
        <v>5.92</v>
      </c>
      <c r="M6096" s="102">
        <v>5.92</v>
      </c>
      <c r="N6096" s="573">
        <v>0.44</v>
      </c>
      <c r="O6096" s="556" t="str">
        <f t="shared" si="402"/>
        <v>DIF</v>
      </c>
      <c r="P6096" s="573"/>
      <c r="Q6096" s="556"/>
      <c r="R6096" s="582"/>
    </row>
    <row r="6097" ht="23.85" customHeight="1" spans="1:18">
      <c r="A6097" s="556">
        <f>B6097</f>
        <v>0</v>
      </c>
      <c r="B6097" s="557">
        <f>B6096</f>
        <v>0</v>
      </c>
      <c r="C6097" s="100" t="s">
        <v>2893</v>
      </c>
      <c r="D6097" s="99" t="s">
        <v>3589</v>
      </c>
      <c r="E6097" s="100" t="s">
        <v>77</v>
      </c>
      <c r="F6097" s="100" t="s">
        <v>3590</v>
      </c>
      <c r="G6097" s="100" t="s">
        <v>2896</v>
      </c>
      <c r="H6097" s="100"/>
      <c r="I6097" s="101" t="s">
        <v>2897</v>
      </c>
      <c r="J6097" s="580">
        <v>0.2</v>
      </c>
      <c r="K6097" s="580">
        <v>3</v>
      </c>
      <c r="L6097" s="102">
        <v>26.52</v>
      </c>
      <c r="M6097" s="102">
        <v>5.46</v>
      </c>
      <c r="N6097" s="573">
        <v>3.79</v>
      </c>
      <c r="O6097" s="556" t="str">
        <f t="shared" si="402"/>
        <v>DIF</v>
      </c>
      <c r="P6097" s="573"/>
      <c r="Q6097" s="556"/>
      <c r="R6097" s="582"/>
    </row>
    <row r="6098" ht="25.5" spans="1:18">
      <c r="A6098" s="556">
        <f>B6098</f>
        <v>0</v>
      </c>
      <c r="B6098" s="557">
        <f>B6097</f>
        <v>0</v>
      </c>
      <c r="C6098" s="108"/>
      <c r="D6098" s="108"/>
      <c r="E6098" s="108"/>
      <c r="F6098" s="108"/>
      <c r="G6098" s="108"/>
      <c r="H6098" s="108" t="s">
        <v>2898</v>
      </c>
      <c r="I6098" s="581">
        <v>5.46</v>
      </c>
      <c r="J6098" s="108" t="s">
        <v>2899</v>
      </c>
      <c r="K6098" s="581">
        <v>0</v>
      </c>
      <c r="L6098" s="108" t="s">
        <v>2900</v>
      </c>
      <c r="M6098" s="581">
        <v>5.46</v>
      </c>
      <c r="N6098" s="573">
        <v>0.52</v>
      </c>
      <c r="O6098" s="556" t="str">
        <f t="shared" si="402"/>
        <v>DIF</v>
      </c>
      <c r="P6098" s="573"/>
      <c r="Q6098" s="556"/>
      <c r="R6098" s="582"/>
    </row>
    <row r="6099" ht="26.25" spans="1:18">
      <c r="A6099" s="556"/>
      <c r="B6099" s="557"/>
      <c r="C6099" s="108"/>
      <c r="D6099" s="108"/>
      <c r="E6099" s="108"/>
      <c r="F6099" s="108"/>
      <c r="G6099" s="108"/>
      <c r="H6099" s="108" t="s">
        <v>2901</v>
      </c>
      <c r="I6099" s="581">
        <v>2.9</v>
      </c>
      <c r="J6099" s="114"/>
      <c r="K6099" s="114" t="s">
        <v>2902</v>
      </c>
      <c r="L6099" s="108"/>
      <c r="M6099" s="581">
        <v>14.28</v>
      </c>
      <c r="N6099" s="573"/>
      <c r="O6099" s="556"/>
      <c r="P6099" s="573"/>
      <c r="Q6099" s="556"/>
      <c r="R6099" s="582"/>
    </row>
    <row r="6100" ht="15" spans="1:18">
      <c r="A6100" s="556"/>
      <c r="B6100" s="557"/>
      <c r="C6100" s="571"/>
      <c r="D6100" s="571"/>
      <c r="E6100" s="571"/>
      <c r="F6100" s="571"/>
      <c r="G6100" s="571"/>
      <c r="H6100" s="571"/>
      <c r="I6100" s="571"/>
      <c r="J6100" s="571"/>
      <c r="K6100" s="571"/>
      <c r="L6100" s="571"/>
      <c r="M6100" s="571"/>
      <c r="N6100" s="573"/>
      <c r="O6100" s="556"/>
      <c r="P6100" s="573"/>
      <c r="Q6100" s="556"/>
      <c r="R6100" s="582"/>
    </row>
    <row r="6101" ht="15" customHeight="1" spans="1:18">
      <c r="A6101" s="556"/>
      <c r="B6101" s="557">
        <f>C6100</f>
        <v>0</v>
      </c>
      <c r="C6101" s="76" t="s">
        <v>2050</v>
      </c>
      <c r="D6101" s="75" t="s">
        <v>63</v>
      </c>
      <c r="E6101" s="76" t="s">
        <v>64</v>
      </c>
      <c r="F6101" s="76" t="s">
        <v>65</v>
      </c>
      <c r="G6101" s="76" t="s">
        <v>2889</v>
      </c>
      <c r="H6101" s="76"/>
      <c r="I6101" s="77" t="s">
        <v>66</v>
      </c>
      <c r="J6101" s="75" t="s">
        <v>67</v>
      </c>
      <c r="K6101" s="75" t="s">
        <v>2890</v>
      </c>
      <c r="L6101" s="75" t="s">
        <v>68</v>
      </c>
      <c r="M6101" s="75" t="s">
        <v>70</v>
      </c>
      <c r="N6101" s="573">
        <v>236.42</v>
      </c>
      <c r="O6101" s="556" t="str">
        <f t="shared" ref="O6101:O6106" si="403">IF(N6101=M6101,"OK","DIF")</f>
        <v>DIF</v>
      </c>
      <c r="P6101" s="573"/>
      <c r="Q6101" s="556"/>
      <c r="R6101" s="582"/>
    </row>
    <row r="6102" ht="51" spans="1:18">
      <c r="A6102" s="556">
        <f>B6102</f>
        <v>0</v>
      </c>
      <c r="B6102" s="557">
        <f>B6101</f>
        <v>0</v>
      </c>
      <c r="C6102" s="569" t="s">
        <v>2891</v>
      </c>
      <c r="D6102" s="570" t="s">
        <v>2051</v>
      </c>
      <c r="E6102" s="569" t="s">
        <v>132</v>
      </c>
      <c r="F6102" s="569" t="s">
        <v>2052</v>
      </c>
      <c r="G6102" s="569">
        <v>55</v>
      </c>
      <c r="H6102" s="569"/>
      <c r="I6102" s="577" t="s">
        <v>134</v>
      </c>
      <c r="J6102" s="578">
        <v>1</v>
      </c>
      <c r="K6102" s="579"/>
      <c r="L6102" s="579">
        <v>12.87</v>
      </c>
      <c r="M6102" s="579">
        <v>12.87</v>
      </c>
      <c r="N6102" s="573">
        <v>15.15</v>
      </c>
      <c r="O6102" s="556" t="str">
        <f t="shared" si="403"/>
        <v>DIF</v>
      </c>
      <c r="P6102" s="573"/>
      <c r="Q6102" s="556"/>
      <c r="R6102" s="582"/>
    </row>
    <row r="6103" ht="23.85" customHeight="1" spans="1:18">
      <c r="A6103" s="556">
        <f>B6103</f>
        <v>0</v>
      </c>
      <c r="B6103" s="557">
        <f>B6102</f>
        <v>0</v>
      </c>
      <c r="C6103" s="79" t="s">
        <v>2921</v>
      </c>
      <c r="D6103" s="78" t="s">
        <v>2952</v>
      </c>
      <c r="E6103" s="79" t="s">
        <v>139</v>
      </c>
      <c r="F6103" s="79" t="s">
        <v>2953</v>
      </c>
      <c r="G6103" s="79" t="s">
        <v>2928</v>
      </c>
      <c r="H6103" s="79"/>
      <c r="I6103" s="80" t="s">
        <v>2897</v>
      </c>
      <c r="J6103" s="583">
        <v>0.03</v>
      </c>
      <c r="K6103" s="583">
        <v>0</v>
      </c>
      <c r="L6103" s="92">
        <v>29.15</v>
      </c>
      <c r="M6103" s="92">
        <v>0.87</v>
      </c>
      <c r="N6103" s="573">
        <v>140.49</v>
      </c>
      <c r="O6103" s="556" t="str">
        <f t="shared" si="403"/>
        <v>DIF</v>
      </c>
      <c r="P6103" s="573"/>
      <c r="Q6103" s="556"/>
      <c r="R6103" s="582"/>
    </row>
    <row r="6104" ht="23.85" customHeight="1" spans="1:18">
      <c r="A6104" s="556">
        <f>B6104</f>
        <v>0</v>
      </c>
      <c r="B6104" s="557">
        <f>B6103</f>
        <v>0</v>
      </c>
      <c r="C6104" s="100" t="s">
        <v>2893</v>
      </c>
      <c r="D6104" s="99" t="s">
        <v>4701</v>
      </c>
      <c r="E6104" s="100" t="s">
        <v>149</v>
      </c>
      <c r="F6104" s="100" t="s">
        <v>4702</v>
      </c>
      <c r="G6104" s="100" t="s">
        <v>2961</v>
      </c>
      <c r="H6104" s="100"/>
      <c r="I6104" s="101" t="s">
        <v>134</v>
      </c>
      <c r="J6104" s="580">
        <v>1</v>
      </c>
      <c r="K6104" s="580">
        <v>0</v>
      </c>
      <c r="L6104" s="102">
        <v>12</v>
      </c>
      <c r="M6104" s="102">
        <v>12</v>
      </c>
      <c r="N6104" s="573">
        <v>5.89</v>
      </c>
      <c r="O6104" s="556" t="str">
        <f t="shared" si="403"/>
        <v>DIF</v>
      </c>
      <c r="P6104" s="573"/>
      <c r="Q6104" s="556"/>
      <c r="R6104" s="582"/>
    </row>
    <row r="6105" ht="25.5" spans="1:18">
      <c r="A6105" s="556">
        <f>B6105</f>
        <v>0</v>
      </c>
      <c r="B6105" s="557">
        <f>B6104</f>
        <v>0</v>
      </c>
      <c r="C6105" s="108"/>
      <c r="D6105" s="108"/>
      <c r="E6105" s="108"/>
      <c r="F6105" s="108"/>
      <c r="G6105" s="108"/>
      <c r="H6105" s="108" t="s">
        <v>2898</v>
      </c>
      <c r="I6105" s="581">
        <v>0.57</v>
      </c>
      <c r="J6105" s="108" t="s">
        <v>2899</v>
      </c>
      <c r="K6105" s="581">
        <v>0</v>
      </c>
      <c r="L6105" s="108" t="s">
        <v>2900</v>
      </c>
      <c r="M6105" s="581">
        <v>0.57</v>
      </c>
      <c r="N6105" s="573">
        <v>26.27</v>
      </c>
      <c r="O6105" s="556" t="str">
        <f t="shared" si="403"/>
        <v>DIF</v>
      </c>
      <c r="P6105" s="573"/>
      <c r="Q6105" s="556"/>
      <c r="R6105" s="582"/>
    </row>
    <row r="6106" ht="26.25" spans="1:18">
      <c r="A6106" s="556">
        <f>B6106</f>
        <v>0</v>
      </c>
      <c r="B6106" s="557">
        <f>B6105</f>
        <v>0</v>
      </c>
      <c r="C6106" s="108"/>
      <c r="D6106" s="108"/>
      <c r="E6106" s="108"/>
      <c r="F6106" s="108"/>
      <c r="G6106" s="108"/>
      <c r="H6106" s="108" t="s">
        <v>2901</v>
      </c>
      <c r="I6106" s="581">
        <v>3.28</v>
      </c>
      <c r="J6106" s="114"/>
      <c r="K6106" s="114" t="s">
        <v>2902</v>
      </c>
      <c r="L6106" s="108"/>
      <c r="M6106" s="581">
        <v>16.15</v>
      </c>
      <c r="N6106" s="573">
        <v>48.62</v>
      </c>
      <c r="O6106" s="556" t="str">
        <f t="shared" si="403"/>
        <v>DIF</v>
      </c>
      <c r="P6106" s="573"/>
      <c r="Q6106" s="556"/>
      <c r="R6106" s="582"/>
    </row>
    <row r="6107" ht="15" spans="1:18">
      <c r="A6107" s="556"/>
      <c r="B6107" s="557"/>
      <c r="C6107" s="571"/>
      <c r="D6107" s="571"/>
      <c r="E6107" s="571"/>
      <c r="F6107" s="571"/>
      <c r="G6107" s="571"/>
      <c r="H6107" s="571"/>
      <c r="I6107" s="571"/>
      <c r="J6107" s="571"/>
      <c r="K6107" s="571"/>
      <c r="L6107" s="571"/>
      <c r="M6107" s="571"/>
      <c r="N6107" s="573"/>
      <c r="O6107" s="556"/>
      <c r="P6107" s="573"/>
      <c r="Q6107" s="556"/>
      <c r="R6107" s="582"/>
    </row>
    <row r="6108" ht="15" customHeight="1" spans="1:18">
      <c r="A6108" s="556"/>
      <c r="B6108" s="557"/>
      <c r="C6108" s="76" t="s">
        <v>2053</v>
      </c>
      <c r="D6108" s="75" t="s">
        <v>63</v>
      </c>
      <c r="E6108" s="76" t="s">
        <v>64</v>
      </c>
      <c r="F6108" s="76" t="s">
        <v>65</v>
      </c>
      <c r="G6108" s="76" t="s">
        <v>2889</v>
      </c>
      <c r="H6108" s="76"/>
      <c r="I6108" s="77" t="s">
        <v>66</v>
      </c>
      <c r="J6108" s="75" t="s">
        <v>67</v>
      </c>
      <c r="K6108" s="75" t="s">
        <v>2890</v>
      </c>
      <c r="L6108" s="75" t="s">
        <v>68</v>
      </c>
      <c r="M6108" s="75" t="s">
        <v>70</v>
      </c>
      <c r="N6108" s="573"/>
      <c r="O6108" s="556"/>
      <c r="P6108" s="573"/>
      <c r="Q6108" s="556"/>
      <c r="R6108" s="582"/>
    </row>
    <row r="6109" ht="38.25" spans="1:18">
      <c r="A6109" s="556"/>
      <c r="B6109" s="557" t="str">
        <f>C6108</f>
        <v> 14.2.3.3 </v>
      </c>
      <c r="C6109" s="569" t="s">
        <v>2891</v>
      </c>
      <c r="D6109" s="570" t="s">
        <v>2054</v>
      </c>
      <c r="E6109" s="569" t="s">
        <v>132</v>
      </c>
      <c r="F6109" s="569" t="s">
        <v>2055</v>
      </c>
      <c r="G6109" s="569">
        <v>5</v>
      </c>
      <c r="H6109" s="569"/>
      <c r="I6109" s="577" t="s">
        <v>134</v>
      </c>
      <c r="J6109" s="578">
        <v>1</v>
      </c>
      <c r="K6109" s="579"/>
      <c r="L6109" s="579">
        <v>28.27</v>
      </c>
      <c r="M6109" s="579">
        <v>28.27</v>
      </c>
      <c r="N6109" s="573">
        <v>189.29</v>
      </c>
      <c r="O6109" s="556" t="str">
        <f t="shared" ref="O6109:O6114" si="404">IF(N6109=M6109,"OK","DIF")</f>
        <v>DIF</v>
      </c>
      <c r="P6109" s="573"/>
      <c r="Q6109" s="556"/>
      <c r="R6109" s="582"/>
    </row>
    <row r="6110" ht="23.85" customHeight="1" spans="1:18">
      <c r="A6110" s="556" t="str">
        <f>B6110</f>
        <v> 14.2.3.3 </v>
      </c>
      <c r="B6110" s="557" t="str">
        <f>B6109</f>
        <v> 14.2.3.3 </v>
      </c>
      <c r="C6110" s="79" t="s">
        <v>2921</v>
      </c>
      <c r="D6110" s="78" t="s">
        <v>3017</v>
      </c>
      <c r="E6110" s="79" t="s">
        <v>139</v>
      </c>
      <c r="F6110" s="79" t="s">
        <v>3018</v>
      </c>
      <c r="G6110" s="79" t="s">
        <v>2928</v>
      </c>
      <c r="H6110" s="79"/>
      <c r="I6110" s="80" t="s">
        <v>2897</v>
      </c>
      <c r="J6110" s="583">
        <v>0.2</v>
      </c>
      <c r="K6110" s="583">
        <v>0</v>
      </c>
      <c r="L6110" s="92">
        <v>36.96</v>
      </c>
      <c r="M6110" s="92">
        <v>7.39</v>
      </c>
      <c r="N6110" s="573">
        <v>14.58</v>
      </c>
      <c r="O6110" s="556" t="str">
        <f t="shared" si="404"/>
        <v>DIF</v>
      </c>
      <c r="P6110" s="573"/>
      <c r="Q6110" s="556"/>
      <c r="R6110" s="582"/>
    </row>
    <row r="6111" ht="23.85" customHeight="1" spans="1:18">
      <c r="A6111" s="556" t="str">
        <f>B6111</f>
        <v> 14.2.3.3 </v>
      </c>
      <c r="B6111" s="557" t="str">
        <f>B6110</f>
        <v> 14.2.3.3 </v>
      </c>
      <c r="C6111" s="100" t="s">
        <v>2893</v>
      </c>
      <c r="D6111" s="99" t="s">
        <v>4703</v>
      </c>
      <c r="E6111" s="100" t="s">
        <v>132</v>
      </c>
      <c r="F6111" s="100" t="s">
        <v>4704</v>
      </c>
      <c r="G6111" s="100" t="s">
        <v>2961</v>
      </c>
      <c r="H6111" s="100"/>
      <c r="I6111" s="101" t="s">
        <v>134</v>
      </c>
      <c r="J6111" s="580">
        <v>1</v>
      </c>
      <c r="K6111" s="580">
        <v>0</v>
      </c>
      <c r="L6111" s="102">
        <v>20.88</v>
      </c>
      <c r="M6111" s="102">
        <v>20.88</v>
      </c>
      <c r="N6111" s="573">
        <v>5.65</v>
      </c>
      <c r="O6111" s="556" t="str">
        <f t="shared" si="404"/>
        <v>DIF</v>
      </c>
      <c r="P6111" s="573"/>
      <c r="Q6111" s="556"/>
      <c r="R6111" s="582"/>
    </row>
    <row r="6112" ht="25.5" spans="1:18">
      <c r="A6112" s="556" t="str">
        <f>B6112</f>
        <v> 14.2.3.3 </v>
      </c>
      <c r="B6112" s="557" t="str">
        <f>B6111</f>
        <v> 14.2.3.3 </v>
      </c>
      <c r="C6112" s="108"/>
      <c r="D6112" s="108"/>
      <c r="E6112" s="108"/>
      <c r="F6112" s="108"/>
      <c r="G6112" s="108"/>
      <c r="H6112" s="108" t="s">
        <v>2898</v>
      </c>
      <c r="I6112" s="581">
        <v>5.38</v>
      </c>
      <c r="J6112" s="108" t="s">
        <v>2899</v>
      </c>
      <c r="K6112" s="581">
        <v>0</v>
      </c>
      <c r="L6112" s="108" t="s">
        <v>2900</v>
      </c>
      <c r="M6112" s="581">
        <v>5.38</v>
      </c>
      <c r="N6112" s="573">
        <v>0.14</v>
      </c>
      <c r="O6112" s="556" t="str">
        <f t="shared" si="404"/>
        <v>DIF</v>
      </c>
      <c r="P6112" s="573"/>
      <c r="Q6112" s="556"/>
      <c r="R6112" s="582"/>
    </row>
    <row r="6113" ht="26.25" spans="1:18">
      <c r="A6113" s="556" t="str">
        <f>B6113</f>
        <v> 14.2.3.3 </v>
      </c>
      <c r="B6113" s="557" t="str">
        <f>B6112</f>
        <v> 14.2.3.3 </v>
      </c>
      <c r="C6113" s="108"/>
      <c r="D6113" s="108"/>
      <c r="E6113" s="108"/>
      <c r="F6113" s="108"/>
      <c r="G6113" s="108"/>
      <c r="H6113" s="108" t="s">
        <v>2901</v>
      </c>
      <c r="I6113" s="581">
        <v>7.2</v>
      </c>
      <c r="J6113" s="114"/>
      <c r="K6113" s="114" t="s">
        <v>2902</v>
      </c>
      <c r="L6113" s="108"/>
      <c r="M6113" s="581">
        <v>35.47</v>
      </c>
      <c r="N6113" s="573">
        <v>165.86</v>
      </c>
      <c r="O6113" s="556" t="str">
        <f t="shared" si="404"/>
        <v>DIF</v>
      </c>
      <c r="P6113" s="573"/>
      <c r="Q6113" s="556"/>
      <c r="R6113" s="582"/>
    </row>
    <row r="6114" ht="15" spans="1:18">
      <c r="A6114" s="556" t="str">
        <f>B6114</f>
        <v> 14.2.3.3 </v>
      </c>
      <c r="B6114" s="557" t="str">
        <f>B6113</f>
        <v> 14.2.3.3 </v>
      </c>
      <c r="C6114" s="571"/>
      <c r="D6114" s="571"/>
      <c r="E6114" s="571"/>
      <c r="F6114" s="571"/>
      <c r="G6114" s="571"/>
      <c r="H6114" s="571"/>
      <c r="I6114" s="571"/>
      <c r="J6114" s="571"/>
      <c r="K6114" s="571"/>
      <c r="L6114" s="571"/>
      <c r="M6114" s="571"/>
      <c r="N6114" s="573">
        <v>3.06</v>
      </c>
      <c r="O6114" s="556" t="str">
        <f t="shared" si="404"/>
        <v>DIF</v>
      </c>
      <c r="P6114" s="573"/>
      <c r="Q6114" s="556"/>
      <c r="R6114" s="582"/>
    </row>
    <row r="6115" ht="15" customHeight="1" spans="1:18">
      <c r="A6115" s="556"/>
      <c r="B6115" s="557"/>
      <c r="C6115" s="76" t="s">
        <v>2056</v>
      </c>
      <c r="D6115" s="75" t="s">
        <v>63</v>
      </c>
      <c r="E6115" s="76" t="s">
        <v>64</v>
      </c>
      <c r="F6115" s="76" t="s">
        <v>65</v>
      </c>
      <c r="G6115" s="76" t="s">
        <v>2889</v>
      </c>
      <c r="H6115" s="76"/>
      <c r="I6115" s="77" t="s">
        <v>66</v>
      </c>
      <c r="J6115" s="75" t="s">
        <v>67</v>
      </c>
      <c r="K6115" s="75" t="s">
        <v>2890</v>
      </c>
      <c r="L6115" s="75" t="s">
        <v>68</v>
      </c>
      <c r="M6115" s="75" t="s">
        <v>70</v>
      </c>
      <c r="N6115" s="573"/>
      <c r="O6115" s="556"/>
      <c r="P6115" s="573"/>
      <c r="Q6115" s="556"/>
      <c r="R6115" s="582"/>
    </row>
    <row r="6116" ht="38.25" spans="1:18">
      <c r="A6116" s="556"/>
      <c r="B6116" s="557"/>
      <c r="C6116" s="569" t="s">
        <v>2891</v>
      </c>
      <c r="D6116" s="570" t="s">
        <v>2057</v>
      </c>
      <c r="E6116" s="569" t="s">
        <v>132</v>
      </c>
      <c r="F6116" s="569" t="s">
        <v>2058</v>
      </c>
      <c r="G6116" s="569">
        <v>5</v>
      </c>
      <c r="H6116" s="569"/>
      <c r="I6116" s="577" t="s">
        <v>134</v>
      </c>
      <c r="J6116" s="578">
        <v>1</v>
      </c>
      <c r="K6116" s="579"/>
      <c r="L6116" s="579">
        <v>18.41</v>
      </c>
      <c r="M6116" s="579">
        <v>18.41</v>
      </c>
      <c r="N6116" s="573"/>
      <c r="O6116" s="556"/>
      <c r="P6116" s="573"/>
      <c r="Q6116" s="556"/>
      <c r="R6116" s="582"/>
    </row>
    <row r="6117" ht="23.85" customHeight="1" spans="1:18">
      <c r="A6117" s="556"/>
      <c r="B6117" s="557" t="str">
        <f>C6116</f>
        <v>Composição</v>
      </c>
      <c r="C6117" s="79" t="s">
        <v>2921</v>
      </c>
      <c r="D6117" s="78" t="s">
        <v>3017</v>
      </c>
      <c r="E6117" s="79" t="s">
        <v>139</v>
      </c>
      <c r="F6117" s="79" t="s">
        <v>3018</v>
      </c>
      <c r="G6117" s="79" t="s">
        <v>2928</v>
      </c>
      <c r="H6117" s="79"/>
      <c r="I6117" s="80" t="s">
        <v>2897</v>
      </c>
      <c r="J6117" s="583">
        <v>0.2</v>
      </c>
      <c r="K6117" s="583">
        <v>0</v>
      </c>
      <c r="L6117" s="92">
        <v>36.96</v>
      </c>
      <c r="M6117" s="92">
        <v>7.39</v>
      </c>
      <c r="N6117" s="573">
        <v>161.84</v>
      </c>
      <c r="O6117" s="556" t="str">
        <f t="shared" ref="O6117:O6122" si="405">IF(N6117=M6117,"OK","DIF")</f>
        <v>DIF</v>
      </c>
      <c r="P6117" s="573"/>
      <c r="Q6117" s="556"/>
      <c r="R6117" s="582"/>
    </row>
    <row r="6118" ht="23.85" customHeight="1" spans="1:18">
      <c r="A6118" s="556" t="str">
        <f>B6118</f>
        <v>Composição</v>
      </c>
      <c r="B6118" s="557" t="str">
        <f>B6117</f>
        <v>Composição</v>
      </c>
      <c r="C6118" s="100" t="s">
        <v>2893</v>
      </c>
      <c r="D6118" s="99" t="s">
        <v>4705</v>
      </c>
      <c r="E6118" s="100" t="s">
        <v>77</v>
      </c>
      <c r="F6118" s="100" t="s">
        <v>4706</v>
      </c>
      <c r="G6118" s="100" t="s">
        <v>2961</v>
      </c>
      <c r="H6118" s="100"/>
      <c r="I6118" s="101" t="s">
        <v>134</v>
      </c>
      <c r="J6118" s="580">
        <v>1</v>
      </c>
      <c r="K6118" s="580">
        <v>0</v>
      </c>
      <c r="L6118" s="102">
        <v>11.02</v>
      </c>
      <c r="M6118" s="102">
        <v>11.02</v>
      </c>
      <c r="N6118" s="573">
        <v>21.32</v>
      </c>
      <c r="O6118" s="556" t="str">
        <f t="shared" si="405"/>
        <v>DIF</v>
      </c>
      <c r="P6118" s="573"/>
      <c r="Q6118" s="556"/>
      <c r="R6118" s="582"/>
    </row>
    <row r="6119" ht="25.5" spans="1:18">
      <c r="A6119" s="556" t="str">
        <f>B6119</f>
        <v>Composição</v>
      </c>
      <c r="B6119" s="557" t="str">
        <f>B6118</f>
        <v>Composição</v>
      </c>
      <c r="C6119" s="108"/>
      <c r="D6119" s="108"/>
      <c r="E6119" s="108"/>
      <c r="F6119" s="108"/>
      <c r="G6119" s="108"/>
      <c r="H6119" s="108" t="s">
        <v>2898</v>
      </c>
      <c r="I6119" s="581">
        <v>5.38</v>
      </c>
      <c r="J6119" s="108" t="s">
        <v>2899</v>
      </c>
      <c r="K6119" s="581">
        <v>0</v>
      </c>
      <c r="L6119" s="108" t="s">
        <v>2900</v>
      </c>
      <c r="M6119" s="581">
        <v>5.38</v>
      </c>
      <c r="N6119" s="573">
        <v>33.19</v>
      </c>
      <c r="O6119" s="556" t="str">
        <f t="shared" si="405"/>
        <v>DIF</v>
      </c>
      <c r="P6119" s="573"/>
      <c r="Q6119" s="556"/>
      <c r="R6119" s="582"/>
    </row>
    <row r="6120" ht="26.25" spans="1:18">
      <c r="A6120" s="556" t="str">
        <f>B6120</f>
        <v>Composição</v>
      </c>
      <c r="B6120" s="557" t="str">
        <f>B6119</f>
        <v>Composição</v>
      </c>
      <c r="C6120" s="108"/>
      <c r="D6120" s="108"/>
      <c r="E6120" s="108"/>
      <c r="F6120" s="108"/>
      <c r="G6120" s="108"/>
      <c r="H6120" s="108" t="s">
        <v>2901</v>
      </c>
      <c r="I6120" s="581">
        <v>4.69</v>
      </c>
      <c r="J6120" s="114"/>
      <c r="K6120" s="114" t="s">
        <v>2902</v>
      </c>
      <c r="L6120" s="108"/>
      <c r="M6120" s="581">
        <v>23.1</v>
      </c>
      <c r="N6120" s="573">
        <v>1.15</v>
      </c>
      <c r="O6120" s="556" t="str">
        <f t="shared" si="405"/>
        <v>DIF</v>
      </c>
      <c r="P6120" s="573"/>
      <c r="Q6120" s="556"/>
      <c r="R6120" s="582"/>
    </row>
    <row r="6121" ht="15" spans="1:18">
      <c r="A6121" s="556" t="str">
        <f>B6121</f>
        <v>Composição</v>
      </c>
      <c r="B6121" s="557" t="str">
        <f>B6120</f>
        <v>Composição</v>
      </c>
      <c r="C6121" s="571"/>
      <c r="D6121" s="571"/>
      <c r="E6121" s="571"/>
      <c r="F6121" s="571"/>
      <c r="G6121" s="571"/>
      <c r="H6121" s="571"/>
      <c r="I6121" s="571"/>
      <c r="J6121" s="571"/>
      <c r="K6121" s="571"/>
      <c r="L6121" s="571"/>
      <c r="M6121" s="571"/>
      <c r="N6121" s="573">
        <v>13.1</v>
      </c>
      <c r="O6121" s="556" t="str">
        <f t="shared" si="405"/>
        <v>DIF</v>
      </c>
      <c r="P6121" s="573"/>
      <c r="Q6121" s="556"/>
      <c r="R6121" s="582"/>
    </row>
    <row r="6122" ht="15" customHeight="1" spans="1:18">
      <c r="A6122" s="556" t="str">
        <f>B6122</f>
        <v>Composição</v>
      </c>
      <c r="B6122" s="557" t="str">
        <f>B6121</f>
        <v>Composição</v>
      </c>
      <c r="C6122" s="76" t="s">
        <v>2059</v>
      </c>
      <c r="D6122" s="75" t="s">
        <v>63</v>
      </c>
      <c r="E6122" s="76" t="s">
        <v>64</v>
      </c>
      <c r="F6122" s="76" t="s">
        <v>65</v>
      </c>
      <c r="G6122" s="76" t="s">
        <v>2889</v>
      </c>
      <c r="H6122" s="76"/>
      <c r="I6122" s="77" t="s">
        <v>66</v>
      </c>
      <c r="J6122" s="75" t="s">
        <v>67</v>
      </c>
      <c r="K6122" s="75" t="s">
        <v>2890</v>
      </c>
      <c r="L6122" s="75" t="s">
        <v>68</v>
      </c>
      <c r="M6122" s="75" t="s">
        <v>70</v>
      </c>
      <c r="N6122" s="573">
        <v>93.08</v>
      </c>
      <c r="O6122" s="556" t="str">
        <f t="shared" si="405"/>
        <v>DIF</v>
      </c>
      <c r="P6122" s="573"/>
      <c r="Q6122" s="556"/>
      <c r="R6122" s="582"/>
    </row>
    <row r="6123" ht="38.25" spans="1:18">
      <c r="A6123" s="556"/>
      <c r="B6123" s="557"/>
      <c r="C6123" s="569" t="s">
        <v>2891</v>
      </c>
      <c r="D6123" s="570" t="s">
        <v>2060</v>
      </c>
      <c r="E6123" s="569" t="s">
        <v>132</v>
      </c>
      <c r="F6123" s="569" t="s">
        <v>2061</v>
      </c>
      <c r="G6123" s="569">
        <v>5</v>
      </c>
      <c r="H6123" s="569"/>
      <c r="I6123" s="577" t="s">
        <v>134</v>
      </c>
      <c r="J6123" s="578">
        <v>1</v>
      </c>
      <c r="K6123" s="579"/>
      <c r="L6123" s="579">
        <v>32.44</v>
      </c>
      <c r="M6123" s="579">
        <v>32.44</v>
      </c>
      <c r="N6123" s="573"/>
      <c r="O6123" s="556"/>
      <c r="P6123" s="573"/>
      <c r="Q6123" s="556"/>
      <c r="R6123" s="582"/>
    </row>
    <row r="6124" ht="23.85" customHeight="1" spans="1:18">
      <c r="A6124" s="556"/>
      <c r="B6124" s="557"/>
      <c r="C6124" s="79" t="s">
        <v>2921</v>
      </c>
      <c r="D6124" s="78" t="s">
        <v>3017</v>
      </c>
      <c r="E6124" s="79" t="s">
        <v>139</v>
      </c>
      <c r="F6124" s="79" t="s">
        <v>3018</v>
      </c>
      <c r="G6124" s="79" t="s">
        <v>2928</v>
      </c>
      <c r="H6124" s="79"/>
      <c r="I6124" s="80" t="s">
        <v>2897</v>
      </c>
      <c r="J6124" s="583">
        <v>0.2</v>
      </c>
      <c r="K6124" s="583">
        <v>0</v>
      </c>
      <c r="L6124" s="92">
        <v>36.96</v>
      </c>
      <c r="M6124" s="92">
        <v>7.39</v>
      </c>
      <c r="N6124" s="573"/>
      <c r="O6124" s="556"/>
      <c r="P6124" s="573"/>
      <c r="Q6124" s="556"/>
      <c r="R6124" s="582"/>
    </row>
    <row r="6125" ht="23.85" customHeight="1" spans="1:18">
      <c r="A6125" s="556"/>
      <c r="B6125" s="557" t="str">
        <f>C6124</f>
        <v>Composição Auxiliar</v>
      </c>
      <c r="C6125" s="100" t="s">
        <v>2893</v>
      </c>
      <c r="D6125" s="99" t="s">
        <v>4707</v>
      </c>
      <c r="E6125" s="100" t="s">
        <v>132</v>
      </c>
      <c r="F6125" s="100" t="s">
        <v>4708</v>
      </c>
      <c r="G6125" s="100" t="s">
        <v>2961</v>
      </c>
      <c r="H6125" s="100"/>
      <c r="I6125" s="101" t="s">
        <v>134</v>
      </c>
      <c r="J6125" s="580">
        <v>1</v>
      </c>
      <c r="K6125" s="580">
        <v>0</v>
      </c>
      <c r="L6125" s="102">
        <v>25.05</v>
      </c>
      <c r="M6125" s="102">
        <v>25.05</v>
      </c>
      <c r="N6125" s="573">
        <v>119.25</v>
      </c>
      <c r="O6125" s="556" t="str">
        <f>IF(N6125=M6125,"OK","DIF")</f>
        <v>DIF</v>
      </c>
      <c r="P6125" s="573"/>
      <c r="Q6125" s="556"/>
      <c r="R6125" s="582"/>
    </row>
    <row r="6126" ht="25.5" spans="1:18">
      <c r="A6126" s="556" t="str">
        <f>B6126</f>
        <v>Composição Auxiliar</v>
      </c>
      <c r="B6126" s="557" t="str">
        <f>B6125</f>
        <v>Composição Auxiliar</v>
      </c>
      <c r="C6126" s="108"/>
      <c r="D6126" s="108"/>
      <c r="E6126" s="108"/>
      <c r="F6126" s="108"/>
      <c r="G6126" s="108"/>
      <c r="H6126" s="108" t="s">
        <v>2898</v>
      </c>
      <c r="I6126" s="581">
        <v>5.38</v>
      </c>
      <c r="J6126" s="108" t="s">
        <v>2899</v>
      </c>
      <c r="K6126" s="581">
        <v>0</v>
      </c>
      <c r="L6126" s="108" t="s">
        <v>2900</v>
      </c>
      <c r="M6126" s="581">
        <v>5.38</v>
      </c>
      <c r="N6126" s="573">
        <v>15.17</v>
      </c>
      <c r="O6126" s="556" t="str">
        <f>IF(N6126=M6126,"OK","DIF")</f>
        <v>DIF</v>
      </c>
      <c r="P6126" s="573"/>
      <c r="Q6126" s="556"/>
      <c r="R6126" s="582"/>
    </row>
    <row r="6127" ht="26.25" spans="1:18">
      <c r="A6127" s="556" t="str">
        <f>B6127</f>
        <v>Composição Auxiliar</v>
      </c>
      <c r="B6127" s="557" t="str">
        <f>B6126</f>
        <v>Composição Auxiliar</v>
      </c>
      <c r="C6127" s="108"/>
      <c r="D6127" s="108"/>
      <c r="E6127" s="108"/>
      <c r="F6127" s="108"/>
      <c r="G6127" s="108"/>
      <c r="H6127" s="108" t="s">
        <v>2901</v>
      </c>
      <c r="I6127" s="581">
        <v>8.26</v>
      </c>
      <c r="J6127" s="114"/>
      <c r="K6127" s="114" t="s">
        <v>2902</v>
      </c>
      <c r="L6127" s="108"/>
      <c r="M6127" s="581">
        <v>40.7</v>
      </c>
      <c r="N6127" s="573">
        <v>7.08</v>
      </c>
      <c r="O6127" s="556" t="str">
        <f>IF(N6127=M6127,"OK","DIF")</f>
        <v>DIF</v>
      </c>
      <c r="P6127" s="573"/>
      <c r="Q6127" s="556"/>
      <c r="R6127" s="582"/>
    </row>
    <row r="6128" ht="15" spans="1:18">
      <c r="A6128" s="556" t="str">
        <f>B6128</f>
        <v>Composição Auxiliar</v>
      </c>
      <c r="B6128" s="557" t="str">
        <f>B6127</f>
        <v>Composição Auxiliar</v>
      </c>
      <c r="C6128" s="571"/>
      <c r="D6128" s="571"/>
      <c r="E6128" s="571"/>
      <c r="F6128" s="571"/>
      <c r="G6128" s="571"/>
      <c r="H6128" s="571"/>
      <c r="I6128" s="571"/>
      <c r="J6128" s="571"/>
      <c r="K6128" s="571"/>
      <c r="L6128" s="571"/>
      <c r="M6128" s="571"/>
      <c r="N6128" s="573">
        <v>3.25</v>
      </c>
      <c r="O6128" s="556" t="str">
        <f>IF(N6128=M6128,"OK","DIF")</f>
        <v>DIF</v>
      </c>
      <c r="P6128" s="573"/>
      <c r="Q6128" s="556"/>
      <c r="R6128" s="582"/>
    </row>
    <row r="6129" ht="15" customHeight="1" spans="1:18">
      <c r="A6129" s="556" t="str">
        <f>B6129</f>
        <v>Composição Auxiliar</v>
      </c>
      <c r="B6129" s="557" t="str">
        <f>B6128</f>
        <v>Composição Auxiliar</v>
      </c>
      <c r="C6129" s="76" t="s">
        <v>2062</v>
      </c>
      <c r="D6129" s="75" t="s">
        <v>63</v>
      </c>
      <c r="E6129" s="76" t="s">
        <v>64</v>
      </c>
      <c r="F6129" s="76" t="s">
        <v>65</v>
      </c>
      <c r="G6129" s="76" t="s">
        <v>2889</v>
      </c>
      <c r="H6129" s="76"/>
      <c r="I6129" s="77" t="s">
        <v>66</v>
      </c>
      <c r="J6129" s="75" t="s">
        <v>67</v>
      </c>
      <c r="K6129" s="75" t="s">
        <v>2890</v>
      </c>
      <c r="L6129" s="75" t="s">
        <v>68</v>
      </c>
      <c r="M6129" s="75" t="s">
        <v>70</v>
      </c>
      <c r="N6129" s="573">
        <v>93.75</v>
      </c>
      <c r="O6129" s="556" t="str">
        <f>IF(N6129=M6129,"OK","DIF")</f>
        <v>DIF</v>
      </c>
      <c r="P6129" s="573"/>
      <c r="Q6129" s="556"/>
      <c r="R6129" s="582"/>
    </row>
    <row r="6130" ht="51" spans="1:18">
      <c r="A6130" s="556"/>
      <c r="B6130" s="557"/>
      <c r="C6130" s="569" t="s">
        <v>2891</v>
      </c>
      <c r="D6130" s="570" t="s">
        <v>2063</v>
      </c>
      <c r="E6130" s="569" t="s">
        <v>132</v>
      </c>
      <c r="F6130" s="569" t="s">
        <v>2064</v>
      </c>
      <c r="G6130" s="569">
        <v>55</v>
      </c>
      <c r="H6130" s="569"/>
      <c r="I6130" s="577" t="s">
        <v>134</v>
      </c>
      <c r="J6130" s="578">
        <v>1</v>
      </c>
      <c r="K6130" s="579"/>
      <c r="L6130" s="579">
        <v>17.77</v>
      </c>
      <c r="M6130" s="579">
        <v>17.77</v>
      </c>
      <c r="N6130" s="573"/>
      <c r="O6130" s="556"/>
      <c r="P6130" s="573"/>
      <c r="Q6130" s="556"/>
      <c r="R6130" s="582"/>
    </row>
    <row r="6131" ht="23.85" customHeight="1" spans="1:18">
      <c r="A6131" s="556"/>
      <c r="B6131" s="557"/>
      <c r="C6131" s="79" t="s">
        <v>2921</v>
      </c>
      <c r="D6131" s="78" t="s">
        <v>2952</v>
      </c>
      <c r="E6131" s="79" t="s">
        <v>139</v>
      </c>
      <c r="F6131" s="79" t="s">
        <v>2953</v>
      </c>
      <c r="G6131" s="79" t="s">
        <v>2928</v>
      </c>
      <c r="H6131" s="79"/>
      <c r="I6131" s="80" t="s">
        <v>2897</v>
      </c>
      <c r="J6131" s="583">
        <v>0.03</v>
      </c>
      <c r="K6131" s="583">
        <v>0</v>
      </c>
      <c r="L6131" s="92">
        <v>29.15</v>
      </c>
      <c r="M6131" s="92">
        <v>0.87</v>
      </c>
      <c r="N6131" s="573"/>
      <c r="O6131" s="556"/>
      <c r="P6131" s="573"/>
      <c r="Q6131" s="556"/>
      <c r="R6131" s="582"/>
    </row>
    <row r="6132" ht="23.85" customHeight="1" spans="1:18">
      <c r="A6132" s="556"/>
      <c r="B6132" s="557" t="str">
        <f>C6131</f>
        <v>Composição Auxiliar</v>
      </c>
      <c r="C6132" s="100" t="s">
        <v>2893</v>
      </c>
      <c r="D6132" s="99" t="s">
        <v>4709</v>
      </c>
      <c r="E6132" s="100" t="s">
        <v>149</v>
      </c>
      <c r="F6132" s="100" t="s">
        <v>4710</v>
      </c>
      <c r="G6132" s="100" t="s">
        <v>2961</v>
      </c>
      <c r="H6132" s="100"/>
      <c r="I6132" s="101" t="s">
        <v>134</v>
      </c>
      <c r="J6132" s="580">
        <v>1</v>
      </c>
      <c r="K6132" s="580">
        <v>0</v>
      </c>
      <c r="L6132" s="102">
        <v>16.9</v>
      </c>
      <c r="M6132" s="102">
        <v>16.9</v>
      </c>
      <c r="N6132" s="573">
        <v>38.76</v>
      </c>
      <c r="O6132" s="556" t="str">
        <f>IF(N6132=M6132,"OK","DIF")</f>
        <v>DIF</v>
      </c>
      <c r="P6132" s="573"/>
      <c r="Q6132" s="556"/>
      <c r="R6132" s="582"/>
    </row>
    <row r="6133" ht="25.5" spans="1:18">
      <c r="A6133" s="556" t="str">
        <f>B6133</f>
        <v>Composição Auxiliar</v>
      </c>
      <c r="B6133" s="557" t="str">
        <f>B6132</f>
        <v>Composição Auxiliar</v>
      </c>
      <c r="C6133" s="108"/>
      <c r="D6133" s="108"/>
      <c r="E6133" s="108"/>
      <c r="F6133" s="108"/>
      <c r="G6133" s="108"/>
      <c r="H6133" s="108" t="s">
        <v>2898</v>
      </c>
      <c r="I6133" s="581">
        <v>0.57</v>
      </c>
      <c r="J6133" s="108" t="s">
        <v>2899</v>
      </c>
      <c r="K6133" s="581">
        <v>0</v>
      </c>
      <c r="L6133" s="108" t="s">
        <v>2900</v>
      </c>
      <c r="M6133" s="581">
        <v>0.57</v>
      </c>
      <c r="N6133" s="573">
        <v>2.59</v>
      </c>
      <c r="O6133" s="556" t="str">
        <f>IF(N6133=M6133,"OK","DIF")</f>
        <v>DIF</v>
      </c>
      <c r="P6133" s="573"/>
      <c r="Q6133" s="556"/>
      <c r="R6133" s="582"/>
    </row>
    <row r="6134" ht="26.25" spans="1:18">
      <c r="A6134" s="556" t="str">
        <f>B6134</f>
        <v>Composição Auxiliar</v>
      </c>
      <c r="B6134" s="557" t="str">
        <f>B6133</f>
        <v>Composição Auxiliar</v>
      </c>
      <c r="C6134" s="108"/>
      <c r="D6134" s="108"/>
      <c r="E6134" s="108"/>
      <c r="F6134" s="108"/>
      <c r="G6134" s="108"/>
      <c r="H6134" s="108" t="s">
        <v>2901</v>
      </c>
      <c r="I6134" s="581">
        <v>4.52</v>
      </c>
      <c r="J6134" s="114"/>
      <c r="K6134" s="114" t="s">
        <v>2902</v>
      </c>
      <c r="L6134" s="108"/>
      <c r="M6134" s="581">
        <v>22.29</v>
      </c>
      <c r="N6134" s="573">
        <v>0.62</v>
      </c>
      <c r="O6134" s="556" t="str">
        <f>IF(N6134=M6134,"OK","DIF")</f>
        <v>DIF</v>
      </c>
      <c r="P6134" s="573"/>
      <c r="Q6134" s="556"/>
      <c r="R6134" s="582"/>
    </row>
    <row r="6135" ht="15" spans="1:18">
      <c r="A6135" s="556" t="str">
        <f>B6135</f>
        <v>Composição Auxiliar</v>
      </c>
      <c r="B6135" s="557" t="str">
        <f>B6134</f>
        <v>Composição Auxiliar</v>
      </c>
      <c r="C6135" s="571"/>
      <c r="D6135" s="571"/>
      <c r="E6135" s="571"/>
      <c r="F6135" s="571"/>
      <c r="G6135" s="571"/>
      <c r="H6135" s="571"/>
      <c r="I6135" s="571"/>
      <c r="J6135" s="571"/>
      <c r="K6135" s="571"/>
      <c r="L6135" s="571"/>
      <c r="M6135" s="571"/>
      <c r="N6135" s="573">
        <v>35.55</v>
      </c>
      <c r="O6135" s="556" t="str">
        <f>IF(N6135=M6135,"OK","DIF")</f>
        <v>DIF</v>
      </c>
      <c r="P6135" s="573"/>
      <c r="Q6135" s="556"/>
      <c r="R6135" s="582"/>
    </row>
    <row r="6136" ht="15" customHeight="1" spans="1:18">
      <c r="A6136" s="556"/>
      <c r="B6136" s="557"/>
      <c r="C6136" s="76" t="s">
        <v>2065</v>
      </c>
      <c r="D6136" s="75" t="s">
        <v>63</v>
      </c>
      <c r="E6136" s="76" t="s">
        <v>64</v>
      </c>
      <c r="F6136" s="76" t="s">
        <v>65</v>
      </c>
      <c r="G6136" s="76" t="s">
        <v>2889</v>
      </c>
      <c r="H6136" s="76"/>
      <c r="I6136" s="77" t="s">
        <v>66</v>
      </c>
      <c r="J6136" s="75" t="s">
        <v>67</v>
      </c>
      <c r="K6136" s="75" t="s">
        <v>2890</v>
      </c>
      <c r="L6136" s="75" t="s">
        <v>68</v>
      </c>
      <c r="M6136" s="75" t="s">
        <v>70</v>
      </c>
      <c r="N6136" s="573"/>
      <c r="O6136" s="556"/>
      <c r="P6136" s="573"/>
      <c r="Q6136" s="556"/>
      <c r="R6136" s="582"/>
    </row>
    <row r="6137" ht="51" spans="1:18">
      <c r="A6137" s="556"/>
      <c r="B6137" s="557"/>
      <c r="C6137" s="569" t="s">
        <v>2891</v>
      </c>
      <c r="D6137" s="570" t="s">
        <v>2066</v>
      </c>
      <c r="E6137" s="569" t="s">
        <v>132</v>
      </c>
      <c r="F6137" s="569" t="s">
        <v>2067</v>
      </c>
      <c r="G6137" s="569">
        <v>55</v>
      </c>
      <c r="H6137" s="569"/>
      <c r="I6137" s="577" t="s">
        <v>134</v>
      </c>
      <c r="J6137" s="578">
        <v>1</v>
      </c>
      <c r="K6137" s="579"/>
      <c r="L6137" s="579">
        <v>17.77</v>
      </c>
      <c r="M6137" s="579">
        <v>17.77</v>
      </c>
      <c r="N6137" s="573"/>
      <c r="O6137" s="556"/>
      <c r="P6137" s="573"/>
      <c r="Q6137" s="556"/>
      <c r="R6137" s="582"/>
    </row>
    <row r="6138" ht="23.85" customHeight="1" spans="1:18">
      <c r="A6138" s="556"/>
      <c r="B6138" s="557"/>
      <c r="C6138" s="79" t="s">
        <v>2921</v>
      </c>
      <c r="D6138" s="78" t="s">
        <v>2952</v>
      </c>
      <c r="E6138" s="79" t="s">
        <v>139</v>
      </c>
      <c r="F6138" s="79" t="s">
        <v>2953</v>
      </c>
      <c r="G6138" s="79" t="s">
        <v>2928</v>
      </c>
      <c r="H6138" s="79"/>
      <c r="I6138" s="80" t="s">
        <v>2897</v>
      </c>
      <c r="J6138" s="583">
        <v>0.03</v>
      </c>
      <c r="K6138" s="583">
        <v>0</v>
      </c>
      <c r="L6138" s="92">
        <v>29.15</v>
      </c>
      <c r="M6138" s="92">
        <v>0.87</v>
      </c>
      <c r="N6138" s="573"/>
      <c r="O6138" s="556"/>
      <c r="P6138" s="573"/>
      <c r="Q6138" s="556"/>
      <c r="R6138" s="582"/>
    </row>
    <row r="6139" ht="23.85" customHeight="1" spans="1:18">
      <c r="A6139" s="556"/>
      <c r="B6139" s="557" t="str">
        <f>C6138</f>
        <v>Composição Auxiliar</v>
      </c>
      <c r="C6139" s="100" t="s">
        <v>2893</v>
      </c>
      <c r="D6139" s="99" t="s">
        <v>4709</v>
      </c>
      <c r="E6139" s="100" t="s">
        <v>149</v>
      </c>
      <c r="F6139" s="100" t="s">
        <v>4710</v>
      </c>
      <c r="G6139" s="100" t="s">
        <v>2961</v>
      </c>
      <c r="H6139" s="100"/>
      <c r="I6139" s="101" t="s">
        <v>134</v>
      </c>
      <c r="J6139" s="580">
        <v>1</v>
      </c>
      <c r="K6139" s="580">
        <v>0</v>
      </c>
      <c r="L6139" s="102">
        <v>16.9</v>
      </c>
      <c r="M6139" s="102">
        <v>16.9</v>
      </c>
      <c r="N6139" s="573">
        <v>106.45</v>
      </c>
      <c r="O6139" s="556" t="str">
        <f t="shared" ref="O6139:O6148" si="406">IF(N6139=M6139,"OK","DIF")</f>
        <v>DIF</v>
      </c>
      <c r="P6139" s="573"/>
      <c r="Q6139" s="556"/>
      <c r="R6139" s="582"/>
    </row>
    <row r="6140" ht="25.5" spans="1:18">
      <c r="A6140" s="556" t="str">
        <f t="shared" ref="A6140:A6148" si="407">B6140</f>
        <v>Composição Auxiliar</v>
      </c>
      <c r="B6140" s="557" t="str">
        <f t="shared" ref="B6140:B6148" si="408">B6139</f>
        <v>Composição Auxiliar</v>
      </c>
      <c r="C6140" s="108"/>
      <c r="D6140" s="108"/>
      <c r="E6140" s="108"/>
      <c r="F6140" s="108"/>
      <c r="G6140" s="108"/>
      <c r="H6140" s="108" t="s">
        <v>2898</v>
      </c>
      <c r="I6140" s="581">
        <v>0.57</v>
      </c>
      <c r="J6140" s="108" t="s">
        <v>2899</v>
      </c>
      <c r="K6140" s="581">
        <v>0</v>
      </c>
      <c r="L6140" s="108" t="s">
        <v>2900</v>
      </c>
      <c r="M6140" s="581">
        <v>0.57</v>
      </c>
      <c r="N6140" s="573">
        <v>10.45</v>
      </c>
      <c r="O6140" s="556" t="str">
        <f t="shared" si="406"/>
        <v>DIF</v>
      </c>
      <c r="P6140" s="573"/>
      <c r="Q6140" s="556"/>
      <c r="R6140" s="582"/>
    </row>
    <row r="6141" ht="26.25" spans="1:18">
      <c r="A6141" s="556" t="str">
        <f t="shared" si="407"/>
        <v>Composição Auxiliar</v>
      </c>
      <c r="B6141" s="557" t="str">
        <f t="shared" si="408"/>
        <v>Composição Auxiliar</v>
      </c>
      <c r="C6141" s="108"/>
      <c r="D6141" s="108"/>
      <c r="E6141" s="108"/>
      <c r="F6141" s="108"/>
      <c r="G6141" s="108"/>
      <c r="H6141" s="108" t="s">
        <v>2901</v>
      </c>
      <c r="I6141" s="581">
        <v>4.52</v>
      </c>
      <c r="J6141" s="114"/>
      <c r="K6141" s="114" t="s">
        <v>2902</v>
      </c>
      <c r="L6141" s="108"/>
      <c r="M6141" s="581">
        <v>22.29</v>
      </c>
      <c r="N6141" s="573">
        <v>0.03</v>
      </c>
      <c r="O6141" s="556" t="str">
        <f t="shared" si="406"/>
        <v>DIF</v>
      </c>
      <c r="P6141" s="573"/>
      <c r="Q6141" s="556"/>
      <c r="R6141" s="582"/>
    </row>
    <row r="6142" ht="15" spans="1:18">
      <c r="A6142" s="556" t="str">
        <f t="shared" si="407"/>
        <v>Composição Auxiliar</v>
      </c>
      <c r="B6142" s="557" t="str">
        <f t="shared" si="408"/>
        <v>Composição Auxiliar</v>
      </c>
      <c r="C6142" s="571"/>
      <c r="D6142" s="571"/>
      <c r="E6142" s="571"/>
      <c r="F6142" s="571"/>
      <c r="G6142" s="571"/>
      <c r="H6142" s="571"/>
      <c r="I6142" s="571"/>
      <c r="J6142" s="571"/>
      <c r="K6142" s="571"/>
      <c r="L6142" s="571"/>
      <c r="M6142" s="571"/>
      <c r="N6142" s="573">
        <v>0.15</v>
      </c>
      <c r="O6142" s="556" t="str">
        <f t="shared" si="406"/>
        <v>DIF</v>
      </c>
      <c r="P6142" s="573"/>
      <c r="Q6142" s="556"/>
      <c r="R6142" s="582"/>
    </row>
    <row r="6143" ht="15" customHeight="1" spans="1:18">
      <c r="A6143" s="556" t="str">
        <f t="shared" si="407"/>
        <v>Composição Auxiliar</v>
      </c>
      <c r="B6143" s="557" t="str">
        <f t="shared" si="408"/>
        <v>Composição Auxiliar</v>
      </c>
      <c r="C6143" s="76" t="s">
        <v>2069</v>
      </c>
      <c r="D6143" s="75" t="s">
        <v>63</v>
      </c>
      <c r="E6143" s="76" t="s">
        <v>64</v>
      </c>
      <c r="F6143" s="76" t="s">
        <v>65</v>
      </c>
      <c r="G6143" s="76" t="s">
        <v>2889</v>
      </c>
      <c r="H6143" s="76"/>
      <c r="I6143" s="77" t="s">
        <v>66</v>
      </c>
      <c r="J6143" s="75" t="s">
        <v>67</v>
      </c>
      <c r="K6143" s="75" t="s">
        <v>2890</v>
      </c>
      <c r="L6143" s="75" t="s">
        <v>68</v>
      </c>
      <c r="M6143" s="75" t="s">
        <v>70</v>
      </c>
      <c r="N6143" s="573">
        <v>8.43</v>
      </c>
      <c r="O6143" s="556" t="str">
        <f t="shared" si="406"/>
        <v>DIF</v>
      </c>
      <c r="P6143" s="573"/>
      <c r="Q6143" s="556"/>
      <c r="R6143" s="582"/>
    </row>
    <row r="6144" ht="46.25" customHeight="1" spans="1:18">
      <c r="A6144" s="556" t="str">
        <f t="shared" si="407"/>
        <v>Composição Auxiliar</v>
      </c>
      <c r="B6144" s="557" t="str">
        <f t="shared" si="408"/>
        <v>Composição Auxiliar</v>
      </c>
      <c r="C6144" s="569" t="s">
        <v>2891</v>
      </c>
      <c r="D6144" s="570" t="s">
        <v>2070</v>
      </c>
      <c r="E6144" s="569" t="s">
        <v>132</v>
      </c>
      <c r="F6144" s="569" t="s">
        <v>2071</v>
      </c>
      <c r="G6144" s="569" t="s">
        <v>4227</v>
      </c>
      <c r="H6144" s="569"/>
      <c r="I6144" s="577" t="s">
        <v>2072</v>
      </c>
      <c r="J6144" s="578">
        <v>1</v>
      </c>
      <c r="K6144" s="579"/>
      <c r="L6144" s="579">
        <v>3505.65</v>
      </c>
      <c r="M6144" s="579">
        <v>3505.65</v>
      </c>
      <c r="N6144" s="573">
        <v>0.06</v>
      </c>
      <c r="O6144" s="556" t="str">
        <f t="shared" si="406"/>
        <v>DIF</v>
      </c>
      <c r="P6144" s="573"/>
      <c r="Q6144" s="556"/>
      <c r="R6144" s="582"/>
    </row>
    <row r="6145" ht="23.85" customHeight="1" spans="1:18">
      <c r="A6145" s="556" t="str">
        <f t="shared" si="407"/>
        <v>Composição Auxiliar</v>
      </c>
      <c r="B6145" s="557" t="str">
        <f t="shared" si="408"/>
        <v>Composição Auxiliar</v>
      </c>
      <c r="C6145" s="79" t="s">
        <v>2921</v>
      </c>
      <c r="D6145" s="78" t="s">
        <v>4711</v>
      </c>
      <c r="E6145" s="79" t="s">
        <v>139</v>
      </c>
      <c r="F6145" s="79" t="s">
        <v>4712</v>
      </c>
      <c r="G6145" s="79" t="s">
        <v>2928</v>
      </c>
      <c r="H6145" s="79"/>
      <c r="I6145" s="80" t="s">
        <v>2897</v>
      </c>
      <c r="J6145" s="583">
        <v>3</v>
      </c>
      <c r="K6145" s="583">
        <v>0</v>
      </c>
      <c r="L6145" s="92">
        <v>28.87</v>
      </c>
      <c r="M6145" s="92">
        <v>86.61</v>
      </c>
      <c r="N6145" s="573">
        <v>0.1</v>
      </c>
      <c r="O6145" s="556" t="str">
        <f t="shared" si="406"/>
        <v>DIF</v>
      </c>
      <c r="P6145" s="573"/>
      <c r="Q6145" s="556"/>
      <c r="R6145" s="582"/>
    </row>
    <row r="6146" ht="23.85" customHeight="1" spans="1:18">
      <c r="A6146" s="556" t="str">
        <f t="shared" si="407"/>
        <v>Composição Auxiliar</v>
      </c>
      <c r="B6146" s="557" t="str">
        <f t="shared" si="408"/>
        <v>Composição Auxiliar</v>
      </c>
      <c r="C6146" s="79" t="s">
        <v>2921</v>
      </c>
      <c r="D6146" s="78" t="s">
        <v>4215</v>
      </c>
      <c r="E6146" s="79" t="s">
        <v>139</v>
      </c>
      <c r="F6146" s="79" t="s">
        <v>4216</v>
      </c>
      <c r="G6146" s="79" t="s">
        <v>2928</v>
      </c>
      <c r="H6146" s="79"/>
      <c r="I6146" s="80" t="s">
        <v>2897</v>
      </c>
      <c r="J6146" s="583">
        <v>3</v>
      </c>
      <c r="K6146" s="583">
        <v>0</v>
      </c>
      <c r="L6146" s="92">
        <v>33.34</v>
      </c>
      <c r="M6146" s="92">
        <v>100.02</v>
      </c>
      <c r="N6146" s="573">
        <v>81.68</v>
      </c>
      <c r="O6146" s="556" t="str">
        <f t="shared" si="406"/>
        <v>DIF</v>
      </c>
      <c r="P6146" s="573"/>
      <c r="Q6146" s="556"/>
      <c r="R6146" s="582"/>
    </row>
    <row r="6147" ht="23.85" customHeight="1" spans="1:18">
      <c r="A6147" s="556" t="str">
        <f t="shared" si="407"/>
        <v>Composição Auxiliar</v>
      </c>
      <c r="B6147" s="557" t="str">
        <f t="shared" si="408"/>
        <v>Composição Auxiliar</v>
      </c>
      <c r="C6147" s="79" t="s">
        <v>2921</v>
      </c>
      <c r="D6147" s="78" t="s">
        <v>4190</v>
      </c>
      <c r="E6147" s="79" t="s">
        <v>139</v>
      </c>
      <c r="F6147" s="79" t="s">
        <v>4191</v>
      </c>
      <c r="G6147" s="79" t="s">
        <v>2928</v>
      </c>
      <c r="H6147" s="79"/>
      <c r="I6147" s="80" t="s">
        <v>2897</v>
      </c>
      <c r="J6147" s="583">
        <v>0.5</v>
      </c>
      <c r="K6147" s="583">
        <v>0</v>
      </c>
      <c r="L6147" s="92">
        <v>40.65</v>
      </c>
      <c r="M6147" s="92">
        <v>20.32</v>
      </c>
      <c r="N6147" s="573">
        <v>1.01</v>
      </c>
      <c r="O6147" s="556" t="str">
        <f t="shared" si="406"/>
        <v>DIF</v>
      </c>
      <c r="P6147" s="573"/>
      <c r="Q6147" s="556"/>
      <c r="R6147" s="582"/>
    </row>
    <row r="6148" ht="23.85" customHeight="1" spans="1:18">
      <c r="A6148" s="556" t="str">
        <f t="shared" si="407"/>
        <v>Composição Auxiliar</v>
      </c>
      <c r="B6148" s="557" t="str">
        <f t="shared" si="408"/>
        <v>Composição Auxiliar</v>
      </c>
      <c r="C6148" s="100" t="s">
        <v>2893</v>
      </c>
      <c r="D6148" s="99" t="s">
        <v>4713</v>
      </c>
      <c r="E6148" s="100" t="s">
        <v>149</v>
      </c>
      <c r="F6148" s="100" t="s">
        <v>4714</v>
      </c>
      <c r="G6148" s="100" t="s">
        <v>2961</v>
      </c>
      <c r="H6148" s="100"/>
      <c r="I6148" s="101" t="s">
        <v>134</v>
      </c>
      <c r="J6148" s="580">
        <v>4</v>
      </c>
      <c r="K6148" s="580">
        <v>0</v>
      </c>
      <c r="L6148" s="102">
        <v>96.9</v>
      </c>
      <c r="M6148" s="102">
        <v>387.6</v>
      </c>
      <c r="N6148" s="573">
        <v>4.54</v>
      </c>
      <c r="O6148" s="556" t="str">
        <f t="shared" si="406"/>
        <v>DIF</v>
      </c>
      <c r="P6148" s="573"/>
      <c r="Q6148" s="556"/>
      <c r="R6148" s="582"/>
    </row>
    <row r="6149" ht="46.25" customHeight="1" spans="1:18">
      <c r="A6149" s="556"/>
      <c r="B6149" s="557"/>
      <c r="C6149" s="100" t="s">
        <v>2893</v>
      </c>
      <c r="D6149" s="99" t="s">
        <v>4715</v>
      </c>
      <c r="E6149" s="100" t="s">
        <v>132</v>
      </c>
      <c r="F6149" s="100" t="s">
        <v>4716</v>
      </c>
      <c r="G6149" s="100" t="s">
        <v>3395</v>
      </c>
      <c r="H6149" s="100"/>
      <c r="I6149" s="101" t="s">
        <v>134</v>
      </c>
      <c r="J6149" s="580">
        <v>1</v>
      </c>
      <c r="K6149" s="580">
        <v>0</v>
      </c>
      <c r="L6149" s="102">
        <v>2911.1</v>
      </c>
      <c r="M6149" s="102">
        <v>2911.1</v>
      </c>
      <c r="N6149" s="573"/>
      <c r="O6149" s="556"/>
      <c r="P6149" s="573"/>
      <c r="Q6149" s="556"/>
      <c r="R6149" s="582"/>
    </row>
    <row r="6150" ht="25.5" spans="1:18">
      <c r="A6150" s="556"/>
      <c r="B6150" s="557"/>
      <c r="C6150" s="108"/>
      <c r="D6150" s="108"/>
      <c r="E6150" s="108"/>
      <c r="F6150" s="108"/>
      <c r="G6150" s="108"/>
      <c r="H6150" s="108" t="s">
        <v>2898</v>
      </c>
      <c r="I6150" s="581">
        <v>145.29</v>
      </c>
      <c r="J6150" s="108" t="s">
        <v>2899</v>
      </c>
      <c r="K6150" s="581">
        <v>0</v>
      </c>
      <c r="L6150" s="108" t="s">
        <v>2900</v>
      </c>
      <c r="M6150" s="581">
        <v>145.29</v>
      </c>
      <c r="N6150" s="573"/>
      <c r="O6150" s="556"/>
      <c r="P6150" s="573"/>
      <c r="Q6150" s="556"/>
      <c r="R6150" s="582"/>
    </row>
    <row r="6151" ht="26.25" spans="1:18">
      <c r="A6151" s="556"/>
      <c r="B6151" s="557">
        <f>C6150</f>
        <v>0</v>
      </c>
      <c r="C6151" s="108"/>
      <c r="D6151" s="108"/>
      <c r="E6151" s="108"/>
      <c r="F6151" s="108"/>
      <c r="G6151" s="108"/>
      <c r="H6151" s="108" t="s">
        <v>2901</v>
      </c>
      <c r="I6151" s="581">
        <v>893.59</v>
      </c>
      <c r="J6151" s="114"/>
      <c r="K6151" s="114" t="s">
        <v>2902</v>
      </c>
      <c r="L6151" s="108"/>
      <c r="M6151" s="581">
        <v>4399.24</v>
      </c>
      <c r="N6151" s="573">
        <v>41.58</v>
      </c>
      <c r="O6151" s="556" t="str">
        <f t="shared" ref="O6151:O6159" si="409">IF(N6151=M6151,"OK","DIF")</f>
        <v>DIF</v>
      </c>
      <c r="P6151" s="573"/>
      <c r="Q6151" s="556"/>
      <c r="R6151" s="582"/>
    </row>
    <row r="6152" ht="15" spans="1:18">
      <c r="A6152" s="556">
        <f t="shared" ref="A6152:A6159" si="410">B6152</f>
        <v>0</v>
      </c>
      <c r="B6152" s="557">
        <f t="shared" ref="B6152:B6159" si="411">B6151</f>
        <v>0</v>
      </c>
      <c r="C6152" s="571"/>
      <c r="D6152" s="571"/>
      <c r="E6152" s="571"/>
      <c r="F6152" s="571"/>
      <c r="G6152" s="571"/>
      <c r="H6152" s="571"/>
      <c r="I6152" s="571"/>
      <c r="J6152" s="571"/>
      <c r="K6152" s="571"/>
      <c r="L6152" s="571"/>
      <c r="M6152" s="571"/>
      <c r="N6152" s="573">
        <v>0.58</v>
      </c>
      <c r="O6152" s="556" t="str">
        <f t="shared" si="409"/>
        <v>DIF</v>
      </c>
      <c r="P6152" s="573"/>
      <c r="Q6152" s="556"/>
      <c r="R6152" s="582"/>
    </row>
    <row r="6153" ht="15" customHeight="1" spans="1:18">
      <c r="A6153" s="556">
        <f t="shared" si="410"/>
        <v>0</v>
      </c>
      <c r="B6153" s="557">
        <f t="shared" si="411"/>
        <v>0</v>
      </c>
      <c r="C6153" s="76" t="s">
        <v>2073</v>
      </c>
      <c r="D6153" s="75" t="s">
        <v>63</v>
      </c>
      <c r="E6153" s="76" t="s">
        <v>64</v>
      </c>
      <c r="F6153" s="76" t="s">
        <v>65</v>
      </c>
      <c r="G6153" s="76" t="s">
        <v>2889</v>
      </c>
      <c r="H6153" s="76"/>
      <c r="I6153" s="77" t="s">
        <v>66</v>
      </c>
      <c r="J6153" s="75" t="s">
        <v>67</v>
      </c>
      <c r="K6153" s="75" t="s">
        <v>2890</v>
      </c>
      <c r="L6153" s="75" t="s">
        <v>68</v>
      </c>
      <c r="M6153" s="75" t="s">
        <v>70</v>
      </c>
      <c r="N6153" s="573">
        <v>8.3</v>
      </c>
      <c r="O6153" s="556" t="str">
        <f t="shared" si="409"/>
        <v>DIF</v>
      </c>
      <c r="P6153" s="573"/>
      <c r="Q6153" s="556"/>
      <c r="R6153" s="582"/>
    </row>
    <row r="6154" ht="46.25" customHeight="1" spans="1:18">
      <c r="A6154" s="556">
        <f t="shared" si="410"/>
        <v>0</v>
      </c>
      <c r="B6154" s="557">
        <f t="shared" si="411"/>
        <v>0</v>
      </c>
      <c r="C6154" s="569" t="s">
        <v>2891</v>
      </c>
      <c r="D6154" s="570" t="s">
        <v>2074</v>
      </c>
      <c r="E6154" s="569" t="s">
        <v>132</v>
      </c>
      <c r="F6154" s="569" t="s">
        <v>2075</v>
      </c>
      <c r="G6154" s="569" t="s">
        <v>4227</v>
      </c>
      <c r="H6154" s="569"/>
      <c r="I6154" s="577" t="s">
        <v>2072</v>
      </c>
      <c r="J6154" s="578">
        <v>1</v>
      </c>
      <c r="K6154" s="579"/>
      <c r="L6154" s="579">
        <v>3895.03</v>
      </c>
      <c r="M6154" s="579">
        <v>3895.03</v>
      </c>
      <c r="N6154" s="573">
        <v>0.42</v>
      </c>
      <c r="O6154" s="556" t="str">
        <f t="shared" si="409"/>
        <v>DIF</v>
      </c>
      <c r="P6154" s="573"/>
      <c r="Q6154" s="556"/>
      <c r="R6154" s="582"/>
    </row>
    <row r="6155" ht="23.85" customHeight="1" spans="1:18">
      <c r="A6155" s="556">
        <f t="shared" si="410"/>
        <v>0</v>
      </c>
      <c r="B6155" s="557">
        <f t="shared" si="411"/>
        <v>0</v>
      </c>
      <c r="C6155" s="79" t="s">
        <v>2921</v>
      </c>
      <c r="D6155" s="78" t="s">
        <v>4215</v>
      </c>
      <c r="E6155" s="79" t="s">
        <v>139</v>
      </c>
      <c r="F6155" s="79" t="s">
        <v>4216</v>
      </c>
      <c r="G6155" s="79" t="s">
        <v>2928</v>
      </c>
      <c r="H6155" s="79"/>
      <c r="I6155" s="80" t="s">
        <v>2897</v>
      </c>
      <c r="J6155" s="583">
        <v>3</v>
      </c>
      <c r="K6155" s="583">
        <v>0</v>
      </c>
      <c r="L6155" s="92">
        <v>33.34</v>
      </c>
      <c r="M6155" s="92">
        <v>100.02</v>
      </c>
      <c r="N6155" s="573">
        <v>12.91</v>
      </c>
      <c r="O6155" s="556" t="str">
        <f t="shared" si="409"/>
        <v>DIF</v>
      </c>
      <c r="P6155" s="573"/>
      <c r="Q6155" s="556"/>
      <c r="R6155" s="582"/>
    </row>
    <row r="6156" ht="23.85" customHeight="1" spans="1:18">
      <c r="A6156" s="556">
        <f t="shared" si="410"/>
        <v>0</v>
      </c>
      <c r="B6156" s="557">
        <f t="shared" si="411"/>
        <v>0</v>
      </c>
      <c r="C6156" s="79" t="s">
        <v>2921</v>
      </c>
      <c r="D6156" s="78" t="s">
        <v>4190</v>
      </c>
      <c r="E6156" s="79" t="s">
        <v>139</v>
      </c>
      <c r="F6156" s="79" t="s">
        <v>4191</v>
      </c>
      <c r="G6156" s="79" t="s">
        <v>2928</v>
      </c>
      <c r="H6156" s="79"/>
      <c r="I6156" s="80" t="s">
        <v>2897</v>
      </c>
      <c r="J6156" s="583">
        <v>0.5</v>
      </c>
      <c r="K6156" s="583">
        <v>0</v>
      </c>
      <c r="L6156" s="92">
        <v>40.65</v>
      </c>
      <c r="M6156" s="92">
        <v>20.32</v>
      </c>
      <c r="N6156" s="573">
        <v>3.54</v>
      </c>
      <c r="O6156" s="556" t="str">
        <f t="shared" si="409"/>
        <v>DIF</v>
      </c>
      <c r="P6156" s="573"/>
      <c r="Q6156" s="556"/>
      <c r="R6156" s="582"/>
    </row>
    <row r="6157" ht="23.85" customHeight="1" spans="1:18">
      <c r="A6157" s="556">
        <f t="shared" si="410"/>
        <v>0</v>
      </c>
      <c r="B6157" s="557">
        <f t="shared" si="411"/>
        <v>0</v>
      </c>
      <c r="C6157" s="79" t="s">
        <v>2921</v>
      </c>
      <c r="D6157" s="78" t="s">
        <v>4711</v>
      </c>
      <c r="E6157" s="79" t="s">
        <v>139</v>
      </c>
      <c r="F6157" s="79" t="s">
        <v>4712</v>
      </c>
      <c r="G6157" s="79" t="s">
        <v>2928</v>
      </c>
      <c r="H6157" s="79"/>
      <c r="I6157" s="80" t="s">
        <v>2897</v>
      </c>
      <c r="J6157" s="583">
        <v>3</v>
      </c>
      <c r="K6157" s="583">
        <v>0</v>
      </c>
      <c r="L6157" s="92">
        <v>28.87</v>
      </c>
      <c r="M6157" s="92">
        <v>86.61</v>
      </c>
      <c r="N6157" s="573">
        <v>0.87</v>
      </c>
      <c r="O6157" s="556" t="str">
        <f t="shared" si="409"/>
        <v>DIF</v>
      </c>
      <c r="P6157" s="573"/>
      <c r="Q6157" s="556"/>
      <c r="R6157" s="582"/>
    </row>
    <row r="6158" ht="23.85" customHeight="1" spans="1:18">
      <c r="A6158" s="556">
        <f t="shared" si="410"/>
        <v>0</v>
      </c>
      <c r="B6158" s="557">
        <f t="shared" si="411"/>
        <v>0</v>
      </c>
      <c r="C6158" s="100" t="s">
        <v>2893</v>
      </c>
      <c r="D6158" s="99" t="s">
        <v>4713</v>
      </c>
      <c r="E6158" s="100" t="s">
        <v>149</v>
      </c>
      <c r="F6158" s="100" t="s">
        <v>4714</v>
      </c>
      <c r="G6158" s="100" t="s">
        <v>2961</v>
      </c>
      <c r="H6158" s="100"/>
      <c r="I6158" s="101" t="s">
        <v>134</v>
      </c>
      <c r="J6158" s="580">
        <v>4</v>
      </c>
      <c r="K6158" s="580">
        <v>0</v>
      </c>
      <c r="L6158" s="102">
        <v>96.9</v>
      </c>
      <c r="M6158" s="102">
        <v>387.6</v>
      </c>
      <c r="N6158" s="573">
        <v>0.52</v>
      </c>
      <c r="O6158" s="556" t="str">
        <f t="shared" si="409"/>
        <v>DIF</v>
      </c>
      <c r="P6158" s="573"/>
      <c r="Q6158" s="556"/>
      <c r="R6158" s="582"/>
    </row>
    <row r="6159" ht="46.25" customHeight="1" spans="1:18">
      <c r="A6159" s="556">
        <f t="shared" si="410"/>
        <v>0</v>
      </c>
      <c r="B6159" s="557">
        <f t="shared" si="411"/>
        <v>0</v>
      </c>
      <c r="C6159" s="100" t="s">
        <v>2893</v>
      </c>
      <c r="D6159" s="99" t="s">
        <v>4717</v>
      </c>
      <c r="E6159" s="100" t="s">
        <v>132</v>
      </c>
      <c r="F6159" s="100" t="s">
        <v>4718</v>
      </c>
      <c r="G6159" s="100" t="s">
        <v>3395</v>
      </c>
      <c r="H6159" s="100"/>
      <c r="I6159" s="101" t="s">
        <v>134</v>
      </c>
      <c r="J6159" s="580">
        <v>1</v>
      </c>
      <c r="K6159" s="580">
        <v>0</v>
      </c>
      <c r="L6159" s="102">
        <v>3300.48</v>
      </c>
      <c r="M6159" s="102">
        <v>3300.48</v>
      </c>
      <c r="N6159" s="573">
        <v>14.44</v>
      </c>
      <c r="O6159" s="556" t="str">
        <f t="shared" si="409"/>
        <v>DIF</v>
      </c>
      <c r="P6159" s="573"/>
      <c r="Q6159" s="556"/>
      <c r="R6159" s="582"/>
    </row>
    <row r="6160" ht="25.5" spans="1:18">
      <c r="A6160" s="556"/>
      <c r="B6160" s="557"/>
      <c r="C6160" s="108"/>
      <c r="D6160" s="108"/>
      <c r="E6160" s="108"/>
      <c r="F6160" s="108"/>
      <c r="G6160" s="108"/>
      <c r="H6160" s="108" t="s">
        <v>2898</v>
      </c>
      <c r="I6160" s="581">
        <v>145.29</v>
      </c>
      <c r="J6160" s="108" t="s">
        <v>2899</v>
      </c>
      <c r="K6160" s="581">
        <v>0</v>
      </c>
      <c r="L6160" s="108" t="s">
        <v>2900</v>
      </c>
      <c r="M6160" s="581">
        <v>145.29</v>
      </c>
      <c r="N6160" s="573"/>
      <c r="O6160" s="556"/>
      <c r="P6160" s="573"/>
      <c r="Q6160" s="556"/>
      <c r="R6160" s="582"/>
    </row>
    <row r="6161" ht="26.25" spans="1:18">
      <c r="A6161" s="556"/>
      <c r="B6161" s="557"/>
      <c r="C6161" s="108"/>
      <c r="D6161" s="108"/>
      <c r="E6161" s="108"/>
      <c r="F6161" s="108"/>
      <c r="G6161" s="108"/>
      <c r="H6161" s="108" t="s">
        <v>2901</v>
      </c>
      <c r="I6161" s="581">
        <v>992.84</v>
      </c>
      <c r="J6161" s="114"/>
      <c r="K6161" s="114" t="s">
        <v>2902</v>
      </c>
      <c r="L6161" s="108"/>
      <c r="M6161" s="581">
        <v>4887.87</v>
      </c>
      <c r="N6161" s="573"/>
      <c r="O6161" s="556"/>
      <c r="P6161" s="573"/>
      <c r="Q6161" s="556"/>
      <c r="R6161" s="582"/>
    </row>
    <row r="6162" ht="15" spans="1:18">
      <c r="A6162" s="556"/>
      <c r="B6162" s="557">
        <f>C6161</f>
        <v>0</v>
      </c>
      <c r="C6162" s="571"/>
      <c r="D6162" s="571"/>
      <c r="E6162" s="571"/>
      <c r="F6162" s="571"/>
      <c r="G6162" s="571"/>
      <c r="H6162" s="571"/>
      <c r="I6162" s="571"/>
      <c r="J6162" s="571"/>
      <c r="K6162" s="571"/>
      <c r="L6162" s="571"/>
      <c r="M6162" s="571"/>
      <c r="N6162" s="573">
        <v>88.41</v>
      </c>
      <c r="O6162" s="556" t="str">
        <f t="shared" ref="O6162:O6171" si="412">IF(N6162=M6162,"OK","DIF")</f>
        <v>DIF</v>
      </c>
      <c r="P6162" s="573"/>
      <c r="Q6162" s="556"/>
      <c r="R6162" s="582"/>
    </row>
    <row r="6163" ht="15" customHeight="1" spans="1:18">
      <c r="A6163" s="556">
        <f t="shared" ref="A6163:A6171" si="413">B6163</f>
        <v>0</v>
      </c>
      <c r="B6163" s="557">
        <f t="shared" ref="B6163:B6171" si="414">B6162</f>
        <v>0</v>
      </c>
      <c r="C6163" s="76" t="s">
        <v>2076</v>
      </c>
      <c r="D6163" s="75" t="s">
        <v>63</v>
      </c>
      <c r="E6163" s="76" t="s">
        <v>64</v>
      </c>
      <c r="F6163" s="76" t="s">
        <v>65</v>
      </c>
      <c r="G6163" s="76" t="s">
        <v>2889</v>
      </c>
      <c r="H6163" s="76"/>
      <c r="I6163" s="77" t="s">
        <v>66</v>
      </c>
      <c r="J6163" s="75" t="s">
        <v>67</v>
      </c>
      <c r="K6163" s="75" t="s">
        <v>2890</v>
      </c>
      <c r="L6163" s="75" t="s">
        <v>68</v>
      </c>
      <c r="M6163" s="75" t="s">
        <v>70</v>
      </c>
      <c r="N6163" s="573">
        <v>5.64</v>
      </c>
      <c r="O6163" s="556" t="str">
        <f t="shared" si="412"/>
        <v>DIF</v>
      </c>
      <c r="P6163" s="573"/>
      <c r="Q6163" s="556"/>
      <c r="R6163" s="582"/>
    </row>
    <row r="6164" ht="46.25" customHeight="1" spans="1:18">
      <c r="A6164" s="556">
        <f t="shared" si="413"/>
        <v>0</v>
      </c>
      <c r="B6164" s="557">
        <f t="shared" si="414"/>
        <v>0</v>
      </c>
      <c r="C6164" s="569" t="s">
        <v>2891</v>
      </c>
      <c r="D6164" s="570" t="s">
        <v>2077</v>
      </c>
      <c r="E6164" s="569" t="s">
        <v>132</v>
      </c>
      <c r="F6164" s="569" t="s">
        <v>2078</v>
      </c>
      <c r="G6164" s="569" t="s">
        <v>4227</v>
      </c>
      <c r="H6164" s="569"/>
      <c r="I6164" s="577" t="s">
        <v>2072</v>
      </c>
      <c r="J6164" s="578">
        <v>1</v>
      </c>
      <c r="K6164" s="579"/>
      <c r="L6164" s="579">
        <v>3956.62</v>
      </c>
      <c r="M6164" s="579">
        <v>3956.62</v>
      </c>
      <c r="N6164" s="573">
        <v>4.31</v>
      </c>
      <c r="O6164" s="556" t="str">
        <f t="shared" si="412"/>
        <v>DIF</v>
      </c>
      <c r="P6164" s="573"/>
      <c r="Q6164" s="556"/>
      <c r="R6164" s="582"/>
    </row>
    <row r="6165" ht="23.85" customHeight="1" spans="1:18">
      <c r="A6165" s="556">
        <f t="shared" si="413"/>
        <v>0</v>
      </c>
      <c r="B6165" s="557">
        <f t="shared" si="414"/>
        <v>0</v>
      </c>
      <c r="C6165" s="79" t="s">
        <v>2921</v>
      </c>
      <c r="D6165" s="78" t="s">
        <v>4215</v>
      </c>
      <c r="E6165" s="79" t="s">
        <v>139</v>
      </c>
      <c r="F6165" s="79" t="s">
        <v>4216</v>
      </c>
      <c r="G6165" s="79" t="s">
        <v>2928</v>
      </c>
      <c r="H6165" s="79"/>
      <c r="I6165" s="80" t="s">
        <v>2897</v>
      </c>
      <c r="J6165" s="583">
        <v>3</v>
      </c>
      <c r="K6165" s="583">
        <v>0</v>
      </c>
      <c r="L6165" s="92">
        <v>33.34</v>
      </c>
      <c r="M6165" s="92">
        <v>100.02</v>
      </c>
      <c r="N6165" s="573">
        <v>2.91</v>
      </c>
      <c r="O6165" s="556" t="str">
        <f t="shared" si="412"/>
        <v>DIF</v>
      </c>
      <c r="P6165" s="573"/>
      <c r="Q6165" s="556"/>
      <c r="R6165" s="582"/>
    </row>
    <row r="6166" ht="23.85" customHeight="1" spans="1:18">
      <c r="A6166" s="556">
        <f t="shared" si="413"/>
        <v>0</v>
      </c>
      <c r="B6166" s="557">
        <f t="shared" si="414"/>
        <v>0</v>
      </c>
      <c r="C6166" s="79" t="s">
        <v>2921</v>
      </c>
      <c r="D6166" s="78" t="s">
        <v>4711</v>
      </c>
      <c r="E6166" s="79" t="s">
        <v>139</v>
      </c>
      <c r="F6166" s="79" t="s">
        <v>4712</v>
      </c>
      <c r="G6166" s="79" t="s">
        <v>2928</v>
      </c>
      <c r="H6166" s="79"/>
      <c r="I6166" s="80" t="s">
        <v>2897</v>
      </c>
      <c r="J6166" s="583">
        <v>3</v>
      </c>
      <c r="K6166" s="583">
        <v>0</v>
      </c>
      <c r="L6166" s="92">
        <v>28.87</v>
      </c>
      <c r="M6166" s="92">
        <v>86.61</v>
      </c>
      <c r="N6166" s="573">
        <v>0.58</v>
      </c>
      <c r="O6166" s="556" t="str">
        <f t="shared" si="412"/>
        <v>DIF</v>
      </c>
      <c r="P6166" s="573"/>
      <c r="Q6166" s="556"/>
      <c r="R6166" s="582"/>
    </row>
    <row r="6167" ht="23.85" customHeight="1" spans="1:18">
      <c r="A6167" s="556">
        <f t="shared" si="413"/>
        <v>0</v>
      </c>
      <c r="B6167" s="557">
        <f t="shared" si="414"/>
        <v>0</v>
      </c>
      <c r="C6167" s="79" t="s">
        <v>2921</v>
      </c>
      <c r="D6167" s="78" t="s">
        <v>4190</v>
      </c>
      <c r="E6167" s="79" t="s">
        <v>139</v>
      </c>
      <c r="F6167" s="79" t="s">
        <v>4191</v>
      </c>
      <c r="G6167" s="79" t="s">
        <v>2928</v>
      </c>
      <c r="H6167" s="79"/>
      <c r="I6167" s="80" t="s">
        <v>2897</v>
      </c>
      <c r="J6167" s="583">
        <v>0.5</v>
      </c>
      <c r="K6167" s="583">
        <v>0</v>
      </c>
      <c r="L6167" s="92">
        <v>40.65</v>
      </c>
      <c r="M6167" s="92">
        <v>20.32</v>
      </c>
      <c r="N6167" s="573">
        <v>1.06</v>
      </c>
      <c r="O6167" s="556" t="str">
        <f t="shared" si="412"/>
        <v>DIF</v>
      </c>
      <c r="P6167" s="573"/>
      <c r="Q6167" s="556"/>
      <c r="R6167" s="582"/>
    </row>
    <row r="6168" ht="23.85" customHeight="1" spans="1:18">
      <c r="A6168" s="556">
        <f t="shared" si="413"/>
        <v>0</v>
      </c>
      <c r="B6168" s="557">
        <f t="shared" si="414"/>
        <v>0</v>
      </c>
      <c r="C6168" s="100" t="s">
        <v>2893</v>
      </c>
      <c r="D6168" s="99" t="s">
        <v>4713</v>
      </c>
      <c r="E6168" s="100" t="s">
        <v>149</v>
      </c>
      <c r="F6168" s="100" t="s">
        <v>4714</v>
      </c>
      <c r="G6168" s="100" t="s">
        <v>2961</v>
      </c>
      <c r="H6168" s="100"/>
      <c r="I6168" s="101" t="s">
        <v>134</v>
      </c>
      <c r="J6168" s="580">
        <v>4</v>
      </c>
      <c r="K6168" s="580">
        <v>0</v>
      </c>
      <c r="L6168" s="102">
        <v>96.9</v>
      </c>
      <c r="M6168" s="102">
        <v>387.6</v>
      </c>
      <c r="N6168" s="573">
        <v>0.01</v>
      </c>
      <c r="O6168" s="556" t="str">
        <f t="shared" si="412"/>
        <v>DIF</v>
      </c>
      <c r="P6168" s="573"/>
      <c r="Q6168" s="556"/>
      <c r="R6168" s="582"/>
    </row>
    <row r="6169" ht="46.25" customHeight="1" spans="1:18">
      <c r="A6169" s="556">
        <f t="shared" si="413"/>
        <v>0</v>
      </c>
      <c r="B6169" s="557">
        <f t="shared" si="414"/>
        <v>0</v>
      </c>
      <c r="C6169" s="100" t="s">
        <v>2893</v>
      </c>
      <c r="D6169" s="99" t="s">
        <v>4719</v>
      </c>
      <c r="E6169" s="100" t="s">
        <v>132</v>
      </c>
      <c r="F6169" s="100" t="s">
        <v>4720</v>
      </c>
      <c r="G6169" s="100" t="s">
        <v>3395</v>
      </c>
      <c r="H6169" s="100"/>
      <c r="I6169" s="101" t="s">
        <v>134</v>
      </c>
      <c r="J6169" s="580">
        <v>1</v>
      </c>
      <c r="K6169" s="580">
        <v>0</v>
      </c>
      <c r="L6169" s="102">
        <v>3362.07</v>
      </c>
      <c r="M6169" s="102">
        <v>3362.07</v>
      </c>
      <c r="N6169" s="573">
        <v>28.15</v>
      </c>
      <c r="O6169" s="556" t="str">
        <f t="shared" si="412"/>
        <v>DIF</v>
      </c>
      <c r="P6169" s="573"/>
      <c r="Q6169" s="556"/>
      <c r="R6169" s="582"/>
    </row>
    <row r="6170" ht="25.5" spans="1:18">
      <c r="A6170" s="556">
        <f t="shared" si="413"/>
        <v>0</v>
      </c>
      <c r="B6170" s="557">
        <f t="shared" si="414"/>
        <v>0</v>
      </c>
      <c r="C6170" s="108"/>
      <c r="D6170" s="108"/>
      <c r="E6170" s="108"/>
      <c r="F6170" s="108"/>
      <c r="G6170" s="108"/>
      <c r="H6170" s="108" t="s">
        <v>2898</v>
      </c>
      <c r="I6170" s="581">
        <v>145.29</v>
      </c>
      <c r="J6170" s="108" t="s">
        <v>2899</v>
      </c>
      <c r="K6170" s="581">
        <v>0</v>
      </c>
      <c r="L6170" s="108" t="s">
        <v>2900</v>
      </c>
      <c r="M6170" s="581">
        <v>145.29</v>
      </c>
      <c r="N6170" s="573">
        <v>0.44</v>
      </c>
      <c r="O6170" s="556" t="str">
        <f t="shared" si="412"/>
        <v>DIF</v>
      </c>
      <c r="P6170" s="573"/>
      <c r="Q6170" s="556"/>
      <c r="R6170" s="582"/>
    </row>
    <row r="6171" ht="26.25" spans="1:18">
      <c r="A6171" s="556">
        <f t="shared" si="413"/>
        <v>0</v>
      </c>
      <c r="B6171" s="557">
        <f t="shared" si="414"/>
        <v>0</v>
      </c>
      <c r="C6171" s="108"/>
      <c r="D6171" s="108"/>
      <c r="E6171" s="108"/>
      <c r="F6171" s="108"/>
      <c r="G6171" s="108"/>
      <c r="H6171" s="108" t="s">
        <v>2901</v>
      </c>
      <c r="I6171" s="581">
        <v>1008.54</v>
      </c>
      <c r="J6171" s="114"/>
      <c r="K6171" s="114" t="s">
        <v>2902</v>
      </c>
      <c r="L6171" s="108"/>
      <c r="M6171" s="581">
        <v>4965.16</v>
      </c>
      <c r="N6171" s="573">
        <v>45.31</v>
      </c>
      <c r="O6171" s="556" t="str">
        <f t="shared" si="412"/>
        <v>DIF</v>
      </c>
      <c r="P6171" s="573"/>
      <c r="Q6171" s="556"/>
      <c r="R6171" s="582"/>
    </row>
    <row r="6172" ht="15" spans="1:18">
      <c r="A6172" s="556"/>
      <c r="B6172" s="557"/>
      <c r="C6172" s="571"/>
      <c r="D6172" s="571"/>
      <c r="E6172" s="571"/>
      <c r="F6172" s="571"/>
      <c r="G6172" s="571"/>
      <c r="H6172" s="571"/>
      <c r="I6172" s="571"/>
      <c r="J6172" s="571"/>
      <c r="K6172" s="571"/>
      <c r="L6172" s="571"/>
      <c r="M6172" s="571"/>
      <c r="N6172" s="573"/>
      <c r="O6172" s="556"/>
      <c r="P6172" s="573"/>
      <c r="Q6172" s="556"/>
      <c r="R6172" s="582"/>
    </row>
    <row r="6173" ht="15" customHeight="1" spans="1:18">
      <c r="A6173" s="556"/>
      <c r="B6173" s="557"/>
      <c r="C6173" s="76" t="s">
        <v>2079</v>
      </c>
      <c r="D6173" s="75" t="s">
        <v>63</v>
      </c>
      <c r="E6173" s="76" t="s">
        <v>64</v>
      </c>
      <c r="F6173" s="76" t="s">
        <v>65</v>
      </c>
      <c r="G6173" s="76" t="s">
        <v>2889</v>
      </c>
      <c r="H6173" s="76"/>
      <c r="I6173" s="77" t="s">
        <v>66</v>
      </c>
      <c r="J6173" s="75" t="s">
        <v>67</v>
      </c>
      <c r="K6173" s="75" t="s">
        <v>2890</v>
      </c>
      <c r="L6173" s="75" t="s">
        <v>68</v>
      </c>
      <c r="M6173" s="75" t="s">
        <v>70</v>
      </c>
      <c r="N6173" s="573"/>
      <c r="O6173" s="556"/>
      <c r="P6173" s="573"/>
      <c r="Q6173" s="556"/>
      <c r="R6173" s="582"/>
    </row>
    <row r="6174" ht="51" spans="1:18">
      <c r="A6174" s="556"/>
      <c r="B6174" s="557" t="str">
        <f>C6173</f>
        <v> 15.1.4 </v>
      </c>
      <c r="C6174" s="569" t="s">
        <v>2891</v>
      </c>
      <c r="D6174" s="570" t="s">
        <v>2080</v>
      </c>
      <c r="E6174" s="569" t="s">
        <v>132</v>
      </c>
      <c r="F6174" s="569" t="s">
        <v>2081</v>
      </c>
      <c r="G6174" s="569">
        <v>61.1</v>
      </c>
      <c r="H6174" s="569"/>
      <c r="I6174" s="577" t="s">
        <v>134</v>
      </c>
      <c r="J6174" s="578">
        <v>1</v>
      </c>
      <c r="K6174" s="579"/>
      <c r="L6174" s="579">
        <v>4587.29</v>
      </c>
      <c r="M6174" s="579">
        <v>4587.29</v>
      </c>
      <c r="N6174" s="573">
        <v>22.1</v>
      </c>
      <c r="O6174" s="556" t="str">
        <f>IF(N6174=M6174,"OK","DIF")</f>
        <v>DIF</v>
      </c>
      <c r="P6174" s="573"/>
      <c r="Q6174" s="556"/>
      <c r="R6174" s="582"/>
    </row>
    <row r="6175" ht="23.85" customHeight="1" spans="1:18">
      <c r="A6175" s="556" t="str">
        <f>B6175</f>
        <v> 15.1.4 </v>
      </c>
      <c r="B6175" s="557" t="str">
        <f>B6174</f>
        <v> 15.1.4 </v>
      </c>
      <c r="C6175" s="79" t="s">
        <v>2921</v>
      </c>
      <c r="D6175" s="78" t="s">
        <v>3487</v>
      </c>
      <c r="E6175" s="79" t="s">
        <v>139</v>
      </c>
      <c r="F6175" s="79" t="s">
        <v>3488</v>
      </c>
      <c r="G6175" s="79" t="s">
        <v>2928</v>
      </c>
      <c r="H6175" s="79"/>
      <c r="I6175" s="80" t="s">
        <v>2897</v>
      </c>
      <c r="J6175" s="583">
        <v>16</v>
      </c>
      <c r="K6175" s="583">
        <v>0</v>
      </c>
      <c r="L6175" s="92">
        <v>30.31</v>
      </c>
      <c r="M6175" s="92">
        <v>484.96</v>
      </c>
      <c r="N6175" s="573">
        <v>1.05</v>
      </c>
      <c r="O6175" s="556" t="str">
        <f>IF(N6175=M6175,"OK","DIF")</f>
        <v>DIF</v>
      </c>
      <c r="P6175" s="573"/>
      <c r="Q6175" s="556"/>
      <c r="R6175" s="582"/>
    </row>
    <row r="6176" ht="23.85" customHeight="1" spans="1:18">
      <c r="A6176" s="556" t="str">
        <f>B6176</f>
        <v> 15.1.4 </v>
      </c>
      <c r="B6176" s="557" t="str">
        <f>B6175</f>
        <v> 15.1.4 </v>
      </c>
      <c r="C6176" s="79" t="s">
        <v>2921</v>
      </c>
      <c r="D6176" s="78" t="s">
        <v>4721</v>
      </c>
      <c r="E6176" s="79" t="s">
        <v>139</v>
      </c>
      <c r="F6176" s="79" t="s">
        <v>4722</v>
      </c>
      <c r="G6176" s="79" t="s">
        <v>2928</v>
      </c>
      <c r="H6176" s="79"/>
      <c r="I6176" s="80" t="s">
        <v>2897</v>
      </c>
      <c r="J6176" s="583">
        <v>8</v>
      </c>
      <c r="K6176" s="583">
        <v>0</v>
      </c>
      <c r="L6176" s="92">
        <v>47.06</v>
      </c>
      <c r="M6176" s="92">
        <v>376.48</v>
      </c>
      <c r="N6176" s="573">
        <v>4.05</v>
      </c>
      <c r="O6176" s="556" t="str">
        <f>IF(N6176=M6176,"OK","DIF")</f>
        <v>DIF</v>
      </c>
      <c r="P6176" s="573"/>
      <c r="Q6176" s="556"/>
      <c r="R6176" s="582"/>
    </row>
    <row r="6177" ht="46.25" customHeight="1" spans="1:18">
      <c r="A6177" s="556" t="str">
        <f>B6177</f>
        <v> 15.1.4 </v>
      </c>
      <c r="B6177" s="557" t="str">
        <f>B6176</f>
        <v> 15.1.4 </v>
      </c>
      <c r="C6177" s="100" t="s">
        <v>2893</v>
      </c>
      <c r="D6177" s="99" t="s">
        <v>4723</v>
      </c>
      <c r="E6177" s="100" t="s">
        <v>132</v>
      </c>
      <c r="F6177" s="100" t="s">
        <v>4724</v>
      </c>
      <c r="G6177" s="100" t="s">
        <v>3395</v>
      </c>
      <c r="H6177" s="100"/>
      <c r="I6177" s="101" t="s">
        <v>134</v>
      </c>
      <c r="J6177" s="580">
        <v>1</v>
      </c>
      <c r="K6177" s="580">
        <v>0</v>
      </c>
      <c r="L6177" s="102">
        <v>3725.85</v>
      </c>
      <c r="M6177" s="102">
        <v>3725.85</v>
      </c>
      <c r="N6177" s="573">
        <v>17</v>
      </c>
      <c r="O6177" s="556" t="str">
        <f>IF(N6177=M6177,"OK","DIF")</f>
        <v>DIF</v>
      </c>
      <c r="P6177" s="573"/>
      <c r="Q6177" s="556"/>
      <c r="R6177" s="582"/>
    </row>
    <row r="6178" ht="25.5" spans="1:18">
      <c r="A6178" s="556"/>
      <c r="B6178" s="557"/>
      <c r="C6178" s="108"/>
      <c r="D6178" s="108"/>
      <c r="E6178" s="108"/>
      <c r="F6178" s="108"/>
      <c r="G6178" s="108"/>
      <c r="H6178" s="108" t="s">
        <v>2898</v>
      </c>
      <c r="I6178" s="581">
        <v>631.92</v>
      </c>
      <c r="J6178" s="108" t="s">
        <v>2899</v>
      </c>
      <c r="K6178" s="581">
        <v>0</v>
      </c>
      <c r="L6178" s="108" t="s">
        <v>2900</v>
      </c>
      <c r="M6178" s="581">
        <v>631.92</v>
      </c>
      <c r="N6178" s="573"/>
      <c r="O6178" s="556"/>
      <c r="P6178" s="573"/>
      <c r="Q6178" s="556"/>
      <c r="R6178" s="582"/>
    </row>
    <row r="6179" ht="26.25" spans="1:18">
      <c r="A6179" s="556"/>
      <c r="B6179" s="557"/>
      <c r="C6179" s="108"/>
      <c r="D6179" s="108"/>
      <c r="E6179" s="108"/>
      <c r="F6179" s="108"/>
      <c r="G6179" s="108"/>
      <c r="H6179" s="108" t="s">
        <v>2901</v>
      </c>
      <c r="I6179" s="581">
        <v>1169.3</v>
      </c>
      <c r="J6179" s="114"/>
      <c r="K6179" s="114" t="s">
        <v>2902</v>
      </c>
      <c r="L6179" s="108"/>
      <c r="M6179" s="581">
        <v>5756.59</v>
      </c>
      <c r="N6179" s="573"/>
      <c r="O6179" s="556"/>
      <c r="P6179" s="573"/>
      <c r="Q6179" s="556"/>
      <c r="R6179" s="582"/>
    </row>
    <row r="6180" ht="15" spans="1:18">
      <c r="A6180" s="556"/>
      <c r="B6180" s="557">
        <f>C6179</f>
        <v>0</v>
      </c>
      <c r="C6180" s="571"/>
      <c r="D6180" s="571"/>
      <c r="E6180" s="571"/>
      <c r="F6180" s="571"/>
      <c r="G6180" s="571"/>
      <c r="H6180" s="571"/>
      <c r="I6180" s="571"/>
      <c r="J6180" s="571"/>
      <c r="K6180" s="571"/>
      <c r="L6180" s="571"/>
      <c r="M6180" s="571"/>
      <c r="N6180" s="573">
        <v>81.04</v>
      </c>
      <c r="O6180" s="556" t="str">
        <f>IF(N6180=M6180,"OK","DIF")</f>
        <v>DIF</v>
      </c>
      <c r="P6180" s="573"/>
      <c r="Q6180" s="556"/>
      <c r="R6180" s="582"/>
    </row>
    <row r="6181" ht="15" customHeight="1" spans="1:18">
      <c r="A6181" s="556"/>
      <c r="B6181" s="557"/>
      <c r="C6181" s="76" t="s">
        <v>2082</v>
      </c>
      <c r="D6181" s="75" t="s">
        <v>63</v>
      </c>
      <c r="E6181" s="76" t="s">
        <v>64</v>
      </c>
      <c r="F6181" s="76" t="s">
        <v>65</v>
      </c>
      <c r="G6181" s="76" t="s">
        <v>2889</v>
      </c>
      <c r="H6181" s="76"/>
      <c r="I6181" s="77" t="s">
        <v>66</v>
      </c>
      <c r="J6181" s="75" t="s">
        <v>67</v>
      </c>
      <c r="K6181" s="75" t="s">
        <v>2890</v>
      </c>
      <c r="L6181" s="75" t="s">
        <v>68</v>
      </c>
      <c r="M6181" s="75" t="s">
        <v>70</v>
      </c>
      <c r="N6181" s="573"/>
      <c r="O6181" s="556"/>
      <c r="P6181" s="573"/>
      <c r="Q6181" s="556"/>
      <c r="R6181" s="582"/>
    </row>
    <row r="6182" ht="51" spans="1:18">
      <c r="A6182" s="556"/>
      <c r="B6182" s="557"/>
      <c r="C6182" s="569" t="s">
        <v>2891</v>
      </c>
      <c r="D6182" s="570" t="s">
        <v>2083</v>
      </c>
      <c r="E6182" s="569" t="s">
        <v>132</v>
      </c>
      <c r="F6182" s="569" t="s">
        <v>2084</v>
      </c>
      <c r="G6182" s="569">
        <v>61.1</v>
      </c>
      <c r="H6182" s="569"/>
      <c r="I6182" s="577" t="s">
        <v>134</v>
      </c>
      <c r="J6182" s="578">
        <v>1</v>
      </c>
      <c r="K6182" s="579"/>
      <c r="L6182" s="579">
        <v>4807.55</v>
      </c>
      <c r="M6182" s="579">
        <v>4807.55</v>
      </c>
      <c r="N6182" s="573"/>
      <c r="O6182" s="556"/>
      <c r="P6182" s="573"/>
      <c r="Q6182" s="556"/>
      <c r="R6182" s="582"/>
    </row>
    <row r="6183" ht="23.85" customHeight="1" spans="1:18">
      <c r="A6183" s="556"/>
      <c r="B6183" s="557" t="str">
        <f>C6182</f>
        <v>Composição</v>
      </c>
      <c r="C6183" s="79" t="s">
        <v>2921</v>
      </c>
      <c r="D6183" s="78" t="s">
        <v>4721</v>
      </c>
      <c r="E6183" s="79" t="s">
        <v>139</v>
      </c>
      <c r="F6183" s="79" t="s">
        <v>4722</v>
      </c>
      <c r="G6183" s="79" t="s">
        <v>2928</v>
      </c>
      <c r="H6183" s="79"/>
      <c r="I6183" s="80" t="s">
        <v>2897</v>
      </c>
      <c r="J6183" s="583">
        <v>8</v>
      </c>
      <c r="K6183" s="583">
        <v>0</v>
      </c>
      <c r="L6183" s="92">
        <v>47.06</v>
      </c>
      <c r="M6183" s="92">
        <v>376.48</v>
      </c>
      <c r="N6183" s="573">
        <v>110</v>
      </c>
      <c r="O6183" s="556" t="str">
        <f>IF(N6183=M6183,"OK","DIF")</f>
        <v>DIF</v>
      </c>
      <c r="P6183" s="573"/>
      <c r="Q6183" s="556"/>
      <c r="R6183" s="582"/>
    </row>
    <row r="6184" ht="23.85" customHeight="1" spans="1:18">
      <c r="A6184" s="556"/>
      <c r="B6184" s="557"/>
      <c r="C6184" s="79" t="s">
        <v>2921</v>
      </c>
      <c r="D6184" s="78" t="s">
        <v>3487</v>
      </c>
      <c r="E6184" s="79" t="s">
        <v>139</v>
      </c>
      <c r="F6184" s="79" t="s">
        <v>3488</v>
      </c>
      <c r="G6184" s="79" t="s">
        <v>2928</v>
      </c>
      <c r="H6184" s="79"/>
      <c r="I6184" s="80" t="s">
        <v>2897</v>
      </c>
      <c r="J6184" s="583">
        <v>16</v>
      </c>
      <c r="K6184" s="583">
        <v>0</v>
      </c>
      <c r="L6184" s="92">
        <v>30.31</v>
      </c>
      <c r="M6184" s="92">
        <v>484.96</v>
      </c>
      <c r="N6184" s="573"/>
      <c r="O6184" s="556"/>
      <c r="P6184" s="573"/>
      <c r="Q6184" s="556"/>
      <c r="R6184" s="582"/>
    </row>
    <row r="6185" ht="46.25" customHeight="1" spans="1:18">
      <c r="A6185" s="556"/>
      <c r="B6185" s="557"/>
      <c r="C6185" s="100" t="s">
        <v>2893</v>
      </c>
      <c r="D6185" s="99" t="s">
        <v>4725</v>
      </c>
      <c r="E6185" s="100" t="s">
        <v>132</v>
      </c>
      <c r="F6185" s="100" t="s">
        <v>4726</v>
      </c>
      <c r="G6185" s="100" t="s">
        <v>3395</v>
      </c>
      <c r="H6185" s="100"/>
      <c r="I6185" s="101" t="s">
        <v>134</v>
      </c>
      <c r="J6185" s="580">
        <v>1</v>
      </c>
      <c r="K6185" s="580">
        <v>0</v>
      </c>
      <c r="L6185" s="102">
        <v>3946.11</v>
      </c>
      <c r="M6185" s="102">
        <v>3946.11</v>
      </c>
      <c r="N6185" s="573"/>
      <c r="O6185" s="556"/>
      <c r="P6185" s="573"/>
      <c r="Q6185" s="556"/>
      <c r="R6185" s="582"/>
    </row>
    <row r="6186" ht="25.5" spans="1:18">
      <c r="A6186" s="556"/>
      <c r="B6186" s="557"/>
      <c r="C6186" s="108"/>
      <c r="D6186" s="108"/>
      <c r="E6186" s="108"/>
      <c r="F6186" s="108"/>
      <c r="G6186" s="108"/>
      <c r="H6186" s="108" t="s">
        <v>2898</v>
      </c>
      <c r="I6186" s="581">
        <v>631.92</v>
      </c>
      <c r="J6186" s="108" t="s">
        <v>2899</v>
      </c>
      <c r="K6186" s="581">
        <v>0</v>
      </c>
      <c r="L6186" s="108" t="s">
        <v>2900</v>
      </c>
      <c r="M6186" s="581">
        <v>631.92</v>
      </c>
      <c r="N6186" s="573"/>
      <c r="O6186" s="556"/>
      <c r="P6186" s="573"/>
      <c r="Q6186" s="556"/>
      <c r="R6186" s="582"/>
    </row>
    <row r="6187" ht="26.25" spans="1:18">
      <c r="A6187" s="556"/>
      <c r="B6187" s="557"/>
      <c r="C6187" s="108"/>
      <c r="D6187" s="108"/>
      <c r="E6187" s="108"/>
      <c r="F6187" s="108"/>
      <c r="G6187" s="108"/>
      <c r="H6187" s="108" t="s">
        <v>2901</v>
      </c>
      <c r="I6187" s="581">
        <v>1225.44</v>
      </c>
      <c r="J6187" s="114"/>
      <c r="K6187" s="114" t="s">
        <v>2902</v>
      </c>
      <c r="L6187" s="108"/>
      <c r="M6187" s="581">
        <v>6032.99</v>
      </c>
      <c r="N6187" s="573"/>
      <c r="O6187" s="556"/>
      <c r="P6187" s="573"/>
      <c r="Q6187" s="556"/>
      <c r="R6187" s="582"/>
    </row>
    <row r="6188" ht="15" spans="1:18">
      <c r="A6188" s="556"/>
      <c r="B6188" s="557">
        <f>C6187</f>
        <v>0</v>
      </c>
      <c r="C6188" s="571"/>
      <c r="D6188" s="571"/>
      <c r="E6188" s="571"/>
      <c r="F6188" s="571"/>
      <c r="G6188" s="571"/>
      <c r="H6188" s="571"/>
      <c r="I6188" s="571"/>
      <c r="J6188" s="571"/>
      <c r="K6188" s="571"/>
      <c r="L6188" s="571"/>
      <c r="M6188" s="571"/>
      <c r="N6188" s="573">
        <v>4.85</v>
      </c>
      <c r="O6188" s="556" t="str">
        <f>IF(N6188=M6188,"OK","DIF")</f>
        <v>DIF</v>
      </c>
      <c r="P6188" s="573"/>
      <c r="Q6188" s="556"/>
      <c r="R6188" s="582"/>
    </row>
    <row r="6189" ht="15" customHeight="1" spans="1:18">
      <c r="A6189" s="556">
        <f>B6189</f>
        <v>0</v>
      </c>
      <c r="B6189" s="557">
        <f>B6188</f>
        <v>0</v>
      </c>
      <c r="C6189" s="76" t="s">
        <v>2085</v>
      </c>
      <c r="D6189" s="75" t="s">
        <v>63</v>
      </c>
      <c r="E6189" s="76" t="s">
        <v>64</v>
      </c>
      <c r="F6189" s="76" t="s">
        <v>65</v>
      </c>
      <c r="G6189" s="76" t="s">
        <v>2889</v>
      </c>
      <c r="H6189" s="76"/>
      <c r="I6189" s="77" t="s">
        <v>66</v>
      </c>
      <c r="J6189" s="75" t="s">
        <v>67</v>
      </c>
      <c r="K6189" s="75" t="s">
        <v>2890</v>
      </c>
      <c r="L6189" s="75" t="s">
        <v>68</v>
      </c>
      <c r="M6189" s="75" t="s">
        <v>70</v>
      </c>
      <c r="N6189" s="573">
        <v>2.22</v>
      </c>
      <c r="O6189" s="556" t="str">
        <f>IF(N6189=M6189,"OK","DIF")</f>
        <v>DIF</v>
      </c>
      <c r="P6189" s="573"/>
      <c r="Q6189" s="556"/>
      <c r="R6189" s="582"/>
    </row>
    <row r="6190" ht="51" spans="1:18">
      <c r="A6190" s="556">
        <f>B6190</f>
        <v>0</v>
      </c>
      <c r="B6190" s="557">
        <f>B6189</f>
        <v>0</v>
      </c>
      <c r="C6190" s="569" t="s">
        <v>2891</v>
      </c>
      <c r="D6190" s="570" t="s">
        <v>2086</v>
      </c>
      <c r="E6190" s="569" t="s">
        <v>132</v>
      </c>
      <c r="F6190" s="569" t="s">
        <v>2087</v>
      </c>
      <c r="G6190" s="569">
        <v>61.1</v>
      </c>
      <c r="H6190" s="569"/>
      <c r="I6190" s="577" t="s">
        <v>134</v>
      </c>
      <c r="J6190" s="578">
        <v>1</v>
      </c>
      <c r="K6190" s="579"/>
      <c r="L6190" s="579">
        <v>676.39</v>
      </c>
      <c r="M6190" s="579">
        <v>676.39</v>
      </c>
      <c r="N6190" s="573">
        <v>0.57</v>
      </c>
      <c r="O6190" s="556" t="str">
        <f>IF(N6190=M6190,"OK","DIF")</f>
        <v>DIF</v>
      </c>
      <c r="P6190" s="573"/>
      <c r="Q6190" s="556"/>
      <c r="R6190" s="582"/>
    </row>
    <row r="6191" ht="23.85" customHeight="1" spans="1:18">
      <c r="A6191" s="556">
        <f>B6191</f>
        <v>0</v>
      </c>
      <c r="B6191" s="557">
        <f>B6190</f>
        <v>0</v>
      </c>
      <c r="C6191" s="79" t="s">
        <v>2921</v>
      </c>
      <c r="D6191" s="78" t="s">
        <v>4721</v>
      </c>
      <c r="E6191" s="79" t="s">
        <v>139</v>
      </c>
      <c r="F6191" s="79" t="s">
        <v>4722</v>
      </c>
      <c r="G6191" s="79" t="s">
        <v>2928</v>
      </c>
      <c r="H6191" s="79"/>
      <c r="I6191" s="80" t="s">
        <v>2897</v>
      </c>
      <c r="J6191" s="583">
        <v>6</v>
      </c>
      <c r="K6191" s="583">
        <v>0</v>
      </c>
      <c r="L6191" s="92">
        <v>47.06</v>
      </c>
      <c r="M6191" s="92">
        <v>282.36</v>
      </c>
      <c r="N6191" s="573">
        <v>2.06</v>
      </c>
      <c r="O6191" s="556" t="str">
        <f>IF(N6191=M6191,"OK","DIF")</f>
        <v>DIF</v>
      </c>
      <c r="P6191" s="573"/>
      <c r="Q6191" s="556"/>
      <c r="R6191" s="582"/>
    </row>
    <row r="6192" ht="23.85" customHeight="1" spans="1:18">
      <c r="A6192" s="556"/>
      <c r="B6192" s="557"/>
      <c r="C6192" s="79" t="s">
        <v>2921</v>
      </c>
      <c r="D6192" s="78" t="s">
        <v>3487</v>
      </c>
      <c r="E6192" s="79" t="s">
        <v>139</v>
      </c>
      <c r="F6192" s="79" t="s">
        <v>3488</v>
      </c>
      <c r="G6192" s="79" t="s">
        <v>2928</v>
      </c>
      <c r="H6192" s="79"/>
      <c r="I6192" s="80" t="s">
        <v>2897</v>
      </c>
      <c r="J6192" s="583">
        <v>13</v>
      </c>
      <c r="K6192" s="583">
        <v>0</v>
      </c>
      <c r="L6192" s="92">
        <v>30.31</v>
      </c>
      <c r="M6192" s="92">
        <v>394.03</v>
      </c>
      <c r="N6192" s="573"/>
      <c r="O6192" s="556"/>
      <c r="P6192" s="573"/>
      <c r="Q6192" s="556"/>
      <c r="R6192" s="582"/>
    </row>
    <row r="6193" ht="25.5" spans="1:18">
      <c r="A6193" s="556"/>
      <c r="B6193" s="557"/>
      <c r="C6193" s="108"/>
      <c r="D6193" s="108"/>
      <c r="E6193" s="108"/>
      <c r="F6193" s="108"/>
      <c r="G6193" s="108"/>
      <c r="H6193" s="108" t="s">
        <v>2898</v>
      </c>
      <c r="I6193" s="581">
        <v>494.32</v>
      </c>
      <c r="J6193" s="108" t="s">
        <v>2899</v>
      </c>
      <c r="K6193" s="581">
        <v>0</v>
      </c>
      <c r="L6193" s="108" t="s">
        <v>2900</v>
      </c>
      <c r="M6193" s="581">
        <v>494.32</v>
      </c>
      <c r="N6193" s="573"/>
      <c r="O6193" s="556"/>
      <c r="P6193" s="573"/>
      <c r="Q6193" s="556"/>
      <c r="R6193" s="582"/>
    </row>
    <row r="6194" ht="26.25" spans="1:18">
      <c r="A6194" s="556"/>
      <c r="B6194" s="557">
        <f>C6193</f>
        <v>0</v>
      </c>
      <c r="C6194" s="108"/>
      <c r="D6194" s="108"/>
      <c r="E6194" s="108"/>
      <c r="F6194" s="108"/>
      <c r="G6194" s="108"/>
      <c r="H6194" s="108" t="s">
        <v>2901</v>
      </c>
      <c r="I6194" s="581">
        <v>172.41</v>
      </c>
      <c r="J6194" s="114"/>
      <c r="K6194" s="114" t="s">
        <v>2902</v>
      </c>
      <c r="L6194" s="108"/>
      <c r="M6194" s="581">
        <v>848.8</v>
      </c>
      <c r="N6194" s="573">
        <v>13.85</v>
      </c>
      <c r="O6194" s="556" t="str">
        <f>IF(N6194=M6194,"OK","DIF")</f>
        <v>DIF</v>
      </c>
      <c r="P6194" s="573"/>
      <c r="Q6194" s="556"/>
      <c r="R6194" s="582"/>
    </row>
    <row r="6195" ht="15" spans="1:18">
      <c r="A6195" s="556">
        <f>B6195</f>
        <v>0</v>
      </c>
      <c r="B6195" s="557">
        <f>B6194</f>
        <v>0</v>
      </c>
      <c r="C6195" s="571"/>
      <c r="D6195" s="571"/>
      <c r="E6195" s="571"/>
      <c r="F6195" s="571"/>
      <c r="G6195" s="571"/>
      <c r="H6195" s="571"/>
      <c r="I6195" s="571"/>
      <c r="J6195" s="571"/>
      <c r="K6195" s="571"/>
      <c r="L6195" s="571"/>
      <c r="M6195" s="571"/>
      <c r="N6195" s="573">
        <v>5.45</v>
      </c>
      <c r="O6195" s="556" t="str">
        <f>IF(N6195=M6195,"OK","DIF")</f>
        <v>DIF</v>
      </c>
      <c r="P6195" s="573"/>
      <c r="Q6195" s="556"/>
      <c r="R6195" s="582"/>
    </row>
    <row r="6196" ht="15" customHeight="1" spans="1:18">
      <c r="A6196" s="556">
        <f>B6196</f>
        <v>0</v>
      </c>
      <c r="B6196" s="557">
        <f>B6195</f>
        <v>0</v>
      </c>
      <c r="C6196" s="76" t="s">
        <v>2088</v>
      </c>
      <c r="D6196" s="75" t="s">
        <v>63</v>
      </c>
      <c r="E6196" s="76" t="s">
        <v>64</v>
      </c>
      <c r="F6196" s="76" t="s">
        <v>65</v>
      </c>
      <c r="G6196" s="76" t="s">
        <v>2889</v>
      </c>
      <c r="H6196" s="76"/>
      <c r="I6196" s="77" t="s">
        <v>66</v>
      </c>
      <c r="J6196" s="75" t="s">
        <v>67</v>
      </c>
      <c r="K6196" s="75" t="s">
        <v>2890</v>
      </c>
      <c r="L6196" s="75" t="s">
        <v>68</v>
      </c>
      <c r="M6196" s="75" t="s">
        <v>70</v>
      </c>
      <c r="N6196" s="573">
        <v>1.41</v>
      </c>
      <c r="O6196" s="556" t="str">
        <f>IF(N6196=M6196,"OK","DIF")</f>
        <v>DIF</v>
      </c>
      <c r="P6196" s="573"/>
      <c r="Q6196" s="556"/>
      <c r="R6196" s="582"/>
    </row>
    <row r="6197" ht="51" spans="1:18">
      <c r="A6197" s="556">
        <f>B6197</f>
        <v>0</v>
      </c>
      <c r="B6197" s="557">
        <f>B6196</f>
        <v>0</v>
      </c>
      <c r="C6197" s="569" t="s">
        <v>2891</v>
      </c>
      <c r="D6197" s="570" t="s">
        <v>2089</v>
      </c>
      <c r="E6197" s="569" t="s">
        <v>132</v>
      </c>
      <c r="F6197" s="569" t="s">
        <v>2090</v>
      </c>
      <c r="G6197" s="569">
        <v>61.1</v>
      </c>
      <c r="H6197" s="569"/>
      <c r="I6197" s="577" t="s">
        <v>134</v>
      </c>
      <c r="J6197" s="578">
        <v>1</v>
      </c>
      <c r="K6197" s="579"/>
      <c r="L6197" s="579">
        <v>676.39</v>
      </c>
      <c r="M6197" s="579">
        <v>676.39</v>
      </c>
      <c r="N6197" s="573">
        <v>6.99</v>
      </c>
      <c r="O6197" s="556" t="str">
        <f>IF(N6197=M6197,"OK","DIF")</f>
        <v>DIF</v>
      </c>
      <c r="P6197" s="573"/>
      <c r="Q6197" s="556"/>
      <c r="R6197" s="582"/>
    </row>
    <row r="6198" ht="23.85" customHeight="1" spans="1:18">
      <c r="A6198" s="556"/>
      <c r="B6198" s="557"/>
      <c r="C6198" s="79" t="s">
        <v>2921</v>
      </c>
      <c r="D6198" s="78" t="s">
        <v>3487</v>
      </c>
      <c r="E6198" s="79" t="s">
        <v>139</v>
      </c>
      <c r="F6198" s="79" t="s">
        <v>3488</v>
      </c>
      <c r="G6198" s="79" t="s">
        <v>2928</v>
      </c>
      <c r="H6198" s="79"/>
      <c r="I6198" s="80" t="s">
        <v>2897</v>
      </c>
      <c r="J6198" s="583">
        <v>13</v>
      </c>
      <c r="K6198" s="583">
        <v>0</v>
      </c>
      <c r="L6198" s="92">
        <v>30.31</v>
      </c>
      <c r="M6198" s="92">
        <v>394.03</v>
      </c>
      <c r="N6198" s="573"/>
      <c r="O6198" s="556"/>
      <c r="P6198" s="573"/>
      <c r="Q6198" s="556"/>
      <c r="R6198" s="582"/>
    </row>
    <row r="6199" ht="23.85" customHeight="1" spans="1:18">
      <c r="A6199" s="556"/>
      <c r="B6199" s="557"/>
      <c r="C6199" s="79" t="s">
        <v>2921</v>
      </c>
      <c r="D6199" s="78" t="s">
        <v>4721</v>
      </c>
      <c r="E6199" s="79" t="s">
        <v>139</v>
      </c>
      <c r="F6199" s="79" t="s">
        <v>4722</v>
      </c>
      <c r="G6199" s="79" t="s">
        <v>2928</v>
      </c>
      <c r="H6199" s="79"/>
      <c r="I6199" s="80" t="s">
        <v>2897</v>
      </c>
      <c r="J6199" s="583">
        <v>6</v>
      </c>
      <c r="K6199" s="583">
        <v>0</v>
      </c>
      <c r="L6199" s="92">
        <v>47.06</v>
      </c>
      <c r="M6199" s="92">
        <v>282.36</v>
      </c>
      <c r="N6199" s="573"/>
      <c r="O6199" s="556"/>
      <c r="P6199" s="573"/>
      <c r="Q6199" s="556"/>
      <c r="R6199" s="582"/>
    </row>
    <row r="6200" ht="25.5" spans="1:18">
      <c r="A6200" s="556"/>
      <c r="B6200" s="557" t="str">
        <f>C6199</f>
        <v>Composição Auxiliar</v>
      </c>
      <c r="C6200" s="108"/>
      <c r="D6200" s="108"/>
      <c r="E6200" s="108"/>
      <c r="F6200" s="108"/>
      <c r="G6200" s="108"/>
      <c r="H6200" s="108" t="s">
        <v>2898</v>
      </c>
      <c r="I6200" s="581">
        <v>494.32</v>
      </c>
      <c r="J6200" s="108" t="s">
        <v>2899</v>
      </c>
      <c r="K6200" s="581">
        <v>0</v>
      </c>
      <c r="L6200" s="108" t="s">
        <v>2900</v>
      </c>
      <c r="M6200" s="581">
        <v>494.32</v>
      </c>
      <c r="N6200" s="573">
        <v>21.2</v>
      </c>
      <c r="O6200" s="556" t="str">
        <f>IF(N6200=M6200,"OK","DIF")</f>
        <v>DIF</v>
      </c>
      <c r="P6200" s="573"/>
      <c r="Q6200" s="556"/>
      <c r="R6200" s="582"/>
    </row>
    <row r="6201" ht="26.25" spans="1:18">
      <c r="A6201" s="556" t="str">
        <f>B6201</f>
        <v>Composição Auxiliar</v>
      </c>
      <c r="B6201" s="557" t="str">
        <f>B6200</f>
        <v>Composição Auxiliar</v>
      </c>
      <c r="C6201" s="108"/>
      <c r="D6201" s="108"/>
      <c r="E6201" s="108"/>
      <c r="F6201" s="108"/>
      <c r="G6201" s="108"/>
      <c r="H6201" s="108" t="s">
        <v>2901</v>
      </c>
      <c r="I6201" s="581">
        <v>172.41</v>
      </c>
      <c r="J6201" s="114"/>
      <c r="K6201" s="114" t="s">
        <v>2902</v>
      </c>
      <c r="L6201" s="108"/>
      <c r="M6201" s="581">
        <v>848.8</v>
      </c>
      <c r="N6201" s="573">
        <v>12.08</v>
      </c>
      <c r="O6201" s="556" t="str">
        <f>IF(N6201=M6201,"OK","DIF")</f>
        <v>DIF</v>
      </c>
      <c r="P6201" s="573"/>
      <c r="Q6201" s="556"/>
      <c r="R6201" s="582"/>
    </row>
    <row r="6202" ht="15" spans="1:18">
      <c r="A6202" s="556" t="str">
        <f>B6202</f>
        <v>Composição Auxiliar</v>
      </c>
      <c r="B6202" s="557" t="str">
        <f>B6201</f>
        <v>Composição Auxiliar</v>
      </c>
      <c r="C6202" s="571"/>
      <c r="D6202" s="571"/>
      <c r="E6202" s="571"/>
      <c r="F6202" s="571"/>
      <c r="G6202" s="571"/>
      <c r="H6202" s="571"/>
      <c r="I6202" s="571"/>
      <c r="J6202" s="571"/>
      <c r="K6202" s="571"/>
      <c r="L6202" s="571"/>
      <c r="M6202" s="571"/>
      <c r="N6202" s="573">
        <v>3.12</v>
      </c>
      <c r="O6202" s="556" t="str">
        <f>IF(N6202=M6202,"OK","DIF")</f>
        <v>DIF</v>
      </c>
      <c r="P6202" s="573"/>
      <c r="Q6202" s="556"/>
      <c r="R6202" s="582"/>
    </row>
    <row r="6203" ht="15" customHeight="1" spans="1:18">
      <c r="A6203" s="556" t="str">
        <f>B6203</f>
        <v>Composição Auxiliar</v>
      </c>
      <c r="B6203" s="557" t="str">
        <f>B6202</f>
        <v>Composição Auxiliar</v>
      </c>
      <c r="C6203" s="76" t="s">
        <v>2091</v>
      </c>
      <c r="D6203" s="75" t="s">
        <v>63</v>
      </c>
      <c r="E6203" s="76" t="s">
        <v>64</v>
      </c>
      <c r="F6203" s="76" t="s">
        <v>65</v>
      </c>
      <c r="G6203" s="76" t="s">
        <v>2889</v>
      </c>
      <c r="H6203" s="76"/>
      <c r="I6203" s="77" t="s">
        <v>66</v>
      </c>
      <c r="J6203" s="75" t="s">
        <v>67</v>
      </c>
      <c r="K6203" s="75" t="s">
        <v>2890</v>
      </c>
      <c r="L6203" s="75" t="s">
        <v>68</v>
      </c>
      <c r="M6203" s="75" t="s">
        <v>70</v>
      </c>
      <c r="N6203" s="573">
        <v>0.11</v>
      </c>
      <c r="O6203" s="556" t="str">
        <f>IF(N6203=M6203,"OK","DIF")</f>
        <v>DIF</v>
      </c>
      <c r="P6203" s="573"/>
      <c r="Q6203" s="556"/>
      <c r="R6203" s="582"/>
    </row>
    <row r="6204" ht="51" spans="1:18">
      <c r="A6204" s="556" t="str">
        <f>B6204</f>
        <v>Composição Auxiliar</v>
      </c>
      <c r="B6204" s="557" t="str">
        <f>B6203</f>
        <v>Composição Auxiliar</v>
      </c>
      <c r="C6204" s="569" t="s">
        <v>2891</v>
      </c>
      <c r="D6204" s="570" t="s">
        <v>2092</v>
      </c>
      <c r="E6204" s="569" t="s">
        <v>132</v>
      </c>
      <c r="F6204" s="569" t="s">
        <v>2093</v>
      </c>
      <c r="G6204" s="569">
        <v>61.1</v>
      </c>
      <c r="H6204" s="569"/>
      <c r="I6204" s="577" t="s">
        <v>134</v>
      </c>
      <c r="J6204" s="578">
        <v>1</v>
      </c>
      <c r="K6204" s="579"/>
      <c r="L6204" s="579">
        <v>676.39</v>
      </c>
      <c r="M6204" s="579">
        <v>676.39</v>
      </c>
      <c r="N6204" s="573">
        <v>5.89</v>
      </c>
      <c r="O6204" s="556" t="str">
        <f>IF(N6204=M6204,"OK","DIF")</f>
        <v>DIF</v>
      </c>
      <c r="P6204" s="573"/>
      <c r="Q6204" s="556"/>
      <c r="R6204" s="582"/>
    </row>
    <row r="6205" ht="23.85" customHeight="1" spans="1:18">
      <c r="A6205" s="556"/>
      <c r="B6205" s="557"/>
      <c r="C6205" s="79" t="s">
        <v>2921</v>
      </c>
      <c r="D6205" s="78" t="s">
        <v>4721</v>
      </c>
      <c r="E6205" s="79" t="s">
        <v>139</v>
      </c>
      <c r="F6205" s="79" t="s">
        <v>4722</v>
      </c>
      <c r="G6205" s="79" t="s">
        <v>2928</v>
      </c>
      <c r="H6205" s="79"/>
      <c r="I6205" s="80" t="s">
        <v>2897</v>
      </c>
      <c r="J6205" s="583">
        <v>6</v>
      </c>
      <c r="K6205" s="583">
        <v>0</v>
      </c>
      <c r="L6205" s="92">
        <v>47.06</v>
      </c>
      <c r="M6205" s="92">
        <v>282.36</v>
      </c>
      <c r="N6205" s="573"/>
      <c r="O6205" s="556"/>
      <c r="P6205" s="573"/>
      <c r="Q6205" s="556"/>
      <c r="R6205" s="582"/>
    </row>
    <row r="6206" ht="23.85" customHeight="1" spans="1:18">
      <c r="A6206" s="556"/>
      <c r="B6206" s="557"/>
      <c r="C6206" s="79" t="s">
        <v>2921</v>
      </c>
      <c r="D6206" s="78" t="s">
        <v>3487</v>
      </c>
      <c r="E6206" s="79" t="s">
        <v>139</v>
      </c>
      <c r="F6206" s="79" t="s">
        <v>3488</v>
      </c>
      <c r="G6206" s="79" t="s">
        <v>2928</v>
      </c>
      <c r="H6206" s="79"/>
      <c r="I6206" s="80" t="s">
        <v>2897</v>
      </c>
      <c r="J6206" s="583">
        <v>13</v>
      </c>
      <c r="K6206" s="583">
        <v>0</v>
      </c>
      <c r="L6206" s="92">
        <v>30.31</v>
      </c>
      <c r="M6206" s="92">
        <v>394.03</v>
      </c>
      <c r="N6206" s="573"/>
      <c r="O6206" s="556"/>
      <c r="P6206" s="573"/>
      <c r="Q6206" s="556"/>
      <c r="R6206" s="582"/>
    </row>
    <row r="6207" ht="25.5" spans="1:18">
      <c r="A6207" s="556"/>
      <c r="B6207" s="557"/>
      <c r="C6207" s="108"/>
      <c r="D6207" s="108"/>
      <c r="E6207" s="108"/>
      <c r="F6207" s="108"/>
      <c r="G6207" s="108"/>
      <c r="H6207" s="108" t="s">
        <v>2898</v>
      </c>
      <c r="I6207" s="581">
        <v>494.32</v>
      </c>
      <c r="J6207" s="108" t="s">
        <v>2899</v>
      </c>
      <c r="K6207" s="581">
        <v>0</v>
      </c>
      <c r="L6207" s="108" t="s">
        <v>2900</v>
      </c>
      <c r="M6207" s="581">
        <v>494.32</v>
      </c>
      <c r="N6207" s="573"/>
      <c r="O6207" s="556"/>
      <c r="P6207" s="573"/>
      <c r="Q6207" s="556"/>
      <c r="R6207" s="582"/>
    </row>
    <row r="6208" ht="26.25" spans="1:18">
      <c r="A6208" s="556"/>
      <c r="B6208" s="557">
        <f>C6207</f>
        <v>0</v>
      </c>
      <c r="C6208" s="108"/>
      <c r="D6208" s="108"/>
      <c r="E6208" s="108"/>
      <c r="F6208" s="108"/>
      <c r="G6208" s="108"/>
      <c r="H6208" s="108" t="s">
        <v>2901</v>
      </c>
      <c r="I6208" s="581">
        <v>172.41</v>
      </c>
      <c r="J6208" s="114"/>
      <c r="K6208" s="114" t="s">
        <v>2902</v>
      </c>
      <c r="L6208" s="108"/>
      <c r="M6208" s="581">
        <v>848.8</v>
      </c>
      <c r="N6208" s="573">
        <v>5.78</v>
      </c>
      <c r="O6208" s="556" t="str">
        <f>IF(N6208=M6208,"OK","DIF")</f>
        <v>DIF</v>
      </c>
      <c r="P6208" s="573"/>
      <c r="Q6208" s="556"/>
      <c r="R6208" s="582"/>
    </row>
    <row r="6209" ht="15" spans="1:18">
      <c r="A6209" s="556">
        <f>B6209</f>
        <v>0</v>
      </c>
      <c r="B6209" s="557">
        <f>B6208</f>
        <v>0</v>
      </c>
      <c r="C6209" s="571"/>
      <c r="D6209" s="571"/>
      <c r="E6209" s="571"/>
      <c r="F6209" s="571"/>
      <c r="G6209" s="571"/>
      <c r="H6209" s="571"/>
      <c r="I6209" s="571"/>
      <c r="J6209" s="571"/>
      <c r="K6209" s="571"/>
      <c r="L6209" s="571"/>
      <c r="M6209" s="571"/>
      <c r="N6209" s="573">
        <v>1.89</v>
      </c>
      <c r="O6209" s="556" t="str">
        <f>IF(N6209=M6209,"OK","DIF")</f>
        <v>DIF</v>
      </c>
      <c r="P6209" s="573"/>
      <c r="Q6209" s="556"/>
      <c r="R6209" s="582"/>
    </row>
    <row r="6210" ht="15" customHeight="1" spans="1:18">
      <c r="A6210" s="556">
        <f>B6210</f>
        <v>0</v>
      </c>
      <c r="B6210" s="557">
        <f>B6209</f>
        <v>0</v>
      </c>
      <c r="C6210" s="76" t="s">
        <v>2094</v>
      </c>
      <c r="D6210" s="75" t="s">
        <v>63</v>
      </c>
      <c r="E6210" s="76" t="s">
        <v>64</v>
      </c>
      <c r="F6210" s="76" t="s">
        <v>65</v>
      </c>
      <c r="G6210" s="76" t="s">
        <v>2889</v>
      </c>
      <c r="H6210" s="76"/>
      <c r="I6210" s="77" t="s">
        <v>66</v>
      </c>
      <c r="J6210" s="75" t="s">
        <v>67</v>
      </c>
      <c r="K6210" s="75" t="s">
        <v>2890</v>
      </c>
      <c r="L6210" s="75" t="s">
        <v>68</v>
      </c>
      <c r="M6210" s="75" t="s">
        <v>70</v>
      </c>
      <c r="N6210" s="573">
        <v>0.23</v>
      </c>
      <c r="O6210" s="556" t="str">
        <f>IF(N6210=M6210,"OK","DIF")</f>
        <v>DIF</v>
      </c>
      <c r="P6210" s="573"/>
      <c r="Q6210" s="556"/>
      <c r="R6210" s="582"/>
    </row>
    <row r="6211" ht="51" spans="1:18">
      <c r="A6211" s="556">
        <f>B6211</f>
        <v>0</v>
      </c>
      <c r="B6211" s="557">
        <f>B6210</f>
        <v>0</v>
      </c>
      <c r="C6211" s="569" t="s">
        <v>2891</v>
      </c>
      <c r="D6211" s="570" t="s">
        <v>2095</v>
      </c>
      <c r="E6211" s="569" t="s">
        <v>132</v>
      </c>
      <c r="F6211" s="569" t="s">
        <v>2096</v>
      </c>
      <c r="G6211" s="569">
        <v>61.1</v>
      </c>
      <c r="H6211" s="569"/>
      <c r="I6211" s="577" t="s">
        <v>134</v>
      </c>
      <c r="J6211" s="578">
        <v>1</v>
      </c>
      <c r="K6211" s="579"/>
      <c r="L6211" s="579">
        <v>1399.84</v>
      </c>
      <c r="M6211" s="579">
        <v>1399.84</v>
      </c>
      <c r="N6211" s="573">
        <v>3.66</v>
      </c>
      <c r="O6211" s="556" t="str">
        <f>IF(N6211=M6211,"OK","DIF")</f>
        <v>DIF</v>
      </c>
      <c r="P6211" s="573"/>
      <c r="Q6211" s="556"/>
      <c r="R6211" s="582"/>
    </row>
    <row r="6212" ht="23.85" customHeight="1" spans="1:18">
      <c r="A6212" s="556"/>
      <c r="B6212" s="557"/>
      <c r="C6212" s="79" t="s">
        <v>2921</v>
      </c>
      <c r="D6212" s="78" t="s">
        <v>4721</v>
      </c>
      <c r="E6212" s="79" t="s">
        <v>139</v>
      </c>
      <c r="F6212" s="79" t="s">
        <v>4722</v>
      </c>
      <c r="G6212" s="79" t="s">
        <v>2928</v>
      </c>
      <c r="H6212" s="79"/>
      <c r="I6212" s="80" t="s">
        <v>2897</v>
      </c>
      <c r="J6212" s="583">
        <v>13</v>
      </c>
      <c r="K6212" s="583">
        <v>0</v>
      </c>
      <c r="L6212" s="92">
        <v>47.06</v>
      </c>
      <c r="M6212" s="92">
        <v>611.78</v>
      </c>
      <c r="N6212" s="573"/>
      <c r="O6212" s="556"/>
      <c r="P6212" s="573"/>
      <c r="Q6212" s="556"/>
      <c r="R6212" s="582"/>
    </row>
    <row r="6213" ht="23.85" customHeight="1" spans="1:18">
      <c r="A6213" s="556"/>
      <c r="B6213" s="557"/>
      <c r="C6213" s="79" t="s">
        <v>2921</v>
      </c>
      <c r="D6213" s="78" t="s">
        <v>3487</v>
      </c>
      <c r="E6213" s="79" t="s">
        <v>139</v>
      </c>
      <c r="F6213" s="79" t="s">
        <v>3488</v>
      </c>
      <c r="G6213" s="79" t="s">
        <v>2928</v>
      </c>
      <c r="H6213" s="79"/>
      <c r="I6213" s="80" t="s">
        <v>2897</v>
      </c>
      <c r="J6213" s="583">
        <v>26</v>
      </c>
      <c r="K6213" s="583">
        <v>0</v>
      </c>
      <c r="L6213" s="92">
        <v>30.31</v>
      </c>
      <c r="M6213" s="92">
        <v>788.06</v>
      </c>
      <c r="N6213" s="573"/>
      <c r="O6213" s="556"/>
      <c r="P6213" s="573"/>
      <c r="Q6213" s="556"/>
      <c r="R6213" s="582"/>
    </row>
    <row r="6214" ht="25.5" spans="1:18">
      <c r="A6214" s="556"/>
      <c r="B6214" s="557" t="str">
        <f>C6213</f>
        <v>Composição Auxiliar</v>
      </c>
      <c r="C6214" s="108"/>
      <c r="D6214" s="108"/>
      <c r="E6214" s="108"/>
      <c r="F6214" s="108"/>
      <c r="G6214" s="108"/>
      <c r="H6214" s="108" t="s">
        <v>2898</v>
      </c>
      <c r="I6214" s="581">
        <v>1026.87</v>
      </c>
      <c r="J6214" s="108" t="s">
        <v>2899</v>
      </c>
      <c r="K6214" s="581">
        <v>0</v>
      </c>
      <c r="L6214" s="108" t="s">
        <v>2900</v>
      </c>
      <c r="M6214" s="581">
        <v>1026.87</v>
      </c>
      <c r="N6214" s="573">
        <v>17.11</v>
      </c>
      <c r="O6214" s="556" t="str">
        <f>IF(N6214=M6214,"OK","DIF")</f>
        <v>DIF</v>
      </c>
      <c r="P6214" s="573"/>
      <c r="Q6214" s="556"/>
      <c r="R6214" s="582"/>
    </row>
    <row r="6215" ht="26.25" spans="1:18">
      <c r="A6215" s="556" t="str">
        <f>B6215</f>
        <v>Composição Auxiliar</v>
      </c>
      <c r="B6215" s="557" t="str">
        <f>B6214</f>
        <v>Composição Auxiliar</v>
      </c>
      <c r="C6215" s="108"/>
      <c r="D6215" s="108"/>
      <c r="E6215" s="108"/>
      <c r="F6215" s="108"/>
      <c r="G6215" s="108"/>
      <c r="H6215" s="108" t="s">
        <v>2901</v>
      </c>
      <c r="I6215" s="581">
        <v>356.81</v>
      </c>
      <c r="J6215" s="114"/>
      <c r="K6215" s="114" t="s">
        <v>2902</v>
      </c>
      <c r="L6215" s="108"/>
      <c r="M6215" s="581">
        <v>1756.65</v>
      </c>
      <c r="N6215" s="573">
        <v>9.59</v>
      </c>
      <c r="O6215" s="556" t="str">
        <f>IF(N6215=M6215,"OK","DIF")</f>
        <v>DIF</v>
      </c>
      <c r="P6215" s="573"/>
      <c r="Q6215" s="556"/>
      <c r="R6215" s="582"/>
    </row>
    <row r="6216" ht="15" spans="1:18">
      <c r="A6216" s="556" t="str">
        <f>B6216</f>
        <v>Composição Auxiliar</v>
      </c>
      <c r="B6216" s="557" t="str">
        <f>B6215</f>
        <v>Composição Auxiliar</v>
      </c>
      <c r="C6216" s="571"/>
      <c r="D6216" s="571"/>
      <c r="E6216" s="571"/>
      <c r="F6216" s="571"/>
      <c r="G6216" s="571"/>
      <c r="H6216" s="571"/>
      <c r="I6216" s="571"/>
      <c r="J6216" s="571"/>
      <c r="K6216" s="571"/>
      <c r="L6216" s="571"/>
      <c r="M6216" s="571"/>
      <c r="N6216" s="573">
        <v>1.21</v>
      </c>
      <c r="O6216" s="556" t="str">
        <f>IF(N6216=M6216,"OK","DIF")</f>
        <v>DIF</v>
      </c>
      <c r="P6216" s="573"/>
      <c r="Q6216" s="556"/>
      <c r="R6216" s="582"/>
    </row>
    <row r="6217" ht="15" customHeight="1" spans="1:18">
      <c r="A6217" s="556" t="str">
        <f>B6217</f>
        <v>Composição Auxiliar</v>
      </c>
      <c r="B6217" s="557" t="str">
        <f>B6216</f>
        <v>Composição Auxiliar</v>
      </c>
      <c r="C6217" s="76" t="s">
        <v>2097</v>
      </c>
      <c r="D6217" s="75" t="s">
        <v>63</v>
      </c>
      <c r="E6217" s="76" t="s">
        <v>64</v>
      </c>
      <c r="F6217" s="76" t="s">
        <v>65</v>
      </c>
      <c r="G6217" s="76" t="s">
        <v>2889</v>
      </c>
      <c r="H6217" s="76"/>
      <c r="I6217" s="77" t="s">
        <v>66</v>
      </c>
      <c r="J6217" s="75" t="s">
        <v>67</v>
      </c>
      <c r="K6217" s="75" t="s">
        <v>2890</v>
      </c>
      <c r="L6217" s="75" t="s">
        <v>68</v>
      </c>
      <c r="M6217" s="75" t="s">
        <v>70</v>
      </c>
      <c r="N6217" s="573">
        <v>6.31</v>
      </c>
      <c r="O6217" s="556" t="str">
        <f>IF(N6217=M6217,"OK","DIF")</f>
        <v>DIF</v>
      </c>
      <c r="P6217" s="573"/>
      <c r="Q6217" s="556"/>
      <c r="R6217" s="582"/>
    </row>
    <row r="6218" ht="51" spans="1:18">
      <c r="A6218" s="556"/>
      <c r="B6218" s="557"/>
      <c r="C6218" s="569" t="s">
        <v>2891</v>
      </c>
      <c r="D6218" s="570" t="s">
        <v>2098</v>
      </c>
      <c r="E6218" s="569" t="s">
        <v>132</v>
      </c>
      <c r="F6218" s="569" t="s">
        <v>2099</v>
      </c>
      <c r="G6218" s="569">
        <v>61.1</v>
      </c>
      <c r="H6218" s="569"/>
      <c r="I6218" s="577" t="s">
        <v>134</v>
      </c>
      <c r="J6218" s="578">
        <v>1</v>
      </c>
      <c r="K6218" s="579"/>
      <c r="L6218" s="579">
        <v>5291.59</v>
      </c>
      <c r="M6218" s="579">
        <v>5291.59</v>
      </c>
      <c r="N6218" s="573"/>
      <c r="O6218" s="556"/>
      <c r="P6218" s="573"/>
      <c r="Q6218" s="556"/>
      <c r="R6218" s="582"/>
    </row>
    <row r="6219" ht="23.85" customHeight="1" spans="1:18">
      <c r="A6219" s="556"/>
      <c r="B6219" s="557"/>
      <c r="C6219" s="79" t="s">
        <v>2921</v>
      </c>
      <c r="D6219" s="78" t="s">
        <v>3487</v>
      </c>
      <c r="E6219" s="79" t="s">
        <v>139</v>
      </c>
      <c r="F6219" s="79" t="s">
        <v>3488</v>
      </c>
      <c r="G6219" s="79" t="s">
        <v>2928</v>
      </c>
      <c r="H6219" s="79"/>
      <c r="I6219" s="80" t="s">
        <v>2897</v>
      </c>
      <c r="J6219" s="583">
        <v>24</v>
      </c>
      <c r="K6219" s="583">
        <v>0</v>
      </c>
      <c r="L6219" s="92">
        <v>30.31</v>
      </c>
      <c r="M6219" s="92">
        <v>727.44</v>
      </c>
      <c r="N6219" s="573"/>
      <c r="O6219" s="556"/>
      <c r="P6219" s="573"/>
      <c r="Q6219" s="556"/>
      <c r="R6219" s="582"/>
    </row>
    <row r="6220" ht="23.85" customHeight="1" spans="1:18">
      <c r="A6220" s="556"/>
      <c r="B6220" s="557" t="str">
        <f>C6219</f>
        <v>Composição Auxiliar</v>
      </c>
      <c r="C6220" s="79" t="s">
        <v>2921</v>
      </c>
      <c r="D6220" s="78" t="s">
        <v>4721</v>
      </c>
      <c r="E6220" s="79" t="s">
        <v>139</v>
      </c>
      <c r="F6220" s="79" t="s">
        <v>4722</v>
      </c>
      <c r="G6220" s="79" t="s">
        <v>2928</v>
      </c>
      <c r="H6220" s="79"/>
      <c r="I6220" s="80" t="s">
        <v>2897</v>
      </c>
      <c r="J6220" s="583">
        <v>12</v>
      </c>
      <c r="K6220" s="583">
        <v>0</v>
      </c>
      <c r="L6220" s="92">
        <v>47.06</v>
      </c>
      <c r="M6220" s="92">
        <v>564.72</v>
      </c>
      <c r="N6220" s="573">
        <v>35</v>
      </c>
      <c r="O6220" s="556" t="str">
        <f>IF(N6220=M6220,"OK","DIF")</f>
        <v>DIF</v>
      </c>
      <c r="P6220" s="573"/>
      <c r="Q6220" s="556"/>
      <c r="R6220" s="582"/>
    </row>
    <row r="6221" ht="46.25" customHeight="1" spans="1:18">
      <c r="A6221" s="556" t="str">
        <f>B6221</f>
        <v>Composição Auxiliar</v>
      </c>
      <c r="B6221" s="557" t="str">
        <f>B6220</f>
        <v>Composição Auxiliar</v>
      </c>
      <c r="C6221" s="100" t="s">
        <v>2893</v>
      </c>
      <c r="D6221" s="99" t="s">
        <v>4727</v>
      </c>
      <c r="E6221" s="100" t="s">
        <v>132</v>
      </c>
      <c r="F6221" s="100" t="s">
        <v>4728</v>
      </c>
      <c r="G6221" s="100" t="s">
        <v>3395</v>
      </c>
      <c r="H6221" s="100"/>
      <c r="I6221" s="101" t="s">
        <v>134</v>
      </c>
      <c r="J6221" s="580">
        <v>1</v>
      </c>
      <c r="K6221" s="580">
        <v>0</v>
      </c>
      <c r="L6221" s="102">
        <v>3999.43</v>
      </c>
      <c r="M6221" s="102">
        <v>3999.43</v>
      </c>
      <c r="N6221" s="573">
        <v>2.68</v>
      </c>
      <c r="O6221" s="556" t="str">
        <f>IF(N6221=M6221,"OK","DIF")</f>
        <v>DIF</v>
      </c>
      <c r="P6221" s="573"/>
      <c r="Q6221" s="556"/>
      <c r="R6221" s="582"/>
    </row>
    <row r="6222" ht="25.5" spans="1:18">
      <c r="A6222" s="556" t="str">
        <f>B6222</f>
        <v>Composição Auxiliar</v>
      </c>
      <c r="B6222" s="557" t="str">
        <f>B6221</f>
        <v>Composição Auxiliar</v>
      </c>
      <c r="C6222" s="108"/>
      <c r="D6222" s="108"/>
      <c r="E6222" s="108"/>
      <c r="F6222" s="108"/>
      <c r="G6222" s="108"/>
      <c r="H6222" s="108" t="s">
        <v>2898</v>
      </c>
      <c r="I6222" s="581">
        <v>947.88</v>
      </c>
      <c r="J6222" s="108" t="s">
        <v>2899</v>
      </c>
      <c r="K6222" s="581">
        <v>0</v>
      </c>
      <c r="L6222" s="108" t="s">
        <v>2900</v>
      </c>
      <c r="M6222" s="581">
        <v>947.88</v>
      </c>
      <c r="N6222" s="573">
        <v>21.23</v>
      </c>
      <c r="O6222" s="556" t="str">
        <f>IF(N6222=M6222,"OK","DIF")</f>
        <v>DIF</v>
      </c>
      <c r="P6222" s="573"/>
      <c r="Q6222" s="556"/>
      <c r="R6222" s="582"/>
    </row>
    <row r="6223" ht="26.25" spans="1:18">
      <c r="A6223" s="556" t="str">
        <f>B6223</f>
        <v>Composição Auxiliar</v>
      </c>
      <c r="B6223" s="557" t="str">
        <f>B6222</f>
        <v>Composição Auxiliar</v>
      </c>
      <c r="C6223" s="108"/>
      <c r="D6223" s="108"/>
      <c r="E6223" s="108"/>
      <c r="F6223" s="108"/>
      <c r="G6223" s="108"/>
      <c r="H6223" s="108" t="s">
        <v>2901</v>
      </c>
      <c r="I6223" s="581">
        <v>1348.82</v>
      </c>
      <c r="J6223" s="114"/>
      <c r="K6223" s="114" t="s">
        <v>2902</v>
      </c>
      <c r="L6223" s="108"/>
      <c r="M6223" s="581">
        <v>6640.41</v>
      </c>
      <c r="N6223" s="573">
        <v>10.97</v>
      </c>
      <c r="O6223" s="556" t="str">
        <f>IF(N6223=M6223,"OK","DIF")</f>
        <v>DIF</v>
      </c>
      <c r="P6223" s="573"/>
      <c r="Q6223" s="556"/>
      <c r="R6223" s="582"/>
    </row>
    <row r="6224" ht="15" spans="1:18">
      <c r="A6224" s="556" t="str">
        <f>B6224</f>
        <v>Composição Auxiliar</v>
      </c>
      <c r="B6224" s="557" t="str">
        <f>B6223</f>
        <v>Composição Auxiliar</v>
      </c>
      <c r="C6224" s="571"/>
      <c r="D6224" s="571"/>
      <c r="E6224" s="571"/>
      <c r="F6224" s="571"/>
      <c r="G6224" s="571"/>
      <c r="H6224" s="571"/>
      <c r="I6224" s="571"/>
      <c r="J6224" s="571"/>
      <c r="K6224" s="571"/>
      <c r="L6224" s="571"/>
      <c r="M6224" s="571"/>
      <c r="N6224" s="573">
        <v>0.12</v>
      </c>
      <c r="O6224" s="556" t="str">
        <f>IF(N6224=M6224,"OK","DIF")</f>
        <v>DIF</v>
      </c>
      <c r="P6224" s="573"/>
      <c r="Q6224" s="556"/>
      <c r="R6224" s="582"/>
    </row>
    <row r="6225" ht="15" customHeight="1" spans="1:18">
      <c r="A6225" s="556"/>
      <c r="B6225" s="557"/>
      <c r="C6225" s="76" t="s">
        <v>2100</v>
      </c>
      <c r="D6225" s="75" t="s">
        <v>63</v>
      </c>
      <c r="E6225" s="76" t="s">
        <v>64</v>
      </c>
      <c r="F6225" s="76" t="s">
        <v>65</v>
      </c>
      <c r="G6225" s="76" t="s">
        <v>2889</v>
      </c>
      <c r="H6225" s="76"/>
      <c r="I6225" s="77" t="s">
        <v>66</v>
      </c>
      <c r="J6225" s="75" t="s">
        <v>67</v>
      </c>
      <c r="K6225" s="75" t="s">
        <v>2890</v>
      </c>
      <c r="L6225" s="75" t="s">
        <v>68</v>
      </c>
      <c r="M6225" s="75" t="s">
        <v>70</v>
      </c>
      <c r="N6225" s="573"/>
      <c r="O6225" s="556"/>
      <c r="P6225" s="573"/>
      <c r="Q6225" s="556"/>
      <c r="R6225" s="582"/>
    </row>
    <row r="6226" ht="51" spans="1:18">
      <c r="A6226" s="556"/>
      <c r="B6226" s="557"/>
      <c r="C6226" s="569" t="s">
        <v>2891</v>
      </c>
      <c r="D6226" s="570" t="s">
        <v>2101</v>
      </c>
      <c r="E6226" s="569" t="s">
        <v>132</v>
      </c>
      <c r="F6226" s="569" t="s">
        <v>2102</v>
      </c>
      <c r="G6226" s="569">
        <v>61.1</v>
      </c>
      <c r="H6226" s="569"/>
      <c r="I6226" s="577" t="s">
        <v>134</v>
      </c>
      <c r="J6226" s="578">
        <v>1</v>
      </c>
      <c r="K6226" s="579"/>
      <c r="L6226" s="579">
        <v>5395.98</v>
      </c>
      <c r="M6226" s="579">
        <v>5395.98</v>
      </c>
      <c r="N6226" s="573"/>
      <c r="O6226" s="556"/>
      <c r="P6226" s="573"/>
      <c r="Q6226" s="556"/>
      <c r="R6226" s="582"/>
    </row>
    <row r="6227" ht="23.85" customHeight="1" spans="1:18">
      <c r="A6227" s="556"/>
      <c r="B6227" s="557" t="str">
        <f>C6226</f>
        <v>Composição</v>
      </c>
      <c r="C6227" s="79" t="s">
        <v>2921</v>
      </c>
      <c r="D6227" s="78" t="s">
        <v>3487</v>
      </c>
      <c r="E6227" s="79" t="s">
        <v>139</v>
      </c>
      <c r="F6227" s="79" t="s">
        <v>3488</v>
      </c>
      <c r="G6227" s="79" t="s">
        <v>2928</v>
      </c>
      <c r="H6227" s="79"/>
      <c r="I6227" s="80" t="s">
        <v>2897</v>
      </c>
      <c r="J6227" s="583">
        <v>24</v>
      </c>
      <c r="K6227" s="583">
        <v>0</v>
      </c>
      <c r="L6227" s="92">
        <v>30.31</v>
      </c>
      <c r="M6227" s="92">
        <v>727.44</v>
      </c>
      <c r="N6227" s="573">
        <v>12.97</v>
      </c>
      <c r="O6227" s="556" t="str">
        <f>IF(N6227=M6227,"OK","DIF")</f>
        <v>DIF</v>
      </c>
      <c r="P6227" s="573"/>
      <c r="Q6227" s="556"/>
      <c r="R6227" s="582"/>
    </row>
    <row r="6228" ht="23.85" customHeight="1" spans="1:18">
      <c r="A6228" s="556" t="str">
        <f>B6228</f>
        <v>Composição</v>
      </c>
      <c r="B6228" s="557" t="str">
        <f>B6227</f>
        <v>Composição</v>
      </c>
      <c r="C6228" s="79" t="s">
        <v>2921</v>
      </c>
      <c r="D6228" s="78" t="s">
        <v>4721</v>
      </c>
      <c r="E6228" s="79" t="s">
        <v>139</v>
      </c>
      <c r="F6228" s="79" t="s">
        <v>4722</v>
      </c>
      <c r="G6228" s="79" t="s">
        <v>2928</v>
      </c>
      <c r="H6228" s="79"/>
      <c r="I6228" s="80" t="s">
        <v>2897</v>
      </c>
      <c r="J6228" s="583">
        <v>12</v>
      </c>
      <c r="K6228" s="583">
        <v>0</v>
      </c>
      <c r="L6228" s="92">
        <v>47.06</v>
      </c>
      <c r="M6228" s="92">
        <v>564.72</v>
      </c>
      <c r="N6228" s="573">
        <v>2.12</v>
      </c>
      <c r="O6228" s="556" t="str">
        <f>IF(N6228=M6228,"OK","DIF")</f>
        <v>DIF</v>
      </c>
      <c r="P6228" s="573"/>
      <c r="Q6228" s="556"/>
      <c r="R6228" s="582"/>
    </row>
    <row r="6229" ht="46.25" customHeight="1" spans="1:18">
      <c r="A6229" s="556" t="str">
        <f>B6229</f>
        <v>Composição</v>
      </c>
      <c r="B6229" s="557" t="str">
        <f>B6228</f>
        <v>Composição</v>
      </c>
      <c r="C6229" s="100" t="s">
        <v>2893</v>
      </c>
      <c r="D6229" s="99" t="s">
        <v>4729</v>
      </c>
      <c r="E6229" s="100" t="s">
        <v>132</v>
      </c>
      <c r="F6229" s="100" t="s">
        <v>4730</v>
      </c>
      <c r="G6229" s="100" t="s">
        <v>3395</v>
      </c>
      <c r="H6229" s="100"/>
      <c r="I6229" s="101" t="s">
        <v>134</v>
      </c>
      <c r="J6229" s="580">
        <v>1</v>
      </c>
      <c r="K6229" s="580">
        <v>0</v>
      </c>
      <c r="L6229" s="102">
        <v>4103.82</v>
      </c>
      <c r="M6229" s="102">
        <v>4103.82</v>
      </c>
      <c r="N6229" s="573">
        <v>9.71</v>
      </c>
      <c r="O6229" s="556" t="str">
        <f>IF(N6229=M6229,"OK","DIF")</f>
        <v>DIF</v>
      </c>
      <c r="P6229" s="573"/>
      <c r="Q6229" s="556"/>
      <c r="R6229" s="582"/>
    </row>
    <row r="6230" ht="25.5" spans="1:18">
      <c r="A6230" s="556" t="str">
        <f>B6230</f>
        <v>Composição</v>
      </c>
      <c r="B6230" s="557" t="str">
        <f>B6229</f>
        <v>Composição</v>
      </c>
      <c r="C6230" s="108"/>
      <c r="D6230" s="108"/>
      <c r="E6230" s="108"/>
      <c r="F6230" s="108"/>
      <c r="G6230" s="108"/>
      <c r="H6230" s="108" t="s">
        <v>2898</v>
      </c>
      <c r="I6230" s="581">
        <v>947.88</v>
      </c>
      <c r="J6230" s="108" t="s">
        <v>2899</v>
      </c>
      <c r="K6230" s="581">
        <v>0</v>
      </c>
      <c r="L6230" s="108" t="s">
        <v>2900</v>
      </c>
      <c r="M6230" s="581">
        <v>947.88</v>
      </c>
      <c r="N6230" s="573">
        <v>1.14</v>
      </c>
      <c r="O6230" s="556" t="str">
        <f>IF(N6230=M6230,"OK","DIF")</f>
        <v>DIF</v>
      </c>
      <c r="P6230" s="573"/>
      <c r="Q6230" s="556"/>
      <c r="R6230" s="582"/>
    </row>
    <row r="6231" ht="26.25" spans="1:18">
      <c r="A6231" s="556"/>
      <c r="B6231" s="557"/>
      <c r="C6231" s="108"/>
      <c r="D6231" s="108"/>
      <c r="E6231" s="108"/>
      <c r="F6231" s="108"/>
      <c r="G6231" s="108"/>
      <c r="H6231" s="108" t="s">
        <v>2901</v>
      </c>
      <c r="I6231" s="581">
        <v>1375.43</v>
      </c>
      <c r="J6231" s="114"/>
      <c r="K6231" s="114" t="s">
        <v>2902</v>
      </c>
      <c r="L6231" s="108"/>
      <c r="M6231" s="581">
        <v>6771.41</v>
      </c>
      <c r="N6231" s="573"/>
      <c r="O6231" s="556"/>
      <c r="P6231" s="573"/>
      <c r="Q6231" s="556"/>
      <c r="R6231" s="582"/>
    </row>
    <row r="6232" ht="15" spans="1:18">
      <c r="A6232" s="556"/>
      <c r="B6232" s="557"/>
      <c r="C6232" s="571"/>
      <c r="D6232" s="571"/>
      <c r="E6232" s="571"/>
      <c r="F6232" s="571"/>
      <c r="G6232" s="571"/>
      <c r="H6232" s="571"/>
      <c r="I6232" s="571"/>
      <c r="J6232" s="571"/>
      <c r="K6232" s="571"/>
      <c r="L6232" s="571"/>
      <c r="M6232" s="571"/>
      <c r="N6232" s="573"/>
      <c r="O6232" s="556"/>
      <c r="P6232" s="573"/>
      <c r="Q6232" s="556"/>
      <c r="R6232" s="582"/>
    </row>
    <row r="6233" ht="15" customHeight="1" spans="1:18">
      <c r="A6233" s="556"/>
      <c r="B6233" s="557">
        <f>C6232</f>
        <v>0</v>
      </c>
      <c r="C6233" s="76" t="s">
        <v>2103</v>
      </c>
      <c r="D6233" s="75" t="s">
        <v>63</v>
      </c>
      <c r="E6233" s="76" t="s">
        <v>64</v>
      </c>
      <c r="F6233" s="76" t="s">
        <v>65</v>
      </c>
      <c r="G6233" s="76" t="s">
        <v>2889</v>
      </c>
      <c r="H6233" s="76"/>
      <c r="I6233" s="77" t="s">
        <v>66</v>
      </c>
      <c r="J6233" s="75" t="s">
        <v>67</v>
      </c>
      <c r="K6233" s="75" t="s">
        <v>2890</v>
      </c>
      <c r="L6233" s="75" t="s">
        <v>68</v>
      </c>
      <c r="M6233" s="75" t="s">
        <v>70</v>
      </c>
      <c r="N6233" s="573">
        <v>57.22</v>
      </c>
      <c r="O6233" s="556" t="str">
        <f>IF(N6233=M6233,"OK","DIF")</f>
        <v>DIF</v>
      </c>
      <c r="P6233" s="573"/>
      <c r="Q6233" s="556"/>
      <c r="R6233" s="582"/>
    </row>
    <row r="6234" ht="51" spans="1:18">
      <c r="A6234" s="556">
        <f>B6234</f>
        <v>0</v>
      </c>
      <c r="B6234" s="557">
        <f>B6233</f>
        <v>0</v>
      </c>
      <c r="C6234" s="569" t="s">
        <v>2891</v>
      </c>
      <c r="D6234" s="570" t="s">
        <v>2104</v>
      </c>
      <c r="E6234" s="569" t="s">
        <v>132</v>
      </c>
      <c r="F6234" s="569" t="s">
        <v>2105</v>
      </c>
      <c r="G6234" s="569">
        <v>61.1</v>
      </c>
      <c r="H6234" s="569"/>
      <c r="I6234" s="577" t="s">
        <v>134</v>
      </c>
      <c r="J6234" s="578">
        <v>1</v>
      </c>
      <c r="K6234" s="579"/>
      <c r="L6234" s="579">
        <v>7032.21</v>
      </c>
      <c r="M6234" s="579">
        <v>7032.21</v>
      </c>
      <c r="N6234" s="573">
        <v>35.24</v>
      </c>
      <c r="O6234" s="556" t="str">
        <f>IF(N6234=M6234,"OK","DIF")</f>
        <v>DIF</v>
      </c>
      <c r="P6234" s="573"/>
      <c r="Q6234" s="556"/>
      <c r="R6234" s="582"/>
    </row>
    <row r="6235" ht="23.85" customHeight="1" spans="1:18">
      <c r="A6235" s="556">
        <f>B6235</f>
        <v>0</v>
      </c>
      <c r="B6235" s="557">
        <f>B6234</f>
        <v>0</v>
      </c>
      <c r="C6235" s="79" t="s">
        <v>2921</v>
      </c>
      <c r="D6235" s="78" t="s">
        <v>3487</v>
      </c>
      <c r="E6235" s="79" t="s">
        <v>139</v>
      </c>
      <c r="F6235" s="79" t="s">
        <v>3488</v>
      </c>
      <c r="G6235" s="79" t="s">
        <v>2928</v>
      </c>
      <c r="H6235" s="79"/>
      <c r="I6235" s="80" t="s">
        <v>2897</v>
      </c>
      <c r="J6235" s="583">
        <v>26</v>
      </c>
      <c r="K6235" s="583">
        <v>0</v>
      </c>
      <c r="L6235" s="92">
        <v>30.31</v>
      </c>
      <c r="M6235" s="92">
        <v>788.06</v>
      </c>
      <c r="N6235" s="573">
        <v>2.47</v>
      </c>
      <c r="O6235" s="556" t="str">
        <f>IF(N6235=M6235,"OK","DIF")</f>
        <v>DIF</v>
      </c>
      <c r="P6235" s="573"/>
      <c r="Q6235" s="556"/>
      <c r="R6235" s="582"/>
    </row>
    <row r="6236" ht="23.85" customHeight="1" spans="1:18">
      <c r="A6236" s="556">
        <f>B6236</f>
        <v>0</v>
      </c>
      <c r="B6236" s="557">
        <f>B6235</f>
        <v>0</v>
      </c>
      <c r="C6236" s="79" t="s">
        <v>2921</v>
      </c>
      <c r="D6236" s="78" t="s">
        <v>4721</v>
      </c>
      <c r="E6236" s="79" t="s">
        <v>139</v>
      </c>
      <c r="F6236" s="79" t="s">
        <v>4722</v>
      </c>
      <c r="G6236" s="79" t="s">
        <v>2928</v>
      </c>
      <c r="H6236" s="79"/>
      <c r="I6236" s="80" t="s">
        <v>2897</v>
      </c>
      <c r="J6236" s="583">
        <v>13</v>
      </c>
      <c r="K6236" s="583">
        <v>0</v>
      </c>
      <c r="L6236" s="92">
        <v>47.06</v>
      </c>
      <c r="M6236" s="92">
        <v>611.78</v>
      </c>
      <c r="N6236" s="573">
        <v>19.51</v>
      </c>
      <c r="O6236" s="556" t="str">
        <f>IF(N6236=M6236,"OK","DIF")</f>
        <v>DIF</v>
      </c>
      <c r="P6236" s="573"/>
      <c r="Q6236" s="556"/>
      <c r="R6236" s="582"/>
    </row>
    <row r="6237" ht="46.25" customHeight="1" spans="1:18">
      <c r="A6237" s="556"/>
      <c r="B6237" s="557"/>
      <c r="C6237" s="100" t="s">
        <v>2893</v>
      </c>
      <c r="D6237" s="99" t="s">
        <v>4731</v>
      </c>
      <c r="E6237" s="100" t="s">
        <v>132</v>
      </c>
      <c r="F6237" s="100" t="s">
        <v>4732</v>
      </c>
      <c r="G6237" s="100" t="s">
        <v>3395</v>
      </c>
      <c r="H6237" s="100"/>
      <c r="I6237" s="101" t="s">
        <v>134</v>
      </c>
      <c r="J6237" s="580">
        <v>1</v>
      </c>
      <c r="K6237" s="580">
        <v>0</v>
      </c>
      <c r="L6237" s="102">
        <v>5632.37</v>
      </c>
      <c r="M6237" s="102">
        <v>5632.37</v>
      </c>
      <c r="N6237" s="573"/>
      <c r="O6237" s="556"/>
      <c r="P6237" s="573"/>
      <c r="Q6237" s="556"/>
      <c r="R6237" s="582"/>
    </row>
    <row r="6238" ht="25.5" spans="1:18">
      <c r="A6238" s="556"/>
      <c r="B6238" s="557"/>
      <c r="C6238" s="108"/>
      <c r="D6238" s="108"/>
      <c r="E6238" s="108"/>
      <c r="F6238" s="108"/>
      <c r="G6238" s="108"/>
      <c r="H6238" s="108" t="s">
        <v>2898</v>
      </c>
      <c r="I6238" s="581">
        <v>1026.87</v>
      </c>
      <c r="J6238" s="108" t="s">
        <v>2899</v>
      </c>
      <c r="K6238" s="581">
        <v>0</v>
      </c>
      <c r="L6238" s="108" t="s">
        <v>2900</v>
      </c>
      <c r="M6238" s="581">
        <v>1026.87</v>
      </c>
      <c r="N6238" s="573"/>
      <c r="O6238" s="556"/>
      <c r="P6238" s="573"/>
      <c r="Q6238" s="556"/>
      <c r="R6238" s="582"/>
    </row>
    <row r="6239" ht="26.25" spans="1:18">
      <c r="A6239" s="556"/>
      <c r="B6239" s="557"/>
      <c r="C6239" s="108"/>
      <c r="D6239" s="108"/>
      <c r="E6239" s="108"/>
      <c r="F6239" s="108"/>
      <c r="G6239" s="108"/>
      <c r="H6239" s="108" t="s">
        <v>2901</v>
      </c>
      <c r="I6239" s="581">
        <v>1792.51</v>
      </c>
      <c r="J6239" s="114"/>
      <c r="K6239" s="114" t="s">
        <v>2902</v>
      </c>
      <c r="L6239" s="108"/>
      <c r="M6239" s="581">
        <v>8824.72</v>
      </c>
      <c r="N6239" s="573"/>
      <c r="O6239" s="556"/>
      <c r="P6239" s="573"/>
      <c r="Q6239" s="556"/>
      <c r="R6239" s="582"/>
    </row>
    <row r="6240" ht="15" spans="1:18">
      <c r="A6240" s="556"/>
      <c r="B6240" s="557">
        <f>C6239</f>
        <v>0</v>
      </c>
      <c r="C6240" s="571"/>
      <c r="D6240" s="571"/>
      <c r="E6240" s="571"/>
      <c r="F6240" s="571"/>
      <c r="G6240" s="571"/>
      <c r="H6240" s="571"/>
      <c r="I6240" s="571"/>
      <c r="J6240" s="571"/>
      <c r="K6240" s="571"/>
      <c r="L6240" s="571"/>
      <c r="M6240" s="571"/>
      <c r="N6240" s="573">
        <v>5.96</v>
      </c>
      <c r="O6240" s="556" t="str">
        <f>IF(N6240=M6240,"OK","DIF")</f>
        <v>DIF</v>
      </c>
      <c r="P6240" s="573"/>
      <c r="Q6240" s="556"/>
      <c r="R6240" s="582"/>
    </row>
    <row r="6241" ht="15" customHeight="1" spans="1:18">
      <c r="A6241" s="556">
        <f>B6241</f>
        <v>0</v>
      </c>
      <c r="B6241" s="557">
        <f>B6240</f>
        <v>0</v>
      </c>
      <c r="C6241" s="76" t="s">
        <v>2106</v>
      </c>
      <c r="D6241" s="75" t="s">
        <v>63</v>
      </c>
      <c r="E6241" s="76" t="s">
        <v>64</v>
      </c>
      <c r="F6241" s="76" t="s">
        <v>65</v>
      </c>
      <c r="G6241" s="76" t="s">
        <v>2889</v>
      </c>
      <c r="H6241" s="76"/>
      <c r="I6241" s="77" t="s">
        <v>66</v>
      </c>
      <c r="J6241" s="75" t="s">
        <v>67</v>
      </c>
      <c r="K6241" s="75" t="s">
        <v>2890</v>
      </c>
      <c r="L6241" s="75" t="s">
        <v>68</v>
      </c>
      <c r="M6241" s="75" t="s">
        <v>70</v>
      </c>
      <c r="N6241" s="573">
        <v>0.8</v>
      </c>
      <c r="O6241" s="556" t="str">
        <f>IF(N6241=M6241,"OK","DIF")</f>
        <v>DIF</v>
      </c>
      <c r="P6241" s="573"/>
      <c r="Q6241" s="556"/>
      <c r="R6241" s="582"/>
    </row>
    <row r="6242" ht="51" spans="1:18">
      <c r="A6242" s="556">
        <f>B6242</f>
        <v>0</v>
      </c>
      <c r="B6242" s="557">
        <f>B6241</f>
        <v>0</v>
      </c>
      <c r="C6242" s="569" t="s">
        <v>2891</v>
      </c>
      <c r="D6242" s="570" t="s">
        <v>2107</v>
      </c>
      <c r="E6242" s="569" t="s">
        <v>132</v>
      </c>
      <c r="F6242" s="569" t="s">
        <v>2108</v>
      </c>
      <c r="G6242" s="569">
        <v>61.1</v>
      </c>
      <c r="H6242" s="569"/>
      <c r="I6242" s="577" t="s">
        <v>134</v>
      </c>
      <c r="J6242" s="578">
        <v>1</v>
      </c>
      <c r="K6242" s="579"/>
      <c r="L6242" s="579">
        <v>7199.24</v>
      </c>
      <c r="M6242" s="579">
        <v>7199.24</v>
      </c>
      <c r="N6242" s="573">
        <v>3.1</v>
      </c>
      <c r="O6242" s="556" t="str">
        <f>IF(N6242=M6242,"OK","DIF")</f>
        <v>DIF</v>
      </c>
      <c r="P6242" s="573"/>
      <c r="Q6242" s="556"/>
      <c r="R6242" s="582"/>
    </row>
    <row r="6243" ht="23.85" customHeight="1" spans="1:18">
      <c r="A6243" s="556">
        <f>B6243</f>
        <v>0</v>
      </c>
      <c r="B6243" s="557">
        <f>B6242</f>
        <v>0</v>
      </c>
      <c r="C6243" s="79" t="s">
        <v>2921</v>
      </c>
      <c r="D6243" s="78" t="s">
        <v>4721</v>
      </c>
      <c r="E6243" s="79" t="s">
        <v>139</v>
      </c>
      <c r="F6243" s="79" t="s">
        <v>4722</v>
      </c>
      <c r="G6243" s="79" t="s">
        <v>2928</v>
      </c>
      <c r="H6243" s="79"/>
      <c r="I6243" s="80" t="s">
        <v>2897</v>
      </c>
      <c r="J6243" s="583">
        <v>13</v>
      </c>
      <c r="K6243" s="583">
        <v>0</v>
      </c>
      <c r="L6243" s="92">
        <v>47.06</v>
      </c>
      <c r="M6243" s="92">
        <v>611.78</v>
      </c>
      <c r="N6243" s="573">
        <v>2.06</v>
      </c>
      <c r="O6243" s="556" t="str">
        <f>IF(N6243=M6243,"OK","DIF")</f>
        <v>DIF</v>
      </c>
      <c r="P6243" s="573"/>
      <c r="Q6243" s="556"/>
      <c r="R6243" s="582"/>
    </row>
    <row r="6244" ht="23.85" customHeight="1" spans="1:18">
      <c r="A6244" s="556"/>
      <c r="B6244" s="557"/>
      <c r="C6244" s="79" t="s">
        <v>2921</v>
      </c>
      <c r="D6244" s="78" t="s">
        <v>3487</v>
      </c>
      <c r="E6244" s="79" t="s">
        <v>139</v>
      </c>
      <c r="F6244" s="79" t="s">
        <v>3488</v>
      </c>
      <c r="G6244" s="79" t="s">
        <v>2928</v>
      </c>
      <c r="H6244" s="79"/>
      <c r="I6244" s="80" t="s">
        <v>2897</v>
      </c>
      <c r="J6244" s="583">
        <v>26</v>
      </c>
      <c r="K6244" s="583">
        <v>0</v>
      </c>
      <c r="L6244" s="92">
        <v>30.31</v>
      </c>
      <c r="M6244" s="92">
        <v>788.06</v>
      </c>
      <c r="N6244" s="573"/>
      <c r="O6244" s="556"/>
      <c r="P6244" s="573"/>
      <c r="Q6244" s="556"/>
      <c r="R6244" s="582"/>
    </row>
    <row r="6245" ht="46.25" customHeight="1" spans="1:18">
      <c r="A6245" s="556"/>
      <c r="B6245" s="557"/>
      <c r="C6245" s="100" t="s">
        <v>2893</v>
      </c>
      <c r="D6245" s="99" t="s">
        <v>4733</v>
      </c>
      <c r="E6245" s="100" t="s">
        <v>132</v>
      </c>
      <c r="F6245" s="100" t="s">
        <v>4734</v>
      </c>
      <c r="G6245" s="100" t="s">
        <v>3395</v>
      </c>
      <c r="H6245" s="100"/>
      <c r="I6245" s="101" t="s">
        <v>134</v>
      </c>
      <c r="J6245" s="580">
        <v>1</v>
      </c>
      <c r="K6245" s="580">
        <v>0</v>
      </c>
      <c r="L6245" s="102">
        <v>5799.4</v>
      </c>
      <c r="M6245" s="102">
        <v>5799.4</v>
      </c>
      <c r="N6245" s="573"/>
      <c r="O6245" s="556"/>
      <c r="P6245" s="573"/>
      <c r="Q6245" s="556"/>
      <c r="R6245" s="582"/>
    </row>
    <row r="6246" ht="25.5" spans="1:18">
      <c r="A6246" s="556"/>
      <c r="B6246" s="557" t="str">
        <f>C6245</f>
        <v>Insumo</v>
      </c>
      <c r="C6246" s="108"/>
      <c r="D6246" s="108"/>
      <c r="E6246" s="108"/>
      <c r="F6246" s="108"/>
      <c r="G6246" s="108"/>
      <c r="H6246" s="108" t="s">
        <v>2898</v>
      </c>
      <c r="I6246" s="581">
        <v>1026.87</v>
      </c>
      <c r="J6246" s="108" t="s">
        <v>2899</v>
      </c>
      <c r="K6246" s="581">
        <v>0</v>
      </c>
      <c r="L6246" s="108" t="s">
        <v>2900</v>
      </c>
      <c r="M6246" s="581">
        <v>1026.87</v>
      </c>
      <c r="N6246" s="573">
        <v>16.54</v>
      </c>
      <c r="O6246" s="556" t="str">
        <f>IF(N6246=M6246,"OK","DIF")</f>
        <v>DIF</v>
      </c>
      <c r="P6246" s="573"/>
      <c r="Q6246" s="556"/>
      <c r="R6246" s="582"/>
    </row>
    <row r="6247" ht="26.25" spans="1:18">
      <c r="A6247" s="556" t="str">
        <f>B6247</f>
        <v>Insumo</v>
      </c>
      <c r="B6247" s="557" t="str">
        <f>B6246</f>
        <v>Insumo</v>
      </c>
      <c r="C6247" s="108"/>
      <c r="D6247" s="108"/>
      <c r="E6247" s="108"/>
      <c r="F6247" s="108"/>
      <c r="G6247" s="108"/>
      <c r="H6247" s="108" t="s">
        <v>2901</v>
      </c>
      <c r="I6247" s="581">
        <v>1835.08</v>
      </c>
      <c r="J6247" s="114"/>
      <c r="K6247" s="114" t="s">
        <v>2902</v>
      </c>
      <c r="L6247" s="108"/>
      <c r="M6247" s="581">
        <v>9034.32</v>
      </c>
      <c r="N6247" s="573">
        <v>7.59</v>
      </c>
      <c r="O6247" s="556" t="str">
        <f>IF(N6247=M6247,"OK","DIF")</f>
        <v>DIF</v>
      </c>
      <c r="P6247" s="573"/>
      <c r="Q6247" s="556"/>
      <c r="R6247" s="582"/>
    </row>
    <row r="6248" ht="15" spans="1:18">
      <c r="A6248" s="556" t="str">
        <f>B6248</f>
        <v>Insumo</v>
      </c>
      <c r="B6248" s="557" t="str">
        <f>B6247</f>
        <v>Insumo</v>
      </c>
      <c r="C6248" s="571"/>
      <c r="D6248" s="571"/>
      <c r="E6248" s="571"/>
      <c r="F6248" s="571"/>
      <c r="G6248" s="571"/>
      <c r="H6248" s="571"/>
      <c r="I6248" s="571"/>
      <c r="J6248" s="571"/>
      <c r="K6248" s="571"/>
      <c r="L6248" s="571"/>
      <c r="M6248" s="571"/>
      <c r="N6248" s="573">
        <v>1.96</v>
      </c>
      <c r="O6248" s="556" t="str">
        <f>IF(N6248=M6248,"OK","DIF")</f>
        <v>DIF</v>
      </c>
      <c r="P6248" s="573"/>
      <c r="Q6248" s="556"/>
      <c r="R6248" s="582"/>
    </row>
    <row r="6249" ht="15" customHeight="1" spans="1:18">
      <c r="A6249" s="556" t="str">
        <f>B6249</f>
        <v>Insumo</v>
      </c>
      <c r="B6249" s="557" t="str">
        <f>B6248</f>
        <v>Insumo</v>
      </c>
      <c r="C6249" s="76" t="s">
        <v>2109</v>
      </c>
      <c r="D6249" s="75" t="s">
        <v>63</v>
      </c>
      <c r="E6249" s="76" t="s">
        <v>64</v>
      </c>
      <c r="F6249" s="76" t="s">
        <v>65</v>
      </c>
      <c r="G6249" s="76" t="s">
        <v>2889</v>
      </c>
      <c r="H6249" s="76"/>
      <c r="I6249" s="77" t="s">
        <v>66</v>
      </c>
      <c r="J6249" s="75" t="s">
        <v>67</v>
      </c>
      <c r="K6249" s="75" t="s">
        <v>2890</v>
      </c>
      <c r="L6249" s="75" t="s">
        <v>68</v>
      </c>
      <c r="M6249" s="75" t="s">
        <v>70</v>
      </c>
      <c r="N6249" s="573">
        <v>6.99</v>
      </c>
      <c r="O6249" s="556" t="str">
        <f>IF(N6249=M6249,"OK","DIF")</f>
        <v>DIF</v>
      </c>
      <c r="P6249" s="573"/>
      <c r="Q6249" s="556"/>
      <c r="R6249" s="582"/>
    </row>
    <row r="6250" ht="51" spans="1:18">
      <c r="A6250" s="556"/>
      <c r="B6250" s="557"/>
      <c r="C6250" s="569" t="s">
        <v>2891</v>
      </c>
      <c r="D6250" s="570" t="s">
        <v>2110</v>
      </c>
      <c r="E6250" s="569" t="s">
        <v>132</v>
      </c>
      <c r="F6250" s="569" t="s">
        <v>2111</v>
      </c>
      <c r="G6250" s="569">
        <v>61.1</v>
      </c>
      <c r="H6250" s="569"/>
      <c r="I6250" s="577" t="s">
        <v>134</v>
      </c>
      <c r="J6250" s="578">
        <v>1</v>
      </c>
      <c r="K6250" s="579"/>
      <c r="L6250" s="579">
        <v>3336.93</v>
      </c>
      <c r="M6250" s="579">
        <v>3336.93</v>
      </c>
      <c r="N6250" s="573"/>
      <c r="O6250" s="556"/>
      <c r="P6250" s="573"/>
      <c r="Q6250" s="556"/>
      <c r="R6250" s="582"/>
    </row>
    <row r="6251" ht="23.85" customHeight="1" spans="1:18">
      <c r="A6251" s="556"/>
      <c r="B6251" s="557"/>
      <c r="C6251" s="79" t="s">
        <v>2921</v>
      </c>
      <c r="D6251" s="78" t="s">
        <v>3487</v>
      </c>
      <c r="E6251" s="79" t="s">
        <v>139</v>
      </c>
      <c r="F6251" s="79" t="s">
        <v>3488</v>
      </c>
      <c r="G6251" s="79" t="s">
        <v>2928</v>
      </c>
      <c r="H6251" s="79"/>
      <c r="I6251" s="80" t="s">
        <v>2897</v>
      </c>
      <c r="J6251" s="583">
        <v>13</v>
      </c>
      <c r="K6251" s="583">
        <v>0</v>
      </c>
      <c r="L6251" s="92">
        <v>30.31</v>
      </c>
      <c r="M6251" s="92">
        <v>394.03</v>
      </c>
      <c r="N6251" s="573"/>
      <c r="O6251" s="556"/>
      <c r="P6251" s="573"/>
      <c r="Q6251" s="556"/>
      <c r="R6251" s="582"/>
    </row>
    <row r="6252" ht="23.85" customHeight="1" spans="1:18">
      <c r="A6252" s="556"/>
      <c r="B6252" s="557" t="str">
        <f>C6251</f>
        <v>Composição Auxiliar</v>
      </c>
      <c r="C6252" s="79" t="s">
        <v>2921</v>
      </c>
      <c r="D6252" s="78" t="s">
        <v>4721</v>
      </c>
      <c r="E6252" s="79" t="s">
        <v>139</v>
      </c>
      <c r="F6252" s="79" t="s">
        <v>4722</v>
      </c>
      <c r="G6252" s="79" t="s">
        <v>2928</v>
      </c>
      <c r="H6252" s="79"/>
      <c r="I6252" s="80" t="s">
        <v>2897</v>
      </c>
      <c r="J6252" s="583">
        <v>6</v>
      </c>
      <c r="K6252" s="583">
        <v>0</v>
      </c>
      <c r="L6252" s="92">
        <v>47.06</v>
      </c>
      <c r="M6252" s="92">
        <v>282.36</v>
      </c>
      <c r="N6252" s="573">
        <v>37.24</v>
      </c>
      <c r="O6252" s="556" t="str">
        <f>IF(N6252=M6252,"OK","DIF")</f>
        <v>DIF</v>
      </c>
      <c r="P6252" s="573"/>
      <c r="Q6252" s="556"/>
      <c r="R6252" s="582"/>
    </row>
    <row r="6253" ht="46.25" customHeight="1" spans="1:18">
      <c r="A6253" s="556" t="str">
        <f>B6253</f>
        <v>Composição Auxiliar</v>
      </c>
      <c r="B6253" s="557" t="str">
        <f>B6252</f>
        <v>Composição Auxiliar</v>
      </c>
      <c r="C6253" s="100" t="s">
        <v>2893</v>
      </c>
      <c r="D6253" s="99" t="s">
        <v>4735</v>
      </c>
      <c r="E6253" s="100" t="s">
        <v>132</v>
      </c>
      <c r="F6253" s="100" t="s">
        <v>4736</v>
      </c>
      <c r="G6253" s="100" t="s">
        <v>3395</v>
      </c>
      <c r="H6253" s="100"/>
      <c r="I6253" s="101" t="s">
        <v>134</v>
      </c>
      <c r="J6253" s="580">
        <v>1</v>
      </c>
      <c r="K6253" s="580">
        <v>0</v>
      </c>
      <c r="L6253" s="102">
        <v>2660.54</v>
      </c>
      <c r="M6253" s="102">
        <v>2660.54</v>
      </c>
      <c r="N6253" s="573">
        <v>6.41</v>
      </c>
      <c r="O6253" s="556" t="str">
        <f>IF(N6253=M6253,"OK","DIF")</f>
        <v>DIF</v>
      </c>
      <c r="P6253" s="573"/>
      <c r="Q6253" s="556"/>
      <c r="R6253" s="582"/>
    </row>
    <row r="6254" ht="25.5" spans="1:18">
      <c r="A6254" s="556" t="str">
        <f>B6254</f>
        <v>Composição Auxiliar</v>
      </c>
      <c r="B6254" s="557" t="str">
        <f>B6253</f>
        <v>Composição Auxiliar</v>
      </c>
      <c r="C6254" s="108"/>
      <c r="D6254" s="108"/>
      <c r="E6254" s="108"/>
      <c r="F6254" s="108"/>
      <c r="G6254" s="108"/>
      <c r="H6254" s="108" t="s">
        <v>2898</v>
      </c>
      <c r="I6254" s="581">
        <v>494.32</v>
      </c>
      <c r="J6254" s="108" t="s">
        <v>2899</v>
      </c>
      <c r="K6254" s="581">
        <v>0</v>
      </c>
      <c r="L6254" s="108" t="s">
        <v>2900</v>
      </c>
      <c r="M6254" s="581">
        <v>494.32</v>
      </c>
      <c r="N6254" s="573">
        <v>24.83</v>
      </c>
      <c r="O6254" s="556" t="str">
        <f>IF(N6254=M6254,"OK","DIF")</f>
        <v>DIF</v>
      </c>
      <c r="P6254" s="573"/>
      <c r="Q6254" s="556"/>
      <c r="R6254" s="582"/>
    </row>
    <row r="6255" ht="26.25" spans="1:18">
      <c r="A6255" s="556" t="str">
        <f>B6255</f>
        <v>Composição Auxiliar</v>
      </c>
      <c r="B6255" s="557" t="str">
        <f>B6254</f>
        <v>Composição Auxiliar</v>
      </c>
      <c r="C6255" s="108"/>
      <c r="D6255" s="108"/>
      <c r="E6255" s="108"/>
      <c r="F6255" s="108"/>
      <c r="G6255" s="108"/>
      <c r="H6255" s="108" t="s">
        <v>2901</v>
      </c>
      <c r="I6255" s="581">
        <v>850.58</v>
      </c>
      <c r="J6255" s="114"/>
      <c r="K6255" s="114" t="s">
        <v>2902</v>
      </c>
      <c r="L6255" s="108"/>
      <c r="M6255" s="581">
        <v>4187.51</v>
      </c>
      <c r="N6255" s="573">
        <v>0.11</v>
      </c>
      <c r="O6255" s="556" t="str">
        <f>IF(N6255=M6255,"OK","DIF")</f>
        <v>DIF</v>
      </c>
      <c r="P6255" s="573"/>
      <c r="Q6255" s="556"/>
      <c r="R6255" s="582"/>
    </row>
    <row r="6256" ht="15" spans="1:18">
      <c r="A6256" s="556" t="str">
        <f>B6256</f>
        <v>Composição Auxiliar</v>
      </c>
      <c r="B6256" s="557" t="str">
        <f>B6255</f>
        <v>Composição Auxiliar</v>
      </c>
      <c r="C6256" s="571"/>
      <c r="D6256" s="571"/>
      <c r="E6256" s="571"/>
      <c r="F6256" s="571"/>
      <c r="G6256" s="571"/>
      <c r="H6256" s="571"/>
      <c r="I6256" s="571"/>
      <c r="J6256" s="571"/>
      <c r="K6256" s="571"/>
      <c r="L6256" s="571"/>
      <c r="M6256" s="571"/>
      <c r="N6256" s="573">
        <v>5.89</v>
      </c>
      <c r="O6256" s="556" t="str">
        <f>IF(N6256=M6256,"OK","DIF")</f>
        <v>DIF</v>
      </c>
      <c r="P6256" s="573"/>
      <c r="Q6256" s="556"/>
      <c r="R6256" s="582"/>
    </row>
    <row r="6257" ht="15" customHeight="1" spans="1:18">
      <c r="A6257" s="556"/>
      <c r="B6257" s="557"/>
      <c r="C6257" s="76" t="s">
        <v>2112</v>
      </c>
      <c r="D6257" s="75" t="s">
        <v>63</v>
      </c>
      <c r="E6257" s="76" t="s">
        <v>64</v>
      </c>
      <c r="F6257" s="76" t="s">
        <v>65</v>
      </c>
      <c r="G6257" s="76" t="s">
        <v>2889</v>
      </c>
      <c r="H6257" s="76"/>
      <c r="I6257" s="77" t="s">
        <v>66</v>
      </c>
      <c r="J6257" s="75" t="s">
        <v>67</v>
      </c>
      <c r="K6257" s="75" t="s">
        <v>2890</v>
      </c>
      <c r="L6257" s="75" t="s">
        <v>68</v>
      </c>
      <c r="M6257" s="75" t="s">
        <v>70</v>
      </c>
      <c r="N6257" s="573"/>
      <c r="O6257" s="556"/>
      <c r="P6257" s="573"/>
      <c r="Q6257" s="556"/>
      <c r="R6257" s="582"/>
    </row>
    <row r="6258" ht="51" spans="1:18">
      <c r="A6258" s="556"/>
      <c r="B6258" s="557"/>
      <c r="C6258" s="569" t="s">
        <v>2891</v>
      </c>
      <c r="D6258" s="570" t="s">
        <v>2113</v>
      </c>
      <c r="E6258" s="569" t="s">
        <v>132</v>
      </c>
      <c r="F6258" s="569" t="s">
        <v>2114</v>
      </c>
      <c r="G6258" s="569">
        <v>61.1</v>
      </c>
      <c r="H6258" s="569"/>
      <c r="I6258" s="577" t="s">
        <v>134</v>
      </c>
      <c r="J6258" s="578">
        <v>1</v>
      </c>
      <c r="K6258" s="579"/>
      <c r="L6258" s="579">
        <v>3702.29</v>
      </c>
      <c r="M6258" s="579">
        <v>3702.29</v>
      </c>
      <c r="N6258" s="573"/>
      <c r="O6258" s="556"/>
      <c r="P6258" s="573"/>
      <c r="Q6258" s="556"/>
      <c r="R6258" s="582"/>
    </row>
    <row r="6259" ht="23.85" customHeight="1" spans="1:18">
      <c r="A6259" s="556"/>
      <c r="B6259" s="557"/>
      <c r="C6259" s="79" t="s">
        <v>2921</v>
      </c>
      <c r="D6259" s="78" t="s">
        <v>3487</v>
      </c>
      <c r="E6259" s="79" t="s">
        <v>139</v>
      </c>
      <c r="F6259" s="79" t="s">
        <v>3488</v>
      </c>
      <c r="G6259" s="79" t="s">
        <v>2928</v>
      </c>
      <c r="H6259" s="79"/>
      <c r="I6259" s="80" t="s">
        <v>2897</v>
      </c>
      <c r="J6259" s="583">
        <v>13</v>
      </c>
      <c r="K6259" s="583">
        <v>0</v>
      </c>
      <c r="L6259" s="92">
        <v>30.31</v>
      </c>
      <c r="M6259" s="92">
        <v>394.03</v>
      </c>
      <c r="N6259" s="573"/>
      <c r="O6259" s="556"/>
      <c r="P6259" s="573"/>
      <c r="Q6259" s="556"/>
      <c r="R6259" s="582"/>
    </row>
    <row r="6260" ht="23.85" customHeight="1" spans="1:18">
      <c r="A6260" s="556"/>
      <c r="B6260" s="557" t="str">
        <f>C6259</f>
        <v>Composição Auxiliar</v>
      </c>
      <c r="C6260" s="79" t="s">
        <v>2921</v>
      </c>
      <c r="D6260" s="78" t="s">
        <v>4721</v>
      </c>
      <c r="E6260" s="79" t="s">
        <v>139</v>
      </c>
      <c r="F6260" s="79" t="s">
        <v>4722</v>
      </c>
      <c r="G6260" s="79" t="s">
        <v>2928</v>
      </c>
      <c r="H6260" s="79"/>
      <c r="I6260" s="80" t="s">
        <v>2897</v>
      </c>
      <c r="J6260" s="583">
        <v>6</v>
      </c>
      <c r="K6260" s="583">
        <v>0</v>
      </c>
      <c r="L6260" s="92">
        <v>47.06</v>
      </c>
      <c r="M6260" s="92">
        <v>282.36</v>
      </c>
      <c r="N6260" s="573">
        <v>22.68</v>
      </c>
      <c r="O6260" s="556" t="str">
        <f>IF(N6260=M6260,"OK","DIF")</f>
        <v>DIF</v>
      </c>
      <c r="P6260" s="573"/>
      <c r="Q6260" s="556"/>
      <c r="R6260" s="582"/>
    </row>
    <row r="6261" ht="46.25" customHeight="1" spans="1:18">
      <c r="A6261" s="556" t="str">
        <f>B6261</f>
        <v>Composição Auxiliar</v>
      </c>
      <c r="B6261" s="557" t="str">
        <f>B6260</f>
        <v>Composição Auxiliar</v>
      </c>
      <c r="C6261" s="100" t="s">
        <v>2893</v>
      </c>
      <c r="D6261" s="99" t="s">
        <v>4737</v>
      </c>
      <c r="E6261" s="100" t="s">
        <v>132</v>
      </c>
      <c r="F6261" s="100" t="s">
        <v>4738</v>
      </c>
      <c r="G6261" s="100" t="s">
        <v>3395</v>
      </c>
      <c r="H6261" s="100"/>
      <c r="I6261" s="101" t="s">
        <v>134</v>
      </c>
      <c r="J6261" s="580">
        <v>1</v>
      </c>
      <c r="K6261" s="580">
        <v>0</v>
      </c>
      <c r="L6261" s="102">
        <v>3025.9</v>
      </c>
      <c r="M6261" s="102">
        <v>3025.9</v>
      </c>
      <c r="N6261" s="573">
        <v>5.77</v>
      </c>
      <c r="O6261" s="556" t="str">
        <f>IF(N6261=M6261,"OK","DIF")</f>
        <v>DIF</v>
      </c>
      <c r="P6261" s="573"/>
      <c r="Q6261" s="556"/>
      <c r="R6261" s="582"/>
    </row>
    <row r="6262" ht="25.5" spans="1:18">
      <c r="A6262" s="556" t="str">
        <f>B6262</f>
        <v>Composição Auxiliar</v>
      </c>
      <c r="B6262" s="557" t="str">
        <f>B6261</f>
        <v>Composição Auxiliar</v>
      </c>
      <c r="C6262" s="108"/>
      <c r="D6262" s="108"/>
      <c r="E6262" s="108"/>
      <c r="F6262" s="108"/>
      <c r="G6262" s="108"/>
      <c r="H6262" s="108" t="s">
        <v>2898</v>
      </c>
      <c r="I6262" s="581">
        <v>494.32</v>
      </c>
      <c r="J6262" s="108" t="s">
        <v>2899</v>
      </c>
      <c r="K6262" s="581">
        <v>0</v>
      </c>
      <c r="L6262" s="108" t="s">
        <v>2900</v>
      </c>
      <c r="M6262" s="581">
        <v>494.32</v>
      </c>
      <c r="N6262" s="573">
        <v>7.98</v>
      </c>
      <c r="O6262" s="556" t="str">
        <f>IF(N6262=M6262,"OK","DIF")</f>
        <v>DIF</v>
      </c>
      <c r="P6262" s="573"/>
      <c r="Q6262" s="556"/>
      <c r="R6262" s="582"/>
    </row>
    <row r="6263" ht="26.25" spans="1:18">
      <c r="A6263" s="556" t="str">
        <f>B6263</f>
        <v>Composição Auxiliar</v>
      </c>
      <c r="B6263" s="557" t="str">
        <f>B6262</f>
        <v>Composição Auxiliar</v>
      </c>
      <c r="C6263" s="108"/>
      <c r="D6263" s="108"/>
      <c r="E6263" s="108"/>
      <c r="F6263" s="108"/>
      <c r="G6263" s="108"/>
      <c r="H6263" s="108" t="s">
        <v>2901</v>
      </c>
      <c r="I6263" s="581">
        <v>943.71</v>
      </c>
      <c r="J6263" s="114"/>
      <c r="K6263" s="114" t="s">
        <v>2902</v>
      </c>
      <c r="L6263" s="108"/>
      <c r="M6263" s="581">
        <v>4646</v>
      </c>
      <c r="N6263" s="573">
        <v>8.93</v>
      </c>
      <c r="O6263" s="556" t="str">
        <f>IF(N6263=M6263,"OK","DIF")</f>
        <v>DIF</v>
      </c>
      <c r="P6263" s="573"/>
      <c r="Q6263" s="556"/>
      <c r="R6263" s="582"/>
    </row>
    <row r="6264" ht="15" spans="1:18">
      <c r="A6264" s="556"/>
      <c r="B6264" s="557"/>
      <c r="C6264" s="571"/>
      <c r="D6264" s="571"/>
      <c r="E6264" s="571"/>
      <c r="F6264" s="571"/>
      <c r="G6264" s="571"/>
      <c r="H6264" s="571"/>
      <c r="I6264" s="571"/>
      <c r="J6264" s="571"/>
      <c r="K6264" s="571"/>
      <c r="L6264" s="571"/>
      <c r="M6264" s="571"/>
      <c r="N6264" s="573"/>
      <c r="O6264" s="556"/>
      <c r="P6264" s="573"/>
      <c r="Q6264" s="556"/>
      <c r="R6264" s="582"/>
    </row>
    <row r="6265" ht="15" customHeight="1" spans="1:18">
      <c r="A6265" s="556"/>
      <c r="B6265" s="557"/>
      <c r="C6265" s="76" t="s">
        <v>2115</v>
      </c>
      <c r="D6265" s="75" t="s">
        <v>63</v>
      </c>
      <c r="E6265" s="76" t="s">
        <v>64</v>
      </c>
      <c r="F6265" s="76" t="s">
        <v>65</v>
      </c>
      <c r="G6265" s="76" t="s">
        <v>2889</v>
      </c>
      <c r="H6265" s="76"/>
      <c r="I6265" s="77" t="s">
        <v>66</v>
      </c>
      <c r="J6265" s="75" t="s">
        <v>67</v>
      </c>
      <c r="K6265" s="75" t="s">
        <v>2890</v>
      </c>
      <c r="L6265" s="75" t="s">
        <v>68</v>
      </c>
      <c r="M6265" s="75" t="s">
        <v>70</v>
      </c>
      <c r="N6265" s="573"/>
      <c r="O6265" s="556"/>
      <c r="P6265" s="573"/>
      <c r="Q6265" s="556"/>
      <c r="R6265" s="582"/>
    </row>
    <row r="6266" ht="51" spans="1:18">
      <c r="A6266" s="556"/>
      <c r="B6266" s="557" t="str">
        <f>C6265</f>
        <v> 15.1.16 </v>
      </c>
      <c r="C6266" s="569" t="s">
        <v>2891</v>
      </c>
      <c r="D6266" s="570" t="s">
        <v>2116</v>
      </c>
      <c r="E6266" s="569" t="s">
        <v>132</v>
      </c>
      <c r="F6266" s="569" t="s">
        <v>2117</v>
      </c>
      <c r="G6266" s="569">
        <v>18</v>
      </c>
      <c r="H6266" s="569"/>
      <c r="I6266" s="577" t="s">
        <v>134</v>
      </c>
      <c r="J6266" s="578">
        <v>1</v>
      </c>
      <c r="K6266" s="579"/>
      <c r="L6266" s="579">
        <v>250.62</v>
      </c>
      <c r="M6266" s="579">
        <v>250.62</v>
      </c>
      <c r="N6266" s="573">
        <v>76.08</v>
      </c>
      <c r="O6266" s="556" t="str">
        <f t="shared" ref="O6266:O6272" si="415">IF(N6266=M6266,"OK","DIF")</f>
        <v>DIF</v>
      </c>
      <c r="P6266" s="573"/>
      <c r="Q6266" s="556"/>
      <c r="R6266" s="582"/>
    </row>
    <row r="6267" ht="23.85" customHeight="1" spans="1:18">
      <c r="A6267" s="556" t="str">
        <f t="shared" ref="A6267:A6272" si="416">B6267</f>
        <v> 15.1.16 </v>
      </c>
      <c r="B6267" s="557" t="str">
        <f t="shared" ref="B6267:B6272" si="417">B6266</f>
        <v> 15.1.16 </v>
      </c>
      <c r="C6267" s="79" t="s">
        <v>2921</v>
      </c>
      <c r="D6267" s="78" t="s">
        <v>3151</v>
      </c>
      <c r="E6267" s="79" t="s">
        <v>139</v>
      </c>
      <c r="F6267" s="79" t="s">
        <v>3152</v>
      </c>
      <c r="G6267" s="79" t="s">
        <v>2928</v>
      </c>
      <c r="H6267" s="79"/>
      <c r="I6267" s="80" t="s">
        <v>2897</v>
      </c>
      <c r="J6267" s="583">
        <v>1</v>
      </c>
      <c r="K6267" s="583">
        <v>0</v>
      </c>
      <c r="L6267" s="92">
        <v>36.82</v>
      </c>
      <c r="M6267" s="92">
        <v>36.82</v>
      </c>
      <c r="N6267" s="573">
        <v>9.2</v>
      </c>
      <c r="O6267" s="556" t="str">
        <f t="shared" si="415"/>
        <v>DIF</v>
      </c>
      <c r="P6267" s="573"/>
      <c r="Q6267" s="556"/>
      <c r="R6267" s="582"/>
    </row>
    <row r="6268" ht="23.85" customHeight="1" spans="1:18">
      <c r="A6268" s="556" t="str">
        <f t="shared" si="416"/>
        <v> 15.1.16 </v>
      </c>
      <c r="B6268" s="557" t="str">
        <f t="shared" si="417"/>
        <v> 15.1.16 </v>
      </c>
      <c r="C6268" s="79" t="s">
        <v>2921</v>
      </c>
      <c r="D6268" s="78" t="s">
        <v>2952</v>
      </c>
      <c r="E6268" s="79" t="s">
        <v>139</v>
      </c>
      <c r="F6268" s="79" t="s">
        <v>2953</v>
      </c>
      <c r="G6268" s="79" t="s">
        <v>2928</v>
      </c>
      <c r="H6268" s="79"/>
      <c r="I6268" s="80" t="s">
        <v>2897</v>
      </c>
      <c r="J6268" s="583">
        <v>1</v>
      </c>
      <c r="K6268" s="583">
        <v>0</v>
      </c>
      <c r="L6268" s="92">
        <v>29.15</v>
      </c>
      <c r="M6268" s="92">
        <v>29.15</v>
      </c>
      <c r="N6268" s="573">
        <v>2.98</v>
      </c>
      <c r="O6268" s="556" t="str">
        <f t="shared" si="415"/>
        <v>DIF</v>
      </c>
      <c r="P6268" s="573"/>
      <c r="Q6268" s="556"/>
      <c r="R6268" s="582"/>
    </row>
    <row r="6269" ht="35.05" customHeight="1" spans="1:18">
      <c r="A6269" s="556" t="str">
        <f t="shared" si="416"/>
        <v> 15.1.16 </v>
      </c>
      <c r="B6269" s="557" t="str">
        <f t="shared" si="417"/>
        <v> 15.1.16 </v>
      </c>
      <c r="C6269" s="100" t="s">
        <v>2893</v>
      </c>
      <c r="D6269" s="99" t="s">
        <v>4739</v>
      </c>
      <c r="E6269" s="100" t="s">
        <v>132</v>
      </c>
      <c r="F6269" s="100" t="s">
        <v>4740</v>
      </c>
      <c r="G6269" s="100" t="s">
        <v>3395</v>
      </c>
      <c r="H6269" s="100"/>
      <c r="I6269" s="101" t="s">
        <v>134</v>
      </c>
      <c r="J6269" s="580">
        <v>1</v>
      </c>
      <c r="K6269" s="580">
        <v>0</v>
      </c>
      <c r="L6269" s="102">
        <v>184.65</v>
      </c>
      <c r="M6269" s="102">
        <v>184.65</v>
      </c>
      <c r="N6269" s="573">
        <v>2.91</v>
      </c>
      <c r="O6269" s="556" t="str">
        <f t="shared" si="415"/>
        <v>DIF</v>
      </c>
      <c r="P6269" s="573"/>
      <c r="Q6269" s="556"/>
      <c r="R6269" s="582"/>
    </row>
    <row r="6270" ht="25.5" spans="1:18">
      <c r="A6270" s="556" t="str">
        <f t="shared" si="416"/>
        <v> 15.1.16 </v>
      </c>
      <c r="B6270" s="557" t="str">
        <f t="shared" si="417"/>
        <v> 15.1.16 </v>
      </c>
      <c r="C6270" s="108"/>
      <c r="D6270" s="108"/>
      <c r="E6270" s="108"/>
      <c r="F6270" s="108"/>
      <c r="G6270" s="108"/>
      <c r="H6270" s="108" t="s">
        <v>2898</v>
      </c>
      <c r="I6270" s="581">
        <v>45.99</v>
      </c>
      <c r="J6270" s="108" t="s">
        <v>2899</v>
      </c>
      <c r="K6270" s="581">
        <v>0</v>
      </c>
      <c r="L6270" s="108" t="s">
        <v>2900</v>
      </c>
      <c r="M6270" s="581">
        <v>45.99</v>
      </c>
      <c r="N6270" s="573">
        <v>29.55</v>
      </c>
      <c r="O6270" s="556" t="str">
        <f t="shared" si="415"/>
        <v>DIF</v>
      </c>
      <c r="P6270" s="573"/>
      <c r="Q6270" s="556"/>
      <c r="R6270" s="582"/>
    </row>
    <row r="6271" ht="26.25" spans="1:18">
      <c r="A6271" s="556" t="str">
        <f t="shared" si="416"/>
        <v> 15.1.16 </v>
      </c>
      <c r="B6271" s="557" t="str">
        <f t="shared" si="417"/>
        <v> 15.1.16 </v>
      </c>
      <c r="C6271" s="108"/>
      <c r="D6271" s="108"/>
      <c r="E6271" s="108"/>
      <c r="F6271" s="108"/>
      <c r="G6271" s="108"/>
      <c r="H6271" s="108" t="s">
        <v>2901</v>
      </c>
      <c r="I6271" s="581">
        <v>63.88</v>
      </c>
      <c r="J6271" s="114"/>
      <c r="K6271" s="114" t="s">
        <v>2902</v>
      </c>
      <c r="L6271" s="108"/>
      <c r="M6271" s="581">
        <v>314.5</v>
      </c>
      <c r="N6271" s="573">
        <v>0.09</v>
      </c>
      <c r="O6271" s="556" t="str">
        <f t="shared" si="415"/>
        <v>DIF</v>
      </c>
      <c r="P6271" s="573"/>
      <c r="Q6271" s="556"/>
      <c r="R6271" s="582"/>
    </row>
    <row r="6272" ht="15" spans="1:18">
      <c r="A6272" s="556" t="str">
        <f t="shared" si="416"/>
        <v> 15.1.16 </v>
      </c>
      <c r="B6272" s="557" t="str">
        <f t="shared" si="417"/>
        <v> 15.1.16 </v>
      </c>
      <c r="C6272" s="571"/>
      <c r="D6272" s="571"/>
      <c r="E6272" s="571"/>
      <c r="F6272" s="571"/>
      <c r="G6272" s="571"/>
      <c r="H6272" s="571"/>
      <c r="I6272" s="571"/>
      <c r="J6272" s="571"/>
      <c r="K6272" s="571"/>
      <c r="L6272" s="571"/>
      <c r="M6272" s="571"/>
      <c r="N6272" s="573">
        <v>31.35</v>
      </c>
      <c r="O6272" s="556" t="str">
        <f t="shared" si="415"/>
        <v>DIF</v>
      </c>
      <c r="P6272" s="573"/>
      <c r="Q6272" s="556"/>
      <c r="R6272" s="582"/>
    </row>
    <row r="6273" ht="15" customHeight="1" spans="1:18">
      <c r="A6273" s="556"/>
      <c r="B6273" s="557"/>
      <c r="C6273" s="76" t="s">
        <v>2118</v>
      </c>
      <c r="D6273" s="75" t="s">
        <v>63</v>
      </c>
      <c r="E6273" s="76" t="s">
        <v>64</v>
      </c>
      <c r="F6273" s="76" t="s">
        <v>65</v>
      </c>
      <c r="G6273" s="76" t="s">
        <v>2889</v>
      </c>
      <c r="H6273" s="76"/>
      <c r="I6273" s="77" t="s">
        <v>66</v>
      </c>
      <c r="J6273" s="75" t="s">
        <v>67</v>
      </c>
      <c r="K6273" s="75" t="s">
        <v>2890</v>
      </c>
      <c r="L6273" s="75" t="s">
        <v>68</v>
      </c>
      <c r="M6273" s="75" t="s">
        <v>70</v>
      </c>
      <c r="N6273" s="573"/>
      <c r="O6273" s="556"/>
      <c r="P6273" s="573"/>
      <c r="Q6273" s="556"/>
      <c r="R6273" s="582"/>
    </row>
    <row r="6274" ht="76.5" spans="1:18">
      <c r="A6274" s="556"/>
      <c r="B6274" s="557"/>
      <c r="C6274" s="569" t="s">
        <v>2891</v>
      </c>
      <c r="D6274" s="570" t="s">
        <v>2119</v>
      </c>
      <c r="E6274" s="569" t="s">
        <v>132</v>
      </c>
      <c r="F6274" s="569" t="s">
        <v>2120</v>
      </c>
      <c r="G6274" s="569">
        <v>77</v>
      </c>
      <c r="H6274" s="569"/>
      <c r="I6274" s="577" t="s">
        <v>134</v>
      </c>
      <c r="J6274" s="578">
        <v>1</v>
      </c>
      <c r="K6274" s="579"/>
      <c r="L6274" s="579">
        <v>75550.8</v>
      </c>
      <c r="M6274" s="579">
        <v>75550.8</v>
      </c>
      <c r="N6274" s="573"/>
      <c r="O6274" s="556"/>
      <c r="P6274" s="573"/>
      <c r="Q6274" s="556"/>
      <c r="R6274" s="582"/>
    </row>
    <row r="6275" ht="68.65" customHeight="1" spans="1:18">
      <c r="A6275" s="556"/>
      <c r="B6275" s="557"/>
      <c r="C6275" s="100" t="s">
        <v>2893</v>
      </c>
      <c r="D6275" s="99" t="s">
        <v>4741</v>
      </c>
      <c r="E6275" s="100" t="s">
        <v>132</v>
      </c>
      <c r="F6275" s="100" t="s">
        <v>4742</v>
      </c>
      <c r="G6275" s="100" t="s">
        <v>3395</v>
      </c>
      <c r="H6275" s="100"/>
      <c r="I6275" s="101" t="s">
        <v>134</v>
      </c>
      <c r="J6275" s="580">
        <v>1</v>
      </c>
      <c r="K6275" s="580">
        <v>0</v>
      </c>
      <c r="L6275" s="102">
        <v>75550.8</v>
      </c>
      <c r="M6275" s="102">
        <v>75550.8</v>
      </c>
      <c r="N6275" s="573"/>
      <c r="O6275" s="556"/>
      <c r="P6275" s="573"/>
      <c r="Q6275" s="556"/>
      <c r="R6275" s="582"/>
    </row>
    <row r="6276" ht="25.5" spans="1:18">
      <c r="A6276" s="556"/>
      <c r="B6276" s="557" t="str">
        <f>C6275</f>
        <v>Insumo</v>
      </c>
      <c r="C6276" s="108"/>
      <c r="D6276" s="108"/>
      <c r="E6276" s="108"/>
      <c r="F6276" s="108"/>
      <c r="G6276" s="108"/>
      <c r="H6276" s="108" t="s">
        <v>2898</v>
      </c>
      <c r="I6276" s="581">
        <v>0</v>
      </c>
      <c r="J6276" s="108" t="s">
        <v>2899</v>
      </c>
      <c r="K6276" s="581">
        <v>0</v>
      </c>
      <c r="L6276" s="108" t="s">
        <v>2900</v>
      </c>
      <c r="M6276" s="581">
        <v>0</v>
      </c>
      <c r="N6276" s="573">
        <v>1111.8</v>
      </c>
      <c r="O6276" s="556" t="str">
        <f>IF(N6276=M6276,"OK","DIF")</f>
        <v>DIF</v>
      </c>
      <c r="P6276" s="573"/>
      <c r="Q6276" s="556"/>
      <c r="R6276" s="582"/>
    </row>
    <row r="6277" ht="26.25" spans="1:18">
      <c r="A6277" s="556" t="str">
        <f>B6277</f>
        <v>Insumo</v>
      </c>
      <c r="B6277" s="557" t="str">
        <f>B6276</f>
        <v>Insumo</v>
      </c>
      <c r="C6277" s="108"/>
      <c r="D6277" s="108"/>
      <c r="E6277" s="108"/>
      <c r="F6277" s="108"/>
      <c r="G6277" s="108"/>
      <c r="H6277" s="108" t="s">
        <v>2901</v>
      </c>
      <c r="I6277" s="581">
        <v>12178.78</v>
      </c>
      <c r="J6277" s="114"/>
      <c r="K6277" s="114" t="s">
        <v>2902</v>
      </c>
      <c r="L6277" s="108"/>
      <c r="M6277" s="581">
        <v>87729.58</v>
      </c>
      <c r="N6277" s="573">
        <v>1111.8</v>
      </c>
      <c r="O6277" s="556" t="str">
        <f>IF(N6277=M6277,"OK","DIF")</f>
        <v>DIF</v>
      </c>
      <c r="P6277" s="573"/>
      <c r="Q6277" s="556"/>
      <c r="R6277" s="582"/>
    </row>
    <row r="6278" ht="15" spans="1:18">
      <c r="A6278" s="556"/>
      <c r="B6278" s="557"/>
      <c r="C6278" s="571"/>
      <c r="D6278" s="571"/>
      <c r="E6278" s="571"/>
      <c r="F6278" s="571"/>
      <c r="G6278" s="571"/>
      <c r="H6278" s="571"/>
      <c r="I6278" s="571"/>
      <c r="J6278" s="571"/>
      <c r="K6278" s="571"/>
      <c r="L6278" s="571"/>
      <c r="M6278" s="571"/>
      <c r="N6278" s="573"/>
      <c r="O6278" s="556"/>
      <c r="P6278" s="573"/>
      <c r="Q6278" s="556"/>
      <c r="R6278" s="582"/>
    </row>
    <row r="6279" ht="15" customHeight="1" spans="1:18">
      <c r="A6279" s="556"/>
      <c r="B6279" s="557"/>
      <c r="C6279" s="76" t="s">
        <v>2122</v>
      </c>
      <c r="D6279" s="75" t="s">
        <v>63</v>
      </c>
      <c r="E6279" s="76" t="s">
        <v>64</v>
      </c>
      <c r="F6279" s="76" t="s">
        <v>65</v>
      </c>
      <c r="G6279" s="76" t="s">
        <v>2889</v>
      </c>
      <c r="H6279" s="76"/>
      <c r="I6279" s="77" t="s">
        <v>66</v>
      </c>
      <c r="J6279" s="75" t="s">
        <v>67</v>
      </c>
      <c r="K6279" s="75" t="s">
        <v>2890</v>
      </c>
      <c r="L6279" s="75" t="s">
        <v>68</v>
      </c>
      <c r="M6279" s="75" t="s">
        <v>70</v>
      </c>
      <c r="N6279" s="573"/>
      <c r="O6279" s="556"/>
      <c r="P6279" s="573"/>
      <c r="Q6279" s="556"/>
      <c r="R6279" s="582"/>
    </row>
    <row r="6280" ht="76.5" spans="1:18">
      <c r="A6280" s="556"/>
      <c r="B6280" s="557" t="str">
        <f>C6279</f>
        <v> 15.1.18 </v>
      </c>
      <c r="C6280" s="569" t="s">
        <v>2891</v>
      </c>
      <c r="D6280" s="570" t="s">
        <v>2123</v>
      </c>
      <c r="E6280" s="569" t="s">
        <v>132</v>
      </c>
      <c r="F6280" s="569" t="s">
        <v>2124</v>
      </c>
      <c r="G6280" s="569">
        <v>77</v>
      </c>
      <c r="H6280" s="569"/>
      <c r="I6280" s="577" t="s">
        <v>134</v>
      </c>
      <c r="J6280" s="578">
        <v>1</v>
      </c>
      <c r="K6280" s="579"/>
      <c r="L6280" s="579">
        <v>177.03</v>
      </c>
      <c r="M6280" s="579">
        <v>177.03</v>
      </c>
      <c r="N6280" s="573">
        <v>399237.2</v>
      </c>
      <c r="O6280" s="556" t="str">
        <f>IF(N6280=M6280,"OK","DIF")</f>
        <v>DIF</v>
      </c>
      <c r="P6280" s="573"/>
      <c r="Q6280" s="556"/>
      <c r="R6280" s="582"/>
    </row>
    <row r="6281" ht="23.85" customHeight="1" spans="1:18">
      <c r="A6281" s="556" t="str">
        <f>B6281</f>
        <v> 15.1.18 </v>
      </c>
      <c r="B6281" s="557" t="str">
        <f>B6280</f>
        <v> 15.1.18 </v>
      </c>
      <c r="C6281" s="79" t="s">
        <v>2921</v>
      </c>
      <c r="D6281" s="78" t="s">
        <v>3146</v>
      </c>
      <c r="E6281" s="79" t="s">
        <v>139</v>
      </c>
      <c r="F6281" s="79" t="s">
        <v>3147</v>
      </c>
      <c r="G6281" s="79" t="s">
        <v>2928</v>
      </c>
      <c r="H6281" s="79"/>
      <c r="I6281" s="80" t="s">
        <v>2897</v>
      </c>
      <c r="J6281" s="583">
        <v>2.72</v>
      </c>
      <c r="K6281" s="583">
        <v>0</v>
      </c>
      <c r="L6281" s="92">
        <v>29.54</v>
      </c>
      <c r="M6281" s="92">
        <v>80.34</v>
      </c>
      <c r="N6281" s="573">
        <v>399237.2</v>
      </c>
      <c r="O6281" s="556" t="str">
        <f>IF(N6281=M6281,"OK","DIF")</f>
        <v>DIF</v>
      </c>
      <c r="P6281" s="573"/>
      <c r="Q6281" s="556"/>
      <c r="R6281" s="582"/>
    </row>
    <row r="6282" ht="23.85" customHeight="1" spans="1:18">
      <c r="A6282" s="556"/>
      <c r="B6282" s="557"/>
      <c r="C6282" s="79" t="s">
        <v>2921</v>
      </c>
      <c r="D6282" s="78" t="s">
        <v>3144</v>
      </c>
      <c r="E6282" s="79" t="s">
        <v>139</v>
      </c>
      <c r="F6282" s="79" t="s">
        <v>3145</v>
      </c>
      <c r="G6282" s="79" t="s">
        <v>2928</v>
      </c>
      <c r="H6282" s="79"/>
      <c r="I6282" s="80" t="s">
        <v>2897</v>
      </c>
      <c r="J6282" s="583">
        <v>2.72</v>
      </c>
      <c r="K6282" s="583">
        <v>0</v>
      </c>
      <c r="L6282" s="92">
        <v>35.55</v>
      </c>
      <c r="M6282" s="92">
        <v>96.69</v>
      </c>
      <c r="N6282" s="573"/>
      <c r="O6282" s="556"/>
      <c r="P6282" s="573"/>
      <c r="Q6282" s="556"/>
      <c r="R6282" s="582"/>
    </row>
    <row r="6283" ht="25.5" spans="1:18">
      <c r="A6283" s="556"/>
      <c r="B6283" s="557"/>
      <c r="C6283" s="108"/>
      <c r="D6283" s="108"/>
      <c r="E6283" s="108"/>
      <c r="F6283" s="108"/>
      <c r="G6283" s="108"/>
      <c r="H6283" s="108" t="s">
        <v>2898</v>
      </c>
      <c r="I6283" s="581">
        <v>126.06</v>
      </c>
      <c r="J6283" s="108" t="s">
        <v>2899</v>
      </c>
      <c r="K6283" s="581">
        <v>0</v>
      </c>
      <c r="L6283" s="108" t="s">
        <v>2900</v>
      </c>
      <c r="M6283" s="581">
        <v>126.06</v>
      </c>
      <c r="N6283" s="573"/>
      <c r="O6283" s="556"/>
      <c r="P6283" s="573"/>
      <c r="Q6283" s="556"/>
      <c r="R6283" s="582"/>
    </row>
    <row r="6284" ht="26.25" spans="1:18">
      <c r="A6284" s="556"/>
      <c r="B6284" s="557"/>
      <c r="C6284" s="108"/>
      <c r="D6284" s="108"/>
      <c r="E6284" s="108"/>
      <c r="F6284" s="108"/>
      <c r="G6284" s="108"/>
      <c r="H6284" s="108" t="s">
        <v>2901</v>
      </c>
      <c r="I6284" s="581">
        <v>45.12</v>
      </c>
      <c r="J6284" s="114"/>
      <c r="K6284" s="114" t="s">
        <v>2902</v>
      </c>
      <c r="L6284" s="108"/>
      <c r="M6284" s="581">
        <v>222.15</v>
      </c>
      <c r="N6284" s="573"/>
      <c r="O6284" s="556"/>
      <c r="P6284" s="573"/>
      <c r="Q6284" s="556"/>
      <c r="R6284" s="582"/>
    </row>
    <row r="6285" ht="15" spans="1:18">
      <c r="A6285" s="556"/>
      <c r="B6285" s="557">
        <f>C6284</f>
        <v>0</v>
      </c>
      <c r="C6285" s="571"/>
      <c r="D6285" s="571"/>
      <c r="E6285" s="571"/>
      <c r="F6285" s="571"/>
      <c r="G6285" s="571"/>
      <c r="H6285" s="571"/>
      <c r="I6285" s="571"/>
      <c r="J6285" s="571"/>
      <c r="K6285" s="571"/>
      <c r="L6285" s="571"/>
      <c r="M6285" s="571"/>
      <c r="N6285" s="573">
        <v>66.99</v>
      </c>
      <c r="O6285" s="556" t="str">
        <f t="shared" ref="O6285:O6293" si="418">IF(N6285=M6285,"OK","DIF")</f>
        <v>DIF</v>
      </c>
      <c r="P6285" s="573"/>
      <c r="Q6285" s="556"/>
      <c r="R6285" s="582"/>
    </row>
    <row r="6286" ht="15" customHeight="1" spans="1:18">
      <c r="A6286" s="556">
        <f t="shared" ref="A6286:A6293" si="419">B6286</f>
        <v>0</v>
      </c>
      <c r="B6286" s="557">
        <f t="shared" ref="B6286:B6293" si="420">B6285</f>
        <v>0</v>
      </c>
      <c r="C6286" s="76" t="s">
        <v>2125</v>
      </c>
      <c r="D6286" s="75" t="s">
        <v>63</v>
      </c>
      <c r="E6286" s="76" t="s">
        <v>64</v>
      </c>
      <c r="F6286" s="76" t="s">
        <v>65</v>
      </c>
      <c r="G6286" s="76" t="s">
        <v>2889</v>
      </c>
      <c r="H6286" s="76"/>
      <c r="I6286" s="77" t="s">
        <v>66</v>
      </c>
      <c r="J6286" s="75" t="s">
        <v>67</v>
      </c>
      <c r="K6286" s="75" t="s">
        <v>2890</v>
      </c>
      <c r="L6286" s="75" t="s">
        <v>68</v>
      </c>
      <c r="M6286" s="75" t="s">
        <v>70</v>
      </c>
      <c r="N6286" s="573">
        <v>16.33</v>
      </c>
      <c r="O6286" s="556" t="str">
        <f t="shared" si="418"/>
        <v>DIF</v>
      </c>
      <c r="P6286" s="573"/>
      <c r="Q6286" s="556"/>
      <c r="R6286" s="582"/>
    </row>
    <row r="6287" ht="76.5" spans="1:18">
      <c r="A6287" s="556">
        <f t="shared" si="419"/>
        <v>0</v>
      </c>
      <c r="B6287" s="557">
        <f t="shared" si="420"/>
        <v>0</v>
      </c>
      <c r="C6287" s="569" t="s">
        <v>2891</v>
      </c>
      <c r="D6287" s="570" t="s">
        <v>2126</v>
      </c>
      <c r="E6287" s="569" t="s">
        <v>132</v>
      </c>
      <c r="F6287" s="569" t="s">
        <v>2127</v>
      </c>
      <c r="G6287" s="569">
        <v>77</v>
      </c>
      <c r="H6287" s="569"/>
      <c r="I6287" s="577" t="s">
        <v>134</v>
      </c>
      <c r="J6287" s="578">
        <v>1</v>
      </c>
      <c r="K6287" s="579"/>
      <c r="L6287" s="579">
        <v>75550.8</v>
      </c>
      <c r="M6287" s="579">
        <v>75550.8</v>
      </c>
      <c r="N6287" s="573">
        <v>35.58</v>
      </c>
      <c r="O6287" s="556" t="str">
        <f t="shared" si="418"/>
        <v>DIF</v>
      </c>
      <c r="P6287" s="573"/>
      <c r="Q6287" s="556"/>
      <c r="R6287" s="582"/>
    </row>
    <row r="6288" ht="68.65" customHeight="1" spans="1:18">
      <c r="A6288" s="556">
        <f t="shared" si="419"/>
        <v>0</v>
      </c>
      <c r="B6288" s="557">
        <f t="shared" si="420"/>
        <v>0</v>
      </c>
      <c r="C6288" s="100" t="s">
        <v>2893</v>
      </c>
      <c r="D6288" s="99" t="s">
        <v>4743</v>
      </c>
      <c r="E6288" s="100" t="s">
        <v>132</v>
      </c>
      <c r="F6288" s="100" t="s">
        <v>4744</v>
      </c>
      <c r="G6288" s="100" t="s">
        <v>3395</v>
      </c>
      <c r="H6288" s="100"/>
      <c r="I6288" s="101" t="s">
        <v>134</v>
      </c>
      <c r="J6288" s="580">
        <v>1</v>
      </c>
      <c r="K6288" s="580">
        <v>0</v>
      </c>
      <c r="L6288" s="102">
        <v>75550.8</v>
      </c>
      <c r="M6288" s="102">
        <v>75550.8</v>
      </c>
      <c r="N6288" s="573">
        <v>11.56</v>
      </c>
      <c r="O6288" s="556" t="str">
        <f t="shared" si="418"/>
        <v>DIF</v>
      </c>
      <c r="P6288" s="573"/>
      <c r="Q6288" s="556"/>
      <c r="R6288" s="582"/>
    </row>
    <row r="6289" ht="25.5" spans="1:18">
      <c r="A6289" s="556">
        <f t="shared" si="419"/>
        <v>0</v>
      </c>
      <c r="B6289" s="557">
        <f t="shared" si="420"/>
        <v>0</v>
      </c>
      <c r="C6289" s="108"/>
      <c r="D6289" s="108"/>
      <c r="E6289" s="108"/>
      <c r="F6289" s="108"/>
      <c r="G6289" s="108"/>
      <c r="H6289" s="108" t="s">
        <v>2898</v>
      </c>
      <c r="I6289" s="581">
        <v>0</v>
      </c>
      <c r="J6289" s="108" t="s">
        <v>2899</v>
      </c>
      <c r="K6289" s="581">
        <v>0</v>
      </c>
      <c r="L6289" s="108" t="s">
        <v>2900</v>
      </c>
      <c r="M6289" s="581">
        <v>0</v>
      </c>
      <c r="N6289" s="573">
        <v>0.08</v>
      </c>
      <c r="O6289" s="556" t="str">
        <f t="shared" si="418"/>
        <v>DIF</v>
      </c>
      <c r="P6289" s="573"/>
      <c r="Q6289" s="556"/>
      <c r="R6289" s="582"/>
    </row>
    <row r="6290" ht="26.25" spans="1:18">
      <c r="A6290" s="556">
        <f t="shared" si="419"/>
        <v>0</v>
      </c>
      <c r="B6290" s="557">
        <f t="shared" si="420"/>
        <v>0</v>
      </c>
      <c r="C6290" s="108"/>
      <c r="D6290" s="108"/>
      <c r="E6290" s="108"/>
      <c r="F6290" s="108"/>
      <c r="G6290" s="108"/>
      <c r="H6290" s="108" t="s">
        <v>2901</v>
      </c>
      <c r="I6290" s="581">
        <v>12178.78</v>
      </c>
      <c r="J6290" s="114"/>
      <c r="K6290" s="114" t="s">
        <v>2902</v>
      </c>
      <c r="L6290" s="108"/>
      <c r="M6290" s="581">
        <v>87729.58</v>
      </c>
      <c r="N6290" s="573">
        <v>0.79</v>
      </c>
      <c r="O6290" s="556" t="str">
        <f t="shared" si="418"/>
        <v>DIF</v>
      </c>
      <c r="P6290" s="573"/>
      <c r="Q6290" s="556"/>
      <c r="R6290" s="582"/>
    </row>
    <row r="6291" ht="15" spans="1:18">
      <c r="A6291" s="556">
        <f t="shared" si="419"/>
        <v>0</v>
      </c>
      <c r="B6291" s="557">
        <f t="shared" si="420"/>
        <v>0</v>
      </c>
      <c r="C6291" s="571"/>
      <c r="D6291" s="571"/>
      <c r="E6291" s="571"/>
      <c r="F6291" s="571"/>
      <c r="G6291" s="571"/>
      <c r="H6291" s="571"/>
      <c r="I6291" s="571"/>
      <c r="J6291" s="571"/>
      <c r="K6291" s="571"/>
      <c r="L6291" s="571"/>
      <c r="M6291" s="571"/>
      <c r="N6291" s="573">
        <v>1.1</v>
      </c>
      <c r="O6291" s="556" t="str">
        <f t="shared" si="418"/>
        <v>DIF</v>
      </c>
      <c r="P6291" s="573"/>
      <c r="Q6291" s="556"/>
      <c r="R6291" s="582"/>
    </row>
    <row r="6292" ht="15" customHeight="1" spans="1:18">
      <c r="A6292" s="556">
        <f t="shared" si="419"/>
        <v>0</v>
      </c>
      <c r="B6292" s="557">
        <f t="shared" si="420"/>
        <v>0</v>
      </c>
      <c r="C6292" s="76" t="s">
        <v>2128</v>
      </c>
      <c r="D6292" s="75" t="s">
        <v>63</v>
      </c>
      <c r="E6292" s="76" t="s">
        <v>64</v>
      </c>
      <c r="F6292" s="76" t="s">
        <v>65</v>
      </c>
      <c r="G6292" s="76" t="s">
        <v>2889</v>
      </c>
      <c r="H6292" s="76"/>
      <c r="I6292" s="77" t="s">
        <v>66</v>
      </c>
      <c r="J6292" s="75" t="s">
        <v>67</v>
      </c>
      <c r="K6292" s="75" t="s">
        <v>2890</v>
      </c>
      <c r="L6292" s="75" t="s">
        <v>68</v>
      </c>
      <c r="M6292" s="75" t="s">
        <v>70</v>
      </c>
      <c r="N6292" s="573">
        <v>1.43</v>
      </c>
      <c r="O6292" s="556" t="str">
        <f t="shared" si="418"/>
        <v>DIF</v>
      </c>
      <c r="P6292" s="573"/>
      <c r="Q6292" s="556"/>
      <c r="R6292" s="582"/>
    </row>
    <row r="6293" ht="76.5" spans="1:18">
      <c r="A6293" s="556">
        <f t="shared" si="419"/>
        <v>0</v>
      </c>
      <c r="B6293" s="557">
        <f t="shared" si="420"/>
        <v>0</v>
      </c>
      <c r="C6293" s="569" t="s">
        <v>2891</v>
      </c>
      <c r="D6293" s="570" t="s">
        <v>2129</v>
      </c>
      <c r="E6293" s="569" t="s">
        <v>132</v>
      </c>
      <c r="F6293" s="569" t="s">
        <v>2130</v>
      </c>
      <c r="G6293" s="569">
        <v>77</v>
      </c>
      <c r="H6293" s="569"/>
      <c r="I6293" s="577" t="s">
        <v>134</v>
      </c>
      <c r="J6293" s="578">
        <v>1</v>
      </c>
      <c r="K6293" s="579"/>
      <c r="L6293" s="579">
        <v>177.03</v>
      </c>
      <c r="M6293" s="579">
        <v>177.03</v>
      </c>
      <c r="N6293" s="573">
        <v>0.12</v>
      </c>
      <c r="O6293" s="556" t="str">
        <f t="shared" si="418"/>
        <v>DIF</v>
      </c>
      <c r="P6293" s="573"/>
      <c r="Q6293" s="556"/>
      <c r="R6293" s="582"/>
    </row>
    <row r="6294" ht="23.85" customHeight="1" spans="1:18">
      <c r="A6294" s="556"/>
      <c r="B6294" s="557"/>
      <c r="C6294" s="79" t="s">
        <v>2921</v>
      </c>
      <c r="D6294" s="78" t="s">
        <v>3146</v>
      </c>
      <c r="E6294" s="79" t="s">
        <v>139</v>
      </c>
      <c r="F6294" s="79" t="s">
        <v>3147</v>
      </c>
      <c r="G6294" s="79" t="s">
        <v>2928</v>
      </c>
      <c r="H6294" s="79"/>
      <c r="I6294" s="80" t="s">
        <v>2897</v>
      </c>
      <c r="J6294" s="583">
        <v>2.72</v>
      </c>
      <c r="K6294" s="583">
        <v>0</v>
      </c>
      <c r="L6294" s="92">
        <v>29.54</v>
      </c>
      <c r="M6294" s="92">
        <v>80.34</v>
      </c>
      <c r="N6294" s="573"/>
      <c r="O6294" s="556"/>
      <c r="P6294" s="573"/>
      <c r="Q6294" s="556"/>
      <c r="R6294" s="582"/>
    </row>
    <row r="6295" ht="23.85" customHeight="1" spans="1:18">
      <c r="A6295" s="556"/>
      <c r="B6295" s="557"/>
      <c r="C6295" s="79" t="s">
        <v>2921</v>
      </c>
      <c r="D6295" s="78" t="s">
        <v>3144</v>
      </c>
      <c r="E6295" s="79" t="s">
        <v>139</v>
      </c>
      <c r="F6295" s="79" t="s">
        <v>3145</v>
      </c>
      <c r="G6295" s="79" t="s">
        <v>2928</v>
      </c>
      <c r="H6295" s="79"/>
      <c r="I6295" s="80" t="s">
        <v>2897</v>
      </c>
      <c r="J6295" s="583">
        <v>2.72</v>
      </c>
      <c r="K6295" s="583">
        <v>0</v>
      </c>
      <c r="L6295" s="92">
        <v>35.55</v>
      </c>
      <c r="M6295" s="92">
        <v>96.69</v>
      </c>
      <c r="N6295" s="573"/>
      <c r="O6295" s="556"/>
      <c r="P6295" s="573"/>
      <c r="Q6295" s="556"/>
      <c r="R6295" s="582"/>
    </row>
    <row r="6296" ht="25.5" spans="1:18">
      <c r="A6296" s="556"/>
      <c r="B6296" s="557" t="str">
        <f>C6295</f>
        <v>Composição Auxiliar</v>
      </c>
      <c r="C6296" s="108"/>
      <c r="D6296" s="108"/>
      <c r="E6296" s="108"/>
      <c r="F6296" s="108"/>
      <c r="G6296" s="108"/>
      <c r="H6296" s="108" t="s">
        <v>2898</v>
      </c>
      <c r="I6296" s="581">
        <v>126.06</v>
      </c>
      <c r="J6296" s="108" t="s">
        <v>2899</v>
      </c>
      <c r="K6296" s="581">
        <v>0</v>
      </c>
      <c r="L6296" s="108" t="s">
        <v>2900</v>
      </c>
      <c r="M6296" s="581">
        <v>126.06</v>
      </c>
      <c r="N6296" s="573">
        <v>465</v>
      </c>
      <c r="O6296" s="556" t="str">
        <f>IF(N6296=M6296,"OK","DIF")</f>
        <v>DIF</v>
      </c>
      <c r="P6296" s="573"/>
      <c r="Q6296" s="556"/>
      <c r="R6296" s="582"/>
    </row>
    <row r="6297" ht="26.25" spans="1:18">
      <c r="A6297" s="556" t="str">
        <f>B6297</f>
        <v>Composição Auxiliar</v>
      </c>
      <c r="B6297" s="557" t="str">
        <f>B6296</f>
        <v>Composição Auxiliar</v>
      </c>
      <c r="C6297" s="108"/>
      <c r="D6297" s="108"/>
      <c r="E6297" s="108"/>
      <c r="F6297" s="108"/>
      <c r="G6297" s="108"/>
      <c r="H6297" s="108" t="s">
        <v>2901</v>
      </c>
      <c r="I6297" s="581">
        <v>45.12</v>
      </c>
      <c r="J6297" s="114"/>
      <c r="K6297" s="114" t="s">
        <v>2902</v>
      </c>
      <c r="L6297" s="108"/>
      <c r="M6297" s="581">
        <v>222.15</v>
      </c>
      <c r="N6297" s="573">
        <v>465</v>
      </c>
      <c r="O6297" s="556" t="str">
        <f>IF(N6297=M6297,"OK","DIF")</f>
        <v>DIF</v>
      </c>
      <c r="P6297" s="573"/>
      <c r="Q6297" s="556"/>
      <c r="R6297" s="582"/>
    </row>
    <row r="6298" ht="15" spans="1:18">
      <c r="A6298" s="556"/>
      <c r="B6298" s="557"/>
      <c r="C6298" s="571"/>
      <c r="D6298" s="571"/>
      <c r="E6298" s="571"/>
      <c r="F6298" s="571"/>
      <c r="G6298" s="571"/>
      <c r="H6298" s="571"/>
      <c r="I6298" s="571"/>
      <c r="J6298" s="571"/>
      <c r="K6298" s="571"/>
      <c r="L6298" s="571"/>
      <c r="M6298" s="571"/>
      <c r="N6298" s="573"/>
      <c r="O6298" s="556"/>
      <c r="P6298" s="573"/>
      <c r="Q6298" s="556"/>
      <c r="R6298" s="582"/>
    </row>
    <row r="6299" ht="15" customHeight="1" spans="1:18">
      <c r="A6299" s="556"/>
      <c r="B6299" s="557"/>
      <c r="C6299" s="76" t="s">
        <v>2131</v>
      </c>
      <c r="D6299" s="75" t="s">
        <v>63</v>
      </c>
      <c r="E6299" s="76" t="s">
        <v>64</v>
      </c>
      <c r="F6299" s="76" t="s">
        <v>65</v>
      </c>
      <c r="G6299" s="76" t="s">
        <v>2889</v>
      </c>
      <c r="H6299" s="76"/>
      <c r="I6299" s="77" t="s">
        <v>66</v>
      </c>
      <c r="J6299" s="75" t="s">
        <v>67</v>
      </c>
      <c r="K6299" s="75" t="s">
        <v>2890</v>
      </c>
      <c r="L6299" s="75" t="s">
        <v>68</v>
      </c>
      <c r="M6299" s="75" t="s">
        <v>70</v>
      </c>
      <c r="N6299" s="573"/>
      <c r="O6299" s="556"/>
      <c r="P6299" s="573"/>
      <c r="Q6299" s="556"/>
      <c r="R6299" s="582"/>
    </row>
    <row r="6300" ht="76.5" spans="1:18">
      <c r="A6300" s="556"/>
      <c r="B6300" s="557" t="str">
        <f>C6299</f>
        <v> 15.1.21 </v>
      </c>
      <c r="C6300" s="569" t="s">
        <v>2891</v>
      </c>
      <c r="D6300" s="570" t="s">
        <v>2132</v>
      </c>
      <c r="E6300" s="569" t="s">
        <v>132</v>
      </c>
      <c r="F6300" s="569" t="s">
        <v>2133</v>
      </c>
      <c r="G6300" s="569">
        <v>77</v>
      </c>
      <c r="H6300" s="569"/>
      <c r="I6300" s="577" t="s">
        <v>134</v>
      </c>
      <c r="J6300" s="578">
        <v>1</v>
      </c>
      <c r="K6300" s="579"/>
      <c r="L6300" s="579">
        <v>79111.54</v>
      </c>
      <c r="M6300" s="579">
        <v>79111.54</v>
      </c>
      <c r="N6300" s="573">
        <v>195.77</v>
      </c>
      <c r="O6300" s="556" t="str">
        <f t="shared" ref="O6300:O6307" si="421">IF(N6300=M6300,"OK","DIF")</f>
        <v>DIF</v>
      </c>
      <c r="P6300" s="573"/>
      <c r="Q6300" s="556"/>
      <c r="R6300" s="582"/>
    </row>
    <row r="6301" ht="68.65" customHeight="1" spans="1:18">
      <c r="A6301" s="556" t="str">
        <f t="shared" ref="A6301:A6307" si="422">B6301</f>
        <v> 15.1.21 </v>
      </c>
      <c r="B6301" s="557" t="str">
        <f t="shared" ref="B6301:B6307" si="423">B6300</f>
        <v> 15.1.21 </v>
      </c>
      <c r="C6301" s="100" t="s">
        <v>2893</v>
      </c>
      <c r="D6301" s="99" t="s">
        <v>4745</v>
      </c>
      <c r="E6301" s="100" t="s">
        <v>132</v>
      </c>
      <c r="F6301" s="100" t="s">
        <v>4746</v>
      </c>
      <c r="G6301" s="100" t="s">
        <v>3395</v>
      </c>
      <c r="H6301" s="100"/>
      <c r="I6301" s="101" t="s">
        <v>134</v>
      </c>
      <c r="J6301" s="580">
        <v>1</v>
      </c>
      <c r="K6301" s="580">
        <v>0</v>
      </c>
      <c r="L6301" s="102">
        <v>79111.54</v>
      </c>
      <c r="M6301" s="102">
        <v>79111.54</v>
      </c>
      <c r="N6301" s="573">
        <v>22.11</v>
      </c>
      <c r="O6301" s="556" t="str">
        <f t="shared" si="421"/>
        <v>DIF</v>
      </c>
      <c r="P6301" s="573"/>
      <c r="Q6301" s="556"/>
      <c r="R6301" s="582"/>
    </row>
    <row r="6302" ht="25.5" spans="1:18">
      <c r="A6302" s="556" t="str">
        <f t="shared" si="422"/>
        <v> 15.1.21 </v>
      </c>
      <c r="B6302" s="557" t="str">
        <f t="shared" si="423"/>
        <v> 15.1.21 </v>
      </c>
      <c r="C6302" s="108"/>
      <c r="D6302" s="108"/>
      <c r="E6302" s="108"/>
      <c r="F6302" s="108"/>
      <c r="G6302" s="108"/>
      <c r="H6302" s="108" t="s">
        <v>2898</v>
      </c>
      <c r="I6302" s="581">
        <v>0</v>
      </c>
      <c r="J6302" s="108" t="s">
        <v>2899</v>
      </c>
      <c r="K6302" s="581">
        <v>0</v>
      </c>
      <c r="L6302" s="108" t="s">
        <v>2900</v>
      </c>
      <c r="M6302" s="581">
        <v>0</v>
      </c>
      <c r="N6302" s="573">
        <v>16.34</v>
      </c>
      <c r="O6302" s="556" t="str">
        <f t="shared" si="421"/>
        <v>DIF</v>
      </c>
      <c r="P6302" s="573"/>
      <c r="Q6302" s="556"/>
      <c r="R6302" s="582"/>
    </row>
    <row r="6303" ht="26.25" spans="1:18">
      <c r="A6303" s="556" t="str">
        <f t="shared" si="422"/>
        <v> 15.1.21 </v>
      </c>
      <c r="B6303" s="557" t="str">
        <f t="shared" si="423"/>
        <v> 15.1.21 </v>
      </c>
      <c r="C6303" s="108"/>
      <c r="D6303" s="108"/>
      <c r="E6303" s="108"/>
      <c r="F6303" s="108"/>
      <c r="G6303" s="108"/>
      <c r="H6303" s="108" t="s">
        <v>2901</v>
      </c>
      <c r="I6303" s="581">
        <v>12752.78</v>
      </c>
      <c r="J6303" s="114"/>
      <c r="K6303" s="114" t="s">
        <v>2902</v>
      </c>
      <c r="L6303" s="108"/>
      <c r="M6303" s="581">
        <v>91864.32</v>
      </c>
      <c r="N6303" s="573">
        <v>135.38</v>
      </c>
      <c r="O6303" s="556" t="str">
        <f t="shared" si="421"/>
        <v>DIF</v>
      </c>
      <c r="P6303" s="573"/>
      <c r="Q6303" s="556"/>
      <c r="R6303" s="582"/>
    </row>
    <row r="6304" ht="15" spans="1:18">
      <c r="A6304" s="556" t="str">
        <f t="shared" si="422"/>
        <v> 15.1.21 </v>
      </c>
      <c r="B6304" s="557" t="str">
        <f t="shared" si="423"/>
        <v> 15.1.21 </v>
      </c>
      <c r="C6304" s="571"/>
      <c r="D6304" s="571"/>
      <c r="E6304" s="571"/>
      <c r="F6304" s="571"/>
      <c r="G6304" s="571"/>
      <c r="H6304" s="571"/>
      <c r="I6304" s="571"/>
      <c r="J6304" s="571"/>
      <c r="K6304" s="571"/>
      <c r="L6304" s="571"/>
      <c r="M6304" s="571"/>
      <c r="N6304" s="573">
        <v>0.53</v>
      </c>
      <c r="O6304" s="556" t="str">
        <f t="shared" si="421"/>
        <v>DIF</v>
      </c>
      <c r="P6304" s="573"/>
      <c r="Q6304" s="556"/>
      <c r="R6304" s="582"/>
    </row>
    <row r="6305" ht="15" customHeight="1" spans="1:18">
      <c r="A6305" s="556" t="str">
        <f t="shared" si="422"/>
        <v> 15.1.21 </v>
      </c>
      <c r="B6305" s="557" t="str">
        <f t="shared" si="423"/>
        <v> 15.1.21 </v>
      </c>
      <c r="C6305" s="76" t="s">
        <v>2135</v>
      </c>
      <c r="D6305" s="75" t="s">
        <v>63</v>
      </c>
      <c r="E6305" s="76" t="s">
        <v>64</v>
      </c>
      <c r="F6305" s="76" t="s">
        <v>65</v>
      </c>
      <c r="G6305" s="76" t="s">
        <v>2889</v>
      </c>
      <c r="H6305" s="76"/>
      <c r="I6305" s="77" t="s">
        <v>66</v>
      </c>
      <c r="J6305" s="75" t="s">
        <v>67</v>
      </c>
      <c r="K6305" s="75" t="s">
        <v>2890</v>
      </c>
      <c r="L6305" s="75" t="s">
        <v>68</v>
      </c>
      <c r="M6305" s="75" t="s">
        <v>70</v>
      </c>
      <c r="N6305" s="573">
        <v>6.82</v>
      </c>
      <c r="O6305" s="556" t="str">
        <f t="shared" si="421"/>
        <v>DIF</v>
      </c>
      <c r="P6305" s="573"/>
      <c r="Q6305" s="556"/>
      <c r="R6305" s="582"/>
    </row>
    <row r="6306" ht="76.5" spans="1:18">
      <c r="A6306" s="556" t="str">
        <f t="shared" si="422"/>
        <v> 15.1.21 </v>
      </c>
      <c r="B6306" s="557" t="str">
        <f t="shared" si="423"/>
        <v> 15.1.21 </v>
      </c>
      <c r="C6306" s="569" t="s">
        <v>2891</v>
      </c>
      <c r="D6306" s="570" t="s">
        <v>2136</v>
      </c>
      <c r="E6306" s="569" t="s">
        <v>132</v>
      </c>
      <c r="F6306" s="569" t="s">
        <v>2137</v>
      </c>
      <c r="G6306" s="569">
        <v>77</v>
      </c>
      <c r="H6306" s="569"/>
      <c r="I6306" s="577" t="s">
        <v>134</v>
      </c>
      <c r="J6306" s="578">
        <v>1</v>
      </c>
      <c r="K6306" s="579"/>
      <c r="L6306" s="579">
        <v>177.03</v>
      </c>
      <c r="M6306" s="579">
        <v>177.03</v>
      </c>
      <c r="N6306" s="573">
        <v>13.2</v>
      </c>
      <c r="O6306" s="556" t="str">
        <f t="shared" si="421"/>
        <v>DIF</v>
      </c>
      <c r="P6306" s="573"/>
      <c r="Q6306" s="556"/>
      <c r="R6306" s="582"/>
    </row>
    <row r="6307" ht="23.85" customHeight="1" spans="1:18">
      <c r="A6307" s="556" t="str">
        <f t="shared" si="422"/>
        <v> 15.1.21 </v>
      </c>
      <c r="B6307" s="557" t="str">
        <f t="shared" si="423"/>
        <v> 15.1.21 </v>
      </c>
      <c r="C6307" s="79" t="s">
        <v>2921</v>
      </c>
      <c r="D6307" s="78" t="s">
        <v>3144</v>
      </c>
      <c r="E6307" s="79" t="s">
        <v>139</v>
      </c>
      <c r="F6307" s="79" t="s">
        <v>3145</v>
      </c>
      <c r="G6307" s="79" t="s">
        <v>2928</v>
      </c>
      <c r="H6307" s="79"/>
      <c r="I6307" s="80" t="s">
        <v>2897</v>
      </c>
      <c r="J6307" s="583">
        <v>2.72</v>
      </c>
      <c r="K6307" s="583">
        <v>0</v>
      </c>
      <c r="L6307" s="92">
        <v>35.55</v>
      </c>
      <c r="M6307" s="92">
        <v>96.69</v>
      </c>
      <c r="N6307" s="573">
        <v>1.39</v>
      </c>
      <c r="O6307" s="556" t="str">
        <f t="shared" si="421"/>
        <v>DIF</v>
      </c>
      <c r="P6307" s="573"/>
      <c r="Q6307" s="556"/>
      <c r="R6307" s="582"/>
    </row>
    <row r="6308" ht="23.85" customHeight="1" spans="1:18">
      <c r="A6308" s="556"/>
      <c r="B6308" s="557"/>
      <c r="C6308" s="79" t="s">
        <v>2921</v>
      </c>
      <c r="D6308" s="78" t="s">
        <v>3146</v>
      </c>
      <c r="E6308" s="79" t="s">
        <v>139</v>
      </c>
      <c r="F6308" s="79" t="s">
        <v>3147</v>
      </c>
      <c r="G6308" s="79" t="s">
        <v>2928</v>
      </c>
      <c r="H6308" s="79"/>
      <c r="I6308" s="80" t="s">
        <v>2897</v>
      </c>
      <c r="J6308" s="583">
        <v>2.72</v>
      </c>
      <c r="K6308" s="583">
        <v>0</v>
      </c>
      <c r="L6308" s="92">
        <v>29.54</v>
      </c>
      <c r="M6308" s="92">
        <v>80.34</v>
      </c>
      <c r="N6308" s="573"/>
      <c r="O6308" s="556"/>
      <c r="P6308" s="573"/>
      <c r="Q6308" s="556"/>
      <c r="R6308" s="582"/>
    </row>
    <row r="6309" ht="25.5" spans="1:18">
      <c r="A6309" s="556"/>
      <c r="B6309" s="557"/>
      <c r="C6309" s="108"/>
      <c r="D6309" s="108"/>
      <c r="E6309" s="108"/>
      <c r="F6309" s="108"/>
      <c r="G6309" s="108"/>
      <c r="H6309" s="108" t="s">
        <v>2898</v>
      </c>
      <c r="I6309" s="581">
        <v>126.06</v>
      </c>
      <c r="J6309" s="108" t="s">
        <v>2899</v>
      </c>
      <c r="K6309" s="581">
        <v>0</v>
      </c>
      <c r="L6309" s="108" t="s">
        <v>2900</v>
      </c>
      <c r="M6309" s="581">
        <v>126.06</v>
      </c>
      <c r="N6309" s="573"/>
      <c r="O6309" s="556"/>
      <c r="P6309" s="573"/>
      <c r="Q6309" s="556"/>
      <c r="R6309" s="582"/>
    </row>
    <row r="6310" ht="26.25" spans="1:18">
      <c r="A6310" s="556"/>
      <c r="B6310" s="557">
        <f>C6309</f>
        <v>0</v>
      </c>
      <c r="C6310" s="108"/>
      <c r="D6310" s="108"/>
      <c r="E6310" s="108"/>
      <c r="F6310" s="108"/>
      <c r="G6310" s="108"/>
      <c r="H6310" s="108" t="s">
        <v>2901</v>
      </c>
      <c r="I6310" s="581">
        <v>45.12</v>
      </c>
      <c r="J6310" s="114"/>
      <c r="K6310" s="114" t="s">
        <v>2902</v>
      </c>
      <c r="L6310" s="108"/>
      <c r="M6310" s="581">
        <v>222.15</v>
      </c>
      <c r="N6310" s="573">
        <v>328.22</v>
      </c>
      <c r="O6310" s="556" t="str">
        <f>IF(N6310=M6310,"OK","DIF")</f>
        <v>DIF</v>
      </c>
      <c r="P6310" s="573"/>
      <c r="Q6310" s="556"/>
      <c r="R6310" s="582"/>
    </row>
    <row r="6311" ht="15" spans="1:18">
      <c r="A6311" s="556">
        <f>B6311</f>
        <v>0</v>
      </c>
      <c r="B6311" s="557">
        <f>B6310</f>
        <v>0</v>
      </c>
      <c r="C6311" s="571"/>
      <c r="D6311" s="571"/>
      <c r="E6311" s="571"/>
      <c r="F6311" s="571"/>
      <c r="G6311" s="571"/>
      <c r="H6311" s="571"/>
      <c r="I6311" s="571"/>
      <c r="J6311" s="571"/>
      <c r="K6311" s="571"/>
      <c r="L6311" s="571"/>
      <c r="M6311" s="571"/>
      <c r="N6311" s="573">
        <v>87.77</v>
      </c>
      <c r="O6311" s="556" t="str">
        <f>IF(N6311=M6311,"OK","DIF")</f>
        <v>DIF</v>
      </c>
      <c r="P6311" s="573"/>
      <c r="Q6311" s="556"/>
      <c r="R6311" s="582"/>
    </row>
    <row r="6312" ht="15" customHeight="1" spans="1:18">
      <c r="A6312" s="556">
        <f>B6312</f>
        <v>0</v>
      </c>
      <c r="B6312" s="557">
        <f>B6311</f>
        <v>0</v>
      </c>
      <c r="C6312" s="76" t="s">
        <v>2138</v>
      </c>
      <c r="D6312" s="75" t="s">
        <v>63</v>
      </c>
      <c r="E6312" s="76" t="s">
        <v>64</v>
      </c>
      <c r="F6312" s="76" t="s">
        <v>65</v>
      </c>
      <c r="G6312" s="76" t="s">
        <v>2889</v>
      </c>
      <c r="H6312" s="76"/>
      <c r="I6312" s="77" t="s">
        <v>66</v>
      </c>
      <c r="J6312" s="75" t="s">
        <v>67</v>
      </c>
      <c r="K6312" s="75" t="s">
        <v>2890</v>
      </c>
      <c r="L6312" s="75" t="s">
        <v>68</v>
      </c>
      <c r="M6312" s="75" t="s">
        <v>70</v>
      </c>
      <c r="N6312" s="573">
        <v>240.45</v>
      </c>
      <c r="O6312" s="556" t="str">
        <f>IF(N6312=M6312,"OK","DIF")</f>
        <v>DIF</v>
      </c>
      <c r="P6312" s="573"/>
      <c r="Q6312" s="556"/>
      <c r="R6312" s="582"/>
    </row>
    <row r="6313" ht="76.5" spans="1:18">
      <c r="A6313" s="556"/>
      <c r="B6313" s="557"/>
      <c r="C6313" s="569" t="s">
        <v>2891</v>
      </c>
      <c r="D6313" s="570" t="s">
        <v>2139</v>
      </c>
      <c r="E6313" s="569" t="s">
        <v>132</v>
      </c>
      <c r="F6313" s="569" t="s">
        <v>2140</v>
      </c>
      <c r="G6313" s="569">
        <v>77</v>
      </c>
      <c r="H6313" s="569"/>
      <c r="I6313" s="577" t="s">
        <v>134</v>
      </c>
      <c r="J6313" s="578">
        <v>1</v>
      </c>
      <c r="K6313" s="579"/>
      <c r="L6313" s="579">
        <v>79111.54</v>
      </c>
      <c r="M6313" s="579">
        <v>79111.54</v>
      </c>
      <c r="N6313" s="573"/>
      <c r="O6313" s="556"/>
      <c r="P6313" s="573"/>
      <c r="Q6313" s="556"/>
      <c r="R6313" s="582"/>
    </row>
    <row r="6314" ht="68.65" customHeight="1" spans="1:18">
      <c r="A6314" s="556"/>
      <c r="B6314" s="557"/>
      <c r="C6314" s="100" t="s">
        <v>2893</v>
      </c>
      <c r="D6314" s="99" t="s">
        <v>4747</v>
      </c>
      <c r="E6314" s="100" t="s">
        <v>132</v>
      </c>
      <c r="F6314" s="100" t="s">
        <v>4748</v>
      </c>
      <c r="G6314" s="100" t="s">
        <v>3395</v>
      </c>
      <c r="H6314" s="100"/>
      <c r="I6314" s="101" t="s">
        <v>134</v>
      </c>
      <c r="J6314" s="580">
        <v>1</v>
      </c>
      <c r="K6314" s="580">
        <v>0</v>
      </c>
      <c r="L6314" s="102">
        <v>79111.54</v>
      </c>
      <c r="M6314" s="102">
        <v>79111.54</v>
      </c>
      <c r="N6314" s="573"/>
      <c r="O6314" s="556"/>
      <c r="P6314" s="573"/>
      <c r="Q6314" s="556"/>
      <c r="R6314" s="582"/>
    </row>
    <row r="6315" ht="25.5" spans="1:18">
      <c r="A6315" s="556"/>
      <c r="B6315" s="557" t="str">
        <f>C6314</f>
        <v>Insumo</v>
      </c>
      <c r="C6315" s="108"/>
      <c r="D6315" s="108"/>
      <c r="E6315" s="108"/>
      <c r="F6315" s="108"/>
      <c r="G6315" s="108"/>
      <c r="H6315" s="108" t="s">
        <v>2898</v>
      </c>
      <c r="I6315" s="581">
        <v>0</v>
      </c>
      <c r="J6315" s="108" t="s">
        <v>2899</v>
      </c>
      <c r="K6315" s="581">
        <v>0</v>
      </c>
      <c r="L6315" s="108" t="s">
        <v>2900</v>
      </c>
      <c r="M6315" s="581">
        <v>0</v>
      </c>
      <c r="N6315" s="573">
        <v>22.69</v>
      </c>
      <c r="O6315" s="556" t="str">
        <f t="shared" ref="O6315:O6325" si="424">IF(N6315=M6315,"OK","DIF")</f>
        <v>DIF</v>
      </c>
      <c r="P6315" s="573"/>
      <c r="Q6315" s="556"/>
      <c r="R6315" s="582"/>
    </row>
    <row r="6316" ht="26.25" spans="1:18">
      <c r="A6316" s="556" t="str">
        <f t="shared" ref="A6316:A6325" si="425">B6316</f>
        <v>Insumo</v>
      </c>
      <c r="B6316" s="557" t="str">
        <f t="shared" ref="B6316:B6325" si="426">B6315</f>
        <v>Insumo</v>
      </c>
      <c r="C6316" s="108"/>
      <c r="D6316" s="108"/>
      <c r="E6316" s="108"/>
      <c r="F6316" s="108"/>
      <c r="G6316" s="108"/>
      <c r="H6316" s="108" t="s">
        <v>2901</v>
      </c>
      <c r="I6316" s="581">
        <v>12752.78</v>
      </c>
      <c r="J6316" s="114"/>
      <c r="K6316" s="114" t="s">
        <v>2902</v>
      </c>
      <c r="L6316" s="108"/>
      <c r="M6316" s="581">
        <v>91864.32</v>
      </c>
      <c r="N6316" s="573">
        <v>2.35</v>
      </c>
      <c r="O6316" s="556" t="str">
        <f t="shared" si="424"/>
        <v>DIF</v>
      </c>
      <c r="P6316" s="573"/>
      <c r="Q6316" s="556"/>
      <c r="R6316" s="582"/>
    </row>
    <row r="6317" ht="15" spans="1:18">
      <c r="A6317" s="556" t="str">
        <f t="shared" si="425"/>
        <v>Insumo</v>
      </c>
      <c r="B6317" s="557" t="str">
        <f t="shared" si="426"/>
        <v>Insumo</v>
      </c>
      <c r="C6317" s="571"/>
      <c r="D6317" s="571"/>
      <c r="E6317" s="571"/>
      <c r="F6317" s="571"/>
      <c r="G6317" s="571"/>
      <c r="H6317" s="571"/>
      <c r="I6317" s="571"/>
      <c r="J6317" s="571"/>
      <c r="K6317" s="571"/>
      <c r="L6317" s="571"/>
      <c r="M6317" s="571"/>
      <c r="N6317" s="573">
        <v>1.42</v>
      </c>
      <c r="O6317" s="556" t="str">
        <f t="shared" si="424"/>
        <v>DIF</v>
      </c>
      <c r="P6317" s="573"/>
      <c r="Q6317" s="556"/>
      <c r="R6317" s="582"/>
    </row>
    <row r="6318" ht="15" customHeight="1" spans="1:18">
      <c r="A6318" s="556" t="str">
        <f t="shared" si="425"/>
        <v>Insumo</v>
      </c>
      <c r="B6318" s="557" t="str">
        <f t="shared" si="426"/>
        <v>Insumo</v>
      </c>
      <c r="C6318" s="76" t="s">
        <v>2141</v>
      </c>
      <c r="D6318" s="75" t="s">
        <v>63</v>
      </c>
      <c r="E6318" s="76" t="s">
        <v>64</v>
      </c>
      <c r="F6318" s="76" t="s">
        <v>65</v>
      </c>
      <c r="G6318" s="76" t="s">
        <v>2889</v>
      </c>
      <c r="H6318" s="76"/>
      <c r="I6318" s="77" t="s">
        <v>66</v>
      </c>
      <c r="J6318" s="75" t="s">
        <v>67</v>
      </c>
      <c r="K6318" s="75" t="s">
        <v>2890</v>
      </c>
      <c r="L6318" s="75" t="s">
        <v>68</v>
      </c>
      <c r="M6318" s="75" t="s">
        <v>70</v>
      </c>
      <c r="N6318" s="573">
        <v>4</v>
      </c>
      <c r="O6318" s="556" t="str">
        <f t="shared" si="424"/>
        <v>DIF</v>
      </c>
      <c r="P6318" s="573"/>
      <c r="Q6318" s="556"/>
      <c r="R6318" s="582"/>
    </row>
    <row r="6319" ht="76.5" spans="1:18">
      <c r="A6319" s="556" t="str">
        <f t="shared" si="425"/>
        <v>Insumo</v>
      </c>
      <c r="B6319" s="557" t="str">
        <f t="shared" si="426"/>
        <v>Insumo</v>
      </c>
      <c r="C6319" s="569" t="s">
        <v>2891</v>
      </c>
      <c r="D6319" s="570" t="s">
        <v>2142</v>
      </c>
      <c r="E6319" s="569" t="s">
        <v>132</v>
      </c>
      <c r="F6319" s="569" t="s">
        <v>2143</v>
      </c>
      <c r="G6319" s="569">
        <v>77</v>
      </c>
      <c r="H6319" s="569"/>
      <c r="I6319" s="577" t="s">
        <v>134</v>
      </c>
      <c r="J6319" s="578">
        <v>1</v>
      </c>
      <c r="K6319" s="579"/>
      <c r="L6319" s="579">
        <v>177.03</v>
      </c>
      <c r="M6319" s="579">
        <v>177.03</v>
      </c>
      <c r="N6319" s="573">
        <v>1.95</v>
      </c>
      <c r="O6319" s="556" t="str">
        <f t="shared" si="424"/>
        <v>DIF</v>
      </c>
      <c r="P6319" s="573"/>
      <c r="Q6319" s="556"/>
      <c r="R6319" s="582"/>
    </row>
    <row r="6320" ht="23.85" customHeight="1" spans="1:18">
      <c r="A6320" s="556" t="str">
        <f t="shared" si="425"/>
        <v>Insumo</v>
      </c>
      <c r="B6320" s="557" t="str">
        <f t="shared" si="426"/>
        <v>Insumo</v>
      </c>
      <c r="C6320" s="79" t="s">
        <v>2921</v>
      </c>
      <c r="D6320" s="78" t="s">
        <v>3146</v>
      </c>
      <c r="E6320" s="79" t="s">
        <v>139</v>
      </c>
      <c r="F6320" s="79" t="s">
        <v>3147</v>
      </c>
      <c r="G6320" s="79" t="s">
        <v>2928</v>
      </c>
      <c r="H6320" s="79"/>
      <c r="I6320" s="80" t="s">
        <v>2897</v>
      </c>
      <c r="J6320" s="583">
        <v>2.72</v>
      </c>
      <c r="K6320" s="583">
        <v>0</v>
      </c>
      <c r="L6320" s="92">
        <v>29.54</v>
      </c>
      <c r="M6320" s="92">
        <v>80.34</v>
      </c>
      <c r="N6320" s="573">
        <v>0.35</v>
      </c>
      <c r="O6320" s="556" t="str">
        <f t="shared" si="424"/>
        <v>DIF</v>
      </c>
      <c r="P6320" s="573"/>
      <c r="Q6320" s="556"/>
      <c r="R6320" s="582"/>
    </row>
    <row r="6321" ht="23.85" customHeight="1" spans="1:18">
      <c r="A6321" s="556" t="str">
        <f t="shared" si="425"/>
        <v>Insumo</v>
      </c>
      <c r="B6321" s="557" t="str">
        <f t="shared" si="426"/>
        <v>Insumo</v>
      </c>
      <c r="C6321" s="79" t="s">
        <v>2921</v>
      </c>
      <c r="D6321" s="78" t="s">
        <v>3144</v>
      </c>
      <c r="E6321" s="79" t="s">
        <v>139</v>
      </c>
      <c r="F6321" s="79" t="s">
        <v>3145</v>
      </c>
      <c r="G6321" s="79" t="s">
        <v>2928</v>
      </c>
      <c r="H6321" s="79"/>
      <c r="I6321" s="80" t="s">
        <v>2897</v>
      </c>
      <c r="J6321" s="583">
        <v>2.72</v>
      </c>
      <c r="K6321" s="583">
        <v>0</v>
      </c>
      <c r="L6321" s="92">
        <v>35.55</v>
      </c>
      <c r="M6321" s="92">
        <v>96.69</v>
      </c>
      <c r="N6321" s="573">
        <v>2.42</v>
      </c>
      <c r="O6321" s="556" t="str">
        <f t="shared" si="424"/>
        <v>DIF</v>
      </c>
      <c r="P6321" s="573"/>
      <c r="Q6321" s="556"/>
      <c r="R6321" s="582"/>
    </row>
    <row r="6322" ht="25.5" spans="1:18">
      <c r="A6322" s="556" t="str">
        <f t="shared" si="425"/>
        <v>Insumo</v>
      </c>
      <c r="B6322" s="557" t="str">
        <f t="shared" si="426"/>
        <v>Insumo</v>
      </c>
      <c r="C6322" s="108"/>
      <c r="D6322" s="108"/>
      <c r="E6322" s="108"/>
      <c r="F6322" s="108"/>
      <c r="G6322" s="108"/>
      <c r="H6322" s="108" t="s">
        <v>2898</v>
      </c>
      <c r="I6322" s="581">
        <v>126.06</v>
      </c>
      <c r="J6322" s="108" t="s">
        <v>2899</v>
      </c>
      <c r="K6322" s="581">
        <v>0</v>
      </c>
      <c r="L6322" s="108" t="s">
        <v>2900</v>
      </c>
      <c r="M6322" s="581">
        <v>126.06</v>
      </c>
      <c r="N6322" s="573">
        <v>2.85</v>
      </c>
      <c r="O6322" s="556" t="str">
        <f t="shared" si="424"/>
        <v>DIF</v>
      </c>
      <c r="P6322" s="573"/>
      <c r="Q6322" s="556"/>
      <c r="R6322" s="582"/>
    </row>
    <row r="6323" ht="26.25" spans="1:18">
      <c r="A6323" s="556" t="str">
        <f t="shared" si="425"/>
        <v>Insumo</v>
      </c>
      <c r="B6323" s="557" t="str">
        <f t="shared" si="426"/>
        <v>Insumo</v>
      </c>
      <c r="C6323" s="108"/>
      <c r="D6323" s="108"/>
      <c r="E6323" s="108"/>
      <c r="F6323" s="108"/>
      <c r="G6323" s="108"/>
      <c r="H6323" s="108" t="s">
        <v>2901</v>
      </c>
      <c r="I6323" s="581">
        <v>45.12</v>
      </c>
      <c r="J6323" s="114"/>
      <c r="K6323" s="114" t="s">
        <v>2902</v>
      </c>
      <c r="L6323" s="108"/>
      <c r="M6323" s="581">
        <v>222.15</v>
      </c>
      <c r="N6323" s="573">
        <v>2.11</v>
      </c>
      <c r="O6323" s="556" t="str">
        <f t="shared" si="424"/>
        <v>DIF</v>
      </c>
      <c r="P6323" s="573"/>
      <c r="Q6323" s="556"/>
      <c r="R6323" s="582"/>
    </row>
    <row r="6324" ht="15" spans="1:18">
      <c r="A6324" s="556" t="str">
        <f t="shared" si="425"/>
        <v>Insumo</v>
      </c>
      <c r="B6324" s="557" t="str">
        <f t="shared" si="426"/>
        <v>Insumo</v>
      </c>
      <c r="C6324" s="571"/>
      <c r="D6324" s="571"/>
      <c r="E6324" s="571"/>
      <c r="F6324" s="571"/>
      <c r="G6324" s="571"/>
      <c r="H6324" s="571"/>
      <c r="I6324" s="571"/>
      <c r="J6324" s="571"/>
      <c r="K6324" s="571"/>
      <c r="L6324" s="571"/>
      <c r="M6324" s="571"/>
      <c r="N6324" s="573">
        <v>5.15</v>
      </c>
      <c r="O6324" s="556" t="str">
        <f t="shared" si="424"/>
        <v>DIF</v>
      </c>
      <c r="P6324" s="573"/>
      <c r="Q6324" s="556"/>
      <c r="R6324" s="582"/>
    </row>
    <row r="6325" ht="15" customHeight="1" spans="1:18">
      <c r="A6325" s="556" t="str">
        <f t="shared" si="425"/>
        <v>Insumo</v>
      </c>
      <c r="B6325" s="557" t="str">
        <f t="shared" si="426"/>
        <v>Insumo</v>
      </c>
      <c r="C6325" s="76" t="s">
        <v>2144</v>
      </c>
      <c r="D6325" s="75" t="s">
        <v>63</v>
      </c>
      <c r="E6325" s="76" t="s">
        <v>64</v>
      </c>
      <c r="F6325" s="76" t="s">
        <v>65</v>
      </c>
      <c r="G6325" s="76" t="s">
        <v>2889</v>
      </c>
      <c r="H6325" s="76"/>
      <c r="I6325" s="77" t="s">
        <v>66</v>
      </c>
      <c r="J6325" s="75" t="s">
        <v>67</v>
      </c>
      <c r="K6325" s="75" t="s">
        <v>2890</v>
      </c>
      <c r="L6325" s="75" t="s">
        <v>68</v>
      </c>
      <c r="M6325" s="75" t="s">
        <v>70</v>
      </c>
      <c r="N6325" s="573">
        <v>0.09</v>
      </c>
      <c r="O6325" s="556" t="str">
        <f t="shared" si="424"/>
        <v>DIF</v>
      </c>
      <c r="P6325" s="573"/>
      <c r="Q6325" s="556"/>
      <c r="R6325" s="582"/>
    </row>
    <row r="6326" ht="89.25" spans="1:18">
      <c r="A6326" s="556"/>
      <c r="B6326" s="557"/>
      <c r="C6326" s="569" t="s">
        <v>2891</v>
      </c>
      <c r="D6326" s="570" t="s">
        <v>2145</v>
      </c>
      <c r="E6326" s="569" t="s">
        <v>132</v>
      </c>
      <c r="F6326" s="569" t="s">
        <v>2146</v>
      </c>
      <c r="G6326" s="569">
        <v>61.1</v>
      </c>
      <c r="H6326" s="569"/>
      <c r="I6326" s="577" t="s">
        <v>134</v>
      </c>
      <c r="J6326" s="578">
        <v>1</v>
      </c>
      <c r="K6326" s="579"/>
      <c r="L6326" s="579">
        <v>853878.73</v>
      </c>
      <c r="M6326" s="579">
        <v>853878.73</v>
      </c>
      <c r="N6326" s="573"/>
      <c r="O6326" s="556"/>
      <c r="P6326" s="573"/>
      <c r="Q6326" s="556"/>
      <c r="R6326" s="582"/>
    </row>
    <row r="6327" ht="68.65" customHeight="1" spans="1:18">
      <c r="A6327" s="556"/>
      <c r="B6327" s="557"/>
      <c r="C6327" s="100" t="s">
        <v>2893</v>
      </c>
      <c r="D6327" s="99" t="s">
        <v>4749</v>
      </c>
      <c r="E6327" s="100" t="s">
        <v>132</v>
      </c>
      <c r="F6327" s="100" t="s">
        <v>4750</v>
      </c>
      <c r="G6327" s="100" t="s">
        <v>3395</v>
      </c>
      <c r="H6327" s="100"/>
      <c r="I6327" s="101" t="s">
        <v>134</v>
      </c>
      <c r="J6327" s="580">
        <v>1</v>
      </c>
      <c r="K6327" s="580">
        <v>0</v>
      </c>
      <c r="L6327" s="102">
        <v>853878.73</v>
      </c>
      <c r="M6327" s="102">
        <v>853878.73</v>
      </c>
      <c r="N6327" s="573"/>
      <c r="O6327" s="556"/>
      <c r="P6327" s="573"/>
      <c r="Q6327" s="556"/>
      <c r="R6327" s="582"/>
    </row>
    <row r="6328" ht="25.5" spans="1:18">
      <c r="A6328" s="556"/>
      <c r="B6328" s="557" t="str">
        <f>C6327</f>
        <v>Insumo</v>
      </c>
      <c r="C6328" s="108"/>
      <c r="D6328" s="108"/>
      <c r="E6328" s="108"/>
      <c r="F6328" s="108"/>
      <c r="G6328" s="108"/>
      <c r="H6328" s="108" t="s">
        <v>2898</v>
      </c>
      <c r="I6328" s="581">
        <v>0</v>
      </c>
      <c r="J6328" s="108" t="s">
        <v>2899</v>
      </c>
      <c r="K6328" s="581">
        <v>0</v>
      </c>
      <c r="L6328" s="108" t="s">
        <v>2900</v>
      </c>
      <c r="M6328" s="581">
        <v>0</v>
      </c>
      <c r="N6328" s="573">
        <v>52.28</v>
      </c>
      <c r="O6328" s="556" t="str">
        <f t="shared" ref="O6328:O6335" si="427">IF(N6328=M6328,"OK","DIF")</f>
        <v>DIF</v>
      </c>
      <c r="P6328" s="573"/>
      <c r="Q6328" s="556"/>
      <c r="R6328" s="582"/>
    </row>
    <row r="6329" ht="26.25" spans="1:18">
      <c r="A6329" s="556" t="str">
        <f t="shared" ref="A6329:A6335" si="428">B6329</f>
        <v>Insumo</v>
      </c>
      <c r="B6329" s="557" t="str">
        <f t="shared" ref="B6329:B6335" si="429">B6328</f>
        <v>Insumo</v>
      </c>
      <c r="C6329" s="108"/>
      <c r="D6329" s="108"/>
      <c r="E6329" s="108"/>
      <c r="F6329" s="108"/>
      <c r="G6329" s="108"/>
      <c r="H6329" s="108" t="s">
        <v>2901</v>
      </c>
      <c r="I6329" s="581">
        <v>137645.25</v>
      </c>
      <c r="J6329" s="114"/>
      <c r="K6329" s="114" t="s">
        <v>2902</v>
      </c>
      <c r="L6329" s="108"/>
      <c r="M6329" s="581">
        <v>991523.98</v>
      </c>
      <c r="N6329" s="573">
        <v>11.73</v>
      </c>
      <c r="O6329" s="556" t="str">
        <f t="shared" si="427"/>
        <v>DIF</v>
      </c>
      <c r="P6329" s="573"/>
      <c r="Q6329" s="556"/>
      <c r="R6329" s="582"/>
    </row>
    <row r="6330" ht="15" spans="1:18">
      <c r="A6330" s="556" t="str">
        <f t="shared" si="428"/>
        <v>Insumo</v>
      </c>
      <c r="B6330" s="557" t="str">
        <f t="shared" si="429"/>
        <v>Insumo</v>
      </c>
      <c r="C6330" s="571"/>
      <c r="D6330" s="571"/>
      <c r="E6330" s="571"/>
      <c r="F6330" s="571"/>
      <c r="G6330" s="571"/>
      <c r="H6330" s="571"/>
      <c r="I6330" s="571"/>
      <c r="J6330" s="571"/>
      <c r="K6330" s="571"/>
      <c r="L6330" s="571"/>
      <c r="M6330" s="571"/>
      <c r="N6330" s="573">
        <v>25.55</v>
      </c>
      <c r="O6330" s="556" t="str">
        <f t="shared" si="427"/>
        <v>DIF</v>
      </c>
      <c r="P6330" s="573"/>
      <c r="Q6330" s="556"/>
      <c r="R6330" s="582"/>
    </row>
    <row r="6331" ht="15" customHeight="1" spans="1:18">
      <c r="A6331" s="556" t="str">
        <f t="shared" si="428"/>
        <v>Insumo</v>
      </c>
      <c r="B6331" s="557" t="str">
        <f t="shared" si="429"/>
        <v>Insumo</v>
      </c>
      <c r="C6331" s="76" t="s">
        <v>2148</v>
      </c>
      <c r="D6331" s="75" t="s">
        <v>63</v>
      </c>
      <c r="E6331" s="76" t="s">
        <v>64</v>
      </c>
      <c r="F6331" s="76" t="s">
        <v>65</v>
      </c>
      <c r="G6331" s="76" t="s">
        <v>2889</v>
      </c>
      <c r="H6331" s="76"/>
      <c r="I6331" s="77" t="s">
        <v>66</v>
      </c>
      <c r="J6331" s="75" t="s">
        <v>67</v>
      </c>
      <c r="K6331" s="75" t="s">
        <v>2890</v>
      </c>
      <c r="L6331" s="75" t="s">
        <v>68</v>
      </c>
      <c r="M6331" s="75" t="s">
        <v>70</v>
      </c>
      <c r="N6331" s="573">
        <v>0.79</v>
      </c>
      <c r="O6331" s="556" t="str">
        <f t="shared" si="427"/>
        <v>DIF</v>
      </c>
      <c r="P6331" s="573"/>
      <c r="Q6331" s="556"/>
      <c r="R6331" s="582"/>
    </row>
    <row r="6332" ht="79.85" customHeight="1" spans="1:18">
      <c r="A6332" s="556" t="str">
        <f t="shared" si="428"/>
        <v>Insumo</v>
      </c>
      <c r="B6332" s="557" t="str">
        <f t="shared" si="429"/>
        <v>Insumo</v>
      </c>
      <c r="C6332" s="569" t="s">
        <v>2891</v>
      </c>
      <c r="D6332" s="570" t="s">
        <v>2149</v>
      </c>
      <c r="E6332" s="569" t="s">
        <v>132</v>
      </c>
      <c r="F6332" s="569" t="s">
        <v>2150</v>
      </c>
      <c r="G6332" s="569" t="s">
        <v>4227</v>
      </c>
      <c r="H6332" s="569"/>
      <c r="I6332" s="577" t="s">
        <v>134</v>
      </c>
      <c r="J6332" s="578">
        <v>1</v>
      </c>
      <c r="K6332" s="579"/>
      <c r="L6332" s="579">
        <v>45700.66</v>
      </c>
      <c r="M6332" s="579">
        <v>45700.66</v>
      </c>
      <c r="N6332" s="573">
        <v>1.43</v>
      </c>
      <c r="O6332" s="556" t="str">
        <f t="shared" si="427"/>
        <v>DIF</v>
      </c>
      <c r="P6332" s="573"/>
      <c r="Q6332" s="556"/>
      <c r="R6332" s="582"/>
    </row>
    <row r="6333" ht="76.5" spans="1:18">
      <c r="A6333" s="556" t="str">
        <f t="shared" si="428"/>
        <v>Insumo</v>
      </c>
      <c r="B6333" s="557" t="str">
        <f t="shared" si="429"/>
        <v>Insumo</v>
      </c>
      <c r="C6333" s="79" t="s">
        <v>2921</v>
      </c>
      <c r="D6333" s="78" t="s">
        <v>3279</v>
      </c>
      <c r="E6333" s="79" t="s">
        <v>77</v>
      </c>
      <c r="F6333" s="79" t="s">
        <v>3280</v>
      </c>
      <c r="G6333" s="79">
        <v>19</v>
      </c>
      <c r="H6333" s="79"/>
      <c r="I6333" s="80" t="s">
        <v>2897</v>
      </c>
      <c r="J6333" s="583">
        <v>3.4</v>
      </c>
      <c r="K6333" s="583">
        <v>0</v>
      </c>
      <c r="L6333" s="92">
        <v>53.7</v>
      </c>
      <c r="M6333" s="92">
        <v>182.58</v>
      </c>
      <c r="N6333" s="573">
        <v>1.1</v>
      </c>
      <c r="O6333" s="556" t="str">
        <f t="shared" si="427"/>
        <v>DIF</v>
      </c>
      <c r="P6333" s="573"/>
      <c r="Q6333" s="556"/>
      <c r="R6333" s="582"/>
    </row>
    <row r="6334" ht="23.85" customHeight="1" spans="1:18">
      <c r="A6334" s="556" t="str">
        <f t="shared" si="428"/>
        <v>Insumo</v>
      </c>
      <c r="B6334" s="557" t="str">
        <f t="shared" si="429"/>
        <v>Insumo</v>
      </c>
      <c r="C6334" s="79" t="s">
        <v>2921</v>
      </c>
      <c r="D6334" s="78" t="s">
        <v>3151</v>
      </c>
      <c r="E6334" s="79" t="s">
        <v>139</v>
      </c>
      <c r="F6334" s="79" t="s">
        <v>3152</v>
      </c>
      <c r="G6334" s="79" t="s">
        <v>2928</v>
      </c>
      <c r="H6334" s="79"/>
      <c r="I6334" s="80" t="s">
        <v>2897</v>
      </c>
      <c r="J6334" s="583">
        <v>26.5</v>
      </c>
      <c r="K6334" s="583">
        <v>0</v>
      </c>
      <c r="L6334" s="92">
        <v>36.82</v>
      </c>
      <c r="M6334" s="92">
        <v>975.73</v>
      </c>
      <c r="N6334" s="573">
        <v>11.56</v>
      </c>
      <c r="O6334" s="556" t="str">
        <f t="shared" si="427"/>
        <v>DIF</v>
      </c>
      <c r="P6334" s="573"/>
      <c r="Q6334" s="556"/>
      <c r="R6334" s="582"/>
    </row>
    <row r="6335" ht="25.5" spans="1:18">
      <c r="A6335" s="556" t="str">
        <f t="shared" si="428"/>
        <v>Insumo</v>
      </c>
      <c r="B6335" s="557" t="str">
        <f t="shared" si="429"/>
        <v>Insumo</v>
      </c>
      <c r="C6335" s="79" t="s">
        <v>2921</v>
      </c>
      <c r="D6335" s="78" t="s">
        <v>3272</v>
      </c>
      <c r="E6335" s="79" t="s">
        <v>77</v>
      </c>
      <c r="F6335" s="79" t="s">
        <v>3273</v>
      </c>
      <c r="G6335" s="79">
        <v>19</v>
      </c>
      <c r="H6335" s="79"/>
      <c r="I6335" s="80" t="s">
        <v>2897</v>
      </c>
      <c r="J6335" s="583">
        <v>13.6</v>
      </c>
      <c r="K6335" s="583">
        <v>0</v>
      </c>
      <c r="L6335" s="92">
        <v>81.79</v>
      </c>
      <c r="M6335" s="92">
        <v>1112.34</v>
      </c>
      <c r="N6335" s="573">
        <v>0.12</v>
      </c>
      <c r="O6335" s="556" t="str">
        <f t="shared" si="427"/>
        <v>DIF</v>
      </c>
      <c r="P6335" s="573"/>
      <c r="Q6335" s="556"/>
      <c r="R6335" s="582"/>
    </row>
    <row r="6336" ht="23.85" customHeight="1" spans="1:18">
      <c r="A6336" s="556"/>
      <c r="B6336" s="557"/>
      <c r="C6336" s="79" t="s">
        <v>2921</v>
      </c>
      <c r="D6336" s="78" t="s">
        <v>3153</v>
      </c>
      <c r="E6336" s="79" t="s">
        <v>139</v>
      </c>
      <c r="F6336" s="79" t="s">
        <v>3154</v>
      </c>
      <c r="G6336" s="79" t="s">
        <v>2928</v>
      </c>
      <c r="H6336" s="79"/>
      <c r="I6336" s="80" t="s">
        <v>2897</v>
      </c>
      <c r="J6336" s="583">
        <v>954.5</v>
      </c>
      <c r="K6336" s="583">
        <v>0</v>
      </c>
      <c r="L6336" s="92">
        <v>30.6</v>
      </c>
      <c r="M6336" s="92">
        <v>29207.7</v>
      </c>
      <c r="N6336" s="573"/>
      <c r="O6336" s="556"/>
      <c r="P6336" s="573"/>
      <c r="Q6336" s="556"/>
      <c r="R6336" s="582"/>
    </row>
    <row r="6337" ht="23.85" customHeight="1" spans="1:18">
      <c r="A6337" s="556"/>
      <c r="B6337" s="557"/>
      <c r="C6337" s="79" t="s">
        <v>2921</v>
      </c>
      <c r="D6337" s="78" t="s">
        <v>3113</v>
      </c>
      <c r="E6337" s="79" t="s">
        <v>139</v>
      </c>
      <c r="F6337" s="79" t="s">
        <v>3114</v>
      </c>
      <c r="G6337" s="79" t="s">
        <v>2928</v>
      </c>
      <c r="H6337" s="79"/>
      <c r="I6337" s="80" t="s">
        <v>2897</v>
      </c>
      <c r="J6337" s="583">
        <v>309</v>
      </c>
      <c r="K6337" s="583">
        <v>0</v>
      </c>
      <c r="L6337" s="92">
        <v>39.26</v>
      </c>
      <c r="M6337" s="92">
        <v>12131.34</v>
      </c>
      <c r="N6337" s="573"/>
      <c r="O6337" s="556"/>
      <c r="P6337" s="573"/>
      <c r="Q6337" s="556"/>
      <c r="R6337" s="582"/>
    </row>
    <row r="6338" ht="25.5" spans="1:18">
      <c r="A6338" s="556"/>
      <c r="B6338" s="557"/>
      <c r="C6338" s="79" t="s">
        <v>2921</v>
      </c>
      <c r="D6338" s="78" t="s">
        <v>3277</v>
      </c>
      <c r="E6338" s="79" t="s">
        <v>77</v>
      </c>
      <c r="F6338" s="79" t="s">
        <v>3278</v>
      </c>
      <c r="G6338" s="79">
        <v>19</v>
      </c>
      <c r="H6338" s="79"/>
      <c r="I6338" s="80" t="s">
        <v>2897</v>
      </c>
      <c r="J6338" s="583">
        <v>3.4</v>
      </c>
      <c r="K6338" s="583">
        <v>0</v>
      </c>
      <c r="L6338" s="92">
        <v>66.2</v>
      </c>
      <c r="M6338" s="92">
        <v>225.08</v>
      </c>
      <c r="N6338" s="573"/>
      <c r="O6338" s="556"/>
      <c r="P6338" s="573"/>
      <c r="Q6338" s="556"/>
      <c r="R6338" s="582"/>
    </row>
    <row r="6339" ht="76.5" spans="1:18">
      <c r="A6339" s="556"/>
      <c r="B6339" s="557"/>
      <c r="C6339" s="79" t="s">
        <v>2921</v>
      </c>
      <c r="D6339" s="78" t="s">
        <v>3281</v>
      </c>
      <c r="E6339" s="79" t="s">
        <v>77</v>
      </c>
      <c r="F6339" s="79" t="s">
        <v>3280</v>
      </c>
      <c r="G6339" s="79">
        <v>19</v>
      </c>
      <c r="H6339" s="79"/>
      <c r="I6339" s="80" t="s">
        <v>2897</v>
      </c>
      <c r="J6339" s="583">
        <v>13.6</v>
      </c>
      <c r="K6339" s="583">
        <v>0</v>
      </c>
      <c r="L6339" s="92">
        <v>64.47</v>
      </c>
      <c r="M6339" s="92">
        <v>876.79</v>
      </c>
      <c r="N6339" s="573"/>
      <c r="O6339" s="556"/>
      <c r="P6339" s="573"/>
      <c r="Q6339" s="556"/>
      <c r="R6339" s="582"/>
    </row>
    <row r="6340" ht="23.85" customHeight="1" spans="1:18">
      <c r="A6340" s="556"/>
      <c r="B6340" s="557" t="str">
        <f>C6339</f>
        <v>Composição Auxiliar</v>
      </c>
      <c r="C6340" s="79" t="s">
        <v>2921</v>
      </c>
      <c r="D6340" s="78" t="s">
        <v>4196</v>
      </c>
      <c r="E6340" s="79" t="s">
        <v>139</v>
      </c>
      <c r="F6340" s="79" t="s">
        <v>4197</v>
      </c>
      <c r="G6340" s="79" t="s">
        <v>2928</v>
      </c>
      <c r="H6340" s="79"/>
      <c r="I6340" s="80" t="s">
        <v>2897</v>
      </c>
      <c r="J6340" s="583">
        <v>21</v>
      </c>
      <c r="K6340" s="583">
        <v>0</v>
      </c>
      <c r="L6340" s="92">
        <v>47.1</v>
      </c>
      <c r="M6340" s="92">
        <v>989.1</v>
      </c>
      <c r="N6340" s="573">
        <v>330.81</v>
      </c>
      <c r="O6340" s="556" t="str">
        <f>IF(N6340=M6340,"OK","DIF")</f>
        <v>DIF</v>
      </c>
      <c r="P6340" s="573"/>
      <c r="Q6340" s="556"/>
      <c r="R6340" s="582"/>
    </row>
    <row r="6341" ht="25.5" spans="1:18">
      <c r="A6341" s="556" t="str">
        <f>B6341</f>
        <v>Composição Auxiliar</v>
      </c>
      <c r="B6341" s="557" t="str">
        <f>B6340</f>
        <v>Composição Auxiliar</v>
      </c>
      <c r="C6341" s="108"/>
      <c r="D6341" s="108"/>
      <c r="E6341" s="108"/>
      <c r="F6341" s="108"/>
      <c r="G6341" s="108"/>
      <c r="H6341" s="108" t="s">
        <v>2898</v>
      </c>
      <c r="I6341" s="581">
        <v>31607.55</v>
      </c>
      <c r="J6341" s="108" t="s">
        <v>2899</v>
      </c>
      <c r="K6341" s="581">
        <v>0</v>
      </c>
      <c r="L6341" s="108" t="s">
        <v>2900</v>
      </c>
      <c r="M6341" s="581">
        <v>31607.55</v>
      </c>
      <c r="N6341" s="573">
        <v>320</v>
      </c>
      <c r="O6341" s="556" t="str">
        <f>IF(N6341=M6341,"OK","DIF")</f>
        <v>DIF</v>
      </c>
      <c r="P6341" s="573"/>
      <c r="Q6341" s="556"/>
      <c r="R6341" s="582"/>
    </row>
    <row r="6342" ht="26.25" spans="1:18">
      <c r="A6342" s="556" t="str">
        <f>B6342</f>
        <v>Composição Auxiliar</v>
      </c>
      <c r="B6342" s="557" t="str">
        <f>B6341</f>
        <v>Composição Auxiliar</v>
      </c>
      <c r="C6342" s="108"/>
      <c r="D6342" s="108"/>
      <c r="E6342" s="108"/>
      <c r="F6342" s="108"/>
      <c r="G6342" s="108"/>
      <c r="H6342" s="108" t="s">
        <v>2901</v>
      </c>
      <c r="I6342" s="581">
        <v>11649.09</v>
      </c>
      <c r="J6342" s="114"/>
      <c r="K6342" s="114" t="s">
        <v>2902</v>
      </c>
      <c r="L6342" s="108"/>
      <c r="M6342" s="581">
        <v>57349.75</v>
      </c>
      <c r="N6342" s="573">
        <v>10.81</v>
      </c>
      <c r="O6342" s="556" t="str">
        <f>IF(N6342=M6342,"OK","DIF")</f>
        <v>DIF</v>
      </c>
      <c r="P6342" s="573"/>
      <c r="Q6342" s="556"/>
      <c r="R6342" s="582"/>
    </row>
    <row r="6343" ht="15" spans="1:18">
      <c r="A6343" s="556"/>
      <c r="B6343" s="557"/>
      <c r="C6343" s="571"/>
      <c r="D6343" s="571"/>
      <c r="E6343" s="571"/>
      <c r="F6343" s="571"/>
      <c r="G6343" s="571"/>
      <c r="H6343" s="571"/>
      <c r="I6343" s="571"/>
      <c r="J6343" s="571"/>
      <c r="K6343" s="571"/>
      <c r="L6343" s="571"/>
      <c r="M6343" s="571"/>
      <c r="N6343" s="573"/>
      <c r="O6343" s="556"/>
      <c r="P6343" s="573"/>
      <c r="Q6343" s="556"/>
      <c r="R6343" s="582"/>
    </row>
    <row r="6344" ht="15" customHeight="1" spans="1:18">
      <c r="A6344" s="556"/>
      <c r="B6344" s="557"/>
      <c r="C6344" s="76" t="s">
        <v>2151</v>
      </c>
      <c r="D6344" s="75" t="s">
        <v>63</v>
      </c>
      <c r="E6344" s="76" t="s">
        <v>64</v>
      </c>
      <c r="F6344" s="76" t="s">
        <v>65</v>
      </c>
      <c r="G6344" s="76" t="s">
        <v>2889</v>
      </c>
      <c r="H6344" s="76"/>
      <c r="I6344" s="77" t="s">
        <v>66</v>
      </c>
      <c r="J6344" s="75" t="s">
        <v>67</v>
      </c>
      <c r="K6344" s="75" t="s">
        <v>2890</v>
      </c>
      <c r="L6344" s="75" t="s">
        <v>68</v>
      </c>
      <c r="M6344" s="75" t="s">
        <v>70</v>
      </c>
      <c r="N6344" s="573"/>
      <c r="O6344" s="556"/>
      <c r="P6344" s="573"/>
      <c r="Q6344" s="556"/>
      <c r="R6344" s="582"/>
    </row>
    <row r="6345" ht="51" spans="1:18">
      <c r="A6345" s="556"/>
      <c r="B6345" s="557"/>
      <c r="C6345" s="569" t="s">
        <v>2891</v>
      </c>
      <c r="D6345" s="570" t="s">
        <v>2152</v>
      </c>
      <c r="E6345" s="569" t="s">
        <v>132</v>
      </c>
      <c r="F6345" s="569" t="s">
        <v>2153</v>
      </c>
      <c r="G6345" s="569">
        <v>43.08</v>
      </c>
      <c r="H6345" s="569"/>
      <c r="I6345" s="577" t="s">
        <v>134</v>
      </c>
      <c r="J6345" s="578">
        <v>1</v>
      </c>
      <c r="K6345" s="579"/>
      <c r="L6345" s="579">
        <v>155966.19</v>
      </c>
      <c r="M6345" s="579">
        <v>155966.19</v>
      </c>
      <c r="N6345" s="573"/>
      <c r="O6345" s="556"/>
      <c r="P6345" s="573"/>
      <c r="Q6345" s="556"/>
      <c r="R6345" s="582"/>
    </row>
    <row r="6346" ht="35.05" customHeight="1" spans="1:18">
      <c r="A6346" s="556"/>
      <c r="B6346" s="557" t="str">
        <f>C6345</f>
        <v>Composição</v>
      </c>
      <c r="C6346" s="100" t="s">
        <v>2893</v>
      </c>
      <c r="D6346" s="99" t="s">
        <v>4751</v>
      </c>
      <c r="E6346" s="100" t="s">
        <v>132</v>
      </c>
      <c r="F6346" s="100" t="s">
        <v>4752</v>
      </c>
      <c r="G6346" s="100" t="s">
        <v>3395</v>
      </c>
      <c r="H6346" s="100"/>
      <c r="I6346" s="101" t="s">
        <v>134</v>
      </c>
      <c r="J6346" s="580">
        <v>1</v>
      </c>
      <c r="K6346" s="580">
        <v>0</v>
      </c>
      <c r="L6346" s="102">
        <v>155966.19</v>
      </c>
      <c r="M6346" s="102">
        <v>155966.19</v>
      </c>
      <c r="N6346" s="573">
        <v>1500</v>
      </c>
      <c r="O6346" s="556" t="str">
        <f>IF(N6346=M6346,"OK","DIF")</f>
        <v>DIF</v>
      </c>
      <c r="P6346" s="573"/>
      <c r="Q6346" s="556"/>
      <c r="R6346" s="582"/>
    </row>
    <row r="6347" ht="25.5" spans="1:18">
      <c r="A6347" s="556" t="str">
        <f>B6347</f>
        <v>Composição</v>
      </c>
      <c r="B6347" s="557" t="str">
        <f>B6346</f>
        <v>Composição</v>
      </c>
      <c r="C6347" s="108"/>
      <c r="D6347" s="108"/>
      <c r="E6347" s="108"/>
      <c r="F6347" s="108"/>
      <c r="G6347" s="108"/>
      <c r="H6347" s="108" t="s">
        <v>2898</v>
      </c>
      <c r="I6347" s="581">
        <v>0</v>
      </c>
      <c r="J6347" s="108" t="s">
        <v>2899</v>
      </c>
      <c r="K6347" s="581">
        <v>0</v>
      </c>
      <c r="L6347" s="108" t="s">
        <v>2900</v>
      </c>
      <c r="M6347" s="581">
        <v>0</v>
      </c>
      <c r="N6347" s="573">
        <v>1500</v>
      </c>
      <c r="O6347" s="556" t="str">
        <f>IF(N6347=M6347,"OK","DIF")</f>
        <v>DIF</v>
      </c>
      <c r="P6347" s="573"/>
      <c r="Q6347" s="556"/>
      <c r="R6347" s="582"/>
    </row>
    <row r="6348" ht="26.25" spans="1:18">
      <c r="A6348" s="556"/>
      <c r="B6348" s="557"/>
      <c r="C6348" s="108"/>
      <c r="D6348" s="108"/>
      <c r="E6348" s="108"/>
      <c r="F6348" s="108"/>
      <c r="G6348" s="108"/>
      <c r="H6348" s="108" t="s">
        <v>2901</v>
      </c>
      <c r="I6348" s="581">
        <v>25141.74</v>
      </c>
      <c r="J6348" s="114"/>
      <c r="K6348" s="114" t="s">
        <v>2902</v>
      </c>
      <c r="L6348" s="108"/>
      <c r="M6348" s="581">
        <v>181107.93</v>
      </c>
      <c r="N6348" s="573"/>
      <c r="O6348" s="556"/>
      <c r="P6348" s="573"/>
      <c r="Q6348" s="556"/>
      <c r="R6348" s="582"/>
    </row>
    <row r="6349" ht="15" spans="1:18">
      <c r="A6349" s="556"/>
      <c r="B6349" s="557"/>
      <c r="C6349" s="571"/>
      <c r="D6349" s="571"/>
      <c r="E6349" s="571"/>
      <c r="F6349" s="571"/>
      <c r="G6349" s="571"/>
      <c r="H6349" s="571"/>
      <c r="I6349" s="571"/>
      <c r="J6349" s="571"/>
      <c r="K6349" s="571"/>
      <c r="L6349" s="571"/>
      <c r="M6349" s="571"/>
      <c r="N6349" s="573"/>
      <c r="O6349" s="556"/>
      <c r="P6349" s="573"/>
      <c r="Q6349" s="556"/>
      <c r="R6349" s="582"/>
    </row>
    <row r="6350" ht="15" customHeight="1" spans="1:18">
      <c r="A6350" s="556"/>
      <c r="B6350" s="557">
        <f>C6349</f>
        <v>0</v>
      </c>
      <c r="C6350" s="76" t="s">
        <v>2155</v>
      </c>
      <c r="D6350" s="75" t="s">
        <v>63</v>
      </c>
      <c r="E6350" s="76" t="s">
        <v>64</v>
      </c>
      <c r="F6350" s="76" t="s">
        <v>65</v>
      </c>
      <c r="G6350" s="76" t="s">
        <v>2889</v>
      </c>
      <c r="H6350" s="76"/>
      <c r="I6350" s="77" t="s">
        <v>66</v>
      </c>
      <c r="J6350" s="75" t="s">
        <v>67</v>
      </c>
      <c r="K6350" s="75" t="s">
        <v>2890</v>
      </c>
      <c r="L6350" s="75" t="s">
        <v>68</v>
      </c>
      <c r="M6350" s="75" t="s">
        <v>70</v>
      </c>
      <c r="N6350" s="573">
        <v>1500</v>
      </c>
      <c r="O6350" s="556" t="str">
        <f>IF(N6350=M6350,"OK","DIF")</f>
        <v>DIF</v>
      </c>
      <c r="P6350" s="573"/>
      <c r="Q6350" s="556"/>
      <c r="R6350" s="582"/>
    </row>
    <row r="6351" ht="46.25" customHeight="1" spans="1:18">
      <c r="A6351" s="556">
        <f>B6351</f>
        <v>0</v>
      </c>
      <c r="B6351" s="557">
        <f>B6350</f>
        <v>0</v>
      </c>
      <c r="C6351" s="569" t="s">
        <v>2891</v>
      </c>
      <c r="D6351" s="570" t="s">
        <v>2156</v>
      </c>
      <c r="E6351" s="569" t="s">
        <v>132</v>
      </c>
      <c r="F6351" s="569" t="s">
        <v>2157</v>
      </c>
      <c r="G6351" s="569" t="s">
        <v>4227</v>
      </c>
      <c r="H6351" s="569"/>
      <c r="I6351" s="577" t="s">
        <v>134</v>
      </c>
      <c r="J6351" s="578">
        <v>1</v>
      </c>
      <c r="K6351" s="579"/>
      <c r="L6351" s="579">
        <v>864.56</v>
      </c>
      <c r="M6351" s="579">
        <v>864.56</v>
      </c>
      <c r="N6351" s="573">
        <v>1500</v>
      </c>
      <c r="O6351" s="556" t="str">
        <f>IF(N6351=M6351,"OK","DIF")</f>
        <v>DIF</v>
      </c>
      <c r="P6351" s="573"/>
      <c r="Q6351" s="556"/>
      <c r="R6351" s="582"/>
    </row>
    <row r="6352" ht="23.85" customHeight="1" spans="1:18">
      <c r="A6352" s="556"/>
      <c r="B6352" s="557"/>
      <c r="C6352" s="79" t="s">
        <v>2921</v>
      </c>
      <c r="D6352" s="78" t="s">
        <v>4190</v>
      </c>
      <c r="E6352" s="79" t="s">
        <v>139</v>
      </c>
      <c r="F6352" s="79" t="s">
        <v>4191</v>
      </c>
      <c r="G6352" s="79" t="s">
        <v>2928</v>
      </c>
      <c r="H6352" s="79"/>
      <c r="I6352" s="80" t="s">
        <v>2897</v>
      </c>
      <c r="J6352" s="583">
        <v>8</v>
      </c>
      <c r="K6352" s="583">
        <v>0</v>
      </c>
      <c r="L6352" s="92">
        <v>40.65</v>
      </c>
      <c r="M6352" s="92">
        <v>325.2</v>
      </c>
      <c r="N6352" s="573"/>
      <c r="O6352" s="556"/>
      <c r="P6352" s="573"/>
      <c r="Q6352" s="556"/>
      <c r="R6352" s="582"/>
    </row>
    <row r="6353" ht="23.85" customHeight="1" spans="1:18">
      <c r="A6353" s="556"/>
      <c r="B6353" s="557"/>
      <c r="C6353" s="79" t="s">
        <v>2921</v>
      </c>
      <c r="D6353" s="78" t="s">
        <v>3151</v>
      </c>
      <c r="E6353" s="79" t="s">
        <v>139</v>
      </c>
      <c r="F6353" s="79" t="s">
        <v>3152</v>
      </c>
      <c r="G6353" s="79" t="s">
        <v>2928</v>
      </c>
      <c r="H6353" s="79"/>
      <c r="I6353" s="80" t="s">
        <v>2897</v>
      </c>
      <c r="J6353" s="583">
        <v>8</v>
      </c>
      <c r="K6353" s="583">
        <v>0</v>
      </c>
      <c r="L6353" s="92">
        <v>36.82</v>
      </c>
      <c r="M6353" s="92">
        <v>294.56</v>
      </c>
      <c r="N6353" s="573"/>
      <c r="O6353" s="556"/>
      <c r="P6353" s="573"/>
      <c r="Q6353" s="556"/>
      <c r="R6353" s="582"/>
    </row>
    <row r="6354" ht="23.85" customHeight="1" spans="1:18">
      <c r="A6354" s="556"/>
      <c r="B6354" s="557"/>
      <c r="C6354" s="79" t="s">
        <v>2921</v>
      </c>
      <c r="D6354" s="78" t="s">
        <v>3153</v>
      </c>
      <c r="E6354" s="79" t="s">
        <v>139</v>
      </c>
      <c r="F6354" s="79" t="s">
        <v>3154</v>
      </c>
      <c r="G6354" s="79" t="s">
        <v>2928</v>
      </c>
      <c r="H6354" s="79"/>
      <c r="I6354" s="80" t="s">
        <v>2897</v>
      </c>
      <c r="J6354" s="583">
        <v>8</v>
      </c>
      <c r="K6354" s="583">
        <v>0</v>
      </c>
      <c r="L6354" s="92">
        <v>30.6</v>
      </c>
      <c r="M6354" s="92">
        <v>244.8</v>
      </c>
      <c r="N6354" s="573"/>
      <c r="O6354" s="556"/>
      <c r="P6354" s="573"/>
      <c r="Q6354" s="556"/>
      <c r="R6354" s="582"/>
    </row>
    <row r="6355" ht="25.5" spans="1:18">
      <c r="A6355" s="556"/>
      <c r="B6355" s="557" t="str">
        <f>C6354</f>
        <v>Composição Auxiliar</v>
      </c>
      <c r="C6355" s="108"/>
      <c r="D6355" s="108"/>
      <c r="E6355" s="108"/>
      <c r="F6355" s="108"/>
      <c r="G6355" s="108"/>
      <c r="H6355" s="108" t="s">
        <v>2898</v>
      </c>
      <c r="I6355" s="581">
        <v>623.36</v>
      </c>
      <c r="J6355" s="108" t="s">
        <v>2899</v>
      </c>
      <c r="K6355" s="581">
        <v>0</v>
      </c>
      <c r="L6355" s="108" t="s">
        <v>2900</v>
      </c>
      <c r="M6355" s="581">
        <v>623.36</v>
      </c>
      <c r="N6355" s="573">
        <v>493.55</v>
      </c>
      <c r="O6355" s="556" t="str">
        <f t="shared" ref="O6355:O6361" si="430">IF(N6355=M6355,"OK","DIF")</f>
        <v>DIF</v>
      </c>
      <c r="P6355" s="573"/>
      <c r="Q6355" s="556"/>
      <c r="R6355" s="582"/>
    </row>
    <row r="6356" ht="26.25" spans="1:18">
      <c r="A6356" s="556" t="str">
        <f t="shared" ref="A6356:A6361" si="431">B6356</f>
        <v>Composição Auxiliar</v>
      </c>
      <c r="B6356" s="557" t="str">
        <f t="shared" ref="B6356:B6361" si="432">B6355</f>
        <v>Composição Auxiliar</v>
      </c>
      <c r="C6356" s="108"/>
      <c r="D6356" s="108"/>
      <c r="E6356" s="108"/>
      <c r="F6356" s="108"/>
      <c r="G6356" s="108"/>
      <c r="H6356" s="108" t="s">
        <v>2901</v>
      </c>
      <c r="I6356" s="581">
        <v>220.37</v>
      </c>
      <c r="J6356" s="114"/>
      <c r="K6356" s="114" t="s">
        <v>2902</v>
      </c>
      <c r="L6356" s="108"/>
      <c r="M6356" s="581">
        <v>1084.93</v>
      </c>
      <c r="N6356" s="573">
        <v>54.45</v>
      </c>
      <c r="O6356" s="556" t="str">
        <f t="shared" si="430"/>
        <v>DIF</v>
      </c>
      <c r="P6356" s="573"/>
      <c r="Q6356" s="556"/>
      <c r="R6356" s="582"/>
    </row>
    <row r="6357" ht="15" spans="1:18">
      <c r="A6357" s="556" t="str">
        <f t="shared" si="431"/>
        <v>Composição Auxiliar</v>
      </c>
      <c r="B6357" s="557" t="str">
        <f t="shared" si="432"/>
        <v>Composição Auxiliar</v>
      </c>
      <c r="C6357" s="571"/>
      <c r="D6357" s="571"/>
      <c r="E6357" s="571"/>
      <c r="F6357" s="571"/>
      <c r="G6357" s="571"/>
      <c r="H6357" s="571"/>
      <c r="I6357" s="571"/>
      <c r="J6357" s="571"/>
      <c r="K6357" s="571"/>
      <c r="L6357" s="571"/>
      <c r="M6357" s="571"/>
      <c r="N6357" s="573">
        <v>31.86</v>
      </c>
      <c r="O6357" s="556" t="str">
        <f t="shared" si="430"/>
        <v>DIF</v>
      </c>
      <c r="P6357" s="573"/>
      <c r="Q6357" s="556"/>
      <c r="R6357" s="582"/>
    </row>
    <row r="6358" ht="15" customHeight="1" spans="1:18">
      <c r="A6358" s="556" t="str">
        <f t="shared" si="431"/>
        <v>Composição Auxiliar</v>
      </c>
      <c r="B6358" s="557" t="str">
        <f t="shared" si="432"/>
        <v>Composição Auxiliar</v>
      </c>
      <c r="C6358" s="76" t="s">
        <v>2158</v>
      </c>
      <c r="D6358" s="75" t="s">
        <v>63</v>
      </c>
      <c r="E6358" s="76" t="s">
        <v>64</v>
      </c>
      <c r="F6358" s="76" t="s">
        <v>65</v>
      </c>
      <c r="G6358" s="76" t="s">
        <v>2889</v>
      </c>
      <c r="H6358" s="76"/>
      <c r="I6358" s="77" t="s">
        <v>66</v>
      </c>
      <c r="J6358" s="75" t="s">
        <v>67</v>
      </c>
      <c r="K6358" s="75" t="s">
        <v>2890</v>
      </c>
      <c r="L6358" s="75" t="s">
        <v>68</v>
      </c>
      <c r="M6358" s="75" t="s">
        <v>70</v>
      </c>
      <c r="N6358" s="573">
        <v>195.37</v>
      </c>
      <c r="O6358" s="556" t="str">
        <f t="shared" si="430"/>
        <v>DIF</v>
      </c>
      <c r="P6358" s="573"/>
      <c r="Q6358" s="556"/>
      <c r="R6358" s="582"/>
    </row>
    <row r="6359" ht="89.25" spans="1:18">
      <c r="A6359" s="556" t="str">
        <f t="shared" si="431"/>
        <v>Composição Auxiliar</v>
      </c>
      <c r="B6359" s="557" t="str">
        <f t="shared" si="432"/>
        <v>Composição Auxiliar</v>
      </c>
      <c r="C6359" s="569" t="s">
        <v>2891</v>
      </c>
      <c r="D6359" s="570" t="s">
        <v>2159</v>
      </c>
      <c r="E6359" s="569" t="s">
        <v>132</v>
      </c>
      <c r="F6359" s="569" t="s">
        <v>2160</v>
      </c>
      <c r="G6359" s="569">
        <v>61.1</v>
      </c>
      <c r="H6359" s="569"/>
      <c r="I6359" s="577" t="s">
        <v>134</v>
      </c>
      <c r="J6359" s="578">
        <v>1</v>
      </c>
      <c r="K6359" s="579"/>
      <c r="L6359" s="579">
        <v>184998.76</v>
      </c>
      <c r="M6359" s="579">
        <v>184998.76</v>
      </c>
      <c r="N6359" s="573">
        <v>133</v>
      </c>
      <c r="O6359" s="556" t="str">
        <f t="shared" si="430"/>
        <v>DIF</v>
      </c>
      <c r="P6359" s="573"/>
      <c r="Q6359" s="556"/>
      <c r="R6359" s="582"/>
    </row>
    <row r="6360" ht="79.85" customHeight="1" spans="1:18">
      <c r="A6360" s="556" t="str">
        <f t="shared" si="431"/>
        <v>Composição Auxiliar</v>
      </c>
      <c r="B6360" s="557" t="str">
        <f t="shared" si="432"/>
        <v>Composição Auxiliar</v>
      </c>
      <c r="C6360" s="100" t="s">
        <v>2893</v>
      </c>
      <c r="D6360" s="99" t="s">
        <v>4753</v>
      </c>
      <c r="E6360" s="100" t="s">
        <v>132</v>
      </c>
      <c r="F6360" s="100" t="s">
        <v>4754</v>
      </c>
      <c r="G6360" s="100" t="s">
        <v>3395</v>
      </c>
      <c r="H6360" s="100"/>
      <c r="I6360" s="101" t="s">
        <v>134</v>
      </c>
      <c r="J6360" s="580">
        <v>1</v>
      </c>
      <c r="K6360" s="580">
        <v>0</v>
      </c>
      <c r="L6360" s="102">
        <v>184998.76</v>
      </c>
      <c r="M6360" s="102">
        <v>184998.76</v>
      </c>
      <c r="N6360" s="573">
        <v>70.26</v>
      </c>
      <c r="O6360" s="556" t="str">
        <f t="shared" si="430"/>
        <v>DIF</v>
      </c>
      <c r="P6360" s="573"/>
      <c r="Q6360" s="556"/>
      <c r="R6360" s="582"/>
    </row>
    <row r="6361" ht="25.5" spans="1:18">
      <c r="A6361" s="556" t="str">
        <f t="shared" si="431"/>
        <v>Composição Auxiliar</v>
      </c>
      <c r="B6361" s="557" t="str">
        <f t="shared" si="432"/>
        <v>Composição Auxiliar</v>
      </c>
      <c r="C6361" s="108"/>
      <c r="D6361" s="108"/>
      <c r="E6361" s="108"/>
      <c r="F6361" s="108"/>
      <c r="G6361" s="108"/>
      <c r="H6361" s="108" t="s">
        <v>2898</v>
      </c>
      <c r="I6361" s="581">
        <v>0</v>
      </c>
      <c r="J6361" s="108" t="s">
        <v>2899</v>
      </c>
      <c r="K6361" s="581">
        <v>0</v>
      </c>
      <c r="L6361" s="108" t="s">
        <v>2900</v>
      </c>
      <c r="M6361" s="581">
        <v>0</v>
      </c>
      <c r="N6361" s="573">
        <v>8.61</v>
      </c>
      <c r="O6361" s="556" t="str">
        <f t="shared" si="430"/>
        <v>DIF</v>
      </c>
      <c r="P6361" s="573"/>
      <c r="Q6361" s="556"/>
      <c r="R6361" s="582"/>
    </row>
    <row r="6362" ht="26.25" spans="1:18">
      <c r="A6362" s="556"/>
      <c r="B6362" s="557"/>
      <c r="C6362" s="108"/>
      <c r="D6362" s="108"/>
      <c r="E6362" s="108"/>
      <c r="F6362" s="108"/>
      <c r="G6362" s="108"/>
      <c r="H6362" s="108" t="s">
        <v>2901</v>
      </c>
      <c r="I6362" s="581">
        <v>29821.8</v>
      </c>
      <c r="J6362" s="114"/>
      <c r="K6362" s="114" t="s">
        <v>2902</v>
      </c>
      <c r="L6362" s="108"/>
      <c r="M6362" s="581">
        <v>214820.56</v>
      </c>
      <c r="N6362" s="573"/>
      <c r="O6362" s="556"/>
      <c r="P6362" s="573"/>
      <c r="Q6362" s="556"/>
      <c r="R6362" s="582"/>
    </row>
    <row r="6363" ht="15" spans="1:18">
      <c r="A6363" s="556"/>
      <c r="B6363" s="557"/>
      <c r="C6363" s="571"/>
      <c r="D6363" s="571"/>
      <c r="E6363" s="571"/>
      <c r="F6363" s="571"/>
      <c r="G6363" s="571"/>
      <c r="H6363" s="571"/>
      <c r="I6363" s="571"/>
      <c r="J6363" s="571"/>
      <c r="K6363" s="571"/>
      <c r="L6363" s="571"/>
      <c r="M6363" s="571"/>
      <c r="N6363" s="573"/>
      <c r="O6363" s="556"/>
      <c r="P6363" s="573"/>
      <c r="Q6363" s="556"/>
      <c r="R6363" s="582"/>
    </row>
    <row r="6364" ht="15" customHeight="1" spans="1:18">
      <c r="A6364" s="556"/>
      <c r="B6364" s="557">
        <f>C6363</f>
        <v>0</v>
      </c>
      <c r="C6364" s="76" t="s">
        <v>2162</v>
      </c>
      <c r="D6364" s="75" t="s">
        <v>63</v>
      </c>
      <c r="E6364" s="76" t="s">
        <v>64</v>
      </c>
      <c r="F6364" s="76" t="s">
        <v>65</v>
      </c>
      <c r="G6364" s="76" t="s">
        <v>2889</v>
      </c>
      <c r="H6364" s="76"/>
      <c r="I6364" s="77" t="s">
        <v>66</v>
      </c>
      <c r="J6364" s="75" t="s">
        <v>67</v>
      </c>
      <c r="K6364" s="75" t="s">
        <v>2890</v>
      </c>
      <c r="L6364" s="75" t="s">
        <v>68</v>
      </c>
      <c r="M6364" s="75" t="s">
        <v>70</v>
      </c>
      <c r="N6364" s="573">
        <v>86.3</v>
      </c>
      <c r="O6364" s="556" t="str">
        <f t="shared" ref="O6364:O6369" si="433">IF(N6364=M6364,"OK","DIF")</f>
        <v>DIF</v>
      </c>
      <c r="P6364" s="573"/>
      <c r="Q6364" s="556"/>
      <c r="R6364" s="582"/>
    </row>
    <row r="6365" ht="91" customHeight="1" spans="1:18">
      <c r="A6365" s="556">
        <f>B6365</f>
        <v>0</v>
      </c>
      <c r="B6365" s="557">
        <f>B6364</f>
        <v>0</v>
      </c>
      <c r="C6365" s="569" t="s">
        <v>2891</v>
      </c>
      <c r="D6365" s="570" t="s">
        <v>2163</v>
      </c>
      <c r="E6365" s="569" t="s">
        <v>132</v>
      </c>
      <c r="F6365" s="569" t="s">
        <v>2164</v>
      </c>
      <c r="G6365" s="569" t="s">
        <v>4227</v>
      </c>
      <c r="H6365" s="569"/>
      <c r="I6365" s="577" t="s">
        <v>134</v>
      </c>
      <c r="J6365" s="578">
        <v>1</v>
      </c>
      <c r="K6365" s="579"/>
      <c r="L6365" s="579">
        <v>13688.84</v>
      </c>
      <c r="M6365" s="579">
        <v>13688.84</v>
      </c>
      <c r="N6365" s="573">
        <v>1.53</v>
      </c>
      <c r="O6365" s="556" t="str">
        <f t="shared" si="433"/>
        <v>DIF</v>
      </c>
      <c r="P6365" s="573"/>
      <c r="Q6365" s="556"/>
      <c r="R6365" s="582"/>
    </row>
    <row r="6366" ht="23.85" customHeight="1" spans="1:18">
      <c r="A6366" s="556">
        <f>B6366</f>
        <v>0</v>
      </c>
      <c r="B6366" s="557">
        <f>B6365</f>
        <v>0</v>
      </c>
      <c r="C6366" s="79" t="s">
        <v>2921</v>
      </c>
      <c r="D6366" s="78" t="s">
        <v>3113</v>
      </c>
      <c r="E6366" s="79" t="s">
        <v>139</v>
      </c>
      <c r="F6366" s="79" t="s">
        <v>3114</v>
      </c>
      <c r="G6366" s="79" t="s">
        <v>2928</v>
      </c>
      <c r="H6366" s="79"/>
      <c r="I6366" s="80" t="s">
        <v>2897</v>
      </c>
      <c r="J6366" s="583">
        <v>95</v>
      </c>
      <c r="K6366" s="583">
        <v>0</v>
      </c>
      <c r="L6366" s="92">
        <v>39.26</v>
      </c>
      <c r="M6366" s="92">
        <v>3729.7</v>
      </c>
      <c r="N6366" s="573">
        <v>3.08</v>
      </c>
      <c r="O6366" s="556" t="str">
        <f t="shared" si="433"/>
        <v>DIF</v>
      </c>
      <c r="P6366" s="573"/>
      <c r="Q6366" s="556"/>
      <c r="R6366" s="582"/>
    </row>
    <row r="6367" ht="23.85" customHeight="1" spans="1:18">
      <c r="A6367" s="556">
        <f>B6367</f>
        <v>0</v>
      </c>
      <c r="B6367" s="557">
        <f>B6366</f>
        <v>0</v>
      </c>
      <c r="C6367" s="79" t="s">
        <v>2921</v>
      </c>
      <c r="D6367" s="78" t="s">
        <v>3153</v>
      </c>
      <c r="E6367" s="79" t="s">
        <v>139</v>
      </c>
      <c r="F6367" s="79" t="s">
        <v>3154</v>
      </c>
      <c r="G6367" s="79" t="s">
        <v>2928</v>
      </c>
      <c r="H6367" s="79"/>
      <c r="I6367" s="80" t="s">
        <v>2897</v>
      </c>
      <c r="J6367" s="583">
        <v>295</v>
      </c>
      <c r="K6367" s="583">
        <v>0</v>
      </c>
      <c r="L6367" s="92">
        <v>30.6</v>
      </c>
      <c r="M6367" s="92">
        <v>9027</v>
      </c>
      <c r="N6367" s="573">
        <v>50.56</v>
      </c>
      <c r="O6367" s="556" t="str">
        <f t="shared" si="433"/>
        <v>DIF</v>
      </c>
      <c r="P6367" s="573"/>
      <c r="Q6367" s="556"/>
      <c r="R6367" s="582"/>
    </row>
    <row r="6368" ht="25.5" spans="1:18">
      <c r="A6368" s="556">
        <f>B6368</f>
        <v>0</v>
      </c>
      <c r="B6368" s="557">
        <f>B6367</f>
        <v>0</v>
      </c>
      <c r="C6368" s="79" t="s">
        <v>2921</v>
      </c>
      <c r="D6368" s="78" t="s">
        <v>3277</v>
      </c>
      <c r="E6368" s="79" t="s">
        <v>77</v>
      </c>
      <c r="F6368" s="79" t="s">
        <v>3278</v>
      </c>
      <c r="G6368" s="79">
        <v>19</v>
      </c>
      <c r="H6368" s="79"/>
      <c r="I6368" s="80" t="s">
        <v>2897</v>
      </c>
      <c r="J6368" s="583">
        <v>0.8</v>
      </c>
      <c r="K6368" s="583">
        <v>0</v>
      </c>
      <c r="L6368" s="92">
        <v>66.2</v>
      </c>
      <c r="M6368" s="92">
        <v>52.96</v>
      </c>
      <c r="N6368" s="573">
        <v>2.63</v>
      </c>
      <c r="O6368" s="556" t="str">
        <f t="shared" si="433"/>
        <v>DIF</v>
      </c>
      <c r="P6368" s="573"/>
      <c r="Q6368" s="556"/>
      <c r="R6368" s="582"/>
    </row>
    <row r="6369" ht="76.5" spans="1:18">
      <c r="A6369" s="556">
        <f>B6369</f>
        <v>0</v>
      </c>
      <c r="B6369" s="557">
        <f>B6368</f>
        <v>0</v>
      </c>
      <c r="C6369" s="79" t="s">
        <v>2921</v>
      </c>
      <c r="D6369" s="78" t="s">
        <v>3281</v>
      </c>
      <c r="E6369" s="79" t="s">
        <v>77</v>
      </c>
      <c r="F6369" s="79" t="s">
        <v>3280</v>
      </c>
      <c r="G6369" s="79">
        <v>19</v>
      </c>
      <c r="H6369" s="79"/>
      <c r="I6369" s="80" t="s">
        <v>2897</v>
      </c>
      <c r="J6369" s="583">
        <v>3.2</v>
      </c>
      <c r="K6369" s="583">
        <v>0</v>
      </c>
      <c r="L6369" s="92">
        <v>64.47</v>
      </c>
      <c r="M6369" s="92">
        <v>206.3</v>
      </c>
      <c r="N6369" s="573">
        <v>28.5</v>
      </c>
      <c r="O6369" s="556" t="str">
        <f t="shared" si="433"/>
        <v>DIF</v>
      </c>
      <c r="P6369" s="573"/>
      <c r="Q6369" s="556"/>
      <c r="R6369" s="582"/>
    </row>
    <row r="6370" ht="25.5" spans="1:18">
      <c r="A6370" s="556"/>
      <c r="B6370" s="557"/>
      <c r="C6370" s="79" t="s">
        <v>2921</v>
      </c>
      <c r="D6370" s="78" t="s">
        <v>3272</v>
      </c>
      <c r="E6370" s="79" t="s">
        <v>77</v>
      </c>
      <c r="F6370" s="79" t="s">
        <v>3273</v>
      </c>
      <c r="G6370" s="79">
        <v>19</v>
      </c>
      <c r="H6370" s="79"/>
      <c r="I6370" s="80" t="s">
        <v>2897</v>
      </c>
      <c r="J6370" s="583">
        <v>3.2</v>
      </c>
      <c r="K6370" s="583">
        <v>0</v>
      </c>
      <c r="L6370" s="92">
        <v>81.79</v>
      </c>
      <c r="M6370" s="92">
        <v>261.72</v>
      </c>
      <c r="N6370" s="573"/>
      <c r="O6370" s="556"/>
      <c r="P6370" s="573"/>
      <c r="Q6370" s="556"/>
      <c r="R6370" s="582"/>
    </row>
    <row r="6371" ht="23.85" customHeight="1" spans="1:18">
      <c r="A6371" s="556"/>
      <c r="B6371" s="557"/>
      <c r="C6371" s="79" t="s">
        <v>2921</v>
      </c>
      <c r="D6371" s="78" t="s">
        <v>3151</v>
      </c>
      <c r="E6371" s="79" t="s">
        <v>139</v>
      </c>
      <c r="F6371" s="79" t="s">
        <v>3152</v>
      </c>
      <c r="G6371" s="79" t="s">
        <v>2928</v>
      </c>
      <c r="H6371" s="79"/>
      <c r="I6371" s="80" t="s">
        <v>2897</v>
      </c>
      <c r="J6371" s="583">
        <v>10</v>
      </c>
      <c r="K6371" s="583">
        <v>0</v>
      </c>
      <c r="L6371" s="92">
        <v>36.82</v>
      </c>
      <c r="M6371" s="92">
        <v>368.2</v>
      </c>
      <c r="N6371" s="573"/>
      <c r="O6371" s="556"/>
      <c r="P6371" s="573"/>
      <c r="Q6371" s="556"/>
      <c r="R6371" s="582"/>
    </row>
    <row r="6372" ht="76.5" spans="1:18">
      <c r="A6372" s="556"/>
      <c r="B6372" s="557" t="str">
        <f>C6371</f>
        <v>Composição Auxiliar</v>
      </c>
      <c r="C6372" s="79" t="s">
        <v>2921</v>
      </c>
      <c r="D6372" s="78" t="s">
        <v>3279</v>
      </c>
      <c r="E6372" s="79" t="s">
        <v>77</v>
      </c>
      <c r="F6372" s="79" t="s">
        <v>3280</v>
      </c>
      <c r="G6372" s="79">
        <v>19</v>
      </c>
      <c r="H6372" s="79"/>
      <c r="I6372" s="80" t="s">
        <v>2897</v>
      </c>
      <c r="J6372" s="583">
        <v>0.8</v>
      </c>
      <c r="K6372" s="583">
        <v>0</v>
      </c>
      <c r="L6372" s="92">
        <v>53.7</v>
      </c>
      <c r="M6372" s="92">
        <v>42.96</v>
      </c>
      <c r="N6372" s="573">
        <v>43.11</v>
      </c>
      <c r="O6372" s="556" t="str">
        <f t="shared" ref="O6372:O6377" si="434">IF(N6372=M6372,"OK","DIF")</f>
        <v>DIF</v>
      </c>
      <c r="P6372" s="573"/>
      <c r="Q6372" s="556"/>
      <c r="R6372" s="582"/>
    </row>
    <row r="6373" ht="25.5" spans="1:18">
      <c r="A6373" s="556" t="str">
        <f>B6373</f>
        <v>Composição Auxiliar</v>
      </c>
      <c r="B6373" s="557" t="str">
        <f>B6372</f>
        <v>Composição Auxiliar</v>
      </c>
      <c r="C6373" s="108"/>
      <c r="D6373" s="108"/>
      <c r="E6373" s="108"/>
      <c r="F6373" s="108"/>
      <c r="G6373" s="108"/>
      <c r="H6373" s="108" t="s">
        <v>2898</v>
      </c>
      <c r="I6373" s="581">
        <v>9480.14</v>
      </c>
      <c r="J6373" s="108" t="s">
        <v>2899</v>
      </c>
      <c r="K6373" s="581">
        <v>0</v>
      </c>
      <c r="L6373" s="108" t="s">
        <v>2900</v>
      </c>
      <c r="M6373" s="581">
        <v>9480.14</v>
      </c>
      <c r="N6373" s="573">
        <v>0.75</v>
      </c>
      <c r="O6373" s="556" t="str">
        <f t="shared" si="434"/>
        <v>DIF</v>
      </c>
      <c r="P6373" s="573"/>
      <c r="Q6373" s="556"/>
      <c r="R6373" s="582"/>
    </row>
    <row r="6374" ht="26.25" spans="1:18">
      <c r="A6374" s="556" t="str">
        <f>B6374</f>
        <v>Composição Auxiliar</v>
      </c>
      <c r="B6374" s="557" t="str">
        <f>B6373</f>
        <v>Composição Auxiliar</v>
      </c>
      <c r="C6374" s="108"/>
      <c r="D6374" s="108"/>
      <c r="E6374" s="108"/>
      <c r="F6374" s="108"/>
      <c r="G6374" s="108"/>
      <c r="H6374" s="108" t="s">
        <v>2901</v>
      </c>
      <c r="I6374" s="581">
        <v>3489.28</v>
      </c>
      <c r="J6374" s="114"/>
      <c r="K6374" s="114" t="s">
        <v>2902</v>
      </c>
      <c r="L6374" s="108"/>
      <c r="M6374" s="581">
        <v>17178.12</v>
      </c>
      <c r="N6374" s="573">
        <v>1.54</v>
      </c>
      <c r="O6374" s="556" t="str">
        <f t="shared" si="434"/>
        <v>DIF</v>
      </c>
      <c r="P6374" s="573"/>
      <c r="Q6374" s="556"/>
      <c r="R6374" s="582"/>
    </row>
    <row r="6375" ht="15" spans="1:18">
      <c r="A6375" s="556" t="str">
        <f>B6375</f>
        <v>Composição Auxiliar</v>
      </c>
      <c r="B6375" s="557" t="str">
        <f>B6374</f>
        <v>Composição Auxiliar</v>
      </c>
      <c r="C6375" s="571"/>
      <c r="D6375" s="571"/>
      <c r="E6375" s="571"/>
      <c r="F6375" s="571"/>
      <c r="G6375" s="571"/>
      <c r="H6375" s="571"/>
      <c r="I6375" s="571"/>
      <c r="J6375" s="571"/>
      <c r="K6375" s="571"/>
      <c r="L6375" s="571"/>
      <c r="M6375" s="571"/>
      <c r="N6375" s="573">
        <v>25.28</v>
      </c>
      <c r="O6375" s="556" t="str">
        <f t="shared" si="434"/>
        <v>DIF</v>
      </c>
      <c r="P6375" s="573"/>
      <c r="Q6375" s="556"/>
      <c r="R6375" s="582"/>
    </row>
    <row r="6376" ht="15" customHeight="1" spans="1:18">
      <c r="A6376" s="556" t="str">
        <f>B6376</f>
        <v>Composição Auxiliar</v>
      </c>
      <c r="B6376" s="557" t="str">
        <f>B6375</f>
        <v>Composição Auxiliar</v>
      </c>
      <c r="C6376" s="76" t="s">
        <v>2165</v>
      </c>
      <c r="D6376" s="75" t="s">
        <v>63</v>
      </c>
      <c r="E6376" s="76" t="s">
        <v>64</v>
      </c>
      <c r="F6376" s="76" t="s">
        <v>65</v>
      </c>
      <c r="G6376" s="76" t="s">
        <v>2889</v>
      </c>
      <c r="H6376" s="76"/>
      <c r="I6376" s="77" t="s">
        <v>66</v>
      </c>
      <c r="J6376" s="75" t="s">
        <v>67</v>
      </c>
      <c r="K6376" s="75" t="s">
        <v>2890</v>
      </c>
      <c r="L6376" s="75" t="s">
        <v>68</v>
      </c>
      <c r="M6376" s="75" t="s">
        <v>70</v>
      </c>
      <c r="N6376" s="573">
        <v>14.25</v>
      </c>
      <c r="O6376" s="556" t="str">
        <f t="shared" si="434"/>
        <v>DIF</v>
      </c>
      <c r="P6376" s="573"/>
      <c r="Q6376" s="556"/>
      <c r="R6376" s="582"/>
    </row>
    <row r="6377" ht="89.25" spans="1:18">
      <c r="A6377" s="556" t="str">
        <f>B6377</f>
        <v>Composição Auxiliar</v>
      </c>
      <c r="B6377" s="557" t="str">
        <f>B6376</f>
        <v>Composição Auxiliar</v>
      </c>
      <c r="C6377" s="569" t="s">
        <v>2891</v>
      </c>
      <c r="D6377" s="570" t="s">
        <v>2166</v>
      </c>
      <c r="E6377" s="569" t="s">
        <v>132</v>
      </c>
      <c r="F6377" s="569" t="s">
        <v>2167</v>
      </c>
      <c r="G6377" s="569">
        <v>61.1</v>
      </c>
      <c r="H6377" s="569"/>
      <c r="I6377" s="577" t="s">
        <v>134</v>
      </c>
      <c r="J6377" s="578">
        <v>1</v>
      </c>
      <c r="K6377" s="579"/>
      <c r="L6377" s="579">
        <v>204859.51</v>
      </c>
      <c r="M6377" s="579">
        <v>204859.51</v>
      </c>
      <c r="N6377" s="573">
        <v>1.29</v>
      </c>
      <c r="O6377" s="556" t="str">
        <f t="shared" si="434"/>
        <v>DIF</v>
      </c>
      <c r="P6377" s="573"/>
      <c r="Q6377" s="556"/>
      <c r="R6377" s="582"/>
    </row>
    <row r="6378" ht="79.85" customHeight="1" spans="1:18">
      <c r="A6378" s="556"/>
      <c r="B6378" s="557"/>
      <c r="C6378" s="100" t="s">
        <v>2893</v>
      </c>
      <c r="D6378" s="99" t="s">
        <v>4755</v>
      </c>
      <c r="E6378" s="100" t="s">
        <v>132</v>
      </c>
      <c r="F6378" s="100" t="s">
        <v>4756</v>
      </c>
      <c r="G6378" s="100" t="s">
        <v>3395</v>
      </c>
      <c r="H6378" s="100"/>
      <c r="I6378" s="101" t="s">
        <v>134</v>
      </c>
      <c r="J6378" s="580">
        <v>1</v>
      </c>
      <c r="K6378" s="580">
        <v>0</v>
      </c>
      <c r="L6378" s="102">
        <v>204859.51</v>
      </c>
      <c r="M6378" s="102">
        <v>204859.51</v>
      </c>
      <c r="N6378" s="573"/>
      <c r="O6378" s="556"/>
      <c r="P6378" s="573"/>
      <c r="Q6378" s="556"/>
      <c r="R6378" s="582"/>
    </row>
    <row r="6379" ht="25.5" spans="1:18">
      <c r="A6379" s="556"/>
      <c r="B6379" s="557"/>
      <c r="C6379" s="108"/>
      <c r="D6379" s="108"/>
      <c r="E6379" s="108"/>
      <c r="F6379" s="108"/>
      <c r="G6379" s="108"/>
      <c r="H6379" s="108" t="s">
        <v>2898</v>
      </c>
      <c r="I6379" s="581">
        <v>0</v>
      </c>
      <c r="J6379" s="108" t="s">
        <v>2899</v>
      </c>
      <c r="K6379" s="581">
        <v>0</v>
      </c>
      <c r="L6379" s="108" t="s">
        <v>2900</v>
      </c>
      <c r="M6379" s="581">
        <v>0</v>
      </c>
      <c r="N6379" s="573"/>
      <c r="O6379" s="556"/>
      <c r="P6379" s="573"/>
      <c r="Q6379" s="556"/>
      <c r="R6379" s="582"/>
    </row>
    <row r="6380" ht="26.25" spans="1:18">
      <c r="A6380" s="556"/>
      <c r="B6380" s="557">
        <f>C6379</f>
        <v>0</v>
      </c>
      <c r="C6380" s="108"/>
      <c r="D6380" s="108"/>
      <c r="E6380" s="108"/>
      <c r="F6380" s="108"/>
      <c r="G6380" s="108"/>
      <c r="H6380" s="108" t="s">
        <v>2901</v>
      </c>
      <c r="I6380" s="581">
        <v>33023.35</v>
      </c>
      <c r="J6380" s="114"/>
      <c r="K6380" s="114" t="s">
        <v>2902</v>
      </c>
      <c r="L6380" s="108"/>
      <c r="M6380" s="581">
        <v>237882.86</v>
      </c>
      <c r="N6380" s="573">
        <v>11.36</v>
      </c>
      <c r="O6380" s="556" t="str">
        <f t="shared" ref="O6380:O6385" si="435">IF(N6380=M6380,"OK","DIF")</f>
        <v>DIF</v>
      </c>
      <c r="P6380" s="573"/>
      <c r="Q6380" s="556"/>
      <c r="R6380" s="582"/>
    </row>
    <row r="6381" ht="15" spans="1:18">
      <c r="A6381" s="556">
        <f>B6381</f>
        <v>0</v>
      </c>
      <c r="B6381" s="557">
        <f>B6380</f>
        <v>0</v>
      </c>
      <c r="C6381" s="571"/>
      <c r="D6381" s="571"/>
      <c r="E6381" s="571"/>
      <c r="F6381" s="571"/>
      <c r="G6381" s="571"/>
      <c r="H6381" s="571"/>
      <c r="I6381" s="571"/>
      <c r="J6381" s="571"/>
      <c r="K6381" s="571"/>
      <c r="L6381" s="571"/>
      <c r="M6381" s="571"/>
      <c r="N6381" s="573">
        <v>2</v>
      </c>
      <c r="O6381" s="556" t="str">
        <f t="shared" si="435"/>
        <v>DIF</v>
      </c>
      <c r="P6381" s="573"/>
      <c r="Q6381" s="556"/>
      <c r="R6381" s="582"/>
    </row>
    <row r="6382" ht="15" customHeight="1" spans="1:18">
      <c r="A6382" s="556">
        <f>B6382</f>
        <v>0</v>
      </c>
      <c r="B6382" s="557">
        <f>B6381</f>
        <v>0</v>
      </c>
      <c r="C6382" s="76" t="s">
        <v>2169</v>
      </c>
      <c r="D6382" s="75" t="s">
        <v>63</v>
      </c>
      <c r="E6382" s="76" t="s">
        <v>64</v>
      </c>
      <c r="F6382" s="76" t="s">
        <v>65</v>
      </c>
      <c r="G6382" s="76" t="s">
        <v>2889</v>
      </c>
      <c r="H6382" s="76"/>
      <c r="I6382" s="77" t="s">
        <v>66</v>
      </c>
      <c r="J6382" s="75" t="s">
        <v>67</v>
      </c>
      <c r="K6382" s="75" t="s">
        <v>2890</v>
      </c>
      <c r="L6382" s="75" t="s">
        <v>68</v>
      </c>
      <c r="M6382" s="75" t="s">
        <v>70</v>
      </c>
      <c r="N6382" s="573">
        <v>1.55</v>
      </c>
      <c r="O6382" s="556" t="str">
        <f t="shared" si="435"/>
        <v>DIF</v>
      </c>
      <c r="P6382" s="573"/>
      <c r="Q6382" s="556"/>
      <c r="R6382" s="582"/>
    </row>
    <row r="6383" ht="91" customHeight="1" spans="1:18">
      <c r="A6383" s="556">
        <f>B6383</f>
        <v>0</v>
      </c>
      <c r="B6383" s="557">
        <f>B6382</f>
        <v>0</v>
      </c>
      <c r="C6383" s="569" t="s">
        <v>2891</v>
      </c>
      <c r="D6383" s="570" t="s">
        <v>2170</v>
      </c>
      <c r="E6383" s="569" t="s">
        <v>132</v>
      </c>
      <c r="F6383" s="569" t="s">
        <v>2171</v>
      </c>
      <c r="G6383" s="569" t="s">
        <v>4227</v>
      </c>
      <c r="H6383" s="569"/>
      <c r="I6383" s="577" t="s">
        <v>134</v>
      </c>
      <c r="J6383" s="578">
        <v>1</v>
      </c>
      <c r="K6383" s="579"/>
      <c r="L6383" s="579">
        <v>13688.84</v>
      </c>
      <c r="M6383" s="579">
        <v>13688.84</v>
      </c>
      <c r="N6383" s="573">
        <v>5.7</v>
      </c>
      <c r="O6383" s="556" t="str">
        <f t="shared" si="435"/>
        <v>DIF</v>
      </c>
      <c r="P6383" s="573"/>
      <c r="Q6383" s="556"/>
      <c r="R6383" s="582"/>
    </row>
    <row r="6384" ht="25.5" spans="1:18">
      <c r="A6384" s="556">
        <f>B6384</f>
        <v>0</v>
      </c>
      <c r="B6384" s="557">
        <f>B6383</f>
        <v>0</v>
      </c>
      <c r="C6384" s="79" t="s">
        <v>2921</v>
      </c>
      <c r="D6384" s="78" t="s">
        <v>3272</v>
      </c>
      <c r="E6384" s="79" t="s">
        <v>77</v>
      </c>
      <c r="F6384" s="79" t="s">
        <v>3273</v>
      </c>
      <c r="G6384" s="79">
        <v>19</v>
      </c>
      <c r="H6384" s="79"/>
      <c r="I6384" s="80" t="s">
        <v>2897</v>
      </c>
      <c r="J6384" s="583">
        <v>3.2</v>
      </c>
      <c r="K6384" s="583">
        <v>0</v>
      </c>
      <c r="L6384" s="92">
        <v>81.79</v>
      </c>
      <c r="M6384" s="92">
        <v>261.72</v>
      </c>
      <c r="N6384" s="573">
        <v>1.49</v>
      </c>
      <c r="O6384" s="556" t="str">
        <f t="shared" si="435"/>
        <v>DIF</v>
      </c>
      <c r="P6384" s="573"/>
      <c r="Q6384" s="556"/>
      <c r="R6384" s="582"/>
    </row>
    <row r="6385" ht="76.5" spans="1:18">
      <c r="A6385" s="556">
        <f>B6385</f>
        <v>0</v>
      </c>
      <c r="B6385" s="557">
        <f>B6384</f>
        <v>0</v>
      </c>
      <c r="C6385" s="79" t="s">
        <v>2921</v>
      </c>
      <c r="D6385" s="78" t="s">
        <v>3281</v>
      </c>
      <c r="E6385" s="79" t="s">
        <v>77</v>
      </c>
      <c r="F6385" s="79" t="s">
        <v>3280</v>
      </c>
      <c r="G6385" s="79">
        <v>19</v>
      </c>
      <c r="H6385" s="79"/>
      <c r="I6385" s="80" t="s">
        <v>2897</v>
      </c>
      <c r="J6385" s="583">
        <v>3.2</v>
      </c>
      <c r="K6385" s="583">
        <v>0</v>
      </c>
      <c r="L6385" s="92">
        <v>64.47</v>
      </c>
      <c r="M6385" s="92">
        <v>206.3</v>
      </c>
      <c r="N6385" s="573">
        <v>0.62</v>
      </c>
      <c r="O6385" s="556" t="str">
        <f t="shared" si="435"/>
        <v>DIF</v>
      </c>
      <c r="P6385" s="573"/>
      <c r="Q6385" s="556"/>
      <c r="R6385" s="582"/>
    </row>
    <row r="6386" ht="23.85" customHeight="1" spans="1:18">
      <c r="A6386" s="556"/>
      <c r="B6386" s="557"/>
      <c r="C6386" s="79" t="s">
        <v>2921</v>
      </c>
      <c r="D6386" s="78" t="s">
        <v>3113</v>
      </c>
      <c r="E6386" s="79" t="s">
        <v>139</v>
      </c>
      <c r="F6386" s="79" t="s">
        <v>3114</v>
      </c>
      <c r="G6386" s="79" t="s">
        <v>2928</v>
      </c>
      <c r="H6386" s="79"/>
      <c r="I6386" s="80" t="s">
        <v>2897</v>
      </c>
      <c r="J6386" s="583">
        <v>95</v>
      </c>
      <c r="K6386" s="583">
        <v>0</v>
      </c>
      <c r="L6386" s="92">
        <v>39.26</v>
      </c>
      <c r="M6386" s="92">
        <v>3729.7</v>
      </c>
      <c r="N6386" s="573"/>
      <c r="O6386" s="556"/>
      <c r="P6386" s="573"/>
      <c r="Q6386" s="556"/>
      <c r="R6386" s="582"/>
    </row>
    <row r="6387" ht="23.85" customHeight="1" spans="1:18">
      <c r="A6387" s="556"/>
      <c r="B6387" s="557"/>
      <c r="C6387" s="79" t="s">
        <v>2921</v>
      </c>
      <c r="D6387" s="78" t="s">
        <v>3151</v>
      </c>
      <c r="E6387" s="79" t="s">
        <v>139</v>
      </c>
      <c r="F6387" s="79" t="s">
        <v>3152</v>
      </c>
      <c r="G6387" s="79" t="s">
        <v>2928</v>
      </c>
      <c r="H6387" s="79"/>
      <c r="I6387" s="80" t="s">
        <v>2897</v>
      </c>
      <c r="J6387" s="583">
        <v>10</v>
      </c>
      <c r="K6387" s="583">
        <v>0</v>
      </c>
      <c r="L6387" s="92">
        <v>36.82</v>
      </c>
      <c r="M6387" s="92">
        <v>368.2</v>
      </c>
      <c r="N6387" s="573"/>
      <c r="O6387" s="556"/>
      <c r="P6387" s="573"/>
      <c r="Q6387" s="556"/>
      <c r="R6387" s="582"/>
    </row>
    <row r="6388" ht="76.5" spans="1:18">
      <c r="A6388" s="556"/>
      <c r="B6388" s="557" t="str">
        <f>C6387</f>
        <v>Composição Auxiliar</v>
      </c>
      <c r="C6388" s="79" t="s">
        <v>2921</v>
      </c>
      <c r="D6388" s="78" t="s">
        <v>3279</v>
      </c>
      <c r="E6388" s="79" t="s">
        <v>77</v>
      </c>
      <c r="F6388" s="79" t="s">
        <v>3280</v>
      </c>
      <c r="G6388" s="79">
        <v>19</v>
      </c>
      <c r="H6388" s="79"/>
      <c r="I6388" s="80" t="s">
        <v>2897</v>
      </c>
      <c r="J6388" s="583">
        <v>0.8</v>
      </c>
      <c r="K6388" s="583">
        <v>0</v>
      </c>
      <c r="L6388" s="92">
        <v>53.7</v>
      </c>
      <c r="M6388" s="92">
        <v>42.96</v>
      </c>
      <c r="N6388" s="573">
        <v>14.9</v>
      </c>
      <c r="O6388" s="556" t="str">
        <f t="shared" ref="O6388:O6393" si="436">IF(N6388=M6388,"OK","DIF")</f>
        <v>DIF</v>
      </c>
      <c r="P6388" s="573"/>
      <c r="Q6388" s="556"/>
      <c r="R6388" s="582"/>
    </row>
    <row r="6389" ht="25.5" spans="1:18">
      <c r="A6389" s="556" t="str">
        <f>B6389</f>
        <v>Composição Auxiliar</v>
      </c>
      <c r="B6389" s="557" t="str">
        <f>B6388</f>
        <v>Composição Auxiliar</v>
      </c>
      <c r="C6389" s="79" t="s">
        <v>2921</v>
      </c>
      <c r="D6389" s="78" t="s">
        <v>3277</v>
      </c>
      <c r="E6389" s="79" t="s">
        <v>77</v>
      </c>
      <c r="F6389" s="79" t="s">
        <v>3278</v>
      </c>
      <c r="G6389" s="79">
        <v>19</v>
      </c>
      <c r="H6389" s="79"/>
      <c r="I6389" s="80" t="s">
        <v>2897</v>
      </c>
      <c r="J6389" s="583">
        <v>0.8</v>
      </c>
      <c r="K6389" s="583">
        <v>0</v>
      </c>
      <c r="L6389" s="92">
        <v>66.2</v>
      </c>
      <c r="M6389" s="92">
        <v>52.96</v>
      </c>
      <c r="N6389" s="573">
        <v>2.67</v>
      </c>
      <c r="O6389" s="556" t="str">
        <f t="shared" si="436"/>
        <v>DIF</v>
      </c>
      <c r="P6389" s="573"/>
      <c r="Q6389" s="556"/>
      <c r="R6389" s="582"/>
    </row>
    <row r="6390" ht="23.85" customHeight="1" spans="1:18">
      <c r="A6390" s="556" t="str">
        <f>B6390</f>
        <v>Composição Auxiliar</v>
      </c>
      <c r="B6390" s="557" t="str">
        <f>B6389</f>
        <v>Composição Auxiliar</v>
      </c>
      <c r="C6390" s="79" t="s">
        <v>2921</v>
      </c>
      <c r="D6390" s="78" t="s">
        <v>3153</v>
      </c>
      <c r="E6390" s="79" t="s">
        <v>139</v>
      </c>
      <c r="F6390" s="79" t="s">
        <v>3154</v>
      </c>
      <c r="G6390" s="79" t="s">
        <v>2928</v>
      </c>
      <c r="H6390" s="79"/>
      <c r="I6390" s="80" t="s">
        <v>2897</v>
      </c>
      <c r="J6390" s="583">
        <v>295</v>
      </c>
      <c r="K6390" s="583">
        <v>0</v>
      </c>
      <c r="L6390" s="92">
        <v>30.6</v>
      </c>
      <c r="M6390" s="92">
        <v>9027</v>
      </c>
      <c r="N6390" s="573">
        <v>2.07</v>
      </c>
      <c r="O6390" s="556" t="str">
        <f t="shared" si="436"/>
        <v>DIF</v>
      </c>
      <c r="P6390" s="573"/>
      <c r="Q6390" s="556"/>
      <c r="R6390" s="582"/>
    </row>
    <row r="6391" ht="25.5" spans="1:18">
      <c r="A6391" s="556" t="str">
        <f>B6391</f>
        <v>Composição Auxiliar</v>
      </c>
      <c r="B6391" s="557" t="str">
        <f>B6390</f>
        <v>Composição Auxiliar</v>
      </c>
      <c r="C6391" s="108"/>
      <c r="D6391" s="108"/>
      <c r="E6391" s="108"/>
      <c r="F6391" s="108"/>
      <c r="G6391" s="108"/>
      <c r="H6391" s="108" t="s">
        <v>2898</v>
      </c>
      <c r="I6391" s="581">
        <v>9480.14</v>
      </c>
      <c r="J6391" s="108" t="s">
        <v>2899</v>
      </c>
      <c r="K6391" s="581">
        <v>0</v>
      </c>
      <c r="L6391" s="108" t="s">
        <v>2900</v>
      </c>
      <c r="M6391" s="581">
        <v>9480.14</v>
      </c>
      <c r="N6391" s="573">
        <v>7.6</v>
      </c>
      <c r="O6391" s="556" t="str">
        <f t="shared" si="436"/>
        <v>DIF</v>
      </c>
      <c r="P6391" s="573"/>
      <c r="Q6391" s="556"/>
      <c r="R6391" s="582"/>
    </row>
    <row r="6392" ht="26.25" spans="1:18">
      <c r="A6392" s="556" t="str">
        <f>B6392</f>
        <v>Composição Auxiliar</v>
      </c>
      <c r="B6392" s="557" t="str">
        <f>B6391</f>
        <v>Composição Auxiliar</v>
      </c>
      <c r="C6392" s="108"/>
      <c r="D6392" s="108"/>
      <c r="E6392" s="108"/>
      <c r="F6392" s="108"/>
      <c r="G6392" s="108"/>
      <c r="H6392" s="108" t="s">
        <v>2901</v>
      </c>
      <c r="I6392" s="581">
        <v>3489.28</v>
      </c>
      <c r="J6392" s="114"/>
      <c r="K6392" s="114" t="s">
        <v>2902</v>
      </c>
      <c r="L6392" s="108"/>
      <c r="M6392" s="581">
        <v>17178.12</v>
      </c>
      <c r="N6392" s="573">
        <v>1.94</v>
      </c>
      <c r="O6392" s="556" t="str">
        <f t="shared" si="436"/>
        <v>DIF</v>
      </c>
      <c r="P6392" s="573"/>
      <c r="Q6392" s="556"/>
      <c r="R6392" s="582"/>
    </row>
    <row r="6393" ht="15" spans="1:18">
      <c r="A6393" s="556" t="str">
        <f>B6393</f>
        <v>Composição Auxiliar</v>
      </c>
      <c r="B6393" s="557" t="str">
        <f>B6392</f>
        <v>Composição Auxiliar</v>
      </c>
      <c r="C6393" s="571"/>
      <c r="D6393" s="571"/>
      <c r="E6393" s="571"/>
      <c r="F6393" s="571"/>
      <c r="G6393" s="571"/>
      <c r="H6393" s="571"/>
      <c r="I6393" s="571"/>
      <c r="J6393" s="571"/>
      <c r="K6393" s="571"/>
      <c r="L6393" s="571"/>
      <c r="M6393" s="571"/>
      <c r="N6393" s="573">
        <v>0.62</v>
      </c>
      <c r="O6393" s="556" t="str">
        <f t="shared" si="436"/>
        <v>DIF</v>
      </c>
      <c r="P6393" s="573"/>
      <c r="Q6393" s="556"/>
      <c r="R6393" s="582"/>
    </row>
    <row r="6394" ht="15" customHeight="1" spans="1:18">
      <c r="A6394" s="556"/>
      <c r="B6394" s="557"/>
      <c r="C6394" s="76" t="s">
        <v>2172</v>
      </c>
      <c r="D6394" s="75" t="s">
        <v>63</v>
      </c>
      <c r="E6394" s="76" t="s">
        <v>64</v>
      </c>
      <c r="F6394" s="76" t="s">
        <v>65</v>
      </c>
      <c r="G6394" s="76" t="s">
        <v>2889</v>
      </c>
      <c r="H6394" s="76"/>
      <c r="I6394" s="77" t="s">
        <v>66</v>
      </c>
      <c r="J6394" s="75" t="s">
        <v>67</v>
      </c>
      <c r="K6394" s="75" t="s">
        <v>2890</v>
      </c>
      <c r="L6394" s="75" t="s">
        <v>68</v>
      </c>
      <c r="M6394" s="75" t="s">
        <v>70</v>
      </c>
      <c r="N6394" s="573"/>
      <c r="O6394" s="556"/>
      <c r="P6394" s="573"/>
      <c r="Q6394" s="556"/>
      <c r="R6394" s="582"/>
    </row>
    <row r="6395" ht="63.75" spans="1:18">
      <c r="A6395" s="556"/>
      <c r="B6395" s="557"/>
      <c r="C6395" s="569" t="s">
        <v>2891</v>
      </c>
      <c r="D6395" s="570" t="s">
        <v>2173</v>
      </c>
      <c r="E6395" s="569" t="s">
        <v>132</v>
      </c>
      <c r="F6395" s="569" t="s">
        <v>2174</v>
      </c>
      <c r="G6395" s="569">
        <v>61.14</v>
      </c>
      <c r="H6395" s="569"/>
      <c r="I6395" s="577" t="s">
        <v>134</v>
      </c>
      <c r="J6395" s="578">
        <v>1</v>
      </c>
      <c r="K6395" s="579"/>
      <c r="L6395" s="579">
        <v>35153.74</v>
      </c>
      <c r="M6395" s="579">
        <v>35153.74</v>
      </c>
      <c r="N6395" s="573"/>
      <c r="O6395" s="556"/>
      <c r="P6395" s="573"/>
      <c r="Q6395" s="556"/>
      <c r="R6395" s="582"/>
    </row>
    <row r="6396" ht="23.85" customHeight="1" spans="1:18">
      <c r="A6396" s="556"/>
      <c r="B6396" s="557" t="str">
        <f>C6395</f>
        <v>Composição</v>
      </c>
      <c r="C6396" s="79" t="s">
        <v>2921</v>
      </c>
      <c r="D6396" s="78" t="s">
        <v>3151</v>
      </c>
      <c r="E6396" s="79" t="s">
        <v>139</v>
      </c>
      <c r="F6396" s="79" t="s">
        <v>3152</v>
      </c>
      <c r="G6396" s="79" t="s">
        <v>2928</v>
      </c>
      <c r="H6396" s="79"/>
      <c r="I6396" s="80" t="s">
        <v>2897</v>
      </c>
      <c r="J6396" s="583">
        <v>6</v>
      </c>
      <c r="K6396" s="583">
        <v>0</v>
      </c>
      <c r="L6396" s="92">
        <v>36.82</v>
      </c>
      <c r="M6396" s="92">
        <v>220.92</v>
      </c>
      <c r="N6396" s="573">
        <v>10.79</v>
      </c>
      <c r="O6396" s="556" t="str">
        <f t="shared" ref="O6396:O6401" si="437">IF(N6396=M6396,"OK","DIF")</f>
        <v>DIF</v>
      </c>
      <c r="P6396" s="573"/>
      <c r="Q6396" s="556"/>
      <c r="R6396" s="582"/>
    </row>
    <row r="6397" ht="23.85" customHeight="1" spans="1:18">
      <c r="A6397" s="556" t="str">
        <f>B6397</f>
        <v>Composição</v>
      </c>
      <c r="B6397" s="557" t="str">
        <f>B6396</f>
        <v>Composição</v>
      </c>
      <c r="C6397" s="79" t="s">
        <v>2921</v>
      </c>
      <c r="D6397" s="78" t="s">
        <v>3153</v>
      </c>
      <c r="E6397" s="79" t="s">
        <v>139</v>
      </c>
      <c r="F6397" s="79" t="s">
        <v>3154</v>
      </c>
      <c r="G6397" s="79" t="s">
        <v>2928</v>
      </c>
      <c r="H6397" s="79"/>
      <c r="I6397" s="80" t="s">
        <v>2897</v>
      </c>
      <c r="J6397" s="583">
        <v>6</v>
      </c>
      <c r="K6397" s="583">
        <v>0</v>
      </c>
      <c r="L6397" s="92">
        <v>30.6</v>
      </c>
      <c r="M6397" s="92">
        <v>183.6</v>
      </c>
      <c r="N6397" s="573">
        <v>0.93</v>
      </c>
      <c r="O6397" s="556" t="str">
        <f t="shared" si="437"/>
        <v>DIF</v>
      </c>
      <c r="P6397" s="573"/>
      <c r="Q6397" s="556"/>
      <c r="R6397" s="582"/>
    </row>
    <row r="6398" ht="46.25" customHeight="1" spans="1:18">
      <c r="A6398" s="556" t="str">
        <f>B6398</f>
        <v>Composição</v>
      </c>
      <c r="B6398" s="557" t="str">
        <f>B6397</f>
        <v>Composição</v>
      </c>
      <c r="C6398" s="100" t="s">
        <v>2893</v>
      </c>
      <c r="D6398" s="99" t="s">
        <v>4757</v>
      </c>
      <c r="E6398" s="100" t="s">
        <v>132</v>
      </c>
      <c r="F6398" s="100" t="s">
        <v>4758</v>
      </c>
      <c r="G6398" s="100" t="s">
        <v>3395</v>
      </c>
      <c r="H6398" s="100"/>
      <c r="I6398" s="101" t="s">
        <v>134</v>
      </c>
      <c r="J6398" s="580">
        <v>1</v>
      </c>
      <c r="K6398" s="580">
        <v>0</v>
      </c>
      <c r="L6398" s="102">
        <v>34749.22</v>
      </c>
      <c r="M6398" s="102">
        <v>34749.22</v>
      </c>
      <c r="N6398" s="573">
        <v>1.2</v>
      </c>
      <c r="O6398" s="556" t="str">
        <f t="shared" si="437"/>
        <v>DIF</v>
      </c>
      <c r="P6398" s="573"/>
      <c r="Q6398" s="556"/>
      <c r="R6398" s="582"/>
    </row>
    <row r="6399" ht="25.5" spans="1:18">
      <c r="A6399" s="556" t="str">
        <f>B6399</f>
        <v>Composição</v>
      </c>
      <c r="B6399" s="557" t="str">
        <f>B6398</f>
        <v>Composição</v>
      </c>
      <c r="C6399" s="108"/>
      <c r="D6399" s="108"/>
      <c r="E6399" s="108"/>
      <c r="F6399" s="108"/>
      <c r="G6399" s="108"/>
      <c r="H6399" s="108" t="s">
        <v>2898</v>
      </c>
      <c r="I6399" s="581">
        <v>283.92</v>
      </c>
      <c r="J6399" s="108" t="s">
        <v>2899</v>
      </c>
      <c r="K6399" s="581">
        <v>0</v>
      </c>
      <c r="L6399" s="108" t="s">
        <v>2900</v>
      </c>
      <c r="M6399" s="581">
        <v>283.92</v>
      </c>
      <c r="N6399" s="573">
        <v>1.71</v>
      </c>
      <c r="O6399" s="556" t="str">
        <f t="shared" si="437"/>
        <v>DIF</v>
      </c>
      <c r="P6399" s="573"/>
      <c r="Q6399" s="556"/>
      <c r="R6399" s="582"/>
    </row>
    <row r="6400" ht="26.25" spans="1:18">
      <c r="A6400" s="556" t="str">
        <f>B6400</f>
        <v>Composição</v>
      </c>
      <c r="B6400" s="557" t="str">
        <f>B6399</f>
        <v>Composição</v>
      </c>
      <c r="C6400" s="108"/>
      <c r="D6400" s="108"/>
      <c r="E6400" s="108"/>
      <c r="F6400" s="108"/>
      <c r="G6400" s="108"/>
      <c r="H6400" s="108" t="s">
        <v>2901</v>
      </c>
      <c r="I6400" s="581">
        <v>8960.68</v>
      </c>
      <c r="J6400" s="114"/>
      <c r="K6400" s="114" t="s">
        <v>2902</v>
      </c>
      <c r="L6400" s="108"/>
      <c r="M6400" s="581">
        <v>44114.42</v>
      </c>
      <c r="N6400" s="573">
        <v>6.06</v>
      </c>
      <c r="O6400" s="556" t="str">
        <f t="shared" si="437"/>
        <v>DIF</v>
      </c>
      <c r="P6400" s="573"/>
      <c r="Q6400" s="556"/>
      <c r="R6400" s="582"/>
    </row>
    <row r="6401" ht="15" spans="1:18">
      <c r="A6401" s="556" t="str">
        <f>B6401</f>
        <v>Composição</v>
      </c>
      <c r="B6401" s="557" t="str">
        <f>B6400</f>
        <v>Composição</v>
      </c>
      <c r="C6401" s="571"/>
      <c r="D6401" s="571"/>
      <c r="E6401" s="571"/>
      <c r="F6401" s="571"/>
      <c r="G6401" s="571"/>
      <c r="H6401" s="571"/>
      <c r="I6401" s="571"/>
      <c r="J6401" s="571"/>
      <c r="K6401" s="571"/>
      <c r="L6401" s="571"/>
      <c r="M6401" s="571"/>
      <c r="N6401" s="573">
        <v>0.89</v>
      </c>
      <c r="O6401" s="556" t="str">
        <f t="shared" si="437"/>
        <v>DIF</v>
      </c>
      <c r="P6401" s="573"/>
      <c r="Q6401" s="556"/>
      <c r="R6401" s="582"/>
    </row>
    <row r="6402" ht="15" customHeight="1" spans="1:18">
      <c r="A6402" s="556"/>
      <c r="B6402" s="557"/>
      <c r="C6402" s="76" t="s">
        <v>2175</v>
      </c>
      <c r="D6402" s="75" t="s">
        <v>63</v>
      </c>
      <c r="E6402" s="76" t="s">
        <v>64</v>
      </c>
      <c r="F6402" s="76" t="s">
        <v>65</v>
      </c>
      <c r="G6402" s="76" t="s">
        <v>2889</v>
      </c>
      <c r="H6402" s="76"/>
      <c r="I6402" s="77" t="s">
        <v>66</v>
      </c>
      <c r="J6402" s="75" t="s">
        <v>67</v>
      </c>
      <c r="K6402" s="75" t="s">
        <v>2890</v>
      </c>
      <c r="L6402" s="75" t="s">
        <v>68</v>
      </c>
      <c r="M6402" s="75" t="s">
        <v>70</v>
      </c>
      <c r="N6402" s="573"/>
      <c r="O6402" s="556"/>
      <c r="P6402" s="573"/>
      <c r="Q6402" s="556"/>
      <c r="R6402" s="582"/>
    </row>
    <row r="6403" ht="63.75" spans="1:18">
      <c r="A6403" s="556"/>
      <c r="B6403" s="557"/>
      <c r="C6403" s="569" t="s">
        <v>2891</v>
      </c>
      <c r="D6403" s="570" t="s">
        <v>2176</v>
      </c>
      <c r="E6403" s="569" t="s">
        <v>132</v>
      </c>
      <c r="F6403" s="569" t="s">
        <v>2177</v>
      </c>
      <c r="G6403" s="569">
        <v>61.14</v>
      </c>
      <c r="H6403" s="569"/>
      <c r="I6403" s="577" t="s">
        <v>134</v>
      </c>
      <c r="J6403" s="578">
        <v>1</v>
      </c>
      <c r="K6403" s="579"/>
      <c r="L6403" s="579">
        <v>25387.53</v>
      </c>
      <c r="M6403" s="579">
        <v>25387.53</v>
      </c>
      <c r="N6403" s="573"/>
      <c r="O6403" s="556"/>
      <c r="P6403" s="573"/>
      <c r="Q6403" s="556"/>
      <c r="R6403" s="582"/>
    </row>
    <row r="6404" ht="23.85" customHeight="1" spans="1:18">
      <c r="A6404" s="556"/>
      <c r="B6404" s="557" t="str">
        <f>C6403</f>
        <v>Composição</v>
      </c>
      <c r="C6404" s="79" t="s">
        <v>2921</v>
      </c>
      <c r="D6404" s="78" t="s">
        <v>3153</v>
      </c>
      <c r="E6404" s="79" t="s">
        <v>139</v>
      </c>
      <c r="F6404" s="79" t="s">
        <v>3154</v>
      </c>
      <c r="G6404" s="79" t="s">
        <v>2928</v>
      </c>
      <c r="H6404" s="79"/>
      <c r="I6404" s="80" t="s">
        <v>2897</v>
      </c>
      <c r="J6404" s="583">
        <v>6</v>
      </c>
      <c r="K6404" s="583">
        <v>0</v>
      </c>
      <c r="L6404" s="92">
        <v>30.6</v>
      </c>
      <c r="M6404" s="92">
        <v>183.6</v>
      </c>
      <c r="N6404" s="573">
        <v>9.54</v>
      </c>
      <c r="O6404" s="556" t="str">
        <f t="shared" ref="O6404:O6409" si="438">IF(N6404=M6404,"OK","DIF")</f>
        <v>DIF</v>
      </c>
      <c r="P6404" s="573"/>
      <c r="Q6404" s="556"/>
      <c r="R6404" s="582"/>
    </row>
    <row r="6405" ht="23.85" customHeight="1" spans="1:18">
      <c r="A6405" s="556" t="str">
        <f>B6405</f>
        <v>Composição</v>
      </c>
      <c r="B6405" s="557" t="str">
        <f>B6404</f>
        <v>Composição</v>
      </c>
      <c r="C6405" s="79" t="s">
        <v>2921</v>
      </c>
      <c r="D6405" s="78" t="s">
        <v>3151</v>
      </c>
      <c r="E6405" s="79" t="s">
        <v>139</v>
      </c>
      <c r="F6405" s="79" t="s">
        <v>3152</v>
      </c>
      <c r="G6405" s="79" t="s">
        <v>2928</v>
      </c>
      <c r="H6405" s="79"/>
      <c r="I6405" s="80" t="s">
        <v>2897</v>
      </c>
      <c r="J6405" s="583">
        <v>6</v>
      </c>
      <c r="K6405" s="583">
        <v>0</v>
      </c>
      <c r="L6405" s="92">
        <v>36.82</v>
      </c>
      <c r="M6405" s="92">
        <v>220.92</v>
      </c>
      <c r="N6405" s="573">
        <v>1.06</v>
      </c>
      <c r="O6405" s="556" t="str">
        <f t="shared" si="438"/>
        <v>DIF</v>
      </c>
      <c r="P6405" s="573"/>
      <c r="Q6405" s="556"/>
      <c r="R6405" s="582"/>
    </row>
    <row r="6406" ht="46.25" customHeight="1" spans="1:18">
      <c r="A6406" s="556" t="str">
        <f>B6406</f>
        <v>Composição</v>
      </c>
      <c r="B6406" s="557" t="str">
        <f>B6405</f>
        <v>Composição</v>
      </c>
      <c r="C6406" s="100" t="s">
        <v>2893</v>
      </c>
      <c r="D6406" s="99" t="s">
        <v>4759</v>
      </c>
      <c r="E6406" s="100" t="s">
        <v>132</v>
      </c>
      <c r="F6406" s="100" t="s">
        <v>4760</v>
      </c>
      <c r="G6406" s="100" t="s">
        <v>3395</v>
      </c>
      <c r="H6406" s="100"/>
      <c r="I6406" s="101" t="s">
        <v>134</v>
      </c>
      <c r="J6406" s="580">
        <v>1</v>
      </c>
      <c r="K6406" s="580">
        <v>0</v>
      </c>
      <c r="L6406" s="102">
        <v>24983.01</v>
      </c>
      <c r="M6406" s="102">
        <v>24983.01</v>
      </c>
      <c r="N6406" s="573">
        <v>0.83</v>
      </c>
      <c r="O6406" s="556" t="str">
        <f t="shared" si="438"/>
        <v>DIF</v>
      </c>
      <c r="P6406" s="573"/>
      <c r="Q6406" s="556"/>
      <c r="R6406" s="582"/>
    </row>
    <row r="6407" ht="25.5" spans="1:18">
      <c r="A6407" s="556" t="str">
        <f>B6407</f>
        <v>Composição</v>
      </c>
      <c r="B6407" s="557" t="str">
        <f>B6406</f>
        <v>Composição</v>
      </c>
      <c r="C6407" s="108"/>
      <c r="D6407" s="108"/>
      <c r="E6407" s="108"/>
      <c r="F6407" s="108"/>
      <c r="G6407" s="108"/>
      <c r="H6407" s="108" t="s">
        <v>2898</v>
      </c>
      <c r="I6407" s="581">
        <v>283.92</v>
      </c>
      <c r="J6407" s="108" t="s">
        <v>2899</v>
      </c>
      <c r="K6407" s="581">
        <v>0</v>
      </c>
      <c r="L6407" s="108" t="s">
        <v>2900</v>
      </c>
      <c r="M6407" s="581">
        <v>283.92</v>
      </c>
      <c r="N6407" s="573">
        <v>5.39</v>
      </c>
      <c r="O6407" s="556" t="str">
        <f t="shared" si="438"/>
        <v>DIF</v>
      </c>
      <c r="P6407" s="573"/>
      <c r="Q6407" s="556"/>
      <c r="R6407" s="582"/>
    </row>
    <row r="6408" ht="26.25" spans="1:18">
      <c r="A6408" s="556" t="str">
        <f>B6408</f>
        <v>Composição</v>
      </c>
      <c r="B6408" s="557" t="str">
        <f>B6407</f>
        <v>Composição</v>
      </c>
      <c r="C6408" s="108"/>
      <c r="D6408" s="108"/>
      <c r="E6408" s="108"/>
      <c r="F6408" s="108"/>
      <c r="G6408" s="108"/>
      <c r="H6408" s="108" t="s">
        <v>2901</v>
      </c>
      <c r="I6408" s="581">
        <v>6471.28</v>
      </c>
      <c r="J6408" s="114"/>
      <c r="K6408" s="114" t="s">
        <v>2902</v>
      </c>
      <c r="L6408" s="108"/>
      <c r="M6408" s="581">
        <v>31858.81</v>
      </c>
      <c r="N6408" s="573">
        <v>0.74</v>
      </c>
      <c r="O6408" s="556" t="str">
        <f t="shared" si="438"/>
        <v>DIF</v>
      </c>
      <c r="P6408" s="573"/>
      <c r="Q6408" s="556"/>
      <c r="R6408" s="582"/>
    </row>
    <row r="6409" ht="15" spans="1:18">
      <c r="A6409" s="556" t="str">
        <f>B6409</f>
        <v>Composição</v>
      </c>
      <c r="B6409" s="557" t="str">
        <f>B6408</f>
        <v>Composição</v>
      </c>
      <c r="C6409" s="571"/>
      <c r="D6409" s="571"/>
      <c r="E6409" s="571"/>
      <c r="F6409" s="571"/>
      <c r="G6409" s="571"/>
      <c r="H6409" s="571"/>
      <c r="I6409" s="571"/>
      <c r="J6409" s="571"/>
      <c r="K6409" s="571"/>
      <c r="L6409" s="571"/>
      <c r="M6409" s="571"/>
      <c r="N6409" s="573">
        <v>1.52</v>
      </c>
      <c r="O6409" s="556" t="str">
        <f t="shared" si="438"/>
        <v>DIF</v>
      </c>
      <c r="P6409" s="573"/>
      <c r="Q6409" s="556"/>
      <c r="R6409" s="582"/>
    </row>
    <row r="6410" ht="15" customHeight="1" spans="1:18">
      <c r="A6410" s="556"/>
      <c r="B6410" s="557"/>
      <c r="C6410" s="76" t="s">
        <v>2180</v>
      </c>
      <c r="D6410" s="75" t="s">
        <v>63</v>
      </c>
      <c r="E6410" s="76" t="s">
        <v>64</v>
      </c>
      <c r="F6410" s="76" t="s">
        <v>65</v>
      </c>
      <c r="G6410" s="76" t="s">
        <v>2889</v>
      </c>
      <c r="H6410" s="76"/>
      <c r="I6410" s="77" t="s">
        <v>66</v>
      </c>
      <c r="J6410" s="75" t="s">
        <v>67</v>
      </c>
      <c r="K6410" s="75" t="s">
        <v>2890</v>
      </c>
      <c r="L6410" s="75" t="s">
        <v>68</v>
      </c>
      <c r="M6410" s="75" t="s">
        <v>70</v>
      </c>
      <c r="N6410" s="573"/>
      <c r="O6410" s="556"/>
      <c r="P6410" s="573"/>
      <c r="Q6410" s="556"/>
      <c r="R6410" s="582"/>
    </row>
    <row r="6411" ht="89.25" spans="1:18">
      <c r="A6411" s="556"/>
      <c r="B6411" s="557"/>
      <c r="C6411" s="569" t="s">
        <v>2891</v>
      </c>
      <c r="D6411" s="570" t="s">
        <v>2181</v>
      </c>
      <c r="E6411" s="569" t="s">
        <v>132</v>
      </c>
      <c r="F6411" s="569" t="s">
        <v>2182</v>
      </c>
      <c r="G6411" s="569">
        <v>70</v>
      </c>
      <c r="H6411" s="569"/>
      <c r="I6411" s="577" t="s">
        <v>134</v>
      </c>
      <c r="J6411" s="578">
        <v>1</v>
      </c>
      <c r="K6411" s="579"/>
      <c r="L6411" s="579">
        <v>16.4</v>
      </c>
      <c r="M6411" s="579">
        <v>16.4</v>
      </c>
      <c r="N6411" s="573"/>
      <c r="O6411" s="556"/>
      <c r="P6411" s="573"/>
      <c r="Q6411" s="556"/>
      <c r="R6411" s="582"/>
    </row>
    <row r="6412" ht="23.85" customHeight="1" spans="1:18">
      <c r="A6412" s="556"/>
      <c r="B6412" s="557" t="str">
        <f>C6411</f>
        <v>Composição</v>
      </c>
      <c r="C6412" s="79" t="s">
        <v>2921</v>
      </c>
      <c r="D6412" s="78" t="s">
        <v>2952</v>
      </c>
      <c r="E6412" s="79" t="s">
        <v>139</v>
      </c>
      <c r="F6412" s="79" t="s">
        <v>2953</v>
      </c>
      <c r="G6412" s="79" t="s">
        <v>2928</v>
      </c>
      <c r="H6412" s="79"/>
      <c r="I6412" s="80" t="s">
        <v>2897</v>
      </c>
      <c r="J6412" s="583">
        <v>0.2153</v>
      </c>
      <c r="K6412" s="583">
        <v>0</v>
      </c>
      <c r="L6412" s="92">
        <v>29.15</v>
      </c>
      <c r="M6412" s="92">
        <v>6.27</v>
      </c>
      <c r="N6412" s="573">
        <v>11.24</v>
      </c>
      <c r="O6412" s="556" t="str">
        <f>IF(N6412=M6412,"OK","DIF")</f>
        <v>DIF</v>
      </c>
      <c r="P6412" s="573"/>
      <c r="Q6412" s="556"/>
      <c r="R6412" s="582"/>
    </row>
    <row r="6413" ht="23.85" customHeight="1" spans="1:18">
      <c r="A6413" s="556" t="str">
        <f>B6413</f>
        <v>Composição</v>
      </c>
      <c r="B6413" s="557" t="str">
        <f>B6412</f>
        <v>Composição</v>
      </c>
      <c r="C6413" s="79" t="s">
        <v>2921</v>
      </c>
      <c r="D6413" s="78" t="s">
        <v>4721</v>
      </c>
      <c r="E6413" s="79" t="s">
        <v>139</v>
      </c>
      <c r="F6413" s="79" t="s">
        <v>4722</v>
      </c>
      <c r="G6413" s="79" t="s">
        <v>2928</v>
      </c>
      <c r="H6413" s="79"/>
      <c r="I6413" s="80" t="s">
        <v>2897</v>
      </c>
      <c r="J6413" s="583">
        <v>0.2153</v>
      </c>
      <c r="K6413" s="583">
        <v>0</v>
      </c>
      <c r="L6413" s="92">
        <v>47.06</v>
      </c>
      <c r="M6413" s="92">
        <v>10.13</v>
      </c>
      <c r="N6413" s="573">
        <v>6.48</v>
      </c>
      <c r="O6413" s="556" t="str">
        <f>IF(N6413=M6413,"OK","DIF")</f>
        <v>DIF</v>
      </c>
      <c r="P6413" s="573"/>
      <c r="Q6413" s="556"/>
      <c r="R6413" s="582"/>
    </row>
    <row r="6414" ht="25.5" spans="1:18">
      <c r="A6414" s="556" t="str">
        <f>B6414</f>
        <v>Composição</v>
      </c>
      <c r="B6414" s="557" t="str">
        <f>B6413</f>
        <v>Composição</v>
      </c>
      <c r="C6414" s="108"/>
      <c r="D6414" s="108"/>
      <c r="E6414" s="108"/>
      <c r="F6414" s="108"/>
      <c r="G6414" s="108"/>
      <c r="H6414" s="108" t="s">
        <v>2898</v>
      </c>
      <c r="I6414" s="581">
        <v>12.36</v>
      </c>
      <c r="J6414" s="108" t="s">
        <v>2899</v>
      </c>
      <c r="K6414" s="581">
        <v>0</v>
      </c>
      <c r="L6414" s="108" t="s">
        <v>2900</v>
      </c>
      <c r="M6414" s="581">
        <v>12.36</v>
      </c>
      <c r="N6414" s="573">
        <v>0.95</v>
      </c>
      <c r="O6414" s="556" t="str">
        <f>IF(N6414=M6414,"OK","DIF")</f>
        <v>DIF</v>
      </c>
      <c r="P6414" s="573"/>
      <c r="Q6414" s="556"/>
      <c r="R6414" s="582"/>
    </row>
    <row r="6415" ht="26.25" spans="1:18">
      <c r="A6415" s="556" t="str">
        <f>B6415</f>
        <v>Composição</v>
      </c>
      <c r="B6415" s="557" t="str">
        <f>B6414</f>
        <v>Composição</v>
      </c>
      <c r="C6415" s="108"/>
      <c r="D6415" s="108"/>
      <c r="E6415" s="108"/>
      <c r="F6415" s="108"/>
      <c r="G6415" s="108"/>
      <c r="H6415" s="108" t="s">
        <v>2901</v>
      </c>
      <c r="I6415" s="581">
        <v>4.18</v>
      </c>
      <c r="J6415" s="114"/>
      <c r="K6415" s="114" t="s">
        <v>2902</v>
      </c>
      <c r="L6415" s="108"/>
      <c r="M6415" s="581">
        <v>20.58</v>
      </c>
      <c r="N6415" s="573">
        <v>0.44</v>
      </c>
      <c r="O6415" s="556" t="str">
        <f>IF(N6415=M6415,"OK","DIF")</f>
        <v>DIF</v>
      </c>
      <c r="P6415" s="573"/>
      <c r="Q6415" s="556"/>
      <c r="R6415" s="582"/>
    </row>
    <row r="6416" ht="15" spans="1:18">
      <c r="A6416" s="556" t="str">
        <f>B6416</f>
        <v>Composição</v>
      </c>
      <c r="B6416" s="557" t="str">
        <f>B6415</f>
        <v>Composição</v>
      </c>
      <c r="C6416" s="571"/>
      <c r="D6416" s="571"/>
      <c r="E6416" s="571"/>
      <c r="F6416" s="571"/>
      <c r="G6416" s="571"/>
      <c r="H6416" s="571"/>
      <c r="I6416" s="571"/>
      <c r="J6416" s="571"/>
      <c r="K6416" s="571"/>
      <c r="L6416" s="571"/>
      <c r="M6416" s="571"/>
      <c r="N6416" s="573">
        <v>3.37</v>
      </c>
      <c r="O6416" s="556" t="str">
        <f>IF(N6416=M6416,"OK","DIF")</f>
        <v>DIF</v>
      </c>
      <c r="P6416" s="573"/>
      <c r="Q6416" s="556"/>
      <c r="R6416" s="582"/>
    </row>
    <row r="6417" ht="15" customHeight="1" spans="1:18">
      <c r="A6417" s="556"/>
      <c r="B6417" s="557"/>
      <c r="C6417" s="76" t="s">
        <v>2183</v>
      </c>
      <c r="D6417" s="75" t="s">
        <v>63</v>
      </c>
      <c r="E6417" s="76" t="s">
        <v>64</v>
      </c>
      <c r="F6417" s="76" t="s">
        <v>65</v>
      </c>
      <c r="G6417" s="76" t="s">
        <v>2889</v>
      </c>
      <c r="H6417" s="76"/>
      <c r="I6417" s="77" t="s">
        <v>66</v>
      </c>
      <c r="J6417" s="75" t="s">
        <v>67</v>
      </c>
      <c r="K6417" s="75" t="s">
        <v>2890</v>
      </c>
      <c r="L6417" s="75" t="s">
        <v>68</v>
      </c>
      <c r="M6417" s="75" t="s">
        <v>70</v>
      </c>
      <c r="N6417" s="573"/>
      <c r="O6417" s="556"/>
      <c r="P6417" s="573"/>
      <c r="Q6417" s="556"/>
      <c r="R6417" s="582"/>
    </row>
    <row r="6418" ht="38.25" spans="1:18">
      <c r="A6418" s="556"/>
      <c r="B6418" s="557"/>
      <c r="C6418" s="569" t="s">
        <v>2891</v>
      </c>
      <c r="D6418" s="570" t="s">
        <v>2184</v>
      </c>
      <c r="E6418" s="569" t="s">
        <v>132</v>
      </c>
      <c r="F6418" s="569" t="s">
        <v>2185</v>
      </c>
      <c r="G6418" s="569">
        <v>70</v>
      </c>
      <c r="H6418" s="569"/>
      <c r="I6418" s="577" t="s">
        <v>134</v>
      </c>
      <c r="J6418" s="578">
        <v>1</v>
      </c>
      <c r="K6418" s="579"/>
      <c r="L6418" s="579">
        <v>34.56</v>
      </c>
      <c r="M6418" s="579">
        <v>34.56</v>
      </c>
      <c r="N6418" s="573"/>
      <c r="O6418" s="556"/>
      <c r="P6418" s="573"/>
      <c r="Q6418" s="556"/>
      <c r="R6418" s="582"/>
    </row>
    <row r="6419" ht="23.85" customHeight="1" spans="1:18">
      <c r="A6419" s="556"/>
      <c r="B6419" s="557" t="str">
        <f>C6418</f>
        <v>Composição</v>
      </c>
      <c r="C6419" s="79" t="s">
        <v>2921</v>
      </c>
      <c r="D6419" s="78" t="s">
        <v>2952</v>
      </c>
      <c r="E6419" s="79" t="s">
        <v>139</v>
      </c>
      <c r="F6419" s="79" t="s">
        <v>2953</v>
      </c>
      <c r="G6419" s="79" t="s">
        <v>2928</v>
      </c>
      <c r="H6419" s="79"/>
      <c r="I6419" s="80" t="s">
        <v>2897</v>
      </c>
      <c r="J6419" s="583">
        <v>0.4536</v>
      </c>
      <c r="K6419" s="583">
        <v>0</v>
      </c>
      <c r="L6419" s="92">
        <v>29.15</v>
      </c>
      <c r="M6419" s="92">
        <v>13.22</v>
      </c>
      <c r="N6419" s="573">
        <v>57.44</v>
      </c>
      <c r="O6419" s="556" t="str">
        <f t="shared" ref="O6419:O6424" si="439">IF(N6419=M6419,"OK","DIF")</f>
        <v>DIF</v>
      </c>
      <c r="P6419" s="573"/>
      <c r="Q6419" s="556"/>
      <c r="R6419" s="582"/>
    </row>
    <row r="6420" ht="23.85" customHeight="1" spans="1:18">
      <c r="A6420" s="556" t="str">
        <f>B6420</f>
        <v>Composição</v>
      </c>
      <c r="B6420" s="557" t="str">
        <f>B6419</f>
        <v>Composição</v>
      </c>
      <c r="C6420" s="79" t="s">
        <v>2921</v>
      </c>
      <c r="D6420" s="78" t="s">
        <v>4721</v>
      </c>
      <c r="E6420" s="79" t="s">
        <v>139</v>
      </c>
      <c r="F6420" s="79" t="s">
        <v>4722</v>
      </c>
      <c r="G6420" s="79" t="s">
        <v>2928</v>
      </c>
      <c r="H6420" s="79"/>
      <c r="I6420" s="80" t="s">
        <v>2897</v>
      </c>
      <c r="J6420" s="583">
        <v>0.4536</v>
      </c>
      <c r="K6420" s="583">
        <v>0</v>
      </c>
      <c r="L6420" s="92">
        <v>47.06</v>
      </c>
      <c r="M6420" s="92">
        <v>21.34</v>
      </c>
      <c r="N6420" s="573">
        <v>1.01</v>
      </c>
      <c r="O6420" s="556" t="str">
        <f t="shared" si="439"/>
        <v>DIF</v>
      </c>
      <c r="P6420" s="573"/>
      <c r="Q6420" s="556"/>
      <c r="R6420" s="582"/>
    </row>
    <row r="6421" ht="25.5" spans="1:18">
      <c r="A6421" s="556" t="str">
        <f>B6421</f>
        <v>Composição</v>
      </c>
      <c r="B6421" s="557" t="str">
        <f>B6420</f>
        <v>Composição</v>
      </c>
      <c r="C6421" s="108"/>
      <c r="D6421" s="108"/>
      <c r="E6421" s="108"/>
      <c r="F6421" s="108"/>
      <c r="G6421" s="108"/>
      <c r="H6421" s="108" t="s">
        <v>2898</v>
      </c>
      <c r="I6421" s="581">
        <v>26.05</v>
      </c>
      <c r="J6421" s="108" t="s">
        <v>2899</v>
      </c>
      <c r="K6421" s="581">
        <v>0</v>
      </c>
      <c r="L6421" s="108" t="s">
        <v>2900</v>
      </c>
      <c r="M6421" s="581">
        <v>26.05</v>
      </c>
      <c r="N6421" s="573">
        <v>2.07</v>
      </c>
      <c r="O6421" s="556" t="str">
        <f t="shared" si="439"/>
        <v>DIF</v>
      </c>
      <c r="P6421" s="573"/>
      <c r="Q6421" s="556"/>
      <c r="R6421" s="582"/>
    </row>
    <row r="6422" ht="26.25" spans="1:18">
      <c r="A6422" s="556" t="str">
        <f>B6422</f>
        <v>Composição</v>
      </c>
      <c r="B6422" s="557" t="str">
        <f>B6421</f>
        <v>Composição</v>
      </c>
      <c r="C6422" s="108"/>
      <c r="D6422" s="108"/>
      <c r="E6422" s="108"/>
      <c r="F6422" s="108"/>
      <c r="G6422" s="108"/>
      <c r="H6422" s="108" t="s">
        <v>2901</v>
      </c>
      <c r="I6422" s="581">
        <v>8.8</v>
      </c>
      <c r="J6422" s="114"/>
      <c r="K6422" s="114" t="s">
        <v>2902</v>
      </c>
      <c r="L6422" s="108"/>
      <c r="M6422" s="581">
        <v>43.36</v>
      </c>
      <c r="N6422" s="573">
        <v>33.7</v>
      </c>
      <c r="O6422" s="556" t="str">
        <f t="shared" si="439"/>
        <v>DIF</v>
      </c>
      <c r="P6422" s="573"/>
      <c r="Q6422" s="556"/>
      <c r="R6422" s="582"/>
    </row>
    <row r="6423" ht="15" spans="1:18">
      <c r="A6423" s="556" t="str">
        <f>B6423</f>
        <v>Composição</v>
      </c>
      <c r="B6423" s="557" t="str">
        <f>B6422</f>
        <v>Composição</v>
      </c>
      <c r="C6423" s="571"/>
      <c r="D6423" s="571"/>
      <c r="E6423" s="571"/>
      <c r="F6423" s="571"/>
      <c r="G6423" s="571"/>
      <c r="H6423" s="571"/>
      <c r="I6423" s="571"/>
      <c r="J6423" s="571"/>
      <c r="K6423" s="571"/>
      <c r="L6423" s="571"/>
      <c r="M6423" s="571"/>
      <c r="N6423" s="573">
        <v>1.66</v>
      </c>
      <c r="O6423" s="556" t="str">
        <f t="shared" si="439"/>
        <v>DIF</v>
      </c>
      <c r="P6423" s="573"/>
      <c r="Q6423" s="556"/>
      <c r="R6423" s="582"/>
    </row>
    <row r="6424" ht="15" customHeight="1" spans="1:18">
      <c r="A6424" s="556" t="str">
        <f>B6424</f>
        <v>Composição</v>
      </c>
      <c r="B6424" s="557" t="str">
        <f>B6423</f>
        <v>Composição</v>
      </c>
      <c r="C6424" s="76" t="s">
        <v>2186</v>
      </c>
      <c r="D6424" s="75" t="s">
        <v>63</v>
      </c>
      <c r="E6424" s="76" t="s">
        <v>64</v>
      </c>
      <c r="F6424" s="76" t="s">
        <v>65</v>
      </c>
      <c r="G6424" s="76" t="s">
        <v>2889</v>
      </c>
      <c r="H6424" s="76"/>
      <c r="I6424" s="77" t="s">
        <v>66</v>
      </c>
      <c r="J6424" s="75" t="s">
        <v>67</v>
      </c>
      <c r="K6424" s="75" t="s">
        <v>2890</v>
      </c>
      <c r="L6424" s="75" t="s">
        <v>68</v>
      </c>
      <c r="M6424" s="75" t="s">
        <v>70</v>
      </c>
      <c r="N6424" s="573">
        <v>19</v>
      </c>
      <c r="O6424" s="556" t="str">
        <f t="shared" si="439"/>
        <v>DIF</v>
      </c>
      <c r="P6424" s="573"/>
      <c r="Q6424" s="556"/>
      <c r="R6424" s="582"/>
    </row>
    <row r="6425" ht="38.25" spans="1:18">
      <c r="A6425" s="556"/>
      <c r="B6425" s="557"/>
      <c r="C6425" s="569" t="s">
        <v>2891</v>
      </c>
      <c r="D6425" s="570" t="s">
        <v>2187</v>
      </c>
      <c r="E6425" s="569" t="s">
        <v>132</v>
      </c>
      <c r="F6425" s="569" t="s">
        <v>2188</v>
      </c>
      <c r="G6425" s="569">
        <v>70</v>
      </c>
      <c r="H6425" s="569"/>
      <c r="I6425" s="577" t="s">
        <v>134</v>
      </c>
      <c r="J6425" s="578">
        <v>1</v>
      </c>
      <c r="K6425" s="579"/>
      <c r="L6425" s="579">
        <v>46.15</v>
      </c>
      <c r="M6425" s="579">
        <v>46.15</v>
      </c>
      <c r="N6425" s="573"/>
      <c r="O6425" s="556"/>
      <c r="P6425" s="573"/>
      <c r="Q6425" s="556"/>
      <c r="R6425" s="582"/>
    </row>
    <row r="6426" ht="23.85" customHeight="1" spans="1:18">
      <c r="A6426" s="556"/>
      <c r="B6426" s="557"/>
      <c r="C6426" s="79" t="s">
        <v>2921</v>
      </c>
      <c r="D6426" s="78" t="s">
        <v>4721</v>
      </c>
      <c r="E6426" s="79" t="s">
        <v>139</v>
      </c>
      <c r="F6426" s="79" t="s">
        <v>4722</v>
      </c>
      <c r="G6426" s="79" t="s">
        <v>2928</v>
      </c>
      <c r="H6426" s="79"/>
      <c r="I6426" s="80" t="s">
        <v>2897</v>
      </c>
      <c r="J6426" s="583">
        <v>0.6057</v>
      </c>
      <c r="K6426" s="583">
        <v>0</v>
      </c>
      <c r="L6426" s="92">
        <v>47.06</v>
      </c>
      <c r="M6426" s="92">
        <v>28.5</v>
      </c>
      <c r="N6426" s="573"/>
      <c r="O6426" s="556"/>
      <c r="P6426" s="573"/>
      <c r="Q6426" s="556"/>
      <c r="R6426" s="582"/>
    </row>
    <row r="6427" ht="23.85" customHeight="1" spans="1:18">
      <c r="A6427" s="556"/>
      <c r="B6427" s="557" t="str">
        <f>C6426</f>
        <v>Composição Auxiliar</v>
      </c>
      <c r="C6427" s="79" t="s">
        <v>2921</v>
      </c>
      <c r="D6427" s="78" t="s">
        <v>2952</v>
      </c>
      <c r="E6427" s="79" t="s">
        <v>139</v>
      </c>
      <c r="F6427" s="79" t="s">
        <v>2953</v>
      </c>
      <c r="G6427" s="79" t="s">
        <v>2928</v>
      </c>
      <c r="H6427" s="79"/>
      <c r="I6427" s="80" t="s">
        <v>2897</v>
      </c>
      <c r="J6427" s="583">
        <v>0.6057</v>
      </c>
      <c r="K6427" s="583">
        <v>0</v>
      </c>
      <c r="L6427" s="92">
        <v>29.15</v>
      </c>
      <c r="M6427" s="92">
        <v>17.65</v>
      </c>
      <c r="N6427" s="573">
        <v>144.01</v>
      </c>
      <c r="O6427" s="556" t="str">
        <f t="shared" ref="O6427:O6433" si="440">IF(N6427=M6427,"OK","DIF")</f>
        <v>DIF</v>
      </c>
      <c r="P6427" s="573"/>
      <c r="Q6427" s="556"/>
      <c r="R6427" s="582"/>
    </row>
    <row r="6428" ht="25.5" spans="1:18">
      <c r="A6428" s="556" t="str">
        <f t="shared" ref="A6428:A6433" si="441">B6428</f>
        <v>Composição Auxiliar</v>
      </c>
      <c r="B6428" s="557" t="str">
        <f t="shared" ref="B6428:B6433" si="442">B6427</f>
        <v>Composição Auxiliar</v>
      </c>
      <c r="C6428" s="108"/>
      <c r="D6428" s="108"/>
      <c r="E6428" s="108"/>
      <c r="F6428" s="108"/>
      <c r="G6428" s="108"/>
      <c r="H6428" s="108" t="s">
        <v>2898</v>
      </c>
      <c r="I6428" s="581">
        <v>34.79</v>
      </c>
      <c r="J6428" s="108" t="s">
        <v>2899</v>
      </c>
      <c r="K6428" s="581">
        <v>0</v>
      </c>
      <c r="L6428" s="108" t="s">
        <v>2900</v>
      </c>
      <c r="M6428" s="581">
        <v>34.79</v>
      </c>
      <c r="N6428" s="573">
        <v>12.97</v>
      </c>
      <c r="O6428" s="556" t="str">
        <f t="shared" si="440"/>
        <v>DIF</v>
      </c>
      <c r="P6428" s="573"/>
      <c r="Q6428" s="556"/>
      <c r="R6428" s="582"/>
    </row>
    <row r="6429" ht="26.25" spans="1:18">
      <c r="A6429" s="556" t="str">
        <f t="shared" si="441"/>
        <v>Composição Auxiliar</v>
      </c>
      <c r="B6429" s="557" t="str">
        <f t="shared" si="442"/>
        <v>Composição Auxiliar</v>
      </c>
      <c r="C6429" s="108"/>
      <c r="D6429" s="108"/>
      <c r="E6429" s="108"/>
      <c r="F6429" s="108"/>
      <c r="G6429" s="108"/>
      <c r="H6429" s="108" t="s">
        <v>2901</v>
      </c>
      <c r="I6429" s="581">
        <v>11.76</v>
      </c>
      <c r="J6429" s="114"/>
      <c r="K6429" s="114" t="s">
        <v>2902</v>
      </c>
      <c r="L6429" s="108"/>
      <c r="M6429" s="581">
        <v>57.91</v>
      </c>
      <c r="N6429" s="573">
        <v>16.69</v>
      </c>
      <c r="O6429" s="556" t="str">
        <f t="shared" si="440"/>
        <v>DIF</v>
      </c>
      <c r="P6429" s="573"/>
      <c r="Q6429" s="556"/>
      <c r="R6429" s="582"/>
    </row>
    <row r="6430" ht="15" spans="1:18">
      <c r="A6430" s="556" t="str">
        <f t="shared" si="441"/>
        <v>Composição Auxiliar</v>
      </c>
      <c r="B6430" s="557" t="str">
        <f t="shared" si="442"/>
        <v>Composição Auxiliar</v>
      </c>
      <c r="C6430" s="571"/>
      <c r="D6430" s="571"/>
      <c r="E6430" s="571"/>
      <c r="F6430" s="571"/>
      <c r="G6430" s="571"/>
      <c r="H6430" s="571"/>
      <c r="I6430" s="571"/>
      <c r="J6430" s="571"/>
      <c r="K6430" s="571"/>
      <c r="L6430" s="571"/>
      <c r="M6430" s="571"/>
      <c r="N6430" s="573">
        <v>9.2</v>
      </c>
      <c r="O6430" s="556" t="str">
        <f t="shared" si="440"/>
        <v>DIF</v>
      </c>
      <c r="P6430" s="573"/>
      <c r="Q6430" s="556"/>
      <c r="R6430" s="582"/>
    </row>
    <row r="6431" ht="15" customHeight="1" spans="1:18">
      <c r="A6431" s="556" t="str">
        <f t="shared" si="441"/>
        <v>Composição Auxiliar</v>
      </c>
      <c r="B6431" s="557" t="str">
        <f t="shared" si="442"/>
        <v>Composição Auxiliar</v>
      </c>
      <c r="C6431" s="76" t="s">
        <v>2189</v>
      </c>
      <c r="D6431" s="75" t="s">
        <v>63</v>
      </c>
      <c r="E6431" s="76" t="s">
        <v>64</v>
      </c>
      <c r="F6431" s="76" t="s">
        <v>65</v>
      </c>
      <c r="G6431" s="76" t="s">
        <v>2889</v>
      </c>
      <c r="H6431" s="76"/>
      <c r="I6431" s="77" t="s">
        <v>66</v>
      </c>
      <c r="J6431" s="75" t="s">
        <v>67</v>
      </c>
      <c r="K6431" s="75" t="s">
        <v>2890</v>
      </c>
      <c r="L6431" s="75" t="s">
        <v>68</v>
      </c>
      <c r="M6431" s="75" t="s">
        <v>70</v>
      </c>
      <c r="N6431" s="573">
        <v>5.5</v>
      </c>
      <c r="O6431" s="556" t="str">
        <f t="shared" si="440"/>
        <v>DIF</v>
      </c>
      <c r="P6431" s="573"/>
      <c r="Q6431" s="556"/>
      <c r="R6431" s="582"/>
    </row>
    <row r="6432" ht="38.25" spans="1:18">
      <c r="A6432" s="556" t="str">
        <f t="shared" si="441"/>
        <v>Composição Auxiliar</v>
      </c>
      <c r="B6432" s="557" t="str">
        <f t="shared" si="442"/>
        <v>Composição Auxiliar</v>
      </c>
      <c r="C6432" s="569" t="s">
        <v>2891</v>
      </c>
      <c r="D6432" s="570" t="s">
        <v>2190</v>
      </c>
      <c r="E6432" s="569" t="s">
        <v>132</v>
      </c>
      <c r="F6432" s="569" t="s">
        <v>2191</v>
      </c>
      <c r="G6432" s="569">
        <v>70</v>
      </c>
      <c r="H6432" s="569"/>
      <c r="I6432" s="577" t="s">
        <v>134</v>
      </c>
      <c r="J6432" s="578">
        <v>1</v>
      </c>
      <c r="K6432" s="579"/>
      <c r="L6432" s="579">
        <v>326.27</v>
      </c>
      <c r="M6432" s="579">
        <v>326.27</v>
      </c>
      <c r="N6432" s="573">
        <v>47.5</v>
      </c>
      <c r="O6432" s="556" t="str">
        <f t="shared" si="440"/>
        <v>DIF</v>
      </c>
      <c r="P6432" s="573"/>
      <c r="Q6432" s="556"/>
      <c r="R6432" s="582"/>
    </row>
    <row r="6433" ht="23.85" customHeight="1" spans="1:18">
      <c r="A6433" s="556" t="str">
        <f t="shared" si="441"/>
        <v>Composição Auxiliar</v>
      </c>
      <c r="B6433" s="557" t="str">
        <f t="shared" si="442"/>
        <v>Composição Auxiliar</v>
      </c>
      <c r="C6433" s="79" t="s">
        <v>2921</v>
      </c>
      <c r="D6433" s="78" t="s">
        <v>4215</v>
      </c>
      <c r="E6433" s="79" t="s">
        <v>139</v>
      </c>
      <c r="F6433" s="79" t="s">
        <v>4216</v>
      </c>
      <c r="G6433" s="79" t="s">
        <v>2928</v>
      </c>
      <c r="H6433" s="79"/>
      <c r="I6433" s="80" t="s">
        <v>2897</v>
      </c>
      <c r="J6433" s="583">
        <v>1.2</v>
      </c>
      <c r="K6433" s="583">
        <v>0</v>
      </c>
      <c r="L6433" s="92">
        <v>33.34</v>
      </c>
      <c r="M6433" s="92">
        <v>40</v>
      </c>
      <c r="N6433" s="573">
        <v>52.15</v>
      </c>
      <c r="O6433" s="556" t="str">
        <f t="shared" si="440"/>
        <v>DIF</v>
      </c>
      <c r="P6433" s="573"/>
      <c r="Q6433" s="556"/>
      <c r="R6433" s="582"/>
    </row>
    <row r="6434" ht="23.85" customHeight="1" spans="1:18">
      <c r="A6434" s="556"/>
      <c r="B6434" s="557"/>
      <c r="C6434" s="79" t="s">
        <v>2921</v>
      </c>
      <c r="D6434" s="78" t="s">
        <v>3487</v>
      </c>
      <c r="E6434" s="79" t="s">
        <v>139</v>
      </c>
      <c r="F6434" s="79" t="s">
        <v>3488</v>
      </c>
      <c r="G6434" s="79" t="s">
        <v>2928</v>
      </c>
      <c r="H6434" s="79"/>
      <c r="I6434" s="80" t="s">
        <v>2897</v>
      </c>
      <c r="J6434" s="583">
        <v>1.2</v>
      </c>
      <c r="K6434" s="583">
        <v>0</v>
      </c>
      <c r="L6434" s="92">
        <v>30.31</v>
      </c>
      <c r="M6434" s="92">
        <v>36.37</v>
      </c>
      <c r="N6434" s="573"/>
      <c r="O6434" s="556"/>
      <c r="P6434" s="573"/>
      <c r="Q6434" s="556"/>
      <c r="R6434" s="582"/>
    </row>
    <row r="6435" ht="23.85" customHeight="1" spans="1:18">
      <c r="A6435" s="556"/>
      <c r="B6435" s="557"/>
      <c r="C6435" s="100" t="s">
        <v>2893</v>
      </c>
      <c r="D6435" s="99" t="s">
        <v>4761</v>
      </c>
      <c r="E6435" s="100" t="s">
        <v>149</v>
      </c>
      <c r="F6435" s="100" t="s">
        <v>4762</v>
      </c>
      <c r="G6435" s="100" t="s">
        <v>2961</v>
      </c>
      <c r="H6435" s="100"/>
      <c r="I6435" s="101" t="s">
        <v>134</v>
      </c>
      <c r="J6435" s="580">
        <v>1</v>
      </c>
      <c r="K6435" s="580">
        <v>0</v>
      </c>
      <c r="L6435" s="102">
        <v>249.9</v>
      </c>
      <c r="M6435" s="102">
        <v>249.9</v>
      </c>
      <c r="N6435" s="573"/>
      <c r="O6435" s="556"/>
      <c r="P6435" s="573"/>
      <c r="Q6435" s="556"/>
      <c r="R6435" s="582"/>
    </row>
    <row r="6436" ht="25.5" spans="1:18">
      <c r="A6436" s="556"/>
      <c r="B6436" s="557" t="str">
        <f>C6435</f>
        <v>Insumo</v>
      </c>
      <c r="C6436" s="108"/>
      <c r="D6436" s="108"/>
      <c r="E6436" s="108"/>
      <c r="F6436" s="108"/>
      <c r="G6436" s="108"/>
      <c r="H6436" s="108" t="s">
        <v>2898</v>
      </c>
      <c r="I6436" s="581">
        <v>52.39</v>
      </c>
      <c r="J6436" s="108" t="s">
        <v>2899</v>
      </c>
      <c r="K6436" s="581">
        <v>0</v>
      </c>
      <c r="L6436" s="108" t="s">
        <v>2900</v>
      </c>
      <c r="M6436" s="581">
        <v>52.39</v>
      </c>
      <c r="N6436" s="573">
        <v>84.1</v>
      </c>
      <c r="O6436" s="556" t="str">
        <f>IF(N6436=M6436,"OK","DIF")</f>
        <v>DIF</v>
      </c>
      <c r="P6436" s="573"/>
      <c r="Q6436" s="556"/>
      <c r="R6436" s="582"/>
    </row>
    <row r="6437" ht="26.25" spans="1:18">
      <c r="A6437" s="556" t="str">
        <f>B6437</f>
        <v>Insumo</v>
      </c>
      <c r="B6437" s="557" t="str">
        <f>B6436</f>
        <v>Insumo</v>
      </c>
      <c r="C6437" s="108"/>
      <c r="D6437" s="108"/>
      <c r="E6437" s="108"/>
      <c r="F6437" s="108"/>
      <c r="G6437" s="108"/>
      <c r="H6437" s="108" t="s">
        <v>2901</v>
      </c>
      <c r="I6437" s="581">
        <v>83.16</v>
      </c>
      <c r="J6437" s="114"/>
      <c r="K6437" s="114" t="s">
        <v>2902</v>
      </c>
      <c r="L6437" s="108"/>
      <c r="M6437" s="581">
        <v>409.43</v>
      </c>
      <c r="N6437" s="573">
        <v>5.19</v>
      </c>
      <c r="O6437" s="556" t="str">
        <f>IF(N6437=M6437,"OK","DIF")</f>
        <v>DIF</v>
      </c>
      <c r="P6437" s="573"/>
      <c r="Q6437" s="556"/>
      <c r="R6437" s="582"/>
    </row>
    <row r="6438" ht="15" spans="1:18">
      <c r="A6438" s="556" t="str">
        <f>B6438</f>
        <v>Insumo</v>
      </c>
      <c r="B6438" s="557" t="str">
        <f>B6437</f>
        <v>Insumo</v>
      </c>
      <c r="C6438" s="571"/>
      <c r="D6438" s="571"/>
      <c r="E6438" s="571"/>
      <c r="F6438" s="571"/>
      <c r="G6438" s="571"/>
      <c r="H6438" s="571"/>
      <c r="I6438" s="571"/>
      <c r="J6438" s="571"/>
      <c r="K6438" s="571"/>
      <c r="L6438" s="571"/>
      <c r="M6438" s="571"/>
      <c r="N6438" s="573">
        <v>0.57</v>
      </c>
      <c r="O6438" s="556" t="str">
        <f>IF(N6438=M6438,"OK","DIF")</f>
        <v>DIF</v>
      </c>
      <c r="P6438" s="573"/>
      <c r="Q6438" s="556"/>
      <c r="R6438" s="582"/>
    </row>
    <row r="6439" ht="15" customHeight="1" spans="1:18">
      <c r="A6439" s="556" t="str">
        <f>B6439</f>
        <v>Insumo</v>
      </c>
      <c r="B6439" s="557" t="str">
        <f>B6438</f>
        <v>Insumo</v>
      </c>
      <c r="C6439" s="76" t="s">
        <v>2192</v>
      </c>
      <c r="D6439" s="75" t="s">
        <v>63</v>
      </c>
      <c r="E6439" s="76" t="s">
        <v>64</v>
      </c>
      <c r="F6439" s="76" t="s">
        <v>65</v>
      </c>
      <c r="G6439" s="76" t="s">
        <v>2889</v>
      </c>
      <c r="H6439" s="76"/>
      <c r="I6439" s="77" t="s">
        <v>66</v>
      </c>
      <c r="J6439" s="75" t="s">
        <v>67</v>
      </c>
      <c r="K6439" s="75" t="s">
        <v>2890</v>
      </c>
      <c r="L6439" s="75" t="s">
        <v>68</v>
      </c>
      <c r="M6439" s="75" t="s">
        <v>70</v>
      </c>
      <c r="N6439" s="573">
        <v>4.04</v>
      </c>
      <c r="O6439" s="556" t="str">
        <f>IF(N6439=M6439,"OK","DIF")</f>
        <v>DIF</v>
      </c>
      <c r="P6439" s="573"/>
      <c r="Q6439" s="556"/>
      <c r="R6439" s="582"/>
    </row>
    <row r="6440" ht="38.25" spans="1:18">
      <c r="A6440" s="556" t="str">
        <f>B6440</f>
        <v>Insumo</v>
      </c>
      <c r="B6440" s="557" t="str">
        <f>B6439</f>
        <v>Insumo</v>
      </c>
      <c r="C6440" s="569" t="s">
        <v>2891</v>
      </c>
      <c r="D6440" s="570" t="s">
        <v>2193</v>
      </c>
      <c r="E6440" s="569" t="s">
        <v>132</v>
      </c>
      <c r="F6440" s="569" t="s">
        <v>2194</v>
      </c>
      <c r="G6440" s="569">
        <v>70</v>
      </c>
      <c r="H6440" s="569"/>
      <c r="I6440" s="577" t="s">
        <v>134</v>
      </c>
      <c r="J6440" s="578">
        <v>1</v>
      </c>
      <c r="K6440" s="579"/>
      <c r="L6440" s="579">
        <v>253.46</v>
      </c>
      <c r="M6440" s="579">
        <v>253.46</v>
      </c>
      <c r="N6440" s="573">
        <v>74.3</v>
      </c>
      <c r="O6440" s="556" t="str">
        <f>IF(N6440=M6440,"OK","DIF")</f>
        <v>DIF</v>
      </c>
      <c r="P6440" s="573"/>
      <c r="Q6440" s="556"/>
      <c r="R6440" s="582"/>
    </row>
    <row r="6441" ht="23.85" customHeight="1" spans="1:18">
      <c r="A6441" s="556"/>
      <c r="B6441" s="557"/>
      <c r="C6441" s="79" t="s">
        <v>2921</v>
      </c>
      <c r="D6441" s="78" t="s">
        <v>4721</v>
      </c>
      <c r="E6441" s="79" t="s">
        <v>139</v>
      </c>
      <c r="F6441" s="79" t="s">
        <v>4722</v>
      </c>
      <c r="G6441" s="79" t="s">
        <v>2928</v>
      </c>
      <c r="H6441" s="79"/>
      <c r="I6441" s="80" t="s">
        <v>2897</v>
      </c>
      <c r="J6441" s="583">
        <v>0.2153</v>
      </c>
      <c r="K6441" s="583">
        <v>0</v>
      </c>
      <c r="L6441" s="92">
        <v>47.06</v>
      </c>
      <c r="M6441" s="92">
        <v>10.13</v>
      </c>
      <c r="N6441" s="573"/>
      <c r="O6441" s="556"/>
      <c r="P6441" s="573"/>
      <c r="Q6441" s="556"/>
      <c r="R6441" s="582"/>
    </row>
    <row r="6442" ht="23.85" customHeight="1" spans="1:18">
      <c r="A6442" s="556"/>
      <c r="B6442" s="557"/>
      <c r="C6442" s="79" t="s">
        <v>2921</v>
      </c>
      <c r="D6442" s="78" t="s">
        <v>2952</v>
      </c>
      <c r="E6442" s="79" t="s">
        <v>139</v>
      </c>
      <c r="F6442" s="79" t="s">
        <v>2953</v>
      </c>
      <c r="G6442" s="79" t="s">
        <v>2928</v>
      </c>
      <c r="H6442" s="79"/>
      <c r="I6442" s="80" t="s">
        <v>2897</v>
      </c>
      <c r="J6442" s="583">
        <v>0.2153</v>
      </c>
      <c r="K6442" s="583">
        <v>0</v>
      </c>
      <c r="L6442" s="92">
        <v>29.15</v>
      </c>
      <c r="M6442" s="92">
        <v>6.27</v>
      </c>
      <c r="N6442" s="573"/>
      <c r="O6442" s="556"/>
      <c r="P6442" s="573"/>
      <c r="Q6442" s="556"/>
      <c r="R6442" s="582"/>
    </row>
    <row r="6443" ht="25.5" spans="1:18">
      <c r="A6443" s="556"/>
      <c r="B6443" s="557" t="str">
        <f>C6442</f>
        <v>Composição Auxiliar</v>
      </c>
      <c r="C6443" s="100" t="s">
        <v>2893</v>
      </c>
      <c r="D6443" s="99" t="s">
        <v>4763</v>
      </c>
      <c r="E6443" s="100" t="s">
        <v>77</v>
      </c>
      <c r="F6443" s="100" t="s">
        <v>4764</v>
      </c>
      <c r="G6443" s="100">
        <v>0</v>
      </c>
      <c r="H6443" s="100"/>
      <c r="I6443" s="101" t="s">
        <v>134</v>
      </c>
      <c r="J6443" s="580">
        <v>1</v>
      </c>
      <c r="K6443" s="580">
        <v>0</v>
      </c>
      <c r="L6443" s="102">
        <v>237.06</v>
      </c>
      <c r="M6443" s="102">
        <v>237.06</v>
      </c>
      <c r="N6443" s="573">
        <v>121.44</v>
      </c>
      <c r="O6443" s="556" t="str">
        <f>IF(N6443=M6443,"OK","DIF")</f>
        <v>DIF</v>
      </c>
      <c r="P6443" s="573"/>
      <c r="Q6443" s="556"/>
      <c r="R6443" s="582"/>
    </row>
    <row r="6444" ht="25.5" spans="1:18">
      <c r="A6444" s="556" t="str">
        <f>B6444</f>
        <v>Composição Auxiliar</v>
      </c>
      <c r="B6444" s="557" t="str">
        <f>B6443</f>
        <v>Composição Auxiliar</v>
      </c>
      <c r="C6444" s="108"/>
      <c r="D6444" s="108"/>
      <c r="E6444" s="108"/>
      <c r="F6444" s="108"/>
      <c r="G6444" s="108"/>
      <c r="H6444" s="108" t="s">
        <v>2898</v>
      </c>
      <c r="I6444" s="581">
        <v>12.36</v>
      </c>
      <c r="J6444" s="108" t="s">
        <v>2899</v>
      </c>
      <c r="K6444" s="581">
        <v>0</v>
      </c>
      <c r="L6444" s="108" t="s">
        <v>2900</v>
      </c>
      <c r="M6444" s="581">
        <v>12.36</v>
      </c>
      <c r="N6444" s="573">
        <v>26.75</v>
      </c>
      <c r="O6444" s="556" t="str">
        <f>IF(N6444=M6444,"OK","DIF")</f>
        <v>DIF</v>
      </c>
      <c r="P6444" s="573"/>
      <c r="Q6444" s="556"/>
      <c r="R6444" s="582"/>
    </row>
    <row r="6445" ht="26.25" spans="1:18">
      <c r="A6445" s="556" t="str">
        <f>B6445</f>
        <v>Composição Auxiliar</v>
      </c>
      <c r="B6445" s="557" t="str">
        <f>B6444</f>
        <v>Composição Auxiliar</v>
      </c>
      <c r="C6445" s="108"/>
      <c r="D6445" s="108"/>
      <c r="E6445" s="108"/>
      <c r="F6445" s="108"/>
      <c r="G6445" s="108"/>
      <c r="H6445" s="108" t="s">
        <v>2901</v>
      </c>
      <c r="I6445" s="581">
        <v>64.6</v>
      </c>
      <c r="J6445" s="114"/>
      <c r="K6445" s="114" t="s">
        <v>2902</v>
      </c>
      <c r="L6445" s="108"/>
      <c r="M6445" s="581">
        <v>318.06</v>
      </c>
      <c r="N6445" s="573">
        <v>30.85</v>
      </c>
      <c r="O6445" s="556" t="str">
        <f>IF(N6445=M6445,"OK","DIF")</f>
        <v>DIF</v>
      </c>
      <c r="P6445" s="573"/>
      <c r="Q6445" s="556"/>
      <c r="R6445" s="582"/>
    </row>
    <row r="6446" ht="15" spans="1:18">
      <c r="A6446" s="556" t="str">
        <f>B6446</f>
        <v>Composição Auxiliar</v>
      </c>
      <c r="B6446" s="557" t="str">
        <f>B6445</f>
        <v>Composição Auxiliar</v>
      </c>
      <c r="C6446" s="571"/>
      <c r="D6446" s="571"/>
      <c r="E6446" s="571"/>
      <c r="F6446" s="571"/>
      <c r="G6446" s="571"/>
      <c r="H6446" s="571"/>
      <c r="I6446" s="571"/>
      <c r="J6446" s="571"/>
      <c r="K6446" s="571"/>
      <c r="L6446" s="571"/>
      <c r="M6446" s="571"/>
      <c r="N6446" s="573">
        <v>63.84</v>
      </c>
      <c r="O6446" s="556" t="str">
        <f>IF(N6446=M6446,"OK","DIF")</f>
        <v>DIF</v>
      </c>
      <c r="P6446" s="573"/>
      <c r="Q6446" s="556"/>
      <c r="R6446" s="582"/>
    </row>
    <row r="6447" ht="15" customHeight="1" spans="1:18">
      <c r="A6447" s="556"/>
      <c r="B6447" s="557"/>
      <c r="C6447" s="76" t="s">
        <v>2195</v>
      </c>
      <c r="D6447" s="75" t="s">
        <v>63</v>
      </c>
      <c r="E6447" s="76" t="s">
        <v>64</v>
      </c>
      <c r="F6447" s="76" t="s">
        <v>65</v>
      </c>
      <c r="G6447" s="76" t="s">
        <v>2889</v>
      </c>
      <c r="H6447" s="76"/>
      <c r="I6447" s="77" t="s">
        <v>66</v>
      </c>
      <c r="J6447" s="75" t="s">
        <v>67</v>
      </c>
      <c r="K6447" s="75" t="s">
        <v>2890</v>
      </c>
      <c r="L6447" s="75" t="s">
        <v>68</v>
      </c>
      <c r="M6447" s="75" t="s">
        <v>70</v>
      </c>
      <c r="N6447" s="573"/>
      <c r="O6447" s="556"/>
      <c r="P6447" s="573"/>
      <c r="Q6447" s="556"/>
      <c r="R6447" s="582"/>
    </row>
    <row r="6448" ht="38.25" spans="1:18">
      <c r="A6448" s="556"/>
      <c r="B6448" s="557"/>
      <c r="C6448" s="569" t="s">
        <v>2891</v>
      </c>
      <c r="D6448" s="570" t="s">
        <v>2196</v>
      </c>
      <c r="E6448" s="569" t="s">
        <v>77</v>
      </c>
      <c r="F6448" s="569" t="s">
        <v>4765</v>
      </c>
      <c r="G6448" s="569">
        <v>18</v>
      </c>
      <c r="H6448" s="569"/>
      <c r="I6448" s="577" t="s">
        <v>134</v>
      </c>
      <c r="J6448" s="578">
        <v>1</v>
      </c>
      <c r="K6448" s="579"/>
      <c r="L6448" s="579">
        <v>247.63</v>
      </c>
      <c r="M6448" s="579">
        <v>247.63</v>
      </c>
      <c r="N6448" s="573"/>
      <c r="O6448" s="556"/>
      <c r="P6448" s="573"/>
      <c r="Q6448" s="556"/>
      <c r="R6448" s="582"/>
    </row>
    <row r="6449" ht="23.85" customHeight="1" spans="1:18">
      <c r="A6449" s="556"/>
      <c r="B6449" s="557" t="str">
        <f>C6448</f>
        <v>Composição</v>
      </c>
      <c r="C6449" s="100" t="s">
        <v>2893</v>
      </c>
      <c r="D6449" s="99" t="s">
        <v>3108</v>
      </c>
      <c r="E6449" s="100" t="s">
        <v>77</v>
      </c>
      <c r="F6449" s="100" t="s">
        <v>3109</v>
      </c>
      <c r="G6449" s="100" t="s">
        <v>2896</v>
      </c>
      <c r="H6449" s="100"/>
      <c r="I6449" s="101" t="s">
        <v>2897</v>
      </c>
      <c r="J6449" s="580">
        <v>0.2153</v>
      </c>
      <c r="K6449" s="580">
        <v>3</v>
      </c>
      <c r="L6449" s="102">
        <v>19.16</v>
      </c>
      <c r="M6449" s="102">
        <v>4.24</v>
      </c>
      <c r="N6449" s="573">
        <v>74.09</v>
      </c>
      <c r="O6449" s="556" t="str">
        <f>IF(N6449=M6449,"OK","DIF")</f>
        <v>DIF</v>
      </c>
      <c r="P6449" s="573"/>
      <c r="Q6449" s="556"/>
      <c r="R6449" s="582"/>
    </row>
    <row r="6450" ht="25.5" spans="1:18">
      <c r="A6450" s="556" t="str">
        <f>B6450</f>
        <v>Composição</v>
      </c>
      <c r="B6450" s="557" t="str">
        <f>B6449</f>
        <v>Composição</v>
      </c>
      <c r="C6450" s="100" t="s">
        <v>2893</v>
      </c>
      <c r="D6450" s="99" t="s">
        <v>4763</v>
      </c>
      <c r="E6450" s="100" t="s">
        <v>77</v>
      </c>
      <c r="F6450" s="100" t="s">
        <v>4764</v>
      </c>
      <c r="G6450" s="100">
        <v>0</v>
      </c>
      <c r="H6450" s="100"/>
      <c r="I6450" s="101" t="s">
        <v>134</v>
      </c>
      <c r="J6450" s="580">
        <v>1</v>
      </c>
      <c r="K6450" s="580">
        <v>0</v>
      </c>
      <c r="L6450" s="102">
        <v>237.06</v>
      </c>
      <c r="M6450" s="102">
        <v>237.06</v>
      </c>
      <c r="N6450" s="573">
        <v>26.75</v>
      </c>
      <c r="O6450" s="556" t="str">
        <f>IF(N6450=M6450,"OK","DIF")</f>
        <v>DIF</v>
      </c>
      <c r="P6450" s="573"/>
      <c r="Q6450" s="556"/>
      <c r="R6450" s="582"/>
    </row>
    <row r="6451" ht="23.85" customHeight="1" spans="1:18">
      <c r="A6451" s="556" t="str">
        <f>B6451</f>
        <v>Composição</v>
      </c>
      <c r="B6451" s="557" t="str">
        <f>B6450</f>
        <v>Composição</v>
      </c>
      <c r="C6451" s="100" t="s">
        <v>2893</v>
      </c>
      <c r="D6451" s="99" t="s">
        <v>4766</v>
      </c>
      <c r="E6451" s="100" t="s">
        <v>77</v>
      </c>
      <c r="F6451" s="100" t="s">
        <v>4767</v>
      </c>
      <c r="G6451" s="100" t="s">
        <v>2896</v>
      </c>
      <c r="H6451" s="100"/>
      <c r="I6451" s="101" t="s">
        <v>2897</v>
      </c>
      <c r="J6451" s="580">
        <v>0.2153</v>
      </c>
      <c r="K6451" s="580">
        <v>3</v>
      </c>
      <c r="L6451" s="102">
        <v>28.55</v>
      </c>
      <c r="M6451" s="102">
        <v>6.33</v>
      </c>
      <c r="N6451" s="573">
        <v>31.92</v>
      </c>
      <c r="O6451" s="556" t="str">
        <f>IF(N6451=M6451,"OK","DIF")</f>
        <v>DIF</v>
      </c>
      <c r="P6451" s="573"/>
      <c r="Q6451" s="556"/>
      <c r="R6451" s="582"/>
    </row>
    <row r="6452" ht="25.5" spans="1:18">
      <c r="A6452" s="556" t="str">
        <f>B6452</f>
        <v>Composição</v>
      </c>
      <c r="B6452" s="557" t="str">
        <f>B6451</f>
        <v>Composição</v>
      </c>
      <c r="C6452" s="108"/>
      <c r="D6452" s="108"/>
      <c r="E6452" s="108"/>
      <c r="F6452" s="108"/>
      <c r="G6452" s="108"/>
      <c r="H6452" s="108" t="s">
        <v>2898</v>
      </c>
      <c r="I6452" s="581">
        <v>10.57</v>
      </c>
      <c r="J6452" s="108" t="s">
        <v>2899</v>
      </c>
      <c r="K6452" s="581">
        <v>0</v>
      </c>
      <c r="L6452" s="108" t="s">
        <v>2900</v>
      </c>
      <c r="M6452" s="581">
        <v>10.57</v>
      </c>
      <c r="N6452" s="573">
        <v>15.42</v>
      </c>
      <c r="O6452" s="556" t="str">
        <f>IF(N6452=M6452,"OK","DIF")</f>
        <v>DIF</v>
      </c>
      <c r="P6452" s="573"/>
      <c r="Q6452" s="556"/>
      <c r="R6452" s="582"/>
    </row>
    <row r="6453" ht="26.25" spans="1:18">
      <c r="A6453" s="556"/>
      <c r="B6453" s="557"/>
      <c r="C6453" s="108"/>
      <c r="D6453" s="108"/>
      <c r="E6453" s="108"/>
      <c r="F6453" s="108"/>
      <c r="G6453" s="108"/>
      <c r="H6453" s="108" t="s">
        <v>2901</v>
      </c>
      <c r="I6453" s="581">
        <v>63.12</v>
      </c>
      <c r="J6453" s="114"/>
      <c r="K6453" s="114" t="s">
        <v>2902</v>
      </c>
      <c r="L6453" s="108"/>
      <c r="M6453" s="581">
        <v>310.75</v>
      </c>
      <c r="N6453" s="573"/>
      <c r="O6453" s="556"/>
      <c r="P6453" s="573"/>
      <c r="Q6453" s="556"/>
      <c r="R6453" s="582"/>
    </row>
    <row r="6454" ht="15" spans="1:18">
      <c r="A6454" s="556"/>
      <c r="B6454" s="557"/>
      <c r="C6454" s="571"/>
      <c r="D6454" s="571"/>
      <c r="E6454" s="571"/>
      <c r="F6454" s="571"/>
      <c r="G6454" s="571"/>
      <c r="H6454" s="571"/>
      <c r="I6454" s="571"/>
      <c r="J6454" s="571"/>
      <c r="K6454" s="571"/>
      <c r="L6454" s="571"/>
      <c r="M6454" s="571"/>
      <c r="N6454" s="573"/>
      <c r="O6454" s="556"/>
      <c r="P6454" s="573"/>
      <c r="Q6454" s="556"/>
      <c r="R6454" s="582"/>
    </row>
    <row r="6455" ht="15" customHeight="1" spans="1:18">
      <c r="A6455" s="556"/>
      <c r="B6455" s="557">
        <f>C6454</f>
        <v>0</v>
      </c>
      <c r="C6455" s="76" t="s">
        <v>2198</v>
      </c>
      <c r="D6455" s="75" t="s">
        <v>63</v>
      </c>
      <c r="E6455" s="76" t="s">
        <v>64</v>
      </c>
      <c r="F6455" s="76" t="s">
        <v>65</v>
      </c>
      <c r="G6455" s="76" t="s">
        <v>2889</v>
      </c>
      <c r="H6455" s="76"/>
      <c r="I6455" s="77" t="s">
        <v>66</v>
      </c>
      <c r="J6455" s="75" t="s">
        <v>67</v>
      </c>
      <c r="K6455" s="75" t="s">
        <v>2890</v>
      </c>
      <c r="L6455" s="75" t="s">
        <v>68</v>
      </c>
      <c r="M6455" s="75" t="s">
        <v>70</v>
      </c>
      <c r="N6455" s="573">
        <v>184.79</v>
      </c>
      <c r="O6455" s="556" t="str">
        <f>IF(N6455=M6455,"OK","DIF")</f>
        <v>DIF</v>
      </c>
      <c r="P6455" s="573"/>
      <c r="Q6455" s="556"/>
      <c r="R6455" s="582"/>
    </row>
    <row r="6456" ht="38.25" spans="1:18">
      <c r="A6456" s="556">
        <f>B6456</f>
        <v>0</v>
      </c>
      <c r="B6456" s="557">
        <f>B6455</f>
        <v>0</v>
      </c>
      <c r="C6456" s="569" t="s">
        <v>2891</v>
      </c>
      <c r="D6456" s="570" t="s">
        <v>2199</v>
      </c>
      <c r="E6456" s="569" t="s">
        <v>77</v>
      </c>
      <c r="F6456" s="569" t="s">
        <v>4768</v>
      </c>
      <c r="G6456" s="569">
        <v>18</v>
      </c>
      <c r="H6456" s="569"/>
      <c r="I6456" s="577" t="s">
        <v>134</v>
      </c>
      <c r="J6456" s="578">
        <v>1</v>
      </c>
      <c r="K6456" s="579"/>
      <c r="L6456" s="579">
        <v>394.91</v>
      </c>
      <c r="M6456" s="579">
        <v>394.91</v>
      </c>
      <c r="N6456" s="573">
        <v>10.38</v>
      </c>
      <c r="O6456" s="556" t="str">
        <f>IF(N6456=M6456,"OK","DIF")</f>
        <v>DIF</v>
      </c>
      <c r="P6456" s="573"/>
      <c r="Q6456" s="556"/>
      <c r="R6456" s="582"/>
    </row>
    <row r="6457" ht="23.85" customHeight="1" spans="1:18">
      <c r="A6457" s="556">
        <f>B6457</f>
        <v>0</v>
      </c>
      <c r="B6457" s="557">
        <f>B6456</f>
        <v>0</v>
      </c>
      <c r="C6457" s="100" t="s">
        <v>2893</v>
      </c>
      <c r="D6457" s="99" t="s">
        <v>4766</v>
      </c>
      <c r="E6457" s="100" t="s">
        <v>77</v>
      </c>
      <c r="F6457" s="100" t="s">
        <v>4767</v>
      </c>
      <c r="G6457" s="100" t="s">
        <v>2896</v>
      </c>
      <c r="H6457" s="100"/>
      <c r="I6457" s="101" t="s">
        <v>2897</v>
      </c>
      <c r="J6457" s="580">
        <v>0.4536</v>
      </c>
      <c r="K6457" s="580">
        <v>3</v>
      </c>
      <c r="L6457" s="102">
        <v>28.55</v>
      </c>
      <c r="M6457" s="102">
        <v>13.33</v>
      </c>
      <c r="N6457" s="573">
        <v>61.75</v>
      </c>
      <c r="O6457" s="556" t="str">
        <f>IF(N6457=M6457,"OK","DIF")</f>
        <v>DIF</v>
      </c>
      <c r="P6457" s="573"/>
      <c r="Q6457" s="556"/>
      <c r="R6457" s="582"/>
    </row>
    <row r="6458" ht="25.5" spans="1:18">
      <c r="A6458" s="556">
        <f>B6458</f>
        <v>0</v>
      </c>
      <c r="B6458" s="557">
        <f>B6457</f>
        <v>0</v>
      </c>
      <c r="C6458" s="100" t="s">
        <v>2893</v>
      </c>
      <c r="D6458" s="99" t="s">
        <v>4769</v>
      </c>
      <c r="E6458" s="100" t="s">
        <v>77</v>
      </c>
      <c r="F6458" s="100" t="s">
        <v>4770</v>
      </c>
      <c r="G6458" s="100">
        <v>0</v>
      </c>
      <c r="H6458" s="100"/>
      <c r="I6458" s="101" t="s">
        <v>134</v>
      </c>
      <c r="J6458" s="580">
        <v>1</v>
      </c>
      <c r="K6458" s="580">
        <v>0</v>
      </c>
      <c r="L6458" s="102">
        <v>372.63</v>
      </c>
      <c r="M6458" s="102">
        <v>372.63</v>
      </c>
      <c r="N6458" s="573">
        <v>112.04</v>
      </c>
      <c r="O6458" s="556" t="str">
        <f>IF(N6458=M6458,"OK","DIF")</f>
        <v>DIF</v>
      </c>
      <c r="P6458" s="573"/>
      <c r="Q6458" s="556"/>
      <c r="R6458" s="582"/>
    </row>
    <row r="6459" ht="23.85" customHeight="1" spans="1:18">
      <c r="A6459" s="556">
        <f>B6459</f>
        <v>0</v>
      </c>
      <c r="B6459" s="557">
        <f>B6458</f>
        <v>0</v>
      </c>
      <c r="C6459" s="100" t="s">
        <v>2893</v>
      </c>
      <c r="D6459" s="99" t="s">
        <v>3108</v>
      </c>
      <c r="E6459" s="100" t="s">
        <v>77</v>
      </c>
      <c r="F6459" s="100" t="s">
        <v>3109</v>
      </c>
      <c r="G6459" s="100" t="s">
        <v>2896</v>
      </c>
      <c r="H6459" s="100"/>
      <c r="I6459" s="101" t="s">
        <v>2897</v>
      </c>
      <c r="J6459" s="580">
        <v>0.4536</v>
      </c>
      <c r="K6459" s="580">
        <v>3</v>
      </c>
      <c r="L6459" s="102">
        <v>19.16</v>
      </c>
      <c r="M6459" s="102">
        <v>8.95</v>
      </c>
      <c r="N6459" s="573">
        <v>0.62</v>
      </c>
      <c r="O6459" s="556" t="str">
        <f>IF(N6459=M6459,"OK","DIF")</f>
        <v>DIF</v>
      </c>
      <c r="P6459" s="573"/>
      <c r="Q6459" s="556"/>
      <c r="R6459" s="582"/>
    </row>
    <row r="6460" ht="25.5" spans="1:18">
      <c r="A6460" s="556"/>
      <c r="B6460" s="557"/>
      <c r="C6460" s="108"/>
      <c r="D6460" s="108"/>
      <c r="E6460" s="108"/>
      <c r="F6460" s="108"/>
      <c r="G6460" s="108"/>
      <c r="H6460" s="108" t="s">
        <v>2898</v>
      </c>
      <c r="I6460" s="581">
        <v>22.28</v>
      </c>
      <c r="J6460" s="108" t="s">
        <v>2899</v>
      </c>
      <c r="K6460" s="581">
        <v>0</v>
      </c>
      <c r="L6460" s="108" t="s">
        <v>2900</v>
      </c>
      <c r="M6460" s="581">
        <v>22.28</v>
      </c>
      <c r="N6460" s="573"/>
      <c r="O6460" s="556"/>
      <c r="P6460" s="573"/>
      <c r="Q6460" s="556"/>
      <c r="R6460" s="582"/>
    </row>
    <row r="6461" ht="26.25" spans="1:18">
      <c r="A6461" s="556"/>
      <c r="B6461" s="557"/>
      <c r="C6461" s="108"/>
      <c r="D6461" s="108"/>
      <c r="E6461" s="108"/>
      <c r="F6461" s="108"/>
      <c r="G6461" s="108"/>
      <c r="H6461" s="108" t="s">
        <v>2901</v>
      </c>
      <c r="I6461" s="581">
        <v>100.66</v>
      </c>
      <c r="J6461" s="114"/>
      <c r="K6461" s="114" t="s">
        <v>2902</v>
      </c>
      <c r="L6461" s="108"/>
      <c r="M6461" s="581">
        <v>495.57</v>
      </c>
      <c r="N6461" s="573"/>
      <c r="O6461" s="556"/>
      <c r="P6461" s="573"/>
      <c r="Q6461" s="556"/>
      <c r="R6461" s="582"/>
    </row>
    <row r="6462" ht="15" spans="1:18">
      <c r="A6462" s="556"/>
      <c r="B6462" s="557">
        <f>C6461</f>
        <v>0</v>
      </c>
      <c r="C6462" s="571"/>
      <c r="D6462" s="571"/>
      <c r="E6462" s="571"/>
      <c r="F6462" s="571"/>
      <c r="G6462" s="571"/>
      <c r="H6462" s="571"/>
      <c r="I6462" s="571"/>
      <c r="J6462" s="571"/>
      <c r="K6462" s="571"/>
      <c r="L6462" s="571"/>
      <c r="M6462" s="571"/>
      <c r="N6462" s="573">
        <v>499.95</v>
      </c>
      <c r="O6462" s="556" t="str">
        <f t="shared" ref="O6462:O6469" si="443">IF(N6462=M6462,"OK","DIF")</f>
        <v>DIF</v>
      </c>
      <c r="P6462" s="573"/>
      <c r="Q6462" s="556"/>
      <c r="R6462" s="582"/>
    </row>
    <row r="6463" ht="15" customHeight="1" spans="1:18">
      <c r="A6463" s="556">
        <f t="shared" ref="A6463:A6469" si="444">B6463</f>
        <v>0</v>
      </c>
      <c r="B6463" s="557">
        <f t="shared" ref="B6463:B6469" si="445">B6462</f>
        <v>0</v>
      </c>
      <c r="C6463" s="76" t="s">
        <v>2201</v>
      </c>
      <c r="D6463" s="75" t="s">
        <v>63</v>
      </c>
      <c r="E6463" s="76" t="s">
        <v>64</v>
      </c>
      <c r="F6463" s="76" t="s">
        <v>65</v>
      </c>
      <c r="G6463" s="76" t="s">
        <v>2889</v>
      </c>
      <c r="H6463" s="76"/>
      <c r="I6463" s="77" t="s">
        <v>66</v>
      </c>
      <c r="J6463" s="75" t="s">
        <v>67</v>
      </c>
      <c r="K6463" s="75" t="s">
        <v>2890</v>
      </c>
      <c r="L6463" s="75" t="s">
        <v>68</v>
      </c>
      <c r="M6463" s="75" t="s">
        <v>70</v>
      </c>
      <c r="N6463" s="573">
        <v>22.99</v>
      </c>
      <c r="O6463" s="556" t="str">
        <f t="shared" si="443"/>
        <v>DIF</v>
      </c>
      <c r="P6463" s="573"/>
      <c r="Q6463" s="556"/>
      <c r="R6463" s="582"/>
    </row>
    <row r="6464" ht="38.25" spans="1:18">
      <c r="A6464" s="556">
        <f t="shared" si="444"/>
        <v>0</v>
      </c>
      <c r="B6464" s="557">
        <f t="shared" si="445"/>
        <v>0</v>
      </c>
      <c r="C6464" s="569" t="s">
        <v>2891</v>
      </c>
      <c r="D6464" s="570" t="s">
        <v>2202</v>
      </c>
      <c r="E6464" s="569" t="s">
        <v>77</v>
      </c>
      <c r="F6464" s="569" t="s">
        <v>4771</v>
      </c>
      <c r="G6464" s="569">
        <v>18</v>
      </c>
      <c r="H6464" s="569"/>
      <c r="I6464" s="577" t="s">
        <v>134</v>
      </c>
      <c r="J6464" s="578">
        <v>1</v>
      </c>
      <c r="K6464" s="579"/>
      <c r="L6464" s="579">
        <v>441.05</v>
      </c>
      <c r="M6464" s="579">
        <v>441.05</v>
      </c>
      <c r="N6464" s="573">
        <v>35.17</v>
      </c>
      <c r="O6464" s="556" t="str">
        <f t="shared" si="443"/>
        <v>DIF</v>
      </c>
      <c r="P6464" s="573"/>
      <c r="Q6464" s="556"/>
      <c r="R6464" s="582"/>
    </row>
    <row r="6465" ht="23.85" customHeight="1" spans="1:18">
      <c r="A6465" s="556">
        <f t="shared" si="444"/>
        <v>0</v>
      </c>
      <c r="B6465" s="557">
        <f t="shared" si="445"/>
        <v>0</v>
      </c>
      <c r="C6465" s="100" t="s">
        <v>2893</v>
      </c>
      <c r="D6465" s="99" t="s">
        <v>3108</v>
      </c>
      <c r="E6465" s="100" t="s">
        <v>77</v>
      </c>
      <c r="F6465" s="100" t="s">
        <v>3109</v>
      </c>
      <c r="G6465" s="100" t="s">
        <v>2896</v>
      </c>
      <c r="H6465" s="100"/>
      <c r="I6465" s="101" t="s">
        <v>2897</v>
      </c>
      <c r="J6465" s="580">
        <v>0.6057</v>
      </c>
      <c r="K6465" s="580">
        <v>3</v>
      </c>
      <c r="L6465" s="102">
        <v>19.16</v>
      </c>
      <c r="M6465" s="102">
        <v>11.95</v>
      </c>
      <c r="N6465" s="573">
        <v>59.16</v>
      </c>
      <c r="O6465" s="556" t="str">
        <f t="shared" si="443"/>
        <v>DIF</v>
      </c>
      <c r="P6465" s="573"/>
      <c r="Q6465" s="556"/>
      <c r="R6465" s="582"/>
    </row>
    <row r="6466" ht="23.85" customHeight="1" spans="1:18">
      <c r="A6466" s="556">
        <f t="shared" si="444"/>
        <v>0</v>
      </c>
      <c r="B6466" s="557">
        <f t="shared" si="445"/>
        <v>0</v>
      </c>
      <c r="C6466" s="100" t="s">
        <v>2893</v>
      </c>
      <c r="D6466" s="99" t="s">
        <v>4766</v>
      </c>
      <c r="E6466" s="100" t="s">
        <v>77</v>
      </c>
      <c r="F6466" s="100" t="s">
        <v>4767</v>
      </c>
      <c r="G6466" s="100" t="s">
        <v>2896</v>
      </c>
      <c r="H6466" s="100"/>
      <c r="I6466" s="101" t="s">
        <v>2897</v>
      </c>
      <c r="J6466" s="580">
        <v>0.6057</v>
      </c>
      <c r="K6466" s="580">
        <v>3</v>
      </c>
      <c r="L6466" s="102">
        <v>28.55</v>
      </c>
      <c r="M6466" s="102">
        <v>17.81</v>
      </c>
      <c r="N6466" s="573">
        <v>179.27</v>
      </c>
      <c r="O6466" s="556" t="str">
        <f t="shared" si="443"/>
        <v>DIF</v>
      </c>
      <c r="P6466" s="573"/>
      <c r="Q6466" s="556"/>
      <c r="R6466" s="582"/>
    </row>
    <row r="6467" ht="25.5" spans="1:18">
      <c r="A6467" s="556">
        <f t="shared" si="444"/>
        <v>0</v>
      </c>
      <c r="B6467" s="557">
        <f t="shared" si="445"/>
        <v>0</v>
      </c>
      <c r="C6467" s="100" t="s">
        <v>2893</v>
      </c>
      <c r="D6467" s="99" t="s">
        <v>4772</v>
      </c>
      <c r="E6467" s="100" t="s">
        <v>77</v>
      </c>
      <c r="F6467" s="100" t="s">
        <v>4773</v>
      </c>
      <c r="G6467" s="100">
        <v>0</v>
      </c>
      <c r="H6467" s="100"/>
      <c r="I6467" s="101" t="s">
        <v>134</v>
      </c>
      <c r="J6467" s="580">
        <v>1</v>
      </c>
      <c r="K6467" s="580">
        <v>0</v>
      </c>
      <c r="L6467" s="102">
        <v>411.29</v>
      </c>
      <c r="M6467" s="102">
        <v>411.29</v>
      </c>
      <c r="N6467" s="573">
        <v>104.3</v>
      </c>
      <c r="O6467" s="556" t="str">
        <f t="shared" si="443"/>
        <v>DIF</v>
      </c>
      <c r="P6467" s="573"/>
      <c r="Q6467" s="556"/>
      <c r="R6467" s="582"/>
    </row>
    <row r="6468" ht="25.5" spans="1:18">
      <c r="A6468" s="556">
        <f t="shared" si="444"/>
        <v>0</v>
      </c>
      <c r="B6468" s="557">
        <f t="shared" si="445"/>
        <v>0</v>
      </c>
      <c r="C6468" s="108"/>
      <c r="D6468" s="108"/>
      <c r="E6468" s="108"/>
      <c r="F6468" s="108"/>
      <c r="G6468" s="108"/>
      <c r="H6468" s="108" t="s">
        <v>2898</v>
      </c>
      <c r="I6468" s="581">
        <v>29.76</v>
      </c>
      <c r="J6468" s="108" t="s">
        <v>2899</v>
      </c>
      <c r="K6468" s="581">
        <v>0</v>
      </c>
      <c r="L6468" s="108" t="s">
        <v>2900</v>
      </c>
      <c r="M6468" s="581">
        <v>29.76</v>
      </c>
      <c r="N6468" s="573">
        <v>0.26</v>
      </c>
      <c r="O6468" s="556" t="str">
        <f t="shared" si="443"/>
        <v>DIF</v>
      </c>
      <c r="P6468" s="573"/>
      <c r="Q6468" s="556"/>
      <c r="R6468" s="582"/>
    </row>
    <row r="6469" ht="26.25" spans="1:18">
      <c r="A6469" s="556">
        <f t="shared" si="444"/>
        <v>0</v>
      </c>
      <c r="B6469" s="557">
        <f t="shared" si="445"/>
        <v>0</v>
      </c>
      <c r="C6469" s="108"/>
      <c r="D6469" s="108"/>
      <c r="E6469" s="108"/>
      <c r="F6469" s="108"/>
      <c r="G6469" s="108"/>
      <c r="H6469" s="108" t="s">
        <v>2901</v>
      </c>
      <c r="I6469" s="581">
        <v>112.42</v>
      </c>
      <c r="J6469" s="114"/>
      <c r="K6469" s="114" t="s">
        <v>2902</v>
      </c>
      <c r="L6469" s="108"/>
      <c r="M6469" s="581">
        <v>553.47</v>
      </c>
      <c r="N6469" s="573">
        <v>98.8</v>
      </c>
      <c r="O6469" s="556" t="str">
        <f t="shared" si="443"/>
        <v>DIF</v>
      </c>
      <c r="P6469" s="573"/>
      <c r="Q6469" s="556"/>
      <c r="R6469" s="582"/>
    </row>
    <row r="6470" ht="15" spans="1:18">
      <c r="A6470" s="556"/>
      <c r="B6470" s="557"/>
      <c r="C6470" s="571"/>
      <c r="D6470" s="571"/>
      <c r="E6470" s="571"/>
      <c r="F6470" s="571"/>
      <c r="G6470" s="571"/>
      <c r="H6470" s="571"/>
      <c r="I6470" s="571"/>
      <c r="J6470" s="571"/>
      <c r="K6470" s="571"/>
      <c r="L6470" s="571"/>
      <c r="M6470" s="571"/>
      <c r="N6470" s="573"/>
      <c r="O6470" s="556"/>
      <c r="P6470" s="573"/>
      <c r="Q6470" s="556"/>
      <c r="R6470" s="582"/>
    </row>
    <row r="6471" ht="15" customHeight="1" spans="1:18">
      <c r="A6471" s="556"/>
      <c r="B6471" s="557"/>
      <c r="C6471" s="76" t="s">
        <v>2204</v>
      </c>
      <c r="D6471" s="75" t="s">
        <v>63</v>
      </c>
      <c r="E6471" s="76" t="s">
        <v>64</v>
      </c>
      <c r="F6471" s="76" t="s">
        <v>65</v>
      </c>
      <c r="G6471" s="76" t="s">
        <v>2889</v>
      </c>
      <c r="H6471" s="76"/>
      <c r="I6471" s="77" t="s">
        <v>66</v>
      </c>
      <c r="J6471" s="75" t="s">
        <v>67</v>
      </c>
      <c r="K6471" s="75" t="s">
        <v>2890</v>
      </c>
      <c r="L6471" s="75" t="s">
        <v>68</v>
      </c>
      <c r="M6471" s="75" t="s">
        <v>70</v>
      </c>
      <c r="N6471" s="573"/>
      <c r="O6471" s="556"/>
      <c r="P6471" s="573"/>
      <c r="Q6471" s="556"/>
      <c r="R6471" s="582"/>
    </row>
    <row r="6472" ht="35.05" customHeight="1" spans="1:18">
      <c r="A6472" s="556"/>
      <c r="B6472" s="557" t="str">
        <f>C6471</f>
        <v> 15.2.9 </v>
      </c>
      <c r="C6472" s="569" t="s">
        <v>2891</v>
      </c>
      <c r="D6472" s="570" t="s">
        <v>2205</v>
      </c>
      <c r="E6472" s="569" t="s">
        <v>132</v>
      </c>
      <c r="F6472" s="569" t="s">
        <v>2206</v>
      </c>
      <c r="G6472" s="569" t="s">
        <v>3996</v>
      </c>
      <c r="H6472" s="569"/>
      <c r="I6472" s="577" t="s">
        <v>134</v>
      </c>
      <c r="J6472" s="578">
        <v>1</v>
      </c>
      <c r="K6472" s="579"/>
      <c r="L6472" s="579">
        <v>498.56</v>
      </c>
      <c r="M6472" s="579">
        <v>498.56</v>
      </c>
      <c r="N6472" s="573">
        <v>119.19</v>
      </c>
      <c r="O6472" s="556" t="str">
        <f>IF(N6472=M6472,"OK","DIF")</f>
        <v>DIF</v>
      </c>
      <c r="P6472" s="573"/>
      <c r="Q6472" s="556"/>
      <c r="R6472" s="582"/>
    </row>
    <row r="6473" ht="23.85" customHeight="1" spans="1:18">
      <c r="A6473" s="556" t="str">
        <f>B6473</f>
        <v> 15.2.9 </v>
      </c>
      <c r="B6473" s="557" t="str">
        <f>B6472</f>
        <v> 15.2.9 </v>
      </c>
      <c r="C6473" s="79" t="s">
        <v>2921</v>
      </c>
      <c r="D6473" s="78" t="s">
        <v>2952</v>
      </c>
      <c r="E6473" s="79" t="s">
        <v>139</v>
      </c>
      <c r="F6473" s="79" t="s">
        <v>2953</v>
      </c>
      <c r="G6473" s="79" t="s">
        <v>2928</v>
      </c>
      <c r="H6473" s="79"/>
      <c r="I6473" s="80" t="s">
        <v>2897</v>
      </c>
      <c r="J6473" s="583">
        <v>0.6057</v>
      </c>
      <c r="K6473" s="583">
        <v>0</v>
      </c>
      <c r="L6473" s="92">
        <v>29.15</v>
      </c>
      <c r="M6473" s="92">
        <v>17.65</v>
      </c>
      <c r="N6473" s="573">
        <v>5.19</v>
      </c>
      <c r="O6473" s="556" t="str">
        <f>IF(N6473=M6473,"OK","DIF")</f>
        <v>DIF</v>
      </c>
      <c r="P6473" s="573"/>
      <c r="Q6473" s="556"/>
      <c r="R6473" s="582"/>
    </row>
    <row r="6474" ht="23.85" customHeight="1" spans="1:18">
      <c r="A6474" s="556" t="str">
        <f>B6474</f>
        <v> 15.2.9 </v>
      </c>
      <c r="B6474" s="557" t="str">
        <f>B6473</f>
        <v> 15.2.9 </v>
      </c>
      <c r="C6474" s="79" t="s">
        <v>2921</v>
      </c>
      <c r="D6474" s="78" t="s">
        <v>4721</v>
      </c>
      <c r="E6474" s="79" t="s">
        <v>139</v>
      </c>
      <c r="F6474" s="79" t="s">
        <v>4722</v>
      </c>
      <c r="G6474" s="79" t="s">
        <v>2928</v>
      </c>
      <c r="H6474" s="79"/>
      <c r="I6474" s="80" t="s">
        <v>2897</v>
      </c>
      <c r="J6474" s="583">
        <v>0.6057</v>
      </c>
      <c r="K6474" s="583">
        <v>0</v>
      </c>
      <c r="L6474" s="92">
        <v>47.06</v>
      </c>
      <c r="M6474" s="92">
        <v>28.5</v>
      </c>
      <c r="N6474" s="573">
        <v>114</v>
      </c>
      <c r="O6474" s="556" t="str">
        <f>IF(N6474=M6474,"OK","DIF")</f>
        <v>DIF</v>
      </c>
      <c r="P6474" s="573"/>
      <c r="Q6474" s="556"/>
      <c r="R6474" s="582"/>
    </row>
    <row r="6475" ht="25.5" spans="1:18">
      <c r="A6475" s="556"/>
      <c r="B6475" s="557"/>
      <c r="C6475" s="100" t="s">
        <v>2893</v>
      </c>
      <c r="D6475" s="99" t="s">
        <v>4772</v>
      </c>
      <c r="E6475" s="100" t="s">
        <v>77</v>
      </c>
      <c r="F6475" s="100" t="s">
        <v>4773</v>
      </c>
      <c r="G6475" s="100">
        <v>0</v>
      </c>
      <c r="H6475" s="100"/>
      <c r="I6475" s="101" t="s">
        <v>134</v>
      </c>
      <c r="J6475" s="580">
        <v>1.1</v>
      </c>
      <c r="K6475" s="580">
        <v>0</v>
      </c>
      <c r="L6475" s="102">
        <v>411.29</v>
      </c>
      <c r="M6475" s="102">
        <v>452.41</v>
      </c>
      <c r="N6475" s="573"/>
      <c r="O6475" s="556"/>
      <c r="P6475" s="573"/>
      <c r="Q6475" s="556"/>
      <c r="R6475" s="582"/>
    </row>
    <row r="6476" ht="25.5" spans="1:18">
      <c r="A6476" s="556"/>
      <c r="B6476" s="557"/>
      <c r="C6476" s="108"/>
      <c r="D6476" s="108"/>
      <c r="E6476" s="108"/>
      <c r="F6476" s="108"/>
      <c r="G6476" s="108"/>
      <c r="H6476" s="108" t="s">
        <v>2898</v>
      </c>
      <c r="I6476" s="581">
        <v>34.79</v>
      </c>
      <c r="J6476" s="108" t="s">
        <v>2899</v>
      </c>
      <c r="K6476" s="581">
        <v>0</v>
      </c>
      <c r="L6476" s="108" t="s">
        <v>2900</v>
      </c>
      <c r="M6476" s="581">
        <v>34.79</v>
      </c>
      <c r="N6476" s="573"/>
      <c r="O6476" s="556"/>
      <c r="P6476" s="573"/>
      <c r="Q6476" s="556"/>
      <c r="R6476" s="582"/>
    </row>
    <row r="6477" ht="26.25" spans="1:18">
      <c r="A6477" s="556"/>
      <c r="B6477" s="557">
        <f>C6476</f>
        <v>0</v>
      </c>
      <c r="C6477" s="108"/>
      <c r="D6477" s="108"/>
      <c r="E6477" s="108"/>
      <c r="F6477" s="108"/>
      <c r="G6477" s="108"/>
      <c r="H6477" s="108" t="s">
        <v>2901</v>
      </c>
      <c r="I6477" s="581">
        <v>127.08</v>
      </c>
      <c r="J6477" s="114"/>
      <c r="K6477" s="114" t="s">
        <v>2902</v>
      </c>
      <c r="L6477" s="108"/>
      <c r="M6477" s="581">
        <v>625.64</v>
      </c>
      <c r="N6477" s="573">
        <v>1801.23</v>
      </c>
      <c r="O6477" s="556" t="str">
        <f>IF(N6477=M6477,"OK","DIF")</f>
        <v>DIF</v>
      </c>
      <c r="P6477" s="573"/>
      <c r="Q6477" s="556"/>
      <c r="R6477" s="582"/>
    </row>
    <row r="6478" ht="15" spans="1:18">
      <c r="A6478" s="556">
        <f>B6478</f>
        <v>0</v>
      </c>
      <c r="B6478" s="557">
        <f>B6477</f>
        <v>0</v>
      </c>
      <c r="C6478" s="571"/>
      <c r="D6478" s="571"/>
      <c r="E6478" s="571"/>
      <c r="F6478" s="571"/>
      <c r="G6478" s="571"/>
      <c r="H6478" s="571"/>
      <c r="I6478" s="571"/>
      <c r="J6478" s="571"/>
      <c r="K6478" s="571"/>
      <c r="L6478" s="571"/>
      <c r="M6478" s="571"/>
      <c r="N6478" s="573">
        <v>29.53</v>
      </c>
      <c r="O6478" s="556" t="str">
        <f>IF(N6478=M6478,"OK","DIF")</f>
        <v>DIF</v>
      </c>
      <c r="P6478" s="573"/>
      <c r="Q6478" s="556"/>
      <c r="R6478" s="582"/>
    </row>
    <row r="6479" ht="15" customHeight="1" spans="1:18">
      <c r="A6479" s="556">
        <f>B6479</f>
        <v>0</v>
      </c>
      <c r="B6479" s="557">
        <f>B6478</f>
        <v>0</v>
      </c>
      <c r="C6479" s="76" t="s">
        <v>2207</v>
      </c>
      <c r="D6479" s="75" t="s">
        <v>63</v>
      </c>
      <c r="E6479" s="76" t="s">
        <v>64</v>
      </c>
      <c r="F6479" s="76" t="s">
        <v>65</v>
      </c>
      <c r="G6479" s="76" t="s">
        <v>2889</v>
      </c>
      <c r="H6479" s="76"/>
      <c r="I6479" s="77" t="s">
        <v>66</v>
      </c>
      <c r="J6479" s="75" t="s">
        <v>67</v>
      </c>
      <c r="K6479" s="75" t="s">
        <v>2890</v>
      </c>
      <c r="L6479" s="75" t="s">
        <v>68</v>
      </c>
      <c r="M6479" s="75" t="s">
        <v>70</v>
      </c>
      <c r="N6479" s="573">
        <v>1100</v>
      </c>
      <c r="O6479" s="556" t="str">
        <f>IF(N6479=M6479,"OK","DIF")</f>
        <v>DIF</v>
      </c>
      <c r="P6479" s="573"/>
      <c r="Q6479" s="556"/>
      <c r="R6479" s="582"/>
    </row>
    <row r="6480" ht="35.05" customHeight="1" spans="1:18">
      <c r="A6480" s="556">
        <f>B6480</f>
        <v>0</v>
      </c>
      <c r="B6480" s="557">
        <f>B6479</f>
        <v>0</v>
      </c>
      <c r="C6480" s="569" t="s">
        <v>2891</v>
      </c>
      <c r="D6480" s="570" t="s">
        <v>2208</v>
      </c>
      <c r="E6480" s="569" t="s">
        <v>132</v>
      </c>
      <c r="F6480" s="569" t="s">
        <v>2209</v>
      </c>
      <c r="G6480" s="569" t="s">
        <v>3996</v>
      </c>
      <c r="H6480" s="569"/>
      <c r="I6480" s="577" t="s">
        <v>134</v>
      </c>
      <c r="J6480" s="578">
        <v>1</v>
      </c>
      <c r="K6480" s="579"/>
      <c r="L6480" s="579">
        <v>580.82</v>
      </c>
      <c r="M6480" s="579">
        <v>580.82</v>
      </c>
      <c r="N6480" s="573">
        <v>41.7</v>
      </c>
      <c r="O6480" s="556" t="str">
        <f>IF(N6480=M6480,"OK","DIF")</f>
        <v>DIF</v>
      </c>
      <c r="P6480" s="573"/>
      <c r="Q6480" s="556"/>
      <c r="R6480" s="582"/>
    </row>
    <row r="6481" ht="23.85" customHeight="1" spans="1:18">
      <c r="A6481" s="556">
        <f>B6481</f>
        <v>0</v>
      </c>
      <c r="B6481" s="557">
        <f>B6480</f>
        <v>0</v>
      </c>
      <c r="C6481" s="79" t="s">
        <v>2921</v>
      </c>
      <c r="D6481" s="78" t="s">
        <v>2952</v>
      </c>
      <c r="E6481" s="79" t="s">
        <v>139</v>
      </c>
      <c r="F6481" s="79" t="s">
        <v>2953</v>
      </c>
      <c r="G6481" s="79" t="s">
        <v>2928</v>
      </c>
      <c r="H6481" s="79"/>
      <c r="I6481" s="80" t="s">
        <v>2897</v>
      </c>
      <c r="J6481" s="583">
        <v>0.6057</v>
      </c>
      <c r="K6481" s="583">
        <v>0</v>
      </c>
      <c r="L6481" s="92">
        <v>29.15</v>
      </c>
      <c r="M6481" s="92">
        <v>17.65</v>
      </c>
      <c r="N6481" s="573">
        <v>630</v>
      </c>
      <c r="O6481" s="556" t="str">
        <f>IF(N6481=M6481,"OK","DIF")</f>
        <v>DIF</v>
      </c>
      <c r="P6481" s="573"/>
      <c r="Q6481" s="556"/>
      <c r="R6481" s="582"/>
    </row>
    <row r="6482" ht="23.85" customHeight="1" spans="1:18">
      <c r="A6482" s="556"/>
      <c r="B6482" s="557"/>
      <c r="C6482" s="79" t="s">
        <v>2921</v>
      </c>
      <c r="D6482" s="78" t="s">
        <v>4721</v>
      </c>
      <c r="E6482" s="79" t="s">
        <v>139</v>
      </c>
      <c r="F6482" s="79" t="s">
        <v>4722</v>
      </c>
      <c r="G6482" s="79" t="s">
        <v>2928</v>
      </c>
      <c r="H6482" s="79"/>
      <c r="I6482" s="80" t="s">
        <v>2897</v>
      </c>
      <c r="J6482" s="583">
        <v>0.6057</v>
      </c>
      <c r="K6482" s="583">
        <v>0</v>
      </c>
      <c r="L6482" s="92">
        <v>47.06</v>
      </c>
      <c r="M6482" s="92">
        <v>28.5</v>
      </c>
      <c r="N6482" s="573"/>
      <c r="O6482" s="556"/>
      <c r="P6482" s="573"/>
      <c r="Q6482" s="556"/>
      <c r="R6482" s="582"/>
    </row>
    <row r="6483" ht="25.5" spans="1:18">
      <c r="A6483" s="556"/>
      <c r="B6483" s="557"/>
      <c r="C6483" s="100" t="s">
        <v>2893</v>
      </c>
      <c r="D6483" s="99" t="s">
        <v>4772</v>
      </c>
      <c r="E6483" s="100" t="s">
        <v>77</v>
      </c>
      <c r="F6483" s="100" t="s">
        <v>4773</v>
      </c>
      <c r="G6483" s="100">
        <v>0</v>
      </c>
      <c r="H6483" s="100"/>
      <c r="I6483" s="101" t="s">
        <v>134</v>
      </c>
      <c r="J6483" s="580">
        <v>1.3</v>
      </c>
      <c r="K6483" s="580">
        <v>0</v>
      </c>
      <c r="L6483" s="102">
        <v>411.29</v>
      </c>
      <c r="M6483" s="102">
        <v>534.67</v>
      </c>
      <c r="N6483" s="573"/>
      <c r="O6483" s="556"/>
      <c r="P6483" s="573"/>
      <c r="Q6483" s="556"/>
      <c r="R6483" s="582"/>
    </row>
    <row r="6484" ht="25.5" spans="1:18">
      <c r="A6484" s="556"/>
      <c r="B6484" s="557"/>
      <c r="C6484" s="108"/>
      <c r="D6484" s="108"/>
      <c r="E6484" s="108"/>
      <c r="F6484" s="108"/>
      <c r="G6484" s="108"/>
      <c r="H6484" s="108" t="s">
        <v>2898</v>
      </c>
      <c r="I6484" s="581">
        <v>34.79</v>
      </c>
      <c r="J6484" s="108" t="s">
        <v>2899</v>
      </c>
      <c r="K6484" s="581">
        <v>0</v>
      </c>
      <c r="L6484" s="108" t="s">
        <v>2900</v>
      </c>
      <c r="M6484" s="581">
        <v>34.79</v>
      </c>
      <c r="N6484" s="573"/>
      <c r="O6484" s="556"/>
      <c r="P6484" s="573"/>
      <c r="Q6484" s="556"/>
      <c r="R6484" s="582"/>
    </row>
    <row r="6485" ht="26.25" spans="1:18">
      <c r="A6485" s="556"/>
      <c r="B6485" s="557">
        <f>C6484</f>
        <v>0</v>
      </c>
      <c r="C6485" s="108"/>
      <c r="D6485" s="108"/>
      <c r="E6485" s="108"/>
      <c r="F6485" s="108"/>
      <c r="G6485" s="108"/>
      <c r="H6485" s="108" t="s">
        <v>2901</v>
      </c>
      <c r="I6485" s="581">
        <v>148.05</v>
      </c>
      <c r="J6485" s="114"/>
      <c r="K6485" s="114" t="s">
        <v>2902</v>
      </c>
      <c r="L6485" s="108"/>
      <c r="M6485" s="581">
        <v>728.87</v>
      </c>
      <c r="N6485" s="573">
        <v>3.64</v>
      </c>
      <c r="O6485" s="556" t="str">
        <f>IF(N6485=M6485,"OK","DIF")</f>
        <v>DIF</v>
      </c>
      <c r="P6485" s="573"/>
      <c r="Q6485" s="556"/>
      <c r="R6485" s="582"/>
    </row>
    <row r="6486" ht="15" spans="1:18">
      <c r="A6486" s="556">
        <f>B6486</f>
        <v>0</v>
      </c>
      <c r="B6486" s="557">
        <f>B6485</f>
        <v>0</v>
      </c>
      <c r="C6486" s="571"/>
      <c r="D6486" s="571"/>
      <c r="E6486" s="571"/>
      <c r="F6486" s="571"/>
      <c r="G6486" s="571"/>
      <c r="H6486" s="571"/>
      <c r="I6486" s="571"/>
      <c r="J6486" s="571"/>
      <c r="K6486" s="571"/>
      <c r="L6486" s="571"/>
      <c r="M6486" s="571"/>
      <c r="N6486" s="573">
        <v>2.47</v>
      </c>
      <c r="O6486" s="556" t="str">
        <f>IF(N6486=M6486,"OK","DIF")</f>
        <v>DIF</v>
      </c>
      <c r="P6486" s="573"/>
      <c r="Q6486" s="556"/>
      <c r="R6486" s="582"/>
    </row>
    <row r="6487" ht="15" customHeight="1" spans="1:18">
      <c r="A6487" s="556">
        <f>B6487</f>
        <v>0</v>
      </c>
      <c r="B6487" s="557">
        <f>B6486</f>
        <v>0</v>
      </c>
      <c r="C6487" s="76" t="s">
        <v>2210</v>
      </c>
      <c r="D6487" s="75" t="s">
        <v>63</v>
      </c>
      <c r="E6487" s="76" t="s">
        <v>64</v>
      </c>
      <c r="F6487" s="76" t="s">
        <v>65</v>
      </c>
      <c r="G6487" s="76" t="s">
        <v>2889</v>
      </c>
      <c r="H6487" s="76"/>
      <c r="I6487" s="77" t="s">
        <v>66</v>
      </c>
      <c r="J6487" s="75" t="s">
        <v>67</v>
      </c>
      <c r="K6487" s="75" t="s">
        <v>2890</v>
      </c>
      <c r="L6487" s="75" t="s">
        <v>68</v>
      </c>
      <c r="M6487" s="75" t="s">
        <v>70</v>
      </c>
      <c r="N6487" s="573">
        <v>1.17</v>
      </c>
      <c r="O6487" s="556" t="str">
        <f>IF(N6487=M6487,"OK","DIF")</f>
        <v>DIF</v>
      </c>
      <c r="P6487" s="573"/>
      <c r="Q6487" s="556"/>
      <c r="R6487" s="582"/>
    </row>
    <row r="6488" ht="38.25" spans="1:18">
      <c r="A6488" s="556"/>
      <c r="B6488" s="557"/>
      <c r="C6488" s="569" t="s">
        <v>2891</v>
      </c>
      <c r="D6488" s="570" t="s">
        <v>2211</v>
      </c>
      <c r="E6488" s="569" t="s">
        <v>132</v>
      </c>
      <c r="F6488" s="569" t="s">
        <v>2212</v>
      </c>
      <c r="G6488" s="569">
        <v>112</v>
      </c>
      <c r="H6488" s="569"/>
      <c r="I6488" s="577" t="s">
        <v>134</v>
      </c>
      <c r="J6488" s="578">
        <v>1</v>
      </c>
      <c r="K6488" s="579"/>
      <c r="L6488" s="579">
        <v>1079.69</v>
      </c>
      <c r="M6488" s="579">
        <v>1079.69</v>
      </c>
      <c r="N6488" s="573"/>
      <c r="O6488" s="556"/>
      <c r="P6488" s="573"/>
      <c r="Q6488" s="556"/>
      <c r="R6488" s="582"/>
    </row>
    <row r="6489" ht="23.85" customHeight="1" spans="1:18">
      <c r="A6489" s="556"/>
      <c r="B6489" s="557"/>
      <c r="C6489" s="79" t="s">
        <v>2921</v>
      </c>
      <c r="D6489" s="78" t="s">
        <v>3545</v>
      </c>
      <c r="E6489" s="79" t="s">
        <v>139</v>
      </c>
      <c r="F6489" s="79" t="s">
        <v>3546</v>
      </c>
      <c r="G6489" s="79" t="s">
        <v>2928</v>
      </c>
      <c r="H6489" s="79"/>
      <c r="I6489" s="80" t="s">
        <v>2897</v>
      </c>
      <c r="J6489" s="583">
        <v>2.764</v>
      </c>
      <c r="K6489" s="583">
        <v>0</v>
      </c>
      <c r="L6489" s="92">
        <v>36.71</v>
      </c>
      <c r="M6489" s="92">
        <v>101.46</v>
      </c>
      <c r="N6489" s="573"/>
      <c r="O6489" s="556"/>
      <c r="P6489" s="573"/>
      <c r="Q6489" s="556"/>
      <c r="R6489" s="582"/>
    </row>
    <row r="6490" ht="23.85" customHeight="1" spans="1:18">
      <c r="A6490" s="556"/>
      <c r="B6490" s="557" t="str">
        <f>C6489</f>
        <v>Composição Auxiliar</v>
      </c>
      <c r="C6490" s="79" t="s">
        <v>2921</v>
      </c>
      <c r="D6490" s="78" t="s">
        <v>3543</v>
      </c>
      <c r="E6490" s="79" t="s">
        <v>139</v>
      </c>
      <c r="F6490" s="79" t="s">
        <v>3544</v>
      </c>
      <c r="G6490" s="79" t="s">
        <v>2928</v>
      </c>
      <c r="H6490" s="79"/>
      <c r="I6490" s="80" t="s">
        <v>2897</v>
      </c>
      <c r="J6490" s="583">
        <v>2.764</v>
      </c>
      <c r="K6490" s="583">
        <v>0</v>
      </c>
      <c r="L6490" s="92">
        <v>30.06</v>
      </c>
      <c r="M6490" s="92">
        <v>83.08</v>
      </c>
      <c r="N6490" s="573">
        <v>9.33</v>
      </c>
      <c r="O6490" s="556" t="str">
        <f>IF(N6490=M6490,"OK","DIF")</f>
        <v>DIF</v>
      </c>
      <c r="P6490" s="573"/>
      <c r="Q6490" s="556"/>
      <c r="R6490" s="582"/>
    </row>
    <row r="6491" ht="23.85" customHeight="1" spans="1:18">
      <c r="A6491" s="556" t="str">
        <f>B6491</f>
        <v>Composição Auxiliar</v>
      </c>
      <c r="B6491" s="557" t="str">
        <f>B6490</f>
        <v>Composição Auxiliar</v>
      </c>
      <c r="C6491" s="100" t="s">
        <v>2893</v>
      </c>
      <c r="D6491" s="99" t="s">
        <v>4774</v>
      </c>
      <c r="E6491" s="100" t="s">
        <v>132</v>
      </c>
      <c r="F6491" s="100" t="s">
        <v>4775</v>
      </c>
      <c r="G6491" s="100" t="s">
        <v>2961</v>
      </c>
      <c r="H6491" s="100"/>
      <c r="I6491" s="101" t="s">
        <v>134</v>
      </c>
      <c r="J6491" s="580">
        <v>1</v>
      </c>
      <c r="K6491" s="580">
        <v>0</v>
      </c>
      <c r="L6491" s="102">
        <v>895.15</v>
      </c>
      <c r="M6491" s="102">
        <v>895.15</v>
      </c>
      <c r="N6491" s="573">
        <v>6.45</v>
      </c>
      <c r="O6491" s="556" t="str">
        <f>IF(N6491=M6491,"OK","DIF")</f>
        <v>DIF</v>
      </c>
      <c r="P6491" s="573"/>
      <c r="Q6491" s="556"/>
      <c r="R6491" s="582"/>
    </row>
    <row r="6492" ht="25.5" spans="1:18">
      <c r="A6492" s="556" t="str">
        <f>B6492</f>
        <v>Composição Auxiliar</v>
      </c>
      <c r="B6492" s="557" t="str">
        <f>B6491</f>
        <v>Composição Auxiliar</v>
      </c>
      <c r="C6492" s="108"/>
      <c r="D6492" s="108"/>
      <c r="E6492" s="108"/>
      <c r="F6492" s="108"/>
      <c r="G6492" s="108"/>
      <c r="H6492" s="108" t="s">
        <v>2898</v>
      </c>
      <c r="I6492" s="581">
        <v>129.16</v>
      </c>
      <c r="J6492" s="108" t="s">
        <v>2899</v>
      </c>
      <c r="K6492" s="581">
        <v>0</v>
      </c>
      <c r="L6492" s="108" t="s">
        <v>2900</v>
      </c>
      <c r="M6492" s="581">
        <v>129.16</v>
      </c>
      <c r="N6492" s="573">
        <v>2.88</v>
      </c>
      <c r="O6492" s="556" t="str">
        <f>IF(N6492=M6492,"OK","DIF")</f>
        <v>DIF</v>
      </c>
      <c r="P6492" s="573"/>
      <c r="Q6492" s="556"/>
      <c r="R6492" s="582"/>
    </row>
    <row r="6493" ht="26.25" spans="1:18">
      <c r="A6493" s="556"/>
      <c r="B6493" s="557"/>
      <c r="C6493" s="108"/>
      <c r="D6493" s="108"/>
      <c r="E6493" s="108"/>
      <c r="F6493" s="108"/>
      <c r="G6493" s="108"/>
      <c r="H6493" s="108" t="s">
        <v>2901</v>
      </c>
      <c r="I6493" s="581">
        <v>275.21</v>
      </c>
      <c r="J6493" s="114"/>
      <c r="K6493" s="114" t="s">
        <v>2902</v>
      </c>
      <c r="L6493" s="108"/>
      <c r="M6493" s="581">
        <v>1354.9</v>
      </c>
      <c r="N6493" s="573"/>
      <c r="O6493" s="556"/>
      <c r="P6493" s="573"/>
      <c r="Q6493" s="556"/>
      <c r="R6493" s="582"/>
    </row>
    <row r="6494" ht="15" spans="1:18">
      <c r="A6494" s="556"/>
      <c r="B6494" s="557"/>
      <c r="C6494" s="571"/>
      <c r="D6494" s="571"/>
      <c r="E6494" s="571"/>
      <c r="F6494" s="571"/>
      <c r="G6494" s="571"/>
      <c r="H6494" s="571"/>
      <c r="I6494" s="571"/>
      <c r="J6494" s="571"/>
      <c r="K6494" s="571"/>
      <c r="L6494" s="571"/>
      <c r="M6494" s="571"/>
      <c r="N6494" s="573"/>
      <c r="O6494" s="556"/>
      <c r="P6494" s="573"/>
      <c r="Q6494" s="556"/>
      <c r="R6494" s="582"/>
    </row>
    <row r="6495" ht="15" customHeight="1" spans="1:18">
      <c r="A6495" s="556"/>
      <c r="B6495" s="557">
        <f>C6494</f>
        <v>0</v>
      </c>
      <c r="C6495" s="76" t="s">
        <v>2213</v>
      </c>
      <c r="D6495" s="75" t="s">
        <v>63</v>
      </c>
      <c r="E6495" s="76" t="s">
        <v>64</v>
      </c>
      <c r="F6495" s="76" t="s">
        <v>65</v>
      </c>
      <c r="G6495" s="76" t="s">
        <v>2889</v>
      </c>
      <c r="H6495" s="76"/>
      <c r="I6495" s="77" t="s">
        <v>66</v>
      </c>
      <c r="J6495" s="75" t="s">
        <v>67</v>
      </c>
      <c r="K6495" s="75" t="s">
        <v>2890</v>
      </c>
      <c r="L6495" s="75" t="s">
        <v>68</v>
      </c>
      <c r="M6495" s="75" t="s">
        <v>70</v>
      </c>
      <c r="N6495" s="573">
        <v>4.33</v>
      </c>
      <c r="O6495" s="556" t="str">
        <f>IF(N6495=M6495,"OK","DIF")</f>
        <v>DIF</v>
      </c>
      <c r="P6495" s="573"/>
      <c r="Q6495" s="556"/>
      <c r="R6495" s="582"/>
    </row>
    <row r="6496" ht="38.25" spans="1:18">
      <c r="A6496" s="556">
        <f>B6496</f>
        <v>0</v>
      </c>
      <c r="B6496" s="557">
        <f>B6495</f>
        <v>0</v>
      </c>
      <c r="C6496" s="569" t="s">
        <v>2891</v>
      </c>
      <c r="D6496" s="570" t="s">
        <v>2214</v>
      </c>
      <c r="E6496" s="569" t="s">
        <v>132</v>
      </c>
      <c r="F6496" s="569" t="s">
        <v>2215</v>
      </c>
      <c r="G6496" s="569">
        <v>111</v>
      </c>
      <c r="H6496" s="569"/>
      <c r="I6496" s="577" t="s">
        <v>134</v>
      </c>
      <c r="J6496" s="578">
        <v>1</v>
      </c>
      <c r="K6496" s="579"/>
      <c r="L6496" s="579">
        <v>42.28</v>
      </c>
      <c r="M6496" s="579">
        <v>42.28</v>
      </c>
      <c r="N6496" s="573">
        <v>2.99</v>
      </c>
      <c r="O6496" s="556" t="str">
        <f>IF(N6496=M6496,"OK","DIF")</f>
        <v>DIF</v>
      </c>
      <c r="P6496" s="573"/>
      <c r="Q6496" s="556"/>
      <c r="R6496" s="582"/>
    </row>
    <row r="6497" ht="23.85" customHeight="1" spans="1:18">
      <c r="A6497" s="556">
        <f>B6497</f>
        <v>0</v>
      </c>
      <c r="B6497" s="557">
        <f>B6496</f>
        <v>0</v>
      </c>
      <c r="C6497" s="79" t="s">
        <v>2921</v>
      </c>
      <c r="D6497" s="78" t="s">
        <v>3543</v>
      </c>
      <c r="E6497" s="79" t="s">
        <v>139</v>
      </c>
      <c r="F6497" s="79" t="s">
        <v>3544</v>
      </c>
      <c r="G6497" s="79" t="s">
        <v>2928</v>
      </c>
      <c r="H6497" s="79"/>
      <c r="I6497" s="80" t="s">
        <v>2897</v>
      </c>
      <c r="J6497" s="583">
        <v>0.18</v>
      </c>
      <c r="K6497" s="583">
        <v>0</v>
      </c>
      <c r="L6497" s="92">
        <v>30.06</v>
      </c>
      <c r="M6497" s="92">
        <v>5.41</v>
      </c>
      <c r="N6497" s="573">
        <v>1.34</v>
      </c>
      <c r="O6497" s="556" t="str">
        <f>IF(N6497=M6497,"OK","DIF")</f>
        <v>DIF</v>
      </c>
      <c r="P6497" s="573"/>
      <c r="Q6497" s="556"/>
      <c r="R6497" s="582"/>
    </row>
    <row r="6498" ht="23.85" customHeight="1" spans="1:18">
      <c r="A6498" s="556"/>
      <c r="B6498" s="557"/>
      <c r="C6498" s="79" t="s">
        <v>2921</v>
      </c>
      <c r="D6498" s="78" t="s">
        <v>3545</v>
      </c>
      <c r="E6498" s="79" t="s">
        <v>139</v>
      </c>
      <c r="F6498" s="79" t="s">
        <v>3546</v>
      </c>
      <c r="G6498" s="79" t="s">
        <v>2928</v>
      </c>
      <c r="H6498" s="79"/>
      <c r="I6498" s="80" t="s">
        <v>2897</v>
      </c>
      <c r="J6498" s="583">
        <v>0.18</v>
      </c>
      <c r="K6498" s="583">
        <v>0</v>
      </c>
      <c r="L6498" s="92">
        <v>36.71</v>
      </c>
      <c r="M6498" s="92">
        <v>6.6</v>
      </c>
      <c r="N6498" s="573"/>
      <c r="O6498" s="556"/>
      <c r="P6498" s="573"/>
      <c r="Q6498" s="556"/>
      <c r="R6498" s="582"/>
    </row>
    <row r="6499" ht="23.85" customHeight="1" spans="1:18">
      <c r="A6499" s="556"/>
      <c r="B6499" s="557"/>
      <c r="C6499" s="100" t="s">
        <v>2893</v>
      </c>
      <c r="D6499" s="99" t="s">
        <v>4776</v>
      </c>
      <c r="E6499" s="100" t="s">
        <v>132</v>
      </c>
      <c r="F6499" s="100" t="s">
        <v>4777</v>
      </c>
      <c r="G6499" s="100" t="s">
        <v>2961</v>
      </c>
      <c r="H6499" s="100"/>
      <c r="I6499" s="101" t="s">
        <v>134</v>
      </c>
      <c r="J6499" s="580">
        <v>1</v>
      </c>
      <c r="K6499" s="580">
        <v>0</v>
      </c>
      <c r="L6499" s="102">
        <v>30.27</v>
      </c>
      <c r="M6499" s="102">
        <v>30.27</v>
      </c>
      <c r="N6499" s="573"/>
      <c r="O6499" s="556"/>
      <c r="P6499" s="573"/>
      <c r="Q6499" s="556"/>
      <c r="R6499" s="582"/>
    </row>
    <row r="6500" ht="25.5" spans="1:18">
      <c r="A6500" s="556"/>
      <c r="B6500" s="557" t="str">
        <f>C6499</f>
        <v>Insumo</v>
      </c>
      <c r="C6500" s="108"/>
      <c r="D6500" s="108"/>
      <c r="E6500" s="108"/>
      <c r="F6500" s="108"/>
      <c r="G6500" s="108"/>
      <c r="H6500" s="108" t="s">
        <v>2898</v>
      </c>
      <c r="I6500" s="581">
        <v>8.4</v>
      </c>
      <c r="J6500" s="108" t="s">
        <v>2899</v>
      </c>
      <c r="K6500" s="581">
        <v>0</v>
      </c>
      <c r="L6500" s="108" t="s">
        <v>2900</v>
      </c>
      <c r="M6500" s="581">
        <v>8.4</v>
      </c>
      <c r="N6500" s="573">
        <v>11.59</v>
      </c>
      <c r="O6500" s="556" t="str">
        <f>IF(N6500=M6500,"OK","DIF")</f>
        <v>DIF</v>
      </c>
      <c r="P6500" s="573"/>
      <c r="Q6500" s="556"/>
      <c r="R6500" s="582"/>
    </row>
    <row r="6501" ht="26.25" spans="1:18">
      <c r="A6501" s="556" t="str">
        <f>B6501</f>
        <v>Insumo</v>
      </c>
      <c r="B6501" s="557" t="str">
        <f>B6500</f>
        <v>Insumo</v>
      </c>
      <c r="C6501" s="108"/>
      <c r="D6501" s="108"/>
      <c r="E6501" s="108"/>
      <c r="F6501" s="108"/>
      <c r="G6501" s="108"/>
      <c r="H6501" s="108" t="s">
        <v>2901</v>
      </c>
      <c r="I6501" s="581">
        <v>10.77</v>
      </c>
      <c r="J6501" s="114"/>
      <c r="K6501" s="114" t="s">
        <v>2902</v>
      </c>
      <c r="L6501" s="108"/>
      <c r="M6501" s="581">
        <v>53.05</v>
      </c>
      <c r="N6501" s="573">
        <v>7.97</v>
      </c>
      <c r="O6501" s="556" t="str">
        <f>IF(N6501=M6501,"OK","DIF")</f>
        <v>DIF</v>
      </c>
      <c r="P6501" s="573"/>
      <c r="Q6501" s="556"/>
      <c r="R6501" s="582"/>
    </row>
    <row r="6502" ht="15" spans="1:18">
      <c r="A6502" s="556" t="str">
        <f>B6502</f>
        <v>Insumo</v>
      </c>
      <c r="B6502" s="557" t="str">
        <f>B6501</f>
        <v>Insumo</v>
      </c>
      <c r="C6502" s="571"/>
      <c r="D6502" s="571"/>
      <c r="E6502" s="571"/>
      <c r="F6502" s="571"/>
      <c r="G6502" s="571"/>
      <c r="H6502" s="571"/>
      <c r="I6502" s="571"/>
      <c r="J6502" s="571"/>
      <c r="K6502" s="571"/>
      <c r="L6502" s="571"/>
      <c r="M6502" s="571"/>
      <c r="N6502" s="573">
        <v>3.62</v>
      </c>
      <c r="O6502" s="556" t="str">
        <f>IF(N6502=M6502,"OK","DIF")</f>
        <v>DIF</v>
      </c>
      <c r="P6502" s="573"/>
      <c r="Q6502" s="556"/>
      <c r="R6502" s="582"/>
    </row>
    <row r="6503" ht="15" customHeight="1" spans="1:18">
      <c r="A6503" s="556"/>
      <c r="B6503" s="557"/>
      <c r="C6503" s="76" t="s">
        <v>2216</v>
      </c>
      <c r="D6503" s="75" t="s">
        <v>63</v>
      </c>
      <c r="E6503" s="76" t="s">
        <v>64</v>
      </c>
      <c r="F6503" s="76" t="s">
        <v>65</v>
      </c>
      <c r="G6503" s="76" t="s">
        <v>2889</v>
      </c>
      <c r="H6503" s="76"/>
      <c r="I6503" s="77" t="s">
        <v>66</v>
      </c>
      <c r="J6503" s="75" t="s">
        <v>67</v>
      </c>
      <c r="K6503" s="75" t="s">
        <v>2890</v>
      </c>
      <c r="L6503" s="75" t="s">
        <v>68</v>
      </c>
      <c r="M6503" s="75" t="s">
        <v>70</v>
      </c>
      <c r="N6503" s="573"/>
      <c r="O6503" s="556"/>
      <c r="P6503" s="573"/>
      <c r="Q6503" s="556"/>
      <c r="R6503" s="582"/>
    </row>
    <row r="6504" ht="51" spans="1:18">
      <c r="A6504" s="556"/>
      <c r="B6504" s="557"/>
      <c r="C6504" s="569" t="s">
        <v>2891</v>
      </c>
      <c r="D6504" s="570" t="s">
        <v>2217</v>
      </c>
      <c r="E6504" s="569" t="s">
        <v>132</v>
      </c>
      <c r="F6504" s="569" t="s">
        <v>2218</v>
      </c>
      <c r="G6504" s="569">
        <v>70</v>
      </c>
      <c r="H6504" s="569"/>
      <c r="I6504" s="577" t="s">
        <v>134</v>
      </c>
      <c r="J6504" s="578">
        <v>1</v>
      </c>
      <c r="K6504" s="579"/>
      <c r="L6504" s="579">
        <v>13966.52</v>
      </c>
      <c r="M6504" s="579">
        <v>13966.52</v>
      </c>
      <c r="N6504" s="573"/>
      <c r="O6504" s="556"/>
      <c r="P6504" s="573"/>
      <c r="Q6504" s="556"/>
      <c r="R6504" s="582"/>
    </row>
    <row r="6505" ht="23.85" customHeight="1" spans="1:18">
      <c r="A6505" s="556"/>
      <c r="B6505" s="557" t="str">
        <f>C6504</f>
        <v>Composição</v>
      </c>
      <c r="C6505" s="79" t="s">
        <v>2921</v>
      </c>
      <c r="D6505" s="78" t="s">
        <v>3487</v>
      </c>
      <c r="E6505" s="79" t="s">
        <v>139</v>
      </c>
      <c r="F6505" s="79" t="s">
        <v>3488</v>
      </c>
      <c r="G6505" s="79" t="s">
        <v>2928</v>
      </c>
      <c r="H6505" s="79"/>
      <c r="I6505" s="80" t="s">
        <v>2897</v>
      </c>
      <c r="J6505" s="583">
        <v>2.3</v>
      </c>
      <c r="K6505" s="583">
        <v>0</v>
      </c>
      <c r="L6505" s="92">
        <v>30.31</v>
      </c>
      <c r="M6505" s="92">
        <v>69.71</v>
      </c>
      <c r="N6505" s="573">
        <v>130.76</v>
      </c>
      <c r="O6505" s="556" t="str">
        <f t="shared" ref="O6505:O6511" si="446">IF(N6505=M6505,"OK","DIF")</f>
        <v>DIF</v>
      </c>
      <c r="P6505" s="573"/>
      <c r="Q6505" s="556"/>
      <c r="R6505" s="582"/>
    </row>
    <row r="6506" ht="23.85" customHeight="1" spans="1:18">
      <c r="A6506" s="556" t="str">
        <f t="shared" ref="A6506:A6511" si="447">B6506</f>
        <v>Composição</v>
      </c>
      <c r="B6506" s="557" t="str">
        <f t="shared" ref="B6506:B6511" si="448">B6505</f>
        <v>Composição</v>
      </c>
      <c r="C6506" s="79" t="s">
        <v>2921</v>
      </c>
      <c r="D6506" s="78" t="s">
        <v>4215</v>
      </c>
      <c r="E6506" s="79" t="s">
        <v>139</v>
      </c>
      <c r="F6506" s="79" t="s">
        <v>4216</v>
      </c>
      <c r="G6506" s="79" t="s">
        <v>2928</v>
      </c>
      <c r="H6506" s="79"/>
      <c r="I6506" s="80" t="s">
        <v>2897</v>
      </c>
      <c r="J6506" s="583">
        <v>2.3</v>
      </c>
      <c r="K6506" s="583">
        <v>0</v>
      </c>
      <c r="L6506" s="92">
        <v>33.34</v>
      </c>
      <c r="M6506" s="92">
        <v>76.68</v>
      </c>
      <c r="N6506" s="573">
        <v>30.15</v>
      </c>
      <c r="O6506" s="556" t="str">
        <f t="shared" si="446"/>
        <v>DIF</v>
      </c>
      <c r="P6506" s="573"/>
      <c r="Q6506" s="556"/>
      <c r="R6506" s="582"/>
    </row>
    <row r="6507" ht="35.05" customHeight="1" spans="1:18">
      <c r="A6507" s="556" t="str">
        <f t="shared" si="447"/>
        <v>Composição</v>
      </c>
      <c r="B6507" s="557" t="str">
        <f t="shared" si="448"/>
        <v>Composição</v>
      </c>
      <c r="C6507" s="100" t="s">
        <v>2893</v>
      </c>
      <c r="D6507" s="99" t="s">
        <v>4778</v>
      </c>
      <c r="E6507" s="100" t="s">
        <v>132</v>
      </c>
      <c r="F6507" s="100" t="s">
        <v>4779</v>
      </c>
      <c r="G6507" s="100" t="s">
        <v>2961</v>
      </c>
      <c r="H6507" s="100"/>
      <c r="I6507" s="101" t="s">
        <v>134</v>
      </c>
      <c r="J6507" s="580">
        <v>1</v>
      </c>
      <c r="K6507" s="580">
        <v>0</v>
      </c>
      <c r="L6507" s="102">
        <v>13820.13</v>
      </c>
      <c r="M6507" s="102">
        <v>13820.13</v>
      </c>
      <c r="N6507" s="573">
        <v>37.19</v>
      </c>
      <c r="O6507" s="556" t="str">
        <f t="shared" si="446"/>
        <v>DIF</v>
      </c>
      <c r="P6507" s="573"/>
      <c r="Q6507" s="556"/>
      <c r="R6507" s="582"/>
    </row>
    <row r="6508" ht="25.5" spans="1:18">
      <c r="A6508" s="556" t="str">
        <f t="shared" si="447"/>
        <v>Composição</v>
      </c>
      <c r="B6508" s="557" t="str">
        <f t="shared" si="448"/>
        <v>Composição</v>
      </c>
      <c r="C6508" s="108"/>
      <c r="D6508" s="108"/>
      <c r="E6508" s="108"/>
      <c r="F6508" s="108"/>
      <c r="G6508" s="108"/>
      <c r="H6508" s="108" t="s">
        <v>2898</v>
      </c>
      <c r="I6508" s="581">
        <v>100.43</v>
      </c>
      <c r="J6508" s="108" t="s">
        <v>2899</v>
      </c>
      <c r="K6508" s="581">
        <v>0</v>
      </c>
      <c r="L6508" s="108" t="s">
        <v>2900</v>
      </c>
      <c r="M6508" s="581">
        <v>100.43</v>
      </c>
      <c r="N6508" s="573">
        <v>7.79</v>
      </c>
      <c r="O6508" s="556" t="str">
        <f t="shared" si="446"/>
        <v>DIF</v>
      </c>
      <c r="P6508" s="573"/>
      <c r="Q6508" s="556"/>
      <c r="R6508" s="582"/>
    </row>
    <row r="6509" ht="26.25" spans="1:18">
      <c r="A6509" s="556" t="str">
        <f t="shared" si="447"/>
        <v>Composição</v>
      </c>
      <c r="B6509" s="557" t="str">
        <f t="shared" si="448"/>
        <v>Composição</v>
      </c>
      <c r="C6509" s="108"/>
      <c r="D6509" s="108"/>
      <c r="E6509" s="108"/>
      <c r="F6509" s="108"/>
      <c r="G6509" s="108"/>
      <c r="H6509" s="108" t="s">
        <v>2901</v>
      </c>
      <c r="I6509" s="581">
        <v>2251.4</v>
      </c>
      <c r="J6509" s="114"/>
      <c r="K6509" s="114" t="s">
        <v>2902</v>
      </c>
      <c r="L6509" s="108"/>
      <c r="M6509" s="581">
        <v>16217.92</v>
      </c>
      <c r="N6509" s="573">
        <v>2.41</v>
      </c>
      <c r="O6509" s="556" t="str">
        <f t="shared" si="446"/>
        <v>DIF</v>
      </c>
      <c r="P6509" s="573"/>
      <c r="Q6509" s="556"/>
      <c r="R6509" s="582"/>
    </row>
    <row r="6510" ht="15" spans="1:18">
      <c r="A6510" s="556" t="str">
        <f t="shared" si="447"/>
        <v>Composição</v>
      </c>
      <c r="B6510" s="557" t="str">
        <f t="shared" si="448"/>
        <v>Composição</v>
      </c>
      <c r="C6510" s="571"/>
      <c r="D6510" s="571"/>
      <c r="E6510" s="571"/>
      <c r="F6510" s="571"/>
      <c r="G6510" s="571"/>
      <c r="H6510" s="571"/>
      <c r="I6510" s="571"/>
      <c r="J6510" s="571"/>
      <c r="K6510" s="571"/>
      <c r="L6510" s="571"/>
      <c r="M6510" s="571"/>
      <c r="N6510" s="573">
        <v>11.62</v>
      </c>
      <c r="O6510" s="556" t="str">
        <f t="shared" si="446"/>
        <v>DIF</v>
      </c>
      <c r="P6510" s="573"/>
      <c r="Q6510" s="556"/>
      <c r="R6510" s="582"/>
    </row>
    <row r="6511" ht="15" customHeight="1" spans="1:18">
      <c r="A6511" s="556" t="str">
        <f t="shared" si="447"/>
        <v>Composição</v>
      </c>
      <c r="B6511" s="557" t="str">
        <f t="shared" si="448"/>
        <v>Composição</v>
      </c>
      <c r="C6511" s="76" t="s">
        <v>2220</v>
      </c>
      <c r="D6511" s="75" t="s">
        <v>63</v>
      </c>
      <c r="E6511" s="76" t="s">
        <v>64</v>
      </c>
      <c r="F6511" s="76" t="s">
        <v>65</v>
      </c>
      <c r="G6511" s="76" t="s">
        <v>2889</v>
      </c>
      <c r="H6511" s="76"/>
      <c r="I6511" s="77" t="s">
        <v>66</v>
      </c>
      <c r="J6511" s="75" t="s">
        <v>67</v>
      </c>
      <c r="K6511" s="75" t="s">
        <v>2890</v>
      </c>
      <c r="L6511" s="75" t="s">
        <v>68</v>
      </c>
      <c r="M6511" s="75" t="s">
        <v>70</v>
      </c>
      <c r="N6511" s="573">
        <v>41.6</v>
      </c>
      <c r="O6511" s="556" t="str">
        <f t="shared" si="446"/>
        <v>DIF</v>
      </c>
      <c r="P6511" s="573"/>
      <c r="Q6511" s="556"/>
      <c r="R6511" s="582"/>
    </row>
    <row r="6512" ht="51" spans="1:18">
      <c r="A6512" s="556"/>
      <c r="B6512" s="557"/>
      <c r="C6512" s="569" t="s">
        <v>2891</v>
      </c>
      <c r="D6512" s="570" t="s">
        <v>2221</v>
      </c>
      <c r="E6512" s="569" t="s">
        <v>132</v>
      </c>
      <c r="F6512" s="569" t="s">
        <v>2222</v>
      </c>
      <c r="G6512" s="569">
        <v>70</v>
      </c>
      <c r="H6512" s="569"/>
      <c r="I6512" s="577" t="s">
        <v>134</v>
      </c>
      <c r="J6512" s="578">
        <v>1</v>
      </c>
      <c r="K6512" s="579"/>
      <c r="L6512" s="579">
        <v>15517.25</v>
      </c>
      <c r="M6512" s="579">
        <v>15517.25</v>
      </c>
      <c r="N6512" s="573"/>
      <c r="O6512" s="556"/>
      <c r="P6512" s="573"/>
      <c r="Q6512" s="556"/>
      <c r="R6512" s="582"/>
    </row>
    <row r="6513" ht="23.85" customHeight="1" spans="1:18">
      <c r="A6513" s="556"/>
      <c r="B6513" s="557"/>
      <c r="C6513" s="79" t="s">
        <v>2921</v>
      </c>
      <c r="D6513" s="78" t="s">
        <v>3487</v>
      </c>
      <c r="E6513" s="79" t="s">
        <v>139</v>
      </c>
      <c r="F6513" s="79" t="s">
        <v>3488</v>
      </c>
      <c r="G6513" s="79" t="s">
        <v>2928</v>
      </c>
      <c r="H6513" s="79"/>
      <c r="I6513" s="80" t="s">
        <v>2897</v>
      </c>
      <c r="J6513" s="583">
        <v>2.3</v>
      </c>
      <c r="K6513" s="583">
        <v>0</v>
      </c>
      <c r="L6513" s="92">
        <v>30.31</v>
      </c>
      <c r="M6513" s="92">
        <v>69.71</v>
      </c>
      <c r="N6513" s="573"/>
      <c r="O6513" s="556"/>
      <c r="P6513" s="573"/>
      <c r="Q6513" s="556"/>
      <c r="R6513" s="582"/>
    </row>
    <row r="6514" ht="23.85" customHeight="1" spans="1:18">
      <c r="A6514" s="556"/>
      <c r="B6514" s="557" t="str">
        <f>C6513</f>
        <v>Composição Auxiliar</v>
      </c>
      <c r="C6514" s="79" t="s">
        <v>2921</v>
      </c>
      <c r="D6514" s="78" t="s">
        <v>4215</v>
      </c>
      <c r="E6514" s="79" t="s">
        <v>139</v>
      </c>
      <c r="F6514" s="79" t="s">
        <v>4216</v>
      </c>
      <c r="G6514" s="79" t="s">
        <v>2928</v>
      </c>
      <c r="H6514" s="79"/>
      <c r="I6514" s="80" t="s">
        <v>2897</v>
      </c>
      <c r="J6514" s="583">
        <v>2.3</v>
      </c>
      <c r="K6514" s="583">
        <v>0</v>
      </c>
      <c r="L6514" s="92">
        <v>33.34</v>
      </c>
      <c r="M6514" s="92">
        <v>76.68</v>
      </c>
      <c r="N6514" s="573">
        <v>0.76</v>
      </c>
      <c r="O6514" s="556" t="str">
        <f>IF(N6514=M6514,"OK","DIF")</f>
        <v>DIF</v>
      </c>
      <c r="P6514" s="573"/>
      <c r="Q6514" s="556"/>
      <c r="R6514" s="582"/>
    </row>
    <row r="6515" ht="35.05" customHeight="1" spans="1:18">
      <c r="A6515" s="556" t="str">
        <f>B6515</f>
        <v>Composição Auxiliar</v>
      </c>
      <c r="B6515" s="557" t="str">
        <f>B6514</f>
        <v>Composição Auxiliar</v>
      </c>
      <c r="C6515" s="100" t="s">
        <v>2893</v>
      </c>
      <c r="D6515" s="99" t="s">
        <v>4780</v>
      </c>
      <c r="E6515" s="100" t="s">
        <v>132</v>
      </c>
      <c r="F6515" s="100" t="s">
        <v>4781</v>
      </c>
      <c r="G6515" s="100" t="s">
        <v>2961</v>
      </c>
      <c r="H6515" s="100"/>
      <c r="I6515" s="101" t="s">
        <v>134</v>
      </c>
      <c r="J6515" s="580">
        <v>1</v>
      </c>
      <c r="K6515" s="580">
        <v>0</v>
      </c>
      <c r="L6515" s="102">
        <v>15370.86</v>
      </c>
      <c r="M6515" s="102">
        <v>15370.86</v>
      </c>
      <c r="N6515" s="573">
        <v>0.38</v>
      </c>
      <c r="O6515" s="556" t="str">
        <f>IF(N6515=M6515,"OK","DIF")</f>
        <v>DIF</v>
      </c>
      <c r="P6515" s="573"/>
      <c r="Q6515" s="556"/>
      <c r="R6515" s="582"/>
    </row>
    <row r="6516" ht="25.5" spans="1:18">
      <c r="A6516" s="556" t="str">
        <f>B6516</f>
        <v>Composição Auxiliar</v>
      </c>
      <c r="B6516" s="557" t="str">
        <f>B6515</f>
        <v>Composição Auxiliar</v>
      </c>
      <c r="C6516" s="108"/>
      <c r="D6516" s="108"/>
      <c r="E6516" s="108"/>
      <c r="F6516" s="108"/>
      <c r="G6516" s="108"/>
      <c r="H6516" s="108" t="s">
        <v>2898</v>
      </c>
      <c r="I6516" s="581">
        <v>100.43</v>
      </c>
      <c r="J6516" s="108" t="s">
        <v>2899</v>
      </c>
      <c r="K6516" s="581">
        <v>0</v>
      </c>
      <c r="L6516" s="108" t="s">
        <v>2900</v>
      </c>
      <c r="M6516" s="581">
        <v>100.43</v>
      </c>
      <c r="N6516" s="573">
        <v>0.26</v>
      </c>
      <c r="O6516" s="556" t="str">
        <f>IF(N6516=M6516,"OK","DIF")</f>
        <v>DIF</v>
      </c>
      <c r="P6516" s="573"/>
      <c r="Q6516" s="556"/>
      <c r="R6516" s="582"/>
    </row>
    <row r="6517" ht="26.25" spans="1:18">
      <c r="A6517" s="556" t="str">
        <f>B6517</f>
        <v>Composição Auxiliar</v>
      </c>
      <c r="B6517" s="557" t="str">
        <f>B6516</f>
        <v>Composição Auxiliar</v>
      </c>
      <c r="C6517" s="108"/>
      <c r="D6517" s="108"/>
      <c r="E6517" s="108"/>
      <c r="F6517" s="108"/>
      <c r="G6517" s="108"/>
      <c r="H6517" s="108" t="s">
        <v>2901</v>
      </c>
      <c r="I6517" s="581">
        <v>2501.38</v>
      </c>
      <c r="J6517" s="114"/>
      <c r="K6517" s="114" t="s">
        <v>2902</v>
      </c>
      <c r="L6517" s="108"/>
      <c r="M6517" s="581">
        <v>18018.63</v>
      </c>
      <c r="N6517" s="573">
        <v>0.12</v>
      </c>
      <c r="O6517" s="556" t="str">
        <f>IF(N6517=M6517,"OK","DIF")</f>
        <v>DIF</v>
      </c>
      <c r="P6517" s="573"/>
      <c r="Q6517" s="556"/>
      <c r="R6517" s="582"/>
    </row>
    <row r="6518" ht="15" spans="1:18">
      <c r="A6518" s="556"/>
      <c r="B6518" s="557"/>
      <c r="C6518" s="571"/>
      <c r="D6518" s="571"/>
      <c r="E6518" s="571"/>
      <c r="F6518" s="571"/>
      <c r="G6518" s="571"/>
      <c r="H6518" s="571"/>
      <c r="I6518" s="571"/>
      <c r="J6518" s="571"/>
      <c r="K6518" s="571"/>
      <c r="L6518" s="571"/>
      <c r="M6518" s="571"/>
      <c r="N6518" s="573"/>
      <c r="O6518" s="556"/>
      <c r="P6518" s="573"/>
      <c r="Q6518" s="556"/>
      <c r="R6518" s="582"/>
    </row>
    <row r="6519" ht="15" customHeight="1" spans="1:18">
      <c r="A6519" s="556"/>
      <c r="B6519" s="557"/>
      <c r="C6519" s="76" t="s">
        <v>2224</v>
      </c>
      <c r="D6519" s="75" t="s">
        <v>63</v>
      </c>
      <c r="E6519" s="76" t="s">
        <v>64</v>
      </c>
      <c r="F6519" s="76" t="s">
        <v>65</v>
      </c>
      <c r="G6519" s="76" t="s">
        <v>2889</v>
      </c>
      <c r="H6519" s="76"/>
      <c r="I6519" s="77" t="s">
        <v>66</v>
      </c>
      <c r="J6519" s="75" t="s">
        <v>67</v>
      </c>
      <c r="K6519" s="75" t="s">
        <v>2890</v>
      </c>
      <c r="L6519" s="75" t="s">
        <v>68</v>
      </c>
      <c r="M6519" s="75" t="s">
        <v>70</v>
      </c>
      <c r="N6519" s="573"/>
      <c r="O6519" s="556"/>
      <c r="P6519" s="573"/>
      <c r="Q6519" s="556"/>
      <c r="R6519" s="582"/>
    </row>
    <row r="6520" ht="51" spans="1:18">
      <c r="A6520" s="556"/>
      <c r="B6520" s="557"/>
      <c r="C6520" s="569" t="s">
        <v>2891</v>
      </c>
      <c r="D6520" s="570" t="s">
        <v>2225</v>
      </c>
      <c r="E6520" s="569" t="s">
        <v>132</v>
      </c>
      <c r="F6520" s="569" t="s">
        <v>2226</v>
      </c>
      <c r="G6520" s="569">
        <v>70</v>
      </c>
      <c r="H6520" s="569"/>
      <c r="I6520" s="577" t="s">
        <v>134</v>
      </c>
      <c r="J6520" s="578">
        <v>1</v>
      </c>
      <c r="K6520" s="579"/>
      <c r="L6520" s="579">
        <v>25514.35</v>
      </c>
      <c r="M6520" s="579">
        <v>25514.35</v>
      </c>
      <c r="N6520" s="573"/>
      <c r="O6520" s="556"/>
      <c r="P6520" s="573"/>
      <c r="Q6520" s="556"/>
      <c r="R6520" s="582"/>
    </row>
    <row r="6521" ht="23.85" customHeight="1" spans="1:18">
      <c r="A6521" s="556"/>
      <c r="B6521" s="557" t="str">
        <f>C6520</f>
        <v>Composição</v>
      </c>
      <c r="C6521" s="79" t="s">
        <v>2921</v>
      </c>
      <c r="D6521" s="78" t="s">
        <v>3487</v>
      </c>
      <c r="E6521" s="79" t="s">
        <v>139</v>
      </c>
      <c r="F6521" s="79" t="s">
        <v>3488</v>
      </c>
      <c r="G6521" s="79" t="s">
        <v>2928</v>
      </c>
      <c r="H6521" s="79"/>
      <c r="I6521" s="80" t="s">
        <v>2897</v>
      </c>
      <c r="J6521" s="583">
        <v>2.3</v>
      </c>
      <c r="K6521" s="583">
        <v>0</v>
      </c>
      <c r="L6521" s="92">
        <v>30.31</v>
      </c>
      <c r="M6521" s="92">
        <v>69.71</v>
      </c>
      <c r="N6521" s="573">
        <v>10.81</v>
      </c>
      <c r="O6521" s="556" t="str">
        <f>IF(N6521=M6521,"OK","DIF")</f>
        <v>DIF</v>
      </c>
      <c r="P6521" s="573"/>
      <c r="Q6521" s="556"/>
      <c r="R6521" s="582"/>
    </row>
    <row r="6522" ht="23.85" customHeight="1" spans="1:18">
      <c r="A6522" s="556" t="str">
        <f>B6522</f>
        <v>Composição</v>
      </c>
      <c r="B6522" s="557" t="str">
        <f>B6521</f>
        <v>Composição</v>
      </c>
      <c r="C6522" s="79" t="s">
        <v>2921</v>
      </c>
      <c r="D6522" s="78" t="s">
        <v>4215</v>
      </c>
      <c r="E6522" s="79" t="s">
        <v>139</v>
      </c>
      <c r="F6522" s="79" t="s">
        <v>4216</v>
      </c>
      <c r="G6522" s="79" t="s">
        <v>2928</v>
      </c>
      <c r="H6522" s="79"/>
      <c r="I6522" s="80" t="s">
        <v>2897</v>
      </c>
      <c r="J6522" s="583">
        <v>2.3</v>
      </c>
      <c r="K6522" s="583">
        <v>0</v>
      </c>
      <c r="L6522" s="92">
        <v>33.34</v>
      </c>
      <c r="M6522" s="92">
        <v>76.68</v>
      </c>
      <c r="N6522" s="573">
        <v>10.81</v>
      </c>
      <c r="O6522" s="556" t="str">
        <f>IF(N6522=M6522,"OK","DIF")</f>
        <v>DIF</v>
      </c>
      <c r="P6522" s="573"/>
      <c r="Q6522" s="556"/>
      <c r="R6522" s="582"/>
    </row>
    <row r="6523" ht="35.05" customHeight="1" spans="1:18">
      <c r="A6523" s="556"/>
      <c r="B6523" s="557"/>
      <c r="C6523" s="100" t="s">
        <v>2893</v>
      </c>
      <c r="D6523" s="99" t="s">
        <v>4782</v>
      </c>
      <c r="E6523" s="100" t="s">
        <v>132</v>
      </c>
      <c r="F6523" s="100" t="s">
        <v>4783</v>
      </c>
      <c r="G6523" s="100" t="s">
        <v>2961</v>
      </c>
      <c r="H6523" s="100"/>
      <c r="I6523" s="101" t="s">
        <v>134</v>
      </c>
      <c r="J6523" s="580">
        <v>1</v>
      </c>
      <c r="K6523" s="580">
        <v>0</v>
      </c>
      <c r="L6523" s="102">
        <v>25367.96</v>
      </c>
      <c r="M6523" s="102">
        <v>25367.96</v>
      </c>
      <c r="N6523" s="573"/>
      <c r="O6523" s="556"/>
      <c r="P6523" s="573"/>
      <c r="Q6523" s="556"/>
      <c r="R6523" s="582"/>
    </row>
    <row r="6524" ht="25.5" spans="1:18">
      <c r="A6524" s="556"/>
      <c r="B6524" s="557"/>
      <c r="C6524" s="108"/>
      <c r="D6524" s="108"/>
      <c r="E6524" s="108"/>
      <c r="F6524" s="108"/>
      <c r="G6524" s="108"/>
      <c r="H6524" s="108" t="s">
        <v>2898</v>
      </c>
      <c r="I6524" s="581">
        <v>100.43</v>
      </c>
      <c r="J6524" s="108" t="s">
        <v>2899</v>
      </c>
      <c r="K6524" s="581">
        <v>0</v>
      </c>
      <c r="L6524" s="108" t="s">
        <v>2900</v>
      </c>
      <c r="M6524" s="581">
        <v>100.43</v>
      </c>
      <c r="N6524" s="573"/>
      <c r="O6524" s="556"/>
      <c r="P6524" s="573"/>
      <c r="Q6524" s="556"/>
      <c r="R6524" s="582"/>
    </row>
    <row r="6525" ht="26.25" spans="1:18">
      <c r="A6525" s="556"/>
      <c r="B6525" s="557">
        <f>C6524</f>
        <v>0</v>
      </c>
      <c r="C6525" s="108"/>
      <c r="D6525" s="108"/>
      <c r="E6525" s="108"/>
      <c r="F6525" s="108"/>
      <c r="G6525" s="108"/>
      <c r="H6525" s="108" t="s">
        <v>2901</v>
      </c>
      <c r="I6525" s="581">
        <v>4112.91</v>
      </c>
      <c r="J6525" s="114"/>
      <c r="K6525" s="114" t="s">
        <v>2902</v>
      </c>
      <c r="L6525" s="108"/>
      <c r="M6525" s="581">
        <v>29627.26</v>
      </c>
      <c r="N6525" s="573">
        <v>991.48</v>
      </c>
      <c r="O6525" s="556" t="str">
        <f t="shared" ref="O6525:O6532" si="449">IF(N6525=M6525,"OK","DIF")</f>
        <v>DIF</v>
      </c>
      <c r="P6525" s="573"/>
      <c r="Q6525" s="556"/>
      <c r="R6525" s="582"/>
    </row>
    <row r="6526" ht="15" spans="1:18">
      <c r="A6526" s="556">
        <f t="shared" ref="A6526:A6532" si="450">B6526</f>
        <v>0</v>
      </c>
      <c r="B6526" s="557">
        <f t="shared" ref="B6526:B6532" si="451">B6525</f>
        <v>0</v>
      </c>
      <c r="C6526" s="571"/>
      <c r="D6526" s="571"/>
      <c r="E6526" s="571"/>
      <c r="F6526" s="571"/>
      <c r="G6526" s="571"/>
      <c r="H6526" s="571"/>
      <c r="I6526" s="571"/>
      <c r="J6526" s="571"/>
      <c r="K6526" s="571"/>
      <c r="L6526" s="571"/>
      <c r="M6526" s="571"/>
      <c r="N6526" s="573">
        <v>2.55</v>
      </c>
      <c r="O6526" s="556" t="str">
        <f t="shared" si="449"/>
        <v>DIF</v>
      </c>
      <c r="P6526" s="573"/>
      <c r="Q6526" s="556"/>
      <c r="R6526" s="582"/>
    </row>
    <row r="6527" ht="15" customHeight="1" spans="1:18">
      <c r="A6527" s="556">
        <f t="shared" si="450"/>
        <v>0</v>
      </c>
      <c r="B6527" s="557">
        <f t="shared" si="451"/>
        <v>0</v>
      </c>
      <c r="C6527" s="76" t="s">
        <v>2228</v>
      </c>
      <c r="D6527" s="75" t="s">
        <v>63</v>
      </c>
      <c r="E6527" s="76" t="s">
        <v>64</v>
      </c>
      <c r="F6527" s="76" t="s">
        <v>65</v>
      </c>
      <c r="G6527" s="76" t="s">
        <v>2889</v>
      </c>
      <c r="H6527" s="76"/>
      <c r="I6527" s="77" t="s">
        <v>66</v>
      </c>
      <c r="J6527" s="75" t="s">
        <v>67</v>
      </c>
      <c r="K6527" s="75" t="s">
        <v>2890</v>
      </c>
      <c r="L6527" s="75" t="s">
        <v>68</v>
      </c>
      <c r="M6527" s="75" t="s">
        <v>70</v>
      </c>
      <c r="N6527" s="573">
        <v>0.63</v>
      </c>
      <c r="O6527" s="556" t="str">
        <f t="shared" si="449"/>
        <v>DIF</v>
      </c>
      <c r="P6527" s="573"/>
      <c r="Q6527" s="556"/>
      <c r="R6527" s="582"/>
    </row>
    <row r="6528" ht="51" spans="1:18">
      <c r="A6528" s="556">
        <f t="shared" si="450"/>
        <v>0</v>
      </c>
      <c r="B6528" s="557">
        <f t="shared" si="451"/>
        <v>0</v>
      </c>
      <c r="C6528" s="569" t="s">
        <v>2891</v>
      </c>
      <c r="D6528" s="570" t="s">
        <v>2229</v>
      </c>
      <c r="E6528" s="569" t="s">
        <v>132</v>
      </c>
      <c r="F6528" s="569" t="s">
        <v>2230</v>
      </c>
      <c r="G6528" s="569">
        <v>70</v>
      </c>
      <c r="H6528" s="569"/>
      <c r="I6528" s="577" t="s">
        <v>134</v>
      </c>
      <c r="J6528" s="578">
        <v>1</v>
      </c>
      <c r="K6528" s="579"/>
      <c r="L6528" s="579">
        <v>29340.02</v>
      </c>
      <c r="M6528" s="579">
        <v>29340.02</v>
      </c>
      <c r="N6528" s="573">
        <v>6.75</v>
      </c>
      <c r="O6528" s="556" t="str">
        <f t="shared" si="449"/>
        <v>DIF</v>
      </c>
      <c r="P6528" s="573"/>
      <c r="Q6528" s="556"/>
      <c r="R6528" s="582"/>
    </row>
    <row r="6529" ht="23.85" customHeight="1" spans="1:18">
      <c r="A6529" s="556">
        <f t="shared" si="450"/>
        <v>0</v>
      </c>
      <c r="B6529" s="557">
        <f t="shared" si="451"/>
        <v>0</v>
      </c>
      <c r="C6529" s="79" t="s">
        <v>2921</v>
      </c>
      <c r="D6529" s="78" t="s">
        <v>4215</v>
      </c>
      <c r="E6529" s="79" t="s">
        <v>139</v>
      </c>
      <c r="F6529" s="79" t="s">
        <v>4216</v>
      </c>
      <c r="G6529" s="79" t="s">
        <v>2928</v>
      </c>
      <c r="H6529" s="79"/>
      <c r="I6529" s="80" t="s">
        <v>2897</v>
      </c>
      <c r="J6529" s="583">
        <v>2.3</v>
      </c>
      <c r="K6529" s="583">
        <v>0</v>
      </c>
      <c r="L6529" s="92">
        <v>33.34</v>
      </c>
      <c r="M6529" s="92">
        <v>76.68</v>
      </c>
      <c r="N6529" s="573">
        <v>0.79</v>
      </c>
      <c r="O6529" s="556" t="str">
        <f t="shared" si="449"/>
        <v>DIF</v>
      </c>
      <c r="P6529" s="573"/>
      <c r="Q6529" s="556"/>
      <c r="R6529" s="582"/>
    </row>
    <row r="6530" ht="23.85" customHeight="1" spans="1:18">
      <c r="A6530" s="556">
        <f t="shared" si="450"/>
        <v>0</v>
      </c>
      <c r="B6530" s="557">
        <f t="shared" si="451"/>
        <v>0</v>
      </c>
      <c r="C6530" s="79" t="s">
        <v>2921</v>
      </c>
      <c r="D6530" s="78" t="s">
        <v>3487</v>
      </c>
      <c r="E6530" s="79" t="s">
        <v>139</v>
      </c>
      <c r="F6530" s="79" t="s">
        <v>3488</v>
      </c>
      <c r="G6530" s="79" t="s">
        <v>2928</v>
      </c>
      <c r="H6530" s="79"/>
      <c r="I6530" s="80" t="s">
        <v>2897</v>
      </c>
      <c r="J6530" s="583">
        <v>2.3</v>
      </c>
      <c r="K6530" s="583">
        <v>0</v>
      </c>
      <c r="L6530" s="92">
        <v>30.31</v>
      </c>
      <c r="M6530" s="92">
        <v>69.71</v>
      </c>
      <c r="N6530" s="573">
        <v>270.37</v>
      </c>
      <c r="O6530" s="556" t="str">
        <f t="shared" si="449"/>
        <v>DIF</v>
      </c>
      <c r="P6530" s="573"/>
      <c r="Q6530" s="556"/>
      <c r="R6530" s="582"/>
    </row>
    <row r="6531" ht="35.05" customHeight="1" spans="1:18">
      <c r="A6531" s="556">
        <f t="shared" si="450"/>
        <v>0</v>
      </c>
      <c r="B6531" s="557">
        <f t="shared" si="451"/>
        <v>0</v>
      </c>
      <c r="C6531" s="100" t="s">
        <v>2893</v>
      </c>
      <c r="D6531" s="99" t="s">
        <v>4784</v>
      </c>
      <c r="E6531" s="100" t="s">
        <v>132</v>
      </c>
      <c r="F6531" s="100" t="s">
        <v>4785</v>
      </c>
      <c r="G6531" s="100" t="s">
        <v>2961</v>
      </c>
      <c r="H6531" s="100"/>
      <c r="I6531" s="101" t="s">
        <v>134</v>
      </c>
      <c r="J6531" s="580">
        <v>1</v>
      </c>
      <c r="K6531" s="580">
        <v>0</v>
      </c>
      <c r="L6531" s="102">
        <v>29193.63</v>
      </c>
      <c r="M6531" s="102">
        <v>29193.63</v>
      </c>
      <c r="N6531" s="573">
        <v>336.5</v>
      </c>
      <c r="O6531" s="556" t="str">
        <f t="shared" si="449"/>
        <v>DIF</v>
      </c>
      <c r="P6531" s="573"/>
      <c r="Q6531" s="556"/>
      <c r="R6531" s="582"/>
    </row>
    <row r="6532" ht="25.5" spans="1:18">
      <c r="A6532" s="556">
        <f t="shared" si="450"/>
        <v>0</v>
      </c>
      <c r="B6532" s="557">
        <f t="shared" si="451"/>
        <v>0</v>
      </c>
      <c r="C6532" s="108"/>
      <c r="D6532" s="108"/>
      <c r="E6532" s="108"/>
      <c r="F6532" s="108"/>
      <c r="G6532" s="108"/>
      <c r="H6532" s="108" t="s">
        <v>2898</v>
      </c>
      <c r="I6532" s="581">
        <v>100.43</v>
      </c>
      <c r="J6532" s="108" t="s">
        <v>2899</v>
      </c>
      <c r="K6532" s="581">
        <v>0</v>
      </c>
      <c r="L6532" s="108" t="s">
        <v>2900</v>
      </c>
      <c r="M6532" s="581">
        <v>100.43</v>
      </c>
      <c r="N6532" s="573">
        <v>373.89</v>
      </c>
      <c r="O6532" s="556" t="str">
        <f t="shared" si="449"/>
        <v>DIF</v>
      </c>
      <c r="P6532" s="573"/>
      <c r="Q6532" s="556"/>
      <c r="R6532" s="582"/>
    </row>
    <row r="6533" ht="26.25" spans="1:18">
      <c r="A6533" s="556"/>
      <c r="B6533" s="557"/>
      <c r="C6533" s="108"/>
      <c r="D6533" s="108"/>
      <c r="E6533" s="108"/>
      <c r="F6533" s="108"/>
      <c r="G6533" s="108"/>
      <c r="H6533" s="108" t="s">
        <v>2901</v>
      </c>
      <c r="I6533" s="581">
        <v>4729.61</v>
      </c>
      <c r="J6533" s="114"/>
      <c r="K6533" s="114" t="s">
        <v>2902</v>
      </c>
      <c r="L6533" s="108"/>
      <c r="M6533" s="581">
        <v>34069.63</v>
      </c>
      <c r="N6533" s="573"/>
      <c r="O6533" s="556"/>
      <c r="P6533" s="573"/>
      <c r="Q6533" s="556"/>
      <c r="R6533" s="582"/>
    </row>
    <row r="6534" ht="15" spans="1:18">
      <c r="A6534" s="556"/>
      <c r="B6534" s="557"/>
      <c r="C6534" s="571"/>
      <c r="D6534" s="571"/>
      <c r="E6534" s="571"/>
      <c r="F6534" s="571"/>
      <c r="G6534" s="571"/>
      <c r="H6534" s="571"/>
      <c r="I6534" s="571"/>
      <c r="J6534" s="571"/>
      <c r="K6534" s="571"/>
      <c r="L6534" s="571"/>
      <c r="M6534" s="571"/>
      <c r="N6534" s="573"/>
      <c r="O6534" s="556"/>
      <c r="P6534" s="573"/>
      <c r="Q6534" s="556"/>
      <c r="R6534" s="582"/>
    </row>
    <row r="6535" ht="15" customHeight="1" spans="1:18">
      <c r="A6535" s="556"/>
      <c r="B6535" s="557">
        <f>C6534</f>
        <v>0</v>
      </c>
      <c r="C6535" s="76" t="s">
        <v>2232</v>
      </c>
      <c r="D6535" s="75" t="s">
        <v>63</v>
      </c>
      <c r="E6535" s="76" t="s">
        <v>64</v>
      </c>
      <c r="F6535" s="76" t="s">
        <v>65</v>
      </c>
      <c r="G6535" s="76" t="s">
        <v>2889</v>
      </c>
      <c r="H6535" s="76"/>
      <c r="I6535" s="77" t="s">
        <v>66</v>
      </c>
      <c r="J6535" s="75" t="s">
        <v>67</v>
      </c>
      <c r="K6535" s="75" t="s">
        <v>2890</v>
      </c>
      <c r="L6535" s="75" t="s">
        <v>68</v>
      </c>
      <c r="M6535" s="75" t="s">
        <v>70</v>
      </c>
      <c r="N6535" s="573">
        <v>4.38</v>
      </c>
      <c r="O6535" s="556" t="str">
        <f>IF(N6535=M6535,"OK","DIF")</f>
        <v>DIF</v>
      </c>
      <c r="P6535" s="573"/>
      <c r="Q6535" s="556"/>
      <c r="R6535" s="582"/>
    </row>
    <row r="6536" ht="38.25" spans="1:18">
      <c r="A6536" s="556">
        <f>B6536</f>
        <v>0</v>
      </c>
      <c r="B6536" s="557">
        <f>B6535</f>
        <v>0</v>
      </c>
      <c r="C6536" s="569" t="s">
        <v>2891</v>
      </c>
      <c r="D6536" s="570" t="s">
        <v>2233</v>
      </c>
      <c r="E6536" s="569" t="s">
        <v>132</v>
      </c>
      <c r="F6536" s="569" t="s">
        <v>2234</v>
      </c>
      <c r="G6536" s="569">
        <v>70</v>
      </c>
      <c r="H6536" s="569"/>
      <c r="I6536" s="577" t="s">
        <v>134</v>
      </c>
      <c r="J6536" s="578">
        <v>1</v>
      </c>
      <c r="K6536" s="579"/>
      <c r="L6536" s="579">
        <v>76.37</v>
      </c>
      <c r="M6536" s="579">
        <v>76.37</v>
      </c>
      <c r="N6536" s="573">
        <v>3.63</v>
      </c>
      <c r="O6536" s="556" t="str">
        <f>IF(N6536=M6536,"OK","DIF")</f>
        <v>DIF</v>
      </c>
      <c r="P6536" s="573"/>
      <c r="Q6536" s="556"/>
      <c r="R6536" s="582"/>
    </row>
    <row r="6537" ht="23.85" customHeight="1" spans="1:18">
      <c r="A6537" s="556">
        <f>B6537</f>
        <v>0</v>
      </c>
      <c r="B6537" s="557">
        <f>B6536</f>
        <v>0</v>
      </c>
      <c r="C6537" s="79" t="s">
        <v>2921</v>
      </c>
      <c r="D6537" s="78" t="s">
        <v>4215</v>
      </c>
      <c r="E6537" s="79" t="s">
        <v>139</v>
      </c>
      <c r="F6537" s="79" t="s">
        <v>4216</v>
      </c>
      <c r="G6537" s="79" t="s">
        <v>2928</v>
      </c>
      <c r="H6537" s="79"/>
      <c r="I6537" s="80" t="s">
        <v>2897</v>
      </c>
      <c r="J6537" s="583">
        <v>1.2</v>
      </c>
      <c r="K6537" s="583">
        <v>0</v>
      </c>
      <c r="L6537" s="92">
        <v>33.34</v>
      </c>
      <c r="M6537" s="92">
        <v>40</v>
      </c>
      <c r="N6537" s="573">
        <v>0.75</v>
      </c>
      <c r="O6537" s="556" t="str">
        <f>IF(N6537=M6537,"OK","DIF")</f>
        <v>DIF</v>
      </c>
      <c r="P6537" s="573"/>
      <c r="Q6537" s="556"/>
      <c r="R6537" s="582"/>
    </row>
    <row r="6538" ht="23.85" customHeight="1" spans="1:18">
      <c r="A6538" s="556"/>
      <c r="B6538" s="557"/>
      <c r="C6538" s="79" t="s">
        <v>2921</v>
      </c>
      <c r="D6538" s="78" t="s">
        <v>3487</v>
      </c>
      <c r="E6538" s="79" t="s">
        <v>139</v>
      </c>
      <c r="F6538" s="79" t="s">
        <v>3488</v>
      </c>
      <c r="G6538" s="79" t="s">
        <v>2928</v>
      </c>
      <c r="H6538" s="79"/>
      <c r="I6538" s="80" t="s">
        <v>2897</v>
      </c>
      <c r="J6538" s="583">
        <v>1.2</v>
      </c>
      <c r="K6538" s="583">
        <v>0</v>
      </c>
      <c r="L6538" s="92">
        <v>30.31</v>
      </c>
      <c r="M6538" s="92">
        <v>36.37</v>
      </c>
      <c r="N6538" s="573"/>
      <c r="O6538" s="556"/>
      <c r="P6538" s="573"/>
      <c r="Q6538" s="556"/>
      <c r="R6538" s="582"/>
    </row>
    <row r="6539" ht="25.5" spans="3:13">
      <c r="C6539" s="108"/>
      <c r="D6539" s="108"/>
      <c r="E6539" s="108"/>
      <c r="F6539" s="108"/>
      <c r="G6539" s="108"/>
      <c r="H6539" s="108" t="s">
        <v>2898</v>
      </c>
      <c r="I6539" s="581">
        <v>52.39</v>
      </c>
      <c r="J6539" s="108" t="s">
        <v>2899</v>
      </c>
      <c r="K6539" s="581">
        <v>0</v>
      </c>
      <c r="L6539" s="108" t="s">
        <v>2900</v>
      </c>
      <c r="M6539" s="581">
        <v>52.39</v>
      </c>
    </row>
    <row r="6540" ht="26.25" spans="3:13">
      <c r="C6540" s="108"/>
      <c r="D6540" s="108"/>
      <c r="E6540" s="108"/>
      <c r="F6540" s="108"/>
      <c r="G6540" s="108"/>
      <c r="H6540" s="108" t="s">
        <v>2901</v>
      </c>
      <c r="I6540" s="581">
        <v>19.46</v>
      </c>
      <c r="J6540" s="114"/>
      <c r="K6540" s="114" t="s">
        <v>2902</v>
      </c>
      <c r="L6540" s="108"/>
      <c r="M6540" s="581">
        <v>95.83</v>
      </c>
    </row>
    <row r="6541" ht="15" spans="3:13">
      <c r="C6541" s="571"/>
      <c r="D6541" s="571"/>
      <c r="E6541" s="571"/>
      <c r="F6541" s="571"/>
      <c r="G6541" s="571"/>
      <c r="H6541" s="571"/>
      <c r="I6541" s="571"/>
      <c r="J6541" s="571"/>
      <c r="K6541" s="571"/>
      <c r="L6541" s="571"/>
      <c r="M6541" s="571"/>
    </row>
    <row r="6542" ht="15" customHeight="1" spans="3:13">
      <c r="C6542" s="76" t="s">
        <v>2235</v>
      </c>
      <c r="D6542" s="75" t="s">
        <v>63</v>
      </c>
      <c r="E6542" s="76" t="s">
        <v>64</v>
      </c>
      <c r="F6542" s="76" t="s">
        <v>65</v>
      </c>
      <c r="G6542" s="76" t="s">
        <v>2889</v>
      </c>
      <c r="H6542" s="76"/>
      <c r="I6542" s="77" t="s">
        <v>66</v>
      </c>
      <c r="J6542" s="75" t="s">
        <v>67</v>
      </c>
      <c r="K6542" s="75" t="s">
        <v>2890</v>
      </c>
      <c r="L6542" s="75" t="s">
        <v>68</v>
      </c>
      <c r="M6542" s="75" t="s">
        <v>70</v>
      </c>
    </row>
    <row r="6543" ht="89.25" spans="3:13">
      <c r="C6543" s="569" t="s">
        <v>2891</v>
      </c>
      <c r="D6543" s="570" t="s">
        <v>2236</v>
      </c>
      <c r="E6543" s="569" t="s">
        <v>132</v>
      </c>
      <c r="F6543" s="569" t="s">
        <v>2237</v>
      </c>
      <c r="G6543" s="569">
        <v>70</v>
      </c>
      <c r="H6543" s="569"/>
      <c r="I6543" s="577" t="s">
        <v>134</v>
      </c>
      <c r="J6543" s="578">
        <v>1</v>
      </c>
      <c r="K6543" s="579"/>
      <c r="L6543" s="579">
        <v>76.37</v>
      </c>
      <c r="M6543" s="579">
        <v>76.37</v>
      </c>
    </row>
    <row r="6544" ht="23.85" customHeight="1" spans="3:13">
      <c r="C6544" s="79" t="s">
        <v>2921</v>
      </c>
      <c r="D6544" s="78" t="s">
        <v>4215</v>
      </c>
      <c r="E6544" s="79" t="s">
        <v>139</v>
      </c>
      <c r="F6544" s="79" t="s">
        <v>4216</v>
      </c>
      <c r="G6544" s="79" t="s">
        <v>2928</v>
      </c>
      <c r="H6544" s="79"/>
      <c r="I6544" s="80" t="s">
        <v>2897</v>
      </c>
      <c r="J6544" s="583">
        <v>1.2</v>
      </c>
      <c r="K6544" s="583">
        <v>0</v>
      </c>
      <c r="L6544" s="92">
        <v>33.34</v>
      </c>
      <c r="M6544" s="92">
        <v>40</v>
      </c>
    </row>
    <row r="6545" ht="23.85" customHeight="1" spans="3:13">
      <c r="C6545" s="79" t="s">
        <v>2921</v>
      </c>
      <c r="D6545" s="78" t="s">
        <v>3487</v>
      </c>
      <c r="E6545" s="79" t="s">
        <v>139</v>
      </c>
      <c r="F6545" s="79" t="s">
        <v>3488</v>
      </c>
      <c r="G6545" s="79" t="s">
        <v>2928</v>
      </c>
      <c r="H6545" s="79"/>
      <c r="I6545" s="80" t="s">
        <v>2897</v>
      </c>
      <c r="J6545" s="583">
        <v>1.2</v>
      </c>
      <c r="K6545" s="583">
        <v>0</v>
      </c>
      <c r="L6545" s="92">
        <v>30.31</v>
      </c>
      <c r="M6545" s="92">
        <v>36.37</v>
      </c>
    </row>
    <row r="6546" ht="25.5" spans="3:13">
      <c r="C6546" s="108"/>
      <c r="D6546" s="108"/>
      <c r="E6546" s="108"/>
      <c r="F6546" s="108"/>
      <c r="G6546" s="108"/>
      <c r="H6546" s="108" t="s">
        <v>2898</v>
      </c>
      <c r="I6546" s="581">
        <v>52.39</v>
      </c>
      <c r="J6546" s="108" t="s">
        <v>2899</v>
      </c>
      <c r="K6546" s="581">
        <v>0</v>
      </c>
      <c r="L6546" s="108" t="s">
        <v>2900</v>
      </c>
      <c r="M6546" s="581">
        <v>52.39</v>
      </c>
    </row>
    <row r="6547" ht="26.25" spans="3:13">
      <c r="C6547" s="108"/>
      <c r="D6547" s="108"/>
      <c r="E6547" s="108"/>
      <c r="F6547" s="108"/>
      <c r="G6547" s="108"/>
      <c r="H6547" s="108" t="s">
        <v>2901</v>
      </c>
      <c r="I6547" s="581">
        <v>19.46</v>
      </c>
      <c r="J6547" s="114"/>
      <c r="K6547" s="114" t="s">
        <v>2902</v>
      </c>
      <c r="L6547" s="108"/>
      <c r="M6547" s="581">
        <v>95.83</v>
      </c>
    </row>
    <row r="6548" ht="15" spans="3:13">
      <c r="C6548" s="571"/>
      <c r="D6548" s="571"/>
      <c r="E6548" s="571"/>
      <c r="F6548" s="571"/>
      <c r="G6548" s="571"/>
      <c r="H6548" s="571"/>
      <c r="I6548" s="571"/>
      <c r="J6548" s="571"/>
      <c r="K6548" s="571"/>
      <c r="L6548" s="571"/>
      <c r="M6548" s="571"/>
    </row>
    <row r="6549" ht="15" customHeight="1" spans="3:13">
      <c r="C6549" s="76" t="s">
        <v>2238</v>
      </c>
      <c r="D6549" s="75" t="s">
        <v>63</v>
      </c>
      <c r="E6549" s="76" t="s">
        <v>64</v>
      </c>
      <c r="F6549" s="76" t="s">
        <v>65</v>
      </c>
      <c r="G6549" s="76" t="s">
        <v>2889</v>
      </c>
      <c r="H6549" s="76"/>
      <c r="I6549" s="77" t="s">
        <v>66</v>
      </c>
      <c r="J6549" s="75" t="s">
        <v>67</v>
      </c>
      <c r="K6549" s="75" t="s">
        <v>2890</v>
      </c>
      <c r="L6549" s="75" t="s">
        <v>68</v>
      </c>
      <c r="M6549" s="75" t="s">
        <v>70</v>
      </c>
    </row>
    <row r="6550" ht="51" spans="3:13">
      <c r="C6550" s="569" t="s">
        <v>2891</v>
      </c>
      <c r="D6550" s="570" t="s">
        <v>2239</v>
      </c>
      <c r="E6550" s="569" t="s">
        <v>132</v>
      </c>
      <c r="F6550" s="569" t="s">
        <v>2240</v>
      </c>
      <c r="G6550" s="569">
        <v>70</v>
      </c>
      <c r="H6550" s="569"/>
      <c r="I6550" s="577" t="s">
        <v>134</v>
      </c>
      <c r="J6550" s="578">
        <v>1</v>
      </c>
      <c r="K6550" s="579"/>
      <c r="L6550" s="579">
        <v>76.37</v>
      </c>
      <c r="M6550" s="579">
        <v>76.37</v>
      </c>
    </row>
    <row r="6551" ht="23.85" customHeight="1" spans="3:13">
      <c r="C6551" s="79" t="s">
        <v>2921</v>
      </c>
      <c r="D6551" s="78" t="s">
        <v>4215</v>
      </c>
      <c r="E6551" s="79" t="s">
        <v>139</v>
      </c>
      <c r="F6551" s="79" t="s">
        <v>4216</v>
      </c>
      <c r="G6551" s="79" t="s">
        <v>2928</v>
      </c>
      <c r="H6551" s="79"/>
      <c r="I6551" s="80" t="s">
        <v>2897</v>
      </c>
      <c r="J6551" s="583">
        <v>1.2</v>
      </c>
      <c r="K6551" s="583">
        <v>0</v>
      </c>
      <c r="L6551" s="92">
        <v>33.34</v>
      </c>
      <c r="M6551" s="92">
        <v>40</v>
      </c>
    </row>
    <row r="6552" ht="23.85" customHeight="1" spans="3:13">
      <c r="C6552" s="79" t="s">
        <v>2921</v>
      </c>
      <c r="D6552" s="78" t="s">
        <v>3487</v>
      </c>
      <c r="E6552" s="79" t="s">
        <v>139</v>
      </c>
      <c r="F6552" s="79" t="s">
        <v>3488</v>
      </c>
      <c r="G6552" s="79" t="s">
        <v>2928</v>
      </c>
      <c r="H6552" s="79"/>
      <c r="I6552" s="80" t="s">
        <v>2897</v>
      </c>
      <c r="J6552" s="583">
        <v>1.2</v>
      </c>
      <c r="K6552" s="583">
        <v>0</v>
      </c>
      <c r="L6552" s="92">
        <v>30.31</v>
      </c>
      <c r="M6552" s="92">
        <v>36.37</v>
      </c>
    </row>
    <row r="6553" ht="25.5" spans="3:13">
      <c r="C6553" s="108"/>
      <c r="D6553" s="108"/>
      <c r="E6553" s="108"/>
      <c r="F6553" s="108"/>
      <c r="G6553" s="108"/>
      <c r="H6553" s="108" t="s">
        <v>2898</v>
      </c>
      <c r="I6553" s="581">
        <v>52.39</v>
      </c>
      <c r="J6553" s="108" t="s">
        <v>2899</v>
      </c>
      <c r="K6553" s="581">
        <v>0</v>
      </c>
      <c r="L6553" s="108" t="s">
        <v>2900</v>
      </c>
      <c r="M6553" s="581">
        <v>52.39</v>
      </c>
    </row>
    <row r="6554" ht="26.25" spans="3:13">
      <c r="C6554" s="108"/>
      <c r="D6554" s="108"/>
      <c r="E6554" s="108"/>
      <c r="F6554" s="108"/>
      <c r="G6554" s="108"/>
      <c r="H6554" s="108" t="s">
        <v>2901</v>
      </c>
      <c r="I6554" s="581">
        <v>19.46</v>
      </c>
      <c r="J6554" s="114"/>
      <c r="K6554" s="114" t="s">
        <v>2902</v>
      </c>
      <c r="L6554" s="108"/>
      <c r="M6554" s="581">
        <v>95.83</v>
      </c>
    </row>
    <row r="6555" ht="15" spans="3:13">
      <c r="C6555" s="571"/>
      <c r="D6555" s="571"/>
      <c r="E6555" s="571"/>
      <c r="F6555" s="571"/>
      <c r="G6555" s="571"/>
      <c r="H6555" s="571"/>
      <c r="I6555" s="571"/>
      <c r="J6555" s="571"/>
      <c r="K6555" s="571"/>
      <c r="L6555" s="571"/>
      <c r="M6555" s="571"/>
    </row>
    <row r="6556" ht="15" customHeight="1" spans="3:13">
      <c r="C6556" s="76" t="s">
        <v>2241</v>
      </c>
      <c r="D6556" s="75" t="s">
        <v>63</v>
      </c>
      <c r="E6556" s="76" t="s">
        <v>64</v>
      </c>
      <c r="F6556" s="76" t="s">
        <v>65</v>
      </c>
      <c r="G6556" s="76" t="s">
        <v>2889</v>
      </c>
      <c r="H6556" s="76"/>
      <c r="I6556" s="77" t="s">
        <v>66</v>
      </c>
      <c r="J6556" s="75" t="s">
        <v>67</v>
      </c>
      <c r="K6556" s="75" t="s">
        <v>2890</v>
      </c>
      <c r="L6556" s="75" t="s">
        <v>68</v>
      </c>
      <c r="M6556" s="75" t="s">
        <v>70</v>
      </c>
    </row>
    <row r="6557" ht="38.25" spans="3:13">
      <c r="C6557" s="569" t="s">
        <v>2891</v>
      </c>
      <c r="D6557" s="570" t="s">
        <v>2242</v>
      </c>
      <c r="E6557" s="569" t="s">
        <v>132</v>
      </c>
      <c r="F6557" s="569" t="s">
        <v>2243</v>
      </c>
      <c r="G6557" s="569">
        <v>70</v>
      </c>
      <c r="H6557" s="569"/>
      <c r="I6557" s="577" t="s">
        <v>134</v>
      </c>
      <c r="J6557" s="578">
        <v>1</v>
      </c>
      <c r="K6557" s="579"/>
      <c r="L6557" s="579">
        <v>160.6</v>
      </c>
      <c r="M6557" s="579">
        <v>160.6</v>
      </c>
    </row>
    <row r="6558" ht="23.85" customHeight="1" spans="3:13">
      <c r="C6558" s="79" t="s">
        <v>2921</v>
      </c>
      <c r="D6558" s="78" t="s">
        <v>3487</v>
      </c>
      <c r="E6558" s="79" t="s">
        <v>139</v>
      </c>
      <c r="F6558" s="79" t="s">
        <v>3488</v>
      </c>
      <c r="G6558" s="79" t="s">
        <v>2928</v>
      </c>
      <c r="H6558" s="79"/>
      <c r="I6558" s="80" t="s">
        <v>2897</v>
      </c>
      <c r="J6558" s="583">
        <v>1.2</v>
      </c>
      <c r="K6558" s="583">
        <v>0</v>
      </c>
      <c r="L6558" s="92">
        <v>30.31</v>
      </c>
      <c r="M6558" s="92">
        <v>36.37</v>
      </c>
    </row>
    <row r="6559" ht="23.85" customHeight="1" spans="3:13">
      <c r="C6559" s="79" t="s">
        <v>2921</v>
      </c>
      <c r="D6559" s="78" t="s">
        <v>4215</v>
      </c>
      <c r="E6559" s="79" t="s">
        <v>139</v>
      </c>
      <c r="F6559" s="79" t="s">
        <v>4216</v>
      </c>
      <c r="G6559" s="79" t="s">
        <v>2928</v>
      </c>
      <c r="H6559" s="79"/>
      <c r="I6559" s="80" t="s">
        <v>2897</v>
      </c>
      <c r="J6559" s="583">
        <v>1.2</v>
      </c>
      <c r="K6559" s="583">
        <v>0</v>
      </c>
      <c r="L6559" s="92">
        <v>33.34</v>
      </c>
      <c r="M6559" s="92">
        <v>40</v>
      </c>
    </row>
    <row r="6560" ht="23.85" customHeight="1" spans="3:13">
      <c r="C6560" s="100" t="s">
        <v>2893</v>
      </c>
      <c r="D6560" s="99" t="s">
        <v>4786</v>
      </c>
      <c r="E6560" s="100" t="s">
        <v>149</v>
      </c>
      <c r="F6560" s="100" t="s">
        <v>4787</v>
      </c>
      <c r="G6560" s="100" t="s">
        <v>2961</v>
      </c>
      <c r="H6560" s="100"/>
      <c r="I6560" s="101" t="s">
        <v>134</v>
      </c>
      <c r="J6560" s="580">
        <v>1</v>
      </c>
      <c r="K6560" s="580">
        <v>0</v>
      </c>
      <c r="L6560" s="102">
        <v>84.23</v>
      </c>
      <c r="M6560" s="102">
        <v>84.23</v>
      </c>
    </row>
    <row r="6561" ht="25.5" spans="3:13">
      <c r="C6561" s="108"/>
      <c r="D6561" s="108"/>
      <c r="E6561" s="108"/>
      <c r="F6561" s="108"/>
      <c r="G6561" s="108"/>
      <c r="H6561" s="108" t="s">
        <v>2898</v>
      </c>
      <c r="I6561" s="581">
        <v>52.39</v>
      </c>
      <c r="J6561" s="108" t="s">
        <v>2899</v>
      </c>
      <c r="K6561" s="581">
        <v>0</v>
      </c>
      <c r="L6561" s="108" t="s">
        <v>2900</v>
      </c>
      <c r="M6561" s="581">
        <v>52.39</v>
      </c>
    </row>
    <row r="6562" ht="26.25" spans="3:13">
      <c r="C6562" s="108"/>
      <c r="D6562" s="108"/>
      <c r="E6562" s="108"/>
      <c r="F6562" s="108"/>
      <c r="G6562" s="108"/>
      <c r="H6562" s="108" t="s">
        <v>2901</v>
      </c>
      <c r="I6562" s="581">
        <v>40.93</v>
      </c>
      <c r="J6562" s="114"/>
      <c r="K6562" s="114" t="s">
        <v>2902</v>
      </c>
      <c r="L6562" s="108"/>
      <c r="M6562" s="581">
        <v>201.53</v>
      </c>
    </row>
    <row r="6563" ht="15" spans="3:13">
      <c r="C6563" s="571"/>
      <c r="D6563" s="571"/>
      <c r="E6563" s="571"/>
      <c r="F6563" s="571"/>
      <c r="G6563" s="571"/>
      <c r="H6563" s="571"/>
      <c r="I6563" s="571"/>
      <c r="J6563" s="571"/>
      <c r="K6563" s="571"/>
      <c r="L6563" s="571"/>
      <c r="M6563" s="571"/>
    </row>
    <row r="6564" ht="15" customHeight="1" spans="3:13">
      <c r="C6564" s="76" t="s">
        <v>2244</v>
      </c>
      <c r="D6564" s="75" t="s">
        <v>63</v>
      </c>
      <c r="E6564" s="76" t="s">
        <v>64</v>
      </c>
      <c r="F6564" s="76" t="s">
        <v>65</v>
      </c>
      <c r="G6564" s="76" t="s">
        <v>2889</v>
      </c>
      <c r="H6564" s="76"/>
      <c r="I6564" s="77" t="s">
        <v>66</v>
      </c>
      <c r="J6564" s="75" t="s">
        <v>67</v>
      </c>
      <c r="K6564" s="75" t="s">
        <v>2890</v>
      </c>
      <c r="L6564" s="75" t="s">
        <v>68</v>
      </c>
      <c r="M6564" s="75" t="s">
        <v>70</v>
      </c>
    </row>
    <row r="6565" ht="38.25" spans="3:13">
      <c r="C6565" s="569" t="s">
        <v>2891</v>
      </c>
      <c r="D6565" s="570" t="s">
        <v>2245</v>
      </c>
      <c r="E6565" s="569" t="s">
        <v>132</v>
      </c>
      <c r="F6565" s="569" t="s">
        <v>2246</v>
      </c>
      <c r="G6565" s="569">
        <v>70</v>
      </c>
      <c r="H6565" s="569"/>
      <c r="I6565" s="577" t="s">
        <v>134</v>
      </c>
      <c r="J6565" s="578">
        <v>1</v>
      </c>
      <c r="K6565" s="579"/>
      <c r="L6565" s="579">
        <v>194.62</v>
      </c>
      <c r="M6565" s="579">
        <v>194.62</v>
      </c>
    </row>
    <row r="6566" ht="23.85" customHeight="1" spans="3:13">
      <c r="C6566" s="79" t="s">
        <v>2921</v>
      </c>
      <c r="D6566" s="78" t="s">
        <v>4215</v>
      </c>
      <c r="E6566" s="79" t="s">
        <v>139</v>
      </c>
      <c r="F6566" s="79" t="s">
        <v>4216</v>
      </c>
      <c r="G6566" s="79" t="s">
        <v>2928</v>
      </c>
      <c r="H6566" s="79"/>
      <c r="I6566" s="80" t="s">
        <v>2897</v>
      </c>
      <c r="J6566" s="583">
        <v>1.2</v>
      </c>
      <c r="K6566" s="583">
        <v>0</v>
      </c>
      <c r="L6566" s="92">
        <v>33.34</v>
      </c>
      <c r="M6566" s="92">
        <v>40</v>
      </c>
    </row>
    <row r="6567" ht="23.85" customHeight="1" spans="3:13">
      <c r="C6567" s="79" t="s">
        <v>2921</v>
      </c>
      <c r="D6567" s="78" t="s">
        <v>3487</v>
      </c>
      <c r="E6567" s="79" t="s">
        <v>139</v>
      </c>
      <c r="F6567" s="79" t="s">
        <v>3488</v>
      </c>
      <c r="G6567" s="79" t="s">
        <v>2928</v>
      </c>
      <c r="H6567" s="79"/>
      <c r="I6567" s="80" t="s">
        <v>2897</v>
      </c>
      <c r="J6567" s="583">
        <v>1.2</v>
      </c>
      <c r="K6567" s="583">
        <v>0</v>
      </c>
      <c r="L6567" s="92">
        <v>30.31</v>
      </c>
      <c r="M6567" s="92">
        <v>36.37</v>
      </c>
    </row>
    <row r="6568" ht="23.85" customHeight="1" spans="3:13">
      <c r="C6568" s="100" t="s">
        <v>2893</v>
      </c>
      <c r="D6568" s="99" t="s">
        <v>4788</v>
      </c>
      <c r="E6568" s="100" t="s">
        <v>149</v>
      </c>
      <c r="F6568" s="100" t="s">
        <v>4789</v>
      </c>
      <c r="G6568" s="100" t="s">
        <v>2961</v>
      </c>
      <c r="H6568" s="100"/>
      <c r="I6568" s="101" t="s">
        <v>134</v>
      </c>
      <c r="J6568" s="580">
        <v>1</v>
      </c>
      <c r="K6568" s="580">
        <v>0</v>
      </c>
      <c r="L6568" s="102">
        <v>118.25</v>
      </c>
      <c r="M6568" s="102">
        <v>118.25</v>
      </c>
    </row>
    <row r="6569" ht="25.5" spans="3:13">
      <c r="C6569" s="108"/>
      <c r="D6569" s="108"/>
      <c r="E6569" s="108"/>
      <c r="F6569" s="108"/>
      <c r="G6569" s="108"/>
      <c r="H6569" s="108" t="s">
        <v>2898</v>
      </c>
      <c r="I6569" s="581">
        <v>52.39</v>
      </c>
      <c r="J6569" s="108" t="s">
        <v>2899</v>
      </c>
      <c r="K6569" s="581">
        <v>0</v>
      </c>
      <c r="L6569" s="108" t="s">
        <v>2900</v>
      </c>
      <c r="M6569" s="581">
        <v>52.39</v>
      </c>
    </row>
    <row r="6570" ht="26.25" spans="3:13">
      <c r="C6570" s="108"/>
      <c r="D6570" s="108"/>
      <c r="E6570" s="108"/>
      <c r="F6570" s="108"/>
      <c r="G6570" s="108"/>
      <c r="H6570" s="108" t="s">
        <v>2901</v>
      </c>
      <c r="I6570" s="581">
        <v>49.6</v>
      </c>
      <c r="J6570" s="114"/>
      <c r="K6570" s="114" t="s">
        <v>2902</v>
      </c>
      <c r="L6570" s="108"/>
      <c r="M6570" s="581">
        <v>244.22</v>
      </c>
    </row>
    <row r="6571" ht="15" spans="3:13">
      <c r="C6571" s="571"/>
      <c r="D6571" s="571"/>
      <c r="E6571" s="571"/>
      <c r="F6571" s="571"/>
      <c r="G6571" s="571"/>
      <c r="H6571" s="571"/>
      <c r="I6571" s="571"/>
      <c r="J6571" s="571"/>
      <c r="K6571" s="571"/>
      <c r="L6571" s="571"/>
      <c r="M6571" s="571"/>
    </row>
    <row r="6572" ht="15" customHeight="1" spans="3:13">
      <c r="C6572" s="76" t="s">
        <v>2247</v>
      </c>
      <c r="D6572" s="75" t="s">
        <v>63</v>
      </c>
      <c r="E6572" s="76" t="s">
        <v>64</v>
      </c>
      <c r="F6572" s="76" t="s">
        <v>65</v>
      </c>
      <c r="G6572" s="76" t="s">
        <v>2889</v>
      </c>
      <c r="H6572" s="76"/>
      <c r="I6572" s="77" t="s">
        <v>66</v>
      </c>
      <c r="J6572" s="75" t="s">
        <v>67</v>
      </c>
      <c r="K6572" s="75" t="s">
        <v>2890</v>
      </c>
      <c r="L6572" s="75" t="s">
        <v>68</v>
      </c>
      <c r="M6572" s="75" t="s">
        <v>70</v>
      </c>
    </row>
    <row r="6573" ht="38.25" spans="3:13">
      <c r="C6573" s="569" t="s">
        <v>2891</v>
      </c>
      <c r="D6573" s="570" t="s">
        <v>2248</v>
      </c>
      <c r="E6573" s="569" t="s">
        <v>132</v>
      </c>
      <c r="F6573" s="569" t="s">
        <v>2249</v>
      </c>
      <c r="G6573" s="569">
        <v>70</v>
      </c>
      <c r="H6573" s="569"/>
      <c r="I6573" s="577" t="s">
        <v>134</v>
      </c>
      <c r="J6573" s="578">
        <v>1</v>
      </c>
      <c r="K6573" s="579"/>
      <c r="L6573" s="579">
        <v>323.87</v>
      </c>
      <c r="M6573" s="579">
        <v>323.87</v>
      </c>
    </row>
    <row r="6574" ht="23.85" customHeight="1" spans="3:13">
      <c r="C6574" s="79" t="s">
        <v>2921</v>
      </c>
      <c r="D6574" s="78" t="s">
        <v>4215</v>
      </c>
      <c r="E6574" s="79" t="s">
        <v>139</v>
      </c>
      <c r="F6574" s="79" t="s">
        <v>4216</v>
      </c>
      <c r="G6574" s="79" t="s">
        <v>2928</v>
      </c>
      <c r="H6574" s="79"/>
      <c r="I6574" s="80" t="s">
        <v>2897</v>
      </c>
      <c r="J6574" s="583">
        <v>1.2</v>
      </c>
      <c r="K6574" s="583">
        <v>0</v>
      </c>
      <c r="L6574" s="92">
        <v>33.34</v>
      </c>
      <c r="M6574" s="92">
        <v>40</v>
      </c>
    </row>
    <row r="6575" ht="23.85" customHeight="1" spans="3:13">
      <c r="C6575" s="79" t="s">
        <v>2921</v>
      </c>
      <c r="D6575" s="78" t="s">
        <v>3487</v>
      </c>
      <c r="E6575" s="79" t="s">
        <v>139</v>
      </c>
      <c r="F6575" s="79" t="s">
        <v>3488</v>
      </c>
      <c r="G6575" s="79" t="s">
        <v>2928</v>
      </c>
      <c r="H6575" s="79"/>
      <c r="I6575" s="80" t="s">
        <v>2897</v>
      </c>
      <c r="J6575" s="583">
        <v>1.2</v>
      </c>
      <c r="K6575" s="583">
        <v>0</v>
      </c>
      <c r="L6575" s="92">
        <v>30.31</v>
      </c>
      <c r="M6575" s="92">
        <v>36.37</v>
      </c>
    </row>
    <row r="6576" ht="23.85" customHeight="1" spans="3:13">
      <c r="C6576" s="100" t="s">
        <v>2893</v>
      </c>
      <c r="D6576" s="99" t="s">
        <v>4790</v>
      </c>
      <c r="E6576" s="100" t="s">
        <v>149</v>
      </c>
      <c r="F6576" s="100" t="s">
        <v>4791</v>
      </c>
      <c r="G6576" s="100" t="s">
        <v>2961</v>
      </c>
      <c r="H6576" s="100"/>
      <c r="I6576" s="101" t="s">
        <v>134</v>
      </c>
      <c r="J6576" s="580">
        <v>1</v>
      </c>
      <c r="K6576" s="580">
        <v>0</v>
      </c>
      <c r="L6576" s="102">
        <v>247.5</v>
      </c>
      <c r="M6576" s="102">
        <v>247.5</v>
      </c>
    </row>
    <row r="6577" ht="25.5" spans="3:13">
      <c r="C6577" s="108"/>
      <c r="D6577" s="108"/>
      <c r="E6577" s="108"/>
      <c r="F6577" s="108"/>
      <c r="G6577" s="108"/>
      <c r="H6577" s="108" t="s">
        <v>2898</v>
      </c>
      <c r="I6577" s="581">
        <v>52.39</v>
      </c>
      <c r="J6577" s="108" t="s">
        <v>2899</v>
      </c>
      <c r="K6577" s="581">
        <v>0</v>
      </c>
      <c r="L6577" s="108" t="s">
        <v>2900</v>
      </c>
      <c r="M6577" s="581">
        <v>52.39</v>
      </c>
    </row>
    <row r="6578" ht="26.25" spans="3:13">
      <c r="C6578" s="108"/>
      <c r="D6578" s="108"/>
      <c r="E6578" s="108"/>
      <c r="F6578" s="108"/>
      <c r="G6578" s="108"/>
      <c r="H6578" s="108" t="s">
        <v>2901</v>
      </c>
      <c r="I6578" s="581">
        <v>82.55</v>
      </c>
      <c r="J6578" s="114"/>
      <c r="K6578" s="114" t="s">
        <v>2902</v>
      </c>
      <c r="L6578" s="108"/>
      <c r="M6578" s="581">
        <v>406.42</v>
      </c>
    </row>
    <row r="6579" ht="15" spans="3:13">
      <c r="C6579" s="571"/>
      <c r="D6579" s="571"/>
      <c r="E6579" s="571"/>
      <c r="F6579" s="571"/>
      <c r="G6579" s="571"/>
      <c r="H6579" s="571"/>
      <c r="I6579" s="571"/>
      <c r="J6579" s="571"/>
      <c r="K6579" s="571"/>
      <c r="L6579" s="571"/>
      <c r="M6579" s="571"/>
    </row>
    <row r="6580" ht="15" customHeight="1" spans="3:13">
      <c r="C6580" s="76" t="s">
        <v>2250</v>
      </c>
      <c r="D6580" s="75" t="s">
        <v>63</v>
      </c>
      <c r="E6580" s="76" t="s">
        <v>64</v>
      </c>
      <c r="F6580" s="76" t="s">
        <v>65</v>
      </c>
      <c r="G6580" s="76" t="s">
        <v>2889</v>
      </c>
      <c r="H6580" s="76"/>
      <c r="I6580" s="77" t="s">
        <v>66</v>
      </c>
      <c r="J6580" s="75" t="s">
        <v>67</v>
      </c>
      <c r="K6580" s="75" t="s">
        <v>2890</v>
      </c>
      <c r="L6580" s="75" t="s">
        <v>68</v>
      </c>
      <c r="M6580" s="75" t="s">
        <v>70</v>
      </c>
    </row>
    <row r="6581" ht="38.25" spans="3:13">
      <c r="C6581" s="569" t="s">
        <v>2891</v>
      </c>
      <c r="D6581" s="570" t="s">
        <v>2251</v>
      </c>
      <c r="E6581" s="569" t="s">
        <v>132</v>
      </c>
      <c r="F6581" s="569" t="s">
        <v>2252</v>
      </c>
      <c r="G6581" s="569">
        <v>70</v>
      </c>
      <c r="H6581" s="569"/>
      <c r="I6581" s="577" t="s">
        <v>134</v>
      </c>
      <c r="J6581" s="578">
        <v>1</v>
      </c>
      <c r="K6581" s="579"/>
      <c r="L6581" s="579">
        <v>323.87</v>
      </c>
      <c r="M6581" s="579">
        <v>323.87</v>
      </c>
    </row>
    <row r="6582" ht="23.85" customHeight="1" spans="3:13">
      <c r="C6582" s="79" t="s">
        <v>2921</v>
      </c>
      <c r="D6582" s="78" t="s">
        <v>4215</v>
      </c>
      <c r="E6582" s="79" t="s">
        <v>139</v>
      </c>
      <c r="F6582" s="79" t="s">
        <v>4216</v>
      </c>
      <c r="G6582" s="79" t="s">
        <v>2928</v>
      </c>
      <c r="H6582" s="79"/>
      <c r="I6582" s="80" t="s">
        <v>2897</v>
      </c>
      <c r="J6582" s="583">
        <v>1.2</v>
      </c>
      <c r="K6582" s="583">
        <v>0</v>
      </c>
      <c r="L6582" s="92">
        <v>33.34</v>
      </c>
      <c r="M6582" s="92">
        <v>40</v>
      </c>
    </row>
    <row r="6583" ht="23.85" customHeight="1" spans="3:13">
      <c r="C6583" s="79" t="s">
        <v>2921</v>
      </c>
      <c r="D6583" s="78" t="s">
        <v>3487</v>
      </c>
      <c r="E6583" s="79" t="s">
        <v>139</v>
      </c>
      <c r="F6583" s="79" t="s">
        <v>3488</v>
      </c>
      <c r="G6583" s="79" t="s">
        <v>2928</v>
      </c>
      <c r="H6583" s="79"/>
      <c r="I6583" s="80" t="s">
        <v>2897</v>
      </c>
      <c r="J6583" s="583">
        <v>1.2</v>
      </c>
      <c r="K6583" s="583">
        <v>0</v>
      </c>
      <c r="L6583" s="92">
        <v>30.31</v>
      </c>
      <c r="M6583" s="92">
        <v>36.37</v>
      </c>
    </row>
    <row r="6584" ht="23.85" customHeight="1" spans="3:13">
      <c r="C6584" s="100" t="s">
        <v>2893</v>
      </c>
      <c r="D6584" s="99" t="s">
        <v>4790</v>
      </c>
      <c r="E6584" s="100" t="s">
        <v>149</v>
      </c>
      <c r="F6584" s="100" t="s">
        <v>4791</v>
      </c>
      <c r="G6584" s="100" t="s">
        <v>2961</v>
      </c>
      <c r="H6584" s="100"/>
      <c r="I6584" s="101" t="s">
        <v>134</v>
      </c>
      <c r="J6584" s="580">
        <v>1</v>
      </c>
      <c r="K6584" s="580">
        <v>0</v>
      </c>
      <c r="L6584" s="102">
        <v>247.5</v>
      </c>
      <c r="M6584" s="102">
        <v>247.5</v>
      </c>
    </row>
    <row r="6585" ht="25.5" spans="3:13">
      <c r="C6585" s="108"/>
      <c r="D6585" s="108"/>
      <c r="E6585" s="108"/>
      <c r="F6585" s="108"/>
      <c r="G6585" s="108"/>
      <c r="H6585" s="108" t="s">
        <v>2898</v>
      </c>
      <c r="I6585" s="581">
        <v>52.39</v>
      </c>
      <c r="J6585" s="108" t="s">
        <v>2899</v>
      </c>
      <c r="K6585" s="581">
        <v>0</v>
      </c>
      <c r="L6585" s="108" t="s">
        <v>2900</v>
      </c>
      <c r="M6585" s="581">
        <v>52.39</v>
      </c>
    </row>
    <row r="6586" ht="26.25" spans="3:13">
      <c r="C6586" s="108"/>
      <c r="D6586" s="108"/>
      <c r="E6586" s="108"/>
      <c r="F6586" s="108"/>
      <c r="G6586" s="108"/>
      <c r="H6586" s="108" t="s">
        <v>2901</v>
      </c>
      <c r="I6586" s="581">
        <v>82.55</v>
      </c>
      <c r="J6586" s="114"/>
      <c r="K6586" s="114" t="s">
        <v>2902</v>
      </c>
      <c r="L6586" s="108"/>
      <c r="M6586" s="581">
        <v>406.42</v>
      </c>
    </row>
    <row r="6587" ht="15" spans="3:13">
      <c r="C6587" s="571"/>
      <c r="D6587" s="571"/>
      <c r="E6587" s="571"/>
      <c r="F6587" s="571"/>
      <c r="G6587" s="571"/>
      <c r="H6587" s="571"/>
      <c r="I6587" s="571"/>
      <c r="J6587" s="571"/>
      <c r="K6587" s="571"/>
      <c r="L6587" s="571"/>
      <c r="M6587" s="571"/>
    </row>
    <row r="6588" ht="15" customHeight="1" spans="3:13">
      <c r="C6588" s="76" t="s">
        <v>2253</v>
      </c>
      <c r="D6588" s="75" t="s">
        <v>63</v>
      </c>
      <c r="E6588" s="76" t="s">
        <v>64</v>
      </c>
      <c r="F6588" s="76" t="s">
        <v>65</v>
      </c>
      <c r="G6588" s="76" t="s">
        <v>2889</v>
      </c>
      <c r="H6588" s="76"/>
      <c r="I6588" s="77" t="s">
        <v>66</v>
      </c>
      <c r="J6588" s="75" t="s">
        <v>67</v>
      </c>
      <c r="K6588" s="75" t="s">
        <v>2890</v>
      </c>
      <c r="L6588" s="75" t="s">
        <v>68</v>
      </c>
      <c r="M6588" s="75" t="s">
        <v>70</v>
      </c>
    </row>
    <row r="6589" ht="38.25" spans="3:13">
      <c r="C6589" s="569" t="s">
        <v>2891</v>
      </c>
      <c r="D6589" s="570" t="s">
        <v>2254</v>
      </c>
      <c r="E6589" s="569" t="s">
        <v>132</v>
      </c>
      <c r="F6589" s="569" t="s">
        <v>2255</v>
      </c>
      <c r="G6589" s="569">
        <v>70</v>
      </c>
      <c r="H6589" s="569"/>
      <c r="I6589" s="577" t="s">
        <v>134</v>
      </c>
      <c r="J6589" s="578">
        <v>1</v>
      </c>
      <c r="K6589" s="579"/>
      <c r="L6589" s="579">
        <v>323.87</v>
      </c>
      <c r="M6589" s="579">
        <v>323.87</v>
      </c>
    </row>
    <row r="6590" ht="23.85" customHeight="1" spans="3:13">
      <c r="C6590" s="79" t="s">
        <v>2921</v>
      </c>
      <c r="D6590" s="78" t="s">
        <v>3487</v>
      </c>
      <c r="E6590" s="79" t="s">
        <v>139</v>
      </c>
      <c r="F6590" s="79" t="s">
        <v>3488</v>
      </c>
      <c r="G6590" s="79" t="s">
        <v>2928</v>
      </c>
      <c r="H6590" s="79"/>
      <c r="I6590" s="80" t="s">
        <v>2897</v>
      </c>
      <c r="J6590" s="583">
        <v>1.2</v>
      </c>
      <c r="K6590" s="583">
        <v>0</v>
      </c>
      <c r="L6590" s="92">
        <v>30.31</v>
      </c>
      <c r="M6590" s="92">
        <v>36.37</v>
      </c>
    </row>
    <row r="6591" ht="23.85" customHeight="1" spans="3:13">
      <c r="C6591" s="79" t="s">
        <v>2921</v>
      </c>
      <c r="D6591" s="78" t="s">
        <v>4215</v>
      </c>
      <c r="E6591" s="79" t="s">
        <v>139</v>
      </c>
      <c r="F6591" s="79" t="s">
        <v>4216</v>
      </c>
      <c r="G6591" s="79" t="s">
        <v>2928</v>
      </c>
      <c r="H6591" s="79"/>
      <c r="I6591" s="80" t="s">
        <v>2897</v>
      </c>
      <c r="J6591" s="583">
        <v>1.2</v>
      </c>
      <c r="K6591" s="583">
        <v>0</v>
      </c>
      <c r="L6591" s="92">
        <v>33.34</v>
      </c>
      <c r="M6591" s="92">
        <v>40</v>
      </c>
    </row>
    <row r="6592" ht="23.85" customHeight="1" spans="3:13">
      <c r="C6592" s="100" t="s">
        <v>2893</v>
      </c>
      <c r="D6592" s="99" t="s">
        <v>4790</v>
      </c>
      <c r="E6592" s="100" t="s">
        <v>149</v>
      </c>
      <c r="F6592" s="100" t="s">
        <v>4791</v>
      </c>
      <c r="G6592" s="100" t="s">
        <v>2961</v>
      </c>
      <c r="H6592" s="100"/>
      <c r="I6592" s="101" t="s">
        <v>134</v>
      </c>
      <c r="J6592" s="580">
        <v>1</v>
      </c>
      <c r="K6592" s="580">
        <v>0</v>
      </c>
      <c r="L6592" s="102">
        <v>247.5</v>
      </c>
      <c r="M6592" s="102">
        <v>247.5</v>
      </c>
    </row>
    <row r="6593" ht="25.5" spans="3:13">
      <c r="C6593" s="108"/>
      <c r="D6593" s="108"/>
      <c r="E6593" s="108"/>
      <c r="F6593" s="108"/>
      <c r="G6593" s="108"/>
      <c r="H6593" s="108" t="s">
        <v>2898</v>
      </c>
      <c r="I6593" s="581">
        <v>52.39</v>
      </c>
      <c r="J6593" s="108" t="s">
        <v>2899</v>
      </c>
      <c r="K6593" s="581">
        <v>0</v>
      </c>
      <c r="L6593" s="108" t="s">
        <v>2900</v>
      </c>
      <c r="M6593" s="581">
        <v>52.39</v>
      </c>
    </row>
    <row r="6594" ht="26.25" spans="3:13">
      <c r="C6594" s="108"/>
      <c r="D6594" s="108"/>
      <c r="E6594" s="108"/>
      <c r="F6594" s="108"/>
      <c r="G6594" s="108"/>
      <c r="H6594" s="108" t="s">
        <v>2901</v>
      </c>
      <c r="I6594" s="581">
        <v>82.55</v>
      </c>
      <c r="J6594" s="114"/>
      <c r="K6594" s="114" t="s">
        <v>2902</v>
      </c>
      <c r="L6594" s="108"/>
      <c r="M6594" s="581">
        <v>406.42</v>
      </c>
    </row>
    <row r="6595" ht="15" spans="3:13">
      <c r="C6595" s="571"/>
      <c r="D6595" s="571"/>
      <c r="E6595" s="571"/>
      <c r="F6595" s="571"/>
      <c r="G6595" s="571"/>
      <c r="H6595" s="571"/>
      <c r="I6595" s="571"/>
      <c r="J6595" s="571"/>
      <c r="K6595" s="571"/>
      <c r="L6595" s="571"/>
      <c r="M6595" s="571"/>
    </row>
    <row r="6596" ht="15" customHeight="1" spans="3:13">
      <c r="C6596" s="76" t="s">
        <v>2256</v>
      </c>
      <c r="D6596" s="75" t="s">
        <v>63</v>
      </c>
      <c r="E6596" s="76" t="s">
        <v>64</v>
      </c>
      <c r="F6596" s="76" t="s">
        <v>65</v>
      </c>
      <c r="G6596" s="76" t="s">
        <v>2889</v>
      </c>
      <c r="H6596" s="76"/>
      <c r="I6596" s="77" t="s">
        <v>66</v>
      </c>
      <c r="J6596" s="75" t="s">
        <v>67</v>
      </c>
      <c r="K6596" s="75" t="s">
        <v>2890</v>
      </c>
      <c r="L6596" s="75" t="s">
        <v>68</v>
      </c>
      <c r="M6596" s="75" t="s">
        <v>70</v>
      </c>
    </row>
    <row r="6597" ht="38.25" spans="3:13">
      <c r="C6597" s="569" t="s">
        <v>2891</v>
      </c>
      <c r="D6597" s="570" t="s">
        <v>2257</v>
      </c>
      <c r="E6597" s="569" t="s">
        <v>132</v>
      </c>
      <c r="F6597" s="569" t="s">
        <v>2258</v>
      </c>
      <c r="G6597" s="569">
        <v>70</v>
      </c>
      <c r="H6597" s="569"/>
      <c r="I6597" s="577" t="s">
        <v>134</v>
      </c>
      <c r="J6597" s="578">
        <v>1</v>
      </c>
      <c r="K6597" s="579"/>
      <c r="L6597" s="579">
        <v>388.5</v>
      </c>
      <c r="M6597" s="579">
        <v>388.5</v>
      </c>
    </row>
    <row r="6598" ht="23.85" customHeight="1" spans="3:13">
      <c r="C6598" s="79" t="s">
        <v>2921</v>
      </c>
      <c r="D6598" s="78" t="s">
        <v>4215</v>
      </c>
      <c r="E6598" s="79" t="s">
        <v>139</v>
      </c>
      <c r="F6598" s="79" t="s">
        <v>4216</v>
      </c>
      <c r="G6598" s="79" t="s">
        <v>2928</v>
      </c>
      <c r="H6598" s="79"/>
      <c r="I6598" s="80" t="s">
        <v>2897</v>
      </c>
      <c r="J6598" s="583">
        <v>1.2</v>
      </c>
      <c r="K6598" s="583">
        <v>0</v>
      </c>
      <c r="L6598" s="92">
        <v>33.34</v>
      </c>
      <c r="M6598" s="92">
        <v>40</v>
      </c>
    </row>
    <row r="6599" ht="23.85" customHeight="1" spans="3:13">
      <c r="C6599" s="79" t="s">
        <v>2921</v>
      </c>
      <c r="D6599" s="78" t="s">
        <v>3487</v>
      </c>
      <c r="E6599" s="79" t="s">
        <v>139</v>
      </c>
      <c r="F6599" s="79" t="s">
        <v>3488</v>
      </c>
      <c r="G6599" s="79" t="s">
        <v>2928</v>
      </c>
      <c r="H6599" s="79"/>
      <c r="I6599" s="80" t="s">
        <v>2897</v>
      </c>
      <c r="J6599" s="583">
        <v>1.2</v>
      </c>
      <c r="K6599" s="583">
        <v>0</v>
      </c>
      <c r="L6599" s="92">
        <v>30.31</v>
      </c>
      <c r="M6599" s="92">
        <v>36.37</v>
      </c>
    </row>
    <row r="6600" ht="23.85" customHeight="1" spans="3:13">
      <c r="C6600" s="100" t="s">
        <v>2893</v>
      </c>
      <c r="D6600" s="99" t="s">
        <v>4792</v>
      </c>
      <c r="E6600" s="100" t="s">
        <v>149</v>
      </c>
      <c r="F6600" s="100" t="s">
        <v>4793</v>
      </c>
      <c r="G6600" s="100" t="s">
        <v>2961</v>
      </c>
      <c r="H6600" s="100"/>
      <c r="I6600" s="101" t="s">
        <v>134</v>
      </c>
      <c r="J6600" s="580">
        <v>1</v>
      </c>
      <c r="K6600" s="580">
        <v>0</v>
      </c>
      <c r="L6600" s="102">
        <v>312.13</v>
      </c>
      <c r="M6600" s="102">
        <v>312.13</v>
      </c>
    </row>
    <row r="6601" ht="25.5" spans="3:13">
      <c r="C6601" s="108"/>
      <c r="D6601" s="108"/>
      <c r="E6601" s="108"/>
      <c r="F6601" s="108"/>
      <c r="G6601" s="108"/>
      <c r="H6601" s="108" t="s">
        <v>2898</v>
      </c>
      <c r="I6601" s="581">
        <v>52.39</v>
      </c>
      <c r="J6601" s="108" t="s">
        <v>2899</v>
      </c>
      <c r="K6601" s="581">
        <v>0</v>
      </c>
      <c r="L6601" s="108" t="s">
        <v>2900</v>
      </c>
      <c r="M6601" s="581">
        <v>52.39</v>
      </c>
    </row>
    <row r="6602" ht="26.25" spans="3:13">
      <c r="C6602" s="108"/>
      <c r="D6602" s="108"/>
      <c r="E6602" s="108"/>
      <c r="F6602" s="108"/>
      <c r="G6602" s="108"/>
      <c r="H6602" s="108" t="s">
        <v>2901</v>
      </c>
      <c r="I6602" s="581">
        <v>99.02</v>
      </c>
      <c r="J6602" s="114"/>
      <c r="K6602" s="114" t="s">
        <v>2902</v>
      </c>
      <c r="L6602" s="108"/>
      <c r="M6602" s="581">
        <v>487.52</v>
      </c>
    </row>
    <row r="6603" ht="15" spans="3:13">
      <c r="C6603" s="571"/>
      <c r="D6603" s="571"/>
      <c r="E6603" s="571"/>
      <c r="F6603" s="571"/>
      <c r="G6603" s="571"/>
      <c r="H6603" s="571"/>
      <c r="I6603" s="571"/>
      <c r="J6603" s="571"/>
      <c r="K6603" s="571"/>
      <c r="L6603" s="571"/>
      <c r="M6603" s="571"/>
    </row>
    <row r="6604" ht="15" customHeight="1" spans="3:13">
      <c r="C6604" s="76" t="s">
        <v>2259</v>
      </c>
      <c r="D6604" s="75" t="s">
        <v>63</v>
      </c>
      <c r="E6604" s="76" t="s">
        <v>64</v>
      </c>
      <c r="F6604" s="76" t="s">
        <v>65</v>
      </c>
      <c r="G6604" s="76" t="s">
        <v>2889</v>
      </c>
      <c r="H6604" s="76"/>
      <c r="I6604" s="77" t="s">
        <v>66</v>
      </c>
      <c r="J6604" s="75" t="s">
        <v>67</v>
      </c>
      <c r="K6604" s="75" t="s">
        <v>2890</v>
      </c>
      <c r="L6604" s="75" t="s">
        <v>68</v>
      </c>
      <c r="M6604" s="75" t="s">
        <v>70</v>
      </c>
    </row>
    <row r="6605" ht="38.25" spans="3:13">
      <c r="C6605" s="569" t="s">
        <v>2891</v>
      </c>
      <c r="D6605" s="570" t="s">
        <v>2260</v>
      </c>
      <c r="E6605" s="569" t="s">
        <v>132</v>
      </c>
      <c r="F6605" s="569" t="s">
        <v>2261</v>
      </c>
      <c r="G6605" s="569">
        <v>70</v>
      </c>
      <c r="H6605" s="569"/>
      <c r="I6605" s="577" t="s">
        <v>134</v>
      </c>
      <c r="J6605" s="578">
        <v>1</v>
      </c>
      <c r="K6605" s="579"/>
      <c r="L6605" s="579">
        <v>519.12</v>
      </c>
      <c r="M6605" s="579">
        <v>519.12</v>
      </c>
    </row>
    <row r="6606" ht="23.85" customHeight="1" spans="3:13">
      <c r="C6606" s="79" t="s">
        <v>2921</v>
      </c>
      <c r="D6606" s="78" t="s">
        <v>4215</v>
      </c>
      <c r="E6606" s="79" t="s">
        <v>139</v>
      </c>
      <c r="F6606" s="79" t="s">
        <v>4216</v>
      </c>
      <c r="G6606" s="79" t="s">
        <v>2928</v>
      </c>
      <c r="H6606" s="79"/>
      <c r="I6606" s="80" t="s">
        <v>2897</v>
      </c>
      <c r="J6606" s="583">
        <v>1.2</v>
      </c>
      <c r="K6606" s="583">
        <v>0</v>
      </c>
      <c r="L6606" s="92">
        <v>33.34</v>
      </c>
      <c r="M6606" s="92">
        <v>40</v>
      </c>
    </row>
    <row r="6607" ht="23.85" customHeight="1" spans="3:13">
      <c r="C6607" s="79" t="s">
        <v>2921</v>
      </c>
      <c r="D6607" s="78" t="s">
        <v>3487</v>
      </c>
      <c r="E6607" s="79" t="s">
        <v>139</v>
      </c>
      <c r="F6607" s="79" t="s">
        <v>3488</v>
      </c>
      <c r="G6607" s="79" t="s">
        <v>2928</v>
      </c>
      <c r="H6607" s="79"/>
      <c r="I6607" s="80" t="s">
        <v>2897</v>
      </c>
      <c r="J6607" s="583">
        <v>1.2</v>
      </c>
      <c r="K6607" s="583">
        <v>0</v>
      </c>
      <c r="L6607" s="92">
        <v>30.31</v>
      </c>
      <c r="M6607" s="92">
        <v>36.37</v>
      </c>
    </row>
    <row r="6608" ht="23.85" customHeight="1" spans="3:13">
      <c r="C6608" s="100" t="s">
        <v>2893</v>
      </c>
      <c r="D6608" s="99" t="s">
        <v>4794</v>
      </c>
      <c r="E6608" s="100" t="s">
        <v>149</v>
      </c>
      <c r="F6608" s="100" t="s">
        <v>4795</v>
      </c>
      <c r="G6608" s="100" t="s">
        <v>2961</v>
      </c>
      <c r="H6608" s="100"/>
      <c r="I6608" s="101" t="s">
        <v>134</v>
      </c>
      <c r="J6608" s="580">
        <v>1</v>
      </c>
      <c r="K6608" s="580">
        <v>0</v>
      </c>
      <c r="L6608" s="102">
        <v>442.75</v>
      </c>
      <c r="M6608" s="102">
        <v>442.75</v>
      </c>
    </row>
    <row r="6609" ht="25.5" spans="3:13">
      <c r="C6609" s="108"/>
      <c r="D6609" s="108"/>
      <c r="E6609" s="108"/>
      <c r="F6609" s="108"/>
      <c r="G6609" s="108"/>
      <c r="H6609" s="108" t="s">
        <v>2898</v>
      </c>
      <c r="I6609" s="581">
        <v>52.39</v>
      </c>
      <c r="J6609" s="108" t="s">
        <v>2899</v>
      </c>
      <c r="K6609" s="581">
        <v>0</v>
      </c>
      <c r="L6609" s="108" t="s">
        <v>2900</v>
      </c>
      <c r="M6609" s="581">
        <v>52.39</v>
      </c>
    </row>
    <row r="6610" ht="26.25" spans="3:13">
      <c r="C6610" s="108"/>
      <c r="D6610" s="108"/>
      <c r="E6610" s="108"/>
      <c r="F6610" s="108"/>
      <c r="G6610" s="108"/>
      <c r="H6610" s="108" t="s">
        <v>2901</v>
      </c>
      <c r="I6610" s="581">
        <v>132.32</v>
      </c>
      <c r="J6610" s="114"/>
      <c r="K6610" s="114" t="s">
        <v>2902</v>
      </c>
      <c r="L6610" s="108"/>
      <c r="M6610" s="581">
        <v>651.44</v>
      </c>
    </row>
    <row r="6611" ht="15" spans="3:13">
      <c r="C6611" s="571"/>
      <c r="D6611" s="571"/>
      <c r="E6611" s="571"/>
      <c r="F6611" s="571"/>
      <c r="G6611" s="571"/>
      <c r="H6611" s="571"/>
      <c r="I6611" s="571"/>
      <c r="J6611" s="571"/>
      <c r="K6611" s="571"/>
      <c r="L6611" s="571"/>
      <c r="M6611" s="571"/>
    </row>
    <row r="6612" ht="15" customHeight="1" spans="3:13">
      <c r="C6612" s="76" t="s">
        <v>2262</v>
      </c>
      <c r="D6612" s="75" t="s">
        <v>63</v>
      </c>
      <c r="E6612" s="76" t="s">
        <v>64</v>
      </c>
      <c r="F6612" s="76" t="s">
        <v>65</v>
      </c>
      <c r="G6612" s="76" t="s">
        <v>2889</v>
      </c>
      <c r="H6612" s="76"/>
      <c r="I6612" s="77" t="s">
        <v>66</v>
      </c>
      <c r="J6612" s="75" t="s">
        <v>67</v>
      </c>
      <c r="K6612" s="75" t="s">
        <v>2890</v>
      </c>
      <c r="L6612" s="75" t="s">
        <v>68</v>
      </c>
      <c r="M6612" s="75" t="s">
        <v>70</v>
      </c>
    </row>
    <row r="6613" ht="38.25" spans="3:13">
      <c r="C6613" s="569" t="s">
        <v>2891</v>
      </c>
      <c r="D6613" s="570" t="s">
        <v>2263</v>
      </c>
      <c r="E6613" s="569" t="s">
        <v>132</v>
      </c>
      <c r="F6613" s="569" t="s">
        <v>2264</v>
      </c>
      <c r="G6613" s="569">
        <v>70</v>
      </c>
      <c r="H6613" s="569"/>
      <c r="I6613" s="577" t="s">
        <v>134</v>
      </c>
      <c r="J6613" s="578">
        <v>1</v>
      </c>
      <c r="K6613" s="579"/>
      <c r="L6613" s="579">
        <v>465.5</v>
      </c>
      <c r="M6613" s="579">
        <v>465.5</v>
      </c>
    </row>
    <row r="6614" ht="23.85" customHeight="1" spans="3:13">
      <c r="C6614" s="79" t="s">
        <v>2921</v>
      </c>
      <c r="D6614" s="78" t="s">
        <v>4215</v>
      </c>
      <c r="E6614" s="79" t="s">
        <v>139</v>
      </c>
      <c r="F6614" s="79" t="s">
        <v>4216</v>
      </c>
      <c r="G6614" s="79" t="s">
        <v>2928</v>
      </c>
      <c r="H6614" s="79"/>
      <c r="I6614" s="80" t="s">
        <v>2897</v>
      </c>
      <c r="J6614" s="583">
        <v>1.2</v>
      </c>
      <c r="K6614" s="583">
        <v>0</v>
      </c>
      <c r="L6614" s="92">
        <v>33.34</v>
      </c>
      <c r="M6614" s="92">
        <v>40</v>
      </c>
    </row>
    <row r="6615" ht="23.85" customHeight="1" spans="3:13">
      <c r="C6615" s="79" t="s">
        <v>2921</v>
      </c>
      <c r="D6615" s="78" t="s">
        <v>3487</v>
      </c>
      <c r="E6615" s="79" t="s">
        <v>139</v>
      </c>
      <c r="F6615" s="79" t="s">
        <v>3488</v>
      </c>
      <c r="G6615" s="79" t="s">
        <v>2928</v>
      </c>
      <c r="H6615" s="79"/>
      <c r="I6615" s="80" t="s">
        <v>2897</v>
      </c>
      <c r="J6615" s="583">
        <v>1.2</v>
      </c>
      <c r="K6615" s="583">
        <v>0</v>
      </c>
      <c r="L6615" s="92">
        <v>30.31</v>
      </c>
      <c r="M6615" s="92">
        <v>36.37</v>
      </c>
    </row>
    <row r="6616" ht="23.85" customHeight="1" spans="3:13">
      <c r="C6616" s="100" t="s">
        <v>2893</v>
      </c>
      <c r="D6616" s="99" t="s">
        <v>4796</v>
      </c>
      <c r="E6616" s="100" t="s">
        <v>149</v>
      </c>
      <c r="F6616" s="100" t="s">
        <v>4797</v>
      </c>
      <c r="G6616" s="100" t="s">
        <v>2961</v>
      </c>
      <c r="H6616" s="100"/>
      <c r="I6616" s="101" t="s">
        <v>134</v>
      </c>
      <c r="J6616" s="580">
        <v>1</v>
      </c>
      <c r="K6616" s="580">
        <v>0</v>
      </c>
      <c r="L6616" s="102">
        <v>389.13</v>
      </c>
      <c r="M6616" s="102">
        <v>389.13</v>
      </c>
    </row>
    <row r="6617" ht="25.5" spans="3:13">
      <c r="C6617" s="108"/>
      <c r="D6617" s="108"/>
      <c r="E6617" s="108"/>
      <c r="F6617" s="108"/>
      <c r="G6617" s="108"/>
      <c r="H6617" s="108" t="s">
        <v>2898</v>
      </c>
      <c r="I6617" s="581">
        <v>52.39</v>
      </c>
      <c r="J6617" s="108" t="s">
        <v>2899</v>
      </c>
      <c r="K6617" s="581">
        <v>0</v>
      </c>
      <c r="L6617" s="108" t="s">
        <v>2900</v>
      </c>
      <c r="M6617" s="581">
        <v>52.39</v>
      </c>
    </row>
    <row r="6618" ht="26.25" spans="3:13">
      <c r="C6618" s="108"/>
      <c r="D6618" s="108"/>
      <c r="E6618" s="108"/>
      <c r="F6618" s="108"/>
      <c r="G6618" s="108"/>
      <c r="H6618" s="108" t="s">
        <v>2901</v>
      </c>
      <c r="I6618" s="581">
        <v>118.65</v>
      </c>
      <c r="J6618" s="114"/>
      <c r="K6618" s="114" t="s">
        <v>2902</v>
      </c>
      <c r="L6618" s="108"/>
      <c r="M6618" s="581">
        <v>584.15</v>
      </c>
    </row>
    <row r="6619" ht="15" spans="3:13">
      <c r="C6619" s="571"/>
      <c r="D6619" s="571"/>
      <c r="E6619" s="571"/>
      <c r="F6619" s="571"/>
      <c r="G6619" s="571"/>
      <c r="H6619" s="571"/>
      <c r="I6619" s="571"/>
      <c r="J6619" s="571"/>
      <c r="K6619" s="571"/>
      <c r="L6619" s="571"/>
      <c r="M6619" s="571"/>
    </row>
    <row r="6620" ht="15" customHeight="1" spans="3:13">
      <c r="C6620" s="76" t="s">
        <v>2265</v>
      </c>
      <c r="D6620" s="75" t="s">
        <v>63</v>
      </c>
      <c r="E6620" s="76" t="s">
        <v>64</v>
      </c>
      <c r="F6620" s="76" t="s">
        <v>65</v>
      </c>
      <c r="G6620" s="76" t="s">
        <v>2889</v>
      </c>
      <c r="H6620" s="76"/>
      <c r="I6620" s="77" t="s">
        <v>66</v>
      </c>
      <c r="J6620" s="75" t="s">
        <v>67</v>
      </c>
      <c r="K6620" s="75" t="s">
        <v>2890</v>
      </c>
      <c r="L6620" s="75" t="s">
        <v>68</v>
      </c>
      <c r="M6620" s="75" t="s">
        <v>70</v>
      </c>
    </row>
    <row r="6621" ht="38.25" spans="3:13">
      <c r="C6621" s="569" t="s">
        <v>2891</v>
      </c>
      <c r="D6621" s="570" t="s">
        <v>2266</v>
      </c>
      <c r="E6621" s="569" t="s">
        <v>132</v>
      </c>
      <c r="F6621" s="569" t="s">
        <v>2267</v>
      </c>
      <c r="G6621" s="569">
        <v>73</v>
      </c>
      <c r="H6621" s="569"/>
      <c r="I6621" s="577" t="s">
        <v>134</v>
      </c>
      <c r="J6621" s="578">
        <v>1</v>
      </c>
      <c r="K6621" s="579"/>
      <c r="L6621" s="579">
        <v>948.04</v>
      </c>
      <c r="M6621" s="579">
        <v>948.04</v>
      </c>
    </row>
    <row r="6622" ht="23.85" customHeight="1" spans="3:13">
      <c r="C6622" s="79" t="s">
        <v>2921</v>
      </c>
      <c r="D6622" s="78" t="s">
        <v>3487</v>
      </c>
      <c r="E6622" s="79" t="s">
        <v>139</v>
      </c>
      <c r="F6622" s="79" t="s">
        <v>3488</v>
      </c>
      <c r="G6622" s="79" t="s">
        <v>2928</v>
      </c>
      <c r="H6622" s="79"/>
      <c r="I6622" s="80" t="s">
        <v>2897</v>
      </c>
      <c r="J6622" s="583">
        <v>2.5</v>
      </c>
      <c r="K6622" s="583">
        <v>0</v>
      </c>
      <c r="L6622" s="92">
        <v>30.31</v>
      </c>
      <c r="M6622" s="92">
        <v>75.77</v>
      </c>
    </row>
    <row r="6623" ht="23.85" customHeight="1" spans="3:13">
      <c r="C6623" s="79" t="s">
        <v>2921</v>
      </c>
      <c r="D6623" s="78" t="s">
        <v>4215</v>
      </c>
      <c r="E6623" s="79" t="s">
        <v>139</v>
      </c>
      <c r="F6623" s="79" t="s">
        <v>4216</v>
      </c>
      <c r="G6623" s="79" t="s">
        <v>2928</v>
      </c>
      <c r="H6623" s="79"/>
      <c r="I6623" s="80" t="s">
        <v>2897</v>
      </c>
      <c r="J6623" s="583">
        <v>2.5</v>
      </c>
      <c r="K6623" s="583">
        <v>0</v>
      </c>
      <c r="L6623" s="92">
        <v>33.34</v>
      </c>
      <c r="M6623" s="92">
        <v>83.35</v>
      </c>
    </row>
    <row r="6624" ht="23.85" customHeight="1" spans="3:13">
      <c r="C6624" s="100" t="s">
        <v>2893</v>
      </c>
      <c r="D6624" s="99" t="s">
        <v>4798</v>
      </c>
      <c r="E6624" s="100" t="s">
        <v>132</v>
      </c>
      <c r="F6624" s="100" t="s">
        <v>4799</v>
      </c>
      <c r="G6624" s="100" t="s">
        <v>2961</v>
      </c>
      <c r="H6624" s="100"/>
      <c r="I6624" s="101" t="s">
        <v>134</v>
      </c>
      <c r="J6624" s="580">
        <v>1</v>
      </c>
      <c r="K6624" s="580">
        <v>0</v>
      </c>
      <c r="L6624" s="102">
        <v>788.92</v>
      </c>
      <c r="M6624" s="102">
        <v>788.92</v>
      </c>
    </row>
    <row r="6625" ht="25.5" spans="3:13">
      <c r="C6625" s="108"/>
      <c r="D6625" s="108"/>
      <c r="E6625" s="108"/>
      <c r="F6625" s="108"/>
      <c r="G6625" s="108"/>
      <c r="H6625" s="108" t="s">
        <v>2898</v>
      </c>
      <c r="I6625" s="581">
        <v>109.17</v>
      </c>
      <c r="J6625" s="108" t="s">
        <v>2899</v>
      </c>
      <c r="K6625" s="581">
        <v>0</v>
      </c>
      <c r="L6625" s="108" t="s">
        <v>2900</v>
      </c>
      <c r="M6625" s="581">
        <v>109.17</v>
      </c>
    </row>
    <row r="6626" ht="26.25" spans="3:13">
      <c r="C6626" s="108"/>
      <c r="D6626" s="108"/>
      <c r="E6626" s="108"/>
      <c r="F6626" s="108"/>
      <c r="G6626" s="108"/>
      <c r="H6626" s="108" t="s">
        <v>2901</v>
      </c>
      <c r="I6626" s="581">
        <v>241.65</v>
      </c>
      <c r="J6626" s="114"/>
      <c r="K6626" s="114" t="s">
        <v>2902</v>
      </c>
      <c r="L6626" s="108"/>
      <c r="M6626" s="581">
        <v>1189.69</v>
      </c>
    </row>
    <row r="6627" ht="15" spans="3:13">
      <c r="C6627" s="571"/>
      <c r="D6627" s="571"/>
      <c r="E6627" s="571"/>
      <c r="F6627" s="571"/>
      <c r="G6627" s="571"/>
      <c r="H6627" s="571"/>
      <c r="I6627" s="571"/>
      <c r="J6627" s="571"/>
      <c r="K6627" s="571"/>
      <c r="L6627" s="571"/>
      <c r="M6627" s="571"/>
    </row>
    <row r="6628" ht="15" customHeight="1" spans="3:13">
      <c r="C6628" s="76" t="s">
        <v>2268</v>
      </c>
      <c r="D6628" s="75" t="s">
        <v>63</v>
      </c>
      <c r="E6628" s="76" t="s">
        <v>64</v>
      </c>
      <c r="F6628" s="76" t="s">
        <v>65</v>
      </c>
      <c r="G6628" s="76" t="s">
        <v>2889</v>
      </c>
      <c r="H6628" s="76"/>
      <c r="I6628" s="77" t="s">
        <v>66</v>
      </c>
      <c r="J6628" s="75" t="s">
        <v>67</v>
      </c>
      <c r="K6628" s="75" t="s">
        <v>2890</v>
      </c>
      <c r="L6628" s="75" t="s">
        <v>68</v>
      </c>
      <c r="M6628" s="75" t="s">
        <v>70</v>
      </c>
    </row>
    <row r="6629" ht="38.25" spans="3:13">
      <c r="C6629" s="569" t="s">
        <v>2891</v>
      </c>
      <c r="D6629" s="570" t="s">
        <v>2269</v>
      </c>
      <c r="E6629" s="569" t="s">
        <v>132</v>
      </c>
      <c r="F6629" s="569" t="s">
        <v>2270</v>
      </c>
      <c r="G6629" s="569">
        <v>73</v>
      </c>
      <c r="H6629" s="569"/>
      <c r="I6629" s="577" t="s">
        <v>134</v>
      </c>
      <c r="J6629" s="578">
        <v>1</v>
      </c>
      <c r="K6629" s="579"/>
      <c r="L6629" s="579">
        <v>990.85</v>
      </c>
      <c r="M6629" s="579">
        <v>990.85</v>
      </c>
    </row>
    <row r="6630" ht="23.85" customHeight="1" spans="3:13">
      <c r="C6630" s="79" t="s">
        <v>2921</v>
      </c>
      <c r="D6630" s="78" t="s">
        <v>3487</v>
      </c>
      <c r="E6630" s="79" t="s">
        <v>139</v>
      </c>
      <c r="F6630" s="79" t="s">
        <v>3488</v>
      </c>
      <c r="G6630" s="79" t="s">
        <v>2928</v>
      </c>
      <c r="H6630" s="79"/>
      <c r="I6630" s="80" t="s">
        <v>2897</v>
      </c>
      <c r="J6630" s="583">
        <v>2.5</v>
      </c>
      <c r="K6630" s="583">
        <v>0</v>
      </c>
      <c r="L6630" s="92">
        <v>30.31</v>
      </c>
      <c r="M6630" s="92">
        <v>75.77</v>
      </c>
    </row>
    <row r="6631" ht="23.85" customHeight="1" spans="3:13">
      <c r="C6631" s="79" t="s">
        <v>2921</v>
      </c>
      <c r="D6631" s="78" t="s">
        <v>4215</v>
      </c>
      <c r="E6631" s="79" t="s">
        <v>139</v>
      </c>
      <c r="F6631" s="79" t="s">
        <v>4216</v>
      </c>
      <c r="G6631" s="79" t="s">
        <v>2928</v>
      </c>
      <c r="H6631" s="79"/>
      <c r="I6631" s="80" t="s">
        <v>2897</v>
      </c>
      <c r="J6631" s="583">
        <v>2.5</v>
      </c>
      <c r="K6631" s="583">
        <v>0</v>
      </c>
      <c r="L6631" s="92">
        <v>33.34</v>
      </c>
      <c r="M6631" s="92">
        <v>83.35</v>
      </c>
    </row>
    <row r="6632" ht="23.85" customHeight="1" spans="3:13">
      <c r="C6632" s="100" t="s">
        <v>2893</v>
      </c>
      <c r="D6632" s="99" t="s">
        <v>4800</v>
      </c>
      <c r="E6632" s="100" t="s">
        <v>132</v>
      </c>
      <c r="F6632" s="100" t="s">
        <v>4801</v>
      </c>
      <c r="G6632" s="100" t="s">
        <v>2961</v>
      </c>
      <c r="H6632" s="100"/>
      <c r="I6632" s="101" t="s">
        <v>134</v>
      </c>
      <c r="J6632" s="580">
        <v>1</v>
      </c>
      <c r="K6632" s="580">
        <v>0</v>
      </c>
      <c r="L6632" s="102">
        <v>831.73</v>
      </c>
      <c r="M6632" s="102">
        <v>831.73</v>
      </c>
    </row>
    <row r="6633" ht="25.5" spans="3:13">
      <c r="C6633" s="108"/>
      <c r="D6633" s="108"/>
      <c r="E6633" s="108"/>
      <c r="F6633" s="108"/>
      <c r="G6633" s="108"/>
      <c r="H6633" s="108" t="s">
        <v>2898</v>
      </c>
      <c r="I6633" s="581">
        <v>109.17</v>
      </c>
      <c r="J6633" s="108" t="s">
        <v>2899</v>
      </c>
      <c r="K6633" s="581">
        <v>0</v>
      </c>
      <c r="L6633" s="108" t="s">
        <v>2900</v>
      </c>
      <c r="M6633" s="581">
        <v>109.17</v>
      </c>
    </row>
    <row r="6634" ht="26.25" spans="3:13">
      <c r="C6634" s="108"/>
      <c r="D6634" s="108"/>
      <c r="E6634" s="108"/>
      <c r="F6634" s="108"/>
      <c r="G6634" s="108"/>
      <c r="H6634" s="108" t="s">
        <v>2901</v>
      </c>
      <c r="I6634" s="581">
        <v>252.56</v>
      </c>
      <c r="J6634" s="114"/>
      <c r="K6634" s="114" t="s">
        <v>2902</v>
      </c>
      <c r="L6634" s="108"/>
      <c r="M6634" s="581">
        <v>1243.41</v>
      </c>
    </row>
    <row r="6635" ht="15" spans="3:13">
      <c r="C6635" s="571"/>
      <c r="D6635" s="571"/>
      <c r="E6635" s="571"/>
      <c r="F6635" s="571"/>
      <c r="G6635" s="571"/>
      <c r="H6635" s="571"/>
      <c r="I6635" s="571"/>
      <c r="J6635" s="571"/>
      <c r="K6635" s="571"/>
      <c r="L6635" s="571"/>
      <c r="M6635" s="571"/>
    </row>
    <row r="6636" ht="15" customHeight="1" spans="3:13">
      <c r="C6636" s="76" t="s">
        <v>2271</v>
      </c>
      <c r="D6636" s="75" t="s">
        <v>63</v>
      </c>
      <c r="E6636" s="76" t="s">
        <v>64</v>
      </c>
      <c r="F6636" s="76" t="s">
        <v>65</v>
      </c>
      <c r="G6636" s="76" t="s">
        <v>2889</v>
      </c>
      <c r="H6636" s="76"/>
      <c r="I6636" s="77" t="s">
        <v>66</v>
      </c>
      <c r="J6636" s="75" t="s">
        <v>67</v>
      </c>
      <c r="K6636" s="75" t="s">
        <v>2890</v>
      </c>
      <c r="L6636" s="75" t="s">
        <v>68</v>
      </c>
      <c r="M6636" s="75" t="s">
        <v>70</v>
      </c>
    </row>
    <row r="6637" ht="38.25" spans="3:13">
      <c r="C6637" s="569" t="s">
        <v>2891</v>
      </c>
      <c r="D6637" s="570" t="s">
        <v>2272</v>
      </c>
      <c r="E6637" s="569" t="s">
        <v>132</v>
      </c>
      <c r="F6637" s="569" t="s">
        <v>2273</v>
      </c>
      <c r="G6637" s="569">
        <v>73</v>
      </c>
      <c r="H6637" s="569"/>
      <c r="I6637" s="577" t="s">
        <v>134</v>
      </c>
      <c r="J6637" s="578">
        <v>1</v>
      </c>
      <c r="K6637" s="579"/>
      <c r="L6637" s="579">
        <v>1005.56</v>
      </c>
      <c r="M6637" s="579">
        <v>1005.56</v>
      </c>
    </row>
    <row r="6638" ht="23.85" customHeight="1" spans="3:13">
      <c r="C6638" s="79" t="s">
        <v>2921</v>
      </c>
      <c r="D6638" s="78" t="s">
        <v>3487</v>
      </c>
      <c r="E6638" s="79" t="s">
        <v>139</v>
      </c>
      <c r="F6638" s="79" t="s">
        <v>3488</v>
      </c>
      <c r="G6638" s="79" t="s">
        <v>2928</v>
      </c>
      <c r="H6638" s="79"/>
      <c r="I6638" s="80" t="s">
        <v>2897</v>
      </c>
      <c r="J6638" s="583">
        <v>2.5</v>
      </c>
      <c r="K6638" s="583">
        <v>0</v>
      </c>
      <c r="L6638" s="92">
        <v>30.31</v>
      </c>
      <c r="M6638" s="92">
        <v>75.77</v>
      </c>
    </row>
    <row r="6639" ht="23.85" customHeight="1" spans="3:13">
      <c r="C6639" s="79" t="s">
        <v>2921</v>
      </c>
      <c r="D6639" s="78" t="s">
        <v>4215</v>
      </c>
      <c r="E6639" s="79" t="s">
        <v>139</v>
      </c>
      <c r="F6639" s="79" t="s">
        <v>4216</v>
      </c>
      <c r="G6639" s="79" t="s">
        <v>2928</v>
      </c>
      <c r="H6639" s="79"/>
      <c r="I6639" s="80" t="s">
        <v>2897</v>
      </c>
      <c r="J6639" s="583">
        <v>2.5</v>
      </c>
      <c r="K6639" s="583">
        <v>0</v>
      </c>
      <c r="L6639" s="92">
        <v>33.34</v>
      </c>
      <c r="M6639" s="92">
        <v>83.35</v>
      </c>
    </row>
    <row r="6640" ht="23.85" customHeight="1" spans="3:13">
      <c r="C6640" s="100" t="s">
        <v>2893</v>
      </c>
      <c r="D6640" s="99" t="s">
        <v>4802</v>
      </c>
      <c r="E6640" s="100" t="s">
        <v>132</v>
      </c>
      <c r="F6640" s="100" t="s">
        <v>4803</v>
      </c>
      <c r="G6640" s="100" t="s">
        <v>2961</v>
      </c>
      <c r="H6640" s="100"/>
      <c r="I6640" s="101" t="s">
        <v>134</v>
      </c>
      <c r="J6640" s="580">
        <v>1</v>
      </c>
      <c r="K6640" s="580">
        <v>0</v>
      </c>
      <c r="L6640" s="102">
        <v>846.44</v>
      </c>
      <c r="M6640" s="102">
        <v>846.44</v>
      </c>
    </row>
    <row r="6641" ht="25.5" spans="3:13">
      <c r="C6641" s="108"/>
      <c r="D6641" s="108"/>
      <c r="E6641" s="108"/>
      <c r="F6641" s="108"/>
      <c r="G6641" s="108"/>
      <c r="H6641" s="108" t="s">
        <v>2898</v>
      </c>
      <c r="I6641" s="581">
        <v>109.17</v>
      </c>
      <c r="J6641" s="108" t="s">
        <v>2899</v>
      </c>
      <c r="K6641" s="581">
        <v>0</v>
      </c>
      <c r="L6641" s="108" t="s">
        <v>2900</v>
      </c>
      <c r="M6641" s="581">
        <v>109.17</v>
      </c>
    </row>
    <row r="6642" ht="26.25" spans="3:13">
      <c r="C6642" s="108"/>
      <c r="D6642" s="108"/>
      <c r="E6642" s="108"/>
      <c r="F6642" s="108"/>
      <c r="G6642" s="108"/>
      <c r="H6642" s="108" t="s">
        <v>2901</v>
      </c>
      <c r="I6642" s="581">
        <v>256.31</v>
      </c>
      <c r="J6642" s="114"/>
      <c r="K6642" s="114" t="s">
        <v>2902</v>
      </c>
      <c r="L6642" s="108"/>
      <c r="M6642" s="581">
        <v>1261.87</v>
      </c>
    </row>
    <row r="6643" ht="15" spans="3:13">
      <c r="C6643" s="571"/>
      <c r="D6643" s="571"/>
      <c r="E6643" s="571"/>
      <c r="F6643" s="571"/>
      <c r="G6643" s="571"/>
      <c r="H6643" s="571"/>
      <c r="I6643" s="571"/>
      <c r="J6643" s="571"/>
      <c r="K6643" s="571"/>
      <c r="L6643" s="571"/>
      <c r="M6643" s="571"/>
    </row>
    <row r="6644" ht="15" customHeight="1" spans="3:13">
      <c r="C6644" s="76" t="s">
        <v>2274</v>
      </c>
      <c r="D6644" s="75" t="s">
        <v>63</v>
      </c>
      <c r="E6644" s="76" t="s">
        <v>64</v>
      </c>
      <c r="F6644" s="76" t="s">
        <v>65</v>
      </c>
      <c r="G6644" s="76" t="s">
        <v>2889</v>
      </c>
      <c r="H6644" s="76"/>
      <c r="I6644" s="77" t="s">
        <v>66</v>
      </c>
      <c r="J6644" s="75" t="s">
        <v>67</v>
      </c>
      <c r="K6644" s="75" t="s">
        <v>2890</v>
      </c>
      <c r="L6644" s="75" t="s">
        <v>68</v>
      </c>
      <c r="M6644" s="75" t="s">
        <v>70</v>
      </c>
    </row>
    <row r="6645" ht="38.25" spans="3:13">
      <c r="C6645" s="569" t="s">
        <v>2891</v>
      </c>
      <c r="D6645" s="570" t="s">
        <v>2275</v>
      </c>
      <c r="E6645" s="569" t="s">
        <v>132</v>
      </c>
      <c r="F6645" s="569" t="s">
        <v>2276</v>
      </c>
      <c r="G6645" s="569">
        <v>73</v>
      </c>
      <c r="H6645" s="569"/>
      <c r="I6645" s="577" t="s">
        <v>134</v>
      </c>
      <c r="J6645" s="578">
        <v>1</v>
      </c>
      <c r="K6645" s="579"/>
      <c r="L6645" s="579">
        <v>1030.58</v>
      </c>
      <c r="M6645" s="579">
        <v>1030.58</v>
      </c>
    </row>
    <row r="6646" ht="23.85" customHeight="1" spans="3:13">
      <c r="C6646" s="79" t="s">
        <v>2921</v>
      </c>
      <c r="D6646" s="78" t="s">
        <v>3487</v>
      </c>
      <c r="E6646" s="79" t="s">
        <v>139</v>
      </c>
      <c r="F6646" s="79" t="s">
        <v>3488</v>
      </c>
      <c r="G6646" s="79" t="s">
        <v>2928</v>
      </c>
      <c r="H6646" s="79"/>
      <c r="I6646" s="80" t="s">
        <v>2897</v>
      </c>
      <c r="J6646" s="583">
        <v>2.5</v>
      </c>
      <c r="K6646" s="583">
        <v>0</v>
      </c>
      <c r="L6646" s="92">
        <v>30.31</v>
      </c>
      <c r="M6646" s="92">
        <v>75.77</v>
      </c>
    </row>
    <row r="6647" ht="23.85" customHeight="1" spans="3:13">
      <c r="C6647" s="79" t="s">
        <v>2921</v>
      </c>
      <c r="D6647" s="78" t="s">
        <v>4215</v>
      </c>
      <c r="E6647" s="79" t="s">
        <v>139</v>
      </c>
      <c r="F6647" s="79" t="s">
        <v>4216</v>
      </c>
      <c r="G6647" s="79" t="s">
        <v>2928</v>
      </c>
      <c r="H6647" s="79"/>
      <c r="I6647" s="80" t="s">
        <v>2897</v>
      </c>
      <c r="J6647" s="583">
        <v>2.5</v>
      </c>
      <c r="K6647" s="583">
        <v>0</v>
      </c>
      <c r="L6647" s="92">
        <v>33.34</v>
      </c>
      <c r="M6647" s="92">
        <v>83.35</v>
      </c>
    </row>
    <row r="6648" ht="23.85" customHeight="1" spans="3:13">
      <c r="C6648" s="100" t="s">
        <v>2893</v>
      </c>
      <c r="D6648" s="99" t="s">
        <v>4804</v>
      </c>
      <c r="E6648" s="100" t="s">
        <v>132</v>
      </c>
      <c r="F6648" s="100" t="s">
        <v>4805</v>
      </c>
      <c r="G6648" s="100" t="s">
        <v>2961</v>
      </c>
      <c r="H6648" s="100"/>
      <c r="I6648" s="101" t="s">
        <v>134</v>
      </c>
      <c r="J6648" s="580">
        <v>1</v>
      </c>
      <c r="K6648" s="580">
        <v>0</v>
      </c>
      <c r="L6648" s="102">
        <v>871.46</v>
      </c>
      <c r="M6648" s="102">
        <v>871.46</v>
      </c>
    </row>
    <row r="6649" ht="25.5" spans="3:13">
      <c r="C6649" s="108"/>
      <c r="D6649" s="108"/>
      <c r="E6649" s="108"/>
      <c r="F6649" s="108"/>
      <c r="G6649" s="108"/>
      <c r="H6649" s="108" t="s">
        <v>2898</v>
      </c>
      <c r="I6649" s="581">
        <v>109.17</v>
      </c>
      <c r="J6649" s="108" t="s">
        <v>2899</v>
      </c>
      <c r="K6649" s="581">
        <v>0</v>
      </c>
      <c r="L6649" s="108" t="s">
        <v>2900</v>
      </c>
      <c r="M6649" s="581">
        <v>109.17</v>
      </c>
    </row>
    <row r="6650" ht="26.25" spans="3:13">
      <c r="C6650" s="108"/>
      <c r="D6650" s="108"/>
      <c r="E6650" s="108"/>
      <c r="F6650" s="108"/>
      <c r="G6650" s="108"/>
      <c r="H6650" s="108" t="s">
        <v>2901</v>
      </c>
      <c r="I6650" s="581">
        <v>262.69</v>
      </c>
      <c r="J6650" s="114"/>
      <c r="K6650" s="114" t="s">
        <v>2902</v>
      </c>
      <c r="L6650" s="108"/>
      <c r="M6650" s="581">
        <v>1293.27</v>
      </c>
    </row>
    <row r="6651" ht="15" spans="3:13">
      <c r="C6651" s="571"/>
      <c r="D6651" s="571"/>
      <c r="E6651" s="571"/>
      <c r="F6651" s="571"/>
      <c r="G6651" s="571"/>
      <c r="H6651" s="571"/>
      <c r="I6651" s="571"/>
      <c r="J6651" s="571"/>
      <c r="K6651" s="571"/>
      <c r="L6651" s="571"/>
      <c r="M6651" s="571"/>
    </row>
    <row r="6652" ht="15" customHeight="1" spans="3:13">
      <c r="C6652" s="76" t="s">
        <v>2277</v>
      </c>
      <c r="D6652" s="75" t="s">
        <v>63</v>
      </c>
      <c r="E6652" s="76" t="s">
        <v>64</v>
      </c>
      <c r="F6652" s="76" t="s">
        <v>65</v>
      </c>
      <c r="G6652" s="76" t="s">
        <v>2889</v>
      </c>
      <c r="H6652" s="76"/>
      <c r="I6652" s="77" t="s">
        <v>66</v>
      </c>
      <c r="J6652" s="75" t="s">
        <v>67</v>
      </c>
      <c r="K6652" s="75" t="s">
        <v>2890</v>
      </c>
      <c r="L6652" s="75" t="s">
        <v>68</v>
      </c>
      <c r="M6652" s="75" t="s">
        <v>70</v>
      </c>
    </row>
    <row r="6653" ht="38.25" spans="3:13">
      <c r="C6653" s="569" t="s">
        <v>2891</v>
      </c>
      <c r="D6653" s="570" t="s">
        <v>2278</v>
      </c>
      <c r="E6653" s="569" t="s">
        <v>132</v>
      </c>
      <c r="F6653" s="569" t="s">
        <v>2279</v>
      </c>
      <c r="G6653" s="569">
        <v>73</v>
      </c>
      <c r="H6653" s="569"/>
      <c r="I6653" s="577" t="s">
        <v>134</v>
      </c>
      <c r="J6653" s="578">
        <v>1</v>
      </c>
      <c r="K6653" s="579"/>
      <c r="L6653" s="579">
        <v>1051</v>
      </c>
      <c r="M6653" s="579">
        <v>1051</v>
      </c>
    </row>
    <row r="6654" ht="23.85" customHeight="1" spans="3:13">
      <c r="C6654" s="79" t="s">
        <v>2921</v>
      </c>
      <c r="D6654" s="78" t="s">
        <v>4215</v>
      </c>
      <c r="E6654" s="79" t="s">
        <v>139</v>
      </c>
      <c r="F6654" s="79" t="s">
        <v>4216</v>
      </c>
      <c r="G6654" s="79" t="s">
        <v>2928</v>
      </c>
      <c r="H6654" s="79"/>
      <c r="I6654" s="80" t="s">
        <v>2897</v>
      </c>
      <c r="J6654" s="583">
        <v>2.5</v>
      </c>
      <c r="K6654" s="583">
        <v>0</v>
      </c>
      <c r="L6654" s="92">
        <v>33.34</v>
      </c>
      <c r="M6654" s="92">
        <v>83.35</v>
      </c>
    </row>
    <row r="6655" ht="23.85" customHeight="1" spans="3:13">
      <c r="C6655" s="79" t="s">
        <v>2921</v>
      </c>
      <c r="D6655" s="78" t="s">
        <v>3487</v>
      </c>
      <c r="E6655" s="79" t="s">
        <v>139</v>
      </c>
      <c r="F6655" s="79" t="s">
        <v>3488</v>
      </c>
      <c r="G6655" s="79" t="s">
        <v>2928</v>
      </c>
      <c r="H6655" s="79"/>
      <c r="I6655" s="80" t="s">
        <v>2897</v>
      </c>
      <c r="J6655" s="583">
        <v>2.5</v>
      </c>
      <c r="K6655" s="583">
        <v>0</v>
      </c>
      <c r="L6655" s="92">
        <v>30.31</v>
      </c>
      <c r="M6655" s="92">
        <v>75.77</v>
      </c>
    </row>
    <row r="6656" ht="23.85" customHeight="1" spans="3:13">
      <c r="C6656" s="100" t="s">
        <v>2893</v>
      </c>
      <c r="D6656" s="99" t="s">
        <v>4806</v>
      </c>
      <c r="E6656" s="100" t="s">
        <v>132</v>
      </c>
      <c r="F6656" s="100" t="s">
        <v>4807</v>
      </c>
      <c r="G6656" s="100" t="s">
        <v>2961</v>
      </c>
      <c r="H6656" s="100"/>
      <c r="I6656" s="101" t="s">
        <v>134</v>
      </c>
      <c r="J6656" s="580">
        <v>1</v>
      </c>
      <c r="K6656" s="580">
        <v>0</v>
      </c>
      <c r="L6656" s="102">
        <v>891.88</v>
      </c>
      <c r="M6656" s="102">
        <v>891.88</v>
      </c>
    </row>
    <row r="6657" ht="25.5" spans="3:13">
      <c r="C6657" s="108"/>
      <c r="D6657" s="108"/>
      <c r="E6657" s="108"/>
      <c r="F6657" s="108"/>
      <c r="G6657" s="108"/>
      <c r="H6657" s="108" t="s">
        <v>2898</v>
      </c>
      <c r="I6657" s="581">
        <v>109.17</v>
      </c>
      <c r="J6657" s="108" t="s">
        <v>2899</v>
      </c>
      <c r="K6657" s="581">
        <v>0</v>
      </c>
      <c r="L6657" s="108" t="s">
        <v>2900</v>
      </c>
      <c r="M6657" s="581">
        <v>109.17</v>
      </c>
    </row>
    <row r="6658" ht="26.25" spans="3:13">
      <c r="C6658" s="108"/>
      <c r="D6658" s="108"/>
      <c r="E6658" s="108"/>
      <c r="F6658" s="108"/>
      <c r="G6658" s="108"/>
      <c r="H6658" s="108" t="s">
        <v>2901</v>
      </c>
      <c r="I6658" s="581">
        <v>267.89</v>
      </c>
      <c r="J6658" s="114"/>
      <c r="K6658" s="114" t="s">
        <v>2902</v>
      </c>
      <c r="L6658" s="108"/>
      <c r="M6658" s="581">
        <v>1318.89</v>
      </c>
    </row>
    <row r="6659" ht="15" spans="3:13">
      <c r="C6659" s="571"/>
      <c r="D6659" s="571"/>
      <c r="E6659" s="571"/>
      <c r="F6659" s="571"/>
      <c r="G6659" s="571"/>
      <c r="H6659" s="571"/>
      <c r="I6659" s="571"/>
      <c r="J6659" s="571"/>
      <c r="K6659" s="571"/>
      <c r="L6659" s="571"/>
      <c r="M6659" s="571"/>
    </row>
    <row r="6660" ht="15" customHeight="1" spans="3:13">
      <c r="C6660" s="76" t="s">
        <v>2280</v>
      </c>
      <c r="D6660" s="75" t="s">
        <v>63</v>
      </c>
      <c r="E6660" s="76" t="s">
        <v>64</v>
      </c>
      <c r="F6660" s="76" t="s">
        <v>65</v>
      </c>
      <c r="G6660" s="76" t="s">
        <v>2889</v>
      </c>
      <c r="H6660" s="76"/>
      <c r="I6660" s="77" t="s">
        <v>66</v>
      </c>
      <c r="J6660" s="75" t="s">
        <v>67</v>
      </c>
      <c r="K6660" s="75" t="s">
        <v>2890</v>
      </c>
      <c r="L6660" s="75" t="s">
        <v>68</v>
      </c>
      <c r="M6660" s="75" t="s">
        <v>70</v>
      </c>
    </row>
    <row r="6661" ht="38.25" spans="3:13">
      <c r="C6661" s="569" t="s">
        <v>2891</v>
      </c>
      <c r="D6661" s="570" t="s">
        <v>2281</v>
      </c>
      <c r="E6661" s="569" t="s">
        <v>132</v>
      </c>
      <c r="F6661" s="569" t="s">
        <v>2282</v>
      </c>
      <c r="G6661" s="569">
        <v>73</v>
      </c>
      <c r="H6661" s="569"/>
      <c r="I6661" s="577" t="s">
        <v>134</v>
      </c>
      <c r="J6661" s="578">
        <v>1</v>
      </c>
      <c r="K6661" s="579"/>
      <c r="L6661" s="579">
        <v>1077.16</v>
      </c>
      <c r="M6661" s="579">
        <v>1077.16</v>
      </c>
    </row>
    <row r="6662" ht="23.85" customHeight="1" spans="3:13">
      <c r="C6662" s="79" t="s">
        <v>2921</v>
      </c>
      <c r="D6662" s="78" t="s">
        <v>3487</v>
      </c>
      <c r="E6662" s="79" t="s">
        <v>139</v>
      </c>
      <c r="F6662" s="79" t="s">
        <v>3488</v>
      </c>
      <c r="G6662" s="79" t="s">
        <v>2928</v>
      </c>
      <c r="H6662" s="79"/>
      <c r="I6662" s="80" t="s">
        <v>2897</v>
      </c>
      <c r="J6662" s="583">
        <v>2.5</v>
      </c>
      <c r="K6662" s="583">
        <v>0</v>
      </c>
      <c r="L6662" s="92">
        <v>30.31</v>
      </c>
      <c r="M6662" s="92">
        <v>75.77</v>
      </c>
    </row>
    <row r="6663" ht="23.85" customHeight="1" spans="3:13">
      <c r="C6663" s="79" t="s">
        <v>2921</v>
      </c>
      <c r="D6663" s="78" t="s">
        <v>4215</v>
      </c>
      <c r="E6663" s="79" t="s">
        <v>139</v>
      </c>
      <c r="F6663" s="79" t="s">
        <v>4216</v>
      </c>
      <c r="G6663" s="79" t="s">
        <v>2928</v>
      </c>
      <c r="H6663" s="79"/>
      <c r="I6663" s="80" t="s">
        <v>2897</v>
      </c>
      <c r="J6663" s="583">
        <v>2.5</v>
      </c>
      <c r="K6663" s="583">
        <v>0</v>
      </c>
      <c r="L6663" s="92">
        <v>33.34</v>
      </c>
      <c r="M6663" s="92">
        <v>83.35</v>
      </c>
    </row>
    <row r="6664" ht="23.85" customHeight="1" spans="3:13">
      <c r="C6664" s="100" t="s">
        <v>2893</v>
      </c>
      <c r="D6664" s="99" t="s">
        <v>4808</v>
      </c>
      <c r="E6664" s="100" t="s">
        <v>132</v>
      </c>
      <c r="F6664" s="100" t="s">
        <v>4809</v>
      </c>
      <c r="G6664" s="100" t="s">
        <v>2961</v>
      </c>
      <c r="H6664" s="100"/>
      <c r="I6664" s="101" t="s">
        <v>134</v>
      </c>
      <c r="J6664" s="580">
        <v>1</v>
      </c>
      <c r="K6664" s="580">
        <v>0</v>
      </c>
      <c r="L6664" s="102">
        <v>918.04</v>
      </c>
      <c r="M6664" s="102">
        <v>918.04</v>
      </c>
    </row>
    <row r="6665" ht="25.5" spans="3:13">
      <c r="C6665" s="108"/>
      <c r="D6665" s="108"/>
      <c r="E6665" s="108"/>
      <c r="F6665" s="108"/>
      <c r="G6665" s="108"/>
      <c r="H6665" s="108" t="s">
        <v>2898</v>
      </c>
      <c r="I6665" s="581">
        <v>109.17</v>
      </c>
      <c r="J6665" s="108" t="s">
        <v>2899</v>
      </c>
      <c r="K6665" s="581">
        <v>0</v>
      </c>
      <c r="L6665" s="108" t="s">
        <v>2900</v>
      </c>
      <c r="M6665" s="581">
        <v>109.17</v>
      </c>
    </row>
    <row r="6666" ht="26.25" spans="3:13">
      <c r="C6666" s="108"/>
      <c r="D6666" s="108"/>
      <c r="E6666" s="108"/>
      <c r="F6666" s="108"/>
      <c r="G6666" s="108"/>
      <c r="H6666" s="108" t="s">
        <v>2901</v>
      </c>
      <c r="I6666" s="581">
        <v>274.56</v>
      </c>
      <c r="J6666" s="114"/>
      <c r="K6666" s="114" t="s">
        <v>2902</v>
      </c>
      <c r="L6666" s="108"/>
      <c r="M6666" s="581">
        <v>1351.72</v>
      </c>
    </row>
    <row r="6667" ht="15" spans="3:13">
      <c r="C6667" s="571"/>
      <c r="D6667" s="571"/>
      <c r="E6667" s="571"/>
      <c r="F6667" s="571"/>
      <c r="G6667" s="571"/>
      <c r="H6667" s="571"/>
      <c r="I6667" s="571"/>
      <c r="J6667" s="571"/>
      <c r="K6667" s="571"/>
      <c r="L6667" s="571"/>
      <c r="M6667" s="571"/>
    </row>
    <row r="6668" ht="15" customHeight="1" spans="3:13">
      <c r="C6668" s="76" t="s">
        <v>2283</v>
      </c>
      <c r="D6668" s="75" t="s">
        <v>63</v>
      </c>
      <c r="E6668" s="76" t="s">
        <v>64</v>
      </c>
      <c r="F6668" s="76" t="s">
        <v>65</v>
      </c>
      <c r="G6668" s="76" t="s">
        <v>2889</v>
      </c>
      <c r="H6668" s="76"/>
      <c r="I6668" s="77" t="s">
        <v>66</v>
      </c>
      <c r="J6668" s="75" t="s">
        <v>67</v>
      </c>
      <c r="K6668" s="75" t="s">
        <v>2890</v>
      </c>
      <c r="L6668" s="75" t="s">
        <v>68</v>
      </c>
      <c r="M6668" s="75" t="s">
        <v>70</v>
      </c>
    </row>
    <row r="6669" ht="38.25" spans="3:13">
      <c r="C6669" s="569" t="s">
        <v>2891</v>
      </c>
      <c r="D6669" s="570" t="s">
        <v>2284</v>
      </c>
      <c r="E6669" s="569" t="s">
        <v>132</v>
      </c>
      <c r="F6669" s="569" t="s">
        <v>2285</v>
      </c>
      <c r="G6669" s="569">
        <v>73</v>
      </c>
      <c r="H6669" s="569"/>
      <c r="I6669" s="577" t="s">
        <v>134</v>
      </c>
      <c r="J6669" s="578">
        <v>1</v>
      </c>
      <c r="K6669" s="579"/>
      <c r="L6669" s="579">
        <v>1082.44</v>
      </c>
      <c r="M6669" s="579">
        <v>1082.44</v>
      </c>
    </row>
    <row r="6670" ht="23.85" customHeight="1" spans="3:13">
      <c r="C6670" s="79" t="s">
        <v>2921</v>
      </c>
      <c r="D6670" s="78" t="s">
        <v>4215</v>
      </c>
      <c r="E6670" s="79" t="s">
        <v>139</v>
      </c>
      <c r="F6670" s="79" t="s">
        <v>4216</v>
      </c>
      <c r="G6670" s="79" t="s">
        <v>2928</v>
      </c>
      <c r="H6670" s="79"/>
      <c r="I6670" s="80" t="s">
        <v>2897</v>
      </c>
      <c r="J6670" s="583">
        <v>2.5</v>
      </c>
      <c r="K6670" s="583">
        <v>0</v>
      </c>
      <c r="L6670" s="92">
        <v>33.34</v>
      </c>
      <c r="M6670" s="92">
        <v>83.35</v>
      </c>
    </row>
    <row r="6671" ht="23.85" customHeight="1" spans="3:13">
      <c r="C6671" s="79" t="s">
        <v>2921</v>
      </c>
      <c r="D6671" s="78" t="s">
        <v>3487</v>
      </c>
      <c r="E6671" s="79" t="s">
        <v>139</v>
      </c>
      <c r="F6671" s="79" t="s">
        <v>3488</v>
      </c>
      <c r="G6671" s="79" t="s">
        <v>2928</v>
      </c>
      <c r="H6671" s="79"/>
      <c r="I6671" s="80" t="s">
        <v>2897</v>
      </c>
      <c r="J6671" s="583">
        <v>2.5</v>
      </c>
      <c r="K6671" s="583">
        <v>0</v>
      </c>
      <c r="L6671" s="92">
        <v>30.31</v>
      </c>
      <c r="M6671" s="92">
        <v>75.77</v>
      </c>
    </row>
    <row r="6672" ht="35.05" customHeight="1" spans="3:13">
      <c r="C6672" s="100" t="s">
        <v>2893</v>
      </c>
      <c r="D6672" s="99" t="s">
        <v>4810</v>
      </c>
      <c r="E6672" s="100" t="s">
        <v>132</v>
      </c>
      <c r="F6672" s="100" t="s">
        <v>2285</v>
      </c>
      <c r="G6672" s="100" t="s">
        <v>2961</v>
      </c>
      <c r="H6672" s="100"/>
      <c r="I6672" s="101" t="s">
        <v>134</v>
      </c>
      <c r="J6672" s="580">
        <v>1</v>
      </c>
      <c r="K6672" s="580">
        <v>0</v>
      </c>
      <c r="L6672" s="102">
        <v>923.32</v>
      </c>
      <c r="M6672" s="102">
        <v>923.32</v>
      </c>
    </row>
    <row r="6673" ht="25.5" spans="3:13">
      <c r="C6673" s="108"/>
      <c r="D6673" s="108"/>
      <c r="E6673" s="108"/>
      <c r="F6673" s="108"/>
      <c r="G6673" s="108"/>
      <c r="H6673" s="108" t="s">
        <v>2898</v>
      </c>
      <c r="I6673" s="581">
        <v>109.17</v>
      </c>
      <c r="J6673" s="108" t="s">
        <v>2899</v>
      </c>
      <c r="K6673" s="581">
        <v>0</v>
      </c>
      <c r="L6673" s="108" t="s">
        <v>2900</v>
      </c>
      <c r="M6673" s="581">
        <v>109.17</v>
      </c>
    </row>
    <row r="6674" ht="26.25" spans="3:13">
      <c r="C6674" s="108"/>
      <c r="D6674" s="108"/>
      <c r="E6674" s="108"/>
      <c r="F6674" s="108"/>
      <c r="G6674" s="108"/>
      <c r="H6674" s="108" t="s">
        <v>2901</v>
      </c>
      <c r="I6674" s="581">
        <v>275.91</v>
      </c>
      <c r="J6674" s="114"/>
      <c r="K6674" s="114" t="s">
        <v>2902</v>
      </c>
      <c r="L6674" s="108"/>
      <c r="M6674" s="581">
        <v>1358.35</v>
      </c>
    </row>
    <row r="6675" ht="15" spans="3:13">
      <c r="C6675" s="571"/>
      <c r="D6675" s="571"/>
      <c r="E6675" s="571"/>
      <c r="F6675" s="571"/>
      <c r="G6675" s="571"/>
      <c r="H6675" s="571"/>
      <c r="I6675" s="571"/>
      <c r="J6675" s="571"/>
      <c r="K6675" s="571"/>
      <c r="L6675" s="571"/>
      <c r="M6675" s="571"/>
    </row>
    <row r="6676" ht="15" customHeight="1" spans="3:13">
      <c r="C6676" s="76" t="s">
        <v>2286</v>
      </c>
      <c r="D6676" s="75" t="s">
        <v>63</v>
      </c>
      <c r="E6676" s="76" t="s">
        <v>64</v>
      </c>
      <c r="F6676" s="76" t="s">
        <v>65</v>
      </c>
      <c r="G6676" s="76" t="s">
        <v>2889</v>
      </c>
      <c r="H6676" s="76"/>
      <c r="I6676" s="77" t="s">
        <v>66</v>
      </c>
      <c r="J6676" s="75" t="s">
        <v>67</v>
      </c>
      <c r="K6676" s="75" t="s">
        <v>2890</v>
      </c>
      <c r="L6676" s="75" t="s">
        <v>68</v>
      </c>
      <c r="M6676" s="75" t="s">
        <v>70</v>
      </c>
    </row>
    <row r="6677" ht="38.25" spans="3:13">
      <c r="C6677" s="569" t="s">
        <v>2891</v>
      </c>
      <c r="D6677" s="570" t="s">
        <v>2287</v>
      </c>
      <c r="E6677" s="569" t="s">
        <v>132</v>
      </c>
      <c r="F6677" s="569" t="s">
        <v>2288</v>
      </c>
      <c r="G6677" s="569">
        <v>73</v>
      </c>
      <c r="H6677" s="569"/>
      <c r="I6677" s="577" t="s">
        <v>134</v>
      </c>
      <c r="J6677" s="578">
        <v>1</v>
      </c>
      <c r="K6677" s="579"/>
      <c r="L6677" s="579">
        <v>1105.22</v>
      </c>
      <c r="M6677" s="579">
        <v>1105.22</v>
      </c>
    </row>
    <row r="6678" ht="23.85" customHeight="1" spans="3:13">
      <c r="C6678" s="79" t="s">
        <v>2921</v>
      </c>
      <c r="D6678" s="78" t="s">
        <v>4215</v>
      </c>
      <c r="E6678" s="79" t="s">
        <v>139</v>
      </c>
      <c r="F6678" s="79" t="s">
        <v>4216</v>
      </c>
      <c r="G6678" s="79" t="s">
        <v>2928</v>
      </c>
      <c r="H6678" s="79"/>
      <c r="I6678" s="80" t="s">
        <v>2897</v>
      </c>
      <c r="J6678" s="583">
        <v>2.5</v>
      </c>
      <c r="K6678" s="583">
        <v>0</v>
      </c>
      <c r="L6678" s="92">
        <v>33.34</v>
      </c>
      <c r="M6678" s="92">
        <v>83.35</v>
      </c>
    </row>
    <row r="6679" ht="23.85" customHeight="1" spans="3:13">
      <c r="C6679" s="79" t="s">
        <v>2921</v>
      </c>
      <c r="D6679" s="78" t="s">
        <v>3487</v>
      </c>
      <c r="E6679" s="79" t="s">
        <v>139</v>
      </c>
      <c r="F6679" s="79" t="s">
        <v>3488</v>
      </c>
      <c r="G6679" s="79" t="s">
        <v>2928</v>
      </c>
      <c r="H6679" s="79"/>
      <c r="I6679" s="80" t="s">
        <v>2897</v>
      </c>
      <c r="J6679" s="583">
        <v>2.5</v>
      </c>
      <c r="K6679" s="583">
        <v>0</v>
      </c>
      <c r="L6679" s="92">
        <v>30.31</v>
      </c>
      <c r="M6679" s="92">
        <v>75.77</v>
      </c>
    </row>
    <row r="6680" ht="23.85" customHeight="1" spans="3:13">
      <c r="C6680" s="100" t="s">
        <v>2893</v>
      </c>
      <c r="D6680" s="99" t="s">
        <v>4811</v>
      </c>
      <c r="E6680" s="100" t="s">
        <v>132</v>
      </c>
      <c r="F6680" s="100" t="s">
        <v>4812</v>
      </c>
      <c r="G6680" s="100" t="s">
        <v>2961</v>
      </c>
      <c r="H6680" s="100"/>
      <c r="I6680" s="101" t="s">
        <v>134</v>
      </c>
      <c r="J6680" s="580">
        <v>1</v>
      </c>
      <c r="K6680" s="580">
        <v>0</v>
      </c>
      <c r="L6680" s="102">
        <v>946.1</v>
      </c>
      <c r="M6680" s="102">
        <v>946.1</v>
      </c>
    </row>
    <row r="6681" ht="25.5" spans="3:13">
      <c r="C6681" s="108"/>
      <c r="D6681" s="108"/>
      <c r="E6681" s="108"/>
      <c r="F6681" s="108"/>
      <c r="G6681" s="108"/>
      <c r="H6681" s="108" t="s">
        <v>2898</v>
      </c>
      <c r="I6681" s="581">
        <v>109.17</v>
      </c>
      <c r="J6681" s="108" t="s">
        <v>2899</v>
      </c>
      <c r="K6681" s="581">
        <v>0</v>
      </c>
      <c r="L6681" s="108" t="s">
        <v>2900</v>
      </c>
      <c r="M6681" s="581">
        <v>109.17</v>
      </c>
    </row>
    <row r="6682" ht="26.25" spans="3:13">
      <c r="C6682" s="108"/>
      <c r="D6682" s="108"/>
      <c r="E6682" s="108"/>
      <c r="F6682" s="108"/>
      <c r="G6682" s="108"/>
      <c r="H6682" s="108" t="s">
        <v>2901</v>
      </c>
      <c r="I6682" s="581">
        <v>281.72</v>
      </c>
      <c r="J6682" s="114"/>
      <c r="K6682" s="114" t="s">
        <v>2902</v>
      </c>
      <c r="L6682" s="108"/>
      <c r="M6682" s="581">
        <v>1386.94</v>
      </c>
    </row>
    <row r="6683" ht="15" spans="3:13">
      <c r="C6683" s="571"/>
      <c r="D6683" s="571"/>
      <c r="E6683" s="571"/>
      <c r="F6683" s="571"/>
      <c r="G6683" s="571"/>
      <c r="H6683" s="571"/>
      <c r="I6683" s="571"/>
      <c r="J6683" s="571"/>
      <c r="K6683" s="571"/>
      <c r="L6683" s="571"/>
      <c r="M6683" s="571"/>
    </row>
    <row r="6684" ht="15" customHeight="1" spans="3:13">
      <c r="C6684" s="76" t="s">
        <v>2289</v>
      </c>
      <c r="D6684" s="75" t="s">
        <v>63</v>
      </c>
      <c r="E6684" s="76" t="s">
        <v>64</v>
      </c>
      <c r="F6684" s="76" t="s">
        <v>65</v>
      </c>
      <c r="G6684" s="76" t="s">
        <v>2889</v>
      </c>
      <c r="H6684" s="76"/>
      <c r="I6684" s="77" t="s">
        <v>66</v>
      </c>
      <c r="J6684" s="75" t="s">
        <v>67</v>
      </c>
      <c r="K6684" s="75" t="s">
        <v>2890</v>
      </c>
      <c r="L6684" s="75" t="s">
        <v>68</v>
      </c>
      <c r="M6684" s="75" t="s">
        <v>70</v>
      </c>
    </row>
    <row r="6685" ht="38.25" spans="3:13">
      <c r="C6685" s="569" t="s">
        <v>2891</v>
      </c>
      <c r="D6685" s="570" t="s">
        <v>2290</v>
      </c>
      <c r="E6685" s="569" t="s">
        <v>132</v>
      </c>
      <c r="F6685" s="569" t="s">
        <v>2291</v>
      </c>
      <c r="G6685" s="569">
        <v>73</v>
      </c>
      <c r="H6685" s="569"/>
      <c r="I6685" s="577" t="s">
        <v>134</v>
      </c>
      <c r="J6685" s="578">
        <v>1</v>
      </c>
      <c r="K6685" s="579"/>
      <c r="L6685" s="579">
        <v>1131.39</v>
      </c>
      <c r="M6685" s="579">
        <v>1131.39</v>
      </c>
    </row>
    <row r="6686" ht="23.85" customHeight="1" spans="3:13">
      <c r="C6686" s="79" t="s">
        <v>2921</v>
      </c>
      <c r="D6686" s="78" t="s">
        <v>4215</v>
      </c>
      <c r="E6686" s="79" t="s">
        <v>139</v>
      </c>
      <c r="F6686" s="79" t="s">
        <v>4216</v>
      </c>
      <c r="G6686" s="79" t="s">
        <v>2928</v>
      </c>
      <c r="H6686" s="79"/>
      <c r="I6686" s="80" t="s">
        <v>2897</v>
      </c>
      <c r="J6686" s="583">
        <v>2.5</v>
      </c>
      <c r="K6686" s="583">
        <v>0</v>
      </c>
      <c r="L6686" s="92">
        <v>33.34</v>
      </c>
      <c r="M6686" s="92">
        <v>83.35</v>
      </c>
    </row>
    <row r="6687" ht="23.85" customHeight="1" spans="3:13">
      <c r="C6687" s="79" t="s">
        <v>2921</v>
      </c>
      <c r="D6687" s="78" t="s">
        <v>3487</v>
      </c>
      <c r="E6687" s="79" t="s">
        <v>139</v>
      </c>
      <c r="F6687" s="79" t="s">
        <v>3488</v>
      </c>
      <c r="G6687" s="79" t="s">
        <v>2928</v>
      </c>
      <c r="H6687" s="79"/>
      <c r="I6687" s="80" t="s">
        <v>2897</v>
      </c>
      <c r="J6687" s="583">
        <v>2.5</v>
      </c>
      <c r="K6687" s="583">
        <v>0</v>
      </c>
      <c r="L6687" s="92">
        <v>30.31</v>
      </c>
      <c r="M6687" s="92">
        <v>75.77</v>
      </c>
    </row>
    <row r="6688" ht="23.85" customHeight="1" spans="3:13">
      <c r="C6688" s="100" t="s">
        <v>2893</v>
      </c>
      <c r="D6688" s="99" t="s">
        <v>4813</v>
      </c>
      <c r="E6688" s="100" t="s">
        <v>132</v>
      </c>
      <c r="F6688" s="100" t="s">
        <v>4814</v>
      </c>
      <c r="G6688" s="100" t="s">
        <v>2961</v>
      </c>
      <c r="H6688" s="100"/>
      <c r="I6688" s="101" t="s">
        <v>134</v>
      </c>
      <c r="J6688" s="580">
        <v>1</v>
      </c>
      <c r="K6688" s="580">
        <v>0</v>
      </c>
      <c r="L6688" s="102">
        <v>972.27</v>
      </c>
      <c r="M6688" s="102">
        <v>972.27</v>
      </c>
    </row>
    <row r="6689" ht="25.5" spans="3:13">
      <c r="C6689" s="108"/>
      <c r="D6689" s="108"/>
      <c r="E6689" s="108"/>
      <c r="F6689" s="108"/>
      <c r="G6689" s="108"/>
      <c r="H6689" s="108" t="s">
        <v>2898</v>
      </c>
      <c r="I6689" s="581">
        <v>109.17</v>
      </c>
      <c r="J6689" s="108" t="s">
        <v>2899</v>
      </c>
      <c r="K6689" s="581">
        <v>0</v>
      </c>
      <c r="L6689" s="108" t="s">
        <v>2900</v>
      </c>
      <c r="M6689" s="581">
        <v>109.17</v>
      </c>
    </row>
    <row r="6690" ht="26.25" spans="3:13">
      <c r="C6690" s="108"/>
      <c r="D6690" s="108"/>
      <c r="E6690" s="108"/>
      <c r="F6690" s="108"/>
      <c r="G6690" s="108"/>
      <c r="H6690" s="108" t="s">
        <v>2901</v>
      </c>
      <c r="I6690" s="581">
        <v>288.39</v>
      </c>
      <c r="J6690" s="114"/>
      <c r="K6690" s="114" t="s">
        <v>2902</v>
      </c>
      <c r="L6690" s="108"/>
      <c r="M6690" s="581">
        <v>1419.78</v>
      </c>
    </row>
    <row r="6691" ht="15" spans="3:13">
      <c r="C6691" s="571"/>
      <c r="D6691" s="571"/>
      <c r="E6691" s="571"/>
      <c r="F6691" s="571"/>
      <c r="G6691" s="571"/>
      <c r="H6691" s="571"/>
      <c r="I6691" s="571"/>
      <c r="J6691" s="571"/>
      <c r="K6691" s="571"/>
      <c r="L6691" s="571"/>
      <c r="M6691" s="571"/>
    </row>
    <row r="6692" ht="15" customHeight="1" spans="3:13">
      <c r="C6692" s="76" t="s">
        <v>2292</v>
      </c>
      <c r="D6692" s="75" t="s">
        <v>63</v>
      </c>
      <c r="E6692" s="76" t="s">
        <v>64</v>
      </c>
      <c r="F6692" s="76" t="s">
        <v>65</v>
      </c>
      <c r="G6692" s="76" t="s">
        <v>2889</v>
      </c>
      <c r="H6692" s="76"/>
      <c r="I6692" s="77" t="s">
        <v>66</v>
      </c>
      <c r="J6692" s="75" t="s">
        <v>67</v>
      </c>
      <c r="K6692" s="75" t="s">
        <v>2890</v>
      </c>
      <c r="L6692" s="75" t="s">
        <v>68</v>
      </c>
      <c r="M6692" s="75" t="s">
        <v>70</v>
      </c>
    </row>
    <row r="6693" ht="38.25" spans="3:13">
      <c r="C6693" s="569" t="s">
        <v>2891</v>
      </c>
      <c r="D6693" s="570" t="s">
        <v>2293</v>
      </c>
      <c r="E6693" s="569" t="s">
        <v>132</v>
      </c>
      <c r="F6693" s="569" t="s">
        <v>2294</v>
      </c>
      <c r="G6693" s="569">
        <v>73</v>
      </c>
      <c r="H6693" s="569"/>
      <c r="I6693" s="577" t="s">
        <v>134</v>
      </c>
      <c r="J6693" s="578">
        <v>1</v>
      </c>
      <c r="K6693" s="579"/>
      <c r="L6693" s="579">
        <v>1165.26</v>
      </c>
      <c r="M6693" s="579">
        <v>1165.26</v>
      </c>
    </row>
    <row r="6694" ht="23.85" customHeight="1" spans="3:13">
      <c r="C6694" s="79" t="s">
        <v>2921</v>
      </c>
      <c r="D6694" s="78" t="s">
        <v>4215</v>
      </c>
      <c r="E6694" s="79" t="s">
        <v>139</v>
      </c>
      <c r="F6694" s="79" t="s">
        <v>4216</v>
      </c>
      <c r="G6694" s="79" t="s">
        <v>2928</v>
      </c>
      <c r="H6694" s="79"/>
      <c r="I6694" s="80" t="s">
        <v>2897</v>
      </c>
      <c r="J6694" s="583">
        <v>2.5</v>
      </c>
      <c r="K6694" s="583">
        <v>0</v>
      </c>
      <c r="L6694" s="92">
        <v>33.34</v>
      </c>
      <c r="M6694" s="92">
        <v>83.35</v>
      </c>
    </row>
    <row r="6695" ht="23.85" customHeight="1" spans="3:13">
      <c r="C6695" s="79" t="s">
        <v>2921</v>
      </c>
      <c r="D6695" s="78" t="s">
        <v>3487</v>
      </c>
      <c r="E6695" s="79" t="s">
        <v>139</v>
      </c>
      <c r="F6695" s="79" t="s">
        <v>3488</v>
      </c>
      <c r="G6695" s="79" t="s">
        <v>2928</v>
      </c>
      <c r="H6695" s="79"/>
      <c r="I6695" s="80" t="s">
        <v>2897</v>
      </c>
      <c r="J6695" s="583">
        <v>2.5</v>
      </c>
      <c r="K6695" s="583">
        <v>0</v>
      </c>
      <c r="L6695" s="92">
        <v>30.31</v>
      </c>
      <c r="M6695" s="92">
        <v>75.77</v>
      </c>
    </row>
    <row r="6696" ht="23.85" customHeight="1" spans="3:13">
      <c r="C6696" s="100" t="s">
        <v>2893</v>
      </c>
      <c r="D6696" s="99" t="s">
        <v>4815</v>
      </c>
      <c r="E6696" s="100" t="s">
        <v>132</v>
      </c>
      <c r="F6696" s="100" t="s">
        <v>4816</v>
      </c>
      <c r="G6696" s="100" t="s">
        <v>2961</v>
      </c>
      <c r="H6696" s="100"/>
      <c r="I6696" s="101" t="s">
        <v>134</v>
      </c>
      <c r="J6696" s="580">
        <v>1</v>
      </c>
      <c r="K6696" s="580">
        <v>0</v>
      </c>
      <c r="L6696" s="102">
        <v>1006.14</v>
      </c>
      <c r="M6696" s="102">
        <v>1006.14</v>
      </c>
    </row>
    <row r="6697" ht="25.5" spans="3:13">
      <c r="C6697" s="108"/>
      <c r="D6697" s="108"/>
      <c r="E6697" s="108"/>
      <c r="F6697" s="108"/>
      <c r="G6697" s="108"/>
      <c r="H6697" s="108" t="s">
        <v>2898</v>
      </c>
      <c r="I6697" s="581">
        <v>109.17</v>
      </c>
      <c r="J6697" s="108" t="s">
        <v>2899</v>
      </c>
      <c r="K6697" s="581">
        <v>0</v>
      </c>
      <c r="L6697" s="108" t="s">
        <v>2900</v>
      </c>
      <c r="M6697" s="581">
        <v>109.17</v>
      </c>
    </row>
    <row r="6698" ht="26.25" spans="3:13">
      <c r="C6698" s="108"/>
      <c r="D6698" s="108"/>
      <c r="E6698" s="108"/>
      <c r="F6698" s="108"/>
      <c r="G6698" s="108"/>
      <c r="H6698" s="108" t="s">
        <v>2901</v>
      </c>
      <c r="I6698" s="581">
        <v>297.02</v>
      </c>
      <c r="J6698" s="114"/>
      <c r="K6698" s="114" t="s">
        <v>2902</v>
      </c>
      <c r="L6698" s="108"/>
      <c r="M6698" s="581">
        <v>1462.28</v>
      </c>
    </row>
    <row r="6699" ht="15" spans="3:13">
      <c r="C6699" s="571"/>
      <c r="D6699" s="571"/>
      <c r="E6699" s="571"/>
      <c r="F6699" s="571"/>
      <c r="G6699" s="571"/>
      <c r="H6699" s="571"/>
      <c r="I6699" s="571"/>
      <c r="J6699" s="571"/>
      <c r="K6699" s="571"/>
      <c r="L6699" s="571"/>
      <c r="M6699" s="571"/>
    </row>
    <row r="6700" ht="15" customHeight="1" spans="3:13">
      <c r="C6700" s="76" t="s">
        <v>2295</v>
      </c>
      <c r="D6700" s="75" t="s">
        <v>63</v>
      </c>
      <c r="E6700" s="76" t="s">
        <v>64</v>
      </c>
      <c r="F6700" s="76" t="s">
        <v>65</v>
      </c>
      <c r="G6700" s="76" t="s">
        <v>2889</v>
      </c>
      <c r="H6700" s="76"/>
      <c r="I6700" s="77" t="s">
        <v>66</v>
      </c>
      <c r="J6700" s="75" t="s">
        <v>67</v>
      </c>
      <c r="K6700" s="75" t="s">
        <v>2890</v>
      </c>
      <c r="L6700" s="75" t="s">
        <v>68</v>
      </c>
      <c r="M6700" s="75" t="s">
        <v>70</v>
      </c>
    </row>
    <row r="6701" ht="38.25" spans="3:13">
      <c r="C6701" s="569" t="s">
        <v>2891</v>
      </c>
      <c r="D6701" s="570" t="s">
        <v>2296</v>
      </c>
      <c r="E6701" s="569" t="s">
        <v>132</v>
      </c>
      <c r="F6701" s="569" t="s">
        <v>2297</v>
      </c>
      <c r="G6701" s="569">
        <v>73</v>
      </c>
      <c r="H6701" s="569"/>
      <c r="I6701" s="577" t="s">
        <v>134</v>
      </c>
      <c r="J6701" s="578">
        <v>1</v>
      </c>
      <c r="K6701" s="579"/>
      <c r="L6701" s="579">
        <v>1140.01</v>
      </c>
      <c r="M6701" s="579">
        <v>1140.01</v>
      </c>
    </row>
    <row r="6702" ht="23.85" customHeight="1" spans="3:13">
      <c r="C6702" s="79" t="s">
        <v>2921</v>
      </c>
      <c r="D6702" s="78" t="s">
        <v>3487</v>
      </c>
      <c r="E6702" s="79" t="s">
        <v>139</v>
      </c>
      <c r="F6702" s="79" t="s">
        <v>3488</v>
      </c>
      <c r="G6702" s="79" t="s">
        <v>2928</v>
      </c>
      <c r="H6702" s="79"/>
      <c r="I6702" s="80" t="s">
        <v>2897</v>
      </c>
      <c r="J6702" s="583">
        <v>2.5</v>
      </c>
      <c r="K6702" s="583">
        <v>0</v>
      </c>
      <c r="L6702" s="92">
        <v>30.31</v>
      </c>
      <c r="M6702" s="92">
        <v>75.77</v>
      </c>
    </row>
    <row r="6703" ht="23.85" customHeight="1" spans="3:13">
      <c r="C6703" s="79" t="s">
        <v>2921</v>
      </c>
      <c r="D6703" s="78" t="s">
        <v>4215</v>
      </c>
      <c r="E6703" s="79" t="s">
        <v>139</v>
      </c>
      <c r="F6703" s="79" t="s">
        <v>4216</v>
      </c>
      <c r="G6703" s="79" t="s">
        <v>2928</v>
      </c>
      <c r="H6703" s="79"/>
      <c r="I6703" s="80" t="s">
        <v>2897</v>
      </c>
      <c r="J6703" s="583">
        <v>2.5</v>
      </c>
      <c r="K6703" s="583">
        <v>0</v>
      </c>
      <c r="L6703" s="92">
        <v>33.34</v>
      </c>
      <c r="M6703" s="92">
        <v>83.35</v>
      </c>
    </row>
    <row r="6704" ht="23.85" customHeight="1" spans="3:13">
      <c r="C6704" s="100" t="s">
        <v>2893</v>
      </c>
      <c r="D6704" s="99" t="s">
        <v>4817</v>
      </c>
      <c r="E6704" s="100" t="s">
        <v>132</v>
      </c>
      <c r="F6704" s="100" t="s">
        <v>4818</v>
      </c>
      <c r="G6704" s="100" t="s">
        <v>2961</v>
      </c>
      <c r="H6704" s="100"/>
      <c r="I6704" s="101" t="s">
        <v>134</v>
      </c>
      <c r="J6704" s="580">
        <v>1</v>
      </c>
      <c r="K6704" s="580">
        <v>0</v>
      </c>
      <c r="L6704" s="102">
        <v>980.89</v>
      </c>
      <c r="M6704" s="102">
        <v>980.89</v>
      </c>
    </row>
    <row r="6705" ht="25.5" spans="3:13">
      <c r="C6705" s="108"/>
      <c r="D6705" s="108"/>
      <c r="E6705" s="108"/>
      <c r="F6705" s="108"/>
      <c r="G6705" s="108"/>
      <c r="H6705" s="108" t="s">
        <v>2898</v>
      </c>
      <c r="I6705" s="581">
        <v>109.17</v>
      </c>
      <c r="J6705" s="108" t="s">
        <v>2899</v>
      </c>
      <c r="K6705" s="581">
        <v>0</v>
      </c>
      <c r="L6705" s="108" t="s">
        <v>2900</v>
      </c>
      <c r="M6705" s="581">
        <v>109.17</v>
      </c>
    </row>
    <row r="6706" ht="26.25" spans="3:13">
      <c r="C6706" s="108"/>
      <c r="D6706" s="108"/>
      <c r="E6706" s="108"/>
      <c r="F6706" s="108"/>
      <c r="G6706" s="108"/>
      <c r="H6706" s="108" t="s">
        <v>2901</v>
      </c>
      <c r="I6706" s="581">
        <v>290.58</v>
      </c>
      <c r="J6706" s="114"/>
      <c r="K6706" s="114" t="s">
        <v>2902</v>
      </c>
      <c r="L6706" s="108"/>
      <c r="M6706" s="581">
        <v>1430.59</v>
      </c>
    </row>
    <row r="6707" ht="15" spans="3:13">
      <c r="C6707" s="571"/>
      <c r="D6707" s="571"/>
      <c r="E6707" s="571"/>
      <c r="F6707" s="571"/>
      <c r="G6707" s="571"/>
      <c r="H6707" s="571"/>
      <c r="I6707" s="571"/>
      <c r="J6707" s="571"/>
      <c r="K6707" s="571"/>
      <c r="L6707" s="571"/>
      <c r="M6707" s="571"/>
    </row>
    <row r="6708" ht="15" customHeight="1" spans="3:13">
      <c r="C6708" s="76" t="s">
        <v>2298</v>
      </c>
      <c r="D6708" s="75" t="s">
        <v>63</v>
      </c>
      <c r="E6708" s="76" t="s">
        <v>64</v>
      </c>
      <c r="F6708" s="76" t="s">
        <v>65</v>
      </c>
      <c r="G6708" s="76" t="s">
        <v>2889</v>
      </c>
      <c r="H6708" s="76"/>
      <c r="I6708" s="77" t="s">
        <v>66</v>
      </c>
      <c r="J6708" s="75" t="s">
        <v>67</v>
      </c>
      <c r="K6708" s="75" t="s">
        <v>2890</v>
      </c>
      <c r="L6708" s="75" t="s">
        <v>68</v>
      </c>
      <c r="M6708" s="75" t="s">
        <v>70</v>
      </c>
    </row>
    <row r="6709" ht="38.25" spans="3:13">
      <c r="C6709" s="569" t="s">
        <v>2891</v>
      </c>
      <c r="D6709" s="570" t="s">
        <v>2299</v>
      </c>
      <c r="E6709" s="569" t="s">
        <v>132</v>
      </c>
      <c r="F6709" s="569" t="s">
        <v>2300</v>
      </c>
      <c r="G6709" s="569">
        <v>73</v>
      </c>
      <c r="H6709" s="569"/>
      <c r="I6709" s="577" t="s">
        <v>134</v>
      </c>
      <c r="J6709" s="578">
        <v>1</v>
      </c>
      <c r="K6709" s="579"/>
      <c r="L6709" s="579">
        <v>1254.48</v>
      </c>
      <c r="M6709" s="579">
        <v>1254.48</v>
      </c>
    </row>
    <row r="6710" ht="23.85" customHeight="1" spans="3:13">
      <c r="C6710" s="79" t="s">
        <v>2921</v>
      </c>
      <c r="D6710" s="78" t="s">
        <v>3487</v>
      </c>
      <c r="E6710" s="79" t="s">
        <v>139</v>
      </c>
      <c r="F6710" s="79" t="s">
        <v>3488</v>
      </c>
      <c r="G6710" s="79" t="s">
        <v>2928</v>
      </c>
      <c r="H6710" s="79"/>
      <c r="I6710" s="80" t="s">
        <v>2897</v>
      </c>
      <c r="J6710" s="583">
        <v>2.5</v>
      </c>
      <c r="K6710" s="583">
        <v>0</v>
      </c>
      <c r="L6710" s="92">
        <v>30.31</v>
      </c>
      <c r="M6710" s="92">
        <v>75.77</v>
      </c>
    </row>
    <row r="6711" ht="23.85" customHeight="1" spans="3:13">
      <c r="C6711" s="79" t="s">
        <v>2921</v>
      </c>
      <c r="D6711" s="78" t="s">
        <v>4215</v>
      </c>
      <c r="E6711" s="79" t="s">
        <v>139</v>
      </c>
      <c r="F6711" s="79" t="s">
        <v>4216</v>
      </c>
      <c r="G6711" s="79" t="s">
        <v>2928</v>
      </c>
      <c r="H6711" s="79"/>
      <c r="I6711" s="80" t="s">
        <v>2897</v>
      </c>
      <c r="J6711" s="583">
        <v>2.5</v>
      </c>
      <c r="K6711" s="583">
        <v>0</v>
      </c>
      <c r="L6711" s="92">
        <v>33.34</v>
      </c>
      <c r="M6711" s="92">
        <v>83.35</v>
      </c>
    </row>
    <row r="6712" ht="23.85" customHeight="1" spans="3:13">
      <c r="C6712" s="100" t="s">
        <v>2893</v>
      </c>
      <c r="D6712" s="99" t="s">
        <v>4819</v>
      </c>
      <c r="E6712" s="100" t="s">
        <v>132</v>
      </c>
      <c r="F6712" s="100" t="s">
        <v>4820</v>
      </c>
      <c r="G6712" s="100" t="s">
        <v>2961</v>
      </c>
      <c r="H6712" s="100"/>
      <c r="I6712" s="101" t="s">
        <v>134</v>
      </c>
      <c r="J6712" s="580">
        <v>1</v>
      </c>
      <c r="K6712" s="580">
        <v>0</v>
      </c>
      <c r="L6712" s="102">
        <v>1095.36</v>
      </c>
      <c r="M6712" s="102">
        <v>1095.36</v>
      </c>
    </row>
    <row r="6713" ht="25.5" spans="3:13">
      <c r="C6713" s="108"/>
      <c r="D6713" s="108"/>
      <c r="E6713" s="108"/>
      <c r="F6713" s="108"/>
      <c r="G6713" s="108"/>
      <c r="H6713" s="108" t="s">
        <v>2898</v>
      </c>
      <c r="I6713" s="581">
        <v>109.17</v>
      </c>
      <c r="J6713" s="108" t="s">
        <v>2899</v>
      </c>
      <c r="K6713" s="581">
        <v>0</v>
      </c>
      <c r="L6713" s="108" t="s">
        <v>2900</v>
      </c>
      <c r="M6713" s="581">
        <v>109.17</v>
      </c>
    </row>
    <row r="6714" ht="26.25" spans="3:13">
      <c r="C6714" s="108"/>
      <c r="D6714" s="108"/>
      <c r="E6714" s="108"/>
      <c r="F6714" s="108"/>
      <c r="G6714" s="108"/>
      <c r="H6714" s="108" t="s">
        <v>2901</v>
      </c>
      <c r="I6714" s="581">
        <v>319.76</v>
      </c>
      <c r="J6714" s="114"/>
      <c r="K6714" s="114" t="s">
        <v>2902</v>
      </c>
      <c r="L6714" s="108"/>
      <c r="M6714" s="581">
        <v>1574.24</v>
      </c>
    </row>
    <row r="6715" ht="15" spans="3:13">
      <c r="C6715" s="571"/>
      <c r="D6715" s="571"/>
      <c r="E6715" s="571"/>
      <c r="F6715" s="571"/>
      <c r="G6715" s="571"/>
      <c r="H6715" s="571"/>
      <c r="I6715" s="571"/>
      <c r="J6715" s="571"/>
      <c r="K6715" s="571"/>
      <c r="L6715" s="571"/>
      <c r="M6715" s="571"/>
    </row>
    <row r="6716" ht="15" customHeight="1" spans="3:13">
      <c r="C6716" s="76" t="s">
        <v>2301</v>
      </c>
      <c r="D6716" s="75" t="s">
        <v>63</v>
      </c>
      <c r="E6716" s="76" t="s">
        <v>64</v>
      </c>
      <c r="F6716" s="76" t="s">
        <v>65</v>
      </c>
      <c r="G6716" s="76" t="s">
        <v>2889</v>
      </c>
      <c r="H6716" s="76"/>
      <c r="I6716" s="77" t="s">
        <v>66</v>
      </c>
      <c r="J6716" s="75" t="s">
        <v>67</v>
      </c>
      <c r="K6716" s="75" t="s">
        <v>2890</v>
      </c>
      <c r="L6716" s="75" t="s">
        <v>68</v>
      </c>
      <c r="M6716" s="75" t="s">
        <v>70</v>
      </c>
    </row>
    <row r="6717" ht="38.25" spans="3:13">
      <c r="C6717" s="569" t="s">
        <v>2891</v>
      </c>
      <c r="D6717" s="570" t="s">
        <v>2302</v>
      </c>
      <c r="E6717" s="569" t="s">
        <v>132</v>
      </c>
      <c r="F6717" s="569" t="s">
        <v>2303</v>
      </c>
      <c r="G6717" s="569">
        <v>73</v>
      </c>
      <c r="H6717" s="569"/>
      <c r="I6717" s="577" t="s">
        <v>134</v>
      </c>
      <c r="J6717" s="578">
        <v>1</v>
      </c>
      <c r="K6717" s="579"/>
      <c r="L6717" s="579">
        <v>1292.08</v>
      </c>
      <c r="M6717" s="579">
        <v>1292.08</v>
      </c>
    </row>
    <row r="6718" ht="23.85" customHeight="1" spans="3:13">
      <c r="C6718" s="79" t="s">
        <v>2921</v>
      </c>
      <c r="D6718" s="78" t="s">
        <v>4215</v>
      </c>
      <c r="E6718" s="79" t="s">
        <v>139</v>
      </c>
      <c r="F6718" s="79" t="s">
        <v>4216</v>
      </c>
      <c r="G6718" s="79" t="s">
        <v>2928</v>
      </c>
      <c r="H6718" s="79"/>
      <c r="I6718" s="80" t="s">
        <v>2897</v>
      </c>
      <c r="J6718" s="583">
        <v>2.5</v>
      </c>
      <c r="K6718" s="583">
        <v>0</v>
      </c>
      <c r="L6718" s="92">
        <v>33.34</v>
      </c>
      <c r="M6718" s="92">
        <v>83.35</v>
      </c>
    </row>
    <row r="6719" ht="23.85" customHeight="1" spans="3:13">
      <c r="C6719" s="79" t="s">
        <v>2921</v>
      </c>
      <c r="D6719" s="78" t="s">
        <v>3487</v>
      </c>
      <c r="E6719" s="79" t="s">
        <v>139</v>
      </c>
      <c r="F6719" s="79" t="s">
        <v>3488</v>
      </c>
      <c r="G6719" s="79" t="s">
        <v>2928</v>
      </c>
      <c r="H6719" s="79"/>
      <c r="I6719" s="80" t="s">
        <v>2897</v>
      </c>
      <c r="J6719" s="583">
        <v>2.5</v>
      </c>
      <c r="K6719" s="583">
        <v>0</v>
      </c>
      <c r="L6719" s="92">
        <v>30.31</v>
      </c>
      <c r="M6719" s="92">
        <v>75.77</v>
      </c>
    </row>
    <row r="6720" ht="23.85" customHeight="1" spans="3:13">
      <c r="C6720" s="100" t="s">
        <v>2893</v>
      </c>
      <c r="D6720" s="99" t="s">
        <v>4821</v>
      </c>
      <c r="E6720" s="100" t="s">
        <v>132</v>
      </c>
      <c r="F6720" s="100" t="s">
        <v>4822</v>
      </c>
      <c r="G6720" s="100" t="s">
        <v>2961</v>
      </c>
      <c r="H6720" s="100"/>
      <c r="I6720" s="101" t="s">
        <v>134</v>
      </c>
      <c r="J6720" s="580">
        <v>1</v>
      </c>
      <c r="K6720" s="580">
        <v>0</v>
      </c>
      <c r="L6720" s="102">
        <v>1132.96</v>
      </c>
      <c r="M6720" s="102">
        <v>1132.96</v>
      </c>
    </row>
    <row r="6721" ht="25.5" spans="3:13">
      <c r="C6721" s="108"/>
      <c r="D6721" s="108"/>
      <c r="E6721" s="108"/>
      <c r="F6721" s="108"/>
      <c r="G6721" s="108"/>
      <c r="H6721" s="108" t="s">
        <v>2898</v>
      </c>
      <c r="I6721" s="581">
        <v>109.17</v>
      </c>
      <c r="J6721" s="108" t="s">
        <v>2899</v>
      </c>
      <c r="K6721" s="581">
        <v>0</v>
      </c>
      <c r="L6721" s="108" t="s">
        <v>2900</v>
      </c>
      <c r="M6721" s="581">
        <v>109.17</v>
      </c>
    </row>
    <row r="6722" ht="26.25" spans="3:13">
      <c r="C6722" s="108"/>
      <c r="D6722" s="108"/>
      <c r="E6722" s="108"/>
      <c r="F6722" s="108"/>
      <c r="G6722" s="108"/>
      <c r="H6722" s="108" t="s">
        <v>2901</v>
      </c>
      <c r="I6722" s="581">
        <v>329.35</v>
      </c>
      <c r="J6722" s="114"/>
      <c r="K6722" s="114" t="s">
        <v>2902</v>
      </c>
      <c r="L6722" s="108"/>
      <c r="M6722" s="581">
        <v>1621.43</v>
      </c>
    </row>
    <row r="6723" ht="15" spans="3:13">
      <c r="C6723" s="571"/>
      <c r="D6723" s="571"/>
      <c r="E6723" s="571"/>
      <c r="F6723" s="571"/>
      <c r="G6723" s="571"/>
      <c r="H6723" s="571"/>
      <c r="I6723" s="571"/>
      <c r="J6723" s="571"/>
      <c r="K6723" s="571"/>
      <c r="L6723" s="571"/>
      <c r="M6723" s="571"/>
    </row>
    <row r="6724" ht="15" customHeight="1" spans="3:13">
      <c r="C6724" s="76" t="s">
        <v>2304</v>
      </c>
      <c r="D6724" s="75" t="s">
        <v>63</v>
      </c>
      <c r="E6724" s="76" t="s">
        <v>64</v>
      </c>
      <c r="F6724" s="76" t="s">
        <v>65</v>
      </c>
      <c r="G6724" s="76" t="s">
        <v>2889</v>
      </c>
      <c r="H6724" s="76"/>
      <c r="I6724" s="77" t="s">
        <v>66</v>
      </c>
      <c r="J6724" s="75" t="s">
        <v>67</v>
      </c>
      <c r="K6724" s="75" t="s">
        <v>2890</v>
      </c>
      <c r="L6724" s="75" t="s">
        <v>68</v>
      </c>
      <c r="M6724" s="75" t="s">
        <v>70</v>
      </c>
    </row>
    <row r="6725" ht="38.25" spans="3:13">
      <c r="C6725" s="569" t="s">
        <v>2891</v>
      </c>
      <c r="D6725" s="570" t="s">
        <v>2305</v>
      </c>
      <c r="E6725" s="569" t="s">
        <v>132</v>
      </c>
      <c r="F6725" s="569" t="s">
        <v>2306</v>
      </c>
      <c r="G6725" s="569">
        <v>73</v>
      </c>
      <c r="H6725" s="569"/>
      <c r="I6725" s="577" t="s">
        <v>134</v>
      </c>
      <c r="J6725" s="578">
        <v>1</v>
      </c>
      <c r="K6725" s="579"/>
      <c r="L6725" s="579">
        <v>1330.8</v>
      </c>
      <c r="M6725" s="579">
        <v>1330.8</v>
      </c>
    </row>
    <row r="6726" ht="23.85" customHeight="1" spans="3:13">
      <c r="C6726" s="79" t="s">
        <v>2921</v>
      </c>
      <c r="D6726" s="78" t="s">
        <v>4215</v>
      </c>
      <c r="E6726" s="79" t="s">
        <v>139</v>
      </c>
      <c r="F6726" s="79" t="s">
        <v>4216</v>
      </c>
      <c r="G6726" s="79" t="s">
        <v>2928</v>
      </c>
      <c r="H6726" s="79"/>
      <c r="I6726" s="80" t="s">
        <v>2897</v>
      </c>
      <c r="J6726" s="583">
        <v>2.5</v>
      </c>
      <c r="K6726" s="583">
        <v>0</v>
      </c>
      <c r="L6726" s="92">
        <v>33.34</v>
      </c>
      <c r="M6726" s="92">
        <v>83.35</v>
      </c>
    </row>
    <row r="6727" ht="23.85" customHeight="1" spans="3:13">
      <c r="C6727" s="79" t="s">
        <v>2921</v>
      </c>
      <c r="D6727" s="78" t="s">
        <v>3487</v>
      </c>
      <c r="E6727" s="79" t="s">
        <v>139</v>
      </c>
      <c r="F6727" s="79" t="s">
        <v>3488</v>
      </c>
      <c r="G6727" s="79" t="s">
        <v>2928</v>
      </c>
      <c r="H6727" s="79"/>
      <c r="I6727" s="80" t="s">
        <v>2897</v>
      </c>
      <c r="J6727" s="583">
        <v>2.5</v>
      </c>
      <c r="K6727" s="583">
        <v>0</v>
      </c>
      <c r="L6727" s="92">
        <v>30.31</v>
      </c>
      <c r="M6727" s="92">
        <v>75.77</v>
      </c>
    </row>
    <row r="6728" ht="23.85" customHeight="1" spans="3:13">
      <c r="C6728" s="100" t="s">
        <v>2893</v>
      </c>
      <c r="D6728" s="99" t="s">
        <v>4823</v>
      </c>
      <c r="E6728" s="100" t="s">
        <v>132</v>
      </c>
      <c r="F6728" s="100" t="s">
        <v>4824</v>
      </c>
      <c r="G6728" s="100" t="s">
        <v>2961</v>
      </c>
      <c r="H6728" s="100"/>
      <c r="I6728" s="101" t="s">
        <v>134</v>
      </c>
      <c r="J6728" s="580">
        <v>1</v>
      </c>
      <c r="K6728" s="580">
        <v>0</v>
      </c>
      <c r="L6728" s="102">
        <v>1171.68</v>
      </c>
      <c r="M6728" s="102">
        <v>1171.68</v>
      </c>
    </row>
    <row r="6729" ht="25.5" spans="3:13">
      <c r="C6729" s="108"/>
      <c r="D6729" s="108"/>
      <c r="E6729" s="108"/>
      <c r="F6729" s="108"/>
      <c r="G6729" s="108"/>
      <c r="H6729" s="108" t="s">
        <v>2898</v>
      </c>
      <c r="I6729" s="581">
        <v>109.17</v>
      </c>
      <c r="J6729" s="108" t="s">
        <v>2899</v>
      </c>
      <c r="K6729" s="581">
        <v>0</v>
      </c>
      <c r="L6729" s="108" t="s">
        <v>2900</v>
      </c>
      <c r="M6729" s="581">
        <v>109.17</v>
      </c>
    </row>
    <row r="6730" ht="26.25" spans="3:13">
      <c r="C6730" s="108"/>
      <c r="D6730" s="108"/>
      <c r="E6730" s="108"/>
      <c r="F6730" s="108"/>
      <c r="G6730" s="108"/>
      <c r="H6730" s="108" t="s">
        <v>2901</v>
      </c>
      <c r="I6730" s="581">
        <v>339.22</v>
      </c>
      <c r="J6730" s="114"/>
      <c r="K6730" s="114" t="s">
        <v>2902</v>
      </c>
      <c r="L6730" s="108"/>
      <c r="M6730" s="581">
        <v>1670.02</v>
      </c>
    </row>
    <row r="6731" ht="15" spans="3:13">
      <c r="C6731" s="571"/>
      <c r="D6731" s="571"/>
      <c r="E6731" s="571"/>
      <c r="F6731" s="571"/>
      <c r="G6731" s="571"/>
      <c r="H6731" s="571"/>
      <c r="I6731" s="571"/>
      <c r="J6731" s="571"/>
      <c r="K6731" s="571"/>
      <c r="L6731" s="571"/>
      <c r="M6731" s="571"/>
    </row>
    <row r="6732" ht="15" customHeight="1" spans="3:13">
      <c r="C6732" s="76" t="s">
        <v>2307</v>
      </c>
      <c r="D6732" s="75" t="s">
        <v>63</v>
      </c>
      <c r="E6732" s="76" t="s">
        <v>64</v>
      </c>
      <c r="F6732" s="76" t="s">
        <v>65</v>
      </c>
      <c r="G6732" s="76" t="s">
        <v>2889</v>
      </c>
      <c r="H6732" s="76"/>
      <c r="I6732" s="77" t="s">
        <v>66</v>
      </c>
      <c r="J6732" s="75" t="s">
        <v>67</v>
      </c>
      <c r="K6732" s="75" t="s">
        <v>2890</v>
      </c>
      <c r="L6732" s="75" t="s">
        <v>68</v>
      </c>
      <c r="M6732" s="75" t="s">
        <v>70</v>
      </c>
    </row>
    <row r="6733" ht="38.25" spans="3:13">
      <c r="C6733" s="569" t="s">
        <v>2891</v>
      </c>
      <c r="D6733" s="570" t="s">
        <v>2308</v>
      </c>
      <c r="E6733" s="569" t="s">
        <v>132</v>
      </c>
      <c r="F6733" s="569" t="s">
        <v>2309</v>
      </c>
      <c r="G6733" s="569">
        <v>73</v>
      </c>
      <c r="H6733" s="569"/>
      <c r="I6733" s="577" t="s">
        <v>134</v>
      </c>
      <c r="J6733" s="578">
        <v>1</v>
      </c>
      <c r="K6733" s="579"/>
      <c r="L6733" s="579">
        <v>1365.86</v>
      </c>
      <c r="M6733" s="579">
        <v>1365.86</v>
      </c>
    </row>
    <row r="6734" ht="23.85" customHeight="1" spans="3:13">
      <c r="C6734" s="79" t="s">
        <v>2921</v>
      </c>
      <c r="D6734" s="78" t="s">
        <v>4215</v>
      </c>
      <c r="E6734" s="79" t="s">
        <v>139</v>
      </c>
      <c r="F6734" s="79" t="s">
        <v>4216</v>
      </c>
      <c r="G6734" s="79" t="s">
        <v>2928</v>
      </c>
      <c r="H6734" s="79"/>
      <c r="I6734" s="80" t="s">
        <v>2897</v>
      </c>
      <c r="J6734" s="583">
        <v>2.5</v>
      </c>
      <c r="K6734" s="583">
        <v>0</v>
      </c>
      <c r="L6734" s="92">
        <v>33.34</v>
      </c>
      <c r="M6734" s="92">
        <v>83.35</v>
      </c>
    </row>
    <row r="6735" ht="23.85" customHeight="1" spans="3:13">
      <c r="C6735" s="79" t="s">
        <v>2921</v>
      </c>
      <c r="D6735" s="78" t="s">
        <v>3487</v>
      </c>
      <c r="E6735" s="79" t="s">
        <v>139</v>
      </c>
      <c r="F6735" s="79" t="s">
        <v>3488</v>
      </c>
      <c r="G6735" s="79" t="s">
        <v>2928</v>
      </c>
      <c r="H6735" s="79"/>
      <c r="I6735" s="80" t="s">
        <v>2897</v>
      </c>
      <c r="J6735" s="583">
        <v>2.5</v>
      </c>
      <c r="K6735" s="583">
        <v>0</v>
      </c>
      <c r="L6735" s="92">
        <v>30.31</v>
      </c>
      <c r="M6735" s="92">
        <v>75.77</v>
      </c>
    </row>
    <row r="6736" ht="23.85" customHeight="1" spans="3:13">
      <c r="C6736" s="100" t="s">
        <v>2893</v>
      </c>
      <c r="D6736" s="99" t="s">
        <v>4825</v>
      </c>
      <c r="E6736" s="100" t="s">
        <v>132</v>
      </c>
      <c r="F6736" s="100" t="s">
        <v>4826</v>
      </c>
      <c r="G6736" s="100" t="s">
        <v>2961</v>
      </c>
      <c r="H6736" s="100"/>
      <c r="I6736" s="101" t="s">
        <v>134</v>
      </c>
      <c r="J6736" s="580">
        <v>1</v>
      </c>
      <c r="K6736" s="580">
        <v>0</v>
      </c>
      <c r="L6736" s="102">
        <v>1206.74</v>
      </c>
      <c r="M6736" s="102">
        <v>1206.74</v>
      </c>
    </row>
    <row r="6737" ht="25.5" spans="3:13">
      <c r="C6737" s="108"/>
      <c r="D6737" s="108"/>
      <c r="E6737" s="108"/>
      <c r="F6737" s="108"/>
      <c r="G6737" s="108"/>
      <c r="H6737" s="108" t="s">
        <v>2898</v>
      </c>
      <c r="I6737" s="581">
        <v>109.17</v>
      </c>
      <c r="J6737" s="108" t="s">
        <v>2899</v>
      </c>
      <c r="K6737" s="581">
        <v>0</v>
      </c>
      <c r="L6737" s="108" t="s">
        <v>2900</v>
      </c>
      <c r="M6737" s="581">
        <v>109.17</v>
      </c>
    </row>
    <row r="6738" ht="26.25" spans="3:13">
      <c r="C6738" s="108"/>
      <c r="D6738" s="108"/>
      <c r="E6738" s="108"/>
      <c r="F6738" s="108"/>
      <c r="G6738" s="108"/>
      <c r="H6738" s="108" t="s">
        <v>2901</v>
      </c>
      <c r="I6738" s="581">
        <v>348.15</v>
      </c>
      <c r="J6738" s="114"/>
      <c r="K6738" s="114" t="s">
        <v>2902</v>
      </c>
      <c r="L6738" s="108"/>
      <c r="M6738" s="581">
        <v>1714.01</v>
      </c>
    </row>
    <row r="6739" ht="15" spans="3:13">
      <c r="C6739" s="571"/>
      <c r="D6739" s="571"/>
      <c r="E6739" s="571"/>
      <c r="F6739" s="571"/>
      <c r="G6739" s="571"/>
      <c r="H6739" s="571"/>
      <c r="I6739" s="571"/>
      <c r="J6739" s="571"/>
      <c r="K6739" s="571"/>
      <c r="L6739" s="571"/>
      <c r="M6739" s="571"/>
    </row>
    <row r="6740" ht="15" customHeight="1" spans="3:13">
      <c r="C6740" s="76" t="s">
        <v>2310</v>
      </c>
      <c r="D6740" s="75" t="s">
        <v>63</v>
      </c>
      <c r="E6740" s="76" t="s">
        <v>64</v>
      </c>
      <c r="F6740" s="76" t="s">
        <v>65</v>
      </c>
      <c r="G6740" s="76" t="s">
        <v>2889</v>
      </c>
      <c r="H6740" s="76"/>
      <c r="I6740" s="77" t="s">
        <v>66</v>
      </c>
      <c r="J6740" s="75" t="s">
        <v>67</v>
      </c>
      <c r="K6740" s="75" t="s">
        <v>2890</v>
      </c>
      <c r="L6740" s="75" t="s">
        <v>68</v>
      </c>
      <c r="M6740" s="75" t="s">
        <v>70</v>
      </c>
    </row>
    <row r="6741" ht="35.05" customHeight="1" spans="3:13">
      <c r="C6741" s="569" t="s">
        <v>2891</v>
      </c>
      <c r="D6741" s="570" t="s">
        <v>2311</v>
      </c>
      <c r="E6741" s="569" t="s">
        <v>132</v>
      </c>
      <c r="F6741" s="569" t="s">
        <v>2312</v>
      </c>
      <c r="G6741" s="569" t="s">
        <v>4227</v>
      </c>
      <c r="H6741" s="569"/>
      <c r="I6741" s="577" t="s">
        <v>134</v>
      </c>
      <c r="J6741" s="578">
        <v>1</v>
      </c>
      <c r="K6741" s="579"/>
      <c r="L6741" s="579">
        <v>766.07</v>
      </c>
      <c r="M6741" s="579">
        <v>766.07</v>
      </c>
    </row>
    <row r="6742" ht="23.85" customHeight="1" spans="3:13">
      <c r="C6742" s="79" t="s">
        <v>2921</v>
      </c>
      <c r="D6742" s="78" t="s">
        <v>2952</v>
      </c>
      <c r="E6742" s="79" t="s">
        <v>139</v>
      </c>
      <c r="F6742" s="79" t="s">
        <v>2953</v>
      </c>
      <c r="G6742" s="79" t="s">
        <v>2928</v>
      </c>
      <c r="H6742" s="79"/>
      <c r="I6742" s="80" t="s">
        <v>2897</v>
      </c>
      <c r="J6742" s="583">
        <v>1.2</v>
      </c>
      <c r="K6742" s="583">
        <v>0</v>
      </c>
      <c r="L6742" s="92">
        <v>29.15</v>
      </c>
      <c r="M6742" s="92">
        <v>34.98</v>
      </c>
    </row>
    <row r="6743" ht="23.85" customHeight="1" spans="3:13">
      <c r="C6743" s="79" t="s">
        <v>2921</v>
      </c>
      <c r="D6743" s="78" t="s">
        <v>4196</v>
      </c>
      <c r="E6743" s="79" t="s">
        <v>139</v>
      </c>
      <c r="F6743" s="79" t="s">
        <v>4197</v>
      </c>
      <c r="G6743" s="79" t="s">
        <v>2928</v>
      </c>
      <c r="H6743" s="79"/>
      <c r="I6743" s="80" t="s">
        <v>2897</v>
      </c>
      <c r="J6743" s="583">
        <v>1.2</v>
      </c>
      <c r="K6743" s="583">
        <v>0</v>
      </c>
      <c r="L6743" s="92">
        <v>47.1</v>
      </c>
      <c r="M6743" s="92">
        <v>56.52</v>
      </c>
    </row>
    <row r="6744" ht="38.25" spans="3:13">
      <c r="C6744" s="100" t="s">
        <v>2893</v>
      </c>
      <c r="D6744" s="99" t="s">
        <v>4827</v>
      </c>
      <c r="E6744" s="100" t="s">
        <v>77</v>
      </c>
      <c r="F6744" s="100" t="s">
        <v>4828</v>
      </c>
      <c r="G6744" s="100">
        <v>0</v>
      </c>
      <c r="H6744" s="100"/>
      <c r="I6744" s="101" t="s">
        <v>134</v>
      </c>
      <c r="J6744" s="580">
        <v>1</v>
      </c>
      <c r="K6744" s="580">
        <v>0</v>
      </c>
      <c r="L6744" s="102">
        <v>674.57</v>
      </c>
      <c r="M6744" s="102">
        <v>674.57</v>
      </c>
    </row>
    <row r="6745" ht="25.5" spans="3:13">
      <c r="C6745" s="108"/>
      <c r="D6745" s="108"/>
      <c r="E6745" s="108"/>
      <c r="F6745" s="108"/>
      <c r="G6745" s="108"/>
      <c r="H6745" s="108" t="s">
        <v>2898</v>
      </c>
      <c r="I6745" s="581">
        <v>67.52</v>
      </c>
      <c r="J6745" s="108" t="s">
        <v>2899</v>
      </c>
      <c r="K6745" s="581">
        <v>0</v>
      </c>
      <c r="L6745" s="108" t="s">
        <v>2900</v>
      </c>
      <c r="M6745" s="581">
        <v>67.52</v>
      </c>
    </row>
    <row r="6746" ht="26.25" spans="3:13">
      <c r="C6746" s="108"/>
      <c r="D6746" s="108"/>
      <c r="E6746" s="108"/>
      <c r="F6746" s="108"/>
      <c r="G6746" s="108"/>
      <c r="H6746" s="108" t="s">
        <v>2901</v>
      </c>
      <c r="I6746" s="581">
        <v>195.27</v>
      </c>
      <c r="J6746" s="114"/>
      <c r="K6746" s="114" t="s">
        <v>2902</v>
      </c>
      <c r="L6746" s="108"/>
      <c r="M6746" s="581">
        <v>961.34</v>
      </c>
    </row>
    <row r="6747" ht="15" spans="3:13">
      <c r="C6747" s="571"/>
      <c r="D6747" s="571"/>
      <c r="E6747" s="571"/>
      <c r="F6747" s="571"/>
      <c r="G6747" s="571"/>
      <c r="H6747" s="571"/>
      <c r="I6747" s="571"/>
      <c r="J6747" s="571"/>
      <c r="K6747" s="571"/>
      <c r="L6747" s="571"/>
      <c r="M6747" s="571"/>
    </row>
    <row r="6748" ht="15" customHeight="1" spans="3:13">
      <c r="C6748" s="76" t="s">
        <v>2313</v>
      </c>
      <c r="D6748" s="75" t="s">
        <v>63</v>
      </c>
      <c r="E6748" s="76" t="s">
        <v>64</v>
      </c>
      <c r="F6748" s="76" t="s">
        <v>65</v>
      </c>
      <c r="G6748" s="76" t="s">
        <v>2889</v>
      </c>
      <c r="H6748" s="76"/>
      <c r="I6748" s="77" t="s">
        <v>66</v>
      </c>
      <c r="J6748" s="75" t="s">
        <v>67</v>
      </c>
      <c r="K6748" s="75" t="s">
        <v>2890</v>
      </c>
      <c r="L6748" s="75" t="s">
        <v>68</v>
      </c>
      <c r="M6748" s="75" t="s">
        <v>70</v>
      </c>
    </row>
    <row r="6749" ht="63.75" spans="3:13">
      <c r="C6749" s="569" t="s">
        <v>2891</v>
      </c>
      <c r="D6749" s="570" t="s">
        <v>2314</v>
      </c>
      <c r="E6749" s="569" t="s">
        <v>77</v>
      </c>
      <c r="F6749" s="569" t="s">
        <v>4829</v>
      </c>
      <c r="G6749" s="569">
        <v>18</v>
      </c>
      <c r="H6749" s="569"/>
      <c r="I6749" s="577" t="s">
        <v>134</v>
      </c>
      <c r="J6749" s="578">
        <v>1</v>
      </c>
      <c r="K6749" s="579"/>
      <c r="L6749" s="579">
        <v>1032.01</v>
      </c>
      <c r="M6749" s="579">
        <v>1032.01</v>
      </c>
    </row>
    <row r="6750" ht="23.85" customHeight="1" spans="3:13">
      <c r="C6750" s="100" t="s">
        <v>2893</v>
      </c>
      <c r="D6750" s="99" t="s">
        <v>4830</v>
      </c>
      <c r="E6750" s="100" t="s">
        <v>77</v>
      </c>
      <c r="F6750" s="100" t="s">
        <v>4831</v>
      </c>
      <c r="G6750" s="100" t="s">
        <v>2961</v>
      </c>
      <c r="H6750" s="100"/>
      <c r="I6750" s="101" t="s">
        <v>134</v>
      </c>
      <c r="J6750" s="580">
        <v>1</v>
      </c>
      <c r="K6750" s="580">
        <v>0</v>
      </c>
      <c r="L6750" s="102">
        <v>975.38</v>
      </c>
      <c r="M6750" s="102">
        <v>975.38</v>
      </c>
    </row>
    <row r="6751" ht="23.85" customHeight="1" spans="3:13">
      <c r="C6751" s="100" t="s">
        <v>2893</v>
      </c>
      <c r="D6751" s="99" t="s">
        <v>3108</v>
      </c>
      <c r="E6751" s="100" t="s">
        <v>77</v>
      </c>
      <c r="F6751" s="100" t="s">
        <v>3109</v>
      </c>
      <c r="G6751" s="100" t="s">
        <v>2896</v>
      </c>
      <c r="H6751" s="100"/>
      <c r="I6751" s="101" t="s">
        <v>2897</v>
      </c>
      <c r="J6751" s="580">
        <v>1.2</v>
      </c>
      <c r="K6751" s="580">
        <v>3</v>
      </c>
      <c r="L6751" s="102">
        <v>19.16</v>
      </c>
      <c r="M6751" s="102">
        <v>23.68</v>
      </c>
    </row>
    <row r="6752" ht="23.85" customHeight="1" spans="3:13">
      <c r="C6752" s="100" t="s">
        <v>2893</v>
      </c>
      <c r="D6752" s="99" t="s">
        <v>4206</v>
      </c>
      <c r="E6752" s="100" t="s">
        <v>77</v>
      </c>
      <c r="F6752" s="100" t="s">
        <v>4207</v>
      </c>
      <c r="G6752" s="100" t="s">
        <v>2896</v>
      </c>
      <c r="H6752" s="100"/>
      <c r="I6752" s="101" t="s">
        <v>2897</v>
      </c>
      <c r="J6752" s="580">
        <v>1.2</v>
      </c>
      <c r="K6752" s="580">
        <v>3</v>
      </c>
      <c r="L6752" s="102">
        <v>26.66</v>
      </c>
      <c r="M6752" s="102">
        <v>32.95</v>
      </c>
    </row>
    <row r="6753" ht="25.5" spans="3:13">
      <c r="C6753" s="108"/>
      <c r="D6753" s="108"/>
      <c r="E6753" s="108"/>
      <c r="F6753" s="108"/>
      <c r="G6753" s="108"/>
      <c r="H6753" s="108" t="s">
        <v>2898</v>
      </c>
      <c r="I6753" s="581">
        <v>56.63</v>
      </c>
      <c r="J6753" s="108" t="s">
        <v>2899</v>
      </c>
      <c r="K6753" s="581">
        <v>0</v>
      </c>
      <c r="L6753" s="108" t="s">
        <v>2900</v>
      </c>
      <c r="M6753" s="581">
        <v>56.63</v>
      </c>
    </row>
    <row r="6754" ht="26.25" spans="3:13">
      <c r="C6754" s="108"/>
      <c r="D6754" s="108"/>
      <c r="E6754" s="108"/>
      <c r="F6754" s="108"/>
      <c r="G6754" s="108"/>
      <c r="H6754" s="108" t="s">
        <v>2901</v>
      </c>
      <c r="I6754" s="581">
        <v>263.05</v>
      </c>
      <c r="J6754" s="114"/>
      <c r="K6754" s="114" t="s">
        <v>2902</v>
      </c>
      <c r="L6754" s="108"/>
      <c r="M6754" s="581">
        <v>1295.06</v>
      </c>
    </row>
    <row r="6755" ht="15" spans="3:13">
      <c r="C6755" s="571"/>
      <c r="D6755" s="571"/>
      <c r="E6755" s="571"/>
      <c r="F6755" s="571"/>
      <c r="G6755" s="571"/>
      <c r="H6755" s="571"/>
      <c r="I6755" s="571"/>
      <c r="J6755" s="571"/>
      <c r="K6755" s="571"/>
      <c r="L6755" s="571"/>
      <c r="M6755" s="571"/>
    </row>
    <row r="6756" ht="15" customHeight="1" spans="3:13">
      <c r="C6756" s="76" t="s">
        <v>2316</v>
      </c>
      <c r="D6756" s="75" t="s">
        <v>63</v>
      </c>
      <c r="E6756" s="76" t="s">
        <v>64</v>
      </c>
      <c r="F6756" s="76" t="s">
        <v>65</v>
      </c>
      <c r="G6756" s="76" t="s">
        <v>2889</v>
      </c>
      <c r="H6756" s="76"/>
      <c r="I6756" s="77" t="s">
        <v>66</v>
      </c>
      <c r="J6756" s="75" t="s">
        <v>67</v>
      </c>
      <c r="K6756" s="75" t="s">
        <v>2890</v>
      </c>
      <c r="L6756" s="75" t="s">
        <v>68</v>
      </c>
      <c r="M6756" s="75" t="s">
        <v>70</v>
      </c>
    </row>
    <row r="6757" ht="23.85" customHeight="1" spans="3:13">
      <c r="C6757" s="569" t="s">
        <v>2891</v>
      </c>
      <c r="D6757" s="570" t="s">
        <v>2317</v>
      </c>
      <c r="E6757" s="569" t="s">
        <v>149</v>
      </c>
      <c r="F6757" s="569" t="s">
        <v>2318</v>
      </c>
      <c r="G6757" s="569" t="s">
        <v>4599</v>
      </c>
      <c r="H6757" s="569"/>
      <c r="I6757" s="577" t="s">
        <v>134</v>
      </c>
      <c r="J6757" s="578">
        <v>1</v>
      </c>
      <c r="K6757" s="579"/>
      <c r="L6757" s="579">
        <v>1478.74</v>
      </c>
      <c r="M6757" s="579">
        <v>1478.74</v>
      </c>
    </row>
    <row r="6758" ht="15" customHeight="1" spans="3:13">
      <c r="C6758" s="100" t="s">
        <v>2893</v>
      </c>
      <c r="D6758" s="99" t="s">
        <v>4832</v>
      </c>
      <c r="E6758" s="100" t="s">
        <v>149</v>
      </c>
      <c r="F6758" s="100" t="s">
        <v>4833</v>
      </c>
      <c r="G6758" s="100" t="s">
        <v>2961</v>
      </c>
      <c r="H6758" s="100"/>
      <c r="I6758" s="101" t="s">
        <v>134</v>
      </c>
      <c r="J6758" s="580">
        <v>1</v>
      </c>
      <c r="K6758" s="580">
        <v>0</v>
      </c>
      <c r="L6758" s="102">
        <v>1372.14</v>
      </c>
      <c r="M6758" s="102">
        <v>1372.14</v>
      </c>
    </row>
    <row r="6759" ht="15" customHeight="1" spans="3:13">
      <c r="C6759" s="100" t="s">
        <v>2893</v>
      </c>
      <c r="D6759" s="99" t="s">
        <v>4604</v>
      </c>
      <c r="E6759" s="100" t="s">
        <v>149</v>
      </c>
      <c r="F6759" s="100" t="s">
        <v>4605</v>
      </c>
      <c r="G6759" s="100" t="s">
        <v>2896</v>
      </c>
      <c r="H6759" s="100"/>
      <c r="I6759" s="101" t="s">
        <v>2897</v>
      </c>
      <c r="J6759" s="580">
        <v>2.1</v>
      </c>
      <c r="K6759" s="580">
        <v>0</v>
      </c>
      <c r="L6759" s="102">
        <v>30.25168</v>
      </c>
      <c r="M6759" s="102">
        <v>63.52</v>
      </c>
    </row>
    <row r="6760" ht="15" customHeight="1" spans="3:13">
      <c r="C6760" s="100" t="s">
        <v>2893</v>
      </c>
      <c r="D6760" s="99" t="s">
        <v>4600</v>
      </c>
      <c r="E6760" s="100" t="s">
        <v>149</v>
      </c>
      <c r="F6760" s="100" t="s">
        <v>4601</v>
      </c>
      <c r="G6760" s="100" t="s">
        <v>2896</v>
      </c>
      <c r="H6760" s="100"/>
      <c r="I6760" s="101" t="s">
        <v>2897</v>
      </c>
      <c r="J6760" s="580">
        <v>2.1</v>
      </c>
      <c r="K6760" s="580">
        <v>0</v>
      </c>
      <c r="L6760" s="102">
        <v>20.515752</v>
      </c>
      <c r="M6760" s="102">
        <v>43.08</v>
      </c>
    </row>
    <row r="6761" ht="25.5" spans="3:13">
      <c r="C6761" s="108"/>
      <c r="D6761" s="108"/>
      <c r="E6761" s="108"/>
      <c r="F6761" s="108"/>
      <c r="G6761" s="108"/>
      <c r="H6761" s="108" t="s">
        <v>2898</v>
      </c>
      <c r="I6761" s="581">
        <v>106.6</v>
      </c>
      <c r="J6761" s="108" t="s">
        <v>2899</v>
      </c>
      <c r="K6761" s="581">
        <v>0</v>
      </c>
      <c r="L6761" s="108" t="s">
        <v>2900</v>
      </c>
      <c r="M6761" s="581">
        <v>106.6</v>
      </c>
    </row>
    <row r="6762" ht="26.25" spans="3:13">
      <c r="C6762" s="108"/>
      <c r="D6762" s="108"/>
      <c r="E6762" s="108"/>
      <c r="F6762" s="108"/>
      <c r="G6762" s="108"/>
      <c r="H6762" s="108" t="s">
        <v>2901</v>
      </c>
      <c r="I6762" s="581">
        <v>376.93</v>
      </c>
      <c r="J6762" s="114"/>
      <c r="K6762" s="114" t="s">
        <v>2902</v>
      </c>
      <c r="L6762" s="108"/>
      <c r="M6762" s="581">
        <v>1855.67</v>
      </c>
    </row>
    <row r="6763" ht="15" spans="3:13">
      <c r="C6763" s="571"/>
      <c r="D6763" s="571"/>
      <c r="E6763" s="571"/>
      <c r="F6763" s="571"/>
      <c r="G6763" s="571"/>
      <c r="H6763" s="571"/>
      <c r="I6763" s="571"/>
      <c r="J6763" s="571"/>
      <c r="K6763" s="571"/>
      <c r="L6763" s="571"/>
      <c r="M6763" s="571"/>
    </row>
    <row r="6764" ht="15" customHeight="1" spans="3:13">
      <c r="C6764" s="76" t="s">
        <v>2319</v>
      </c>
      <c r="D6764" s="75" t="s">
        <v>63</v>
      </c>
      <c r="E6764" s="76" t="s">
        <v>64</v>
      </c>
      <c r="F6764" s="76" t="s">
        <v>65</v>
      </c>
      <c r="G6764" s="76" t="s">
        <v>2889</v>
      </c>
      <c r="H6764" s="76"/>
      <c r="I6764" s="77" t="s">
        <v>66</v>
      </c>
      <c r="J6764" s="75" t="s">
        <v>67</v>
      </c>
      <c r="K6764" s="75" t="s">
        <v>2890</v>
      </c>
      <c r="L6764" s="75" t="s">
        <v>68</v>
      </c>
      <c r="M6764" s="75" t="s">
        <v>70</v>
      </c>
    </row>
    <row r="6765" ht="35.05" customHeight="1" spans="3:13">
      <c r="C6765" s="569" t="s">
        <v>2891</v>
      </c>
      <c r="D6765" s="570" t="s">
        <v>2320</v>
      </c>
      <c r="E6765" s="569" t="s">
        <v>132</v>
      </c>
      <c r="F6765" s="569" t="s">
        <v>2321</v>
      </c>
      <c r="G6765" s="569" t="s">
        <v>4227</v>
      </c>
      <c r="H6765" s="569"/>
      <c r="I6765" s="577" t="s">
        <v>134</v>
      </c>
      <c r="J6765" s="578">
        <v>1</v>
      </c>
      <c r="K6765" s="579"/>
      <c r="L6765" s="579">
        <v>1970.86</v>
      </c>
      <c r="M6765" s="579">
        <v>1970.86</v>
      </c>
    </row>
    <row r="6766" ht="23.85" customHeight="1" spans="3:13">
      <c r="C6766" s="79" t="s">
        <v>2921</v>
      </c>
      <c r="D6766" s="78" t="s">
        <v>4196</v>
      </c>
      <c r="E6766" s="79" t="s">
        <v>139</v>
      </c>
      <c r="F6766" s="79" t="s">
        <v>4197</v>
      </c>
      <c r="G6766" s="79" t="s">
        <v>2928</v>
      </c>
      <c r="H6766" s="79"/>
      <c r="I6766" s="80" t="s">
        <v>2897</v>
      </c>
      <c r="J6766" s="583">
        <v>2</v>
      </c>
      <c r="K6766" s="583">
        <v>0</v>
      </c>
      <c r="L6766" s="92">
        <v>47.1</v>
      </c>
      <c r="M6766" s="92">
        <v>94.2</v>
      </c>
    </row>
    <row r="6767" ht="23.85" customHeight="1" spans="3:13">
      <c r="C6767" s="79" t="s">
        <v>2921</v>
      </c>
      <c r="D6767" s="78" t="s">
        <v>2952</v>
      </c>
      <c r="E6767" s="79" t="s">
        <v>139</v>
      </c>
      <c r="F6767" s="79" t="s">
        <v>2953</v>
      </c>
      <c r="G6767" s="79" t="s">
        <v>2928</v>
      </c>
      <c r="H6767" s="79"/>
      <c r="I6767" s="80" t="s">
        <v>2897</v>
      </c>
      <c r="J6767" s="583">
        <v>2</v>
      </c>
      <c r="K6767" s="583">
        <v>0</v>
      </c>
      <c r="L6767" s="92">
        <v>29.15</v>
      </c>
      <c r="M6767" s="92">
        <v>58.3</v>
      </c>
    </row>
    <row r="6768" ht="38.25" spans="3:13">
      <c r="C6768" s="100" t="s">
        <v>2893</v>
      </c>
      <c r="D6768" s="99" t="s">
        <v>4834</v>
      </c>
      <c r="E6768" s="100" t="s">
        <v>77</v>
      </c>
      <c r="F6768" s="100" t="s">
        <v>4835</v>
      </c>
      <c r="G6768" s="100">
        <v>0</v>
      </c>
      <c r="H6768" s="100"/>
      <c r="I6768" s="101" t="s">
        <v>134</v>
      </c>
      <c r="J6768" s="580">
        <v>1</v>
      </c>
      <c r="K6768" s="580">
        <v>0</v>
      </c>
      <c r="L6768" s="102">
        <v>1818.36</v>
      </c>
      <c r="M6768" s="102">
        <v>1818.36</v>
      </c>
    </row>
    <row r="6769" ht="25.5" spans="3:13">
      <c r="C6769" s="108"/>
      <c r="D6769" s="108"/>
      <c r="E6769" s="108"/>
      <c r="F6769" s="108"/>
      <c r="G6769" s="108"/>
      <c r="H6769" s="108" t="s">
        <v>2898</v>
      </c>
      <c r="I6769" s="581">
        <v>112.54</v>
      </c>
      <c r="J6769" s="108" t="s">
        <v>2899</v>
      </c>
      <c r="K6769" s="581">
        <v>0</v>
      </c>
      <c r="L6769" s="108" t="s">
        <v>2900</v>
      </c>
      <c r="M6769" s="581">
        <v>112.54</v>
      </c>
    </row>
    <row r="6770" ht="26.25" spans="3:13">
      <c r="C6770" s="108"/>
      <c r="D6770" s="108"/>
      <c r="E6770" s="108"/>
      <c r="F6770" s="108"/>
      <c r="G6770" s="108"/>
      <c r="H6770" s="108" t="s">
        <v>2901</v>
      </c>
      <c r="I6770" s="581">
        <v>502.37</v>
      </c>
      <c r="J6770" s="114"/>
      <c r="K6770" s="114" t="s">
        <v>2902</v>
      </c>
      <c r="L6770" s="108"/>
      <c r="M6770" s="581">
        <v>2473.23</v>
      </c>
    </row>
    <row r="6771" ht="15" spans="3:13">
      <c r="C6771" s="571"/>
      <c r="D6771" s="571"/>
      <c r="E6771" s="571"/>
      <c r="F6771" s="571"/>
      <c r="G6771" s="571"/>
      <c r="H6771" s="571"/>
      <c r="I6771" s="571"/>
      <c r="J6771" s="571"/>
      <c r="K6771" s="571"/>
      <c r="L6771" s="571"/>
      <c r="M6771" s="571"/>
    </row>
    <row r="6772" ht="15" customHeight="1" spans="3:13">
      <c r="C6772" s="76" t="s">
        <v>2322</v>
      </c>
      <c r="D6772" s="75" t="s">
        <v>63</v>
      </c>
      <c r="E6772" s="76" t="s">
        <v>64</v>
      </c>
      <c r="F6772" s="76" t="s">
        <v>65</v>
      </c>
      <c r="G6772" s="76" t="s">
        <v>2889</v>
      </c>
      <c r="H6772" s="76"/>
      <c r="I6772" s="77" t="s">
        <v>66</v>
      </c>
      <c r="J6772" s="75" t="s">
        <v>67</v>
      </c>
      <c r="K6772" s="75" t="s">
        <v>2890</v>
      </c>
      <c r="L6772" s="75" t="s">
        <v>68</v>
      </c>
      <c r="M6772" s="75" t="s">
        <v>70</v>
      </c>
    </row>
    <row r="6773" ht="35.05" customHeight="1" spans="3:13">
      <c r="C6773" s="569" t="s">
        <v>2891</v>
      </c>
      <c r="D6773" s="570" t="s">
        <v>2323</v>
      </c>
      <c r="E6773" s="569" t="s">
        <v>132</v>
      </c>
      <c r="F6773" s="569" t="s">
        <v>2324</v>
      </c>
      <c r="G6773" s="569" t="s">
        <v>4227</v>
      </c>
      <c r="H6773" s="569"/>
      <c r="I6773" s="577" t="s">
        <v>134</v>
      </c>
      <c r="J6773" s="578">
        <v>1</v>
      </c>
      <c r="K6773" s="579"/>
      <c r="L6773" s="579">
        <v>1970.86</v>
      </c>
      <c r="M6773" s="579">
        <v>1970.86</v>
      </c>
    </row>
    <row r="6774" ht="23.85" customHeight="1" spans="3:13">
      <c r="C6774" s="79" t="s">
        <v>2921</v>
      </c>
      <c r="D6774" s="78" t="s">
        <v>4196</v>
      </c>
      <c r="E6774" s="79" t="s">
        <v>139</v>
      </c>
      <c r="F6774" s="79" t="s">
        <v>4197</v>
      </c>
      <c r="G6774" s="79" t="s">
        <v>2928</v>
      </c>
      <c r="H6774" s="79"/>
      <c r="I6774" s="80" t="s">
        <v>2897</v>
      </c>
      <c r="J6774" s="583">
        <v>2</v>
      </c>
      <c r="K6774" s="583">
        <v>0</v>
      </c>
      <c r="L6774" s="92">
        <v>47.1</v>
      </c>
      <c r="M6774" s="92">
        <v>94.2</v>
      </c>
    </row>
    <row r="6775" ht="23.85" customHeight="1" spans="3:13">
      <c r="C6775" s="79" t="s">
        <v>2921</v>
      </c>
      <c r="D6775" s="78" t="s">
        <v>2952</v>
      </c>
      <c r="E6775" s="79" t="s">
        <v>139</v>
      </c>
      <c r="F6775" s="79" t="s">
        <v>2953</v>
      </c>
      <c r="G6775" s="79" t="s">
        <v>2928</v>
      </c>
      <c r="H6775" s="79"/>
      <c r="I6775" s="80" t="s">
        <v>2897</v>
      </c>
      <c r="J6775" s="583">
        <v>2</v>
      </c>
      <c r="K6775" s="583">
        <v>0</v>
      </c>
      <c r="L6775" s="92">
        <v>29.15</v>
      </c>
      <c r="M6775" s="92">
        <v>58.3</v>
      </c>
    </row>
    <row r="6776" ht="38.25" spans="3:13">
      <c r="C6776" s="100" t="s">
        <v>2893</v>
      </c>
      <c r="D6776" s="99" t="s">
        <v>4834</v>
      </c>
      <c r="E6776" s="100" t="s">
        <v>77</v>
      </c>
      <c r="F6776" s="100" t="s">
        <v>4835</v>
      </c>
      <c r="G6776" s="100">
        <v>0</v>
      </c>
      <c r="H6776" s="100"/>
      <c r="I6776" s="101" t="s">
        <v>134</v>
      </c>
      <c r="J6776" s="580">
        <v>1</v>
      </c>
      <c r="K6776" s="580">
        <v>0</v>
      </c>
      <c r="L6776" s="102">
        <v>1818.36</v>
      </c>
      <c r="M6776" s="102">
        <v>1818.36</v>
      </c>
    </row>
    <row r="6777" ht="25.5" spans="3:13">
      <c r="C6777" s="108"/>
      <c r="D6777" s="108"/>
      <c r="E6777" s="108"/>
      <c r="F6777" s="108"/>
      <c r="G6777" s="108"/>
      <c r="H6777" s="108" t="s">
        <v>2898</v>
      </c>
      <c r="I6777" s="581">
        <v>112.54</v>
      </c>
      <c r="J6777" s="108" t="s">
        <v>2899</v>
      </c>
      <c r="K6777" s="581">
        <v>0</v>
      </c>
      <c r="L6777" s="108" t="s">
        <v>2900</v>
      </c>
      <c r="M6777" s="581">
        <v>112.54</v>
      </c>
    </row>
    <row r="6778" ht="26.25" spans="3:13">
      <c r="C6778" s="108"/>
      <c r="D6778" s="108"/>
      <c r="E6778" s="108"/>
      <c r="F6778" s="108"/>
      <c r="G6778" s="108"/>
      <c r="H6778" s="108" t="s">
        <v>2901</v>
      </c>
      <c r="I6778" s="581">
        <v>502.37</v>
      </c>
      <c r="J6778" s="114"/>
      <c r="K6778" s="114" t="s">
        <v>2902</v>
      </c>
      <c r="L6778" s="108"/>
      <c r="M6778" s="581">
        <v>2473.23</v>
      </c>
    </row>
    <row r="6779" ht="15" spans="3:13">
      <c r="C6779" s="571"/>
      <c r="D6779" s="571"/>
      <c r="E6779" s="571"/>
      <c r="F6779" s="571"/>
      <c r="G6779" s="571"/>
      <c r="H6779" s="571"/>
      <c r="I6779" s="571"/>
      <c r="J6779" s="571"/>
      <c r="K6779" s="571"/>
      <c r="L6779" s="571"/>
      <c r="M6779" s="571"/>
    </row>
    <row r="6780" ht="15" customHeight="1" spans="3:13">
      <c r="C6780" s="76" t="s">
        <v>2325</v>
      </c>
      <c r="D6780" s="75" t="s">
        <v>63</v>
      </c>
      <c r="E6780" s="76" t="s">
        <v>64</v>
      </c>
      <c r="F6780" s="76" t="s">
        <v>65</v>
      </c>
      <c r="G6780" s="76" t="s">
        <v>2889</v>
      </c>
      <c r="H6780" s="76"/>
      <c r="I6780" s="77" t="s">
        <v>66</v>
      </c>
      <c r="J6780" s="75" t="s">
        <v>67</v>
      </c>
      <c r="K6780" s="75" t="s">
        <v>2890</v>
      </c>
      <c r="L6780" s="75" t="s">
        <v>68</v>
      </c>
      <c r="M6780" s="75" t="s">
        <v>70</v>
      </c>
    </row>
    <row r="6781" ht="63.75" spans="3:13">
      <c r="C6781" s="569" t="s">
        <v>2891</v>
      </c>
      <c r="D6781" s="570" t="s">
        <v>2326</v>
      </c>
      <c r="E6781" s="569" t="s">
        <v>77</v>
      </c>
      <c r="F6781" s="569" t="s">
        <v>4836</v>
      </c>
      <c r="G6781" s="569">
        <v>18</v>
      </c>
      <c r="H6781" s="569"/>
      <c r="I6781" s="577" t="s">
        <v>134</v>
      </c>
      <c r="J6781" s="578">
        <v>1</v>
      </c>
      <c r="K6781" s="579"/>
      <c r="L6781" s="579">
        <v>1912.73</v>
      </c>
      <c r="M6781" s="579">
        <v>1912.73</v>
      </c>
    </row>
    <row r="6782" ht="23.85" customHeight="1" spans="3:13">
      <c r="C6782" s="100" t="s">
        <v>2893</v>
      </c>
      <c r="D6782" s="99" t="s">
        <v>4206</v>
      </c>
      <c r="E6782" s="100" t="s">
        <v>77</v>
      </c>
      <c r="F6782" s="100" t="s">
        <v>4207</v>
      </c>
      <c r="G6782" s="100" t="s">
        <v>2896</v>
      </c>
      <c r="H6782" s="100"/>
      <c r="I6782" s="101" t="s">
        <v>2897</v>
      </c>
      <c r="J6782" s="580">
        <v>2</v>
      </c>
      <c r="K6782" s="580">
        <v>3</v>
      </c>
      <c r="L6782" s="102">
        <v>26.66</v>
      </c>
      <c r="M6782" s="102">
        <v>54.91</v>
      </c>
    </row>
    <row r="6783" ht="23.85" customHeight="1" spans="3:13">
      <c r="C6783" s="100" t="s">
        <v>2893</v>
      </c>
      <c r="D6783" s="99" t="s">
        <v>3108</v>
      </c>
      <c r="E6783" s="100" t="s">
        <v>77</v>
      </c>
      <c r="F6783" s="100" t="s">
        <v>3109</v>
      </c>
      <c r="G6783" s="100" t="s">
        <v>2896</v>
      </c>
      <c r="H6783" s="100"/>
      <c r="I6783" s="101" t="s">
        <v>2897</v>
      </c>
      <c r="J6783" s="580">
        <v>2</v>
      </c>
      <c r="K6783" s="580">
        <v>3</v>
      </c>
      <c r="L6783" s="102">
        <v>19.16</v>
      </c>
      <c r="M6783" s="102">
        <v>39.46</v>
      </c>
    </row>
    <row r="6784" ht="38.25" spans="3:13">
      <c r="C6784" s="100" t="s">
        <v>2893</v>
      </c>
      <c r="D6784" s="99" t="s">
        <v>4834</v>
      </c>
      <c r="E6784" s="100" t="s">
        <v>77</v>
      </c>
      <c r="F6784" s="100" t="s">
        <v>4835</v>
      </c>
      <c r="G6784" s="100">
        <v>0</v>
      </c>
      <c r="H6784" s="100"/>
      <c r="I6784" s="101" t="s">
        <v>134</v>
      </c>
      <c r="J6784" s="580">
        <v>1</v>
      </c>
      <c r="K6784" s="580">
        <v>0</v>
      </c>
      <c r="L6784" s="102">
        <v>1818.36</v>
      </c>
      <c r="M6784" s="102">
        <v>1818.36</v>
      </c>
    </row>
    <row r="6785" ht="25.5" spans="3:13">
      <c r="C6785" s="108"/>
      <c r="D6785" s="108"/>
      <c r="E6785" s="108"/>
      <c r="F6785" s="108"/>
      <c r="G6785" s="108"/>
      <c r="H6785" s="108" t="s">
        <v>2898</v>
      </c>
      <c r="I6785" s="581">
        <v>94.37</v>
      </c>
      <c r="J6785" s="108" t="s">
        <v>2899</v>
      </c>
      <c r="K6785" s="581">
        <v>0</v>
      </c>
      <c r="L6785" s="108" t="s">
        <v>2900</v>
      </c>
      <c r="M6785" s="581">
        <v>94.37</v>
      </c>
    </row>
    <row r="6786" ht="26.25" spans="3:13">
      <c r="C6786" s="108"/>
      <c r="D6786" s="108"/>
      <c r="E6786" s="108"/>
      <c r="F6786" s="108"/>
      <c r="G6786" s="108"/>
      <c r="H6786" s="108" t="s">
        <v>2901</v>
      </c>
      <c r="I6786" s="581">
        <v>487.55</v>
      </c>
      <c r="J6786" s="114"/>
      <c r="K6786" s="114" t="s">
        <v>2902</v>
      </c>
      <c r="L6786" s="108"/>
      <c r="M6786" s="581">
        <v>2400.28</v>
      </c>
    </row>
    <row r="6787" ht="15" spans="3:13">
      <c r="C6787" s="571"/>
      <c r="D6787" s="571"/>
      <c r="E6787" s="571"/>
      <c r="F6787" s="571"/>
      <c r="G6787" s="571"/>
      <c r="H6787" s="571"/>
      <c r="I6787" s="571"/>
      <c r="J6787" s="571"/>
      <c r="K6787" s="571"/>
      <c r="L6787" s="571"/>
      <c r="M6787" s="571"/>
    </row>
    <row r="6788" ht="15" customHeight="1" spans="3:13">
      <c r="C6788" s="76" t="s">
        <v>2328</v>
      </c>
      <c r="D6788" s="75" t="s">
        <v>63</v>
      </c>
      <c r="E6788" s="76" t="s">
        <v>64</v>
      </c>
      <c r="F6788" s="76" t="s">
        <v>65</v>
      </c>
      <c r="G6788" s="76" t="s">
        <v>2889</v>
      </c>
      <c r="H6788" s="76"/>
      <c r="I6788" s="77" t="s">
        <v>66</v>
      </c>
      <c r="J6788" s="75" t="s">
        <v>67</v>
      </c>
      <c r="K6788" s="75" t="s">
        <v>2890</v>
      </c>
      <c r="L6788" s="75" t="s">
        <v>68</v>
      </c>
      <c r="M6788" s="75" t="s">
        <v>70</v>
      </c>
    </row>
    <row r="6789" ht="35.05" customHeight="1" spans="3:13">
      <c r="C6789" s="569" t="s">
        <v>2891</v>
      </c>
      <c r="D6789" s="570" t="s">
        <v>2329</v>
      </c>
      <c r="E6789" s="569" t="s">
        <v>132</v>
      </c>
      <c r="F6789" s="569" t="s">
        <v>2330</v>
      </c>
      <c r="G6789" s="569" t="s">
        <v>4227</v>
      </c>
      <c r="H6789" s="569"/>
      <c r="I6789" s="577" t="s">
        <v>134</v>
      </c>
      <c r="J6789" s="578">
        <v>1</v>
      </c>
      <c r="K6789" s="579"/>
      <c r="L6789" s="579">
        <v>6394.99</v>
      </c>
      <c r="M6789" s="579">
        <v>6394.99</v>
      </c>
    </row>
    <row r="6790" ht="23.85" customHeight="1" spans="3:13">
      <c r="C6790" s="79" t="s">
        <v>2921</v>
      </c>
      <c r="D6790" s="78" t="s">
        <v>4196</v>
      </c>
      <c r="E6790" s="79" t="s">
        <v>139</v>
      </c>
      <c r="F6790" s="79" t="s">
        <v>4197</v>
      </c>
      <c r="G6790" s="79" t="s">
        <v>2928</v>
      </c>
      <c r="H6790" s="79"/>
      <c r="I6790" s="80" t="s">
        <v>2897</v>
      </c>
      <c r="J6790" s="583">
        <v>2</v>
      </c>
      <c r="K6790" s="583">
        <v>0</v>
      </c>
      <c r="L6790" s="92">
        <v>47.1</v>
      </c>
      <c r="M6790" s="92">
        <v>94.2</v>
      </c>
    </row>
    <row r="6791" ht="23.85" customHeight="1" spans="3:13">
      <c r="C6791" s="79" t="s">
        <v>2921</v>
      </c>
      <c r="D6791" s="78" t="s">
        <v>2952</v>
      </c>
      <c r="E6791" s="79" t="s">
        <v>139</v>
      </c>
      <c r="F6791" s="79" t="s">
        <v>2953</v>
      </c>
      <c r="G6791" s="79" t="s">
        <v>2928</v>
      </c>
      <c r="H6791" s="79"/>
      <c r="I6791" s="80" t="s">
        <v>2897</v>
      </c>
      <c r="J6791" s="583">
        <v>2</v>
      </c>
      <c r="K6791" s="583">
        <v>0</v>
      </c>
      <c r="L6791" s="92">
        <v>29.15</v>
      </c>
      <c r="M6791" s="92">
        <v>58.3</v>
      </c>
    </row>
    <row r="6792" ht="35.05" customHeight="1" spans="3:13">
      <c r="C6792" s="100" t="s">
        <v>2893</v>
      </c>
      <c r="D6792" s="99" t="s">
        <v>4837</v>
      </c>
      <c r="E6792" s="100" t="s">
        <v>132</v>
      </c>
      <c r="F6792" s="100" t="s">
        <v>4838</v>
      </c>
      <c r="G6792" s="100" t="s">
        <v>2961</v>
      </c>
      <c r="H6792" s="100"/>
      <c r="I6792" s="101" t="s">
        <v>134</v>
      </c>
      <c r="J6792" s="580">
        <v>1</v>
      </c>
      <c r="K6792" s="580">
        <v>0</v>
      </c>
      <c r="L6792" s="102">
        <v>6242.49</v>
      </c>
      <c r="M6792" s="102">
        <v>6242.49</v>
      </c>
    </row>
    <row r="6793" ht="25.5" spans="3:13">
      <c r="C6793" s="108"/>
      <c r="D6793" s="108"/>
      <c r="E6793" s="108"/>
      <c r="F6793" s="108"/>
      <c r="G6793" s="108"/>
      <c r="H6793" s="108" t="s">
        <v>2898</v>
      </c>
      <c r="I6793" s="581">
        <v>112.54</v>
      </c>
      <c r="J6793" s="108" t="s">
        <v>2899</v>
      </c>
      <c r="K6793" s="581">
        <v>0</v>
      </c>
      <c r="L6793" s="108" t="s">
        <v>2900</v>
      </c>
      <c r="M6793" s="581">
        <v>112.54</v>
      </c>
    </row>
    <row r="6794" ht="26.25" spans="3:13">
      <c r="C6794" s="108"/>
      <c r="D6794" s="108"/>
      <c r="E6794" s="108"/>
      <c r="F6794" s="108"/>
      <c r="G6794" s="108"/>
      <c r="H6794" s="108" t="s">
        <v>2901</v>
      </c>
      <c r="I6794" s="581">
        <v>1630.08</v>
      </c>
      <c r="J6794" s="114"/>
      <c r="K6794" s="114" t="s">
        <v>2902</v>
      </c>
      <c r="L6794" s="108"/>
      <c r="M6794" s="581">
        <v>8025.07</v>
      </c>
    </row>
    <row r="6795" ht="15" spans="3:13">
      <c r="C6795" s="571"/>
      <c r="D6795" s="571"/>
      <c r="E6795" s="571"/>
      <c r="F6795" s="571"/>
      <c r="G6795" s="571"/>
      <c r="H6795" s="571"/>
      <c r="I6795" s="571"/>
      <c r="J6795" s="571"/>
      <c r="K6795" s="571"/>
      <c r="L6795" s="571"/>
      <c r="M6795" s="571"/>
    </row>
    <row r="6796" ht="15" customHeight="1" spans="3:13">
      <c r="C6796" s="76" t="s">
        <v>2331</v>
      </c>
      <c r="D6796" s="75" t="s">
        <v>63</v>
      </c>
      <c r="E6796" s="76" t="s">
        <v>64</v>
      </c>
      <c r="F6796" s="76" t="s">
        <v>65</v>
      </c>
      <c r="G6796" s="76" t="s">
        <v>2889</v>
      </c>
      <c r="H6796" s="76"/>
      <c r="I6796" s="77" t="s">
        <v>66</v>
      </c>
      <c r="J6796" s="75" t="s">
        <v>67</v>
      </c>
      <c r="K6796" s="75" t="s">
        <v>2890</v>
      </c>
      <c r="L6796" s="75" t="s">
        <v>68</v>
      </c>
      <c r="M6796" s="75" t="s">
        <v>70</v>
      </c>
    </row>
    <row r="6797" ht="35.05" customHeight="1" spans="3:13">
      <c r="C6797" s="569" t="s">
        <v>2891</v>
      </c>
      <c r="D6797" s="570" t="s">
        <v>2332</v>
      </c>
      <c r="E6797" s="569" t="s">
        <v>132</v>
      </c>
      <c r="F6797" s="569" t="s">
        <v>2333</v>
      </c>
      <c r="G6797" s="569" t="s">
        <v>4227</v>
      </c>
      <c r="H6797" s="569"/>
      <c r="I6797" s="577" t="s">
        <v>134</v>
      </c>
      <c r="J6797" s="578">
        <v>1</v>
      </c>
      <c r="K6797" s="579"/>
      <c r="L6797" s="579">
        <v>7033.42</v>
      </c>
      <c r="M6797" s="579">
        <v>7033.42</v>
      </c>
    </row>
    <row r="6798" ht="23.85" customHeight="1" spans="3:13">
      <c r="C6798" s="79" t="s">
        <v>2921</v>
      </c>
      <c r="D6798" s="78" t="s">
        <v>2952</v>
      </c>
      <c r="E6798" s="79" t="s">
        <v>139</v>
      </c>
      <c r="F6798" s="79" t="s">
        <v>2953</v>
      </c>
      <c r="G6798" s="79" t="s">
        <v>2928</v>
      </c>
      <c r="H6798" s="79"/>
      <c r="I6798" s="80" t="s">
        <v>2897</v>
      </c>
      <c r="J6798" s="583">
        <v>2</v>
      </c>
      <c r="K6798" s="583">
        <v>0</v>
      </c>
      <c r="L6798" s="92">
        <v>29.15</v>
      </c>
      <c r="M6798" s="92">
        <v>58.3</v>
      </c>
    </row>
    <row r="6799" ht="23.85" customHeight="1" spans="3:13">
      <c r="C6799" s="79" t="s">
        <v>2921</v>
      </c>
      <c r="D6799" s="78" t="s">
        <v>4196</v>
      </c>
      <c r="E6799" s="79" t="s">
        <v>139</v>
      </c>
      <c r="F6799" s="79" t="s">
        <v>4197</v>
      </c>
      <c r="G6799" s="79" t="s">
        <v>2928</v>
      </c>
      <c r="H6799" s="79"/>
      <c r="I6799" s="80" t="s">
        <v>2897</v>
      </c>
      <c r="J6799" s="583">
        <v>2</v>
      </c>
      <c r="K6799" s="583">
        <v>0</v>
      </c>
      <c r="L6799" s="92">
        <v>47.1</v>
      </c>
      <c r="M6799" s="92">
        <v>94.2</v>
      </c>
    </row>
    <row r="6800" ht="35.05" customHeight="1" spans="3:13">
      <c r="C6800" s="100" t="s">
        <v>2893</v>
      </c>
      <c r="D6800" s="99" t="s">
        <v>4839</v>
      </c>
      <c r="E6800" s="100" t="s">
        <v>132</v>
      </c>
      <c r="F6800" s="100" t="s">
        <v>4840</v>
      </c>
      <c r="G6800" s="100" t="s">
        <v>2961</v>
      </c>
      <c r="H6800" s="100"/>
      <c r="I6800" s="101" t="s">
        <v>134</v>
      </c>
      <c r="J6800" s="580">
        <v>1</v>
      </c>
      <c r="K6800" s="580">
        <v>0</v>
      </c>
      <c r="L6800" s="102">
        <v>6880.92</v>
      </c>
      <c r="M6800" s="102">
        <v>6880.92</v>
      </c>
    </row>
    <row r="6801" ht="25.5" spans="3:13">
      <c r="C6801" s="108"/>
      <c r="D6801" s="108"/>
      <c r="E6801" s="108"/>
      <c r="F6801" s="108"/>
      <c r="G6801" s="108"/>
      <c r="H6801" s="108" t="s">
        <v>2898</v>
      </c>
      <c r="I6801" s="581">
        <v>112.54</v>
      </c>
      <c r="J6801" s="108" t="s">
        <v>2899</v>
      </c>
      <c r="K6801" s="581">
        <v>0</v>
      </c>
      <c r="L6801" s="108" t="s">
        <v>2900</v>
      </c>
      <c r="M6801" s="581">
        <v>112.54</v>
      </c>
    </row>
    <row r="6802" ht="26.25" spans="3:13">
      <c r="C6802" s="108"/>
      <c r="D6802" s="108"/>
      <c r="E6802" s="108"/>
      <c r="F6802" s="108"/>
      <c r="G6802" s="108"/>
      <c r="H6802" s="108" t="s">
        <v>2901</v>
      </c>
      <c r="I6802" s="581">
        <v>1792.81</v>
      </c>
      <c r="J6802" s="114"/>
      <c r="K6802" s="114" t="s">
        <v>2902</v>
      </c>
      <c r="L6802" s="108"/>
      <c r="M6802" s="581">
        <v>8826.23</v>
      </c>
    </row>
    <row r="6803" ht="15" spans="3:13">
      <c r="C6803" s="571"/>
      <c r="D6803" s="571"/>
      <c r="E6803" s="571"/>
      <c r="F6803" s="571"/>
      <c r="G6803" s="571"/>
      <c r="H6803" s="571"/>
      <c r="I6803" s="571"/>
      <c r="J6803" s="571"/>
      <c r="K6803" s="571"/>
      <c r="L6803" s="571"/>
      <c r="M6803" s="571"/>
    </row>
    <row r="6804" ht="15" customHeight="1" spans="3:13">
      <c r="C6804" s="76" t="s">
        <v>2334</v>
      </c>
      <c r="D6804" s="75" t="s">
        <v>63</v>
      </c>
      <c r="E6804" s="76" t="s">
        <v>64</v>
      </c>
      <c r="F6804" s="76" t="s">
        <v>65</v>
      </c>
      <c r="G6804" s="76" t="s">
        <v>2889</v>
      </c>
      <c r="H6804" s="76"/>
      <c r="I6804" s="77" t="s">
        <v>66</v>
      </c>
      <c r="J6804" s="75" t="s">
        <v>67</v>
      </c>
      <c r="K6804" s="75" t="s">
        <v>2890</v>
      </c>
      <c r="L6804" s="75" t="s">
        <v>68</v>
      </c>
      <c r="M6804" s="75" t="s">
        <v>70</v>
      </c>
    </row>
    <row r="6805" ht="38.25" spans="3:13">
      <c r="C6805" s="569" t="s">
        <v>2891</v>
      </c>
      <c r="D6805" s="570" t="s">
        <v>2335</v>
      </c>
      <c r="E6805" s="569" t="s">
        <v>132</v>
      </c>
      <c r="F6805" s="569" t="s">
        <v>2336</v>
      </c>
      <c r="G6805" s="569">
        <v>70</v>
      </c>
      <c r="H6805" s="569"/>
      <c r="I6805" s="577" t="s">
        <v>134</v>
      </c>
      <c r="J6805" s="578">
        <v>1</v>
      </c>
      <c r="K6805" s="579"/>
      <c r="L6805" s="579">
        <v>63.65</v>
      </c>
      <c r="M6805" s="579">
        <v>63.65</v>
      </c>
    </row>
    <row r="6806" ht="23.85" customHeight="1" spans="3:13">
      <c r="C6806" s="79" t="s">
        <v>2921</v>
      </c>
      <c r="D6806" s="78" t="s">
        <v>3487</v>
      </c>
      <c r="E6806" s="79" t="s">
        <v>139</v>
      </c>
      <c r="F6806" s="79" t="s">
        <v>3488</v>
      </c>
      <c r="G6806" s="79" t="s">
        <v>2928</v>
      </c>
      <c r="H6806" s="79"/>
      <c r="I6806" s="80" t="s">
        <v>2897</v>
      </c>
      <c r="J6806" s="583">
        <v>1</v>
      </c>
      <c r="K6806" s="583">
        <v>0</v>
      </c>
      <c r="L6806" s="92">
        <v>30.31</v>
      </c>
      <c r="M6806" s="92">
        <v>30.31</v>
      </c>
    </row>
    <row r="6807" ht="23.85" customHeight="1" spans="3:13">
      <c r="C6807" s="79" t="s">
        <v>2921</v>
      </c>
      <c r="D6807" s="78" t="s">
        <v>4215</v>
      </c>
      <c r="E6807" s="79" t="s">
        <v>139</v>
      </c>
      <c r="F6807" s="79" t="s">
        <v>4216</v>
      </c>
      <c r="G6807" s="79" t="s">
        <v>2928</v>
      </c>
      <c r="H6807" s="79"/>
      <c r="I6807" s="80" t="s">
        <v>2897</v>
      </c>
      <c r="J6807" s="583">
        <v>1</v>
      </c>
      <c r="K6807" s="583">
        <v>0</v>
      </c>
      <c r="L6807" s="92">
        <v>33.34</v>
      </c>
      <c r="M6807" s="92">
        <v>33.34</v>
      </c>
    </row>
    <row r="6808" ht="25.5" spans="3:13">
      <c r="C6808" s="108"/>
      <c r="D6808" s="108"/>
      <c r="E6808" s="108"/>
      <c r="F6808" s="108"/>
      <c r="G6808" s="108"/>
      <c r="H6808" s="108" t="s">
        <v>2898</v>
      </c>
      <c r="I6808" s="581">
        <v>43.67</v>
      </c>
      <c r="J6808" s="108" t="s">
        <v>2899</v>
      </c>
      <c r="K6808" s="581">
        <v>0</v>
      </c>
      <c r="L6808" s="108" t="s">
        <v>2900</v>
      </c>
      <c r="M6808" s="581">
        <v>43.67</v>
      </c>
    </row>
    <row r="6809" ht="26.25" spans="3:13">
      <c r="C6809" s="108"/>
      <c r="D6809" s="108"/>
      <c r="E6809" s="108"/>
      <c r="F6809" s="108"/>
      <c r="G6809" s="108"/>
      <c r="H6809" s="108" t="s">
        <v>2901</v>
      </c>
      <c r="I6809" s="581">
        <v>16.22</v>
      </c>
      <c r="J6809" s="114"/>
      <c r="K6809" s="114" t="s">
        <v>2902</v>
      </c>
      <c r="L6809" s="108"/>
      <c r="M6809" s="581">
        <v>79.87</v>
      </c>
    </row>
    <row r="6810" ht="15" spans="3:13">
      <c r="C6810" s="571"/>
      <c r="D6810" s="571"/>
      <c r="E6810" s="571"/>
      <c r="F6810" s="571"/>
      <c r="G6810" s="571"/>
      <c r="H6810" s="571"/>
      <c r="I6810" s="571"/>
      <c r="J6810" s="571"/>
      <c r="K6810" s="571"/>
      <c r="L6810" s="571"/>
      <c r="M6810" s="571"/>
    </row>
    <row r="6811" ht="15" customHeight="1" spans="3:13">
      <c r="C6811" s="76" t="s">
        <v>2337</v>
      </c>
      <c r="D6811" s="75" t="s">
        <v>63</v>
      </c>
      <c r="E6811" s="76" t="s">
        <v>64</v>
      </c>
      <c r="F6811" s="76" t="s">
        <v>65</v>
      </c>
      <c r="G6811" s="76" t="s">
        <v>2889</v>
      </c>
      <c r="H6811" s="76"/>
      <c r="I6811" s="77" t="s">
        <v>66</v>
      </c>
      <c r="J6811" s="75" t="s">
        <v>67</v>
      </c>
      <c r="K6811" s="75" t="s">
        <v>2890</v>
      </c>
      <c r="L6811" s="75" t="s">
        <v>68</v>
      </c>
      <c r="M6811" s="75" t="s">
        <v>70</v>
      </c>
    </row>
    <row r="6812" ht="38.25" spans="3:13">
      <c r="C6812" s="569" t="s">
        <v>2891</v>
      </c>
      <c r="D6812" s="570" t="s">
        <v>2338</v>
      </c>
      <c r="E6812" s="569" t="s">
        <v>132</v>
      </c>
      <c r="F6812" s="569" t="s">
        <v>2339</v>
      </c>
      <c r="G6812" s="569">
        <v>70</v>
      </c>
      <c r="H6812" s="569"/>
      <c r="I6812" s="577" t="s">
        <v>134</v>
      </c>
      <c r="J6812" s="578">
        <v>1</v>
      </c>
      <c r="K6812" s="579"/>
      <c r="L6812" s="579">
        <v>63.65</v>
      </c>
      <c r="M6812" s="579">
        <v>63.65</v>
      </c>
    </row>
    <row r="6813" ht="23.85" customHeight="1" spans="3:13">
      <c r="C6813" s="79" t="s">
        <v>2921</v>
      </c>
      <c r="D6813" s="78" t="s">
        <v>3487</v>
      </c>
      <c r="E6813" s="79" t="s">
        <v>139</v>
      </c>
      <c r="F6813" s="79" t="s">
        <v>3488</v>
      </c>
      <c r="G6813" s="79" t="s">
        <v>2928</v>
      </c>
      <c r="H6813" s="79"/>
      <c r="I6813" s="80" t="s">
        <v>2897</v>
      </c>
      <c r="J6813" s="583">
        <v>1</v>
      </c>
      <c r="K6813" s="583">
        <v>0</v>
      </c>
      <c r="L6813" s="92">
        <v>30.31</v>
      </c>
      <c r="M6813" s="92">
        <v>30.31</v>
      </c>
    </row>
    <row r="6814" ht="23.85" customHeight="1" spans="3:13">
      <c r="C6814" s="79" t="s">
        <v>2921</v>
      </c>
      <c r="D6814" s="78" t="s">
        <v>4215</v>
      </c>
      <c r="E6814" s="79" t="s">
        <v>139</v>
      </c>
      <c r="F6814" s="79" t="s">
        <v>4216</v>
      </c>
      <c r="G6814" s="79" t="s">
        <v>2928</v>
      </c>
      <c r="H6814" s="79"/>
      <c r="I6814" s="80" t="s">
        <v>2897</v>
      </c>
      <c r="J6814" s="583">
        <v>1</v>
      </c>
      <c r="K6814" s="583">
        <v>0</v>
      </c>
      <c r="L6814" s="92">
        <v>33.34</v>
      </c>
      <c r="M6814" s="92">
        <v>33.34</v>
      </c>
    </row>
    <row r="6815" ht="25.5" spans="3:13">
      <c r="C6815" s="108"/>
      <c r="D6815" s="108"/>
      <c r="E6815" s="108"/>
      <c r="F6815" s="108"/>
      <c r="G6815" s="108"/>
      <c r="H6815" s="108" t="s">
        <v>2898</v>
      </c>
      <c r="I6815" s="581">
        <v>43.67</v>
      </c>
      <c r="J6815" s="108" t="s">
        <v>2899</v>
      </c>
      <c r="K6815" s="581">
        <v>0</v>
      </c>
      <c r="L6815" s="108" t="s">
        <v>2900</v>
      </c>
      <c r="M6815" s="581">
        <v>43.67</v>
      </c>
    </row>
    <row r="6816" ht="26.25" spans="3:13">
      <c r="C6816" s="108"/>
      <c r="D6816" s="108"/>
      <c r="E6816" s="108"/>
      <c r="F6816" s="108"/>
      <c r="G6816" s="108"/>
      <c r="H6816" s="108" t="s">
        <v>2901</v>
      </c>
      <c r="I6816" s="581">
        <v>16.22</v>
      </c>
      <c r="J6816" s="114"/>
      <c r="K6816" s="114" t="s">
        <v>2902</v>
      </c>
      <c r="L6816" s="108"/>
      <c r="M6816" s="581">
        <v>79.87</v>
      </c>
    </row>
    <row r="6817" ht="15" spans="3:13">
      <c r="C6817" s="571"/>
      <c r="D6817" s="571"/>
      <c r="E6817" s="571"/>
      <c r="F6817" s="571"/>
      <c r="G6817" s="571"/>
      <c r="H6817" s="571"/>
      <c r="I6817" s="571"/>
      <c r="J6817" s="571"/>
      <c r="K6817" s="571"/>
      <c r="L6817" s="571"/>
      <c r="M6817" s="571"/>
    </row>
    <row r="6818" ht="15" customHeight="1" spans="3:13">
      <c r="C6818" s="76" t="s">
        <v>2340</v>
      </c>
      <c r="D6818" s="75" t="s">
        <v>63</v>
      </c>
      <c r="E6818" s="76" t="s">
        <v>64</v>
      </c>
      <c r="F6818" s="76" t="s">
        <v>65</v>
      </c>
      <c r="G6818" s="76" t="s">
        <v>2889</v>
      </c>
      <c r="H6818" s="76"/>
      <c r="I6818" s="77" t="s">
        <v>66</v>
      </c>
      <c r="J6818" s="75" t="s">
        <v>67</v>
      </c>
      <c r="K6818" s="75" t="s">
        <v>2890</v>
      </c>
      <c r="L6818" s="75" t="s">
        <v>68</v>
      </c>
      <c r="M6818" s="75" t="s">
        <v>70</v>
      </c>
    </row>
    <row r="6819" ht="89.25" spans="3:13">
      <c r="C6819" s="569" t="s">
        <v>2891</v>
      </c>
      <c r="D6819" s="570" t="s">
        <v>2341</v>
      </c>
      <c r="E6819" s="569" t="s">
        <v>132</v>
      </c>
      <c r="F6819" s="569" t="s">
        <v>2342</v>
      </c>
      <c r="G6819" s="569">
        <v>70</v>
      </c>
      <c r="H6819" s="569"/>
      <c r="I6819" s="577" t="s">
        <v>134</v>
      </c>
      <c r="J6819" s="578">
        <v>1</v>
      </c>
      <c r="K6819" s="579"/>
      <c r="L6819" s="579">
        <v>63.65</v>
      </c>
      <c r="M6819" s="579">
        <v>63.65</v>
      </c>
    </row>
    <row r="6820" ht="23.85" customHeight="1" spans="3:13">
      <c r="C6820" s="79" t="s">
        <v>2921</v>
      </c>
      <c r="D6820" s="78" t="s">
        <v>3487</v>
      </c>
      <c r="E6820" s="79" t="s">
        <v>139</v>
      </c>
      <c r="F6820" s="79" t="s">
        <v>3488</v>
      </c>
      <c r="G6820" s="79" t="s">
        <v>2928</v>
      </c>
      <c r="H6820" s="79"/>
      <c r="I6820" s="80" t="s">
        <v>2897</v>
      </c>
      <c r="J6820" s="583">
        <v>1</v>
      </c>
      <c r="K6820" s="583">
        <v>0</v>
      </c>
      <c r="L6820" s="92">
        <v>30.31</v>
      </c>
      <c r="M6820" s="92">
        <v>30.31</v>
      </c>
    </row>
    <row r="6821" ht="23.85" customHeight="1" spans="3:13">
      <c r="C6821" s="79" t="s">
        <v>2921</v>
      </c>
      <c r="D6821" s="78" t="s">
        <v>4215</v>
      </c>
      <c r="E6821" s="79" t="s">
        <v>139</v>
      </c>
      <c r="F6821" s="79" t="s">
        <v>4216</v>
      </c>
      <c r="G6821" s="79" t="s">
        <v>2928</v>
      </c>
      <c r="H6821" s="79"/>
      <c r="I6821" s="80" t="s">
        <v>2897</v>
      </c>
      <c r="J6821" s="583">
        <v>1</v>
      </c>
      <c r="K6821" s="583">
        <v>0</v>
      </c>
      <c r="L6821" s="92">
        <v>33.34</v>
      </c>
      <c r="M6821" s="92">
        <v>33.34</v>
      </c>
    </row>
    <row r="6822" ht="25.5" spans="3:13">
      <c r="C6822" s="108"/>
      <c r="D6822" s="108"/>
      <c r="E6822" s="108"/>
      <c r="F6822" s="108"/>
      <c r="G6822" s="108"/>
      <c r="H6822" s="108" t="s">
        <v>2898</v>
      </c>
      <c r="I6822" s="581">
        <v>43.67</v>
      </c>
      <c r="J6822" s="108" t="s">
        <v>2899</v>
      </c>
      <c r="K6822" s="581">
        <v>0</v>
      </c>
      <c r="L6822" s="108" t="s">
        <v>2900</v>
      </c>
      <c r="M6822" s="581">
        <v>43.67</v>
      </c>
    </row>
    <row r="6823" ht="26.25" spans="3:13">
      <c r="C6823" s="108"/>
      <c r="D6823" s="108"/>
      <c r="E6823" s="108"/>
      <c r="F6823" s="108"/>
      <c r="G6823" s="108"/>
      <c r="H6823" s="108" t="s">
        <v>2901</v>
      </c>
      <c r="I6823" s="581">
        <v>16.22</v>
      </c>
      <c r="J6823" s="114"/>
      <c r="K6823" s="114" t="s">
        <v>2902</v>
      </c>
      <c r="L6823" s="108"/>
      <c r="M6823" s="581">
        <v>79.87</v>
      </c>
    </row>
    <row r="6824" ht="15" spans="3:13">
      <c r="C6824" s="571"/>
      <c r="D6824" s="571"/>
      <c r="E6824" s="571"/>
      <c r="F6824" s="571"/>
      <c r="G6824" s="571"/>
      <c r="H6824" s="571"/>
      <c r="I6824" s="571"/>
      <c r="J6824" s="571"/>
      <c r="K6824" s="571"/>
      <c r="L6824" s="571"/>
      <c r="M6824" s="571"/>
    </row>
    <row r="6825" ht="15" customHeight="1" spans="3:13">
      <c r="C6825" s="76" t="s">
        <v>2343</v>
      </c>
      <c r="D6825" s="75" t="s">
        <v>63</v>
      </c>
      <c r="E6825" s="76" t="s">
        <v>64</v>
      </c>
      <c r="F6825" s="76" t="s">
        <v>65</v>
      </c>
      <c r="G6825" s="76" t="s">
        <v>2889</v>
      </c>
      <c r="H6825" s="76"/>
      <c r="I6825" s="77" t="s">
        <v>66</v>
      </c>
      <c r="J6825" s="75" t="s">
        <v>67</v>
      </c>
      <c r="K6825" s="75" t="s">
        <v>2890</v>
      </c>
      <c r="L6825" s="75" t="s">
        <v>68</v>
      </c>
      <c r="M6825" s="75" t="s">
        <v>70</v>
      </c>
    </row>
    <row r="6826" ht="38.25" spans="3:13">
      <c r="C6826" s="569" t="s">
        <v>2891</v>
      </c>
      <c r="D6826" s="570" t="s">
        <v>2344</v>
      </c>
      <c r="E6826" s="569" t="s">
        <v>132</v>
      </c>
      <c r="F6826" s="569" t="s">
        <v>2345</v>
      </c>
      <c r="G6826" s="569">
        <v>70</v>
      </c>
      <c r="H6826" s="569"/>
      <c r="I6826" s="577" t="s">
        <v>134</v>
      </c>
      <c r="J6826" s="578">
        <v>1</v>
      </c>
      <c r="K6826" s="579"/>
      <c r="L6826" s="579">
        <v>63.65</v>
      </c>
      <c r="M6826" s="579">
        <v>63.65</v>
      </c>
    </row>
    <row r="6827" ht="23.85" customHeight="1" spans="3:13">
      <c r="C6827" s="79" t="s">
        <v>2921</v>
      </c>
      <c r="D6827" s="78" t="s">
        <v>3487</v>
      </c>
      <c r="E6827" s="79" t="s">
        <v>139</v>
      </c>
      <c r="F6827" s="79" t="s">
        <v>3488</v>
      </c>
      <c r="G6827" s="79" t="s">
        <v>2928</v>
      </c>
      <c r="H6827" s="79"/>
      <c r="I6827" s="80" t="s">
        <v>2897</v>
      </c>
      <c r="J6827" s="583">
        <v>1</v>
      </c>
      <c r="K6827" s="583">
        <v>0</v>
      </c>
      <c r="L6827" s="92">
        <v>30.31</v>
      </c>
      <c r="M6827" s="92">
        <v>30.31</v>
      </c>
    </row>
    <row r="6828" ht="23.85" customHeight="1" spans="3:13">
      <c r="C6828" s="79" t="s">
        <v>2921</v>
      </c>
      <c r="D6828" s="78" t="s">
        <v>4215</v>
      </c>
      <c r="E6828" s="79" t="s">
        <v>139</v>
      </c>
      <c r="F6828" s="79" t="s">
        <v>4216</v>
      </c>
      <c r="G6828" s="79" t="s">
        <v>2928</v>
      </c>
      <c r="H6828" s="79"/>
      <c r="I6828" s="80" t="s">
        <v>2897</v>
      </c>
      <c r="J6828" s="583">
        <v>1</v>
      </c>
      <c r="K6828" s="583">
        <v>0</v>
      </c>
      <c r="L6828" s="92">
        <v>33.34</v>
      </c>
      <c r="M6828" s="92">
        <v>33.34</v>
      </c>
    </row>
    <row r="6829" ht="25.5" spans="3:13">
      <c r="C6829" s="108"/>
      <c r="D6829" s="108"/>
      <c r="E6829" s="108"/>
      <c r="F6829" s="108"/>
      <c r="G6829" s="108"/>
      <c r="H6829" s="108" t="s">
        <v>2898</v>
      </c>
      <c r="I6829" s="581">
        <v>43.67</v>
      </c>
      <c r="J6829" s="108" t="s">
        <v>2899</v>
      </c>
      <c r="K6829" s="581">
        <v>0</v>
      </c>
      <c r="L6829" s="108" t="s">
        <v>2900</v>
      </c>
      <c r="M6829" s="581">
        <v>43.67</v>
      </c>
    </row>
    <row r="6830" ht="26.25" spans="3:13">
      <c r="C6830" s="108"/>
      <c r="D6830" s="108"/>
      <c r="E6830" s="108"/>
      <c r="F6830" s="108"/>
      <c r="G6830" s="108"/>
      <c r="H6830" s="108" t="s">
        <v>2901</v>
      </c>
      <c r="I6830" s="581">
        <v>16.22</v>
      </c>
      <c r="J6830" s="114"/>
      <c r="K6830" s="114" t="s">
        <v>2902</v>
      </c>
      <c r="L6830" s="108"/>
      <c r="M6830" s="581">
        <v>79.87</v>
      </c>
    </row>
    <row r="6831" ht="15" spans="3:13">
      <c r="C6831" s="571"/>
      <c r="D6831" s="571"/>
      <c r="E6831" s="571"/>
      <c r="F6831" s="571"/>
      <c r="G6831" s="571"/>
      <c r="H6831" s="571"/>
      <c r="I6831" s="571"/>
      <c r="J6831" s="571"/>
      <c r="K6831" s="571"/>
      <c r="L6831" s="571"/>
      <c r="M6831" s="571"/>
    </row>
    <row r="6832" ht="15" customHeight="1" spans="3:13">
      <c r="C6832" s="76" t="s">
        <v>2346</v>
      </c>
      <c r="D6832" s="75" t="s">
        <v>63</v>
      </c>
      <c r="E6832" s="76" t="s">
        <v>64</v>
      </c>
      <c r="F6832" s="76" t="s">
        <v>65</v>
      </c>
      <c r="G6832" s="76" t="s">
        <v>2889</v>
      </c>
      <c r="H6832" s="76"/>
      <c r="I6832" s="77" t="s">
        <v>66</v>
      </c>
      <c r="J6832" s="75" t="s">
        <v>67</v>
      </c>
      <c r="K6832" s="75" t="s">
        <v>2890</v>
      </c>
      <c r="L6832" s="75" t="s">
        <v>68</v>
      </c>
      <c r="M6832" s="75" t="s">
        <v>70</v>
      </c>
    </row>
    <row r="6833" ht="23.85" customHeight="1" spans="3:13">
      <c r="C6833" s="569" t="s">
        <v>2891</v>
      </c>
      <c r="D6833" s="570" t="s">
        <v>2347</v>
      </c>
      <c r="E6833" s="569" t="s">
        <v>149</v>
      </c>
      <c r="F6833" s="569" t="s">
        <v>2348</v>
      </c>
      <c r="G6833" s="569" t="s">
        <v>4599</v>
      </c>
      <c r="H6833" s="569"/>
      <c r="I6833" s="577" t="s">
        <v>134</v>
      </c>
      <c r="J6833" s="578">
        <v>1</v>
      </c>
      <c r="K6833" s="579"/>
      <c r="L6833" s="579">
        <v>71.76</v>
      </c>
      <c r="M6833" s="579">
        <v>71.76</v>
      </c>
    </row>
    <row r="6834" ht="15" customHeight="1" spans="3:13">
      <c r="C6834" s="100" t="s">
        <v>2893</v>
      </c>
      <c r="D6834" s="99" t="s">
        <v>4604</v>
      </c>
      <c r="E6834" s="100" t="s">
        <v>149</v>
      </c>
      <c r="F6834" s="100" t="s">
        <v>4605</v>
      </c>
      <c r="G6834" s="100" t="s">
        <v>2896</v>
      </c>
      <c r="H6834" s="100"/>
      <c r="I6834" s="101" t="s">
        <v>2897</v>
      </c>
      <c r="J6834" s="580">
        <v>1</v>
      </c>
      <c r="K6834" s="580">
        <v>0</v>
      </c>
      <c r="L6834" s="102">
        <v>30.25168</v>
      </c>
      <c r="M6834" s="102">
        <v>30.25</v>
      </c>
    </row>
    <row r="6835" ht="15" customHeight="1" spans="3:13">
      <c r="C6835" s="100" t="s">
        <v>2893</v>
      </c>
      <c r="D6835" s="99" t="s">
        <v>4600</v>
      </c>
      <c r="E6835" s="100" t="s">
        <v>149</v>
      </c>
      <c r="F6835" s="100" t="s">
        <v>4601</v>
      </c>
      <c r="G6835" s="100" t="s">
        <v>2896</v>
      </c>
      <c r="H6835" s="100"/>
      <c r="I6835" s="101" t="s">
        <v>2897</v>
      </c>
      <c r="J6835" s="580">
        <v>1</v>
      </c>
      <c r="K6835" s="580">
        <v>0</v>
      </c>
      <c r="L6835" s="102">
        <v>20.515752</v>
      </c>
      <c r="M6835" s="102">
        <v>20.51</v>
      </c>
    </row>
    <row r="6836" ht="15" customHeight="1" spans="3:13">
      <c r="C6836" s="100" t="s">
        <v>2893</v>
      </c>
      <c r="D6836" s="99" t="s">
        <v>4841</v>
      </c>
      <c r="E6836" s="100" t="s">
        <v>149</v>
      </c>
      <c r="F6836" s="100" t="s">
        <v>4842</v>
      </c>
      <c r="G6836" s="100" t="s">
        <v>2961</v>
      </c>
      <c r="H6836" s="100"/>
      <c r="I6836" s="101" t="s">
        <v>134</v>
      </c>
      <c r="J6836" s="580">
        <v>1</v>
      </c>
      <c r="K6836" s="580">
        <v>0</v>
      </c>
      <c r="L6836" s="102">
        <v>20</v>
      </c>
      <c r="M6836" s="102">
        <v>20</v>
      </c>
    </row>
    <row r="6837" ht="15" customHeight="1" spans="3:13">
      <c r="C6837" s="100" t="s">
        <v>2893</v>
      </c>
      <c r="D6837" s="99" t="s">
        <v>4843</v>
      </c>
      <c r="E6837" s="100" t="s">
        <v>149</v>
      </c>
      <c r="F6837" s="100" t="s">
        <v>4844</v>
      </c>
      <c r="G6837" s="100" t="s">
        <v>2961</v>
      </c>
      <c r="H6837" s="100"/>
      <c r="I6837" s="101" t="s">
        <v>134</v>
      </c>
      <c r="J6837" s="580">
        <v>0.1238</v>
      </c>
      <c r="K6837" s="580">
        <v>0</v>
      </c>
      <c r="L6837" s="102">
        <v>8.1</v>
      </c>
      <c r="M6837" s="102">
        <v>1</v>
      </c>
    </row>
    <row r="6838" ht="25.5" spans="3:13">
      <c r="C6838" s="108"/>
      <c r="D6838" s="108"/>
      <c r="E6838" s="108"/>
      <c r="F6838" s="108"/>
      <c r="G6838" s="108"/>
      <c r="H6838" s="108" t="s">
        <v>2898</v>
      </c>
      <c r="I6838" s="581">
        <v>50.76</v>
      </c>
      <c r="J6838" s="108" t="s">
        <v>2899</v>
      </c>
      <c r="K6838" s="581">
        <v>0</v>
      </c>
      <c r="L6838" s="108" t="s">
        <v>2900</v>
      </c>
      <c r="M6838" s="581">
        <v>50.76</v>
      </c>
    </row>
    <row r="6839" ht="26.25" spans="3:13">
      <c r="C6839" s="108"/>
      <c r="D6839" s="108"/>
      <c r="E6839" s="108"/>
      <c r="F6839" s="108"/>
      <c r="G6839" s="108"/>
      <c r="H6839" s="108" t="s">
        <v>2901</v>
      </c>
      <c r="I6839" s="581">
        <v>18.29</v>
      </c>
      <c r="J6839" s="114"/>
      <c r="K6839" s="114" t="s">
        <v>2902</v>
      </c>
      <c r="L6839" s="108"/>
      <c r="M6839" s="581">
        <v>90.05</v>
      </c>
    </row>
    <row r="6840" ht="15" spans="3:13">
      <c r="C6840" s="571"/>
      <c r="D6840" s="571"/>
      <c r="E6840" s="571"/>
      <c r="F6840" s="571"/>
      <c r="G6840" s="571"/>
      <c r="H6840" s="571"/>
      <c r="I6840" s="571"/>
      <c r="J6840" s="571"/>
      <c r="K6840" s="571"/>
      <c r="L6840" s="571"/>
      <c r="M6840" s="571"/>
    </row>
    <row r="6841" ht="15" customHeight="1" spans="3:13">
      <c r="C6841" s="76" t="s">
        <v>2349</v>
      </c>
      <c r="D6841" s="75" t="s">
        <v>63</v>
      </c>
      <c r="E6841" s="76" t="s">
        <v>64</v>
      </c>
      <c r="F6841" s="76" t="s">
        <v>65</v>
      </c>
      <c r="G6841" s="76" t="s">
        <v>2889</v>
      </c>
      <c r="H6841" s="76"/>
      <c r="I6841" s="77" t="s">
        <v>66</v>
      </c>
      <c r="J6841" s="75" t="s">
        <v>67</v>
      </c>
      <c r="K6841" s="75" t="s">
        <v>2890</v>
      </c>
      <c r="L6841" s="75" t="s">
        <v>68</v>
      </c>
      <c r="M6841" s="75" t="s">
        <v>70</v>
      </c>
    </row>
    <row r="6842" ht="38.25" spans="3:13">
      <c r="C6842" s="569" t="s">
        <v>2891</v>
      </c>
      <c r="D6842" s="570" t="s">
        <v>2350</v>
      </c>
      <c r="E6842" s="569" t="s">
        <v>132</v>
      </c>
      <c r="F6842" s="569" t="s">
        <v>2351</v>
      </c>
      <c r="G6842" s="569">
        <v>70</v>
      </c>
      <c r="H6842" s="569"/>
      <c r="I6842" s="577" t="s">
        <v>134</v>
      </c>
      <c r="J6842" s="578">
        <v>1</v>
      </c>
      <c r="K6842" s="579"/>
      <c r="L6842" s="579">
        <v>85.65</v>
      </c>
      <c r="M6842" s="579">
        <v>85.65</v>
      </c>
    </row>
    <row r="6843" ht="23.85" customHeight="1" spans="3:13">
      <c r="C6843" s="79" t="s">
        <v>2921</v>
      </c>
      <c r="D6843" s="78" t="s">
        <v>4215</v>
      </c>
      <c r="E6843" s="79" t="s">
        <v>139</v>
      </c>
      <c r="F6843" s="79" t="s">
        <v>4216</v>
      </c>
      <c r="G6843" s="79" t="s">
        <v>2928</v>
      </c>
      <c r="H6843" s="79"/>
      <c r="I6843" s="80" t="s">
        <v>2897</v>
      </c>
      <c r="J6843" s="583">
        <v>1</v>
      </c>
      <c r="K6843" s="583">
        <v>0</v>
      </c>
      <c r="L6843" s="92">
        <v>33.34</v>
      </c>
      <c r="M6843" s="92">
        <v>33.34</v>
      </c>
    </row>
    <row r="6844" ht="23.85" customHeight="1" spans="3:13">
      <c r="C6844" s="79" t="s">
        <v>2921</v>
      </c>
      <c r="D6844" s="78" t="s">
        <v>3487</v>
      </c>
      <c r="E6844" s="79" t="s">
        <v>139</v>
      </c>
      <c r="F6844" s="79" t="s">
        <v>3488</v>
      </c>
      <c r="G6844" s="79" t="s">
        <v>2928</v>
      </c>
      <c r="H6844" s="79"/>
      <c r="I6844" s="80" t="s">
        <v>2897</v>
      </c>
      <c r="J6844" s="583">
        <v>1</v>
      </c>
      <c r="K6844" s="583">
        <v>0</v>
      </c>
      <c r="L6844" s="92">
        <v>30.31</v>
      </c>
      <c r="M6844" s="92">
        <v>30.31</v>
      </c>
    </row>
    <row r="6845" ht="15" customHeight="1" spans="3:13">
      <c r="C6845" s="100" t="s">
        <v>2893</v>
      </c>
      <c r="D6845" s="99" t="s">
        <v>4845</v>
      </c>
      <c r="E6845" s="100" t="s">
        <v>149</v>
      </c>
      <c r="F6845" s="100" t="s">
        <v>4846</v>
      </c>
      <c r="G6845" s="100" t="s">
        <v>2961</v>
      </c>
      <c r="H6845" s="100"/>
      <c r="I6845" s="101" t="s">
        <v>134</v>
      </c>
      <c r="J6845" s="580">
        <v>1</v>
      </c>
      <c r="K6845" s="580">
        <v>0</v>
      </c>
      <c r="L6845" s="102">
        <v>21</v>
      </c>
      <c r="M6845" s="102">
        <v>21</v>
      </c>
    </row>
    <row r="6846" ht="15" customHeight="1" spans="3:13">
      <c r="C6846" s="100" t="s">
        <v>2893</v>
      </c>
      <c r="D6846" s="99" t="s">
        <v>4843</v>
      </c>
      <c r="E6846" s="100" t="s">
        <v>149</v>
      </c>
      <c r="F6846" s="100" t="s">
        <v>4844</v>
      </c>
      <c r="G6846" s="100" t="s">
        <v>2961</v>
      </c>
      <c r="H6846" s="100"/>
      <c r="I6846" s="101" t="s">
        <v>134</v>
      </c>
      <c r="J6846" s="580">
        <v>0.1238</v>
      </c>
      <c r="K6846" s="580">
        <v>0</v>
      </c>
      <c r="L6846" s="102">
        <v>8.1</v>
      </c>
      <c r="M6846" s="102">
        <v>1</v>
      </c>
    </row>
    <row r="6847" ht="25.5" spans="3:13">
      <c r="C6847" s="108"/>
      <c r="D6847" s="108"/>
      <c r="E6847" s="108"/>
      <c r="F6847" s="108"/>
      <c r="G6847" s="108"/>
      <c r="H6847" s="108" t="s">
        <v>2898</v>
      </c>
      <c r="I6847" s="581">
        <v>43.67</v>
      </c>
      <c r="J6847" s="108" t="s">
        <v>2899</v>
      </c>
      <c r="K6847" s="581">
        <v>0</v>
      </c>
      <c r="L6847" s="108" t="s">
        <v>2900</v>
      </c>
      <c r="M6847" s="581">
        <v>43.67</v>
      </c>
    </row>
    <row r="6848" ht="26.25" spans="3:13">
      <c r="C6848" s="108"/>
      <c r="D6848" s="108"/>
      <c r="E6848" s="108"/>
      <c r="F6848" s="108"/>
      <c r="G6848" s="108"/>
      <c r="H6848" s="108" t="s">
        <v>2901</v>
      </c>
      <c r="I6848" s="581">
        <v>21.83</v>
      </c>
      <c r="J6848" s="114"/>
      <c r="K6848" s="114" t="s">
        <v>2902</v>
      </c>
      <c r="L6848" s="108"/>
      <c r="M6848" s="581">
        <v>107.48</v>
      </c>
    </row>
    <row r="6849" ht="15" spans="3:13">
      <c r="C6849" s="571"/>
      <c r="D6849" s="571"/>
      <c r="E6849" s="571"/>
      <c r="F6849" s="571"/>
      <c r="G6849" s="571"/>
      <c r="H6849" s="571"/>
      <c r="I6849" s="571"/>
      <c r="J6849" s="571"/>
      <c r="K6849" s="571"/>
      <c r="L6849" s="571"/>
      <c r="M6849" s="571"/>
    </row>
    <row r="6850" ht="15" customHeight="1" spans="3:13">
      <c r="C6850" s="76" t="s">
        <v>2352</v>
      </c>
      <c r="D6850" s="75" t="s">
        <v>63</v>
      </c>
      <c r="E6850" s="76" t="s">
        <v>64</v>
      </c>
      <c r="F6850" s="76" t="s">
        <v>65</v>
      </c>
      <c r="G6850" s="76" t="s">
        <v>2889</v>
      </c>
      <c r="H6850" s="76"/>
      <c r="I6850" s="77" t="s">
        <v>66</v>
      </c>
      <c r="J6850" s="75" t="s">
        <v>67</v>
      </c>
      <c r="K6850" s="75" t="s">
        <v>2890</v>
      </c>
      <c r="L6850" s="75" t="s">
        <v>68</v>
      </c>
      <c r="M6850" s="75" t="s">
        <v>70</v>
      </c>
    </row>
    <row r="6851" ht="38.25" spans="3:13">
      <c r="C6851" s="569" t="s">
        <v>2891</v>
      </c>
      <c r="D6851" s="570" t="s">
        <v>2353</v>
      </c>
      <c r="E6851" s="569" t="s">
        <v>132</v>
      </c>
      <c r="F6851" s="569" t="s">
        <v>2354</v>
      </c>
      <c r="G6851" s="569">
        <v>70</v>
      </c>
      <c r="H6851" s="569"/>
      <c r="I6851" s="577" t="s">
        <v>134</v>
      </c>
      <c r="J6851" s="578">
        <v>1</v>
      </c>
      <c r="K6851" s="579"/>
      <c r="L6851" s="579">
        <v>86.65</v>
      </c>
      <c r="M6851" s="579">
        <v>86.65</v>
      </c>
    </row>
    <row r="6852" ht="23.85" customHeight="1" spans="3:13">
      <c r="C6852" s="79" t="s">
        <v>2921</v>
      </c>
      <c r="D6852" s="78" t="s">
        <v>3487</v>
      </c>
      <c r="E6852" s="79" t="s">
        <v>139</v>
      </c>
      <c r="F6852" s="79" t="s">
        <v>3488</v>
      </c>
      <c r="G6852" s="79" t="s">
        <v>2928</v>
      </c>
      <c r="H6852" s="79"/>
      <c r="I6852" s="80" t="s">
        <v>2897</v>
      </c>
      <c r="J6852" s="583">
        <v>1</v>
      </c>
      <c r="K6852" s="583">
        <v>0</v>
      </c>
      <c r="L6852" s="92">
        <v>30.31</v>
      </c>
      <c r="M6852" s="92">
        <v>30.31</v>
      </c>
    </row>
    <row r="6853" ht="23.85" customHeight="1" spans="3:13">
      <c r="C6853" s="79" t="s">
        <v>2921</v>
      </c>
      <c r="D6853" s="78" t="s">
        <v>4215</v>
      </c>
      <c r="E6853" s="79" t="s">
        <v>139</v>
      </c>
      <c r="F6853" s="79" t="s">
        <v>4216</v>
      </c>
      <c r="G6853" s="79" t="s">
        <v>2928</v>
      </c>
      <c r="H6853" s="79"/>
      <c r="I6853" s="80" t="s">
        <v>2897</v>
      </c>
      <c r="J6853" s="583">
        <v>1</v>
      </c>
      <c r="K6853" s="583">
        <v>0</v>
      </c>
      <c r="L6853" s="92">
        <v>33.34</v>
      </c>
      <c r="M6853" s="92">
        <v>33.34</v>
      </c>
    </row>
    <row r="6854" ht="15" customHeight="1" spans="3:13">
      <c r="C6854" s="100" t="s">
        <v>2893</v>
      </c>
      <c r="D6854" s="99" t="s">
        <v>4847</v>
      </c>
      <c r="E6854" s="100" t="s">
        <v>149</v>
      </c>
      <c r="F6854" s="100" t="s">
        <v>4848</v>
      </c>
      <c r="G6854" s="100" t="s">
        <v>2961</v>
      </c>
      <c r="H6854" s="100"/>
      <c r="I6854" s="101" t="s">
        <v>134</v>
      </c>
      <c r="J6854" s="580">
        <v>1</v>
      </c>
      <c r="K6854" s="580">
        <v>0</v>
      </c>
      <c r="L6854" s="102">
        <v>22</v>
      </c>
      <c r="M6854" s="102">
        <v>22</v>
      </c>
    </row>
    <row r="6855" ht="15" customHeight="1" spans="3:13">
      <c r="C6855" s="100" t="s">
        <v>2893</v>
      </c>
      <c r="D6855" s="99" t="s">
        <v>4843</v>
      </c>
      <c r="E6855" s="100" t="s">
        <v>149</v>
      </c>
      <c r="F6855" s="100" t="s">
        <v>4844</v>
      </c>
      <c r="G6855" s="100" t="s">
        <v>2961</v>
      </c>
      <c r="H6855" s="100"/>
      <c r="I6855" s="101" t="s">
        <v>134</v>
      </c>
      <c r="J6855" s="580">
        <v>0.1238</v>
      </c>
      <c r="K6855" s="580">
        <v>0</v>
      </c>
      <c r="L6855" s="102">
        <v>8.1</v>
      </c>
      <c r="M6855" s="102">
        <v>1</v>
      </c>
    </row>
    <row r="6856" ht="25.5" spans="3:13">
      <c r="C6856" s="108"/>
      <c r="D6856" s="108"/>
      <c r="E6856" s="108"/>
      <c r="F6856" s="108"/>
      <c r="G6856" s="108"/>
      <c r="H6856" s="108" t="s">
        <v>2898</v>
      </c>
      <c r="I6856" s="581">
        <v>43.67</v>
      </c>
      <c r="J6856" s="108" t="s">
        <v>2899</v>
      </c>
      <c r="K6856" s="581">
        <v>0</v>
      </c>
      <c r="L6856" s="108" t="s">
        <v>2900</v>
      </c>
      <c r="M6856" s="581">
        <v>43.67</v>
      </c>
    </row>
    <row r="6857" ht="26.25" spans="3:13">
      <c r="C6857" s="108"/>
      <c r="D6857" s="108"/>
      <c r="E6857" s="108"/>
      <c r="F6857" s="108"/>
      <c r="G6857" s="108"/>
      <c r="H6857" s="108" t="s">
        <v>2901</v>
      </c>
      <c r="I6857" s="581">
        <v>22.08</v>
      </c>
      <c r="J6857" s="114"/>
      <c r="K6857" s="114" t="s">
        <v>2902</v>
      </c>
      <c r="L6857" s="108"/>
      <c r="M6857" s="581">
        <v>108.73</v>
      </c>
    </row>
    <row r="6858" ht="15" spans="3:13">
      <c r="C6858" s="571"/>
      <c r="D6858" s="571"/>
      <c r="E6858" s="571"/>
      <c r="F6858" s="571"/>
      <c r="G6858" s="571"/>
      <c r="H6858" s="571"/>
      <c r="I6858" s="571"/>
      <c r="J6858" s="571"/>
      <c r="K6858" s="571"/>
      <c r="L6858" s="571"/>
      <c r="M6858" s="571"/>
    </row>
    <row r="6859" ht="15" customHeight="1" spans="3:13">
      <c r="C6859" s="76" t="s">
        <v>2355</v>
      </c>
      <c r="D6859" s="75" t="s">
        <v>63</v>
      </c>
      <c r="E6859" s="76" t="s">
        <v>64</v>
      </c>
      <c r="F6859" s="76" t="s">
        <v>65</v>
      </c>
      <c r="G6859" s="76" t="s">
        <v>2889</v>
      </c>
      <c r="H6859" s="76"/>
      <c r="I6859" s="77" t="s">
        <v>66</v>
      </c>
      <c r="J6859" s="75" t="s">
        <v>67</v>
      </c>
      <c r="K6859" s="75" t="s">
        <v>2890</v>
      </c>
      <c r="L6859" s="75" t="s">
        <v>68</v>
      </c>
      <c r="M6859" s="75" t="s">
        <v>70</v>
      </c>
    </row>
    <row r="6860" ht="38.25" spans="3:13">
      <c r="C6860" s="569" t="s">
        <v>2891</v>
      </c>
      <c r="D6860" s="570" t="s">
        <v>2356</v>
      </c>
      <c r="E6860" s="569" t="s">
        <v>132</v>
      </c>
      <c r="F6860" s="569" t="s">
        <v>2357</v>
      </c>
      <c r="G6860" s="569">
        <v>70</v>
      </c>
      <c r="H6860" s="569"/>
      <c r="I6860" s="577" t="s">
        <v>134</v>
      </c>
      <c r="J6860" s="578">
        <v>1</v>
      </c>
      <c r="K6860" s="579"/>
      <c r="L6860" s="579">
        <v>87.65</v>
      </c>
      <c r="M6860" s="579">
        <v>87.65</v>
      </c>
    </row>
    <row r="6861" ht="23.85" customHeight="1" spans="3:13">
      <c r="C6861" s="79" t="s">
        <v>2921</v>
      </c>
      <c r="D6861" s="78" t="s">
        <v>3487</v>
      </c>
      <c r="E6861" s="79" t="s">
        <v>139</v>
      </c>
      <c r="F6861" s="79" t="s">
        <v>3488</v>
      </c>
      <c r="G6861" s="79" t="s">
        <v>2928</v>
      </c>
      <c r="H6861" s="79"/>
      <c r="I6861" s="80" t="s">
        <v>2897</v>
      </c>
      <c r="J6861" s="583">
        <v>1</v>
      </c>
      <c r="K6861" s="583">
        <v>0</v>
      </c>
      <c r="L6861" s="92">
        <v>30.31</v>
      </c>
      <c r="M6861" s="92">
        <v>30.31</v>
      </c>
    </row>
    <row r="6862" ht="23.85" customHeight="1" spans="3:13">
      <c r="C6862" s="79" t="s">
        <v>2921</v>
      </c>
      <c r="D6862" s="78" t="s">
        <v>4215</v>
      </c>
      <c r="E6862" s="79" t="s">
        <v>139</v>
      </c>
      <c r="F6862" s="79" t="s">
        <v>4216</v>
      </c>
      <c r="G6862" s="79" t="s">
        <v>2928</v>
      </c>
      <c r="H6862" s="79"/>
      <c r="I6862" s="80" t="s">
        <v>2897</v>
      </c>
      <c r="J6862" s="583">
        <v>1</v>
      </c>
      <c r="K6862" s="583">
        <v>0</v>
      </c>
      <c r="L6862" s="92">
        <v>33.34</v>
      </c>
      <c r="M6862" s="92">
        <v>33.34</v>
      </c>
    </row>
    <row r="6863" ht="15" customHeight="1" spans="3:13">
      <c r="C6863" s="100" t="s">
        <v>2893</v>
      </c>
      <c r="D6863" s="99" t="s">
        <v>4849</v>
      </c>
      <c r="E6863" s="100" t="s">
        <v>149</v>
      </c>
      <c r="F6863" s="100" t="s">
        <v>4850</v>
      </c>
      <c r="G6863" s="100" t="s">
        <v>2961</v>
      </c>
      <c r="H6863" s="100"/>
      <c r="I6863" s="101" t="s">
        <v>134</v>
      </c>
      <c r="J6863" s="580">
        <v>1</v>
      </c>
      <c r="K6863" s="580">
        <v>0</v>
      </c>
      <c r="L6863" s="102">
        <v>23</v>
      </c>
      <c r="M6863" s="102">
        <v>23</v>
      </c>
    </row>
    <row r="6864" ht="15" customHeight="1" spans="3:13">
      <c r="C6864" s="100" t="s">
        <v>2893</v>
      </c>
      <c r="D6864" s="99" t="s">
        <v>4843</v>
      </c>
      <c r="E6864" s="100" t="s">
        <v>149</v>
      </c>
      <c r="F6864" s="100" t="s">
        <v>4844</v>
      </c>
      <c r="G6864" s="100" t="s">
        <v>2961</v>
      </c>
      <c r="H6864" s="100"/>
      <c r="I6864" s="101" t="s">
        <v>134</v>
      </c>
      <c r="J6864" s="580">
        <v>0.1238</v>
      </c>
      <c r="K6864" s="580">
        <v>0</v>
      </c>
      <c r="L6864" s="102">
        <v>8.1</v>
      </c>
      <c r="M6864" s="102">
        <v>1</v>
      </c>
    </row>
    <row r="6865" ht="25.5" spans="3:13">
      <c r="C6865" s="108"/>
      <c r="D6865" s="108"/>
      <c r="E6865" s="108"/>
      <c r="F6865" s="108"/>
      <c r="G6865" s="108"/>
      <c r="H6865" s="108" t="s">
        <v>2898</v>
      </c>
      <c r="I6865" s="581">
        <v>43.67</v>
      </c>
      <c r="J6865" s="108" t="s">
        <v>2899</v>
      </c>
      <c r="K6865" s="581">
        <v>0</v>
      </c>
      <c r="L6865" s="108" t="s">
        <v>2900</v>
      </c>
      <c r="M6865" s="581">
        <v>43.67</v>
      </c>
    </row>
    <row r="6866" ht="26.25" spans="3:13">
      <c r="C6866" s="108"/>
      <c r="D6866" s="108"/>
      <c r="E6866" s="108"/>
      <c r="F6866" s="108"/>
      <c r="G6866" s="108"/>
      <c r="H6866" s="108" t="s">
        <v>2901</v>
      </c>
      <c r="I6866" s="581">
        <v>22.34</v>
      </c>
      <c r="J6866" s="114"/>
      <c r="K6866" s="114" t="s">
        <v>2902</v>
      </c>
      <c r="L6866" s="108"/>
      <c r="M6866" s="581">
        <v>109.99</v>
      </c>
    </row>
    <row r="6867" ht="15" spans="3:13">
      <c r="C6867" s="571"/>
      <c r="D6867" s="571"/>
      <c r="E6867" s="571"/>
      <c r="F6867" s="571"/>
      <c r="G6867" s="571"/>
      <c r="H6867" s="571"/>
      <c r="I6867" s="571"/>
      <c r="J6867" s="571"/>
      <c r="K6867" s="571"/>
      <c r="L6867" s="571"/>
      <c r="M6867" s="571"/>
    </row>
    <row r="6868" ht="15" customHeight="1" spans="3:13">
      <c r="C6868" s="76" t="s">
        <v>2358</v>
      </c>
      <c r="D6868" s="75" t="s">
        <v>63</v>
      </c>
      <c r="E6868" s="76" t="s">
        <v>64</v>
      </c>
      <c r="F6868" s="76" t="s">
        <v>65</v>
      </c>
      <c r="G6868" s="76" t="s">
        <v>2889</v>
      </c>
      <c r="H6868" s="76"/>
      <c r="I6868" s="77" t="s">
        <v>66</v>
      </c>
      <c r="J6868" s="75" t="s">
        <v>67</v>
      </c>
      <c r="K6868" s="75" t="s">
        <v>2890</v>
      </c>
      <c r="L6868" s="75" t="s">
        <v>68</v>
      </c>
      <c r="M6868" s="75" t="s">
        <v>70</v>
      </c>
    </row>
    <row r="6869" ht="23.85" customHeight="1" spans="3:13">
      <c r="C6869" s="569" t="s">
        <v>2891</v>
      </c>
      <c r="D6869" s="570" t="s">
        <v>2359</v>
      </c>
      <c r="E6869" s="569" t="s">
        <v>149</v>
      </c>
      <c r="F6869" s="569" t="s">
        <v>2360</v>
      </c>
      <c r="G6869" s="569" t="s">
        <v>4599</v>
      </c>
      <c r="H6869" s="569"/>
      <c r="I6869" s="577" t="s">
        <v>134</v>
      </c>
      <c r="J6869" s="578">
        <v>1</v>
      </c>
      <c r="K6869" s="579"/>
      <c r="L6869" s="579">
        <v>87.36</v>
      </c>
      <c r="M6869" s="579">
        <v>87.36</v>
      </c>
    </row>
    <row r="6870" ht="15" customHeight="1" spans="3:13">
      <c r="C6870" s="100" t="s">
        <v>2893</v>
      </c>
      <c r="D6870" s="99" t="s">
        <v>4604</v>
      </c>
      <c r="E6870" s="100" t="s">
        <v>149</v>
      </c>
      <c r="F6870" s="100" t="s">
        <v>4605</v>
      </c>
      <c r="G6870" s="100" t="s">
        <v>2896</v>
      </c>
      <c r="H6870" s="100"/>
      <c r="I6870" s="101" t="s">
        <v>2897</v>
      </c>
      <c r="J6870" s="580">
        <v>1</v>
      </c>
      <c r="K6870" s="580">
        <v>0</v>
      </c>
      <c r="L6870" s="102">
        <v>30.25168</v>
      </c>
      <c r="M6870" s="102">
        <v>30.25</v>
      </c>
    </row>
    <row r="6871" ht="15" customHeight="1" spans="3:13">
      <c r="C6871" s="100" t="s">
        <v>2893</v>
      </c>
      <c r="D6871" s="99" t="s">
        <v>4600</v>
      </c>
      <c r="E6871" s="100" t="s">
        <v>149</v>
      </c>
      <c r="F6871" s="100" t="s">
        <v>4601</v>
      </c>
      <c r="G6871" s="100" t="s">
        <v>2896</v>
      </c>
      <c r="H6871" s="100"/>
      <c r="I6871" s="101" t="s">
        <v>2897</v>
      </c>
      <c r="J6871" s="580">
        <v>1</v>
      </c>
      <c r="K6871" s="580">
        <v>0</v>
      </c>
      <c r="L6871" s="102">
        <v>20.515752</v>
      </c>
      <c r="M6871" s="102">
        <v>20.51</v>
      </c>
    </row>
    <row r="6872" ht="15" customHeight="1" spans="3:13">
      <c r="C6872" s="100" t="s">
        <v>2893</v>
      </c>
      <c r="D6872" s="99" t="s">
        <v>4843</v>
      </c>
      <c r="E6872" s="100" t="s">
        <v>149</v>
      </c>
      <c r="F6872" s="100" t="s">
        <v>4844</v>
      </c>
      <c r="G6872" s="100" t="s">
        <v>2961</v>
      </c>
      <c r="H6872" s="100"/>
      <c r="I6872" s="101" t="s">
        <v>134</v>
      </c>
      <c r="J6872" s="580">
        <v>0.1238</v>
      </c>
      <c r="K6872" s="580">
        <v>0</v>
      </c>
      <c r="L6872" s="102">
        <v>8.1</v>
      </c>
      <c r="M6872" s="102">
        <v>1</v>
      </c>
    </row>
    <row r="6873" ht="15" customHeight="1" spans="3:13">
      <c r="C6873" s="100" t="s">
        <v>2893</v>
      </c>
      <c r="D6873" s="99" t="s">
        <v>4851</v>
      </c>
      <c r="E6873" s="100" t="s">
        <v>149</v>
      </c>
      <c r="F6873" s="100" t="s">
        <v>4852</v>
      </c>
      <c r="G6873" s="100" t="s">
        <v>2961</v>
      </c>
      <c r="H6873" s="100"/>
      <c r="I6873" s="101" t="s">
        <v>134</v>
      </c>
      <c r="J6873" s="580">
        <v>1</v>
      </c>
      <c r="K6873" s="580">
        <v>0</v>
      </c>
      <c r="L6873" s="102">
        <v>35.6</v>
      </c>
      <c r="M6873" s="102">
        <v>35.6</v>
      </c>
    </row>
    <row r="6874" ht="25.5" spans="3:13">
      <c r="C6874" s="108"/>
      <c r="D6874" s="108"/>
      <c r="E6874" s="108"/>
      <c r="F6874" s="108"/>
      <c r="G6874" s="108"/>
      <c r="H6874" s="108" t="s">
        <v>2898</v>
      </c>
      <c r="I6874" s="581">
        <v>50.76</v>
      </c>
      <c r="J6874" s="108" t="s">
        <v>2899</v>
      </c>
      <c r="K6874" s="581">
        <v>0</v>
      </c>
      <c r="L6874" s="108" t="s">
        <v>2900</v>
      </c>
      <c r="M6874" s="581">
        <v>50.76</v>
      </c>
    </row>
    <row r="6875" ht="26.25" spans="3:13">
      <c r="C6875" s="108"/>
      <c r="D6875" s="108"/>
      <c r="E6875" s="108"/>
      <c r="F6875" s="108"/>
      <c r="G6875" s="108"/>
      <c r="H6875" s="108" t="s">
        <v>2901</v>
      </c>
      <c r="I6875" s="581">
        <v>22.26</v>
      </c>
      <c r="J6875" s="114"/>
      <c r="K6875" s="114" t="s">
        <v>2902</v>
      </c>
      <c r="L6875" s="108"/>
      <c r="M6875" s="581">
        <v>109.62</v>
      </c>
    </row>
    <row r="6876" ht="15" spans="3:13">
      <c r="C6876" s="571"/>
      <c r="D6876" s="571"/>
      <c r="E6876" s="571"/>
      <c r="F6876" s="571"/>
      <c r="G6876" s="571"/>
      <c r="H6876" s="571"/>
      <c r="I6876" s="571"/>
      <c r="J6876" s="571"/>
      <c r="K6876" s="571"/>
      <c r="L6876" s="571"/>
      <c r="M6876" s="571"/>
    </row>
    <row r="6877" ht="15" customHeight="1" spans="3:13">
      <c r="C6877" s="76" t="s">
        <v>2361</v>
      </c>
      <c r="D6877" s="75" t="s">
        <v>63</v>
      </c>
      <c r="E6877" s="76" t="s">
        <v>64</v>
      </c>
      <c r="F6877" s="76" t="s">
        <v>65</v>
      </c>
      <c r="G6877" s="76" t="s">
        <v>2889</v>
      </c>
      <c r="H6877" s="76"/>
      <c r="I6877" s="77" t="s">
        <v>66</v>
      </c>
      <c r="J6877" s="75" t="s">
        <v>67</v>
      </c>
      <c r="K6877" s="75" t="s">
        <v>2890</v>
      </c>
      <c r="L6877" s="75" t="s">
        <v>68</v>
      </c>
      <c r="M6877" s="75" t="s">
        <v>70</v>
      </c>
    </row>
    <row r="6878" ht="38.25" spans="3:13">
      <c r="C6878" s="569" t="s">
        <v>2891</v>
      </c>
      <c r="D6878" s="570" t="s">
        <v>2362</v>
      </c>
      <c r="E6878" s="569" t="s">
        <v>132</v>
      </c>
      <c r="F6878" s="569" t="s">
        <v>2363</v>
      </c>
      <c r="G6878" s="569">
        <v>70</v>
      </c>
      <c r="H6878" s="569"/>
      <c r="I6878" s="577" t="s">
        <v>134</v>
      </c>
      <c r="J6878" s="578">
        <v>1</v>
      </c>
      <c r="K6878" s="579"/>
      <c r="L6878" s="579">
        <v>99.65</v>
      </c>
      <c r="M6878" s="579">
        <v>99.65</v>
      </c>
    </row>
    <row r="6879" ht="23.85" customHeight="1" spans="3:13">
      <c r="C6879" s="79" t="s">
        <v>2921</v>
      </c>
      <c r="D6879" s="78" t="s">
        <v>4215</v>
      </c>
      <c r="E6879" s="79" t="s">
        <v>139</v>
      </c>
      <c r="F6879" s="79" t="s">
        <v>4216</v>
      </c>
      <c r="G6879" s="79" t="s">
        <v>2928</v>
      </c>
      <c r="H6879" s="79"/>
      <c r="I6879" s="80" t="s">
        <v>2897</v>
      </c>
      <c r="J6879" s="583">
        <v>1</v>
      </c>
      <c r="K6879" s="583">
        <v>0</v>
      </c>
      <c r="L6879" s="92">
        <v>33.34</v>
      </c>
      <c r="M6879" s="92">
        <v>33.34</v>
      </c>
    </row>
    <row r="6880" ht="23.85" customHeight="1" spans="3:13">
      <c r="C6880" s="79" t="s">
        <v>2921</v>
      </c>
      <c r="D6880" s="78" t="s">
        <v>3487</v>
      </c>
      <c r="E6880" s="79" t="s">
        <v>139</v>
      </c>
      <c r="F6880" s="79" t="s">
        <v>3488</v>
      </c>
      <c r="G6880" s="79" t="s">
        <v>2928</v>
      </c>
      <c r="H6880" s="79"/>
      <c r="I6880" s="80" t="s">
        <v>2897</v>
      </c>
      <c r="J6880" s="583">
        <v>1</v>
      </c>
      <c r="K6880" s="583">
        <v>0</v>
      </c>
      <c r="L6880" s="92">
        <v>30.31</v>
      </c>
      <c r="M6880" s="92">
        <v>30.31</v>
      </c>
    </row>
    <row r="6881" ht="15" customHeight="1" spans="3:13">
      <c r="C6881" s="100" t="s">
        <v>2893</v>
      </c>
      <c r="D6881" s="99" t="s">
        <v>4843</v>
      </c>
      <c r="E6881" s="100" t="s">
        <v>149</v>
      </c>
      <c r="F6881" s="100" t="s">
        <v>4844</v>
      </c>
      <c r="G6881" s="100" t="s">
        <v>2961</v>
      </c>
      <c r="H6881" s="100"/>
      <c r="I6881" s="101" t="s">
        <v>134</v>
      </c>
      <c r="J6881" s="580">
        <v>0.1238</v>
      </c>
      <c r="K6881" s="580">
        <v>0</v>
      </c>
      <c r="L6881" s="102">
        <v>8.1</v>
      </c>
      <c r="M6881" s="102">
        <v>1</v>
      </c>
    </row>
    <row r="6882" ht="23.85" customHeight="1" spans="3:13">
      <c r="C6882" s="100" t="s">
        <v>2893</v>
      </c>
      <c r="D6882" s="99" t="s">
        <v>4853</v>
      </c>
      <c r="E6882" s="100" t="s">
        <v>149</v>
      </c>
      <c r="F6882" s="100" t="s">
        <v>4854</v>
      </c>
      <c r="G6882" s="100" t="s">
        <v>2961</v>
      </c>
      <c r="H6882" s="100"/>
      <c r="I6882" s="101" t="s">
        <v>134</v>
      </c>
      <c r="J6882" s="580">
        <v>1</v>
      </c>
      <c r="K6882" s="580">
        <v>0</v>
      </c>
      <c r="L6882" s="102">
        <v>35</v>
      </c>
      <c r="M6882" s="102">
        <v>35</v>
      </c>
    </row>
    <row r="6883" ht="25.5" spans="3:13">
      <c r="C6883" s="108"/>
      <c r="D6883" s="108"/>
      <c r="E6883" s="108"/>
      <c r="F6883" s="108"/>
      <c r="G6883" s="108"/>
      <c r="H6883" s="108" t="s">
        <v>2898</v>
      </c>
      <c r="I6883" s="581">
        <v>43.67</v>
      </c>
      <c r="J6883" s="108" t="s">
        <v>2899</v>
      </c>
      <c r="K6883" s="581">
        <v>0</v>
      </c>
      <c r="L6883" s="108" t="s">
        <v>2900</v>
      </c>
      <c r="M6883" s="581">
        <v>43.67</v>
      </c>
    </row>
    <row r="6884" ht="26.25" spans="3:13">
      <c r="C6884" s="108"/>
      <c r="D6884" s="108"/>
      <c r="E6884" s="108"/>
      <c r="F6884" s="108"/>
      <c r="G6884" s="108"/>
      <c r="H6884" s="108" t="s">
        <v>2901</v>
      </c>
      <c r="I6884" s="581">
        <v>25.4</v>
      </c>
      <c r="J6884" s="114"/>
      <c r="K6884" s="114" t="s">
        <v>2902</v>
      </c>
      <c r="L6884" s="108"/>
      <c r="M6884" s="581">
        <v>125.05</v>
      </c>
    </row>
    <row r="6885" ht="15" spans="3:13">
      <c r="C6885" s="571"/>
      <c r="D6885" s="571"/>
      <c r="E6885" s="571"/>
      <c r="F6885" s="571"/>
      <c r="G6885" s="571"/>
      <c r="H6885" s="571"/>
      <c r="I6885" s="571"/>
      <c r="J6885" s="571"/>
      <c r="K6885" s="571"/>
      <c r="L6885" s="571"/>
      <c r="M6885" s="571"/>
    </row>
    <row r="6886" ht="15" customHeight="1" spans="3:13">
      <c r="C6886" s="76" t="s">
        <v>2364</v>
      </c>
      <c r="D6886" s="75" t="s">
        <v>63</v>
      </c>
      <c r="E6886" s="76" t="s">
        <v>64</v>
      </c>
      <c r="F6886" s="76" t="s">
        <v>65</v>
      </c>
      <c r="G6886" s="76" t="s">
        <v>2889</v>
      </c>
      <c r="H6886" s="76"/>
      <c r="I6886" s="77" t="s">
        <v>66</v>
      </c>
      <c r="J6886" s="75" t="s">
        <v>67</v>
      </c>
      <c r="K6886" s="75" t="s">
        <v>2890</v>
      </c>
      <c r="L6886" s="75" t="s">
        <v>68</v>
      </c>
      <c r="M6886" s="75" t="s">
        <v>70</v>
      </c>
    </row>
    <row r="6887" ht="38.25" spans="3:13">
      <c r="C6887" s="569" t="s">
        <v>2891</v>
      </c>
      <c r="D6887" s="570" t="s">
        <v>2365</v>
      </c>
      <c r="E6887" s="569" t="s">
        <v>132</v>
      </c>
      <c r="F6887" s="569" t="s">
        <v>2366</v>
      </c>
      <c r="G6887" s="569">
        <v>70</v>
      </c>
      <c r="H6887" s="569"/>
      <c r="I6887" s="577" t="s">
        <v>134</v>
      </c>
      <c r="J6887" s="578">
        <v>1</v>
      </c>
      <c r="K6887" s="579"/>
      <c r="L6887" s="579">
        <v>65.61</v>
      </c>
      <c r="M6887" s="579">
        <v>65.61</v>
      </c>
    </row>
    <row r="6888" ht="23.85" customHeight="1" spans="3:13">
      <c r="C6888" s="79" t="s">
        <v>2921</v>
      </c>
      <c r="D6888" s="78" t="s">
        <v>4215</v>
      </c>
      <c r="E6888" s="79" t="s">
        <v>139</v>
      </c>
      <c r="F6888" s="79" t="s">
        <v>4216</v>
      </c>
      <c r="G6888" s="79" t="s">
        <v>2928</v>
      </c>
      <c r="H6888" s="79"/>
      <c r="I6888" s="80" t="s">
        <v>2897</v>
      </c>
      <c r="J6888" s="583">
        <v>1.031</v>
      </c>
      <c r="K6888" s="583">
        <v>0</v>
      </c>
      <c r="L6888" s="92">
        <v>33.34</v>
      </c>
      <c r="M6888" s="92">
        <v>34.37</v>
      </c>
    </row>
    <row r="6889" ht="23.85" customHeight="1" spans="3:13">
      <c r="C6889" s="79" t="s">
        <v>2921</v>
      </c>
      <c r="D6889" s="78" t="s">
        <v>3487</v>
      </c>
      <c r="E6889" s="79" t="s">
        <v>139</v>
      </c>
      <c r="F6889" s="79" t="s">
        <v>3488</v>
      </c>
      <c r="G6889" s="79" t="s">
        <v>2928</v>
      </c>
      <c r="H6889" s="79"/>
      <c r="I6889" s="80" t="s">
        <v>2897</v>
      </c>
      <c r="J6889" s="583">
        <v>1.031</v>
      </c>
      <c r="K6889" s="583">
        <v>0</v>
      </c>
      <c r="L6889" s="92">
        <v>30.31</v>
      </c>
      <c r="M6889" s="92">
        <v>31.24</v>
      </c>
    </row>
    <row r="6890" ht="25.5" spans="3:13">
      <c r="C6890" s="108"/>
      <c r="D6890" s="108"/>
      <c r="E6890" s="108"/>
      <c r="F6890" s="108"/>
      <c r="G6890" s="108"/>
      <c r="H6890" s="108" t="s">
        <v>2898</v>
      </c>
      <c r="I6890" s="581">
        <v>45.02</v>
      </c>
      <c r="J6890" s="108" t="s">
        <v>2899</v>
      </c>
      <c r="K6890" s="581">
        <v>0</v>
      </c>
      <c r="L6890" s="108" t="s">
        <v>2900</v>
      </c>
      <c r="M6890" s="581">
        <v>45.02</v>
      </c>
    </row>
    <row r="6891" ht="26.25" spans="3:13">
      <c r="C6891" s="108"/>
      <c r="D6891" s="108"/>
      <c r="E6891" s="108"/>
      <c r="F6891" s="108"/>
      <c r="G6891" s="108"/>
      <c r="H6891" s="108" t="s">
        <v>2901</v>
      </c>
      <c r="I6891" s="581">
        <v>16.72</v>
      </c>
      <c r="J6891" s="114"/>
      <c r="K6891" s="114" t="s">
        <v>2902</v>
      </c>
      <c r="L6891" s="108"/>
      <c r="M6891" s="581">
        <v>82.33</v>
      </c>
    </row>
    <row r="6892" ht="15" spans="3:13">
      <c r="C6892" s="571"/>
      <c r="D6892" s="571"/>
      <c r="E6892" s="571"/>
      <c r="F6892" s="571"/>
      <c r="G6892" s="571"/>
      <c r="H6892" s="571"/>
      <c r="I6892" s="571"/>
      <c r="J6892" s="571"/>
      <c r="K6892" s="571"/>
      <c r="L6892" s="571"/>
      <c r="M6892" s="571"/>
    </row>
    <row r="6893" ht="15" customHeight="1" spans="3:13">
      <c r="C6893" s="76" t="s">
        <v>2367</v>
      </c>
      <c r="D6893" s="75" t="s">
        <v>63</v>
      </c>
      <c r="E6893" s="76" t="s">
        <v>64</v>
      </c>
      <c r="F6893" s="76" t="s">
        <v>65</v>
      </c>
      <c r="G6893" s="76" t="s">
        <v>2889</v>
      </c>
      <c r="H6893" s="76"/>
      <c r="I6893" s="77" t="s">
        <v>66</v>
      </c>
      <c r="J6893" s="75" t="s">
        <v>67</v>
      </c>
      <c r="K6893" s="75" t="s">
        <v>2890</v>
      </c>
      <c r="L6893" s="75" t="s">
        <v>68</v>
      </c>
      <c r="M6893" s="75" t="s">
        <v>70</v>
      </c>
    </row>
    <row r="6894" ht="38.25" spans="3:13">
      <c r="C6894" s="569" t="s">
        <v>2891</v>
      </c>
      <c r="D6894" s="570" t="s">
        <v>2368</v>
      </c>
      <c r="E6894" s="569" t="s">
        <v>132</v>
      </c>
      <c r="F6894" s="569" t="s">
        <v>2369</v>
      </c>
      <c r="G6894" s="569">
        <v>70</v>
      </c>
      <c r="H6894" s="569"/>
      <c r="I6894" s="577" t="s">
        <v>134</v>
      </c>
      <c r="J6894" s="578">
        <v>1</v>
      </c>
      <c r="K6894" s="579"/>
      <c r="L6894" s="579">
        <v>63.65</v>
      </c>
      <c r="M6894" s="579">
        <v>63.65</v>
      </c>
    </row>
    <row r="6895" ht="23.85" customHeight="1" spans="3:13">
      <c r="C6895" s="79" t="s">
        <v>2921</v>
      </c>
      <c r="D6895" s="78" t="s">
        <v>3487</v>
      </c>
      <c r="E6895" s="79" t="s">
        <v>139</v>
      </c>
      <c r="F6895" s="79" t="s">
        <v>3488</v>
      </c>
      <c r="G6895" s="79" t="s">
        <v>2928</v>
      </c>
      <c r="H6895" s="79"/>
      <c r="I6895" s="80" t="s">
        <v>2897</v>
      </c>
      <c r="J6895" s="583">
        <v>1</v>
      </c>
      <c r="K6895" s="583">
        <v>0</v>
      </c>
      <c r="L6895" s="92">
        <v>30.31</v>
      </c>
      <c r="M6895" s="92">
        <v>30.31</v>
      </c>
    </row>
    <row r="6896" ht="23.85" customHeight="1" spans="3:13">
      <c r="C6896" s="79" t="s">
        <v>2921</v>
      </c>
      <c r="D6896" s="78" t="s">
        <v>4215</v>
      </c>
      <c r="E6896" s="79" t="s">
        <v>139</v>
      </c>
      <c r="F6896" s="79" t="s">
        <v>4216</v>
      </c>
      <c r="G6896" s="79" t="s">
        <v>2928</v>
      </c>
      <c r="H6896" s="79"/>
      <c r="I6896" s="80" t="s">
        <v>2897</v>
      </c>
      <c r="J6896" s="583">
        <v>1</v>
      </c>
      <c r="K6896" s="583">
        <v>0</v>
      </c>
      <c r="L6896" s="92">
        <v>33.34</v>
      </c>
      <c r="M6896" s="92">
        <v>33.34</v>
      </c>
    </row>
    <row r="6897" ht="25.5" spans="3:13">
      <c r="C6897" s="108"/>
      <c r="D6897" s="108"/>
      <c r="E6897" s="108"/>
      <c r="F6897" s="108"/>
      <c r="G6897" s="108"/>
      <c r="H6897" s="108" t="s">
        <v>2898</v>
      </c>
      <c r="I6897" s="581">
        <v>43.67</v>
      </c>
      <c r="J6897" s="108" t="s">
        <v>2899</v>
      </c>
      <c r="K6897" s="581">
        <v>0</v>
      </c>
      <c r="L6897" s="108" t="s">
        <v>2900</v>
      </c>
      <c r="M6897" s="581">
        <v>43.67</v>
      </c>
    </row>
    <row r="6898" ht="26.25" spans="3:13">
      <c r="C6898" s="108"/>
      <c r="D6898" s="108"/>
      <c r="E6898" s="108"/>
      <c r="F6898" s="108"/>
      <c r="G6898" s="108"/>
      <c r="H6898" s="108" t="s">
        <v>2901</v>
      </c>
      <c r="I6898" s="581">
        <v>16.22</v>
      </c>
      <c r="J6898" s="114"/>
      <c r="K6898" s="114" t="s">
        <v>2902</v>
      </c>
      <c r="L6898" s="108"/>
      <c r="M6898" s="581">
        <v>79.87</v>
      </c>
    </row>
    <row r="6899" ht="15" spans="3:13">
      <c r="C6899" s="571"/>
      <c r="D6899" s="571"/>
      <c r="E6899" s="571"/>
      <c r="F6899" s="571"/>
      <c r="G6899" s="571"/>
      <c r="H6899" s="571"/>
      <c r="I6899" s="571"/>
      <c r="J6899" s="571"/>
      <c r="K6899" s="571"/>
      <c r="L6899" s="571"/>
      <c r="M6899" s="571"/>
    </row>
    <row r="6900" ht="15" customHeight="1" spans="3:13">
      <c r="C6900" s="76" t="s">
        <v>2370</v>
      </c>
      <c r="D6900" s="75" t="s">
        <v>63</v>
      </c>
      <c r="E6900" s="76" t="s">
        <v>64</v>
      </c>
      <c r="F6900" s="76" t="s">
        <v>65</v>
      </c>
      <c r="G6900" s="76" t="s">
        <v>2889</v>
      </c>
      <c r="H6900" s="76"/>
      <c r="I6900" s="77" t="s">
        <v>66</v>
      </c>
      <c r="J6900" s="75" t="s">
        <v>67</v>
      </c>
      <c r="K6900" s="75" t="s">
        <v>2890</v>
      </c>
      <c r="L6900" s="75" t="s">
        <v>68</v>
      </c>
      <c r="M6900" s="75" t="s">
        <v>70</v>
      </c>
    </row>
    <row r="6901" ht="89.25" spans="3:13">
      <c r="C6901" s="569" t="s">
        <v>2891</v>
      </c>
      <c r="D6901" s="570" t="s">
        <v>2371</v>
      </c>
      <c r="E6901" s="569" t="s">
        <v>132</v>
      </c>
      <c r="F6901" s="569" t="s">
        <v>2372</v>
      </c>
      <c r="G6901" s="569">
        <v>70</v>
      </c>
      <c r="H6901" s="569"/>
      <c r="I6901" s="577" t="s">
        <v>134</v>
      </c>
      <c r="J6901" s="578">
        <v>1</v>
      </c>
      <c r="K6901" s="579"/>
      <c r="L6901" s="579">
        <v>63.65</v>
      </c>
      <c r="M6901" s="579">
        <v>63.65</v>
      </c>
    </row>
    <row r="6902" ht="23.85" customHeight="1" spans="3:13">
      <c r="C6902" s="79" t="s">
        <v>2921</v>
      </c>
      <c r="D6902" s="78" t="s">
        <v>4215</v>
      </c>
      <c r="E6902" s="79" t="s">
        <v>139</v>
      </c>
      <c r="F6902" s="79" t="s">
        <v>4216</v>
      </c>
      <c r="G6902" s="79" t="s">
        <v>2928</v>
      </c>
      <c r="H6902" s="79"/>
      <c r="I6902" s="80" t="s">
        <v>2897</v>
      </c>
      <c r="J6902" s="583">
        <v>1</v>
      </c>
      <c r="K6902" s="583">
        <v>0</v>
      </c>
      <c r="L6902" s="92">
        <v>33.34</v>
      </c>
      <c r="M6902" s="92">
        <v>33.34</v>
      </c>
    </row>
    <row r="6903" ht="23.85" customHeight="1" spans="3:13">
      <c r="C6903" s="79" t="s">
        <v>2921</v>
      </c>
      <c r="D6903" s="78" t="s">
        <v>3487</v>
      </c>
      <c r="E6903" s="79" t="s">
        <v>139</v>
      </c>
      <c r="F6903" s="79" t="s">
        <v>3488</v>
      </c>
      <c r="G6903" s="79" t="s">
        <v>2928</v>
      </c>
      <c r="H6903" s="79"/>
      <c r="I6903" s="80" t="s">
        <v>2897</v>
      </c>
      <c r="J6903" s="583">
        <v>1</v>
      </c>
      <c r="K6903" s="583">
        <v>0</v>
      </c>
      <c r="L6903" s="92">
        <v>30.31</v>
      </c>
      <c r="M6903" s="92">
        <v>30.31</v>
      </c>
    </row>
    <row r="6904" ht="25.5" spans="3:13">
      <c r="C6904" s="108"/>
      <c r="D6904" s="108"/>
      <c r="E6904" s="108"/>
      <c r="F6904" s="108"/>
      <c r="G6904" s="108"/>
      <c r="H6904" s="108" t="s">
        <v>2898</v>
      </c>
      <c r="I6904" s="581">
        <v>43.67</v>
      </c>
      <c r="J6904" s="108" t="s">
        <v>2899</v>
      </c>
      <c r="K6904" s="581">
        <v>0</v>
      </c>
      <c r="L6904" s="108" t="s">
        <v>2900</v>
      </c>
      <c r="M6904" s="581">
        <v>43.67</v>
      </c>
    </row>
    <row r="6905" ht="26.25" spans="3:13">
      <c r="C6905" s="108"/>
      <c r="D6905" s="108"/>
      <c r="E6905" s="108"/>
      <c r="F6905" s="108"/>
      <c r="G6905" s="108"/>
      <c r="H6905" s="108" t="s">
        <v>2901</v>
      </c>
      <c r="I6905" s="581">
        <v>16.22</v>
      </c>
      <c r="J6905" s="114"/>
      <c r="K6905" s="114" t="s">
        <v>2902</v>
      </c>
      <c r="L6905" s="108"/>
      <c r="M6905" s="581">
        <v>79.87</v>
      </c>
    </row>
    <row r="6906" ht="15" spans="3:13">
      <c r="C6906" s="571"/>
      <c r="D6906" s="571"/>
      <c r="E6906" s="571"/>
      <c r="F6906" s="571"/>
      <c r="G6906" s="571"/>
      <c r="H6906" s="571"/>
      <c r="I6906" s="571"/>
      <c r="J6906" s="571"/>
      <c r="K6906" s="571"/>
      <c r="L6906" s="571"/>
      <c r="M6906" s="571"/>
    </row>
    <row r="6907" ht="15" customHeight="1" spans="3:13">
      <c r="C6907" s="76" t="s">
        <v>2373</v>
      </c>
      <c r="D6907" s="75" t="s">
        <v>63</v>
      </c>
      <c r="E6907" s="76" t="s">
        <v>64</v>
      </c>
      <c r="F6907" s="76" t="s">
        <v>65</v>
      </c>
      <c r="G6907" s="76" t="s">
        <v>2889</v>
      </c>
      <c r="H6907" s="76"/>
      <c r="I6907" s="77" t="s">
        <v>66</v>
      </c>
      <c r="J6907" s="75" t="s">
        <v>67</v>
      </c>
      <c r="K6907" s="75" t="s">
        <v>2890</v>
      </c>
      <c r="L6907" s="75" t="s">
        <v>68</v>
      </c>
      <c r="M6907" s="75" t="s">
        <v>70</v>
      </c>
    </row>
    <row r="6908" ht="38.25" spans="3:13">
      <c r="C6908" s="569" t="s">
        <v>2891</v>
      </c>
      <c r="D6908" s="570" t="s">
        <v>2374</v>
      </c>
      <c r="E6908" s="569" t="s">
        <v>132</v>
      </c>
      <c r="F6908" s="569" t="s">
        <v>2375</v>
      </c>
      <c r="G6908" s="569">
        <v>70</v>
      </c>
      <c r="H6908" s="569"/>
      <c r="I6908" s="577" t="s">
        <v>134</v>
      </c>
      <c r="J6908" s="578">
        <v>1</v>
      </c>
      <c r="K6908" s="579"/>
      <c r="L6908" s="579">
        <v>63.65</v>
      </c>
      <c r="M6908" s="579">
        <v>63.65</v>
      </c>
    </row>
    <row r="6909" ht="23.85" customHeight="1" spans="3:13">
      <c r="C6909" s="79" t="s">
        <v>2921</v>
      </c>
      <c r="D6909" s="78" t="s">
        <v>3487</v>
      </c>
      <c r="E6909" s="79" t="s">
        <v>139</v>
      </c>
      <c r="F6909" s="79" t="s">
        <v>3488</v>
      </c>
      <c r="G6909" s="79" t="s">
        <v>2928</v>
      </c>
      <c r="H6909" s="79"/>
      <c r="I6909" s="80" t="s">
        <v>2897</v>
      </c>
      <c r="J6909" s="583">
        <v>1</v>
      </c>
      <c r="K6909" s="583">
        <v>0</v>
      </c>
      <c r="L6909" s="92">
        <v>30.31</v>
      </c>
      <c r="M6909" s="92">
        <v>30.31</v>
      </c>
    </row>
    <row r="6910" ht="23.85" customHeight="1" spans="3:13">
      <c r="C6910" s="79" t="s">
        <v>2921</v>
      </c>
      <c r="D6910" s="78" t="s">
        <v>4215</v>
      </c>
      <c r="E6910" s="79" t="s">
        <v>139</v>
      </c>
      <c r="F6910" s="79" t="s">
        <v>4216</v>
      </c>
      <c r="G6910" s="79" t="s">
        <v>2928</v>
      </c>
      <c r="H6910" s="79"/>
      <c r="I6910" s="80" t="s">
        <v>2897</v>
      </c>
      <c r="J6910" s="583">
        <v>1</v>
      </c>
      <c r="K6910" s="583">
        <v>0</v>
      </c>
      <c r="L6910" s="92">
        <v>33.34</v>
      </c>
      <c r="M6910" s="92">
        <v>33.34</v>
      </c>
    </row>
    <row r="6911" ht="25.5" spans="3:13">
      <c r="C6911" s="108"/>
      <c r="D6911" s="108"/>
      <c r="E6911" s="108"/>
      <c r="F6911" s="108"/>
      <c r="G6911" s="108"/>
      <c r="H6911" s="108" t="s">
        <v>2898</v>
      </c>
      <c r="I6911" s="581">
        <v>43.67</v>
      </c>
      <c r="J6911" s="108" t="s">
        <v>2899</v>
      </c>
      <c r="K6911" s="581">
        <v>0</v>
      </c>
      <c r="L6911" s="108" t="s">
        <v>2900</v>
      </c>
      <c r="M6911" s="581">
        <v>43.67</v>
      </c>
    </row>
    <row r="6912" ht="26.25" spans="3:13">
      <c r="C6912" s="108"/>
      <c r="D6912" s="108"/>
      <c r="E6912" s="108"/>
      <c r="F6912" s="108"/>
      <c r="G6912" s="108"/>
      <c r="H6912" s="108" t="s">
        <v>2901</v>
      </c>
      <c r="I6912" s="581">
        <v>16.22</v>
      </c>
      <c r="J6912" s="114"/>
      <c r="K6912" s="114" t="s">
        <v>2902</v>
      </c>
      <c r="L6912" s="108"/>
      <c r="M6912" s="581">
        <v>79.87</v>
      </c>
    </row>
    <row r="6913" ht="15" spans="3:13">
      <c r="C6913" s="571"/>
      <c r="D6913" s="571"/>
      <c r="E6913" s="571"/>
      <c r="F6913" s="571"/>
      <c r="G6913" s="571"/>
      <c r="H6913" s="571"/>
      <c r="I6913" s="571"/>
      <c r="J6913" s="571"/>
      <c r="K6913" s="571"/>
      <c r="L6913" s="571"/>
      <c r="M6913" s="571"/>
    </row>
    <row r="6914" ht="15" customHeight="1" spans="3:13">
      <c r="C6914" s="76" t="s">
        <v>2376</v>
      </c>
      <c r="D6914" s="75" t="s">
        <v>63</v>
      </c>
      <c r="E6914" s="76" t="s">
        <v>64</v>
      </c>
      <c r="F6914" s="76" t="s">
        <v>65</v>
      </c>
      <c r="G6914" s="76" t="s">
        <v>2889</v>
      </c>
      <c r="H6914" s="76"/>
      <c r="I6914" s="77" t="s">
        <v>66</v>
      </c>
      <c r="J6914" s="75" t="s">
        <v>67</v>
      </c>
      <c r="K6914" s="75" t="s">
        <v>2890</v>
      </c>
      <c r="L6914" s="75" t="s">
        <v>68</v>
      </c>
      <c r="M6914" s="75" t="s">
        <v>70</v>
      </c>
    </row>
    <row r="6915" ht="23.85" customHeight="1" spans="3:13">
      <c r="C6915" s="569" t="s">
        <v>2891</v>
      </c>
      <c r="D6915" s="570" t="s">
        <v>2377</v>
      </c>
      <c r="E6915" s="569" t="s">
        <v>149</v>
      </c>
      <c r="F6915" s="569" t="s">
        <v>2378</v>
      </c>
      <c r="G6915" s="569" t="s">
        <v>4599</v>
      </c>
      <c r="H6915" s="569"/>
      <c r="I6915" s="577" t="s">
        <v>134</v>
      </c>
      <c r="J6915" s="578">
        <v>1</v>
      </c>
      <c r="K6915" s="579"/>
      <c r="L6915" s="579">
        <v>64.76</v>
      </c>
      <c r="M6915" s="579">
        <v>64.76</v>
      </c>
    </row>
    <row r="6916" ht="15" customHeight="1" spans="3:13">
      <c r="C6916" s="100" t="s">
        <v>2893</v>
      </c>
      <c r="D6916" s="99" t="s">
        <v>4855</v>
      </c>
      <c r="E6916" s="100" t="s">
        <v>149</v>
      </c>
      <c r="F6916" s="100" t="s">
        <v>4856</v>
      </c>
      <c r="G6916" s="100" t="s">
        <v>2961</v>
      </c>
      <c r="H6916" s="100"/>
      <c r="I6916" s="101" t="s">
        <v>134</v>
      </c>
      <c r="J6916" s="580">
        <v>1</v>
      </c>
      <c r="K6916" s="580">
        <v>0</v>
      </c>
      <c r="L6916" s="102">
        <v>13</v>
      </c>
      <c r="M6916" s="102">
        <v>13</v>
      </c>
    </row>
    <row r="6917" ht="15" customHeight="1" spans="3:13">
      <c r="C6917" s="100" t="s">
        <v>2893</v>
      </c>
      <c r="D6917" s="99" t="s">
        <v>4843</v>
      </c>
      <c r="E6917" s="100" t="s">
        <v>149</v>
      </c>
      <c r="F6917" s="100" t="s">
        <v>4844</v>
      </c>
      <c r="G6917" s="100" t="s">
        <v>2961</v>
      </c>
      <c r="H6917" s="100"/>
      <c r="I6917" s="101" t="s">
        <v>134</v>
      </c>
      <c r="J6917" s="580">
        <v>0.1238</v>
      </c>
      <c r="K6917" s="580">
        <v>0</v>
      </c>
      <c r="L6917" s="102">
        <v>8.1</v>
      </c>
      <c r="M6917" s="102">
        <v>1</v>
      </c>
    </row>
    <row r="6918" ht="15" customHeight="1" spans="3:13">
      <c r="C6918" s="100" t="s">
        <v>2893</v>
      </c>
      <c r="D6918" s="99" t="s">
        <v>4600</v>
      </c>
      <c r="E6918" s="100" t="s">
        <v>149</v>
      </c>
      <c r="F6918" s="100" t="s">
        <v>4601</v>
      </c>
      <c r="G6918" s="100" t="s">
        <v>2896</v>
      </c>
      <c r="H6918" s="100"/>
      <c r="I6918" s="101" t="s">
        <v>2897</v>
      </c>
      <c r="J6918" s="580">
        <v>1</v>
      </c>
      <c r="K6918" s="580">
        <v>0</v>
      </c>
      <c r="L6918" s="102">
        <v>20.515752</v>
      </c>
      <c r="M6918" s="102">
        <v>20.51</v>
      </c>
    </row>
    <row r="6919" ht="15" customHeight="1" spans="3:13">
      <c r="C6919" s="100" t="s">
        <v>2893</v>
      </c>
      <c r="D6919" s="99" t="s">
        <v>4604</v>
      </c>
      <c r="E6919" s="100" t="s">
        <v>149</v>
      </c>
      <c r="F6919" s="100" t="s">
        <v>4605</v>
      </c>
      <c r="G6919" s="100" t="s">
        <v>2896</v>
      </c>
      <c r="H6919" s="100"/>
      <c r="I6919" s="101" t="s">
        <v>2897</v>
      </c>
      <c r="J6919" s="580">
        <v>1</v>
      </c>
      <c r="K6919" s="580">
        <v>0</v>
      </c>
      <c r="L6919" s="102">
        <v>30.25168</v>
      </c>
      <c r="M6919" s="102">
        <v>30.25</v>
      </c>
    </row>
    <row r="6920" ht="25.5" spans="3:13">
      <c r="C6920" s="108"/>
      <c r="D6920" s="108"/>
      <c r="E6920" s="108"/>
      <c r="F6920" s="108"/>
      <c r="G6920" s="108"/>
      <c r="H6920" s="108" t="s">
        <v>2898</v>
      </c>
      <c r="I6920" s="581">
        <v>50.76</v>
      </c>
      <c r="J6920" s="108" t="s">
        <v>2899</v>
      </c>
      <c r="K6920" s="581">
        <v>0</v>
      </c>
      <c r="L6920" s="108" t="s">
        <v>2900</v>
      </c>
      <c r="M6920" s="581">
        <v>50.76</v>
      </c>
    </row>
    <row r="6921" ht="26.25" spans="3:13">
      <c r="C6921" s="108"/>
      <c r="D6921" s="108"/>
      <c r="E6921" s="108"/>
      <c r="F6921" s="108"/>
      <c r="G6921" s="108"/>
      <c r="H6921" s="108" t="s">
        <v>2901</v>
      </c>
      <c r="I6921" s="581">
        <v>16.5</v>
      </c>
      <c r="J6921" s="114"/>
      <c r="K6921" s="114" t="s">
        <v>2902</v>
      </c>
      <c r="L6921" s="108"/>
      <c r="M6921" s="581">
        <v>81.26</v>
      </c>
    </row>
    <row r="6922" ht="15" spans="3:13">
      <c r="C6922" s="571"/>
      <c r="D6922" s="571"/>
      <c r="E6922" s="571"/>
      <c r="F6922" s="571"/>
      <c r="G6922" s="571"/>
      <c r="H6922" s="571"/>
      <c r="I6922" s="571"/>
      <c r="J6922" s="571"/>
      <c r="K6922" s="571"/>
      <c r="L6922" s="571"/>
      <c r="M6922" s="571"/>
    </row>
    <row r="6923" ht="15" customHeight="1" spans="3:13">
      <c r="C6923" s="76" t="s">
        <v>2379</v>
      </c>
      <c r="D6923" s="75" t="s">
        <v>63</v>
      </c>
      <c r="E6923" s="76" t="s">
        <v>64</v>
      </c>
      <c r="F6923" s="76" t="s">
        <v>65</v>
      </c>
      <c r="G6923" s="76" t="s">
        <v>2889</v>
      </c>
      <c r="H6923" s="76"/>
      <c r="I6923" s="77" t="s">
        <v>66</v>
      </c>
      <c r="J6923" s="75" t="s">
        <v>67</v>
      </c>
      <c r="K6923" s="75" t="s">
        <v>2890</v>
      </c>
      <c r="L6923" s="75" t="s">
        <v>68</v>
      </c>
      <c r="M6923" s="75" t="s">
        <v>70</v>
      </c>
    </row>
    <row r="6924" ht="38.25" spans="3:13">
      <c r="C6924" s="569" t="s">
        <v>2891</v>
      </c>
      <c r="D6924" s="570" t="s">
        <v>2380</v>
      </c>
      <c r="E6924" s="569" t="s">
        <v>132</v>
      </c>
      <c r="F6924" s="569" t="s">
        <v>2381</v>
      </c>
      <c r="G6924" s="569">
        <v>70</v>
      </c>
      <c r="H6924" s="569"/>
      <c r="I6924" s="577" t="s">
        <v>134</v>
      </c>
      <c r="J6924" s="578">
        <v>1</v>
      </c>
      <c r="K6924" s="579"/>
      <c r="L6924" s="579">
        <v>74.78</v>
      </c>
      <c r="M6924" s="579">
        <v>74.78</v>
      </c>
    </row>
    <row r="6925" ht="23.85" customHeight="1" spans="3:13">
      <c r="C6925" s="79" t="s">
        <v>2921</v>
      </c>
      <c r="D6925" s="78" t="s">
        <v>4215</v>
      </c>
      <c r="E6925" s="79" t="s">
        <v>139</v>
      </c>
      <c r="F6925" s="79" t="s">
        <v>4216</v>
      </c>
      <c r="G6925" s="79" t="s">
        <v>2928</v>
      </c>
      <c r="H6925" s="79"/>
      <c r="I6925" s="80" t="s">
        <v>2897</v>
      </c>
      <c r="J6925" s="583">
        <v>1.031</v>
      </c>
      <c r="K6925" s="583">
        <v>0</v>
      </c>
      <c r="L6925" s="92">
        <v>33.34</v>
      </c>
      <c r="M6925" s="92">
        <v>34.37</v>
      </c>
    </row>
    <row r="6926" ht="23.85" customHeight="1" spans="3:13">
      <c r="C6926" s="79" t="s">
        <v>2921</v>
      </c>
      <c r="D6926" s="78" t="s">
        <v>3487</v>
      </c>
      <c r="E6926" s="79" t="s">
        <v>139</v>
      </c>
      <c r="F6926" s="79" t="s">
        <v>3488</v>
      </c>
      <c r="G6926" s="79" t="s">
        <v>2928</v>
      </c>
      <c r="H6926" s="79"/>
      <c r="I6926" s="80" t="s">
        <v>2897</v>
      </c>
      <c r="J6926" s="583">
        <v>1.031</v>
      </c>
      <c r="K6926" s="583">
        <v>0</v>
      </c>
      <c r="L6926" s="92">
        <v>30.31</v>
      </c>
      <c r="M6926" s="92">
        <v>31.24</v>
      </c>
    </row>
    <row r="6927" ht="15" customHeight="1" spans="3:13">
      <c r="C6927" s="100" t="s">
        <v>2893</v>
      </c>
      <c r="D6927" s="99" t="s">
        <v>4857</v>
      </c>
      <c r="E6927" s="100" t="s">
        <v>149</v>
      </c>
      <c r="F6927" s="100" t="s">
        <v>4858</v>
      </c>
      <c r="G6927" s="100" t="s">
        <v>2961</v>
      </c>
      <c r="H6927" s="100"/>
      <c r="I6927" s="101" t="s">
        <v>134</v>
      </c>
      <c r="J6927" s="580">
        <v>1.031</v>
      </c>
      <c r="K6927" s="580">
        <v>0</v>
      </c>
      <c r="L6927" s="102">
        <v>8.9</v>
      </c>
      <c r="M6927" s="102">
        <v>9.17</v>
      </c>
    </row>
    <row r="6928" ht="25.5" spans="3:13">
      <c r="C6928" s="108"/>
      <c r="D6928" s="108"/>
      <c r="E6928" s="108"/>
      <c r="F6928" s="108"/>
      <c r="G6928" s="108"/>
      <c r="H6928" s="108" t="s">
        <v>2898</v>
      </c>
      <c r="I6928" s="581">
        <v>45.02</v>
      </c>
      <c r="J6928" s="108" t="s">
        <v>2899</v>
      </c>
      <c r="K6928" s="581">
        <v>0</v>
      </c>
      <c r="L6928" s="108" t="s">
        <v>2900</v>
      </c>
      <c r="M6928" s="581">
        <v>45.02</v>
      </c>
    </row>
    <row r="6929" ht="26.25" spans="3:13">
      <c r="C6929" s="108"/>
      <c r="D6929" s="108"/>
      <c r="E6929" s="108"/>
      <c r="F6929" s="108"/>
      <c r="G6929" s="108"/>
      <c r="H6929" s="108" t="s">
        <v>2901</v>
      </c>
      <c r="I6929" s="581">
        <v>19.06</v>
      </c>
      <c r="J6929" s="114"/>
      <c r="K6929" s="114" t="s">
        <v>2902</v>
      </c>
      <c r="L6929" s="108"/>
      <c r="M6929" s="581">
        <v>93.84</v>
      </c>
    </row>
    <row r="6930" ht="15" spans="3:13">
      <c r="C6930" s="571"/>
      <c r="D6930" s="571"/>
      <c r="E6930" s="571"/>
      <c r="F6930" s="571"/>
      <c r="G6930" s="571"/>
      <c r="H6930" s="571"/>
      <c r="I6930" s="571"/>
      <c r="J6930" s="571"/>
      <c r="K6930" s="571"/>
      <c r="L6930" s="571"/>
      <c r="M6930" s="571"/>
    </row>
    <row r="6931" ht="15" customHeight="1" spans="3:13">
      <c r="C6931" s="76" t="s">
        <v>2382</v>
      </c>
      <c r="D6931" s="75" t="s">
        <v>63</v>
      </c>
      <c r="E6931" s="76" t="s">
        <v>64</v>
      </c>
      <c r="F6931" s="76" t="s">
        <v>65</v>
      </c>
      <c r="G6931" s="76" t="s">
        <v>2889</v>
      </c>
      <c r="H6931" s="76"/>
      <c r="I6931" s="77" t="s">
        <v>66</v>
      </c>
      <c r="J6931" s="75" t="s">
        <v>67</v>
      </c>
      <c r="K6931" s="75" t="s">
        <v>2890</v>
      </c>
      <c r="L6931" s="75" t="s">
        <v>68</v>
      </c>
      <c r="M6931" s="75" t="s">
        <v>70</v>
      </c>
    </row>
    <row r="6932" ht="38.25" spans="3:13">
      <c r="C6932" s="569" t="s">
        <v>2891</v>
      </c>
      <c r="D6932" s="570" t="s">
        <v>2383</v>
      </c>
      <c r="E6932" s="569" t="s">
        <v>132</v>
      </c>
      <c r="F6932" s="569" t="s">
        <v>2384</v>
      </c>
      <c r="G6932" s="569">
        <v>70</v>
      </c>
      <c r="H6932" s="569"/>
      <c r="I6932" s="577" t="s">
        <v>134</v>
      </c>
      <c r="J6932" s="578">
        <v>1</v>
      </c>
      <c r="K6932" s="579"/>
      <c r="L6932" s="579">
        <v>75.6</v>
      </c>
      <c r="M6932" s="579">
        <v>75.6</v>
      </c>
    </row>
    <row r="6933" ht="23.85" customHeight="1" spans="3:13">
      <c r="C6933" s="79" t="s">
        <v>2921</v>
      </c>
      <c r="D6933" s="78" t="s">
        <v>3487</v>
      </c>
      <c r="E6933" s="79" t="s">
        <v>139</v>
      </c>
      <c r="F6933" s="79" t="s">
        <v>3488</v>
      </c>
      <c r="G6933" s="79" t="s">
        <v>2928</v>
      </c>
      <c r="H6933" s="79"/>
      <c r="I6933" s="80" t="s">
        <v>2897</v>
      </c>
      <c r="J6933" s="583">
        <v>1</v>
      </c>
      <c r="K6933" s="583">
        <v>0</v>
      </c>
      <c r="L6933" s="92">
        <v>30.31</v>
      </c>
      <c r="M6933" s="92">
        <v>30.31</v>
      </c>
    </row>
    <row r="6934" ht="23.85" customHeight="1" spans="3:13">
      <c r="C6934" s="79" t="s">
        <v>2921</v>
      </c>
      <c r="D6934" s="78" t="s">
        <v>4215</v>
      </c>
      <c r="E6934" s="79" t="s">
        <v>139</v>
      </c>
      <c r="F6934" s="79" t="s">
        <v>4216</v>
      </c>
      <c r="G6934" s="79" t="s">
        <v>2928</v>
      </c>
      <c r="H6934" s="79"/>
      <c r="I6934" s="80" t="s">
        <v>2897</v>
      </c>
      <c r="J6934" s="583">
        <v>1</v>
      </c>
      <c r="K6934" s="583">
        <v>0</v>
      </c>
      <c r="L6934" s="92">
        <v>33.34</v>
      </c>
      <c r="M6934" s="92">
        <v>33.34</v>
      </c>
    </row>
    <row r="6935" ht="15" customHeight="1" spans="3:13">
      <c r="C6935" s="100" t="s">
        <v>2893</v>
      </c>
      <c r="D6935" s="99" t="s">
        <v>4859</v>
      </c>
      <c r="E6935" s="100" t="s">
        <v>149</v>
      </c>
      <c r="F6935" s="100" t="s">
        <v>4860</v>
      </c>
      <c r="G6935" s="100" t="s">
        <v>2961</v>
      </c>
      <c r="H6935" s="100"/>
      <c r="I6935" s="101" t="s">
        <v>134</v>
      </c>
      <c r="J6935" s="580">
        <v>1</v>
      </c>
      <c r="K6935" s="580">
        <v>0</v>
      </c>
      <c r="L6935" s="102">
        <v>11.95</v>
      </c>
      <c r="M6935" s="102">
        <v>11.95</v>
      </c>
    </row>
    <row r="6936" ht="25.5" spans="3:13">
      <c r="C6936" s="108"/>
      <c r="D6936" s="108"/>
      <c r="E6936" s="108"/>
      <c r="F6936" s="108"/>
      <c r="G6936" s="108"/>
      <c r="H6936" s="108" t="s">
        <v>2898</v>
      </c>
      <c r="I6936" s="581">
        <v>43.67</v>
      </c>
      <c r="J6936" s="108" t="s">
        <v>2899</v>
      </c>
      <c r="K6936" s="581">
        <v>0</v>
      </c>
      <c r="L6936" s="108" t="s">
        <v>2900</v>
      </c>
      <c r="M6936" s="581">
        <v>43.67</v>
      </c>
    </row>
    <row r="6937" ht="26.25" spans="3:13">
      <c r="C6937" s="108"/>
      <c r="D6937" s="108"/>
      <c r="E6937" s="108"/>
      <c r="F6937" s="108"/>
      <c r="G6937" s="108"/>
      <c r="H6937" s="108" t="s">
        <v>2901</v>
      </c>
      <c r="I6937" s="581">
        <v>19.27</v>
      </c>
      <c r="J6937" s="114"/>
      <c r="K6937" s="114" t="s">
        <v>2902</v>
      </c>
      <c r="L6937" s="108"/>
      <c r="M6937" s="581">
        <v>94.87</v>
      </c>
    </row>
    <row r="6938" ht="15" spans="3:13">
      <c r="C6938" s="571"/>
      <c r="D6938" s="571"/>
      <c r="E6938" s="571"/>
      <c r="F6938" s="571"/>
      <c r="G6938" s="571"/>
      <c r="H6938" s="571"/>
      <c r="I6938" s="571"/>
      <c r="J6938" s="571"/>
      <c r="K6938" s="571"/>
      <c r="L6938" s="571"/>
      <c r="M6938" s="571"/>
    </row>
    <row r="6939" ht="15" customHeight="1" spans="3:13">
      <c r="C6939" s="76" t="s">
        <v>2385</v>
      </c>
      <c r="D6939" s="75" t="s">
        <v>63</v>
      </c>
      <c r="E6939" s="76" t="s">
        <v>64</v>
      </c>
      <c r="F6939" s="76" t="s">
        <v>65</v>
      </c>
      <c r="G6939" s="76" t="s">
        <v>2889</v>
      </c>
      <c r="H6939" s="76"/>
      <c r="I6939" s="77" t="s">
        <v>66</v>
      </c>
      <c r="J6939" s="75" t="s">
        <v>67</v>
      </c>
      <c r="K6939" s="75" t="s">
        <v>2890</v>
      </c>
      <c r="L6939" s="75" t="s">
        <v>68</v>
      </c>
      <c r="M6939" s="75" t="s">
        <v>70</v>
      </c>
    </row>
    <row r="6940" ht="38.25" spans="3:13">
      <c r="C6940" s="569" t="s">
        <v>2891</v>
      </c>
      <c r="D6940" s="570" t="s">
        <v>2386</v>
      </c>
      <c r="E6940" s="569" t="s">
        <v>132</v>
      </c>
      <c r="F6940" s="569" t="s">
        <v>2387</v>
      </c>
      <c r="G6940" s="569">
        <v>70</v>
      </c>
      <c r="H6940" s="569"/>
      <c r="I6940" s="577" t="s">
        <v>134</v>
      </c>
      <c r="J6940" s="578">
        <v>1</v>
      </c>
      <c r="K6940" s="579"/>
      <c r="L6940" s="579">
        <v>77.55</v>
      </c>
      <c r="M6940" s="579">
        <v>77.55</v>
      </c>
    </row>
    <row r="6941" ht="23.85" customHeight="1" spans="3:13">
      <c r="C6941" s="79" t="s">
        <v>2921</v>
      </c>
      <c r="D6941" s="78" t="s">
        <v>4215</v>
      </c>
      <c r="E6941" s="79" t="s">
        <v>139</v>
      </c>
      <c r="F6941" s="79" t="s">
        <v>4216</v>
      </c>
      <c r="G6941" s="79" t="s">
        <v>2928</v>
      </c>
      <c r="H6941" s="79"/>
      <c r="I6941" s="80" t="s">
        <v>2897</v>
      </c>
      <c r="J6941" s="583">
        <v>1</v>
      </c>
      <c r="K6941" s="583">
        <v>0</v>
      </c>
      <c r="L6941" s="92">
        <v>33.34</v>
      </c>
      <c r="M6941" s="92">
        <v>33.34</v>
      </c>
    </row>
    <row r="6942" ht="23.85" customHeight="1" spans="3:13">
      <c r="C6942" s="79" t="s">
        <v>2921</v>
      </c>
      <c r="D6942" s="78" t="s">
        <v>3487</v>
      </c>
      <c r="E6942" s="79" t="s">
        <v>139</v>
      </c>
      <c r="F6942" s="79" t="s">
        <v>3488</v>
      </c>
      <c r="G6942" s="79" t="s">
        <v>2928</v>
      </c>
      <c r="H6942" s="79"/>
      <c r="I6942" s="80" t="s">
        <v>2897</v>
      </c>
      <c r="J6942" s="583">
        <v>1</v>
      </c>
      <c r="K6942" s="583">
        <v>0</v>
      </c>
      <c r="L6942" s="92">
        <v>30.31</v>
      </c>
      <c r="M6942" s="92">
        <v>30.31</v>
      </c>
    </row>
    <row r="6943" ht="15" customHeight="1" spans="3:13">
      <c r="C6943" s="100" t="s">
        <v>2893</v>
      </c>
      <c r="D6943" s="99" t="s">
        <v>4843</v>
      </c>
      <c r="E6943" s="100" t="s">
        <v>149</v>
      </c>
      <c r="F6943" s="100" t="s">
        <v>4844</v>
      </c>
      <c r="G6943" s="100" t="s">
        <v>2961</v>
      </c>
      <c r="H6943" s="100"/>
      <c r="I6943" s="101" t="s">
        <v>134</v>
      </c>
      <c r="J6943" s="580">
        <v>0.1238</v>
      </c>
      <c r="K6943" s="580">
        <v>0</v>
      </c>
      <c r="L6943" s="102">
        <v>8.1</v>
      </c>
      <c r="M6943" s="102">
        <v>1</v>
      </c>
    </row>
    <row r="6944" ht="15" customHeight="1" spans="3:13">
      <c r="C6944" s="100" t="s">
        <v>2893</v>
      </c>
      <c r="D6944" s="99" t="s">
        <v>4861</v>
      </c>
      <c r="E6944" s="100" t="s">
        <v>149</v>
      </c>
      <c r="F6944" s="100" t="s">
        <v>4862</v>
      </c>
      <c r="G6944" s="100" t="s">
        <v>2961</v>
      </c>
      <c r="H6944" s="100"/>
      <c r="I6944" s="101" t="s">
        <v>134</v>
      </c>
      <c r="J6944" s="580">
        <v>1</v>
      </c>
      <c r="K6944" s="580">
        <v>0</v>
      </c>
      <c r="L6944" s="102">
        <v>12.9</v>
      </c>
      <c r="M6944" s="102">
        <v>12.9</v>
      </c>
    </row>
    <row r="6945" ht="25.5" spans="3:13">
      <c r="C6945" s="108"/>
      <c r="D6945" s="108"/>
      <c r="E6945" s="108"/>
      <c r="F6945" s="108"/>
      <c r="G6945" s="108"/>
      <c r="H6945" s="108" t="s">
        <v>2898</v>
      </c>
      <c r="I6945" s="581">
        <v>43.67</v>
      </c>
      <c r="J6945" s="108" t="s">
        <v>2899</v>
      </c>
      <c r="K6945" s="581">
        <v>0</v>
      </c>
      <c r="L6945" s="108" t="s">
        <v>2900</v>
      </c>
      <c r="M6945" s="581">
        <v>43.67</v>
      </c>
    </row>
    <row r="6946" ht="26.25" spans="3:13">
      <c r="C6946" s="108"/>
      <c r="D6946" s="108"/>
      <c r="E6946" s="108"/>
      <c r="F6946" s="108"/>
      <c r="G6946" s="108"/>
      <c r="H6946" s="108" t="s">
        <v>2901</v>
      </c>
      <c r="I6946" s="581">
        <v>19.76</v>
      </c>
      <c r="J6946" s="114"/>
      <c r="K6946" s="114" t="s">
        <v>2902</v>
      </c>
      <c r="L6946" s="108"/>
      <c r="M6946" s="581">
        <v>97.31</v>
      </c>
    </row>
    <row r="6947" ht="15" spans="3:13">
      <c r="C6947" s="571"/>
      <c r="D6947" s="571"/>
      <c r="E6947" s="571"/>
      <c r="F6947" s="571"/>
      <c r="G6947" s="571"/>
      <c r="H6947" s="571"/>
      <c r="I6947" s="571"/>
      <c r="J6947" s="571"/>
      <c r="K6947" s="571"/>
      <c r="L6947" s="571"/>
      <c r="M6947" s="571"/>
    </row>
    <row r="6948" ht="15" customHeight="1" spans="3:13">
      <c r="C6948" s="76" t="s">
        <v>2388</v>
      </c>
      <c r="D6948" s="75" t="s">
        <v>63</v>
      </c>
      <c r="E6948" s="76" t="s">
        <v>64</v>
      </c>
      <c r="F6948" s="76" t="s">
        <v>65</v>
      </c>
      <c r="G6948" s="76" t="s">
        <v>2889</v>
      </c>
      <c r="H6948" s="76"/>
      <c r="I6948" s="77" t="s">
        <v>66</v>
      </c>
      <c r="J6948" s="75" t="s">
        <v>67</v>
      </c>
      <c r="K6948" s="75" t="s">
        <v>2890</v>
      </c>
      <c r="L6948" s="75" t="s">
        <v>68</v>
      </c>
      <c r="M6948" s="75" t="s">
        <v>70</v>
      </c>
    </row>
    <row r="6949" ht="23.85" customHeight="1" spans="3:13">
      <c r="C6949" s="569" t="s">
        <v>2891</v>
      </c>
      <c r="D6949" s="570" t="s">
        <v>2389</v>
      </c>
      <c r="E6949" s="569" t="s">
        <v>149</v>
      </c>
      <c r="F6949" s="569" t="s">
        <v>2390</v>
      </c>
      <c r="G6949" s="569" t="s">
        <v>4599</v>
      </c>
      <c r="H6949" s="569"/>
      <c r="I6949" s="577" t="s">
        <v>134</v>
      </c>
      <c r="J6949" s="578">
        <v>1</v>
      </c>
      <c r="K6949" s="579"/>
      <c r="L6949" s="579">
        <v>64.66</v>
      </c>
      <c r="M6949" s="579">
        <v>64.66</v>
      </c>
    </row>
    <row r="6950" ht="15" customHeight="1" spans="3:13">
      <c r="C6950" s="100" t="s">
        <v>2893</v>
      </c>
      <c r="D6950" s="99" t="s">
        <v>4604</v>
      </c>
      <c r="E6950" s="100" t="s">
        <v>149</v>
      </c>
      <c r="F6950" s="100" t="s">
        <v>4605</v>
      </c>
      <c r="G6950" s="100" t="s">
        <v>2896</v>
      </c>
      <c r="H6950" s="100"/>
      <c r="I6950" s="101" t="s">
        <v>2897</v>
      </c>
      <c r="J6950" s="580">
        <v>1</v>
      </c>
      <c r="K6950" s="580">
        <v>0</v>
      </c>
      <c r="L6950" s="102">
        <v>30.25168</v>
      </c>
      <c r="M6950" s="102">
        <v>30.25</v>
      </c>
    </row>
    <row r="6951" ht="15" customHeight="1" spans="3:13">
      <c r="C6951" s="100" t="s">
        <v>2893</v>
      </c>
      <c r="D6951" s="99" t="s">
        <v>4861</v>
      </c>
      <c r="E6951" s="100" t="s">
        <v>149</v>
      </c>
      <c r="F6951" s="100" t="s">
        <v>4862</v>
      </c>
      <c r="G6951" s="100" t="s">
        <v>2961</v>
      </c>
      <c r="H6951" s="100"/>
      <c r="I6951" s="101" t="s">
        <v>134</v>
      </c>
      <c r="J6951" s="580">
        <v>1</v>
      </c>
      <c r="K6951" s="580">
        <v>0</v>
      </c>
      <c r="L6951" s="102">
        <v>12.9</v>
      </c>
      <c r="M6951" s="102">
        <v>12.9</v>
      </c>
    </row>
    <row r="6952" ht="15" customHeight="1" spans="3:13">
      <c r="C6952" s="100" t="s">
        <v>2893</v>
      </c>
      <c r="D6952" s="99" t="s">
        <v>4843</v>
      </c>
      <c r="E6952" s="100" t="s">
        <v>149</v>
      </c>
      <c r="F6952" s="100" t="s">
        <v>4844</v>
      </c>
      <c r="G6952" s="100" t="s">
        <v>2961</v>
      </c>
      <c r="H6952" s="100"/>
      <c r="I6952" s="101" t="s">
        <v>134</v>
      </c>
      <c r="J6952" s="580">
        <v>0.1238</v>
      </c>
      <c r="K6952" s="580">
        <v>0</v>
      </c>
      <c r="L6952" s="102">
        <v>8.1</v>
      </c>
      <c r="M6952" s="102">
        <v>1</v>
      </c>
    </row>
    <row r="6953" ht="15" customHeight="1" spans="3:13">
      <c r="C6953" s="100" t="s">
        <v>2893</v>
      </c>
      <c r="D6953" s="99" t="s">
        <v>4600</v>
      </c>
      <c r="E6953" s="100" t="s">
        <v>149</v>
      </c>
      <c r="F6953" s="100" t="s">
        <v>4601</v>
      </c>
      <c r="G6953" s="100" t="s">
        <v>2896</v>
      </c>
      <c r="H6953" s="100"/>
      <c r="I6953" s="101" t="s">
        <v>2897</v>
      </c>
      <c r="J6953" s="580">
        <v>1</v>
      </c>
      <c r="K6953" s="580">
        <v>0</v>
      </c>
      <c r="L6953" s="102">
        <v>20.515752</v>
      </c>
      <c r="M6953" s="102">
        <v>20.51</v>
      </c>
    </row>
    <row r="6954" ht="25.5" spans="3:13">
      <c r="C6954" s="108"/>
      <c r="D6954" s="108"/>
      <c r="E6954" s="108"/>
      <c r="F6954" s="108"/>
      <c r="G6954" s="108"/>
      <c r="H6954" s="108" t="s">
        <v>2898</v>
      </c>
      <c r="I6954" s="581">
        <v>50.76</v>
      </c>
      <c r="J6954" s="108" t="s">
        <v>2899</v>
      </c>
      <c r="K6954" s="581">
        <v>0</v>
      </c>
      <c r="L6954" s="108" t="s">
        <v>2900</v>
      </c>
      <c r="M6954" s="581">
        <v>50.76</v>
      </c>
    </row>
    <row r="6955" ht="26.25" spans="3:13">
      <c r="C6955" s="108"/>
      <c r="D6955" s="108"/>
      <c r="E6955" s="108"/>
      <c r="F6955" s="108"/>
      <c r="G6955" s="108"/>
      <c r="H6955" s="108" t="s">
        <v>2901</v>
      </c>
      <c r="I6955" s="581">
        <v>16.48</v>
      </c>
      <c r="J6955" s="114"/>
      <c r="K6955" s="114" t="s">
        <v>2902</v>
      </c>
      <c r="L6955" s="108"/>
      <c r="M6955" s="581">
        <v>81.14</v>
      </c>
    </row>
    <row r="6956" ht="15" spans="3:13">
      <c r="C6956" s="571"/>
      <c r="D6956" s="571"/>
      <c r="E6956" s="571"/>
      <c r="F6956" s="571"/>
      <c r="G6956" s="571"/>
      <c r="H6956" s="571"/>
      <c r="I6956" s="571"/>
      <c r="J6956" s="571"/>
      <c r="K6956" s="571"/>
      <c r="L6956" s="571"/>
      <c r="M6956" s="571"/>
    </row>
    <row r="6957" ht="15" customHeight="1" spans="3:13">
      <c r="C6957" s="76" t="s">
        <v>2391</v>
      </c>
      <c r="D6957" s="75" t="s">
        <v>63</v>
      </c>
      <c r="E6957" s="76" t="s">
        <v>64</v>
      </c>
      <c r="F6957" s="76" t="s">
        <v>65</v>
      </c>
      <c r="G6957" s="76" t="s">
        <v>2889</v>
      </c>
      <c r="H6957" s="76"/>
      <c r="I6957" s="77" t="s">
        <v>66</v>
      </c>
      <c r="J6957" s="75" t="s">
        <v>67</v>
      </c>
      <c r="K6957" s="75" t="s">
        <v>2890</v>
      </c>
      <c r="L6957" s="75" t="s">
        <v>68</v>
      </c>
      <c r="M6957" s="75" t="s">
        <v>70</v>
      </c>
    </row>
    <row r="6958" ht="38.25" spans="3:13">
      <c r="C6958" s="569" t="s">
        <v>2891</v>
      </c>
      <c r="D6958" s="570" t="s">
        <v>2392</v>
      </c>
      <c r="E6958" s="569" t="s">
        <v>132</v>
      </c>
      <c r="F6958" s="569" t="s">
        <v>2393</v>
      </c>
      <c r="G6958" s="569">
        <v>70</v>
      </c>
      <c r="H6958" s="569"/>
      <c r="I6958" s="577" t="s">
        <v>134</v>
      </c>
      <c r="J6958" s="578">
        <v>1</v>
      </c>
      <c r="K6958" s="579"/>
      <c r="L6958" s="579">
        <v>79.55</v>
      </c>
      <c r="M6958" s="579">
        <v>79.55</v>
      </c>
    </row>
    <row r="6959" ht="23.85" customHeight="1" spans="3:13">
      <c r="C6959" s="79" t="s">
        <v>2921</v>
      </c>
      <c r="D6959" s="78" t="s">
        <v>4215</v>
      </c>
      <c r="E6959" s="79" t="s">
        <v>139</v>
      </c>
      <c r="F6959" s="79" t="s">
        <v>4216</v>
      </c>
      <c r="G6959" s="79" t="s">
        <v>2928</v>
      </c>
      <c r="H6959" s="79"/>
      <c r="I6959" s="80" t="s">
        <v>2897</v>
      </c>
      <c r="J6959" s="583">
        <v>1</v>
      </c>
      <c r="K6959" s="583">
        <v>0</v>
      </c>
      <c r="L6959" s="92">
        <v>33.34</v>
      </c>
      <c r="M6959" s="92">
        <v>33.34</v>
      </c>
    </row>
    <row r="6960" ht="23.85" customHeight="1" spans="3:13">
      <c r="C6960" s="79" t="s">
        <v>2921</v>
      </c>
      <c r="D6960" s="78" t="s">
        <v>3487</v>
      </c>
      <c r="E6960" s="79" t="s">
        <v>139</v>
      </c>
      <c r="F6960" s="79" t="s">
        <v>3488</v>
      </c>
      <c r="G6960" s="79" t="s">
        <v>2928</v>
      </c>
      <c r="H6960" s="79"/>
      <c r="I6960" s="80" t="s">
        <v>2897</v>
      </c>
      <c r="J6960" s="583">
        <v>1</v>
      </c>
      <c r="K6960" s="583">
        <v>0</v>
      </c>
      <c r="L6960" s="92">
        <v>30.31</v>
      </c>
      <c r="M6960" s="92">
        <v>30.31</v>
      </c>
    </row>
    <row r="6961" ht="15" customHeight="1" spans="3:13">
      <c r="C6961" s="100" t="s">
        <v>2893</v>
      </c>
      <c r="D6961" s="99" t="s">
        <v>4863</v>
      </c>
      <c r="E6961" s="100" t="s">
        <v>149</v>
      </c>
      <c r="F6961" s="100" t="s">
        <v>4864</v>
      </c>
      <c r="G6961" s="100" t="s">
        <v>2961</v>
      </c>
      <c r="H6961" s="100"/>
      <c r="I6961" s="101" t="s">
        <v>134</v>
      </c>
      <c r="J6961" s="580">
        <v>1</v>
      </c>
      <c r="K6961" s="580">
        <v>0</v>
      </c>
      <c r="L6961" s="102">
        <v>14.9</v>
      </c>
      <c r="M6961" s="102">
        <v>14.9</v>
      </c>
    </row>
    <row r="6962" ht="15" customHeight="1" spans="3:13">
      <c r="C6962" s="100" t="s">
        <v>2893</v>
      </c>
      <c r="D6962" s="99" t="s">
        <v>4843</v>
      </c>
      <c r="E6962" s="100" t="s">
        <v>149</v>
      </c>
      <c r="F6962" s="100" t="s">
        <v>4844</v>
      </c>
      <c r="G6962" s="100" t="s">
        <v>2961</v>
      </c>
      <c r="H6962" s="100"/>
      <c r="I6962" s="101" t="s">
        <v>134</v>
      </c>
      <c r="J6962" s="580">
        <v>0.1238</v>
      </c>
      <c r="K6962" s="580">
        <v>0</v>
      </c>
      <c r="L6962" s="102">
        <v>8.1</v>
      </c>
      <c r="M6962" s="102">
        <v>1</v>
      </c>
    </row>
    <row r="6963" ht="25.5" spans="3:13">
      <c r="C6963" s="108"/>
      <c r="D6963" s="108"/>
      <c r="E6963" s="108"/>
      <c r="F6963" s="108"/>
      <c r="G6963" s="108"/>
      <c r="H6963" s="108" t="s">
        <v>2898</v>
      </c>
      <c r="I6963" s="581">
        <v>43.67</v>
      </c>
      <c r="J6963" s="108" t="s">
        <v>2899</v>
      </c>
      <c r="K6963" s="581">
        <v>0</v>
      </c>
      <c r="L6963" s="108" t="s">
        <v>2900</v>
      </c>
      <c r="M6963" s="581">
        <v>43.67</v>
      </c>
    </row>
    <row r="6964" ht="26.25" spans="3:13">
      <c r="C6964" s="108"/>
      <c r="D6964" s="108"/>
      <c r="E6964" s="108"/>
      <c r="F6964" s="108"/>
      <c r="G6964" s="108"/>
      <c r="H6964" s="108" t="s">
        <v>2901</v>
      </c>
      <c r="I6964" s="581">
        <v>20.27</v>
      </c>
      <c r="J6964" s="114"/>
      <c r="K6964" s="114" t="s">
        <v>2902</v>
      </c>
      <c r="L6964" s="108"/>
      <c r="M6964" s="581">
        <v>99.82</v>
      </c>
    </row>
    <row r="6965" ht="15" spans="3:13">
      <c r="C6965" s="571"/>
      <c r="D6965" s="571"/>
      <c r="E6965" s="571"/>
      <c r="F6965" s="571"/>
      <c r="G6965" s="571"/>
      <c r="H6965" s="571"/>
      <c r="I6965" s="571"/>
      <c r="J6965" s="571"/>
      <c r="K6965" s="571"/>
      <c r="L6965" s="571"/>
      <c r="M6965" s="571"/>
    </row>
    <row r="6966" ht="15" customHeight="1" spans="3:13">
      <c r="C6966" s="76" t="s">
        <v>2396</v>
      </c>
      <c r="D6966" s="75" t="s">
        <v>63</v>
      </c>
      <c r="E6966" s="76" t="s">
        <v>64</v>
      </c>
      <c r="F6966" s="76" t="s">
        <v>65</v>
      </c>
      <c r="G6966" s="76" t="s">
        <v>2889</v>
      </c>
      <c r="H6966" s="76"/>
      <c r="I6966" s="77" t="s">
        <v>66</v>
      </c>
      <c r="J6966" s="75" t="s">
        <v>67</v>
      </c>
      <c r="K6966" s="75" t="s">
        <v>2890</v>
      </c>
      <c r="L6966" s="75" t="s">
        <v>68</v>
      </c>
      <c r="M6966" s="75" t="s">
        <v>70</v>
      </c>
    </row>
    <row r="6967" ht="25.5" spans="3:13">
      <c r="C6967" s="569" t="s">
        <v>2891</v>
      </c>
      <c r="D6967" s="570" t="s">
        <v>2397</v>
      </c>
      <c r="E6967" s="569" t="s">
        <v>132</v>
      </c>
      <c r="F6967" s="569" t="s">
        <v>2398</v>
      </c>
      <c r="G6967" s="569">
        <v>73</v>
      </c>
      <c r="H6967" s="569"/>
      <c r="I6967" s="577" t="s">
        <v>393</v>
      </c>
      <c r="J6967" s="578">
        <v>1</v>
      </c>
      <c r="K6967" s="579"/>
      <c r="L6967" s="579">
        <v>19.34</v>
      </c>
      <c r="M6967" s="579">
        <v>19.34</v>
      </c>
    </row>
    <row r="6968" ht="23.85" customHeight="1" spans="3:13">
      <c r="C6968" s="79" t="s">
        <v>2921</v>
      </c>
      <c r="D6968" s="78" t="s">
        <v>3487</v>
      </c>
      <c r="E6968" s="79" t="s">
        <v>139</v>
      </c>
      <c r="F6968" s="79" t="s">
        <v>3488</v>
      </c>
      <c r="G6968" s="79" t="s">
        <v>2928</v>
      </c>
      <c r="H6968" s="79"/>
      <c r="I6968" s="80" t="s">
        <v>2897</v>
      </c>
      <c r="J6968" s="583">
        <v>0.128</v>
      </c>
      <c r="K6968" s="583">
        <v>0</v>
      </c>
      <c r="L6968" s="92">
        <v>30.31</v>
      </c>
      <c r="M6968" s="92">
        <v>3.87</v>
      </c>
    </row>
    <row r="6969" ht="23.85" customHeight="1" spans="3:13">
      <c r="C6969" s="79" t="s">
        <v>2921</v>
      </c>
      <c r="D6969" s="78" t="s">
        <v>4721</v>
      </c>
      <c r="E6969" s="79" t="s">
        <v>139</v>
      </c>
      <c r="F6969" s="79" t="s">
        <v>4722</v>
      </c>
      <c r="G6969" s="79" t="s">
        <v>2928</v>
      </c>
      <c r="H6969" s="79"/>
      <c r="I6969" s="80" t="s">
        <v>2897</v>
      </c>
      <c r="J6969" s="583">
        <v>0.128</v>
      </c>
      <c r="K6969" s="583">
        <v>0</v>
      </c>
      <c r="L6969" s="92">
        <v>47.06</v>
      </c>
      <c r="M6969" s="92">
        <v>6.02</v>
      </c>
    </row>
    <row r="6970" ht="15" customHeight="1" spans="3:13">
      <c r="C6970" s="100" t="s">
        <v>2893</v>
      </c>
      <c r="D6970" s="99" t="s">
        <v>4865</v>
      </c>
      <c r="E6970" s="100" t="s">
        <v>149</v>
      </c>
      <c r="F6970" s="100" t="s">
        <v>4866</v>
      </c>
      <c r="G6970" s="100" t="s">
        <v>2961</v>
      </c>
      <c r="H6970" s="100"/>
      <c r="I6970" s="101" t="s">
        <v>393</v>
      </c>
      <c r="J6970" s="580">
        <v>1</v>
      </c>
      <c r="K6970" s="580">
        <v>0</v>
      </c>
      <c r="L6970" s="102">
        <v>9.45</v>
      </c>
      <c r="M6970" s="102">
        <v>9.45</v>
      </c>
    </row>
    <row r="6971" ht="25.5" spans="3:13">
      <c r="C6971" s="108"/>
      <c r="D6971" s="108"/>
      <c r="E6971" s="108"/>
      <c r="F6971" s="108"/>
      <c r="G6971" s="108"/>
      <c r="H6971" s="108" t="s">
        <v>2898</v>
      </c>
      <c r="I6971" s="581">
        <v>7.49</v>
      </c>
      <c r="J6971" s="108" t="s">
        <v>2899</v>
      </c>
      <c r="K6971" s="581">
        <v>0</v>
      </c>
      <c r="L6971" s="108" t="s">
        <v>2900</v>
      </c>
      <c r="M6971" s="581">
        <v>7.49</v>
      </c>
    </row>
    <row r="6972" ht="26.25" spans="3:13">
      <c r="C6972" s="108"/>
      <c r="D6972" s="108"/>
      <c r="E6972" s="108"/>
      <c r="F6972" s="108"/>
      <c r="G6972" s="108"/>
      <c r="H6972" s="108" t="s">
        <v>2901</v>
      </c>
      <c r="I6972" s="581">
        <v>4.92</v>
      </c>
      <c r="J6972" s="114"/>
      <c r="K6972" s="114" t="s">
        <v>2902</v>
      </c>
      <c r="L6972" s="108"/>
      <c r="M6972" s="581">
        <v>24.26</v>
      </c>
    </row>
    <row r="6973" ht="15" spans="3:13">
      <c r="C6973" s="571"/>
      <c r="D6973" s="571"/>
      <c r="E6973" s="571"/>
      <c r="F6973" s="571"/>
      <c r="G6973" s="571"/>
      <c r="H6973" s="571"/>
      <c r="I6973" s="571"/>
      <c r="J6973" s="571"/>
      <c r="K6973" s="571"/>
      <c r="L6973" s="571"/>
      <c r="M6973" s="571"/>
    </row>
    <row r="6974" ht="15" customHeight="1" spans="3:13">
      <c r="C6974" s="76" t="s">
        <v>2399</v>
      </c>
      <c r="D6974" s="75" t="s">
        <v>63</v>
      </c>
      <c r="E6974" s="76" t="s">
        <v>64</v>
      </c>
      <c r="F6974" s="76" t="s">
        <v>65</v>
      </c>
      <c r="G6974" s="76" t="s">
        <v>2889</v>
      </c>
      <c r="H6974" s="76"/>
      <c r="I6974" s="77" t="s">
        <v>66</v>
      </c>
      <c r="J6974" s="75" t="s">
        <v>67</v>
      </c>
      <c r="K6974" s="75" t="s">
        <v>2890</v>
      </c>
      <c r="L6974" s="75" t="s">
        <v>68</v>
      </c>
      <c r="M6974" s="75" t="s">
        <v>70</v>
      </c>
    </row>
    <row r="6975" ht="23.85" customHeight="1" spans="3:13">
      <c r="C6975" s="569" t="s">
        <v>2891</v>
      </c>
      <c r="D6975" s="570" t="s">
        <v>2400</v>
      </c>
      <c r="E6975" s="569" t="s">
        <v>149</v>
      </c>
      <c r="F6975" s="569" t="s">
        <v>2401</v>
      </c>
      <c r="G6975" s="569" t="s">
        <v>4867</v>
      </c>
      <c r="H6975" s="569"/>
      <c r="I6975" s="577" t="s">
        <v>393</v>
      </c>
      <c r="J6975" s="578">
        <v>1</v>
      </c>
      <c r="K6975" s="579"/>
      <c r="L6975" s="579">
        <v>17.97</v>
      </c>
      <c r="M6975" s="579">
        <v>17.97</v>
      </c>
    </row>
    <row r="6976" ht="15" customHeight="1" spans="3:13">
      <c r="C6976" s="100" t="s">
        <v>2893</v>
      </c>
      <c r="D6976" s="99" t="s">
        <v>4868</v>
      </c>
      <c r="E6976" s="100" t="s">
        <v>149</v>
      </c>
      <c r="F6976" s="100" t="s">
        <v>4869</v>
      </c>
      <c r="G6976" s="100" t="s">
        <v>2896</v>
      </c>
      <c r="H6976" s="100"/>
      <c r="I6976" s="101" t="s">
        <v>2897</v>
      </c>
      <c r="J6976" s="580">
        <v>0.128</v>
      </c>
      <c r="K6976" s="580">
        <v>0</v>
      </c>
      <c r="L6976" s="102">
        <v>28.994744</v>
      </c>
      <c r="M6976" s="102">
        <v>3.71</v>
      </c>
    </row>
    <row r="6977" ht="15" customHeight="1" spans="3:13">
      <c r="C6977" s="100" t="s">
        <v>2893</v>
      </c>
      <c r="D6977" s="99" t="s">
        <v>4870</v>
      </c>
      <c r="E6977" s="100" t="s">
        <v>149</v>
      </c>
      <c r="F6977" s="100" t="s">
        <v>4871</v>
      </c>
      <c r="G6977" s="100" t="s">
        <v>2896</v>
      </c>
      <c r="H6977" s="100"/>
      <c r="I6977" s="101" t="s">
        <v>2897</v>
      </c>
      <c r="J6977" s="580">
        <v>0.128</v>
      </c>
      <c r="K6977" s="580">
        <v>0</v>
      </c>
      <c r="L6977" s="102">
        <v>20.515752</v>
      </c>
      <c r="M6977" s="102">
        <v>2.62</v>
      </c>
    </row>
    <row r="6978" ht="15" customHeight="1" spans="3:13">
      <c r="C6978" s="100" t="s">
        <v>2893</v>
      </c>
      <c r="D6978" s="99" t="s">
        <v>4872</v>
      </c>
      <c r="E6978" s="100" t="s">
        <v>149</v>
      </c>
      <c r="F6978" s="100" t="s">
        <v>4873</v>
      </c>
      <c r="G6978" s="100" t="s">
        <v>2961</v>
      </c>
      <c r="H6978" s="100"/>
      <c r="I6978" s="101" t="s">
        <v>393</v>
      </c>
      <c r="J6978" s="580">
        <v>1</v>
      </c>
      <c r="K6978" s="580">
        <v>0</v>
      </c>
      <c r="L6978" s="102">
        <v>11.64</v>
      </c>
      <c r="M6978" s="102">
        <v>11.64</v>
      </c>
    </row>
    <row r="6979" ht="25.5" spans="3:13">
      <c r="C6979" s="108"/>
      <c r="D6979" s="108"/>
      <c r="E6979" s="108"/>
      <c r="F6979" s="108"/>
      <c r="G6979" s="108"/>
      <c r="H6979" s="108" t="s">
        <v>2898</v>
      </c>
      <c r="I6979" s="581">
        <v>6.33</v>
      </c>
      <c r="J6979" s="108" t="s">
        <v>2899</v>
      </c>
      <c r="K6979" s="581">
        <v>0</v>
      </c>
      <c r="L6979" s="108" t="s">
        <v>2900</v>
      </c>
      <c r="M6979" s="581">
        <v>6.33</v>
      </c>
    </row>
    <row r="6980" ht="26.25" spans="3:13">
      <c r="C6980" s="108"/>
      <c r="D6980" s="108"/>
      <c r="E6980" s="108"/>
      <c r="F6980" s="108"/>
      <c r="G6980" s="108"/>
      <c r="H6980" s="108" t="s">
        <v>2901</v>
      </c>
      <c r="I6980" s="581">
        <v>4.58</v>
      </c>
      <c r="J6980" s="114"/>
      <c r="K6980" s="114" t="s">
        <v>2902</v>
      </c>
      <c r="L6980" s="108"/>
      <c r="M6980" s="581">
        <v>22.55</v>
      </c>
    </row>
    <row r="6981" ht="15" spans="3:13">
      <c r="C6981" s="571"/>
      <c r="D6981" s="571"/>
      <c r="E6981" s="571"/>
      <c r="F6981" s="571"/>
      <c r="G6981" s="571"/>
      <c r="H6981" s="571"/>
      <c r="I6981" s="571"/>
      <c r="J6981" s="571"/>
      <c r="K6981" s="571"/>
      <c r="L6981" s="571"/>
      <c r="M6981" s="571"/>
    </row>
    <row r="6982" ht="15" customHeight="1" spans="3:13">
      <c r="C6982" s="76" t="s">
        <v>2402</v>
      </c>
      <c r="D6982" s="75" t="s">
        <v>63</v>
      </c>
      <c r="E6982" s="76" t="s">
        <v>64</v>
      </c>
      <c r="F6982" s="76" t="s">
        <v>65</v>
      </c>
      <c r="G6982" s="76" t="s">
        <v>2889</v>
      </c>
      <c r="H6982" s="76"/>
      <c r="I6982" s="77" t="s">
        <v>66</v>
      </c>
      <c r="J6982" s="75" t="s">
        <v>67</v>
      </c>
      <c r="K6982" s="75" t="s">
        <v>2890</v>
      </c>
      <c r="L6982" s="75" t="s">
        <v>68</v>
      </c>
      <c r="M6982" s="75" t="s">
        <v>70</v>
      </c>
    </row>
    <row r="6983" ht="23.85" customHeight="1" spans="3:13">
      <c r="C6983" s="569" t="s">
        <v>2891</v>
      </c>
      <c r="D6983" s="570" t="s">
        <v>2403</v>
      </c>
      <c r="E6983" s="569" t="s">
        <v>149</v>
      </c>
      <c r="F6983" s="569" t="s">
        <v>2404</v>
      </c>
      <c r="G6983" s="569" t="s">
        <v>4867</v>
      </c>
      <c r="H6983" s="569"/>
      <c r="I6983" s="577" t="s">
        <v>393</v>
      </c>
      <c r="J6983" s="578">
        <v>1</v>
      </c>
      <c r="K6983" s="579"/>
      <c r="L6983" s="579">
        <v>18.03</v>
      </c>
      <c r="M6983" s="579">
        <v>18.03</v>
      </c>
    </row>
    <row r="6984" ht="15" customHeight="1" spans="3:13">
      <c r="C6984" s="100" t="s">
        <v>2893</v>
      </c>
      <c r="D6984" s="99" t="s">
        <v>4870</v>
      </c>
      <c r="E6984" s="100" t="s">
        <v>149</v>
      </c>
      <c r="F6984" s="100" t="s">
        <v>4871</v>
      </c>
      <c r="G6984" s="100" t="s">
        <v>2896</v>
      </c>
      <c r="H6984" s="100"/>
      <c r="I6984" s="101" t="s">
        <v>2897</v>
      </c>
      <c r="J6984" s="580">
        <v>0.128</v>
      </c>
      <c r="K6984" s="580">
        <v>0</v>
      </c>
      <c r="L6984" s="102">
        <v>20.515752</v>
      </c>
      <c r="M6984" s="102">
        <v>2.62</v>
      </c>
    </row>
    <row r="6985" ht="15" customHeight="1" spans="3:13">
      <c r="C6985" s="100" t="s">
        <v>2893</v>
      </c>
      <c r="D6985" s="99" t="s">
        <v>4868</v>
      </c>
      <c r="E6985" s="100" t="s">
        <v>149</v>
      </c>
      <c r="F6985" s="100" t="s">
        <v>4869</v>
      </c>
      <c r="G6985" s="100" t="s">
        <v>2896</v>
      </c>
      <c r="H6985" s="100"/>
      <c r="I6985" s="101" t="s">
        <v>2897</v>
      </c>
      <c r="J6985" s="580">
        <v>0.128</v>
      </c>
      <c r="K6985" s="580">
        <v>0</v>
      </c>
      <c r="L6985" s="102">
        <v>28.994744</v>
      </c>
      <c r="M6985" s="102">
        <v>3.71</v>
      </c>
    </row>
    <row r="6986" ht="15" customHeight="1" spans="3:13">
      <c r="C6986" s="100" t="s">
        <v>2893</v>
      </c>
      <c r="D6986" s="99" t="s">
        <v>4874</v>
      </c>
      <c r="E6986" s="100" t="s">
        <v>149</v>
      </c>
      <c r="F6986" s="100" t="s">
        <v>4875</v>
      </c>
      <c r="G6986" s="100" t="s">
        <v>2961</v>
      </c>
      <c r="H6986" s="100"/>
      <c r="I6986" s="101" t="s">
        <v>393</v>
      </c>
      <c r="J6986" s="580">
        <v>1</v>
      </c>
      <c r="K6986" s="580">
        <v>0</v>
      </c>
      <c r="L6986" s="102">
        <v>11.7</v>
      </c>
      <c r="M6986" s="102">
        <v>11.7</v>
      </c>
    </row>
    <row r="6987" ht="25.5" spans="3:13">
      <c r="C6987" s="108"/>
      <c r="D6987" s="108"/>
      <c r="E6987" s="108"/>
      <c r="F6987" s="108"/>
      <c r="G6987" s="108"/>
      <c r="H6987" s="108" t="s">
        <v>2898</v>
      </c>
      <c r="I6987" s="581">
        <v>6.33</v>
      </c>
      <c r="J6987" s="108" t="s">
        <v>2899</v>
      </c>
      <c r="K6987" s="581">
        <v>0</v>
      </c>
      <c r="L6987" s="108" t="s">
        <v>2900</v>
      </c>
      <c r="M6987" s="581">
        <v>6.33</v>
      </c>
    </row>
    <row r="6988" ht="26.25" spans="3:13">
      <c r="C6988" s="108"/>
      <c r="D6988" s="108"/>
      <c r="E6988" s="108"/>
      <c r="F6988" s="108"/>
      <c r="G6988" s="108"/>
      <c r="H6988" s="108" t="s">
        <v>2901</v>
      </c>
      <c r="I6988" s="581">
        <v>4.59</v>
      </c>
      <c r="J6988" s="114"/>
      <c r="K6988" s="114" t="s">
        <v>2902</v>
      </c>
      <c r="L6988" s="108"/>
      <c r="M6988" s="581">
        <v>22.62</v>
      </c>
    </row>
    <row r="6989" ht="15" spans="3:13">
      <c r="C6989" s="571"/>
      <c r="D6989" s="571"/>
      <c r="E6989" s="571"/>
      <c r="F6989" s="571"/>
      <c r="G6989" s="571"/>
      <c r="H6989" s="571"/>
      <c r="I6989" s="571"/>
      <c r="J6989" s="571"/>
      <c r="K6989" s="571"/>
      <c r="L6989" s="571"/>
      <c r="M6989" s="571"/>
    </row>
    <row r="6990" ht="15" customHeight="1" spans="3:13">
      <c r="C6990" s="76" t="s">
        <v>2405</v>
      </c>
      <c r="D6990" s="75" t="s">
        <v>63</v>
      </c>
      <c r="E6990" s="76" t="s">
        <v>64</v>
      </c>
      <c r="F6990" s="76" t="s">
        <v>65</v>
      </c>
      <c r="G6990" s="76" t="s">
        <v>2889</v>
      </c>
      <c r="H6990" s="76"/>
      <c r="I6990" s="77" t="s">
        <v>66</v>
      </c>
      <c r="J6990" s="75" t="s">
        <v>67</v>
      </c>
      <c r="K6990" s="75" t="s">
        <v>2890</v>
      </c>
      <c r="L6990" s="75" t="s">
        <v>68</v>
      </c>
      <c r="M6990" s="75" t="s">
        <v>70</v>
      </c>
    </row>
    <row r="6991" ht="23.85" customHeight="1" spans="3:13">
      <c r="C6991" s="569" t="s">
        <v>2891</v>
      </c>
      <c r="D6991" s="570" t="s">
        <v>2406</v>
      </c>
      <c r="E6991" s="569" t="s">
        <v>149</v>
      </c>
      <c r="F6991" s="569" t="s">
        <v>2407</v>
      </c>
      <c r="G6991" s="569" t="s">
        <v>4867</v>
      </c>
      <c r="H6991" s="569"/>
      <c r="I6991" s="577" t="s">
        <v>393</v>
      </c>
      <c r="J6991" s="578">
        <v>1</v>
      </c>
      <c r="K6991" s="579"/>
      <c r="L6991" s="579">
        <v>17.97</v>
      </c>
      <c r="M6991" s="579">
        <v>17.97</v>
      </c>
    </row>
    <row r="6992" ht="15" customHeight="1" spans="3:13">
      <c r="C6992" s="100" t="s">
        <v>2893</v>
      </c>
      <c r="D6992" s="99" t="s">
        <v>4870</v>
      </c>
      <c r="E6992" s="100" t="s">
        <v>149</v>
      </c>
      <c r="F6992" s="100" t="s">
        <v>4871</v>
      </c>
      <c r="G6992" s="100" t="s">
        <v>2896</v>
      </c>
      <c r="H6992" s="100"/>
      <c r="I6992" s="101" t="s">
        <v>2897</v>
      </c>
      <c r="J6992" s="580">
        <v>0.128</v>
      </c>
      <c r="K6992" s="580">
        <v>0</v>
      </c>
      <c r="L6992" s="102">
        <v>20.515752</v>
      </c>
      <c r="M6992" s="102">
        <v>2.62</v>
      </c>
    </row>
    <row r="6993" ht="15" customHeight="1" spans="3:13">
      <c r="C6993" s="100" t="s">
        <v>2893</v>
      </c>
      <c r="D6993" s="99" t="s">
        <v>4876</v>
      </c>
      <c r="E6993" s="100" t="s">
        <v>149</v>
      </c>
      <c r="F6993" s="100" t="s">
        <v>4877</v>
      </c>
      <c r="G6993" s="100" t="s">
        <v>2961</v>
      </c>
      <c r="H6993" s="100"/>
      <c r="I6993" s="101" t="s">
        <v>393</v>
      </c>
      <c r="J6993" s="580">
        <v>1</v>
      </c>
      <c r="K6993" s="580">
        <v>0</v>
      </c>
      <c r="L6993" s="102">
        <v>11.64</v>
      </c>
      <c r="M6993" s="102">
        <v>11.64</v>
      </c>
    </row>
    <row r="6994" ht="15" customHeight="1" spans="3:13">
      <c r="C6994" s="100" t="s">
        <v>2893</v>
      </c>
      <c r="D6994" s="99" t="s">
        <v>4868</v>
      </c>
      <c r="E6994" s="100" t="s">
        <v>149</v>
      </c>
      <c r="F6994" s="100" t="s">
        <v>4869</v>
      </c>
      <c r="G6994" s="100" t="s">
        <v>2896</v>
      </c>
      <c r="H6994" s="100"/>
      <c r="I6994" s="101" t="s">
        <v>2897</v>
      </c>
      <c r="J6994" s="580">
        <v>0.128</v>
      </c>
      <c r="K6994" s="580">
        <v>0</v>
      </c>
      <c r="L6994" s="102">
        <v>28.994744</v>
      </c>
      <c r="M6994" s="102">
        <v>3.71</v>
      </c>
    </row>
    <row r="6995" ht="25.5" spans="3:13">
      <c r="C6995" s="108"/>
      <c r="D6995" s="108"/>
      <c r="E6995" s="108"/>
      <c r="F6995" s="108"/>
      <c r="G6995" s="108"/>
      <c r="H6995" s="108" t="s">
        <v>2898</v>
      </c>
      <c r="I6995" s="581">
        <v>6.33</v>
      </c>
      <c r="J6995" s="108" t="s">
        <v>2899</v>
      </c>
      <c r="K6995" s="581">
        <v>0</v>
      </c>
      <c r="L6995" s="108" t="s">
        <v>2900</v>
      </c>
      <c r="M6995" s="581">
        <v>6.33</v>
      </c>
    </row>
    <row r="6996" ht="26.25" spans="3:13">
      <c r="C6996" s="108"/>
      <c r="D6996" s="108"/>
      <c r="E6996" s="108"/>
      <c r="F6996" s="108"/>
      <c r="G6996" s="108"/>
      <c r="H6996" s="108" t="s">
        <v>2901</v>
      </c>
      <c r="I6996" s="581">
        <v>4.58</v>
      </c>
      <c r="J6996" s="114"/>
      <c r="K6996" s="114" t="s">
        <v>2902</v>
      </c>
      <c r="L6996" s="108"/>
      <c r="M6996" s="581">
        <v>22.55</v>
      </c>
    </row>
    <row r="6997" ht="15" spans="3:13">
      <c r="C6997" s="571"/>
      <c r="D6997" s="571"/>
      <c r="E6997" s="571"/>
      <c r="F6997" s="571"/>
      <c r="G6997" s="571"/>
      <c r="H6997" s="571"/>
      <c r="I6997" s="571"/>
      <c r="J6997" s="571"/>
      <c r="K6997" s="571"/>
      <c r="L6997" s="571"/>
      <c r="M6997" s="571"/>
    </row>
    <row r="6998" ht="15" customHeight="1" spans="3:13">
      <c r="C6998" s="76" t="s">
        <v>2408</v>
      </c>
      <c r="D6998" s="75" t="s">
        <v>63</v>
      </c>
      <c r="E6998" s="76" t="s">
        <v>64</v>
      </c>
      <c r="F6998" s="76" t="s">
        <v>65</v>
      </c>
      <c r="G6998" s="76" t="s">
        <v>2889</v>
      </c>
      <c r="H6998" s="76"/>
      <c r="I6998" s="77" t="s">
        <v>66</v>
      </c>
      <c r="J6998" s="75" t="s">
        <v>67</v>
      </c>
      <c r="K6998" s="75" t="s">
        <v>2890</v>
      </c>
      <c r="L6998" s="75" t="s">
        <v>68</v>
      </c>
      <c r="M6998" s="75" t="s">
        <v>70</v>
      </c>
    </row>
    <row r="6999" ht="23.85" customHeight="1" spans="3:13">
      <c r="C6999" s="569" t="s">
        <v>2891</v>
      </c>
      <c r="D6999" s="570" t="s">
        <v>2409</v>
      </c>
      <c r="E6999" s="569" t="s">
        <v>149</v>
      </c>
      <c r="F6999" s="569" t="s">
        <v>4878</v>
      </c>
      <c r="G6999" s="569" t="s">
        <v>4599</v>
      </c>
      <c r="H6999" s="569"/>
      <c r="I6999" s="577" t="s">
        <v>204</v>
      </c>
      <c r="J6999" s="578">
        <v>1</v>
      </c>
      <c r="K6999" s="579"/>
      <c r="L6999" s="579">
        <v>40.48</v>
      </c>
      <c r="M6999" s="579">
        <v>40.48</v>
      </c>
    </row>
    <row r="7000" ht="15" customHeight="1" spans="3:13">
      <c r="C7000" s="100" t="s">
        <v>2893</v>
      </c>
      <c r="D7000" s="99" t="s">
        <v>4870</v>
      </c>
      <c r="E7000" s="100" t="s">
        <v>149</v>
      </c>
      <c r="F7000" s="100" t="s">
        <v>4871</v>
      </c>
      <c r="G7000" s="100" t="s">
        <v>2896</v>
      </c>
      <c r="H7000" s="100"/>
      <c r="I7000" s="101" t="s">
        <v>2897</v>
      </c>
      <c r="J7000" s="580">
        <v>0.4</v>
      </c>
      <c r="K7000" s="580">
        <v>0</v>
      </c>
      <c r="L7000" s="102">
        <v>20.515752</v>
      </c>
      <c r="M7000" s="102">
        <v>8.2</v>
      </c>
    </row>
    <row r="7001" ht="15" customHeight="1" spans="3:13">
      <c r="C7001" s="100" t="s">
        <v>2893</v>
      </c>
      <c r="D7001" s="99" t="s">
        <v>4868</v>
      </c>
      <c r="E7001" s="100" t="s">
        <v>149</v>
      </c>
      <c r="F7001" s="100" t="s">
        <v>4869</v>
      </c>
      <c r="G7001" s="100" t="s">
        <v>2896</v>
      </c>
      <c r="H7001" s="100"/>
      <c r="I7001" s="101" t="s">
        <v>2897</v>
      </c>
      <c r="J7001" s="580">
        <v>0.4</v>
      </c>
      <c r="K7001" s="580">
        <v>0</v>
      </c>
      <c r="L7001" s="102">
        <v>28.994744</v>
      </c>
      <c r="M7001" s="102">
        <v>11.59</v>
      </c>
    </row>
    <row r="7002" ht="23.85" customHeight="1" spans="3:13">
      <c r="C7002" s="100" t="s">
        <v>2893</v>
      </c>
      <c r="D7002" s="99" t="s">
        <v>4879</v>
      </c>
      <c r="E7002" s="100" t="s">
        <v>149</v>
      </c>
      <c r="F7002" s="100" t="s">
        <v>4880</v>
      </c>
      <c r="G7002" s="100" t="s">
        <v>2961</v>
      </c>
      <c r="H7002" s="100"/>
      <c r="I7002" s="101" t="s">
        <v>204</v>
      </c>
      <c r="J7002" s="580">
        <v>1.05</v>
      </c>
      <c r="K7002" s="580">
        <v>0</v>
      </c>
      <c r="L7002" s="102">
        <v>19.71</v>
      </c>
      <c r="M7002" s="102">
        <v>20.69</v>
      </c>
    </row>
    <row r="7003" ht="25.5" spans="3:13">
      <c r="C7003" s="108"/>
      <c r="D7003" s="108"/>
      <c r="E7003" s="108"/>
      <c r="F7003" s="108"/>
      <c r="G7003" s="108"/>
      <c r="H7003" s="108" t="s">
        <v>2898</v>
      </c>
      <c r="I7003" s="581">
        <v>19.79</v>
      </c>
      <c r="J7003" s="108" t="s">
        <v>2899</v>
      </c>
      <c r="K7003" s="581">
        <v>0</v>
      </c>
      <c r="L7003" s="108" t="s">
        <v>2900</v>
      </c>
      <c r="M7003" s="581">
        <v>19.79</v>
      </c>
    </row>
    <row r="7004" ht="26.25" spans="3:13">
      <c r="C7004" s="108"/>
      <c r="D7004" s="108"/>
      <c r="E7004" s="108"/>
      <c r="F7004" s="108"/>
      <c r="G7004" s="108"/>
      <c r="H7004" s="108" t="s">
        <v>2901</v>
      </c>
      <c r="I7004" s="581">
        <v>10.31</v>
      </c>
      <c r="J7004" s="114"/>
      <c r="K7004" s="114" t="s">
        <v>2902</v>
      </c>
      <c r="L7004" s="108"/>
      <c r="M7004" s="581">
        <v>50.79</v>
      </c>
    </row>
    <row r="7005" ht="15" spans="3:13">
      <c r="C7005" s="571"/>
      <c r="D7005" s="571"/>
      <c r="E7005" s="571"/>
      <c r="F7005" s="571"/>
      <c r="G7005" s="571"/>
      <c r="H7005" s="571"/>
      <c r="I7005" s="571"/>
      <c r="J7005" s="571"/>
      <c r="K7005" s="571"/>
      <c r="L7005" s="571"/>
      <c r="M7005" s="571"/>
    </row>
    <row r="7006" ht="15" customHeight="1" spans="3:13">
      <c r="C7006" s="76" t="s">
        <v>2411</v>
      </c>
      <c r="D7006" s="75" t="s">
        <v>63</v>
      </c>
      <c r="E7006" s="76" t="s">
        <v>64</v>
      </c>
      <c r="F7006" s="76" t="s">
        <v>65</v>
      </c>
      <c r="G7006" s="76" t="s">
        <v>2889</v>
      </c>
      <c r="H7006" s="76"/>
      <c r="I7006" s="77" t="s">
        <v>66</v>
      </c>
      <c r="J7006" s="75" t="s">
        <v>67</v>
      </c>
      <c r="K7006" s="75" t="s">
        <v>2890</v>
      </c>
      <c r="L7006" s="75" t="s">
        <v>68</v>
      </c>
      <c r="M7006" s="75" t="s">
        <v>70</v>
      </c>
    </row>
    <row r="7007" ht="23.85" customHeight="1" spans="3:13">
      <c r="C7007" s="569" t="s">
        <v>2891</v>
      </c>
      <c r="D7007" s="570" t="s">
        <v>2412</v>
      </c>
      <c r="E7007" s="569" t="s">
        <v>149</v>
      </c>
      <c r="F7007" s="569" t="s">
        <v>2413</v>
      </c>
      <c r="G7007" s="569" t="s">
        <v>4599</v>
      </c>
      <c r="H7007" s="569"/>
      <c r="I7007" s="577" t="s">
        <v>204</v>
      </c>
      <c r="J7007" s="578">
        <v>1</v>
      </c>
      <c r="K7007" s="579"/>
      <c r="L7007" s="579">
        <v>138.96</v>
      </c>
      <c r="M7007" s="579">
        <v>138.96</v>
      </c>
    </row>
    <row r="7008" ht="15" customHeight="1" spans="3:13">
      <c r="C7008" s="100" t="s">
        <v>2893</v>
      </c>
      <c r="D7008" s="99" t="s">
        <v>4881</v>
      </c>
      <c r="E7008" s="100" t="s">
        <v>149</v>
      </c>
      <c r="F7008" s="100" t="s">
        <v>4882</v>
      </c>
      <c r="G7008" s="100" t="s">
        <v>2896</v>
      </c>
      <c r="H7008" s="100"/>
      <c r="I7008" s="101" t="s">
        <v>2897</v>
      </c>
      <c r="J7008" s="580">
        <v>0.4</v>
      </c>
      <c r="K7008" s="580">
        <v>0</v>
      </c>
      <c r="L7008" s="102">
        <v>20.515752</v>
      </c>
      <c r="M7008" s="102">
        <v>8.2</v>
      </c>
    </row>
    <row r="7009" ht="15" customHeight="1" spans="3:13">
      <c r="C7009" s="100" t="s">
        <v>2893</v>
      </c>
      <c r="D7009" s="99" t="s">
        <v>4883</v>
      </c>
      <c r="E7009" s="100" t="s">
        <v>149</v>
      </c>
      <c r="F7009" s="100" t="s">
        <v>4884</v>
      </c>
      <c r="G7009" s="100" t="s">
        <v>2896</v>
      </c>
      <c r="H7009" s="100"/>
      <c r="I7009" s="101" t="s">
        <v>2897</v>
      </c>
      <c r="J7009" s="580">
        <v>0.4</v>
      </c>
      <c r="K7009" s="580">
        <v>0</v>
      </c>
      <c r="L7009" s="102">
        <v>28.994744</v>
      </c>
      <c r="M7009" s="102">
        <v>11.59</v>
      </c>
    </row>
    <row r="7010" ht="15" customHeight="1" spans="3:13">
      <c r="C7010" s="100" t="s">
        <v>2893</v>
      </c>
      <c r="D7010" s="99" t="s">
        <v>4885</v>
      </c>
      <c r="E7010" s="100" t="s">
        <v>149</v>
      </c>
      <c r="F7010" s="100" t="s">
        <v>4886</v>
      </c>
      <c r="G7010" s="100" t="s">
        <v>2961</v>
      </c>
      <c r="H7010" s="100"/>
      <c r="I7010" s="101" t="s">
        <v>204</v>
      </c>
      <c r="J7010" s="580">
        <v>1.05</v>
      </c>
      <c r="K7010" s="580">
        <v>0</v>
      </c>
      <c r="L7010" s="102">
        <v>113.5</v>
      </c>
      <c r="M7010" s="102">
        <v>119.17</v>
      </c>
    </row>
    <row r="7011" ht="25.5" spans="3:13">
      <c r="C7011" s="108"/>
      <c r="D7011" s="108"/>
      <c r="E7011" s="108"/>
      <c r="F7011" s="108"/>
      <c r="G7011" s="108"/>
      <c r="H7011" s="108" t="s">
        <v>2898</v>
      </c>
      <c r="I7011" s="581">
        <v>19.79</v>
      </c>
      <c r="J7011" s="108" t="s">
        <v>2899</v>
      </c>
      <c r="K7011" s="581">
        <v>0</v>
      </c>
      <c r="L7011" s="108" t="s">
        <v>2900</v>
      </c>
      <c r="M7011" s="581">
        <v>19.79</v>
      </c>
    </row>
    <row r="7012" ht="26.25" spans="3:13">
      <c r="C7012" s="108"/>
      <c r="D7012" s="108"/>
      <c r="E7012" s="108"/>
      <c r="F7012" s="108"/>
      <c r="G7012" s="108"/>
      <c r="H7012" s="108" t="s">
        <v>2901</v>
      </c>
      <c r="I7012" s="581">
        <v>35.42</v>
      </c>
      <c r="J7012" s="114"/>
      <c r="K7012" s="114" t="s">
        <v>2902</v>
      </c>
      <c r="L7012" s="108"/>
      <c r="M7012" s="581">
        <v>174.38</v>
      </c>
    </row>
    <row r="7013" ht="15" spans="3:13">
      <c r="C7013" s="571"/>
      <c r="D7013" s="571"/>
      <c r="E7013" s="571"/>
      <c r="F7013" s="571"/>
      <c r="G7013" s="571"/>
      <c r="H7013" s="571"/>
      <c r="I7013" s="571"/>
      <c r="J7013" s="571"/>
      <c r="K7013" s="571"/>
      <c r="L7013" s="571"/>
      <c r="M7013" s="571"/>
    </row>
    <row r="7014" ht="15" customHeight="1" spans="3:13">
      <c r="C7014" s="76" t="s">
        <v>2414</v>
      </c>
      <c r="D7014" s="75" t="s">
        <v>63</v>
      </c>
      <c r="E7014" s="76" t="s">
        <v>64</v>
      </c>
      <c r="F7014" s="76" t="s">
        <v>65</v>
      </c>
      <c r="G7014" s="76" t="s">
        <v>2889</v>
      </c>
      <c r="H7014" s="76"/>
      <c r="I7014" s="77" t="s">
        <v>66</v>
      </c>
      <c r="J7014" s="75" t="s">
        <v>67</v>
      </c>
      <c r="K7014" s="75" t="s">
        <v>2890</v>
      </c>
      <c r="L7014" s="75" t="s">
        <v>68</v>
      </c>
      <c r="M7014" s="75" t="s">
        <v>70</v>
      </c>
    </row>
    <row r="7015" ht="23.85" customHeight="1" spans="3:13">
      <c r="C7015" s="569" t="s">
        <v>2891</v>
      </c>
      <c r="D7015" s="570" t="s">
        <v>2415</v>
      </c>
      <c r="E7015" s="569" t="s">
        <v>149</v>
      </c>
      <c r="F7015" s="569" t="s">
        <v>4887</v>
      </c>
      <c r="G7015" s="569" t="s">
        <v>4599</v>
      </c>
      <c r="H7015" s="569"/>
      <c r="I7015" s="577" t="s">
        <v>204</v>
      </c>
      <c r="J7015" s="578">
        <v>1</v>
      </c>
      <c r="K7015" s="579"/>
      <c r="L7015" s="579">
        <v>41.99</v>
      </c>
      <c r="M7015" s="579">
        <v>41.99</v>
      </c>
    </row>
    <row r="7016" ht="15" customHeight="1" spans="3:13">
      <c r="C7016" s="100" t="s">
        <v>2893</v>
      </c>
      <c r="D7016" s="99" t="s">
        <v>4868</v>
      </c>
      <c r="E7016" s="100" t="s">
        <v>149</v>
      </c>
      <c r="F7016" s="100" t="s">
        <v>4869</v>
      </c>
      <c r="G7016" s="100" t="s">
        <v>2896</v>
      </c>
      <c r="H7016" s="100"/>
      <c r="I7016" s="101" t="s">
        <v>2897</v>
      </c>
      <c r="J7016" s="580">
        <v>0.4</v>
      </c>
      <c r="K7016" s="580">
        <v>0</v>
      </c>
      <c r="L7016" s="102">
        <v>28.994744</v>
      </c>
      <c r="M7016" s="102">
        <v>11.59</v>
      </c>
    </row>
    <row r="7017" ht="15" customHeight="1" spans="3:13">
      <c r="C7017" s="100" t="s">
        <v>2893</v>
      </c>
      <c r="D7017" s="99" t="s">
        <v>4870</v>
      </c>
      <c r="E7017" s="100" t="s">
        <v>149</v>
      </c>
      <c r="F7017" s="100" t="s">
        <v>4871</v>
      </c>
      <c r="G7017" s="100" t="s">
        <v>2896</v>
      </c>
      <c r="H7017" s="100"/>
      <c r="I7017" s="101" t="s">
        <v>2897</v>
      </c>
      <c r="J7017" s="580">
        <v>0.4</v>
      </c>
      <c r="K7017" s="580">
        <v>0</v>
      </c>
      <c r="L7017" s="102">
        <v>20.515752</v>
      </c>
      <c r="M7017" s="102">
        <v>8.2</v>
      </c>
    </row>
    <row r="7018" ht="23.85" customHeight="1" spans="3:13">
      <c r="C7018" s="100" t="s">
        <v>2893</v>
      </c>
      <c r="D7018" s="99" t="s">
        <v>4888</v>
      </c>
      <c r="E7018" s="100" t="s">
        <v>149</v>
      </c>
      <c r="F7018" s="100" t="s">
        <v>4889</v>
      </c>
      <c r="G7018" s="100" t="s">
        <v>2961</v>
      </c>
      <c r="H7018" s="100"/>
      <c r="I7018" s="101" t="s">
        <v>204</v>
      </c>
      <c r="J7018" s="580">
        <v>1.05</v>
      </c>
      <c r="K7018" s="580">
        <v>0</v>
      </c>
      <c r="L7018" s="102">
        <v>21.15</v>
      </c>
      <c r="M7018" s="102">
        <v>22.2</v>
      </c>
    </row>
    <row r="7019" ht="25.5" spans="3:13">
      <c r="C7019" s="108"/>
      <c r="D7019" s="108"/>
      <c r="E7019" s="108"/>
      <c r="F7019" s="108"/>
      <c r="G7019" s="108"/>
      <c r="H7019" s="108" t="s">
        <v>2898</v>
      </c>
      <c r="I7019" s="581">
        <v>19.79</v>
      </c>
      <c r="J7019" s="108" t="s">
        <v>2899</v>
      </c>
      <c r="K7019" s="581">
        <v>0</v>
      </c>
      <c r="L7019" s="108" t="s">
        <v>2900</v>
      </c>
      <c r="M7019" s="581">
        <v>19.79</v>
      </c>
    </row>
    <row r="7020" ht="26.25" spans="3:13">
      <c r="C7020" s="108"/>
      <c r="D7020" s="108"/>
      <c r="E7020" s="108"/>
      <c r="F7020" s="108"/>
      <c r="G7020" s="108"/>
      <c r="H7020" s="108" t="s">
        <v>2901</v>
      </c>
      <c r="I7020" s="581">
        <v>10.7</v>
      </c>
      <c r="J7020" s="114"/>
      <c r="K7020" s="114" t="s">
        <v>2902</v>
      </c>
      <c r="L7020" s="108"/>
      <c r="M7020" s="581">
        <v>52.69</v>
      </c>
    </row>
    <row r="7021" ht="15" spans="3:13">
      <c r="C7021" s="571"/>
      <c r="D7021" s="571"/>
      <c r="E7021" s="571"/>
      <c r="F7021" s="571"/>
      <c r="G7021" s="571"/>
      <c r="H7021" s="571"/>
      <c r="I7021" s="571"/>
      <c r="J7021" s="571"/>
      <c r="K7021" s="571"/>
      <c r="L7021" s="571"/>
      <c r="M7021" s="571"/>
    </row>
    <row r="7022" ht="15" customHeight="1" spans="3:13">
      <c r="C7022" s="76" t="s">
        <v>2417</v>
      </c>
      <c r="D7022" s="75" t="s">
        <v>63</v>
      </c>
      <c r="E7022" s="76" t="s">
        <v>64</v>
      </c>
      <c r="F7022" s="76" t="s">
        <v>65</v>
      </c>
      <c r="G7022" s="76" t="s">
        <v>2889</v>
      </c>
      <c r="H7022" s="76"/>
      <c r="I7022" s="77" t="s">
        <v>66</v>
      </c>
      <c r="J7022" s="75" t="s">
        <v>67</v>
      </c>
      <c r="K7022" s="75" t="s">
        <v>2890</v>
      </c>
      <c r="L7022" s="75" t="s">
        <v>68</v>
      </c>
      <c r="M7022" s="75" t="s">
        <v>70</v>
      </c>
    </row>
    <row r="7023" ht="23.85" customHeight="1" spans="3:13">
      <c r="C7023" s="569" t="s">
        <v>2891</v>
      </c>
      <c r="D7023" s="570" t="s">
        <v>2418</v>
      </c>
      <c r="E7023" s="569" t="s">
        <v>149</v>
      </c>
      <c r="F7023" s="569" t="s">
        <v>4890</v>
      </c>
      <c r="G7023" s="569" t="s">
        <v>4599</v>
      </c>
      <c r="H7023" s="569"/>
      <c r="I7023" s="577" t="s">
        <v>204</v>
      </c>
      <c r="J7023" s="578">
        <v>1</v>
      </c>
      <c r="K7023" s="579"/>
      <c r="L7023" s="579">
        <v>55.94</v>
      </c>
      <c r="M7023" s="579">
        <v>55.94</v>
      </c>
    </row>
    <row r="7024" ht="23.85" customHeight="1" spans="3:13">
      <c r="C7024" s="100" t="s">
        <v>2893</v>
      </c>
      <c r="D7024" s="99" t="s">
        <v>4891</v>
      </c>
      <c r="E7024" s="100" t="s">
        <v>149</v>
      </c>
      <c r="F7024" s="100" t="s">
        <v>4892</v>
      </c>
      <c r="G7024" s="100" t="s">
        <v>2961</v>
      </c>
      <c r="H7024" s="100"/>
      <c r="I7024" s="101" t="s">
        <v>204</v>
      </c>
      <c r="J7024" s="580">
        <v>1.05</v>
      </c>
      <c r="K7024" s="580">
        <v>0</v>
      </c>
      <c r="L7024" s="102">
        <v>34.43</v>
      </c>
      <c r="M7024" s="102">
        <v>36.15</v>
      </c>
    </row>
    <row r="7025" ht="15" customHeight="1" spans="3:13">
      <c r="C7025" s="100" t="s">
        <v>2893</v>
      </c>
      <c r="D7025" s="99" t="s">
        <v>4870</v>
      </c>
      <c r="E7025" s="100" t="s">
        <v>149</v>
      </c>
      <c r="F7025" s="100" t="s">
        <v>4871</v>
      </c>
      <c r="G7025" s="100" t="s">
        <v>2896</v>
      </c>
      <c r="H7025" s="100"/>
      <c r="I7025" s="101" t="s">
        <v>2897</v>
      </c>
      <c r="J7025" s="580">
        <v>0.4</v>
      </c>
      <c r="K7025" s="580">
        <v>0</v>
      </c>
      <c r="L7025" s="102">
        <v>20.515752</v>
      </c>
      <c r="M7025" s="102">
        <v>8.2</v>
      </c>
    </row>
    <row r="7026" ht="15" customHeight="1" spans="3:13">
      <c r="C7026" s="100" t="s">
        <v>2893</v>
      </c>
      <c r="D7026" s="99" t="s">
        <v>4868</v>
      </c>
      <c r="E7026" s="100" t="s">
        <v>149</v>
      </c>
      <c r="F7026" s="100" t="s">
        <v>4869</v>
      </c>
      <c r="G7026" s="100" t="s">
        <v>2896</v>
      </c>
      <c r="H7026" s="100"/>
      <c r="I7026" s="101" t="s">
        <v>2897</v>
      </c>
      <c r="J7026" s="580">
        <v>0.4</v>
      </c>
      <c r="K7026" s="580">
        <v>0</v>
      </c>
      <c r="L7026" s="102">
        <v>28.994744</v>
      </c>
      <c r="M7026" s="102">
        <v>11.59</v>
      </c>
    </row>
    <row r="7027" ht="25.5" spans="3:13">
      <c r="C7027" s="108"/>
      <c r="D7027" s="108"/>
      <c r="E7027" s="108"/>
      <c r="F7027" s="108"/>
      <c r="G7027" s="108"/>
      <c r="H7027" s="108" t="s">
        <v>2898</v>
      </c>
      <c r="I7027" s="581">
        <v>19.79</v>
      </c>
      <c r="J7027" s="108" t="s">
        <v>2899</v>
      </c>
      <c r="K7027" s="581">
        <v>0</v>
      </c>
      <c r="L7027" s="108" t="s">
        <v>2900</v>
      </c>
      <c r="M7027" s="581">
        <v>19.79</v>
      </c>
    </row>
    <row r="7028" ht="26.25" spans="3:13">
      <c r="C7028" s="108"/>
      <c r="D7028" s="108"/>
      <c r="E7028" s="108"/>
      <c r="F7028" s="108"/>
      <c r="G7028" s="108"/>
      <c r="H7028" s="108" t="s">
        <v>2901</v>
      </c>
      <c r="I7028" s="581">
        <v>14.25</v>
      </c>
      <c r="J7028" s="114"/>
      <c r="K7028" s="114" t="s">
        <v>2902</v>
      </c>
      <c r="L7028" s="108"/>
      <c r="M7028" s="581">
        <v>70.19</v>
      </c>
    </row>
    <row r="7029" ht="15" spans="3:13">
      <c r="C7029" s="571"/>
      <c r="D7029" s="571"/>
      <c r="E7029" s="571"/>
      <c r="F7029" s="571"/>
      <c r="G7029" s="571"/>
      <c r="H7029" s="571"/>
      <c r="I7029" s="571"/>
      <c r="J7029" s="571"/>
      <c r="K7029" s="571"/>
      <c r="L7029" s="571"/>
      <c r="M7029" s="571"/>
    </row>
    <row r="7030" ht="15" customHeight="1" spans="3:13">
      <c r="C7030" s="76" t="s">
        <v>2420</v>
      </c>
      <c r="D7030" s="75" t="s">
        <v>63</v>
      </c>
      <c r="E7030" s="76" t="s">
        <v>64</v>
      </c>
      <c r="F7030" s="76" t="s">
        <v>65</v>
      </c>
      <c r="G7030" s="76" t="s">
        <v>2889</v>
      </c>
      <c r="H7030" s="76"/>
      <c r="I7030" s="77" t="s">
        <v>66</v>
      </c>
      <c r="J7030" s="75" t="s">
        <v>67</v>
      </c>
      <c r="K7030" s="75" t="s">
        <v>2890</v>
      </c>
      <c r="L7030" s="75" t="s">
        <v>68</v>
      </c>
      <c r="M7030" s="75" t="s">
        <v>70</v>
      </c>
    </row>
    <row r="7031" ht="23.85" customHeight="1" spans="3:13">
      <c r="C7031" s="569" t="s">
        <v>2891</v>
      </c>
      <c r="D7031" s="570" t="s">
        <v>2421</v>
      </c>
      <c r="E7031" s="569" t="s">
        <v>149</v>
      </c>
      <c r="F7031" s="569" t="s">
        <v>4893</v>
      </c>
      <c r="G7031" s="569" t="s">
        <v>4599</v>
      </c>
      <c r="H7031" s="569"/>
      <c r="I7031" s="577" t="s">
        <v>204</v>
      </c>
      <c r="J7031" s="578">
        <v>1</v>
      </c>
      <c r="K7031" s="579"/>
      <c r="L7031" s="579">
        <v>47.68</v>
      </c>
      <c r="M7031" s="579">
        <v>47.68</v>
      </c>
    </row>
    <row r="7032" ht="15" customHeight="1" spans="3:13">
      <c r="C7032" s="100" t="s">
        <v>2893</v>
      </c>
      <c r="D7032" s="99" t="s">
        <v>4870</v>
      </c>
      <c r="E7032" s="100" t="s">
        <v>149</v>
      </c>
      <c r="F7032" s="100" t="s">
        <v>4871</v>
      </c>
      <c r="G7032" s="100" t="s">
        <v>2896</v>
      </c>
      <c r="H7032" s="100"/>
      <c r="I7032" s="101" t="s">
        <v>2897</v>
      </c>
      <c r="J7032" s="580">
        <v>0.4</v>
      </c>
      <c r="K7032" s="580">
        <v>0</v>
      </c>
      <c r="L7032" s="102">
        <v>20.515752</v>
      </c>
      <c r="M7032" s="102">
        <v>8.2</v>
      </c>
    </row>
    <row r="7033" ht="15" customHeight="1" spans="3:13">
      <c r="C7033" s="100" t="s">
        <v>2893</v>
      </c>
      <c r="D7033" s="99" t="s">
        <v>4868</v>
      </c>
      <c r="E7033" s="100" t="s">
        <v>149</v>
      </c>
      <c r="F7033" s="100" t="s">
        <v>4869</v>
      </c>
      <c r="G7033" s="100" t="s">
        <v>2896</v>
      </c>
      <c r="H7033" s="100"/>
      <c r="I7033" s="101" t="s">
        <v>2897</v>
      </c>
      <c r="J7033" s="580">
        <v>0.4</v>
      </c>
      <c r="K7033" s="580">
        <v>0</v>
      </c>
      <c r="L7033" s="102">
        <v>28.994744</v>
      </c>
      <c r="M7033" s="102">
        <v>11.59</v>
      </c>
    </row>
    <row r="7034" ht="23.85" customHeight="1" spans="3:13">
      <c r="C7034" s="100" t="s">
        <v>2893</v>
      </c>
      <c r="D7034" s="99" t="s">
        <v>4894</v>
      </c>
      <c r="E7034" s="100" t="s">
        <v>149</v>
      </c>
      <c r="F7034" s="100" t="s">
        <v>4895</v>
      </c>
      <c r="G7034" s="100" t="s">
        <v>2961</v>
      </c>
      <c r="H7034" s="100"/>
      <c r="I7034" s="101" t="s">
        <v>204</v>
      </c>
      <c r="J7034" s="580">
        <v>1.05</v>
      </c>
      <c r="K7034" s="580">
        <v>0</v>
      </c>
      <c r="L7034" s="102">
        <v>26.57</v>
      </c>
      <c r="M7034" s="102">
        <v>27.89</v>
      </c>
    </row>
    <row r="7035" ht="25.5" spans="3:13">
      <c r="C7035" s="108"/>
      <c r="D7035" s="108"/>
      <c r="E7035" s="108"/>
      <c r="F7035" s="108"/>
      <c r="G7035" s="108"/>
      <c r="H7035" s="108" t="s">
        <v>2898</v>
      </c>
      <c r="I7035" s="581">
        <v>19.79</v>
      </c>
      <c r="J7035" s="108" t="s">
        <v>2899</v>
      </c>
      <c r="K7035" s="581">
        <v>0</v>
      </c>
      <c r="L7035" s="108" t="s">
        <v>2900</v>
      </c>
      <c r="M7035" s="581">
        <v>19.79</v>
      </c>
    </row>
    <row r="7036" ht="26.25" spans="3:13">
      <c r="C7036" s="108"/>
      <c r="D7036" s="108"/>
      <c r="E7036" s="108"/>
      <c r="F7036" s="108"/>
      <c r="G7036" s="108"/>
      <c r="H7036" s="108" t="s">
        <v>2901</v>
      </c>
      <c r="I7036" s="581">
        <v>12.15</v>
      </c>
      <c r="J7036" s="114"/>
      <c r="K7036" s="114" t="s">
        <v>2902</v>
      </c>
      <c r="L7036" s="108"/>
      <c r="M7036" s="581">
        <v>59.83</v>
      </c>
    </row>
    <row r="7037" ht="15" spans="3:13">
      <c r="C7037" s="571"/>
      <c r="D7037" s="571"/>
      <c r="E7037" s="571"/>
      <c r="F7037" s="571"/>
      <c r="G7037" s="571"/>
      <c r="H7037" s="571"/>
      <c r="I7037" s="571"/>
      <c r="J7037" s="571"/>
      <c r="K7037" s="571"/>
      <c r="L7037" s="571"/>
      <c r="M7037" s="571"/>
    </row>
    <row r="7038" ht="15" customHeight="1" spans="3:13">
      <c r="C7038" s="76" t="s">
        <v>2423</v>
      </c>
      <c r="D7038" s="75" t="s">
        <v>63</v>
      </c>
      <c r="E7038" s="76" t="s">
        <v>64</v>
      </c>
      <c r="F7038" s="76" t="s">
        <v>65</v>
      </c>
      <c r="G7038" s="76" t="s">
        <v>2889</v>
      </c>
      <c r="H7038" s="76"/>
      <c r="I7038" s="77" t="s">
        <v>66</v>
      </c>
      <c r="J7038" s="75" t="s">
        <v>67</v>
      </c>
      <c r="K7038" s="75" t="s">
        <v>2890</v>
      </c>
      <c r="L7038" s="75" t="s">
        <v>68</v>
      </c>
      <c r="M7038" s="75" t="s">
        <v>70</v>
      </c>
    </row>
    <row r="7039" ht="51" spans="3:13">
      <c r="C7039" s="569" t="s">
        <v>2891</v>
      </c>
      <c r="D7039" s="570" t="s">
        <v>2424</v>
      </c>
      <c r="E7039" s="569" t="s">
        <v>132</v>
      </c>
      <c r="F7039" s="569" t="s">
        <v>2425</v>
      </c>
      <c r="G7039" s="569">
        <v>70</v>
      </c>
      <c r="H7039" s="569"/>
      <c r="I7039" s="577" t="s">
        <v>204</v>
      </c>
      <c r="J7039" s="578">
        <v>1</v>
      </c>
      <c r="K7039" s="579"/>
      <c r="L7039" s="579">
        <v>80.03</v>
      </c>
      <c r="M7039" s="579">
        <v>80.03</v>
      </c>
    </row>
    <row r="7040" ht="23.85" customHeight="1" spans="3:13">
      <c r="C7040" s="79" t="s">
        <v>2921</v>
      </c>
      <c r="D7040" s="78" t="s">
        <v>3487</v>
      </c>
      <c r="E7040" s="79" t="s">
        <v>139</v>
      </c>
      <c r="F7040" s="79" t="s">
        <v>3488</v>
      </c>
      <c r="G7040" s="79" t="s">
        <v>2928</v>
      </c>
      <c r="H7040" s="79"/>
      <c r="I7040" s="80" t="s">
        <v>2897</v>
      </c>
      <c r="J7040" s="583">
        <v>0.4</v>
      </c>
      <c r="K7040" s="583">
        <v>0</v>
      </c>
      <c r="L7040" s="92">
        <v>30.31</v>
      </c>
      <c r="M7040" s="92">
        <v>12.12</v>
      </c>
    </row>
    <row r="7041" ht="23.85" customHeight="1" spans="3:13">
      <c r="C7041" s="79" t="s">
        <v>2921</v>
      </c>
      <c r="D7041" s="78" t="s">
        <v>4721</v>
      </c>
      <c r="E7041" s="79" t="s">
        <v>139</v>
      </c>
      <c r="F7041" s="79" t="s">
        <v>4722</v>
      </c>
      <c r="G7041" s="79" t="s">
        <v>2928</v>
      </c>
      <c r="H7041" s="79"/>
      <c r="I7041" s="80" t="s">
        <v>2897</v>
      </c>
      <c r="J7041" s="583">
        <v>0.4</v>
      </c>
      <c r="K7041" s="583">
        <v>0</v>
      </c>
      <c r="L7041" s="92">
        <v>47.06</v>
      </c>
      <c r="M7041" s="92">
        <v>18.82</v>
      </c>
    </row>
    <row r="7042" ht="23.85" customHeight="1" spans="3:13">
      <c r="C7042" s="100" t="s">
        <v>2893</v>
      </c>
      <c r="D7042" s="99" t="s">
        <v>4896</v>
      </c>
      <c r="E7042" s="100" t="s">
        <v>149</v>
      </c>
      <c r="F7042" s="100" t="s">
        <v>4897</v>
      </c>
      <c r="G7042" s="100" t="s">
        <v>2961</v>
      </c>
      <c r="H7042" s="100"/>
      <c r="I7042" s="101" t="s">
        <v>204</v>
      </c>
      <c r="J7042" s="580">
        <v>1.05</v>
      </c>
      <c r="K7042" s="580">
        <v>0</v>
      </c>
      <c r="L7042" s="102">
        <v>46.76</v>
      </c>
      <c r="M7042" s="102">
        <v>49.09</v>
      </c>
    </row>
    <row r="7043" ht="25.5" spans="3:13">
      <c r="C7043" s="108"/>
      <c r="D7043" s="108"/>
      <c r="E7043" s="108"/>
      <c r="F7043" s="108"/>
      <c r="G7043" s="108"/>
      <c r="H7043" s="108" t="s">
        <v>2898</v>
      </c>
      <c r="I7043" s="581">
        <v>23.44</v>
      </c>
      <c r="J7043" s="108" t="s">
        <v>2899</v>
      </c>
      <c r="K7043" s="581">
        <v>0</v>
      </c>
      <c r="L7043" s="108" t="s">
        <v>2900</v>
      </c>
      <c r="M7043" s="581">
        <v>23.44</v>
      </c>
    </row>
    <row r="7044" ht="26.25" spans="3:13">
      <c r="C7044" s="108"/>
      <c r="D7044" s="108"/>
      <c r="E7044" s="108"/>
      <c r="F7044" s="108"/>
      <c r="G7044" s="108"/>
      <c r="H7044" s="108" t="s">
        <v>2901</v>
      </c>
      <c r="I7044" s="581">
        <v>20.39</v>
      </c>
      <c r="J7044" s="114"/>
      <c r="K7044" s="114" t="s">
        <v>2902</v>
      </c>
      <c r="L7044" s="108"/>
      <c r="M7044" s="581">
        <v>100.42</v>
      </c>
    </row>
    <row r="7045" ht="15" spans="3:13">
      <c r="C7045" s="571"/>
      <c r="D7045" s="571"/>
      <c r="E7045" s="571"/>
      <c r="F7045" s="571"/>
      <c r="G7045" s="571"/>
      <c r="H7045" s="571"/>
      <c r="I7045" s="571"/>
      <c r="J7045" s="571"/>
      <c r="K7045" s="571"/>
      <c r="L7045" s="571"/>
      <c r="M7045" s="571"/>
    </row>
    <row r="7046" ht="15" customHeight="1" spans="3:13">
      <c r="C7046" s="76" t="s">
        <v>2426</v>
      </c>
      <c r="D7046" s="75" t="s">
        <v>63</v>
      </c>
      <c r="E7046" s="76" t="s">
        <v>64</v>
      </c>
      <c r="F7046" s="76" t="s">
        <v>65</v>
      </c>
      <c r="G7046" s="76" t="s">
        <v>2889</v>
      </c>
      <c r="H7046" s="76"/>
      <c r="I7046" s="77" t="s">
        <v>66</v>
      </c>
      <c r="J7046" s="75" t="s">
        <v>67</v>
      </c>
      <c r="K7046" s="75" t="s">
        <v>2890</v>
      </c>
      <c r="L7046" s="75" t="s">
        <v>68</v>
      </c>
      <c r="M7046" s="75" t="s">
        <v>70</v>
      </c>
    </row>
    <row r="7047" ht="51" spans="3:13">
      <c r="C7047" s="569" t="s">
        <v>2891</v>
      </c>
      <c r="D7047" s="570" t="s">
        <v>2427</v>
      </c>
      <c r="E7047" s="569" t="s">
        <v>132</v>
      </c>
      <c r="F7047" s="569" t="s">
        <v>2428</v>
      </c>
      <c r="G7047" s="569">
        <v>70</v>
      </c>
      <c r="H7047" s="569"/>
      <c r="I7047" s="577" t="s">
        <v>204</v>
      </c>
      <c r="J7047" s="578">
        <v>1</v>
      </c>
      <c r="K7047" s="579"/>
      <c r="L7047" s="579">
        <v>30.94</v>
      </c>
      <c r="M7047" s="579">
        <v>30.94</v>
      </c>
    </row>
    <row r="7048" ht="23.85" customHeight="1" spans="3:13">
      <c r="C7048" s="79" t="s">
        <v>2921</v>
      </c>
      <c r="D7048" s="78" t="s">
        <v>4721</v>
      </c>
      <c r="E7048" s="79" t="s">
        <v>139</v>
      </c>
      <c r="F7048" s="79" t="s">
        <v>4722</v>
      </c>
      <c r="G7048" s="79" t="s">
        <v>2928</v>
      </c>
      <c r="H7048" s="79"/>
      <c r="I7048" s="80" t="s">
        <v>2897</v>
      </c>
      <c r="J7048" s="583">
        <v>0.4</v>
      </c>
      <c r="K7048" s="583">
        <v>0</v>
      </c>
      <c r="L7048" s="92">
        <v>47.06</v>
      </c>
      <c r="M7048" s="92">
        <v>18.82</v>
      </c>
    </row>
    <row r="7049" ht="23.85" customHeight="1" spans="3:13">
      <c r="C7049" s="79" t="s">
        <v>2921</v>
      </c>
      <c r="D7049" s="78" t="s">
        <v>3487</v>
      </c>
      <c r="E7049" s="79" t="s">
        <v>139</v>
      </c>
      <c r="F7049" s="79" t="s">
        <v>3488</v>
      </c>
      <c r="G7049" s="79" t="s">
        <v>2928</v>
      </c>
      <c r="H7049" s="79"/>
      <c r="I7049" s="80" t="s">
        <v>2897</v>
      </c>
      <c r="J7049" s="583">
        <v>0.4</v>
      </c>
      <c r="K7049" s="583">
        <v>0</v>
      </c>
      <c r="L7049" s="92">
        <v>30.31</v>
      </c>
      <c r="M7049" s="92">
        <v>12.12</v>
      </c>
    </row>
    <row r="7050" ht="25.5" spans="3:13">
      <c r="C7050" s="108"/>
      <c r="D7050" s="108"/>
      <c r="E7050" s="108"/>
      <c r="F7050" s="108"/>
      <c r="G7050" s="108"/>
      <c r="H7050" s="108" t="s">
        <v>2898</v>
      </c>
      <c r="I7050" s="581">
        <v>23.44</v>
      </c>
      <c r="J7050" s="108" t="s">
        <v>2899</v>
      </c>
      <c r="K7050" s="581">
        <v>0</v>
      </c>
      <c r="L7050" s="108" t="s">
        <v>2900</v>
      </c>
      <c r="M7050" s="581">
        <v>23.44</v>
      </c>
    </row>
    <row r="7051" ht="26.25" spans="3:13">
      <c r="C7051" s="108"/>
      <c r="D7051" s="108"/>
      <c r="E7051" s="108"/>
      <c r="F7051" s="108"/>
      <c r="G7051" s="108"/>
      <c r="H7051" s="108" t="s">
        <v>2901</v>
      </c>
      <c r="I7051" s="581">
        <v>7.88</v>
      </c>
      <c r="J7051" s="114"/>
      <c r="K7051" s="114" t="s">
        <v>2902</v>
      </c>
      <c r="L7051" s="108"/>
      <c r="M7051" s="581">
        <v>38.82</v>
      </c>
    </row>
    <row r="7052" ht="15" spans="3:13">
      <c r="C7052" s="571"/>
      <c r="D7052" s="571"/>
      <c r="E7052" s="571"/>
      <c r="F7052" s="571"/>
      <c r="G7052" s="571"/>
      <c r="H7052" s="571"/>
      <c r="I7052" s="571"/>
      <c r="J7052" s="571"/>
      <c r="K7052" s="571"/>
      <c r="L7052" s="571"/>
      <c r="M7052" s="571"/>
    </row>
    <row r="7053" ht="15" customHeight="1" spans="3:13">
      <c r="C7053" s="76" t="s">
        <v>2429</v>
      </c>
      <c r="D7053" s="75" t="s">
        <v>63</v>
      </c>
      <c r="E7053" s="76" t="s">
        <v>64</v>
      </c>
      <c r="F7053" s="76" t="s">
        <v>65</v>
      </c>
      <c r="G7053" s="76" t="s">
        <v>2889</v>
      </c>
      <c r="H7053" s="76"/>
      <c r="I7053" s="77" t="s">
        <v>66</v>
      </c>
      <c r="J7053" s="75" t="s">
        <v>67</v>
      </c>
      <c r="K7053" s="75" t="s">
        <v>2890</v>
      </c>
      <c r="L7053" s="75" t="s">
        <v>68</v>
      </c>
      <c r="M7053" s="75" t="s">
        <v>70</v>
      </c>
    </row>
    <row r="7054" ht="51" spans="3:13">
      <c r="C7054" s="569" t="s">
        <v>2891</v>
      </c>
      <c r="D7054" s="570" t="s">
        <v>2430</v>
      </c>
      <c r="E7054" s="569" t="s">
        <v>132</v>
      </c>
      <c r="F7054" s="569" t="s">
        <v>2431</v>
      </c>
      <c r="G7054" s="569">
        <v>70</v>
      </c>
      <c r="H7054" s="569"/>
      <c r="I7054" s="577" t="s">
        <v>204</v>
      </c>
      <c r="J7054" s="578">
        <v>1</v>
      </c>
      <c r="K7054" s="579"/>
      <c r="L7054" s="579">
        <v>30.94</v>
      </c>
      <c r="M7054" s="579">
        <v>30.94</v>
      </c>
    </row>
    <row r="7055" ht="23.85" customHeight="1" spans="3:13">
      <c r="C7055" s="79" t="s">
        <v>2921</v>
      </c>
      <c r="D7055" s="78" t="s">
        <v>4721</v>
      </c>
      <c r="E7055" s="79" t="s">
        <v>139</v>
      </c>
      <c r="F7055" s="79" t="s">
        <v>4722</v>
      </c>
      <c r="G7055" s="79" t="s">
        <v>2928</v>
      </c>
      <c r="H7055" s="79"/>
      <c r="I7055" s="80" t="s">
        <v>2897</v>
      </c>
      <c r="J7055" s="583">
        <v>0.4</v>
      </c>
      <c r="K7055" s="583">
        <v>0</v>
      </c>
      <c r="L7055" s="92">
        <v>47.06</v>
      </c>
      <c r="M7055" s="92">
        <v>18.82</v>
      </c>
    </row>
    <row r="7056" ht="23.85" customHeight="1" spans="3:13">
      <c r="C7056" s="79" t="s">
        <v>2921</v>
      </c>
      <c r="D7056" s="78" t="s">
        <v>3487</v>
      </c>
      <c r="E7056" s="79" t="s">
        <v>139</v>
      </c>
      <c r="F7056" s="79" t="s">
        <v>3488</v>
      </c>
      <c r="G7056" s="79" t="s">
        <v>2928</v>
      </c>
      <c r="H7056" s="79"/>
      <c r="I7056" s="80" t="s">
        <v>2897</v>
      </c>
      <c r="J7056" s="583">
        <v>0.4</v>
      </c>
      <c r="K7056" s="583">
        <v>0</v>
      </c>
      <c r="L7056" s="92">
        <v>30.31</v>
      </c>
      <c r="M7056" s="92">
        <v>12.12</v>
      </c>
    </row>
    <row r="7057" ht="25.5" spans="3:13">
      <c r="C7057" s="108"/>
      <c r="D7057" s="108"/>
      <c r="E7057" s="108"/>
      <c r="F7057" s="108"/>
      <c r="G7057" s="108"/>
      <c r="H7057" s="108" t="s">
        <v>2898</v>
      </c>
      <c r="I7057" s="581">
        <v>23.44</v>
      </c>
      <c r="J7057" s="108" t="s">
        <v>2899</v>
      </c>
      <c r="K7057" s="581">
        <v>0</v>
      </c>
      <c r="L7057" s="108" t="s">
        <v>2900</v>
      </c>
      <c r="M7057" s="581">
        <v>23.44</v>
      </c>
    </row>
    <row r="7058" ht="26.25" spans="3:13">
      <c r="C7058" s="108"/>
      <c r="D7058" s="108"/>
      <c r="E7058" s="108"/>
      <c r="F7058" s="108"/>
      <c r="G7058" s="108"/>
      <c r="H7058" s="108" t="s">
        <v>2901</v>
      </c>
      <c r="I7058" s="581">
        <v>7.88</v>
      </c>
      <c r="J7058" s="114"/>
      <c r="K7058" s="114" t="s">
        <v>2902</v>
      </c>
      <c r="L7058" s="108"/>
      <c r="M7058" s="581">
        <v>38.82</v>
      </c>
    </row>
    <row r="7059" ht="15" spans="3:13">
      <c r="C7059" s="571"/>
      <c r="D7059" s="571"/>
      <c r="E7059" s="571"/>
      <c r="F7059" s="571"/>
      <c r="G7059" s="571"/>
      <c r="H7059" s="571"/>
      <c r="I7059" s="571"/>
      <c r="J7059" s="571"/>
      <c r="K7059" s="571"/>
      <c r="L7059" s="571"/>
      <c r="M7059" s="571"/>
    </row>
    <row r="7060" ht="15" customHeight="1" spans="3:13">
      <c r="C7060" s="76" t="s">
        <v>2432</v>
      </c>
      <c r="D7060" s="75" t="s">
        <v>63</v>
      </c>
      <c r="E7060" s="76" t="s">
        <v>64</v>
      </c>
      <c r="F7060" s="76" t="s">
        <v>65</v>
      </c>
      <c r="G7060" s="76" t="s">
        <v>2889</v>
      </c>
      <c r="H7060" s="76"/>
      <c r="I7060" s="77" t="s">
        <v>66</v>
      </c>
      <c r="J7060" s="75" t="s">
        <v>67</v>
      </c>
      <c r="K7060" s="75" t="s">
        <v>2890</v>
      </c>
      <c r="L7060" s="75" t="s">
        <v>68</v>
      </c>
      <c r="M7060" s="75" t="s">
        <v>70</v>
      </c>
    </row>
    <row r="7061" ht="38.25" spans="3:13">
      <c r="C7061" s="569" t="s">
        <v>2891</v>
      </c>
      <c r="D7061" s="570" t="s">
        <v>2433</v>
      </c>
      <c r="E7061" s="569" t="s">
        <v>132</v>
      </c>
      <c r="F7061" s="569" t="s">
        <v>2434</v>
      </c>
      <c r="G7061" s="569">
        <v>70</v>
      </c>
      <c r="H7061" s="569"/>
      <c r="I7061" s="577" t="s">
        <v>204</v>
      </c>
      <c r="J7061" s="578">
        <v>1</v>
      </c>
      <c r="K7061" s="579"/>
      <c r="L7061" s="579">
        <v>30.94</v>
      </c>
      <c r="M7061" s="579">
        <v>30.94</v>
      </c>
    </row>
    <row r="7062" ht="23.85" customHeight="1" spans="3:13">
      <c r="C7062" s="79" t="s">
        <v>2921</v>
      </c>
      <c r="D7062" s="78" t="s">
        <v>4721</v>
      </c>
      <c r="E7062" s="79" t="s">
        <v>139</v>
      </c>
      <c r="F7062" s="79" t="s">
        <v>4722</v>
      </c>
      <c r="G7062" s="79" t="s">
        <v>2928</v>
      </c>
      <c r="H7062" s="79"/>
      <c r="I7062" s="80" t="s">
        <v>2897</v>
      </c>
      <c r="J7062" s="583">
        <v>0.4</v>
      </c>
      <c r="K7062" s="583">
        <v>0</v>
      </c>
      <c r="L7062" s="92">
        <v>47.06</v>
      </c>
      <c r="M7062" s="92">
        <v>18.82</v>
      </c>
    </row>
    <row r="7063" ht="23.85" customHeight="1" spans="3:13">
      <c r="C7063" s="79" t="s">
        <v>2921</v>
      </c>
      <c r="D7063" s="78" t="s">
        <v>3487</v>
      </c>
      <c r="E7063" s="79" t="s">
        <v>139</v>
      </c>
      <c r="F7063" s="79" t="s">
        <v>3488</v>
      </c>
      <c r="G7063" s="79" t="s">
        <v>2928</v>
      </c>
      <c r="H7063" s="79"/>
      <c r="I7063" s="80" t="s">
        <v>2897</v>
      </c>
      <c r="J7063" s="583">
        <v>0.4</v>
      </c>
      <c r="K7063" s="583">
        <v>0</v>
      </c>
      <c r="L7063" s="92">
        <v>30.31</v>
      </c>
      <c r="M7063" s="92">
        <v>12.12</v>
      </c>
    </row>
    <row r="7064" ht="25.5" spans="3:13">
      <c r="C7064" s="108"/>
      <c r="D7064" s="108"/>
      <c r="E7064" s="108"/>
      <c r="F7064" s="108"/>
      <c r="G7064" s="108"/>
      <c r="H7064" s="108" t="s">
        <v>2898</v>
      </c>
      <c r="I7064" s="581">
        <v>23.44</v>
      </c>
      <c r="J7064" s="108" t="s">
        <v>2899</v>
      </c>
      <c r="K7064" s="581">
        <v>0</v>
      </c>
      <c r="L7064" s="108" t="s">
        <v>2900</v>
      </c>
      <c r="M7064" s="581">
        <v>23.44</v>
      </c>
    </row>
    <row r="7065" ht="26.25" spans="3:13">
      <c r="C7065" s="108"/>
      <c r="D7065" s="108"/>
      <c r="E7065" s="108"/>
      <c r="F7065" s="108"/>
      <c r="G7065" s="108"/>
      <c r="H7065" s="108" t="s">
        <v>2901</v>
      </c>
      <c r="I7065" s="581">
        <v>7.88</v>
      </c>
      <c r="J7065" s="114"/>
      <c r="K7065" s="114" t="s">
        <v>2902</v>
      </c>
      <c r="L7065" s="108"/>
      <c r="M7065" s="581">
        <v>38.82</v>
      </c>
    </row>
    <row r="7066" ht="15" spans="3:13">
      <c r="C7066" s="571"/>
      <c r="D7066" s="571"/>
      <c r="E7066" s="571"/>
      <c r="F7066" s="571"/>
      <c r="G7066" s="571"/>
      <c r="H7066" s="571"/>
      <c r="I7066" s="571"/>
      <c r="J7066" s="571"/>
      <c r="K7066" s="571"/>
      <c r="L7066" s="571"/>
      <c r="M7066" s="571"/>
    </row>
    <row r="7067" ht="15" customHeight="1" spans="3:13">
      <c r="C7067" s="76" t="s">
        <v>2435</v>
      </c>
      <c r="D7067" s="75" t="s">
        <v>63</v>
      </c>
      <c r="E7067" s="76" t="s">
        <v>64</v>
      </c>
      <c r="F7067" s="76" t="s">
        <v>65</v>
      </c>
      <c r="G7067" s="76" t="s">
        <v>2889</v>
      </c>
      <c r="H7067" s="76"/>
      <c r="I7067" s="77" t="s">
        <v>66</v>
      </c>
      <c r="J7067" s="75" t="s">
        <v>67</v>
      </c>
      <c r="K7067" s="75" t="s">
        <v>2890</v>
      </c>
      <c r="L7067" s="75" t="s">
        <v>68</v>
      </c>
      <c r="M7067" s="75" t="s">
        <v>70</v>
      </c>
    </row>
    <row r="7068" ht="38.25" spans="3:13">
      <c r="C7068" s="569" t="s">
        <v>2891</v>
      </c>
      <c r="D7068" s="570" t="s">
        <v>2436</v>
      </c>
      <c r="E7068" s="569" t="s">
        <v>132</v>
      </c>
      <c r="F7068" s="569" t="s">
        <v>2437</v>
      </c>
      <c r="G7068" s="569">
        <v>70</v>
      </c>
      <c r="H7068" s="569"/>
      <c r="I7068" s="577" t="s">
        <v>204</v>
      </c>
      <c r="J7068" s="578">
        <v>1</v>
      </c>
      <c r="K7068" s="579"/>
      <c r="L7068" s="579">
        <v>30.94</v>
      </c>
      <c r="M7068" s="579">
        <v>30.94</v>
      </c>
    </row>
    <row r="7069" ht="23.85" customHeight="1" spans="3:13">
      <c r="C7069" s="79" t="s">
        <v>2921</v>
      </c>
      <c r="D7069" s="78" t="s">
        <v>4721</v>
      </c>
      <c r="E7069" s="79" t="s">
        <v>139</v>
      </c>
      <c r="F7069" s="79" t="s">
        <v>4722</v>
      </c>
      <c r="G7069" s="79" t="s">
        <v>2928</v>
      </c>
      <c r="H7069" s="79"/>
      <c r="I7069" s="80" t="s">
        <v>2897</v>
      </c>
      <c r="J7069" s="583">
        <v>0.4</v>
      </c>
      <c r="K7069" s="583">
        <v>0</v>
      </c>
      <c r="L7069" s="92">
        <v>47.06</v>
      </c>
      <c r="M7069" s="92">
        <v>18.82</v>
      </c>
    </row>
    <row r="7070" ht="23.85" customHeight="1" spans="3:13">
      <c r="C7070" s="79" t="s">
        <v>2921</v>
      </c>
      <c r="D7070" s="78" t="s">
        <v>3487</v>
      </c>
      <c r="E7070" s="79" t="s">
        <v>139</v>
      </c>
      <c r="F7070" s="79" t="s">
        <v>3488</v>
      </c>
      <c r="G7070" s="79" t="s">
        <v>2928</v>
      </c>
      <c r="H7070" s="79"/>
      <c r="I7070" s="80" t="s">
        <v>2897</v>
      </c>
      <c r="J7070" s="583">
        <v>0.4</v>
      </c>
      <c r="K7070" s="583">
        <v>0</v>
      </c>
      <c r="L7070" s="92">
        <v>30.31</v>
      </c>
      <c r="M7070" s="92">
        <v>12.12</v>
      </c>
    </row>
    <row r="7071" ht="25.5" spans="3:13">
      <c r="C7071" s="108"/>
      <c r="D7071" s="108"/>
      <c r="E7071" s="108"/>
      <c r="F7071" s="108"/>
      <c r="G7071" s="108"/>
      <c r="H7071" s="108" t="s">
        <v>2898</v>
      </c>
      <c r="I7071" s="581">
        <v>23.44</v>
      </c>
      <c r="J7071" s="108" t="s">
        <v>2899</v>
      </c>
      <c r="K7071" s="581">
        <v>0</v>
      </c>
      <c r="L7071" s="108" t="s">
        <v>2900</v>
      </c>
      <c r="M7071" s="581">
        <v>23.44</v>
      </c>
    </row>
    <row r="7072" ht="26.25" spans="3:13">
      <c r="C7072" s="108"/>
      <c r="D7072" s="108"/>
      <c r="E7072" s="108"/>
      <c r="F7072" s="108"/>
      <c r="G7072" s="108"/>
      <c r="H7072" s="108" t="s">
        <v>2901</v>
      </c>
      <c r="I7072" s="581">
        <v>7.88</v>
      </c>
      <c r="J7072" s="114"/>
      <c r="K7072" s="114" t="s">
        <v>2902</v>
      </c>
      <c r="L7072" s="108"/>
      <c r="M7072" s="581">
        <v>38.82</v>
      </c>
    </row>
    <row r="7073" ht="15" spans="3:13">
      <c r="C7073" s="571"/>
      <c r="D7073" s="571"/>
      <c r="E7073" s="571"/>
      <c r="F7073" s="571"/>
      <c r="G7073" s="571"/>
      <c r="H7073" s="571"/>
      <c r="I7073" s="571"/>
      <c r="J7073" s="571"/>
      <c r="K7073" s="571"/>
      <c r="L7073" s="571"/>
      <c r="M7073" s="571"/>
    </row>
    <row r="7074" ht="15" customHeight="1" spans="3:13">
      <c r="C7074" s="76" t="s">
        <v>2438</v>
      </c>
      <c r="D7074" s="75" t="s">
        <v>63</v>
      </c>
      <c r="E7074" s="76" t="s">
        <v>64</v>
      </c>
      <c r="F7074" s="76" t="s">
        <v>65</v>
      </c>
      <c r="G7074" s="76" t="s">
        <v>2889</v>
      </c>
      <c r="H7074" s="76"/>
      <c r="I7074" s="77" t="s">
        <v>66</v>
      </c>
      <c r="J7074" s="75" t="s">
        <v>67</v>
      </c>
      <c r="K7074" s="75" t="s">
        <v>2890</v>
      </c>
      <c r="L7074" s="75" t="s">
        <v>68</v>
      </c>
      <c r="M7074" s="75" t="s">
        <v>70</v>
      </c>
    </row>
    <row r="7075" ht="23.85" customHeight="1" spans="3:13">
      <c r="C7075" s="569" t="s">
        <v>2891</v>
      </c>
      <c r="D7075" s="570" t="s">
        <v>2439</v>
      </c>
      <c r="E7075" s="569" t="s">
        <v>149</v>
      </c>
      <c r="F7075" s="569" t="s">
        <v>2440</v>
      </c>
      <c r="G7075" s="569" t="s">
        <v>4599</v>
      </c>
      <c r="H7075" s="569"/>
      <c r="I7075" s="577" t="s">
        <v>204</v>
      </c>
      <c r="J7075" s="578">
        <v>1</v>
      </c>
      <c r="K7075" s="579"/>
      <c r="L7075" s="579">
        <v>59.64</v>
      </c>
      <c r="M7075" s="579">
        <v>59.64</v>
      </c>
    </row>
    <row r="7076" ht="15" customHeight="1" spans="3:13">
      <c r="C7076" s="100" t="s">
        <v>2893</v>
      </c>
      <c r="D7076" s="99" t="s">
        <v>4898</v>
      </c>
      <c r="E7076" s="100" t="s">
        <v>149</v>
      </c>
      <c r="F7076" s="100" t="s">
        <v>4899</v>
      </c>
      <c r="G7076" s="100" t="s">
        <v>2961</v>
      </c>
      <c r="H7076" s="100"/>
      <c r="I7076" s="101" t="s">
        <v>204</v>
      </c>
      <c r="J7076" s="580">
        <v>1.05</v>
      </c>
      <c r="K7076" s="580">
        <v>0</v>
      </c>
      <c r="L7076" s="102">
        <v>37.96</v>
      </c>
      <c r="M7076" s="102">
        <v>39.85</v>
      </c>
    </row>
    <row r="7077" ht="15" customHeight="1" spans="3:13">
      <c r="C7077" s="100" t="s">
        <v>2893</v>
      </c>
      <c r="D7077" s="99" t="s">
        <v>4870</v>
      </c>
      <c r="E7077" s="100" t="s">
        <v>149</v>
      </c>
      <c r="F7077" s="100" t="s">
        <v>4871</v>
      </c>
      <c r="G7077" s="100" t="s">
        <v>2896</v>
      </c>
      <c r="H7077" s="100"/>
      <c r="I7077" s="101" t="s">
        <v>2897</v>
      </c>
      <c r="J7077" s="580">
        <v>0.4</v>
      </c>
      <c r="K7077" s="580">
        <v>0</v>
      </c>
      <c r="L7077" s="102">
        <v>20.515752</v>
      </c>
      <c r="M7077" s="102">
        <v>8.2</v>
      </c>
    </row>
    <row r="7078" ht="15" customHeight="1" spans="3:13">
      <c r="C7078" s="100" t="s">
        <v>2893</v>
      </c>
      <c r="D7078" s="99" t="s">
        <v>4868</v>
      </c>
      <c r="E7078" s="100" t="s">
        <v>149</v>
      </c>
      <c r="F7078" s="100" t="s">
        <v>4869</v>
      </c>
      <c r="G7078" s="100" t="s">
        <v>2896</v>
      </c>
      <c r="H7078" s="100"/>
      <c r="I7078" s="101" t="s">
        <v>2897</v>
      </c>
      <c r="J7078" s="580">
        <v>0.4</v>
      </c>
      <c r="K7078" s="580">
        <v>0</v>
      </c>
      <c r="L7078" s="102">
        <v>28.994744</v>
      </c>
      <c r="M7078" s="102">
        <v>11.59</v>
      </c>
    </row>
    <row r="7079" ht="25.5" spans="3:13">
      <c r="C7079" s="108"/>
      <c r="D7079" s="108"/>
      <c r="E7079" s="108"/>
      <c r="F7079" s="108"/>
      <c r="G7079" s="108"/>
      <c r="H7079" s="108" t="s">
        <v>2898</v>
      </c>
      <c r="I7079" s="581">
        <v>19.79</v>
      </c>
      <c r="J7079" s="108" t="s">
        <v>2899</v>
      </c>
      <c r="K7079" s="581">
        <v>0</v>
      </c>
      <c r="L7079" s="108" t="s">
        <v>2900</v>
      </c>
      <c r="M7079" s="581">
        <v>19.79</v>
      </c>
    </row>
    <row r="7080" ht="26.25" spans="3:13">
      <c r="C7080" s="108"/>
      <c r="D7080" s="108"/>
      <c r="E7080" s="108"/>
      <c r="F7080" s="108"/>
      <c r="G7080" s="108"/>
      <c r="H7080" s="108" t="s">
        <v>2901</v>
      </c>
      <c r="I7080" s="581">
        <v>15.2</v>
      </c>
      <c r="J7080" s="114"/>
      <c r="K7080" s="114" t="s">
        <v>2902</v>
      </c>
      <c r="L7080" s="108"/>
      <c r="M7080" s="581">
        <v>74.84</v>
      </c>
    </row>
    <row r="7081" ht="15" spans="3:13">
      <c r="C7081" s="571"/>
      <c r="D7081" s="571"/>
      <c r="E7081" s="571"/>
      <c r="F7081" s="571"/>
      <c r="G7081" s="571"/>
      <c r="H7081" s="571"/>
      <c r="I7081" s="571"/>
      <c r="J7081" s="571"/>
      <c r="K7081" s="571"/>
      <c r="L7081" s="571"/>
      <c r="M7081" s="571"/>
    </row>
    <row r="7082" ht="15" customHeight="1" spans="3:13">
      <c r="C7082" s="76" t="s">
        <v>2441</v>
      </c>
      <c r="D7082" s="75" t="s">
        <v>63</v>
      </c>
      <c r="E7082" s="76" t="s">
        <v>64</v>
      </c>
      <c r="F7082" s="76" t="s">
        <v>65</v>
      </c>
      <c r="G7082" s="76" t="s">
        <v>2889</v>
      </c>
      <c r="H7082" s="76"/>
      <c r="I7082" s="77" t="s">
        <v>66</v>
      </c>
      <c r="J7082" s="75" t="s">
        <v>67</v>
      </c>
      <c r="K7082" s="75" t="s">
        <v>2890</v>
      </c>
      <c r="L7082" s="75" t="s">
        <v>68</v>
      </c>
      <c r="M7082" s="75" t="s">
        <v>70</v>
      </c>
    </row>
    <row r="7083" ht="23.85" customHeight="1" spans="3:13">
      <c r="C7083" s="569" t="s">
        <v>2891</v>
      </c>
      <c r="D7083" s="570" t="s">
        <v>2442</v>
      </c>
      <c r="E7083" s="569" t="s">
        <v>149</v>
      </c>
      <c r="F7083" s="569" t="s">
        <v>2443</v>
      </c>
      <c r="G7083" s="569" t="s">
        <v>4599</v>
      </c>
      <c r="H7083" s="569"/>
      <c r="I7083" s="577" t="s">
        <v>204</v>
      </c>
      <c r="J7083" s="578">
        <v>1</v>
      </c>
      <c r="K7083" s="579"/>
      <c r="L7083" s="579">
        <v>55.95</v>
      </c>
      <c r="M7083" s="579">
        <v>55.95</v>
      </c>
    </row>
    <row r="7084" ht="15" customHeight="1" spans="3:13">
      <c r="C7084" s="100" t="s">
        <v>2893</v>
      </c>
      <c r="D7084" s="99" t="s">
        <v>4900</v>
      </c>
      <c r="E7084" s="100" t="s">
        <v>149</v>
      </c>
      <c r="F7084" s="100" t="s">
        <v>4901</v>
      </c>
      <c r="G7084" s="100" t="s">
        <v>2961</v>
      </c>
      <c r="H7084" s="100"/>
      <c r="I7084" s="101" t="s">
        <v>204</v>
      </c>
      <c r="J7084" s="580">
        <v>1.05</v>
      </c>
      <c r="K7084" s="580">
        <v>0</v>
      </c>
      <c r="L7084" s="102">
        <v>34.44</v>
      </c>
      <c r="M7084" s="102">
        <v>36.16</v>
      </c>
    </row>
    <row r="7085" ht="15" customHeight="1" spans="3:13">
      <c r="C7085" s="100" t="s">
        <v>2893</v>
      </c>
      <c r="D7085" s="99" t="s">
        <v>4881</v>
      </c>
      <c r="E7085" s="100" t="s">
        <v>149</v>
      </c>
      <c r="F7085" s="100" t="s">
        <v>4882</v>
      </c>
      <c r="G7085" s="100" t="s">
        <v>2896</v>
      </c>
      <c r="H7085" s="100"/>
      <c r="I7085" s="101" t="s">
        <v>2897</v>
      </c>
      <c r="J7085" s="580">
        <v>0.4</v>
      </c>
      <c r="K7085" s="580">
        <v>0</v>
      </c>
      <c r="L7085" s="102">
        <v>20.515752</v>
      </c>
      <c r="M7085" s="102">
        <v>8.2</v>
      </c>
    </row>
    <row r="7086" ht="15" customHeight="1" spans="3:13">
      <c r="C7086" s="100" t="s">
        <v>2893</v>
      </c>
      <c r="D7086" s="99" t="s">
        <v>4883</v>
      </c>
      <c r="E7086" s="100" t="s">
        <v>149</v>
      </c>
      <c r="F7086" s="100" t="s">
        <v>4884</v>
      </c>
      <c r="G7086" s="100" t="s">
        <v>2896</v>
      </c>
      <c r="H7086" s="100"/>
      <c r="I7086" s="101" t="s">
        <v>2897</v>
      </c>
      <c r="J7086" s="580">
        <v>0.4</v>
      </c>
      <c r="K7086" s="580">
        <v>0</v>
      </c>
      <c r="L7086" s="102">
        <v>28.994744</v>
      </c>
      <c r="M7086" s="102">
        <v>11.59</v>
      </c>
    </row>
    <row r="7087" ht="25.5" spans="3:13">
      <c r="C7087" s="108"/>
      <c r="D7087" s="108"/>
      <c r="E7087" s="108"/>
      <c r="F7087" s="108"/>
      <c r="G7087" s="108"/>
      <c r="H7087" s="108" t="s">
        <v>2898</v>
      </c>
      <c r="I7087" s="581">
        <v>19.79</v>
      </c>
      <c r="J7087" s="108" t="s">
        <v>2899</v>
      </c>
      <c r="K7087" s="581">
        <v>0</v>
      </c>
      <c r="L7087" s="108" t="s">
        <v>2900</v>
      </c>
      <c r="M7087" s="581">
        <v>19.79</v>
      </c>
    </row>
    <row r="7088" ht="26.25" spans="3:13">
      <c r="C7088" s="108"/>
      <c r="D7088" s="108"/>
      <c r="E7088" s="108"/>
      <c r="F7088" s="108"/>
      <c r="G7088" s="108"/>
      <c r="H7088" s="108" t="s">
        <v>2901</v>
      </c>
      <c r="I7088" s="581">
        <v>14.26</v>
      </c>
      <c r="J7088" s="114"/>
      <c r="K7088" s="114" t="s">
        <v>2902</v>
      </c>
      <c r="L7088" s="108"/>
      <c r="M7088" s="581">
        <v>70.21</v>
      </c>
    </row>
    <row r="7089" ht="15" spans="3:13">
      <c r="C7089" s="571"/>
      <c r="D7089" s="571"/>
      <c r="E7089" s="571"/>
      <c r="F7089" s="571"/>
      <c r="G7089" s="571"/>
      <c r="H7089" s="571"/>
      <c r="I7089" s="571"/>
      <c r="J7089" s="571"/>
      <c r="K7089" s="571"/>
      <c r="L7089" s="571"/>
      <c r="M7089" s="571"/>
    </row>
    <row r="7090" ht="15" customHeight="1" spans="3:13">
      <c r="C7090" s="76" t="s">
        <v>2444</v>
      </c>
      <c r="D7090" s="75" t="s">
        <v>63</v>
      </c>
      <c r="E7090" s="76" t="s">
        <v>64</v>
      </c>
      <c r="F7090" s="76" t="s">
        <v>65</v>
      </c>
      <c r="G7090" s="76" t="s">
        <v>2889</v>
      </c>
      <c r="H7090" s="76"/>
      <c r="I7090" s="77" t="s">
        <v>66</v>
      </c>
      <c r="J7090" s="75" t="s">
        <v>67</v>
      </c>
      <c r="K7090" s="75" t="s">
        <v>2890</v>
      </c>
      <c r="L7090" s="75" t="s">
        <v>68</v>
      </c>
      <c r="M7090" s="75" t="s">
        <v>70</v>
      </c>
    </row>
    <row r="7091" ht="38.25" spans="3:13">
      <c r="C7091" s="569" t="s">
        <v>2891</v>
      </c>
      <c r="D7091" s="570" t="s">
        <v>2445</v>
      </c>
      <c r="E7091" s="569" t="s">
        <v>132</v>
      </c>
      <c r="F7091" s="569" t="s">
        <v>2446</v>
      </c>
      <c r="G7091" s="569">
        <v>70</v>
      </c>
      <c r="H7091" s="569"/>
      <c r="I7091" s="577" t="s">
        <v>204</v>
      </c>
      <c r="J7091" s="578">
        <v>1</v>
      </c>
      <c r="K7091" s="579"/>
      <c r="L7091" s="579">
        <v>42.98</v>
      </c>
      <c r="M7091" s="579">
        <v>42.98</v>
      </c>
    </row>
    <row r="7092" ht="23.85" customHeight="1" spans="3:13">
      <c r="C7092" s="79" t="s">
        <v>2921</v>
      </c>
      <c r="D7092" s="78" t="s">
        <v>3487</v>
      </c>
      <c r="E7092" s="79" t="s">
        <v>139</v>
      </c>
      <c r="F7092" s="79" t="s">
        <v>3488</v>
      </c>
      <c r="G7092" s="79" t="s">
        <v>2928</v>
      </c>
      <c r="H7092" s="79"/>
      <c r="I7092" s="80" t="s">
        <v>2897</v>
      </c>
      <c r="J7092" s="583">
        <v>0.4</v>
      </c>
      <c r="K7092" s="583">
        <v>0</v>
      </c>
      <c r="L7092" s="92">
        <v>30.31</v>
      </c>
      <c r="M7092" s="92">
        <v>12.12</v>
      </c>
    </row>
    <row r="7093" ht="23.85" customHeight="1" spans="3:13">
      <c r="C7093" s="79" t="s">
        <v>2921</v>
      </c>
      <c r="D7093" s="78" t="s">
        <v>4721</v>
      </c>
      <c r="E7093" s="79" t="s">
        <v>139</v>
      </c>
      <c r="F7093" s="79" t="s">
        <v>4722</v>
      </c>
      <c r="G7093" s="79" t="s">
        <v>2928</v>
      </c>
      <c r="H7093" s="79"/>
      <c r="I7093" s="80" t="s">
        <v>2897</v>
      </c>
      <c r="J7093" s="583">
        <v>0.4</v>
      </c>
      <c r="K7093" s="583">
        <v>0</v>
      </c>
      <c r="L7093" s="92">
        <v>47.06</v>
      </c>
      <c r="M7093" s="92">
        <v>18.82</v>
      </c>
    </row>
    <row r="7094" ht="15" customHeight="1" spans="3:13">
      <c r="C7094" s="100" t="s">
        <v>2893</v>
      </c>
      <c r="D7094" s="99" t="s">
        <v>4902</v>
      </c>
      <c r="E7094" s="100" t="s">
        <v>149</v>
      </c>
      <c r="F7094" s="100" t="s">
        <v>4903</v>
      </c>
      <c r="G7094" s="100" t="s">
        <v>2961</v>
      </c>
      <c r="H7094" s="100"/>
      <c r="I7094" s="101" t="s">
        <v>204</v>
      </c>
      <c r="J7094" s="580">
        <v>1.05</v>
      </c>
      <c r="K7094" s="580">
        <v>0</v>
      </c>
      <c r="L7094" s="102">
        <v>11.47</v>
      </c>
      <c r="M7094" s="102">
        <v>12.04</v>
      </c>
    </row>
    <row r="7095" ht="25.5" spans="3:13">
      <c r="C7095" s="108"/>
      <c r="D7095" s="108"/>
      <c r="E7095" s="108"/>
      <c r="F7095" s="108"/>
      <c r="G7095" s="108"/>
      <c r="H7095" s="108" t="s">
        <v>2898</v>
      </c>
      <c r="I7095" s="581">
        <v>23.44</v>
      </c>
      <c r="J7095" s="108" t="s">
        <v>2899</v>
      </c>
      <c r="K7095" s="581">
        <v>0</v>
      </c>
      <c r="L7095" s="108" t="s">
        <v>2900</v>
      </c>
      <c r="M7095" s="581">
        <v>23.44</v>
      </c>
    </row>
    <row r="7096" ht="26.25" spans="3:13">
      <c r="C7096" s="108"/>
      <c r="D7096" s="108"/>
      <c r="E7096" s="108"/>
      <c r="F7096" s="108"/>
      <c r="G7096" s="108"/>
      <c r="H7096" s="108" t="s">
        <v>2901</v>
      </c>
      <c r="I7096" s="581">
        <v>10.95</v>
      </c>
      <c r="J7096" s="114"/>
      <c r="K7096" s="114" t="s">
        <v>2902</v>
      </c>
      <c r="L7096" s="108"/>
      <c r="M7096" s="581">
        <v>53.93</v>
      </c>
    </row>
    <row r="7097" ht="15" spans="3:13">
      <c r="C7097" s="571"/>
      <c r="D7097" s="571"/>
      <c r="E7097" s="571"/>
      <c r="F7097" s="571"/>
      <c r="G7097" s="571"/>
      <c r="H7097" s="571"/>
      <c r="I7097" s="571"/>
      <c r="J7097" s="571"/>
      <c r="K7097" s="571"/>
      <c r="L7097" s="571"/>
      <c r="M7097" s="571"/>
    </row>
    <row r="7098" ht="15" customHeight="1" spans="3:13">
      <c r="C7098" s="76" t="s">
        <v>2447</v>
      </c>
      <c r="D7098" s="75" t="s">
        <v>63</v>
      </c>
      <c r="E7098" s="76" t="s">
        <v>64</v>
      </c>
      <c r="F7098" s="76" t="s">
        <v>65</v>
      </c>
      <c r="G7098" s="76" t="s">
        <v>2889</v>
      </c>
      <c r="H7098" s="76"/>
      <c r="I7098" s="77" t="s">
        <v>66</v>
      </c>
      <c r="J7098" s="75" t="s">
        <v>67</v>
      </c>
      <c r="K7098" s="75" t="s">
        <v>2890</v>
      </c>
      <c r="L7098" s="75" t="s">
        <v>68</v>
      </c>
      <c r="M7098" s="75" t="s">
        <v>70</v>
      </c>
    </row>
    <row r="7099" ht="23.85" customHeight="1" spans="3:13">
      <c r="C7099" s="569" t="s">
        <v>2891</v>
      </c>
      <c r="D7099" s="570" t="s">
        <v>2448</v>
      </c>
      <c r="E7099" s="569" t="s">
        <v>149</v>
      </c>
      <c r="F7099" s="569" t="s">
        <v>2449</v>
      </c>
      <c r="G7099" s="569" t="s">
        <v>4599</v>
      </c>
      <c r="H7099" s="569"/>
      <c r="I7099" s="577" t="s">
        <v>141</v>
      </c>
      <c r="J7099" s="578">
        <v>1</v>
      </c>
      <c r="K7099" s="579"/>
      <c r="L7099" s="579">
        <v>101.08</v>
      </c>
      <c r="M7099" s="579">
        <v>101.08</v>
      </c>
    </row>
    <row r="7100" ht="15" customHeight="1" spans="3:13">
      <c r="C7100" s="100" t="s">
        <v>2893</v>
      </c>
      <c r="D7100" s="99" t="s">
        <v>4881</v>
      </c>
      <c r="E7100" s="100" t="s">
        <v>149</v>
      </c>
      <c r="F7100" s="100" t="s">
        <v>4882</v>
      </c>
      <c r="G7100" s="100" t="s">
        <v>2896</v>
      </c>
      <c r="H7100" s="100"/>
      <c r="I7100" s="101" t="s">
        <v>2897</v>
      </c>
      <c r="J7100" s="580">
        <v>1.73</v>
      </c>
      <c r="K7100" s="580">
        <v>0</v>
      </c>
      <c r="L7100" s="102">
        <v>20.515752</v>
      </c>
      <c r="M7100" s="102">
        <v>35.49</v>
      </c>
    </row>
    <row r="7101" ht="15" customHeight="1" spans="3:13">
      <c r="C7101" s="100" t="s">
        <v>2893</v>
      </c>
      <c r="D7101" s="99" t="s">
        <v>4904</v>
      </c>
      <c r="E7101" s="100" t="s">
        <v>149</v>
      </c>
      <c r="F7101" s="100" t="s">
        <v>4905</v>
      </c>
      <c r="G7101" s="100" t="s">
        <v>2961</v>
      </c>
      <c r="H7101" s="100"/>
      <c r="I7101" s="101" t="s">
        <v>141</v>
      </c>
      <c r="J7101" s="580">
        <v>1.1</v>
      </c>
      <c r="K7101" s="580">
        <v>0</v>
      </c>
      <c r="L7101" s="102">
        <v>20.33</v>
      </c>
      <c r="M7101" s="102">
        <v>22.36</v>
      </c>
    </row>
    <row r="7102" ht="15" customHeight="1" spans="3:13">
      <c r="C7102" s="100" t="s">
        <v>2893</v>
      </c>
      <c r="D7102" s="99" t="s">
        <v>4906</v>
      </c>
      <c r="E7102" s="100" t="s">
        <v>149</v>
      </c>
      <c r="F7102" s="100" t="s">
        <v>4907</v>
      </c>
      <c r="G7102" s="100" t="s">
        <v>2896</v>
      </c>
      <c r="H7102" s="100"/>
      <c r="I7102" s="101" t="s">
        <v>2897</v>
      </c>
      <c r="J7102" s="580">
        <v>1.73</v>
      </c>
      <c r="K7102" s="580">
        <v>0</v>
      </c>
      <c r="L7102" s="102">
        <v>24.989592</v>
      </c>
      <c r="M7102" s="102">
        <v>43.23</v>
      </c>
    </row>
    <row r="7103" ht="25.5" spans="3:13">
      <c r="C7103" s="108"/>
      <c r="D7103" s="108"/>
      <c r="E7103" s="108"/>
      <c r="F7103" s="108"/>
      <c r="G7103" s="108"/>
      <c r="H7103" s="108" t="s">
        <v>2898</v>
      </c>
      <c r="I7103" s="581">
        <v>78.72</v>
      </c>
      <c r="J7103" s="108" t="s">
        <v>2899</v>
      </c>
      <c r="K7103" s="581">
        <v>0</v>
      </c>
      <c r="L7103" s="108" t="s">
        <v>2900</v>
      </c>
      <c r="M7103" s="581">
        <v>78.72</v>
      </c>
    </row>
    <row r="7104" ht="26.25" spans="3:13">
      <c r="C7104" s="108"/>
      <c r="D7104" s="108"/>
      <c r="E7104" s="108"/>
      <c r="F7104" s="108"/>
      <c r="G7104" s="108"/>
      <c r="H7104" s="108" t="s">
        <v>2901</v>
      </c>
      <c r="I7104" s="581">
        <v>25.76</v>
      </c>
      <c r="J7104" s="114"/>
      <c r="K7104" s="114" t="s">
        <v>2902</v>
      </c>
      <c r="L7104" s="108"/>
      <c r="M7104" s="581">
        <v>126.84</v>
      </c>
    </row>
    <row r="7105" ht="15" spans="3:13">
      <c r="C7105" s="571"/>
      <c r="D7105" s="571"/>
      <c r="E7105" s="571"/>
      <c r="F7105" s="571"/>
      <c r="G7105" s="571"/>
      <c r="H7105" s="571"/>
      <c r="I7105" s="571"/>
      <c r="J7105" s="571"/>
      <c r="K7105" s="571"/>
      <c r="L7105" s="571"/>
      <c r="M7105" s="571"/>
    </row>
    <row r="7106" ht="15" customHeight="1" spans="3:13">
      <c r="C7106" s="76" t="s">
        <v>2452</v>
      </c>
      <c r="D7106" s="75" t="s">
        <v>63</v>
      </c>
      <c r="E7106" s="76" t="s">
        <v>64</v>
      </c>
      <c r="F7106" s="76" t="s">
        <v>65</v>
      </c>
      <c r="G7106" s="76" t="s">
        <v>2889</v>
      </c>
      <c r="H7106" s="76"/>
      <c r="I7106" s="77" t="s">
        <v>66</v>
      </c>
      <c r="J7106" s="75" t="s">
        <v>67</v>
      </c>
      <c r="K7106" s="75" t="s">
        <v>2890</v>
      </c>
      <c r="L7106" s="75" t="s">
        <v>68</v>
      </c>
      <c r="M7106" s="75" t="s">
        <v>70</v>
      </c>
    </row>
    <row r="7107" ht="35.05" customHeight="1" spans="3:13">
      <c r="C7107" s="569" t="s">
        <v>2891</v>
      </c>
      <c r="D7107" s="570" t="s">
        <v>2453</v>
      </c>
      <c r="E7107" s="569" t="s">
        <v>139</v>
      </c>
      <c r="F7107" s="569" t="s">
        <v>4908</v>
      </c>
      <c r="G7107" s="569" t="s">
        <v>4909</v>
      </c>
      <c r="H7107" s="569"/>
      <c r="I7107" s="577" t="s">
        <v>204</v>
      </c>
      <c r="J7107" s="578">
        <v>1</v>
      </c>
      <c r="K7107" s="579"/>
      <c r="L7107" s="579">
        <v>33.25</v>
      </c>
      <c r="M7107" s="579">
        <v>33.25</v>
      </c>
    </row>
    <row r="7108" ht="35.05" customHeight="1" spans="3:13">
      <c r="C7108" s="79" t="s">
        <v>2921</v>
      </c>
      <c r="D7108" s="78" t="s">
        <v>4910</v>
      </c>
      <c r="E7108" s="79" t="s">
        <v>139</v>
      </c>
      <c r="F7108" s="79" t="s">
        <v>4911</v>
      </c>
      <c r="G7108" s="79" t="s">
        <v>3132</v>
      </c>
      <c r="H7108" s="79"/>
      <c r="I7108" s="80" t="s">
        <v>204</v>
      </c>
      <c r="J7108" s="583">
        <v>1</v>
      </c>
      <c r="K7108" s="583">
        <v>0</v>
      </c>
      <c r="L7108" s="92">
        <v>4.84</v>
      </c>
      <c r="M7108" s="92">
        <v>4.84</v>
      </c>
    </row>
    <row r="7109" ht="35.05" customHeight="1" spans="3:13">
      <c r="C7109" s="79" t="s">
        <v>2921</v>
      </c>
      <c r="D7109" s="78" t="s">
        <v>4912</v>
      </c>
      <c r="E7109" s="79" t="s">
        <v>139</v>
      </c>
      <c r="F7109" s="79" t="s">
        <v>4913</v>
      </c>
      <c r="G7109" s="79" t="s">
        <v>3129</v>
      </c>
      <c r="H7109" s="79"/>
      <c r="I7109" s="80" t="s">
        <v>204</v>
      </c>
      <c r="J7109" s="583">
        <v>1</v>
      </c>
      <c r="K7109" s="583">
        <v>0</v>
      </c>
      <c r="L7109" s="92">
        <v>28.41</v>
      </c>
      <c r="M7109" s="92">
        <v>28.41</v>
      </c>
    </row>
    <row r="7110" ht="25.5" spans="3:13">
      <c r="C7110" s="108"/>
      <c r="D7110" s="108"/>
      <c r="E7110" s="108"/>
      <c r="F7110" s="108"/>
      <c r="G7110" s="108"/>
      <c r="H7110" s="108" t="s">
        <v>2898</v>
      </c>
      <c r="I7110" s="581">
        <v>3.67</v>
      </c>
      <c r="J7110" s="108" t="s">
        <v>2899</v>
      </c>
      <c r="K7110" s="581">
        <v>0</v>
      </c>
      <c r="L7110" s="108" t="s">
        <v>2900</v>
      </c>
      <c r="M7110" s="581">
        <v>3.67</v>
      </c>
    </row>
    <row r="7111" ht="26.25" spans="3:13">
      <c r="C7111" s="108"/>
      <c r="D7111" s="108"/>
      <c r="E7111" s="108"/>
      <c r="F7111" s="108"/>
      <c r="G7111" s="108"/>
      <c r="H7111" s="108" t="s">
        <v>2901</v>
      </c>
      <c r="I7111" s="581">
        <v>8.47</v>
      </c>
      <c r="J7111" s="114"/>
      <c r="K7111" s="114" t="s">
        <v>2902</v>
      </c>
      <c r="L7111" s="108"/>
      <c r="M7111" s="581">
        <v>41.72</v>
      </c>
    </row>
    <row r="7112" ht="15" spans="3:13">
      <c r="C7112" s="571"/>
      <c r="D7112" s="571"/>
      <c r="E7112" s="571"/>
      <c r="F7112" s="571"/>
      <c r="G7112" s="571"/>
      <c r="H7112" s="571"/>
      <c r="I7112" s="571"/>
      <c r="J7112" s="571"/>
      <c r="K7112" s="571"/>
      <c r="L7112" s="571"/>
      <c r="M7112" s="571"/>
    </row>
    <row r="7113" ht="15" customHeight="1" spans="3:13">
      <c r="C7113" s="76" t="s">
        <v>2455</v>
      </c>
      <c r="D7113" s="75" t="s">
        <v>63</v>
      </c>
      <c r="E7113" s="76" t="s">
        <v>64</v>
      </c>
      <c r="F7113" s="76" t="s">
        <v>65</v>
      </c>
      <c r="G7113" s="76" t="s">
        <v>2889</v>
      </c>
      <c r="H7113" s="76"/>
      <c r="I7113" s="77" t="s">
        <v>66</v>
      </c>
      <c r="J7113" s="75" t="s">
        <v>67</v>
      </c>
      <c r="K7113" s="75" t="s">
        <v>2890</v>
      </c>
      <c r="L7113" s="75" t="s">
        <v>68</v>
      </c>
      <c r="M7113" s="75" t="s">
        <v>70</v>
      </c>
    </row>
    <row r="7114" ht="35.05" customHeight="1" spans="3:13">
      <c r="C7114" s="569" t="s">
        <v>2891</v>
      </c>
      <c r="D7114" s="570" t="s">
        <v>2456</v>
      </c>
      <c r="E7114" s="569" t="s">
        <v>139</v>
      </c>
      <c r="F7114" s="569" t="s">
        <v>4914</v>
      </c>
      <c r="G7114" s="569" t="s">
        <v>4909</v>
      </c>
      <c r="H7114" s="569"/>
      <c r="I7114" s="577" t="s">
        <v>204</v>
      </c>
      <c r="J7114" s="578">
        <v>1</v>
      </c>
      <c r="K7114" s="579"/>
      <c r="L7114" s="579">
        <v>52.04</v>
      </c>
      <c r="M7114" s="579">
        <v>52.04</v>
      </c>
    </row>
    <row r="7115" ht="35.05" customHeight="1" spans="3:13">
      <c r="C7115" s="79" t="s">
        <v>2921</v>
      </c>
      <c r="D7115" s="78" t="s">
        <v>4915</v>
      </c>
      <c r="E7115" s="79" t="s">
        <v>139</v>
      </c>
      <c r="F7115" s="79" t="s">
        <v>4916</v>
      </c>
      <c r="G7115" s="79" t="s">
        <v>3129</v>
      </c>
      <c r="H7115" s="79"/>
      <c r="I7115" s="80" t="s">
        <v>204</v>
      </c>
      <c r="J7115" s="583">
        <v>1</v>
      </c>
      <c r="K7115" s="583">
        <v>0</v>
      </c>
      <c r="L7115" s="92">
        <v>47.2</v>
      </c>
      <c r="M7115" s="92">
        <v>47.2</v>
      </c>
    </row>
    <row r="7116" ht="35.05" customHeight="1" spans="3:13">
      <c r="C7116" s="79" t="s">
        <v>2921</v>
      </c>
      <c r="D7116" s="78" t="s">
        <v>4910</v>
      </c>
      <c r="E7116" s="79" t="s">
        <v>139</v>
      </c>
      <c r="F7116" s="79" t="s">
        <v>4911</v>
      </c>
      <c r="G7116" s="79" t="s">
        <v>3132</v>
      </c>
      <c r="H7116" s="79"/>
      <c r="I7116" s="80" t="s">
        <v>204</v>
      </c>
      <c r="J7116" s="583">
        <v>1</v>
      </c>
      <c r="K7116" s="583">
        <v>0</v>
      </c>
      <c r="L7116" s="92">
        <v>4.84</v>
      </c>
      <c r="M7116" s="92">
        <v>4.84</v>
      </c>
    </row>
    <row r="7117" ht="25.5" spans="3:13">
      <c r="C7117" s="108"/>
      <c r="D7117" s="108"/>
      <c r="E7117" s="108"/>
      <c r="F7117" s="108"/>
      <c r="G7117" s="108"/>
      <c r="H7117" s="108" t="s">
        <v>2898</v>
      </c>
      <c r="I7117" s="581">
        <v>4.07</v>
      </c>
      <c r="J7117" s="108" t="s">
        <v>2899</v>
      </c>
      <c r="K7117" s="581">
        <v>0</v>
      </c>
      <c r="L7117" s="108" t="s">
        <v>2900</v>
      </c>
      <c r="M7117" s="581">
        <v>4.07</v>
      </c>
    </row>
    <row r="7118" ht="26.25" spans="3:13">
      <c r="C7118" s="108"/>
      <c r="D7118" s="108"/>
      <c r="E7118" s="108"/>
      <c r="F7118" s="108"/>
      <c r="G7118" s="108"/>
      <c r="H7118" s="108" t="s">
        <v>2901</v>
      </c>
      <c r="I7118" s="581">
        <v>13.26</v>
      </c>
      <c r="J7118" s="114"/>
      <c r="K7118" s="114" t="s">
        <v>2902</v>
      </c>
      <c r="L7118" s="108"/>
      <c r="M7118" s="581">
        <v>65.3</v>
      </c>
    </row>
    <row r="7119" ht="15" spans="3:13">
      <c r="C7119" s="571"/>
      <c r="D7119" s="571"/>
      <c r="E7119" s="571"/>
      <c r="F7119" s="571"/>
      <c r="G7119" s="571"/>
      <c r="H7119" s="571"/>
      <c r="I7119" s="571"/>
      <c r="J7119" s="571"/>
      <c r="K7119" s="571"/>
      <c r="L7119" s="571"/>
      <c r="M7119" s="571"/>
    </row>
    <row r="7120" ht="15" customHeight="1" spans="3:13">
      <c r="C7120" s="76" t="s">
        <v>2458</v>
      </c>
      <c r="D7120" s="75" t="s">
        <v>63</v>
      </c>
      <c r="E7120" s="76" t="s">
        <v>64</v>
      </c>
      <c r="F7120" s="76" t="s">
        <v>65</v>
      </c>
      <c r="G7120" s="76" t="s">
        <v>2889</v>
      </c>
      <c r="H7120" s="76"/>
      <c r="I7120" s="77" t="s">
        <v>66</v>
      </c>
      <c r="J7120" s="75" t="s">
        <v>67</v>
      </c>
      <c r="K7120" s="75" t="s">
        <v>2890</v>
      </c>
      <c r="L7120" s="75" t="s">
        <v>68</v>
      </c>
      <c r="M7120" s="75" t="s">
        <v>70</v>
      </c>
    </row>
    <row r="7121" ht="35.05" customHeight="1" spans="3:13">
      <c r="C7121" s="569" t="s">
        <v>2891</v>
      </c>
      <c r="D7121" s="570" t="s">
        <v>2459</v>
      </c>
      <c r="E7121" s="569" t="s">
        <v>139</v>
      </c>
      <c r="F7121" s="569" t="s">
        <v>4917</v>
      </c>
      <c r="G7121" s="569" t="s">
        <v>4909</v>
      </c>
      <c r="H7121" s="569"/>
      <c r="I7121" s="577" t="s">
        <v>204</v>
      </c>
      <c r="J7121" s="578">
        <v>1</v>
      </c>
      <c r="K7121" s="579"/>
      <c r="L7121" s="579">
        <v>65.3</v>
      </c>
      <c r="M7121" s="579">
        <v>65.3</v>
      </c>
    </row>
    <row r="7122" ht="35.05" customHeight="1" spans="3:13">
      <c r="C7122" s="79" t="s">
        <v>2921</v>
      </c>
      <c r="D7122" s="78" t="s">
        <v>4918</v>
      </c>
      <c r="E7122" s="79" t="s">
        <v>139</v>
      </c>
      <c r="F7122" s="79" t="s">
        <v>4919</v>
      </c>
      <c r="G7122" s="79" t="s">
        <v>3129</v>
      </c>
      <c r="H7122" s="79"/>
      <c r="I7122" s="80" t="s">
        <v>204</v>
      </c>
      <c r="J7122" s="583">
        <v>1</v>
      </c>
      <c r="K7122" s="583">
        <v>0</v>
      </c>
      <c r="L7122" s="92">
        <v>60.46</v>
      </c>
      <c r="M7122" s="92">
        <v>60.46</v>
      </c>
    </row>
    <row r="7123" ht="35.05" customHeight="1" spans="3:13">
      <c r="C7123" s="79" t="s">
        <v>2921</v>
      </c>
      <c r="D7123" s="78" t="s">
        <v>4910</v>
      </c>
      <c r="E7123" s="79" t="s">
        <v>139</v>
      </c>
      <c r="F7123" s="79" t="s">
        <v>4911</v>
      </c>
      <c r="G7123" s="79" t="s">
        <v>3132</v>
      </c>
      <c r="H7123" s="79"/>
      <c r="I7123" s="80" t="s">
        <v>204</v>
      </c>
      <c r="J7123" s="583">
        <v>1</v>
      </c>
      <c r="K7123" s="583">
        <v>0</v>
      </c>
      <c r="L7123" s="92">
        <v>4.84</v>
      </c>
      <c r="M7123" s="92">
        <v>4.84</v>
      </c>
    </row>
    <row r="7124" ht="25.5" spans="3:13">
      <c r="C7124" s="108"/>
      <c r="D7124" s="108"/>
      <c r="E7124" s="108"/>
      <c r="F7124" s="108"/>
      <c r="G7124" s="108"/>
      <c r="H7124" s="108" t="s">
        <v>2898</v>
      </c>
      <c r="I7124" s="581">
        <v>4.47</v>
      </c>
      <c r="J7124" s="108" t="s">
        <v>2899</v>
      </c>
      <c r="K7124" s="581">
        <v>0</v>
      </c>
      <c r="L7124" s="108" t="s">
        <v>2900</v>
      </c>
      <c r="M7124" s="581">
        <v>4.47</v>
      </c>
    </row>
    <row r="7125" ht="26.25" spans="3:13">
      <c r="C7125" s="108"/>
      <c r="D7125" s="108"/>
      <c r="E7125" s="108"/>
      <c r="F7125" s="108"/>
      <c r="G7125" s="108"/>
      <c r="H7125" s="108" t="s">
        <v>2901</v>
      </c>
      <c r="I7125" s="581">
        <v>16.64</v>
      </c>
      <c r="J7125" s="114"/>
      <c r="K7125" s="114" t="s">
        <v>2902</v>
      </c>
      <c r="L7125" s="108"/>
      <c r="M7125" s="581">
        <v>81.94</v>
      </c>
    </row>
    <row r="7126" ht="15" spans="3:13">
      <c r="C7126" s="571"/>
      <c r="D7126" s="571"/>
      <c r="E7126" s="571"/>
      <c r="F7126" s="571"/>
      <c r="G7126" s="571"/>
      <c r="H7126" s="571"/>
      <c r="I7126" s="571"/>
      <c r="J7126" s="571"/>
      <c r="K7126" s="571"/>
      <c r="L7126" s="571"/>
      <c r="M7126" s="571"/>
    </row>
    <row r="7127" ht="15" customHeight="1" spans="3:13">
      <c r="C7127" s="76" t="s">
        <v>2461</v>
      </c>
      <c r="D7127" s="75" t="s">
        <v>63</v>
      </c>
      <c r="E7127" s="76" t="s">
        <v>64</v>
      </c>
      <c r="F7127" s="76" t="s">
        <v>65</v>
      </c>
      <c r="G7127" s="76" t="s">
        <v>2889</v>
      </c>
      <c r="H7127" s="76"/>
      <c r="I7127" s="77" t="s">
        <v>66</v>
      </c>
      <c r="J7127" s="75" t="s">
        <v>67</v>
      </c>
      <c r="K7127" s="75" t="s">
        <v>2890</v>
      </c>
      <c r="L7127" s="75" t="s">
        <v>68</v>
      </c>
      <c r="M7127" s="75" t="s">
        <v>70</v>
      </c>
    </row>
    <row r="7128" ht="35.05" customHeight="1" spans="3:13">
      <c r="C7128" s="569" t="s">
        <v>2891</v>
      </c>
      <c r="D7128" s="570" t="s">
        <v>2462</v>
      </c>
      <c r="E7128" s="569" t="s">
        <v>139</v>
      </c>
      <c r="F7128" s="569" t="s">
        <v>4920</v>
      </c>
      <c r="G7128" s="569" t="s">
        <v>4909</v>
      </c>
      <c r="H7128" s="569"/>
      <c r="I7128" s="577" t="s">
        <v>204</v>
      </c>
      <c r="J7128" s="578">
        <v>1</v>
      </c>
      <c r="K7128" s="579"/>
      <c r="L7128" s="579">
        <v>79.05</v>
      </c>
      <c r="M7128" s="579">
        <v>79.05</v>
      </c>
    </row>
    <row r="7129" ht="35.05" customHeight="1" spans="3:13">
      <c r="C7129" s="79" t="s">
        <v>2921</v>
      </c>
      <c r="D7129" s="78" t="s">
        <v>4921</v>
      </c>
      <c r="E7129" s="79" t="s">
        <v>139</v>
      </c>
      <c r="F7129" s="79" t="s">
        <v>4922</v>
      </c>
      <c r="G7129" s="79" t="s">
        <v>3129</v>
      </c>
      <c r="H7129" s="79"/>
      <c r="I7129" s="80" t="s">
        <v>204</v>
      </c>
      <c r="J7129" s="583">
        <v>1</v>
      </c>
      <c r="K7129" s="583">
        <v>0</v>
      </c>
      <c r="L7129" s="92">
        <v>74.21</v>
      </c>
      <c r="M7129" s="92">
        <v>74.21</v>
      </c>
    </row>
    <row r="7130" ht="35.05" customHeight="1" spans="3:13">
      <c r="C7130" s="79" t="s">
        <v>2921</v>
      </c>
      <c r="D7130" s="78" t="s">
        <v>4910</v>
      </c>
      <c r="E7130" s="79" t="s">
        <v>139</v>
      </c>
      <c r="F7130" s="79" t="s">
        <v>4911</v>
      </c>
      <c r="G7130" s="79" t="s">
        <v>3132</v>
      </c>
      <c r="H7130" s="79"/>
      <c r="I7130" s="80" t="s">
        <v>204</v>
      </c>
      <c r="J7130" s="583">
        <v>1</v>
      </c>
      <c r="K7130" s="583">
        <v>0</v>
      </c>
      <c r="L7130" s="92">
        <v>4.84</v>
      </c>
      <c r="M7130" s="92">
        <v>4.84</v>
      </c>
    </row>
    <row r="7131" ht="25.5" spans="3:13">
      <c r="C7131" s="108"/>
      <c r="D7131" s="108"/>
      <c r="E7131" s="108"/>
      <c r="F7131" s="108"/>
      <c r="G7131" s="108"/>
      <c r="H7131" s="108" t="s">
        <v>2898</v>
      </c>
      <c r="I7131" s="581">
        <v>4.87</v>
      </c>
      <c r="J7131" s="108" t="s">
        <v>2899</v>
      </c>
      <c r="K7131" s="581">
        <v>0</v>
      </c>
      <c r="L7131" s="108" t="s">
        <v>2900</v>
      </c>
      <c r="M7131" s="581">
        <v>4.87</v>
      </c>
    </row>
    <row r="7132" ht="26.25" spans="3:13">
      <c r="C7132" s="108"/>
      <c r="D7132" s="108"/>
      <c r="E7132" s="108"/>
      <c r="F7132" s="108"/>
      <c r="G7132" s="108"/>
      <c r="H7132" s="108" t="s">
        <v>2901</v>
      </c>
      <c r="I7132" s="581">
        <v>20.14</v>
      </c>
      <c r="J7132" s="114"/>
      <c r="K7132" s="114" t="s">
        <v>2902</v>
      </c>
      <c r="L7132" s="108"/>
      <c r="M7132" s="581">
        <v>99.19</v>
      </c>
    </row>
    <row r="7133" ht="15" spans="3:13">
      <c r="C7133" s="571"/>
      <c r="D7133" s="571"/>
      <c r="E7133" s="571"/>
      <c r="F7133" s="571"/>
      <c r="G7133" s="571"/>
      <c r="H7133" s="571"/>
      <c r="I7133" s="571"/>
      <c r="J7133" s="571"/>
      <c r="K7133" s="571"/>
      <c r="L7133" s="571"/>
      <c r="M7133" s="571"/>
    </row>
    <row r="7134" ht="15" customHeight="1" spans="3:13">
      <c r="C7134" s="76" t="s">
        <v>2464</v>
      </c>
      <c r="D7134" s="75" t="s">
        <v>63</v>
      </c>
      <c r="E7134" s="76" t="s">
        <v>64</v>
      </c>
      <c r="F7134" s="76" t="s">
        <v>65</v>
      </c>
      <c r="G7134" s="76" t="s">
        <v>2889</v>
      </c>
      <c r="H7134" s="76"/>
      <c r="I7134" s="77" t="s">
        <v>66</v>
      </c>
      <c r="J7134" s="75" t="s">
        <v>67</v>
      </c>
      <c r="K7134" s="75" t="s">
        <v>2890</v>
      </c>
      <c r="L7134" s="75" t="s">
        <v>68</v>
      </c>
      <c r="M7134" s="75" t="s">
        <v>70</v>
      </c>
    </row>
    <row r="7135" ht="35.05" customHeight="1" spans="3:13">
      <c r="C7135" s="569" t="s">
        <v>2891</v>
      </c>
      <c r="D7135" s="570" t="s">
        <v>2465</v>
      </c>
      <c r="E7135" s="569" t="s">
        <v>132</v>
      </c>
      <c r="F7135" s="569" t="s">
        <v>2466</v>
      </c>
      <c r="G7135" s="569" t="s">
        <v>4227</v>
      </c>
      <c r="H7135" s="569"/>
      <c r="I7135" s="577" t="s">
        <v>204</v>
      </c>
      <c r="J7135" s="578">
        <v>1</v>
      </c>
      <c r="K7135" s="579"/>
      <c r="L7135" s="579">
        <v>113.9</v>
      </c>
      <c r="M7135" s="579">
        <v>113.9</v>
      </c>
    </row>
    <row r="7136" ht="35.05" customHeight="1" spans="3:13">
      <c r="C7136" s="79" t="s">
        <v>2921</v>
      </c>
      <c r="D7136" s="78" t="s">
        <v>4910</v>
      </c>
      <c r="E7136" s="79" t="s">
        <v>139</v>
      </c>
      <c r="F7136" s="79" t="s">
        <v>4911</v>
      </c>
      <c r="G7136" s="79" t="s">
        <v>3132</v>
      </c>
      <c r="H7136" s="79"/>
      <c r="I7136" s="80" t="s">
        <v>204</v>
      </c>
      <c r="J7136" s="583">
        <v>1</v>
      </c>
      <c r="K7136" s="583">
        <v>0</v>
      </c>
      <c r="L7136" s="92">
        <v>4.84</v>
      </c>
      <c r="M7136" s="92">
        <v>4.84</v>
      </c>
    </row>
    <row r="7137" ht="35.05" customHeight="1" spans="3:13">
      <c r="C7137" s="79" t="s">
        <v>2921</v>
      </c>
      <c r="D7137" s="78" t="s">
        <v>4923</v>
      </c>
      <c r="E7137" s="79" t="s">
        <v>132</v>
      </c>
      <c r="F7137" s="79" t="s">
        <v>4924</v>
      </c>
      <c r="G7137" s="79" t="s">
        <v>3129</v>
      </c>
      <c r="H7137" s="79"/>
      <c r="I7137" s="80" t="s">
        <v>204</v>
      </c>
      <c r="J7137" s="583">
        <v>1</v>
      </c>
      <c r="K7137" s="583">
        <v>0</v>
      </c>
      <c r="L7137" s="92">
        <v>109.06</v>
      </c>
      <c r="M7137" s="92">
        <v>109.06</v>
      </c>
    </row>
    <row r="7138" ht="25.5" spans="3:13">
      <c r="C7138" s="108"/>
      <c r="D7138" s="108"/>
      <c r="E7138" s="108"/>
      <c r="F7138" s="108"/>
      <c r="G7138" s="108"/>
      <c r="H7138" s="108" t="s">
        <v>2898</v>
      </c>
      <c r="I7138" s="581">
        <v>5.21</v>
      </c>
      <c r="J7138" s="108" t="s">
        <v>2899</v>
      </c>
      <c r="K7138" s="581">
        <v>0</v>
      </c>
      <c r="L7138" s="108" t="s">
        <v>2900</v>
      </c>
      <c r="M7138" s="581">
        <v>5.21</v>
      </c>
    </row>
    <row r="7139" ht="26.25" spans="3:13">
      <c r="C7139" s="108"/>
      <c r="D7139" s="108"/>
      <c r="E7139" s="108"/>
      <c r="F7139" s="108"/>
      <c r="G7139" s="108"/>
      <c r="H7139" s="108" t="s">
        <v>2901</v>
      </c>
      <c r="I7139" s="581">
        <v>29.03</v>
      </c>
      <c r="J7139" s="114"/>
      <c r="K7139" s="114" t="s">
        <v>2902</v>
      </c>
      <c r="L7139" s="108"/>
      <c r="M7139" s="581">
        <v>142.93</v>
      </c>
    </row>
    <row r="7140" ht="15" spans="3:13">
      <c r="C7140" s="571"/>
      <c r="D7140" s="571"/>
      <c r="E7140" s="571"/>
      <c r="F7140" s="571"/>
      <c r="G7140" s="571"/>
      <c r="H7140" s="571"/>
      <c r="I7140" s="571"/>
      <c r="J7140" s="571"/>
      <c r="K7140" s="571"/>
      <c r="L7140" s="571"/>
      <c r="M7140" s="571"/>
    </row>
    <row r="7141" ht="15" customHeight="1" spans="3:13">
      <c r="C7141" s="76" t="s">
        <v>2467</v>
      </c>
      <c r="D7141" s="75" t="s">
        <v>63</v>
      </c>
      <c r="E7141" s="76" t="s">
        <v>64</v>
      </c>
      <c r="F7141" s="76" t="s">
        <v>65</v>
      </c>
      <c r="G7141" s="76" t="s">
        <v>2889</v>
      </c>
      <c r="H7141" s="76"/>
      <c r="I7141" s="77" t="s">
        <v>66</v>
      </c>
      <c r="J7141" s="75" t="s">
        <v>67</v>
      </c>
      <c r="K7141" s="75" t="s">
        <v>2890</v>
      </c>
      <c r="L7141" s="75" t="s">
        <v>68</v>
      </c>
      <c r="M7141" s="75" t="s">
        <v>70</v>
      </c>
    </row>
    <row r="7142" ht="35.05" customHeight="1" spans="3:13">
      <c r="C7142" s="569" t="s">
        <v>2891</v>
      </c>
      <c r="D7142" s="570" t="s">
        <v>2468</v>
      </c>
      <c r="E7142" s="569" t="s">
        <v>132</v>
      </c>
      <c r="F7142" s="569" t="s">
        <v>2469</v>
      </c>
      <c r="G7142" s="569" t="s">
        <v>4227</v>
      </c>
      <c r="H7142" s="569"/>
      <c r="I7142" s="577" t="s">
        <v>204</v>
      </c>
      <c r="J7142" s="578">
        <v>1</v>
      </c>
      <c r="K7142" s="579"/>
      <c r="L7142" s="579">
        <v>132.93</v>
      </c>
      <c r="M7142" s="579">
        <v>132.93</v>
      </c>
    </row>
    <row r="7143" ht="35.05" customHeight="1" spans="3:13">
      <c r="C7143" s="79" t="s">
        <v>2921</v>
      </c>
      <c r="D7143" s="78" t="s">
        <v>4910</v>
      </c>
      <c r="E7143" s="79" t="s">
        <v>139</v>
      </c>
      <c r="F7143" s="79" t="s">
        <v>4911</v>
      </c>
      <c r="G7143" s="79" t="s">
        <v>3132</v>
      </c>
      <c r="H7143" s="79"/>
      <c r="I7143" s="80" t="s">
        <v>204</v>
      </c>
      <c r="J7143" s="583">
        <v>1</v>
      </c>
      <c r="K7143" s="583">
        <v>0</v>
      </c>
      <c r="L7143" s="92">
        <v>4.84</v>
      </c>
      <c r="M7143" s="92">
        <v>4.84</v>
      </c>
    </row>
    <row r="7144" ht="35.05" customHeight="1" spans="3:13">
      <c r="C7144" s="79" t="s">
        <v>2921</v>
      </c>
      <c r="D7144" s="78" t="s">
        <v>4925</v>
      </c>
      <c r="E7144" s="79" t="s">
        <v>132</v>
      </c>
      <c r="F7144" s="79" t="s">
        <v>4926</v>
      </c>
      <c r="G7144" s="79" t="s">
        <v>3129</v>
      </c>
      <c r="H7144" s="79"/>
      <c r="I7144" s="80" t="s">
        <v>204</v>
      </c>
      <c r="J7144" s="583">
        <v>1</v>
      </c>
      <c r="K7144" s="583">
        <v>0</v>
      </c>
      <c r="L7144" s="92">
        <v>128.09</v>
      </c>
      <c r="M7144" s="92">
        <v>128.09</v>
      </c>
    </row>
    <row r="7145" ht="25.5" spans="3:13">
      <c r="C7145" s="108"/>
      <c r="D7145" s="108"/>
      <c r="E7145" s="108"/>
      <c r="F7145" s="108"/>
      <c r="G7145" s="108"/>
      <c r="H7145" s="108" t="s">
        <v>2898</v>
      </c>
      <c r="I7145" s="581">
        <v>5.21</v>
      </c>
      <c r="J7145" s="108" t="s">
        <v>2899</v>
      </c>
      <c r="K7145" s="581">
        <v>0</v>
      </c>
      <c r="L7145" s="108" t="s">
        <v>2900</v>
      </c>
      <c r="M7145" s="581">
        <v>5.21</v>
      </c>
    </row>
    <row r="7146" ht="26.25" spans="3:13">
      <c r="C7146" s="108"/>
      <c r="D7146" s="108"/>
      <c r="E7146" s="108"/>
      <c r="F7146" s="108"/>
      <c r="G7146" s="108"/>
      <c r="H7146" s="108" t="s">
        <v>2901</v>
      </c>
      <c r="I7146" s="581">
        <v>33.88</v>
      </c>
      <c r="J7146" s="114"/>
      <c r="K7146" s="114" t="s">
        <v>2902</v>
      </c>
      <c r="L7146" s="108"/>
      <c r="M7146" s="581">
        <v>166.81</v>
      </c>
    </row>
    <row r="7147" ht="15" spans="3:13">
      <c r="C7147" s="571"/>
      <c r="D7147" s="571"/>
      <c r="E7147" s="571"/>
      <c r="F7147" s="571"/>
      <c r="G7147" s="571"/>
      <c r="H7147" s="571"/>
      <c r="I7147" s="571"/>
      <c r="J7147" s="571"/>
      <c r="K7147" s="571"/>
      <c r="L7147" s="571"/>
      <c r="M7147" s="571"/>
    </row>
    <row r="7148" ht="15" customHeight="1" spans="3:13">
      <c r="C7148" s="76" t="s">
        <v>2470</v>
      </c>
      <c r="D7148" s="75" t="s">
        <v>63</v>
      </c>
      <c r="E7148" s="76" t="s">
        <v>64</v>
      </c>
      <c r="F7148" s="76" t="s">
        <v>65</v>
      </c>
      <c r="G7148" s="76" t="s">
        <v>2889</v>
      </c>
      <c r="H7148" s="76"/>
      <c r="I7148" s="77" t="s">
        <v>66</v>
      </c>
      <c r="J7148" s="75" t="s">
        <v>67</v>
      </c>
      <c r="K7148" s="75" t="s">
        <v>2890</v>
      </c>
      <c r="L7148" s="75" t="s">
        <v>68</v>
      </c>
      <c r="M7148" s="75" t="s">
        <v>70</v>
      </c>
    </row>
    <row r="7149" ht="35.05" customHeight="1" spans="3:13">
      <c r="C7149" s="569" t="s">
        <v>2891</v>
      </c>
      <c r="D7149" s="570" t="s">
        <v>2471</v>
      </c>
      <c r="E7149" s="569" t="s">
        <v>132</v>
      </c>
      <c r="F7149" s="569" t="s">
        <v>2472</v>
      </c>
      <c r="G7149" s="569" t="s">
        <v>4227</v>
      </c>
      <c r="H7149" s="569"/>
      <c r="I7149" s="577" t="s">
        <v>204</v>
      </c>
      <c r="J7149" s="578">
        <v>1</v>
      </c>
      <c r="K7149" s="579"/>
      <c r="L7149" s="579">
        <v>132.93</v>
      </c>
      <c r="M7149" s="579">
        <v>132.93</v>
      </c>
    </row>
    <row r="7150" ht="35.05" customHeight="1" spans="3:13">
      <c r="C7150" s="79" t="s">
        <v>2921</v>
      </c>
      <c r="D7150" s="78" t="s">
        <v>4910</v>
      </c>
      <c r="E7150" s="79" t="s">
        <v>139</v>
      </c>
      <c r="F7150" s="79" t="s">
        <v>4911</v>
      </c>
      <c r="G7150" s="79" t="s">
        <v>3132</v>
      </c>
      <c r="H7150" s="79"/>
      <c r="I7150" s="80" t="s">
        <v>204</v>
      </c>
      <c r="J7150" s="583">
        <v>1</v>
      </c>
      <c r="K7150" s="583">
        <v>0</v>
      </c>
      <c r="L7150" s="92">
        <v>4.84</v>
      </c>
      <c r="M7150" s="92">
        <v>4.84</v>
      </c>
    </row>
    <row r="7151" ht="35.05" customHeight="1" spans="3:13">
      <c r="C7151" s="79" t="s">
        <v>2921</v>
      </c>
      <c r="D7151" s="78" t="s">
        <v>4927</v>
      </c>
      <c r="E7151" s="79" t="s">
        <v>132</v>
      </c>
      <c r="F7151" s="79" t="s">
        <v>4928</v>
      </c>
      <c r="G7151" s="79" t="s">
        <v>3129</v>
      </c>
      <c r="H7151" s="79"/>
      <c r="I7151" s="80" t="s">
        <v>204</v>
      </c>
      <c r="J7151" s="583">
        <v>1</v>
      </c>
      <c r="K7151" s="583">
        <v>0</v>
      </c>
      <c r="L7151" s="92">
        <v>128.09</v>
      </c>
      <c r="M7151" s="92">
        <v>128.09</v>
      </c>
    </row>
    <row r="7152" ht="25.5" spans="3:13">
      <c r="C7152" s="108"/>
      <c r="D7152" s="108"/>
      <c r="E7152" s="108"/>
      <c r="F7152" s="108"/>
      <c r="G7152" s="108"/>
      <c r="H7152" s="108" t="s">
        <v>2898</v>
      </c>
      <c r="I7152" s="581">
        <v>5.21</v>
      </c>
      <c r="J7152" s="108" t="s">
        <v>2899</v>
      </c>
      <c r="K7152" s="581">
        <v>0</v>
      </c>
      <c r="L7152" s="108" t="s">
        <v>2900</v>
      </c>
      <c r="M7152" s="581">
        <v>5.21</v>
      </c>
    </row>
    <row r="7153" ht="26.25" spans="3:13">
      <c r="C7153" s="108"/>
      <c r="D7153" s="108"/>
      <c r="E7153" s="108"/>
      <c r="F7153" s="108"/>
      <c r="G7153" s="108"/>
      <c r="H7153" s="108" t="s">
        <v>2901</v>
      </c>
      <c r="I7153" s="581">
        <v>33.88</v>
      </c>
      <c r="J7153" s="114"/>
      <c r="K7153" s="114" t="s">
        <v>2902</v>
      </c>
      <c r="L7153" s="108"/>
      <c r="M7153" s="581">
        <v>166.81</v>
      </c>
    </row>
    <row r="7154" ht="15" spans="3:13">
      <c r="C7154" s="571"/>
      <c r="D7154" s="571"/>
      <c r="E7154" s="571"/>
      <c r="F7154" s="571"/>
      <c r="G7154" s="571"/>
      <c r="H7154" s="571"/>
      <c r="I7154" s="571"/>
      <c r="J7154" s="571"/>
      <c r="K7154" s="571"/>
      <c r="L7154" s="571"/>
      <c r="M7154" s="571"/>
    </row>
    <row r="7155" ht="15" customHeight="1" spans="3:13">
      <c r="C7155" s="76" t="s">
        <v>2473</v>
      </c>
      <c r="D7155" s="75" t="s">
        <v>63</v>
      </c>
      <c r="E7155" s="76" t="s">
        <v>64</v>
      </c>
      <c r="F7155" s="76" t="s">
        <v>65</v>
      </c>
      <c r="G7155" s="76" t="s">
        <v>2889</v>
      </c>
      <c r="H7155" s="76"/>
      <c r="I7155" s="77" t="s">
        <v>66</v>
      </c>
      <c r="J7155" s="75" t="s">
        <v>67</v>
      </c>
      <c r="K7155" s="75" t="s">
        <v>2890</v>
      </c>
      <c r="L7155" s="75" t="s">
        <v>68</v>
      </c>
      <c r="M7155" s="75" t="s">
        <v>70</v>
      </c>
    </row>
    <row r="7156" ht="23.85" customHeight="1" spans="3:13">
      <c r="C7156" s="569" t="s">
        <v>2891</v>
      </c>
      <c r="D7156" s="570" t="s">
        <v>2474</v>
      </c>
      <c r="E7156" s="569" t="s">
        <v>149</v>
      </c>
      <c r="F7156" s="569" t="s">
        <v>2475</v>
      </c>
      <c r="G7156" s="569" t="s">
        <v>4599</v>
      </c>
      <c r="H7156" s="569"/>
      <c r="I7156" s="577" t="s">
        <v>141</v>
      </c>
      <c r="J7156" s="578">
        <v>1</v>
      </c>
      <c r="K7156" s="579"/>
      <c r="L7156" s="579">
        <v>246.01</v>
      </c>
      <c r="M7156" s="579">
        <v>246.01</v>
      </c>
    </row>
    <row r="7157" ht="15" customHeight="1" spans="3:13">
      <c r="C7157" s="100" t="s">
        <v>2893</v>
      </c>
      <c r="D7157" s="99" t="s">
        <v>4881</v>
      </c>
      <c r="E7157" s="100" t="s">
        <v>149</v>
      </c>
      <c r="F7157" s="100" t="s">
        <v>4882</v>
      </c>
      <c r="G7157" s="100" t="s">
        <v>2896</v>
      </c>
      <c r="H7157" s="100"/>
      <c r="I7157" s="101" t="s">
        <v>2897</v>
      </c>
      <c r="J7157" s="580">
        <v>0.25</v>
      </c>
      <c r="K7157" s="580">
        <v>0</v>
      </c>
      <c r="L7157" s="102">
        <v>20.515752</v>
      </c>
      <c r="M7157" s="102">
        <v>5.12</v>
      </c>
    </row>
    <row r="7158" ht="15" customHeight="1" spans="3:13">
      <c r="C7158" s="100" t="s">
        <v>2893</v>
      </c>
      <c r="D7158" s="99" t="s">
        <v>4906</v>
      </c>
      <c r="E7158" s="100" t="s">
        <v>149</v>
      </c>
      <c r="F7158" s="100" t="s">
        <v>4907</v>
      </c>
      <c r="G7158" s="100" t="s">
        <v>2896</v>
      </c>
      <c r="H7158" s="100"/>
      <c r="I7158" s="101" t="s">
        <v>2897</v>
      </c>
      <c r="J7158" s="580">
        <v>0.25</v>
      </c>
      <c r="K7158" s="580">
        <v>0</v>
      </c>
      <c r="L7158" s="102">
        <v>24.989592</v>
      </c>
      <c r="M7158" s="102">
        <v>6.24</v>
      </c>
    </row>
    <row r="7159" ht="15" customHeight="1" spans="3:13">
      <c r="C7159" s="100" t="s">
        <v>2893</v>
      </c>
      <c r="D7159" s="99" t="s">
        <v>4929</v>
      </c>
      <c r="E7159" s="100" t="s">
        <v>149</v>
      </c>
      <c r="F7159" s="100" t="s">
        <v>4930</v>
      </c>
      <c r="G7159" s="100" t="s">
        <v>2961</v>
      </c>
      <c r="H7159" s="100"/>
      <c r="I7159" s="101" t="s">
        <v>141</v>
      </c>
      <c r="J7159" s="580">
        <v>1.05</v>
      </c>
      <c r="K7159" s="580">
        <v>0</v>
      </c>
      <c r="L7159" s="102">
        <v>223.48</v>
      </c>
      <c r="M7159" s="102">
        <v>234.65</v>
      </c>
    </row>
    <row r="7160" ht="25.5" spans="3:13">
      <c r="C7160" s="108"/>
      <c r="D7160" s="108"/>
      <c r="E7160" s="108"/>
      <c r="F7160" s="108"/>
      <c r="G7160" s="108"/>
      <c r="H7160" s="108" t="s">
        <v>2898</v>
      </c>
      <c r="I7160" s="581">
        <v>11.36</v>
      </c>
      <c r="J7160" s="108" t="s">
        <v>2899</v>
      </c>
      <c r="K7160" s="581">
        <v>0</v>
      </c>
      <c r="L7160" s="108" t="s">
        <v>2900</v>
      </c>
      <c r="M7160" s="581">
        <v>11.36</v>
      </c>
    </row>
    <row r="7161" ht="26.25" spans="3:13">
      <c r="C7161" s="108"/>
      <c r="D7161" s="108"/>
      <c r="E7161" s="108"/>
      <c r="F7161" s="108"/>
      <c r="G7161" s="108"/>
      <c r="H7161" s="108" t="s">
        <v>2901</v>
      </c>
      <c r="I7161" s="581">
        <v>62.7</v>
      </c>
      <c r="J7161" s="114"/>
      <c r="K7161" s="114" t="s">
        <v>2902</v>
      </c>
      <c r="L7161" s="108"/>
      <c r="M7161" s="581">
        <v>308.71</v>
      </c>
    </row>
    <row r="7162" ht="15" spans="3:13">
      <c r="C7162" s="571"/>
      <c r="D7162" s="571"/>
      <c r="E7162" s="571"/>
      <c r="F7162" s="571"/>
      <c r="G7162" s="571"/>
      <c r="H7162" s="571"/>
      <c r="I7162" s="571"/>
      <c r="J7162" s="571"/>
      <c r="K7162" s="571"/>
      <c r="L7162" s="571"/>
      <c r="M7162" s="571"/>
    </row>
    <row r="7163" ht="15" customHeight="1" spans="3:13">
      <c r="C7163" s="76" t="s">
        <v>2478</v>
      </c>
      <c r="D7163" s="75" t="s">
        <v>63</v>
      </c>
      <c r="E7163" s="76" t="s">
        <v>64</v>
      </c>
      <c r="F7163" s="76" t="s">
        <v>65</v>
      </c>
      <c r="G7163" s="76" t="s">
        <v>2889</v>
      </c>
      <c r="H7163" s="76"/>
      <c r="I7163" s="77" t="s">
        <v>66</v>
      </c>
      <c r="J7163" s="75" t="s">
        <v>67</v>
      </c>
      <c r="K7163" s="75" t="s">
        <v>2890</v>
      </c>
      <c r="L7163" s="75" t="s">
        <v>68</v>
      </c>
      <c r="M7163" s="75" t="s">
        <v>70</v>
      </c>
    </row>
    <row r="7164" ht="23.85" customHeight="1" spans="3:13">
      <c r="C7164" s="569" t="s">
        <v>2891</v>
      </c>
      <c r="D7164" s="570" t="s">
        <v>2479</v>
      </c>
      <c r="E7164" s="569" t="s">
        <v>139</v>
      </c>
      <c r="F7164" s="569" t="s">
        <v>2480</v>
      </c>
      <c r="G7164" s="569" t="s">
        <v>3198</v>
      </c>
      <c r="H7164" s="569"/>
      <c r="I7164" s="577" t="s">
        <v>134</v>
      </c>
      <c r="J7164" s="578">
        <v>1</v>
      </c>
      <c r="K7164" s="579"/>
      <c r="L7164" s="579">
        <v>50.3</v>
      </c>
      <c r="M7164" s="579">
        <v>50.3</v>
      </c>
    </row>
    <row r="7165" ht="23.85" customHeight="1" spans="3:13">
      <c r="C7165" s="79" t="s">
        <v>2921</v>
      </c>
      <c r="D7165" s="78" t="s">
        <v>3144</v>
      </c>
      <c r="E7165" s="79" t="s">
        <v>139</v>
      </c>
      <c r="F7165" s="79" t="s">
        <v>3145</v>
      </c>
      <c r="G7165" s="79" t="s">
        <v>2928</v>
      </c>
      <c r="H7165" s="79"/>
      <c r="I7165" s="80" t="s">
        <v>2897</v>
      </c>
      <c r="J7165" s="583">
        <v>0.1102</v>
      </c>
      <c r="K7165" s="583">
        <v>0</v>
      </c>
      <c r="L7165" s="92">
        <v>35.55</v>
      </c>
      <c r="M7165" s="92">
        <v>3.91</v>
      </c>
    </row>
    <row r="7166" ht="23.85" customHeight="1" spans="3:13">
      <c r="C7166" s="79" t="s">
        <v>2921</v>
      </c>
      <c r="D7166" s="78" t="s">
        <v>3146</v>
      </c>
      <c r="E7166" s="79" t="s">
        <v>139</v>
      </c>
      <c r="F7166" s="79" t="s">
        <v>3147</v>
      </c>
      <c r="G7166" s="79" t="s">
        <v>2928</v>
      </c>
      <c r="H7166" s="79"/>
      <c r="I7166" s="80" t="s">
        <v>2897</v>
      </c>
      <c r="J7166" s="583">
        <v>0.1102</v>
      </c>
      <c r="K7166" s="583">
        <v>0</v>
      </c>
      <c r="L7166" s="92">
        <v>29.54</v>
      </c>
      <c r="M7166" s="92">
        <v>3.25</v>
      </c>
    </row>
    <row r="7167" ht="15" customHeight="1" spans="3:13">
      <c r="C7167" s="100" t="s">
        <v>2893</v>
      </c>
      <c r="D7167" s="99" t="s">
        <v>3643</v>
      </c>
      <c r="E7167" s="100" t="s">
        <v>139</v>
      </c>
      <c r="F7167" s="100" t="s">
        <v>3644</v>
      </c>
      <c r="G7167" s="100" t="s">
        <v>2961</v>
      </c>
      <c r="H7167" s="100"/>
      <c r="I7167" s="101" t="s">
        <v>134</v>
      </c>
      <c r="J7167" s="580">
        <v>0.0106</v>
      </c>
      <c r="K7167" s="580">
        <v>0</v>
      </c>
      <c r="L7167" s="102">
        <v>13.46</v>
      </c>
      <c r="M7167" s="102">
        <v>0.14</v>
      </c>
    </row>
    <row r="7168" ht="15" customHeight="1" spans="3:13">
      <c r="C7168" s="100" t="s">
        <v>2893</v>
      </c>
      <c r="D7168" s="99" t="s">
        <v>4931</v>
      </c>
      <c r="E7168" s="100" t="s">
        <v>139</v>
      </c>
      <c r="F7168" s="100" t="s">
        <v>4932</v>
      </c>
      <c r="G7168" s="100" t="s">
        <v>2961</v>
      </c>
      <c r="H7168" s="100"/>
      <c r="I7168" s="101" t="s">
        <v>134</v>
      </c>
      <c r="J7168" s="580">
        <v>1</v>
      </c>
      <c r="K7168" s="580">
        <v>0</v>
      </c>
      <c r="L7168" s="102">
        <v>43</v>
      </c>
      <c r="M7168" s="102">
        <v>43</v>
      </c>
    </row>
    <row r="7169" ht="25.5" spans="3:13">
      <c r="C7169" s="108"/>
      <c r="D7169" s="108"/>
      <c r="E7169" s="108"/>
      <c r="F7169" s="108"/>
      <c r="G7169" s="108"/>
      <c r="H7169" s="108" t="s">
        <v>2898</v>
      </c>
      <c r="I7169" s="581">
        <v>5.1</v>
      </c>
      <c r="J7169" s="108" t="s">
        <v>2899</v>
      </c>
      <c r="K7169" s="581">
        <v>0</v>
      </c>
      <c r="L7169" s="108" t="s">
        <v>2900</v>
      </c>
      <c r="M7169" s="581">
        <v>5.1</v>
      </c>
    </row>
    <row r="7170" ht="26.25" spans="3:13">
      <c r="C7170" s="108"/>
      <c r="D7170" s="108"/>
      <c r="E7170" s="108"/>
      <c r="F7170" s="108"/>
      <c r="G7170" s="108"/>
      <c r="H7170" s="108" t="s">
        <v>2901</v>
      </c>
      <c r="I7170" s="581">
        <v>12.82</v>
      </c>
      <c r="J7170" s="114"/>
      <c r="K7170" s="114" t="s">
        <v>2902</v>
      </c>
      <c r="L7170" s="108"/>
      <c r="M7170" s="581">
        <v>63.12</v>
      </c>
    </row>
    <row r="7171" ht="15" spans="3:13">
      <c r="C7171" s="571"/>
      <c r="D7171" s="571"/>
      <c r="E7171" s="571"/>
      <c r="F7171" s="571"/>
      <c r="G7171" s="571"/>
      <c r="H7171" s="571"/>
      <c r="I7171" s="571"/>
      <c r="J7171" s="571"/>
      <c r="K7171" s="571"/>
      <c r="L7171" s="571"/>
      <c r="M7171" s="571"/>
    </row>
    <row r="7172" ht="15" customHeight="1" spans="3:13">
      <c r="C7172" s="76" t="s">
        <v>2481</v>
      </c>
      <c r="D7172" s="75" t="s">
        <v>63</v>
      </c>
      <c r="E7172" s="76" t="s">
        <v>64</v>
      </c>
      <c r="F7172" s="76" t="s">
        <v>65</v>
      </c>
      <c r="G7172" s="76" t="s">
        <v>2889</v>
      </c>
      <c r="H7172" s="76"/>
      <c r="I7172" s="77" t="s">
        <v>66</v>
      </c>
      <c r="J7172" s="75" t="s">
        <v>67</v>
      </c>
      <c r="K7172" s="75" t="s">
        <v>2890</v>
      </c>
      <c r="L7172" s="75" t="s">
        <v>68</v>
      </c>
      <c r="M7172" s="75" t="s">
        <v>70</v>
      </c>
    </row>
    <row r="7173" ht="23.85" customHeight="1" spans="3:13">
      <c r="C7173" s="569" t="s">
        <v>2891</v>
      </c>
      <c r="D7173" s="570" t="s">
        <v>2482</v>
      </c>
      <c r="E7173" s="569" t="s">
        <v>139</v>
      </c>
      <c r="F7173" s="569" t="s">
        <v>2483</v>
      </c>
      <c r="G7173" s="569" t="s">
        <v>3198</v>
      </c>
      <c r="H7173" s="569"/>
      <c r="I7173" s="577" t="s">
        <v>134</v>
      </c>
      <c r="J7173" s="578">
        <v>1</v>
      </c>
      <c r="K7173" s="579"/>
      <c r="L7173" s="579">
        <v>67.87</v>
      </c>
      <c r="M7173" s="579">
        <v>67.87</v>
      </c>
    </row>
    <row r="7174" ht="23.85" customHeight="1" spans="3:13">
      <c r="C7174" s="79" t="s">
        <v>2921</v>
      </c>
      <c r="D7174" s="78" t="s">
        <v>3144</v>
      </c>
      <c r="E7174" s="79" t="s">
        <v>139</v>
      </c>
      <c r="F7174" s="79" t="s">
        <v>3145</v>
      </c>
      <c r="G7174" s="79" t="s">
        <v>2928</v>
      </c>
      <c r="H7174" s="79"/>
      <c r="I7174" s="80" t="s">
        <v>2897</v>
      </c>
      <c r="J7174" s="583">
        <v>0.1485</v>
      </c>
      <c r="K7174" s="583">
        <v>0</v>
      </c>
      <c r="L7174" s="92">
        <v>35.55</v>
      </c>
      <c r="M7174" s="92">
        <v>5.27</v>
      </c>
    </row>
    <row r="7175" ht="23.85" customHeight="1" spans="3:13">
      <c r="C7175" s="79" t="s">
        <v>2921</v>
      </c>
      <c r="D7175" s="78" t="s">
        <v>3146</v>
      </c>
      <c r="E7175" s="79" t="s">
        <v>139</v>
      </c>
      <c r="F7175" s="79" t="s">
        <v>3147</v>
      </c>
      <c r="G7175" s="79" t="s">
        <v>2928</v>
      </c>
      <c r="H7175" s="79"/>
      <c r="I7175" s="80" t="s">
        <v>2897</v>
      </c>
      <c r="J7175" s="583">
        <v>0.1485</v>
      </c>
      <c r="K7175" s="583">
        <v>0</v>
      </c>
      <c r="L7175" s="92">
        <v>29.54</v>
      </c>
      <c r="M7175" s="92">
        <v>4.38</v>
      </c>
    </row>
    <row r="7176" ht="15" customHeight="1" spans="3:13">
      <c r="C7176" s="100" t="s">
        <v>2893</v>
      </c>
      <c r="D7176" s="99" t="s">
        <v>4933</v>
      </c>
      <c r="E7176" s="100" t="s">
        <v>139</v>
      </c>
      <c r="F7176" s="100" t="s">
        <v>4934</v>
      </c>
      <c r="G7176" s="100" t="s">
        <v>2961</v>
      </c>
      <c r="H7176" s="100"/>
      <c r="I7176" s="101" t="s">
        <v>134</v>
      </c>
      <c r="J7176" s="580">
        <v>1</v>
      </c>
      <c r="K7176" s="580">
        <v>0</v>
      </c>
      <c r="L7176" s="102">
        <v>58.05</v>
      </c>
      <c r="M7176" s="102">
        <v>58.05</v>
      </c>
    </row>
    <row r="7177" ht="15" customHeight="1" spans="3:13">
      <c r="C7177" s="100" t="s">
        <v>2893</v>
      </c>
      <c r="D7177" s="99" t="s">
        <v>3643</v>
      </c>
      <c r="E7177" s="100" t="s">
        <v>139</v>
      </c>
      <c r="F7177" s="100" t="s">
        <v>3644</v>
      </c>
      <c r="G7177" s="100" t="s">
        <v>2961</v>
      </c>
      <c r="H7177" s="100"/>
      <c r="I7177" s="101" t="s">
        <v>134</v>
      </c>
      <c r="J7177" s="580">
        <v>0.0132</v>
      </c>
      <c r="K7177" s="580">
        <v>0</v>
      </c>
      <c r="L7177" s="102">
        <v>13.46</v>
      </c>
      <c r="M7177" s="102">
        <v>0.17</v>
      </c>
    </row>
    <row r="7178" ht="25.5" spans="3:13">
      <c r="C7178" s="108"/>
      <c r="D7178" s="108"/>
      <c r="E7178" s="108"/>
      <c r="F7178" s="108"/>
      <c r="G7178" s="108"/>
      <c r="H7178" s="108" t="s">
        <v>2898</v>
      </c>
      <c r="I7178" s="581">
        <v>6.87</v>
      </c>
      <c r="J7178" s="108" t="s">
        <v>2899</v>
      </c>
      <c r="K7178" s="581">
        <v>0</v>
      </c>
      <c r="L7178" s="108" t="s">
        <v>2900</v>
      </c>
      <c r="M7178" s="581">
        <v>6.87</v>
      </c>
    </row>
    <row r="7179" ht="26.25" spans="3:13">
      <c r="C7179" s="108"/>
      <c r="D7179" s="108"/>
      <c r="E7179" s="108"/>
      <c r="F7179" s="108"/>
      <c r="G7179" s="108"/>
      <c r="H7179" s="108" t="s">
        <v>2901</v>
      </c>
      <c r="I7179" s="581">
        <v>17.3</v>
      </c>
      <c r="J7179" s="114"/>
      <c r="K7179" s="114" t="s">
        <v>2902</v>
      </c>
      <c r="L7179" s="108"/>
      <c r="M7179" s="581">
        <v>85.17</v>
      </c>
    </row>
    <row r="7180" ht="15" spans="3:13">
      <c r="C7180" s="571"/>
      <c r="D7180" s="571"/>
      <c r="E7180" s="571"/>
      <c r="F7180" s="571"/>
      <c r="G7180" s="571"/>
      <c r="H7180" s="571"/>
      <c r="I7180" s="571"/>
      <c r="J7180" s="571"/>
      <c r="K7180" s="571"/>
      <c r="L7180" s="571"/>
      <c r="M7180" s="571"/>
    </row>
    <row r="7181" ht="15" customHeight="1" spans="3:13">
      <c r="C7181" s="76" t="s">
        <v>2484</v>
      </c>
      <c r="D7181" s="75" t="s">
        <v>63</v>
      </c>
      <c r="E7181" s="76" t="s">
        <v>64</v>
      </c>
      <c r="F7181" s="76" t="s">
        <v>65</v>
      </c>
      <c r="G7181" s="76" t="s">
        <v>2889</v>
      </c>
      <c r="H7181" s="76"/>
      <c r="I7181" s="77" t="s">
        <v>66</v>
      </c>
      <c r="J7181" s="75" t="s">
        <v>67</v>
      </c>
      <c r="K7181" s="75" t="s">
        <v>2890</v>
      </c>
      <c r="L7181" s="75" t="s">
        <v>68</v>
      </c>
      <c r="M7181" s="75" t="s">
        <v>70</v>
      </c>
    </row>
    <row r="7182" ht="23.85" customHeight="1" spans="3:13">
      <c r="C7182" s="569" t="s">
        <v>2891</v>
      </c>
      <c r="D7182" s="570" t="s">
        <v>2485</v>
      </c>
      <c r="E7182" s="569" t="s">
        <v>139</v>
      </c>
      <c r="F7182" s="569" t="s">
        <v>2486</v>
      </c>
      <c r="G7182" s="569" t="s">
        <v>3198</v>
      </c>
      <c r="H7182" s="569"/>
      <c r="I7182" s="577" t="s">
        <v>134</v>
      </c>
      <c r="J7182" s="578">
        <v>1</v>
      </c>
      <c r="K7182" s="579"/>
      <c r="L7182" s="579">
        <v>99.89</v>
      </c>
      <c r="M7182" s="579">
        <v>99.89</v>
      </c>
    </row>
    <row r="7183" ht="23.85" customHeight="1" spans="3:13">
      <c r="C7183" s="79" t="s">
        <v>2921</v>
      </c>
      <c r="D7183" s="78" t="s">
        <v>3144</v>
      </c>
      <c r="E7183" s="79" t="s">
        <v>139</v>
      </c>
      <c r="F7183" s="79" t="s">
        <v>3145</v>
      </c>
      <c r="G7183" s="79" t="s">
        <v>2928</v>
      </c>
      <c r="H7183" s="79"/>
      <c r="I7183" s="80" t="s">
        <v>2897</v>
      </c>
      <c r="J7183" s="583">
        <v>0.2021</v>
      </c>
      <c r="K7183" s="583">
        <v>0</v>
      </c>
      <c r="L7183" s="92">
        <v>35.55</v>
      </c>
      <c r="M7183" s="92">
        <v>7.18</v>
      </c>
    </row>
    <row r="7184" ht="23.85" customHeight="1" spans="3:13">
      <c r="C7184" s="79" t="s">
        <v>2921</v>
      </c>
      <c r="D7184" s="78" t="s">
        <v>3146</v>
      </c>
      <c r="E7184" s="79" t="s">
        <v>139</v>
      </c>
      <c r="F7184" s="79" t="s">
        <v>3147</v>
      </c>
      <c r="G7184" s="79" t="s">
        <v>2928</v>
      </c>
      <c r="H7184" s="79"/>
      <c r="I7184" s="80" t="s">
        <v>2897</v>
      </c>
      <c r="J7184" s="583">
        <v>0.2021</v>
      </c>
      <c r="K7184" s="583">
        <v>0</v>
      </c>
      <c r="L7184" s="92">
        <v>29.54</v>
      </c>
      <c r="M7184" s="92">
        <v>5.97</v>
      </c>
    </row>
    <row r="7185" ht="15" customHeight="1" spans="3:13">
      <c r="C7185" s="100" t="s">
        <v>2893</v>
      </c>
      <c r="D7185" s="99" t="s">
        <v>3643</v>
      </c>
      <c r="E7185" s="100" t="s">
        <v>139</v>
      </c>
      <c r="F7185" s="100" t="s">
        <v>3644</v>
      </c>
      <c r="G7185" s="100" t="s">
        <v>2961</v>
      </c>
      <c r="H7185" s="100"/>
      <c r="I7185" s="101" t="s">
        <v>134</v>
      </c>
      <c r="J7185" s="580">
        <v>0.0168</v>
      </c>
      <c r="K7185" s="580">
        <v>0</v>
      </c>
      <c r="L7185" s="102">
        <v>13.46</v>
      </c>
      <c r="M7185" s="102">
        <v>0.22</v>
      </c>
    </row>
    <row r="7186" ht="15" customHeight="1" spans="3:13">
      <c r="C7186" s="100" t="s">
        <v>2893</v>
      </c>
      <c r="D7186" s="99" t="s">
        <v>4935</v>
      </c>
      <c r="E7186" s="100" t="s">
        <v>139</v>
      </c>
      <c r="F7186" s="100" t="s">
        <v>4936</v>
      </c>
      <c r="G7186" s="100" t="s">
        <v>2961</v>
      </c>
      <c r="H7186" s="100"/>
      <c r="I7186" s="101" t="s">
        <v>134</v>
      </c>
      <c r="J7186" s="580">
        <v>1</v>
      </c>
      <c r="K7186" s="580">
        <v>0</v>
      </c>
      <c r="L7186" s="102">
        <v>86.52</v>
      </c>
      <c r="M7186" s="102">
        <v>86.52</v>
      </c>
    </row>
    <row r="7187" ht="25.5" spans="3:13">
      <c r="C7187" s="108"/>
      <c r="D7187" s="108"/>
      <c r="E7187" s="108"/>
      <c r="F7187" s="108"/>
      <c r="G7187" s="108"/>
      <c r="H7187" s="108" t="s">
        <v>2898</v>
      </c>
      <c r="I7187" s="581">
        <v>9.36</v>
      </c>
      <c r="J7187" s="108" t="s">
        <v>2899</v>
      </c>
      <c r="K7187" s="581">
        <v>0</v>
      </c>
      <c r="L7187" s="108" t="s">
        <v>2900</v>
      </c>
      <c r="M7187" s="581">
        <v>9.36</v>
      </c>
    </row>
    <row r="7188" ht="26.25" spans="3:13">
      <c r="C7188" s="108"/>
      <c r="D7188" s="108"/>
      <c r="E7188" s="108"/>
      <c r="F7188" s="108"/>
      <c r="G7188" s="108"/>
      <c r="H7188" s="108" t="s">
        <v>2901</v>
      </c>
      <c r="I7188" s="581">
        <v>25.46</v>
      </c>
      <c r="J7188" s="114"/>
      <c r="K7188" s="114" t="s">
        <v>2902</v>
      </c>
      <c r="L7188" s="108"/>
      <c r="M7188" s="581">
        <v>125.35</v>
      </c>
    </row>
    <row r="7189" ht="15" spans="3:13">
      <c r="C7189" s="571"/>
      <c r="D7189" s="571"/>
      <c r="E7189" s="571"/>
      <c r="F7189" s="571"/>
      <c r="G7189" s="571"/>
      <c r="H7189" s="571"/>
      <c r="I7189" s="571"/>
      <c r="J7189" s="571"/>
      <c r="K7189" s="571"/>
      <c r="L7189" s="571"/>
      <c r="M7189" s="571"/>
    </row>
    <row r="7190" ht="15" customHeight="1" spans="3:13">
      <c r="C7190" s="76" t="s">
        <v>2487</v>
      </c>
      <c r="D7190" s="75" t="s">
        <v>63</v>
      </c>
      <c r="E7190" s="76" t="s">
        <v>64</v>
      </c>
      <c r="F7190" s="76" t="s">
        <v>65</v>
      </c>
      <c r="G7190" s="76" t="s">
        <v>2889</v>
      </c>
      <c r="H7190" s="76"/>
      <c r="I7190" s="77" t="s">
        <v>66</v>
      </c>
      <c r="J7190" s="75" t="s">
        <v>67</v>
      </c>
      <c r="K7190" s="75" t="s">
        <v>2890</v>
      </c>
      <c r="L7190" s="75" t="s">
        <v>68</v>
      </c>
      <c r="M7190" s="75" t="s">
        <v>70</v>
      </c>
    </row>
    <row r="7191" ht="25.5" spans="3:13">
      <c r="C7191" s="569" t="s">
        <v>2891</v>
      </c>
      <c r="D7191" s="570" t="s">
        <v>2488</v>
      </c>
      <c r="E7191" s="569" t="s">
        <v>77</v>
      </c>
      <c r="F7191" s="569" t="s">
        <v>4937</v>
      </c>
      <c r="G7191" s="569">
        <v>15</v>
      </c>
      <c r="H7191" s="569"/>
      <c r="I7191" s="577" t="s">
        <v>134</v>
      </c>
      <c r="J7191" s="578">
        <v>1</v>
      </c>
      <c r="K7191" s="579"/>
      <c r="L7191" s="579">
        <v>681.39</v>
      </c>
      <c r="M7191" s="579">
        <v>681.39</v>
      </c>
    </row>
    <row r="7192" ht="23.85" customHeight="1" spans="3:13">
      <c r="C7192" s="100" t="s">
        <v>2893</v>
      </c>
      <c r="D7192" s="99" t="s">
        <v>4206</v>
      </c>
      <c r="E7192" s="100" t="s">
        <v>77</v>
      </c>
      <c r="F7192" s="100" t="s">
        <v>4207</v>
      </c>
      <c r="G7192" s="100" t="s">
        <v>2896</v>
      </c>
      <c r="H7192" s="100"/>
      <c r="I7192" s="101" t="s">
        <v>2897</v>
      </c>
      <c r="J7192" s="580">
        <v>0.25</v>
      </c>
      <c r="K7192" s="580">
        <v>3</v>
      </c>
      <c r="L7192" s="102">
        <v>26.66</v>
      </c>
      <c r="M7192" s="102">
        <v>6.86</v>
      </c>
    </row>
    <row r="7193" spans="3:13">
      <c r="C7193" s="100" t="s">
        <v>2893</v>
      </c>
      <c r="D7193" s="99" t="s">
        <v>4938</v>
      </c>
      <c r="E7193" s="100" t="s">
        <v>77</v>
      </c>
      <c r="F7193" s="100" t="s">
        <v>4939</v>
      </c>
      <c r="G7193" s="100">
        <v>0</v>
      </c>
      <c r="H7193" s="100"/>
      <c r="I7193" s="101" t="s">
        <v>134</v>
      </c>
      <c r="J7193" s="580">
        <v>1</v>
      </c>
      <c r="K7193" s="580">
        <v>0</v>
      </c>
      <c r="L7193" s="102">
        <v>674.53</v>
      </c>
      <c r="M7193" s="102">
        <v>674.53</v>
      </c>
    </row>
    <row r="7194" ht="25.5" spans="3:13">
      <c r="C7194" s="108"/>
      <c r="D7194" s="108"/>
      <c r="E7194" s="108"/>
      <c r="F7194" s="108"/>
      <c r="G7194" s="108"/>
      <c r="H7194" s="108" t="s">
        <v>2898</v>
      </c>
      <c r="I7194" s="581">
        <v>6.86</v>
      </c>
      <c r="J7194" s="108" t="s">
        <v>2899</v>
      </c>
      <c r="K7194" s="581">
        <v>0</v>
      </c>
      <c r="L7194" s="108" t="s">
        <v>2900</v>
      </c>
      <c r="M7194" s="581">
        <v>6.86</v>
      </c>
    </row>
    <row r="7195" ht="26.25" spans="3:13">
      <c r="C7195" s="108"/>
      <c r="D7195" s="108"/>
      <c r="E7195" s="108"/>
      <c r="F7195" s="108"/>
      <c r="G7195" s="108"/>
      <c r="H7195" s="108" t="s">
        <v>2901</v>
      </c>
      <c r="I7195" s="581">
        <v>173.68</v>
      </c>
      <c r="J7195" s="114"/>
      <c r="K7195" s="114" t="s">
        <v>2902</v>
      </c>
      <c r="L7195" s="108"/>
      <c r="M7195" s="581">
        <v>855.07</v>
      </c>
    </row>
    <row r="7196" ht="15" spans="3:13">
      <c r="C7196" s="571"/>
      <c r="D7196" s="571"/>
      <c r="E7196" s="571"/>
      <c r="F7196" s="571"/>
      <c r="G7196" s="571"/>
      <c r="H7196" s="571"/>
      <c r="I7196" s="571"/>
      <c r="J7196" s="571"/>
      <c r="K7196" s="571"/>
      <c r="L7196" s="571"/>
      <c r="M7196" s="571"/>
    </row>
    <row r="7197" ht="15" customHeight="1" spans="3:13">
      <c r="C7197" s="76" t="s">
        <v>2490</v>
      </c>
      <c r="D7197" s="75" t="s">
        <v>63</v>
      </c>
      <c r="E7197" s="76" t="s">
        <v>64</v>
      </c>
      <c r="F7197" s="76" t="s">
        <v>65</v>
      </c>
      <c r="G7197" s="76" t="s">
        <v>2889</v>
      </c>
      <c r="H7197" s="76"/>
      <c r="I7197" s="77" t="s">
        <v>66</v>
      </c>
      <c r="J7197" s="75" t="s">
        <v>67</v>
      </c>
      <c r="K7197" s="75" t="s">
        <v>2890</v>
      </c>
      <c r="L7197" s="75" t="s">
        <v>68</v>
      </c>
      <c r="M7197" s="75" t="s">
        <v>70</v>
      </c>
    </row>
    <row r="7198" ht="25.5" spans="3:13">
      <c r="C7198" s="569" t="s">
        <v>2891</v>
      </c>
      <c r="D7198" s="570" t="s">
        <v>2491</v>
      </c>
      <c r="E7198" s="569" t="s">
        <v>77</v>
      </c>
      <c r="F7198" s="569" t="s">
        <v>4940</v>
      </c>
      <c r="G7198" s="569">
        <v>15</v>
      </c>
      <c r="H7198" s="569"/>
      <c r="I7198" s="577" t="s">
        <v>134</v>
      </c>
      <c r="J7198" s="578">
        <v>1</v>
      </c>
      <c r="K7198" s="579"/>
      <c r="L7198" s="579">
        <v>645.54</v>
      </c>
      <c r="M7198" s="579">
        <v>645.54</v>
      </c>
    </row>
    <row r="7199" spans="3:13">
      <c r="C7199" s="100" t="s">
        <v>2893</v>
      </c>
      <c r="D7199" s="99" t="s">
        <v>4941</v>
      </c>
      <c r="E7199" s="100" t="s">
        <v>77</v>
      </c>
      <c r="F7199" s="100" t="s">
        <v>4942</v>
      </c>
      <c r="G7199" s="100">
        <v>0</v>
      </c>
      <c r="H7199" s="100"/>
      <c r="I7199" s="101" t="s">
        <v>134</v>
      </c>
      <c r="J7199" s="580">
        <v>1</v>
      </c>
      <c r="K7199" s="580">
        <v>0</v>
      </c>
      <c r="L7199" s="102">
        <v>638.68</v>
      </c>
      <c r="M7199" s="102">
        <v>638.68</v>
      </c>
    </row>
    <row r="7200" ht="23.85" customHeight="1" spans="3:13">
      <c r="C7200" s="100" t="s">
        <v>2893</v>
      </c>
      <c r="D7200" s="99" t="s">
        <v>4206</v>
      </c>
      <c r="E7200" s="100" t="s">
        <v>77</v>
      </c>
      <c r="F7200" s="100" t="s">
        <v>4207</v>
      </c>
      <c r="G7200" s="100" t="s">
        <v>2896</v>
      </c>
      <c r="H7200" s="100"/>
      <c r="I7200" s="101" t="s">
        <v>2897</v>
      </c>
      <c r="J7200" s="580">
        <v>0.25</v>
      </c>
      <c r="K7200" s="580">
        <v>3</v>
      </c>
      <c r="L7200" s="102">
        <v>26.66</v>
      </c>
      <c r="M7200" s="102">
        <v>6.86</v>
      </c>
    </row>
    <row r="7201" ht="25.5" spans="3:13">
      <c r="C7201" s="108"/>
      <c r="D7201" s="108"/>
      <c r="E7201" s="108"/>
      <c r="F7201" s="108"/>
      <c r="G7201" s="108"/>
      <c r="H7201" s="108" t="s">
        <v>2898</v>
      </c>
      <c r="I7201" s="581">
        <v>6.86</v>
      </c>
      <c r="J7201" s="108" t="s">
        <v>2899</v>
      </c>
      <c r="K7201" s="581">
        <v>0</v>
      </c>
      <c r="L7201" s="108" t="s">
        <v>2900</v>
      </c>
      <c r="M7201" s="581">
        <v>6.86</v>
      </c>
    </row>
    <row r="7202" ht="26.25" spans="3:13">
      <c r="C7202" s="108"/>
      <c r="D7202" s="108"/>
      <c r="E7202" s="108"/>
      <c r="F7202" s="108"/>
      <c r="G7202" s="108"/>
      <c r="H7202" s="108" t="s">
        <v>2901</v>
      </c>
      <c r="I7202" s="581">
        <v>164.54</v>
      </c>
      <c r="J7202" s="114"/>
      <c r="K7202" s="114" t="s">
        <v>2902</v>
      </c>
      <c r="L7202" s="108"/>
      <c r="M7202" s="581">
        <v>810.08</v>
      </c>
    </row>
    <row r="7203" ht="15" spans="3:13">
      <c r="C7203" s="571"/>
      <c r="D7203" s="571"/>
      <c r="E7203" s="571"/>
      <c r="F7203" s="571"/>
      <c r="G7203" s="571"/>
      <c r="H7203" s="571"/>
      <c r="I7203" s="571"/>
      <c r="J7203" s="571"/>
      <c r="K7203" s="571"/>
      <c r="L7203" s="571"/>
      <c r="M7203" s="571"/>
    </row>
    <row r="7204" ht="15" customHeight="1" spans="3:13">
      <c r="C7204" s="76" t="s">
        <v>2493</v>
      </c>
      <c r="D7204" s="75" t="s">
        <v>63</v>
      </c>
      <c r="E7204" s="76" t="s">
        <v>64</v>
      </c>
      <c r="F7204" s="76" t="s">
        <v>65</v>
      </c>
      <c r="G7204" s="76" t="s">
        <v>2889</v>
      </c>
      <c r="H7204" s="76"/>
      <c r="I7204" s="77" t="s">
        <v>66</v>
      </c>
      <c r="J7204" s="75" t="s">
        <v>67</v>
      </c>
      <c r="K7204" s="75" t="s">
        <v>2890</v>
      </c>
      <c r="L7204" s="75" t="s">
        <v>68</v>
      </c>
      <c r="M7204" s="75" t="s">
        <v>70</v>
      </c>
    </row>
    <row r="7205" ht="23.85" customHeight="1" spans="3:13">
      <c r="C7205" s="569" t="s">
        <v>2891</v>
      </c>
      <c r="D7205" s="570" t="s">
        <v>2494</v>
      </c>
      <c r="E7205" s="569" t="s">
        <v>149</v>
      </c>
      <c r="F7205" s="569" t="s">
        <v>4943</v>
      </c>
      <c r="G7205" s="569" t="s">
        <v>3755</v>
      </c>
      <c r="H7205" s="569"/>
      <c r="I7205" s="577" t="s">
        <v>134</v>
      </c>
      <c r="J7205" s="578">
        <v>1</v>
      </c>
      <c r="K7205" s="579"/>
      <c r="L7205" s="579">
        <v>292.1</v>
      </c>
      <c r="M7205" s="579">
        <v>292.1</v>
      </c>
    </row>
    <row r="7206" ht="15" customHeight="1" spans="3:13">
      <c r="C7206" s="100" t="s">
        <v>2893</v>
      </c>
      <c r="D7206" s="99" t="s">
        <v>2988</v>
      </c>
      <c r="E7206" s="100" t="s">
        <v>149</v>
      </c>
      <c r="F7206" s="100" t="s">
        <v>2989</v>
      </c>
      <c r="G7206" s="100" t="s">
        <v>2896</v>
      </c>
      <c r="H7206" s="100"/>
      <c r="I7206" s="101" t="s">
        <v>2897</v>
      </c>
      <c r="J7206" s="580">
        <v>0.871</v>
      </c>
      <c r="K7206" s="580">
        <v>0</v>
      </c>
      <c r="L7206" s="102">
        <v>26.928256</v>
      </c>
      <c r="M7206" s="102">
        <v>23.45</v>
      </c>
    </row>
    <row r="7207" ht="15" customHeight="1" spans="3:13">
      <c r="C7207" s="100" t="s">
        <v>2893</v>
      </c>
      <c r="D7207" s="99" t="s">
        <v>3662</v>
      </c>
      <c r="E7207" s="100" t="s">
        <v>149</v>
      </c>
      <c r="F7207" s="100" t="s">
        <v>3663</v>
      </c>
      <c r="G7207" s="100" t="s">
        <v>2961</v>
      </c>
      <c r="H7207" s="100"/>
      <c r="I7207" s="101" t="s">
        <v>204</v>
      </c>
      <c r="J7207" s="580">
        <v>2.553</v>
      </c>
      <c r="K7207" s="580">
        <v>0</v>
      </c>
      <c r="L7207" s="102">
        <v>0.35</v>
      </c>
      <c r="M7207" s="102">
        <v>0.89</v>
      </c>
    </row>
    <row r="7208" ht="15" customHeight="1" spans="3:13">
      <c r="C7208" s="100" t="s">
        <v>2893</v>
      </c>
      <c r="D7208" s="99" t="s">
        <v>3660</v>
      </c>
      <c r="E7208" s="100" t="s">
        <v>149</v>
      </c>
      <c r="F7208" s="100" t="s">
        <v>3661</v>
      </c>
      <c r="G7208" s="100" t="s">
        <v>2896</v>
      </c>
      <c r="H7208" s="100"/>
      <c r="I7208" s="101" t="s">
        <v>2897</v>
      </c>
      <c r="J7208" s="580">
        <v>0.871</v>
      </c>
      <c r="K7208" s="580">
        <v>0</v>
      </c>
      <c r="L7208" s="102">
        <v>20.515752</v>
      </c>
      <c r="M7208" s="102">
        <v>17.86</v>
      </c>
    </row>
    <row r="7209" ht="15" customHeight="1" spans="3:13">
      <c r="C7209" s="100" t="s">
        <v>2893</v>
      </c>
      <c r="D7209" s="99" t="s">
        <v>4944</v>
      </c>
      <c r="E7209" s="100" t="s">
        <v>149</v>
      </c>
      <c r="F7209" s="100" t="s">
        <v>4945</v>
      </c>
      <c r="G7209" s="100" t="s">
        <v>2961</v>
      </c>
      <c r="H7209" s="100"/>
      <c r="I7209" s="101" t="s">
        <v>134</v>
      </c>
      <c r="J7209" s="580">
        <v>1</v>
      </c>
      <c r="K7209" s="580">
        <v>0</v>
      </c>
      <c r="L7209" s="102">
        <v>249.9</v>
      </c>
      <c r="M7209" s="102">
        <v>249.9</v>
      </c>
    </row>
    <row r="7210" ht="25.5" spans="3:13">
      <c r="C7210" s="108"/>
      <c r="D7210" s="108"/>
      <c r="E7210" s="108"/>
      <c r="F7210" s="108"/>
      <c r="G7210" s="108"/>
      <c r="H7210" s="108" t="s">
        <v>2898</v>
      </c>
      <c r="I7210" s="581">
        <v>41.31</v>
      </c>
      <c r="J7210" s="108" t="s">
        <v>2899</v>
      </c>
      <c r="K7210" s="581">
        <v>0</v>
      </c>
      <c r="L7210" s="108" t="s">
        <v>2900</v>
      </c>
      <c r="M7210" s="581">
        <v>41.31</v>
      </c>
    </row>
    <row r="7211" ht="26.25" spans="3:13">
      <c r="C7211" s="108"/>
      <c r="D7211" s="108"/>
      <c r="E7211" s="108"/>
      <c r="F7211" s="108"/>
      <c r="G7211" s="108"/>
      <c r="H7211" s="108" t="s">
        <v>2901</v>
      </c>
      <c r="I7211" s="581">
        <v>74.45</v>
      </c>
      <c r="J7211" s="114"/>
      <c r="K7211" s="114" t="s">
        <v>2902</v>
      </c>
      <c r="L7211" s="108"/>
      <c r="M7211" s="581">
        <v>366.55</v>
      </c>
    </row>
    <row r="7212" ht="15" spans="3:13">
      <c r="C7212" s="571"/>
      <c r="D7212" s="571"/>
      <c r="E7212" s="571"/>
      <c r="F7212" s="571"/>
      <c r="G7212" s="571"/>
      <c r="H7212" s="571"/>
      <c r="I7212" s="571"/>
      <c r="J7212" s="571"/>
      <c r="K7212" s="571"/>
      <c r="L7212" s="571"/>
      <c r="M7212" s="571"/>
    </row>
    <row r="7213" ht="15" customHeight="1" spans="3:13">
      <c r="C7213" s="76" t="s">
        <v>2496</v>
      </c>
      <c r="D7213" s="75" t="s">
        <v>63</v>
      </c>
      <c r="E7213" s="76" t="s">
        <v>64</v>
      </c>
      <c r="F7213" s="76" t="s">
        <v>65</v>
      </c>
      <c r="G7213" s="76" t="s">
        <v>2889</v>
      </c>
      <c r="H7213" s="76"/>
      <c r="I7213" s="77" t="s">
        <v>66</v>
      </c>
      <c r="J7213" s="75" t="s">
        <v>67</v>
      </c>
      <c r="K7213" s="75" t="s">
        <v>2890</v>
      </c>
      <c r="L7213" s="75" t="s">
        <v>68</v>
      </c>
      <c r="M7213" s="75" t="s">
        <v>70</v>
      </c>
    </row>
    <row r="7214" ht="23.85" customHeight="1" spans="3:13">
      <c r="C7214" s="569" t="s">
        <v>2891</v>
      </c>
      <c r="D7214" s="570" t="s">
        <v>2497</v>
      </c>
      <c r="E7214" s="569" t="s">
        <v>149</v>
      </c>
      <c r="F7214" s="569" t="s">
        <v>2498</v>
      </c>
      <c r="G7214" s="569" t="s">
        <v>3657</v>
      </c>
      <c r="H7214" s="569"/>
      <c r="I7214" s="577" t="s">
        <v>134</v>
      </c>
      <c r="J7214" s="578">
        <v>1</v>
      </c>
      <c r="K7214" s="579"/>
      <c r="L7214" s="579">
        <v>116.48</v>
      </c>
      <c r="M7214" s="579">
        <v>116.48</v>
      </c>
    </row>
    <row r="7215" ht="15" customHeight="1" spans="3:13">
      <c r="C7215" s="100" t="s">
        <v>2893</v>
      </c>
      <c r="D7215" s="99" t="s">
        <v>4946</v>
      </c>
      <c r="E7215" s="100" t="s">
        <v>149</v>
      </c>
      <c r="F7215" s="100" t="s">
        <v>4947</v>
      </c>
      <c r="G7215" s="100" t="s">
        <v>2961</v>
      </c>
      <c r="H7215" s="100"/>
      <c r="I7215" s="101" t="s">
        <v>134</v>
      </c>
      <c r="J7215" s="580">
        <v>1</v>
      </c>
      <c r="K7215" s="580">
        <v>0</v>
      </c>
      <c r="L7215" s="102">
        <v>89.77</v>
      </c>
      <c r="M7215" s="102">
        <v>89.77</v>
      </c>
    </row>
    <row r="7216" ht="15" customHeight="1" spans="3:13">
      <c r="C7216" s="100" t="s">
        <v>2893</v>
      </c>
      <c r="D7216" s="99" t="s">
        <v>3662</v>
      </c>
      <c r="E7216" s="100" t="s">
        <v>149</v>
      </c>
      <c r="F7216" s="100" t="s">
        <v>3663</v>
      </c>
      <c r="G7216" s="100" t="s">
        <v>2961</v>
      </c>
      <c r="H7216" s="100"/>
      <c r="I7216" s="101" t="s">
        <v>204</v>
      </c>
      <c r="J7216" s="580">
        <v>0.64</v>
      </c>
      <c r="K7216" s="580">
        <v>0</v>
      </c>
      <c r="L7216" s="102">
        <v>0.35</v>
      </c>
      <c r="M7216" s="102">
        <v>0.22</v>
      </c>
    </row>
    <row r="7217" ht="15" customHeight="1" spans="3:13">
      <c r="C7217" s="100" t="s">
        <v>2893</v>
      </c>
      <c r="D7217" s="99" t="s">
        <v>3660</v>
      </c>
      <c r="E7217" s="100" t="s">
        <v>149</v>
      </c>
      <c r="F7217" s="100" t="s">
        <v>3661</v>
      </c>
      <c r="G7217" s="100" t="s">
        <v>2896</v>
      </c>
      <c r="H7217" s="100"/>
      <c r="I7217" s="101" t="s">
        <v>2897</v>
      </c>
      <c r="J7217" s="580">
        <v>0.588</v>
      </c>
      <c r="K7217" s="580">
        <v>0</v>
      </c>
      <c r="L7217" s="102">
        <v>20.515752</v>
      </c>
      <c r="M7217" s="102">
        <v>12.06</v>
      </c>
    </row>
    <row r="7218" ht="15" customHeight="1" spans="3:13">
      <c r="C7218" s="100" t="s">
        <v>2893</v>
      </c>
      <c r="D7218" s="99" t="s">
        <v>2988</v>
      </c>
      <c r="E7218" s="100" t="s">
        <v>149</v>
      </c>
      <c r="F7218" s="100" t="s">
        <v>2989</v>
      </c>
      <c r="G7218" s="100" t="s">
        <v>2896</v>
      </c>
      <c r="H7218" s="100"/>
      <c r="I7218" s="101" t="s">
        <v>2897</v>
      </c>
      <c r="J7218" s="580">
        <v>0.536</v>
      </c>
      <c r="K7218" s="580">
        <v>0</v>
      </c>
      <c r="L7218" s="102">
        <v>26.928256</v>
      </c>
      <c r="M7218" s="102">
        <v>14.43</v>
      </c>
    </row>
    <row r="7219" ht="25.5" spans="3:13">
      <c r="C7219" s="108"/>
      <c r="D7219" s="108"/>
      <c r="E7219" s="108"/>
      <c r="F7219" s="108"/>
      <c r="G7219" s="108"/>
      <c r="H7219" s="108" t="s">
        <v>2898</v>
      </c>
      <c r="I7219" s="581">
        <v>26.49</v>
      </c>
      <c r="J7219" s="108" t="s">
        <v>2899</v>
      </c>
      <c r="K7219" s="581">
        <v>0</v>
      </c>
      <c r="L7219" s="108" t="s">
        <v>2900</v>
      </c>
      <c r="M7219" s="581">
        <v>26.49</v>
      </c>
    </row>
    <row r="7220" ht="26.25" spans="3:13">
      <c r="C7220" s="108"/>
      <c r="D7220" s="108"/>
      <c r="E7220" s="108"/>
      <c r="F7220" s="108"/>
      <c r="G7220" s="108"/>
      <c r="H7220" s="108" t="s">
        <v>2901</v>
      </c>
      <c r="I7220" s="581">
        <v>29.69</v>
      </c>
      <c r="J7220" s="114"/>
      <c r="K7220" s="114" t="s">
        <v>2902</v>
      </c>
      <c r="L7220" s="108"/>
      <c r="M7220" s="581">
        <v>146.17</v>
      </c>
    </row>
    <row r="7221" ht="15" spans="3:13">
      <c r="C7221" s="571"/>
      <c r="D7221" s="571"/>
      <c r="E7221" s="571"/>
      <c r="F7221" s="571"/>
      <c r="G7221" s="571"/>
      <c r="H7221" s="571"/>
      <c r="I7221" s="571"/>
      <c r="J7221" s="571"/>
      <c r="K7221" s="571"/>
      <c r="L7221" s="571"/>
      <c r="M7221" s="571"/>
    </row>
    <row r="7222" ht="15" customHeight="1" spans="3:13">
      <c r="C7222" s="76" t="s">
        <v>2499</v>
      </c>
      <c r="D7222" s="75" t="s">
        <v>63</v>
      </c>
      <c r="E7222" s="76" t="s">
        <v>64</v>
      </c>
      <c r="F7222" s="76" t="s">
        <v>65</v>
      </c>
      <c r="G7222" s="76" t="s">
        <v>2889</v>
      </c>
      <c r="H7222" s="76"/>
      <c r="I7222" s="77" t="s">
        <v>66</v>
      </c>
      <c r="J7222" s="75" t="s">
        <v>67</v>
      </c>
      <c r="K7222" s="75" t="s">
        <v>2890</v>
      </c>
      <c r="L7222" s="75" t="s">
        <v>68</v>
      </c>
      <c r="M7222" s="75" t="s">
        <v>70</v>
      </c>
    </row>
    <row r="7223" ht="38.25" spans="3:13">
      <c r="C7223" s="569" t="s">
        <v>2891</v>
      </c>
      <c r="D7223" s="570" t="s">
        <v>2500</v>
      </c>
      <c r="E7223" s="569" t="s">
        <v>77</v>
      </c>
      <c r="F7223" s="569" t="s">
        <v>4948</v>
      </c>
      <c r="G7223" s="569">
        <v>15</v>
      </c>
      <c r="H7223" s="569"/>
      <c r="I7223" s="577" t="s">
        <v>134</v>
      </c>
      <c r="J7223" s="578">
        <v>1</v>
      </c>
      <c r="K7223" s="579"/>
      <c r="L7223" s="579">
        <v>64.53</v>
      </c>
      <c r="M7223" s="579">
        <v>64.53</v>
      </c>
    </row>
    <row r="7224" ht="23.85" customHeight="1" spans="3:13">
      <c r="C7224" s="100" t="s">
        <v>2893</v>
      </c>
      <c r="D7224" s="99" t="s">
        <v>3108</v>
      </c>
      <c r="E7224" s="100" t="s">
        <v>77</v>
      </c>
      <c r="F7224" s="100" t="s">
        <v>3109</v>
      </c>
      <c r="G7224" s="100" t="s">
        <v>2896</v>
      </c>
      <c r="H7224" s="100"/>
      <c r="I7224" s="101" t="s">
        <v>2897</v>
      </c>
      <c r="J7224" s="580">
        <v>0.6</v>
      </c>
      <c r="K7224" s="580">
        <v>3</v>
      </c>
      <c r="L7224" s="102">
        <v>19.16</v>
      </c>
      <c r="M7224" s="102">
        <v>11.84</v>
      </c>
    </row>
    <row r="7225" ht="25.5" spans="3:13">
      <c r="C7225" s="100" t="s">
        <v>2893</v>
      </c>
      <c r="D7225" s="99" t="s">
        <v>4949</v>
      </c>
      <c r="E7225" s="100" t="s">
        <v>77</v>
      </c>
      <c r="F7225" s="100" t="s">
        <v>4950</v>
      </c>
      <c r="G7225" s="100">
        <v>0</v>
      </c>
      <c r="H7225" s="100"/>
      <c r="I7225" s="101" t="s">
        <v>134</v>
      </c>
      <c r="J7225" s="580">
        <v>1</v>
      </c>
      <c r="K7225" s="580">
        <v>0</v>
      </c>
      <c r="L7225" s="102">
        <v>36.31</v>
      </c>
      <c r="M7225" s="102">
        <v>36.31</v>
      </c>
    </row>
    <row r="7226" ht="23.85" customHeight="1" spans="3:13">
      <c r="C7226" s="100" t="s">
        <v>2893</v>
      </c>
      <c r="D7226" s="99" t="s">
        <v>3629</v>
      </c>
      <c r="E7226" s="100" t="s">
        <v>77</v>
      </c>
      <c r="F7226" s="100" t="s">
        <v>3630</v>
      </c>
      <c r="G7226" s="100" t="s">
        <v>2896</v>
      </c>
      <c r="H7226" s="100"/>
      <c r="I7226" s="101" t="s">
        <v>2897</v>
      </c>
      <c r="J7226" s="580">
        <v>0.6</v>
      </c>
      <c r="K7226" s="580">
        <v>3</v>
      </c>
      <c r="L7226" s="102">
        <v>26.52</v>
      </c>
      <c r="M7226" s="102">
        <v>16.38</v>
      </c>
    </row>
    <row r="7227" ht="25.5" spans="3:13">
      <c r="C7227" s="108"/>
      <c r="D7227" s="108"/>
      <c r="E7227" s="108"/>
      <c r="F7227" s="108"/>
      <c r="G7227" s="108"/>
      <c r="H7227" s="108" t="s">
        <v>2898</v>
      </c>
      <c r="I7227" s="581">
        <v>28.22</v>
      </c>
      <c r="J7227" s="108" t="s">
        <v>2899</v>
      </c>
      <c r="K7227" s="581">
        <v>0</v>
      </c>
      <c r="L7227" s="108" t="s">
        <v>2900</v>
      </c>
      <c r="M7227" s="581">
        <v>28.22</v>
      </c>
    </row>
    <row r="7228" ht="26.25" spans="3:13">
      <c r="C7228" s="108"/>
      <c r="D7228" s="108"/>
      <c r="E7228" s="108"/>
      <c r="F7228" s="108"/>
      <c r="G7228" s="108"/>
      <c r="H7228" s="108" t="s">
        <v>2901</v>
      </c>
      <c r="I7228" s="581">
        <v>16.44</v>
      </c>
      <c r="J7228" s="114"/>
      <c r="K7228" s="114" t="s">
        <v>2902</v>
      </c>
      <c r="L7228" s="108"/>
      <c r="M7228" s="581">
        <v>80.97</v>
      </c>
    </row>
    <row r="7229" ht="15" spans="3:13">
      <c r="C7229" s="571"/>
      <c r="D7229" s="571"/>
      <c r="E7229" s="571"/>
      <c r="F7229" s="571"/>
      <c r="G7229" s="571"/>
      <c r="H7229" s="571"/>
      <c r="I7229" s="571"/>
      <c r="J7229" s="571"/>
      <c r="K7229" s="571"/>
      <c r="L7229" s="571"/>
      <c r="M7229" s="571"/>
    </row>
    <row r="7230" ht="15" customHeight="1" spans="3:13">
      <c r="C7230" s="76" t="s">
        <v>2502</v>
      </c>
      <c r="D7230" s="75" t="s">
        <v>63</v>
      </c>
      <c r="E7230" s="76" t="s">
        <v>64</v>
      </c>
      <c r="F7230" s="76" t="s">
        <v>65</v>
      </c>
      <c r="G7230" s="76" t="s">
        <v>2889</v>
      </c>
      <c r="H7230" s="76"/>
      <c r="I7230" s="77" t="s">
        <v>66</v>
      </c>
      <c r="J7230" s="75" t="s">
        <v>67</v>
      </c>
      <c r="K7230" s="75" t="s">
        <v>2890</v>
      </c>
      <c r="L7230" s="75" t="s">
        <v>68</v>
      </c>
      <c r="M7230" s="75" t="s">
        <v>70</v>
      </c>
    </row>
    <row r="7231" ht="25.5" spans="3:13">
      <c r="C7231" s="569" t="s">
        <v>2891</v>
      </c>
      <c r="D7231" s="570" t="s">
        <v>2503</v>
      </c>
      <c r="E7231" s="569" t="s">
        <v>77</v>
      </c>
      <c r="F7231" s="569" t="s">
        <v>4951</v>
      </c>
      <c r="G7231" s="569">
        <v>15</v>
      </c>
      <c r="H7231" s="569"/>
      <c r="I7231" s="577" t="s">
        <v>134</v>
      </c>
      <c r="J7231" s="578">
        <v>1</v>
      </c>
      <c r="K7231" s="579"/>
      <c r="L7231" s="579">
        <v>77.94</v>
      </c>
      <c r="M7231" s="579">
        <v>77.94</v>
      </c>
    </row>
    <row r="7232" ht="23.85" customHeight="1" spans="3:13">
      <c r="C7232" s="100" t="s">
        <v>2893</v>
      </c>
      <c r="D7232" s="99" t="s">
        <v>3629</v>
      </c>
      <c r="E7232" s="100" t="s">
        <v>77</v>
      </c>
      <c r="F7232" s="100" t="s">
        <v>3630</v>
      </c>
      <c r="G7232" s="100" t="s">
        <v>2896</v>
      </c>
      <c r="H7232" s="100"/>
      <c r="I7232" s="101" t="s">
        <v>2897</v>
      </c>
      <c r="J7232" s="580">
        <v>0.6</v>
      </c>
      <c r="K7232" s="580">
        <v>3</v>
      </c>
      <c r="L7232" s="102">
        <v>26.52</v>
      </c>
      <c r="M7232" s="102">
        <v>16.38</v>
      </c>
    </row>
    <row r="7233" spans="3:13">
      <c r="C7233" s="100" t="s">
        <v>2893</v>
      </c>
      <c r="D7233" s="99" t="s">
        <v>4952</v>
      </c>
      <c r="E7233" s="100" t="s">
        <v>77</v>
      </c>
      <c r="F7233" s="100" t="s">
        <v>4953</v>
      </c>
      <c r="G7233" s="100">
        <v>0</v>
      </c>
      <c r="H7233" s="100"/>
      <c r="I7233" s="101" t="s">
        <v>134</v>
      </c>
      <c r="J7233" s="580">
        <v>1</v>
      </c>
      <c r="K7233" s="580">
        <v>0</v>
      </c>
      <c r="L7233" s="102">
        <v>49.72</v>
      </c>
      <c r="M7233" s="102">
        <v>49.72</v>
      </c>
    </row>
    <row r="7234" ht="23.85" customHeight="1" spans="3:13">
      <c r="C7234" s="100" t="s">
        <v>2893</v>
      </c>
      <c r="D7234" s="99" t="s">
        <v>3108</v>
      </c>
      <c r="E7234" s="100" t="s">
        <v>77</v>
      </c>
      <c r="F7234" s="100" t="s">
        <v>3109</v>
      </c>
      <c r="G7234" s="100" t="s">
        <v>2896</v>
      </c>
      <c r="H7234" s="100"/>
      <c r="I7234" s="101" t="s">
        <v>2897</v>
      </c>
      <c r="J7234" s="580">
        <v>0.6</v>
      </c>
      <c r="K7234" s="580">
        <v>3</v>
      </c>
      <c r="L7234" s="102">
        <v>19.16</v>
      </c>
      <c r="M7234" s="102">
        <v>11.84</v>
      </c>
    </row>
    <row r="7235" ht="25.5" spans="3:13">
      <c r="C7235" s="108"/>
      <c r="D7235" s="108"/>
      <c r="E7235" s="108"/>
      <c r="F7235" s="108"/>
      <c r="G7235" s="108"/>
      <c r="H7235" s="108" t="s">
        <v>2898</v>
      </c>
      <c r="I7235" s="581">
        <v>28.22</v>
      </c>
      <c r="J7235" s="108" t="s">
        <v>2899</v>
      </c>
      <c r="K7235" s="581">
        <v>0</v>
      </c>
      <c r="L7235" s="108" t="s">
        <v>2900</v>
      </c>
      <c r="M7235" s="581">
        <v>28.22</v>
      </c>
    </row>
    <row r="7236" ht="26.25" spans="3:13">
      <c r="C7236" s="108"/>
      <c r="D7236" s="108"/>
      <c r="E7236" s="108"/>
      <c r="F7236" s="108"/>
      <c r="G7236" s="108"/>
      <c r="H7236" s="108" t="s">
        <v>2901</v>
      </c>
      <c r="I7236" s="581">
        <v>19.86</v>
      </c>
      <c r="J7236" s="114"/>
      <c r="K7236" s="114" t="s">
        <v>2902</v>
      </c>
      <c r="L7236" s="108"/>
      <c r="M7236" s="581">
        <v>97.8</v>
      </c>
    </row>
    <row r="7237" ht="15" spans="3:13">
      <c r="C7237" s="571"/>
      <c r="D7237" s="571"/>
      <c r="E7237" s="571"/>
      <c r="F7237" s="571"/>
      <c r="G7237" s="571"/>
      <c r="H7237" s="571"/>
      <c r="I7237" s="571"/>
      <c r="J7237" s="571"/>
      <c r="K7237" s="571"/>
      <c r="L7237" s="571"/>
      <c r="M7237" s="571"/>
    </row>
    <row r="7238" ht="15" customHeight="1" spans="3:13">
      <c r="C7238" s="76" t="s">
        <v>2505</v>
      </c>
      <c r="D7238" s="75" t="s">
        <v>63</v>
      </c>
      <c r="E7238" s="76" t="s">
        <v>64</v>
      </c>
      <c r="F7238" s="76" t="s">
        <v>65</v>
      </c>
      <c r="G7238" s="76" t="s">
        <v>2889</v>
      </c>
      <c r="H7238" s="76"/>
      <c r="I7238" s="77" t="s">
        <v>66</v>
      </c>
      <c r="J7238" s="75" t="s">
        <v>67</v>
      </c>
      <c r="K7238" s="75" t="s">
        <v>2890</v>
      </c>
      <c r="L7238" s="75" t="s">
        <v>68</v>
      </c>
      <c r="M7238" s="75" t="s">
        <v>70</v>
      </c>
    </row>
    <row r="7239" ht="35.05" customHeight="1" spans="3:13">
      <c r="C7239" s="569" t="s">
        <v>2891</v>
      </c>
      <c r="D7239" s="570" t="s">
        <v>2506</v>
      </c>
      <c r="E7239" s="569" t="s">
        <v>139</v>
      </c>
      <c r="F7239" s="569" t="s">
        <v>2507</v>
      </c>
      <c r="G7239" s="569" t="s">
        <v>4954</v>
      </c>
      <c r="H7239" s="569"/>
      <c r="I7239" s="577" t="s">
        <v>134</v>
      </c>
      <c r="J7239" s="578">
        <v>1</v>
      </c>
      <c r="K7239" s="579"/>
      <c r="L7239" s="579">
        <v>480.41</v>
      </c>
      <c r="M7239" s="579">
        <v>480.41</v>
      </c>
    </row>
    <row r="7240" ht="23.85" customHeight="1" spans="3:13">
      <c r="C7240" s="79" t="s">
        <v>2921</v>
      </c>
      <c r="D7240" s="78" t="s">
        <v>3146</v>
      </c>
      <c r="E7240" s="79" t="s">
        <v>139</v>
      </c>
      <c r="F7240" s="79" t="s">
        <v>3147</v>
      </c>
      <c r="G7240" s="79" t="s">
        <v>2928</v>
      </c>
      <c r="H7240" s="79"/>
      <c r="I7240" s="80" t="s">
        <v>2897</v>
      </c>
      <c r="J7240" s="583">
        <v>0.1031</v>
      </c>
      <c r="K7240" s="583">
        <v>0</v>
      </c>
      <c r="L7240" s="92">
        <v>29.54</v>
      </c>
      <c r="M7240" s="92">
        <v>3.04</v>
      </c>
    </row>
    <row r="7241" ht="23.85" customHeight="1" spans="3:13">
      <c r="C7241" s="79" t="s">
        <v>2921</v>
      </c>
      <c r="D7241" s="78" t="s">
        <v>3144</v>
      </c>
      <c r="E7241" s="79" t="s">
        <v>139</v>
      </c>
      <c r="F7241" s="79" t="s">
        <v>3145</v>
      </c>
      <c r="G7241" s="79" t="s">
        <v>2928</v>
      </c>
      <c r="H7241" s="79"/>
      <c r="I7241" s="80" t="s">
        <v>2897</v>
      </c>
      <c r="J7241" s="583">
        <v>0.1031</v>
      </c>
      <c r="K7241" s="583">
        <v>0</v>
      </c>
      <c r="L7241" s="92">
        <v>35.55</v>
      </c>
      <c r="M7241" s="92">
        <v>3.66</v>
      </c>
    </row>
    <row r="7242" ht="23.85" customHeight="1" spans="3:13">
      <c r="C7242" s="100" t="s">
        <v>2893</v>
      </c>
      <c r="D7242" s="99" t="s">
        <v>4955</v>
      </c>
      <c r="E7242" s="100" t="s">
        <v>139</v>
      </c>
      <c r="F7242" s="100" t="s">
        <v>4956</v>
      </c>
      <c r="G7242" s="100" t="s">
        <v>2961</v>
      </c>
      <c r="H7242" s="100"/>
      <c r="I7242" s="101" t="s">
        <v>134</v>
      </c>
      <c r="J7242" s="580">
        <v>0.0007</v>
      </c>
      <c r="K7242" s="580">
        <v>0</v>
      </c>
      <c r="L7242" s="102">
        <v>56.57</v>
      </c>
      <c r="M7242" s="102">
        <v>0.03</v>
      </c>
    </row>
    <row r="7243" ht="23.85" customHeight="1" spans="3:13">
      <c r="C7243" s="100" t="s">
        <v>2893</v>
      </c>
      <c r="D7243" s="99" t="s">
        <v>4957</v>
      </c>
      <c r="E7243" s="100" t="s">
        <v>139</v>
      </c>
      <c r="F7243" s="100" t="s">
        <v>4958</v>
      </c>
      <c r="G7243" s="100" t="s">
        <v>2961</v>
      </c>
      <c r="H7243" s="100"/>
      <c r="I7243" s="101" t="s">
        <v>134</v>
      </c>
      <c r="J7243" s="580">
        <v>0.0028</v>
      </c>
      <c r="K7243" s="580">
        <v>0</v>
      </c>
      <c r="L7243" s="102">
        <v>308.6</v>
      </c>
      <c r="M7243" s="102">
        <v>0.86</v>
      </c>
    </row>
    <row r="7244" ht="15" customHeight="1" spans="3:13">
      <c r="C7244" s="100" t="s">
        <v>2893</v>
      </c>
      <c r="D7244" s="99" t="s">
        <v>4959</v>
      </c>
      <c r="E7244" s="100" t="s">
        <v>139</v>
      </c>
      <c r="F7244" s="100" t="s">
        <v>4960</v>
      </c>
      <c r="G7244" s="100" t="s">
        <v>2961</v>
      </c>
      <c r="H7244" s="100"/>
      <c r="I7244" s="101" t="s">
        <v>134</v>
      </c>
      <c r="J7244" s="580">
        <v>1</v>
      </c>
      <c r="K7244" s="580">
        <v>0</v>
      </c>
      <c r="L7244" s="102">
        <v>472.72</v>
      </c>
      <c r="M7244" s="102">
        <v>472.72</v>
      </c>
    </row>
    <row r="7245" ht="15" customHeight="1" spans="3:13">
      <c r="C7245" s="100" t="s">
        <v>2893</v>
      </c>
      <c r="D7245" s="99" t="s">
        <v>3609</v>
      </c>
      <c r="E7245" s="100" t="s">
        <v>139</v>
      </c>
      <c r="F7245" s="100" t="s">
        <v>3610</v>
      </c>
      <c r="G7245" s="100" t="s">
        <v>2961</v>
      </c>
      <c r="H7245" s="100"/>
      <c r="I7245" s="101" t="s">
        <v>134</v>
      </c>
      <c r="J7245" s="580">
        <v>0.0515</v>
      </c>
      <c r="K7245" s="580">
        <v>0</v>
      </c>
      <c r="L7245" s="102">
        <v>2.08</v>
      </c>
      <c r="M7245" s="102">
        <v>0.1</v>
      </c>
    </row>
    <row r="7246" ht="25.5" spans="3:13">
      <c r="C7246" s="108"/>
      <c r="D7246" s="108"/>
      <c r="E7246" s="108"/>
      <c r="F7246" s="108"/>
      <c r="G7246" s="108"/>
      <c r="H7246" s="108" t="s">
        <v>2898</v>
      </c>
      <c r="I7246" s="581">
        <v>4.76</v>
      </c>
      <c r="J7246" s="108" t="s">
        <v>2899</v>
      </c>
      <c r="K7246" s="581">
        <v>0</v>
      </c>
      <c r="L7246" s="108" t="s">
        <v>2900</v>
      </c>
      <c r="M7246" s="581">
        <v>4.76</v>
      </c>
    </row>
    <row r="7247" ht="26.25" spans="3:13">
      <c r="C7247" s="108"/>
      <c r="D7247" s="108"/>
      <c r="E7247" s="108"/>
      <c r="F7247" s="108"/>
      <c r="G7247" s="108"/>
      <c r="H7247" s="108" t="s">
        <v>2901</v>
      </c>
      <c r="I7247" s="581">
        <v>122.45</v>
      </c>
      <c r="J7247" s="114"/>
      <c r="K7247" s="114" t="s">
        <v>2902</v>
      </c>
      <c r="L7247" s="108"/>
      <c r="M7247" s="581">
        <v>602.86</v>
      </c>
    </row>
    <row r="7248" ht="15" spans="3:13">
      <c r="C7248" s="571"/>
      <c r="D7248" s="571"/>
      <c r="E7248" s="571"/>
      <c r="F7248" s="571"/>
      <c r="G7248" s="571"/>
      <c r="H7248" s="571"/>
      <c r="I7248" s="571"/>
      <c r="J7248" s="571"/>
      <c r="K7248" s="571"/>
      <c r="L7248" s="571"/>
      <c r="M7248" s="571"/>
    </row>
    <row r="7249" ht="15" customHeight="1" spans="3:13">
      <c r="C7249" s="76" t="s">
        <v>2508</v>
      </c>
      <c r="D7249" s="75" t="s">
        <v>63</v>
      </c>
      <c r="E7249" s="76" t="s">
        <v>64</v>
      </c>
      <c r="F7249" s="76" t="s">
        <v>65</v>
      </c>
      <c r="G7249" s="76" t="s">
        <v>2889</v>
      </c>
      <c r="H7249" s="76"/>
      <c r="I7249" s="77" t="s">
        <v>66</v>
      </c>
      <c r="J7249" s="75" t="s">
        <v>67</v>
      </c>
      <c r="K7249" s="75" t="s">
        <v>2890</v>
      </c>
      <c r="L7249" s="75" t="s">
        <v>68</v>
      </c>
      <c r="M7249" s="75" t="s">
        <v>70</v>
      </c>
    </row>
    <row r="7250" ht="35.05" customHeight="1" spans="3:13">
      <c r="C7250" s="569" t="s">
        <v>2891</v>
      </c>
      <c r="D7250" s="570" t="s">
        <v>2509</v>
      </c>
      <c r="E7250" s="569" t="s">
        <v>139</v>
      </c>
      <c r="F7250" s="569" t="s">
        <v>2510</v>
      </c>
      <c r="G7250" s="569" t="s">
        <v>4954</v>
      </c>
      <c r="H7250" s="569"/>
      <c r="I7250" s="577" t="s">
        <v>134</v>
      </c>
      <c r="J7250" s="578">
        <v>1</v>
      </c>
      <c r="K7250" s="579"/>
      <c r="L7250" s="579">
        <v>560.17</v>
      </c>
      <c r="M7250" s="579">
        <v>560.17</v>
      </c>
    </row>
    <row r="7251" ht="23.85" customHeight="1" spans="3:13">
      <c r="C7251" s="79" t="s">
        <v>2921</v>
      </c>
      <c r="D7251" s="78" t="s">
        <v>3144</v>
      </c>
      <c r="E7251" s="79" t="s">
        <v>139</v>
      </c>
      <c r="F7251" s="79" t="s">
        <v>3145</v>
      </c>
      <c r="G7251" s="79" t="s">
        <v>2928</v>
      </c>
      <c r="H7251" s="79"/>
      <c r="I7251" s="80" t="s">
        <v>2897</v>
      </c>
      <c r="J7251" s="583">
        <v>0.1559</v>
      </c>
      <c r="K7251" s="583">
        <v>0</v>
      </c>
      <c r="L7251" s="92">
        <v>35.55</v>
      </c>
      <c r="M7251" s="92">
        <v>5.54</v>
      </c>
    </row>
    <row r="7252" ht="23.85" customHeight="1" spans="3:13">
      <c r="C7252" s="79" t="s">
        <v>2921</v>
      </c>
      <c r="D7252" s="78" t="s">
        <v>3146</v>
      </c>
      <c r="E7252" s="79" t="s">
        <v>139</v>
      </c>
      <c r="F7252" s="79" t="s">
        <v>3147</v>
      </c>
      <c r="G7252" s="79" t="s">
        <v>2928</v>
      </c>
      <c r="H7252" s="79"/>
      <c r="I7252" s="80" t="s">
        <v>2897</v>
      </c>
      <c r="J7252" s="583">
        <v>0.1559</v>
      </c>
      <c r="K7252" s="583">
        <v>0</v>
      </c>
      <c r="L7252" s="92">
        <v>29.54</v>
      </c>
      <c r="M7252" s="92">
        <v>4.6</v>
      </c>
    </row>
    <row r="7253" ht="23.85" customHeight="1" spans="3:13">
      <c r="C7253" s="100" t="s">
        <v>2893</v>
      </c>
      <c r="D7253" s="99" t="s">
        <v>4955</v>
      </c>
      <c r="E7253" s="100" t="s">
        <v>139</v>
      </c>
      <c r="F7253" s="100" t="s">
        <v>4956</v>
      </c>
      <c r="G7253" s="100" t="s">
        <v>2961</v>
      </c>
      <c r="H7253" s="100"/>
      <c r="I7253" s="101" t="s">
        <v>134</v>
      </c>
      <c r="J7253" s="580">
        <v>0.0012</v>
      </c>
      <c r="K7253" s="580">
        <v>0</v>
      </c>
      <c r="L7253" s="102">
        <v>56.57</v>
      </c>
      <c r="M7253" s="102">
        <v>0.06</v>
      </c>
    </row>
    <row r="7254" ht="15" customHeight="1" spans="3:13">
      <c r="C7254" s="100" t="s">
        <v>2893</v>
      </c>
      <c r="D7254" s="99" t="s">
        <v>4961</v>
      </c>
      <c r="E7254" s="100" t="s">
        <v>139</v>
      </c>
      <c r="F7254" s="100" t="s">
        <v>4962</v>
      </c>
      <c r="G7254" s="100" t="s">
        <v>2961</v>
      </c>
      <c r="H7254" s="100"/>
      <c r="I7254" s="101" t="s">
        <v>134</v>
      </c>
      <c r="J7254" s="580">
        <v>1</v>
      </c>
      <c r="K7254" s="580">
        <v>0</v>
      </c>
      <c r="L7254" s="102">
        <v>548.33</v>
      </c>
      <c r="M7254" s="102">
        <v>548.33</v>
      </c>
    </row>
    <row r="7255" ht="15" customHeight="1" spans="3:13">
      <c r="C7255" s="100" t="s">
        <v>2893</v>
      </c>
      <c r="D7255" s="99" t="s">
        <v>3609</v>
      </c>
      <c r="E7255" s="100" t="s">
        <v>139</v>
      </c>
      <c r="F7255" s="100" t="s">
        <v>3610</v>
      </c>
      <c r="G7255" s="100" t="s">
        <v>2961</v>
      </c>
      <c r="H7255" s="100"/>
      <c r="I7255" s="101" t="s">
        <v>134</v>
      </c>
      <c r="J7255" s="580">
        <v>0.078</v>
      </c>
      <c r="K7255" s="580">
        <v>0</v>
      </c>
      <c r="L7255" s="102">
        <v>2.08</v>
      </c>
      <c r="M7255" s="102">
        <v>0.16</v>
      </c>
    </row>
    <row r="7256" ht="23.85" customHeight="1" spans="3:13">
      <c r="C7256" s="100" t="s">
        <v>2893</v>
      </c>
      <c r="D7256" s="99" t="s">
        <v>4957</v>
      </c>
      <c r="E7256" s="100" t="s">
        <v>139</v>
      </c>
      <c r="F7256" s="100" t="s">
        <v>4958</v>
      </c>
      <c r="G7256" s="100" t="s">
        <v>2961</v>
      </c>
      <c r="H7256" s="100"/>
      <c r="I7256" s="101" t="s">
        <v>134</v>
      </c>
      <c r="J7256" s="580">
        <v>0.0048</v>
      </c>
      <c r="K7256" s="580">
        <v>0</v>
      </c>
      <c r="L7256" s="102">
        <v>308.6</v>
      </c>
      <c r="M7256" s="102">
        <v>1.48</v>
      </c>
    </row>
    <row r="7257" ht="25.5" spans="3:13">
      <c r="C7257" s="108"/>
      <c r="D7257" s="108"/>
      <c r="E7257" s="108"/>
      <c r="F7257" s="108"/>
      <c r="G7257" s="108"/>
      <c r="H7257" s="108" t="s">
        <v>2898</v>
      </c>
      <c r="I7257" s="581">
        <v>7.22</v>
      </c>
      <c r="J7257" s="108" t="s">
        <v>2899</v>
      </c>
      <c r="K7257" s="581">
        <v>0</v>
      </c>
      <c r="L7257" s="108" t="s">
        <v>2900</v>
      </c>
      <c r="M7257" s="581">
        <v>7.22</v>
      </c>
    </row>
    <row r="7258" ht="26.25" spans="3:13">
      <c r="C7258" s="108"/>
      <c r="D7258" s="108"/>
      <c r="E7258" s="108"/>
      <c r="F7258" s="108"/>
      <c r="G7258" s="108"/>
      <c r="H7258" s="108" t="s">
        <v>2901</v>
      </c>
      <c r="I7258" s="581">
        <v>142.78</v>
      </c>
      <c r="J7258" s="114"/>
      <c r="K7258" s="114" t="s">
        <v>2902</v>
      </c>
      <c r="L7258" s="108"/>
      <c r="M7258" s="581">
        <v>702.95</v>
      </c>
    </row>
    <row r="7259" ht="15" spans="3:13">
      <c r="C7259" s="571"/>
      <c r="D7259" s="571"/>
      <c r="E7259" s="571"/>
      <c r="F7259" s="571"/>
      <c r="G7259" s="571"/>
      <c r="H7259" s="571"/>
      <c r="I7259" s="571"/>
      <c r="J7259" s="571"/>
      <c r="K7259" s="571"/>
      <c r="L7259" s="571"/>
      <c r="M7259" s="571"/>
    </row>
    <row r="7260" ht="15" customHeight="1" spans="3:13">
      <c r="C7260" s="76" t="s">
        <v>2511</v>
      </c>
      <c r="D7260" s="75" t="s">
        <v>63</v>
      </c>
      <c r="E7260" s="76" t="s">
        <v>64</v>
      </c>
      <c r="F7260" s="76" t="s">
        <v>65</v>
      </c>
      <c r="G7260" s="76" t="s">
        <v>2889</v>
      </c>
      <c r="H7260" s="76"/>
      <c r="I7260" s="77" t="s">
        <v>66</v>
      </c>
      <c r="J7260" s="75" t="s">
        <v>67</v>
      </c>
      <c r="K7260" s="75" t="s">
        <v>2890</v>
      </c>
      <c r="L7260" s="75" t="s">
        <v>68</v>
      </c>
      <c r="M7260" s="75" t="s">
        <v>70</v>
      </c>
    </row>
    <row r="7261" ht="23.85" customHeight="1" spans="3:13">
      <c r="C7261" s="569" t="s">
        <v>2891</v>
      </c>
      <c r="D7261" s="570" t="s">
        <v>2512</v>
      </c>
      <c r="E7261" s="569" t="s">
        <v>149</v>
      </c>
      <c r="F7261" s="569" t="s">
        <v>4963</v>
      </c>
      <c r="G7261" s="569" t="s">
        <v>3755</v>
      </c>
      <c r="H7261" s="569"/>
      <c r="I7261" s="577" t="s">
        <v>134</v>
      </c>
      <c r="J7261" s="578">
        <v>1</v>
      </c>
      <c r="K7261" s="579"/>
      <c r="L7261" s="579">
        <v>28.28</v>
      </c>
      <c r="M7261" s="579">
        <v>28.28</v>
      </c>
    </row>
    <row r="7262" ht="15" customHeight="1" spans="3:13">
      <c r="C7262" s="100" t="s">
        <v>2893</v>
      </c>
      <c r="D7262" s="99" t="s">
        <v>3660</v>
      </c>
      <c r="E7262" s="100" t="s">
        <v>149</v>
      </c>
      <c r="F7262" s="100" t="s">
        <v>3661</v>
      </c>
      <c r="G7262" s="100" t="s">
        <v>2896</v>
      </c>
      <c r="H7262" s="100"/>
      <c r="I7262" s="101" t="s">
        <v>2897</v>
      </c>
      <c r="J7262" s="580">
        <v>0.212</v>
      </c>
      <c r="K7262" s="580">
        <v>0</v>
      </c>
      <c r="L7262" s="102">
        <v>20.515752</v>
      </c>
      <c r="M7262" s="102">
        <v>4.34</v>
      </c>
    </row>
    <row r="7263" ht="15" customHeight="1" spans="3:13">
      <c r="C7263" s="100" t="s">
        <v>2893</v>
      </c>
      <c r="D7263" s="99" t="s">
        <v>4964</v>
      </c>
      <c r="E7263" s="100" t="s">
        <v>149</v>
      </c>
      <c r="F7263" s="100" t="s">
        <v>4965</v>
      </c>
      <c r="G7263" s="100" t="s">
        <v>2961</v>
      </c>
      <c r="H7263" s="100"/>
      <c r="I7263" s="101" t="s">
        <v>134</v>
      </c>
      <c r="J7263" s="580">
        <v>1</v>
      </c>
      <c r="K7263" s="580">
        <v>0</v>
      </c>
      <c r="L7263" s="102">
        <v>17.91</v>
      </c>
      <c r="M7263" s="102">
        <v>17.91</v>
      </c>
    </row>
    <row r="7264" ht="15" customHeight="1" spans="3:13">
      <c r="C7264" s="100" t="s">
        <v>2893</v>
      </c>
      <c r="D7264" s="99" t="s">
        <v>3662</v>
      </c>
      <c r="E7264" s="100" t="s">
        <v>149</v>
      </c>
      <c r="F7264" s="100" t="s">
        <v>3663</v>
      </c>
      <c r="G7264" s="100" t="s">
        <v>2961</v>
      </c>
      <c r="H7264" s="100"/>
      <c r="I7264" s="101" t="s">
        <v>204</v>
      </c>
      <c r="J7264" s="580">
        <v>0.957</v>
      </c>
      <c r="K7264" s="580">
        <v>0</v>
      </c>
      <c r="L7264" s="102">
        <v>0.35</v>
      </c>
      <c r="M7264" s="102">
        <v>0.33</v>
      </c>
    </row>
    <row r="7265" ht="15" customHeight="1" spans="3:13">
      <c r="C7265" s="100" t="s">
        <v>2893</v>
      </c>
      <c r="D7265" s="99" t="s">
        <v>2988</v>
      </c>
      <c r="E7265" s="100" t="s">
        <v>149</v>
      </c>
      <c r="F7265" s="100" t="s">
        <v>2989</v>
      </c>
      <c r="G7265" s="100" t="s">
        <v>2896</v>
      </c>
      <c r="H7265" s="100"/>
      <c r="I7265" s="101" t="s">
        <v>2897</v>
      </c>
      <c r="J7265" s="580">
        <v>0.212</v>
      </c>
      <c r="K7265" s="580">
        <v>0</v>
      </c>
      <c r="L7265" s="102">
        <v>26.928256</v>
      </c>
      <c r="M7265" s="102">
        <v>5.7</v>
      </c>
    </row>
    <row r="7266" ht="25.5" spans="3:13">
      <c r="C7266" s="108"/>
      <c r="D7266" s="108"/>
      <c r="E7266" s="108"/>
      <c r="F7266" s="108"/>
      <c r="G7266" s="108"/>
      <c r="H7266" s="108" t="s">
        <v>2898</v>
      </c>
      <c r="I7266" s="581">
        <v>10.04</v>
      </c>
      <c r="J7266" s="108" t="s">
        <v>2899</v>
      </c>
      <c r="K7266" s="581">
        <v>0</v>
      </c>
      <c r="L7266" s="108" t="s">
        <v>2900</v>
      </c>
      <c r="M7266" s="581">
        <v>10.04</v>
      </c>
    </row>
    <row r="7267" ht="26.25" spans="3:13">
      <c r="C7267" s="108"/>
      <c r="D7267" s="108"/>
      <c r="E7267" s="108"/>
      <c r="F7267" s="108"/>
      <c r="G7267" s="108"/>
      <c r="H7267" s="108" t="s">
        <v>2901</v>
      </c>
      <c r="I7267" s="581">
        <v>7.2</v>
      </c>
      <c r="J7267" s="114"/>
      <c r="K7267" s="114" t="s">
        <v>2902</v>
      </c>
      <c r="L7267" s="108"/>
      <c r="M7267" s="581">
        <v>35.48</v>
      </c>
    </row>
    <row r="7268" ht="15" spans="3:13">
      <c r="C7268" s="571"/>
      <c r="D7268" s="571"/>
      <c r="E7268" s="571"/>
      <c r="F7268" s="571"/>
      <c r="G7268" s="571"/>
      <c r="H7268" s="571"/>
      <c r="I7268" s="571"/>
      <c r="J7268" s="571"/>
      <c r="K7268" s="571"/>
      <c r="L7268" s="571"/>
      <c r="M7268" s="571"/>
    </row>
    <row r="7269" ht="15" customHeight="1" spans="3:13">
      <c r="C7269" s="76" t="s">
        <v>2514</v>
      </c>
      <c r="D7269" s="75" t="s">
        <v>63</v>
      </c>
      <c r="E7269" s="76" t="s">
        <v>64</v>
      </c>
      <c r="F7269" s="76" t="s">
        <v>65</v>
      </c>
      <c r="G7269" s="76" t="s">
        <v>2889</v>
      </c>
      <c r="H7269" s="76"/>
      <c r="I7269" s="77" t="s">
        <v>66</v>
      </c>
      <c r="J7269" s="75" t="s">
        <v>67</v>
      </c>
      <c r="K7269" s="75" t="s">
        <v>2890</v>
      </c>
      <c r="L7269" s="75" t="s">
        <v>68</v>
      </c>
      <c r="M7269" s="75" t="s">
        <v>70</v>
      </c>
    </row>
    <row r="7270" ht="23.85" customHeight="1" spans="3:13">
      <c r="C7270" s="569" t="s">
        <v>2891</v>
      </c>
      <c r="D7270" s="570" t="s">
        <v>2515</v>
      </c>
      <c r="E7270" s="569" t="s">
        <v>149</v>
      </c>
      <c r="F7270" s="569" t="s">
        <v>4966</v>
      </c>
      <c r="G7270" s="569" t="s">
        <v>3755</v>
      </c>
      <c r="H7270" s="569"/>
      <c r="I7270" s="577" t="s">
        <v>134</v>
      </c>
      <c r="J7270" s="578">
        <v>1</v>
      </c>
      <c r="K7270" s="579"/>
      <c r="L7270" s="579">
        <v>68.04</v>
      </c>
      <c r="M7270" s="579">
        <v>68.04</v>
      </c>
    </row>
    <row r="7271" ht="15" customHeight="1" spans="3:13">
      <c r="C7271" s="100" t="s">
        <v>2893</v>
      </c>
      <c r="D7271" s="99" t="s">
        <v>4967</v>
      </c>
      <c r="E7271" s="100" t="s">
        <v>149</v>
      </c>
      <c r="F7271" s="100" t="s">
        <v>4968</v>
      </c>
      <c r="G7271" s="100" t="s">
        <v>2961</v>
      </c>
      <c r="H7271" s="100"/>
      <c r="I7271" s="101" t="s">
        <v>134</v>
      </c>
      <c r="J7271" s="580">
        <v>1</v>
      </c>
      <c r="K7271" s="580">
        <v>0</v>
      </c>
      <c r="L7271" s="102">
        <v>54.99</v>
      </c>
      <c r="M7271" s="102">
        <v>54.99</v>
      </c>
    </row>
    <row r="7272" ht="15" customHeight="1" spans="3:13">
      <c r="C7272" s="100" t="s">
        <v>2893</v>
      </c>
      <c r="D7272" s="99" t="s">
        <v>2988</v>
      </c>
      <c r="E7272" s="100" t="s">
        <v>149</v>
      </c>
      <c r="F7272" s="100" t="s">
        <v>2989</v>
      </c>
      <c r="G7272" s="100" t="s">
        <v>2896</v>
      </c>
      <c r="H7272" s="100"/>
      <c r="I7272" s="101" t="s">
        <v>2897</v>
      </c>
      <c r="J7272" s="580">
        <v>0.266</v>
      </c>
      <c r="K7272" s="580">
        <v>0</v>
      </c>
      <c r="L7272" s="102">
        <v>26.928256</v>
      </c>
      <c r="M7272" s="102">
        <v>7.16</v>
      </c>
    </row>
    <row r="7273" ht="15" customHeight="1" spans="3:13">
      <c r="C7273" s="100" t="s">
        <v>2893</v>
      </c>
      <c r="D7273" s="99" t="s">
        <v>3662</v>
      </c>
      <c r="E7273" s="100" t="s">
        <v>149</v>
      </c>
      <c r="F7273" s="100" t="s">
        <v>3663</v>
      </c>
      <c r="G7273" s="100" t="s">
        <v>2961</v>
      </c>
      <c r="H7273" s="100"/>
      <c r="I7273" s="101" t="s">
        <v>204</v>
      </c>
      <c r="J7273" s="580">
        <v>1.277</v>
      </c>
      <c r="K7273" s="580">
        <v>0</v>
      </c>
      <c r="L7273" s="102">
        <v>0.35</v>
      </c>
      <c r="M7273" s="102">
        <v>0.44</v>
      </c>
    </row>
    <row r="7274" ht="15" customHeight="1" spans="3:13">
      <c r="C7274" s="100" t="s">
        <v>2893</v>
      </c>
      <c r="D7274" s="99" t="s">
        <v>3660</v>
      </c>
      <c r="E7274" s="100" t="s">
        <v>149</v>
      </c>
      <c r="F7274" s="100" t="s">
        <v>3661</v>
      </c>
      <c r="G7274" s="100" t="s">
        <v>2896</v>
      </c>
      <c r="H7274" s="100"/>
      <c r="I7274" s="101" t="s">
        <v>2897</v>
      </c>
      <c r="J7274" s="580">
        <v>0.266</v>
      </c>
      <c r="K7274" s="580">
        <v>0</v>
      </c>
      <c r="L7274" s="102">
        <v>20.515752</v>
      </c>
      <c r="M7274" s="102">
        <v>5.45</v>
      </c>
    </row>
    <row r="7275" ht="25.5" spans="3:13">
      <c r="C7275" s="108"/>
      <c r="D7275" s="108"/>
      <c r="E7275" s="108"/>
      <c r="F7275" s="108"/>
      <c r="G7275" s="108"/>
      <c r="H7275" s="108" t="s">
        <v>2898</v>
      </c>
      <c r="I7275" s="581">
        <v>12.61</v>
      </c>
      <c r="J7275" s="108" t="s">
        <v>2899</v>
      </c>
      <c r="K7275" s="581">
        <v>0</v>
      </c>
      <c r="L7275" s="108" t="s">
        <v>2900</v>
      </c>
      <c r="M7275" s="581">
        <v>12.61</v>
      </c>
    </row>
    <row r="7276" ht="26.25" spans="3:13">
      <c r="C7276" s="108"/>
      <c r="D7276" s="108"/>
      <c r="E7276" s="108"/>
      <c r="F7276" s="108"/>
      <c r="G7276" s="108"/>
      <c r="H7276" s="108" t="s">
        <v>2901</v>
      </c>
      <c r="I7276" s="581">
        <v>17.34</v>
      </c>
      <c r="J7276" s="114"/>
      <c r="K7276" s="114" t="s">
        <v>2902</v>
      </c>
      <c r="L7276" s="108"/>
      <c r="M7276" s="581">
        <v>85.38</v>
      </c>
    </row>
    <row r="7277" ht="15" spans="3:13">
      <c r="C7277" s="571"/>
      <c r="D7277" s="571"/>
      <c r="E7277" s="571"/>
      <c r="F7277" s="571"/>
      <c r="G7277" s="571"/>
      <c r="H7277" s="571"/>
      <c r="I7277" s="571"/>
      <c r="J7277" s="571"/>
      <c r="K7277" s="571"/>
      <c r="L7277" s="571"/>
      <c r="M7277" s="571"/>
    </row>
    <row r="7278" ht="15" customHeight="1" spans="3:13">
      <c r="C7278" s="76" t="s">
        <v>2517</v>
      </c>
      <c r="D7278" s="75" t="s">
        <v>63</v>
      </c>
      <c r="E7278" s="76" t="s">
        <v>64</v>
      </c>
      <c r="F7278" s="76" t="s">
        <v>65</v>
      </c>
      <c r="G7278" s="76" t="s">
        <v>2889</v>
      </c>
      <c r="H7278" s="76"/>
      <c r="I7278" s="77" t="s">
        <v>66</v>
      </c>
      <c r="J7278" s="75" t="s">
        <v>67</v>
      </c>
      <c r="K7278" s="75" t="s">
        <v>2890</v>
      </c>
      <c r="L7278" s="75" t="s">
        <v>68</v>
      </c>
      <c r="M7278" s="75" t="s">
        <v>70</v>
      </c>
    </row>
    <row r="7279" ht="23.85" customHeight="1" spans="3:13">
      <c r="C7279" s="569" t="s">
        <v>2891</v>
      </c>
      <c r="D7279" s="570" t="s">
        <v>2518</v>
      </c>
      <c r="E7279" s="569" t="s">
        <v>149</v>
      </c>
      <c r="F7279" s="569" t="s">
        <v>4969</v>
      </c>
      <c r="G7279" s="569" t="s">
        <v>3755</v>
      </c>
      <c r="H7279" s="569"/>
      <c r="I7279" s="577" t="s">
        <v>134</v>
      </c>
      <c r="J7279" s="578">
        <v>1</v>
      </c>
      <c r="K7279" s="579"/>
      <c r="L7279" s="579">
        <v>44.11</v>
      </c>
      <c r="M7279" s="579">
        <v>44.11</v>
      </c>
    </row>
    <row r="7280" ht="15" customHeight="1" spans="3:13">
      <c r="C7280" s="100" t="s">
        <v>2893</v>
      </c>
      <c r="D7280" s="99" t="s">
        <v>2988</v>
      </c>
      <c r="E7280" s="100" t="s">
        <v>149</v>
      </c>
      <c r="F7280" s="100" t="s">
        <v>2989</v>
      </c>
      <c r="G7280" s="100" t="s">
        <v>2896</v>
      </c>
      <c r="H7280" s="100"/>
      <c r="I7280" s="101" t="s">
        <v>2897</v>
      </c>
      <c r="J7280" s="580">
        <v>0.362</v>
      </c>
      <c r="K7280" s="580">
        <v>0</v>
      </c>
      <c r="L7280" s="102">
        <v>26.928256</v>
      </c>
      <c r="M7280" s="102">
        <v>9.74</v>
      </c>
    </row>
    <row r="7281" ht="15" customHeight="1" spans="3:13">
      <c r="C7281" s="100" t="s">
        <v>2893</v>
      </c>
      <c r="D7281" s="99" t="s">
        <v>3660</v>
      </c>
      <c r="E7281" s="100" t="s">
        <v>149</v>
      </c>
      <c r="F7281" s="100" t="s">
        <v>3661</v>
      </c>
      <c r="G7281" s="100" t="s">
        <v>2896</v>
      </c>
      <c r="H7281" s="100"/>
      <c r="I7281" s="101" t="s">
        <v>2897</v>
      </c>
      <c r="J7281" s="580">
        <v>0.362</v>
      </c>
      <c r="K7281" s="580">
        <v>0</v>
      </c>
      <c r="L7281" s="102">
        <v>20.515752</v>
      </c>
      <c r="M7281" s="102">
        <v>7.42</v>
      </c>
    </row>
    <row r="7282" ht="15" customHeight="1" spans="3:13">
      <c r="C7282" s="100" t="s">
        <v>2893</v>
      </c>
      <c r="D7282" s="99" t="s">
        <v>4970</v>
      </c>
      <c r="E7282" s="100" t="s">
        <v>149</v>
      </c>
      <c r="F7282" s="100" t="s">
        <v>4971</v>
      </c>
      <c r="G7282" s="100" t="s">
        <v>2961</v>
      </c>
      <c r="H7282" s="100"/>
      <c r="I7282" s="101" t="s">
        <v>134</v>
      </c>
      <c r="J7282" s="580">
        <v>1</v>
      </c>
      <c r="K7282" s="580">
        <v>0</v>
      </c>
      <c r="L7282" s="102">
        <v>26.39</v>
      </c>
      <c r="M7282" s="102">
        <v>26.39</v>
      </c>
    </row>
    <row r="7283" ht="15" customHeight="1" spans="3:13">
      <c r="C7283" s="100" t="s">
        <v>2893</v>
      </c>
      <c r="D7283" s="99" t="s">
        <v>3662</v>
      </c>
      <c r="E7283" s="100" t="s">
        <v>149</v>
      </c>
      <c r="F7283" s="100" t="s">
        <v>3663</v>
      </c>
      <c r="G7283" s="100" t="s">
        <v>2961</v>
      </c>
      <c r="H7283" s="100"/>
      <c r="I7283" s="101" t="s">
        <v>204</v>
      </c>
      <c r="J7283" s="580">
        <v>1.6</v>
      </c>
      <c r="K7283" s="580">
        <v>0</v>
      </c>
      <c r="L7283" s="102">
        <v>0.35</v>
      </c>
      <c r="M7283" s="102">
        <v>0.56</v>
      </c>
    </row>
    <row r="7284" ht="25.5" spans="3:13">
      <c r="C7284" s="108"/>
      <c r="D7284" s="108"/>
      <c r="E7284" s="108"/>
      <c r="F7284" s="108"/>
      <c r="G7284" s="108"/>
      <c r="H7284" s="108" t="s">
        <v>2898</v>
      </c>
      <c r="I7284" s="581">
        <v>17.16</v>
      </c>
      <c r="J7284" s="108" t="s">
        <v>2899</v>
      </c>
      <c r="K7284" s="581">
        <v>0</v>
      </c>
      <c r="L7284" s="108" t="s">
        <v>2900</v>
      </c>
      <c r="M7284" s="581">
        <v>17.16</v>
      </c>
    </row>
    <row r="7285" ht="26.25" spans="3:13">
      <c r="C7285" s="108"/>
      <c r="D7285" s="108"/>
      <c r="E7285" s="108"/>
      <c r="F7285" s="108"/>
      <c r="G7285" s="108"/>
      <c r="H7285" s="108" t="s">
        <v>2901</v>
      </c>
      <c r="I7285" s="581">
        <v>11.24</v>
      </c>
      <c r="J7285" s="114"/>
      <c r="K7285" s="114" t="s">
        <v>2902</v>
      </c>
      <c r="L7285" s="108"/>
      <c r="M7285" s="581">
        <v>55.35</v>
      </c>
    </row>
    <row r="7286" ht="15" spans="3:13">
      <c r="C7286" s="571"/>
      <c r="D7286" s="571"/>
      <c r="E7286" s="571"/>
      <c r="F7286" s="571"/>
      <c r="G7286" s="571"/>
      <c r="H7286" s="571"/>
      <c r="I7286" s="571"/>
      <c r="J7286" s="571"/>
      <c r="K7286" s="571"/>
      <c r="L7286" s="571"/>
      <c r="M7286" s="571"/>
    </row>
    <row r="7287" ht="15" customHeight="1" spans="3:13">
      <c r="C7287" s="76" t="s">
        <v>2520</v>
      </c>
      <c r="D7287" s="75" t="s">
        <v>63</v>
      </c>
      <c r="E7287" s="76" t="s">
        <v>64</v>
      </c>
      <c r="F7287" s="76" t="s">
        <v>65</v>
      </c>
      <c r="G7287" s="76" t="s">
        <v>2889</v>
      </c>
      <c r="H7287" s="76"/>
      <c r="I7287" s="77" t="s">
        <v>66</v>
      </c>
      <c r="J7287" s="75" t="s">
        <v>67</v>
      </c>
      <c r="K7287" s="75" t="s">
        <v>2890</v>
      </c>
      <c r="L7287" s="75" t="s">
        <v>68</v>
      </c>
      <c r="M7287" s="75" t="s">
        <v>70</v>
      </c>
    </row>
    <row r="7288" ht="23.85" customHeight="1" spans="3:13">
      <c r="C7288" s="569" t="s">
        <v>2891</v>
      </c>
      <c r="D7288" s="570" t="s">
        <v>2521</v>
      </c>
      <c r="E7288" s="569" t="s">
        <v>149</v>
      </c>
      <c r="F7288" s="569" t="s">
        <v>4972</v>
      </c>
      <c r="G7288" s="569" t="s">
        <v>3755</v>
      </c>
      <c r="H7288" s="569"/>
      <c r="I7288" s="577" t="s">
        <v>134</v>
      </c>
      <c r="J7288" s="578">
        <v>1</v>
      </c>
      <c r="K7288" s="579"/>
      <c r="L7288" s="579">
        <v>785.56</v>
      </c>
      <c r="M7288" s="579">
        <v>785.56</v>
      </c>
    </row>
    <row r="7289" ht="15" customHeight="1" spans="3:13">
      <c r="C7289" s="100" t="s">
        <v>2893</v>
      </c>
      <c r="D7289" s="99" t="s">
        <v>3660</v>
      </c>
      <c r="E7289" s="100" t="s">
        <v>149</v>
      </c>
      <c r="F7289" s="100" t="s">
        <v>3661</v>
      </c>
      <c r="G7289" s="100" t="s">
        <v>2896</v>
      </c>
      <c r="H7289" s="100"/>
      <c r="I7289" s="101" t="s">
        <v>2897</v>
      </c>
      <c r="J7289" s="580">
        <v>0.709</v>
      </c>
      <c r="K7289" s="580">
        <v>0</v>
      </c>
      <c r="L7289" s="102">
        <v>20.515752</v>
      </c>
      <c r="M7289" s="102">
        <v>14.54</v>
      </c>
    </row>
    <row r="7290" ht="15" customHeight="1" spans="3:13">
      <c r="C7290" s="100" t="s">
        <v>2893</v>
      </c>
      <c r="D7290" s="99" t="s">
        <v>2988</v>
      </c>
      <c r="E7290" s="100" t="s">
        <v>149</v>
      </c>
      <c r="F7290" s="100" t="s">
        <v>2989</v>
      </c>
      <c r="G7290" s="100" t="s">
        <v>2896</v>
      </c>
      <c r="H7290" s="100"/>
      <c r="I7290" s="101" t="s">
        <v>2897</v>
      </c>
      <c r="J7290" s="580">
        <v>0.709</v>
      </c>
      <c r="K7290" s="580">
        <v>0</v>
      </c>
      <c r="L7290" s="102">
        <v>26.928256</v>
      </c>
      <c r="M7290" s="102">
        <v>19.09</v>
      </c>
    </row>
    <row r="7291" ht="15" customHeight="1" spans="3:13">
      <c r="C7291" s="100" t="s">
        <v>2893</v>
      </c>
      <c r="D7291" s="99" t="s">
        <v>3662</v>
      </c>
      <c r="E7291" s="100" t="s">
        <v>149</v>
      </c>
      <c r="F7291" s="100" t="s">
        <v>3663</v>
      </c>
      <c r="G7291" s="100" t="s">
        <v>2961</v>
      </c>
      <c r="H7291" s="100"/>
      <c r="I7291" s="101" t="s">
        <v>204</v>
      </c>
      <c r="J7291" s="580">
        <v>5.107</v>
      </c>
      <c r="K7291" s="580">
        <v>0</v>
      </c>
      <c r="L7291" s="102">
        <v>0.35</v>
      </c>
      <c r="M7291" s="102">
        <v>1.78</v>
      </c>
    </row>
    <row r="7292" ht="15" customHeight="1" spans="3:13">
      <c r="C7292" s="100" t="s">
        <v>2893</v>
      </c>
      <c r="D7292" s="99" t="s">
        <v>4973</v>
      </c>
      <c r="E7292" s="100" t="s">
        <v>149</v>
      </c>
      <c r="F7292" s="100" t="s">
        <v>4974</v>
      </c>
      <c r="G7292" s="100" t="s">
        <v>2961</v>
      </c>
      <c r="H7292" s="100"/>
      <c r="I7292" s="101" t="s">
        <v>134</v>
      </c>
      <c r="J7292" s="580">
        <v>1</v>
      </c>
      <c r="K7292" s="580">
        <v>0</v>
      </c>
      <c r="L7292" s="102">
        <v>750.15</v>
      </c>
      <c r="M7292" s="102">
        <v>750.15</v>
      </c>
    </row>
    <row r="7293" ht="25.5" spans="3:13">
      <c r="C7293" s="108"/>
      <c r="D7293" s="108"/>
      <c r="E7293" s="108"/>
      <c r="F7293" s="108"/>
      <c r="G7293" s="108"/>
      <c r="H7293" s="108" t="s">
        <v>2898</v>
      </c>
      <c r="I7293" s="581">
        <v>33.63</v>
      </c>
      <c r="J7293" s="108" t="s">
        <v>2899</v>
      </c>
      <c r="K7293" s="581">
        <v>0</v>
      </c>
      <c r="L7293" s="108" t="s">
        <v>2900</v>
      </c>
      <c r="M7293" s="581">
        <v>33.63</v>
      </c>
    </row>
    <row r="7294" ht="26.25" spans="3:13">
      <c r="C7294" s="108"/>
      <c r="D7294" s="108"/>
      <c r="E7294" s="108"/>
      <c r="F7294" s="108"/>
      <c r="G7294" s="108"/>
      <c r="H7294" s="108" t="s">
        <v>2901</v>
      </c>
      <c r="I7294" s="581">
        <v>200.23</v>
      </c>
      <c r="J7294" s="114"/>
      <c r="K7294" s="114" t="s">
        <v>2902</v>
      </c>
      <c r="L7294" s="108"/>
      <c r="M7294" s="581">
        <v>985.79</v>
      </c>
    </row>
    <row r="7295" ht="15" spans="3:13">
      <c r="C7295" s="571"/>
      <c r="D7295" s="571"/>
      <c r="E7295" s="571"/>
      <c r="F7295" s="571"/>
      <c r="G7295" s="571"/>
      <c r="H7295" s="571"/>
      <c r="I7295" s="571"/>
      <c r="J7295" s="571"/>
      <c r="K7295" s="571"/>
      <c r="L7295" s="571"/>
      <c r="M7295" s="571"/>
    </row>
    <row r="7296" ht="15" customHeight="1" spans="3:13">
      <c r="C7296" s="76" t="s">
        <v>2523</v>
      </c>
      <c r="D7296" s="75" t="s">
        <v>63</v>
      </c>
      <c r="E7296" s="76" t="s">
        <v>64</v>
      </c>
      <c r="F7296" s="76" t="s">
        <v>65</v>
      </c>
      <c r="G7296" s="76" t="s">
        <v>2889</v>
      </c>
      <c r="H7296" s="76"/>
      <c r="I7296" s="77" t="s">
        <v>66</v>
      </c>
      <c r="J7296" s="75" t="s">
        <v>67</v>
      </c>
      <c r="K7296" s="75" t="s">
        <v>2890</v>
      </c>
      <c r="L7296" s="75" t="s">
        <v>68</v>
      </c>
      <c r="M7296" s="75" t="s">
        <v>70</v>
      </c>
    </row>
    <row r="7297" ht="23.85" customHeight="1" spans="3:13">
      <c r="C7297" s="569" t="s">
        <v>2891</v>
      </c>
      <c r="D7297" s="570" t="s">
        <v>2524</v>
      </c>
      <c r="E7297" s="569" t="s">
        <v>149</v>
      </c>
      <c r="F7297" s="569" t="s">
        <v>4975</v>
      </c>
      <c r="G7297" s="569" t="s">
        <v>3755</v>
      </c>
      <c r="H7297" s="569"/>
      <c r="I7297" s="577" t="s">
        <v>134</v>
      </c>
      <c r="J7297" s="578">
        <v>1</v>
      </c>
      <c r="K7297" s="579"/>
      <c r="L7297" s="579">
        <v>2095.62</v>
      </c>
      <c r="M7297" s="579">
        <v>2095.62</v>
      </c>
    </row>
    <row r="7298" ht="15" customHeight="1" spans="3:13">
      <c r="C7298" s="100" t="s">
        <v>2893</v>
      </c>
      <c r="D7298" s="99" t="s">
        <v>2988</v>
      </c>
      <c r="E7298" s="100" t="s">
        <v>149</v>
      </c>
      <c r="F7298" s="100" t="s">
        <v>2989</v>
      </c>
      <c r="G7298" s="100" t="s">
        <v>2896</v>
      </c>
      <c r="H7298" s="100"/>
      <c r="I7298" s="101" t="s">
        <v>2897</v>
      </c>
      <c r="J7298" s="580">
        <v>0.477</v>
      </c>
      <c r="K7298" s="580">
        <v>0</v>
      </c>
      <c r="L7298" s="102">
        <v>26.928256</v>
      </c>
      <c r="M7298" s="102">
        <v>12.84</v>
      </c>
    </row>
    <row r="7299" ht="15" customHeight="1" spans="3:13">
      <c r="C7299" s="100" t="s">
        <v>2893</v>
      </c>
      <c r="D7299" s="99" t="s">
        <v>4976</v>
      </c>
      <c r="E7299" s="100" t="s">
        <v>149</v>
      </c>
      <c r="F7299" s="100" t="s">
        <v>4977</v>
      </c>
      <c r="G7299" s="100" t="s">
        <v>2961</v>
      </c>
      <c r="H7299" s="100"/>
      <c r="I7299" s="101" t="s">
        <v>134</v>
      </c>
      <c r="J7299" s="580">
        <v>1</v>
      </c>
      <c r="K7299" s="580">
        <v>0</v>
      </c>
      <c r="L7299" s="102">
        <v>2073</v>
      </c>
      <c r="M7299" s="102">
        <v>2073</v>
      </c>
    </row>
    <row r="7300" ht="15" customHeight="1" spans="3:13">
      <c r="C7300" s="100" t="s">
        <v>2893</v>
      </c>
      <c r="D7300" s="99" t="s">
        <v>3660</v>
      </c>
      <c r="E7300" s="100" t="s">
        <v>149</v>
      </c>
      <c r="F7300" s="100" t="s">
        <v>3661</v>
      </c>
      <c r="G7300" s="100" t="s">
        <v>2896</v>
      </c>
      <c r="H7300" s="100"/>
      <c r="I7300" s="101" t="s">
        <v>2897</v>
      </c>
      <c r="J7300" s="580">
        <v>0.477</v>
      </c>
      <c r="K7300" s="580">
        <v>0</v>
      </c>
      <c r="L7300" s="102">
        <v>20.515752</v>
      </c>
      <c r="M7300" s="102">
        <v>9.78</v>
      </c>
    </row>
    <row r="7301" ht="25.5" spans="3:13">
      <c r="C7301" s="108"/>
      <c r="D7301" s="108"/>
      <c r="E7301" s="108"/>
      <c r="F7301" s="108"/>
      <c r="G7301" s="108"/>
      <c r="H7301" s="108" t="s">
        <v>2898</v>
      </c>
      <c r="I7301" s="581">
        <v>22.62</v>
      </c>
      <c r="J7301" s="108" t="s">
        <v>2899</v>
      </c>
      <c r="K7301" s="581">
        <v>0</v>
      </c>
      <c r="L7301" s="108" t="s">
        <v>2900</v>
      </c>
      <c r="M7301" s="581">
        <v>22.62</v>
      </c>
    </row>
    <row r="7302" ht="26.25" spans="3:13">
      <c r="C7302" s="108"/>
      <c r="D7302" s="108"/>
      <c r="E7302" s="108"/>
      <c r="F7302" s="108"/>
      <c r="G7302" s="108"/>
      <c r="H7302" s="108" t="s">
        <v>2901</v>
      </c>
      <c r="I7302" s="581">
        <v>534.17</v>
      </c>
      <c r="J7302" s="114"/>
      <c r="K7302" s="114" t="s">
        <v>2902</v>
      </c>
      <c r="L7302" s="108"/>
      <c r="M7302" s="581">
        <v>2629.79</v>
      </c>
    </row>
    <row r="7303" ht="15" spans="3:13">
      <c r="C7303" s="571"/>
      <c r="D7303" s="571"/>
      <c r="E7303" s="571"/>
      <c r="F7303" s="571"/>
      <c r="G7303" s="571"/>
      <c r="H7303" s="571"/>
      <c r="I7303" s="571"/>
      <c r="J7303" s="571"/>
      <c r="K7303" s="571"/>
      <c r="L7303" s="571"/>
      <c r="M7303" s="571"/>
    </row>
    <row r="7304" ht="15" customHeight="1" spans="3:13">
      <c r="C7304" s="76" t="s">
        <v>2526</v>
      </c>
      <c r="D7304" s="75" t="s">
        <v>63</v>
      </c>
      <c r="E7304" s="76" t="s">
        <v>64</v>
      </c>
      <c r="F7304" s="76" t="s">
        <v>65</v>
      </c>
      <c r="G7304" s="76" t="s">
        <v>2889</v>
      </c>
      <c r="H7304" s="76"/>
      <c r="I7304" s="77" t="s">
        <v>66</v>
      </c>
      <c r="J7304" s="75" t="s">
        <v>67</v>
      </c>
      <c r="K7304" s="75" t="s">
        <v>2890</v>
      </c>
      <c r="L7304" s="75" t="s">
        <v>68</v>
      </c>
      <c r="M7304" s="75" t="s">
        <v>70</v>
      </c>
    </row>
    <row r="7305" ht="38.25" spans="3:13">
      <c r="C7305" s="569" t="s">
        <v>2891</v>
      </c>
      <c r="D7305" s="570" t="s">
        <v>2527</v>
      </c>
      <c r="E7305" s="569" t="s">
        <v>132</v>
      </c>
      <c r="F7305" s="569" t="s">
        <v>2528</v>
      </c>
      <c r="G7305" s="569">
        <v>726</v>
      </c>
      <c r="H7305" s="569"/>
      <c r="I7305" s="577" t="s">
        <v>204</v>
      </c>
      <c r="J7305" s="578">
        <v>1</v>
      </c>
      <c r="K7305" s="579"/>
      <c r="L7305" s="579">
        <v>23.54</v>
      </c>
      <c r="M7305" s="579">
        <v>23.54</v>
      </c>
    </row>
    <row r="7306" ht="23.85" customHeight="1" spans="3:13">
      <c r="C7306" s="79" t="s">
        <v>2921</v>
      </c>
      <c r="D7306" s="78" t="s">
        <v>3153</v>
      </c>
      <c r="E7306" s="79" t="s">
        <v>139</v>
      </c>
      <c r="F7306" s="79" t="s">
        <v>3154</v>
      </c>
      <c r="G7306" s="79" t="s">
        <v>2928</v>
      </c>
      <c r="H7306" s="79"/>
      <c r="I7306" s="80" t="s">
        <v>2897</v>
      </c>
      <c r="J7306" s="583">
        <v>0.24</v>
      </c>
      <c r="K7306" s="583">
        <v>0</v>
      </c>
      <c r="L7306" s="92">
        <v>30.6</v>
      </c>
      <c r="M7306" s="92">
        <v>7.34</v>
      </c>
    </row>
    <row r="7307" ht="23.85" customHeight="1" spans="3:13">
      <c r="C7307" s="79" t="s">
        <v>2921</v>
      </c>
      <c r="D7307" s="78" t="s">
        <v>3151</v>
      </c>
      <c r="E7307" s="79" t="s">
        <v>139</v>
      </c>
      <c r="F7307" s="79" t="s">
        <v>3152</v>
      </c>
      <c r="G7307" s="79" t="s">
        <v>2928</v>
      </c>
      <c r="H7307" s="79"/>
      <c r="I7307" s="80" t="s">
        <v>2897</v>
      </c>
      <c r="J7307" s="583">
        <v>0.24</v>
      </c>
      <c r="K7307" s="583">
        <v>0</v>
      </c>
      <c r="L7307" s="92">
        <v>36.82</v>
      </c>
      <c r="M7307" s="92">
        <v>8.83</v>
      </c>
    </row>
    <row r="7308" ht="15" customHeight="1" spans="3:13">
      <c r="C7308" s="100" t="s">
        <v>2893</v>
      </c>
      <c r="D7308" s="99" t="s">
        <v>4978</v>
      </c>
      <c r="E7308" s="100" t="s">
        <v>149</v>
      </c>
      <c r="F7308" s="100" t="s">
        <v>4979</v>
      </c>
      <c r="G7308" s="100" t="s">
        <v>2961</v>
      </c>
      <c r="H7308" s="100"/>
      <c r="I7308" s="101" t="s">
        <v>204</v>
      </c>
      <c r="J7308" s="580">
        <v>1</v>
      </c>
      <c r="K7308" s="580">
        <v>0</v>
      </c>
      <c r="L7308" s="102">
        <v>7.37</v>
      </c>
      <c r="M7308" s="102">
        <v>7.37</v>
      </c>
    </row>
    <row r="7309" ht="25.5" spans="3:13">
      <c r="C7309" s="108"/>
      <c r="D7309" s="108"/>
      <c r="E7309" s="108"/>
      <c r="F7309" s="108"/>
      <c r="G7309" s="108"/>
      <c r="H7309" s="108" t="s">
        <v>2898</v>
      </c>
      <c r="I7309" s="581">
        <v>11.35</v>
      </c>
      <c r="J7309" s="108" t="s">
        <v>2899</v>
      </c>
      <c r="K7309" s="581">
        <v>0</v>
      </c>
      <c r="L7309" s="108" t="s">
        <v>2900</v>
      </c>
      <c r="M7309" s="581">
        <v>11.35</v>
      </c>
    </row>
    <row r="7310" ht="26.25" spans="3:13">
      <c r="C7310" s="108"/>
      <c r="D7310" s="108"/>
      <c r="E7310" s="108"/>
      <c r="F7310" s="108"/>
      <c r="G7310" s="108"/>
      <c r="H7310" s="108" t="s">
        <v>2901</v>
      </c>
      <c r="I7310" s="581">
        <v>6</v>
      </c>
      <c r="J7310" s="114"/>
      <c r="K7310" s="114" t="s">
        <v>2902</v>
      </c>
      <c r="L7310" s="108"/>
      <c r="M7310" s="581">
        <v>29.54</v>
      </c>
    </row>
    <row r="7311" ht="15" spans="3:13">
      <c r="C7311" s="571"/>
      <c r="D7311" s="571"/>
      <c r="E7311" s="571"/>
      <c r="F7311" s="571"/>
      <c r="G7311" s="571"/>
      <c r="H7311" s="571"/>
      <c r="I7311" s="571"/>
      <c r="J7311" s="571"/>
      <c r="K7311" s="571"/>
      <c r="L7311" s="571"/>
      <c r="M7311" s="571"/>
    </row>
    <row r="7312" ht="15" customHeight="1" spans="3:13">
      <c r="C7312" s="76" t="s">
        <v>2529</v>
      </c>
      <c r="D7312" s="75" t="s">
        <v>63</v>
      </c>
      <c r="E7312" s="76" t="s">
        <v>64</v>
      </c>
      <c r="F7312" s="76" t="s">
        <v>65</v>
      </c>
      <c r="G7312" s="76" t="s">
        <v>2889</v>
      </c>
      <c r="H7312" s="76"/>
      <c r="I7312" s="77" t="s">
        <v>66</v>
      </c>
      <c r="J7312" s="75" t="s">
        <v>67</v>
      </c>
      <c r="K7312" s="75" t="s">
        <v>2890</v>
      </c>
      <c r="L7312" s="75" t="s">
        <v>68</v>
      </c>
      <c r="M7312" s="75" t="s">
        <v>70</v>
      </c>
    </row>
    <row r="7313" ht="38.25" spans="3:13">
      <c r="C7313" s="569" t="s">
        <v>2891</v>
      </c>
      <c r="D7313" s="570" t="s">
        <v>1065</v>
      </c>
      <c r="E7313" s="569" t="s">
        <v>132</v>
      </c>
      <c r="F7313" s="569" t="s">
        <v>1066</v>
      </c>
      <c r="G7313" s="569">
        <v>15</v>
      </c>
      <c r="H7313" s="569"/>
      <c r="I7313" s="577" t="s">
        <v>204</v>
      </c>
      <c r="J7313" s="578">
        <v>1</v>
      </c>
      <c r="K7313" s="579"/>
      <c r="L7313" s="579">
        <v>67.42</v>
      </c>
      <c r="M7313" s="579">
        <v>67.42</v>
      </c>
    </row>
    <row r="7314" ht="23.85" customHeight="1" spans="3:13">
      <c r="C7314" s="79" t="s">
        <v>2921</v>
      </c>
      <c r="D7314" s="78" t="s">
        <v>3151</v>
      </c>
      <c r="E7314" s="79" t="s">
        <v>139</v>
      </c>
      <c r="F7314" s="79" t="s">
        <v>3152</v>
      </c>
      <c r="G7314" s="79" t="s">
        <v>2928</v>
      </c>
      <c r="H7314" s="79"/>
      <c r="I7314" s="80" t="s">
        <v>2897</v>
      </c>
      <c r="J7314" s="583">
        <v>1</v>
      </c>
      <c r="K7314" s="583">
        <v>0</v>
      </c>
      <c r="L7314" s="92">
        <v>36.82</v>
      </c>
      <c r="M7314" s="92">
        <v>36.82</v>
      </c>
    </row>
    <row r="7315" ht="23.85" customHeight="1" spans="3:13">
      <c r="C7315" s="79" t="s">
        <v>2921</v>
      </c>
      <c r="D7315" s="78" t="s">
        <v>3153</v>
      </c>
      <c r="E7315" s="79" t="s">
        <v>139</v>
      </c>
      <c r="F7315" s="79" t="s">
        <v>3154</v>
      </c>
      <c r="G7315" s="79" t="s">
        <v>2928</v>
      </c>
      <c r="H7315" s="79"/>
      <c r="I7315" s="80" t="s">
        <v>2897</v>
      </c>
      <c r="J7315" s="583">
        <v>1</v>
      </c>
      <c r="K7315" s="583">
        <v>0</v>
      </c>
      <c r="L7315" s="92">
        <v>30.6</v>
      </c>
      <c r="M7315" s="92">
        <v>30.6</v>
      </c>
    </row>
    <row r="7316" ht="25.5" spans="3:13">
      <c r="C7316" s="108"/>
      <c r="D7316" s="108"/>
      <c r="E7316" s="108"/>
      <c r="F7316" s="108"/>
      <c r="G7316" s="108"/>
      <c r="H7316" s="108" t="s">
        <v>2898</v>
      </c>
      <c r="I7316" s="581">
        <v>47.32</v>
      </c>
      <c r="J7316" s="108" t="s">
        <v>2899</v>
      </c>
      <c r="K7316" s="581">
        <v>0</v>
      </c>
      <c r="L7316" s="108" t="s">
        <v>2900</v>
      </c>
      <c r="M7316" s="581">
        <v>47.32</v>
      </c>
    </row>
    <row r="7317" ht="26.25" spans="3:13">
      <c r="C7317" s="108"/>
      <c r="D7317" s="108"/>
      <c r="E7317" s="108"/>
      <c r="F7317" s="108"/>
      <c r="G7317" s="108"/>
      <c r="H7317" s="108" t="s">
        <v>2901</v>
      </c>
      <c r="I7317" s="581">
        <v>17.18</v>
      </c>
      <c r="J7317" s="114"/>
      <c r="K7317" s="114" t="s">
        <v>2902</v>
      </c>
      <c r="L7317" s="108"/>
      <c r="M7317" s="581">
        <v>84.6</v>
      </c>
    </row>
    <row r="7318" ht="15" spans="3:13">
      <c r="C7318" s="571"/>
      <c r="D7318" s="571"/>
      <c r="E7318" s="571"/>
      <c r="F7318" s="571"/>
      <c r="G7318" s="571"/>
      <c r="H7318" s="571"/>
      <c r="I7318" s="571"/>
      <c r="J7318" s="571"/>
      <c r="K7318" s="571"/>
      <c r="L7318" s="571"/>
      <c r="M7318" s="571"/>
    </row>
    <row r="7319" ht="15" customHeight="1" spans="3:13">
      <c r="C7319" s="76" t="s">
        <v>2530</v>
      </c>
      <c r="D7319" s="75" t="s">
        <v>63</v>
      </c>
      <c r="E7319" s="76" t="s">
        <v>64</v>
      </c>
      <c r="F7319" s="76" t="s">
        <v>65</v>
      </c>
      <c r="G7319" s="76" t="s">
        <v>2889</v>
      </c>
      <c r="H7319" s="76"/>
      <c r="I7319" s="77" t="s">
        <v>66</v>
      </c>
      <c r="J7319" s="75" t="s">
        <v>67</v>
      </c>
      <c r="K7319" s="75" t="s">
        <v>2890</v>
      </c>
      <c r="L7319" s="75" t="s">
        <v>68</v>
      </c>
      <c r="M7319" s="75" t="s">
        <v>70</v>
      </c>
    </row>
    <row r="7320" ht="35.05" customHeight="1" spans="3:13">
      <c r="C7320" s="569" t="s">
        <v>2891</v>
      </c>
      <c r="D7320" s="570" t="s">
        <v>865</v>
      </c>
      <c r="E7320" s="569" t="s">
        <v>132</v>
      </c>
      <c r="F7320" s="569" t="s">
        <v>866</v>
      </c>
      <c r="G7320" s="569" t="s">
        <v>3774</v>
      </c>
      <c r="H7320" s="569"/>
      <c r="I7320" s="577" t="s">
        <v>134</v>
      </c>
      <c r="J7320" s="578">
        <v>1</v>
      </c>
      <c r="K7320" s="579"/>
      <c r="L7320" s="579">
        <v>0.12</v>
      </c>
      <c r="M7320" s="579">
        <v>0.12</v>
      </c>
    </row>
    <row r="7321" ht="15" customHeight="1" spans="3:13">
      <c r="C7321" s="100" t="s">
        <v>2893</v>
      </c>
      <c r="D7321" s="99" t="s">
        <v>3775</v>
      </c>
      <c r="E7321" s="100" t="s">
        <v>796</v>
      </c>
      <c r="F7321" s="100" t="s">
        <v>3776</v>
      </c>
      <c r="G7321" s="100" t="s">
        <v>2961</v>
      </c>
      <c r="H7321" s="100"/>
      <c r="I7321" s="101" t="s">
        <v>334</v>
      </c>
      <c r="J7321" s="580">
        <v>1</v>
      </c>
      <c r="K7321" s="580">
        <v>0</v>
      </c>
      <c r="L7321" s="102">
        <v>0.12</v>
      </c>
      <c r="M7321" s="102">
        <v>0.12</v>
      </c>
    </row>
    <row r="7322" ht="25.5" spans="3:13">
      <c r="C7322" s="108"/>
      <c r="D7322" s="108"/>
      <c r="E7322" s="108"/>
      <c r="F7322" s="108"/>
      <c r="G7322" s="108"/>
      <c r="H7322" s="108" t="s">
        <v>2898</v>
      </c>
      <c r="I7322" s="581">
        <v>0</v>
      </c>
      <c r="J7322" s="108" t="s">
        <v>2899</v>
      </c>
      <c r="K7322" s="581">
        <v>0</v>
      </c>
      <c r="L7322" s="108" t="s">
        <v>2900</v>
      </c>
      <c r="M7322" s="581">
        <v>0</v>
      </c>
    </row>
    <row r="7323" ht="26.25" spans="3:13">
      <c r="C7323" s="108"/>
      <c r="D7323" s="108"/>
      <c r="E7323" s="108"/>
      <c r="F7323" s="108"/>
      <c r="G7323" s="108"/>
      <c r="H7323" s="108" t="s">
        <v>2901</v>
      </c>
      <c r="I7323" s="581">
        <v>0.03</v>
      </c>
      <c r="J7323" s="114"/>
      <c r="K7323" s="114" t="s">
        <v>2902</v>
      </c>
      <c r="L7323" s="108"/>
      <c r="M7323" s="581">
        <v>0.15</v>
      </c>
    </row>
    <row r="7324" ht="15" spans="3:13">
      <c r="C7324" s="571"/>
      <c r="D7324" s="571"/>
      <c r="E7324" s="571"/>
      <c r="F7324" s="571"/>
      <c r="G7324" s="571"/>
      <c r="H7324" s="571"/>
      <c r="I7324" s="571"/>
      <c r="J7324" s="571"/>
      <c r="K7324" s="571"/>
      <c r="L7324" s="571"/>
      <c r="M7324" s="571"/>
    </row>
    <row r="7325" ht="15" customHeight="1" spans="3:13">
      <c r="C7325" s="76" t="s">
        <v>2534</v>
      </c>
      <c r="D7325" s="75" t="s">
        <v>63</v>
      </c>
      <c r="E7325" s="76" t="s">
        <v>64</v>
      </c>
      <c r="F7325" s="76" t="s">
        <v>65</v>
      </c>
      <c r="G7325" s="76" t="s">
        <v>2889</v>
      </c>
      <c r="H7325" s="76"/>
      <c r="I7325" s="77" t="s">
        <v>66</v>
      </c>
      <c r="J7325" s="75" t="s">
        <v>67</v>
      </c>
      <c r="K7325" s="75" t="s">
        <v>2890</v>
      </c>
      <c r="L7325" s="75" t="s">
        <v>68</v>
      </c>
      <c r="M7325" s="75" t="s">
        <v>70</v>
      </c>
    </row>
    <row r="7326" ht="23.85" customHeight="1" spans="3:13">
      <c r="C7326" s="569" t="s">
        <v>2891</v>
      </c>
      <c r="D7326" s="570" t="s">
        <v>2535</v>
      </c>
      <c r="E7326" s="569" t="s">
        <v>139</v>
      </c>
      <c r="F7326" s="569" t="s">
        <v>2536</v>
      </c>
      <c r="G7326" s="569" t="s">
        <v>3129</v>
      </c>
      <c r="H7326" s="569"/>
      <c r="I7326" s="577" t="s">
        <v>134</v>
      </c>
      <c r="J7326" s="578">
        <v>1</v>
      </c>
      <c r="K7326" s="579"/>
      <c r="L7326" s="579">
        <v>70.04</v>
      </c>
      <c r="M7326" s="579">
        <v>70.04</v>
      </c>
    </row>
    <row r="7327" ht="23.85" customHeight="1" spans="3:13">
      <c r="C7327" s="79" t="s">
        <v>2921</v>
      </c>
      <c r="D7327" s="78" t="s">
        <v>2952</v>
      </c>
      <c r="E7327" s="79" t="s">
        <v>139</v>
      </c>
      <c r="F7327" s="79" t="s">
        <v>2953</v>
      </c>
      <c r="G7327" s="79" t="s">
        <v>2928</v>
      </c>
      <c r="H7327" s="79"/>
      <c r="I7327" s="80" t="s">
        <v>2897</v>
      </c>
      <c r="J7327" s="583">
        <v>0.55</v>
      </c>
      <c r="K7327" s="583">
        <v>0</v>
      </c>
      <c r="L7327" s="92">
        <v>29.15</v>
      </c>
      <c r="M7327" s="92">
        <v>16.03</v>
      </c>
    </row>
    <row r="7328" ht="23.85" customHeight="1" spans="3:13">
      <c r="C7328" s="79" t="s">
        <v>2921</v>
      </c>
      <c r="D7328" s="78" t="s">
        <v>3144</v>
      </c>
      <c r="E7328" s="79" t="s">
        <v>139</v>
      </c>
      <c r="F7328" s="79" t="s">
        <v>3145</v>
      </c>
      <c r="G7328" s="79" t="s">
        <v>2928</v>
      </c>
      <c r="H7328" s="79"/>
      <c r="I7328" s="80" t="s">
        <v>2897</v>
      </c>
      <c r="J7328" s="583">
        <v>0.55</v>
      </c>
      <c r="K7328" s="583">
        <v>0</v>
      </c>
      <c r="L7328" s="92">
        <v>35.55</v>
      </c>
      <c r="M7328" s="92">
        <v>19.55</v>
      </c>
    </row>
    <row r="7329" ht="15" customHeight="1" spans="3:13">
      <c r="C7329" s="100" t="s">
        <v>2893</v>
      </c>
      <c r="D7329" s="99" t="s">
        <v>4980</v>
      </c>
      <c r="E7329" s="100" t="s">
        <v>139</v>
      </c>
      <c r="F7329" s="100" t="s">
        <v>4981</v>
      </c>
      <c r="G7329" s="100" t="s">
        <v>2961</v>
      </c>
      <c r="H7329" s="100"/>
      <c r="I7329" s="101" t="s">
        <v>134</v>
      </c>
      <c r="J7329" s="580">
        <v>1</v>
      </c>
      <c r="K7329" s="580">
        <v>0</v>
      </c>
      <c r="L7329" s="102">
        <v>34.46</v>
      </c>
      <c r="M7329" s="102">
        <v>34.46</v>
      </c>
    </row>
    <row r="7330" ht="25.5" spans="3:13">
      <c r="C7330" s="108"/>
      <c r="D7330" s="108"/>
      <c r="E7330" s="108"/>
      <c r="F7330" s="108"/>
      <c r="G7330" s="108"/>
      <c r="H7330" s="108" t="s">
        <v>2898</v>
      </c>
      <c r="I7330" s="581">
        <v>24.96</v>
      </c>
      <c r="J7330" s="108" t="s">
        <v>2899</v>
      </c>
      <c r="K7330" s="581">
        <v>0</v>
      </c>
      <c r="L7330" s="108" t="s">
        <v>2900</v>
      </c>
      <c r="M7330" s="581">
        <v>24.96</v>
      </c>
    </row>
    <row r="7331" ht="26.25" spans="3:13">
      <c r="C7331" s="108"/>
      <c r="D7331" s="108"/>
      <c r="E7331" s="108"/>
      <c r="F7331" s="108"/>
      <c r="G7331" s="108"/>
      <c r="H7331" s="108" t="s">
        <v>2901</v>
      </c>
      <c r="I7331" s="581">
        <v>17.85</v>
      </c>
      <c r="J7331" s="114"/>
      <c r="K7331" s="114" t="s">
        <v>2902</v>
      </c>
      <c r="L7331" s="108"/>
      <c r="M7331" s="581">
        <v>87.89</v>
      </c>
    </row>
    <row r="7332" ht="15" spans="3:13">
      <c r="C7332" s="571"/>
      <c r="D7332" s="571"/>
      <c r="E7332" s="571"/>
      <c r="F7332" s="571"/>
      <c r="G7332" s="571"/>
      <c r="H7332" s="571"/>
      <c r="I7332" s="571"/>
      <c r="J7332" s="571"/>
      <c r="K7332" s="571"/>
      <c r="L7332" s="571"/>
      <c r="M7332" s="571"/>
    </row>
    <row r="7333" ht="15" customHeight="1" spans="3:13">
      <c r="C7333" s="76" t="s">
        <v>2537</v>
      </c>
      <c r="D7333" s="75" t="s">
        <v>63</v>
      </c>
      <c r="E7333" s="76" t="s">
        <v>64</v>
      </c>
      <c r="F7333" s="76" t="s">
        <v>65</v>
      </c>
      <c r="G7333" s="76" t="s">
        <v>2889</v>
      </c>
      <c r="H7333" s="76"/>
      <c r="I7333" s="77" t="s">
        <v>66</v>
      </c>
      <c r="J7333" s="75" t="s">
        <v>67</v>
      </c>
      <c r="K7333" s="75" t="s">
        <v>2890</v>
      </c>
      <c r="L7333" s="75" t="s">
        <v>68</v>
      </c>
      <c r="M7333" s="75" t="s">
        <v>70</v>
      </c>
    </row>
    <row r="7334" ht="23.85" customHeight="1" spans="3:13">
      <c r="C7334" s="569" t="s">
        <v>2891</v>
      </c>
      <c r="D7334" s="570" t="s">
        <v>2538</v>
      </c>
      <c r="E7334" s="569" t="s">
        <v>139</v>
      </c>
      <c r="F7334" s="569" t="s">
        <v>2539</v>
      </c>
      <c r="G7334" s="569" t="s">
        <v>3129</v>
      </c>
      <c r="H7334" s="569"/>
      <c r="I7334" s="577" t="s">
        <v>134</v>
      </c>
      <c r="J7334" s="578">
        <v>1</v>
      </c>
      <c r="K7334" s="579"/>
      <c r="L7334" s="579">
        <v>88.94</v>
      </c>
      <c r="M7334" s="579">
        <v>88.94</v>
      </c>
    </row>
    <row r="7335" ht="23.85" customHeight="1" spans="3:13">
      <c r="C7335" s="79" t="s">
        <v>2921</v>
      </c>
      <c r="D7335" s="78" t="s">
        <v>2952</v>
      </c>
      <c r="E7335" s="79" t="s">
        <v>139</v>
      </c>
      <c r="F7335" s="79" t="s">
        <v>2953</v>
      </c>
      <c r="G7335" s="79" t="s">
        <v>2928</v>
      </c>
      <c r="H7335" s="79"/>
      <c r="I7335" s="80" t="s">
        <v>2897</v>
      </c>
      <c r="J7335" s="583">
        <v>0.7</v>
      </c>
      <c r="K7335" s="583">
        <v>0</v>
      </c>
      <c r="L7335" s="92">
        <v>29.15</v>
      </c>
      <c r="M7335" s="92">
        <v>20.4</v>
      </c>
    </row>
    <row r="7336" ht="23.85" customHeight="1" spans="3:13">
      <c r="C7336" s="79" t="s">
        <v>2921</v>
      </c>
      <c r="D7336" s="78" t="s">
        <v>3144</v>
      </c>
      <c r="E7336" s="79" t="s">
        <v>139</v>
      </c>
      <c r="F7336" s="79" t="s">
        <v>3145</v>
      </c>
      <c r="G7336" s="79" t="s">
        <v>2928</v>
      </c>
      <c r="H7336" s="79"/>
      <c r="I7336" s="80" t="s">
        <v>2897</v>
      </c>
      <c r="J7336" s="583">
        <v>0.7</v>
      </c>
      <c r="K7336" s="583">
        <v>0</v>
      </c>
      <c r="L7336" s="92">
        <v>35.55</v>
      </c>
      <c r="M7336" s="92">
        <v>24.88</v>
      </c>
    </row>
    <row r="7337" ht="15" customHeight="1" spans="3:13">
      <c r="C7337" s="100" t="s">
        <v>2893</v>
      </c>
      <c r="D7337" s="99" t="s">
        <v>3651</v>
      </c>
      <c r="E7337" s="100" t="s">
        <v>139</v>
      </c>
      <c r="F7337" s="100" t="s">
        <v>3652</v>
      </c>
      <c r="G7337" s="100" t="s">
        <v>2961</v>
      </c>
      <c r="H7337" s="100"/>
      <c r="I7337" s="101" t="s">
        <v>134</v>
      </c>
      <c r="J7337" s="580">
        <v>1</v>
      </c>
      <c r="K7337" s="580">
        <v>0</v>
      </c>
      <c r="L7337" s="102">
        <v>43.66</v>
      </c>
      <c r="M7337" s="102">
        <v>43.66</v>
      </c>
    </row>
    <row r="7338" ht="25.5" spans="3:13">
      <c r="C7338" s="108"/>
      <c r="D7338" s="108"/>
      <c r="E7338" s="108"/>
      <c r="F7338" s="108"/>
      <c r="G7338" s="108"/>
      <c r="H7338" s="108" t="s">
        <v>2898</v>
      </c>
      <c r="I7338" s="581">
        <v>31.77</v>
      </c>
      <c r="J7338" s="108" t="s">
        <v>2899</v>
      </c>
      <c r="K7338" s="581">
        <v>0</v>
      </c>
      <c r="L7338" s="108" t="s">
        <v>2900</v>
      </c>
      <c r="M7338" s="581">
        <v>31.77</v>
      </c>
    </row>
    <row r="7339" ht="26.25" spans="3:13">
      <c r="C7339" s="108"/>
      <c r="D7339" s="108"/>
      <c r="E7339" s="108"/>
      <c r="F7339" s="108"/>
      <c r="G7339" s="108"/>
      <c r="H7339" s="108" t="s">
        <v>2901</v>
      </c>
      <c r="I7339" s="581">
        <v>22.67</v>
      </c>
      <c r="J7339" s="114"/>
      <c r="K7339" s="114" t="s">
        <v>2902</v>
      </c>
      <c r="L7339" s="108"/>
      <c r="M7339" s="581">
        <v>111.61</v>
      </c>
    </row>
    <row r="7340" ht="15" spans="3:13">
      <c r="C7340" s="571"/>
      <c r="D7340" s="571"/>
      <c r="E7340" s="571"/>
      <c r="F7340" s="571"/>
      <c r="G7340" s="571"/>
      <c r="H7340" s="571"/>
      <c r="I7340" s="571"/>
      <c r="J7340" s="571"/>
      <c r="K7340" s="571"/>
      <c r="L7340" s="571"/>
      <c r="M7340" s="571"/>
    </row>
    <row r="7341" ht="15" customHeight="1" spans="3:13">
      <c r="C7341" s="76" t="s">
        <v>2540</v>
      </c>
      <c r="D7341" s="75" t="s">
        <v>63</v>
      </c>
      <c r="E7341" s="76" t="s">
        <v>64</v>
      </c>
      <c r="F7341" s="76" t="s">
        <v>65</v>
      </c>
      <c r="G7341" s="76" t="s">
        <v>2889</v>
      </c>
      <c r="H7341" s="76"/>
      <c r="I7341" s="77" t="s">
        <v>66</v>
      </c>
      <c r="J7341" s="75" t="s">
        <v>67</v>
      </c>
      <c r="K7341" s="75" t="s">
        <v>2890</v>
      </c>
      <c r="L7341" s="75" t="s">
        <v>68</v>
      </c>
      <c r="M7341" s="75" t="s">
        <v>70</v>
      </c>
    </row>
    <row r="7342" ht="23.85" customHeight="1" spans="3:13">
      <c r="C7342" s="569" t="s">
        <v>2891</v>
      </c>
      <c r="D7342" s="570" t="s">
        <v>2541</v>
      </c>
      <c r="E7342" s="569" t="s">
        <v>139</v>
      </c>
      <c r="F7342" s="569" t="s">
        <v>2542</v>
      </c>
      <c r="G7342" s="569" t="s">
        <v>3129</v>
      </c>
      <c r="H7342" s="569"/>
      <c r="I7342" s="577" t="s">
        <v>134</v>
      </c>
      <c r="J7342" s="578">
        <v>1</v>
      </c>
      <c r="K7342" s="579"/>
      <c r="L7342" s="579">
        <v>120.91</v>
      </c>
      <c r="M7342" s="579">
        <v>120.91</v>
      </c>
    </row>
    <row r="7343" ht="23.85" customHeight="1" spans="3:13">
      <c r="C7343" s="79" t="s">
        <v>2921</v>
      </c>
      <c r="D7343" s="78" t="s">
        <v>2952</v>
      </c>
      <c r="E7343" s="79" t="s">
        <v>139</v>
      </c>
      <c r="F7343" s="79" t="s">
        <v>2953</v>
      </c>
      <c r="G7343" s="79" t="s">
        <v>2928</v>
      </c>
      <c r="H7343" s="79"/>
      <c r="I7343" s="80" t="s">
        <v>2897</v>
      </c>
      <c r="J7343" s="583">
        <v>0.8</v>
      </c>
      <c r="K7343" s="583">
        <v>0</v>
      </c>
      <c r="L7343" s="92">
        <v>29.15</v>
      </c>
      <c r="M7343" s="92">
        <v>23.32</v>
      </c>
    </row>
    <row r="7344" ht="23.85" customHeight="1" spans="3:13">
      <c r="C7344" s="79" t="s">
        <v>2921</v>
      </c>
      <c r="D7344" s="78" t="s">
        <v>3144</v>
      </c>
      <c r="E7344" s="79" t="s">
        <v>139</v>
      </c>
      <c r="F7344" s="79" t="s">
        <v>3145</v>
      </c>
      <c r="G7344" s="79" t="s">
        <v>2928</v>
      </c>
      <c r="H7344" s="79"/>
      <c r="I7344" s="80" t="s">
        <v>2897</v>
      </c>
      <c r="J7344" s="583">
        <v>0.8</v>
      </c>
      <c r="K7344" s="583">
        <v>0</v>
      </c>
      <c r="L7344" s="92">
        <v>35.55</v>
      </c>
      <c r="M7344" s="92">
        <v>28.44</v>
      </c>
    </row>
    <row r="7345" ht="15" customHeight="1" spans="3:13">
      <c r="C7345" s="100" t="s">
        <v>2893</v>
      </c>
      <c r="D7345" s="99" t="s">
        <v>3653</v>
      </c>
      <c r="E7345" s="100" t="s">
        <v>139</v>
      </c>
      <c r="F7345" s="100" t="s">
        <v>3654</v>
      </c>
      <c r="G7345" s="100" t="s">
        <v>2961</v>
      </c>
      <c r="H7345" s="100"/>
      <c r="I7345" s="101" t="s">
        <v>134</v>
      </c>
      <c r="J7345" s="580">
        <v>1</v>
      </c>
      <c r="K7345" s="580">
        <v>0</v>
      </c>
      <c r="L7345" s="102">
        <v>69.15</v>
      </c>
      <c r="M7345" s="102">
        <v>69.15</v>
      </c>
    </row>
    <row r="7346" ht="25.5" spans="3:13">
      <c r="C7346" s="108"/>
      <c r="D7346" s="108"/>
      <c r="E7346" s="108"/>
      <c r="F7346" s="108"/>
      <c r="G7346" s="108"/>
      <c r="H7346" s="108" t="s">
        <v>2898</v>
      </c>
      <c r="I7346" s="581">
        <v>36.31</v>
      </c>
      <c r="J7346" s="108" t="s">
        <v>2899</v>
      </c>
      <c r="K7346" s="581">
        <v>0</v>
      </c>
      <c r="L7346" s="108" t="s">
        <v>2900</v>
      </c>
      <c r="M7346" s="581">
        <v>36.31</v>
      </c>
    </row>
    <row r="7347" ht="26.25" spans="3:13">
      <c r="C7347" s="108"/>
      <c r="D7347" s="108"/>
      <c r="E7347" s="108"/>
      <c r="F7347" s="108"/>
      <c r="G7347" s="108"/>
      <c r="H7347" s="108" t="s">
        <v>2901</v>
      </c>
      <c r="I7347" s="581">
        <v>30.81</v>
      </c>
      <c r="J7347" s="114"/>
      <c r="K7347" s="114" t="s">
        <v>2902</v>
      </c>
      <c r="L7347" s="108"/>
      <c r="M7347" s="581">
        <v>151.72</v>
      </c>
    </row>
    <row r="7348" ht="15" spans="3:13">
      <c r="C7348" s="571"/>
      <c r="D7348" s="571"/>
      <c r="E7348" s="571"/>
      <c r="F7348" s="571"/>
      <c r="G7348" s="571"/>
      <c r="H7348" s="571"/>
      <c r="I7348" s="571"/>
      <c r="J7348" s="571"/>
      <c r="K7348" s="571"/>
      <c r="L7348" s="571"/>
      <c r="M7348" s="571"/>
    </row>
    <row r="7349" ht="15" customHeight="1" spans="3:13">
      <c r="C7349" s="76" t="s">
        <v>2543</v>
      </c>
      <c r="D7349" s="75" t="s">
        <v>63</v>
      </c>
      <c r="E7349" s="76" t="s">
        <v>64</v>
      </c>
      <c r="F7349" s="76" t="s">
        <v>65</v>
      </c>
      <c r="G7349" s="76" t="s">
        <v>2889</v>
      </c>
      <c r="H7349" s="76"/>
      <c r="I7349" s="77" t="s">
        <v>66</v>
      </c>
      <c r="J7349" s="75" t="s">
        <v>67</v>
      </c>
      <c r="K7349" s="75" t="s">
        <v>2890</v>
      </c>
      <c r="L7349" s="75" t="s">
        <v>68</v>
      </c>
      <c r="M7349" s="75" t="s">
        <v>70</v>
      </c>
    </row>
    <row r="7350" ht="23.85" customHeight="1" spans="3:13">
      <c r="C7350" s="569" t="s">
        <v>2891</v>
      </c>
      <c r="D7350" s="570" t="s">
        <v>2544</v>
      </c>
      <c r="E7350" s="569" t="s">
        <v>139</v>
      </c>
      <c r="F7350" s="569" t="s">
        <v>2545</v>
      </c>
      <c r="G7350" s="569" t="s">
        <v>3129</v>
      </c>
      <c r="H7350" s="569"/>
      <c r="I7350" s="577" t="s">
        <v>134</v>
      </c>
      <c r="J7350" s="578">
        <v>1</v>
      </c>
      <c r="K7350" s="579"/>
      <c r="L7350" s="579">
        <v>395.38</v>
      </c>
      <c r="M7350" s="579">
        <v>395.38</v>
      </c>
    </row>
    <row r="7351" ht="23.85" customHeight="1" spans="3:13">
      <c r="C7351" s="79" t="s">
        <v>2921</v>
      </c>
      <c r="D7351" s="78" t="s">
        <v>2952</v>
      </c>
      <c r="E7351" s="79" t="s">
        <v>139</v>
      </c>
      <c r="F7351" s="79" t="s">
        <v>2953</v>
      </c>
      <c r="G7351" s="79" t="s">
        <v>2928</v>
      </c>
      <c r="H7351" s="79"/>
      <c r="I7351" s="80" t="s">
        <v>2897</v>
      </c>
      <c r="J7351" s="583">
        <v>1.1</v>
      </c>
      <c r="K7351" s="583">
        <v>0</v>
      </c>
      <c r="L7351" s="92">
        <v>29.15</v>
      </c>
      <c r="M7351" s="92">
        <v>32.06</v>
      </c>
    </row>
    <row r="7352" ht="23.85" customHeight="1" spans="3:13">
      <c r="C7352" s="79" t="s">
        <v>2921</v>
      </c>
      <c r="D7352" s="78" t="s">
        <v>3144</v>
      </c>
      <c r="E7352" s="79" t="s">
        <v>139</v>
      </c>
      <c r="F7352" s="79" t="s">
        <v>3145</v>
      </c>
      <c r="G7352" s="79" t="s">
        <v>2928</v>
      </c>
      <c r="H7352" s="79"/>
      <c r="I7352" s="80" t="s">
        <v>2897</v>
      </c>
      <c r="J7352" s="583">
        <v>1.1</v>
      </c>
      <c r="K7352" s="583">
        <v>0</v>
      </c>
      <c r="L7352" s="92">
        <v>35.55</v>
      </c>
      <c r="M7352" s="92">
        <v>39.1</v>
      </c>
    </row>
    <row r="7353" ht="15" customHeight="1" spans="3:13">
      <c r="C7353" s="100" t="s">
        <v>2893</v>
      </c>
      <c r="D7353" s="99" t="s">
        <v>4982</v>
      </c>
      <c r="E7353" s="100" t="s">
        <v>139</v>
      </c>
      <c r="F7353" s="100" t="s">
        <v>4983</v>
      </c>
      <c r="G7353" s="100" t="s">
        <v>2961</v>
      </c>
      <c r="H7353" s="100"/>
      <c r="I7353" s="101" t="s">
        <v>134</v>
      </c>
      <c r="J7353" s="580">
        <v>1</v>
      </c>
      <c r="K7353" s="580">
        <v>0</v>
      </c>
      <c r="L7353" s="102">
        <v>324.22</v>
      </c>
      <c r="M7353" s="102">
        <v>324.22</v>
      </c>
    </row>
    <row r="7354" ht="25.5" spans="3:13">
      <c r="C7354" s="108"/>
      <c r="D7354" s="108"/>
      <c r="E7354" s="108"/>
      <c r="F7354" s="108"/>
      <c r="G7354" s="108"/>
      <c r="H7354" s="108" t="s">
        <v>2898</v>
      </c>
      <c r="I7354" s="581">
        <v>49.93</v>
      </c>
      <c r="J7354" s="108" t="s">
        <v>2899</v>
      </c>
      <c r="K7354" s="581">
        <v>0</v>
      </c>
      <c r="L7354" s="108" t="s">
        <v>2900</v>
      </c>
      <c r="M7354" s="581">
        <v>49.93</v>
      </c>
    </row>
    <row r="7355" ht="26.25" spans="3:13">
      <c r="C7355" s="108"/>
      <c r="D7355" s="108"/>
      <c r="E7355" s="108"/>
      <c r="F7355" s="108"/>
      <c r="G7355" s="108"/>
      <c r="H7355" s="108" t="s">
        <v>2901</v>
      </c>
      <c r="I7355" s="581">
        <v>100.78</v>
      </c>
      <c r="J7355" s="114"/>
      <c r="K7355" s="114" t="s">
        <v>2902</v>
      </c>
      <c r="L7355" s="108"/>
      <c r="M7355" s="581">
        <v>496.16</v>
      </c>
    </row>
    <row r="7356" ht="15" spans="3:13">
      <c r="C7356" s="571"/>
      <c r="D7356" s="571"/>
      <c r="E7356" s="571"/>
      <c r="F7356" s="571"/>
      <c r="G7356" s="571"/>
      <c r="H7356" s="571"/>
      <c r="I7356" s="571"/>
      <c r="J7356" s="571"/>
      <c r="K7356" s="571"/>
      <c r="L7356" s="571"/>
      <c r="M7356" s="571"/>
    </row>
    <row r="7357" ht="15" customHeight="1" spans="3:13">
      <c r="C7357" s="76" t="s">
        <v>2546</v>
      </c>
      <c r="D7357" s="75" t="s">
        <v>63</v>
      </c>
      <c r="E7357" s="76" t="s">
        <v>64</v>
      </c>
      <c r="F7357" s="76" t="s">
        <v>65</v>
      </c>
      <c r="G7357" s="76" t="s">
        <v>2889</v>
      </c>
      <c r="H7357" s="76"/>
      <c r="I7357" s="77" t="s">
        <v>66</v>
      </c>
      <c r="J7357" s="75" t="s">
        <v>67</v>
      </c>
      <c r="K7357" s="75" t="s">
        <v>2890</v>
      </c>
      <c r="L7357" s="75" t="s">
        <v>68</v>
      </c>
      <c r="M7357" s="75" t="s">
        <v>70</v>
      </c>
    </row>
    <row r="7358" ht="23.85" customHeight="1" spans="3:13">
      <c r="C7358" s="569" t="s">
        <v>2891</v>
      </c>
      <c r="D7358" s="570" t="s">
        <v>2547</v>
      </c>
      <c r="E7358" s="569" t="s">
        <v>139</v>
      </c>
      <c r="F7358" s="569" t="s">
        <v>2548</v>
      </c>
      <c r="G7358" s="569" t="s">
        <v>3129</v>
      </c>
      <c r="H7358" s="569"/>
      <c r="I7358" s="577" t="s">
        <v>134</v>
      </c>
      <c r="J7358" s="578">
        <v>1</v>
      </c>
      <c r="K7358" s="579"/>
      <c r="L7358" s="579">
        <v>543.99</v>
      </c>
      <c r="M7358" s="579">
        <v>543.99</v>
      </c>
    </row>
    <row r="7359" ht="23.85" customHeight="1" spans="3:13">
      <c r="C7359" s="79" t="s">
        <v>2921</v>
      </c>
      <c r="D7359" s="78" t="s">
        <v>3144</v>
      </c>
      <c r="E7359" s="79" t="s">
        <v>139</v>
      </c>
      <c r="F7359" s="79" t="s">
        <v>3145</v>
      </c>
      <c r="G7359" s="79" t="s">
        <v>2928</v>
      </c>
      <c r="H7359" s="79"/>
      <c r="I7359" s="80" t="s">
        <v>2897</v>
      </c>
      <c r="J7359" s="583">
        <v>1.25</v>
      </c>
      <c r="K7359" s="583">
        <v>0</v>
      </c>
      <c r="L7359" s="92">
        <v>35.55</v>
      </c>
      <c r="M7359" s="92">
        <v>44.43</v>
      </c>
    </row>
    <row r="7360" ht="23.85" customHeight="1" spans="3:13">
      <c r="C7360" s="79" t="s">
        <v>2921</v>
      </c>
      <c r="D7360" s="78" t="s">
        <v>2952</v>
      </c>
      <c r="E7360" s="79" t="s">
        <v>139</v>
      </c>
      <c r="F7360" s="79" t="s">
        <v>2953</v>
      </c>
      <c r="G7360" s="79" t="s">
        <v>2928</v>
      </c>
      <c r="H7360" s="79"/>
      <c r="I7360" s="80" t="s">
        <v>2897</v>
      </c>
      <c r="J7360" s="583">
        <v>1.25</v>
      </c>
      <c r="K7360" s="583">
        <v>0</v>
      </c>
      <c r="L7360" s="92">
        <v>29.15</v>
      </c>
      <c r="M7360" s="92">
        <v>36.43</v>
      </c>
    </row>
    <row r="7361" ht="15" customHeight="1" spans="3:13">
      <c r="C7361" s="100" t="s">
        <v>2893</v>
      </c>
      <c r="D7361" s="99" t="s">
        <v>4984</v>
      </c>
      <c r="E7361" s="100" t="s">
        <v>139</v>
      </c>
      <c r="F7361" s="100" t="s">
        <v>4985</v>
      </c>
      <c r="G7361" s="100" t="s">
        <v>2961</v>
      </c>
      <c r="H7361" s="100"/>
      <c r="I7361" s="101" t="s">
        <v>134</v>
      </c>
      <c r="J7361" s="580">
        <v>1</v>
      </c>
      <c r="K7361" s="580">
        <v>0</v>
      </c>
      <c r="L7361" s="102">
        <v>463.13</v>
      </c>
      <c r="M7361" s="102">
        <v>463.13</v>
      </c>
    </row>
    <row r="7362" ht="25.5" spans="3:13">
      <c r="C7362" s="108"/>
      <c r="D7362" s="108"/>
      <c r="E7362" s="108"/>
      <c r="F7362" s="108"/>
      <c r="G7362" s="108"/>
      <c r="H7362" s="108" t="s">
        <v>2898</v>
      </c>
      <c r="I7362" s="581">
        <v>56.74</v>
      </c>
      <c r="J7362" s="108" t="s">
        <v>2899</v>
      </c>
      <c r="K7362" s="581">
        <v>0</v>
      </c>
      <c r="L7362" s="108" t="s">
        <v>2900</v>
      </c>
      <c r="M7362" s="581">
        <v>56.74</v>
      </c>
    </row>
    <row r="7363" ht="26.25" spans="3:13">
      <c r="C7363" s="108"/>
      <c r="D7363" s="108"/>
      <c r="E7363" s="108"/>
      <c r="F7363" s="108"/>
      <c r="G7363" s="108"/>
      <c r="H7363" s="108" t="s">
        <v>2901</v>
      </c>
      <c r="I7363" s="581">
        <v>138.66</v>
      </c>
      <c r="J7363" s="114"/>
      <c r="K7363" s="114" t="s">
        <v>2902</v>
      </c>
      <c r="L7363" s="108"/>
      <c r="M7363" s="581">
        <v>682.65</v>
      </c>
    </row>
    <row r="7364" ht="15" spans="3:13">
      <c r="C7364" s="571"/>
      <c r="D7364" s="571"/>
      <c r="E7364" s="571"/>
      <c r="F7364" s="571"/>
      <c r="G7364" s="571"/>
      <c r="H7364" s="571"/>
      <c r="I7364" s="571"/>
      <c r="J7364" s="571"/>
      <c r="K7364" s="571"/>
      <c r="L7364" s="571"/>
      <c r="M7364" s="571"/>
    </row>
    <row r="7365" ht="15" customHeight="1" spans="3:13">
      <c r="C7365" s="76" t="s">
        <v>2549</v>
      </c>
      <c r="D7365" s="75" t="s">
        <v>63</v>
      </c>
      <c r="E7365" s="76" t="s">
        <v>64</v>
      </c>
      <c r="F7365" s="76" t="s">
        <v>65</v>
      </c>
      <c r="G7365" s="76" t="s">
        <v>2889</v>
      </c>
      <c r="H7365" s="76"/>
      <c r="I7365" s="77" t="s">
        <v>66</v>
      </c>
      <c r="J7365" s="75" t="s">
        <v>67</v>
      </c>
      <c r="K7365" s="75" t="s">
        <v>2890</v>
      </c>
      <c r="L7365" s="75" t="s">
        <v>68</v>
      </c>
      <c r="M7365" s="75" t="s">
        <v>70</v>
      </c>
    </row>
    <row r="7366" ht="23.85" customHeight="1" spans="3:13">
      <c r="C7366" s="569" t="s">
        <v>2891</v>
      </c>
      <c r="D7366" s="570" t="s">
        <v>2550</v>
      </c>
      <c r="E7366" s="569" t="s">
        <v>149</v>
      </c>
      <c r="F7366" s="569" t="s">
        <v>2551</v>
      </c>
      <c r="G7366" s="569" t="s">
        <v>3755</v>
      </c>
      <c r="H7366" s="569"/>
      <c r="I7366" s="577" t="s">
        <v>134</v>
      </c>
      <c r="J7366" s="578">
        <v>1</v>
      </c>
      <c r="K7366" s="579"/>
      <c r="L7366" s="579">
        <v>30.61</v>
      </c>
      <c r="M7366" s="579">
        <v>30.61</v>
      </c>
    </row>
    <row r="7367" ht="15" customHeight="1" spans="3:13">
      <c r="C7367" s="100" t="s">
        <v>2893</v>
      </c>
      <c r="D7367" s="99" t="s">
        <v>2988</v>
      </c>
      <c r="E7367" s="100" t="s">
        <v>149</v>
      </c>
      <c r="F7367" s="100" t="s">
        <v>2989</v>
      </c>
      <c r="G7367" s="100" t="s">
        <v>2896</v>
      </c>
      <c r="H7367" s="100"/>
      <c r="I7367" s="101" t="s">
        <v>2897</v>
      </c>
      <c r="J7367" s="580">
        <v>0.299</v>
      </c>
      <c r="K7367" s="580">
        <v>0</v>
      </c>
      <c r="L7367" s="102">
        <v>26.928256</v>
      </c>
      <c r="M7367" s="102">
        <v>8.05</v>
      </c>
    </row>
    <row r="7368" ht="15" customHeight="1" spans="3:13">
      <c r="C7368" s="100" t="s">
        <v>2893</v>
      </c>
      <c r="D7368" s="99" t="s">
        <v>3655</v>
      </c>
      <c r="E7368" s="100" t="s">
        <v>149</v>
      </c>
      <c r="F7368" s="100" t="s">
        <v>3656</v>
      </c>
      <c r="G7368" s="100" t="s">
        <v>2961</v>
      </c>
      <c r="H7368" s="100"/>
      <c r="I7368" s="101" t="s">
        <v>134</v>
      </c>
      <c r="J7368" s="580">
        <v>1</v>
      </c>
      <c r="K7368" s="580">
        <v>0</v>
      </c>
      <c r="L7368" s="102">
        <v>15.99</v>
      </c>
      <c r="M7368" s="102">
        <v>15.99</v>
      </c>
    </row>
    <row r="7369" ht="15" customHeight="1" spans="3:13">
      <c r="C7369" s="100" t="s">
        <v>2893</v>
      </c>
      <c r="D7369" s="99" t="s">
        <v>3660</v>
      </c>
      <c r="E7369" s="100" t="s">
        <v>149</v>
      </c>
      <c r="F7369" s="100" t="s">
        <v>3661</v>
      </c>
      <c r="G7369" s="100" t="s">
        <v>2896</v>
      </c>
      <c r="H7369" s="100"/>
      <c r="I7369" s="101" t="s">
        <v>2897</v>
      </c>
      <c r="J7369" s="580">
        <v>0.299</v>
      </c>
      <c r="K7369" s="580">
        <v>0</v>
      </c>
      <c r="L7369" s="102">
        <v>20.515752</v>
      </c>
      <c r="M7369" s="102">
        <v>6.13</v>
      </c>
    </row>
    <row r="7370" ht="15" customHeight="1" spans="3:13">
      <c r="C7370" s="100" t="s">
        <v>2893</v>
      </c>
      <c r="D7370" s="99" t="s">
        <v>3662</v>
      </c>
      <c r="E7370" s="100" t="s">
        <v>149</v>
      </c>
      <c r="F7370" s="100" t="s">
        <v>3663</v>
      </c>
      <c r="G7370" s="100" t="s">
        <v>2961</v>
      </c>
      <c r="H7370" s="100"/>
      <c r="I7370" s="101" t="s">
        <v>204</v>
      </c>
      <c r="J7370" s="580">
        <v>1.277</v>
      </c>
      <c r="K7370" s="580">
        <v>0</v>
      </c>
      <c r="L7370" s="102">
        <v>0.35</v>
      </c>
      <c r="M7370" s="102">
        <v>0.44</v>
      </c>
    </row>
    <row r="7371" ht="25.5" spans="3:13">
      <c r="C7371" s="108"/>
      <c r="D7371" s="108"/>
      <c r="E7371" s="108"/>
      <c r="F7371" s="108"/>
      <c r="G7371" s="108"/>
      <c r="H7371" s="108" t="s">
        <v>2898</v>
      </c>
      <c r="I7371" s="581">
        <v>14.18</v>
      </c>
      <c r="J7371" s="108" t="s">
        <v>2899</v>
      </c>
      <c r="K7371" s="581">
        <v>0</v>
      </c>
      <c r="L7371" s="108" t="s">
        <v>2900</v>
      </c>
      <c r="M7371" s="581">
        <v>14.18</v>
      </c>
    </row>
    <row r="7372" ht="26.25" spans="3:13">
      <c r="C7372" s="108"/>
      <c r="D7372" s="108"/>
      <c r="E7372" s="108"/>
      <c r="F7372" s="108"/>
      <c r="G7372" s="108"/>
      <c r="H7372" s="108" t="s">
        <v>2901</v>
      </c>
      <c r="I7372" s="581">
        <v>7.8</v>
      </c>
      <c r="J7372" s="114"/>
      <c r="K7372" s="114" t="s">
        <v>2902</v>
      </c>
      <c r="L7372" s="108"/>
      <c r="M7372" s="581">
        <v>38.41</v>
      </c>
    </row>
    <row r="7373" ht="15" spans="3:13">
      <c r="C7373" s="571"/>
      <c r="D7373" s="571"/>
      <c r="E7373" s="571"/>
      <c r="F7373" s="571"/>
      <c r="G7373" s="571"/>
      <c r="H7373" s="571"/>
      <c r="I7373" s="571"/>
      <c r="J7373" s="571"/>
      <c r="K7373" s="571"/>
      <c r="L7373" s="571"/>
      <c r="M7373" s="571"/>
    </row>
    <row r="7374" ht="15" customHeight="1" spans="3:13">
      <c r="C7374" s="76" t="s">
        <v>2552</v>
      </c>
      <c r="D7374" s="75" t="s">
        <v>63</v>
      </c>
      <c r="E7374" s="76" t="s">
        <v>64</v>
      </c>
      <c r="F7374" s="76" t="s">
        <v>65</v>
      </c>
      <c r="G7374" s="76" t="s">
        <v>2889</v>
      </c>
      <c r="H7374" s="76"/>
      <c r="I7374" s="77" t="s">
        <v>66</v>
      </c>
      <c r="J7374" s="75" t="s">
        <v>67</v>
      </c>
      <c r="K7374" s="75" t="s">
        <v>2890</v>
      </c>
      <c r="L7374" s="75" t="s">
        <v>68</v>
      </c>
      <c r="M7374" s="75" t="s">
        <v>70</v>
      </c>
    </row>
    <row r="7375" ht="23.85" customHeight="1" spans="3:13">
      <c r="C7375" s="569" t="s">
        <v>2891</v>
      </c>
      <c r="D7375" s="570" t="s">
        <v>2553</v>
      </c>
      <c r="E7375" s="569" t="s">
        <v>149</v>
      </c>
      <c r="F7375" s="569" t="s">
        <v>2554</v>
      </c>
      <c r="G7375" s="569" t="s">
        <v>3657</v>
      </c>
      <c r="H7375" s="569"/>
      <c r="I7375" s="577" t="s">
        <v>134</v>
      </c>
      <c r="J7375" s="578">
        <v>1</v>
      </c>
      <c r="K7375" s="579"/>
      <c r="L7375" s="579">
        <v>46.93</v>
      </c>
      <c r="M7375" s="579">
        <v>46.93</v>
      </c>
    </row>
    <row r="7376" ht="15" customHeight="1" spans="3:13">
      <c r="C7376" s="100" t="s">
        <v>2893</v>
      </c>
      <c r="D7376" s="99" t="s">
        <v>2988</v>
      </c>
      <c r="E7376" s="100" t="s">
        <v>149</v>
      </c>
      <c r="F7376" s="100" t="s">
        <v>2989</v>
      </c>
      <c r="G7376" s="100" t="s">
        <v>2896</v>
      </c>
      <c r="H7376" s="100"/>
      <c r="I7376" s="101" t="s">
        <v>2897</v>
      </c>
      <c r="J7376" s="580">
        <v>0.38</v>
      </c>
      <c r="K7376" s="580">
        <v>0</v>
      </c>
      <c r="L7376" s="102">
        <v>26.928256</v>
      </c>
      <c r="M7376" s="102">
        <v>10.23</v>
      </c>
    </row>
    <row r="7377" ht="15" customHeight="1" spans="3:13">
      <c r="C7377" s="100" t="s">
        <v>2893</v>
      </c>
      <c r="D7377" s="99" t="s">
        <v>3662</v>
      </c>
      <c r="E7377" s="100" t="s">
        <v>149</v>
      </c>
      <c r="F7377" s="100" t="s">
        <v>3663</v>
      </c>
      <c r="G7377" s="100" t="s">
        <v>2961</v>
      </c>
      <c r="H7377" s="100"/>
      <c r="I7377" s="101" t="s">
        <v>204</v>
      </c>
      <c r="J7377" s="580">
        <v>0.48</v>
      </c>
      <c r="K7377" s="580">
        <v>0</v>
      </c>
      <c r="L7377" s="102">
        <v>0.35</v>
      </c>
      <c r="M7377" s="102">
        <v>0.16</v>
      </c>
    </row>
    <row r="7378" ht="15" customHeight="1" spans="3:13">
      <c r="C7378" s="100" t="s">
        <v>2893</v>
      </c>
      <c r="D7378" s="99" t="s">
        <v>4986</v>
      </c>
      <c r="E7378" s="100" t="s">
        <v>149</v>
      </c>
      <c r="F7378" s="100" t="s">
        <v>4987</v>
      </c>
      <c r="G7378" s="100" t="s">
        <v>2961</v>
      </c>
      <c r="H7378" s="100"/>
      <c r="I7378" s="101" t="s">
        <v>134</v>
      </c>
      <c r="J7378" s="580">
        <v>1</v>
      </c>
      <c r="K7378" s="580">
        <v>0</v>
      </c>
      <c r="L7378" s="102">
        <v>28.75</v>
      </c>
      <c r="M7378" s="102">
        <v>28.75</v>
      </c>
    </row>
    <row r="7379" ht="15" customHeight="1" spans="3:13">
      <c r="C7379" s="100" t="s">
        <v>2893</v>
      </c>
      <c r="D7379" s="99" t="s">
        <v>3660</v>
      </c>
      <c r="E7379" s="100" t="s">
        <v>149</v>
      </c>
      <c r="F7379" s="100" t="s">
        <v>3661</v>
      </c>
      <c r="G7379" s="100" t="s">
        <v>2896</v>
      </c>
      <c r="H7379" s="100"/>
      <c r="I7379" s="101" t="s">
        <v>2897</v>
      </c>
      <c r="J7379" s="580">
        <v>0.38</v>
      </c>
      <c r="K7379" s="580">
        <v>0</v>
      </c>
      <c r="L7379" s="102">
        <v>20.515752</v>
      </c>
      <c r="M7379" s="102">
        <v>7.79</v>
      </c>
    </row>
    <row r="7380" ht="25.5" spans="3:13">
      <c r="C7380" s="108"/>
      <c r="D7380" s="108"/>
      <c r="E7380" s="108"/>
      <c r="F7380" s="108"/>
      <c r="G7380" s="108"/>
      <c r="H7380" s="108" t="s">
        <v>2898</v>
      </c>
      <c r="I7380" s="581">
        <v>18.02</v>
      </c>
      <c r="J7380" s="108" t="s">
        <v>2899</v>
      </c>
      <c r="K7380" s="581">
        <v>0</v>
      </c>
      <c r="L7380" s="108" t="s">
        <v>2900</v>
      </c>
      <c r="M7380" s="581">
        <v>18.02</v>
      </c>
    </row>
    <row r="7381" ht="26.25" spans="3:13">
      <c r="C7381" s="108"/>
      <c r="D7381" s="108"/>
      <c r="E7381" s="108"/>
      <c r="F7381" s="108"/>
      <c r="G7381" s="108"/>
      <c r="H7381" s="108" t="s">
        <v>2901</v>
      </c>
      <c r="I7381" s="581">
        <v>11.96</v>
      </c>
      <c r="J7381" s="114"/>
      <c r="K7381" s="114" t="s">
        <v>2902</v>
      </c>
      <c r="L7381" s="108"/>
      <c r="M7381" s="581">
        <v>58.89</v>
      </c>
    </row>
    <row r="7382" ht="15" spans="3:13">
      <c r="C7382" s="571"/>
      <c r="D7382" s="571"/>
      <c r="E7382" s="571"/>
      <c r="F7382" s="571"/>
      <c r="G7382" s="571"/>
      <c r="H7382" s="571"/>
      <c r="I7382" s="571"/>
      <c r="J7382" s="571"/>
      <c r="K7382" s="571"/>
      <c r="L7382" s="571"/>
      <c r="M7382" s="571"/>
    </row>
    <row r="7383" ht="15" customHeight="1" spans="3:13">
      <c r="C7383" s="76" t="s">
        <v>2555</v>
      </c>
      <c r="D7383" s="75" t="s">
        <v>63</v>
      </c>
      <c r="E7383" s="76" t="s">
        <v>64</v>
      </c>
      <c r="F7383" s="76" t="s">
        <v>65</v>
      </c>
      <c r="G7383" s="76" t="s">
        <v>2889</v>
      </c>
      <c r="H7383" s="76"/>
      <c r="I7383" s="77" t="s">
        <v>66</v>
      </c>
      <c r="J7383" s="75" t="s">
        <v>67</v>
      </c>
      <c r="K7383" s="75" t="s">
        <v>2890</v>
      </c>
      <c r="L7383" s="75" t="s">
        <v>68</v>
      </c>
      <c r="M7383" s="75" t="s">
        <v>70</v>
      </c>
    </row>
    <row r="7384" ht="23.85" customHeight="1" spans="3:13">
      <c r="C7384" s="569" t="s">
        <v>2891</v>
      </c>
      <c r="D7384" s="570" t="s">
        <v>2556</v>
      </c>
      <c r="E7384" s="569" t="s">
        <v>149</v>
      </c>
      <c r="F7384" s="569" t="s">
        <v>2557</v>
      </c>
      <c r="G7384" s="569" t="s">
        <v>3755</v>
      </c>
      <c r="H7384" s="569"/>
      <c r="I7384" s="577" t="s">
        <v>134</v>
      </c>
      <c r="J7384" s="578">
        <v>1</v>
      </c>
      <c r="K7384" s="579"/>
      <c r="L7384" s="579">
        <v>44.53</v>
      </c>
      <c r="M7384" s="579">
        <v>44.53</v>
      </c>
    </row>
    <row r="7385" ht="15" customHeight="1" spans="3:13">
      <c r="C7385" s="100" t="s">
        <v>2893</v>
      </c>
      <c r="D7385" s="99" t="s">
        <v>2988</v>
      </c>
      <c r="E7385" s="100" t="s">
        <v>149</v>
      </c>
      <c r="F7385" s="100" t="s">
        <v>2989</v>
      </c>
      <c r="G7385" s="100" t="s">
        <v>2896</v>
      </c>
      <c r="H7385" s="100"/>
      <c r="I7385" s="101" t="s">
        <v>2897</v>
      </c>
      <c r="J7385" s="580">
        <v>0.32</v>
      </c>
      <c r="K7385" s="580">
        <v>0</v>
      </c>
      <c r="L7385" s="102">
        <v>26.928256</v>
      </c>
      <c r="M7385" s="102">
        <v>8.61</v>
      </c>
    </row>
    <row r="7386" ht="15" customHeight="1" spans="3:13">
      <c r="C7386" s="100" t="s">
        <v>2893</v>
      </c>
      <c r="D7386" s="99" t="s">
        <v>3660</v>
      </c>
      <c r="E7386" s="100" t="s">
        <v>149</v>
      </c>
      <c r="F7386" s="100" t="s">
        <v>3661</v>
      </c>
      <c r="G7386" s="100" t="s">
        <v>2896</v>
      </c>
      <c r="H7386" s="100"/>
      <c r="I7386" s="101" t="s">
        <v>2897</v>
      </c>
      <c r="J7386" s="580">
        <v>0.32</v>
      </c>
      <c r="K7386" s="580">
        <v>0</v>
      </c>
      <c r="L7386" s="102">
        <v>20.515752</v>
      </c>
      <c r="M7386" s="102">
        <v>6.56</v>
      </c>
    </row>
    <row r="7387" ht="15" customHeight="1" spans="3:13">
      <c r="C7387" s="100" t="s">
        <v>2893</v>
      </c>
      <c r="D7387" s="99" t="s">
        <v>4988</v>
      </c>
      <c r="E7387" s="100" t="s">
        <v>149</v>
      </c>
      <c r="F7387" s="100" t="s">
        <v>4989</v>
      </c>
      <c r="G7387" s="100" t="s">
        <v>2961</v>
      </c>
      <c r="H7387" s="100"/>
      <c r="I7387" s="101" t="s">
        <v>134</v>
      </c>
      <c r="J7387" s="580">
        <v>1</v>
      </c>
      <c r="K7387" s="580">
        <v>0</v>
      </c>
      <c r="L7387" s="102">
        <v>28.75</v>
      </c>
      <c r="M7387" s="102">
        <v>28.75</v>
      </c>
    </row>
    <row r="7388" ht="15" customHeight="1" spans="3:13">
      <c r="C7388" s="100" t="s">
        <v>2893</v>
      </c>
      <c r="D7388" s="99" t="s">
        <v>3662</v>
      </c>
      <c r="E7388" s="100" t="s">
        <v>149</v>
      </c>
      <c r="F7388" s="100" t="s">
        <v>3663</v>
      </c>
      <c r="G7388" s="100" t="s">
        <v>2961</v>
      </c>
      <c r="H7388" s="100"/>
      <c r="I7388" s="101" t="s">
        <v>204</v>
      </c>
      <c r="J7388" s="580">
        <v>1.759</v>
      </c>
      <c r="K7388" s="580">
        <v>0</v>
      </c>
      <c r="L7388" s="102">
        <v>0.35</v>
      </c>
      <c r="M7388" s="102">
        <v>0.61</v>
      </c>
    </row>
    <row r="7389" ht="25.5" spans="3:13">
      <c r="C7389" s="108"/>
      <c r="D7389" s="108"/>
      <c r="E7389" s="108"/>
      <c r="F7389" s="108"/>
      <c r="G7389" s="108"/>
      <c r="H7389" s="108" t="s">
        <v>2898</v>
      </c>
      <c r="I7389" s="581">
        <v>15.17</v>
      </c>
      <c r="J7389" s="108" t="s">
        <v>2899</v>
      </c>
      <c r="K7389" s="581">
        <v>0</v>
      </c>
      <c r="L7389" s="108" t="s">
        <v>2900</v>
      </c>
      <c r="M7389" s="581">
        <v>15.17</v>
      </c>
    </row>
    <row r="7390" ht="26.25" spans="3:13">
      <c r="C7390" s="108"/>
      <c r="D7390" s="108"/>
      <c r="E7390" s="108"/>
      <c r="F7390" s="108"/>
      <c r="G7390" s="108"/>
      <c r="H7390" s="108" t="s">
        <v>2901</v>
      </c>
      <c r="I7390" s="581">
        <v>11.35</v>
      </c>
      <c r="J7390" s="114"/>
      <c r="K7390" s="114" t="s">
        <v>2902</v>
      </c>
      <c r="L7390" s="108"/>
      <c r="M7390" s="581">
        <v>55.88</v>
      </c>
    </row>
    <row r="7391" ht="15" spans="3:13">
      <c r="C7391" s="571"/>
      <c r="D7391" s="571"/>
      <c r="E7391" s="571"/>
      <c r="F7391" s="571"/>
      <c r="G7391" s="571"/>
      <c r="H7391" s="571"/>
      <c r="I7391" s="571"/>
      <c r="J7391" s="571"/>
      <c r="K7391" s="571"/>
      <c r="L7391" s="571"/>
      <c r="M7391" s="571"/>
    </row>
    <row r="7392" ht="15" customHeight="1" spans="3:13">
      <c r="C7392" s="76" t="s">
        <v>2558</v>
      </c>
      <c r="D7392" s="75" t="s">
        <v>63</v>
      </c>
      <c r="E7392" s="76" t="s">
        <v>64</v>
      </c>
      <c r="F7392" s="76" t="s">
        <v>65</v>
      </c>
      <c r="G7392" s="76" t="s">
        <v>2889</v>
      </c>
      <c r="H7392" s="76"/>
      <c r="I7392" s="77" t="s">
        <v>66</v>
      </c>
      <c r="J7392" s="75" t="s">
        <v>67</v>
      </c>
      <c r="K7392" s="75" t="s">
        <v>2890</v>
      </c>
      <c r="L7392" s="75" t="s">
        <v>68</v>
      </c>
      <c r="M7392" s="75" t="s">
        <v>70</v>
      </c>
    </row>
    <row r="7393" ht="23.85" customHeight="1" spans="3:13">
      <c r="C7393" s="569" t="s">
        <v>2891</v>
      </c>
      <c r="D7393" s="570" t="s">
        <v>2559</v>
      </c>
      <c r="E7393" s="569" t="s">
        <v>149</v>
      </c>
      <c r="F7393" s="569" t="s">
        <v>4990</v>
      </c>
      <c r="G7393" s="569" t="s">
        <v>3755</v>
      </c>
      <c r="H7393" s="569"/>
      <c r="I7393" s="577" t="s">
        <v>134</v>
      </c>
      <c r="J7393" s="578">
        <v>1</v>
      </c>
      <c r="K7393" s="579"/>
      <c r="L7393" s="579">
        <v>155.92</v>
      </c>
      <c r="M7393" s="579">
        <v>155.92</v>
      </c>
    </row>
    <row r="7394" ht="15" customHeight="1" spans="3:13">
      <c r="C7394" s="100" t="s">
        <v>2893</v>
      </c>
      <c r="D7394" s="99" t="s">
        <v>2988</v>
      </c>
      <c r="E7394" s="100" t="s">
        <v>149</v>
      </c>
      <c r="F7394" s="100" t="s">
        <v>2989</v>
      </c>
      <c r="G7394" s="100" t="s">
        <v>2896</v>
      </c>
      <c r="H7394" s="100"/>
      <c r="I7394" s="101" t="s">
        <v>2897</v>
      </c>
      <c r="J7394" s="580">
        <v>0.459</v>
      </c>
      <c r="K7394" s="580">
        <v>0</v>
      </c>
      <c r="L7394" s="102">
        <v>26.928256</v>
      </c>
      <c r="M7394" s="102">
        <v>12.36</v>
      </c>
    </row>
    <row r="7395" ht="15" customHeight="1" spans="3:13">
      <c r="C7395" s="100" t="s">
        <v>2893</v>
      </c>
      <c r="D7395" s="99" t="s">
        <v>4991</v>
      </c>
      <c r="E7395" s="100" t="s">
        <v>149</v>
      </c>
      <c r="F7395" s="100" t="s">
        <v>4992</v>
      </c>
      <c r="G7395" s="100" t="s">
        <v>2961</v>
      </c>
      <c r="H7395" s="100"/>
      <c r="I7395" s="101" t="s">
        <v>134</v>
      </c>
      <c r="J7395" s="580">
        <v>1</v>
      </c>
      <c r="K7395" s="580">
        <v>0</v>
      </c>
      <c r="L7395" s="102">
        <v>132.65</v>
      </c>
      <c r="M7395" s="102">
        <v>132.65</v>
      </c>
    </row>
    <row r="7396" ht="15" customHeight="1" spans="3:13">
      <c r="C7396" s="100" t="s">
        <v>2893</v>
      </c>
      <c r="D7396" s="99" t="s">
        <v>3660</v>
      </c>
      <c r="E7396" s="100" t="s">
        <v>149</v>
      </c>
      <c r="F7396" s="100" t="s">
        <v>3661</v>
      </c>
      <c r="G7396" s="100" t="s">
        <v>2896</v>
      </c>
      <c r="H7396" s="100"/>
      <c r="I7396" s="101" t="s">
        <v>2897</v>
      </c>
      <c r="J7396" s="580">
        <v>0.459</v>
      </c>
      <c r="K7396" s="580">
        <v>0</v>
      </c>
      <c r="L7396" s="102">
        <v>20.515752</v>
      </c>
      <c r="M7396" s="102">
        <v>9.41</v>
      </c>
    </row>
    <row r="7397" ht="15" customHeight="1" spans="3:13">
      <c r="C7397" s="100" t="s">
        <v>2893</v>
      </c>
      <c r="D7397" s="99" t="s">
        <v>3662</v>
      </c>
      <c r="E7397" s="100" t="s">
        <v>149</v>
      </c>
      <c r="F7397" s="100" t="s">
        <v>3663</v>
      </c>
      <c r="G7397" s="100" t="s">
        <v>2961</v>
      </c>
      <c r="H7397" s="100"/>
      <c r="I7397" s="101" t="s">
        <v>204</v>
      </c>
      <c r="J7397" s="580">
        <v>4.29</v>
      </c>
      <c r="K7397" s="580">
        <v>0</v>
      </c>
      <c r="L7397" s="102">
        <v>0.35</v>
      </c>
      <c r="M7397" s="102">
        <v>1.5</v>
      </c>
    </row>
    <row r="7398" ht="25.5" spans="3:13">
      <c r="C7398" s="108"/>
      <c r="D7398" s="108"/>
      <c r="E7398" s="108"/>
      <c r="F7398" s="108"/>
      <c r="G7398" s="108"/>
      <c r="H7398" s="108" t="s">
        <v>2898</v>
      </c>
      <c r="I7398" s="581">
        <v>21.77</v>
      </c>
      <c r="J7398" s="108" t="s">
        <v>2899</v>
      </c>
      <c r="K7398" s="581">
        <v>0</v>
      </c>
      <c r="L7398" s="108" t="s">
        <v>2900</v>
      </c>
      <c r="M7398" s="581">
        <v>21.77</v>
      </c>
    </row>
    <row r="7399" ht="26.25" spans="3:13">
      <c r="C7399" s="108"/>
      <c r="D7399" s="108"/>
      <c r="E7399" s="108"/>
      <c r="F7399" s="108"/>
      <c r="G7399" s="108"/>
      <c r="H7399" s="108" t="s">
        <v>2901</v>
      </c>
      <c r="I7399" s="581">
        <v>39.74</v>
      </c>
      <c r="J7399" s="114"/>
      <c r="K7399" s="114" t="s">
        <v>2902</v>
      </c>
      <c r="L7399" s="108"/>
      <c r="M7399" s="581">
        <v>195.66</v>
      </c>
    </row>
    <row r="7400" ht="15" spans="3:13">
      <c r="C7400" s="571"/>
      <c r="D7400" s="571"/>
      <c r="E7400" s="571"/>
      <c r="F7400" s="571"/>
      <c r="G7400" s="571"/>
      <c r="H7400" s="571"/>
      <c r="I7400" s="571"/>
      <c r="J7400" s="571"/>
      <c r="K7400" s="571"/>
      <c r="L7400" s="571"/>
      <c r="M7400" s="571"/>
    </row>
    <row r="7401" ht="15" customHeight="1" spans="3:13">
      <c r="C7401" s="76" t="s">
        <v>2561</v>
      </c>
      <c r="D7401" s="75" t="s">
        <v>63</v>
      </c>
      <c r="E7401" s="76" t="s">
        <v>64</v>
      </c>
      <c r="F7401" s="76" t="s">
        <v>65</v>
      </c>
      <c r="G7401" s="76" t="s">
        <v>2889</v>
      </c>
      <c r="H7401" s="76"/>
      <c r="I7401" s="77" t="s">
        <v>66</v>
      </c>
      <c r="J7401" s="75" t="s">
        <v>67</v>
      </c>
      <c r="K7401" s="75" t="s">
        <v>2890</v>
      </c>
      <c r="L7401" s="75" t="s">
        <v>68</v>
      </c>
      <c r="M7401" s="75" t="s">
        <v>70</v>
      </c>
    </row>
    <row r="7402" ht="23.85" customHeight="1" spans="3:13">
      <c r="C7402" s="569" t="s">
        <v>2891</v>
      </c>
      <c r="D7402" s="570" t="s">
        <v>2562</v>
      </c>
      <c r="E7402" s="569" t="s">
        <v>149</v>
      </c>
      <c r="F7402" s="569" t="s">
        <v>4993</v>
      </c>
      <c r="G7402" s="569" t="s">
        <v>3755</v>
      </c>
      <c r="H7402" s="569"/>
      <c r="I7402" s="577" t="s">
        <v>134</v>
      </c>
      <c r="J7402" s="578">
        <v>1</v>
      </c>
      <c r="K7402" s="579"/>
      <c r="L7402" s="579">
        <v>15.98</v>
      </c>
      <c r="M7402" s="579">
        <v>15.98</v>
      </c>
    </row>
    <row r="7403" ht="15" customHeight="1" spans="3:13">
      <c r="C7403" s="100" t="s">
        <v>2893</v>
      </c>
      <c r="D7403" s="99" t="s">
        <v>4994</v>
      </c>
      <c r="E7403" s="100" t="s">
        <v>149</v>
      </c>
      <c r="F7403" s="100" t="s">
        <v>4995</v>
      </c>
      <c r="G7403" s="100" t="s">
        <v>2961</v>
      </c>
      <c r="H7403" s="100"/>
      <c r="I7403" s="101" t="s">
        <v>134</v>
      </c>
      <c r="J7403" s="580">
        <v>1</v>
      </c>
      <c r="K7403" s="580">
        <v>0</v>
      </c>
      <c r="L7403" s="102">
        <v>1.49</v>
      </c>
      <c r="M7403" s="102">
        <v>1.49</v>
      </c>
    </row>
    <row r="7404" ht="15" customHeight="1" spans="3:13">
      <c r="C7404" s="100" t="s">
        <v>2893</v>
      </c>
      <c r="D7404" s="99" t="s">
        <v>4996</v>
      </c>
      <c r="E7404" s="100" t="s">
        <v>149</v>
      </c>
      <c r="F7404" s="100" t="s">
        <v>4997</v>
      </c>
      <c r="G7404" s="100" t="s">
        <v>2961</v>
      </c>
      <c r="H7404" s="100"/>
      <c r="I7404" s="101" t="s">
        <v>134</v>
      </c>
      <c r="J7404" s="580">
        <v>0.06</v>
      </c>
      <c r="K7404" s="580">
        <v>0</v>
      </c>
      <c r="L7404" s="102">
        <v>9.9</v>
      </c>
      <c r="M7404" s="102">
        <v>0.59</v>
      </c>
    </row>
    <row r="7405" ht="15" customHeight="1" spans="3:13">
      <c r="C7405" s="100" t="s">
        <v>2893</v>
      </c>
      <c r="D7405" s="99" t="s">
        <v>4998</v>
      </c>
      <c r="E7405" s="100" t="s">
        <v>149</v>
      </c>
      <c r="F7405" s="100" t="s">
        <v>4999</v>
      </c>
      <c r="G7405" s="100" t="s">
        <v>2961</v>
      </c>
      <c r="H7405" s="100"/>
      <c r="I7405" s="101" t="s">
        <v>134</v>
      </c>
      <c r="J7405" s="580">
        <v>0.006</v>
      </c>
      <c r="K7405" s="580">
        <v>0</v>
      </c>
      <c r="L7405" s="102">
        <v>51</v>
      </c>
      <c r="M7405" s="102">
        <v>0.3</v>
      </c>
    </row>
    <row r="7406" ht="15" customHeight="1" spans="3:13">
      <c r="C7406" s="100" t="s">
        <v>2893</v>
      </c>
      <c r="D7406" s="99" t="s">
        <v>5000</v>
      </c>
      <c r="E7406" s="100" t="s">
        <v>149</v>
      </c>
      <c r="F7406" s="100" t="s">
        <v>5001</v>
      </c>
      <c r="G7406" s="100" t="s">
        <v>2961</v>
      </c>
      <c r="H7406" s="100"/>
      <c r="I7406" s="101" t="s">
        <v>134</v>
      </c>
      <c r="J7406" s="580">
        <v>0.009</v>
      </c>
      <c r="K7406" s="580">
        <v>0</v>
      </c>
      <c r="L7406" s="102">
        <v>46.9</v>
      </c>
      <c r="M7406" s="102">
        <v>0.42</v>
      </c>
    </row>
    <row r="7407" ht="15" customHeight="1" spans="3:13">
      <c r="C7407" s="100" t="s">
        <v>2893</v>
      </c>
      <c r="D7407" s="99" t="s">
        <v>2988</v>
      </c>
      <c r="E7407" s="100" t="s">
        <v>149</v>
      </c>
      <c r="F7407" s="100" t="s">
        <v>2989</v>
      </c>
      <c r="G7407" s="100" t="s">
        <v>2896</v>
      </c>
      <c r="H7407" s="100"/>
      <c r="I7407" s="101" t="s">
        <v>2897</v>
      </c>
      <c r="J7407" s="580">
        <v>0.278</v>
      </c>
      <c r="K7407" s="580">
        <v>0</v>
      </c>
      <c r="L7407" s="102">
        <v>26.928256</v>
      </c>
      <c r="M7407" s="102">
        <v>7.48</v>
      </c>
    </row>
    <row r="7408" ht="15" customHeight="1" spans="3:13">
      <c r="C7408" s="100" t="s">
        <v>2893</v>
      </c>
      <c r="D7408" s="99" t="s">
        <v>3660</v>
      </c>
      <c r="E7408" s="100" t="s">
        <v>149</v>
      </c>
      <c r="F7408" s="100" t="s">
        <v>3661</v>
      </c>
      <c r="G7408" s="100" t="s">
        <v>2896</v>
      </c>
      <c r="H7408" s="100"/>
      <c r="I7408" s="101" t="s">
        <v>2897</v>
      </c>
      <c r="J7408" s="580">
        <v>0.278</v>
      </c>
      <c r="K7408" s="580">
        <v>0</v>
      </c>
      <c r="L7408" s="102">
        <v>20.515752</v>
      </c>
      <c r="M7408" s="102">
        <v>5.7</v>
      </c>
    </row>
    <row r="7409" ht="25.5" spans="3:13">
      <c r="C7409" s="108"/>
      <c r="D7409" s="108"/>
      <c r="E7409" s="108"/>
      <c r="F7409" s="108"/>
      <c r="G7409" s="108"/>
      <c r="H7409" s="108" t="s">
        <v>2898</v>
      </c>
      <c r="I7409" s="581">
        <v>13.18</v>
      </c>
      <c r="J7409" s="108" t="s">
        <v>2899</v>
      </c>
      <c r="K7409" s="581">
        <v>0</v>
      </c>
      <c r="L7409" s="108" t="s">
        <v>2900</v>
      </c>
      <c r="M7409" s="581">
        <v>13.18</v>
      </c>
    </row>
    <row r="7410" ht="26.25" spans="3:13">
      <c r="C7410" s="108"/>
      <c r="D7410" s="108"/>
      <c r="E7410" s="108"/>
      <c r="F7410" s="108"/>
      <c r="G7410" s="108"/>
      <c r="H7410" s="108" t="s">
        <v>2901</v>
      </c>
      <c r="I7410" s="581">
        <v>4.07</v>
      </c>
      <c r="J7410" s="114"/>
      <c r="K7410" s="114" t="s">
        <v>2902</v>
      </c>
      <c r="L7410" s="108"/>
      <c r="M7410" s="581">
        <v>20.05</v>
      </c>
    </row>
    <row r="7411" ht="15" spans="3:13">
      <c r="C7411" s="571"/>
      <c r="D7411" s="571"/>
      <c r="E7411" s="571"/>
      <c r="F7411" s="571"/>
      <c r="G7411" s="571"/>
      <c r="H7411" s="571"/>
      <c r="I7411" s="571"/>
      <c r="J7411" s="571"/>
      <c r="K7411" s="571"/>
      <c r="L7411" s="571"/>
      <c r="M7411" s="571"/>
    </row>
    <row r="7412" ht="15" customHeight="1" spans="3:13">
      <c r="C7412" s="76" t="s">
        <v>2564</v>
      </c>
      <c r="D7412" s="75" t="s">
        <v>63</v>
      </c>
      <c r="E7412" s="76" t="s">
        <v>64</v>
      </c>
      <c r="F7412" s="76" t="s">
        <v>65</v>
      </c>
      <c r="G7412" s="76" t="s">
        <v>2889</v>
      </c>
      <c r="H7412" s="76"/>
      <c r="I7412" s="77" t="s">
        <v>66</v>
      </c>
      <c r="J7412" s="75" t="s">
        <v>67</v>
      </c>
      <c r="K7412" s="75" t="s">
        <v>2890</v>
      </c>
      <c r="L7412" s="75" t="s">
        <v>68</v>
      </c>
      <c r="M7412" s="75" t="s">
        <v>70</v>
      </c>
    </row>
    <row r="7413" ht="23.85" customHeight="1" spans="3:13">
      <c r="C7413" s="569" t="s">
        <v>2891</v>
      </c>
      <c r="D7413" s="570" t="s">
        <v>2565</v>
      </c>
      <c r="E7413" s="569" t="s">
        <v>149</v>
      </c>
      <c r="F7413" s="569" t="s">
        <v>2566</v>
      </c>
      <c r="G7413" s="569" t="s">
        <v>3755</v>
      </c>
      <c r="H7413" s="569"/>
      <c r="I7413" s="577" t="s">
        <v>134</v>
      </c>
      <c r="J7413" s="578">
        <v>1</v>
      </c>
      <c r="K7413" s="579"/>
      <c r="L7413" s="579">
        <v>57.63</v>
      </c>
      <c r="M7413" s="579">
        <v>57.63</v>
      </c>
    </row>
    <row r="7414" ht="15" customHeight="1" spans="3:13">
      <c r="C7414" s="100" t="s">
        <v>2893</v>
      </c>
      <c r="D7414" s="99" t="s">
        <v>3660</v>
      </c>
      <c r="E7414" s="100" t="s">
        <v>149</v>
      </c>
      <c r="F7414" s="100" t="s">
        <v>3661</v>
      </c>
      <c r="G7414" s="100" t="s">
        <v>2896</v>
      </c>
      <c r="H7414" s="100"/>
      <c r="I7414" s="101" t="s">
        <v>2897</v>
      </c>
      <c r="J7414" s="580">
        <v>0.345</v>
      </c>
      <c r="K7414" s="580">
        <v>0</v>
      </c>
      <c r="L7414" s="102">
        <v>20.515752</v>
      </c>
      <c r="M7414" s="102">
        <v>7.07</v>
      </c>
    </row>
    <row r="7415" ht="15" customHeight="1" spans="3:13">
      <c r="C7415" s="100" t="s">
        <v>2893</v>
      </c>
      <c r="D7415" s="99" t="s">
        <v>2988</v>
      </c>
      <c r="E7415" s="100" t="s">
        <v>149</v>
      </c>
      <c r="F7415" s="100" t="s">
        <v>2989</v>
      </c>
      <c r="G7415" s="100" t="s">
        <v>2896</v>
      </c>
      <c r="H7415" s="100"/>
      <c r="I7415" s="101" t="s">
        <v>2897</v>
      </c>
      <c r="J7415" s="580">
        <v>0.345</v>
      </c>
      <c r="K7415" s="580">
        <v>0</v>
      </c>
      <c r="L7415" s="102">
        <v>26.928256</v>
      </c>
      <c r="M7415" s="102">
        <v>9.29</v>
      </c>
    </row>
    <row r="7416" ht="15" customHeight="1" spans="3:13">
      <c r="C7416" s="100" t="s">
        <v>2893</v>
      </c>
      <c r="D7416" s="99" t="s">
        <v>5002</v>
      </c>
      <c r="E7416" s="100" t="s">
        <v>149</v>
      </c>
      <c r="F7416" s="100" t="s">
        <v>5003</v>
      </c>
      <c r="G7416" s="100" t="s">
        <v>2961</v>
      </c>
      <c r="H7416" s="100"/>
      <c r="I7416" s="101" t="s">
        <v>134</v>
      </c>
      <c r="J7416" s="580">
        <v>1</v>
      </c>
      <c r="K7416" s="580">
        <v>0</v>
      </c>
      <c r="L7416" s="102">
        <v>40.49</v>
      </c>
      <c r="M7416" s="102">
        <v>40.49</v>
      </c>
    </row>
    <row r="7417" ht="15" customHeight="1" spans="3:13">
      <c r="C7417" s="100" t="s">
        <v>2893</v>
      </c>
      <c r="D7417" s="99" t="s">
        <v>3662</v>
      </c>
      <c r="E7417" s="100" t="s">
        <v>149</v>
      </c>
      <c r="F7417" s="100" t="s">
        <v>3663</v>
      </c>
      <c r="G7417" s="100" t="s">
        <v>2961</v>
      </c>
      <c r="H7417" s="100"/>
      <c r="I7417" s="101" t="s">
        <v>204</v>
      </c>
      <c r="J7417" s="580">
        <v>2.238</v>
      </c>
      <c r="K7417" s="580">
        <v>0</v>
      </c>
      <c r="L7417" s="102">
        <v>0.35</v>
      </c>
      <c r="M7417" s="102">
        <v>0.78</v>
      </c>
    </row>
    <row r="7418" ht="25.5" spans="3:13">
      <c r="C7418" s="108"/>
      <c r="D7418" s="108"/>
      <c r="E7418" s="108"/>
      <c r="F7418" s="108"/>
      <c r="G7418" s="108"/>
      <c r="H7418" s="108" t="s">
        <v>2898</v>
      </c>
      <c r="I7418" s="581">
        <v>16.36</v>
      </c>
      <c r="J7418" s="108" t="s">
        <v>2899</v>
      </c>
      <c r="K7418" s="581">
        <v>0</v>
      </c>
      <c r="L7418" s="108" t="s">
        <v>2900</v>
      </c>
      <c r="M7418" s="581">
        <v>16.36</v>
      </c>
    </row>
    <row r="7419" ht="26.25" spans="3:13">
      <c r="C7419" s="108"/>
      <c r="D7419" s="108"/>
      <c r="E7419" s="108"/>
      <c r="F7419" s="108"/>
      <c r="G7419" s="108"/>
      <c r="H7419" s="108" t="s">
        <v>2901</v>
      </c>
      <c r="I7419" s="581">
        <v>14.68</v>
      </c>
      <c r="J7419" s="114"/>
      <c r="K7419" s="114" t="s">
        <v>2902</v>
      </c>
      <c r="L7419" s="108"/>
      <c r="M7419" s="581">
        <v>72.31</v>
      </c>
    </row>
    <row r="7420" ht="15" spans="3:13">
      <c r="C7420" s="571"/>
      <c r="D7420" s="571"/>
      <c r="E7420" s="571"/>
      <c r="F7420" s="571"/>
      <c r="G7420" s="571"/>
      <c r="H7420" s="571"/>
      <c r="I7420" s="571"/>
      <c r="J7420" s="571"/>
      <c r="K7420" s="571"/>
      <c r="L7420" s="571"/>
      <c r="M7420" s="571"/>
    </row>
    <row r="7421" ht="15" customHeight="1" spans="3:13">
      <c r="C7421" s="76" t="s">
        <v>2567</v>
      </c>
      <c r="D7421" s="75" t="s">
        <v>63</v>
      </c>
      <c r="E7421" s="76" t="s">
        <v>64</v>
      </c>
      <c r="F7421" s="76" t="s">
        <v>65</v>
      </c>
      <c r="G7421" s="76" t="s">
        <v>2889</v>
      </c>
      <c r="H7421" s="76"/>
      <c r="I7421" s="77" t="s">
        <v>66</v>
      </c>
      <c r="J7421" s="75" t="s">
        <v>67</v>
      </c>
      <c r="K7421" s="75" t="s">
        <v>2890</v>
      </c>
      <c r="L7421" s="75" t="s">
        <v>68</v>
      </c>
      <c r="M7421" s="75" t="s">
        <v>70</v>
      </c>
    </row>
    <row r="7422" ht="23.85" customHeight="1" spans="3:13">
      <c r="C7422" s="569" t="s">
        <v>2891</v>
      </c>
      <c r="D7422" s="570" t="s">
        <v>2568</v>
      </c>
      <c r="E7422" s="569" t="s">
        <v>149</v>
      </c>
      <c r="F7422" s="569" t="s">
        <v>2569</v>
      </c>
      <c r="G7422" s="569" t="s">
        <v>3755</v>
      </c>
      <c r="H7422" s="569"/>
      <c r="I7422" s="577" t="s">
        <v>134</v>
      </c>
      <c r="J7422" s="578">
        <v>1</v>
      </c>
      <c r="K7422" s="579"/>
      <c r="L7422" s="579">
        <v>77.73</v>
      </c>
      <c r="M7422" s="579">
        <v>77.73</v>
      </c>
    </row>
    <row r="7423" ht="15" customHeight="1" spans="3:13">
      <c r="C7423" s="100" t="s">
        <v>2893</v>
      </c>
      <c r="D7423" s="99" t="s">
        <v>3660</v>
      </c>
      <c r="E7423" s="100" t="s">
        <v>149</v>
      </c>
      <c r="F7423" s="100" t="s">
        <v>3661</v>
      </c>
      <c r="G7423" s="100" t="s">
        <v>2896</v>
      </c>
      <c r="H7423" s="100"/>
      <c r="I7423" s="101" t="s">
        <v>2897</v>
      </c>
      <c r="J7423" s="580">
        <v>0.407</v>
      </c>
      <c r="K7423" s="580">
        <v>0</v>
      </c>
      <c r="L7423" s="102">
        <v>20.515752</v>
      </c>
      <c r="M7423" s="102">
        <v>8.34</v>
      </c>
    </row>
    <row r="7424" ht="15" customHeight="1" spans="3:13">
      <c r="C7424" s="100" t="s">
        <v>2893</v>
      </c>
      <c r="D7424" s="99" t="s">
        <v>2988</v>
      </c>
      <c r="E7424" s="100" t="s">
        <v>149</v>
      </c>
      <c r="F7424" s="100" t="s">
        <v>2989</v>
      </c>
      <c r="G7424" s="100" t="s">
        <v>2896</v>
      </c>
      <c r="H7424" s="100"/>
      <c r="I7424" s="101" t="s">
        <v>2897</v>
      </c>
      <c r="J7424" s="580">
        <v>0.407</v>
      </c>
      <c r="K7424" s="580">
        <v>0</v>
      </c>
      <c r="L7424" s="102">
        <v>26.928256</v>
      </c>
      <c r="M7424" s="102">
        <v>10.95</v>
      </c>
    </row>
    <row r="7425" ht="15" customHeight="1" spans="3:13">
      <c r="C7425" s="100" t="s">
        <v>2893</v>
      </c>
      <c r="D7425" s="99" t="s">
        <v>3662</v>
      </c>
      <c r="E7425" s="100" t="s">
        <v>149</v>
      </c>
      <c r="F7425" s="100" t="s">
        <v>3663</v>
      </c>
      <c r="G7425" s="100" t="s">
        <v>2961</v>
      </c>
      <c r="H7425" s="100"/>
      <c r="I7425" s="101" t="s">
        <v>204</v>
      </c>
      <c r="J7425" s="580">
        <v>2.72</v>
      </c>
      <c r="K7425" s="580">
        <v>0</v>
      </c>
      <c r="L7425" s="102">
        <v>0.35</v>
      </c>
      <c r="M7425" s="102">
        <v>0.95</v>
      </c>
    </row>
    <row r="7426" ht="15" customHeight="1" spans="3:13">
      <c r="C7426" s="100" t="s">
        <v>2893</v>
      </c>
      <c r="D7426" s="99" t="s">
        <v>5004</v>
      </c>
      <c r="E7426" s="100" t="s">
        <v>149</v>
      </c>
      <c r="F7426" s="100" t="s">
        <v>5005</v>
      </c>
      <c r="G7426" s="100" t="s">
        <v>2961</v>
      </c>
      <c r="H7426" s="100"/>
      <c r="I7426" s="101" t="s">
        <v>134</v>
      </c>
      <c r="J7426" s="580">
        <v>1</v>
      </c>
      <c r="K7426" s="580">
        <v>0</v>
      </c>
      <c r="L7426" s="102">
        <v>57.49</v>
      </c>
      <c r="M7426" s="102">
        <v>57.49</v>
      </c>
    </row>
    <row r="7427" ht="25.5" spans="3:13">
      <c r="C7427" s="108"/>
      <c r="D7427" s="108"/>
      <c r="E7427" s="108"/>
      <c r="F7427" s="108"/>
      <c r="G7427" s="108"/>
      <c r="H7427" s="108" t="s">
        <v>2898</v>
      </c>
      <c r="I7427" s="581">
        <v>19.29</v>
      </c>
      <c r="J7427" s="108" t="s">
        <v>2899</v>
      </c>
      <c r="K7427" s="581">
        <v>0</v>
      </c>
      <c r="L7427" s="108" t="s">
        <v>2900</v>
      </c>
      <c r="M7427" s="581">
        <v>19.29</v>
      </c>
    </row>
    <row r="7428" ht="26.25" spans="3:13">
      <c r="C7428" s="108"/>
      <c r="D7428" s="108"/>
      <c r="E7428" s="108"/>
      <c r="F7428" s="108"/>
      <c r="G7428" s="108"/>
      <c r="H7428" s="108" t="s">
        <v>2901</v>
      </c>
      <c r="I7428" s="581">
        <v>19.81</v>
      </c>
      <c r="J7428" s="114"/>
      <c r="K7428" s="114" t="s">
        <v>2902</v>
      </c>
      <c r="L7428" s="108"/>
      <c r="M7428" s="581">
        <v>97.54</v>
      </c>
    </row>
    <row r="7429" ht="15" spans="3:13">
      <c r="C7429" s="571"/>
      <c r="D7429" s="571"/>
      <c r="E7429" s="571"/>
      <c r="F7429" s="571"/>
      <c r="G7429" s="571"/>
      <c r="H7429" s="571"/>
      <c r="I7429" s="571"/>
      <c r="J7429" s="571"/>
      <c r="K7429" s="571"/>
      <c r="L7429" s="571"/>
      <c r="M7429" s="571"/>
    </row>
    <row r="7430" ht="15" customHeight="1" spans="3:13">
      <c r="C7430" s="76" t="s">
        <v>2570</v>
      </c>
      <c r="D7430" s="75" t="s">
        <v>63</v>
      </c>
      <c r="E7430" s="76" t="s">
        <v>64</v>
      </c>
      <c r="F7430" s="76" t="s">
        <v>65</v>
      </c>
      <c r="G7430" s="76" t="s">
        <v>2889</v>
      </c>
      <c r="H7430" s="76"/>
      <c r="I7430" s="77" t="s">
        <v>66</v>
      </c>
      <c r="J7430" s="75" t="s">
        <v>67</v>
      </c>
      <c r="K7430" s="75" t="s">
        <v>2890</v>
      </c>
      <c r="L7430" s="75" t="s">
        <v>68</v>
      </c>
      <c r="M7430" s="75" t="s">
        <v>70</v>
      </c>
    </row>
    <row r="7431" ht="23.85" customHeight="1" spans="3:13">
      <c r="C7431" s="569" t="s">
        <v>2891</v>
      </c>
      <c r="D7431" s="570" t="s">
        <v>2571</v>
      </c>
      <c r="E7431" s="569" t="s">
        <v>149</v>
      </c>
      <c r="F7431" s="569" t="s">
        <v>2572</v>
      </c>
      <c r="G7431" s="569" t="s">
        <v>5006</v>
      </c>
      <c r="H7431" s="569"/>
      <c r="I7431" s="577" t="s">
        <v>134</v>
      </c>
      <c r="J7431" s="578">
        <v>1</v>
      </c>
      <c r="K7431" s="579"/>
      <c r="L7431" s="579">
        <v>167.79</v>
      </c>
      <c r="M7431" s="579">
        <v>167.79</v>
      </c>
    </row>
    <row r="7432" ht="15" customHeight="1" spans="3:13">
      <c r="C7432" s="100" t="s">
        <v>2893</v>
      </c>
      <c r="D7432" s="99" t="s">
        <v>2988</v>
      </c>
      <c r="E7432" s="100" t="s">
        <v>149</v>
      </c>
      <c r="F7432" s="100" t="s">
        <v>2989</v>
      </c>
      <c r="G7432" s="100" t="s">
        <v>2896</v>
      </c>
      <c r="H7432" s="100"/>
      <c r="I7432" s="101" t="s">
        <v>2897</v>
      </c>
      <c r="J7432" s="580">
        <v>0.433</v>
      </c>
      <c r="K7432" s="580">
        <v>0</v>
      </c>
      <c r="L7432" s="102">
        <v>26.928256</v>
      </c>
      <c r="M7432" s="102">
        <v>11.65</v>
      </c>
    </row>
    <row r="7433" ht="15" customHeight="1" spans="3:13">
      <c r="C7433" s="100" t="s">
        <v>2893</v>
      </c>
      <c r="D7433" s="99" t="s">
        <v>5007</v>
      </c>
      <c r="E7433" s="100" t="s">
        <v>149</v>
      </c>
      <c r="F7433" s="100" t="s">
        <v>5008</v>
      </c>
      <c r="G7433" s="100" t="s">
        <v>2961</v>
      </c>
      <c r="H7433" s="100"/>
      <c r="I7433" s="101" t="s">
        <v>134</v>
      </c>
      <c r="J7433" s="580">
        <v>1</v>
      </c>
      <c r="K7433" s="580">
        <v>0</v>
      </c>
      <c r="L7433" s="102">
        <v>145.98</v>
      </c>
      <c r="M7433" s="102">
        <v>145.98</v>
      </c>
    </row>
    <row r="7434" ht="15" customHeight="1" spans="3:13">
      <c r="C7434" s="100" t="s">
        <v>2893</v>
      </c>
      <c r="D7434" s="99" t="s">
        <v>3662</v>
      </c>
      <c r="E7434" s="100" t="s">
        <v>149</v>
      </c>
      <c r="F7434" s="100" t="s">
        <v>3663</v>
      </c>
      <c r="G7434" s="100" t="s">
        <v>2961</v>
      </c>
      <c r="H7434" s="100"/>
      <c r="I7434" s="101" t="s">
        <v>204</v>
      </c>
      <c r="J7434" s="580">
        <v>3.68</v>
      </c>
      <c r="K7434" s="580">
        <v>0</v>
      </c>
      <c r="L7434" s="102">
        <v>0.35</v>
      </c>
      <c r="M7434" s="102">
        <v>1.28</v>
      </c>
    </row>
    <row r="7435" ht="15" customHeight="1" spans="3:13">
      <c r="C7435" s="100" t="s">
        <v>2893</v>
      </c>
      <c r="D7435" s="99" t="s">
        <v>3660</v>
      </c>
      <c r="E7435" s="100" t="s">
        <v>149</v>
      </c>
      <c r="F7435" s="100" t="s">
        <v>3661</v>
      </c>
      <c r="G7435" s="100" t="s">
        <v>2896</v>
      </c>
      <c r="H7435" s="100"/>
      <c r="I7435" s="101" t="s">
        <v>2897</v>
      </c>
      <c r="J7435" s="580">
        <v>0.433</v>
      </c>
      <c r="K7435" s="580">
        <v>0</v>
      </c>
      <c r="L7435" s="102">
        <v>20.515752</v>
      </c>
      <c r="M7435" s="102">
        <v>8.88</v>
      </c>
    </row>
    <row r="7436" ht="25.5" spans="3:13">
      <c r="C7436" s="108"/>
      <c r="D7436" s="108"/>
      <c r="E7436" s="108"/>
      <c r="F7436" s="108"/>
      <c r="G7436" s="108"/>
      <c r="H7436" s="108" t="s">
        <v>2898</v>
      </c>
      <c r="I7436" s="581">
        <v>20.53</v>
      </c>
      <c r="J7436" s="108" t="s">
        <v>2899</v>
      </c>
      <c r="K7436" s="581">
        <v>0</v>
      </c>
      <c r="L7436" s="108" t="s">
        <v>2900</v>
      </c>
      <c r="M7436" s="581">
        <v>20.53</v>
      </c>
    </row>
    <row r="7437" ht="26.25" spans="3:13">
      <c r="C7437" s="108"/>
      <c r="D7437" s="108"/>
      <c r="E7437" s="108"/>
      <c r="F7437" s="108"/>
      <c r="G7437" s="108"/>
      <c r="H7437" s="108" t="s">
        <v>2901</v>
      </c>
      <c r="I7437" s="581">
        <v>42.76</v>
      </c>
      <c r="J7437" s="114"/>
      <c r="K7437" s="114" t="s">
        <v>2902</v>
      </c>
      <c r="L7437" s="108"/>
      <c r="M7437" s="581">
        <v>210.55</v>
      </c>
    </row>
    <row r="7438" ht="15" spans="3:13">
      <c r="C7438" s="571"/>
      <c r="D7438" s="571"/>
      <c r="E7438" s="571"/>
      <c r="F7438" s="571"/>
      <c r="G7438" s="571"/>
      <c r="H7438" s="571"/>
      <c r="I7438" s="571"/>
      <c r="J7438" s="571"/>
      <c r="K7438" s="571"/>
      <c r="L7438" s="571"/>
      <c r="M7438" s="571"/>
    </row>
    <row r="7439" ht="15" customHeight="1" spans="3:13">
      <c r="C7439" s="76" t="s">
        <v>2573</v>
      </c>
      <c r="D7439" s="75" t="s">
        <v>63</v>
      </c>
      <c r="E7439" s="76" t="s">
        <v>64</v>
      </c>
      <c r="F7439" s="76" t="s">
        <v>65</v>
      </c>
      <c r="G7439" s="76" t="s">
        <v>2889</v>
      </c>
      <c r="H7439" s="76"/>
      <c r="I7439" s="77" t="s">
        <v>66</v>
      </c>
      <c r="J7439" s="75" t="s">
        <v>67</v>
      </c>
      <c r="K7439" s="75" t="s">
        <v>2890</v>
      </c>
      <c r="L7439" s="75" t="s">
        <v>68</v>
      </c>
      <c r="M7439" s="75" t="s">
        <v>70</v>
      </c>
    </row>
    <row r="7440" ht="23.85" customHeight="1" spans="3:13">
      <c r="C7440" s="569" t="s">
        <v>2891</v>
      </c>
      <c r="D7440" s="570" t="s">
        <v>2574</v>
      </c>
      <c r="E7440" s="569" t="s">
        <v>149</v>
      </c>
      <c r="F7440" s="569" t="s">
        <v>5009</v>
      </c>
      <c r="G7440" s="569" t="s">
        <v>3755</v>
      </c>
      <c r="H7440" s="569"/>
      <c r="I7440" s="577" t="s">
        <v>204</v>
      </c>
      <c r="J7440" s="578">
        <v>1</v>
      </c>
      <c r="K7440" s="579"/>
      <c r="L7440" s="579">
        <v>242.9</v>
      </c>
      <c r="M7440" s="579">
        <v>242.9</v>
      </c>
    </row>
    <row r="7441" ht="15" customHeight="1" spans="3:13">
      <c r="C7441" s="100" t="s">
        <v>2893</v>
      </c>
      <c r="D7441" s="99" t="s">
        <v>2988</v>
      </c>
      <c r="E7441" s="100" t="s">
        <v>149</v>
      </c>
      <c r="F7441" s="100" t="s">
        <v>2989</v>
      </c>
      <c r="G7441" s="100" t="s">
        <v>2896</v>
      </c>
      <c r="H7441" s="100"/>
      <c r="I7441" s="101" t="s">
        <v>2897</v>
      </c>
      <c r="J7441" s="580">
        <v>0.239</v>
      </c>
      <c r="K7441" s="580">
        <v>0</v>
      </c>
      <c r="L7441" s="102">
        <v>26.928256</v>
      </c>
      <c r="M7441" s="102">
        <v>6.43</v>
      </c>
    </row>
    <row r="7442" ht="15" customHeight="1" spans="3:13">
      <c r="C7442" s="100" t="s">
        <v>2893</v>
      </c>
      <c r="D7442" s="99" t="s">
        <v>5010</v>
      </c>
      <c r="E7442" s="100" t="s">
        <v>149</v>
      </c>
      <c r="F7442" s="100" t="s">
        <v>5011</v>
      </c>
      <c r="G7442" s="100" t="s">
        <v>2961</v>
      </c>
      <c r="H7442" s="100"/>
      <c r="I7442" s="101" t="s">
        <v>204</v>
      </c>
      <c r="J7442" s="580">
        <v>1.1</v>
      </c>
      <c r="K7442" s="580">
        <v>0</v>
      </c>
      <c r="L7442" s="102">
        <v>210.52</v>
      </c>
      <c r="M7442" s="102">
        <v>231.57</v>
      </c>
    </row>
    <row r="7443" ht="15" customHeight="1" spans="3:13">
      <c r="C7443" s="100" t="s">
        <v>2893</v>
      </c>
      <c r="D7443" s="99" t="s">
        <v>3660</v>
      </c>
      <c r="E7443" s="100" t="s">
        <v>149</v>
      </c>
      <c r="F7443" s="100" t="s">
        <v>3661</v>
      </c>
      <c r="G7443" s="100" t="s">
        <v>2896</v>
      </c>
      <c r="H7443" s="100"/>
      <c r="I7443" s="101" t="s">
        <v>2897</v>
      </c>
      <c r="J7443" s="580">
        <v>0.239</v>
      </c>
      <c r="K7443" s="580">
        <v>0</v>
      </c>
      <c r="L7443" s="102">
        <v>20.515752</v>
      </c>
      <c r="M7443" s="102">
        <v>4.9</v>
      </c>
    </row>
    <row r="7444" ht="25.5" spans="3:13">
      <c r="C7444" s="108"/>
      <c r="D7444" s="108"/>
      <c r="E7444" s="108"/>
      <c r="F7444" s="108"/>
      <c r="G7444" s="108"/>
      <c r="H7444" s="108" t="s">
        <v>2898</v>
      </c>
      <c r="I7444" s="581">
        <v>11.33</v>
      </c>
      <c r="J7444" s="108" t="s">
        <v>2899</v>
      </c>
      <c r="K7444" s="581">
        <v>0</v>
      </c>
      <c r="L7444" s="108" t="s">
        <v>2900</v>
      </c>
      <c r="M7444" s="581">
        <v>11.33</v>
      </c>
    </row>
    <row r="7445" ht="26.25" spans="3:13">
      <c r="C7445" s="108"/>
      <c r="D7445" s="108"/>
      <c r="E7445" s="108"/>
      <c r="F7445" s="108"/>
      <c r="G7445" s="108"/>
      <c r="H7445" s="108" t="s">
        <v>2901</v>
      </c>
      <c r="I7445" s="581">
        <v>61.91</v>
      </c>
      <c r="J7445" s="114"/>
      <c r="K7445" s="114" t="s">
        <v>2902</v>
      </c>
      <c r="L7445" s="108"/>
      <c r="M7445" s="581">
        <v>304.81</v>
      </c>
    </row>
    <row r="7446" ht="15" spans="3:13">
      <c r="C7446" s="571"/>
      <c r="D7446" s="571"/>
      <c r="E7446" s="571"/>
      <c r="F7446" s="571"/>
      <c r="G7446" s="571"/>
      <c r="H7446" s="571"/>
      <c r="I7446" s="571"/>
      <c r="J7446" s="571"/>
      <c r="K7446" s="571"/>
      <c r="L7446" s="571"/>
      <c r="M7446" s="571"/>
    </row>
    <row r="7447" ht="15" customHeight="1" spans="3:13">
      <c r="C7447" s="76" t="s">
        <v>2576</v>
      </c>
      <c r="D7447" s="75" t="s">
        <v>63</v>
      </c>
      <c r="E7447" s="76" t="s">
        <v>64</v>
      </c>
      <c r="F7447" s="76" t="s">
        <v>65</v>
      </c>
      <c r="G7447" s="76" t="s">
        <v>2889</v>
      </c>
      <c r="H7447" s="76"/>
      <c r="I7447" s="77" t="s">
        <v>66</v>
      </c>
      <c r="J7447" s="75" t="s">
        <v>67</v>
      </c>
      <c r="K7447" s="75" t="s">
        <v>2890</v>
      </c>
      <c r="L7447" s="75" t="s">
        <v>68</v>
      </c>
      <c r="M7447" s="75" t="s">
        <v>70</v>
      </c>
    </row>
    <row r="7448" ht="23.85" customHeight="1" spans="3:13">
      <c r="C7448" s="569" t="s">
        <v>2891</v>
      </c>
      <c r="D7448" s="570" t="s">
        <v>2577</v>
      </c>
      <c r="E7448" s="569" t="s">
        <v>139</v>
      </c>
      <c r="F7448" s="569" t="s">
        <v>2578</v>
      </c>
      <c r="G7448" s="569" t="s">
        <v>3129</v>
      </c>
      <c r="H7448" s="569"/>
      <c r="I7448" s="577" t="s">
        <v>134</v>
      </c>
      <c r="J7448" s="578">
        <v>1</v>
      </c>
      <c r="K7448" s="579"/>
      <c r="L7448" s="579">
        <v>42.83</v>
      </c>
      <c r="M7448" s="579">
        <v>42.83</v>
      </c>
    </row>
    <row r="7449" ht="23.85" customHeight="1" spans="3:13">
      <c r="C7449" s="79" t="s">
        <v>2921</v>
      </c>
      <c r="D7449" s="78" t="s">
        <v>2952</v>
      </c>
      <c r="E7449" s="79" t="s">
        <v>139</v>
      </c>
      <c r="F7449" s="79" t="s">
        <v>2953</v>
      </c>
      <c r="G7449" s="79" t="s">
        <v>2928</v>
      </c>
      <c r="H7449" s="79"/>
      <c r="I7449" s="80" t="s">
        <v>2897</v>
      </c>
      <c r="J7449" s="583">
        <v>0.44</v>
      </c>
      <c r="K7449" s="583">
        <v>0</v>
      </c>
      <c r="L7449" s="92">
        <v>29.15</v>
      </c>
      <c r="M7449" s="92">
        <v>12.82</v>
      </c>
    </row>
    <row r="7450" ht="23.85" customHeight="1" spans="3:13">
      <c r="C7450" s="79" t="s">
        <v>2921</v>
      </c>
      <c r="D7450" s="78" t="s">
        <v>3144</v>
      </c>
      <c r="E7450" s="79" t="s">
        <v>139</v>
      </c>
      <c r="F7450" s="79" t="s">
        <v>3145</v>
      </c>
      <c r="G7450" s="79" t="s">
        <v>2928</v>
      </c>
      <c r="H7450" s="79"/>
      <c r="I7450" s="80" t="s">
        <v>2897</v>
      </c>
      <c r="J7450" s="583">
        <v>0.44</v>
      </c>
      <c r="K7450" s="583">
        <v>0</v>
      </c>
      <c r="L7450" s="92">
        <v>35.55</v>
      </c>
      <c r="M7450" s="92">
        <v>15.64</v>
      </c>
    </row>
    <row r="7451" ht="15" customHeight="1" spans="3:13">
      <c r="C7451" s="100" t="s">
        <v>2893</v>
      </c>
      <c r="D7451" s="99" t="s">
        <v>5012</v>
      </c>
      <c r="E7451" s="100" t="s">
        <v>139</v>
      </c>
      <c r="F7451" s="100" t="s">
        <v>5013</v>
      </c>
      <c r="G7451" s="100" t="s">
        <v>2961</v>
      </c>
      <c r="H7451" s="100"/>
      <c r="I7451" s="101" t="s">
        <v>134</v>
      </c>
      <c r="J7451" s="580">
        <v>0.036</v>
      </c>
      <c r="K7451" s="580">
        <v>0</v>
      </c>
      <c r="L7451" s="102">
        <v>8.3</v>
      </c>
      <c r="M7451" s="102">
        <v>0.29</v>
      </c>
    </row>
    <row r="7452" ht="23.85" customHeight="1" spans="3:13">
      <c r="C7452" s="100" t="s">
        <v>2893</v>
      </c>
      <c r="D7452" s="99" t="s">
        <v>5014</v>
      </c>
      <c r="E7452" s="100" t="s">
        <v>139</v>
      </c>
      <c r="F7452" s="100" t="s">
        <v>5015</v>
      </c>
      <c r="G7452" s="100" t="s">
        <v>2961</v>
      </c>
      <c r="H7452" s="100"/>
      <c r="I7452" s="101" t="s">
        <v>134</v>
      </c>
      <c r="J7452" s="580">
        <v>1</v>
      </c>
      <c r="K7452" s="580">
        <v>0</v>
      </c>
      <c r="L7452" s="102">
        <v>14.08</v>
      </c>
      <c r="M7452" s="102">
        <v>14.08</v>
      </c>
    </row>
    <row r="7453" ht="25.5" spans="3:13">
      <c r="C7453" s="108"/>
      <c r="D7453" s="108"/>
      <c r="E7453" s="108"/>
      <c r="F7453" s="108"/>
      <c r="G7453" s="108"/>
      <c r="H7453" s="108" t="s">
        <v>2898</v>
      </c>
      <c r="I7453" s="581">
        <v>19.96</v>
      </c>
      <c r="J7453" s="108" t="s">
        <v>2899</v>
      </c>
      <c r="K7453" s="581">
        <v>0</v>
      </c>
      <c r="L7453" s="108" t="s">
        <v>2900</v>
      </c>
      <c r="M7453" s="581">
        <v>19.96</v>
      </c>
    </row>
    <row r="7454" ht="26.25" spans="3:13">
      <c r="C7454" s="108"/>
      <c r="D7454" s="108"/>
      <c r="E7454" s="108"/>
      <c r="F7454" s="108"/>
      <c r="G7454" s="108"/>
      <c r="H7454" s="108" t="s">
        <v>2901</v>
      </c>
      <c r="I7454" s="581">
        <v>10.91</v>
      </c>
      <c r="J7454" s="114"/>
      <c r="K7454" s="114" t="s">
        <v>2902</v>
      </c>
      <c r="L7454" s="108"/>
      <c r="M7454" s="581">
        <v>53.74</v>
      </c>
    </row>
    <row r="7455" ht="15" spans="3:13">
      <c r="C7455" s="571"/>
      <c r="D7455" s="571"/>
      <c r="E7455" s="571"/>
      <c r="F7455" s="571"/>
      <c r="G7455" s="571"/>
      <c r="H7455" s="571"/>
      <c r="I7455" s="571"/>
      <c r="J7455" s="571"/>
      <c r="K7455" s="571"/>
      <c r="L7455" s="571"/>
      <c r="M7455" s="571"/>
    </row>
    <row r="7456" ht="15" customHeight="1" spans="3:13">
      <c r="C7456" s="76" t="s">
        <v>2579</v>
      </c>
      <c r="D7456" s="75" t="s">
        <v>63</v>
      </c>
      <c r="E7456" s="76" t="s">
        <v>64</v>
      </c>
      <c r="F7456" s="76" t="s">
        <v>65</v>
      </c>
      <c r="G7456" s="76" t="s">
        <v>2889</v>
      </c>
      <c r="H7456" s="76"/>
      <c r="I7456" s="77" t="s">
        <v>66</v>
      </c>
      <c r="J7456" s="75" t="s">
        <v>67</v>
      </c>
      <c r="K7456" s="75" t="s">
        <v>2890</v>
      </c>
      <c r="L7456" s="75" t="s">
        <v>68</v>
      </c>
      <c r="M7456" s="75" t="s">
        <v>70</v>
      </c>
    </row>
    <row r="7457" ht="23.85" customHeight="1" spans="3:13">
      <c r="C7457" s="569" t="s">
        <v>2891</v>
      </c>
      <c r="D7457" s="570" t="s">
        <v>2580</v>
      </c>
      <c r="E7457" s="569" t="s">
        <v>139</v>
      </c>
      <c r="F7457" s="569" t="s">
        <v>2581</v>
      </c>
      <c r="G7457" s="569" t="s">
        <v>3129</v>
      </c>
      <c r="H7457" s="569"/>
      <c r="I7457" s="577" t="s">
        <v>134</v>
      </c>
      <c r="J7457" s="578">
        <v>1</v>
      </c>
      <c r="K7457" s="579"/>
      <c r="L7457" s="579">
        <v>56.96</v>
      </c>
      <c r="M7457" s="579">
        <v>56.96</v>
      </c>
    </row>
    <row r="7458" ht="23.85" customHeight="1" spans="3:13">
      <c r="C7458" s="79" t="s">
        <v>2921</v>
      </c>
      <c r="D7458" s="78" t="s">
        <v>3144</v>
      </c>
      <c r="E7458" s="79" t="s">
        <v>139</v>
      </c>
      <c r="F7458" s="79" t="s">
        <v>3145</v>
      </c>
      <c r="G7458" s="79" t="s">
        <v>2928</v>
      </c>
      <c r="H7458" s="79"/>
      <c r="I7458" s="80" t="s">
        <v>2897</v>
      </c>
      <c r="J7458" s="583">
        <v>0.55</v>
      </c>
      <c r="K7458" s="583">
        <v>0</v>
      </c>
      <c r="L7458" s="92">
        <v>35.55</v>
      </c>
      <c r="M7458" s="92">
        <v>19.55</v>
      </c>
    </row>
    <row r="7459" ht="23.85" customHeight="1" spans="3:13">
      <c r="C7459" s="79" t="s">
        <v>2921</v>
      </c>
      <c r="D7459" s="78" t="s">
        <v>2952</v>
      </c>
      <c r="E7459" s="79" t="s">
        <v>139</v>
      </c>
      <c r="F7459" s="79" t="s">
        <v>2953</v>
      </c>
      <c r="G7459" s="79" t="s">
        <v>2928</v>
      </c>
      <c r="H7459" s="79"/>
      <c r="I7459" s="80" t="s">
        <v>2897</v>
      </c>
      <c r="J7459" s="583">
        <v>0.55</v>
      </c>
      <c r="K7459" s="583">
        <v>0</v>
      </c>
      <c r="L7459" s="92">
        <v>29.15</v>
      </c>
      <c r="M7459" s="92">
        <v>16.03</v>
      </c>
    </row>
    <row r="7460" ht="15" customHeight="1" spans="3:13">
      <c r="C7460" s="100" t="s">
        <v>2893</v>
      </c>
      <c r="D7460" s="99" t="s">
        <v>5012</v>
      </c>
      <c r="E7460" s="100" t="s">
        <v>139</v>
      </c>
      <c r="F7460" s="100" t="s">
        <v>5013</v>
      </c>
      <c r="G7460" s="100" t="s">
        <v>2961</v>
      </c>
      <c r="H7460" s="100"/>
      <c r="I7460" s="101" t="s">
        <v>134</v>
      </c>
      <c r="J7460" s="580">
        <v>0.052</v>
      </c>
      <c r="K7460" s="580">
        <v>0</v>
      </c>
      <c r="L7460" s="102">
        <v>8.3</v>
      </c>
      <c r="M7460" s="102">
        <v>0.43</v>
      </c>
    </row>
    <row r="7461" ht="23.85" customHeight="1" spans="3:13">
      <c r="C7461" s="100" t="s">
        <v>2893</v>
      </c>
      <c r="D7461" s="99" t="s">
        <v>5016</v>
      </c>
      <c r="E7461" s="100" t="s">
        <v>139</v>
      </c>
      <c r="F7461" s="100" t="s">
        <v>5017</v>
      </c>
      <c r="G7461" s="100" t="s">
        <v>2961</v>
      </c>
      <c r="H7461" s="100"/>
      <c r="I7461" s="101" t="s">
        <v>134</v>
      </c>
      <c r="J7461" s="580">
        <v>1</v>
      </c>
      <c r="K7461" s="580">
        <v>0</v>
      </c>
      <c r="L7461" s="102">
        <v>20.95</v>
      </c>
      <c r="M7461" s="102">
        <v>20.95</v>
      </c>
    </row>
    <row r="7462" ht="25.5" spans="3:13">
      <c r="C7462" s="108"/>
      <c r="D7462" s="108"/>
      <c r="E7462" s="108"/>
      <c r="F7462" s="108"/>
      <c r="G7462" s="108"/>
      <c r="H7462" s="108" t="s">
        <v>2898</v>
      </c>
      <c r="I7462" s="581">
        <v>24.96</v>
      </c>
      <c r="J7462" s="108" t="s">
        <v>2899</v>
      </c>
      <c r="K7462" s="581">
        <v>0</v>
      </c>
      <c r="L7462" s="108" t="s">
        <v>2900</v>
      </c>
      <c r="M7462" s="581">
        <v>24.96</v>
      </c>
    </row>
    <row r="7463" ht="26.25" spans="3:13">
      <c r="C7463" s="108"/>
      <c r="D7463" s="108"/>
      <c r="E7463" s="108"/>
      <c r="F7463" s="108"/>
      <c r="G7463" s="108"/>
      <c r="H7463" s="108" t="s">
        <v>2901</v>
      </c>
      <c r="I7463" s="581">
        <v>14.51</v>
      </c>
      <c r="J7463" s="114"/>
      <c r="K7463" s="114" t="s">
        <v>2902</v>
      </c>
      <c r="L7463" s="108"/>
      <c r="M7463" s="581">
        <v>71.47</v>
      </c>
    </row>
    <row r="7464" ht="15" spans="3:13">
      <c r="C7464" s="571"/>
      <c r="D7464" s="571"/>
      <c r="E7464" s="571"/>
      <c r="F7464" s="571"/>
      <c r="G7464" s="571"/>
      <c r="H7464" s="571"/>
      <c r="I7464" s="571"/>
      <c r="J7464" s="571"/>
      <c r="K7464" s="571"/>
      <c r="L7464" s="571"/>
      <c r="M7464" s="571"/>
    </row>
    <row r="7465" ht="15" customHeight="1" spans="3:13">
      <c r="C7465" s="76" t="s">
        <v>2582</v>
      </c>
      <c r="D7465" s="75" t="s">
        <v>63</v>
      </c>
      <c r="E7465" s="76" t="s">
        <v>64</v>
      </c>
      <c r="F7465" s="76" t="s">
        <v>65</v>
      </c>
      <c r="G7465" s="76" t="s">
        <v>2889</v>
      </c>
      <c r="H7465" s="76"/>
      <c r="I7465" s="77" t="s">
        <v>66</v>
      </c>
      <c r="J7465" s="75" t="s">
        <v>67</v>
      </c>
      <c r="K7465" s="75" t="s">
        <v>2890</v>
      </c>
      <c r="L7465" s="75" t="s">
        <v>68</v>
      </c>
      <c r="M7465" s="75" t="s">
        <v>70</v>
      </c>
    </row>
    <row r="7466" ht="23.85" customHeight="1" spans="3:13">
      <c r="C7466" s="569" t="s">
        <v>2891</v>
      </c>
      <c r="D7466" s="570" t="s">
        <v>2583</v>
      </c>
      <c r="E7466" s="569" t="s">
        <v>139</v>
      </c>
      <c r="F7466" s="569" t="s">
        <v>2584</v>
      </c>
      <c r="G7466" s="569" t="s">
        <v>3129</v>
      </c>
      <c r="H7466" s="569"/>
      <c r="I7466" s="577" t="s">
        <v>134</v>
      </c>
      <c r="J7466" s="578">
        <v>1</v>
      </c>
      <c r="K7466" s="579"/>
      <c r="L7466" s="579">
        <v>60.31</v>
      </c>
      <c r="M7466" s="579">
        <v>60.31</v>
      </c>
    </row>
    <row r="7467" ht="23.85" customHeight="1" spans="3:13">
      <c r="C7467" s="79" t="s">
        <v>2921</v>
      </c>
      <c r="D7467" s="78" t="s">
        <v>3144</v>
      </c>
      <c r="E7467" s="79" t="s">
        <v>139</v>
      </c>
      <c r="F7467" s="79" t="s">
        <v>3145</v>
      </c>
      <c r="G7467" s="79" t="s">
        <v>2928</v>
      </c>
      <c r="H7467" s="79"/>
      <c r="I7467" s="80" t="s">
        <v>2897</v>
      </c>
      <c r="J7467" s="583">
        <v>0.6</v>
      </c>
      <c r="K7467" s="583">
        <v>0</v>
      </c>
      <c r="L7467" s="92">
        <v>35.55</v>
      </c>
      <c r="M7467" s="92">
        <v>21.33</v>
      </c>
    </row>
    <row r="7468" ht="23.85" customHeight="1" spans="3:13">
      <c r="C7468" s="79" t="s">
        <v>2921</v>
      </c>
      <c r="D7468" s="78" t="s">
        <v>2952</v>
      </c>
      <c r="E7468" s="79" t="s">
        <v>139</v>
      </c>
      <c r="F7468" s="79" t="s">
        <v>2953</v>
      </c>
      <c r="G7468" s="79" t="s">
        <v>2928</v>
      </c>
      <c r="H7468" s="79"/>
      <c r="I7468" s="80" t="s">
        <v>2897</v>
      </c>
      <c r="J7468" s="583">
        <v>0.6</v>
      </c>
      <c r="K7468" s="583">
        <v>0</v>
      </c>
      <c r="L7468" s="92">
        <v>29.15</v>
      </c>
      <c r="M7468" s="92">
        <v>17.49</v>
      </c>
    </row>
    <row r="7469" ht="15" customHeight="1" spans="3:13">
      <c r="C7469" s="100" t="s">
        <v>2893</v>
      </c>
      <c r="D7469" s="99" t="s">
        <v>5012</v>
      </c>
      <c r="E7469" s="100" t="s">
        <v>139</v>
      </c>
      <c r="F7469" s="100" t="s">
        <v>5013</v>
      </c>
      <c r="G7469" s="100" t="s">
        <v>2961</v>
      </c>
      <c r="H7469" s="100"/>
      <c r="I7469" s="101" t="s">
        <v>134</v>
      </c>
      <c r="J7469" s="580">
        <v>0.064</v>
      </c>
      <c r="K7469" s="580">
        <v>0</v>
      </c>
      <c r="L7469" s="102">
        <v>8.3</v>
      </c>
      <c r="M7469" s="102">
        <v>0.53</v>
      </c>
    </row>
    <row r="7470" ht="23.85" customHeight="1" spans="3:13">
      <c r="C7470" s="100" t="s">
        <v>2893</v>
      </c>
      <c r="D7470" s="99" t="s">
        <v>4582</v>
      </c>
      <c r="E7470" s="100" t="s">
        <v>139</v>
      </c>
      <c r="F7470" s="100" t="s">
        <v>4583</v>
      </c>
      <c r="G7470" s="100" t="s">
        <v>2961</v>
      </c>
      <c r="H7470" s="100"/>
      <c r="I7470" s="101" t="s">
        <v>134</v>
      </c>
      <c r="J7470" s="580">
        <v>1</v>
      </c>
      <c r="K7470" s="580">
        <v>0</v>
      </c>
      <c r="L7470" s="102">
        <v>20.96</v>
      </c>
      <c r="M7470" s="102">
        <v>20.96</v>
      </c>
    </row>
    <row r="7471" ht="25.5" spans="3:13">
      <c r="C7471" s="108"/>
      <c r="D7471" s="108"/>
      <c r="E7471" s="108"/>
      <c r="F7471" s="108"/>
      <c r="G7471" s="108"/>
      <c r="H7471" s="108" t="s">
        <v>2898</v>
      </c>
      <c r="I7471" s="581">
        <v>27.23</v>
      </c>
      <c r="J7471" s="108" t="s">
        <v>2899</v>
      </c>
      <c r="K7471" s="581">
        <v>0</v>
      </c>
      <c r="L7471" s="108" t="s">
        <v>2900</v>
      </c>
      <c r="M7471" s="581">
        <v>27.23</v>
      </c>
    </row>
    <row r="7472" ht="26.25" spans="3:13">
      <c r="C7472" s="108"/>
      <c r="D7472" s="108"/>
      <c r="E7472" s="108"/>
      <c r="F7472" s="108"/>
      <c r="G7472" s="108"/>
      <c r="H7472" s="108" t="s">
        <v>2901</v>
      </c>
      <c r="I7472" s="581">
        <v>15.37</v>
      </c>
      <c r="J7472" s="114"/>
      <c r="K7472" s="114" t="s">
        <v>2902</v>
      </c>
      <c r="L7472" s="108"/>
      <c r="M7472" s="581">
        <v>75.68</v>
      </c>
    </row>
    <row r="7473" ht="15" spans="3:13">
      <c r="C7473" s="571"/>
      <c r="D7473" s="571"/>
      <c r="E7473" s="571"/>
      <c r="F7473" s="571"/>
      <c r="G7473" s="571"/>
      <c r="H7473" s="571"/>
      <c r="I7473" s="571"/>
      <c r="J7473" s="571"/>
      <c r="K7473" s="571"/>
      <c r="L7473" s="571"/>
      <c r="M7473" s="571"/>
    </row>
    <row r="7474" ht="15" customHeight="1" spans="3:13">
      <c r="C7474" s="76" t="s">
        <v>2585</v>
      </c>
      <c r="D7474" s="75" t="s">
        <v>63</v>
      </c>
      <c r="E7474" s="76" t="s">
        <v>64</v>
      </c>
      <c r="F7474" s="76" t="s">
        <v>65</v>
      </c>
      <c r="G7474" s="76" t="s">
        <v>2889</v>
      </c>
      <c r="H7474" s="76"/>
      <c r="I7474" s="77" t="s">
        <v>66</v>
      </c>
      <c r="J7474" s="75" t="s">
        <v>67</v>
      </c>
      <c r="K7474" s="75" t="s">
        <v>2890</v>
      </c>
      <c r="L7474" s="75" t="s">
        <v>68</v>
      </c>
      <c r="M7474" s="75" t="s">
        <v>70</v>
      </c>
    </row>
    <row r="7475" ht="23.85" customHeight="1" spans="3:13">
      <c r="C7475" s="569" t="s">
        <v>2891</v>
      </c>
      <c r="D7475" s="570" t="s">
        <v>2586</v>
      </c>
      <c r="E7475" s="569" t="s">
        <v>139</v>
      </c>
      <c r="F7475" s="569" t="s">
        <v>2587</v>
      </c>
      <c r="G7475" s="569" t="s">
        <v>3129</v>
      </c>
      <c r="H7475" s="569"/>
      <c r="I7475" s="577" t="s">
        <v>134</v>
      </c>
      <c r="J7475" s="578">
        <v>1</v>
      </c>
      <c r="K7475" s="579"/>
      <c r="L7475" s="579">
        <v>75.31</v>
      </c>
      <c r="M7475" s="579">
        <v>75.31</v>
      </c>
    </row>
    <row r="7476" ht="23.85" customHeight="1" spans="3:13">
      <c r="C7476" s="79" t="s">
        <v>2921</v>
      </c>
      <c r="D7476" s="78" t="s">
        <v>3144</v>
      </c>
      <c r="E7476" s="79" t="s">
        <v>139</v>
      </c>
      <c r="F7476" s="79" t="s">
        <v>3145</v>
      </c>
      <c r="G7476" s="79" t="s">
        <v>2928</v>
      </c>
      <c r="H7476" s="79"/>
      <c r="I7476" s="80" t="s">
        <v>2897</v>
      </c>
      <c r="J7476" s="583">
        <v>0.76</v>
      </c>
      <c r="K7476" s="583">
        <v>0</v>
      </c>
      <c r="L7476" s="92">
        <v>35.55</v>
      </c>
      <c r="M7476" s="92">
        <v>27.01</v>
      </c>
    </row>
    <row r="7477" ht="23.85" customHeight="1" spans="3:13">
      <c r="C7477" s="79" t="s">
        <v>2921</v>
      </c>
      <c r="D7477" s="78" t="s">
        <v>2952</v>
      </c>
      <c r="E7477" s="79" t="s">
        <v>139</v>
      </c>
      <c r="F7477" s="79" t="s">
        <v>2953</v>
      </c>
      <c r="G7477" s="79" t="s">
        <v>2928</v>
      </c>
      <c r="H7477" s="79"/>
      <c r="I7477" s="80" t="s">
        <v>2897</v>
      </c>
      <c r="J7477" s="583">
        <v>0.76</v>
      </c>
      <c r="K7477" s="583">
        <v>0</v>
      </c>
      <c r="L7477" s="92">
        <v>29.15</v>
      </c>
      <c r="M7477" s="92">
        <v>22.15</v>
      </c>
    </row>
    <row r="7478" ht="15" customHeight="1" spans="3:13">
      <c r="C7478" s="100" t="s">
        <v>2893</v>
      </c>
      <c r="D7478" s="99" t="s">
        <v>5012</v>
      </c>
      <c r="E7478" s="100" t="s">
        <v>139</v>
      </c>
      <c r="F7478" s="100" t="s">
        <v>5013</v>
      </c>
      <c r="G7478" s="100" t="s">
        <v>2961</v>
      </c>
      <c r="H7478" s="100"/>
      <c r="I7478" s="101" t="s">
        <v>134</v>
      </c>
      <c r="J7478" s="580">
        <v>0.092</v>
      </c>
      <c r="K7478" s="580">
        <v>0</v>
      </c>
      <c r="L7478" s="102">
        <v>8.3</v>
      </c>
      <c r="M7478" s="102">
        <v>0.76</v>
      </c>
    </row>
    <row r="7479" ht="23.85" customHeight="1" spans="3:13">
      <c r="C7479" s="100" t="s">
        <v>2893</v>
      </c>
      <c r="D7479" s="99" t="s">
        <v>5018</v>
      </c>
      <c r="E7479" s="100" t="s">
        <v>139</v>
      </c>
      <c r="F7479" s="100" t="s">
        <v>5019</v>
      </c>
      <c r="G7479" s="100" t="s">
        <v>2961</v>
      </c>
      <c r="H7479" s="100"/>
      <c r="I7479" s="101" t="s">
        <v>134</v>
      </c>
      <c r="J7479" s="580">
        <v>1</v>
      </c>
      <c r="K7479" s="580">
        <v>0</v>
      </c>
      <c r="L7479" s="102">
        <v>25.39</v>
      </c>
      <c r="M7479" s="102">
        <v>25.39</v>
      </c>
    </row>
    <row r="7480" ht="25.5" spans="3:13">
      <c r="C7480" s="108"/>
      <c r="D7480" s="108"/>
      <c r="E7480" s="108"/>
      <c r="F7480" s="108"/>
      <c r="G7480" s="108"/>
      <c r="H7480" s="108" t="s">
        <v>2898</v>
      </c>
      <c r="I7480" s="581">
        <v>34.49</v>
      </c>
      <c r="J7480" s="108" t="s">
        <v>2899</v>
      </c>
      <c r="K7480" s="581">
        <v>0</v>
      </c>
      <c r="L7480" s="108" t="s">
        <v>2900</v>
      </c>
      <c r="M7480" s="581">
        <v>34.49</v>
      </c>
    </row>
    <row r="7481" ht="26.25" spans="3:13">
      <c r="C7481" s="108"/>
      <c r="D7481" s="108"/>
      <c r="E7481" s="108"/>
      <c r="F7481" s="108"/>
      <c r="G7481" s="108"/>
      <c r="H7481" s="108" t="s">
        <v>2901</v>
      </c>
      <c r="I7481" s="581">
        <v>19.19</v>
      </c>
      <c r="J7481" s="114"/>
      <c r="K7481" s="114" t="s">
        <v>2902</v>
      </c>
      <c r="L7481" s="108"/>
      <c r="M7481" s="581">
        <v>94.5</v>
      </c>
    </row>
    <row r="7482" ht="15" spans="3:13">
      <c r="C7482" s="571"/>
      <c r="D7482" s="571"/>
      <c r="E7482" s="571"/>
      <c r="F7482" s="571"/>
      <c r="G7482" s="571"/>
      <c r="H7482" s="571"/>
      <c r="I7482" s="571"/>
      <c r="J7482" s="571"/>
      <c r="K7482" s="571"/>
      <c r="L7482" s="571"/>
      <c r="M7482" s="571"/>
    </row>
    <row r="7483" ht="15" customHeight="1" spans="3:13">
      <c r="C7483" s="76" t="s">
        <v>2588</v>
      </c>
      <c r="D7483" s="75" t="s">
        <v>63</v>
      </c>
      <c r="E7483" s="76" t="s">
        <v>64</v>
      </c>
      <c r="F7483" s="76" t="s">
        <v>65</v>
      </c>
      <c r="G7483" s="76" t="s">
        <v>2889</v>
      </c>
      <c r="H7483" s="76"/>
      <c r="I7483" s="77" t="s">
        <v>66</v>
      </c>
      <c r="J7483" s="75" t="s">
        <v>67</v>
      </c>
      <c r="K7483" s="75" t="s">
        <v>2890</v>
      </c>
      <c r="L7483" s="75" t="s">
        <v>68</v>
      </c>
      <c r="M7483" s="75" t="s">
        <v>70</v>
      </c>
    </row>
    <row r="7484" ht="23.85" customHeight="1" spans="3:13">
      <c r="C7484" s="569" t="s">
        <v>2891</v>
      </c>
      <c r="D7484" s="570" t="s">
        <v>2589</v>
      </c>
      <c r="E7484" s="569" t="s">
        <v>139</v>
      </c>
      <c r="F7484" s="569" t="s">
        <v>2590</v>
      </c>
      <c r="G7484" s="569" t="s">
        <v>3129</v>
      </c>
      <c r="H7484" s="569"/>
      <c r="I7484" s="577" t="s">
        <v>134</v>
      </c>
      <c r="J7484" s="578">
        <v>1</v>
      </c>
      <c r="K7484" s="579"/>
      <c r="L7484" s="579">
        <v>93.28</v>
      </c>
      <c r="M7484" s="579">
        <v>93.28</v>
      </c>
    </row>
    <row r="7485" ht="23.85" customHeight="1" spans="3:13">
      <c r="C7485" s="79" t="s">
        <v>2921</v>
      </c>
      <c r="D7485" s="78" t="s">
        <v>2952</v>
      </c>
      <c r="E7485" s="79" t="s">
        <v>139</v>
      </c>
      <c r="F7485" s="79" t="s">
        <v>2953</v>
      </c>
      <c r="G7485" s="79" t="s">
        <v>2928</v>
      </c>
      <c r="H7485" s="79"/>
      <c r="I7485" s="80" t="s">
        <v>2897</v>
      </c>
      <c r="J7485" s="583">
        <v>0.8</v>
      </c>
      <c r="K7485" s="583">
        <v>0</v>
      </c>
      <c r="L7485" s="92">
        <v>29.15</v>
      </c>
      <c r="M7485" s="92">
        <v>23.32</v>
      </c>
    </row>
    <row r="7486" ht="23.85" customHeight="1" spans="3:13">
      <c r="C7486" s="79" t="s">
        <v>2921</v>
      </c>
      <c r="D7486" s="78" t="s">
        <v>3144</v>
      </c>
      <c r="E7486" s="79" t="s">
        <v>139</v>
      </c>
      <c r="F7486" s="79" t="s">
        <v>3145</v>
      </c>
      <c r="G7486" s="79" t="s">
        <v>2928</v>
      </c>
      <c r="H7486" s="79"/>
      <c r="I7486" s="80" t="s">
        <v>2897</v>
      </c>
      <c r="J7486" s="583">
        <v>0.8</v>
      </c>
      <c r="K7486" s="583">
        <v>0</v>
      </c>
      <c r="L7486" s="92">
        <v>35.55</v>
      </c>
      <c r="M7486" s="92">
        <v>28.44</v>
      </c>
    </row>
    <row r="7487" ht="23.85" customHeight="1" spans="3:13">
      <c r="C7487" s="100" t="s">
        <v>2893</v>
      </c>
      <c r="D7487" s="99" t="s">
        <v>5020</v>
      </c>
      <c r="E7487" s="100" t="s">
        <v>139</v>
      </c>
      <c r="F7487" s="100" t="s">
        <v>5021</v>
      </c>
      <c r="G7487" s="100" t="s">
        <v>2961</v>
      </c>
      <c r="H7487" s="100"/>
      <c r="I7487" s="101" t="s">
        <v>134</v>
      </c>
      <c r="J7487" s="580">
        <v>1</v>
      </c>
      <c r="K7487" s="580">
        <v>0</v>
      </c>
      <c r="L7487" s="102">
        <v>40.66</v>
      </c>
      <c r="M7487" s="102">
        <v>40.66</v>
      </c>
    </row>
    <row r="7488" ht="15" customHeight="1" spans="3:13">
      <c r="C7488" s="100" t="s">
        <v>2893</v>
      </c>
      <c r="D7488" s="99" t="s">
        <v>5012</v>
      </c>
      <c r="E7488" s="100" t="s">
        <v>139</v>
      </c>
      <c r="F7488" s="100" t="s">
        <v>5013</v>
      </c>
      <c r="G7488" s="100" t="s">
        <v>2961</v>
      </c>
      <c r="H7488" s="100"/>
      <c r="I7488" s="101" t="s">
        <v>134</v>
      </c>
      <c r="J7488" s="580">
        <v>0.104</v>
      </c>
      <c r="K7488" s="580">
        <v>0</v>
      </c>
      <c r="L7488" s="102">
        <v>8.3</v>
      </c>
      <c r="M7488" s="102">
        <v>0.86</v>
      </c>
    </row>
    <row r="7489" ht="25.5" spans="3:13">
      <c r="C7489" s="108"/>
      <c r="D7489" s="108"/>
      <c r="E7489" s="108"/>
      <c r="F7489" s="108"/>
      <c r="G7489" s="108"/>
      <c r="H7489" s="108" t="s">
        <v>2898</v>
      </c>
      <c r="I7489" s="581">
        <v>36.31</v>
      </c>
      <c r="J7489" s="108" t="s">
        <v>2899</v>
      </c>
      <c r="K7489" s="581">
        <v>0</v>
      </c>
      <c r="L7489" s="108" t="s">
        <v>2900</v>
      </c>
      <c r="M7489" s="581">
        <v>36.31</v>
      </c>
    </row>
    <row r="7490" ht="26.25" spans="3:13">
      <c r="C7490" s="108"/>
      <c r="D7490" s="108"/>
      <c r="E7490" s="108"/>
      <c r="F7490" s="108"/>
      <c r="G7490" s="108"/>
      <c r="H7490" s="108" t="s">
        <v>2901</v>
      </c>
      <c r="I7490" s="581">
        <v>23.77</v>
      </c>
      <c r="J7490" s="114"/>
      <c r="K7490" s="114" t="s">
        <v>2902</v>
      </c>
      <c r="L7490" s="108"/>
      <c r="M7490" s="581">
        <v>117.05</v>
      </c>
    </row>
    <row r="7491" ht="15" spans="3:13">
      <c r="C7491" s="571"/>
      <c r="D7491" s="571"/>
      <c r="E7491" s="571"/>
      <c r="F7491" s="571"/>
      <c r="G7491" s="571"/>
      <c r="H7491" s="571"/>
      <c r="I7491" s="571"/>
      <c r="J7491" s="571"/>
      <c r="K7491" s="571"/>
      <c r="L7491" s="571"/>
      <c r="M7491" s="571"/>
    </row>
    <row r="7492" ht="15" customHeight="1" spans="3:13">
      <c r="C7492" s="76" t="s">
        <v>2591</v>
      </c>
      <c r="D7492" s="75" t="s">
        <v>63</v>
      </c>
      <c r="E7492" s="76" t="s">
        <v>64</v>
      </c>
      <c r="F7492" s="76" t="s">
        <v>65</v>
      </c>
      <c r="G7492" s="76" t="s">
        <v>2889</v>
      </c>
      <c r="H7492" s="76"/>
      <c r="I7492" s="77" t="s">
        <v>66</v>
      </c>
      <c r="J7492" s="75" t="s">
        <v>67</v>
      </c>
      <c r="K7492" s="75" t="s">
        <v>2890</v>
      </c>
      <c r="L7492" s="75" t="s">
        <v>68</v>
      </c>
      <c r="M7492" s="75" t="s">
        <v>70</v>
      </c>
    </row>
    <row r="7493" ht="23.85" customHeight="1" spans="3:13">
      <c r="C7493" s="569" t="s">
        <v>2891</v>
      </c>
      <c r="D7493" s="570" t="s">
        <v>2592</v>
      </c>
      <c r="E7493" s="569" t="s">
        <v>139</v>
      </c>
      <c r="F7493" s="569" t="s">
        <v>2593</v>
      </c>
      <c r="G7493" s="569" t="s">
        <v>3129</v>
      </c>
      <c r="H7493" s="569"/>
      <c r="I7493" s="577" t="s">
        <v>134</v>
      </c>
      <c r="J7493" s="578">
        <v>1</v>
      </c>
      <c r="K7493" s="579"/>
      <c r="L7493" s="579">
        <v>129.24</v>
      </c>
      <c r="M7493" s="579">
        <v>129.24</v>
      </c>
    </row>
    <row r="7494" ht="23.85" customHeight="1" spans="3:13">
      <c r="C7494" s="79" t="s">
        <v>2921</v>
      </c>
      <c r="D7494" s="78" t="s">
        <v>2952</v>
      </c>
      <c r="E7494" s="79" t="s">
        <v>139</v>
      </c>
      <c r="F7494" s="79" t="s">
        <v>2953</v>
      </c>
      <c r="G7494" s="79" t="s">
        <v>2928</v>
      </c>
      <c r="H7494" s="79"/>
      <c r="I7494" s="80" t="s">
        <v>2897</v>
      </c>
      <c r="J7494" s="583">
        <v>0.88</v>
      </c>
      <c r="K7494" s="583">
        <v>0</v>
      </c>
      <c r="L7494" s="92">
        <v>29.15</v>
      </c>
      <c r="M7494" s="92">
        <v>25.65</v>
      </c>
    </row>
    <row r="7495" ht="23.85" customHeight="1" spans="3:13">
      <c r="C7495" s="79" t="s">
        <v>2921</v>
      </c>
      <c r="D7495" s="78" t="s">
        <v>3144</v>
      </c>
      <c r="E7495" s="79" t="s">
        <v>139</v>
      </c>
      <c r="F7495" s="79" t="s">
        <v>3145</v>
      </c>
      <c r="G7495" s="79" t="s">
        <v>2928</v>
      </c>
      <c r="H7495" s="79"/>
      <c r="I7495" s="80" t="s">
        <v>2897</v>
      </c>
      <c r="J7495" s="583">
        <v>0.88</v>
      </c>
      <c r="K7495" s="583">
        <v>0</v>
      </c>
      <c r="L7495" s="92">
        <v>35.55</v>
      </c>
      <c r="M7495" s="92">
        <v>31.28</v>
      </c>
    </row>
    <row r="7496" ht="15" customHeight="1" spans="3:13">
      <c r="C7496" s="100" t="s">
        <v>2893</v>
      </c>
      <c r="D7496" s="99" t="s">
        <v>5012</v>
      </c>
      <c r="E7496" s="100" t="s">
        <v>139</v>
      </c>
      <c r="F7496" s="100" t="s">
        <v>5013</v>
      </c>
      <c r="G7496" s="100" t="s">
        <v>2961</v>
      </c>
      <c r="H7496" s="100"/>
      <c r="I7496" s="101" t="s">
        <v>134</v>
      </c>
      <c r="J7496" s="580">
        <v>0.12</v>
      </c>
      <c r="K7496" s="580">
        <v>0</v>
      </c>
      <c r="L7496" s="102">
        <v>8.3</v>
      </c>
      <c r="M7496" s="102">
        <v>0.99</v>
      </c>
    </row>
    <row r="7497" ht="23.85" customHeight="1" spans="3:13">
      <c r="C7497" s="100" t="s">
        <v>2893</v>
      </c>
      <c r="D7497" s="99" t="s">
        <v>5022</v>
      </c>
      <c r="E7497" s="100" t="s">
        <v>139</v>
      </c>
      <c r="F7497" s="100" t="s">
        <v>5023</v>
      </c>
      <c r="G7497" s="100" t="s">
        <v>2961</v>
      </c>
      <c r="H7497" s="100"/>
      <c r="I7497" s="101" t="s">
        <v>134</v>
      </c>
      <c r="J7497" s="580">
        <v>1</v>
      </c>
      <c r="K7497" s="580">
        <v>0</v>
      </c>
      <c r="L7497" s="102">
        <v>71.32</v>
      </c>
      <c r="M7497" s="102">
        <v>71.32</v>
      </c>
    </row>
    <row r="7498" ht="25.5" spans="3:13">
      <c r="C7498" s="108"/>
      <c r="D7498" s="108"/>
      <c r="E7498" s="108"/>
      <c r="F7498" s="108"/>
      <c r="G7498" s="108"/>
      <c r="H7498" s="108" t="s">
        <v>2898</v>
      </c>
      <c r="I7498" s="581">
        <v>39.94</v>
      </c>
      <c r="J7498" s="108" t="s">
        <v>2899</v>
      </c>
      <c r="K7498" s="581">
        <v>0</v>
      </c>
      <c r="L7498" s="108" t="s">
        <v>2900</v>
      </c>
      <c r="M7498" s="581">
        <v>39.94</v>
      </c>
    </row>
    <row r="7499" ht="26.25" spans="3:13">
      <c r="C7499" s="108"/>
      <c r="D7499" s="108"/>
      <c r="E7499" s="108"/>
      <c r="F7499" s="108"/>
      <c r="G7499" s="108"/>
      <c r="H7499" s="108" t="s">
        <v>2901</v>
      </c>
      <c r="I7499" s="581">
        <v>32.94</v>
      </c>
      <c r="J7499" s="114"/>
      <c r="K7499" s="114" t="s">
        <v>2902</v>
      </c>
      <c r="L7499" s="108"/>
      <c r="M7499" s="581">
        <v>162.18</v>
      </c>
    </row>
    <row r="7500" ht="15" spans="3:13">
      <c r="C7500" s="571"/>
      <c r="D7500" s="571"/>
      <c r="E7500" s="571"/>
      <c r="F7500" s="571"/>
      <c r="G7500" s="571"/>
      <c r="H7500" s="571"/>
      <c r="I7500" s="571"/>
      <c r="J7500" s="571"/>
      <c r="K7500" s="571"/>
      <c r="L7500" s="571"/>
      <c r="M7500" s="571"/>
    </row>
    <row r="7501" ht="15" customHeight="1" spans="3:13">
      <c r="C7501" s="76" t="s">
        <v>2594</v>
      </c>
      <c r="D7501" s="75" t="s">
        <v>63</v>
      </c>
      <c r="E7501" s="76" t="s">
        <v>64</v>
      </c>
      <c r="F7501" s="76" t="s">
        <v>65</v>
      </c>
      <c r="G7501" s="76" t="s">
        <v>2889</v>
      </c>
      <c r="H7501" s="76"/>
      <c r="I7501" s="77" t="s">
        <v>66</v>
      </c>
      <c r="J7501" s="75" t="s">
        <v>67</v>
      </c>
      <c r="K7501" s="75" t="s">
        <v>2890</v>
      </c>
      <c r="L7501" s="75" t="s">
        <v>68</v>
      </c>
      <c r="M7501" s="75" t="s">
        <v>70</v>
      </c>
    </row>
    <row r="7502" ht="23.85" customHeight="1" spans="3:13">
      <c r="C7502" s="569" t="s">
        <v>2891</v>
      </c>
      <c r="D7502" s="570" t="s">
        <v>2595</v>
      </c>
      <c r="E7502" s="569" t="s">
        <v>139</v>
      </c>
      <c r="F7502" s="569" t="s">
        <v>2596</v>
      </c>
      <c r="G7502" s="569" t="s">
        <v>3129</v>
      </c>
      <c r="H7502" s="569"/>
      <c r="I7502" s="577" t="s">
        <v>134</v>
      </c>
      <c r="J7502" s="578">
        <v>1</v>
      </c>
      <c r="K7502" s="579"/>
      <c r="L7502" s="579">
        <v>130.6</v>
      </c>
      <c r="M7502" s="579">
        <v>130.6</v>
      </c>
    </row>
    <row r="7503" ht="23.85" customHeight="1" spans="3:13">
      <c r="C7503" s="79" t="s">
        <v>2921</v>
      </c>
      <c r="D7503" s="78" t="s">
        <v>2952</v>
      </c>
      <c r="E7503" s="79" t="s">
        <v>139</v>
      </c>
      <c r="F7503" s="79" t="s">
        <v>2953</v>
      </c>
      <c r="G7503" s="79" t="s">
        <v>2928</v>
      </c>
      <c r="H7503" s="79"/>
      <c r="I7503" s="80" t="s">
        <v>2897</v>
      </c>
      <c r="J7503" s="583">
        <v>0.9</v>
      </c>
      <c r="K7503" s="583">
        <v>0</v>
      </c>
      <c r="L7503" s="92">
        <v>29.15</v>
      </c>
      <c r="M7503" s="92">
        <v>26.23</v>
      </c>
    </row>
    <row r="7504" ht="23.85" customHeight="1" spans="3:13">
      <c r="C7504" s="79" t="s">
        <v>2921</v>
      </c>
      <c r="D7504" s="78" t="s">
        <v>3144</v>
      </c>
      <c r="E7504" s="79" t="s">
        <v>139</v>
      </c>
      <c r="F7504" s="79" t="s">
        <v>3145</v>
      </c>
      <c r="G7504" s="79" t="s">
        <v>2928</v>
      </c>
      <c r="H7504" s="79"/>
      <c r="I7504" s="80" t="s">
        <v>2897</v>
      </c>
      <c r="J7504" s="583">
        <v>0.9</v>
      </c>
      <c r="K7504" s="583">
        <v>0</v>
      </c>
      <c r="L7504" s="92">
        <v>35.55</v>
      </c>
      <c r="M7504" s="92">
        <v>31.99</v>
      </c>
    </row>
    <row r="7505" ht="23.85" customHeight="1" spans="3:13">
      <c r="C7505" s="100" t="s">
        <v>2893</v>
      </c>
      <c r="D7505" s="99" t="s">
        <v>5024</v>
      </c>
      <c r="E7505" s="100" t="s">
        <v>139</v>
      </c>
      <c r="F7505" s="100" t="s">
        <v>5025</v>
      </c>
      <c r="G7505" s="100" t="s">
        <v>2961</v>
      </c>
      <c r="H7505" s="100"/>
      <c r="I7505" s="101" t="s">
        <v>134</v>
      </c>
      <c r="J7505" s="580">
        <v>1</v>
      </c>
      <c r="K7505" s="580">
        <v>0</v>
      </c>
      <c r="L7505" s="102">
        <v>71.32</v>
      </c>
      <c r="M7505" s="102">
        <v>71.32</v>
      </c>
    </row>
    <row r="7506" ht="15" customHeight="1" spans="3:13">
      <c r="C7506" s="100" t="s">
        <v>2893</v>
      </c>
      <c r="D7506" s="99" t="s">
        <v>5012</v>
      </c>
      <c r="E7506" s="100" t="s">
        <v>139</v>
      </c>
      <c r="F7506" s="100" t="s">
        <v>5013</v>
      </c>
      <c r="G7506" s="100" t="s">
        <v>2961</v>
      </c>
      <c r="H7506" s="100"/>
      <c r="I7506" s="101" t="s">
        <v>134</v>
      </c>
      <c r="J7506" s="580">
        <v>0.128</v>
      </c>
      <c r="K7506" s="580">
        <v>0</v>
      </c>
      <c r="L7506" s="102">
        <v>8.3</v>
      </c>
      <c r="M7506" s="102">
        <v>1.06</v>
      </c>
    </row>
    <row r="7507" ht="25.5" spans="3:13">
      <c r="C7507" s="108"/>
      <c r="D7507" s="108"/>
      <c r="E7507" s="108"/>
      <c r="F7507" s="108"/>
      <c r="G7507" s="108"/>
      <c r="H7507" s="108" t="s">
        <v>2898</v>
      </c>
      <c r="I7507" s="581">
        <v>40.85</v>
      </c>
      <c r="J7507" s="108" t="s">
        <v>2899</v>
      </c>
      <c r="K7507" s="581">
        <v>0</v>
      </c>
      <c r="L7507" s="108" t="s">
        <v>2900</v>
      </c>
      <c r="M7507" s="581">
        <v>40.85</v>
      </c>
    </row>
    <row r="7508" ht="26.25" spans="3:13">
      <c r="C7508" s="108"/>
      <c r="D7508" s="108"/>
      <c r="E7508" s="108"/>
      <c r="F7508" s="108"/>
      <c r="G7508" s="108"/>
      <c r="H7508" s="108" t="s">
        <v>2901</v>
      </c>
      <c r="I7508" s="581">
        <v>33.28</v>
      </c>
      <c r="J7508" s="114"/>
      <c r="K7508" s="114" t="s">
        <v>2902</v>
      </c>
      <c r="L7508" s="108"/>
      <c r="M7508" s="581">
        <v>163.88</v>
      </c>
    </row>
    <row r="7509" ht="15" spans="3:13">
      <c r="C7509" s="571"/>
      <c r="D7509" s="571"/>
      <c r="E7509" s="571"/>
      <c r="F7509" s="571"/>
      <c r="G7509" s="571"/>
      <c r="H7509" s="571"/>
      <c r="I7509" s="571"/>
      <c r="J7509" s="571"/>
      <c r="K7509" s="571"/>
      <c r="L7509" s="571"/>
      <c r="M7509" s="571"/>
    </row>
    <row r="7510" ht="15" customHeight="1" spans="3:13">
      <c r="C7510" s="76" t="s">
        <v>2597</v>
      </c>
      <c r="D7510" s="75" t="s">
        <v>63</v>
      </c>
      <c r="E7510" s="76" t="s">
        <v>64</v>
      </c>
      <c r="F7510" s="76" t="s">
        <v>65</v>
      </c>
      <c r="G7510" s="76" t="s">
        <v>2889</v>
      </c>
      <c r="H7510" s="76"/>
      <c r="I7510" s="77" t="s">
        <v>66</v>
      </c>
      <c r="J7510" s="75" t="s">
        <v>67</v>
      </c>
      <c r="K7510" s="75" t="s">
        <v>2890</v>
      </c>
      <c r="L7510" s="75" t="s">
        <v>68</v>
      </c>
      <c r="M7510" s="75" t="s">
        <v>70</v>
      </c>
    </row>
    <row r="7511" ht="23.85" customHeight="1" spans="3:13">
      <c r="C7511" s="569" t="s">
        <v>2891</v>
      </c>
      <c r="D7511" s="570" t="s">
        <v>2598</v>
      </c>
      <c r="E7511" s="569" t="s">
        <v>139</v>
      </c>
      <c r="F7511" s="569" t="s">
        <v>2599</v>
      </c>
      <c r="G7511" s="569" t="s">
        <v>3129</v>
      </c>
      <c r="H7511" s="569"/>
      <c r="I7511" s="577" t="s">
        <v>134</v>
      </c>
      <c r="J7511" s="578">
        <v>1</v>
      </c>
      <c r="K7511" s="579"/>
      <c r="L7511" s="579">
        <v>172.67</v>
      </c>
      <c r="M7511" s="579">
        <v>172.67</v>
      </c>
    </row>
    <row r="7512" ht="23.85" customHeight="1" spans="3:13">
      <c r="C7512" s="79" t="s">
        <v>2921</v>
      </c>
      <c r="D7512" s="78" t="s">
        <v>2952</v>
      </c>
      <c r="E7512" s="79" t="s">
        <v>139</v>
      </c>
      <c r="F7512" s="79" t="s">
        <v>2953</v>
      </c>
      <c r="G7512" s="79" t="s">
        <v>2928</v>
      </c>
      <c r="H7512" s="79"/>
      <c r="I7512" s="80" t="s">
        <v>2897</v>
      </c>
      <c r="J7512" s="583">
        <v>0.97</v>
      </c>
      <c r="K7512" s="583">
        <v>0</v>
      </c>
      <c r="L7512" s="92">
        <v>29.15</v>
      </c>
      <c r="M7512" s="92">
        <v>28.27</v>
      </c>
    </row>
    <row r="7513" ht="23.85" customHeight="1" spans="3:13">
      <c r="C7513" s="79" t="s">
        <v>2921</v>
      </c>
      <c r="D7513" s="78" t="s">
        <v>3144</v>
      </c>
      <c r="E7513" s="79" t="s">
        <v>139</v>
      </c>
      <c r="F7513" s="79" t="s">
        <v>3145</v>
      </c>
      <c r="G7513" s="79" t="s">
        <v>2928</v>
      </c>
      <c r="H7513" s="79"/>
      <c r="I7513" s="80" t="s">
        <v>2897</v>
      </c>
      <c r="J7513" s="583">
        <v>0.97</v>
      </c>
      <c r="K7513" s="583">
        <v>0</v>
      </c>
      <c r="L7513" s="92">
        <v>35.55</v>
      </c>
      <c r="M7513" s="92">
        <v>34.48</v>
      </c>
    </row>
    <row r="7514" ht="23.85" customHeight="1" spans="3:13">
      <c r="C7514" s="100" t="s">
        <v>2893</v>
      </c>
      <c r="D7514" s="99" t="s">
        <v>5026</v>
      </c>
      <c r="E7514" s="100" t="s">
        <v>139</v>
      </c>
      <c r="F7514" s="100" t="s">
        <v>5027</v>
      </c>
      <c r="G7514" s="100" t="s">
        <v>2961</v>
      </c>
      <c r="H7514" s="100"/>
      <c r="I7514" s="101" t="s">
        <v>134</v>
      </c>
      <c r="J7514" s="580">
        <v>1</v>
      </c>
      <c r="K7514" s="580">
        <v>0</v>
      </c>
      <c r="L7514" s="102">
        <v>108.66</v>
      </c>
      <c r="M7514" s="102">
        <v>108.66</v>
      </c>
    </row>
    <row r="7515" ht="15" customHeight="1" spans="3:13">
      <c r="C7515" s="100" t="s">
        <v>2893</v>
      </c>
      <c r="D7515" s="99" t="s">
        <v>5012</v>
      </c>
      <c r="E7515" s="100" t="s">
        <v>139</v>
      </c>
      <c r="F7515" s="100" t="s">
        <v>5013</v>
      </c>
      <c r="G7515" s="100" t="s">
        <v>2961</v>
      </c>
      <c r="H7515" s="100"/>
      <c r="I7515" s="101" t="s">
        <v>134</v>
      </c>
      <c r="J7515" s="580">
        <v>0.152</v>
      </c>
      <c r="K7515" s="580">
        <v>0</v>
      </c>
      <c r="L7515" s="102">
        <v>8.3</v>
      </c>
      <c r="M7515" s="102">
        <v>1.26</v>
      </c>
    </row>
    <row r="7516" ht="25.5" spans="3:13">
      <c r="C7516" s="108"/>
      <c r="D7516" s="108"/>
      <c r="E7516" s="108"/>
      <c r="F7516" s="108"/>
      <c r="G7516" s="108"/>
      <c r="H7516" s="108" t="s">
        <v>2898</v>
      </c>
      <c r="I7516" s="581">
        <v>44.03</v>
      </c>
      <c r="J7516" s="108" t="s">
        <v>2899</v>
      </c>
      <c r="K7516" s="581">
        <v>0</v>
      </c>
      <c r="L7516" s="108" t="s">
        <v>2900</v>
      </c>
      <c r="M7516" s="581">
        <v>44.03</v>
      </c>
    </row>
    <row r="7517" ht="26.25" spans="3:13">
      <c r="C7517" s="108"/>
      <c r="D7517" s="108"/>
      <c r="E7517" s="108"/>
      <c r="F7517" s="108"/>
      <c r="G7517" s="108"/>
      <c r="H7517" s="108" t="s">
        <v>2901</v>
      </c>
      <c r="I7517" s="581">
        <v>44.01</v>
      </c>
      <c r="J7517" s="114"/>
      <c r="K7517" s="114" t="s">
        <v>2902</v>
      </c>
      <c r="L7517" s="108"/>
      <c r="M7517" s="581">
        <v>216.68</v>
      </c>
    </row>
    <row r="7518" ht="15" spans="3:13">
      <c r="C7518" s="571"/>
      <c r="D7518" s="571"/>
      <c r="E7518" s="571"/>
      <c r="F7518" s="571"/>
      <c r="G7518" s="571"/>
      <c r="H7518" s="571"/>
      <c r="I7518" s="571"/>
      <c r="J7518" s="571"/>
      <c r="K7518" s="571"/>
      <c r="L7518" s="571"/>
      <c r="M7518" s="571"/>
    </row>
    <row r="7519" ht="15" customHeight="1" spans="3:13">
      <c r="C7519" s="76" t="s">
        <v>2600</v>
      </c>
      <c r="D7519" s="75" t="s">
        <v>63</v>
      </c>
      <c r="E7519" s="76" t="s">
        <v>64</v>
      </c>
      <c r="F7519" s="76" t="s">
        <v>65</v>
      </c>
      <c r="G7519" s="76" t="s">
        <v>2889</v>
      </c>
      <c r="H7519" s="76"/>
      <c r="I7519" s="77" t="s">
        <v>66</v>
      </c>
      <c r="J7519" s="75" t="s">
        <v>67</v>
      </c>
      <c r="K7519" s="75" t="s">
        <v>2890</v>
      </c>
      <c r="L7519" s="75" t="s">
        <v>68</v>
      </c>
      <c r="M7519" s="75" t="s">
        <v>70</v>
      </c>
    </row>
    <row r="7520" ht="23.85" customHeight="1" spans="3:13">
      <c r="C7520" s="569" t="s">
        <v>2891</v>
      </c>
      <c r="D7520" s="570" t="s">
        <v>2601</v>
      </c>
      <c r="E7520" s="569" t="s">
        <v>139</v>
      </c>
      <c r="F7520" s="569" t="s">
        <v>2602</v>
      </c>
      <c r="G7520" s="569" t="s">
        <v>3129</v>
      </c>
      <c r="H7520" s="569"/>
      <c r="I7520" s="577" t="s">
        <v>134</v>
      </c>
      <c r="J7520" s="578">
        <v>1</v>
      </c>
      <c r="K7520" s="579"/>
      <c r="L7520" s="579">
        <v>260.18</v>
      </c>
      <c r="M7520" s="579">
        <v>260.18</v>
      </c>
    </row>
    <row r="7521" ht="23.85" customHeight="1" spans="3:13">
      <c r="C7521" s="79" t="s">
        <v>2921</v>
      </c>
      <c r="D7521" s="78" t="s">
        <v>3144</v>
      </c>
      <c r="E7521" s="79" t="s">
        <v>139</v>
      </c>
      <c r="F7521" s="79" t="s">
        <v>3145</v>
      </c>
      <c r="G7521" s="79" t="s">
        <v>2928</v>
      </c>
      <c r="H7521" s="79"/>
      <c r="I7521" s="80" t="s">
        <v>2897</v>
      </c>
      <c r="J7521" s="583">
        <v>1.1</v>
      </c>
      <c r="K7521" s="583">
        <v>0</v>
      </c>
      <c r="L7521" s="92">
        <v>35.55</v>
      </c>
      <c r="M7521" s="92">
        <v>39.1</v>
      </c>
    </row>
    <row r="7522" ht="23.85" customHeight="1" spans="3:13">
      <c r="C7522" s="79" t="s">
        <v>2921</v>
      </c>
      <c r="D7522" s="78" t="s">
        <v>2952</v>
      </c>
      <c r="E7522" s="79" t="s">
        <v>139</v>
      </c>
      <c r="F7522" s="79" t="s">
        <v>2953</v>
      </c>
      <c r="G7522" s="79" t="s">
        <v>2928</v>
      </c>
      <c r="H7522" s="79"/>
      <c r="I7522" s="80" t="s">
        <v>2897</v>
      </c>
      <c r="J7522" s="583">
        <v>1.1</v>
      </c>
      <c r="K7522" s="583">
        <v>0</v>
      </c>
      <c r="L7522" s="92">
        <v>29.15</v>
      </c>
      <c r="M7522" s="92">
        <v>32.06</v>
      </c>
    </row>
    <row r="7523" ht="15" customHeight="1" spans="3:13">
      <c r="C7523" s="100" t="s">
        <v>2893</v>
      </c>
      <c r="D7523" s="99" t="s">
        <v>5012</v>
      </c>
      <c r="E7523" s="100" t="s">
        <v>139</v>
      </c>
      <c r="F7523" s="100" t="s">
        <v>5013</v>
      </c>
      <c r="G7523" s="100" t="s">
        <v>2961</v>
      </c>
      <c r="H7523" s="100"/>
      <c r="I7523" s="101" t="s">
        <v>134</v>
      </c>
      <c r="J7523" s="580">
        <v>0.168</v>
      </c>
      <c r="K7523" s="580">
        <v>0</v>
      </c>
      <c r="L7523" s="102">
        <v>8.3</v>
      </c>
      <c r="M7523" s="102">
        <v>1.39</v>
      </c>
    </row>
    <row r="7524" ht="23.85" customHeight="1" spans="3:13">
      <c r="C7524" s="100" t="s">
        <v>2893</v>
      </c>
      <c r="D7524" s="99" t="s">
        <v>5028</v>
      </c>
      <c r="E7524" s="100" t="s">
        <v>139</v>
      </c>
      <c r="F7524" s="100" t="s">
        <v>5029</v>
      </c>
      <c r="G7524" s="100" t="s">
        <v>2961</v>
      </c>
      <c r="H7524" s="100"/>
      <c r="I7524" s="101" t="s">
        <v>134</v>
      </c>
      <c r="J7524" s="580">
        <v>1</v>
      </c>
      <c r="K7524" s="580">
        <v>0</v>
      </c>
      <c r="L7524" s="102">
        <v>187.63</v>
      </c>
      <c r="M7524" s="102">
        <v>187.63</v>
      </c>
    </row>
    <row r="7525" ht="25.5" spans="3:13">
      <c r="C7525" s="108"/>
      <c r="D7525" s="108"/>
      <c r="E7525" s="108"/>
      <c r="F7525" s="108"/>
      <c r="G7525" s="108"/>
      <c r="H7525" s="108" t="s">
        <v>2898</v>
      </c>
      <c r="I7525" s="581">
        <v>49.93</v>
      </c>
      <c r="J7525" s="108" t="s">
        <v>2899</v>
      </c>
      <c r="K7525" s="581">
        <v>0</v>
      </c>
      <c r="L7525" s="108" t="s">
        <v>2900</v>
      </c>
      <c r="M7525" s="581">
        <v>49.93</v>
      </c>
    </row>
    <row r="7526" ht="26.25" spans="3:13">
      <c r="C7526" s="108"/>
      <c r="D7526" s="108"/>
      <c r="E7526" s="108"/>
      <c r="F7526" s="108"/>
      <c r="G7526" s="108"/>
      <c r="H7526" s="108" t="s">
        <v>2901</v>
      </c>
      <c r="I7526" s="581">
        <v>66.31</v>
      </c>
      <c r="J7526" s="114"/>
      <c r="K7526" s="114" t="s">
        <v>2902</v>
      </c>
      <c r="L7526" s="108"/>
      <c r="M7526" s="581">
        <v>326.49</v>
      </c>
    </row>
    <row r="7527" ht="15" spans="3:13">
      <c r="C7527" s="571"/>
      <c r="D7527" s="571"/>
      <c r="E7527" s="571"/>
      <c r="F7527" s="571"/>
      <c r="G7527" s="571"/>
      <c r="H7527" s="571"/>
      <c r="I7527" s="571"/>
      <c r="J7527" s="571"/>
      <c r="K7527" s="571"/>
      <c r="L7527" s="571"/>
      <c r="M7527" s="571"/>
    </row>
    <row r="7528" ht="15" customHeight="1" spans="3:13">
      <c r="C7528" s="76" t="s">
        <v>2603</v>
      </c>
      <c r="D7528" s="75" t="s">
        <v>63</v>
      </c>
      <c r="E7528" s="76" t="s">
        <v>64</v>
      </c>
      <c r="F7528" s="76" t="s">
        <v>65</v>
      </c>
      <c r="G7528" s="76" t="s">
        <v>2889</v>
      </c>
      <c r="H7528" s="76"/>
      <c r="I7528" s="77" t="s">
        <v>66</v>
      </c>
      <c r="J7528" s="75" t="s">
        <v>67</v>
      </c>
      <c r="K7528" s="75" t="s">
        <v>2890</v>
      </c>
      <c r="L7528" s="75" t="s">
        <v>68</v>
      </c>
      <c r="M7528" s="75" t="s">
        <v>70</v>
      </c>
    </row>
    <row r="7529" ht="23.85" customHeight="1" spans="3:13">
      <c r="C7529" s="569" t="s">
        <v>2891</v>
      </c>
      <c r="D7529" s="570" t="s">
        <v>2604</v>
      </c>
      <c r="E7529" s="569" t="s">
        <v>149</v>
      </c>
      <c r="F7529" s="569" t="s">
        <v>2605</v>
      </c>
      <c r="G7529" s="569" t="s">
        <v>4599</v>
      </c>
      <c r="H7529" s="569"/>
      <c r="I7529" s="577" t="s">
        <v>393</v>
      </c>
      <c r="J7529" s="578">
        <v>1</v>
      </c>
      <c r="K7529" s="579"/>
      <c r="L7529" s="579">
        <v>107.03</v>
      </c>
      <c r="M7529" s="579">
        <v>107.03</v>
      </c>
    </row>
    <row r="7530" ht="15" customHeight="1" spans="3:13">
      <c r="C7530" s="100" t="s">
        <v>2893</v>
      </c>
      <c r="D7530" s="99" t="s">
        <v>4604</v>
      </c>
      <c r="E7530" s="100" t="s">
        <v>149</v>
      </c>
      <c r="F7530" s="100" t="s">
        <v>4605</v>
      </c>
      <c r="G7530" s="100" t="s">
        <v>2896</v>
      </c>
      <c r="H7530" s="100"/>
      <c r="I7530" s="101" t="s">
        <v>2897</v>
      </c>
      <c r="J7530" s="580">
        <v>0.25</v>
      </c>
      <c r="K7530" s="580">
        <v>0</v>
      </c>
      <c r="L7530" s="102">
        <v>30.25168</v>
      </c>
      <c r="M7530" s="102">
        <v>7.56</v>
      </c>
    </row>
    <row r="7531" ht="15" customHeight="1" spans="3:13">
      <c r="C7531" s="100" t="s">
        <v>2893</v>
      </c>
      <c r="D7531" s="99" t="s">
        <v>4600</v>
      </c>
      <c r="E7531" s="100" t="s">
        <v>149</v>
      </c>
      <c r="F7531" s="100" t="s">
        <v>4601</v>
      </c>
      <c r="G7531" s="100" t="s">
        <v>2896</v>
      </c>
      <c r="H7531" s="100"/>
      <c r="I7531" s="101" t="s">
        <v>2897</v>
      </c>
      <c r="J7531" s="580">
        <v>0.25</v>
      </c>
      <c r="K7531" s="580">
        <v>0</v>
      </c>
      <c r="L7531" s="102">
        <v>20.515752</v>
      </c>
      <c r="M7531" s="102">
        <v>5.12</v>
      </c>
    </row>
    <row r="7532" ht="15" customHeight="1" spans="3:13">
      <c r="C7532" s="100" t="s">
        <v>2893</v>
      </c>
      <c r="D7532" s="99" t="s">
        <v>5030</v>
      </c>
      <c r="E7532" s="100" t="s">
        <v>149</v>
      </c>
      <c r="F7532" s="100" t="s">
        <v>5031</v>
      </c>
      <c r="G7532" s="100" t="s">
        <v>2961</v>
      </c>
      <c r="H7532" s="100"/>
      <c r="I7532" s="101" t="s">
        <v>393</v>
      </c>
      <c r="J7532" s="580">
        <v>1</v>
      </c>
      <c r="K7532" s="580">
        <v>0</v>
      </c>
      <c r="L7532" s="102">
        <v>94.35</v>
      </c>
      <c r="M7532" s="102">
        <v>94.35</v>
      </c>
    </row>
    <row r="7533" ht="25.5" spans="3:13">
      <c r="C7533" s="108"/>
      <c r="D7533" s="108"/>
      <c r="E7533" s="108"/>
      <c r="F7533" s="108"/>
      <c r="G7533" s="108"/>
      <c r="H7533" s="108" t="s">
        <v>2898</v>
      </c>
      <c r="I7533" s="581">
        <v>12.68</v>
      </c>
      <c r="J7533" s="108" t="s">
        <v>2899</v>
      </c>
      <c r="K7533" s="581">
        <v>0</v>
      </c>
      <c r="L7533" s="108" t="s">
        <v>2900</v>
      </c>
      <c r="M7533" s="581">
        <v>12.68</v>
      </c>
    </row>
    <row r="7534" ht="26.25" spans="3:13">
      <c r="C7534" s="108"/>
      <c r="D7534" s="108"/>
      <c r="E7534" s="108"/>
      <c r="F7534" s="108"/>
      <c r="G7534" s="108"/>
      <c r="H7534" s="108" t="s">
        <v>2901</v>
      </c>
      <c r="I7534" s="581">
        <v>27.28</v>
      </c>
      <c r="J7534" s="114"/>
      <c r="K7534" s="114" t="s">
        <v>2902</v>
      </c>
      <c r="L7534" s="108"/>
      <c r="M7534" s="581">
        <v>134.31</v>
      </c>
    </row>
    <row r="7535" ht="15" spans="3:13">
      <c r="C7535" s="571"/>
      <c r="D7535" s="571"/>
      <c r="E7535" s="571"/>
      <c r="F7535" s="571"/>
      <c r="G7535" s="571"/>
      <c r="H7535" s="571"/>
      <c r="I7535" s="571"/>
      <c r="J7535" s="571"/>
      <c r="K7535" s="571"/>
      <c r="L7535" s="571"/>
      <c r="M7535" s="571"/>
    </row>
    <row r="7536" ht="15" customHeight="1" spans="3:13">
      <c r="C7536" s="76" t="s">
        <v>2606</v>
      </c>
      <c r="D7536" s="75" t="s">
        <v>63</v>
      </c>
      <c r="E7536" s="76" t="s">
        <v>64</v>
      </c>
      <c r="F7536" s="76" t="s">
        <v>65</v>
      </c>
      <c r="G7536" s="76" t="s">
        <v>2889</v>
      </c>
      <c r="H7536" s="76"/>
      <c r="I7536" s="77" t="s">
        <v>66</v>
      </c>
      <c r="J7536" s="75" t="s">
        <v>67</v>
      </c>
      <c r="K7536" s="75" t="s">
        <v>2890</v>
      </c>
      <c r="L7536" s="75" t="s">
        <v>68</v>
      </c>
      <c r="M7536" s="75" t="s">
        <v>70</v>
      </c>
    </row>
    <row r="7537" ht="23.85" customHeight="1" spans="3:13">
      <c r="C7537" s="569" t="s">
        <v>2891</v>
      </c>
      <c r="D7537" s="570" t="s">
        <v>2607</v>
      </c>
      <c r="E7537" s="569" t="s">
        <v>149</v>
      </c>
      <c r="F7537" s="569" t="s">
        <v>2608</v>
      </c>
      <c r="G7537" s="569" t="s">
        <v>4599</v>
      </c>
      <c r="H7537" s="569"/>
      <c r="I7537" s="577" t="s">
        <v>393</v>
      </c>
      <c r="J7537" s="578">
        <v>1</v>
      </c>
      <c r="K7537" s="579"/>
      <c r="L7537" s="579">
        <v>84.45</v>
      </c>
      <c r="M7537" s="579">
        <v>84.45</v>
      </c>
    </row>
    <row r="7538" ht="15" customHeight="1" spans="3:13">
      <c r="C7538" s="100" t="s">
        <v>2893</v>
      </c>
      <c r="D7538" s="99" t="s">
        <v>4604</v>
      </c>
      <c r="E7538" s="100" t="s">
        <v>149</v>
      </c>
      <c r="F7538" s="100" t="s">
        <v>4605</v>
      </c>
      <c r="G7538" s="100" t="s">
        <v>2896</v>
      </c>
      <c r="H7538" s="100"/>
      <c r="I7538" s="101" t="s">
        <v>2897</v>
      </c>
      <c r="J7538" s="580">
        <v>0.25</v>
      </c>
      <c r="K7538" s="580">
        <v>0</v>
      </c>
      <c r="L7538" s="102">
        <v>30.25168</v>
      </c>
      <c r="M7538" s="102">
        <v>7.56</v>
      </c>
    </row>
    <row r="7539" ht="15" customHeight="1" spans="3:13">
      <c r="C7539" s="100" t="s">
        <v>2893</v>
      </c>
      <c r="D7539" s="99" t="s">
        <v>5032</v>
      </c>
      <c r="E7539" s="100" t="s">
        <v>149</v>
      </c>
      <c r="F7539" s="100" t="s">
        <v>5033</v>
      </c>
      <c r="G7539" s="100" t="s">
        <v>2961</v>
      </c>
      <c r="H7539" s="100"/>
      <c r="I7539" s="101" t="s">
        <v>393</v>
      </c>
      <c r="J7539" s="580">
        <v>1</v>
      </c>
      <c r="K7539" s="580">
        <v>0</v>
      </c>
      <c r="L7539" s="102">
        <v>71.77</v>
      </c>
      <c r="M7539" s="102">
        <v>71.77</v>
      </c>
    </row>
    <row r="7540" ht="15" customHeight="1" spans="3:13">
      <c r="C7540" s="100" t="s">
        <v>2893</v>
      </c>
      <c r="D7540" s="99" t="s">
        <v>4600</v>
      </c>
      <c r="E7540" s="100" t="s">
        <v>149</v>
      </c>
      <c r="F7540" s="100" t="s">
        <v>4601</v>
      </c>
      <c r="G7540" s="100" t="s">
        <v>2896</v>
      </c>
      <c r="H7540" s="100"/>
      <c r="I7540" s="101" t="s">
        <v>2897</v>
      </c>
      <c r="J7540" s="580">
        <v>0.25</v>
      </c>
      <c r="K7540" s="580">
        <v>0</v>
      </c>
      <c r="L7540" s="102">
        <v>20.515752</v>
      </c>
      <c r="M7540" s="102">
        <v>5.12</v>
      </c>
    </row>
    <row r="7541" ht="25.5" spans="3:13">
      <c r="C7541" s="108"/>
      <c r="D7541" s="108"/>
      <c r="E7541" s="108"/>
      <c r="F7541" s="108"/>
      <c r="G7541" s="108"/>
      <c r="H7541" s="108" t="s">
        <v>2898</v>
      </c>
      <c r="I7541" s="581">
        <v>12.68</v>
      </c>
      <c r="J7541" s="108" t="s">
        <v>2899</v>
      </c>
      <c r="K7541" s="581">
        <v>0</v>
      </c>
      <c r="L7541" s="108" t="s">
        <v>2900</v>
      </c>
      <c r="M7541" s="581">
        <v>12.68</v>
      </c>
    </row>
    <row r="7542" ht="26.25" spans="3:13">
      <c r="C7542" s="108"/>
      <c r="D7542" s="108"/>
      <c r="E7542" s="108"/>
      <c r="F7542" s="108"/>
      <c r="G7542" s="108"/>
      <c r="H7542" s="108" t="s">
        <v>2901</v>
      </c>
      <c r="I7542" s="581">
        <v>21.52</v>
      </c>
      <c r="J7542" s="114"/>
      <c r="K7542" s="114" t="s">
        <v>2902</v>
      </c>
      <c r="L7542" s="108"/>
      <c r="M7542" s="581">
        <v>105.97</v>
      </c>
    </row>
    <row r="7543" ht="15" spans="3:13">
      <c r="C7543" s="571"/>
      <c r="D7543" s="571"/>
      <c r="E7543" s="571"/>
      <c r="F7543" s="571"/>
      <c r="G7543" s="571"/>
      <c r="H7543" s="571"/>
      <c r="I7543" s="571"/>
      <c r="J7543" s="571"/>
      <c r="K7543" s="571"/>
      <c r="L7543" s="571"/>
      <c r="M7543" s="571"/>
    </row>
    <row r="7544" ht="15" customHeight="1" spans="3:13">
      <c r="C7544" s="76" t="s">
        <v>2611</v>
      </c>
      <c r="D7544" s="75" t="s">
        <v>63</v>
      </c>
      <c r="E7544" s="76" t="s">
        <v>64</v>
      </c>
      <c r="F7544" s="76" t="s">
        <v>65</v>
      </c>
      <c r="G7544" s="76" t="s">
        <v>2889</v>
      </c>
      <c r="H7544" s="76"/>
      <c r="I7544" s="77" t="s">
        <v>66</v>
      </c>
      <c r="J7544" s="75" t="s">
        <v>67</v>
      </c>
      <c r="K7544" s="75" t="s">
        <v>2890</v>
      </c>
      <c r="L7544" s="75" t="s">
        <v>68</v>
      </c>
      <c r="M7544" s="75" t="s">
        <v>70</v>
      </c>
    </row>
    <row r="7545" ht="35.05" customHeight="1" spans="3:13">
      <c r="C7545" s="569" t="s">
        <v>2891</v>
      </c>
      <c r="D7545" s="570" t="s">
        <v>1999</v>
      </c>
      <c r="E7545" s="569" t="s">
        <v>139</v>
      </c>
      <c r="F7545" s="569" t="s">
        <v>2000</v>
      </c>
      <c r="G7545" s="569" t="s">
        <v>3642</v>
      </c>
      <c r="H7545" s="569"/>
      <c r="I7545" s="577" t="s">
        <v>204</v>
      </c>
      <c r="J7545" s="578">
        <v>1</v>
      </c>
      <c r="K7545" s="579"/>
      <c r="L7545" s="579">
        <v>43.95</v>
      </c>
      <c r="M7545" s="579">
        <v>43.95</v>
      </c>
    </row>
    <row r="7546" ht="23.85" customHeight="1" spans="3:13">
      <c r="C7546" s="79" t="s">
        <v>2921</v>
      </c>
      <c r="D7546" s="78" t="s">
        <v>3144</v>
      </c>
      <c r="E7546" s="79" t="s">
        <v>139</v>
      </c>
      <c r="F7546" s="79" t="s">
        <v>3145</v>
      </c>
      <c r="G7546" s="79" t="s">
        <v>2928</v>
      </c>
      <c r="H7546" s="79"/>
      <c r="I7546" s="80" t="s">
        <v>2897</v>
      </c>
      <c r="J7546" s="583">
        <v>0.297</v>
      </c>
      <c r="K7546" s="583">
        <v>0</v>
      </c>
      <c r="L7546" s="92">
        <v>35.55</v>
      </c>
      <c r="M7546" s="92">
        <v>10.55</v>
      </c>
    </row>
    <row r="7547" ht="23.85" customHeight="1" spans="3:13">
      <c r="C7547" s="79" t="s">
        <v>2921</v>
      </c>
      <c r="D7547" s="78" t="s">
        <v>3146</v>
      </c>
      <c r="E7547" s="79" t="s">
        <v>139</v>
      </c>
      <c r="F7547" s="79" t="s">
        <v>3147</v>
      </c>
      <c r="G7547" s="79" t="s">
        <v>2928</v>
      </c>
      <c r="H7547" s="79"/>
      <c r="I7547" s="80" t="s">
        <v>2897</v>
      </c>
      <c r="J7547" s="583">
        <v>0.297</v>
      </c>
      <c r="K7547" s="583">
        <v>0</v>
      </c>
      <c r="L7547" s="92">
        <v>29.54</v>
      </c>
      <c r="M7547" s="92">
        <v>8.77</v>
      </c>
    </row>
    <row r="7548" ht="23.85" customHeight="1" spans="3:13">
      <c r="C7548" s="100" t="s">
        <v>2893</v>
      </c>
      <c r="D7548" s="99" t="s">
        <v>4669</v>
      </c>
      <c r="E7548" s="100" t="s">
        <v>139</v>
      </c>
      <c r="F7548" s="100" t="s">
        <v>4670</v>
      </c>
      <c r="G7548" s="100" t="s">
        <v>2961</v>
      </c>
      <c r="H7548" s="100"/>
      <c r="I7548" s="101" t="s">
        <v>204</v>
      </c>
      <c r="J7548" s="580">
        <v>1.039</v>
      </c>
      <c r="K7548" s="580">
        <v>0</v>
      </c>
      <c r="L7548" s="102">
        <v>23.71</v>
      </c>
      <c r="M7548" s="102">
        <v>24.63</v>
      </c>
    </row>
    <row r="7549" ht="25.5" spans="3:13">
      <c r="C7549" s="108"/>
      <c r="D7549" s="108"/>
      <c r="E7549" s="108"/>
      <c r="F7549" s="108"/>
      <c r="G7549" s="108"/>
      <c r="H7549" s="108" t="s">
        <v>2898</v>
      </c>
      <c r="I7549" s="581">
        <v>13.76</v>
      </c>
      <c r="J7549" s="108" t="s">
        <v>2899</v>
      </c>
      <c r="K7549" s="581">
        <v>0</v>
      </c>
      <c r="L7549" s="108" t="s">
        <v>2900</v>
      </c>
      <c r="M7549" s="581">
        <v>13.76</v>
      </c>
    </row>
    <row r="7550" ht="26.25" spans="3:13">
      <c r="C7550" s="108"/>
      <c r="D7550" s="108"/>
      <c r="E7550" s="108"/>
      <c r="F7550" s="108"/>
      <c r="G7550" s="108"/>
      <c r="H7550" s="108" t="s">
        <v>2901</v>
      </c>
      <c r="I7550" s="581">
        <v>11.2</v>
      </c>
      <c r="J7550" s="114"/>
      <c r="K7550" s="114" t="s">
        <v>2902</v>
      </c>
      <c r="L7550" s="108"/>
      <c r="M7550" s="581">
        <v>55.15</v>
      </c>
    </row>
    <row r="7551" ht="15" spans="3:13">
      <c r="C7551" s="571"/>
      <c r="D7551" s="571"/>
      <c r="E7551" s="571"/>
      <c r="F7551" s="571"/>
      <c r="G7551" s="571"/>
      <c r="H7551" s="571"/>
      <c r="I7551" s="571"/>
      <c r="J7551" s="571"/>
      <c r="K7551" s="571"/>
      <c r="L7551" s="571"/>
      <c r="M7551" s="571"/>
    </row>
    <row r="7552" ht="15" customHeight="1" spans="3:13">
      <c r="C7552" s="76" t="s">
        <v>2612</v>
      </c>
      <c r="D7552" s="75" t="s">
        <v>63</v>
      </c>
      <c r="E7552" s="76" t="s">
        <v>64</v>
      </c>
      <c r="F7552" s="76" t="s">
        <v>65</v>
      </c>
      <c r="G7552" s="76" t="s">
        <v>2889</v>
      </c>
      <c r="H7552" s="76"/>
      <c r="I7552" s="77" t="s">
        <v>66</v>
      </c>
      <c r="J7552" s="75" t="s">
        <v>67</v>
      </c>
      <c r="K7552" s="75" t="s">
        <v>2890</v>
      </c>
      <c r="L7552" s="75" t="s">
        <v>68</v>
      </c>
      <c r="M7552" s="75" t="s">
        <v>70</v>
      </c>
    </row>
    <row r="7553" ht="35.05" customHeight="1" spans="3:13">
      <c r="C7553" s="569" t="s">
        <v>2891</v>
      </c>
      <c r="D7553" s="570" t="s">
        <v>2613</v>
      </c>
      <c r="E7553" s="569" t="s">
        <v>139</v>
      </c>
      <c r="F7553" s="569" t="s">
        <v>2614</v>
      </c>
      <c r="G7553" s="569" t="s">
        <v>3642</v>
      </c>
      <c r="H7553" s="569"/>
      <c r="I7553" s="577" t="s">
        <v>204</v>
      </c>
      <c r="J7553" s="578">
        <v>1</v>
      </c>
      <c r="K7553" s="579"/>
      <c r="L7553" s="579">
        <v>30.74</v>
      </c>
      <c r="M7553" s="579">
        <v>30.74</v>
      </c>
    </row>
    <row r="7554" ht="23.85" customHeight="1" spans="3:13">
      <c r="C7554" s="79" t="s">
        <v>2921</v>
      </c>
      <c r="D7554" s="78" t="s">
        <v>3146</v>
      </c>
      <c r="E7554" s="79" t="s">
        <v>139</v>
      </c>
      <c r="F7554" s="79" t="s">
        <v>3147</v>
      </c>
      <c r="G7554" s="79" t="s">
        <v>2928</v>
      </c>
      <c r="H7554" s="79"/>
      <c r="I7554" s="80" t="s">
        <v>2897</v>
      </c>
      <c r="J7554" s="583">
        <v>0.173</v>
      </c>
      <c r="K7554" s="583">
        <v>0</v>
      </c>
      <c r="L7554" s="92">
        <v>29.54</v>
      </c>
      <c r="M7554" s="92">
        <v>5.11</v>
      </c>
    </row>
    <row r="7555" ht="23.85" customHeight="1" spans="3:13">
      <c r="C7555" s="79" t="s">
        <v>2921</v>
      </c>
      <c r="D7555" s="78" t="s">
        <v>3144</v>
      </c>
      <c r="E7555" s="79" t="s">
        <v>139</v>
      </c>
      <c r="F7555" s="79" t="s">
        <v>3145</v>
      </c>
      <c r="G7555" s="79" t="s">
        <v>2928</v>
      </c>
      <c r="H7555" s="79"/>
      <c r="I7555" s="80" t="s">
        <v>2897</v>
      </c>
      <c r="J7555" s="583">
        <v>0.173</v>
      </c>
      <c r="K7555" s="583">
        <v>0</v>
      </c>
      <c r="L7555" s="92">
        <v>35.55</v>
      </c>
      <c r="M7555" s="92">
        <v>6.15</v>
      </c>
    </row>
    <row r="7556" ht="23.85" customHeight="1" spans="3:13">
      <c r="C7556" s="100" t="s">
        <v>2893</v>
      </c>
      <c r="D7556" s="99" t="s">
        <v>5034</v>
      </c>
      <c r="E7556" s="100" t="s">
        <v>139</v>
      </c>
      <c r="F7556" s="100" t="s">
        <v>5035</v>
      </c>
      <c r="G7556" s="100" t="s">
        <v>2961</v>
      </c>
      <c r="H7556" s="100"/>
      <c r="I7556" s="101" t="s">
        <v>204</v>
      </c>
      <c r="J7556" s="580">
        <v>1.039</v>
      </c>
      <c r="K7556" s="580">
        <v>0</v>
      </c>
      <c r="L7556" s="102">
        <v>18.75</v>
      </c>
      <c r="M7556" s="102">
        <v>19.48</v>
      </c>
    </row>
    <row r="7557" ht="25.5" spans="3:13">
      <c r="C7557" s="108"/>
      <c r="D7557" s="108"/>
      <c r="E7557" s="108"/>
      <c r="F7557" s="108"/>
      <c r="G7557" s="108"/>
      <c r="H7557" s="108" t="s">
        <v>2898</v>
      </c>
      <c r="I7557" s="581">
        <v>8</v>
      </c>
      <c r="J7557" s="108" t="s">
        <v>2899</v>
      </c>
      <c r="K7557" s="581">
        <v>0</v>
      </c>
      <c r="L7557" s="108" t="s">
        <v>2900</v>
      </c>
      <c r="M7557" s="581">
        <v>8</v>
      </c>
    </row>
    <row r="7558" ht="26.25" spans="3:13">
      <c r="C7558" s="108"/>
      <c r="D7558" s="108"/>
      <c r="E7558" s="108"/>
      <c r="F7558" s="108"/>
      <c r="G7558" s="108"/>
      <c r="H7558" s="108" t="s">
        <v>2901</v>
      </c>
      <c r="I7558" s="581">
        <v>7.83</v>
      </c>
      <c r="J7558" s="114"/>
      <c r="K7558" s="114" t="s">
        <v>2902</v>
      </c>
      <c r="L7558" s="108"/>
      <c r="M7558" s="581">
        <v>38.57</v>
      </c>
    </row>
    <row r="7559" ht="15" spans="3:13">
      <c r="C7559" s="571"/>
      <c r="D7559" s="571"/>
      <c r="E7559" s="571"/>
      <c r="F7559" s="571"/>
      <c r="G7559" s="571"/>
      <c r="H7559" s="571"/>
      <c r="I7559" s="571"/>
      <c r="J7559" s="571"/>
      <c r="K7559" s="571"/>
      <c r="L7559" s="571"/>
      <c r="M7559" s="571"/>
    </row>
    <row r="7560" ht="15" customHeight="1" spans="3:13">
      <c r="C7560" s="76" t="s">
        <v>2615</v>
      </c>
      <c r="D7560" s="75" t="s">
        <v>63</v>
      </c>
      <c r="E7560" s="76" t="s">
        <v>64</v>
      </c>
      <c r="F7560" s="76" t="s">
        <v>65</v>
      </c>
      <c r="G7560" s="76" t="s">
        <v>2889</v>
      </c>
      <c r="H7560" s="76"/>
      <c r="I7560" s="77" t="s">
        <v>66</v>
      </c>
      <c r="J7560" s="75" t="s">
        <v>67</v>
      </c>
      <c r="K7560" s="75" t="s">
        <v>2890</v>
      </c>
      <c r="L7560" s="75" t="s">
        <v>68</v>
      </c>
      <c r="M7560" s="75" t="s">
        <v>70</v>
      </c>
    </row>
    <row r="7561" ht="35.05" customHeight="1" spans="3:13">
      <c r="C7561" s="569" t="s">
        <v>2891</v>
      </c>
      <c r="D7561" s="570" t="s">
        <v>1870</v>
      </c>
      <c r="E7561" s="569" t="s">
        <v>139</v>
      </c>
      <c r="F7561" s="569" t="s">
        <v>1871</v>
      </c>
      <c r="G7561" s="569" t="s">
        <v>3642</v>
      </c>
      <c r="H7561" s="569"/>
      <c r="I7561" s="577" t="s">
        <v>204</v>
      </c>
      <c r="J7561" s="578">
        <v>1</v>
      </c>
      <c r="K7561" s="579"/>
      <c r="L7561" s="579">
        <v>53.47</v>
      </c>
      <c r="M7561" s="579">
        <v>53.47</v>
      </c>
    </row>
    <row r="7562" ht="23.85" customHeight="1" spans="3:13">
      <c r="C7562" s="79" t="s">
        <v>2921</v>
      </c>
      <c r="D7562" s="78" t="s">
        <v>3146</v>
      </c>
      <c r="E7562" s="79" t="s">
        <v>139</v>
      </c>
      <c r="F7562" s="79" t="s">
        <v>3147</v>
      </c>
      <c r="G7562" s="79" t="s">
        <v>2928</v>
      </c>
      <c r="H7562" s="79"/>
      <c r="I7562" s="80" t="s">
        <v>2897</v>
      </c>
      <c r="J7562" s="583">
        <v>0.26</v>
      </c>
      <c r="K7562" s="583">
        <v>0</v>
      </c>
      <c r="L7562" s="92">
        <v>29.54</v>
      </c>
      <c r="M7562" s="92">
        <v>7.68</v>
      </c>
    </row>
    <row r="7563" ht="23.85" customHeight="1" spans="3:13">
      <c r="C7563" s="79" t="s">
        <v>2921</v>
      </c>
      <c r="D7563" s="78" t="s">
        <v>3144</v>
      </c>
      <c r="E7563" s="79" t="s">
        <v>139</v>
      </c>
      <c r="F7563" s="79" t="s">
        <v>3145</v>
      </c>
      <c r="G7563" s="79" t="s">
        <v>2928</v>
      </c>
      <c r="H7563" s="79"/>
      <c r="I7563" s="80" t="s">
        <v>2897</v>
      </c>
      <c r="J7563" s="583">
        <v>0.26</v>
      </c>
      <c r="K7563" s="583">
        <v>0</v>
      </c>
      <c r="L7563" s="92">
        <v>35.55</v>
      </c>
      <c r="M7563" s="92">
        <v>9.24</v>
      </c>
    </row>
    <row r="7564" ht="23.85" customHeight="1" spans="3:13">
      <c r="C7564" s="100" t="s">
        <v>2893</v>
      </c>
      <c r="D7564" s="99" t="s">
        <v>4576</v>
      </c>
      <c r="E7564" s="100" t="s">
        <v>139</v>
      </c>
      <c r="F7564" s="100" t="s">
        <v>4577</v>
      </c>
      <c r="G7564" s="100" t="s">
        <v>2961</v>
      </c>
      <c r="H7564" s="100"/>
      <c r="I7564" s="101" t="s">
        <v>204</v>
      </c>
      <c r="J7564" s="580">
        <v>1.039</v>
      </c>
      <c r="K7564" s="580">
        <v>0</v>
      </c>
      <c r="L7564" s="102">
        <v>35.18</v>
      </c>
      <c r="M7564" s="102">
        <v>36.55</v>
      </c>
    </row>
    <row r="7565" ht="25.5" spans="3:13">
      <c r="C7565" s="108"/>
      <c r="D7565" s="108"/>
      <c r="E7565" s="108"/>
      <c r="F7565" s="108"/>
      <c r="G7565" s="108"/>
      <c r="H7565" s="108" t="s">
        <v>2898</v>
      </c>
      <c r="I7565" s="581">
        <v>12.04</v>
      </c>
      <c r="J7565" s="108" t="s">
        <v>2899</v>
      </c>
      <c r="K7565" s="581">
        <v>0</v>
      </c>
      <c r="L7565" s="108" t="s">
        <v>2900</v>
      </c>
      <c r="M7565" s="581">
        <v>12.04</v>
      </c>
    </row>
    <row r="7566" ht="26.25" spans="3:13">
      <c r="C7566" s="108"/>
      <c r="D7566" s="108"/>
      <c r="E7566" s="108"/>
      <c r="F7566" s="108"/>
      <c r="G7566" s="108"/>
      <c r="H7566" s="108" t="s">
        <v>2901</v>
      </c>
      <c r="I7566" s="581">
        <v>13.62</v>
      </c>
      <c r="J7566" s="114"/>
      <c r="K7566" s="114" t="s">
        <v>2902</v>
      </c>
      <c r="L7566" s="108"/>
      <c r="M7566" s="581">
        <v>67.09</v>
      </c>
    </row>
    <row r="7567" ht="15" spans="3:13">
      <c r="C7567" s="571"/>
      <c r="D7567" s="571"/>
      <c r="E7567" s="571"/>
      <c r="F7567" s="571"/>
      <c r="G7567" s="571"/>
      <c r="H7567" s="571"/>
      <c r="I7567" s="571"/>
      <c r="J7567" s="571"/>
      <c r="K7567" s="571"/>
      <c r="L7567" s="571"/>
      <c r="M7567" s="571"/>
    </row>
    <row r="7568" ht="15" customHeight="1" spans="3:13">
      <c r="C7568" s="76" t="s">
        <v>2616</v>
      </c>
      <c r="D7568" s="75" t="s">
        <v>63</v>
      </c>
      <c r="E7568" s="76" t="s">
        <v>64</v>
      </c>
      <c r="F7568" s="76" t="s">
        <v>65</v>
      </c>
      <c r="G7568" s="76" t="s">
        <v>2889</v>
      </c>
      <c r="H7568" s="76"/>
      <c r="I7568" s="77" t="s">
        <v>66</v>
      </c>
      <c r="J7568" s="75" t="s">
        <v>67</v>
      </c>
      <c r="K7568" s="75" t="s">
        <v>2890</v>
      </c>
      <c r="L7568" s="75" t="s">
        <v>68</v>
      </c>
      <c r="M7568" s="75" t="s">
        <v>70</v>
      </c>
    </row>
    <row r="7569" ht="35.05" customHeight="1" spans="3:13">
      <c r="C7569" s="569" t="s">
        <v>2891</v>
      </c>
      <c r="D7569" s="570" t="s">
        <v>2617</v>
      </c>
      <c r="E7569" s="569" t="s">
        <v>139</v>
      </c>
      <c r="F7569" s="569" t="s">
        <v>2618</v>
      </c>
      <c r="G7569" s="569" t="s">
        <v>3642</v>
      </c>
      <c r="H7569" s="569"/>
      <c r="I7569" s="577" t="s">
        <v>204</v>
      </c>
      <c r="J7569" s="578">
        <v>1</v>
      </c>
      <c r="K7569" s="579"/>
      <c r="L7569" s="579">
        <v>63.99</v>
      </c>
      <c r="M7569" s="579">
        <v>63.99</v>
      </c>
    </row>
    <row r="7570" ht="23.85" customHeight="1" spans="3:13">
      <c r="C7570" s="79" t="s">
        <v>2921</v>
      </c>
      <c r="D7570" s="78" t="s">
        <v>3146</v>
      </c>
      <c r="E7570" s="79" t="s">
        <v>139</v>
      </c>
      <c r="F7570" s="79" t="s">
        <v>3147</v>
      </c>
      <c r="G7570" s="79" t="s">
        <v>2928</v>
      </c>
      <c r="H7570" s="79"/>
      <c r="I7570" s="80" t="s">
        <v>2897</v>
      </c>
      <c r="J7570" s="583">
        <v>0.275</v>
      </c>
      <c r="K7570" s="583">
        <v>0</v>
      </c>
      <c r="L7570" s="92">
        <v>29.54</v>
      </c>
      <c r="M7570" s="92">
        <v>8.12</v>
      </c>
    </row>
    <row r="7571" ht="23.85" customHeight="1" spans="3:13">
      <c r="C7571" s="79" t="s">
        <v>2921</v>
      </c>
      <c r="D7571" s="78" t="s">
        <v>3144</v>
      </c>
      <c r="E7571" s="79" t="s">
        <v>139</v>
      </c>
      <c r="F7571" s="79" t="s">
        <v>3145</v>
      </c>
      <c r="G7571" s="79" t="s">
        <v>2928</v>
      </c>
      <c r="H7571" s="79"/>
      <c r="I7571" s="80" t="s">
        <v>2897</v>
      </c>
      <c r="J7571" s="583">
        <v>0.275</v>
      </c>
      <c r="K7571" s="583">
        <v>0</v>
      </c>
      <c r="L7571" s="92">
        <v>35.55</v>
      </c>
      <c r="M7571" s="92">
        <v>9.77</v>
      </c>
    </row>
    <row r="7572" ht="23.85" customHeight="1" spans="3:13">
      <c r="C7572" s="100" t="s">
        <v>2893</v>
      </c>
      <c r="D7572" s="99" t="s">
        <v>5036</v>
      </c>
      <c r="E7572" s="100" t="s">
        <v>139</v>
      </c>
      <c r="F7572" s="100" t="s">
        <v>5037</v>
      </c>
      <c r="G7572" s="100" t="s">
        <v>2961</v>
      </c>
      <c r="H7572" s="100"/>
      <c r="I7572" s="101" t="s">
        <v>204</v>
      </c>
      <c r="J7572" s="580">
        <v>1.039</v>
      </c>
      <c r="K7572" s="580">
        <v>0</v>
      </c>
      <c r="L7572" s="102">
        <v>44.37</v>
      </c>
      <c r="M7572" s="102">
        <v>46.1</v>
      </c>
    </row>
    <row r="7573" ht="25.5" spans="3:13">
      <c r="C7573" s="108"/>
      <c r="D7573" s="108"/>
      <c r="E7573" s="108"/>
      <c r="F7573" s="108"/>
      <c r="G7573" s="108"/>
      <c r="H7573" s="108" t="s">
        <v>2898</v>
      </c>
      <c r="I7573" s="581">
        <v>12.73</v>
      </c>
      <c r="J7573" s="108" t="s">
        <v>2899</v>
      </c>
      <c r="K7573" s="581">
        <v>0</v>
      </c>
      <c r="L7573" s="108" t="s">
        <v>2900</v>
      </c>
      <c r="M7573" s="581">
        <v>12.73</v>
      </c>
    </row>
    <row r="7574" ht="26.25" spans="3:13">
      <c r="C7574" s="108"/>
      <c r="D7574" s="108"/>
      <c r="E7574" s="108"/>
      <c r="F7574" s="108"/>
      <c r="G7574" s="108"/>
      <c r="H7574" s="108" t="s">
        <v>2901</v>
      </c>
      <c r="I7574" s="581">
        <v>16.31</v>
      </c>
      <c r="J7574" s="114"/>
      <c r="K7574" s="114" t="s">
        <v>2902</v>
      </c>
      <c r="L7574" s="108"/>
      <c r="M7574" s="581">
        <v>80.3</v>
      </c>
    </row>
    <row r="7575" ht="15" spans="3:13">
      <c r="C7575" s="571"/>
      <c r="D7575" s="571"/>
      <c r="E7575" s="571"/>
      <c r="F7575" s="571"/>
      <c r="G7575" s="571"/>
      <c r="H7575" s="571"/>
      <c r="I7575" s="571"/>
      <c r="J7575" s="571"/>
      <c r="K7575" s="571"/>
      <c r="L7575" s="571"/>
      <c r="M7575" s="571"/>
    </row>
    <row r="7576" ht="15" customHeight="1" spans="3:13">
      <c r="C7576" s="76" t="s">
        <v>2619</v>
      </c>
      <c r="D7576" s="75" t="s">
        <v>63</v>
      </c>
      <c r="E7576" s="76" t="s">
        <v>64</v>
      </c>
      <c r="F7576" s="76" t="s">
        <v>65</v>
      </c>
      <c r="G7576" s="76" t="s">
        <v>2889</v>
      </c>
      <c r="H7576" s="76"/>
      <c r="I7576" s="77" t="s">
        <v>66</v>
      </c>
      <c r="J7576" s="75" t="s">
        <v>67</v>
      </c>
      <c r="K7576" s="75" t="s">
        <v>2890</v>
      </c>
      <c r="L7576" s="75" t="s">
        <v>68</v>
      </c>
      <c r="M7576" s="75" t="s">
        <v>70</v>
      </c>
    </row>
    <row r="7577" ht="35.05" customHeight="1" spans="3:13">
      <c r="C7577" s="569" t="s">
        <v>2891</v>
      </c>
      <c r="D7577" s="570" t="s">
        <v>2620</v>
      </c>
      <c r="E7577" s="569" t="s">
        <v>139</v>
      </c>
      <c r="F7577" s="569" t="s">
        <v>2621</v>
      </c>
      <c r="G7577" s="569" t="s">
        <v>3642</v>
      </c>
      <c r="H7577" s="569"/>
      <c r="I7577" s="577" t="s">
        <v>204</v>
      </c>
      <c r="J7577" s="578">
        <v>1</v>
      </c>
      <c r="K7577" s="579"/>
      <c r="L7577" s="579">
        <v>72.55</v>
      </c>
      <c r="M7577" s="579">
        <v>72.55</v>
      </c>
    </row>
    <row r="7578" ht="23.85" customHeight="1" spans="3:13">
      <c r="C7578" s="79" t="s">
        <v>2921</v>
      </c>
      <c r="D7578" s="78" t="s">
        <v>3146</v>
      </c>
      <c r="E7578" s="79" t="s">
        <v>139</v>
      </c>
      <c r="F7578" s="79" t="s">
        <v>3147</v>
      </c>
      <c r="G7578" s="79" t="s">
        <v>2928</v>
      </c>
      <c r="H7578" s="79"/>
      <c r="I7578" s="80" t="s">
        <v>2897</v>
      </c>
      <c r="J7578" s="583">
        <v>0.292</v>
      </c>
      <c r="K7578" s="583">
        <v>0</v>
      </c>
      <c r="L7578" s="92">
        <v>29.54</v>
      </c>
      <c r="M7578" s="92">
        <v>8.62</v>
      </c>
    </row>
    <row r="7579" ht="23.85" customHeight="1" spans="3:13">
      <c r="C7579" s="79" t="s">
        <v>2921</v>
      </c>
      <c r="D7579" s="78" t="s">
        <v>3144</v>
      </c>
      <c r="E7579" s="79" t="s">
        <v>139</v>
      </c>
      <c r="F7579" s="79" t="s">
        <v>3145</v>
      </c>
      <c r="G7579" s="79" t="s">
        <v>2928</v>
      </c>
      <c r="H7579" s="79"/>
      <c r="I7579" s="80" t="s">
        <v>2897</v>
      </c>
      <c r="J7579" s="583">
        <v>0.292</v>
      </c>
      <c r="K7579" s="583">
        <v>0</v>
      </c>
      <c r="L7579" s="92">
        <v>35.55</v>
      </c>
      <c r="M7579" s="92">
        <v>10.38</v>
      </c>
    </row>
    <row r="7580" ht="23.85" customHeight="1" spans="3:13">
      <c r="C7580" s="100" t="s">
        <v>2893</v>
      </c>
      <c r="D7580" s="99" t="s">
        <v>5038</v>
      </c>
      <c r="E7580" s="100" t="s">
        <v>139</v>
      </c>
      <c r="F7580" s="100" t="s">
        <v>5039</v>
      </c>
      <c r="G7580" s="100" t="s">
        <v>2961</v>
      </c>
      <c r="H7580" s="100"/>
      <c r="I7580" s="101" t="s">
        <v>204</v>
      </c>
      <c r="J7580" s="580">
        <v>1.039</v>
      </c>
      <c r="K7580" s="580">
        <v>0</v>
      </c>
      <c r="L7580" s="102">
        <v>51.54</v>
      </c>
      <c r="M7580" s="102">
        <v>53.55</v>
      </c>
    </row>
    <row r="7581" ht="25.5" spans="3:13">
      <c r="C7581" s="108"/>
      <c r="D7581" s="108"/>
      <c r="E7581" s="108"/>
      <c r="F7581" s="108"/>
      <c r="G7581" s="108"/>
      <c r="H7581" s="108" t="s">
        <v>2898</v>
      </c>
      <c r="I7581" s="581">
        <v>13.52</v>
      </c>
      <c r="J7581" s="108" t="s">
        <v>2899</v>
      </c>
      <c r="K7581" s="581">
        <v>0</v>
      </c>
      <c r="L7581" s="108" t="s">
        <v>2900</v>
      </c>
      <c r="M7581" s="581">
        <v>13.52</v>
      </c>
    </row>
    <row r="7582" ht="26.25" spans="3:13">
      <c r="C7582" s="108"/>
      <c r="D7582" s="108"/>
      <c r="E7582" s="108"/>
      <c r="F7582" s="108"/>
      <c r="G7582" s="108"/>
      <c r="H7582" s="108" t="s">
        <v>2901</v>
      </c>
      <c r="I7582" s="581">
        <v>18.49</v>
      </c>
      <c r="J7582" s="114"/>
      <c r="K7582" s="114" t="s">
        <v>2902</v>
      </c>
      <c r="L7582" s="108"/>
      <c r="M7582" s="581">
        <v>91.04</v>
      </c>
    </row>
    <row r="7583" ht="15" spans="3:13">
      <c r="C7583" s="571"/>
      <c r="D7583" s="571"/>
      <c r="E7583" s="571"/>
      <c r="F7583" s="571"/>
      <c r="G7583" s="571"/>
      <c r="H7583" s="571"/>
      <c r="I7583" s="571"/>
      <c r="J7583" s="571"/>
      <c r="K7583" s="571"/>
      <c r="L7583" s="571"/>
      <c r="M7583" s="571"/>
    </row>
    <row r="7584" ht="15" customHeight="1" spans="3:13">
      <c r="C7584" s="76" t="s">
        <v>2622</v>
      </c>
      <c r="D7584" s="75" t="s">
        <v>63</v>
      </c>
      <c r="E7584" s="76" t="s">
        <v>64</v>
      </c>
      <c r="F7584" s="76" t="s">
        <v>65</v>
      </c>
      <c r="G7584" s="76" t="s">
        <v>2889</v>
      </c>
      <c r="H7584" s="76"/>
      <c r="I7584" s="77" t="s">
        <v>66</v>
      </c>
      <c r="J7584" s="75" t="s">
        <v>67</v>
      </c>
      <c r="K7584" s="75" t="s">
        <v>2890</v>
      </c>
      <c r="L7584" s="75" t="s">
        <v>68</v>
      </c>
      <c r="M7584" s="75" t="s">
        <v>70</v>
      </c>
    </row>
    <row r="7585" ht="35.05" customHeight="1" spans="3:13">
      <c r="C7585" s="569" t="s">
        <v>2891</v>
      </c>
      <c r="D7585" s="570" t="s">
        <v>2623</v>
      </c>
      <c r="E7585" s="569" t="s">
        <v>139</v>
      </c>
      <c r="F7585" s="569" t="s">
        <v>2624</v>
      </c>
      <c r="G7585" s="569" t="s">
        <v>3642</v>
      </c>
      <c r="H7585" s="569"/>
      <c r="I7585" s="577" t="s">
        <v>204</v>
      </c>
      <c r="J7585" s="578">
        <v>1</v>
      </c>
      <c r="K7585" s="579"/>
      <c r="L7585" s="579">
        <v>97.58</v>
      </c>
      <c r="M7585" s="579">
        <v>97.58</v>
      </c>
    </row>
    <row r="7586" ht="23.85" customHeight="1" spans="3:13">
      <c r="C7586" s="79" t="s">
        <v>2921</v>
      </c>
      <c r="D7586" s="78" t="s">
        <v>3146</v>
      </c>
      <c r="E7586" s="79" t="s">
        <v>139</v>
      </c>
      <c r="F7586" s="79" t="s">
        <v>3147</v>
      </c>
      <c r="G7586" s="79" t="s">
        <v>2928</v>
      </c>
      <c r="H7586" s="79"/>
      <c r="I7586" s="80" t="s">
        <v>2897</v>
      </c>
      <c r="J7586" s="583">
        <v>0.313</v>
      </c>
      <c r="K7586" s="583">
        <v>0</v>
      </c>
      <c r="L7586" s="92">
        <v>29.54</v>
      </c>
      <c r="M7586" s="92">
        <v>9.24</v>
      </c>
    </row>
    <row r="7587" ht="23.85" customHeight="1" spans="3:13">
      <c r="C7587" s="79" t="s">
        <v>2921</v>
      </c>
      <c r="D7587" s="78" t="s">
        <v>3144</v>
      </c>
      <c r="E7587" s="79" t="s">
        <v>139</v>
      </c>
      <c r="F7587" s="79" t="s">
        <v>3145</v>
      </c>
      <c r="G7587" s="79" t="s">
        <v>2928</v>
      </c>
      <c r="H7587" s="79"/>
      <c r="I7587" s="80" t="s">
        <v>2897</v>
      </c>
      <c r="J7587" s="583">
        <v>0.313</v>
      </c>
      <c r="K7587" s="583">
        <v>0</v>
      </c>
      <c r="L7587" s="92">
        <v>35.55</v>
      </c>
      <c r="M7587" s="92">
        <v>11.12</v>
      </c>
    </row>
    <row r="7588" ht="23.85" customHeight="1" spans="3:13">
      <c r="C7588" s="100" t="s">
        <v>2893</v>
      </c>
      <c r="D7588" s="99" t="s">
        <v>5040</v>
      </c>
      <c r="E7588" s="100" t="s">
        <v>139</v>
      </c>
      <c r="F7588" s="100" t="s">
        <v>5041</v>
      </c>
      <c r="G7588" s="100" t="s">
        <v>2961</v>
      </c>
      <c r="H7588" s="100"/>
      <c r="I7588" s="101" t="s">
        <v>204</v>
      </c>
      <c r="J7588" s="580">
        <v>1.039</v>
      </c>
      <c r="K7588" s="580">
        <v>0</v>
      </c>
      <c r="L7588" s="102">
        <v>74.33</v>
      </c>
      <c r="M7588" s="102">
        <v>77.22</v>
      </c>
    </row>
    <row r="7589" ht="25.5" spans="3:13">
      <c r="C7589" s="108"/>
      <c r="D7589" s="108"/>
      <c r="E7589" s="108"/>
      <c r="F7589" s="108"/>
      <c r="G7589" s="108"/>
      <c r="H7589" s="108" t="s">
        <v>2898</v>
      </c>
      <c r="I7589" s="581">
        <v>14.5</v>
      </c>
      <c r="J7589" s="108" t="s">
        <v>2899</v>
      </c>
      <c r="K7589" s="581">
        <v>0</v>
      </c>
      <c r="L7589" s="108" t="s">
        <v>2900</v>
      </c>
      <c r="M7589" s="581">
        <v>14.5</v>
      </c>
    </row>
    <row r="7590" ht="26.25" spans="3:13">
      <c r="C7590" s="108"/>
      <c r="D7590" s="108"/>
      <c r="E7590" s="108"/>
      <c r="F7590" s="108"/>
      <c r="G7590" s="108"/>
      <c r="H7590" s="108" t="s">
        <v>2901</v>
      </c>
      <c r="I7590" s="581">
        <v>24.87</v>
      </c>
      <c r="J7590" s="114"/>
      <c r="K7590" s="114" t="s">
        <v>2902</v>
      </c>
      <c r="L7590" s="108"/>
      <c r="M7590" s="581">
        <v>122.45</v>
      </c>
    </row>
    <row r="7591" ht="15" spans="3:13">
      <c r="C7591" s="571"/>
      <c r="D7591" s="571"/>
      <c r="E7591" s="571"/>
      <c r="F7591" s="571"/>
      <c r="G7591" s="571"/>
      <c r="H7591" s="571"/>
      <c r="I7591" s="571"/>
      <c r="J7591" s="571"/>
      <c r="K7591" s="571"/>
      <c r="L7591" s="571"/>
      <c r="M7591" s="571"/>
    </row>
    <row r="7592" ht="15" customHeight="1" spans="3:13">
      <c r="C7592" s="76" t="s">
        <v>2625</v>
      </c>
      <c r="D7592" s="75" t="s">
        <v>63</v>
      </c>
      <c r="E7592" s="76" t="s">
        <v>64</v>
      </c>
      <c r="F7592" s="76" t="s">
        <v>65</v>
      </c>
      <c r="G7592" s="76" t="s">
        <v>2889</v>
      </c>
      <c r="H7592" s="76"/>
      <c r="I7592" s="77" t="s">
        <v>66</v>
      </c>
      <c r="J7592" s="75" t="s">
        <v>67</v>
      </c>
      <c r="K7592" s="75" t="s">
        <v>2890</v>
      </c>
      <c r="L7592" s="75" t="s">
        <v>68</v>
      </c>
      <c r="M7592" s="75" t="s">
        <v>70</v>
      </c>
    </row>
    <row r="7593" ht="35.05" customHeight="1" spans="3:13">
      <c r="C7593" s="569" t="s">
        <v>2891</v>
      </c>
      <c r="D7593" s="570" t="s">
        <v>2626</v>
      </c>
      <c r="E7593" s="569" t="s">
        <v>139</v>
      </c>
      <c r="F7593" s="569" t="s">
        <v>2627</v>
      </c>
      <c r="G7593" s="569" t="s">
        <v>3642</v>
      </c>
      <c r="H7593" s="569"/>
      <c r="I7593" s="577" t="s">
        <v>204</v>
      </c>
      <c r="J7593" s="578">
        <v>1</v>
      </c>
      <c r="K7593" s="579"/>
      <c r="L7593" s="579">
        <v>118.28</v>
      </c>
      <c r="M7593" s="579">
        <v>118.28</v>
      </c>
    </row>
    <row r="7594" ht="23.85" customHeight="1" spans="3:13">
      <c r="C7594" s="79" t="s">
        <v>2921</v>
      </c>
      <c r="D7594" s="78" t="s">
        <v>3144</v>
      </c>
      <c r="E7594" s="79" t="s">
        <v>139</v>
      </c>
      <c r="F7594" s="79" t="s">
        <v>3145</v>
      </c>
      <c r="G7594" s="79" t="s">
        <v>2928</v>
      </c>
      <c r="H7594" s="79"/>
      <c r="I7594" s="80" t="s">
        <v>2897</v>
      </c>
      <c r="J7594" s="583">
        <v>0.345</v>
      </c>
      <c r="K7594" s="583">
        <v>0</v>
      </c>
      <c r="L7594" s="92">
        <v>35.55</v>
      </c>
      <c r="M7594" s="92">
        <v>12.26</v>
      </c>
    </row>
    <row r="7595" ht="23.85" customHeight="1" spans="3:13">
      <c r="C7595" s="79" t="s">
        <v>2921</v>
      </c>
      <c r="D7595" s="78" t="s">
        <v>3146</v>
      </c>
      <c r="E7595" s="79" t="s">
        <v>139</v>
      </c>
      <c r="F7595" s="79" t="s">
        <v>3147</v>
      </c>
      <c r="G7595" s="79" t="s">
        <v>2928</v>
      </c>
      <c r="H7595" s="79"/>
      <c r="I7595" s="80" t="s">
        <v>2897</v>
      </c>
      <c r="J7595" s="583">
        <v>0.345</v>
      </c>
      <c r="K7595" s="583">
        <v>0</v>
      </c>
      <c r="L7595" s="92">
        <v>29.54</v>
      </c>
      <c r="M7595" s="92">
        <v>10.19</v>
      </c>
    </row>
    <row r="7596" ht="23.85" customHeight="1" spans="3:13">
      <c r="C7596" s="100" t="s">
        <v>2893</v>
      </c>
      <c r="D7596" s="99" t="s">
        <v>5042</v>
      </c>
      <c r="E7596" s="100" t="s">
        <v>139</v>
      </c>
      <c r="F7596" s="100" t="s">
        <v>5043</v>
      </c>
      <c r="G7596" s="100" t="s">
        <v>2961</v>
      </c>
      <c r="H7596" s="100"/>
      <c r="I7596" s="101" t="s">
        <v>204</v>
      </c>
      <c r="J7596" s="580">
        <v>1.039</v>
      </c>
      <c r="K7596" s="580">
        <v>0</v>
      </c>
      <c r="L7596" s="102">
        <v>92.24</v>
      </c>
      <c r="M7596" s="102">
        <v>95.83</v>
      </c>
    </row>
    <row r="7597" ht="25.5" spans="3:13">
      <c r="C7597" s="108"/>
      <c r="D7597" s="108"/>
      <c r="E7597" s="108"/>
      <c r="F7597" s="108"/>
      <c r="G7597" s="108"/>
      <c r="H7597" s="108" t="s">
        <v>2898</v>
      </c>
      <c r="I7597" s="581">
        <v>15.98</v>
      </c>
      <c r="J7597" s="108" t="s">
        <v>2899</v>
      </c>
      <c r="K7597" s="581">
        <v>0</v>
      </c>
      <c r="L7597" s="108" t="s">
        <v>2900</v>
      </c>
      <c r="M7597" s="581">
        <v>15.98</v>
      </c>
    </row>
    <row r="7598" ht="26.25" spans="3:13">
      <c r="C7598" s="108"/>
      <c r="D7598" s="108"/>
      <c r="E7598" s="108"/>
      <c r="F7598" s="108"/>
      <c r="G7598" s="108"/>
      <c r="H7598" s="108" t="s">
        <v>2901</v>
      </c>
      <c r="I7598" s="581">
        <v>30.14</v>
      </c>
      <c r="J7598" s="114"/>
      <c r="K7598" s="114" t="s">
        <v>2902</v>
      </c>
      <c r="L7598" s="108"/>
      <c r="M7598" s="581">
        <v>148.42</v>
      </c>
    </row>
    <row r="7599" ht="15" spans="3:13">
      <c r="C7599" s="571"/>
      <c r="D7599" s="571"/>
      <c r="E7599" s="571"/>
      <c r="F7599" s="571"/>
      <c r="G7599" s="571"/>
      <c r="H7599" s="571"/>
      <c r="I7599" s="571"/>
      <c r="J7599" s="571"/>
      <c r="K7599" s="571"/>
      <c r="L7599" s="571"/>
      <c r="M7599" s="571"/>
    </row>
    <row r="7600" ht="15" customHeight="1" spans="3:13">
      <c r="C7600" s="76" t="s">
        <v>2628</v>
      </c>
      <c r="D7600" s="75" t="s">
        <v>63</v>
      </c>
      <c r="E7600" s="76" t="s">
        <v>64</v>
      </c>
      <c r="F7600" s="76" t="s">
        <v>65</v>
      </c>
      <c r="G7600" s="76" t="s">
        <v>2889</v>
      </c>
      <c r="H7600" s="76"/>
      <c r="I7600" s="77" t="s">
        <v>66</v>
      </c>
      <c r="J7600" s="75" t="s">
        <v>67</v>
      </c>
      <c r="K7600" s="75" t="s">
        <v>2890</v>
      </c>
      <c r="L7600" s="75" t="s">
        <v>68</v>
      </c>
      <c r="M7600" s="75" t="s">
        <v>70</v>
      </c>
    </row>
    <row r="7601" ht="35.05" customHeight="1" spans="3:13">
      <c r="C7601" s="569" t="s">
        <v>2891</v>
      </c>
      <c r="D7601" s="570" t="s">
        <v>2629</v>
      </c>
      <c r="E7601" s="569" t="s">
        <v>132</v>
      </c>
      <c r="F7601" s="569" t="s">
        <v>2630</v>
      </c>
      <c r="G7601" s="569" t="s">
        <v>3129</v>
      </c>
      <c r="H7601" s="569"/>
      <c r="I7601" s="577" t="s">
        <v>204</v>
      </c>
      <c r="J7601" s="578">
        <v>1</v>
      </c>
      <c r="K7601" s="579"/>
      <c r="L7601" s="579">
        <v>312.85</v>
      </c>
      <c r="M7601" s="579">
        <v>312.85</v>
      </c>
    </row>
    <row r="7602" ht="23.85" customHeight="1" spans="3:13">
      <c r="C7602" s="79" t="s">
        <v>2921</v>
      </c>
      <c r="D7602" s="78" t="s">
        <v>3144</v>
      </c>
      <c r="E7602" s="79" t="s">
        <v>139</v>
      </c>
      <c r="F7602" s="79" t="s">
        <v>3145</v>
      </c>
      <c r="G7602" s="79" t="s">
        <v>2928</v>
      </c>
      <c r="H7602" s="79"/>
      <c r="I7602" s="80" t="s">
        <v>2897</v>
      </c>
      <c r="J7602" s="583">
        <v>0.376</v>
      </c>
      <c r="K7602" s="583">
        <v>0</v>
      </c>
      <c r="L7602" s="92">
        <v>35.55</v>
      </c>
      <c r="M7602" s="92">
        <v>13.36</v>
      </c>
    </row>
    <row r="7603" ht="23.85" customHeight="1" spans="3:13">
      <c r="C7603" s="79" t="s">
        <v>2921</v>
      </c>
      <c r="D7603" s="78" t="s">
        <v>3146</v>
      </c>
      <c r="E7603" s="79" t="s">
        <v>139</v>
      </c>
      <c r="F7603" s="79" t="s">
        <v>3147</v>
      </c>
      <c r="G7603" s="79" t="s">
        <v>2928</v>
      </c>
      <c r="H7603" s="79"/>
      <c r="I7603" s="80" t="s">
        <v>2897</v>
      </c>
      <c r="J7603" s="583">
        <v>0.376</v>
      </c>
      <c r="K7603" s="583">
        <v>0</v>
      </c>
      <c r="L7603" s="92">
        <v>29.54</v>
      </c>
      <c r="M7603" s="92">
        <v>11.1</v>
      </c>
    </row>
    <row r="7604" ht="23.85" customHeight="1" spans="3:13">
      <c r="C7604" s="100" t="s">
        <v>2893</v>
      </c>
      <c r="D7604" s="99" t="s">
        <v>5044</v>
      </c>
      <c r="E7604" s="100" t="s">
        <v>139</v>
      </c>
      <c r="F7604" s="100" t="s">
        <v>5045</v>
      </c>
      <c r="G7604" s="100" t="s">
        <v>2961</v>
      </c>
      <c r="H7604" s="100"/>
      <c r="I7604" s="101" t="s">
        <v>204</v>
      </c>
      <c r="J7604" s="580">
        <v>1.039</v>
      </c>
      <c r="K7604" s="580">
        <v>0</v>
      </c>
      <c r="L7604" s="102">
        <v>277.57</v>
      </c>
      <c r="M7604" s="102">
        <v>288.39</v>
      </c>
    </row>
    <row r="7605" ht="25.5" spans="3:13">
      <c r="C7605" s="108"/>
      <c r="D7605" s="108"/>
      <c r="E7605" s="108"/>
      <c r="F7605" s="108"/>
      <c r="G7605" s="108"/>
      <c r="H7605" s="108" t="s">
        <v>2898</v>
      </c>
      <c r="I7605" s="581">
        <v>17.42</v>
      </c>
      <c r="J7605" s="108" t="s">
        <v>2899</v>
      </c>
      <c r="K7605" s="581">
        <v>0</v>
      </c>
      <c r="L7605" s="108" t="s">
        <v>2900</v>
      </c>
      <c r="M7605" s="581">
        <v>17.42</v>
      </c>
    </row>
    <row r="7606" ht="26.25" spans="3:13">
      <c r="C7606" s="108"/>
      <c r="D7606" s="108"/>
      <c r="E7606" s="108"/>
      <c r="F7606" s="108"/>
      <c r="G7606" s="108"/>
      <c r="H7606" s="108" t="s">
        <v>2901</v>
      </c>
      <c r="I7606" s="581">
        <v>79.74</v>
      </c>
      <c r="J7606" s="114"/>
      <c r="K7606" s="114" t="s">
        <v>2902</v>
      </c>
      <c r="L7606" s="108"/>
      <c r="M7606" s="581">
        <v>392.59</v>
      </c>
    </row>
    <row r="7607" ht="15" spans="3:13">
      <c r="C7607" s="571"/>
      <c r="D7607" s="571"/>
      <c r="E7607" s="571"/>
      <c r="F7607" s="571"/>
      <c r="G7607" s="571"/>
      <c r="H7607" s="571"/>
      <c r="I7607" s="571"/>
      <c r="J7607" s="571"/>
      <c r="K7607" s="571"/>
      <c r="L7607" s="571"/>
      <c r="M7607" s="571"/>
    </row>
    <row r="7608" ht="15" customHeight="1" spans="3:13">
      <c r="C7608" s="76" t="s">
        <v>2631</v>
      </c>
      <c r="D7608" s="75" t="s">
        <v>63</v>
      </c>
      <c r="E7608" s="76" t="s">
        <v>64</v>
      </c>
      <c r="F7608" s="76" t="s">
        <v>65</v>
      </c>
      <c r="G7608" s="76" t="s">
        <v>2889</v>
      </c>
      <c r="H7608" s="76"/>
      <c r="I7608" s="77" t="s">
        <v>66</v>
      </c>
      <c r="J7608" s="75" t="s">
        <v>67</v>
      </c>
      <c r="K7608" s="75" t="s">
        <v>2890</v>
      </c>
      <c r="L7608" s="75" t="s">
        <v>68</v>
      </c>
      <c r="M7608" s="75" t="s">
        <v>70</v>
      </c>
    </row>
    <row r="7609" ht="35.05" customHeight="1" spans="3:13">
      <c r="C7609" s="569" t="s">
        <v>2891</v>
      </c>
      <c r="D7609" s="570" t="s">
        <v>2632</v>
      </c>
      <c r="E7609" s="569" t="s">
        <v>132</v>
      </c>
      <c r="F7609" s="569" t="s">
        <v>2633</v>
      </c>
      <c r="G7609" s="569" t="s">
        <v>3129</v>
      </c>
      <c r="H7609" s="569"/>
      <c r="I7609" s="577" t="s">
        <v>204</v>
      </c>
      <c r="J7609" s="578">
        <v>1</v>
      </c>
      <c r="K7609" s="579"/>
      <c r="L7609" s="579">
        <v>262.72</v>
      </c>
      <c r="M7609" s="579">
        <v>262.72</v>
      </c>
    </row>
    <row r="7610" ht="23.85" customHeight="1" spans="3:13">
      <c r="C7610" s="79" t="s">
        <v>2921</v>
      </c>
      <c r="D7610" s="78" t="s">
        <v>3146</v>
      </c>
      <c r="E7610" s="79" t="s">
        <v>139</v>
      </c>
      <c r="F7610" s="79" t="s">
        <v>3147</v>
      </c>
      <c r="G7610" s="79" t="s">
        <v>2928</v>
      </c>
      <c r="H7610" s="79"/>
      <c r="I7610" s="80" t="s">
        <v>2897</v>
      </c>
      <c r="J7610" s="583">
        <v>0.18</v>
      </c>
      <c r="K7610" s="583">
        <v>0</v>
      </c>
      <c r="L7610" s="92">
        <v>29.54</v>
      </c>
      <c r="M7610" s="92">
        <v>5.31</v>
      </c>
    </row>
    <row r="7611" ht="23.85" customHeight="1" spans="3:13">
      <c r="C7611" s="79" t="s">
        <v>2921</v>
      </c>
      <c r="D7611" s="78" t="s">
        <v>3634</v>
      </c>
      <c r="E7611" s="79" t="s">
        <v>139</v>
      </c>
      <c r="F7611" s="79" t="s">
        <v>3635</v>
      </c>
      <c r="G7611" s="79" t="s">
        <v>2928</v>
      </c>
      <c r="H7611" s="79"/>
      <c r="I7611" s="80" t="s">
        <v>2897</v>
      </c>
      <c r="J7611" s="583">
        <v>0.18</v>
      </c>
      <c r="K7611" s="583">
        <v>0</v>
      </c>
      <c r="L7611" s="92">
        <v>44.92</v>
      </c>
      <c r="M7611" s="92">
        <v>8.08</v>
      </c>
    </row>
    <row r="7612" ht="23.85" customHeight="1" spans="3:13">
      <c r="C7612" s="79" t="s">
        <v>2921</v>
      </c>
      <c r="D7612" s="78" t="s">
        <v>3144</v>
      </c>
      <c r="E7612" s="79" t="s">
        <v>139</v>
      </c>
      <c r="F7612" s="79" t="s">
        <v>3145</v>
      </c>
      <c r="G7612" s="79" t="s">
        <v>2928</v>
      </c>
      <c r="H7612" s="79"/>
      <c r="I7612" s="80" t="s">
        <v>2897</v>
      </c>
      <c r="J7612" s="583">
        <v>0.18</v>
      </c>
      <c r="K7612" s="583">
        <v>0</v>
      </c>
      <c r="L7612" s="92">
        <v>35.55</v>
      </c>
      <c r="M7612" s="92">
        <v>6.39</v>
      </c>
    </row>
    <row r="7613" ht="23.85" customHeight="1" spans="3:13">
      <c r="C7613" s="100" t="s">
        <v>2893</v>
      </c>
      <c r="D7613" s="99" t="s">
        <v>5046</v>
      </c>
      <c r="E7613" s="100" t="s">
        <v>139</v>
      </c>
      <c r="F7613" s="100" t="s">
        <v>5047</v>
      </c>
      <c r="G7613" s="100" t="s">
        <v>2961</v>
      </c>
      <c r="H7613" s="100"/>
      <c r="I7613" s="101" t="s">
        <v>204</v>
      </c>
      <c r="J7613" s="580">
        <v>1.039</v>
      </c>
      <c r="K7613" s="580">
        <v>0</v>
      </c>
      <c r="L7613" s="102">
        <v>233.83</v>
      </c>
      <c r="M7613" s="102">
        <v>242.94</v>
      </c>
    </row>
    <row r="7614" ht="25.5" spans="3:13">
      <c r="C7614" s="108"/>
      <c r="D7614" s="108"/>
      <c r="E7614" s="108"/>
      <c r="F7614" s="108"/>
      <c r="G7614" s="108"/>
      <c r="H7614" s="108" t="s">
        <v>2898</v>
      </c>
      <c r="I7614" s="581">
        <v>14.45</v>
      </c>
      <c r="J7614" s="108" t="s">
        <v>2899</v>
      </c>
      <c r="K7614" s="581">
        <v>0</v>
      </c>
      <c r="L7614" s="108" t="s">
        <v>2900</v>
      </c>
      <c r="M7614" s="581">
        <v>14.45</v>
      </c>
    </row>
    <row r="7615" ht="26.25" spans="3:13">
      <c r="C7615" s="108"/>
      <c r="D7615" s="108"/>
      <c r="E7615" s="108"/>
      <c r="F7615" s="108"/>
      <c r="G7615" s="108"/>
      <c r="H7615" s="108" t="s">
        <v>2901</v>
      </c>
      <c r="I7615" s="581">
        <v>66.96</v>
      </c>
      <c r="J7615" s="114"/>
      <c r="K7615" s="114" t="s">
        <v>2902</v>
      </c>
      <c r="L7615" s="108"/>
      <c r="M7615" s="581">
        <v>329.68</v>
      </c>
    </row>
    <row r="7616" ht="15" spans="3:13">
      <c r="C7616" s="571"/>
      <c r="D7616" s="571"/>
      <c r="E7616" s="571"/>
      <c r="F7616" s="571"/>
      <c r="G7616" s="571"/>
      <c r="H7616" s="571"/>
      <c r="I7616" s="571"/>
      <c r="J7616" s="571"/>
      <c r="K7616" s="571"/>
      <c r="L7616" s="571"/>
      <c r="M7616" s="571"/>
    </row>
    <row r="7617" ht="15" customHeight="1" spans="3:13">
      <c r="C7617" s="76" t="s">
        <v>2634</v>
      </c>
      <c r="D7617" s="75" t="s">
        <v>63</v>
      </c>
      <c r="E7617" s="76" t="s">
        <v>64</v>
      </c>
      <c r="F7617" s="76" t="s">
        <v>65</v>
      </c>
      <c r="G7617" s="76" t="s">
        <v>2889</v>
      </c>
      <c r="H7617" s="76"/>
      <c r="I7617" s="77" t="s">
        <v>66</v>
      </c>
      <c r="J7617" s="75" t="s">
        <v>67</v>
      </c>
      <c r="K7617" s="75" t="s">
        <v>2890</v>
      </c>
      <c r="L7617" s="75" t="s">
        <v>68</v>
      </c>
      <c r="M7617" s="75" t="s">
        <v>70</v>
      </c>
    </row>
    <row r="7618" ht="35.05" customHeight="1" spans="3:13">
      <c r="C7618" s="569" t="s">
        <v>2891</v>
      </c>
      <c r="D7618" s="570" t="s">
        <v>762</v>
      </c>
      <c r="E7618" s="569" t="s">
        <v>132</v>
      </c>
      <c r="F7618" s="569" t="s">
        <v>763</v>
      </c>
      <c r="G7618" s="569" t="s">
        <v>3129</v>
      </c>
      <c r="H7618" s="569"/>
      <c r="I7618" s="577" t="s">
        <v>204</v>
      </c>
      <c r="J7618" s="578">
        <v>1</v>
      </c>
      <c r="K7618" s="579"/>
      <c r="L7618" s="579">
        <v>373.26</v>
      </c>
      <c r="M7618" s="579">
        <v>373.26</v>
      </c>
    </row>
    <row r="7619" ht="23.85" customHeight="1" spans="3:13">
      <c r="C7619" s="79" t="s">
        <v>2921</v>
      </c>
      <c r="D7619" s="78" t="s">
        <v>3144</v>
      </c>
      <c r="E7619" s="79" t="s">
        <v>139</v>
      </c>
      <c r="F7619" s="79" t="s">
        <v>3145</v>
      </c>
      <c r="G7619" s="79" t="s">
        <v>2928</v>
      </c>
      <c r="H7619" s="79"/>
      <c r="I7619" s="80" t="s">
        <v>2897</v>
      </c>
      <c r="J7619" s="583">
        <v>0.18</v>
      </c>
      <c r="K7619" s="583">
        <v>0</v>
      </c>
      <c r="L7619" s="92">
        <v>35.55</v>
      </c>
      <c r="M7619" s="92">
        <v>6.39</v>
      </c>
    </row>
    <row r="7620" ht="23.85" customHeight="1" spans="3:13">
      <c r="C7620" s="79" t="s">
        <v>2921</v>
      </c>
      <c r="D7620" s="78" t="s">
        <v>3146</v>
      </c>
      <c r="E7620" s="79" t="s">
        <v>139</v>
      </c>
      <c r="F7620" s="79" t="s">
        <v>3147</v>
      </c>
      <c r="G7620" s="79" t="s">
        <v>2928</v>
      </c>
      <c r="H7620" s="79"/>
      <c r="I7620" s="80" t="s">
        <v>2897</v>
      </c>
      <c r="J7620" s="583">
        <v>0.18</v>
      </c>
      <c r="K7620" s="583">
        <v>0</v>
      </c>
      <c r="L7620" s="92">
        <v>29.54</v>
      </c>
      <c r="M7620" s="92">
        <v>5.31</v>
      </c>
    </row>
    <row r="7621" ht="23.85" customHeight="1" spans="3:13">
      <c r="C7621" s="79" t="s">
        <v>2921</v>
      </c>
      <c r="D7621" s="78" t="s">
        <v>3634</v>
      </c>
      <c r="E7621" s="79" t="s">
        <v>139</v>
      </c>
      <c r="F7621" s="79" t="s">
        <v>3635</v>
      </c>
      <c r="G7621" s="79" t="s">
        <v>2928</v>
      </c>
      <c r="H7621" s="79"/>
      <c r="I7621" s="80" t="s">
        <v>2897</v>
      </c>
      <c r="J7621" s="583">
        <v>0.18</v>
      </c>
      <c r="K7621" s="583">
        <v>0</v>
      </c>
      <c r="L7621" s="92">
        <v>44.92</v>
      </c>
      <c r="M7621" s="92">
        <v>8.08</v>
      </c>
    </row>
    <row r="7622" ht="23.85" customHeight="1" spans="3:13">
      <c r="C7622" s="100" t="s">
        <v>2893</v>
      </c>
      <c r="D7622" s="99" t="s">
        <v>3636</v>
      </c>
      <c r="E7622" s="100" t="s">
        <v>139</v>
      </c>
      <c r="F7622" s="100" t="s">
        <v>3637</v>
      </c>
      <c r="G7622" s="100" t="s">
        <v>2961</v>
      </c>
      <c r="H7622" s="100"/>
      <c r="I7622" s="101" t="s">
        <v>204</v>
      </c>
      <c r="J7622" s="580">
        <v>1.039</v>
      </c>
      <c r="K7622" s="580">
        <v>0</v>
      </c>
      <c r="L7622" s="102">
        <v>340.22</v>
      </c>
      <c r="M7622" s="102">
        <v>353.48</v>
      </c>
    </row>
    <row r="7623" ht="25.5" spans="3:13">
      <c r="C7623" s="108"/>
      <c r="D7623" s="108"/>
      <c r="E7623" s="108"/>
      <c r="F7623" s="108"/>
      <c r="G7623" s="108"/>
      <c r="H7623" s="108" t="s">
        <v>2898</v>
      </c>
      <c r="I7623" s="581">
        <v>14.45</v>
      </c>
      <c r="J7623" s="108" t="s">
        <v>2899</v>
      </c>
      <c r="K7623" s="581">
        <v>0</v>
      </c>
      <c r="L7623" s="108" t="s">
        <v>2900</v>
      </c>
      <c r="M7623" s="581">
        <v>14.45</v>
      </c>
    </row>
    <row r="7624" ht="26.25" spans="3:13">
      <c r="C7624" s="108"/>
      <c r="D7624" s="108"/>
      <c r="E7624" s="108"/>
      <c r="F7624" s="108"/>
      <c r="G7624" s="108"/>
      <c r="H7624" s="108" t="s">
        <v>2901</v>
      </c>
      <c r="I7624" s="581">
        <v>95.14</v>
      </c>
      <c r="J7624" s="114"/>
      <c r="K7624" s="114" t="s">
        <v>2902</v>
      </c>
      <c r="L7624" s="108"/>
      <c r="M7624" s="581">
        <v>468.4</v>
      </c>
    </row>
    <row r="7625" ht="15" spans="3:13">
      <c r="C7625" s="571"/>
      <c r="D7625" s="571"/>
      <c r="E7625" s="571"/>
      <c r="F7625" s="571"/>
      <c r="G7625" s="571"/>
      <c r="H7625" s="571"/>
      <c r="I7625" s="571"/>
      <c r="J7625" s="571"/>
      <c r="K7625" s="571"/>
      <c r="L7625" s="571"/>
      <c r="M7625" s="571"/>
    </row>
    <row r="7626" ht="15" customHeight="1" spans="3:13">
      <c r="C7626" s="76" t="s">
        <v>2635</v>
      </c>
      <c r="D7626" s="75" t="s">
        <v>63</v>
      </c>
      <c r="E7626" s="76" t="s">
        <v>64</v>
      </c>
      <c r="F7626" s="76" t="s">
        <v>65</v>
      </c>
      <c r="G7626" s="76" t="s">
        <v>2889</v>
      </c>
      <c r="H7626" s="76"/>
      <c r="I7626" s="77" t="s">
        <v>66</v>
      </c>
      <c r="J7626" s="75" t="s">
        <v>67</v>
      </c>
      <c r="K7626" s="75" t="s">
        <v>2890</v>
      </c>
      <c r="L7626" s="75" t="s">
        <v>68</v>
      </c>
      <c r="M7626" s="75" t="s">
        <v>70</v>
      </c>
    </row>
    <row r="7627" ht="35.05" customHeight="1" spans="3:13">
      <c r="C7627" s="569" t="s">
        <v>2891</v>
      </c>
      <c r="D7627" s="570" t="s">
        <v>2636</v>
      </c>
      <c r="E7627" s="569" t="s">
        <v>132</v>
      </c>
      <c r="F7627" s="569" t="s">
        <v>2637</v>
      </c>
      <c r="G7627" s="569" t="s">
        <v>3129</v>
      </c>
      <c r="H7627" s="569"/>
      <c r="I7627" s="577" t="s">
        <v>204</v>
      </c>
      <c r="J7627" s="578">
        <v>1</v>
      </c>
      <c r="K7627" s="579"/>
      <c r="L7627" s="579">
        <v>643.95</v>
      </c>
      <c r="M7627" s="579">
        <v>643.95</v>
      </c>
    </row>
    <row r="7628" ht="23.85" customHeight="1" spans="3:13">
      <c r="C7628" s="79" t="s">
        <v>2921</v>
      </c>
      <c r="D7628" s="78" t="s">
        <v>3144</v>
      </c>
      <c r="E7628" s="79" t="s">
        <v>139</v>
      </c>
      <c r="F7628" s="79" t="s">
        <v>3145</v>
      </c>
      <c r="G7628" s="79" t="s">
        <v>2928</v>
      </c>
      <c r="H7628" s="79"/>
      <c r="I7628" s="80" t="s">
        <v>2897</v>
      </c>
      <c r="J7628" s="583">
        <v>0.18</v>
      </c>
      <c r="K7628" s="583">
        <v>0</v>
      </c>
      <c r="L7628" s="92">
        <v>35.55</v>
      </c>
      <c r="M7628" s="92">
        <v>6.39</v>
      </c>
    </row>
    <row r="7629" ht="23.85" customHeight="1" spans="3:13">
      <c r="C7629" s="79" t="s">
        <v>2921</v>
      </c>
      <c r="D7629" s="78" t="s">
        <v>3634</v>
      </c>
      <c r="E7629" s="79" t="s">
        <v>139</v>
      </c>
      <c r="F7629" s="79" t="s">
        <v>3635</v>
      </c>
      <c r="G7629" s="79" t="s">
        <v>2928</v>
      </c>
      <c r="H7629" s="79"/>
      <c r="I7629" s="80" t="s">
        <v>2897</v>
      </c>
      <c r="J7629" s="583">
        <v>0.18</v>
      </c>
      <c r="K7629" s="583">
        <v>0</v>
      </c>
      <c r="L7629" s="92">
        <v>44.92</v>
      </c>
      <c r="M7629" s="92">
        <v>8.08</v>
      </c>
    </row>
    <row r="7630" ht="23.85" customHeight="1" spans="3:13">
      <c r="C7630" s="79" t="s">
        <v>2921</v>
      </c>
      <c r="D7630" s="78" t="s">
        <v>3146</v>
      </c>
      <c r="E7630" s="79" t="s">
        <v>139</v>
      </c>
      <c r="F7630" s="79" t="s">
        <v>3147</v>
      </c>
      <c r="G7630" s="79" t="s">
        <v>2928</v>
      </c>
      <c r="H7630" s="79"/>
      <c r="I7630" s="80" t="s">
        <v>2897</v>
      </c>
      <c r="J7630" s="583">
        <v>0.18</v>
      </c>
      <c r="K7630" s="583">
        <v>0</v>
      </c>
      <c r="L7630" s="92">
        <v>29.54</v>
      </c>
      <c r="M7630" s="92">
        <v>5.31</v>
      </c>
    </row>
    <row r="7631" ht="23.85" customHeight="1" spans="3:13">
      <c r="C7631" s="100" t="s">
        <v>2893</v>
      </c>
      <c r="D7631" s="99" t="s">
        <v>5048</v>
      </c>
      <c r="E7631" s="100" t="s">
        <v>139</v>
      </c>
      <c r="F7631" s="100" t="s">
        <v>5049</v>
      </c>
      <c r="G7631" s="100" t="s">
        <v>2961</v>
      </c>
      <c r="H7631" s="100"/>
      <c r="I7631" s="101" t="s">
        <v>204</v>
      </c>
      <c r="J7631" s="580">
        <v>1.039</v>
      </c>
      <c r="K7631" s="580">
        <v>0</v>
      </c>
      <c r="L7631" s="102">
        <v>600.75</v>
      </c>
      <c r="M7631" s="102">
        <v>624.17</v>
      </c>
    </row>
    <row r="7632" ht="25.5" spans="3:13">
      <c r="C7632" s="108"/>
      <c r="D7632" s="108"/>
      <c r="E7632" s="108"/>
      <c r="F7632" s="108"/>
      <c r="G7632" s="108"/>
      <c r="H7632" s="108" t="s">
        <v>2898</v>
      </c>
      <c r="I7632" s="581">
        <v>14.45</v>
      </c>
      <c r="J7632" s="108" t="s">
        <v>2899</v>
      </c>
      <c r="K7632" s="581">
        <v>0</v>
      </c>
      <c r="L7632" s="108" t="s">
        <v>2900</v>
      </c>
      <c r="M7632" s="581">
        <v>14.45</v>
      </c>
    </row>
    <row r="7633" ht="26.25" spans="3:13">
      <c r="C7633" s="108"/>
      <c r="D7633" s="108"/>
      <c r="E7633" s="108"/>
      <c r="F7633" s="108"/>
      <c r="G7633" s="108"/>
      <c r="H7633" s="108" t="s">
        <v>2901</v>
      </c>
      <c r="I7633" s="581">
        <v>164.14</v>
      </c>
      <c r="J7633" s="114"/>
      <c r="K7633" s="114" t="s">
        <v>2902</v>
      </c>
      <c r="L7633" s="108"/>
      <c r="M7633" s="581">
        <v>808.09</v>
      </c>
    </row>
    <row r="7634" ht="15" spans="3:13">
      <c r="C7634" s="571"/>
      <c r="D7634" s="571"/>
      <c r="E7634" s="571"/>
      <c r="F7634" s="571"/>
      <c r="G7634" s="571"/>
      <c r="H7634" s="571"/>
      <c r="I7634" s="571"/>
      <c r="J7634" s="571"/>
      <c r="K7634" s="571"/>
      <c r="L7634" s="571"/>
      <c r="M7634" s="571"/>
    </row>
    <row r="7635" ht="15" customHeight="1" spans="3:13">
      <c r="C7635" s="76" t="s">
        <v>2638</v>
      </c>
      <c r="D7635" s="75" t="s">
        <v>63</v>
      </c>
      <c r="E7635" s="76" t="s">
        <v>64</v>
      </c>
      <c r="F7635" s="76" t="s">
        <v>65</v>
      </c>
      <c r="G7635" s="76" t="s">
        <v>2889</v>
      </c>
      <c r="H7635" s="76"/>
      <c r="I7635" s="77" t="s">
        <v>66</v>
      </c>
      <c r="J7635" s="75" t="s">
        <v>67</v>
      </c>
      <c r="K7635" s="75" t="s">
        <v>2890</v>
      </c>
      <c r="L7635" s="75" t="s">
        <v>68</v>
      </c>
      <c r="M7635" s="75" t="s">
        <v>70</v>
      </c>
    </row>
    <row r="7636" ht="23.85" customHeight="1" spans="3:13">
      <c r="C7636" s="569" t="s">
        <v>2891</v>
      </c>
      <c r="D7636" s="570" t="s">
        <v>2474</v>
      </c>
      <c r="E7636" s="569" t="s">
        <v>149</v>
      </c>
      <c r="F7636" s="569" t="s">
        <v>2475</v>
      </c>
      <c r="G7636" s="569" t="s">
        <v>4599</v>
      </c>
      <c r="H7636" s="569"/>
      <c r="I7636" s="577" t="s">
        <v>141</v>
      </c>
      <c r="J7636" s="578">
        <v>1</v>
      </c>
      <c r="K7636" s="579"/>
      <c r="L7636" s="579">
        <v>246.01</v>
      </c>
      <c r="M7636" s="579">
        <v>246.01</v>
      </c>
    </row>
    <row r="7637" ht="15" customHeight="1" spans="3:13">
      <c r="C7637" s="100" t="s">
        <v>2893</v>
      </c>
      <c r="D7637" s="99" t="s">
        <v>4881</v>
      </c>
      <c r="E7637" s="100" t="s">
        <v>149</v>
      </c>
      <c r="F7637" s="100" t="s">
        <v>4882</v>
      </c>
      <c r="G7637" s="100" t="s">
        <v>2896</v>
      </c>
      <c r="H7637" s="100"/>
      <c r="I7637" s="101" t="s">
        <v>2897</v>
      </c>
      <c r="J7637" s="580">
        <v>0.25</v>
      </c>
      <c r="K7637" s="580">
        <v>0</v>
      </c>
      <c r="L7637" s="102">
        <v>20.515752</v>
      </c>
      <c r="M7637" s="102">
        <v>5.12</v>
      </c>
    </row>
    <row r="7638" ht="15" customHeight="1" spans="3:13">
      <c r="C7638" s="100" t="s">
        <v>2893</v>
      </c>
      <c r="D7638" s="99" t="s">
        <v>4906</v>
      </c>
      <c r="E7638" s="100" t="s">
        <v>149</v>
      </c>
      <c r="F7638" s="100" t="s">
        <v>4907</v>
      </c>
      <c r="G7638" s="100" t="s">
        <v>2896</v>
      </c>
      <c r="H7638" s="100"/>
      <c r="I7638" s="101" t="s">
        <v>2897</v>
      </c>
      <c r="J7638" s="580">
        <v>0.25</v>
      </c>
      <c r="K7638" s="580">
        <v>0</v>
      </c>
      <c r="L7638" s="102">
        <v>24.989592</v>
      </c>
      <c r="M7638" s="102">
        <v>6.24</v>
      </c>
    </row>
    <row r="7639" ht="15" customHeight="1" spans="3:13">
      <c r="C7639" s="100" t="s">
        <v>2893</v>
      </c>
      <c r="D7639" s="99" t="s">
        <v>4929</v>
      </c>
      <c r="E7639" s="100" t="s">
        <v>149</v>
      </c>
      <c r="F7639" s="100" t="s">
        <v>4930</v>
      </c>
      <c r="G7639" s="100" t="s">
        <v>2961</v>
      </c>
      <c r="H7639" s="100"/>
      <c r="I7639" s="101" t="s">
        <v>141</v>
      </c>
      <c r="J7639" s="580">
        <v>1.05</v>
      </c>
      <c r="K7639" s="580">
        <v>0</v>
      </c>
      <c r="L7639" s="102">
        <v>223.48</v>
      </c>
      <c r="M7639" s="102">
        <v>234.65</v>
      </c>
    </row>
    <row r="7640" ht="25.5" spans="3:13">
      <c r="C7640" s="108"/>
      <c r="D7640" s="108"/>
      <c r="E7640" s="108"/>
      <c r="F7640" s="108"/>
      <c r="G7640" s="108"/>
      <c r="H7640" s="108" t="s">
        <v>2898</v>
      </c>
      <c r="I7640" s="581">
        <v>11.36</v>
      </c>
      <c r="J7640" s="108" t="s">
        <v>2899</v>
      </c>
      <c r="K7640" s="581">
        <v>0</v>
      </c>
      <c r="L7640" s="108" t="s">
        <v>2900</v>
      </c>
      <c r="M7640" s="581">
        <v>11.36</v>
      </c>
    </row>
    <row r="7641" ht="26.25" spans="3:13">
      <c r="C7641" s="108"/>
      <c r="D7641" s="108"/>
      <c r="E7641" s="108"/>
      <c r="F7641" s="108"/>
      <c r="G7641" s="108"/>
      <c r="H7641" s="108" t="s">
        <v>2901</v>
      </c>
      <c r="I7641" s="581">
        <v>62.7</v>
      </c>
      <c r="J7641" s="114"/>
      <c r="K7641" s="114" t="s">
        <v>2902</v>
      </c>
      <c r="L7641" s="108"/>
      <c r="M7641" s="581">
        <v>308.71</v>
      </c>
    </row>
    <row r="7642" ht="15" spans="3:13">
      <c r="C7642" s="571"/>
      <c r="D7642" s="571"/>
      <c r="E7642" s="571"/>
      <c r="F7642" s="571"/>
      <c r="G7642" s="571"/>
      <c r="H7642" s="571"/>
      <c r="I7642" s="571"/>
      <c r="J7642" s="571"/>
      <c r="K7642" s="571"/>
      <c r="L7642" s="571"/>
      <c r="M7642" s="571"/>
    </row>
    <row r="7643" ht="15" customHeight="1" spans="3:13">
      <c r="C7643" s="76" t="s">
        <v>2641</v>
      </c>
      <c r="D7643" s="75" t="s">
        <v>63</v>
      </c>
      <c r="E7643" s="76" t="s">
        <v>64</v>
      </c>
      <c r="F7643" s="76" t="s">
        <v>65</v>
      </c>
      <c r="G7643" s="76" t="s">
        <v>2889</v>
      </c>
      <c r="H7643" s="76"/>
      <c r="I7643" s="77" t="s">
        <v>66</v>
      </c>
      <c r="J7643" s="75" t="s">
        <v>67</v>
      </c>
      <c r="K7643" s="75" t="s">
        <v>2890</v>
      </c>
      <c r="L7643" s="75" t="s">
        <v>68</v>
      </c>
      <c r="M7643" s="75" t="s">
        <v>70</v>
      </c>
    </row>
    <row r="7644" ht="15" customHeight="1" spans="3:13">
      <c r="C7644" s="569" t="s">
        <v>2891</v>
      </c>
      <c r="D7644" s="570" t="s">
        <v>2642</v>
      </c>
      <c r="E7644" s="569" t="s">
        <v>149</v>
      </c>
      <c r="F7644" s="569" t="s">
        <v>2643</v>
      </c>
      <c r="G7644" s="569" t="s">
        <v>3276</v>
      </c>
      <c r="H7644" s="569"/>
      <c r="I7644" s="577" t="s">
        <v>204</v>
      </c>
      <c r="J7644" s="578">
        <v>1</v>
      </c>
      <c r="K7644" s="579"/>
      <c r="L7644" s="579">
        <v>16.57</v>
      </c>
      <c r="M7644" s="579">
        <v>16.57</v>
      </c>
    </row>
    <row r="7645" ht="15" customHeight="1" spans="3:13">
      <c r="C7645" s="100" t="s">
        <v>2893</v>
      </c>
      <c r="D7645" s="99" t="s">
        <v>2974</v>
      </c>
      <c r="E7645" s="100" t="s">
        <v>149</v>
      </c>
      <c r="F7645" s="100" t="s">
        <v>2975</v>
      </c>
      <c r="G7645" s="100" t="s">
        <v>2896</v>
      </c>
      <c r="H7645" s="100"/>
      <c r="I7645" s="101" t="s">
        <v>2897</v>
      </c>
      <c r="J7645" s="580">
        <v>0.851</v>
      </c>
      <c r="K7645" s="580">
        <v>0</v>
      </c>
      <c r="L7645" s="102">
        <v>19.471856</v>
      </c>
      <c r="M7645" s="102">
        <v>16.57</v>
      </c>
    </row>
    <row r="7646" ht="25.5" spans="3:13">
      <c r="C7646" s="108"/>
      <c r="D7646" s="108"/>
      <c r="E7646" s="108"/>
      <c r="F7646" s="108"/>
      <c r="G7646" s="108"/>
      <c r="H7646" s="108" t="s">
        <v>2898</v>
      </c>
      <c r="I7646" s="581">
        <v>16.57</v>
      </c>
      <c r="J7646" s="108" t="s">
        <v>2899</v>
      </c>
      <c r="K7646" s="581">
        <v>0</v>
      </c>
      <c r="L7646" s="108" t="s">
        <v>2900</v>
      </c>
      <c r="M7646" s="581">
        <v>16.57</v>
      </c>
    </row>
    <row r="7647" ht="26.25" spans="3:13">
      <c r="C7647" s="108"/>
      <c r="D7647" s="108"/>
      <c r="E7647" s="108"/>
      <c r="F7647" s="108"/>
      <c r="G7647" s="108"/>
      <c r="H7647" s="108" t="s">
        <v>2901</v>
      </c>
      <c r="I7647" s="581">
        <v>4.22</v>
      </c>
      <c r="J7647" s="114"/>
      <c r="K7647" s="114" t="s">
        <v>2902</v>
      </c>
      <c r="L7647" s="108"/>
      <c r="M7647" s="581">
        <v>20.79</v>
      </c>
    </row>
    <row r="7648" ht="15" spans="3:13">
      <c r="C7648" s="571"/>
      <c r="D7648" s="571"/>
      <c r="E7648" s="571"/>
      <c r="F7648" s="571"/>
      <c r="G7648" s="571"/>
      <c r="H7648" s="571"/>
      <c r="I7648" s="571"/>
      <c r="J7648" s="571"/>
      <c r="K7648" s="571"/>
      <c r="L7648" s="571"/>
      <c r="M7648" s="571"/>
    </row>
    <row r="7649" ht="15" customHeight="1" spans="3:13">
      <c r="C7649" s="76" t="s">
        <v>2644</v>
      </c>
      <c r="D7649" s="75" t="s">
        <v>63</v>
      </c>
      <c r="E7649" s="76" t="s">
        <v>64</v>
      </c>
      <c r="F7649" s="76" t="s">
        <v>65</v>
      </c>
      <c r="G7649" s="76" t="s">
        <v>2889</v>
      </c>
      <c r="H7649" s="76"/>
      <c r="I7649" s="77" t="s">
        <v>66</v>
      </c>
      <c r="J7649" s="75" t="s">
        <v>67</v>
      </c>
      <c r="K7649" s="75" t="s">
        <v>2890</v>
      </c>
      <c r="L7649" s="75" t="s">
        <v>68</v>
      </c>
      <c r="M7649" s="75" t="s">
        <v>70</v>
      </c>
    </row>
    <row r="7650" ht="15" customHeight="1" spans="3:13">
      <c r="C7650" s="569" t="s">
        <v>2891</v>
      </c>
      <c r="D7650" s="570" t="s">
        <v>2645</v>
      </c>
      <c r="E7650" s="569" t="s">
        <v>149</v>
      </c>
      <c r="F7650" s="569" t="s">
        <v>2646</v>
      </c>
      <c r="G7650" s="569" t="s">
        <v>3276</v>
      </c>
      <c r="H7650" s="569"/>
      <c r="I7650" s="577" t="s">
        <v>204</v>
      </c>
      <c r="J7650" s="578">
        <v>1</v>
      </c>
      <c r="K7650" s="579"/>
      <c r="L7650" s="579">
        <v>6.33</v>
      </c>
      <c r="M7650" s="579">
        <v>6.33</v>
      </c>
    </row>
    <row r="7651" ht="15" customHeight="1" spans="3:13">
      <c r="C7651" s="100" t="s">
        <v>2893</v>
      </c>
      <c r="D7651" s="99" t="s">
        <v>4600</v>
      </c>
      <c r="E7651" s="100" t="s">
        <v>149</v>
      </c>
      <c r="F7651" s="100" t="s">
        <v>4601</v>
      </c>
      <c r="G7651" s="100" t="s">
        <v>2896</v>
      </c>
      <c r="H7651" s="100"/>
      <c r="I7651" s="101" t="s">
        <v>2897</v>
      </c>
      <c r="J7651" s="580">
        <v>0.309</v>
      </c>
      <c r="K7651" s="580">
        <v>0</v>
      </c>
      <c r="L7651" s="102">
        <v>20.515752</v>
      </c>
      <c r="M7651" s="102">
        <v>6.33</v>
      </c>
    </row>
    <row r="7652" ht="25.5" spans="3:13">
      <c r="C7652" s="108"/>
      <c r="D7652" s="108"/>
      <c r="E7652" s="108"/>
      <c r="F7652" s="108"/>
      <c r="G7652" s="108"/>
      <c r="H7652" s="108" t="s">
        <v>2898</v>
      </c>
      <c r="I7652" s="581">
        <v>6.33</v>
      </c>
      <c r="J7652" s="108" t="s">
        <v>2899</v>
      </c>
      <c r="K7652" s="581">
        <v>0</v>
      </c>
      <c r="L7652" s="108" t="s">
        <v>2900</v>
      </c>
      <c r="M7652" s="581">
        <v>6.33</v>
      </c>
    </row>
    <row r="7653" ht="26.25" spans="3:13">
      <c r="C7653" s="108"/>
      <c r="D7653" s="108"/>
      <c r="E7653" s="108"/>
      <c r="F7653" s="108"/>
      <c r="G7653" s="108"/>
      <c r="H7653" s="108" t="s">
        <v>2901</v>
      </c>
      <c r="I7653" s="581">
        <v>1.61</v>
      </c>
      <c r="J7653" s="114"/>
      <c r="K7653" s="114" t="s">
        <v>2902</v>
      </c>
      <c r="L7653" s="108"/>
      <c r="M7653" s="581">
        <v>7.94</v>
      </c>
    </row>
    <row r="7654" ht="15" spans="3:13">
      <c r="C7654" s="571"/>
      <c r="D7654" s="571"/>
      <c r="E7654" s="571"/>
      <c r="F7654" s="571"/>
      <c r="G7654" s="571"/>
      <c r="H7654" s="571"/>
      <c r="I7654" s="571"/>
      <c r="J7654" s="571"/>
      <c r="K7654" s="571"/>
      <c r="L7654" s="571"/>
      <c r="M7654" s="571"/>
    </row>
    <row r="7655" ht="15" customHeight="1" spans="3:13">
      <c r="C7655" s="76" t="s">
        <v>2647</v>
      </c>
      <c r="D7655" s="75" t="s">
        <v>63</v>
      </c>
      <c r="E7655" s="76" t="s">
        <v>64</v>
      </c>
      <c r="F7655" s="76" t="s">
        <v>65</v>
      </c>
      <c r="G7655" s="76" t="s">
        <v>2889</v>
      </c>
      <c r="H7655" s="76"/>
      <c r="I7655" s="77" t="s">
        <v>66</v>
      </c>
      <c r="J7655" s="75" t="s">
        <v>67</v>
      </c>
      <c r="K7655" s="75" t="s">
        <v>2890</v>
      </c>
      <c r="L7655" s="75" t="s">
        <v>68</v>
      </c>
      <c r="M7655" s="75" t="s">
        <v>70</v>
      </c>
    </row>
    <row r="7656" ht="35.05" customHeight="1" spans="3:13">
      <c r="C7656" s="569" t="s">
        <v>2891</v>
      </c>
      <c r="D7656" s="570" t="s">
        <v>2648</v>
      </c>
      <c r="E7656" s="569" t="s">
        <v>139</v>
      </c>
      <c r="F7656" s="569" t="s">
        <v>2649</v>
      </c>
      <c r="G7656" s="569" t="s">
        <v>5050</v>
      </c>
      <c r="H7656" s="569"/>
      <c r="I7656" s="577" t="s">
        <v>141</v>
      </c>
      <c r="J7656" s="578">
        <v>1</v>
      </c>
      <c r="K7656" s="579"/>
      <c r="L7656" s="579">
        <v>72.3</v>
      </c>
      <c r="M7656" s="579">
        <v>72.3</v>
      </c>
    </row>
    <row r="7657" ht="23.85" customHeight="1" spans="3:13">
      <c r="C7657" s="79" t="s">
        <v>2921</v>
      </c>
      <c r="D7657" s="78" t="s">
        <v>3017</v>
      </c>
      <c r="E7657" s="79" t="s">
        <v>139</v>
      </c>
      <c r="F7657" s="79" t="s">
        <v>3018</v>
      </c>
      <c r="G7657" s="79" t="s">
        <v>2928</v>
      </c>
      <c r="H7657" s="79"/>
      <c r="I7657" s="80" t="s">
        <v>2897</v>
      </c>
      <c r="J7657" s="583">
        <v>0.679</v>
      </c>
      <c r="K7657" s="583">
        <v>0</v>
      </c>
      <c r="L7657" s="92">
        <v>36.96</v>
      </c>
      <c r="M7657" s="92">
        <v>25.09</v>
      </c>
    </row>
    <row r="7658" ht="35.05" customHeight="1" spans="3:13">
      <c r="C7658" s="79" t="s">
        <v>2921</v>
      </c>
      <c r="D7658" s="78" t="s">
        <v>3073</v>
      </c>
      <c r="E7658" s="79" t="s">
        <v>139</v>
      </c>
      <c r="F7658" s="79" t="s">
        <v>3074</v>
      </c>
      <c r="G7658" s="79" t="s">
        <v>3016</v>
      </c>
      <c r="H7658" s="79"/>
      <c r="I7658" s="80" t="s">
        <v>279</v>
      </c>
      <c r="J7658" s="583">
        <v>0.0314</v>
      </c>
      <c r="K7658" s="583">
        <v>0</v>
      </c>
      <c r="L7658" s="92">
        <v>806.06</v>
      </c>
      <c r="M7658" s="92">
        <v>25.31</v>
      </c>
    </row>
    <row r="7659" ht="23.85" customHeight="1" spans="3:13">
      <c r="C7659" s="79" t="s">
        <v>2921</v>
      </c>
      <c r="D7659" s="78" t="s">
        <v>2952</v>
      </c>
      <c r="E7659" s="79" t="s">
        <v>139</v>
      </c>
      <c r="F7659" s="79" t="s">
        <v>2953</v>
      </c>
      <c r="G7659" s="79" t="s">
        <v>2928</v>
      </c>
      <c r="H7659" s="79"/>
      <c r="I7659" s="80" t="s">
        <v>2897</v>
      </c>
      <c r="J7659" s="583">
        <v>0.679</v>
      </c>
      <c r="K7659" s="583">
        <v>0</v>
      </c>
      <c r="L7659" s="92">
        <v>29.15</v>
      </c>
      <c r="M7659" s="92">
        <v>19.79</v>
      </c>
    </row>
    <row r="7660" ht="23.85" customHeight="1" spans="3:13">
      <c r="C7660" s="100" t="s">
        <v>2893</v>
      </c>
      <c r="D7660" s="99" t="s">
        <v>5051</v>
      </c>
      <c r="E7660" s="100" t="s">
        <v>139</v>
      </c>
      <c r="F7660" s="100" t="s">
        <v>5052</v>
      </c>
      <c r="G7660" s="100" t="s">
        <v>2961</v>
      </c>
      <c r="H7660" s="100"/>
      <c r="I7660" s="101" t="s">
        <v>141</v>
      </c>
      <c r="J7660" s="580">
        <v>0.1388</v>
      </c>
      <c r="K7660" s="580">
        <v>0</v>
      </c>
      <c r="L7660" s="102">
        <v>15.26</v>
      </c>
      <c r="M7660" s="102">
        <v>2.11</v>
      </c>
    </row>
    <row r="7661" ht="25.5" spans="3:13">
      <c r="C7661" s="108"/>
      <c r="D7661" s="108"/>
      <c r="E7661" s="108"/>
      <c r="F7661" s="108"/>
      <c r="G7661" s="108"/>
      <c r="H7661" s="108" t="s">
        <v>2898</v>
      </c>
      <c r="I7661" s="581">
        <v>38.03</v>
      </c>
      <c r="J7661" s="108" t="s">
        <v>2899</v>
      </c>
      <c r="K7661" s="581">
        <v>0</v>
      </c>
      <c r="L7661" s="108" t="s">
        <v>2900</v>
      </c>
      <c r="M7661" s="581">
        <v>38.03</v>
      </c>
    </row>
    <row r="7662" ht="26.25" spans="3:13">
      <c r="C7662" s="108"/>
      <c r="D7662" s="108"/>
      <c r="E7662" s="108"/>
      <c r="F7662" s="108"/>
      <c r="G7662" s="108"/>
      <c r="H7662" s="108" t="s">
        <v>2901</v>
      </c>
      <c r="I7662" s="581">
        <v>18.42</v>
      </c>
      <c r="J7662" s="114"/>
      <c r="K7662" s="114" t="s">
        <v>2902</v>
      </c>
      <c r="L7662" s="108"/>
      <c r="M7662" s="581">
        <v>90.72</v>
      </c>
    </row>
    <row r="7663" ht="15" spans="3:13">
      <c r="C7663" s="571"/>
      <c r="D7663" s="571"/>
      <c r="E7663" s="571"/>
      <c r="F7663" s="571"/>
      <c r="G7663" s="571"/>
      <c r="H7663" s="571"/>
      <c r="I7663" s="571"/>
      <c r="J7663" s="571"/>
      <c r="K7663" s="571"/>
      <c r="L7663" s="571"/>
      <c r="M7663" s="571"/>
    </row>
    <row r="7664" ht="15" customHeight="1" spans="3:13">
      <c r="C7664" s="76" t="s">
        <v>2650</v>
      </c>
      <c r="D7664" s="75" t="s">
        <v>63</v>
      </c>
      <c r="E7664" s="76" t="s">
        <v>64</v>
      </c>
      <c r="F7664" s="76" t="s">
        <v>65</v>
      </c>
      <c r="G7664" s="76" t="s">
        <v>2889</v>
      </c>
      <c r="H7664" s="76"/>
      <c r="I7664" s="77" t="s">
        <v>66</v>
      </c>
      <c r="J7664" s="75" t="s">
        <v>67</v>
      </c>
      <c r="K7664" s="75" t="s">
        <v>2890</v>
      </c>
      <c r="L7664" s="75" t="s">
        <v>68</v>
      </c>
      <c r="M7664" s="75" t="s">
        <v>70</v>
      </c>
    </row>
    <row r="7665" ht="35.05" customHeight="1" spans="3:13">
      <c r="C7665" s="569" t="s">
        <v>2891</v>
      </c>
      <c r="D7665" s="570" t="s">
        <v>2651</v>
      </c>
      <c r="E7665" s="569" t="s">
        <v>139</v>
      </c>
      <c r="F7665" s="569" t="s">
        <v>5053</v>
      </c>
      <c r="G7665" s="569" t="s">
        <v>3076</v>
      </c>
      <c r="H7665" s="569"/>
      <c r="I7665" s="577" t="s">
        <v>141</v>
      </c>
      <c r="J7665" s="578">
        <v>1</v>
      </c>
      <c r="K7665" s="579"/>
      <c r="L7665" s="579">
        <v>5.1</v>
      </c>
      <c r="M7665" s="579">
        <v>5.1</v>
      </c>
    </row>
    <row r="7666" ht="35.05" customHeight="1" spans="3:13">
      <c r="C7666" s="79" t="s">
        <v>2921</v>
      </c>
      <c r="D7666" s="78" t="s">
        <v>5054</v>
      </c>
      <c r="E7666" s="79" t="s">
        <v>139</v>
      </c>
      <c r="F7666" s="79" t="s">
        <v>5055</v>
      </c>
      <c r="G7666" s="79" t="s">
        <v>3016</v>
      </c>
      <c r="H7666" s="79"/>
      <c r="I7666" s="80" t="s">
        <v>279</v>
      </c>
      <c r="J7666" s="583">
        <v>0.0037</v>
      </c>
      <c r="K7666" s="583">
        <v>0</v>
      </c>
      <c r="L7666" s="92">
        <v>502.34</v>
      </c>
      <c r="M7666" s="92">
        <v>1.85</v>
      </c>
    </row>
    <row r="7667" ht="23.85" customHeight="1" spans="3:13">
      <c r="C7667" s="79" t="s">
        <v>2921</v>
      </c>
      <c r="D7667" s="78" t="s">
        <v>3017</v>
      </c>
      <c r="E7667" s="79" t="s">
        <v>139</v>
      </c>
      <c r="F7667" s="79" t="s">
        <v>3018</v>
      </c>
      <c r="G7667" s="79" t="s">
        <v>2928</v>
      </c>
      <c r="H7667" s="79"/>
      <c r="I7667" s="80" t="s">
        <v>2897</v>
      </c>
      <c r="J7667" s="583">
        <v>0.0681</v>
      </c>
      <c r="K7667" s="583">
        <v>0</v>
      </c>
      <c r="L7667" s="92">
        <v>36.96</v>
      </c>
      <c r="M7667" s="92">
        <v>2.51</v>
      </c>
    </row>
    <row r="7668" ht="23.85" customHeight="1" spans="3:13">
      <c r="C7668" s="79" t="s">
        <v>2921</v>
      </c>
      <c r="D7668" s="78" t="s">
        <v>2952</v>
      </c>
      <c r="E7668" s="79" t="s">
        <v>139</v>
      </c>
      <c r="F7668" s="79" t="s">
        <v>2953</v>
      </c>
      <c r="G7668" s="79" t="s">
        <v>2928</v>
      </c>
      <c r="H7668" s="79"/>
      <c r="I7668" s="80" t="s">
        <v>2897</v>
      </c>
      <c r="J7668" s="583">
        <v>0.0255</v>
      </c>
      <c r="K7668" s="583">
        <v>0</v>
      </c>
      <c r="L7668" s="92">
        <v>29.15</v>
      </c>
      <c r="M7668" s="92">
        <v>0.74</v>
      </c>
    </row>
    <row r="7669" ht="25.5" spans="3:13">
      <c r="C7669" s="108"/>
      <c r="D7669" s="108"/>
      <c r="E7669" s="108"/>
      <c r="F7669" s="108"/>
      <c r="G7669" s="108"/>
      <c r="H7669" s="108" t="s">
        <v>2898</v>
      </c>
      <c r="I7669" s="581">
        <v>2.69</v>
      </c>
      <c r="J7669" s="108" t="s">
        <v>2899</v>
      </c>
      <c r="K7669" s="581">
        <v>0</v>
      </c>
      <c r="L7669" s="108" t="s">
        <v>2900</v>
      </c>
      <c r="M7669" s="581">
        <v>2.69</v>
      </c>
    </row>
    <row r="7670" ht="26.25" spans="3:13">
      <c r="C7670" s="108"/>
      <c r="D7670" s="108"/>
      <c r="E7670" s="108"/>
      <c r="F7670" s="108"/>
      <c r="G7670" s="108"/>
      <c r="H7670" s="108" t="s">
        <v>2901</v>
      </c>
      <c r="I7670" s="581">
        <v>1.29</v>
      </c>
      <c r="J7670" s="114"/>
      <c r="K7670" s="114" t="s">
        <v>2902</v>
      </c>
      <c r="L7670" s="108"/>
      <c r="M7670" s="581">
        <v>6.39</v>
      </c>
    </row>
    <row r="7671" ht="15" spans="3:13">
      <c r="C7671" s="571"/>
      <c r="D7671" s="571"/>
      <c r="E7671" s="571"/>
      <c r="F7671" s="571"/>
      <c r="G7671" s="571"/>
      <c r="H7671" s="571"/>
      <c r="I7671" s="571"/>
      <c r="J7671" s="571"/>
      <c r="K7671" s="571"/>
      <c r="L7671" s="571"/>
      <c r="M7671" s="571"/>
    </row>
    <row r="7672" ht="15" customHeight="1" spans="3:13">
      <c r="C7672" s="76" t="s">
        <v>2653</v>
      </c>
      <c r="D7672" s="75" t="s">
        <v>63</v>
      </c>
      <c r="E7672" s="76" t="s">
        <v>64</v>
      </c>
      <c r="F7672" s="76" t="s">
        <v>65</v>
      </c>
      <c r="G7672" s="76" t="s">
        <v>2889</v>
      </c>
      <c r="H7672" s="76"/>
      <c r="I7672" s="77" t="s">
        <v>66</v>
      </c>
      <c r="J7672" s="75" t="s">
        <v>67</v>
      </c>
      <c r="K7672" s="75" t="s">
        <v>2890</v>
      </c>
      <c r="L7672" s="75" t="s">
        <v>68</v>
      </c>
      <c r="M7672" s="75" t="s">
        <v>70</v>
      </c>
    </row>
    <row r="7673" ht="25.5" spans="3:13">
      <c r="C7673" s="569" t="s">
        <v>2891</v>
      </c>
      <c r="D7673" s="570" t="s">
        <v>2654</v>
      </c>
      <c r="E7673" s="569" t="s">
        <v>77</v>
      </c>
      <c r="F7673" s="569" t="s">
        <v>5056</v>
      </c>
      <c r="G7673" s="569">
        <v>13</v>
      </c>
      <c r="H7673" s="569"/>
      <c r="I7673" s="577" t="s">
        <v>141</v>
      </c>
      <c r="J7673" s="578">
        <v>1</v>
      </c>
      <c r="K7673" s="579"/>
      <c r="L7673" s="579">
        <v>2.95</v>
      </c>
      <c r="M7673" s="579">
        <v>2.95</v>
      </c>
    </row>
    <row r="7674" ht="23.85" customHeight="1" spans="3:13">
      <c r="C7674" s="100" t="s">
        <v>2893</v>
      </c>
      <c r="D7674" s="99" t="s">
        <v>5057</v>
      </c>
      <c r="E7674" s="100" t="s">
        <v>77</v>
      </c>
      <c r="F7674" s="100" t="s">
        <v>5058</v>
      </c>
      <c r="G7674" s="100" t="s">
        <v>2961</v>
      </c>
      <c r="H7674" s="100"/>
      <c r="I7674" s="101" t="s">
        <v>393</v>
      </c>
      <c r="J7674" s="580">
        <v>0.1</v>
      </c>
      <c r="K7674" s="580">
        <v>0</v>
      </c>
      <c r="L7674" s="102">
        <v>3.12</v>
      </c>
      <c r="M7674" s="102">
        <v>0.31</v>
      </c>
    </row>
    <row r="7675" ht="23.85" customHeight="1" spans="3:13">
      <c r="C7675" s="100" t="s">
        <v>2893</v>
      </c>
      <c r="D7675" s="99" t="s">
        <v>3830</v>
      </c>
      <c r="E7675" s="100" t="s">
        <v>77</v>
      </c>
      <c r="F7675" s="100" t="s">
        <v>3831</v>
      </c>
      <c r="G7675" s="100" t="s">
        <v>2896</v>
      </c>
      <c r="H7675" s="100"/>
      <c r="I7675" s="101" t="s">
        <v>2897</v>
      </c>
      <c r="J7675" s="580">
        <v>0.09</v>
      </c>
      <c r="K7675" s="580">
        <v>3</v>
      </c>
      <c r="L7675" s="102">
        <v>28.55</v>
      </c>
      <c r="M7675" s="102">
        <v>2.64</v>
      </c>
    </row>
    <row r="7676" ht="25.5" spans="3:13">
      <c r="C7676" s="108"/>
      <c r="D7676" s="108"/>
      <c r="E7676" s="108"/>
      <c r="F7676" s="108"/>
      <c r="G7676" s="108"/>
      <c r="H7676" s="108" t="s">
        <v>2898</v>
      </c>
      <c r="I7676" s="581">
        <v>2.64</v>
      </c>
      <c r="J7676" s="108" t="s">
        <v>2899</v>
      </c>
      <c r="K7676" s="581">
        <v>0</v>
      </c>
      <c r="L7676" s="108" t="s">
        <v>2900</v>
      </c>
      <c r="M7676" s="581">
        <v>2.64</v>
      </c>
    </row>
    <row r="7677" ht="26.25" spans="3:13">
      <c r="C7677" s="108"/>
      <c r="D7677" s="108"/>
      <c r="E7677" s="108"/>
      <c r="F7677" s="108"/>
      <c r="G7677" s="108"/>
      <c r="H7677" s="108" t="s">
        <v>2901</v>
      </c>
      <c r="I7677" s="581">
        <v>0.75</v>
      </c>
      <c r="J7677" s="114"/>
      <c r="K7677" s="114" t="s">
        <v>2902</v>
      </c>
      <c r="L7677" s="108"/>
      <c r="M7677" s="581">
        <v>3.7</v>
      </c>
    </row>
    <row r="7678" ht="15" spans="3:13">
      <c r="C7678" s="571"/>
      <c r="D7678" s="571"/>
      <c r="E7678" s="571"/>
      <c r="F7678" s="571"/>
      <c r="G7678" s="571"/>
      <c r="H7678" s="571"/>
      <c r="I7678" s="571"/>
      <c r="J7678" s="571"/>
      <c r="K7678" s="571"/>
      <c r="L7678" s="571"/>
      <c r="M7678" s="571"/>
    </row>
    <row r="7679" ht="15" customHeight="1" spans="3:13">
      <c r="C7679" s="76" t="s">
        <v>2656</v>
      </c>
      <c r="D7679" s="75" t="s">
        <v>63</v>
      </c>
      <c r="E7679" s="76" t="s">
        <v>64</v>
      </c>
      <c r="F7679" s="76" t="s">
        <v>65</v>
      </c>
      <c r="G7679" s="76" t="s">
        <v>2889</v>
      </c>
      <c r="H7679" s="76"/>
      <c r="I7679" s="77" t="s">
        <v>66</v>
      </c>
      <c r="J7679" s="75" t="s">
        <v>67</v>
      </c>
      <c r="K7679" s="75" t="s">
        <v>2890</v>
      </c>
      <c r="L7679" s="75" t="s">
        <v>68</v>
      </c>
      <c r="M7679" s="75" t="s">
        <v>70</v>
      </c>
    </row>
    <row r="7680" ht="38.25" spans="3:13">
      <c r="C7680" s="569" t="s">
        <v>2891</v>
      </c>
      <c r="D7680" s="570" t="s">
        <v>2657</v>
      </c>
      <c r="E7680" s="569" t="s">
        <v>132</v>
      </c>
      <c r="F7680" s="569" t="s">
        <v>2658</v>
      </c>
      <c r="G7680" s="569">
        <v>120</v>
      </c>
      <c r="H7680" s="569"/>
      <c r="I7680" s="577" t="s">
        <v>204</v>
      </c>
      <c r="J7680" s="578">
        <v>1</v>
      </c>
      <c r="K7680" s="579"/>
      <c r="L7680" s="579">
        <v>136.99</v>
      </c>
      <c r="M7680" s="579">
        <v>136.99</v>
      </c>
    </row>
    <row r="7681" ht="23.85" customHeight="1" spans="3:13">
      <c r="C7681" s="79" t="s">
        <v>2921</v>
      </c>
      <c r="D7681" s="78" t="s">
        <v>3480</v>
      </c>
      <c r="E7681" s="79" t="s">
        <v>139</v>
      </c>
      <c r="F7681" s="79" t="s">
        <v>3481</v>
      </c>
      <c r="G7681" s="79" t="s">
        <v>2928</v>
      </c>
      <c r="H7681" s="79"/>
      <c r="I7681" s="80" t="s">
        <v>2897</v>
      </c>
      <c r="J7681" s="583">
        <v>0.619</v>
      </c>
      <c r="K7681" s="583">
        <v>0</v>
      </c>
      <c r="L7681" s="92">
        <v>30.79</v>
      </c>
      <c r="M7681" s="92">
        <v>19.05</v>
      </c>
    </row>
    <row r="7682" ht="23.85" customHeight="1" spans="3:13">
      <c r="C7682" s="79" t="s">
        <v>2921</v>
      </c>
      <c r="D7682" s="78" t="s">
        <v>3487</v>
      </c>
      <c r="E7682" s="79" t="s">
        <v>139</v>
      </c>
      <c r="F7682" s="79" t="s">
        <v>3488</v>
      </c>
      <c r="G7682" s="79" t="s">
        <v>2928</v>
      </c>
      <c r="H7682" s="79"/>
      <c r="I7682" s="80" t="s">
        <v>2897</v>
      </c>
      <c r="J7682" s="583">
        <v>0.825</v>
      </c>
      <c r="K7682" s="583">
        <v>0</v>
      </c>
      <c r="L7682" s="92">
        <v>30.31</v>
      </c>
      <c r="M7682" s="92">
        <v>25</v>
      </c>
    </row>
    <row r="7683" ht="15" customHeight="1" spans="3:13">
      <c r="C7683" s="100" t="s">
        <v>2893</v>
      </c>
      <c r="D7683" s="99" t="s">
        <v>5059</v>
      </c>
      <c r="E7683" s="100" t="s">
        <v>149</v>
      </c>
      <c r="F7683" s="100" t="s">
        <v>5060</v>
      </c>
      <c r="G7683" s="100" t="s">
        <v>2961</v>
      </c>
      <c r="H7683" s="100"/>
      <c r="I7683" s="101" t="s">
        <v>393</v>
      </c>
      <c r="J7683" s="580">
        <v>4</v>
      </c>
      <c r="K7683" s="580">
        <v>0</v>
      </c>
      <c r="L7683" s="102">
        <v>2.24</v>
      </c>
      <c r="M7683" s="102">
        <v>8.96</v>
      </c>
    </row>
    <row r="7684" ht="15" customHeight="1" spans="3:13">
      <c r="C7684" s="100" t="s">
        <v>2893</v>
      </c>
      <c r="D7684" s="99" t="s">
        <v>3798</v>
      </c>
      <c r="E7684" s="100" t="s">
        <v>149</v>
      </c>
      <c r="F7684" s="100" t="s">
        <v>3799</v>
      </c>
      <c r="G7684" s="100" t="s">
        <v>2961</v>
      </c>
      <c r="H7684" s="100"/>
      <c r="I7684" s="101" t="s">
        <v>393</v>
      </c>
      <c r="J7684" s="580">
        <v>0.6</v>
      </c>
      <c r="K7684" s="580">
        <v>0</v>
      </c>
      <c r="L7684" s="102">
        <v>4.55</v>
      </c>
      <c r="M7684" s="102">
        <v>2.73</v>
      </c>
    </row>
    <row r="7685" ht="35.05" customHeight="1" spans="3:13">
      <c r="C7685" s="100" t="s">
        <v>2893</v>
      </c>
      <c r="D7685" s="99" t="s">
        <v>5061</v>
      </c>
      <c r="E7685" s="100" t="s">
        <v>139</v>
      </c>
      <c r="F7685" s="100" t="s">
        <v>5062</v>
      </c>
      <c r="G7685" s="100" t="s">
        <v>2961</v>
      </c>
      <c r="H7685" s="100"/>
      <c r="I7685" s="101" t="s">
        <v>141</v>
      </c>
      <c r="J7685" s="580">
        <v>0.2</v>
      </c>
      <c r="K7685" s="580">
        <v>0</v>
      </c>
      <c r="L7685" s="102">
        <v>406.28</v>
      </c>
      <c r="M7685" s="102">
        <v>81.25</v>
      </c>
    </row>
    <row r="7686" ht="25.5" spans="3:13">
      <c r="C7686" s="108"/>
      <c r="D7686" s="108"/>
      <c r="E7686" s="108"/>
      <c r="F7686" s="108"/>
      <c r="G7686" s="108"/>
      <c r="H7686" s="108" t="s">
        <v>2898</v>
      </c>
      <c r="I7686" s="581">
        <v>29.66</v>
      </c>
      <c r="J7686" s="108" t="s">
        <v>2899</v>
      </c>
      <c r="K7686" s="581">
        <v>0</v>
      </c>
      <c r="L7686" s="108" t="s">
        <v>2900</v>
      </c>
      <c r="M7686" s="581">
        <v>29.66</v>
      </c>
    </row>
    <row r="7687" ht="26.25" spans="3:13">
      <c r="C7687" s="108"/>
      <c r="D7687" s="108"/>
      <c r="E7687" s="108"/>
      <c r="F7687" s="108"/>
      <c r="G7687" s="108"/>
      <c r="H7687" s="108" t="s">
        <v>2901</v>
      </c>
      <c r="I7687" s="581">
        <v>34.91</v>
      </c>
      <c r="J7687" s="114"/>
      <c r="K7687" s="114" t="s">
        <v>2902</v>
      </c>
      <c r="L7687" s="108"/>
      <c r="M7687" s="581">
        <v>171.9</v>
      </c>
    </row>
    <row r="7688" ht="15" spans="3:13">
      <c r="C7688" s="571"/>
      <c r="D7688" s="571"/>
      <c r="E7688" s="571"/>
      <c r="F7688" s="571"/>
      <c r="G7688" s="571"/>
      <c r="H7688" s="571"/>
      <c r="I7688" s="571"/>
      <c r="J7688" s="571"/>
      <c r="K7688" s="571"/>
      <c r="L7688" s="571"/>
      <c r="M7688" s="571"/>
    </row>
    <row r="7689" ht="15" customHeight="1" spans="3:13">
      <c r="C7689" s="76" t="s">
        <v>2661</v>
      </c>
      <c r="D7689" s="75" t="s">
        <v>63</v>
      </c>
      <c r="E7689" s="76" t="s">
        <v>64</v>
      </c>
      <c r="F7689" s="76" t="s">
        <v>65</v>
      </c>
      <c r="G7689" s="76" t="s">
        <v>2889</v>
      </c>
      <c r="H7689" s="76"/>
      <c r="I7689" s="77" t="s">
        <v>66</v>
      </c>
      <c r="J7689" s="75" t="s">
        <v>67</v>
      </c>
      <c r="K7689" s="75" t="s">
        <v>2890</v>
      </c>
      <c r="L7689" s="75" t="s">
        <v>68</v>
      </c>
      <c r="M7689" s="75" t="s">
        <v>70</v>
      </c>
    </row>
    <row r="7690" ht="57.45" customHeight="1" spans="3:13">
      <c r="C7690" s="569" t="s">
        <v>2891</v>
      </c>
      <c r="D7690" s="570" t="s">
        <v>2662</v>
      </c>
      <c r="E7690" s="569" t="s">
        <v>139</v>
      </c>
      <c r="F7690" s="569" t="s">
        <v>2663</v>
      </c>
      <c r="G7690" s="569" t="s">
        <v>3013</v>
      </c>
      <c r="H7690" s="569"/>
      <c r="I7690" s="577" t="s">
        <v>141</v>
      </c>
      <c r="J7690" s="578">
        <v>1</v>
      </c>
      <c r="K7690" s="579"/>
      <c r="L7690" s="579">
        <v>100.46</v>
      </c>
      <c r="M7690" s="579">
        <v>100.46</v>
      </c>
    </row>
    <row r="7691" ht="23.85" customHeight="1" spans="3:13">
      <c r="C7691" s="79" t="s">
        <v>2921</v>
      </c>
      <c r="D7691" s="78" t="s">
        <v>3480</v>
      </c>
      <c r="E7691" s="79" t="s">
        <v>139</v>
      </c>
      <c r="F7691" s="79" t="s">
        <v>3481</v>
      </c>
      <c r="G7691" s="79" t="s">
        <v>2928</v>
      </c>
      <c r="H7691" s="79"/>
      <c r="I7691" s="80" t="s">
        <v>2897</v>
      </c>
      <c r="J7691" s="583">
        <v>1.0956</v>
      </c>
      <c r="K7691" s="583">
        <v>0</v>
      </c>
      <c r="L7691" s="92">
        <v>30.79</v>
      </c>
      <c r="M7691" s="92">
        <v>33.73</v>
      </c>
    </row>
    <row r="7692" ht="23.85" customHeight="1" spans="3:13">
      <c r="C7692" s="79" t="s">
        <v>2921</v>
      </c>
      <c r="D7692" s="78" t="s">
        <v>5063</v>
      </c>
      <c r="E7692" s="79" t="s">
        <v>139</v>
      </c>
      <c r="F7692" s="79" t="s">
        <v>5064</v>
      </c>
      <c r="G7692" s="79" t="s">
        <v>2995</v>
      </c>
      <c r="H7692" s="79"/>
      <c r="I7692" s="80" t="s">
        <v>3002</v>
      </c>
      <c r="J7692" s="583">
        <v>0.0903</v>
      </c>
      <c r="K7692" s="583">
        <v>0</v>
      </c>
      <c r="L7692" s="92">
        <v>4.14</v>
      </c>
      <c r="M7692" s="92">
        <v>0.37</v>
      </c>
    </row>
    <row r="7693" ht="23.85" customHeight="1" spans="3:13">
      <c r="C7693" s="79" t="s">
        <v>2921</v>
      </c>
      <c r="D7693" s="78" t="s">
        <v>5065</v>
      </c>
      <c r="E7693" s="79" t="s">
        <v>139</v>
      </c>
      <c r="F7693" s="79" t="s">
        <v>5066</v>
      </c>
      <c r="G7693" s="79" t="s">
        <v>2995</v>
      </c>
      <c r="H7693" s="79"/>
      <c r="I7693" s="80" t="s">
        <v>2996</v>
      </c>
      <c r="J7693" s="583">
        <v>0.2164</v>
      </c>
      <c r="K7693" s="583">
        <v>0</v>
      </c>
      <c r="L7693" s="92">
        <v>0.75</v>
      </c>
      <c r="M7693" s="92">
        <v>0.16</v>
      </c>
    </row>
    <row r="7694" ht="35.05" customHeight="1" spans="3:13">
      <c r="C7694" s="79" t="s">
        <v>2921</v>
      </c>
      <c r="D7694" s="78" t="s">
        <v>5067</v>
      </c>
      <c r="E7694" s="79" t="s">
        <v>139</v>
      </c>
      <c r="F7694" s="79" t="s">
        <v>5068</v>
      </c>
      <c r="G7694" s="79" t="s">
        <v>2995</v>
      </c>
      <c r="H7694" s="79"/>
      <c r="I7694" s="80" t="s">
        <v>2996</v>
      </c>
      <c r="J7694" s="583">
        <v>0.0759</v>
      </c>
      <c r="K7694" s="583">
        <v>0</v>
      </c>
      <c r="L7694" s="92">
        <v>1.77</v>
      </c>
      <c r="M7694" s="92">
        <v>0.13</v>
      </c>
    </row>
    <row r="7695" ht="23.85" customHeight="1" spans="3:13">
      <c r="C7695" s="79" t="s">
        <v>2921</v>
      </c>
      <c r="D7695" s="78" t="s">
        <v>2952</v>
      </c>
      <c r="E7695" s="79" t="s">
        <v>139</v>
      </c>
      <c r="F7695" s="79" t="s">
        <v>2953</v>
      </c>
      <c r="G7695" s="79" t="s">
        <v>2928</v>
      </c>
      <c r="H7695" s="79"/>
      <c r="I7695" s="80" t="s">
        <v>2897</v>
      </c>
      <c r="J7695" s="583">
        <v>0.4972</v>
      </c>
      <c r="K7695" s="583">
        <v>0</v>
      </c>
      <c r="L7695" s="92">
        <v>29.15</v>
      </c>
      <c r="M7695" s="92">
        <v>14.49</v>
      </c>
    </row>
    <row r="7696" ht="35.05" customHeight="1" spans="3:13">
      <c r="C7696" s="79" t="s">
        <v>2921</v>
      </c>
      <c r="D7696" s="78" t="s">
        <v>5069</v>
      </c>
      <c r="E7696" s="79" t="s">
        <v>139</v>
      </c>
      <c r="F7696" s="79" t="s">
        <v>5070</v>
      </c>
      <c r="G7696" s="79" t="s">
        <v>2995</v>
      </c>
      <c r="H7696" s="79"/>
      <c r="I7696" s="80" t="s">
        <v>3002</v>
      </c>
      <c r="J7696" s="583">
        <v>0.0254</v>
      </c>
      <c r="K7696" s="583">
        <v>0</v>
      </c>
      <c r="L7696" s="92">
        <v>6.22</v>
      </c>
      <c r="M7696" s="92">
        <v>0.15</v>
      </c>
    </row>
    <row r="7697" ht="15" customHeight="1" spans="3:13">
      <c r="C7697" s="100" t="s">
        <v>2893</v>
      </c>
      <c r="D7697" s="99" t="s">
        <v>5071</v>
      </c>
      <c r="E7697" s="100" t="s">
        <v>139</v>
      </c>
      <c r="F7697" s="100" t="s">
        <v>5072</v>
      </c>
      <c r="G7697" s="100" t="s">
        <v>2961</v>
      </c>
      <c r="H7697" s="100"/>
      <c r="I7697" s="101" t="s">
        <v>3084</v>
      </c>
      <c r="J7697" s="580">
        <v>0.04</v>
      </c>
      <c r="K7697" s="580">
        <v>0</v>
      </c>
      <c r="L7697" s="102">
        <v>13.76</v>
      </c>
      <c r="M7697" s="102">
        <v>0.55</v>
      </c>
    </row>
    <row r="7698" ht="15" customHeight="1" spans="3:13">
      <c r="C7698" s="100" t="s">
        <v>2893</v>
      </c>
      <c r="D7698" s="99" t="s">
        <v>5073</v>
      </c>
      <c r="E7698" s="100" t="s">
        <v>139</v>
      </c>
      <c r="F7698" s="100" t="s">
        <v>5074</v>
      </c>
      <c r="G7698" s="100" t="s">
        <v>2961</v>
      </c>
      <c r="H7698" s="100"/>
      <c r="I7698" s="101" t="s">
        <v>3084</v>
      </c>
      <c r="J7698" s="580">
        <v>0.0125</v>
      </c>
      <c r="K7698" s="580">
        <v>0</v>
      </c>
      <c r="L7698" s="102">
        <v>24.24</v>
      </c>
      <c r="M7698" s="102">
        <v>0.3</v>
      </c>
    </row>
    <row r="7699" ht="23.85" customHeight="1" spans="3:13">
      <c r="C7699" s="100" t="s">
        <v>2893</v>
      </c>
      <c r="D7699" s="99" t="s">
        <v>3019</v>
      </c>
      <c r="E7699" s="100" t="s">
        <v>139</v>
      </c>
      <c r="F7699" s="100" t="s">
        <v>3020</v>
      </c>
      <c r="G7699" s="100" t="s">
        <v>2961</v>
      </c>
      <c r="H7699" s="100"/>
      <c r="I7699" s="101" t="s">
        <v>204</v>
      </c>
      <c r="J7699" s="580">
        <v>1.67</v>
      </c>
      <c r="K7699" s="580">
        <v>0</v>
      </c>
      <c r="L7699" s="102">
        <v>1.37</v>
      </c>
      <c r="M7699" s="102">
        <v>2.28</v>
      </c>
    </row>
    <row r="7700" ht="23.85" customHeight="1" spans="3:13">
      <c r="C7700" s="100" t="s">
        <v>2893</v>
      </c>
      <c r="D7700" s="99" t="s">
        <v>5075</v>
      </c>
      <c r="E7700" s="100" t="s">
        <v>139</v>
      </c>
      <c r="F7700" s="100" t="s">
        <v>5076</v>
      </c>
      <c r="G7700" s="100" t="s">
        <v>2961</v>
      </c>
      <c r="H7700" s="100"/>
      <c r="I7700" s="101" t="s">
        <v>393</v>
      </c>
      <c r="J7700" s="580">
        <v>20</v>
      </c>
      <c r="K7700" s="580">
        <v>0</v>
      </c>
      <c r="L7700" s="102">
        <v>0.71</v>
      </c>
      <c r="M7700" s="102">
        <v>14.2</v>
      </c>
    </row>
    <row r="7701" ht="15" customHeight="1" spans="3:13">
      <c r="C7701" s="100" t="s">
        <v>2893</v>
      </c>
      <c r="D7701" s="99" t="s">
        <v>5077</v>
      </c>
      <c r="E7701" s="100" t="s">
        <v>139</v>
      </c>
      <c r="F7701" s="100" t="s">
        <v>5078</v>
      </c>
      <c r="G7701" s="100" t="s">
        <v>2961</v>
      </c>
      <c r="H7701" s="100"/>
      <c r="I7701" s="101" t="s">
        <v>393</v>
      </c>
      <c r="J7701" s="580">
        <v>10</v>
      </c>
      <c r="K7701" s="580">
        <v>0</v>
      </c>
      <c r="L7701" s="102">
        <v>3.41</v>
      </c>
      <c r="M7701" s="102">
        <v>34.1</v>
      </c>
    </row>
    <row r="7702" ht="25.5" spans="3:13">
      <c r="C7702" s="108"/>
      <c r="D7702" s="108"/>
      <c r="E7702" s="108"/>
      <c r="F7702" s="108"/>
      <c r="G7702" s="108"/>
      <c r="H7702" s="108" t="s">
        <v>2898</v>
      </c>
      <c r="I7702" s="581">
        <v>32.3</v>
      </c>
      <c r="J7702" s="108" t="s">
        <v>2899</v>
      </c>
      <c r="K7702" s="581">
        <v>0</v>
      </c>
      <c r="L7702" s="108" t="s">
        <v>2900</v>
      </c>
      <c r="M7702" s="581">
        <v>32.3</v>
      </c>
    </row>
    <row r="7703" ht="26.25" spans="3:13">
      <c r="C7703" s="108"/>
      <c r="D7703" s="108"/>
      <c r="E7703" s="108"/>
      <c r="F7703" s="108"/>
      <c r="G7703" s="108"/>
      <c r="H7703" s="108" t="s">
        <v>2901</v>
      </c>
      <c r="I7703" s="581">
        <v>25.6</v>
      </c>
      <c r="J7703" s="114"/>
      <c r="K7703" s="114" t="s">
        <v>2902</v>
      </c>
      <c r="L7703" s="108"/>
      <c r="M7703" s="581">
        <v>126.06</v>
      </c>
    </row>
    <row r="7704" ht="15" spans="3:13">
      <c r="C7704" s="571"/>
      <c r="D7704" s="571"/>
      <c r="E7704" s="571"/>
      <c r="F7704" s="571"/>
      <c r="G7704" s="571"/>
      <c r="H7704" s="571"/>
      <c r="I7704" s="571"/>
      <c r="J7704" s="571"/>
      <c r="K7704" s="571"/>
      <c r="L7704" s="571"/>
      <c r="M7704" s="571"/>
    </row>
    <row r="7705" ht="15" customHeight="1" spans="3:13">
      <c r="C7705" s="76" t="s">
        <v>2664</v>
      </c>
      <c r="D7705" s="75" t="s">
        <v>63</v>
      </c>
      <c r="E7705" s="76" t="s">
        <v>64</v>
      </c>
      <c r="F7705" s="76" t="s">
        <v>65</v>
      </c>
      <c r="G7705" s="76" t="s">
        <v>2889</v>
      </c>
      <c r="H7705" s="76"/>
      <c r="I7705" s="77" t="s">
        <v>66</v>
      </c>
      <c r="J7705" s="75" t="s">
        <v>67</v>
      </c>
      <c r="K7705" s="75" t="s">
        <v>2890</v>
      </c>
      <c r="L7705" s="75" t="s">
        <v>68</v>
      </c>
      <c r="M7705" s="75" t="s">
        <v>70</v>
      </c>
    </row>
    <row r="7706" ht="35.05" customHeight="1" spans="3:13">
      <c r="C7706" s="569" t="s">
        <v>2891</v>
      </c>
      <c r="D7706" s="570" t="s">
        <v>2665</v>
      </c>
      <c r="E7706" s="569" t="s">
        <v>132</v>
      </c>
      <c r="F7706" s="569" t="s">
        <v>2666</v>
      </c>
      <c r="G7706" s="569" t="s">
        <v>2924</v>
      </c>
      <c r="H7706" s="569"/>
      <c r="I7706" s="577" t="s">
        <v>141</v>
      </c>
      <c r="J7706" s="578">
        <v>1</v>
      </c>
      <c r="K7706" s="579"/>
      <c r="L7706" s="579">
        <v>61.23</v>
      </c>
      <c r="M7706" s="579">
        <v>61.23</v>
      </c>
    </row>
    <row r="7707" ht="35.05" customHeight="1" spans="3:13">
      <c r="C7707" s="79" t="s">
        <v>2921</v>
      </c>
      <c r="D7707" s="78" t="s">
        <v>5079</v>
      </c>
      <c r="E7707" s="79" t="s">
        <v>139</v>
      </c>
      <c r="F7707" s="79" t="s">
        <v>5080</v>
      </c>
      <c r="G7707" s="79" t="s">
        <v>5081</v>
      </c>
      <c r="H7707" s="79"/>
      <c r="I7707" s="80" t="s">
        <v>2897</v>
      </c>
      <c r="J7707" s="583">
        <v>0.312</v>
      </c>
      <c r="K7707" s="583">
        <v>0</v>
      </c>
      <c r="L7707" s="92">
        <v>2.17</v>
      </c>
      <c r="M7707" s="92">
        <v>0.67</v>
      </c>
    </row>
    <row r="7708" ht="23.85" customHeight="1" spans="3:13">
      <c r="C7708" s="79" t="s">
        <v>2921</v>
      </c>
      <c r="D7708" s="78" t="s">
        <v>3480</v>
      </c>
      <c r="E7708" s="79" t="s">
        <v>139</v>
      </c>
      <c r="F7708" s="79" t="s">
        <v>3481</v>
      </c>
      <c r="G7708" s="79" t="s">
        <v>2928</v>
      </c>
      <c r="H7708" s="79"/>
      <c r="I7708" s="80" t="s">
        <v>2897</v>
      </c>
      <c r="J7708" s="583">
        <v>0.7</v>
      </c>
      <c r="K7708" s="583">
        <v>0</v>
      </c>
      <c r="L7708" s="92">
        <v>30.79</v>
      </c>
      <c r="M7708" s="92">
        <v>21.55</v>
      </c>
    </row>
    <row r="7709" ht="35.05" customHeight="1" spans="3:13">
      <c r="C7709" s="79" t="s">
        <v>2921</v>
      </c>
      <c r="D7709" s="78" t="s">
        <v>5082</v>
      </c>
      <c r="E7709" s="79" t="s">
        <v>139</v>
      </c>
      <c r="F7709" s="79" t="s">
        <v>5083</v>
      </c>
      <c r="G7709" s="79" t="s">
        <v>5081</v>
      </c>
      <c r="H7709" s="79"/>
      <c r="I7709" s="80" t="s">
        <v>2897</v>
      </c>
      <c r="J7709" s="583">
        <v>0.156</v>
      </c>
      <c r="K7709" s="583">
        <v>0</v>
      </c>
      <c r="L7709" s="92">
        <v>7.14</v>
      </c>
      <c r="M7709" s="92">
        <v>1.11</v>
      </c>
    </row>
    <row r="7710" ht="23.85" customHeight="1" spans="3:13">
      <c r="C7710" s="79" t="s">
        <v>2921</v>
      </c>
      <c r="D7710" s="78" t="s">
        <v>2952</v>
      </c>
      <c r="E7710" s="79" t="s">
        <v>139</v>
      </c>
      <c r="F7710" s="79" t="s">
        <v>2953</v>
      </c>
      <c r="G7710" s="79" t="s">
        <v>2928</v>
      </c>
      <c r="H7710" s="79"/>
      <c r="I7710" s="80" t="s">
        <v>2897</v>
      </c>
      <c r="J7710" s="583">
        <v>0.5</v>
      </c>
      <c r="K7710" s="583">
        <v>0</v>
      </c>
      <c r="L7710" s="92">
        <v>29.15</v>
      </c>
      <c r="M7710" s="92">
        <v>14.57</v>
      </c>
    </row>
    <row r="7711" ht="23.85" customHeight="1" spans="3:13">
      <c r="C7711" s="100" t="s">
        <v>2893</v>
      </c>
      <c r="D7711" s="99" t="s">
        <v>5084</v>
      </c>
      <c r="E7711" s="100" t="s">
        <v>139</v>
      </c>
      <c r="F7711" s="100" t="s">
        <v>5085</v>
      </c>
      <c r="G7711" s="100" t="s">
        <v>2961</v>
      </c>
      <c r="H7711" s="100"/>
      <c r="I7711" s="101" t="s">
        <v>134</v>
      </c>
      <c r="J7711" s="580">
        <v>0.18</v>
      </c>
      <c r="K7711" s="580">
        <v>0</v>
      </c>
      <c r="L7711" s="102">
        <v>53.96</v>
      </c>
      <c r="M7711" s="102">
        <v>9.71</v>
      </c>
    </row>
    <row r="7712" ht="15" customHeight="1" spans="3:13">
      <c r="C7712" s="100" t="s">
        <v>2893</v>
      </c>
      <c r="D7712" s="99" t="s">
        <v>5086</v>
      </c>
      <c r="E7712" s="100" t="s">
        <v>139</v>
      </c>
      <c r="F7712" s="100" t="s">
        <v>5087</v>
      </c>
      <c r="G7712" s="100" t="s">
        <v>2961</v>
      </c>
      <c r="H7712" s="100"/>
      <c r="I7712" s="101" t="s">
        <v>393</v>
      </c>
      <c r="J7712" s="580">
        <v>0.1</v>
      </c>
      <c r="K7712" s="580">
        <v>0</v>
      </c>
      <c r="L7712" s="102">
        <v>27</v>
      </c>
      <c r="M7712" s="102">
        <v>2.7</v>
      </c>
    </row>
    <row r="7713" ht="23.85" customHeight="1" spans="3:13">
      <c r="C7713" s="100" t="s">
        <v>2893</v>
      </c>
      <c r="D7713" s="99" t="s">
        <v>5088</v>
      </c>
      <c r="E7713" s="100" t="s">
        <v>139</v>
      </c>
      <c r="F7713" s="100" t="s">
        <v>5089</v>
      </c>
      <c r="G7713" s="100" t="s">
        <v>2961</v>
      </c>
      <c r="H7713" s="100"/>
      <c r="I7713" s="101" t="s">
        <v>3084</v>
      </c>
      <c r="J7713" s="580">
        <v>0.518</v>
      </c>
      <c r="K7713" s="580">
        <v>0</v>
      </c>
      <c r="L7713" s="102">
        <v>20.28</v>
      </c>
      <c r="M7713" s="102">
        <v>10.5</v>
      </c>
    </row>
    <row r="7714" ht="15" customHeight="1" spans="3:13">
      <c r="C7714" s="100" t="s">
        <v>2893</v>
      </c>
      <c r="D7714" s="99" t="s">
        <v>5090</v>
      </c>
      <c r="E7714" s="100" t="s">
        <v>139</v>
      </c>
      <c r="F7714" s="100" t="s">
        <v>5091</v>
      </c>
      <c r="G7714" s="100" t="s">
        <v>2961</v>
      </c>
      <c r="H7714" s="100"/>
      <c r="I7714" s="101" t="s">
        <v>393</v>
      </c>
      <c r="J7714" s="580">
        <v>0.1</v>
      </c>
      <c r="K7714" s="580">
        <v>0</v>
      </c>
      <c r="L7714" s="102">
        <v>4.28</v>
      </c>
      <c r="M7714" s="102">
        <v>0.42</v>
      </c>
    </row>
    <row r="7715" ht="25.5" spans="3:13">
      <c r="C7715" s="108"/>
      <c r="D7715" s="108"/>
      <c r="E7715" s="108"/>
      <c r="F7715" s="108"/>
      <c r="G7715" s="108"/>
      <c r="H7715" s="108" t="s">
        <v>2898</v>
      </c>
      <c r="I7715" s="581">
        <v>24.14</v>
      </c>
      <c r="J7715" s="108" t="s">
        <v>2899</v>
      </c>
      <c r="K7715" s="581">
        <v>0</v>
      </c>
      <c r="L7715" s="108" t="s">
        <v>2900</v>
      </c>
      <c r="M7715" s="581">
        <v>24.14</v>
      </c>
    </row>
    <row r="7716" ht="26.25" spans="3:13">
      <c r="C7716" s="108"/>
      <c r="D7716" s="108"/>
      <c r="E7716" s="108"/>
      <c r="F7716" s="108"/>
      <c r="G7716" s="108"/>
      <c r="H7716" s="108" t="s">
        <v>2901</v>
      </c>
      <c r="I7716" s="581">
        <v>15.6</v>
      </c>
      <c r="J7716" s="114"/>
      <c r="K7716" s="114" t="s">
        <v>2902</v>
      </c>
      <c r="L7716" s="108"/>
      <c r="M7716" s="581">
        <v>76.83</v>
      </c>
    </row>
    <row r="7717" ht="15" spans="3:13">
      <c r="C7717" s="571"/>
      <c r="D7717" s="571"/>
      <c r="E7717" s="571"/>
      <c r="F7717" s="571"/>
      <c r="G7717" s="571"/>
      <c r="H7717" s="571"/>
      <c r="I7717" s="571"/>
      <c r="J7717" s="571"/>
      <c r="K7717" s="571"/>
      <c r="L7717" s="571"/>
      <c r="M7717" s="571"/>
    </row>
    <row r="7718" ht="15" customHeight="1" spans="3:13">
      <c r="C7718" s="76" t="s">
        <v>2667</v>
      </c>
      <c r="D7718" s="75" t="s">
        <v>63</v>
      </c>
      <c r="E7718" s="76" t="s">
        <v>64</v>
      </c>
      <c r="F7718" s="76" t="s">
        <v>65</v>
      </c>
      <c r="G7718" s="76" t="s">
        <v>2889</v>
      </c>
      <c r="H7718" s="76"/>
      <c r="I7718" s="77" t="s">
        <v>66</v>
      </c>
      <c r="J7718" s="75" t="s">
        <v>67</v>
      </c>
      <c r="K7718" s="75" t="s">
        <v>2890</v>
      </c>
      <c r="L7718" s="75" t="s">
        <v>68</v>
      </c>
      <c r="M7718" s="75" t="s">
        <v>70</v>
      </c>
    </row>
    <row r="7719" ht="51" spans="3:13">
      <c r="C7719" s="569" t="s">
        <v>2891</v>
      </c>
      <c r="D7719" s="570" t="s">
        <v>2668</v>
      </c>
      <c r="E7719" s="569" t="s">
        <v>77</v>
      </c>
      <c r="F7719" s="569" t="s">
        <v>2669</v>
      </c>
      <c r="G7719" s="569">
        <v>13</v>
      </c>
      <c r="H7719" s="569"/>
      <c r="I7719" s="577" t="s">
        <v>204</v>
      </c>
      <c r="J7719" s="578">
        <v>1</v>
      </c>
      <c r="K7719" s="579"/>
      <c r="L7719" s="579">
        <v>80.82</v>
      </c>
      <c r="M7719" s="579">
        <v>80.82</v>
      </c>
    </row>
    <row r="7720" ht="35.05" customHeight="1" spans="3:13">
      <c r="C7720" s="100" t="s">
        <v>2893</v>
      </c>
      <c r="D7720" s="99" t="s">
        <v>5092</v>
      </c>
      <c r="E7720" s="100" t="s">
        <v>77</v>
      </c>
      <c r="F7720" s="100" t="s">
        <v>5093</v>
      </c>
      <c r="G7720" s="100" t="s">
        <v>2961</v>
      </c>
      <c r="H7720" s="100"/>
      <c r="I7720" s="101" t="s">
        <v>204</v>
      </c>
      <c r="J7720" s="580">
        <v>1</v>
      </c>
      <c r="K7720" s="580">
        <v>0</v>
      </c>
      <c r="L7720" s="102">
        <v>79.22</v>
      </c>
      <c r="M7720" s="102">
        <v>79.22</v>
      </c>
    </row>
    <row r="7721" ht="23.85" customHeight="1" spans="3:13">
      <c r="C7721" s="100" t="s">
        <v>2893</v>
      </c>
      <c r="D7721" s="99" t="s">
        <v>5094</v>
      </c>
      <c r="E7721" s="100" t="s">
        <v>77</v>
      </c>
      <c r="F7721" s="100" t="s">
        <v>5095</v>
      </c>
      <c r="G7721" s="100" t="s">
        <v>2961</v>
      </c>
      <c r="H7721" s="100"/>
      <c r="I7721" s="101" t="s">
        <v>393</v>
      </c>
      <c r="J7721" s="580">
        <v>2.25</v>
      </c>
      <c r="K7721" s="580">
        <v>0</v>
      </c>
      <c r="L7721" s="102">
        <v>0.59</v>
      </c>
      <c r="M7721" s="102">
        <v>1.32</v>
      </c>
    </row>
    <row r="7722" ht="23.85" customHeight="1" spans="3:13">
      <c r="C7722" s="100" t="s">
        <v>2893</v>
      </c>
      <c r="D7722" s="99" t="s">
        <v>5096</v>
      </c>
      <c r="E7722" s="100" t="s">
        <v>77</v>
      </c>
      <c r="F7722" s="100" t="s">
        <v>5097</v>
      </c>
      <c r="G7722" s="100" t="s">
        <v>2961</v>
      </c>
      <c r="H7722" s="100"/>
      <c r="I7722" s="101" t="s">
        <v>279</v>
      </c>
      <c r="J7722" s="580">
        <v>0.0025</v>
      </c>
      <c r="K7722" s="580">
        <v>0</v>
      </c>
      <c r="L7722" s="102">
        <v>113.75</v>
      </c>
      <c r="M7722" s="102">
        <v>0.28</v>
      </c>
    </row>
    <row r="7723" ht="25.5" spans="3:13">
      <c r="C7723" s="108"/>
      <c r="D7723" s="108"/>
      <c r="E7723" s="108"/>
      <c r="F7723" s="108"/>
      <c r="G7723" s="108"/>
      <c r="H7723" s="108" t="s">
        <v>2898</v>
      </c>
      <c r="I7723" s="581">
        <v>0</v>
      </c>
      <c r="J7723" s="108" t="s">
        <v>2899</v>
      </c>
      <c r="K7723" s="581">
        <v>0</v>
      </c>
      <c r="L7723" s="108" t="s">
        <v>2900</v>
      </c>
      <c r="M7723" s="581">
        <v>0</v>
      </c>
    </row>
    <row r="7724" ht="26.25" spans="3:13">
      <c r="C7724" s="108"/>
      <c r="D7724" s="108"/>
      <c r="E7724" s="108"/>
      <c r="F7724" s="108"/>
      <c r="G7724" s="108"/>
      <c r="H7724" s="108" t="s">
        <v>2901</v>
      </c>
      <c r="I7724" s="581">
        <v>20.6</v>
      </c>
      <c r="J7724" s="114"/>
      <c r="K7724" s="114" t="s">
        <v>2902</v>
      </c>
      <c r="L7724" s="108"/>
      <c r="M7724" s="581">
        <v>101.42</v>
      </c>
    </row>
    <row r="7725" ht="15" spans="3:13">
      <c r="C7725" s="571"/>
      <c r="D7725" s="571"/>
      <c r="E7725" s="571"/>
      <c r="F7725" s="571"/>
      <c r="G7725" s="571"/>
      <c r="H7725" s="571"/>
      <c r="I7725" s="571"/>
      <c r="J7725" s="571"/>
      <c r="K7725" s="571"/>
      <c r="L7725" s="571"/>
      <c r="M7725" s="571"/>
    </row>
    <row r="7726" ht="15" customHeight="1" spans="3:13">
      <c r="C7726" s="76" t="s">
        <v>2670</v>
      </c>
      <c r="D7726" s="75" t="s">
        <v>63</v>
      </c>
      <c r="E7726" s="76" t="s">
        <v>64</v>
      </c>
      <c r="F7726" s="76" t="s">
        <v>65</v>
      </c>
      <c r="G7726" s="76" t="s">
        <v>2889</v>
      </c>
      <c r="H7726" s="76"/>
      <c r="I7726" s="77" t="s">
        <v>66</v>
      </c>
      <c r="J7726" s="75" t="s">
        <v>67</v>
      </c>
      <c r="K7726" s="75" t="s">
        <v>2890</v>
      </c>
      <c r="L7726" s="75" t="s">
        <v>68</v>
      </c>
      <c r="M7726" s="75" t="s">
        <v>70</v>
      </c>
    </row>
    <row r="7727" ht="23.85" customHeight="1" spans="3:13">
      <c r="C7727" s="569" t="s">
        <v>2891</v>
      </c>
      <c r="D7727" s="570" t="s">
        <v>2671</v>
      </c>
      <c r="E7727" s="569" t="s">
        <v>139</v>
      </c>
      <c r="F7727" s="569" t="s">
        <v>2672</v>
      </c>
      <c r="G7727" s="569" t="s">
        <v>3013</v>
      </c>
      <c r="H7727" s="569"/>
      <c r="I7727" s="577" t="s">
        <v>141</v>
      </c>
      <c r="J7727" s="578">
        <v>1</v>
      </c>
      <c r="K7727" s="579"/>
      <c r="L7727" s="579">
        <v>223.57</v>
      </c>
      <c r="M7727" s="579">
        <v>223.57</v>
      </c>
    </row>
    <row r="7728" ht="23.85" customHeight="1" spans="3:13">
      <c r="C7728" s="79" t="s">
        <v>2921</v>
      </c>
      <c r="D7728" s="78" t="s">
        <v>2952</v>
      </c>
      <c r="E7728" s="79" t="s">
        <v>139</v>
      </c>
      <c r="F7728" s="79" t="s">
        <v>2953</v>
      </c>
      <c r="G7728" s="79" t="s">
        <v>2928</v>
      </c>
      <c r="H7728" s="79"/>
      <c r="I7728" s="80" t="s">
        <v>2897</v>
      </c>
      <c r="J7728" s="583">
        <v>0.085</v>
      </c>
      <c r="K7728" s="583">
        <v>0</v>
      </c>
      <c r="L7728" s="92">
        <v>29.15</v>
      </c>
      <c r="M7728" s="92">
        <v>2.47</v>
      </c>
    </row>
    <row r="7729" ht="23.85" customHeight="1" spans="3:13">
      <c r="C7729" s="79" t="s">
        <v>2921</v>
      </c>
      <c r="D7729" s="78" t="s">
        <v>3017</v>
      </c>
      <c r="E7729" s="79" t="s">
        <v>139</v>
      </c>
      <c r="F7729" s="79" t="s">
        <v>3018</v>
      </c>
      <c r="G7729" s="79" t="s">
        <v>2928</v>
      </c>
      <c r="H7729" s="79"/>
      <c r="I7729" s="80" t="s">
        <v>2897</v>
      </c>
      <c r="J7729" s="583">
        <v>0.171</v>
      </c>
      <c r="K7729" s="583">
        <v>0</v>
      </c>
      <c r="L7729" s="92">
        <v>36.96</v>
      </c>
      <c r="M7729" s="92">
        <v>6.32</v>
      </c>
    </row>
    <row r="7730" ht="23.85" customHeight="1" spans="3:13">
      <c r="C7730" s="100" t="s">
        <v>2893</v>
      </c>
      <c r="D7730" s="99" t="s">
        <v>5098</v>
      </c>
      <c r="E7730" s="100" t="s">
        <v>139</v>
      </c>
      <c r="F7730" s="100" t="s">
        <v>5099</v>
      </c>
      <c r="G7730" s="100" t="s">
        <v>2961</v>
      </c>
      <c r="H7730" s="100"/>
      <c r="I7730" s="101" t="s">
        <v>141</v>
      </c>
      <c r="J7730" s="580">
        <v>1.11</v>
      </c>
      <c r="K7730" s="580">
        <v>0</v>
      </c>
      <c r="L7730" s="102">
        <v>188.43</v>
      </c>
      <c r="M7730" s="102">
        <v>209.15</v>
      </c>
    </row>
    <row r="7731" ht="15" customHeight="1" spans="3:13">
      <c r="C7731" s="100" t="s">
        <v>2893</v>
      </c>
      <c r="D7731" s="99" t="s">
        <v>5100</v>
      </c>
      <c r="E7731" s="100" t="s">
        <v>139</v>
      </c>
      <c r="F7731" s="100" t="s">
        <v>5101</v>
      </c>
      <c r="G7731" s="100" t="s">
        <v>2961</v>
      </c>
      <c r="H7731" s="100"/>
      <c r="I7731" s="101" t="s">
        <v>393</v>
      </c>
      <c r="J7731" s="580">
        <v>0.095</v>
      </c>
      <c r="K7731" s="580">
        <v>0</v>
      </c>
      <c r="L7731" s="102">
        <v>59.28</v>
      </c>
      <c r="M7731" s="102">
        <v>5.63</v>
      </c>
    </row>
    <row r="7732" ht="25.5" spans="3:13">
      <c r="C7732" s="108"/>
      <c r="D7732" s="108"/>
      <c r="E7732" s="108"/>
      <c r="F7732" s="108"/>
      <c r="G7732" s="108"/>
      <c r="H7732" s="108" t="s">
        <v>2898</v>
      </c>
      <c r="I7732" s="581">
        <v>6.23</v>
      </c>
      <c r="J7732" s="108" t="s">
        <v>2899</v>
      </c>
      <c r="K7732" s="581">
        <v>0</v>
      </c>
      <c r="L7732" s="108" t="s">
        <v>2900</v>
      </c>
      <c r="M7732" s="581">
        <v>6.23</v>
      </c>
    </row>
    <row r="7733" ht="26.25" spans="3:13">
      <c r="C7733" s="108"/>
      <c r="D7733" s="108"/>
      <c r="E7733" s="108"/>
      <c r="F7733" s="108"/>
      <c r="G7733" s="108"/>
      <c r="H7733" s="108" t="s">
        <v>2901</v>
      </c>
      <c r="I7733" s="581">
        <v>56.98</v>
      </c>
      <c r="J7733" s="114"/>
      <c r="K7733" s="114" t="s">
        <v>2902</v>
      </c>
      <c r="L7733" s="108"/>
      <c r="M7733" s="581">
        <v>280.55</v>
      </c>
    </row>
    <row r="7734" ht="15" spans="3:13">
      <c r="C7734" s="571"/>
      <c r="D7734" s="571"/>
      <c r="E7734" s="571"/>
      <c r="F7734" s="571"/>
      <c r="G7734" s="571"/>
      <c r="H7734" s="571"/>
      <c r="I7734" s="571"/>
      <c r="J7734" s="571"/>
      <c r="K7734" s="571"/>
      <c r="L7734" s="571"/>
      <c r="M7734" s="571"/>
    </row>
    <row r="7735" ht="15" customHeight="1" spans="3:13">
      <c r="C7735" s="76" t="s">
        <v>2673</v>
      </c>
      <c r="D7735" s="75" t="s">
        <v>63</v>
      </c>
      <c r="E7735" s="76" t="s">
        <v>64</v>
      </c>
      <c r="F7735" s="76" t="s">
        <v>65</v>
      </c>
      <c r="G7735" s="76" t="s">
        <v>2889</v>
      </c>
      <c r="H7735" s="76"/>
      <c r="I7735" s="77" t="s">
        <v>66</v>
      </c>
      <c r="J7735" s="75" t="s">
        <v>67</v>
      </c>
      <c r="K7735" s="75" t="s">
        <v>2890</v>
      </c>
      <c r="L7735" s="75" t="s">
        <v>68</v>
      </c>
      <c r="M7735" s="75" t="s">
        <v>70</v>
      </c>
    </row>
    <row r="7736" ht="23.85" customHeight="1" spans="3:13">
      <c r="C7736" s="569" t="s">
        <v>2891</v>
      </c>
      <c r="D7736" s="570" t="s">
        <v>2674</v>
      </c>
      <c r="E7736" s="569" t="s">
        <v>149</v>
      </c>
      <c r="F7736" s="569" t="s">
        <v>5102</v>
      </c>
      <c r="G7736" s="569" t="s">
        <v>5103</v>
      </c>
      <c r="H7736" s="569"/>
      <c r="I7736" s="577" t="s">
        <v>204</v>
      </c>
      <c r="J7736" s="578">
        <v>1</v>
      </c>
      <c r="K7736" s="579"/>
      <c r="L7736" s="579">
        <v>27.57</v>
      </c>
      <c r="M7736" s="579">
        <v>27.57</v>
      </c>
    </row>
    <row r="7737" ht="15" customHeight="1" spans="3:13">
      <c r="C7737" s="100" t="s">
        <v>2893</v>
      </c>
      <c r="D7737" s="99" t="s">
        <v>2974</v>
      </c>
      <c r="E7737" s="100" t="s">
        <v>149</v>
      </c>
      <c r="F7737" s="100" t="s">
        <v>2975</v>
      </c>
      <c r="G7737" s="100" t="s">
        <v>2896</v>
      </c>
      <c r="H7737" s="100"/>
      <c r="I7737" s="101" t="s">
        <v>2897</v>
      </c>
      <c r="J7737" s="580">
        <v>0.25</v>
      </c>
      <c r="K7737" s="580">
        <v>0</v>
      </c>
      <c r="L7737" s="102">
        <v>19.471856</v>
      </c>
      <c r="M7737" s="102">
        <v>4.86</v>
      </c>
    </row>
    <row r="7738" ht="15" customHeight="1" spans="3:13">
      <c r="C7738" s="100" t="s">
        <v>2893</v>
      </c>
      <c r="D7738" s="99" t="s">
        <v>5104</v>
      </c>
      <c r="E7738" s="100" t="s">
        <v>149</v>
      </c>
      <c r="F7738" s="100" t="s">
        <v>5105</v>
      </c>
      <c r="G7738" s="100" t="s">
        <v>2961</v>
      </c>
      <c r="H7738" s="100"/>
      <c r="I7738" s="101" t="s">
        <v>393</v>
      </c>
      <c r="J7738" s="580">
        <v>0.14</v>
      </c>
      <c r="K7738" s="580">
        <v>0</v>
      </c>
      <c r="L7738" s="102">
        <v>36.89</v>
      </c>
      <c r="M7738" s="102">
        <v>5.16</v>
      </c>
    </row>
    <row r="7739" ht="15" customHeight="1" spans="3:13">
      <c r="C7739" s="100" t="s">
        <v>2893</v>
      </c>
      <c r="D7739" s="99" t="s">
        <v>5106</v>
      </c>
      <c r="E7739" s="100" t="s">
        <v>149</v>
      </c>
      <c r="F7739" s="100" t="s">
        <v>5107</v>
      </c>
      <c r="G7739" s="100" t="s">
        <v>2896</v>
      </c>
      <c r="H7739" s="100"/>
      <c r="I7739" s="101" t="s">
        <v>2897</v>
      </c>
      <c r="J7739" s="580">
        <v>0.25</v>
      </c>
      <c r="K7739" s="580">
        <v>0</v>
      </c>
      <c r="L7739" s="102">
        <v>28.994744</v>
      </c>
      <c r="M7739" s="102">
        <v>7.24</v>
      </c>
    </row>
    <row r="7740" ht="15" customHeight="1" spans="3:13">
      <c r="C7740" s="100" t="s">
        <v>2893</v>
      </c>
      <c r="D7740" s="99" t="s">
        <v>5108</v>
      </c>
      <c r="E7740" s="100" t="s">
        <v>149</v>
      </c>
      <c r="F7740" s="100" t="s">
        <v>5102</v>
      </c>
      <c r="G7740" s="100" t="s">
        <v>2961</v>
      </c>
      <c r="H7740" s="100"/>
      <c r="I7740" s="101" t="s">
        <v>204</v>
      </c>
      <c r="J7740" s="580">
        <v>1.1</v>
      </c>
      <c r="K7740" s="580">
        <v>0</v>
      </c>
      <c r="L7740" s="102">
        <v>9.38</v>
      </c>
      <c r="M7740" s="102">
        <v>10.31</v>
      </c>
    </row>
    <row r="7741" ht="25.5" spans="3:13">
      <c r="C7741" s="108"/>
      <c r="D7741" s="108"/>
      <c r="E7741" s="108"/>
      <c r="F7741" s="108"/>
      <c r="G7741" s="108"/>
      <c r="H7741" s="108" t="s">
        <v>2898</v>
      </c>
      <c r="I7741" s="581">
        <v>12.1</v>
      </c>
      <c r="J7741" s="108" t="s">
        <v>2899</v>
      </c>
      <c r="K7741" s="581">
        <v>0</v>
      </c>
      <c r="L7741" s="108" t="s">
        <v>2900</v>
      </c>
      <c r="M7741" s="581">
        <v>12.1</v>
      </c>
    </row>
    <row r="7742" ht="26.25" spans="3:13">
      <c r="C7742" s="108"/>
      <c r="D7742" s="108"/>
      <c r="E7742" s="108"/>
      <c r="F7742" s="108"/>
      <c r="G7742" s="108"/>
      <c r="H7742" s="108" t="s">
        <v>2901</v>
      </c>
      <c r="I7742" s="581">
        <v>7.02</v>
      </c>
      <c r="J7742" s="114"/>
      <c r="K7742" s="114" t="s">
        <v>2902</v>
      </c>
      <c r="L7742" s="108"/>
      <c r="M7742" s="581">
        <v>34.59</v>
      </c>
    </row>
    <row r="7743" ht="15" spans="3:13">
      <c r="C7743" s="571"/>
      <c r="D7743" s="571"/>
      <c r="E7743" s="571"/>
      <c r="F7743" s="571"/>
      <c r="G7743" s="571"/>
      <c r="H7743" s="571"/>
      <c r="I7743" s="571"/>
      <c r="J7743" s="571"/>
      <c r="K7743" s="571"/>
      <c r="L7743" s="571"/>
      <c r="M7743" s="571"/>
    </row>
    <row r="7744" ht="15" customHeight="1" spans="3:13">
      <c r="C7744" s="76" t="s">
        <v>2676</v>
      </c>
      <c r="D7744" s="75" t="s">
        <v>63</v>
      </c>
      <c r="E7744" s="76" t="s">
        <v>64</v>
      </c>
      <c r="F7744" s="76" t="s">
        <v>65</v>
      </c>
      <c r="G7744" s="76" t="s">
        <v>2889</v>
      </c>
      <c r="H7744" s="76"/>
      <c r="I7744" s="77" t="s">
        <v>66</v>
      </c>
      <c r="J7744" s="75" t="s">
        <v>67</v>
      </c>
      <c r="K7744" s="75" t="s">
        <v>2890</v>
      </c>
      <c r="L7744" s="75" t="s">
        <v>68</v>
      </c>
      <c r="M7744" s="75" t="s">
        <v>70</v>
      </c>
    </row>
    <row r="7745" ht="23.85" customHeight="1" spans="3:13">
      <c r="C7745" s="569" t="s">
        <v>2891</v>
      </c>
      <c r="D7745" s="570" t="s">
        <v>2677</v>
      </c>
      <c r="E7745" s="569" t="s">
        <v>139</v>
      </c>
      <c r="F7745" s="569" t="s">
        <v>2678</v>
      </c>
      <c r="G7745" s="569" t="s">
        <v>3013</v>
      </c>
      <c r="H7745" s="569"/>
      <c r="I7745" s="577" t="s">
        <v>141</v>
      </c>
      <c r="J7745" s="578">
        <v>1</v>
      </c>
      <c r="K7745" s="579"/>
      <c r="L7745" s="579">
        <v>57.38</v>
      </c>
      <c r="M7745" s="579">
        <v>57.38</v>
      </c>
    </row>
    <row r="7746" ht="23.85" customHeight="1" spans="3:13">
      <c r="C7746" s="79" t="s">
        <v>2921</v>
      </c>
      <c r="D7746" s="78" t="s">
        <v>3017</v>
      </c>
      <c r="E7746" s="79" t="s">
        <v>139</v>
      </c>
      <c r="F7746" s="79" t="s">
        <v>3018</v>
      </c>
      <c r="G7746" s="79" t="s">
        <v>2928</v>
      </c>
      <c r="H7746" s="79"/>
      <c r="I7746" s="80" t="s">
        <v>2897</v>
      </c>
      <c r="J7746" s="583">
        <v>0.418</v>
      </c>
      <c r="K7746" s="583">
        <v>0</v>
      </c>
      <c r="L7746" s="92">
        <v>36.96</v>
      </c>
      <c r="M7746" s="92">
        <v>15.44</v>
      </c>
    </row>
    <row r="7747" ht="23.85" customHeight="1" spans="3:13">
      <c r="C7747" s="79" t="s">
        <v>2921</v>
      </c>
      <c r="D7747" s="78" t="s">
        <v>2952</v>
      </c>
      <c r="E7747" s="79" t="s">
        <v>139</v>
      </c>
      <c r="F7747" s="79" t="s">
        <v>2953</v>
      </c>
      <c r="G7747" s="79" t="s">
        <v>2928</v>
      </c>
      <c r="H7747" s="79"/>
      <c r="I7747" s="80" t="s">
        <v>2897</v>
      </c>
      <c r="J7747" s="583">
        <v>0.209</v>
      </c>
      <c r="K7747" s="583">
        <v>0</v>
      </c>
      <c r="L7747" s="92">
        <v>29.15</v>
      </c>
      <c r="M7747" s="92">
        <v>6.09</v>
      </c>
    </row>
    <row r="7748" ht="35.05" customHeight="1" spans="3:13">
      <c r="C7748" s="79" t="s">
        <v>2921</v>
      </c>
      <c r="D7748" s="78" t="s">
        <v>3014</v>
      </c>
      <c r="E7748" s="79" t="s">
        <v>139</v>
      </c>
      <c r="F7748" s="79" t="s">
        <v>3015</v>
      </c>
      <c r="G7748" s="79" t="s">
        <v>3016</v>
      </c>
      <c r="H7748" s="79"/>
      <c r="I7748" s="80" t="s">
        <v>279</v>
      </c>
      <c r="J7748" s="583">
        <v>0.053</v>
      </c>
      <c r="K7748" s="583">
        <v>0</v>
      </c>
      <c r="L7748" s="92">
        <v>627.48</v>
      </c>
      <c r="M7748" s="92">
        <v>33.25</v>
      </c>
    </row>
    <row r="7749" ht="15" customHeight="1" spans="3:13">
      <c r="C7749" s="100" t="s">
        <v>2893</v>
      </c>
      <c r="D7749" s="99" t="s">
        <v>3021</v>
      </c>
      <c r="E7749" s="100" t="s">
        <v>139</v>
      </c>
      <c r="F7749" s="100" t="s">
        <v>3022</v>
      </c>
      <c r="G7749" s="100" t="s">
        <v>2961</v>
      </c>
      <c r="H7749" s="100"/>
      <c r="I7749" s="101" t="s">
        <v>393</v>
      </c>
      <c r="J7749" s="580">
        <v>0.5</v>
      </c>
      <c r="K7749" s="580">
        <v>0</v>
      </c>
      <c r="L7749" s="102">
        <v>0.64</v>
      </c>
      <c r="M7749" s="102">
        <v>0.32</v>
      </c>
    </row>
    <row r="7750" ht="23.85" customHeight="1" spans="3:13">
      <c r="C7750" s="100" t="s">
        <v>2893</v>
      </c>
      <c r="D7750" s="99" t="s">
        <v>3019</v>
      </c>
      <c r="E7750" s="100" t="s">
        <v>139</v>
      </c>
      <c r="F7750" s="100" t="s">
        <v>3020</v>
      </c>
      <c r="G7750" s="100" t="s">
        <v>2961</v>
      </c>
      <c r="H7750" s="100"/>
      <c r="I7750" s="101" t="s">
        <v>204</v>
      </c>
      <c r="J7750" s="580">
        <v>1.67</v>
      </c>
      <c r="K7750" s="580">
        <v>0</v>
      </c>
      <c r="L7750" s="102">
        <v>1.37</v>
      </c>
      <c r="M7750" s="102">
        <v>2.28</v>
      </c>
    </row>
    <row r="7751" ht="25.5" spans="3:13">
      <c r="C7751" s="108"/>
      <c r="D7751" s="108"/>
      <c r="E7751" s="108"/>
      <c r="F7751" s="108"/>
      <c r="G7751" s="108"/>
      <c r="H7751" s="108" t="s">
        <v>2898</v>
      </c>
      <c r="I7751" s="581">
        <v>20.74</v>
      </c>
      <c r="J7751" s="108" t="s">
        <v>2899</v>
      </c>
      <c r="K7751" s="581">
        <v>0</v>
      </c>
      <c r="L7751" s="108" t="s">
        <v>2900</v>
      </c>
      <c r="M7751" s="581">
        <v>20.74</v>
      </c>
    </row>
    <row r="7752" ht="26.25" spans="3:13">
      <c r="C7752" s="108"/>
      <c r="D7752" s="108"/>
      <c r="E7752" s="108"/>
      <c r="F7752" s="108"/>
      <c r="G7752" s="108"/>
      <c r="H7752" s="108" t="s">
        <v>2901</v>
      </c>
      <c r="I7752" s="581">
        <v>14.62</v>
      </c>
      <c r="J7752" s="114"/>
      <c r="K7752" s="114" t="s">
        <v>2902</v>
      </c>
      <c r="L7752" s="108"/>
      <c r="M7752" s="581">
        <v>72</v>
      </c>
    </row>
    <row r="7753" ht="15" spans="3:13">
      <c r="C7753" s="571"/>
      <c r="D7753" s="571"/>
      <c r="E7753" s="571"/>
      <c r="F7753" s="571"/>
      <c r="G7753" s="571"/>
      <c r="H7753" s="571"/>
      <c r="I7753" s="571"/>
      <c r="J7753" s="571"/>
      <c r="K7753" s="571"/>
      <c r="L7753" s="571"/>
      <c r="M7753" s="571"/>
    </row>
    <row r="7754" ht="15" customHeight="1" spans="3:13">
      <c r="C7754" s="76" t="s">
        <v>2679</v>
      </c>
      <c r="D7754" s="75" t="s">
        <v>63</v>
      </c>
      <c r="E7754" s="76" t="s">
        <v>64</v>
      </c>
      <c r="F7754" s="76" t="s">
        <v>65</v>
      </c>
      <c r="G7754" s="76" t="s">
        <v>2889</v>
      </c>
      <c r="H7754" s="76"/>
      <c r="I7754" s="77" t="s">
        <v>66</v>
      </c>
      <c r="J7754" s="75" t="s">
        <v>67</v>
      </c>
      <c r="K7754" s="75" t="s">
        <v>2890</v>
      </c>
      <c r="L7754" s="75" t="s">
        <v>68</v>
      </c>
      <c r="M7754" s="75" t="s">
        <v>70</v>
      </c>
    </row>
    <row r="7755" ht="35.05" customHeight="1" spans="3:13">
      <c r="C7755" s="569" t="s">
        <v>2891</v>
      </c>
      <c r="D7755" s="570" t="s">
        <v>2680</v>
      </c>
      <c r="E7755" s="569" t="s">
        <v>132</v>
      </c>
      <c r="F7755" s="569" t="s">
        <v>2681</v>
      </c>
      <c r="G7755" s="569" t="s">
        <v>5109</v>
      </c>
      <c r="H7755" s="569"/>
      <c r="I7755" s="577" t="s">
        <v>141</v>
      </c>
      <c r="J7755" s="578">
        <v>1</v>
      </c>
      <c r="K7755" s="579"/>
      <c r="L7755" s="579">
        <v>105.63</v>
      </c>
      <c r="M7755" s="579">
        <v>105.63</v>
      </c>
    </row>
    <row r="7756" ht="23.85" customHeight="1" spans="3:13">
      <c r="C7756" s="79" t="s">
        <v>2921</v>
      </c>
      <c r="D7756" s="78" t="s">
        <v>3487</v>
      </c>
      <c r="E7756" s="79" t="s">
        <v>139</v>
      </c>
      <c r="F7756" s="79" t="s">
        <v>3488</v>
      </c>
      <c r="G7756" s="79" t="s">
        <v>2928</v>
      </c>
      <c r="H7756" s="79"/>
      <c r="I7756" s="80" t="s">
        <v>2897</v>
      </c>
      <c r="J7756" s="583">
        <v>0.3</v>
      </c>
      <c r="K7756" s="583">
        <v>0</v>
      </c>
      <c r="L7756" s="92">
        <v>30.31</v>
      </c>
      <c r="M7756" s="92">
        <v>9.09</v>
      </c>
    </row>
    <row r="7757" ht="23.85" customHeight="1" spans="3:13">
      <c r="C7757" s="79" t="s">
        <v>2921</v>
      </c>
      <c r="D7757" s="78" t="s">
        <v>3258</v>
      </c>
      <c r="E7757" s="79" t="s">
        <v>139</v>
      </c>
      <c r="F7757" s="79" t="s">
        <v>3259</v>
      </c>
      <c r="G7757" s="79" t="s">
        <v>2928</v>
      </c>
      <c r="H7757" s="79"/>
      <c r="I7757" s="80" t="s">
        <v>2897</v>
      </c>
      <c r="J7757" s="583">
        <v>0.57</v>
      </c>
      <c r="K7757" s="583">
        <v>0</v>
      </c>
      <c r="L7757" s="92">
        <v>38.96</v>
      </c>
      <c r="M7757" s="92">
        <v>22.2</v>
      </c>
    </row>
    <row r="7758" ht="15" customHeight="1" spans="3:13">
      <c r="C7758" s="100" t="s">
        <v>2893</v>
      </c>
      <c r="D7758" s="99" t="s">
        <v>5110</v>
      </c>
      <c r="E7758" s="100" t="s">
        <v>149</v>
      </c>
      <c r="F7758" s="100" t="s">
        <v>5111</v>
      </c>
      <c r="G7758" s="100" t="s">
        <v>2961</v>
      </c>
      <c r="H7758" s="100"/>
      <c r="I7758" s="101" t="s">
        <v>141</v>
      </c>
      <c r="J7758" s="580">
        <v>1.1</v>
      </c>
      <c r="K7758" s="580">
        <v>0</v>
      </c>
      <c r="L7758" s="102">
        <v>54.9</v>
      </c>
      <c r="M7758" s="102">
        <v>60.39</v>
      </c>
    </row>
    <row r="7759" ht="23.85" customHeight="1" spans="3:13">
      <c r="C7759" s="100" t="s">
        <v>2893</v>
      </c>
      <c r="D7759" s="99" t="s">
        <v>5112</v>
      </c>
      <c r="E7759" s="100" t="s">
        <v>149</v>
      </c>
      <c r="F7759" s="100" t="s">
        <v>5113</v>
      </c>
      <c r="G7759" s="100" t="s">
        <v>2961</v>
      </c>
      <c r="H7759" s="100"/>
      <c r="I7759" s="101" t="s">
        <v>393</v>
      </c>
      <c r="J7759" s="580">
        <v>4.5</v>
      </c>
      <c r="K7759" s="580">
        <v>0</v>
      </c>
      <c r="L7759" s="102">
        <v>2.53</v>
      </c>
      <c r="M7759" s="102">
        <v>11.38</v>
      </c>
    </row>
    <row r="7760" ht="15" customHeight="1" spans="3:13">
      <c r="C7760" s="100" t="s">
        <v>2893</v>
      </c>
      <c r="D7760" s="99" t="s">
        <v>5114</v>
      </c>
      <c r="E7760" s="100" t="s">
        <v>149</v>
      </c>
      <c r="F7760" s="100" t="s">
        <v>5115</v>
      </c>
      <c r="G7760" s="100" t="s">
        <v>2961</v>
      </c>
      <c r="H7760" s="100"/>
      <c r="I7760" s="101" t="s">
        <v>393</v>
      </c>
      <c r="J7760" s="580">
        <v>0.25</v>
      </c>
      <c r="K7760" s="580">
        <v>0</v>
      </c>
      <c r="L7760" s="102">
        <v>10.31</v>
      </c>
      <c r="M7760" s="102">
        <v>2.57</v>
      </c>
    </row>
    <row r="7761" ht="25.5" spans="3:13">
      <c r="C7761" s="108"/>
      <c r="D7761" s="108"/>
      <c r="E7761" s="108"/>
      <c r="F7761" s="108"/>
      <c r="G7761" s="108"/>
      <c r="H7761" s="108" t="s">
        <v>2898</v>
      </c>
      <c r="I7761" s="581">
        <v>22.6</v>
      </c>
      <c r="J7761" s="108" t="s">
        <v>2899</v>
      </c>
      <c r="K7761" s="581">
        <v>0</v>
      </c>
      <c r="L7761" s="108" t="s">
        <v>2900</v>
      </c>
      <c r="M7761" s="581">
        <v>22.6</v>
      </c>
    </row>
    <row r="7762" ht="26.25" spans="3:13">
      <c r="C7762" s="108"/>
      <c r="D7762" s="108"/>
      <c r="E7762" s="108"/>
      <c r="F7762" s="108"/>
      <c r="G7762" s="108"/>
      <c r="H7762" s="108" t="s">
        <v>2901</v>
      </c>
      <c r="I7762" s="581">
        <v>26.92</v>
      </c>
      <c r="J7762" s="114"/>
      <c r="K7762" s="114" t="s">
        <v>2902</v>
      </c>
      <c r="L7762" s="108"/>
      <c r="M7762" s="581">
        <v>132.55</v>
      </c>
    </row>
    <row r="7763" ht="15" spans="3:13">
      <c r="C7763" s="571"/>
      <c r="D7763" s="571"/>
      <c r="E7763" s="571"/>
      <c r="F7763" s="571"/>
      <c r="G7763" s="571"/>
      <c r="H7763" s="571"/>
      <c r="I7763" s="571"/>
      <c r="J7763" s="571"/>
      <c r="K7763" s="571"/>
      <c r="L7763" s="571"/>
      <c r="M7763" s="571"/>
    </row>
    <row r="7764" ht="15" customHeight="1" spans="3:13">
      <c r="C7764" s="76" t="s">
        <v>2682</v>
      </c>
      <c r="D7764" s="75" t="s">
        <v>63</v>
      </c>
      <c r="E7764" s="76" t="s">
        <v>64</v>
      </c>
      <c r="F7764" s="76" t="s">
        <v>65</v>
      </c>
      <c r="G7764" s="76" t="s">
        <v>2889</v>
      </c>
      <c r="H7764" s="76"/>
      <c r="I7764" s="77" t="s">
        <v>66</v>
      </c>
      <c r="J7764" s="75" t="s">
        <v>67</v>
      </c>
      <c r="K7764" s="75" t="s">
        <v>2890</v>
      </c>
      <c r="L7764" s="75" t="s">
        <v>68</v>
      </c>
      <c r="M7764" s="75" t="s">
        <v>70</v>
      </c>
    </row>
    <row r="7765" ht="23.85" customHeight="1" spans="3:13">
      <c r="C7765" s="569" t="s">
        <v>2891</v>
      </c>
      <c r="D7765" s="570" t="s">
        <v>2683</v>
      </c>
      <c r="E7765" s="569" t="s">
        <v>139</v>
      </c>
      <c r="F7765" s="569" t="s">
        <v>5116</v>
      </c>
      <c r="G7765" s="569" t="s">
        <v>5117</v>
      </c>
      <c r="H7765" s="569"/>
      <c r="I7765" s="577" t="s">
        <v>204</v>
      </c>
      <c r="J7765" s="578">
        <v>1</v>
      </c>
      <c r="K7765" s="579"/>
      <c r="L7765" s="579">
        <v>8.42</v>
      </c>
      <c r="M7765" s="579">
        <v>8.42</v>
      </c>
    </row>
    <row r="7766" ht="23.85" customHeight="1" spans="3:13">
      <c r="C7766" s="79" t="s">
        <v>2921</v>
      </c>
      <c r="D7766" s="78" t="s">
        <v>3258</v>
      </c>
      <c r="E7766" s="79" t="s">
        <v>139</v>
      </c>
      <c r="F7766" s="79" t="s">
        <v>3259</v>
      </c>
      <c r="G7766" s="79" t="s">
        <v>2928</v>
      </c>
      <c r="H7766" s="79"/>
      <c r="I7766" s="80" t="s">
        <v>2897</v>
      </c>
      <c r="J7766" s="583">
        <v>0.0726</v>
      </c>
      <c r="K7766" s="583">
        <v>0</v>
      </c>
      <c r="L7766" s="92">
        <v>38.96</v>
      </c>
      <c r="M7766" s="92">
        <v>2.82</v>
      </c>
    </row>
    <row r="7767" ht="23.85" customHeight="1" spans="3:13">
      <c r="C7767" s="79" t="s">
        <v>2921</v>
      </c>
      <c r="D7767" s="78" t="s">
        <v>2952</v>
      </c>
      <c r="E7767" s="79" t="s">
        <v>139</v>
      </c>
      <c r="F7767" s="79" t="s">
        <v>2953</v>
      </c>
      <c r="G7767" s="79" t="s">
        <v>2928</v>
      </c>
      <c r="H7767" s="79"/>
      <c r="I7767" s="80" t="s">
        <v>2897</v>
      </c>
      <c r="J7767" s="583">
        <v>0.0286</v>
      </c>
      <c r="K7767" s="583">
        <v>0</v>
      </c>
      <c r="L7767" s="92">
        <v>29.15</v>
      </c>
      <c r="M7767" s="92">
        <v>0.83</v>
      </c>
    </row>
    <row r="7768" ht="15" customHeight="1" spans="3:13">
      <c r="C7768" s="100" t="s">
        <v>2893</v>
      </c>
      <c r="D7768" s="99" t="s">
        <v>5118</v>
      </c>
      <c r="E7768" s="100" t="s">
        <v>139</v>
      </c>
      <c r="F7768" s="100" t="s">
        <v>5119</v>
      </c>
      <c r="G7768" s="100" t="s">
        <v>2961</v>
      </c>
      <c r="H7768" s="100"/>
      <c r="I7768" s="101" t="s">
        <v>393</v>
      </c>
      <c r="J7768" s="580">
        <v>0.092</v>
      </c>
      <c r="K7768" s="580">
        <v>0</v>
      </c>
      <c r="L7768" s="102">
        <v>4.4</v>
      </c>
      <c r="M7768" s="102">
        <v>0.4</v>
      </c>
    </row>
    <row r="7769" ht="15" customHeight="1" spans="3:13">
      <c r="C7769" s="100" t="s">
        <v>2893</v>
      </c>
      <c r="D7769" s="99" t="s">
        <v>5120</v>
      </c>
      <c r="E7769" s="100" t="s">
        <v>139</v>
      </c>
      <c r="F7769" s="100" t="s">
        <v>5121</v>
      </c>
      <c r="G7769" s="100" t="s">
        <v>2961</v>
      </c>
      <c r="H7769" s="100"/>
      <c r="I7769" s="101" t="s">
        <v>393</v>
      </c>
      <c r="J7769" s="580">
        <v>0.6392</v>
      </c>
      <c r="K7769" s="580">
        <v>0</v>
      </c>
      <c r="L7769" s="102">
        <v>0.75</v>
      </c>
      <c r="M7769" s="102">
        <v>0.47</v>
      </c>
    </row>
    <row r="7770" ht="23.85" customHeight="1" spans="3:13">
      <c r="C7770" s="100" t="s">
        <v>2893</v>
      </c>
      <c r="D7770" s="99" t="s">
        <v>5122</v>
      </c>
      <c r="E7770" s="100" t="s">
        <v>139</v>
      </c>
      <c r="F7770" s="100" t="s">
        <v>5123</v>
      </c>
      <c r="G7770" s="100" t="s">
        <v>2961</v>
      </c>
      <c r="H7770" s="100"/>
      <c r="I7770" s="101" t="s">
        <v>141</v>
      </c>
      <c r="J7770" s="580">
        <v>0.1225</v>
      </c>
      <c r="K7770" s="580">
        <v>0</v>
      </c>
      <c r="L7770" s="102">
        <v>31.86</v>
      </c>
      <c r="M7770" s="102">
        <v>3.9</v>
      </c>
    </row>
    <row r="7771" ht="25.5" spans="3:13">
      <c r="C7771" s="108"/>
      <c r="D7771" s="108"/>
      <c r="E7771" s="108"/>
      <c r="F7771" s="108"/>
      <c r="G7771" s="108"/>
      <c r="H7771" s="108" t="s">
        <v>2898</v>
      </c>
      <c r="I7771" s="581">
        <v>2.64</v>
      </c>
      <c r="J7771" s="108" t="s">
        <v>2899</v>
      </c>
      <c r="K7771" s="581">
        <v>0</v>
      </c>
      <c r="L7771" s="108" t="s">
        <v>2900</v>
      </c>
      <c r="M7771" s="581">
        <v>2.64</v>
      </c>
    </row>
    <row r="7772" ht="26.25" spans="3:13">
      <c r="C7772" s="108"/>
      <c r="D7772" s="108"/>
      <c r="E7772" s="108"/>
      <c r="F7772" s="108"/>
      <c r="G7772" s="108"/>
      <c r="H7772" s="108" t="s">
        <v>2901</v>
      </c>
      <c r="I7772" s="581">
        <v>2.14</v>
      </c>
      <c r="J7772" s="114"/>
      <c r="K7772" s="114" t="s">
        <v>2902</v>
      </c>
      <c r="L7772" s="108"/>
      <c r="M7772" s="581">
        <v>10.56</v>
      </c>
    </row>
    <row r="7773" ht="15" spans="3:13">
      <c r="C7773" s="571"/>
      <c r="D7773" s="571"/>
      <c r="E7773" s="571"/>
      <c r="F7773" s="571"/>
      <c r="G7773" s="571"/>
      <c r="H7773" s="571"/>
      <c r="I7773" s="571"/>
      <c r="J7773" s="571"/>
      <c r="K7773" s="571"/>
      <c r="L7773" s="571"/>
      <c r="M7773" s="571"/>
    </row>
    <row r="7774" ht="15" customHeight="1" spans="3:13">
      <c r="C7774" s="76" t="s">
        <v>2685</v>
      </c>
      <c r="D7774" s="75" t="s">
        <v>63</v>
      </c>
      <c r="E7774" s="76" t="s">
        <v>64</v>
      </c>
      <c r="F7774" s="76" t="s">
        <v>65</v>
      </c>
      <c r="G7774" s="76" t="s">
        <v>2889</v>
      </c>
      <c r="H7774" s="76"/>
      <c r="I7774" s="77" t="s">
        <v>66</v>
      </c>
      <c r="J7774" s="75" t="s">
        <v>67</v>
      </c>
      <c r="K7774" s="75" t="s">
        <v>2890</v>
      </c>
      <c r="L7774" s="75" t="s">
        <v>68</v>
      </c>
      <c r="M7774" s="75" t="s">
        <v>70</v>
      </c>
    </row>
    <row r="7775" ht="35.05" customHeight="1" spans="3:13">
      <c r="C7775" s="569" t="s">
        <v>2891</v>
      </c>
      <c r="D7775" s="570" t="s">
        <v>2686</v>
      </c>
      <c r="E7775" s="569" t="s">
        <v>132</v>
      </c>
      <c r="F7775" s="569" t="s">
        <v>2687</v>
      </c>
      <c r="G7775" s="569" t="s">
        <v>5109</v>
      </c>
      <c r="H7775" s="569"/>
      <c r="I7775" s="577" t="s">
        <v>141</v>
      </c>
      <c r="J7775" s="578">
        <v>1</v>
      </c>
      <c r="K7775" s="579"/>
      <c r="L7775" s="579">
        <v>242.13</v>
      </c>
      <c r="M7775" s="579">
        <v>242.13</v>
      </c>
    </row>
    <row r="7776" ht="23.85" customHeight="1" spans="3:13">
      <c r="C7776" s="79" t="s">
        <v>2921</v>
      </c>
      <c r="D7776" s="78" t="s">
        <v>3017</v>
      </c>
      <c r="E7776" s="79" t="s">
        <v>139</v>
      </c>
      <c r="F7776" s="79" t="s">
        <v>3018</v>
      </c>
      <c r="G7776" s="79" t="s">
        <v>2928</v>
      </c>
      <c r="H7776" s="79"/>
      <c r="I7776" s="80" t="s">
        <v>2897</v>
      </c>
      <c r="J7776" s="583">
        <v>0.454</v>
      </c>
      <c r="K7776" s="583">
        <v>0</v>
      </c>
      <c r="L7776" s="92">
        <v>36.96</v>
      </c>
      <c r="M7776" s="92">
        <v>16.77</v>
      </c>
    </row>
    <row r="7777" ht="23.85" customHeight="1" spans="3:13">
      <c r="C7777" s="79" t="s">
        <v>2921</v>
      </c>
      <c r="D7777" s="78" t="s">
        <v>5124</v>
      </c>
      <c r="E7777" s="79" t="s">
        <v>139</v>
      </c>
      <c r="F7777" s="79" t="s">
        <v>5125</v>
      </c>
      <c r="G7777" s="79" t="s">
        <v>3016</v>
      </c>
      <c r="H7777" s="79"/>
      <c r="I7777" s="80" t="s">
        <v>279</v>
      </c>
      <c r="J7777" s="583">
        <v>0.0607</v>
      </c>
      <c r="K7777" s="583">
        <v>0</v>
      </c>
      <c r="L7777" s="92">
        <v>2173.09</v>
      </c>
      <c r="M7777" s="92">
        <v>131.9</v>
      </c>
    </row>
    <row r="7778" ht="23.85" customHeight="1" spans="3:13">
      <c r="C7778" s="79" t="s">
        <v>2921</v>
      </c>
      <c r="D7778" s="78" t="s">
        <v>2952</v>
      </c>
      <c r="E7778" s="79" t="s">
        <v>139</v>
      </c>
      <c r="F7778" s="79" t="s">
        <v>2953</v>
      </c>
      <c r="G7778" s="79" t="s">
        <v>2928</v>
      </c>
      <c r="H7778" s="79"/>
      <c r="I7778" s="80" t="s">
        <v>2897</v>
      </c>
      <c r="J7778" s="583">
        <v>0.227</v>
      </c>
      <c r="K7778" s="583">
        <v>0</v>
      </c>
      <c r="L7778" s="92">
        <v>29.15</v>
      </c>
      <c r="M7778" s="92">
        <v>6.61</v>
      </c>
    </row>
    <row r="7779" ht="23.85" customHeight="1" spans="3:13">
      <c r="C7779" s="100" t="s">
        <v>2893</v>
      </c>
      <c r="D7779" s="99" t="s">
        <v>3539</v>
      </c>
      <c r="E7779" s="100" t="s">
        <v>139</v>
      </c>
      <c r="F7779" s="100" t="s">
        <v>3540</v>
      </c>
      <c r="G7779" s="100" t="s">
        <v>2961</v>
      </c>
      <c r="H7779" s="100"/>
      <c r="I7779" s="101" t="s">
        <v>141</v>
      </c>
      <c r="J7779" s="580">
        <v>1.143</v>
      </c>
      <c r="K7779" s="580">
        <v>0</v>
      </c>
      <c r="L7779" s="102">
        <v>31.59</v>
      </c>
      <c r="M7779" s="102">
        <v>36.1</v>
      </c>
    </row>
    <row r="7780" ht="23.85" customHeight="1" spans="3:13">
      <c r="C7780" s="100" t="s">
        <v>2893</v>
      </c>
      <c r="D7780" s="99" t="s">
        <v>5126</v>
      </c>
      <c r="E7780" s="100" t="s">
        <v>132</v>
      </c>
      <c r="F7780" s="100" t="s">
        <v>5127</v>
      </c>
      <c r="G7780" s="100" t="s">
        <v>2961</v>
      </c>
      <c r="H7780" s="100"/>
      <c r="I7780" s="101" t="s">
        <v>134</v>
      </c>
      <c r="J7780" s="580">
        <v>0.7</v>
      </c>
      <c r="K7780" s="580">
        <v>0</v>
      </c>
      <c r="L7780" s="102">
        <v>72.51</v>
      </c>
      <c r="M7780" s="102">
        <v>50.75</v>
      </c>
    </row>
    <row r="7781" ht="25.5" spans="3:13">
      <c r="C7781" s="108"/>
      <c r="D7781" s="108"/>
      <c r="E7781" s="108"/>
      <c r="F7781" s="108"/>
      <c r="G7781" s="108"/>
      <c r="H7781" s="108" t="s">
        <v>2898</v>
      </c>
      <c r="I7781" s="581">
        <v>32.37</v>
      </c>
      <c r="J7781" s="108" t="s">
        <v>2899</v>
      </c>
      <c r="K7781" s="581">
        <v>0</v>
      </c>
      <c r="L7781" s="108" t="s">
        <v>2900</v>
      </c>
      <c r="M7781" s="581">
        <v>32.37</v>
      </c>
    </row>
    <row r="7782" ht="26.25" spans="3:13">
      <c r="C7782" s="108"/>
      <c r="D7782" s="108"/>
      <c r="E7782" s="108"/>
      <c r="F7782" s="108"/>
      <c r="G7782" s="108"/>
      <c r="H7782" s="108" t="s">
        <v>2901</v>
      </c>
      <c r="I7782" s="581">
        <v>61.71</v>
      </c>
      <c r="J7782" s="114"/>
      <c r="K7782" s="114" t="s">
        <v>2902</v>
      </c>
      <c r="L7782" s="108"/>
      <c r="M7782" s="581">
        <v>303.84</v>
      </c>
    </row>
    <row r="7783" ht="15" spans="3:13">
      <c r="C7783" s="571"/>
      <c r="D7783" s="571"/>
      <c r="E7783" s="571"/>
      <c r="F7783" s="571"/>
      <c r="G7783" s="571"/>
      <c r="H7783" s="571"/>
      <c r="I7783" s="571"/>
      <c r="J7783" s="571"/>
      <c r="K7783" s="571"/>
      <c r="L7783" s="571"/>
      <c r="M7783" s="571"/>
    </row>
    <row r="7784" ht="15" customHeight="1" spans="3:13">
      <c r="C7784" s="76" t="s">
        <v>2688</v>
      </c>
      <c r="D7784" s="75" t="s">
        <v>63</v>
      </c>
      <c r="E7784" s="76" t="s">
        <v>64</v>
      </c>
      <c r="F7784" s="76" t="s">
        <v>65</v>
      </c>
      <c r="G7784" s="76" t="s">
        <v>2889</v>
      </c>
      <c r="H7784" s="76"/>
      <c r="I7784" s="77" t="s">
        <v>66</v>
      </c>
      <c r="J7784" s="75" t="s">
        <v>67</v>
      </c>
      <c r="K7784" s="75" t="s">
        <v>2890</v>
      </c>
      <c r="L7784" s="75" t="s">
        <v>68</v>
      </c>
      <c r="M7784" s="75" t="s">
        <v>70</v>
      </c>
    </row>
    <row r="7785" ht="23.85" customHeight="1" spans="3:13">
      <c r="C7785" s="569" t="s">
        <v>2891</v>
      </c>
      <c r="D7785" s="570" t="s">
        <v>2689</v>
      </c>
      <c r="E7785" s="569" t="s">
        <v>139</v>
      </c>
      <c r="F7785" s="569" t="s">
        <v>2690</v>
      </c>
      <c r="G7785" s="569" t="s">
        <v>3013</v>
      </c>
      <c r="H7785" s="569"/>
      <c r="I7785" s="577" t="s">
        <v>204</v>
      </c>
      <c r="J7785" s="578">
        <v>1</v>
      </c>
      <c r="K7785" s="579"/>
      <c r="L7785" s="579">
        <v>191.3</v>
      </c>
      <c r="M7785" s="579">
        <v>191.3</v>
      </c>
    </row>
    <row r="7786" ht="23.85" customHeight="1" spans="3:13">
      <c r="C7786" s="79" t="s">
        <v>2921</v>
      </c>
      <c r="D7786" s="78" t="s">
        <v>3017</v>
      </c>
      <c r="E7786" s="79" t="s">
        <v>139</v>
      </c>
      <c r="F7786" s="79" t="s">
        <v>3018</v>
      </c>
      <c r="G7786" s="79" t="s">
        <v>2928</v>
      </c>
      <c r="H7786" s="79"/>
      <c r="I7786" s="80" t="s">
        <v>2897</v>
      </c>
      <c r="J7786" s="583">
        <v>0.437</v>
      </c>
      <c r="K7786" s="583">
        <v>0</v>
      </c>
      <c r="L7786" s="92">
        <v>36.96</v>
      </c>
      <c r="M7786" s="92">
        <v>16.15</v>
      </c>
    </row>
    <row r="7787" ht="23.85" customHeight="1" spans="3:13">
      <c r="C7787" s="79" t="s">
        <v>2921</v>
      </c>
      <c r="D7787" s="78" t="s">
        <v>2952</v>
      </c>
      <c r="E7787" s="79" t="s">
        <v>139</v>
      </c>
      <c r="F7787" s="79" t="s">
        <v>2953</v>
      </c>
      <c r="G7787" s="79" t="s">
        <v>2928</v>
      </c>
      <c r="H7787" s="79"/>
      <c r="I7787" s="80" t="s">
        <v>2897</v>
      </c>
      <c r="J7787" s="583">
        <v>0.218</v>
      </c>
      <c r="K7787" s="583">
        <v>0</v>
      </c>
      <c r="L7787" s="92">
        <v>29.15</v>
      </c>
      <c r="M7787" s="92">
        <v>6.35</v>
      </c>
    </row>
    <row r="7788" ht="23.85" customHeight="1" spans="3:13">
      <c r="C7788" s="100" t="s">
        <v>2893</v>
      </c>
      <c r="D7788" s="99" t="s">
        <v>5128</v>
      </c>
      <c r="E7788" s="100" t="s">
        <v>139</v>
      </c>
      <c r="F7788" s="100" t="s">
        <v>5129</v>
      </c>
      <c r="G7788" s="100" t="s">
        <v>2961</v>
      </c>
      <c r="H7788" s="100"/>
      <c r="I7788" s="101" t="s">
        <v>141</v>
      </c>
      <c r="J7788" s="580">
        <v>0.25</v>
      </c>
      <c r="K7788" s="580">
        <v>0</v>
      </c>
      <c r="L7788" s="102">
        <v>663.47</v>
      </c>
      <c r="M7788" s="102">
        <v>165.86</v>
      </c>
    </row>
    <row r="7789" ht="15" customHeight="1" spans="3:13">
      <c r="C7789" s="100" t="s">
        <v>2893</v>
      </c>
      <c r="D7789" s="99" t="s">
        <v>3021</v>
      </c>
      <c r="E7789" s="100" t="s">
        <v>139</v>
      </c>
      <c r="F7789" s="100" t="s">
        <v>3022</v>
      </c>
      <c r="G7789" s="100" t="s">
        <v>2961</v>
      </c>
      <c r="H7789" s="100"/>
      <c r="I7789" s="101" t="s">
        <v>393</v>
      </c>
      <c r="J7789" s="580">
        <v>0.24</v>
      </c>
      <c r="K7789" s="580">
        <v>0</v>
      </c>
      <c r="L7789" s="102">
        <v>0.64</v>
      </c>
      <c r="M7789" s="102">
        <v>0.15</v>
      </c>
    </row>
    <row r="7790" ht="15" customHeight="1" spans="3:13">
      <c r="C7790" s="100" t="s">
        <v>2893</v>
      </c>
      <c r="D7790" s="99" t="s">
        <v>5130</v>
      </c>
      <c r="E7790" s="100" t="s">
        <v>139</v>
      </c>
      <c r="F7790" s="100" t="s">
        <v>5131</v>
      </c>
      <c r="G7790" s="100" t="s">
        <v>2961</v>
      </c>
      <c r="H7790" s="100"/>
      <c r="I7790" s="101" t="s">
        <v>393</v>
      </c>
      <c r="J7790" s="580">
        <v>1.215</v>
      </c>
      <c r="K7790" s="580">
        <v>0</v>
      </c>
      <c r="L7790" s="102">
        <v>2.3</v>
      </c>
      <c r="M7790" s="102">
        <v>2.79</v>
      </c>
    </row>
    <row r="7791" ht="25.5" spans="3:13">
      <c r="C7791" s="108"/>
      <c r="D7791" s="108"/>
      <c r="E7791" s="108"/>
      <c r="F7791" s="108"/>
      <c r="G7791" s="108"/>
      <c r="H7791" s="108" t="s">
        <v>2898</v>
      </c>
      <c r="I7791" s="581">
        <v>15.95</v>
      </c>
      <c r="J7791" s="108" t="s">
        <v>2899</v>
      </c>
      <c r="K7791" s="581">
        <v>0</v>
      </c>
      <c r="L7791" s="108" t="s">
        <v>2900</v>
      </c>
      <c r="M7791" s="581">
        <v>15.95</v>
      </c>
    </row>
    <row r="7792" ht="26.25" spans="3:13">
      <c r="C7792" s="108"/>
      <c r="D7792" s="108"/>
      <c r="E7792" s="108"/>
      <c r="F7792" s="108"/>
      <c r="G7792" s="108"/>
      <c r="H7792" s="108" t="s">
        <v>2901</v>
      </c>
      <c r="I7792" s="581">
        <v>48.76</v>
      </c>
      <c r="J7792" s="114"/>
      <c r="K7792" s="114" t="s">
        <v>2902</v>
      </c>
      <c r="L7792" s="108"/>
      <c r="M7792" s="581">
        <v>240.06</v>
      </c>
    </row>
    <row r="7793" ht="15" spans="3:13">
      <c r="C7793" s="571"/>
      <c r="D7793" s="571"/>
      <c r="E7793" s="571"/>
      <c r="F7793" s="571"/>
      <c r="G7793" s="571"/>
      <c r="H7793" s="571"/>
      <c r="I7793" s="571"/>
      <c r="J7793" s="571"/>
      <c r="K7793" s="571"/>
      <c r="L7793" s="571"/>
      <c r="M7793" s="571"/>
    </row>
    <row r="7794" ht="15" customHeight="1" spans="3:13">
      <c r="C7794" s="76" t="s">
        <v>2691</v>
      </c>
      <c r="D7794" s="75" t="s">
        <v>63</v>
      </c>
      <c r="E7794" s="76" t="s">
        <v>64</v>
      </c>
      <c r="F7794" s="76" t="s">
        <v>65</v>
      </c>
      <c r="G7794" s="76" t="s">
        <v>2889</v>
      </c>
      <c r="H7794" s="76"/>
      <c r="I7794" s="77" t="s">
        <v>66</v>
      </c>
      <c r="J7794" s="75" t="s">
        <v>67</v>
      </c>
      <c r="K7794" s="75" t="s">
        <v>2890</v>
      </c>
      <c r="L7794" s="75" t="s">
        <v>68</v>
      </c>
      <c r="M7794" s="75" t="s">
        <v>70</v>
      </c>
    </row>
    <row r="7795" ht="23.85" customHeight="1" spans="3:13">
      <c r="C7795" s="569" t="s">
        <v>2891</v>
      </c>
      <c r="D7795" s="570" t="s">
        <v>2692</v>
      </c>
      <c r="E7795" s="569" t="s">
        <v>139</v>
      </c>
      <c r="F7795" s="569" t="s">
        <v>2693</v>
      </c>
      <c r="G7795" s="569" t="s">
        <v>5132</v>
      </c>
      <c r="H7795" s="569"/>
      <c r="I7795" s="577" t="s">
        <v>141</v>
      </c>
      <c r="J7795" s="578">
        <v>1</v>
      </c>
      <c r="K7795" s="579"/>
      <c r="L7795" s="579">
        <v>176.14</v>
      </c>
      <c r="M7795" s="579">
        <v>176.14</v>
      </c>
    </row>
    <row r="7796" ht="23.85" customHeight="1" spans="3:13">
      <c r="C7796" s="79" t="s">
        <v>2921</v>
      </c>
      <c r="D7796" s="78" t="s">
        <v>3017</v>
      </c>
      <c r="E7796" s="79" t="s">
        <v>139</v>
      </c>
      <c r="F7796" s="79" t="s">
        <v>3018</v>
      </c>
      <c r="G7796" s="79" t="s">
        <v>2928</v>
      </c>
      <c r="H7796" s="79"/>
      <c r="I7796" s="80" t="s">
        <v>2897</v>
      </c>
      <c r="J7796" s="583">
        <v>0.639</v>
      </c>
      <c r="K7796" s="583">
        <v>0</v>
      </c>
      <c r="L7796" s="92">
        <v>36.96</v>
      </c>
      <c r="M7796" s="92">
        <v>23.61</v>
      </c>
    </row>
    <row r="7797" ht="23.85" customHeight="1" spans="3:13">
      <c r="C7797" s="79" t="s">
        <v>2921</v>
      </c>
      <c r="D7797" s="78" t="s">
        <v>2952</v>
      </c>
      <c r="E7797" s="79" t="s">
        <v>139</v>
      </c>
      <c r="F7797" s="79" t="s">
        <v>2953</v>
      </c>
      <c r="G7797" s="79" t="s">
        <v>2928</v>
      </c>
      <c r="H7797" s="79"/>
      <c r="I7797" s="80" t="s">
        <v>2897</v>
      </c>
      <c r="J7797" s="583">
        <v>1.279</v>
      </c>
      <c r="K7797" s="583">
        <v>0</v>
      </c>
      <c r="L7797" s="92">
        <v>29.15</v>
      </c>
      <c r="M7797" s="92">
        <v>37.28</v>
      </c>
    </row>
    <row r="7798" ht="23.85" customHeight="1" spans="3:13">
      <c r="C7798" s="100" t="s">
        <v>2893</v>
      </c>
      <c r="D7798" s="99" t="s">
        <v>5133</v>
      </c>
      <c r="E7798" s="100" t="s">
        <v>139</v>
      </c>
      <c r="F7798" s="100" t="s">
        <v>5134</v>
      </c>
      <c r="G7798" s="100" t="s">
        <v>2961</v>
      </c>
      <c r="H7798" s="100"/>
      <c r="I7798" s="101" t="s">
        <v>134</v>
      </c>
      <c r="J7798" s="580">
        <v>6.4375</v>
      </c>
      <c r="K7798" s="580">
        <v>0</v>
      </c>
      <c r="L7798" s="102">
        <v>15.88</v>
      </c>
      <c r="M7798" s="102">
        <v>102.22</v>
      </c>
    </row>
    <row r="7799" ht="15" customHeight="1" spans="3:13">
      <c r="C7799" s="100" t="s">
        <v>2893</v>
      </c>
      <c r="D7799" s="99" t="s">
        <v>5118</v>
      </c>
      <c r="E7799" s="100" t="s">
        <v>139</v>
      </c>
      <c r="F7799" s="100" t="s">
        <v>5119</v>
      </c>
      <c r="G7799" s="100" t="s">
        <v>2961</v>
      </c>
      <c r="H7799" s="100"/>
      <c r="I7799" s="101" t="s">
        <v>393</v>
      </c>
      <c r="J7799" s="580">
        <v>0.24</v>
      </c>
      <c r="K7799" s="580">
        <v>0</v>
      </c>
      <c r="L7799" s="102">
        <v>4.4</v>
      </c>
      <c r="M7799" s="102">
        <v>1.05</v>
      </c>
    </row>
    <row r="7800" ht="15" customHeight="1" spans="3:13">
      <c r="C7800" s="100" t="s">
        <v>2893</v>
      </c>
      <c r="D7800" s="99" t="s">
        <v>5135</v>
      </c>
      <c r="E7800" s="100" t="s">
        <v>139</v>
      </c>
      <c r="F7800" s="100" t="s">
        <v>5136</v>
      </c>
      <c r="G7800" s="100" t="s">
        <v>2961</v>
      </c>
      <c r="H7800" s="100"/>
      <c r="I7800" s="101" t="s">
        <v>393</v>
      </c>
      <c r="J7800" s="580">
        <v>8.62</v>
      </c>
      <c r="K7800" s="580">
        <v>0</v>
      </c>
      <c r="L7800" s="102">
        <v>1.39</v>
      </c>
      <c r="M7800" s="102">
        <v>11.98</v>
      </c>
    </row>
    <row r="7801" ht="25.5" spans="3:13">
      <c r="C7801" s="108"/>
      <c r="D7801" s="108"/>
      <c r="E7801" s="108"/>
      <c r="F7801" s="108"/>
      <c r="G7801" s="108"/>
      <c r="H7801" s="108" t="s">
        <v>2898</v>
      </c>
      <c r="I7801" s="581">
        <v>41.79</v>
      </c>
      <c r="J7801" s="108" t="s">
        <v>2899</v>
      </c>
      <c r="K7801" s="581">
        <v>0</v>
      </c>
      <c r="L7801" s="108" t="s">
        <v>2900</v>
      </c>
      <c r="M7801" s="581">
        <v>41.79</v>
      </c>
    </row>
    <row r="7802" ht="26.25" spans="3:13">
      <c r="C7802" s="108"/>
      <c r="D7802" s="108"/>
      <c r="E7802" s="108"/>
      <c r="F7802" s="108"/>
      <c r="G7802" s="108"/>
      <c r="H7802" s="108" t="s">
        <v>2901</v>
      </c>
      <c r="I7802" s="581">
        <v>44.89</v>
      </c>
      <c r="J7802" s="114"/>
      <c r="K7802" s="114" t="s">
        <v>2902</v>
      </c>
      <c r="L7802" s="108"/>
      <c r="M7802" s="581">
        <v>221.03</v>
      </c>
    </row>
    <row r="7803" ht="15" spans="3:13">
      <c r="C7803" s="571"/>
      <c r="D7803" s="571"/>
      <c r="E7803" s="571"/>
      <c r="F7803" s="571"/>
      <c r="G7803" s="571"/>
      <c r="H7803" s="571"/>
      <c r="I7803" s="571"/>
      <c r="J7803" s="571"/>
      <c r="K7803" s="571"/>
      <c r="L7803" s="571"/>
      <c r="M7803" s="571"/>
    </row>
    <row r="7804" ht="15" customHeight="1" spans="3:13">
      <c r="C7804" s="76" t="s">
        <v>2694</v>
      </c>
      <c r="D7804" s="75" t="s">
        <v>63</v>
      </c>
      <c r="E7804" s="76" t="s">
        <v>64</v>
      </c>
      <c r="F7804" s="76" t="s">
        <v>65</v>
      </c>
      <c r="G7804" s="76" t="s">
        <v>2889</v>
      </c>
      <c r="H7804" s="76"/>
      <c r="I7804" s="77" t="s">
        <v>66</v>
      </c>
      <c r="J7804" s="75" t="s">
        <v>67</v>
      </c>
      <c r="K7804" s="75" t="s">
        <v>2890</v>
      </c>
      <c r="L7804" s="75" t="s">
        <v>68</v>
      </c>
      <c r="M7804" s="75" t="s">
        <v>70</v>
      </c>
    </row>
    <row r="7805" ht="15" customHeight="1" spans="3:13">
      <c r="C7805" s="569" t="s">
        <v>2891</v>
      </c>
      <c r="D7805" s="570" t="s">
        <v>2695</v>
      </c>
      <c r="E7805" s="569" t="s">
        <v>139</v>
      </c>
      <c r="F7805" s="569" t="s">
        <v>2696</v>
      </c>
      <c r="G7805" s="569" t="s">
        <v>3013</v>
      </c>
      <c r="H7805" s="569"/>
      <c r="I7805" s="577" t="s">
        <v>204</v>
      </c>
      <c r="J7805" s="578">
        <v>1</v>
      </c>
      <c r="K7805" s="579"/>
      <c r="L7805" s="579">
        <v>135.2</v>
      </c>
      <c r="M7805" s="579">
        <v>135.2</v>
      </c>
    </row>
    <row r="7806" ht="23.85" customHeight="1" spans="3:13">
      <c r="C7806" s="79" t="s">
        <v>2921</v>
      </c>
      <c r="D7806" s="78" t="s">
        <v>2952</v>
      </c>
      <c r="E7806" s="79" t="s">
        <v>139</v>
      </c>
      <c r="F7806" s="79" t="s">
        <v>2953</v>
      </c>
      <c r="G7806" s="79" t="s">
        <v>2928</v>
      </c>
      <c r="H7806" s="79"/>
      <c r="I7806" s="80" t="s">
        <v>2897</v>
      </c>
      <c r="J7806" s="583">
        <v>0.273</v>
      </c>
      <c r="K7806" s="583">
        <v>0</v>
      </c>
      <c r="L7806" s="92">
        <v>29.15</v>
      </c>
      <c r="M7806" s="92">
        <v>7.95</v>
      </c>
    </row>
    <row r="7807" ht="23.85" customHeight="1" spans="3:13">
      <c r="C7807" s="79" t="s">
        <v>2921</v>
      </c>
      <c r="D7807" s="78" t="s">
        <v>3480</v>
      </c>
      <c r="E7807" s="79" t="s">
        <v>139</v>
      </c>
      <c r="F7807" s="79" t="s">
        <v>3481</v>
      </c>
      <c r="G7807" s="79" t="s">
        <v>2928</v>
      </c>
      <c r="H7807" s="79"/>
      <c r="I7807" s="80" t="s">
        <v>2897</v>
      </c>
      <c r="J7807" s="583">
        <v>0.547</v>
      </c>
      <c r="K7807" s="583">
        <v>0</v>
      </c>
      <c r="L7807" s="92">
        <v>30.79</v>
      </c>
      <c r="M7807" s="92">
        <v>16.84</v>
      </c>
    </row>
    <row r="7808" ht="35.05" customHeight="1" spans="3:13">
      <c r="C7808" s="100" t="s">
        <v>2893</v>
      </c>
      <c r="D7808" s="99" t="s">
        <v>5137</v>
      </c>
      <c r="E7808" s="100" t="s">
        <v>139</v>
      </c>
      <c r="F7808" s="100" t="s">
        <v>5138</v>
      </c>
      <c r="G7808" s="100" t="s">
        <v>2961</v>
      </c>
      <c r="H7808" s="100"/>
      <c r="I7808" s="101" t="s">
        <v>204</v>
      </c>
      <c r="J7808" s="580">
        <v>1</v>
      </c>
      <c r="K7808" s="580">
        <v>0</v>
      </c>
      <c r="L7808" s="102">
        <v>107.45</v>
      </c>
      <c r="M7808" s="102">
        <v>107.45</v>
      </c>
    </row>
    <row r="7809" ht="15" customHeight="1" spans="3:13">
      <c r="C7809" s="100" t="s">
        <v>2893</v>
      </c>
      <c r="D7809" s="99" t="s">
        <v>5130</v>
      </c>
      <c r="E7809" s="100" t="s">
        <v>139</v>
      </c>
      <c r="F7809" s="100" t="s">
        <v>5131</v>
      </c>
      <c r="G7809" s="100" t="s">
        <v>2961</v>
      </c>
      <c r="H7809" s="100"/>
      <c r="I7809" s="101" t="s">
        <v>393</v>
      </c>
      <c r="J7809" s="580">
        <v>1.29</v>
      </c>
      <c r="K7809" s="580">
        <v>0</v>
      </c>
      <c r="L7809" s="102">
        <v>2.3</v>
      </c>
      <c r="M7809" s="102">
        <v>2.96</v>
      </c>
    </row>
    <row r="7810" ht="25.5" spans="3:13">
      <c r="C7810" s="108"/>
      <c r="D7810" s="108"/>
      <c r="E7810" s="108"/>
      <c r="F7810" s="108"/>
      <c r="G7810" s="108"/>
      <c r="H7810" s="108" t="s">
        <v>2898</v>
      </c>
      <c r="I7810" s="581">
        <v>16.6</v>
      </c>
      <c r="J7810" s="108" t="s">
        <v>2899</v>
      </c>
      <c r="K7810" s="581">
        <v>0</v>
      </c>
      <c r="L7810" s="108" t="s">
        <v>2900</v>
      </c>
      <c r="M7810" s="581">
        <v>16.6</v>
      </c>
    </row>
    <row r="7811" ht="26.25" spans="3:13">
      <c r="C7811" s="108"/>
      <c r="D7811" s="108"/>
      <c r="E7811" s="108"/>
      <c r="F7811" s="108"/>
      <c r="G7811" s="108"/>
      <c r="H7811" s="108" t="s">
        <v>2901</v>
      </c>
      <c r="I7811" s="581">
        <v>34.46</v>
      </c>
      <c r="J7811" s="114"/>
      <c r="K7811" s="114" t="s">
        <v>2902</v>
      </c>
      <c r="L7811" s="108"/>
      <c r="M7811" s="581">
        <v>169.66</v>
      </c>
    </row>
    <row r="7812" ht="15" spans="3:13">
      <c r="C7812" s="571"/>
      <c r="D7812" s="571"/>
      <c r="E7812" s="571"/>
      <c r="F7812" s="571"/>
      <c r="G7812" s="571"/>
      <c r="H7812" s="571"/>
      <c r="I7812" s="571"/>
      <c r="J7812" s="571"/>
      <c r="K7812" s="571"/>
      <c r="L7812" s="571"/>
      <c r="M7812" s="571"/>
    </row>
    <row r="7813" ht="15" customHeight="1" spans="3:13">
      <c r="C7813" s="76" t="s">
        <v>2697</v>
      </c>
      <c r="D7813" s="75" t="s">
        <v>63</v>
      </c>
      <c r="E7813" s="76" t="s">
        <v>64</v>
      </c>
      <c r="F7813" s="76" t="s">
        <v>65</v>
      </c>
      <c r="G7813" s="76" t="s">
        <v>2889</v>
      </c>
      <c r="H7813" s="76"/>
      <c r="I7813" s="77" t="s">
        <v>66</v>
      </c>
      <c r="J7813" s="75" t="s">
        <v>67</v>
      </c>
      <c r="K7813" s="75" t="s">
        <v>2890</v>
      </c>
      <c r="L7813" s="75" t="s">
        <v>68</v>
      </c>
      <c r="M7813" s="75" t="s">
        <v>70</v>
      </c>
    </row>
    <row r="7814" ht="35.05" customHeight="1" spans="3:13">
      <c r="C7814" s="569" t="s">
        <v>2891</v>
      </c>
      <c r="D7814" s="570" t="s">
        <v>2698</v>
      </c>
      <c r="E7814" s="569" t="s">
        <v>132</v>
      </c>
      <c r="F7814" s="569" t="s">
        <v>2699</v>
      </c>
      <c r="G7814" s="569" t="s">
        <v>5109</v>
      </c>
      <c r="H7814" s="569"/>
      <c r="I7814" s="577" t="s">
        <v>204</v>
      </c>
      <c r="J7814" s="578">
        <v>1</v>
      </c>
      <c r="K7814" s="579"/>
      <c r="L7814" s="579">
        <v>36.1</v>
      </c>
      <c r="M7814" s="579">
        <v>36.1</v>
      </c>
    </row>
    <row r="7815" ht="23.85" customHeight="1" spans="3:13">
      <c r="C7815" s="79" t="s">
        <v>2921</v>
      </c>
      <c r="D7815" s="78" t="s">
        <v>2952</v>
      </c>
      <c r="E7815" s="79" t="s">
        <v>139</v>
      </c>
      <c r="F7815" s="79" t="s">
        <v>2953</v>
      </c>
      <c r="G7815" s="79" t="s">
        <v>2928</v>
      </c>
      <c r="H7815" s="79"/>
      <c r="I7815" s="80" t="s">
        <v>2897</v>
      </c>
      <c r="J7815" s="583">
        <v>0.1</v>
      </c>
      <c r="K7815" s="583">
        <v>0</v>
      </c>
      <c r="L7815" s="92">
        <v>29.15</v>
      </c>
      <c r="M7815" s="92">
        <v>2.91</v>
      </c>
    </row>
    <row r="7816" ht="15" customHeight="1" spans="3:13">
      <c r="C7816" s="100" t="s">
        <v>2893</v>
      </c>
      <c r="D7816" s="99" t="s">
        <v>3021</v>
      </c>
      <c r="E7816" s="100" t="s">
        <v>139</v>
      </c>
      <c r="F7816" s="100" t="s">
        <v>3022</v>
      </c>
      <c r="G7816" s="100" t="s">
        <v>2961</v>
      </c>
      <c r="H7816" s="100"/>
      <c r="I7816" s="101" t="s">
        <v>393</v>
      </c>
      <c r="J7816" s="580">
        <v>1</v>
      </c>
      <c r="K7816" s="580">
        <v>0</v>
      </c>
      <c r="L7816" s="102">
        <v>0.64</v>
      </c>
      <c r="M7816" s="102">
        <v>0.64</v>
      </c>
    </row>
    <row r="7817" ht="15" customHeight="1" spans="3:13">
      <c r="C7817" s="100" t="s">
        <v>2893</v>
      </c>
      <c r="D7817" s="99" t="s">
        <v>5139</v>
      </c>
      <c r="E7817" s="100" t="s">
        <v>139</v>
      </c>
      <c r="F7817" s="100" t="s">
        <v>5140</v>
      </c>
      <c r="G7817" s="100" t="s">
        <v>4145</v>
      </c>
      <c r="H7817" s="100"/>
      <c r="I7817" s="101" t="s">
        <v>141</v>
      </c>
      <c r="J7817" s="580">
        <v>0.25</v>
      </c>
      <c r="K7817" s="580">
        <v>0</v>
      </c>
      <c r="L7817" s="102">
        <v>130.2</v>
      </c>
      <c r="M7817" s="102">
        <v>32.55</v>
      </c>
    </row>
    <row r="7818" ht="25.5" spans="3:13">
      <c r="C7818" s="108"/>
      <c r="D7818" s="108"/>
      <c r="E7818" s="108"/>
      <c r="F7818" s="108"/>
      <c r="G7818" s="108"/>
      <c r="H7818" s="108" t="s">
        <v>2898</v>
      </c>
      <c r="I7818" s="581">
        <v>1.92</v>
      </c>
      <c r="J7818" s="108" t="s">
        <v>2899</v>
      </c>
      <c r="K7818" s="581">
        <v>0</v>
      </c>
      <c r="L7818" s="108" t="s">
        <v>2900</v>
      </c>
      <c r="M7818" s="581">
        <v>1.92</v>
      </c>
    </row>
    <row r="7819" ht="26.25" spans="3:13">
      <c r="C7819" s="108"/>
      <c r="D7819" s="108"/>
      <c r="E7819" s="108"/>
      <c r="F7819" s="108"/>
      <c r="G7819" s="108"/>
      <c r="H7819" s="108" t="s">
        <v>2901</v>
      </c>
      <c r="I7819" s="581">
        <v>9.2</v>
      </c>
      <c r="J7819" s="114"/>
      <c r="K7819" s="114" t="s">
        <v>2902</v>
      </c>
      <c r="L7819" s="108"/>
      <c r="M7819" s="581">
        <v>45.3</v>
      </c>
    </row>
    <row r="7820" ht="15" spans="3:13">
      <c r="C7820" s="571"/>
      <c r="D7820" s="571"/>
      <c r="E7820" s="571"/>
      <c r="F7820" s="571"/>
      <c r="G7820" s="571"/>
      <c r="H7820" s="571"/>
      <c r="I7820" s="571"/>
      <c r="J7820" s="571"/>
      <c r="K7820" s="571"/>
      <c r="L7820" s="571"/>
      <c r="M7820" s="571"/>
    </row>
    <row r="7821" ht="15" customHeight="1" spans="3:13">
      <c r="C7821" s="76" t="s">
        <v>2702</v>
      </c>
      <c r="D7821" s="75" t="s">
        <v>63</v>
      </c>
      <c r="E7821" s="76" t="s">
        <v>64</v>
      </c>
      <c r="F7821" s="76" t="s">
        <v>65</v>
      </c>
      <c r="G7821" s="76" t="s">
        <v>2889</v>
      </c>
      <c r="H7821" s="76"/>
      <c r="I7821" s="77" t="s">
        <v>66</v>
      </c>
      <c r="J7821" s="75" t="s">
        <v>67</v>
      </c>
      <c r="K7821" s="75" t="s">
        <v>2890</v>
      </c>
      <c r="L7821" s="75" t="s">
        <v>68</v>
      </c>
      <c r="M7821" s="75" t="s">
        <v>70</v>
      </c>
    </row>
    <row r="7822" ht="23.85" customHeight="1" spans="3:13">
      <c r="C7822" s="569" t="s">
        <v>2891</v>
      </c>
      <c r="D7822" s="570" t="s">
        <v>2703</v>
      </c>
      <c r="E7822" s="569" t="s">
        <v>139</v>
      </c>
      <c r="F7822" s="569" t="s">
        <v>2704</v>
      </c>
      <c r="G7822" s="569" t="s">
        <v>5141</v>
      </c>
      <c r="H7822" s="569"/>
      <c r="I7822" s="577" t="s">
        <v>141</v>
      </c>
      <c r="J7822" s="578">
        <v>1</v>
      </c>
      <c r="K7822" s="579"/>
      <c r="L7822" s="579">
        <v>112.06</v>
      </c>
      <c r="M7822" s="579">
        <v>112.06</v>
      </c>
    </row>
    <row r="7823" ht="46.25" customHeight="1" spans="3:13">
      <c r="C7823" s="79" t="s">
        <v>2921</v>
      </c>
      <c r="D7823" s="78" t="s">
        <v>5142</v>
      </c>
      <c r="E7823" s="79" t="s">
        <v>139</v>
      </c>
      <c r="F7823" s="79" t="s">
        <v>5143</v>
      </c>
      <c r="G7823" s="79" t="s">
        <v>2995</v>
      </c>
      <c r="H7823" s="79"/>
      <c r="I7823" s="80" t="s">
        <v>3002</v>
      </c>
      <c r="J7823" s="583">
        <v>0.0038</v>
      </c>
      <c r="K7823" s="583">
        <v>0</v>
      </c>
      <c r="L7823" s="92">
        <v>10.76</v>
      </c>
      <c r="M7823" s="92">
        <v>0.04</v>
      </c>
    </row>
    <row r="7824" ht="23.85" customHeight="1" spans="3:13">
      <c r="C7824" s="79" t="s">
        <v>2921</v>
      </c>
      <c r="D7824" s="78" t="s">
        <v>5144</v>
      </c>
      <c r="E7824" s="79" t="s">
        <v>139</v>
      </c>
      <c r="F7824" s="79" t="s">
        <v>5145</v>
      </c>
      <c r="G7824" s="79" t="s">
        <v>2928</v>
      </c>
      <c r="H7824" s="79"/>
      <c r="I7824" s="80" t="s">
        <v>2897</v>
      </c>
      <c r="J7824" s="583">
        <v>0.3249</v>
      </c>
      <c r="K7824" s="583">
        <v>0</v>
      </c>
      <c r="L7824" s="92">
        <v>35.7</v>
      </c>
      <c r="M7824" s="92">
        <v>11.59</v>
      </c>
    </row>
    <row r="7825" ht="35.05" customHeight="1" spans="3:13">
      <c r="C7825" s="79" t="s">
        <v>2921</v>
      </c>
      <c r="D7825" s="78" t="s">
        <v>4376</v>
      </c>
      <c r="E7825" s="79" t="s">
        <v>139</v>
      </c>
      <c r="F7825" s="79" t="s">
        <v>4377</v>
      </c>
      <c r="G7825" s="79" t="s">
        <v>2995</v>
      </c>
      <c r="H7825" s="79"/>
      <c r="I7825" s="80" t="s">
        <v>2996</v>
      </c>
      <c r="J7825" s="583">
        <v>0.1556</v>
      </c>
      <c r="K7825" s="583">
        <v>0</v>
      </c>
      <c r="L7825" s="92">
        <v>0.73</v>
      </c>
      <c r="M7825" s="92">
        <v>0.11</v>
      </c>
    </row>
    <row r="7826" ht="35.05" customHeight="1" spans="3:13">
      <c r="C7826" s="79" t="s">
        <v>2921</v>
      </c>
      <c r="D7826" s="78" t="s">
        <v>4071</v>
      </c>
      <c r="E7826" s="79" t="s">
        <v>139</v>
      </c>
      <c r="F7826" s="79" t="s">
        <v>4072</v>
      </c>
      <c r="G7826" s="79" t="s">
        <v>2995</v>
      </c>
      <c r="H7826" s="79"/>
      <c r="I7826" s="80" t="s">
        <v>3002</v>
      </c>
      <c r="J7826" s="583">
        <v>0.0069</v>
      </c>
      <c r="K7826" s="583">
        <v>0</v>
      </c>
      <c r="L7826" s="92">
        <v>10.19</v>
      </c>
      <c r="M7826" s="92">
        <v>0.07</v>
      </c>
    </row>
    <row r="7827" ht="46.25" customHeight="1" spans="3:13">
      <c r="C7827" s="79" t="s">
        <v>2921</v>
      </c>
      <c r="D7827" s="78" t="s">
        <v>5146</v>
      </c>
      <c r="E7827" s="79" t="s">
        <v>139</v>
      </c>
      <c r="F7827" s="79" t="s">
        <v>5147</v>
      </c>
      <c r="G7827" s="79" t="s">
        <v>2995</v>
      </c>
      <c r="H7827" s="79"/>
      <c r="I7827" s="80" t="s">
        <v>2996</v>
      </c>
      <c r="J7827" s="583">
        <v>0.1587</v>
      </c>
      <c r="K7827" s="583">
        <v>0</v>
      </c>
      <c r="L7827" s="92">
        <v>0.97</v>
      </c>
      <c r="M7827" s="92">
        <v>0.15</v>
      </c>
    </row>
    <row r="7828" ht="23.85" customHeight="1" spans="3:13">
      <c r="C7828" s="79" t="s">
        <v>2921</v>
      </c>
      <c r="D7828" s="78" t="s">
        <v>2952</v>
      </c>
      <c r="E7828" s="79" t="s">
        <v>139</v>
      </c>
      <c r="F7828" s="79" t="s">
        <v>2953</v>
      </c>
      <c r="G7828" s="79" t="s">
        <v>2928</v>
      </c>
      <c r="H7828" s="79"/>
      <c r="I7828" s="80" t="s">
        <v>2897</v>
      </c>
      <c r="J7828" s="583">
        <v>0.3249</v>
      </c>
      <c r="K7828" s="583">
        <v>0</v>
      </c>
      <c r="L7828" s="92">
        <v>29.15</v>
      </c>
      <c r="M7828" s="92">
        <v>9.47</v>
      </c>
    </row>
    <row r="7829" ht="15" customHeight="1" spans="3:13">
      <c r="C7829" s="100" t="s">
        <v>2893</v>
      </c>
      <c r="D7829" s="99" t="s">
        <v>4378</v>
      </c>
      <c r="E7829" s="100" t="s">
        <v>139</v>
      </c>
      <c r="F7829" s="100" t="s">
        <v>4379</v>
      </c>
      <c r="G7829" s="100" t="s">
        <v>2961</v>
      </c>
      <c r="H7829" s="100"/>
      <c r="I7829" s="101" t="s">
        <v>279</v>
      </c>
      <c r="J7829" s="580">
        <v>0.0098</v>
      </c>
      <c r="K7829" s="580">
        <v>0</v>
      </c>
      <c r="L7829" s="102">
        <v>102.18</v>
      </c>
      <c r="M7829" s="102">
        <v>1</v>
      </c>
    </row>
    <row r="7830" ht="23.85" customHeight="1" spans="3:13">
      <c r="C7830" s="100" t="s">
        <v>2893</v>
      </c>
      <c r="D7830" s="99" t="s">
        <v>5148</v>
      </c>
      <c r="E7830" s="100" t="s">
        <v>139</v>
      </c>
      <c r="F7830" s="100" t="s">
        <v>5149</v>
      </c>
      <c r="G7830" s="100" t="s">
        <v>2961</v>
      </c>
      <c r="H7830" s="100"/>
      <c r="I7830" s="101" t="s">
        <v>279</v>
      </c>
      <c r="J7830" s="580">
        <v>0.0568</v>
      </c>
      <c r="K7830" s="580">
        <v>0</v>
      </c>
      <c r="L7830" s="102">
        <v>90</v>
      </c>
      <c r="M7830" s="102">
        <v>5.11</v>
      </c>
    </row>
    <row r="7831" ht="35.05" customHeight="1" spans="3:13">
      <c r="C7831" s="100" t="s">
        <v>2893</v>
      </c>
      <c r="D7831" s="99" t="s">
        <v>5150</v>
      </c>
      <c r="E7831" s="100" t="s">
        <v>139</v>
      </c>
      <c r="F7831" s="100" t="s">
        <v>5151</v>
      </c>
      <c r="G7831" s="100" t="s">
        <v>2961</v>
      </c>
      <c r="H7831" s="100"/>
      <c r="I7831" s="101" t="s">
        <v>141</v>
      </c>
      <c r="J7831" s="580">
        <v>1.0041</v>
      </c>
      <c r="K7831" s="580">
        <v>0</v>
      </c>
      <c r="L7831" s="102">
        <v>84.18</v>
      </c>
      <c r="M7831" s="102">
        <v>84.52</v>
      </c>
    </row>
    <row r="7832" ht="25.5" spans="3:13">
      <c r="C7832" s="108"/>
      <c r="D7832" s="108"/>
      <c r="E7832" s="108"/>
      <c r="F7832" s="108"/>
      <c r="G7832" s="108"/>
      <c r="H7832" s="108" t="s">
        <v>2898</v>
      </c>
      <c r="I7832" s="581">
        <v>14.58</v>
      </c>
      <c r="J7832" s="108" t="s">
        <v>2899</v>
      </c>
      <c r="K7832" s="581">
        <v>0</v>
      </c>
      <c r="L7832" s="108" t="s">
        <v>2900</v>
      </c>
      <c r="M7832" s="581">
        <v>14.58</v>
      </c>
    </row>
    <row r="7833" ht="26.25" spans="3:13">
      <c r="C7833" s="108"/>
      <c r="D7833" s="108"/>
      <c r="E7833" s="108"/>
      <c r="F7833" s="108"/>
      <c r="G7833" s="108"/>
      <c r="H7833" s="108" t="s">
        <v>2901</v>
      </c>
      <c r="I7833" s="581">
        <v>28.56</v>
      </c>
      <c r="J7833" s="114"/>
      <c r="K7833" s="114" t="s">
        <v>2902</v>
      </c>
      <c r="L7833" s="108"/>
      <c r="M7833" s="581">
        <v>140.62</v>
      </c>
    </row>
    <row r="7834" ht="15" spans="3:13">
      <c r="C7834" s="571"/>
      <c r="D7834" s="571"/>
      <c r="E7834" s="571"/>
      <c r="F7834" s="571"/>
      <c r="G7834" s="571"/>
      <c r="H7834" s="571"/>
      <c r="I7834" s="571"/>
      <c r="J7834" s="571"/>
      <c r="K7834" s="571"/>
      <c r="L7834" s="571"/>
      <c r="M7834" s="571"/>
    </row>
    <row r="7835" ht="15" customHeight="1" spans="3:13">
      <c r="C7835" s="76" t="s">
        <v>2705</v>
      </c>
      <c r="D7835" s="75" t="s">
        <v>63</v>
      </c>
      <c r="E7835" s="76" t="s">
        <v>64</v>
      </c>
      <c r="F7835" s="76" t="s">
        <v>65</v>
      </c>
      <c r="G7835" s="76" t="s">
        <v>2889</v>
      </c>
      <c r="H7835" s="76"/>
      <c r="I7835" s="77" t="s">
        <v>66</v>
      </c>
      <c r="J7835" s="75" t="s">
        <v>67</v>
      </c>
      <c r="K7835" s="75" t="s">
        <v>2890</v>
      </c>
      <c r="L7835" s="75" t="s">
        <v>68</v>
      </c>
      <c r="M7835" s="75" t="s">
        <v>70</v>
      </c>
    </row>
    <row r="7836" ht="23.85" customHeight="1" spans="3:13">
      <c r="C7836" s="569" t="s">
        <v>2891</v>
      </c>
      <c r="D7836" s="570" t="s">
        <v>2706</v>
      </c>
      <c r="E7836" s="569" t="s">
        <v>139</v>
      </c>
      <c r="F7836" s="569" t="s">
        <v>5152</v>
      </c>
      <c r="G7836" s="569" t="s">
        <v>5153</v>
      </c>
      <c r="H7836" s="569"/>
      <c r="I7836" s="577" t="s">
        <v>204</v>
      </c>
      <c r="J7836" s="578">
        <v>1</v>
      </c>
      <c r="K7836" s="579"/>
      <c r="L7836" s="579">
        <v>45.6</v>
      </c>
      <c r="M7836" s="579">
        <v>45.6</v>
      </c>
    </row>
    <row r="7837" ht="23.85" customHeight="1" spans="3:13">
      <c r="C7837" s="79" t="s">
        <v>2921</v>
      </c>
      <c r="D7837" s="78" t="s">
        <v>5154</v>
      </c>
      <c r="E7837" s="79" t="s">
        <v>139</v>
      </c>
      <c r="F7837" s="79" t="s">
        <v>5155</v>
      </c>
      <c r="G7837" s="79" t="s">
        <v>2995</v>
      </c>
      <c r="H7837" s="79"/>
      <c r="I7837" s="80" t="s">
        <v>3002</v>
      </c>
      <c r="J7837" s="583">
        <v>0.0219</v>
      </c>
      <c r="K7837" s="583">
        <v>0</v>
      </c>
      <c r="L7837" s="92">
        <v>19.47</v>
      </c>
      <c r="M7837" s="92">
        <v>0.42</v>
      </c>
    </row>
    <row r="7838" ht="23.85" customHeight="1" spans="3:13">
      <c r="C7838" s="79" t="s">
        <v>2921</v>
      </c>
      <c r="D7838" s="78" t="s">
        <v>3487</v>
      </c>
      <c r="E7838" s="79" t="s">
        <v>139</v>
      </c>
      <c r="F7838" s="79" t="s">
        <v>3488</v>
      </c>
      <c r="G7838" s="79" t="s">
        <v>2928</v>
      </c>
      <c r="H7838" s="79"/>
      <c r="I7838" s="80" t="s">
        <v>2897</v>
      </c>
      <c r="J7838" s="583">
        <v>0.1316</v>
      </c>
      <c r="K7838" s="583">
        <v>0</v>
      </c>
      <c r="L7838" s="92">
        <v>30.31</v>
      </c>
      <c r="M7838" s="92">
        <v>3.98</v>
      </c>
    </row>
    <row r="7839" ht="23.85" customHeight="1" spans="3:13">
      <c r="C7839" s="79" t="s">
        <v>2921</v>
      </c>
      <c r="D7839" s="78" t="s">
        <v>5156</v>
      </c>
      <c r="E7839" s="79" t="s">
        <v>139</v>
      </c>
      <c r="F7839" s="79" t="s">
        <v>5157</v>
      </c>
      <c r="G7839" s="79" t="s">
        <v>3016</v>
      </c>
      <c r="H7839" s="79"/>
      <c r="I7839" s="80" t="s">
        <v>279</v>
      </c>
      <c r="J7839" s="583">
        <v>0.0016</v>
      </c>
      <c r="K7839" s="583">
        <v>0</v>
      </c>
      <c r="L7839" s="92">
        <v>594.45</v>
      </c>
      <c r="M7839" s="92">
        <v>0.95</v>
      </c>
    </row>
    <row r="7840" ht="23.85" customHeight="1" spans="3:13">
      <c r="C7840" s="79" t="s">
        <v>2921</v>
      </c>
      <c r="D7840" s="78" t="s">
        <v>2952</v>
      </c>
      <c r="E7840" s="79" t="s">
        <v>139</v>
      </c>
      <c r="F7840" s="79" t="s">
        <v>2953</v>
      </c>
      <c r="G7840" s="79" t="s">
        <v>2928</v>
      </c>
      <c r="H7840" s="79"/>
      <c r="I7840" s="80" t="s">
        <v>2897</v>
      </c>
      <c r="J7840" s="583">
        <v>0.4977</v>
      </c>
      <c r="K7840" s="583">
        <v>0</v>
      </c>
      <c r="L7840" s="92">
        <v>29.15</v>
      </c>
      <c r="M7840" s="92">
        <v>14.5</v>
      </c>
    </row>
    <row r="7841" ht="23.85" customHeight="1" spans="3:13">
      <c r="C7841" s="79" t="s">
        <v>2921</v>
      </c>
      <c r="D7841" s="78" t="s">
        <v>5158</v>
      </c>
      <c r="E7841" s="79" t="s">
        <v>139</v>
      </c>
      <c r="F7841" s="79" t="s">
        <v>5159</v>
      </c>
      <c r="G7841" s="79" t="s">
        <v>2995</v>
      </c>
      <c r="H7841" s="79"/>
      <c r="I7841" s="80" t="s">
        <v>2996</v>
      </c>
      <c r="J7841" s="583">
        <v>0.1097</v>
      </c>
      <c r="K7841" s="583">
        <v>0</v>
      </c>
      <c r="L7841" s="92">
        <v>5.38</v>
      </c>
      <c r="M7841" s="92">
        <v>0.59</v>
      </c>
    </row>
    <row r="7842" ht="23.85" customHeight="1" spans="3:13">
      <c r="C7842" s="79" t="s">
        <v>2921</v>
      </c>
      <c r="D7842" s="78" t="s">
        <v>3017</v>
      </c>
      <c r="E7842" s="79" t="s">
        <v>139</v>
      </c>
      <c r="F7842" s="79" t="s">
        <v>3018</v>
      </c>
      <c r="G7842" s="79" t="s">
        <v>2928</v>
      </c>
      <c r="H7842" s="79"/>
      <c r="I7842" s="80" t="s">
        <v>2897</v>
      </c>
      <c r="J7842" s="583">
        <v>0.2489</v>
      </c>
      <c r="K7842" s="583">
        <v>0</v>
      </c>
      <c r="L7842" s="92">
        <v>36.96</v>
      </c>
      <c r="M7842" s="92">
        <v>9.19</v>
      </c>
    </row>
    <row r="7843" ht="35.05" customHeight="1" spans="3:13">
      <c r="C7843" s="100" t="s">
        <v>2893</v>
      </c>
      <c r="D7843" s="99" t="s">
        <v>5160</v>
      </c>
      <c r="E7843" s="100" t="s">
        <v>139</v>
      </c>
      <c r="F7843" s="100" t="s">
        <v>5161</v>
      </c>
      <c r="G7843" s="100" t="s">
        <v>2961</v>
      </c>
      <c r="H7843" s="100"/>
      <c r="I7843" s="101" t="s">
        <v>279</v>
      </c>
      <c r="J7843" s="580">
        <v>0.0314</v>
      </c>
      <c r="K7843" s="580">
        <v>0</v>
      </c>
      <c r="L7843" s="102">
        <v>490</v>
      </c>
      <c r="M7843" s="102">
        <v>15.38</v>
      </c>
    </row>
    <row r="7844" ht="23.85" customHeight="1" spans="3:13">
      <c r="C7844" s="100" t="s">
        <v>2893</v>
      </c>
      <c r="D7844" s="99" t="s">
        <v>5148</v>
      </c>
      <c r="E7844" s="100" t="s">
        <v>139</v>
      </c>
      <c r="F7844" s="100" t="s">
        <v>5149</v>
      </c>
      <c r="G7844" s="100" t="s">
        <v>2961</v>
      </c>
      <c r="H7844" s="100"/>
      <c r="I7844" s="101" t="s">
        <v>279</v>
      </c>
      <c r="J7844" s="580">
        <v>0.0066</v>
      </c>
      <c r="K7844" s="580">
        <v>0</v>
      </c>
      <c r="L7844" s="102">
        <v>90</v>
      </c>
      <c r="M7844" s="102">
        <v>0.59</v>
      </c>
    </row>
    <row r="7845" ht="25.5" spans="3:13">
      <c r="C7845" s="108"/>
      <c r="D7845" s="108"/>
      <c r="E7845" s="108"/>
      <c r="F7845" s="108"/>
      <c r="G7845" s="108"/>
      <c r="H7845" s="108" t="s">
        <v>2898</v>
      </c>
      <c r="I7845" s="581">
        <v>19.19</v>
      </c>
      <c r="J7845" s="108" t="s">
        <v>2899</v>
      </c>
      <c r="K7845" s="581">
        <v>0</v>
      </c>
      <c r="L7845" s="108" t="s">
        <v>2900</v>
      </c>
      <c r="M7845" s="581">
        <v>19.19</v>
      </c>
    </row>
    <row r="7846" ht="26.25" spans="3:13">
      <c r="C7846" s="108"/>
      <c r="D7846" s="108"/>
      <c r="E7846" s="108"/>
      <c r="F7846" s="108"/>
      <c r="G7846" s="108"/>
      <c r="H7846" s="108" t="s">
        <v>2901</v>
      </c>
      <c r="I7846" s="581">
        <v>11.62</v>
      </c>
      <c r="J7846" s="114"/>
      <c r="K7846" s="114" t="s">
        <v>2902</v>
      </c>
      <c r="L7846" s="108"/>
      <c r="M7846" s="581">
        <v>57.22</v>
      </c>
    </row>
    <row r="7847" ht="15" spans="3:13">
      <c r="C7847" s="571"/>
      <c r="D7847" s="571"/>
      <c r="E7847" s="571"/>
      <c r="F7847" s="571"/>
      <c r="G7847" s="571"/>
      <c r="H7847" s="571"/>
      <c r="I7847" s="571"/>
      <c r="J7847" s="571"/>
      <c r="K7847" s="571"/>
      <c r="L7847" s="571"/>
      <c r="M7847" s="571"/>
    </row>
    <row r="7848" ht="15" customHeight="1" spans="3:13">
      <c r="C7848" s="76" t="s">
        <v>2708</v>
      </c>
      <c r="D7848" s="75" t="s">
        <v>63</v>
      </c>
      <c r="E7848" s="76" t="s">
        <v>64</v>
      </c>
      <c r="F7848" s="76" t="s">
        <v>65</v>
      </c>
      <c r="G7848" s="76" t="s">
        <v>2889</v>
      </c>
      <c r="H7848" s="76"/>
      <c r="I7848" s="77" t="s">
        <v>66</v>
      </c>
      <c r="J7848" s="75" t="s">
        <v>67</v>
      </c>
      <c r="K7848" s="75" t="s">
        <v>2890</v>
      </c>
      <c r="L7848" s="75" t="s">
        <v>68</v>
      </c>
      <c r="M7848" s="75" t="s">
        <v>70</v>
      </c>
    </row>
    <row r="7849" ht="35.05" customHeight="1" spans="3:13">
      <c r="C7849" s="569" t="s">
        <v>2891</v>
      </c>
      <c r="D7849" s="570" t="s">
        <v>2709</v>
      </c>
      <c r="E7849" s="569" t="s">
        <v>139</v>
      </c>
      <c r="F7849" s="569" t="s">
        <v>2710</v>
      </c>
      <c r="G7849" s="569" t="s">
        <v>5162</v>
      </c>
      <c r="H7849" s="569"/>
      <c r="I7849" s="577" t="s">
        <v>141</v>
      </c>
      <c r="J7849" s="578">
        <v>1</v>
      </c>
      <c r="K7849" s="579"/>
      <c r="L7849" s="579">
        <v>90.35</v>
      </c>
      <c r="M7849" s="579">
        <v>90.35</v>
      </c>
    </row>
    <row r="7850" ht="23.85" customHeight="1" spans="3:13">
      <c r="C7850" s="79" t="s">
        <v>2921</v>
      </c>
      <c r="D7850" s="78" t="s">
        <v>2954</v>
      </c>
      <c r="E7850" s="79" t="s">
        <v>139</v>
      </c>
      <c r="F7850" s="79" t="s">
        <v>2955</v>
      </c>
      <c r="G7850" s="79" t="s">
        <v>2928</v>
      </c>
      <c r="H7850" s="79"/>
      <c r="I7850" s="80" t="s">
        <v>2897</v>
      </c>
      <c r="J7850" s="583">
        <v>0.1301</v>
      </c>
      <c r="K7850" s="583">
        <v>0</v>
      </c>
      <c r="L7850" s="92">
        <v>37.51</v>
      </c>
      <c r="M7850" s="92">
        <v>4.88</v>
      </c>
    </row>
    <row r="7851" ht="23.85" customHeight="1" spans="3:13">
      <c r="C7851" s="79" t="s">
        <v>2921</v>
      </c>
      <c r="D7851" s="78" t="s">
        <v>3017</v>
      </c>
      <c r="E7851" s="79" t="s">
        <v>139</v>
      </c>
      <c r="F7851" s="79" t="s">
        <v>3018</v>
      </c>
      <c r="G7851" s="79" t="s">
        <v>2928</v>
      </c>
      <c r="H7851" s="79"/>
      <c r="I7851" s="80" t="s">
        <v>2897</v>
      </c>
      <c r="J7851" s="583">
        <v>0.0874</v>
      </c>
      <c r="K7851" s="583">
        <v>0</v>
      </c>
      <c r="L7851" s="92">
        <v>36.96</v>
      </c>
      <c r="M7851" s="92">
        <v>3.23</v>
      </c>
    </row>
    <row r="7852" ht="23.85" customHeight="1" spans="3:13">
      <c r="C7852" s="79" t="s">
        <v>2921</v>
      </c>
      <c r="D7852" s="78" t="s">
        <v>2952</v>
      </c>
      <c r="E7852" s="79" t="s">
        <v>139</v>
      </c>
      <c r="F7852" s="79" t="s">
        <v>2953</v>
      </c>
      <c r="G7852" s="79" t="s">
        <v>2928</v>
      </c>
      <c r="H7852" s="79"/>
      <c r="I7852" s="80" t="s">
        <v>2897</v>
      </c>
      <c r="J7852" s="583">
        <v>0.2176</v>
      </c>
      <c r="K7852" s="583">
        <v>0</v>
      </c>
      <c r="L7852" s="92">
        <v>29.15</v>
      </c>
      <c r="M7852" s="92">
        <v>6.34</v>
      </c>
    </row>
    <row r="7853" ht="23.85" customHeight="1" spans="3:13">
      <c r="C7853" s="100" t="s">
        <v>2893</v>
      </c>
      <c r="D7853" s="99" t="s">
        <v>3342</v>
      </c>
      <c r="E7853" s="100" t="s">
        <v>139</v>
      </c>
      <c r="F7853" s="100" t="s">
        <v>3343</v>
      </c>
      <c r="G7853" s="100" t="s">
        <v>2961</v>
      </c>
      <c r="H7853" s="100"/>
      <c r="I7853" s="101" t="s">
        <v>3084</v>
      </c>
      <c r="J7853" s="580">
        <v>0.0017</v>
      </c>
      <c r="K7853" s="580">
        <v>0</v>
      </c>
      <c r="L7853" s="102">
        <v>7.97</v>
      </c>
      <c r="M7853" s="102">
        <v>0.01</v>
      </c>
    </row>
    <row r="7854" ht="15" customHeight="1" spans="3:13">
      <c r="C7854" s="100" t="s">
        <v>2893</v>
      </c>
      <c r="D7854" s="99" t="s">
        <v>3388</v>
      </c>
      <c r="E7854" s="100" t="s">
        <v>139</v>
      </c>
      <c r="F7854" s="100" t="s">
        <v>3389</v>
      </c>
      <c r="G7854" s="100" t="s">
        <v>2961</v>
      </c>
      <c r="H7854" s="100"/>
      <c r="I7854" s="101" t="s">
        <v>393</v>
      </c>
      <c r="J7854" s="580">
        <v>0.024</v>
      </c>
      <c r="K7854" s="580">
        <v>0</v>
      </c>
      <c r="L7854" s="102">
        <v>18.38</v>
      </c>
      <c r="M7854" s="102">
        <v>0.44</v>
      </c>
    </row>
    <row r="7855" ht="23.85" customHeight="1" spans="3:13">
      <c r="C7855" s="100" t="s">
        <v>2893</v>
      </c>
      <c r="D7855" s="99" t="s">
        <v>3334</v>
      </c>
      <c r="E7855" s="100" t="s">
        <v>139</v>
      </c>
      <c r="F7855" s="100" t="s">
        <v>3335</v>
      </c>
      <c r="G7855" s="100" t="s">
        <v>2961</v>
      </c>
      <c r="H7855" s="100"/>
      <c r="I7855" s="101" t="s">
        <v>204</v>
      </c>
      <c r="J7855" s="580">
        <v>0.2</v>
      </c>
      <c r="K7855" s="580">
        <v>0</v>
      </c>
      <c r="L7855" s="102">
        <v>3.07</v>
      </c>
      <c r="M7855" s="102">
        <v>0.61</v>
      </c>
    </row>
    <row r="7856" ht="35.05" customHeight="1" spans="3:13">
      <c r="C7856" s="100" t="s">
        <v>2893</v>
      </c>
      <c r="D7856" s="99" t="s">
        <v>5160</v>
      </c>
      <c r="E7856" s="100" t="s">
        <v>139</v>
      </c>
      <c r="F7856" s="100" t="s">
        <v>5161</v>
      </c>
      <c r="G7856" s="100" t="s">
        <v>2961</v>
      </c>
      <c r="H7856" s="100"/>
      <c r="I7856" s="101" t="s">
        <v>279</v>
      </c>
      <c r="J7856" s="580">
        <v>0.0985</v>
      </c>
      <c r="K7856" s="580">
        <v>0</v>
      </c>
      <c r="L7856" s="102">
        <v>490</v>
      </c>
      <c r="M7856" s="102">
        <v>48.26</v>
      </c>
    </row>
    <row r="7857" ht="35.05" customHeight="1" spans="3:13">
      <c r="C7857" s="100" t="s">
        <v>2893</v>
      </c>
      <c r="D7857" s="99" t="s">
        <v>5163</v>
      </c>
      <c r="E7857" s="100" t="s">
        <v>139</v>
      </c>
      <c r="F7857" s="100" t="s">
        <v>5164</v>
      </c>
      <c r="G7857" s="100" t="s">
        <v>2961</v>
      </c>
      <c r="H7857" s="100"/>
      <c r="I7857" s="101" t="s">
        <v>141</v>
      </c>
      <c r="J7857" s="580">
        <v>1.0816</v>
      </c>
      <c r="K7857" s="580">
        <v>0</v>
      </c>
      <c r="L7857" s="102">
        <v>23.55</v>
      </c>
      <c r="M7857" s="102">
        <v>25.47</v>
      </c>
    </row>
    <row r="7858" ht="23.85" customHeight="1" spans="3:13">
      <c r="C7858" s="100" t="s">
        <v>2893</v>
      </c>
      <c r="D7858" s="99" t="s">
        <v>2964</v>
      </c>
      <c r="E7858" s="100" t="s">
        <v>139</v>
      </c>
      <c r="F7858" s="100" t="s">
        <v>2965</v>
      </c>
      <c r="G7858" s="100" t="s">
        <v>2961</v>
      </c>
      <c r="H7858" s="100"/>
      <c r="I7858" s="101" t="s">
        <v>204</v>
      </c>
      <c r="J7858" s="580">
        <v>0.25</v>
      </c>
      <c r="K7858" s="580">
        <v>0</v>
      </c>
      <c r="L7858" s="102">
        <v>4.46</v>
      </c>
      <c r="M7858" s="102">
        <v>1.11</v>
      </c>
    </row>
    <row r="7859" ht="25.5" spans="3:13">
      <c r="C7859" s="108"/>
      <c r="D7859" s="108"/>
      <c r="E7859" s="108"/>
      <c r="F7859" s="108"/>
      <c r="G7859" s="108"/>
      <c r="H7859" s="108" t="s">
        <v>2898</v>
      </c>
      <c r="I7859" s="581">
        <v>10.13</v>
      </c>
      <c r="J7859" s="108" t="s">
        <v>2899</v>
      </c>
      <c r="K7859" s="581">
        <v>0</v>
      </c>
      <c r="L7859" s="108" t="s">
        <v>2900</v>
      </c>
      <c r="M7859" s="581">
        <v>10.13</v>
      </c>
    </row>
    <row r="7860" ht="26.25" spans="3:13">
      <c r="C7860" s="108"/>
      <c r="D7860" s="108"/>
      <c r="E7860" s="108"/>
      <c r="F7860" s="108"/>
      <c r="G7860" s="108"/>
      <c r="H7860" s="108" t="s">
        <v>2901</v>
      </c>
      <c r="I7860" s="581">
        <v>23.03</v>
      </c>
      <c r="J7860" s="114"/>
      <c r="K7860" s="114" t="s">
        <v>2902</v>
      </c>
      <c r="L7860" s="108"/>
      <c r="M7860" s="581">
        <v>113.38</v>
      </c>
    </row>
    <row r="7861" ht="15" spans="3:13">
      <c r="C7861" s="571"/>
      <c r="D7861" s="571"/>
      <c r="E7861" s="571"/>
      <c r="F7861" s="571"/>
      <c r="G7861" s="571"/>
      <c r="H7861" s="571"/>
      <c r="I7861" s="571"/>
      <c r="J7861" s="571"/>
      <c r="K7861" s="571"/>
      <c r="L7861" s="571"/>
      <c r="M7861" s="571"/>
    </row>
    <row r="7862" ht="15" customHeight="1" spans="3:13">
      <c r="C7862" s="76" t="s">
        <v>2711</v>
      </c>
      <c r="D7862" s="75" t="s">
        <v>63</v>
      </c>
      <c r="E7862" s="76" t="s">
        <v>64</v>
      </c>
      <c r="F7862" s="76" t="s">
        <v>65</v>
      </c>
      <c r="G7862" s="76" t="s">
        <v>2889</v>
      </c>
      <c r="H7862" s="76"/>
      <c r="I7862" s="77" t="s">
        <v>66</v>
      </c>
      <c r="J7862" s="75" t="s">
        <v>67</v>
      </c>
      <c r="K7862" s="75" t="s">
        <v>2890</v>
      </c>
      <c r="L7862" s="75" t="s">
        <v>68</v>
      </c>
      <c r="M7862" s="75" t="s">
        <v>70</v>
      </c>
    </row>
    <row r="7863" ht="23.85" customHeight="1" spans="3:13">
      <c r="C7863" s="569" t="s">
        <v>2891</v>
      </c>
      <c r="D7863" s="570" t="s">
        <v>2712</v>
      </c>
      <c r="E7863" s="569" t="s">
        <v>139</v>
      </c>
      <c r="F7863" s="569" t="s">
        <v>5165</v>
      </c>
      <c r="G7863" s="569" t="s">
        <v>5166</v>
      </c>
      <c r="H7863" s="569"/>
      <c r="I7863" s="577" t="s">
        <v>141</v>
      </c>
      <c r="J7863" s="578">
        <v>1</v>
      </c>
      <c r="K7863" s="579"/>
      <c r="L7863" s="579">
        <v>22.37</v>
      </c>
      <c r="M7863" s="579">
        <v>22.37</v>
      </c>
    </row>
    <row r="7864" ht="23.85" customHeight="1" spans="3:13">
      <c r="C7864" s="79" t="s">
        <v>2921</v>
      </c>
      <c r="D7864" s="78" t="s">
        <v>5167</v>
      </c>
      <c r="E7864" s="79" t="s">
        <v>139</v>
      </c>
      <c r="F7864" s="79" t="s">
        <v>5168</v>
      </c>
      <c r="G7864" s="79" t="s">
        <v>2928</v>
      </c>
      <c r="H7864" s="79"/>
      <c r="I7864" s="80" t="s">
        <v>2897</v>
      </c>
      <c r="J7864" s="583">
        <v>0.0277</v>
      </c>
      <c r="K7864" s="583">
        <v>0</v>
      </c>
      <c r="L7864" s="92">
        <v>30.3</v>
      </c>
      <c r="M7864" s="92">
        <v>0.83</v>
      </c>
    </row>
    <row r="7865" ht="23.85" customHeight="1" spans="3:13">
      <c r="C7865" s="79" t="s">
        <v>2921</v>
      </c>
      <c r="D7865" s="78" t="s">
        <v>2952</v>
      </c>
      <c r="E7865" s="79" t="s">
        <v>139</v>
      </c>
      <c r="F7865" s="79" t="s">
        <v>2953</v>
      </c>
      <c r="G7865" s="79" t="s">
        <v>2928</v>
      </c>
      <c r="H7865" s="79"/>
      <c r="I7865" s="80" t="s">
        <v>2897</v>
      </c>
      <c r="J7865" s="583">
        <v>0.1386</v>
      </c>
      <c r="K7865" s="583">
        <v>0</v>
      </c>
      <c r="L7865" s="92">
        <v>29.15</v>
      </c>
      <c r="M7865" s="92">
        <v>4.04</v>
      </c>
    </row>
    <row r="7866" ht="23.85" customHeight="1" spans="3:13">
      <c r="C7866" s="100" t="s">
        <v>2893</v>
      </c>
      <c r="D7866" s="99" t="s">
        <v>5169</v>
      </c>
      <c r="E7866" s="100" t="s">
        <v>139</v>
      </c>
      <c r="F7866" s="100" t="s">
        <v>5170</v>
      </c>
      <c r="G7866" s="100" t="s">
        <v>2961</v>
      </c>
      <c r="H7866" s="100"/>
      <c r="I7866" s="101" t="s">
        <v>141</v>
      </c>
      <c r="J7866" s="580">
        <v>1</v>
      </c>
      <c r="K7866" s="580">
        <v>0</v>
      </c>
      <c r="L7866" s="102">
        <v>17.5</v>
      </c>
      <c r="M7866" s="102">
        <v>17.5</v>
      </c>
    </row>
    <row r="7867" ht="25.5" spans="3:13">
      <c r="C7867" s="108"/>
      <c r="D7867" s="108"/>
      <c r="E7867" s="108"/>
      <c r="F7867" s="108"/>
      <c r="G7867" s="108"/>
      <c r="H7867" s="108" t="s">
        <v>2898</v>
      </c>
      <c r="I7867" s="581">
        <v>3.22</v>
      </c>
      <c r="J7867" s="108" t="s">
        <v>2899</v>
      </c>
      <c r="K7867" s="581">
        <v>0</v>
      </c>
      <c r="L7867" s="108" t="s">
        <v>2900</v>
      </c>
      <c r="M7867" s="581">
        <v>3.22</v>
      </c>
    </row>
    <row r="7868" ht="26.25" spans="3:13">
      <c r="C7868" s="108"/>
      <c r="D7868" s="108"/>
      <c r="E7868" s="108"/>
      <c r="F7868" s="108"/>
      <c r="G7868" s="108"/>
      <c r="H7868" s="108" t="s">
        <v>2901</v>
      </c>
      <c r="I7868" s="581">
        <v>5.7</v>
      </c>
      <c r="J7868" s="114"/>
      <c r="K7868" s="114" t="s">
        <v>2902</v>
      </c>
      <c r="L7868" s="108"/>
      <c r="M7868" s="581">
        <v>28.07</v>
      </c>
    </row>
    <row r="7869" ht="15" spans="3:13">
      <c r="C7869" s="571"/>
      <c r="D7869" s="571"/>
      <c r="E7869" s="571"/>
      <c r="F7869" s="571"/>
      <c r="G7869" s="571"/>
      <c r="H7869" s="571"/>
      <c r="I7869" s="571"/>
      <c r="J7869" s="571"/>
      <c r="K7869" s="571"/>
      <c r="L7869" s="571"/>
      <c r="M7869" s="571"/>
    </row>
    <row r="7870" ht="15" customHeight="1" spans="3:13">
      <c r="C7870" s="76" t="s">
        <v>2723</v>
      </c>
      <c r="D7870" s="75" t="s">
        <v>63</v>
      </c>
      <c r="E7870" s="76" t="s">
        <v>64</v>
      </c>
      <c r="F7870" s="76" t="s">
        <v>65</v>
      </c>
      <c r="G7870" s="76" t="s">
        <v>2889</v>
      </c>
      <c r="H7870" s="76"/>
      <c r="I7870" s="77" t="s">
        <v>66</v>
      </c>
      <c r="J7870" s="75" t="s">
        <v>67</v>
      </c>
      <c r="K7870" s="75" t="s">
        <v>2890</v>
      </c>
      <c r="L7870" s="75" t="s">
        <v>68</v>
      </c>
      <c r="M7870" s="75" t="s">
        <v>70</v>
      </c>
    </row>
    <row r="7871" ht="23.85" customHeight="1" spans="3:13">
      <c r="C7871" s="569" t="s">
        <v>2891</v>
      </c>
      <c r="D7871" s="570" t="s">
        <v>2724</v>
      </c>
      <c r="E7871" s="569" t="s">
        <v>139</v>
      </c>
      <c r="F7871" s="569" t="s">
        <v>2725</v>
      </c>
      <c r="G7871" s="569" t="s">
        <v>3079</v>
      </c>
      <c r="H7871" s="569"/>
      <c r="I7871" s="577" t="s">
        <v>141</v>
      </c>
      <c r="J7871" s="578">
        <v>1</v>
      </c>
      <c r="K7871" s="579"/>
      <c r="L7871" s="579">
        <v>5.46</v>
      </c>
      <c r="M7871" s="579">
        <v>5.46</v>
      </c>
    </row>
    <row r="7872" ht="23.85" customHeight="1" spans="3:13">
      <c r="C7872" s="79" t="s">
        <v>2921</v>
      </c>
      <c r="D7872" s="78" t="s">
        <v>3080</v>
      </c>
      <c r="E7872" s="79" t="s">
        <v>139</v>
      </c>
      <c r="F7872" s="79" t="s">
        <v>3081</v>
      </c>
      <c r="G7872" s="79" t="s">
        <v>2928</v>
      </c>
      <c r="H7872" s="79"/>
      <c r="I7872" s="80" t="s">
        <v>2897</v>
      </c>
      <c r="J7872" s="583">
        <v>0.0666</v>
      </c>
      <c r="K7872" s="583">
        <v>0</v>
      </c>
      <c r="L7872" s="92">
        <v>38.02</v>
      </c>
      <c r="M7872" s="92">
        <v>2.53</v>
      </c>
    </row>
    <row r="7873" ht="23.85" customHeight="1" spans="3:13">
      <c r="C7873" s="79" t="s">
        <v>2921</v>
      </c>
      <c r="D7873" s="78" t="s">
        <v>2952</v>
      </c>
      <c r="E7873" s="79" t="s">
        <v>139</v>
      </c>
      <c r="F7873" s="79" t="s">
        <v>2953</v>
      </c>
      <c r="G7873" s="79" t="s">
        <v>2928</v>
      </c>
      <c r="H7873" s="79"/>
      <c r="I7873" s="80" t="s">
        <v>2897</v>
      </c>
      <c r="J7873" s="583">
        <v>0.0222</v>
      </c>
      <c r="K7873" s="583">
        <v>0</v>
      </c>
      <c r="L7873" s="92">
        <v>29.15</v>
      </c>
      <c r="M7873" s="92">
        <v>0.64</v>
      </c>
    </row>
    <row r="7874" ht="15" customHeight="1" spans="3:13">
      <c r="C7874" s="100" t="s">
        <v>2893</v>
      </c>
      <c r="D7874" s="99" t="s">
        <v>5071</v>
      </c>
      <c r="E7874" s="100" t="s">
        <v>139</v>
      </c>
      <c r="F7874" s="100" t="s">
        <v>5072</v>
      </c>
      <c r="G7874" s="100" t="s">
        <v>2961</v>
      </c>
      <c r="H7874" s="100"/>
      <c r="I7874" s="101" t="s">
        <v>3084</v>
      </c>
      <c r="J7874" s="580">
        <v>0.1666</v>
      </c>
      <c r="K7874" s="580">
        <v>0</v>
      </c>
      <c r="L7874" s="102">
        <v>13.76</v>
      </c>
      <c r="M7874" s="102">
        <v>2.29</v>
      </c>
    </row>
    <row r="7875" ht="25.5" spans="3:13">
      <c r="C7875" s="108"/>
      <c r="D7875" s="108"/>
      <c r="E7875" s="108"/>
      <c r="F7875" s="108"/>
      <c r="G7875" s="108"/>
      <c r="H7875" s="108" t="s">
        <v>2898</v>
      </c>
      <c r="I7875" s="581">
        <v>2.16</v>
      </c>
      <c r="J7875" s="108" t="s">
        <v>2899</v>
      </c>
      <c r="K7875" s="581">
        <v>0</v>
      </c>
      <c r="L7875" s="108" t="s">
        <v>2900</v>
      </c>
      <c r="M7875" s="581">
        <v>2.16</v>
      </c>
    </row>
    <row r="7876" ht="26.25" spans="3:13">
      <c r="C7876" s="108"/>
      <c r="D7876" s="108"/>
      <c r="E7876" s="108"/>
      <c r="F7876" s="108"/>
      <c r="G7876" s="108"/>
      <c r="H7876" s="108" t="s">
        <v>2901</v>
      </c>
      <c r="I7876" s="581">
        <v>1.39</v>
      </c>
      <c r="J7876" s="114"/>
      <c r="K7876" s="114" t="s">
        <v>2902</v>
      </c>
      <c r="L7876" s="108"/>
      <c r="M7876" s="581">
        <v>6.85</v>
      </c>
    </row>
    <row r="7877" ht="15" spans="3:13">
      <c r="C7877" s="571"/>
      <c r="D7877" s="571"/>
      <c r="E7877" s="571"/>
      <c r="F7877" s="571"/>
      <c r="G7877" s="571"/>
      <c r="H7877" s="571"/>
      <c r="I7877" s="571"/>
      <c r="J7877" s="571"/>
      <c r="K7877" s="571"/>
      <c r="L7877" s="571"/>
      <c r="M7877" s="571"/>
    </row>
    <row r="7878" ht="15" customHeight="1" spans="3:13">
      <c r="C7878" s="76" t="s">
        <v>2726</v>
      </c>
      <c r="D7878" s="75" t="s">
        <v>63</v>
      </c>
      <c r="E7878" s="76" t="s">
        <v>64</v>
      </c>
      <c r="F7878" s="76" t="s">
        <v>65</v>
      </c>
      <c r="G7878" s="76" t="s">
        <v>2889</v>
      </c>
      <c r="H7878" s="76"/>
      <c r="I7878" s="77" t="s">
        <v>66</v>
      </c>
      <c r="J7878" s="75" t="s">
        <v>67</v>
      </c>
      <c r="K7878" s="75" t="s">
        <v>2890</v>
      </c>
      <c r="L7878" s="75" t="s">
        <v>68</v>
      </c>
      <c r="M7878" s="75" t="s">
        <v>70</v>
      </c>
    </row>
    <row r="7879" ht="23.85" customHeight="1" spans="3:13">
      <c r="C7879" s="569" t="s">
        <v>2891</v>
      </c>
      <c r="D7879" s="570" t="s">
        <v>2727</v>
      </c>
      <c r="E7879" s="569" t="s">
        <v>139</v>
      </c>
      <c r="F7879" s="569" t="s">
        <v>2728</v>
      </c>
      <c r="G7879" s="569" t="s">
        <v>3079</v>
      </c>
      <c r="H7879" s="569"/>
      <c r="I7879" s="577" t="s">
        <v>141</v>
      </c>
      <c r="J7879" s="578">
        <v>1</v>
      </c>
      <c r="K7879" s="579"/>
      <c r="L7879" s="579">
        <v>15.19</v>
      </c>
      <c r="M7879" s="579">
        <v>15.19</v>
      </c>
    </row>
    <row r="7880" ht="23.85" customHeight="1" spans="3:13">
      <c r="C7880" s="79" t="s">
        <v>2921</v>
      </c>
      <c r="D7880" s="78" t="s">
        <v>2952</v>
      </c>
      <c r="E7880" s="79" t="s">
        <v>139</v>
      </c>
      <c r="F7880" s="79" t="s">
        <v>2953</v>
      </c>
      <c r="G7880" s="79" t="s">
        <v>2928</v>
      </c>
      <c r="H7880" s="79"/>
      <c r="I7880" s="80" t="s">
        <v>2897</v>
      </c>
      <c r="J7880" s="583">
        <v>0.0544</v>
      </c>
      <c r="K7880" s="583">
        <v>0</v>
      </c>
      <c r="L7880" s="92">
        <v>29.15</v>
      </c>
      <c r="M7880" s="92">
        <v>1.58</v>
      </c>
    </row>
    <row r="7881" ht="23.85" customHeight="1" spans="3:13">
      <c r="C7881" s="79" t="s">
        <v>2921</v>
      </c>
      <c r="D7881" s="78" t="s">
        <v>3080</v>
      </c>
      <c r="E7881" s="79" t="s">
        <v>139</v>
      </c>
      <c r="F7881" s="79" t="s">
        <v>3081</v>
      </c>
      <c r="G7881" s="79" t="s">
        <v>2928</v>
      </c>
      <c r="H7881" s="79"/>
      <c r="I7881" s="80" t="s">
        <v>2897</v>
      </c>
      <c r="J7881" s="583">
        <v>0.1631</v>
      </c>
      <c r="K7881" s="583">
        <v>0</v>
      </c>
      <c r="L7881" s="92">
        <v>38.02</v>
      </c>
      <c r="M7881" s="92">
        <v>6.2</v>
      </c>
    </row>
    <row r="7882" ht="15" customHeight="1" spans="3:13">
      <c r="C7882" s="100" t="s">
        <v>2893</v>
      </c>
      <c r="D7882" s="99" t="s">
        <v>5171</v>
      </c>
      <c r="E7882" s="100" t="s">
        <v>139</v>
      </c>
      <c r="F7882" s="100" t="s">
        <v>5172</v>
      </c>
      <c r="G7882" s="100" t="s">
        <v>2961</v>
      </c>
      <c r="H7882" s="100"/>
      <c r="I7882" s="101" t="s">
        <v>3084</v>
      </c>
      <c r="J7882" s="580">
        <v>0.2285</v>
      </c>
      <c r="K7882" s="580">
        <v>0</v>
      </c>
      <c r="L7882" s="102">
        <v>32.47</v>
      </c>
      <c r="M7882" s="102">
        <v>7.41</v>
      </c>
    </row>
    <row r="7883" ht="25.5" spans="3:13">
      <c r="C7883" s="108"/>
      <c r="D7883" s="108"/>
      <c r="E7883" s="108"/>
      <c r="F7883" s="108"/>
      <c r="G7883" s="108"/>
      <c r="H7883" s="108" t="s">
        <v>2898</v>
      </c>
      <c r="I7883" s="581">
        <v>5.31</v>
      </c>
      <c r="J7883" s="108" t="s">
        <v>2899</v>
      </c>
      <c r="K7883" s="581">
        <v>0</v>
      </c>
      <c r="L7883" s="108" t="s">
        <v>2900</v>
      </c>
      <c r="M7883" s="581">
        <v>5.31</v>
      </c>
    </row>
    <row r="7884" ht="26.25" spans="3:13">
      <c r="C7884" s="108"/>
      <c r="D7884" s="108"/>
      <c r="E7884" s="108"/>
      <c r="F7884" s="108"/>
      <c r="G7884" s="108"/>
      <c r="H7884" s="108" t="s">
        <v>2901</v>
      </c>
      <c r="I7884" s="581">
        <v>3.87</v>
      </c>
      <c r="J7884" s="114"/>
      <c r="K7884" s="114" t="s">
        <v>2902</v>
      </c>
      <c r="L7884" s="108"/>
      <c r="M7884" s="581">
        <v>19.06</v>
      </c>
    </row>
    <row r="7885" ht="15" spans="3:13">
      <c r="C7885" s="571"/>
      <c r="D7885" s="571"/>
      <c r="E7885" s="571"/>
      <c r="F7885" s="571"/>
      <c r="G7885" s="571"/>
      <c r="H7885" s="571"/>
      <c r="I7885" s="571"/>
      <c r="J7885" s="571"/>
      <c r="K7885" s="571"/>
      <c r="L7885" s="571"/>
      <c r="M7885" s="571"/>
    </row>
    <row r="7886" ht="15" customHeight="1" spans="3:13">
      <c r="C7886" s="76" t="s">
        <v>2729</v>
      </c>
      <c r="D7886" s="75" t="s">
        <v>63</v>
      </c>
      <c r="E7886" s="76" t="s">
        <v>64</v>
      </c>
      <c r="F7886" s="76" t="s">
        <v>65</v>
      </c>
      <c r="G7886" s="76" t="s">
        <v>2889</v>
      </c>
      <c r="H7886" s="76"/>
      <c r="I7886" s="77" t="s">
        <v>66</v>
      </c>
      <c r="J7886" s="75" t="s">
        <v>67</v>
      </c>
      <c r="K7886" s="75" t="s">
        <v>2890</v>
      </c>
      <c r="L7886" s="75" t="s">
        <v>68</v>
      </c>
      <c r="M7886" s="75" t="s">
        <v>70</v>
      </c>
    </row>
    <row r="7887" ht="23.85" customHeight="1" spans="3:13">
      <c r="C7887" s="569" t="s">
        <v>2891</v>
      </c>
      <c r="D7887" s="570" t="s">
        <v>2730</v>
      </c>
      <c r="E7887" s="569" t="s">
        <v>139</v>
      </c>
      <c r="F7887" s="569" t="s">
        <v>2731</v>
      </c>
      <c r="G7887" s="569" t="s">
        <v>3079</v>
      </c>
      <c r="H7887" s="569"/>
      <c r="I7887" s="577" t="s">
        <v>141</v>
      </c>
      <c r="J7887" s="578">
        <v>1</v>
      </c>
      <c r="K7887" s="579"/>
      <c r="L7887" s="579">
        <v>22.13</v>
      </c>
      <c r="M7887" s="579">
        <v>22.13</v>
      </c>
    </row>
    <row r="7888" ht="23.85" customHeight="1" spans="3:13">
      <c r="C7888" s="79" t="s">
        <v>2921</v>
      </c>
      <c r="D7888" s="78" t="s">
        <v>3080</v>
      </c>
      <c r="E7888" s="79" t="s">
        <v>139</v>
      </c>
      <c r="F7888" s="79" t="s">
        <v>3081</v>
      </c>
      <c r="G7888" s="79" t="s">
        <v>2928</v>
      </c>
      <c r="H7888" s="79"/>
      <c r="I7888" s="80" t="s">
        <v>2897</v>
      </c>
      <c r="J7888" s="583">
        <v>0.361</v>
      </c>
      <c r="K7888" s="583">
        <v>0</v>
      </c>
      <c r="L7888" s="92">
        <v>38.02</v>
      </c>
      <c r="M7888" s="92">
        <v>13.72</v>
      </c>
    </row>
    <row r="7889" ht="23.85" customHeight="1" spans="3:13">
      <c r="C7889" s="79" t="s">
        <v>2921</v>
      </c>
      <c r="D7889" s="78" t="s">
        <v>2952</v>
      </c>
      <c r="E7889" s="79" t="s">
        <v>139</v>
      </c>
      <c r="F7889" s="79" t="s">
        <v>2953</v>
      </c>
      <c r="G7889" s="79" t="s">
        <v>2928</v>
      </c>
      <c r="H7889" s="79"/>
      <c r="I7889" s="80" t="s">
        <v>2897</v>
      </c>
      <c r="J7889" s="583">
        <v>0.1203</v>
      </c>
      <c r="K7889" s="583">
        <v>0</v>
      </c>
      <c r="L7889" s="92">
        <v>29.15</v>
      </c>
      <c r="M7889" s="92">
        <v>3.5</v>
      </c>
    </row>
    <row r="7890" ht="23.85" customHeight="1" spans="3:13">
      <c r="C7890" s="100" t="s">
        <v>2893</v>
      </c>
      <c r="D7890" s="99" t="s">
        <v>5173</v>
      </c>
      <c r="E7890" s="100" t="s">
        <v>139</v>
      </c>
      <c r="F7890" s="100" t="s">
        <v>5174</v>
      </c>
      <c r="G7890" s="100" t="s">
        <v>2961</v>
      </c>
      <c r="H7890" s="100"/>
      <c r="I7890" s="101" t="s">
        <v>134</v>
      </c>
      <c r="J7890" s="580">
        <v>0.0802</v>
      </c>
      <c r="K7890" s="580">
        <v>0</v>
      </c>
      <c r="L7890" s="102">
        <v>1.21</v>
      </c>
      <c r="M7890" s="102">
        <v>0.09</v>
      </c>
    </row>
    <row r="7891" ht="15" customHeight="1" spans="3:13">
      <c r="C7891" s="100" t="s">
        <v>2893</v>
      </c>
      <c r="D7891" s="99" t="s">
        <v>5175</v>
      </c>
      <c r="E7891" s="100" t="s">
        <v>139</v>
      </c>
      <c r="F7891" s="100" t="s">
        <v>5176</v>
      </c>
      <c r="G7891" s="100" t="s">
        <v>2961</v>
      </c>
      <c r="H7891" s="100"/>
      <c r="I7891" s="101" t="s">
        <v>393</v>
      </c>
      <c r="J7891" s="580">
        <v>1.3389</v>
      </c>
      <c r="K7891" s="580">
        <v>0</v>
      </c>
      <c r="L7891" s="102">
        <v>3.6</v>
      </c>
      <c r="M7891" s="102">
        <v>4.82</v>
      </c>
    </row>
    <row r="7892" ht="25.5" spans="3:13">
      <c r="C7892" s="108"/>
      <c r="D7892" s="108"/>
      <c r="E7892" s="108"/>
      <c r="F7892" s="108"/>
      <c r="G7892" s="108"/>
      <c r="H7892" s="108" t="s">
        <v>2898</v>
      </c>
      <c r="I7892" s="581">
        <v>11.76</v>
      </c>
      <c r="J7892" s="108" t="s">
        <v>2899</v>
      </c>
      <c r="K7892" s="581">
        <v>0</v>
      </c>
      <c r="L7892" s="108" t="s">
        <v>2900</v>
      </c>
      <c r="M7892" s="581">
        <v>11.76</v>
      </c>
    </row>
    <row r="7893" ht="26.25" spans="3:13">
      <c r="C7893" s="108"/>
      <c r="D7893" s="108"/>
      <c r="E7893" s="108"/>
      <c r="F7893" s="108"/>
      <c r="G7893" s="108"/>
      <c r="H7893" s="108" t="s">
        <v>2901</v>
      </c>
      <c r="I7893" s="581">
        <v>5.64</v>
      </c>
      <c r="J7893" s="114"/>
      <c r="K7893" s="114" t="s">
        <v>2902</v>
      </c>
      <c r="L7893" s="108"/>
      <c r="M7893" s="581">
        <v>27.77</v>
      </c>
    </row>
    <row r="7894" ht="15" spans="3:13">
      <c r="C7894" s="571"/>
      <c r="D7894" s="571"/>
      <c r="E7894" s="571"/>
      <c r="F7894" s="571"/>
      <c r="G7894" s="571"/>
      <c r="H7894" s="571"/>
      <c r="I7894" s="571"/>
      <c r="J7894" s="571"/>
      <c r="K7894" s="571"/>
      <c r="L7894" s="571"/>
      <c r="M7894" s="571"/>
    </row>
    <row r="7895" ht="15" customHeight="1" spans="3:13">
      <c r="C7895" s="76" t="s">
        <v>2734</v>
      </c>
      <c r="D7895" s="75" t="s">
        <v>63</v>
      </c>
      <c r="E7895" s="76" t="s">
        <v>64</v>
      </c>
      <c r="F7895" s="76" t="s">
        <v>65</v>
      </c>
      <c r="G7895" s="76" t="s">
        <v>2889</v>
      </c>
      <c r="H7895" s="76"/>
      <c r="I7895" s="77" t="s">
        <v>66</v>
      </c>
      <c r="J7895" s="75" t="s">
        <v>67</v>
      </c>
      <c r="K7895" s="75" t="s">
        <v>2890</v>
      </c>
      <c r="L7895" s="75" t="s">
        <v>68</v>
      </c>
      <c r="M7895" s="75" t="s">
        <v>70</v>
      </c>
    </row>
    <row r="7896" ht="23.85" customHeight="1" spans="3:13">
      <c r="C7896" s="569" t="s">
        <v>2891</v>
      </c>
      <c r="D7896" s="570" t="s">
        <v>2735</v>
      </c>
      <c r="E7896" s="569" t="s">
        <v>139</v>
      </c>
      <c r="F7896" s="569" t="s">
        <v>2736</v>
      </c>
      <c r="G7896" s="569" t="s">
        <v>5177</v>
      </c>
      <c r="H7896" s="569"/>
      <c r="I7896" s="577" t="s">
        <v>141</v>
      </c>
      <c r="J7896" s="578">
        <v>1</v>
      </c>
      <c r="K7896" s="579"/>
      <c r="L7896" s="579">
        <v>6.46</v>
      </c>
      <c r="M7896" s="579">
        <v>6.46</v>
      </c>
    </row>
    <row r="7897" ht="23.85" customHeight="1" spans="3:13">
      <c r="C7897" s="79" t="s">
        <v>2921</v>
      </c>
      <c r="D7897" s="78" t="s">
        <v>3080</v>
      </c>
      <c r="E7897" s="79" t="s">
        <v>139</v>
      </c>
      <c r="F7897" s="79" t="s">
        <v>3081</v>
      </c>
      <c r="G7897" s="79" t="s">
        <v>2928</v>
      </c>
      <c r="H7897" s="79"/>
      <c r="I7897" s="80" t="s">
        <v>2897</v>
      </c>
      <c r="J7897" s="583">
        <v>0.0566</v>
      </c>
      <c r="K7897" s="583">
        <v>0</v>
      </c>
      <c r="L7897" s="92">
        <v>38.02</v>
      </c>
      <c r="M7897" s="92">
        <v>2.15</v>
      </c>
    </row>
    <row r="7898" ht="23.85" customHeight="1" spans="3:13">
      <c r="C7898" s="79" t="s">
        <v>2921</v>
      </c>
      <c r="D7898" s="78" t="s">
        <v>2952</v>
      </c>
      <c r="E7898" s="79" t="s">
        <v>139</v>
      </c>
      <c r="F7898" s="79" t="s">
        <v>2953</v>
      </c>
      <c r="G7898" s="79" t="s">
        <v>2928</v>
      </c>
      <c r="H7898" s="79"/>
      <c r="I7898" s="80" t="s">
        <v>2897</v>
      </c>
      <c r="J7898" s="583">
        <v>0.0092</v>
      </c>
      <c r="K7898" s="583">
        <v>0</v>
      </c>
      <c r="L7898" s="92">
        <v>29.15</v>
      </c>
      <c r="M7898" s="92">
        <v>0.26</v>
      </c>
    </row>
    <row r="7899" ht="15" customHeight="1" spans="3:13">
      <c r="C7899" s="100" t="s">
        <v>2893</v>
      </c>
      <c r="D7899" s="99" t="s">
        <v>5071</v>
      </c>
      <c r="E7899" s="100" t="s">
        <v>139</v>
      </c>
      <c r="F7899" s="100" t="s">
        <v>5072</v>
      </c>
      <c r="G7899" s="100" t="s">
        <v>2961</v>
      </c>
      <c r="H7899" s="100"/>
      <c r="I7899" s="101" t="s">
        <v>3084</v>
      </c>
      <c r="J7899" s="580">
        <v>0.29472</v>
      </c>
      <c r="K7899" s="580">
        <v>0</v>
      </c>
      <c r="L7899" s="102">
        <v>13.76</v>
      </c>
      <c r="M7899" s="102">
        <v>4.05</v>
      </c>
    </row>
    <row r="7900" ht="25.5" spans="3:13">
      <c r="C7900" s="108"/>
      <c r="D7900" s="108"/>
      <c r="E7900" s="108"/>
      <c r="F7900" s="108"/>
      <c r="G7900" s="108"/>
      <c r="H7900" s="108" t="s">
        <v>2898</v>
      </c>
      <c r="I7900" s="581">
        <v>1.65</v>
      </c>
      <c r="J7900" s="108" t="s">
        <v>2899</v>
      </c>
      <c r="K7900" s="581">
        <v>0</v>
      </c>
      <c r="L7900" s="108" t="s">
        <v>2900</v>
      </c>
      <c r="M7900" s="581">
        <v>1.65</v>
      </c>
    </row>
    <row r="7901" ht="26.25" spans="3:13">
      <c r="C7901" s="108"/>
      <c r="D7901" s="108"/>
      <c r="E7901" s="108"/>
      <c r="F7901" s="108"/>
      <c r="G7901" s="108"/>
      <c r="H7901" s="108" t="s">
        <v>2901</v>
      </c>
      <c r="I7901" s="581">
        <v>1.64</v>
      </c>
      <c r="J7901" s="114"/>
      <c r="K7901" s="114" t="s">
        <v>2902</v>
      </c>
      <c r="L7901" s="108"/>
      <c r="M7901" s="581">
        <v>8.1</v>
      </c>
    </row>
    <row r="7902" ht="15" spans="3:13">
      <c r="C7902" s="571"/>
      <c r="D7902" s="571"/>
      <c r="E7902" s="571"/>
      <c r="F7902" s="571"/>
      <c r="G7902" s="571"/>
      <c r="H7902" s="571"/>
      <c r="I7902" s="571"/>
      <c r="J7902" s="571"/>
      <c r="K7902" s="571"/>
      <c r="L7902" s="571"/>
      <c r="M7902" s="571"/>
    </row>
    <row r="7903" ht="15" customHeight="1" spans="3:13">
      <c r="C7903" s="76" t="s">
        <v>2737</v>
      </c>
      <c r="D7903" s="75" t="s">
        <v>63</v>
      </c>
      <c r="E7903" s="76" t="s">
        <v>64</v>
      </c>
      <c r="F7903" s="76" t="s">
        <v>65</v>
      </c>
      <c r="G7903" s="76" t="s">
        <v>2889</v>
      </c>
      <c r="H7903" s="76"/>
      <c r="I7903" s="77" t="s">
        <v>66</v>
      </c>
      <c r="J7903" s="75" t="s">
        <v>67</v>
      </c>
      <c r="K7903" s="75" t="s">
        <v>2890</v>
      </c>
      <c r="L7903" s="75" t="s">
        <v>68</v>
      </c>
      <c r="M7903" s="75" t="s">
        <v>70</v>
      </c>
    </row>
    <row r="7904" ht="23.85" customHeight="1" spans="3:13">
      <c r="C7904" s="569" t="s">
        <v>2891</v>
      </c>
      <c r="D7904" s="570" t="s">
        <v>2738</v>
      </c>
      <c r="E7904" s="569" t="s">
        <v>139</v>
      </c>
      <c r="F7904" s="569" t="s">
        <v>2739</v>
      </c>
      <c r="G7904" s="569" t="s">
        <v>5177</v>
      </c>
      <c r="H7904" s="569"/>
      <c r="I7904" s="577" t="s">
        <v>141</v>
      </c>
      <c r="J7904" s="578">
        <v>1</v>
      </c>
      <c r="K7904" s="579"/>
      <c r="L7904" s="579">
        <v>18.94</v>
      </c>
      <c r="M7904" s="579">
        <v>18.94</v>
      </c>
    </row>
    <row r="7905" ht="23.85" customHeight="1" spans="3:13">
      <c r="C7905" s="79" t="s">
        <v>2921</v>
      </c>
      <c r="D7905" s="78" t="s">
        <v>3080</v>
      </c>
      <c r="E7905" s="79" t="s">
        <v>139</v>
      </c>
      <c r="F7905" s="79" t="s">
        <v>3081</v>
      </c>
      <c r="G7905" s="79" t="s">
        <v>2928</v>
      </c>
      <c r="H7905" s="79"/>
      <c r="I7905" s="80" t="s">
        <v>2897</v>
      </c>
      <c r="J7905" s="583">
        <v>0.2866</v>
      </c>
      <c r="K7905" s="583">
        <v>0</v>
      </c>
      <c r="L7905" s="92">
        <v>38.02</v>
      </c>
      <c r="M7905" s="92">
        <v>10.89</v>
      </c>
    </row>
    <row r="7906" ht="23.85" customHeight="1" spans="3:13">
      <c r="C7906" s="79" t="s">
        <v>2921</v>
      </c>
      <c r="D7906" s="78" t="s">
        <v>2952</v>
      </c>
      <c r="E7906" s="79" t="s">
        <v>139</v>
      </c>
      <c r="F7906" s="79" t="s">
        <v>2953</v>
      </c>
      <c r="G7906" s="79" t="s">
        <v>2928</v>
      </c>
      <c r="H7906" s="79"/>
      <c r="I7906" s="80" t="s">
        <v>2897</v>
      </c>
      <c r="J7906" s="583">
        <v>0.0468</v>
      </c>
      <c r="K7906" s="583">
        <v>0</v>
      </c>
      <c r="L7906" s="92">
        <v>29.15</v>
      </c>
      <c r="M7906" s="92">
        <v>1.36</v>
      </c>
    </row>
    <row r="7907" ht="15" customHeight="1" spans="3:13">
      <c r="C7907" s="100" t="s">
        <v>2893</v>
      </c>
      <c r="D7907" s="99" t="s">
        <v>5171</v>
      </c>
      <c r="E7907" s="100" t="s">
        <v>139</v>
      </c>
      <c r="F7907" s="100" t="s">
        <v>5172</v>
      </c>
      <c r="G7907" s="100" t="s">
        <v>2961</v>
      </c>
      <c r="H7907" s="100"/>
      <c r="I7907" s="101" t="s">
        <v>3084</v>
      </c>
      <c r="J7907" s="580">
        <v>0.20615</v>
      </c>
      <c r="K7907" s="580">
        <v>0</v>
      </c>
      <c r="L7907" s="102">
        <v>32.47</v>
      </c>
      <c r="M7907" s="102">
        <v>6.69</v>
      </c>
    </row>
    <row r="7908" ht="25.5" spans="3:13">
      <c r="C7908" s="108"/>
      <c r="D7908" s="108"/>
      <c r="E7908" s="108"/>
      <c r="F7908" s="108"/>
      <c r="G7908" s="108"/>
      <c r="H7908" s="108" t="s">
        <v>2898</v>
      </c>
      <c r="I7908" s="581">
        <v>8.39</v>
      </c>
      <c r="J7908" s="108" t="s">
        <v>2899</v>
      </c>
      <c r="K7908" s="581">
        <v>0</v>
      </c>
      <c r="L7908" s="108" t="s">
        <v>2900</v>
      </c>
      <c r="M7908" s="581">
        <v>8.39</v>
      </c>
    </row>
    <row r="7909" ht="26.25" spans="3:13">
      <c r="C7909" s="108"/>
      <c r="D7909" s="108"/>
      <c r="E7909" s="108"/>
      <c r="F7909" s="108"/>
      <c r="G7909" s="108"/>
      <c r="H7909" s="108" t="s">
        <v>2901</v>
      </c>
      <c r="I7909" s="581">
        <v>4.82</v>
      </c>
      <c r="J7909" s="114"/>
      <c r="K7909" s="114" t="s">
        <v>2902</v>
      </c>
      <c r="L7909" s="108"/>
      <c r="M7909" s="581">
        <v>23.76</v>
      </c>
    </row>
    <row r="7910" ht="15" spans="3:13">
      <c r="C7910" s="571"/>
      <c r="D7910" s="571"/>
      <c r="E7910" s="571"/>
      <c r="F7910" s="571"/>
      <c r="G7910" s="571"/>
      <c r="H7910" s="571"/>
      <c r="I7910" s="571"/>
      <c r="J7910" s="571"/>
      <c r="K7910" s="571"/>
      <c r="L7910" s="571"/>
      <c r="M7910" s="571"/>
    </row>
    <row r="7911" ht="15" customHeight="1" spans="3:13">
      <c r="C7911" s="76" t="s">
        <v>2740</v>
      </c>
      <c r="D7911" s="75" t="s">
        <v>63</v>
      </c>
      <c r="E7911" s="76" t="s">
        <v>64</v>
      </c>
      <c r="F7911" s="76" t="s">
        <v>65</v>
      </c>
      <c r="G7911" s="76" t="s">
        <v>2889</v>
      </c>
      <c r="H7911" s="76"/>
      <c r="I7911" s="77" t="s">
        <v>66</v>
      </c>
      <c r="J7911" s="75" t="s">
        <v>67</v>
      </c>
      <c r="K7911" s="75" t="s">
        <v>2890</v>
      </c>
      <c r="L7911" s="75" t="s">
        <v>68</v>
      </c>
      <c r="M7911" s="75" t="s">
        <v>70</v>
      </c>
    </row>
    <row r="7912" ht="23.85" customHeight="1" spans="3:13">
      <c r="C7912" s="569" t="s">
        <v>2891</v>
      </c>
      <c r="D7912" s="570" t="s">
        <v>2741</v>
      </c>
      <c r="E7912" s="569" t="s">
        <v>139</v>
      </c>
      <c r="F7912" s="569" t="s">
        <v>2742</v>
      </c>
      <c r="G7912" s="569" t="s">
        <v>5177</v>
      </c>
      <c r="H7912" s="569"/>
      <c r="I7912" s="577" t="s">
        <v>141</v>
      </c>
      <c r="J7912" s="578">
        <v>1</v>
      </c>
      <c r="K7912" s="579"/>
      <c r="L7912" s="579">
        <v>36.19</v>
      </c>
      <c r="M7912" s="579">
        <v>36.19</v>
      </c>
    </row>
    <row r="7913" ht="23.85" customHeight="1" spans="3:13">
      <c r="C7913" s="79" t="s">
        <v>2921</v>
      </c>
      <c r="D7913" s="78" t="s">
        <v>3080</v>
      </c>
      <c r="E7913" s="79" t="s">
        <v>139</v>
      </c>
      <c r="F7913" s="79" t="s">
        <v>3081</v>
      </c>
      <c r="G7913" s="79" t="s">
        <v>2928</v>
      </c>
      <c r="H7913" s="79"/>
      <c r="I7913" s="80" t="s">
        <v>2897</v>
      </c>
      <c r="J7913" s="583">
        <v>0.6344</v>
      </c>
      <c r="K7913" s="583">
        <v>0</v>
      </c>
      <c r="L7913" s="92">
        <v>38.02</v>
      </c>
      <c r="M7913" s="92">
        <v>24.11</v>
      </c>
    </row>
    <row r="7914" ht="23.85" customHeight="1" spans="3:13">
      <c r="C7914" s="79" t="s">
        <v>2921</v>
      </c>
      <c r="D7914" s="78" t="s">
        <v>2952</v>
      </c>
      <c r="E7914" s="79" t="s">
        <v>139</v>
      </c>
      <c r="F7914" s="79" t="s">
        <v>2953</v>
      </c>
      <c r="G7914" s="79" t="s">
        <v>2928</v>
      </c>
      <c r="H7914" s="79"/>
      <c r="I7914" s="80" t="s">
        <v>2897</v>
      </c>
      <c r="J7914" s="583">
        <v>0.1036</v>
      </c>
      <c r="K7914" s="583">
        <v>0</v>
      </c>
      <c r="L7914" s="92">
        <v>29.15</v>
      </c>
      <c r="M7914" s="92">
        <v>3.01</v>
      </c>
    </row>
    <row r="7915" ht="23.85" customHeight="1" spans="3:13">
      <c r="C7915" s="100" t="s">
        <v>2893</v>
      </c>
      <c r="D7915" s="99" t="s">
        <v>5173</v>
      </c>
      <c r="E7915" s="100" t="s">
        <v>139</v>
      </c>
      <c r="F7915" s="100" t="s">
        <v>5174</v>
      </c>
      <c r="G7915" s="100" t="s">
        <v>2961</v>
      </c>
      <c r="H7915" s="100"/>
      <c r="I7915" s="101" t="s">
        <v>134</v>
      </c>
      <c r="J7915" s="580">
        <v>0.08287</v>
      </c>
      <c r="K7915" s="580">
        <v>0</v>
      </c>
      <c r="L7915" s="102">
        <v>1.21</v>
      </c>
      <c r="M7915" s="102">
        <v>0.1</v>
      </c>
    </row>
    <row r="7916" ht="15" customHeight="1" spans="3:13">
      <c r="C7916" s="100" t="s">
        <v>2893</v>
      </c>
      <c r="D7916" s="99" t="s">
        <v>5178</v>
      </c>
      <c r="E7916" s="100" t="s">
        <v>139</v>
      </c>
      <c r="F7916" s="100" t="s">
        <v>5179</v>
      </c>
      <c r="G7916" s="100" t="s">
        <v>2961</v>
      </c>
      <c r="H7916" s="100"/>
      <c r="I7916" s="101" t="s">
        <v>393</v>
      </c>
      <c r="J7916" s="580">
        <v>1.38709</v>
      </c>
      <c r="K7916" s="580">
        <v>0</v>
      </c>
      <c r="L7916" s="102">
        <v>6.47</v>
      </c>
      <c r="M7916" s="102">
        <v>8.97</v>
      </c>
    </row>
    <row r="7917" ht="25.5" spans="3:13">
      <c r="C7917" s="108"/>
      <c r="D7917" s="108"/>
      <c r="E7917" s="108"/>
      <c r="F7917" s="108"/>
      <c r="G7917" s="108"/>
      <c r="H7917" s="108" t="s">
        <v>2898</v>
      </c>
      <c r="I7917" s="581">
        <v>18.6</v>
      </c>
      <c r="J7917" s="108" t="s">
        <v>2899</v>
      </c>
      <c r="K7917" s="581">
        <v>0</v>
      </c>
      <c r="L7917" s="108" t="s">
        <v>2900</v>
      </c>
      <c r="M7917" s="581">
        <v>18.6</v>
      </c>
    </row>
    <row r="7918" ht="26.25" spans="3:13">
      <c r="C7918" s="108"/>
      <c r="D7918" s="108"/>
      <c r="E7918" s="108"/>
      <c r="F7918" s="108"/>
      <c r="G7918" s="108"/>
      <c r="H7918" s="108" t="s">
        <v>2901</v>
      </c>
      <c r="I7918" s="581">
        <v>9.22</v>
      </c>
      <c r="J7918" s="114"/>
      <c r="K7918" s="114" t="s">
        <v>2902</v>
      </c>
      <c r="L7918" s="108"/>
      <c r="M7918" s="581">
        <v>45.41</v>
      </c>
    </row>
    <row r="7919" ht="15" spans="3:13">
      <c r="C7919" s="571"/>
      <c r="D7919" s="571"/>
      <c r="E7919" s="571"/>
      <c r="F7919" s="571"/>
      <c r="G7919" s="571"/>
      <c r="H7919" s="571"/>
      <c r="I7919" s="571"/>
      <c r="J7919" s="571"/>
      <c r="K7919" s="571"/>
      <c r="L7919" s="571"/>
      <c r="M7919" s="571"/>
    </row>
    <row r="7920" ht="15" customHeight="1" spans="3:13">
      <c r="C7920" s="76" t="s">
        <v>2743</v>
      </c>
      <c r="D7920" s="75" t="s">
        <v>63</v>
      </c>
      <c r="E7920" s="76" t="s">
        <v>64</v>
      </c>
      <c r="F7920" s="76" t="s">
        <v>65</v>
      </c>
      <c r="G7920" s="76" t="s">
        <v>2889</v>
      </c>
      <c r="H7920" s="76"/>
      <c r="I7920" s="77" t="s">
        <v>66</v>
      </c>
      <c r="J7920" s="75" t="s">
        <v>67</v>
      </c>
      <c r="K7920" s="75" t="s">
        <v>2890</v>
      </c>
      <c r="L7920" s="75" t="s">
        <v>68</v>
      </c>
      <c r="M7920" s="75" t="s">
        <v>70</v>
      </c>
    </row>
    <row r="7921" ht="35.05" customHeight="1" spans="3:13">
      <c r="C7921" s="569" t="s">
        <v>2891</v>
      </c>
      <c r="D7921" s="570" t="s">
        <v>594</v>
      </c>
      <c r="E7921" s="569" t="s">
        <v>139</v>
      </c>
      <c r="F7921" s="569" t="s">
        <v>595</v>
      </c>
      <c r="G7921" s="569" t="s">
        <v>3470</v>
      </c>
      <c r="H7921" s="569"/>
      <c r="I7921" s="577" t="s">
        <v>141</v>
      </c>
      <c r="J7921" s="578">
        <v>1</v>
      </c>
      <c r="K7921" s="579"/>
      <c r="L7921" s="579">
        <v>14.31</v>
      </c>
      <c r="M7921" s="579">
        <v>14.31</v>
      </c>
    </row>
    <row r="7922" ht="23.85" customHeight="1" spans="3:13">
      <c r="C7922" s="79" t="s">
        <v>2921</v>
      </c>
      <c r="D7922" s="78" t="s">
        <v>3080</v>
      </c>
      <c r="E7922" s="79" t="s">
        <v>139</v>
      </c>
      <c r="F7922" s="79" t="s">
        <v>3081</v>
      </c>
      <c r="G7922" s="79" t="s">
        <v>2928</v>
      </c>
      <c r="H7922" s="79"/>
      <c r="I7922" s="80" t="s">
        <v>2897</v>
      </c>
      <c r="J7922" s="583">
        <v>0.0635</v>
      </c>
      <c r="K7922" s="583">
        <v>0</v>
      </c>
      <c r="L7922" s="92">
        <v>38.02</v>
      </c>
      <c r="M7922" s="92">
        <v>2.41</v>
      </c>
    </row>
    <row r="7923" ht="15" customHeight="1" spans="3:13">
      <c r="C7923" s="100" t="s">
        <v>2893</v>
      </c>
      <c r="D7923" s="99" t="s">
        <v>3471</v>
      </c>
      <c r="E7923" s="100" t="s">
        <v>139</v>
      </c>
      <c r="F7923" s="100" t="s">
        <v>3472</v>
      </c>
      <c r="G7923" s="100" t="s">
        <v>2961</v>
      </c>
      <c r="H7923" s="100"/>
      <c r="I7923" s="101" t="s">
        <v>3084</v>
      </c>
      <c r="J7923" s="580">
        <v>0.0575</v>
      </c>
      <c r="K7923" s="580">
        <v>0</v>
      </c>
      <c r="L7923" s="102">
        <v>23.23</v>
      </c>
      <c r="M7923" s="102">
        <v>1.33</v>
      </c>
    </row>
    <row r="7924" ht="15" customHeight="1" spans="3:13">
      <c r="C7924" s="100" t="s">
        <v>2893</v>
      </c>
      <c r="D7924" s="99" t="s">
        <v>3473</v>
      </c>
      <c r="E7924" s="100" t="s">
        <v>139</v>
      </c>
      <c r="F7924" s="100" t="s">
        <v>3474</v>
      </c>
      <c r="G7924" s="100" t="s">
        <v>2961</v>
      </c>
      <c r="H7924" s="100"/>
      <c r="I7924" s="101" t="s">
        <v>3084</v>
      </c>
      <c r="J7924" s="580">
        <v>0.1908</v>
      </c>
      <c r="K7924" s="580">
        <v>0</v>
      </c>
      <c r="L7924" s="102">
        <v>55.41</v>
      </c>
      <c r="M7924" s="102">
        <v>10.57</v>
      </c>
    </row>
    <row r="7925" ht="25.5" spans="3:13">
      <c r="C7925" s="108"/>
      <c r="D7925" s="108"/>
      <c r="E7925" s="108"/>
      <c r="F7925" s="108"/>
      <c r="G7925" s="108"/>
      <c r="H7925" s="108" t="s">
        <v>2898</v>
      </c>
      <c r="I7925" s="581">
        <v>1.66</v>
      </c>
      <c r="J7925" s="108" t="s">
        <v>2899</v>
      </c>
      <c r="K7925" s="581">
        <v>0</v>
      </c>
      <c r="L7925" s="108" t="s">
        <v>2900</v>
      </c>
      <c r="M7925" s="581">
        <v>1.66</v>
      </c>
    </row>
    <row r="7926" ht="26.25" spans="3:13">
      <c r="C7926" s="108"/>
      <c r="D7926" s="108"/>
      <c r="E7926" s="108"/>
      <c r="F7926" s="108"/>
      <c r="G7926" s="108"/>
      <c r="H7926" s="108" t="s">
        <v>2901</v>
      </c>
      <c r="I7926" s="581">
        <v>3.64</v>
      </c>
      <c r="J7926" s="114"/>
      <c r="K7926" s="114" t="s">
        <v>2902</v>
      </c>
      <c r="L7926" s="108"/>
      <c r="M7926" s="581">
        <v>17.95</v>
      </c>
    </row>
    <row r="7927" ht="15" spans="3:13">
      <c r="C7927" s="571"/>
      <c r="D7927" s="571"/>
      <c r="E7927" s="571"/>
      <c r="F7927" s="571"/>
      <c r="G7927" s="571"/>
      <c r="H7927" s="571"/>
      <c r="I7927" s="571"/>
      <c r="J7927" s="571"/>
      <c r="K7927" s="571"/>
      <c r="L7927" s="571"/>
      <c r="M7927" s="571"/>
    </row>
    <row r="7928" ht="15" customHeight="1" spans="3:13">
      <c r="C7928" s="76" t="s">
        <v>2744</v>
      </c>
      <c r="D7928" s="75" t="s">
        <v>63</v>
      </c>
      <c r="E7928" s="76" t="s">
        <v>64</v>
      </c>
      <c r="F7928" s="76" t="s">
        <v>65</v>
      </c>
      <c r="G7928" s="76" t="s">
        <v>2889</v>
      </c>
      <c r="H7928" s="76"/>
      <c r="I7928" s="77" t="s">
        <v>66</v>
      </c>
      <c r="J7928" s="75" t="s">
        <v>67</v>
      </c>
      <c r="K7928" s="75" t="s">
        <v>2890</v>
      </c>
      <c r="L7928" s="75" t="s">
        <v>68</v>
      </c>
      <c r="M7928" s="75" t="s">
        <v>70</v>
      </c>
    </row>
    <row r="7929" ht="35.05" customHeight="1" spans="3:13">
      <c r="C7929" s="569" t="s">
        <v>2891</v>
      </c>
      <c r="D7929" s="570" t="s">
        <v>2745</v>
      </c>
      <c r="E7929" s="569" t="s">
        <v>139</v>
      </c>
      <c r="F7929" s="569" t="s">
        <v>2746</v>
      </c>
      <c r="G7929" s="569" t="s">
        <v>3470</v>
      </c>
      <c r="H7929" s="569"/>
      <c r="I7929" s="577" t="s">
        <v>141</v>
      </c>
      <c r="J7929" s="578">
        <v>1</v>
      </c>
      <c r="K7929" s="579"/>
      <c r="L7929" s="579">
        <v>64.14</v>
      </c>
      <c r="M7929" s="579">
        <v>64.14</v>
      </c>
    </row>
    <row r="7930" ht="23.85" customHeight="1" spans="3:13">
      <c r="C7930" s="79" t="s">
        <v>2921</v>
      </c>
      <c r="D7930" s="78" t="s">
        <v>3080</v>
      </c>
      <c r="E7930" s="79" t="s">
        <v>139</v>
      </c>
      <c r="F7930" s="79" t="s">
        <v>3081</v>
      </c>
      <c r="G7930" s="79" t="s">
        <v>2928</v>
      </c>
      <c r="H7930" s="79"/>
      <c r="I7930" s="80" t="s">
        <v>2897</v>
      </c>
      <c r="J7930" s="583">
        <v>1.0531</v>
      </c>
      <c r="K7930" s="583">
        <v>0</v>
      </c>
      <c r="L7930" s="92">
        <v>38.02</v>
      </c>
      <c r="M7930" s="92">
        <v>40.03</v>
      </c>
    </row>
    <row r="7931" ht="15" customHeight="1" spans="3:13">
      <c r="C7931" s="100" t="s">
        <v>2893</v>
      </c>
      <c r="D7931" s="99" t="s">
        <v>3471</v>
      </c>
      <c r="E7931" s="100" t="s">
        <v>139</v>
      </c>
      <c r="F7931" s="100" t="s">
        <v>3472</v>
      </c>
      <c r="G7931" s="100" t="s">
        <v>2961</v>
      </c>
      <c r="H7931" s="100"/>
      <c r="I7931" s="101" t="s">
        <v>3084</v>
      </c>
      <c r="J7931" s="580">
        <v>0.124</v>
      </c>
      <c r="K7931" s="580">
        <v>0</v>
      </c>
      <c r="L7931" s="102">
        <v>23.23</v>
      </c>
      <c r="M7931" s="102">
        <v>2.88</v>
      </c>
    </row>
    <row r="7932" ht="15" customHeight="1" spans="3:13">
      <c r="C7932" s="100" t="s">
        <v>2893</v>
      </c>
      <c r="D7932" s="99" t="s">
        <v>5180</v>
      </c>
      <c r="E7932" s="100" t="s">
        <v>139</v>
      </c>
      <c r="F7932" s="100" t="s">
        <v>5181</v>
      </c>
      <c r="G7932" s="100" t="s">
        <v>2961</v>
      </c>
      <c r="H7932" s="100"/>
      <c r="I7932" s="101" t="s">
        <v>3084</v>
      </c>
      <c r="J7932" s="580">
        <v>0.4134</v>
      </c>
      <c r="K7932" s="580">
        <v>0</v>
      </c>
      <c r="L7932" s="102">
        <v>51.37</v>
      </c>
      <c r="M7932" s="102">
        <v>21.23</v>
      </c>
    </row>
    <row r="7933" ht="25.5" spans="3:13">
      <c r="C7933" s="108"/>
      <c r="D7933" s="108"/>
      <c r="E7933" s="108"/>
      <c r="F7933" s="108"/>
      <c r="G7933" s="108"/>
      <c r="H7933" s="108" t="s">
        <v>2898</v>
      </c>
      <c r="I7933" s="581">
        <v>27.58</v>
      </c>
      <c r="J7933" s="108" t="s">
        <v>2899</v>
      </c>
      <c r="K7933" s="581">
        <v>0</v>
      </c>
      <c r="L7933" s="108" t="s">
        <v>2900</v>
      </c>
      <c r="M7933" s="581">
        <v>27.58</v>
      </c>
    </row>
    <row r="7934" ht="26.25" spans="3:13">
      <c r="C7934" s="108"/>
      <c r="D7934" s="108"/>
      <c r="E7934" s="108"/>
      <c r="F7934" s="108"/>
      <c r="G7934" s="108"/>
      <c r="H7934" s="108" t="s">
        <v>2901</v>
      </c>
      <c r="I7934" s="581">
        <v>16.34</v>
      </c>
      <c r="J7934" s="114"/>
      <c r="K7934" s="114" t="s">
        <v>2902</v>
      </c>
      <c r="L7934" s="108"/>
      <c r="M7934" s="581">
        <v>80.48</v>
      </c>
    </row>
    <row r="7935" ht="15" spans="3:13">
      <c r="C7935" s="571"/>
      <c r="D7935" s="571"/>
      <c r="E7935" s="571"/>
      <c r="F7935" s="571"/>
      <c r="G7935" s="571"/>
      <c r="H7935" s="571"/>
      <c r="I7935" s="571"/>
      <c r="J7935" s="571"/>
      <c r="K7935" s="571"/>
      <c r="L7935" s="571"/>
      <c r="M7935" s="571"/>
    </row>
    <row r="7936" ht="15" customHeight="1" spans="3:13">
      <c r="C7936" s="76" t="s">
        <v>2749</v>
      </c>
      <c r="D7936" s="75" t="s">
        <v>63</v>
      </c>
      <c r="E7936" s="76" t="s">
        <v>64</v>
      </c>
      <c r="F7936" s="76" t="s">
        <v>65</v>
      </c>
      <c r="G7936" s="76" t="s">
        <v>2889</v>
      </c>
      <c r="H7936" s="76"/>
      <c r="I7936" s="77" t="s">
        <v>66</v>
      </c>
      <c r="J7936" s="75" t="s">
        <v>67</v>
      </c>
      <c r="K7936" s="75" t="s">
        <v>2890</v>
      </c>
      <c r="L7936" s="75" t="s">
        <v>68</v>
      </c>
      <c r="M7936" s="75" t="s">
        <v>70</v>
      </c>
    </row>
    <row r="7937" ht="23.85" customHeight="1" spans="3:13">
      <c r="C7937" s="569" t="s">
        <v>2891</v>
      </c>
      <c r="D7937" s="570" t="s">
        <v>2750</v>
      </c>
      <c r="E7937" s="569" t="s">
        <v>139</v>
      </c>
      <c r="F7937" s="569" t="s">
        <v>2751</v>
      </c>
      <c r="G7937" s="569" t="s">
        <v>3079</v>
      </c>
      <c r="H7937" s="569"/>
      <c r="I7937" s="577" t="s">
        <v>141</v>
      </c>
      <c r="J7937" s="578">
        <v>1</v>
      </c>
      <c r="K7937" s="579"/>
      <c r="L7937" s="579">
        <v>6.71</v>
      </c>
      <c r="M7937" s="579">
        <v>6.71</v>
      </c>
    </row>
    <row r="7938" ht="23.85" customHeight="1" spans="3:13">
      <c r="C7938" s="79" t="s">
        <v>2921</v>
      </c>
      <c r="D7938" s="78" t="s">
        <v>2952</v>
      </c>
      <c r="E7938" s="79" t="s">
        <v>139</v>
      </c>
      <c r="F7938" s="79" t="s">
        <v>2953</v>
      </c>
      <c r="G7938" s="79" t="s">
        <v>2928</v>
      </c>
      <c r="H7938" s="79"/>
      <c r="I7938" s="80" t="s">
        <v>2897</v>
      </c>
      <c r="J7938" s="583">
        <v>0.0309</v>
      </c>
      <c r="K7938" s="583">
        <v>0</v>
      </c>
      <c r="L7938" s="92">
        <v>29.15</v>
      </c>
      <c r="M7938" s="92">
        <v>0.9</v>
      </c>
    </row>
    <row r="7939" ht="23.85" customHeight="1" spans="3:13">
      <c r="C7939" s="79" t="s">
        <v>2921</v>
      </c>
      <c r="D7939" s="78" t="s">
        <v>3080</v>
      </c>
      <c r="E7939" s="79" t="s">
        <v>139</v>
      </c>
      <c r="F7939" s="79" t="s">
        <v>3081</v>
      </c>
      <c r="G7939" s="79" t="s">
        <v>2928</v>
      </c>
      <c r="H7939" s="79"/>
      <c r="I7939" s="80" t="s">
        <v>2897</v>
      </c>
      <c r="J7939" s="583">
        <v>0.0927</v>
      </c>
      <c r="K7939" s="583">
        <v>0</v>
      </c>
      <c r="L7939" s="92">
        <v>38.02</v>
      </c>
      <c r="M7939" s="92">
        <v>3.52</v>
      </c>
    </row>
    <row r="7940" ht="15" customHeight="1" spans="3:13">
      <c r="C7940" s="100" t="s">
        <v>2893</v>
      </c>
      <c r="D7940" s="99" t="s">
        <v>5071</v>
      </c>
      <c r="E7940" s="100" t="s">
        <v>139</v>
      </c>
      <c r="F7940" s="100" t="s">
        <v>5072</v>
      </c>
      <c r="G7940" s="100" t="s">
        <v>2961</v>
      </c>
      <c r="H7940" s="100"/>
      <c r="I7940" s="101" t="s">
        <v>3084</v>
      </c>
      <c r="J7940" s="580">
        <v>0.1666</v>
      </c>
      <c r="K7940" s="580">
        <v>0</v>
      </c>
      <c r="L7940" s="102">
        <v>13.76</v>
      </c>
      <c r="M7940" s="102">
        <v>2.29</v>
      </c>
    </row>
    <row r="7941" ht="25.5" spans="3:13">
      <c r="C7941" s="108"/>
      <c r="D7941" s="108"/>
      <c r="E7941" s="108"/>
      <c r="F7941" s="108"/>
      <c r="G7941" s="108"/>
      <c r="H7941" s="108" t="s">
        <v>2898</v>
      </c>
      <c r="I7941" s="581">
        <v>3.01</v>
      </c>
      <c r="J7941" s="108" t="s">
        <v>2899</v>
      </c>
      <c r="K7941" s="581">
        <v>0</v>
      </c>
      <c r="L7941" s="108" t="s">
        <v>2900</v>
      </c>
      <c r="M7941" s="581">
        <v>3.01</v>
      </c>
    </row>
    <row r="7942" ht="26.25" spans="3:13">
      <c r="C7942" s="108"/>
      <c r="D7942" s="108"/>
      <c r="E7942" s="108"/>
      <c r="F7942" s="108"/>
      <c r="G7942" s="108"/>
      <c r="H7942" s="108" t="s">
        <v>2901</v>
      </c>
      <c r="I7942" s="581">
        <v>1.71</v>
      </c>
      <c r="J7942" s="114"/>
      <c r="K7942" s="114" t="s">
        <v>2902</v>
      </c>
      <c r="L7942" s="108"/>
      <c r="M7942" s="581">
        <v>8.42</v>
      </c>
    </row>
    <row r="7943" ht="15" spans="3:13">
      <c r="C7943" s="571"/>
      <c r="D7943" s="571"/>
      <c r="E7943" s="571"/>
      <c r="F7943" s="571"/>
      <c r="G7943" s="571"/>
      <c r="H7943" s="571"/>
      <c r="I7943" s="571"/>
      <c r="J7943" s="571"/>
      <c r="K7943" s="571"/>
      <c r="L7943" s="571"/>
      <c r="M7943" s="571"/>
    </row>
    <row r="7944" ht="15" customHeight="1" spans="3:13">
      <c r="C7944" s="76" t="s">
        <v>2752</v>
      </c>
      <c r="D7944" s="75" t="s">
        <v>63</v>
      </c>
      <c r="E7944" s="76" t="s">
        <v>64</v>
      </c>
      <c r="F7944" s="76" t="s">
        <v>65</v>
      </c>
      <c r="G7944" s="76" t="s">
        <v>2889</v>
      </c>
      <c r="H7944" s="76"/>
      <c r="I7944" s="77" t="s">
        <v>66</v>
      </c>
      <c r="J7944" s="75" t="s">
        <v>67</v>
      </c>
      <c r="K7944" s="75" t="s">
        <v>2890</v>
      </c>
      <c r="L7944" s="75" t="s">
        <v>68</v>
      </c>
      <c r="M7944" s="75" t="s">
        <v>70</v>
      </c>
    </row>
    <row r="7945" ht="23.85" customHeight="1" spans="3:13">
      <c r="C7945" s="569" t="s">
        <v>2891</v>
      </c>
      <c r="D7945" s="570" t="s">
        <v>2753</v>
      </c>
      <c r="E7945" s="569" t="s">
        <v>139</v>
      </c>
      <c r="F7945" s="569" t="s">
        <v>2754</v>
      </c>
      <c r="G7945" s="569" t="s">
        <v>3079</v>
      </c>
      <c r="H7945" s="569"/>
      <c r="I7945" s="577" t="s">
        <v>141</v>
      </c>
      <c r="J7945" s="578">
        <v>1</v>
      </c>
      <c r="K7945" s="579"/>
      <c r="L7945" s="579">
        <v>18.24</v>
      </c>
      <c r="M7945" s="579">
        <v>18.24</v>
      </c>
    </row>
    <row r="7946" ht="23.85" customHeight="1" spans="3:13">
      <c r="C7946" s="79" t="s">
        <v>2921</v>
      </c>
      <c r="D7946" s="78" t="s">
        <v>3080</v>
      </c>
      <c r="E7946" s="79" t="s">
        <v>139</v>
      </c>
      <c r="F7946" s="79" t="s">
        <v>3081</v>
      </c>
      <c r="G7946" s="79" t="s">
        <v>2928</v>
      </c>
      <c r="H7946" s="79"/>
      <c r="I7946" s="80" t="s">
        <v>2897</v>
      </c>
      <c r="J7946" s="583">
        <v>0.227</v>
      </c>
      <c r="K7946" s="583">
        <v>0</v>
      </c>
      <c r="L7946" s="92">
        <v>38.02</v>
      </c>
      <c r="M7946" s="92">
        <v>8.63</v>
      </c>
    </row>
    <row r="7947" ht="23.85" customHeight="1" spans="3:13">
      <c r="C7947" s="79" t="s">
        <v>2921</v>
      </c>
      <c r="D7947" s="78" t="s">
        <v>2952</v>
      </c>
      <c r="E7947" s="79" t="s">
        <v>139</v>
      </c>
      <c r="F7947" s="79" t="s">
        <v>2953</v>
      </c>
      <c r="G7947" s="79" t="s">
        <v>2928</v>
      </c>
      <c r="H7947" s="79"/>
      <c r="I7947" s="80" t="s">
        <v>2897</v>
      </c>
      <c r="J7947" s="583">
        <v>0.0757</v>
      </c>
      <c r="K7947" s="583">
        <v>0</v>
      </c>
      <c r="L7947" s="92">
        <v>29.15</v>
      </c>
      <c r="M7947" s="92">
        <v>2.2</v>
      </c>
    </row>
    <row r="7948" ht="15" customHeight="1" spans="3:13">
      <c r="C7948" s="100" t="s">
        <v>2893</v>
      </c>
      <c r="D7948" s="99" t="s">
        <v>5171</v>
      </c>
      <c r="E7948" s="100" t="s">
        <v>139</v>
      </c>
      <c r="F7948" s="100" t="s">
        <v>5172</v>
      </c>
      <c r="G7948" s="100" t="s">
        <v>2961</v>
      </c>
      <c r="H7948" s="100"/>
      <c r="I7948" s="101" t="s">
        <v>3084</v>
      </c>
      <c r="J7948" s="580">
        <v>0.2285</v>
      </c>
      <c r="K7948" s="580">
        <v>0</v>
      </c>
      <c r="L7948" s="102">
        <v>32.47</v>
      </c>
      <c r="M7948" s="102">
        <v>7.41</v>
      </c>
    </row>
    <row r="7949" ht="25.5" spans="3:13">
      <c r="C7949" s="108"/>
      <c r="D7949" s="108"/>
      <c r="E7949" s="108"/>
      <c r="F7949" s="108"/>
      <c r="G7949" s="108"/>
      <c r="H7949" s="108" t="s">
        <v>2898</v>
      </c>
      <c r="I7949" s="581">
        <v>7.39</v>
      </c>
      <c r="J7949" s="108" t="s">
        <v>2899</v>
      </c>
      <c r="K7949" s="581">
        <v>0</v>
      </c>
      <c r="L7949" s="108" t="s">
        <v>2900</v>
      </c>
      <c r="M7949" s="581">
        <v>7.39</v>
      </c>
    </row>
    <row r="7950" ht="26.25" spans="3:13">
      <c r="C7950" s="108"/>
      <c r="D7950" s="108"/>
      <c r="E7950" s="108"/>
      <c r="F7950" s="108"/>
      <c r="G7950" s="108"/>
      <c r="H7950" s="108" t="s">
        <v>2901</v>
      </c>
      <c r="I7950" s="581">
        <v>4.64</v>
      </c>
      <c r="J7950" s="114"/>
      <c r="K7950" s="114" t="s">
        <v>2902</v>
      </c>
      <c r="L7950" s="108"/>
      <c r="M7950" s="581">
        <v>22.88</v>
      </c>
    </row>
    <row r="7951" ht="15" spans="3:13">
      <c r="C7951" s="571"/>
      <c r="D7951" s="571"/>
      <c r="E7951" s="571"/>
      <c r="F7951" s="571"/>
      <c r="G7951" s="571"/>
      <c r="H7951" s="571"/>
      <c r="I7951" s="571"/>
      <c r="J7951" s="571"/>
      <c r="K7951" s="571"/>
      <c r="L7951" s="571"/>
      <c r="M7951" s="571"/>
    </row>
    <row r="7952" ht="15" customHeight="1" spans="3:13">
      <c r="C7952" s="76" t="s">
        <v>2755</v>
      </c>
      <c r="D7952" s="75" t="s">
        <v>63</v>
      </c>
      <c r="E7952" s="76" t="s">
        <v>64</v>
      </c>
      <c r="F7952" s="76" t="s">
        <v>65</v>
      </c>
      <c r="G7952" s="76" t="s">
        <v>2889</v>
      </c>
      <c r="H7952" s="76"/>
      <c r="I7952" s="77" t="s">
        <v>66</v>
      </c>
      <c r="J7952" s="75" t="s">
        <v>67</v>
      </c>
      <c r="K7952" s="75" t="s">
        <v>2890</v>
      </c>
      <c r="L7952" s="75" t="s">
        <v>68</v>
      </c>
      <c r="M7952" s="75" t="s">
        <v>70</v>
      </c>
    </row>
    <row r="7953" ht="23.85" customHeight="1" spans="3:13">
      <c r="C7953" s="569" t="s">
        <v>2891</v>
      </c>
      <c r="D7953" s="570" t="s">
        <v>2756</v>
      </c>
      <c r="E7953" s="569" t="s">
        <v>139</v>
      </c>
      <c r="F7953" s="569" t="s">
        <v>2757</v>
      </c>
      <c r="G7953" s="569" t="s">
        <v>3079</v>
      </c>
      <c r="H7953" s="569"/>
      <c r="I7953" s="577" t="s">
        <v>141</v>
      </c>
      <c r="J7953" s="578">
        <v>1</v>
      </c>
      <c r="K7953" s="579"/>
      <c r="L7953" s="579">
        <v>40.31</v>
      </c>
      <c r="M7953" s="579">
        <v>40.31</v>
      </c>
    </row>
    <row r="7954" ht="23.85" customHeight="1" spans="3:13">
      <c r="C7954" s="79" t="s">
        <v>2921</v>
      </c>
      <c r="D7954" s="78" t="s">
        <v>2952</v>
      </c>
      <c r="E7954" s="79" t="s">
        <v>139</v>
      </c>
      <c r="F7954" s="79" t="s">
        <v>2953</v>
      </c>
      <c r="G7954" s="79" t="s">
        <v>2928</v>
      </c>
      <c r="H7954" s="79"/>
      <c r="I7954" s="80" t="s">
        <v>2897</v>
      </c>
      <c r="J7954" s="583">
        <v>0.2473</v>
      </c>
      <c r="K7954" s="583">
        <v>0</v>
      </c>
      <c r="L7954" s="92">
        <v>29.15</v>
      </c>
      <c r="M7954" s="92">
        <v>7.2</v>
      </c>
    </row>
    <row r="7955" ht="23.85" customHeight="1" spans="3:13">
      <c r="C7955" s="79" t="s">
        <v>2921</v>
      </c>
      <c r="D7955" s="78" t="s">
        <v>3080</v>
      </c>
      <c r="E7955" s="79" t="s">
        <v>139</v>
      </c>
      <c r="F7955" s="79" t="s">
        <v>3081</v>
      </c>
      <c r="G7955" s="79" t="s">
        <v>2928</v>
      </c>
      <c r="H7955" s="79"/>
      <c r="I7955" s="80" t="s">
        <v>2897</v>
      </c>
      <c r="J7955" s="583">
        <v>0.7419</v>
      </c>
      <c r="K7955" s="583">
        <v>0</v>
      </c>
      <c r="L7955" s="92">
        <v>38.02</v>
      </c>
      <c r="M7955" s="92">
        <v>28.2</v>
      </c>
    </row>
    <row r="7956" ht="23.85" customHeight="1" spans="3:13">
      <c r="C7956" s="100" t="s">
        <v>2893</v>
      </c>
      <c r="D7956" s="99" t="s">
        <v>5173</v>
      </c>
      <c r="E7956" s="100" t="s">
        <v>139</v>
      </c>
      <c r="F7956" s="100" t="s">
        <v>5174</v>
      </c>
      <c r="G7956" s="100" t="s">
        <v>2961</v>
      </c>
      <c r="H7956" s="100"/>
      <c r="I7956" s="101" t="s">
        <v>134</v>
      </c>
      <c r="J7956" s="580">
        <v>0.0802</v>
      </c>
      <c r="K7956" s="580">
        <v>0</v>
      </c>
      <c r="L7956" s="102">
        <v>1.21</v>
      </c>
      <c r="M7956" s="102">
        <v>0.09</v>
      </c>
    </row>
    <row r="7957" ht="15" customHeight="1" spans="3:13">
      <c r="C7957" s="100" t="s">
        <v>2893</v>
      </c>
      <c r="D7957" s="99" t="s">
        <v>5175</v>
      </c>
      <c r="E7957" s="100" t="s">
        <v>139</v>
      </c>
      <c r="F7957" s="100" t="s">
        <v>5176</v>
      </c>
      <c r="G7957" s="100" t="s">
        <v>2961</v>
      </c>
      <c r="H7957" s="100"/>
      <c r="I7957" s="101" t="s">
        <v>393</v>
      </c>
      <c r="J7957" s="580">
        <v>1.3389</v>
      </c>
      <c r="K7957" s="580">
        <v>0</v>
      </c>
      <c r="L7957" s="102">
        <v>3.6</v>
      </c>
      <c r="M7957" s="102">
        <v>4.82</v>
      </c>
    </row>
    <row r="7958" ht="25.5" spans="3:13">
      <c r="C7958" s="108"/>
      <c r="D7958" s="108"/>
      <c r="E7958" s="108"/>
      <c r="F7958" s="108"/>
      <c r="G7958" s="108"/>
      <c r="H7958" s="108" t="s">
        <v>2898</v>
      </c>
      <c r="I7958" s="581">
        <v>24.18</v>
      </c>
      <c r="J7958" s="108" t="s">
        <v>2899</v>
      </c>
      <c r="K7958" s="581">
        <v>0</v>
      </c>
      <c r="L7958" s="108" t="s">
        <v>2900</v>
      </c>
      <c r="M7958" s="581">
        <v>24.18</v>
      </c>
    </row>
    <row r="7959" ht="26.25" spans="3:13">
      <c r="C7959" s="108"/>
      <c r="D7959" s="108"/>
      <c r="E7959" s="108"/>
      <c r="F7959" s="108"/>
      <c r="G7959" s="108"/>
      <c r="H7959" s="108" t="s">
        <v>2901</v>
      </c>
      <c r="I7959" s="581">
        <v>10.27</v>
      </c>
      <c r="J7959" s="114"/>
      <c r="K7959" s="114" t="s">
        <v>2902</v>
      </c>
      <c r="L7959" s="108"/>
      <c r="M7959" s="581">
        <v>50.58</v>
      </c>
    </row>
    <row r="7960" ht="15" spans="3:13">
      <c r="C7960" s="571"/>
      <c r="D7960" s="571"/>
      <c r="E7960" s="571"/>
      <c r="F7960" s="571"/>
      <c r="G7960" s="571"/>
      <c r="H7960" s="571"/>
      <c r="I7960" s="571"/>
      <c r="J7960" s="571"/>
      <c r="K7960" s="571"/>
      <c r="L7960" s="571"/>
      <c r="M7960" s="571"/>
    </row>
    <row r="7961" ht="15" customHeight="1" spans="3:13">
      <c r="C7961" s="76" t="s">
        <v>2760</v>
      </c>
      <c r="D7961" s="75" t="s">
        <v>63</v>
      </c>
      <c r="E7961" s="76" t="s">
        <v>64</v>
      </c>
      <c r="F7961" s="76" t="s">
        <v>65</v>
      </c>
      <c r="G7961" s="76" t="s">
        <v>2889</v>
      </c>
      <c r="H7961" s="76"/>
      <c r="I7961" s="77" t="s">
        <v>66</v>
      </c>
      <c r="J7961" s="75" t="s">
        <v>67</v>
      </c>
      <c r="K7961" s="75" t="s">
        <v>2890</v>
      </c>
      <c r="L7961" s="75" t="s">
        <v>68</v>
      </c>
      <c r="M7961" s="75" t="s">
        <v>70</v>
      </c>
    </row>
    <row r="7962" ht="15" customHeight="1" spans="3:13">
      <c r="C7962" s="569" t="s">
        <v>2891</v>
      </c>
      <c r="D7962" s="570" t="s">
        <v>2761</v>
      </c>
      <c r="E7962" s="569" t="s">
        <v>149</v>
      </c>
      <c r="F7962" s="569" t="s">
        <v>2762</v>
      </c>
      <c r="G7962" s="569" t="s">
        <v>3591</v>
      </c>
      <c r="H7962" s="569"/>
      <c r="I7962" s="577" t="s">
        <v>141</v>
      </c>
      <c r="J7962" s="578">
        <v>1</v>
      </c>
      <c r="K7962" s="579"/>
      <c r="L7962" s="579">
        <v>23.69</v>
      </c>
      <c r="M7962" s="579">
        <v>23.69</v>
      </c>
    </row>
    <row r="7963" ht="15" customHeight="1" spans="3:13">
      <c r="C7963" s="100" t="s">
        <v>2893</v>
      </c>
      <c r="D7963" s="99" t="s">
        <v>2974</v>
      </c>
      <c r="E7963" s="100" t="s">
        <v>149</v>
      </c>
      <c r="F7963" s="100" t="s">
        <v>2975</v>
      </c>
      <c r="G7963" s="100" t="s">
        <v>2896</v>
      </c>
      <c r="H7963" s="100"/>
      <c r="I7963" s="101" t="s">
        <v>2897</v>
      </c>
      <c r="J7963" s="580">
        <v>0.309</v>
      </c>
      <c r="K7963" s="580">
        <v>0</v>
      </c>
      <c r="L7963" s="102">
        <v>19.471856</v>
      </c>
      <c r="M7963" s="102">
        <v>6.01</v>
      </c>
    </row>
    <row r="7964" ht="15" customHeight="1" spans="3:13">
      <c r="C7964" s="100" t="s">
        <v>2893</v>
      </c>
      <c r="D7964" s="99" t="s">
        <v>5182</v>
      </c>
      <c r="E7964" s="100" t="s">
        <v>149</v>
      </c>
      <c r="F7964" s="100" t="s">
        <v>5183</v>
      </c>
      <c r="G7964" s="100" t="s">
        <v>2961</v>
      </c>
      <c r="H7964" s="100"/>
      <c r="I7964" s="101" t="s">
        <v>134</v>
      </c>
      <c r="J7964" s="580">
        <v>0.08</v>
      </c>
      <c r="K7964" s="580">
        <v>0</v>
      </c>
      <c r="L7964" s="102">
        <v>117.04</v>
      </c>
      <c r="M7964" s="102">
        <v>9.36</v>
      </c>
    </row>
    <row r="7965" ht="15" customHeight="1" spans="3:13">
      <c r="C7965" s="100" t="s">
        <v>2893</v>
      </c>
      <c r="D7965" s="99" t="s">
        <v>2990</v>
      </c>
      <c r="E7965" s="100" t="s">
        <v>149</v>
      </c>
      <c r="F7965" s="100" t="s">
        <v>2991</v>
      </c>
      <c r="G7965" s="100" t="s">
        <v>2896</v>
      </c>
      <c r="H7965" s="100"/>
      <c r="I7965" s="101" t="s">
        <v>2897</v>
      </c>
      <c r="J7965" s="580">
        <v>0.309</v>
      </c>
      <c r="K7965" s="580">
        <v>0</v>
      </c>
      <c r="L7965" s="102">
        <v>26.928256</v>
      </c>
      <c r="M7965" s="102">
        <v>8.32</v>
      </c>
    </row>
    <row r="7966" ht="25.5" spans="3:13">
      <c r="C7966" s="108"/>
      <c r="D7966" s="108"/>
      <c r="E7966" s="108"/>
      <c r="F7966" s="108"/>
      <c r="G7966" s="108"/>
      <c r="H7966" s="108" t="s">
        <v>2898</v>
      </c>
      <c r="I7966" s="581">
        <v>14.33</v>
      </c>
      <c r="J7966" s="108" t="s">
        <v>2899</v>
      </c>
      <c r="K7966" s="581">
        <v>0</v>
      </c>
      <c r="L7966" s="108" t="s">
        <v>2900</v>
      </c>
      <c r="M7966" s="581">
        <v>14.33</v>
      </c>
    </row>
    <row r="7967" ht="26.25" spans="3:13">
      <c r="C7967" s="108"/>
      <c r="D7967" s="108"/>
      <c r="E7967" s="108"/>
      <c r="F7967" s="108"/>
      <c r="G7967" s="108"/>
      <c r="H7967" s="108" t="s">
        <v>2901</v>
      </c>
      <c r="I7967" s="581">
        <v>6.03</v>
      </c>
      <c r="J7967" s="114"/>
      <c r="K7967" s="114" t="s">
        <v>2902</v>
      </c>
      <c r="L7967" s="108"/>
      <c r="M7967" s="581">
        <v>29.72</v>
      </c>
    </row>
    <row r="7968" ht="15" spans="3:13">
      <c r="C7968" s="571"/>
      <c r="D7968" s="571"/>
      <c r="E7968" s="571"/>
      <c r="F7968" s="571"/>
      <c r="G7968" s="571"/>
      <c r="H7968" s="571"/>
      <c r="I7968" s="571"/>
      <c r="J7968" s="571"/>
      <c r="K7968" s="571"/>
      <c r="L7968" s="571"/>
      <c r="M7968" s="571"/>
    </row>
    <row r="7969" ht="15" customHeight="1" spans="3:13">
      <c r="C7969" s="76" t="s">
        <v>2763</v>
      </c>
      <c r="D7969" s="75" t="s">
        <v>63</v>
      </c>
      <c r="E7969" s="76" t="s">
        <v>64</v>
      </c>
      <c r="F7969" s="76" t="s">
        <v>65</v>
      </c>
      <c r="G7969" s="76" t="s">
        <v>2889</v>
      </c>
      <c r="H7969" s="76"/>
      <c r="I7969" s="77" t="s">
        <v>66</v>
      </c>
      <c r="J7969" s="75" t="s">
        <v>67</v>
      </c>
      <c r="K7969" s="75" t="s">
        <v>2890</v>
      </c>
      <c r="L7969" s="75" t="s">
        <v>68</v>
      </c>
      <c r="M7969" s="75" t="s">
        <v>70</v>
      </c>
    </row>
    <row r="7970" ht="23.85" customHeight="1" spans="3:13">
      <c r="C7970" s="569" t="s">
        <v>2891</v>
      </c>
      <c r="D7970" s="570" t="s">
        <v>2764</v>
      </c>
      <c r="E7970" s="569" t="s">
        <v>139</v>
      </c>
      <c r="F7970" s="569" t="s">
        <v>2765</v>
      </c>
      <c r="G7970" s="569" t="s">
        <v>5184</v>
      </c>
      <c r="H7970" s="569"/>
      <c r="I7970" s="577" t="s">
        <v>141</v>
      </c>
      <c r="J7970" s="578">
        <v>1</v>
      </c>
      <c r="K7970" s="579"/>
      <c r="L7970" s="579">
        <v>83.58</v>
      </c>
      <c r="M7970" s="579">
        <v>83.58</v>
      </c>
    </row>
    <row r="7971" ht="23.85" customHeight="1" spans="3:13">
      <c r="C7971" s="79" t="s">
        <v>2921</v>
      </c>
      <c r="D7971" s="78" t="s">
        <v>3080</v>
      </c>
      <c r="E7971" s="79" t="s">
        <v>139</v>
      </c>
      <c r="F7971" s="79" t="s">
        <v>3081</v>
      </c>
      <c r="G7971" s="79" t="s">
        <v>2928</v>
      </c>
      <c r="H7971" s="79"/>
      <c r="I7971" s="80" t="s">
        <v>2897</v>
      </c>
      <c r="J7971" s="583">
        <v>0.275</v>
      </c>
      <c r="K7971" s="583">
        <v>0</v>
      </c>
      <c r="L7971" s="92">
        <v>38.02</v>
      </c>
      <c r="M7971" s="92">
        <v>10.45</v>
      </c>
    </row>
    <row r="7972" ht="23.85" customHeight="1" spans="3:13">
      <c r="C7972" s="79" t="s">
        <v>2921</v>
      </c>
      <c r="D7972" s="78" t="s">
        <v>2952</v>
      </c>
      <c r="E7972" s="79" t="s">
        <v>139</v>
      </c>
      <c r="F7972" s="79" t="s">
        <v>2953</v>
      </c>
      <c r="G7972" s="79" t="s">
        <v>2928</v>
      </c>
      <c r="H7972" s="79"/>
      <c r="I7972" s="80" t="s">
        <v>2897</v>
      </c>
      <c r="J7972" s="583">
        <v>0.115</v>
      </c>
      <c r="K7972" s="583">
        <v>0</v>
      </c>
      <c r="L7972" s="92">
        <v>29.15</v>
      </c>
      <c r="M7972" s="92">
        <v>3.35</v>
      </c>
    </row>
    <row r="7973" ht="15" customHeight="1" spans="3:13">
      <c r="C7973" s="100" t="s">
        <v>2893</v>
      </c>
      <c r="D7973" s="99" t="s">
        <v>3499</v>
      </c>
      <c r="E7973" s="100" t="s">
        <v>139</v>
      </c>
      <c r="F7973" s="100" t="s">
        <v>3500</v>
      </c>
      <c r="G7973" s="100" t="s">
        <v>2961</v>
      </c>
      <c r="H7973" s="100"/>
      <c r="I7973" s="101" t="s">
        <v>3084</v>
      </c>
      <c r="J7973" s="580">
        <v>0.2016</v>
      </c>
      <c r="K7973" s="580">
        <v>0</v>
      </c>
      <c r="L7973" s="102">
        <v>159.57</v>
      </c>
      <c r="M7973" s="102">
        <v>32.16</v>
      </c>
    </row>
    <row r="7974" ht="15" customHeight="1" spans="3:13">
      <c r="C7974" s="100" t="s">
        <v>2893</v>
      </c>
      <c r="D7974" s="99" t="s">
        <v>5185</v>
      </c>
      <c r="E7974" s="100" t="s">
        <v>139</v>
      </c>
      <c r="F7974" s="100" t="s">
        <v>5186</v>
      </c>
      <c r="G7974" s="100" t="s">
        <v>2961</v>
      </c>
      <c r="H7974" s="100"/>
      <c r="I7974" s="101" t="s">
        <v>3084</v>
      </c>
      <c r="J7974" s="580">
        <v>0.064</v>
      </c>
      <c r="K7974" s="580">
        <v>0</v>
      </c>
      <c r="L7974" s="102">
        <v>52.95</v>
      </c>
      <c r="M7974" s="102">
        <v>3.38</v>
      </c>
    </row>
    <row r="7975" ht="15" customHeight="1" spans="3:13">
      <c r="C7975" s="100" t="s">
        <v>2893</v>
      </c>
      <c r="D7975" s="99" t="s">
        <v>5187</v>
      </c>
      <c r="E7975" s="100" t="s">
        <v>139</v>
      </c>
      <c r="F7975" s="100" t="s">
        <v>5188</v>
      </c>
      <c r="G7975" s="100" t="s">
        <v>2961</v>
      </c>
      <c r="H7975" s="100"/>
      <c r="I7975" s="101" t="s">
        <v>134</v>
      </c>
      <c r="J7975" s="580">
        <v>0.01</v>
      </c>
      <c r="K7975" s="580">
        <v>0</v>
      </c>
      <c r="L7975" s="102">
        <v>12.54</v>
      </c>
      <c r="M7975" s="102">
        <v>0.12</v>
      </c>
    </row>
    <row r="7976" ht="15" customHeight="1" spans="3:13">
      <c r="C7976" s="100" t="s">
        <v>2893</v>
      </c>
      <c r="D7976" s="99" t="s">
        <v>5189</v>
      </c>
      <c r="E7976" s="100" t="s">
        <v>139</v>
      </c>
      <c r="F7976" s="100" t="s">
        <v>5190</v>
      </c>
      <c r="G7976" s="100" t="s">
        <v>2961</v>
      </c>
      <c r="H7976" s="100"/>
      <c r="I7976" s="101" t="s">
        <v>3084</v>
      </c>
      <c r="J7976" s="580">
        <v>0.322</v>
      </c>
      <c r="K7976" s="580">
        <v>0</v>
      </c>
      <c r="L7976" s="102">
        <v>105.98</v>
      </c>
      <c r="M7976" s="102">
        <v>34.12</v>
      </c>
    </row>
    <row r="7977" ht="25.5" spans="3:13">
      <c r="C7977" s="108"/>
      <c r="D7977" s="108"/>
      <c r="E7977" s="108"/>
      <c r="F7977" s="108"/>
      <c r="G7977" s="108"/>
      <c r="H7977" s="108" t="s">
        <v>2898</v>
      </c>
      <c r="I7977" s="581">
        <v>9.41</v>
      </c>
      <c r="J7977" s="108" t="s">
        <v>2899</v>
      </c>
      <c r="K7977" s="581">
        <v>0</v>
      </c>
      <c r="L7977" s="108" t="s">
        <v>2900</v>
      </c>
      <c r="M7977" s="581">
        <v>9.41</v>
      </c>
    </row>
    <row r="7978" ht="26.25" spans="3:13">
      <c r="C7978" s="108"/>
      <c r="D7978" s="108"/>
      <c r="E7978" s="108"/>
      <c r="F7978" s="108"/>
      <c r="G7978" s="108"/>
      <c r="H7978" s="108" t="s">
        <v>2901</v>
      </c>
      <c r="I7978" s="581">
        <v>21.3</v>
      </c>
      <c r="J7978" s="114"/>
      <c r="K7978" s="114" t="s">
        <v>2902</v>
      </c>
      <c r="L7978" s="108"/>
      <c r="M7978" s="581">
        <v>104.88</v>
      </c>
    </row>
    <row r="7979" ht="15" spans="3:13">
      <c r="C7979" s="571"/>
      <c r="D7979" s="571"/>
      <c r="E7979" s="571"/>
      <c r="F7979" s="571"/>
      <c r="G7979" s="571"/>
      <c r="H7979" s="571"/>
      <c r="I7979" s="571"/>
      <c r="J7979" s="571"/>
      <c r="K7979" s="571"/>
      <c r="L7979" s="571"/>
      <c r="M7979" s="571"/>
    </row>
    <row r="7980" ht="15" customHeight="1" spans="3:13">
      <c r="C7980" s="76" t="s">
        <v>2766</v>
      </c>
      <c r="D7980" s="75" t="s">
        <v>63</v>
      </c>
      <c r="E7980" s="76" t="s">
        <v>64</v>
      </c>
      <c r="F7980" s="76" t="s">
        <v>65</v>
      </c>
      <c r="G7980" s="76" t="s">
        <v>2889</v>
      </c>
      <c r="H7980" s="76"/>
      <c r="I7980" s="77" t="s">
        <v>66</v>
      </c>
      <c r="J7980" s="75" t="s">
        <v>67</v>
      </c>
      <c r="K7980" s="75" t="s">
        <v>2890</v>
      </c>
      <c r="L7980" s="75" t="s">
        <v>68</v>
      </c>
      <c r="M7980" s="75" t="s">
        <v>70</v>
      </c>
    </row>
    <row r="7981" ht="51" spans="3:13">
      <c r="C7981" s="569" t="s">
        <v>2891</v>
      </c>
      <c r="D7981" s="570" t="s">
        <v>2767</v>
      </c>
      <c r="E7981" s="569" t="s">
        <v>77</v>
      </c>
      <c r="F7981" s="569" t="s">
        <v>2768</v>
      </c>
      <c r="G7981" s="569">
        <v>18</v>
      </c>
      <c r="H7981" s="569"/>
      <c r="I7981" s="577" t="s">
        <v>134</v>
      </c>
      <c r="J7981" s="578">
        <v>1</v>
      </c>
      <c r="K7981" s="579"/>
      <c r="L7981" s="579">
        <v>890.23</v>
      </c>
      <c r="M7981" s="579">
        <v>890.23</v>
      </c>
    </row>
    <row r="7982" ht="35.05" customHeight="1" spans="3:13">
      <c r="C7982" s="100" t="s">
        <v>2893</v>
      </c>
      <c r="D7982" s="99" t="s">
        <v>5191</v>
      </c>
      <c r="E7982" s="100" t="s">
        <v>77</v>
      </c>
      <c r="F7982" s="100" t="s">
        <v>5192</v>
      </c>
      <c r="G7982" s="100" t="s">
        <v>2961</v>
      </c>
      <c r="H7982" s="100"/>
      <c r="I7982" s="101" t="s">
        <v>134</v>
      </c>
      <c r="J7982" s="580">
        <v>1</v>
      </c>
      <c r="K7982" s="580">
        <v>0</v>
      </c>
      <c r="L7982" s="102">
        <v>890.23</v>
      </c>
      <c r="M7982" s="102">
        <v>890.23</v>
      </c>
    </row>
    <row r="7983" ht="25.5" spans="3:13">
      <c r="C7983" s="108"/>
      <c r="D7983" s="108"/>
      <c r="E7983" s="108"/>
      <c r="F7983" s="108"/>
      <c r="G7983" s="108"/>
      <c r="H7983" s="108" t="s">
        <v>2898</v>
      </c>
      <c r="I7983" s="581">
        <v>0</v>
      </c>
      <c r="J7983" s="108" t="s">
        <v>2899</v>
      </c>
      <c r="K7983" s="581">
        <v>0</v>
      </c>
      <c r="L7983" s="108" t="s">
        <v>2900</v>
      </c>
      <c r="M7983" s="581">
        <v>0</v>
      </c>
    </row>
    <row r="7984" ht="26.25" spans="3:13">
      <c r="C7984" s="108"/>
      <c r="D7984" s="108"/>
      <c r="E7984" s="108"/>
      <c r="F7984" s="108"/>
      <c r="G7984" s="108"/>
      <c r="H7984" s="108" t="s">
        <v>2901</v>
      </c>
      <c r="I7984" s="581">
        <v>226.91</v>
      </c>
      <c r="J7984" s="114"/>
      <c r="K7984" s="114" t="s">
        <v>2902</v>
      </c>
      <c r="L7984" s="108"/>
      <c r="M7984" s="581">
        <v>1117.14</v>
      </c>
    </row>
    <row r="7985" ht="15" spans="3:13">
      <c r="C7985" s="571"/>
      <c r="D7985" s="571"/>
      <c r="E7985" s="571"/>
      <c r="F7985" s="571"/>
      <c r="G7985" s="571"/>
      <c r="H7985" s="571"/>
      <c r="I7985" s="571"/>
      <c r="J7985" s="571"/>
      <c r="K7985" s="571"/>
      <c r="L7985" s="571"/>
      <c r="M7985" s="571"/>
    </row>
    <row r="7986" ht="15" customHeight="1" spans="3:13">
      <c r="C7986" s="76" t="s">
        <v>2769</v>
      </c>
      <c r="D7986" s="75" t="s">
        <v>63</v>
      </c>
      <c r="E7986" s="76" t="s">
        <v>64</v>
      </c>
      <c r="F7986" s="76" t="s">
        <v>65</v>
      </c>
      <c r="G7986" s="76" t="s">
        <v>2889</v>
      </c>
      <c r="H7986" s="76"/>
      <c r="I7986" s="77" t="s">
        <v>66</v>
      </c>
      <c r="J7986" s="75" t="s">
        <v>67</v>
      </c>
      <c r="K7986" s="75" t="s">
        <v>2890</v>
      </c>
      <c r="L7986" s="75" t="s">
        <v>68</v>
      </c>
      <c r="M7986" s="75" t="s">
        <v>70</v>
      </c>
    </row>
    <row r="7987" ht="68.65" customHeight="1" spans="3:13">
      <c r="C7987" s="569" t="s">
        <v>2891</v>
      </c>
      <c r="D7987" s="570" t="s">
        <v>2770</v>
      </c>
      <c r="E7987" s="569" t="s">
        <v>132</v>
      </c>
      <c r="F7987" s="569" t="s">
        <v>2771</v>
      </c>
      <c r="G7987" s="569" t="s">
        <v>2968</v>
      </c>
      <c r="H7987" s="569"/>
      <c r="I7987" s="577" t="s">
        <v>5193</v>
      </c>
      <c r="J7987" s="578">
        <v>1</v>
      </c>
      <c r="K7987" s="579"/>
      <c r="L7987" s="579">
        <v>399237.2</v>
      </c>
      <c r="M7987" s="579">
        <v>399237.2</v>
      </c>
    </row>
    <row r="7988" ht="68.65" customHeight="1" spans="3:13">
      <c r="C7988" s="100" t="s">
        <v>2893</v>
      </c>
      <c r="D7988" s="99" t="s">
        <v>5194</v>
      </c>
      <c r="E7988" s="100" t="s">
        <v>132</v>
      </c>
      <c r="F7988" s="100" t="s">
        <v>2771</v>
      </c>
      <c r="G7988" s="100" t="s">
        <v>4145</v>
      </c>
      <c r="H7988" s="100"/>
      <c r="I7988" s="101" t="s">
        <v>5193</v>
      </c>
      <c r="J7988" s="580">
        <v>1</v>
      </c>
      <c r="K7988" s="580">
        <v>0</v>
      </c>
      <c r="L7988" s="102">
        <v>399237.2</v>
      </c>
      <c r="M7988" s="102">
        <v>399237.2</v>
      </c>
    </row>
    <row r="7989" ht="25.5" spans="3:13">
      <c r="C7989" s="108"/>
      <c r="D7989" s="108"/>
      <c r="E7989" s="108"/>
      <c r="F7989" s="108"/>
      <c r="G7989" s="108"/>
      <c r="H7989" s="108" t="s">
        <v>2898</v>
      </c>
      <c r="I7989" s="581">
        <v>0</v>
      </c>
      <c r="J7989" s="108" t="s">
        <v>2899</v>
      </c>
      <c r="K7989" s="581">
        <v>0</v>
      </c>
      <c r="L7989" s="108" t="s">
        <v>2900</v>
      </c>
      <c r="M7989" s="581">
        <v>0</v>
      </c>
    </row>
    <row r="7990" ht="26.25" spans="3:13">
      <c r="C7990" s="108"/>
      <c r="D7990" s="108"/>
      <c r="E7990" s="108"/>
      <c r="F7990" s="108"/>
      <c r="G7990" s="108"/>
      <c r="H7990" s="108" t="s">
        <v>2901</v>
      </c>
      <c r="I7990" s="581">
        <v>64357.03</v>
      </c>
      <c r="J7990" s="114"/>
      <c r="K7990" s="114" t="s">
        <v>2902</v>
      </c>
      <c r="L7990" s="108"/>
      <c r="M7990" s="581">
        <v>463594.23</v>
      </c>
    </row>
    <row r="7991" ht="15" spans="3:13">
      <c r="C7991" s="571"/>
      <c r="D7991" s="571"/>
      <c r="E7991" s="571"/>
      <c r="F7991" s="571"/>
      <c r="G7991" s="571"/>
      <c r="H7991" s="571"/>
      <c r="I7991" s="571"/>
      <c r="J7991" s="571"/>
      <c r="K7991" s="571"/>
      <c r="L7991" s="571"/>
      <c r="M7991" s="571"/>
    </row>
    <row r="7992" ht="15" customHeight="1" spans="3:13">
      <c r="C7992" s="76" t="s">
        <v>2773</v>
      </c>
      <c r="D7992" s="75" t="s">
        <v>63</v>
      </c>
      <c r="E7992" s="76" t="s">
        <v>64</v>
      </c>
      <c r="F7992" s="76" t="s">
        <v>65</v>
      </c>
      <c r="G7992" s="76" t="s">
        <v>2889</v>
      </c>
      <c r="H7992" s="76"/>
      <c r="I7992" s="77" t="s">
        <v>66</v>
      </c>
      <c r="J7992" s="75" t="s">
        <v>67</v>
      </c>
      <c r="K7992" s="75" t="s">
        <v>2890</v>
      </c>
      <c r="L7992" s="75" t="s">
        <v>68</v>
      </c>
      <c r="M7992" s="75" t="s">
        <v>70</v>
      </c>
    </row>
    <row r="7993" ht="23.85" customHeight="1" spans="3:13">
      <c r="C7993" s="569" t="s">
        <v>2891</v>
      </c>
      <c r="D7993" s="570" t="s">
        <v>2774</v>
      </c>
      <c r="E7993" s="569" t="s">
        <v>139</v>
      </c>
      <c r="F7993" s="569" t="s">
        <v>2775</v>
      </c>
      <c r="G7993" s="569" t="s">
        <v>3112</v>
      </c>
      <c r="H7993" s="569"/>
      <c r="I7993" s="577" t="s">
        <v>141</v>
      </c>
      <c r="J7993" s="578">
        <v>1</v>
      </c>
      <c r="K7993" s="579"/>
      <c r="L7993" s="579">
        <v>73.05</v>
      </c>
      <c r="M7993" s="579">
        <v>73.05</v>
      </c>
    </row>
    <row r="7994" ht="23.85" customHeight="1" spans="3:13">
      <c r="C7994" s="79" t="s">
        <v>2921</v>
      </c>
      <c r="D7994" s="78" t="s">
        <v>5195</v>
      </c>
      <c r="E7994" s="79" t="s">
        <v>139</v>
      </c>
      <c r="F7994" s="79" t="s">
        <v>5196</v>
      </c>
      <c r="G7994" s="79" t="s">
        <v>2928</v>
      </c>
      <c r="H7994" s="79"/>
      <c r="I7994" s="80" t="s">
        <v>2897</v>
      </c>
      <c r="J7994" s="583">
        <v>1.0954</v>
      </c>
      <c r="K7994" s="583">
        <v>0</v>
      </c>
      <c r="L7994" s="92">
        <v>36.01</v>
      </c>
      <c r="M7994" s="92">
        <v>39.44</v>
      </c>
    </row>
    <row r="7995" ht="23.85" customHeight="1" spans="3:13">
      <c r="C7995" s="79" t="s">
        <v>2921</v>
      </c>
      <c r="D7995" s="78" t="s">
        <v>2952</v>
      </c>
      <c r="E7995" s="79" t="s">
        <v>139</v>
      </c>
      <c r="F7995" s="79" t="s">
        <v>2953</v>
      </c>
      <c r="G7995" s="79" t="s">
        <v>2928</v>
      </c>
      <c r="H7995" s="79"/>
      <c r="I7995" s="80" t="s">
        <v>2897</v>
      </c>
      <c r="J7995" s="583">
        <v>0.6296</v>
      </c>
      <c r="K7995" s="583">
        <v>0</v>
      </c>
      <c r="L7995" s="92">
        <v>29.15</v>
      </c>
      <c r="M7995" s="92">
        <v>18.35</v>
      </c>
    </row>
    <row r="7996" ht="23.85" customHeight="1" spans="3:13">
      <c r="C7996" s="100" t="s">
        <v>2893</v>
      </c>
      <c r="D7996" s="99" t="s">
        <v>5197</v>
      </c>
      <c r="E7996" s="100" t="s">
        <v>139</v>
      </c>
      <c r="F7996" s="100" t="s">
        <v>5198</v>
      </c>
      <c r="G7996" s="100" t="s">
        <v>2961</v>
      </c>
      <c r="H7996" s="100"/>
      <c r="I7996" s="101" t="s">
        <v>141</v>
      </c>
      <c r="J7996" s="580">
        <v>1.0414</v>
      </c>
      <c r="K7996" s="580">
        <v>0</v>
      </c>
      <c r="L7996" s="102">
        <v>11.38</v>
      </c>
      <c r="M7996" s="102">
        <v>11.85</v>
      </c>
    </row>
    <row r="7997" ht="15" customHeight="1" spans="3:13">
      <c r="C7997" s="100" t="s">
        <v>2893</v>
      </c>
      <c r="D7997" s="99" t="s">
        <v>5199</v>
      </c>
      <c r="E7997" s="100" t="s">
        <v>139</v>
      </c>
      <c r="F7997" s="100" t="s">
        <v>5200</v>
      </c>
      <c r="G7997" s="100" t="s">
        <v>2961</v>
      </c>
      <c r="H7997" s="100"/>
      <c r="I7997" s="101" t="s">
        <v>393</v>
      </c>
      <c r="J7997" s="580">
        <v>0.0078</v>
      </c>
      <c r="K7997" s="580">
        <v>0</v>
      </c>
      <c r="L7997" s="102">
        <v>16.28</v>
      </c>
      <c r="M7997" s="102">
        <v>0.12</v>
      </c>
    </row>
    <row r="7998" ht="15" customHeight="1" spans="3:13">
      <c r="C7998" s="100" t="s">
        <v>2893</v>
      </c>
      <c r="D7998" s="99" t="s">
        <v>5201</v>
      </c>
      <c r="E7998" s="100" t="s">
        <v>139</v>
      </c>
      <c r="F7998" s="100" t="s">
        <v>5202</v>
      </c>
      <c r="G7998" s="100" t="s">
        <v>2961</v>
      </c>
      <c r="H7998" s="100"/>
      <c r="I7998" s="101" t="s">
        <v>393</v>
      </c>
      <c r="J7998" s="580">
        <v>0.0217</v>
      </c>
      <c r="K7998" s="580">
        <v>0</v>
      </c>
      <c r="L7998" s="102">
        <v>31.38</v>
      </c>
      <c r="M7998" s="102">
        <v>0.68</v>
      </c>
    </row>
    <row r="7999" ht="15" customHeight="1" spans="3:13">
      <c r="C7999" s="100" t="s">
        <v>2893</v>
      </c>
      <c r="D7999" s="99" t="s">
        <v>3117</v>
      </c>
      <c r="E7999" s="100" t="s">
        <v>139</v>
      </c>
      <c r="F7999" s="100" t="s">
        <v>3118</v>
      </c>
      <c r="G7999" s="100" t="s">
        <v>2961</v>
      </c>
      <c r="H7999" s="100"/>
      <c r="I7999" s="101" t="s">
        <v>3069</v>
      </c>
      <c r="J7999" s="580">
        <v>0.0293</v>
      </c>
      <c r="K7999" s="580">
        <v>0</v>
      </c>
      <c r="L7999" s="102">
        <v>36.61</v>
      </c>
      <c r="M7999" s="102">
        <v>1.07</v>
      </c>
    </row>
    <row r="8000" ht="23.85" customHeight="1" spans="3:13">
      <c r="C8000" s="100" t="s">
        <v>2893</v>
      </c>
      <c r="D8000" s="99" t="s">
        <v>5203</v>
      </c>
      <c r="E8000" s="100" t="s">
        <v>139</v>
      </c>
      <c r="F8000" s="100" t="s">
        <v>5204</v>
      </c>
      <c r="G8000" s="100" t="s">
        <v>2961</v>
      </c>
      <c r="H8000" s="100"/>
      <c r="I8000" s="101" t="s">
        <v>393</v>
      </c>
      <c r="J8000" s="580">
        <v>1.8127</v>
      </c>
      <c r="K8000" s="580">
        <v>0</v>
      </c>
      <c r="L8000" s="102">
        <v>0.81</v>
      </c>
      <c r="M8000" s="102">
        <v>1.46</v>
      </c>
    </row>
    <row r="8001" ht="15" customHeight="1" spans="3:13">
      <c r="C8001" s="100" t="s">
        <v>2893</v>
      </c>
      <c r="D8001" s="99" t="s">
        <v>5205</v>
      </c>
      <c r="E8001" s="100" t="s">
        <v>139</v>
      </c>
      <c r="F8001" s="100" t="s">
        <v>5206</v>
      </c>
      <c r="G8001" s="100" t="s">
        <v>2961</v>
      </c>
      <c r="H8001" s="100"/>
      <c r="I8001" s="101" t="s">
        <v>393</v>
      </c>
      <c r="J8001" s="580">
        <v>0.0036</v>
      </c>
      <c r="K8001" s="580">
        <v>0</v>
      </c>
      <c r="L8001" s="102">
        <v>24.22</v>
      </c>
      <c r="M8001" s="102">
        <v>0.08</v>
      </c>
    </row>
    <row r="8002" ht="25.5" spans="3:13">
      <c r="C8002" s="108"/>
      <c r="D8002" s="108"/>
      <c r="E8002" s="108"/>
      <c r="F8002" s="108"/>
      <c r="G8002" s="108"/>
      <c r="H8002" s="108" t="s">
        <v>2898</v>
      </c>
      <c r="I8002" s="581">
        <v>40.56</v>
      </c>
      <c r="J8002" s="108" t="s">
        <v>2899</v>
      </c>
      <c r="K8002" s="581">
        <v>0</v>
      </c>
      <c r="L8002" s="108" t="s">
        <v>2900</v>
      </c>
      <c r="M8002" s="581">
        <v>40.56</v>
      </c>
    </row>
    <row r="8003" ht="26.25" spans="3:13">
      <c r="C8003" s="108"/>
      <c r="D8003" s="108"/>
      <c r="E8003" s="108"/>
      <c r="F8003" s="108"/>
      <c r="G8003" s="108"/>
      <c r="H8003" s="108" t="s">
        <v>2901</v>
      </c>
      <c r="I8003" s="581">
        <v>18.62</v>
      </c>
      <c r="J8003" s="114"/>
      <c r="K8003" s="114" t="s">
        <v>2902</v>
      </c>
      <c r="L8003" s="108"/>
      <c r="M8003" s="581">
        <v>91.67</v>
      </c>
    </row>
    <row r="8004" ht="15" spans="3:13">
      <c r="C8004" s="571"/>
      <c r="D8004" s="571"/>
      <c r="E8004" s="571"/>
      <c r="F8004" s="571"/>
      <c r="G8004" s="571"/>
      <c r="H8004" s="571"/>
      <c r="I8004" s="571"/>
      <c r="J8004" s="571"/>
      <c r="K8004" s="571"/>
      <c r="L8004" s="571"/>
      <c r="M8004" s="571"/>
    </row>
    <row r="8005" ht="15" customHeight="1" spans="3:13">
      <c r="C8005" s="76" t="s">
        <v>2776</v>
      </c>
      <c r="D8005" s="75" t="s">
        <v>63</v>
      </c>
      <c r="E8005" s="76" t="s">
        <v>64</v>
      </c>
      <c r="F8005" s="76" t="s">
        <v>65</v>
      </c>
      <c r="G8005" s="76" t="s">
        <v>2889</v>
      </c>
      <c r="H8005" s="76"/>
      <c r="I8005" s="77" t="s">
        <v>66</v>
      </c>
      <c r="J8005" s="75" t="s">
        <v>67</v>
      </c>
      <c r="K8005" s="75" t="s">
        <v>2890</v>
      </c>
      <c r="L8005" s="75" t="s">
        <v>68</v>
      </c>
      <c r="M8005" s="75" t="s">
        <v>70</v>
      </c>
    </row>
    <row r="8006" ht="38.25" spans="3:13">
      <c r="C8006" s="569" t="s">
        <v>2891</v>
      </c>
      <c r="D8006" s="570" t="s">
        <v>2777</v>
      </c>
      <c r="E8006" s="569" t="s">
        <v>77</v>
      </c>
      <c r="F8006" s="569" t="s">
        <v>2778</v>
      </c>
      <c r="G8006" s="569">
        <v>13</v>
      </c>
      <c r="H8006" s="569"/>
      <c r="I8006" s="577" t="s">
        <v>141</v>
      </c>
      <c r="J8006" s="578">
        <v>1</v>
      </c>
      <c r="K8006" s="579"/>
      <c r="L8006" s="579">
        <v>442.66</v>
      </c>
      <c r="M8006" s="579">
        <v>442.66</v>
      </c>
    </row>
    <row r="8007" ht="23.85" customHeight="1" spans="3:13">
      <c r="C8007" s="100" t="s">
        <v>2893</v>
      </c>
      <c r="D8007" s="99" t="s">
        <v>4766</v>
      </c>
      <c r="E8007" s="100" t="s">
        <v>77</v>
      </c>
      <c r="F8007" s="100" t="s">
        <v>4767</v>
      </c>
      <c r="G8007" s="100" t="s">
        <v>2896</v>
      </c>
      <c r="H8007" s="100"/>
      <c r="I8007" s="101" t="s">
        <v>2897</v>
      </c>
      <c r="J8007" s="580">
        <v>0.4566</v>
      </c>
      <c r="K8007" s="580">
        <v>3</v>
      </c>
      <c r="L8007" s="102">
        <v>28.55</v>
      </c>
      <c r="M8007" s="102">
        <v>13.42</v>
      </c>
    </row>
    <row r="8008" ht="35.05" customHeight="1" spans="3:13">
      <c r="C8008" s="100" t="s">
        <v>2893</v>
      </c>
      <c r="D8008" s="99" t="s">
        <v>5207</v>
      </c>
      <c r="E8008" s="100" t="s">
        <v>77</v>
      </c>
      <c r="F8008" s="100" t="s">
        <v>5208</v>
      </c>
      <c r="G8008" s="100" t="s">
        <v>2961</v>
      </c>
      <c r="H8008" s="100"/>
      <c r="I8008" s="101" t="s">
        <v>141</v>
      </c>
      <c r="J8008" s="580">
        <v>1</v>
      </c>
      <c r="K8008" s="580">
        <v>0</v>
      </c>
      <c r="L8008" s="102">
        <v>420.23</v>
      </c>
      <c r="M8008" s="102">
        <v>420.23</v>
      </c>
    </row>
    <row r="8009" ht="23.85" customHeight="1" spans="3:13">
      <c r="C8009" s="100" t="s">
        <v>2893</v>
      </c>
      <c r="D8009" s="99" t="s">
        <v>3108</v>
      </c>
      <c r="E8009" s="100" t="s">
        <v>77</v>
      </c>
      <c r="F8009" s="100" t="s">
        <v>3109</v>
      </c>
      <c r="G8009" s="100" t="s">
        <v>2896</v>
      </c>
      <c r="H8009" s="100"/>
      <c r="I8009" s="101" t="s">
        <v>2897</v>
      </c>
      <c r="J8009" s="580">
        <v>0.4566</v>
      </c>
      <c r="K8009" s="580">
        <v>3</v>
      </c>
      <c r="L8009" s="102">
        <v>19.16</v>
      </c>
      <c r="M8009" s="102">
        <v>9.01</v>
      </c>
    </row>
    <row r="8010" ht="25.5" spans="3:13">
      <c r="C8010" s="108"/>
      <c r="D8010" s="108"/>
      <c r="E8010" s="108"/>
      <c r="F8010" s="108"/>
      <c r="G8010" s="108"/>
      <c r="H8010" s="108" t="s">
        <v>2898</v>
      </c>
      <c r="I8010" s="581">
        <v>22.43</v>
      </c>
      <c r="J8010" s="108" t="s">
        <v>2899</v>
      </c>
      <c r="K8010" s="581">
        <v>0</v>
      </c>
      <c r="L8010" s="108" t="s">
        <v>2900</v>
      </c>
      <c r="M8010" s="581">
        <v>22.43</v>
      </c>
    </row>
    <row r="8011" ht="26.25" spans="3:13">
      <c r="C8011" s="108"/>
      <c r="D8011" s="108"/>
      <c r="E8011" s="108"/>
      <c r="F8011" s="108"/>
      <c r="G8011" s="108"/>
      <c r="H8011" s="108" t="s">
        <v>2901</v>
      </c>
      <c r="I8011" s="581">
        <v>112.83</v>
      </c>
      <c r="J8011" s="114"/>
      <c r="K8011" s="114" t="s">
        <v>2902</v>
      </c>
      <c r="L8011" s="108"/>
      <c r="M8011" s="581">
        <v>555.49</v>
      </c>
    </row>
    <row r="8012" ht="15" spans="3:13">
      <c r="C8012" s="571"/>
      <c r="D8012" s="571"/>
      <c r="E8012" s="571"/>
      <c r="F8012" s="571"/>
      <c r="G8012" s="571"/>
      <c r="H8012" s="571"/>
      <c r="I8012" s="571"/>
      <c r="J8012" s="571"/>
      <c r="K8012" s="571"/>
      <c r="L8012" s="571"/>
      <c r="M8012" s="571"/>
    </row>
    <row r="8013" ht="15" customHeight="1" spans="3:13">
      <c r="C8013" s="76" t="s">
        <v>2779</v>
      </c>
      <c r="D8013" s="75" t="s">
        <v>63</v>
      </c>
      <c r="E8013" s="76" t="s">
        <v>64</v>
      </c>
      <c r="F8013" s="76" t="s">
        <v>65</v>
      </c>
      <c r="G8013" s="76" t="s">
        <v>2889</v>
      </c>
      <c r="H8013" s="76"/>
      <c r="I8013" s="77" t="s">
        <v>66</v>
      </c>
      <c r="J8013" s="75" t="s">
        <v>67</v>
      </c>
      <c r="K8013" s="75" t="s">
        <v>2890</v>
      </c>
      <c r="L8013" s="75" t="s">
        <v>68</v>
      </c>
      <c r="M8013" s="75" t="s">
        <v>70</v>
      </c>
    </row>
    <row r="8014" ht="35.05" customHeight="1" spans="3:13">
      <c r="C8014" s="569" t="s">
        <v>2891</v>
      </c>
      <c r="D8014" s="570" t="s">
        <v>2780</v>
      </c>
      <c r="E8014" s="569" t="s">
        <v>132</v>
      </c>
      <c r="F8014" s="569" t="s">
        <v>2781</v>
      </c>
      <c r="G8014" s="569" t="s">
        <v>5209</v>
      </c>
      <c r="H8014" s="569"/>
      <c r="I8014" s="577" t="s">
        <v>141</v>
      </c>
      <c r="J8014" s="578">
        <v>1</v>
      </c>
      <c r="K8014" s="579"/>
      <c r="L8014" s="579">
        <v>203.32</v>
      </c>
      <c r="M8014" s="579">
        <v>203.32</v>
      </c>
    </row>
    <row r="8015" ht="23.85" customHeight="1" spans="3:13">
      <c r="C8015" s="79" t="s">
        <v>2921</v>
      </c>
      <c r="D8015" s="78" t="s">
        <v>3026</v>
      </c>
      <c r="E8015" s="79" t="s">
        <v>139</v>
      </c>
      <c r="F8015" s="79" t="s">
        <v>3027</v>
      </c>
      <c r="G8015" s="79" t="s">
        <v>2928</v>
      </c>
      <c r="H8015" s="79"/>
      <c r="I8015" s="80" t="s">
        <v>2897</v>
      </c>
      <c r="J8015" s="583">
        <v>0.63</v>
      </c>
      <c r="K8015" s="583">
        <v>0</v>
      </c>
      <c r="L8015" s="92">
        <v>39.71</v>
      </c>
      <c r="M8015" s="92">
        <v>25.01</v>
      </c>
    </row>
    <row r="8016" ht="23.85" customHeight="1" spans="3:13">
      <c r="C8016" s="79" t="s">
        <v>2921</v>
      </c>
      <c r="D8016" s="78" t="s">
        <v>2952</v>
      </c>
      <c r="E8016" s="79" t="s">
        <v>139</v>
      </c>
      <c r="F8016" s="79" t="s">
        <v>2953</v>
      </c>
      <c r="G8016" s="79" t="s">
        <v>2928</v>
      </c>
      <c r="H8016" s="79"/>
      <c r="I8016" s="80" t="s">
        <v>2897</v>
      </c>
      <c r="J8016" s="583">
        <v>0.63</v>
      </c>
      <c r="K8016" s="583">
        <v>0</v>
      </c>
      <c r="L8016" s="92">
        <v>29.15</v>
      </c>
      <c r="M8016" s="92">
        <v>18.36</v>
      </c>
    </row>
    <row r="8017" ht="15" customHeight="1" spans="3:13">
      <c r="C8017" s="100" t="s">
        <v>2893</v>
      </c>
      <c r="D8017" s="99" t="s">
        <v>5210</v>
      </c>
      <c r="E8017" s="100" t="s">
        <v>149</v>
      </c>
      <c r="F8017" s="100" t="s">
        <v>5211</v>
      </c>
      <c r="G8017" s="100" t="s">
        <v>2961</v>
      </c>
      <c r="H8017" s="100"/>
      <c r="I8017" s="101" t="s">
        <v>141</v>
      </c>
      <c r="J8017" s="580">
        <v>1.05</v>
      </c>
      <c r="K8017" s="580">
        <v>0</v>
      </c>
      <c r="L8017" s="102">
        <v>135.05</v>
      </c>
      <c r="M8017" s="102">
        <v>141.8</v>
      </c>
    </row>
    <row r="8018" ht="15" customHeight="1" spans="3:13">
      <c r="C8018" s="100" t="s">
        <v>2893</v>
      </c>
      <c r="D8018" s="99" t="s">
        <v>5212</v>
      </c>
      <c r="E8018" s="100" t="s">
        <v>149</v>
      </c>
      <c r="F8018" s="100" t="s">
        <v>5213</v>
      </c>
      <c r="G8018" s="100" t="s">
        <v>2961</v>
      </c>
      <c r="H8018" s="100"/>
      <c r="I8018" s="101" t="s">
        <v>134</v>
      </c>
      <c r="J8018" s="580">
        <v>1</v>
      </c>
      <c r="K8018" s="580">
        <v>0</v>
      </c>
      <c r="L8018" s="102">
        <v>0.53</v>
      </c>
      <c r="M8018" s="102">
        <v>0.53</v>
      </c>
    </row>
    <row r="8019" ht="15" customHeight="1" spans="3:13">
      <c r="C8019" s="100" t="s">
        <v>2893</v>
      </c>
      <c r="D8019" s="99" t="s">
        <v>5214</v>
      </c>
      <c r="E8019" s="100" t="s">
        <v>149</v>
      </c>
      <c r="F8019" s="100" t="s">
        <v>5215</v>
      </c>
      <c r="G8019" s="100" t="s">
        <v>2961</v>
      </c>
      <c r="H8019" s="100"/>
      <c r="I8019" s="101" t="s">
        <v>134</v>
      </c>
      <c r="J8019" s="580">
        <v>1.282</v>
      </c>
      <c r="K8019" s="580">
        <v>0</v>
      </c>
      <c r="L8019" s="102">
        <v>2.58</v>
      </c>
      <c r="M8019" s="102">
        <v>3.3</v>
      </c>
    </row>
    <row r="8020" ht="23.85" customHeight="1" spans="3:13">
      <c r="C8020" s="100" t="s">
        <v>2893</v>
      </c>
      <c r="D8020" s="99" t="s">
        <v>5216</v>
      </c>
      <c r="E8020" s="100" t="s">
        <v>149</v>
      </c>
      <c r="F8020" s="100" t="s">
        <v>5217</v>
      </c>
      <c r="G8020" s="100" t="s">
        <v>2961</v>
      </c>
      <c r="H8020" s="100"/>
      <c r="I8020" s="101" t="s">
        <v>134</v>
      </c>
      <c r="J8020" s="580">
        <v>4</v>
      </c>
      <c r="K8020" s="580">
        <v>0</v>
      </c>
      <c r="L8020" s="102">
        <v>3.18</v>
      </c>
      <c r="M8020" s="102">
        <v>12.72</v>
      </c>
    </row>
    <row r="8021" ht="15" customHeight="1" spans="3:13">
      <c r="C8021" s="100" t="s">
        <v>2893</v>
      </c>
      <c r="D8021" s="99" t="s">
        <v>5218</v>
      </c>
      <c r="E8021" s="100" t="s">
        <v>149</v>
      </c>
      <c r="F8021" s="100" t="s">
        <v>5219</v>
      </c>
      <c r="G8021" s="100" t="s">
        <v>2961</v>
      </c>
      <c r="H8021" s="100"/>
      <c r="I8021" s="101" t="s">
        <v>134</v>
      </c>
      <c r="J8021" s="580">
        <v>0.179</v>
      </c>
      <c r="K8021" s="580">
        <v>0</v>
      </c>
      <c r="L8021" s="102">
        <v>8.99</v>
      </c>
      <c r="M8021" s="102">
        <v>1.6</v>
      </c>
    </row>
    <row r="8022" ht="25.5" spans="3:13">
      <c r="C8022" s="108"/>
      <c r="D8022" s="108"/>
      <c r="E8022" s="108"/>
      <c r="F8022" s="108"/>
      <c r="G8022" s="108"/>
      <c r="H8022" s="108" t="s">
        <v>2898</v>
      </c>
      <c r="I8022" s="581">
        <v>30.94</v>
      </c>
      <c r="J8022" s="108" t="s">
        <v>2899</v>
      </c>
      <c r="K8022" s="581">
        <v>0</v>
      </c>
      <c r="L8022" s="108" t="s">
        <v>2900</v>
      </c>
      <c r="M8022" s="581">
        <v>30.94</v>
      </c>
    </row>
    <row r="8023" ht="26.25" spans="3:13">
      <c r="C8023" s="108"/>
      <c r="D8023" s="108"/>
      <c r="E8023" s="108"/>
      <c r="F8023" s="108"/>
      <c r="G8023" s="108"/>
      <c r="H8023" s="108" t="s">
        <v>2901</v>
      </c>
      <c r="I8023" s="581">
        <v>51.82</v>
      </c>
      <c r="J8023" s="114"/>
      <c r="K8023" s="114" t="s">
        <v>2902</v>
      </c>
      <c r="L8023" s="108"/>
      <c r="M8023" s="581">
        <v>255.14</v>
      </c>
    </row>
    <row r="8024" ht="15" spans="3:13">
      <c r="C8024" s="571"/>
      <c r="D8024" s="571"/>
      <c r="E8024" s="571"/>
      <c r="F8024" s="571"/>
      <c r="G8024" s="571"/>
      <c r="H8024" s="571"/>
      <c r="I8024" s="571"/>
      <c r="J8024" s="571"/>
      <c r="K8024" s="571"/>
      <c r="L8024" s="571"/>
      <c r="M8024" s="571"/>
    </row>
    <row r="8025" ht="15" customHeight="1" spans="3:13">
      <c r="C8025" s="76" t="s">
        <v>2782</v>
      </c>
      <c r="D8025" s="75" t="s">
        <v>63</v>
      </c>
      <c r="E8025" s="76" t="s">
        <v>64</v>
      </c>
      <c r="F8025" s="76" t="s">
        <v>65</v>
      </c>
      <c r="G8025" s="76" t="s">
        <v>2889</v>
      </c>
      <c r="H8025" s="76"/>
      <c r="I8025" s="77" t="s">
        <v>66</v>
      </c>
      <c r="J8025" s="75" t="s">
        <v>67</v>
      </c>
      <c r="K8025" s="75" t="s">
        <v>2890</v>
      </c>
      <c r="L8025" s="75" t="s">
        <v>68</v>
      </c>
      <c r="M8025" s="75" t="s">
        <v>70</v>
      </c>
    </row>
    <row r="8026" ht="35.05" customHeight="1" spans="3:13">
      <c r="C8026" s="569" t="s">
        <v>2891</v>
      </c>
      <c r="D8026" s="570" t="s">
        <v>2783</v>
      </c>
      <c r="E8026" s="569" t="s">
        <v>132</v>
      </c>
      <c r="F8026" s="569" t="s">
        <v>2784</v>
      </c>
      <c r="G8026" s="569" t="s">
        <v>4113</v>
      </c>
      <c r="H8026" s="569"/>
      <c r="I8026" s="577" t="s">
        <v>141</v>
      </c>
      <c r="J8026" s="578">
        <v>1</v>
      </c>
      <c r="K8026" s="579"/>
      <c r="L8026" s="579">
        <v>316.62</v>
      </c>
      <c r="M8026" s="579">
        <v>316.62</v>
      </c>
    </row>
    <row r="8027" ht="23.85" customHeight="1" spans="3:13">
      <c r="C8027" s="79" t="s">
        <v>2921</v>
      </c>
      <c r="D8027" s="78" t="s">
        <v>3026</v>
      </c>
      <c r="E8027" s="79" t="s">
        <v>139</v>
      </c>
      <c r="F8027" s="79" t="s">
        <v>3027</v>
      </c>
      <c r="G8027" s="79" t="s">
        <v>2928</v>
      </c>
      <c r="H8027" s="79"/>
      <c r="I8027" s="80" t="s">
        <v>2897</v>
      </c>
      <c r="J8027" s="583">
        <v>2.5</v>
      </c>
      <c r="K8027" s="583">
        <v>0</v>
      </c>
      <c r="L8027" s="92">
        <v>39.71</v>
      </c>
      <c r="M8027" s="92">
        <v>99.27</v>
      </c>
    </row>
    <row r="8028" ht="23.85" customHeight="1" spans="3:13">
      <c r="C8028" s="100" t="s">
        <v>2893</v>
      </c>
      <c r="D8028" s="99" t="s">
        <v>5220</v>
      </c>
      <c r="E8028" s="100" t="s">
        <v>796</v>
      </c>
      <c r="F8028" s="100" t="s">
        <v>5221</v>
      </c>
      <c r="G8028" s="100" t="s">
        <v>2961</v>
      </c>
      <c r="H8028" s="100"/>
      <c r="I8028" s="101" t="s">
        <v>141</v>
      </c>
      <c r="J8028" s="580">
        <v>1.05</v>
      </c>
      <c r="K8028" s="580">
        <v>0</v>
      </c>
      <c r="L8028" s="102">
        <v>207</v>
      </c>
      <c r="M8028" s="102">
        <v>217.35</v>
      </c>
    </row>
    <row r="8029" ht="25.5" spans="3:13">
      <c r="C8029" s="108"/>
      <c r="D8029" s="108"/>
      <c r="E8029" s="108"/>
      <c r="F8029" s="108"/>
      <c r="G8029" s="108"/>
      <c r="H8029" s="108" t="s">
        <v>2898</v>
      </c>
      <c r="I8029" s="581">
        <v>74.77</v>
      </c>
      <c r="J8029" s="108" t="s">
        <v>2899</v>
      </c>
      <c r="K8029" s="581">
        <v>0</v>
      </c>
      <c r="L8029" s="108" t="s">
        <v>2900</v>
      </c>
      <c r="M8029" s="581">
        <v>74.77</v>
      </c>
    </row>
    <row r="8030" ht="26.25" spans="3:13">
      <c r="C8030" s="108"/>
      <c r="D8030" s="108"/>
      <c r="E8030" s="108"/>
      <c r="F8030" s="108"/>
      <c r="G8030" s="108"/>
      <c r="H8030" s="108" t="s">
        <v>2901</v>
      </c>
      <c r="I8030" s="581">
        <v>80.7</v>
      </c>
      <c r="J8030" s="114"/>
      <c r="K8030" s="114" t="s">
        <v>2902</v>
      </c>
      <c r="L8030" s="108"/>
      <c r="M8030" s="581">
        <v>397.32</v>
      </c>
    </row>
    <row r="8031" ht="15" spans="3:13">
      <c r="C8031" s="571"/>
      <c r="D8031" s="571"/>
      <c r="E8031" s="571"/>
      <c r="F8031" s="571"/>
      <c r="G8031" s="571"/>
      <c r="H8031" s="571"/>
      <c r="I8031" s="571"/>
      <c r="J8031" s="571"/>
      <c r="K8031" s="571"/>
      <c r="L8031" s="571"/>
      <c r="M8031" s="571"/>
    </row>
    <row r="8032" ht="15" customHeight="1" spans="3:13">
      <c r="C8032" s="76" t="s">
        <v>2785</v>
      </c>
      <c r="D8032" s="75" t="s">
        <v>63</v>
      </c>
      <c r="E8032" s="76" t="s">
        <v>64</v>
      </c>
      <c r="F8032" s="76" t="s">
        <v>65</v>
      </c>
      <c r="G8032" s="76" t="s">
        <v>2889</v>
      </c>
      <c r="H8032" s="76"/>
      <c r="I8032" s="77" t="s">
        <v>66</v>
      </c>
      <c r="J8032" s="75" t="s">
        <v>67</v>
      </c>
      <c r="K8032" s="75" t="s">
        <v>2890</v>
      </c>
      <c r="L8032" s="75" t="s">
        <v>68</v>
      </c>
      <c r="M8032" s="75" t="s">
        <v>70</v>
      </c>
    </row>
    <row r="8033" ht="35.05" customHeight="1" spans="3:13">
      <c r="C8033" s="569" t="s">
        <v>2891</v>
      </c>
      <c r="D8033" s="570" t="s">
        <v>2786</v>
      </c>
      <c r="E8033" s="569" t="s">
        <v>132</v>
      </c>
      <c r="F8033" s="569" t="s">
        <v>2787</v>
      </c>
      <c r="G8033" s="569" t="s">
        <v>5209</v>
      </c>
      <c r="H8033" s="569"/>
      <c r="I8033" s="577" t="s">
        <v>141</v>
      </c>
      <c r="J8033" s="578">
        <v>1</v>
      </c>
      <c r="K8033" s="579"/>
      <c r="L8033" s="579">
        <v>34.53</v>
      </c>
      <c r="M8033" s="579">
        <v>34.53</v>
      </c>
    </row>
    <row r="8034" ht="23.85" customHeight="1" spans="3:13">
      <c r="C8034" s="79" t="s">
        <v>2921</v>
      </c>
      <c r="D8034" s="78" t="s">
        <v>3543</v>
      </c>
      <c r="E8034" s="79" t="s">
        <v>139</v>
      </c>
      <c r="F8034" s="79" t="s">
        <v>3544</v>
      </c>
      <c r="G8034" s="79" t="s">
        <v>2928</v>
      </c>
      <c r="H8034" s="79"/>
      <c r="I8034" s="80" t="s">
        <v>2897</v>
      </c>
      <c r="J8034" s="583">
        <v>0.088</v>
      </c>
      <c r="K8034" s="583">
        <v>0</v>
      </c>
      <c r="L8034" s="92">
        <v>30.06</v>
      </c>
      <c r="M8034" s="92">
        <v>2.64</v>
      </c>
    </row>
    <row r="8035" ht="23.85" customHeight="1" spans="3:13">
      <c r="C8035" s="79" t="s">
        <v>2921</v>
      </c>
      <c r="D8035" s="78" t="s">
        <v>3487</v>
      </c>
      <c r="E8035" s="79" t="s">
        <v>139</v>
      </c>
      <c r="F8035" s="79" t="s">
        <v>3488</v>
      </c>
      <c r="G8035" s="79" t="s">
        <v>2928</v>
      </c>
      <c r="H8035" s="79"/>
      <c r="I8035" s="80" t="s">
        <v>2897</v>
      </c>
      <c r="J8035" s="583">
        <v>0.053</v>
      </c>
      <c r="K8035" s="583">
        <v>0</v>
      </c>
      <c r="L8035" s="92">
        <v>30.31</v>
      </c>
      <c r="M8035" s="92">
        <v>1.6</v>
      </c>
    </row>
    <row r="8036" ht="23.85" customHeight="1" spans="3:13">
      <c r="C8036" s="79" t="s">
        <v>2921</v>
      </c>
      <c r="D8036" s="78" t="s">
        <v>3545</v>
      </c>
      <c r="E8036" s="79" t="s">
        <v>139</v>
      </c>
      <c r="F8036" s="79" t="s">
        <v>3546</v>
      </c>
      <c r="G8036" s="79" t="s">
        <v>2928</v>
      </c>
      <c r="H8036" s="79"/>
      <c r="I8036" s="80" t="s">
        <v>2897</v>
      </c>
      <c r="J8036" s="583">
        <v>0.121</v>
      </c>
      <c r="K8036" s="583">
        <v>0</v>
      </c>
      <c r="L8036" s="92">
        <v>36.71</v>
      </c>
      <c r="M8036" s="92">
        <v>4.44</v>
      </c>
    </row>
    <row r="8037" ht="23.85" customHeight="1" spans="3:13">
      <c r="C8037" s="79" t="s">
        <v>2921</v>
      </c>
      <c r="D8037" s="78" t="s">
        <v>3634</v>
      </c>
      <c r="E8037" s="79" t="s">
        <v>139</v>
      </c>
      <c r="F8037" s="79" t="s">
        <v>3635</v>
      </c>
      <c r="G8037" s="79" t="s">
        <v>2928</v>
      </c>
      <c r="H8037" s="79"/>
      <c r="I8037" s="80" t="s">
        <v>2897</v>
      </c>
      <c r="J8037" s="583">
        <v>0.053</v>
      </c>
      <c r="K8037" s="583">
        <v>0</v>
      </c>
      <c r="L8037" s="92">
        <v>44.92</v>
      </c>
      <c r="M8037" s="92">
        <v>2.38</v>
      </c>
    </row>
    <row r="8038" ht="15" customHeight="1" spans="3:13">
      <c r="C8038" s="100" t="s">
        <v>2893</v>
      </c>
      <c r="D8038" s="99" t="s">
        <v>5222</v>
      </c>
      <c r="E8038" s="100" t="s">
        <v>149</v>
      </c>
      <c r="F8038" s="100" t="s">
        <v>5223</v>
      </c>
      <c r="G8038" s="100" t="s">
        <v>2961</v>
      </c>
      <c r="H8038" s="100"/>
      <c r="I8038" s="101" t="s">
        <v>134</v>
      </c>
      <c r="J8038" s="580">
        <v>1</v>
      </c>
      <c r="K8038" s="580">
        <v>0</v>
      </c>
      <c r="L8038" s="102">
        <v>0.4</v>
      </c>
      <c r="M8038" s="102">
        <v>0.4</v>
      </c>
    </row>
    <row r="8039" ht="15" customHeight="1" spans="3:13">
      <c r="C8039" s="100" t="s">
        <v>2893</v>
      </c>
      <c r="D8039" s="99" t="s">
        <v>5224</v>
      </c>
      <c r="E8039" s="100" t="s">
        <v>149</v>
      </c>
      <c r="F8039" s="100" t="s">
        <v>5225</v>
      </c>
      <c r="G8039" s="100" t="s">
        <v>2961</v>
      </c>
      <c r="H8039" s="100"/>
      <c r="I8039" s="101" t="s">
        <v>393</v>
      </c>
      <c r="J8039" s="580">
        <v>0.041</v>
      </c>
      <c r="K8039" s="580">
        <v>0</v>
      </c>
      <c r="L8039" s="102">
        <v>62.41</v>
      </c>
      <c r="M8039" s="102">
        <v>2.55</v>
      </c>
    </row>
    <row r="8040" ht="15" customHeight="1" spans="3:13">
      <c r="C8040" s="100" t="s">
        <v>2893</v>
      </c>
      <c r="D8040" s="99" t="s">
        <v>5226</v>
      </c>
      <c r="E8040" s="100" t="s">
        <v>149</v>
      </c>
      <c r="F8040" s="100" t="s">
        <v>5227</v>
      </c>
      <c r="G8040" s="100" t="s">
        <v>2961</v>
      </c>
      <c r="H8040" s="100"/>
      <c r="I8040" s="101" t="s">
        <v>5228</v>
      </c>
      <c r="J8040" s="580">
        <v>3.86</v>
      </c>
      <c r="K8040" s="580">
        <v>0</v>
      </c>
      <c r="L8040" s="102">
        <v>3.03</v>
      </c>
      <c r="M8040" s="102">
        <v>11.69</v>
      </c>
    </row>
    <row r="8041" ht="15" customHeight="1" spans="3:13">
      <c r="C8041" s="100" t="s">
        <v>2893</v>
      </c>
      <c r="D8041" s="99" t="s">
        <v>5229</v>
      </c>
      <c r="E8041" s="100" t="s">
        <v>149</v>
      </c>
      <c r="F8041" s="100" t="s">
        <v>5230</v>
      </c>
      <c r="G8041" s="100" t="s">
        <v>2961</v>
      </c>
      <c r="H8041" s="100"/>
      <c r="I8041" s="101" t="s">
        <v>141</v>
      </c>
      <c r="J8041" s="580">
        <v>1.05</v>
      </c>
      <c r="K8041" s="580">
        <v>0</v>
      </c>
      <c r="L8041" s="102">
        <v>1.24</v>
      </c>
      <c r="M8041" s="102">
        <v>1.3</v>
      </c>
    </row>
    <row r="8042" ht="15" customHeight="1" spans="3:13">
      <c r="C8042" s="100" t="s">
        <v>2893</v>
      </c>
      <c r="D8042" s="99" t="s">
        <v>5231</v>
      </c>
      <c r="E8042" s="100" t="s">
        <v>149</v>
      </c>
      <c r="F8042" s="100" t="s">
        <v>5232</v>
      </c>
      <c r="G8042" s="100" t="s">
        <v>2961</v>
      </c>
      <c r="H8042" s="100"/>
      <c r="I8042" s="101" t="s">
        <v>393</v>
      </c>
      <c r="J8042" s="580">
        <v>0.686</v>
      </c>
      <c r="K8042" s="580">
        <v>0</v>
      </c>
      <c r="L8042" s="102">
        <v>10.86</v>
      </c>
      <c r="M8042" s="102">
        <v>7.44</v>
      </c>
    </row>
    <row r="8043" ht="15" customHeight="1" spans="3:13">
      <c r="C8043" s="100" t="s">
        <v>2893</v>
      </c>
      <c r="D8043" s="99" t="s">
        <v>5233</v>
      </c>
      <c r="E8043" s="100" t="s">
        <v>149</v>
      </c>
      <c r="F8043" s="100" t="s">
        <v>5234</v>
      </c>
      <c r="G8043" s="100" t="s">
        <v>2961</v>
      </c>
      <c r="H8043" s="100"/>
      <c r="I8043" s="101" t="s">
        <v>2897</v>
      </c>
      <c r="J8043" s="580">
        <v>0.046</v>
      </c>
      <c r="K8043" s="580">
        <v>0</v>
      </c>
      <c r="L8043" s="102">
        <v>2.16</v>
      </c>
      <c r="M8043" s="102">
        <v>0.09</v>
      </c>
    </row>
    <row r="8044" ht="25.5" spans="3:13">
      <c r="C8044" s="108"/>
      <c r="D8044" s="108"/>
      <c r="E8044" s="108"/>
      <c r="F8044" s="108"/>
      <c r="G8044" s="108"/>
      <c r="H8044" s="108" t="s">
        <v>2898</v>
      </c>
      <c r="I8044" s="581">
        <v>7.85</v>
      </c>
      <c r="J8044" s="108" t="s">
        <v>2899</v>
      </c>
      <c r="K8044" s="581">
        <v>0</v>
      </c>
      <c r="L8044" s="108" t="s">
        <v>2900</v>
      </c>
      <c r="M8044" s="581">
        <v>7.85</v>
      </c>
    </row>
    <row r="8045" ht="26.25" spans="3:13">
      <c r="C8045" s="108"/>
      <c r="D8045" s="108"/>
      <c r="E8045" s="108"/>
      <c r="F8045" s="108"/>
      <c r="G8045" s="108"/>
      <c r="H8045" s="108" t="s">
        <v>2901</v>
      </c>
      <c r="I8045" s="581">
        <v>8.8</v>
      </c>
      <c r="J8045" s="114"/>
      <c r="K8045" s="114" t="s">
        <v>2902</v>
      </c>
      <c r="L8045" s="108"/>
      <c r="M8045" s="581">
        <v>43.33</v>
      </c>
    </row>
    <row r="8046" ht="15" spans="3:13">
      <c r="C8046" s="571"/>
      <c r="D8046" s="571"/>
      <c r="E8046" s="571"/>
      <c r="F8046" s="571"/>
      <c r="G8046" s="571"/>
      <c r="H8046" s="571"/>
      <c r="I8046" s="571"/>
      <c r="J8046" s="571"/>
      <c r="K8046" s="571"/>
      <c r="L8046" s="571"/>
      <c r="M8046" s="571"/>
    </row>
    <row r="8047" ht="15" customHeight="1" spans="3:13">
      <c r="C8047" s="76" t="s">
        <v>2788</v>
      </c>
      <c r="D8047" s="75" t="s">
        <v>63</v>
      </c>
      <c r="E8047" s="76" t="s">
        <v>64</v>
      </c>
      <c r="F8047" s="76" t="s">
        <v>65</v>
      </c>
      <c r="G8047" s="76" t="s">
        <v>2889</v>
      </c>
      <c r="H8047" s="76"/>
      <c r="I8047" s="77" t="s">
        <v>66</v>
      </c>
      <c r="J8047" s="75" t="s">
        <v>67</v>
      </c>
      <c r="K8047" s="75" t="s">
        <v>2890</v>
      </c>
      <c r="L8047" s="75" t="s">
        <v>68</v>
      </c>
      <c r="M8047" s="75" t="s">
        <v>70</v>
      </c>
    </row>
    <row r="8048" ht="23.85" customHeight="1" spans="3:13">
      <c r="C8048" s="569" t="s">
        <v>2891</v>
      </c>
      <c r="D8048" s="570" t="s">
        <v>2789</v>
      </c>
      <c r="E8048" s="569" t="s">
        <v>139</v>
      </c>
      <c r="F8048" s="569" t="s">
        <v>2790</v>
      </c>
      <c r="G8048" s="569" t="s">
        <v>3112</v>
      </c>
      <c r="H8048" s="569"/>
      <c r="I8048" s="577" t="s">
        <v>141</v>
      </c>
      <c r="J8048" s="578">
        <v>1</v>
      </c>
      <c r="K8048" s="579"/>
      <c r="L8048" s="579">
        <v>56.68</v>
      </c>
      <c r="M8048" s="579">
        <v>56.68</v>
      </c>
    </row>
    <row r="8049" ht="23.85" customHeight="1" spans="3:13">
      <c r="C8049" s="79" t="s">
        <v>2921</v>
      </c>
      <c r="D8049" s="78" t="s">
        <v>5195</v>
      </c>
      <c r="E8049" s="79" t="s">
        <v>139</v>
      </c>
      <c r="F8049" s="79" t="s">
        <v>5196</v>
      </c>
      <c r="G8049" s="79" t="s">
        <v>2928</v>
      </c>
      <c r="H8049" s="79"/>
      <c r="I8049" s="80" t="s">
        <v>2897</v>
      </c>
      <c r="J8049" s="583">
        <v>0.7867</v>
      </c>
      <c r="K8049" s="583">
        <v>0</v>
      </c>
      <c r="L8049" s="92">
        <v>36.01</v>
      </c>
      <c r="M8049" s="92">
        <v>28.32</v>
      </c>
    </row>
    <row r="8050" ht="23.85" customHeight="1" spans="3:13">
      <c r="C8050" s="79" t="s">
        <v>2921</v>
      </c>
      <c r="D8050" s="78" t="s">
        <v>2952</v>
      </c>
      <c r="E8050" s="79" t="s">
        <v>139</v>
      </c>
      <c r="F8050" s="79" t="s">
        <v>2953</v>
      </c>
      <c r="G8050" s="79" t="s">
        <v>2928</v>
      </c>
      <c r="H8050" s="79"/>
      <c r="I8050" s="80" t="s">
        <v>2897</v>
      </c>
      <c r="J8050" s="583">
        <v>0.4522</v>
      </c>
      <c r="K8050" s="583">
        <v>0</v>
      </c>
      <c r="L8050" s="92">
        <v>29.15</v>
      </c>
      <c r="M8050" s="92">
        <v>13.18</v>
      </c>
    </row>
    <row r="8051" ht="23.85" customHeight="1" spans="3:13">
      <c r="C8051" s="100" t="s">
        <v>2893</v>
      </c>
      <c r="D8051" s="99" t="s">
        <v>5203</v>
      </c>
      <c r="E8051" s="100" t="s">
        <v>139</v>
      </c>
      <c r="F8051" s="100" t="s">
        <v>5204</v>
      </c>
      <c r="G8051" s="100" t="s">
        <v>2961</v>
      </c>
      <c r="H8051" s="100"/>
      <c r="I8051" s="101" t="s">
        <v>393</v>
      </c>
      <c r="J8051" s="580">
        <v>1.8127</v>
      </c>
      <c r="K8051" s="580">
        <v>0</v>
      </c>
      <c r="L8051" s="102">
        <v>0.81</v>
      </c>
      <c r="M8051" s="102">
        <v>1.46</v>
      </c>
    </row>
    <row r="8052" ht="15" customHeight="1" spans="3:13">
      <c r="C8052" s="100" t="s">
        <v>2893</v>
      </c>
      <c r="D8052" s="99" t="s">
        <v>3117</v>
      </c>
      <c r="E8052" s="100" t="s">
        <v>139</v>
      </c>
      <c r="F8052" s="100" t="s">
        <v>3118</v>
      </c>
      <c r="G8052" s="100" t="s">
        <v>2961</v>
      </c>
      <c r="H8052" s="100"/>
      <c r="I8052" s="101" t="s">
        <v>3069</v>
      </c>
      <c r="J8052" s="580">
        <v>0.0293</v>
      </c>
      <c r="K8052" s="580">
        <v>0</v>
      </c>
      <c r="L8052" s="102">
        <v>36.61</v>
      </c>
      <c r="M8052" s="102">
        <v>1.07</v>
      </c>
    </row>
    <row r="8053" ht="15" customHeight="1" spans="3:13">
      <c r="C8053" s="100" t="s">
        <v>2893</v>
      </c>
      <c r="D8053" s="99" t="s">
        <v>5201</v>
      </c>
      <c r="E8053" s="100" t="s">
        <v>139</v>
      </c>
      <c r="F8053" s="100" t="s">
        <v>5202</v>
      </c>
      <c r="G8053" s="100" t="s">
        <v>2961</v>
      </c>
      <c r="H8053" s="100"/>
      <c r="I8053" s="101" t="s">
        <v>393</v>
      </c>
      <c r="J8053" s="580">
        <v>0.0217</v>
      </c>
      <c r="K8053" s="580">
        <v>0</v>
      </c>
      <c r="L8053" s="102">
        <v>31.38</v>
      </c>
      <c r="M8053" s="102">
        <v>0.68</v>
      </c>
    </row>
    <row r="8054" ht="23.85" customHeight="1" spans="3:13">
      <c r="C8054" s="100" t="s">
        <v>2893</v>
      </c>
      <c r="D8054" s="99" t="s">
        <v>5197</v>
      </c>
      <c r="E8054" s="100" t="s">
        <v>139</v>
      </c>
      <c r="F8054" s="100" t="s">
        <v>5198</v>
      </c>
      <c r="G8054" s="100" t="s">
        <v>2961</v>
      </c>
      <c r="H8054" s="100"/>
      <c r="I8054" s="101" t="s">
        <v>141</v>
      </c>
      <c r="J8054" s="580">
        <v>1.0414</v>
      </c>
      <c r="K8054" s="580">
        <v>0</v>
      </c>
      <c r="L8054" s="102">
        <v>11.38</v>
      </c>
      <c r="M8054" s="102">
        <v>11.85</v>
      </c>
    </row>
    <row r="8055" ht="15" customHeight="1" spans="3:13">
      <c r="C8055" s="100" t="s">
        <v>2893</v>
      </c>
      <c r="D8055" s="99" t="s">
        <v>5199</v>
      </c>
      <c r="E8055" s="100" t="s">
        <v>139</v>
      </c>
      <c r="F8055" s="100" t="s">
        <v>5200</v>
      </c>
      <c r="G8055" s="100" t="s">
        <v>2961</v>
      </c>
      <c r="H8055" s="100"/>
      <c r="I8055" s="101" t="s">
        <v>393</v>
      </c>
      <c r="J8055" s="580">
        <v>0.0078</v>
      </c>
      <c r="K8055" s="580">
        <v>0</v>
      </c>
      <c r="L8055" s="102">
        <v>16.28</v>
      </c>
      <c r="M8055" s="102">
        <v>0.12</v>
      </c>
    </row>
    <row r="8056" ht="25.5" spans="3:13">
      <c r="C8056" s="108"/>
      <c r="D8056" s="108"/>
      <c r="E8056" s="108"/>
      <c r="F8056" s="108"/>
      <c r="G8056" s="108"/>
      <c r="H8056" s="108" t="s">
        <v>2898</v>
      </c>
      <c r="I8056" s="581">
        <v>29.13</v>
      </c>
      <c r="J8056" s="108" t="s">
        <v>2899</v>
      </c>
      <c r="K8056" s="581">
        <v>0</v>
      </c>
      <c r="L8056" s="108" t="s">
        <v>2900</v>
      </c>
      <c r="M8056" s="581">
        <v>29.13</v>
      </c>
    </row>
    <row r="8057" ht="26.25" spans="3:13">
      <c r="C8057" s="108"/>
      <c r="D8057" s="108"/>
      <c r="E8057" s="108"/>
      <c r="F8057" s="108"/>
      <c r="G8057" s="108"/>
      <c r="H8057" s="108" t="s">
        <v>2901</v>
      </c>
      <c r="I8057" s="581">
        <v>14.44</v>
      </c>
      <c r="J8057" s="114"/>
      <c r="K8057" s="114" t="s">
        <v>2902</v>
      </c>
      <c r="L8057" s="108"/>
      <c r="M8057" s="581">
        <v>71.12</v>
      </c>
    </row>
    <row r="8058" ht="15" spans="3:13">
      <c r="C8058" s="571"/>
      <c r="D8058" s="571"/>
      <c r="E8058" s="571"/>
      <c r="F8058" s="571"/>
      <c r="G8058" s="571"/>
      <c r="H8058" s="571"/>
      <c r="I8058" s="571"/>
      <c r="J8058" s="571"/>
      <c r="K8058" s="571"/>
      <c r="L8058" s="571"/>
      <c r="M8058" s="571"/>
    </row>
    <row r="8059" ht="15" customHeight="1" spans="3:13">
      <c r="C8059" s="76" t="s">
        <v>2793</v>
      </c>
      <c r="D8059" s="75" t="s">
        <v>63</v>
      </c>
      <c r="E8059" s="76" t="s">
        <v>64</v>
      </c>
      <c r="F8059" s="76" t="s">
        <v>65</v>
      </c>
      <c r="G8059" s="76" t="s">
        <v>2889</v>
      </c>
      <c r="H8059" s="76"/>
      <c r="I8059" s="77" t="s">
        <v>66</v>
      </c>
      <c r="J8059" s="75" t="s">
        <v>67</v>
      </c>
      <c r="K8059" s="75" t="s">
        <v>2890</v>
      </c>
      <c r="L8059" s="75" t="s">
        <v>68</v>
      </c>
      <c r="M8059" s="75" t="s">
        <v>70</v>
      </c>
    </row>
    <row r="8060" ht="63.75" spans="3:13">
      <c r="C8060" s="569" t="s">
        <v>2891</v>
      </c>
      <c r="D8060" s="570" t="s">
        <v>2794</v>
      </c>
      <c r="E8060" s="569" t="s">
        <v>77</v>
      </c>
      <c r="F8060" s="569" t="s">
        <v>5235</v>
      </c>
      <c r="G8060" s="569">
        <v>4</v>
      </c>
      <c r="H8060" s="569"/>
      <c r="I8060" s="577" t="s">
        <v>134</v>
      </c>
      <c r="J8060" s="578">
        <v>1</v>
      </c>
      <c r="K8060" s="579"/>
      <c r="L8060" s="579">
        <v>361.84</v>
      </c>
      <c r="M8060" s="579">
        <v>361.84</v>
      </c>
    </row>
    <row r="8061" ht="35.05" customHeight="1" spans="3:13">
      <c r="C8061" s="100" t="s">
        <v>2893</v>
      </c>
      <c r="D8061" s="99" t="s">
        <v>5236</v>
      </c>
      <c r="E8061" s="100" t="s">
        <v>77</v>
      </c>
      <c r="F8061" s="100" t="s">
        <v>5237</v>
      </c>
      <c r="G8061" s="100" t="s">
        <v>2961</v>
      </c>
      <c r="H8061" s="100"/>
      <c r="I8061" s="101" t="s">
        <v>134</v>
      </c>
      <c r="J8061" s="580">
        <v>1</v>
      </c>
      <c r="K8061" s="580">
        <v>0</v>
      </c>
      <c r="L8061" s="102">
        <v>350</v>
      </c>
      <c r="M8061" s="102">
        <v>350</v>
      </c>
    </row>
    <row r="8062" ht="23.85" customHeight="1" spans="3:13">
      <c r="C8062" s="100" t="s">
        <v>2893</v>
      </c>
      <c r="D8062" s="99" t="s">
        <v>3108</v>
      </c>
      <c r="E8062" s="100" t="s">
        <v>77</v>
      </c>
      <c r="F8062" s="100" t="s">
        <v>3109</v>
      </c>
      <c r="G8062" s="100" t="s">
        <v>2896</v>
      </c>
      <c r="H8062" s="100"/>
      <c r="I8062" s="101" t="s">
        <v>2897</v>
      </c>
      <c r="J8062" s="580">
        <v>0.6</v>
      </c>
      <c r="K8062" s="580">
        <v>3</v>
      </c>
      <c r="L8062" s="102">
        <v>19.16</v>
      </c>
      <c r="M8062" s="102">
        <v>11.84</v>
      </c>
    </row>
    <row r="8063" ht="25.5" spans="3:13">
      <c r="C8063" s="108"/>
      <c r="D8063" s="108"/>
      <c r="E8063" s="108"/>
      <c r="F8063" s="108"/>
      <c r="G8063" s="108"/>
      <c r="H8063" s="108" t="s">
        <v>2898</v>
      </c>
      <c r="I8063" s="581">
        <v>11.84</v>
      </c>
      <c r="J8063" s="108" t="s">
        <v>2899</v>
      </c>
      <c r="K8063" s="581">
        <v>0</v>
      </c>
      <c r="L8063" s="108" t="s">
        <v>2900</v>
      </c>
      <c r="M8063" s="581">
        <v>11.84</v>
      </c>
    </row>
    <row r="8064" ht="26.25" spans="3:13">
      <c r="C8064" s="108"/>
      <c r="D8064" s="108"/>
      <c r="E8064" s="108"/>
      <c r="F8064" s="108"/>
      <c r="G8064" s="108"/>
      <c r="H8064" s="108" t="s">
        <v>2901</v>
      </c>
      <c r="I8064" s="581">
        <v>92.23</v>
      </c>
      <c r="J8064" s="114"/>
      <c r="K8064" s="114" t="s">
        <v>2902</v>
      </c>
      <c r="L8064" s="108"/>
      <c r="M8064" s="581">
        <v>454.07</v>
      </c>
    </row>
    <row r="8065" ht="15" spans="3:13">
      <c r="C8065" s="571"/>
      <c r="D8065" s="571"/>
      <c r="E8065" s="571"/>
      <c r="F8065" s="571"/>
      <c r="G8065" s="571"/>
      <c r="H8065" s="571"/>
      <c r="I8065" s="571"/>
      <c r="J8065" s="571"/>
      <c r="K8065" s="571"/>
      <c r="L8065" s="571"/>
      <c r="M8065" s="571"/>
    </row>
    <row r="8066" ht="15" customHeight="1" spans="3:13">
      <c r="C8066" s="76" t="s">
        <v>2798</v>
      </c>
      <c r="D8066" s="75" t="s">
        <v>63</v>
      </c>
      <c r="E8066" s="76" t="s">
        <v>64</v>
      </c>
      <c r="F8066" s="76" t="s">
        <v>65</v>
      </c>
      <c r="G8066" s="76" t="s">
        <v>2889</v>
      </c>
      <c r="H8066" s="76"/>
      <c r="I8066" s="77" t="s">
        <v>66</v>
      </c>
      <c r="J8066" s="75" t="s">
        <v>67</v>
      </c>
      <c r="K8066" s="75" t="s">
        <v>2890</v>
      </c>
      <c r="L8066" s="75" t="s">
        <v>68</v>
      </c>
      <c r="M8066" s="75" t="s">
        <v>70</v>
      </c>
    </row>
    <row r="8067" ht="38.25" spans="3:13">
      <c r="C8067" s="569" t="s">
        <v>2891</v>
      </c>
      <c r="D8067" s="570" t="s">
        <v>2799</v>
      </c>
      <c r="E8067" s="569" t="s">
        <v>132</v>
      </c>
      <c r="F8067" s="569" t="s">
        <v>2800</v>
      </c>
      <c r="G8067" s="569">
        <v>16</v>
      </c>
      <c r="H8067" s="569"/>
      <c r="I8067" s="577" t="s">
        <v>134</v>
      </c>
      <c r="J8067" s="578">
        <v>1</v>
      </c>
      <c r="K8067" s="579"/>
      <c r="L8067" s="579">
        <v>300</v>
      </c>
      <c r="M8067" s="579">
        <v>300</v>
      </c>
    </row>
    <row r="8068" ht="15" customHeight="1" spans="3:13">
      <c r="C8068" s="100" t="s">
        <v>2893</v>
      </c>
      <c r="D8068" s="99" t="s">
        <v>5238</v>
      </c>
      <c r="E8068" s="100" t="s">
        <v>149</v>
      </c>
      <c r="F8068" s="100" t="s">
        <v>5239</v>
      </c>
      <c r="G8068" s="100" t="s">
        <v>2961</v>
      </c>
      <c r="H8068" s="100"/>
      <c r="I8068" s="101" t="s">
        <v>134</v>
      </c>
      <c r="J8068" s="580">
        <v>1</v>
      </c>
      <c r="K8068" s="580">
        <v>0</v>
      </c>
      <c r="L8068" s="102">
        <v>300</v>
      </c>
      <c r="M8068" s="102">
        <v>300</v>
      </c>
    </row>
    <row r="8069" ht="25.5" spans="3:13">
      <c r="C8069" s="108"/>
      <c r="D8069" s="108"/>
      <c r="E8069" s="108"/>
      <c r="F8069" s="108"/>
      <c r="G8069" s="108"/>
      <c r="H8069" s="108" t="s">
        <v>2898</v>
      </c>
      <c r="I8069" s="581">
        <v>0</v>
      </c>
      <c r="J8069" s="108" t="s">
        <v>2899</v>
      </c>
      <c r="K8069" s="581">
        <v>0</v>
      </c>
      <c r="L8069" s="108" t="s">
        <v>2900</v>
      </c>
      <c r="M8069" s="581">
        <v>0</v>
      </c>
    </row>
    <row r="8070" ht="26.25" spans="3:13">
      <c r="C8070" s="108"/>
      <c r="D8070" s="108"/>
      <c r="E8070" s="108"/>
      <c r="F8070" s="108"/>
      <c r="G8070" s="108"/>
      <c r="H8070" s="108" t="s">
        <v>2901</v>
      </c>
      <c r="I8070" s="581">
        <v>76.47</v>
      </c>
      <c r="J8070" s="114"/>
      <c r="K8070" s="114" t="s">
        <v>2902</v>
      </c>
      <c r="L8070" s="108"/>
      <c r="M8070" s="581">
        <v>376.47</v>
      </c>
    </row>
    <row r="8071" ht="15" spans="3:13">
      <c r="C8071" s="571"/>
      <c r="D8071" s="571"/>
      <c r="E8071" s="571"/>
      <c r="F8071" s="571"/>
      <c r="G8071" s="571"/>
      <c r="H8071" s="571"/>
      <c r="I8071" s="571"/>
      <c r="J8071" s="571"/>
      <c r="K8071" s="571"/>
      <c r="L8071" s="571"/>
      <c r="M8071" s="571"/>
    </row>
    <row r="8072" ht="15" customHeight="1" spans="3:13">
      <c r="C8072" s="76" t="s">
        <v>2801</v>
      </c>
      <c r="D8072" s="75" t="s">
        <v>63</v>
      </c>
      <c r="E8072" s="76" t="s">
        <v>64</v>
      </c>
      <c r="F8072" s="76" t="s">
        <v>65</v>
      </c>
      <c r="G8072" s="76" t="s">
        <v>2889</v>
      </c>
      <c r="H8072" s="76"/>
      <c r="I8072" s="77" t="s">
        <v>66</v>
      </c>
      <c r="J8072" s="75" t="s">
        <v>67</v>
      </c>
      <c r="K8072" s="75" t="s">
        <v>2890</v>
      </c>
      <c r="L8072" s="75" t="s">
        <v>68</v>
      </c>
      <c r="M8072" s="75" t="s">
        <v>70</v>
      </c>
    </row>
    <row r="8073" ht="15" customHeight="1" spans="3:13">
      <c r="C8073" s="569" t="s">
        <v>2891</v>
      </c>
      <c r="D8073" s="570" t="s">
        <v>2802</v>
      </c>
      <c r="E8073" s="569" t="s">
        <v>149</v>
      </c>
      <c r="F8073" s="569" t="s">
        <v>2803</v>
      </c>
      <c r="G8073" s="569" t="s">
        <v>5240</v>
      </c>
      <c r="H8073" s="569"/>
      <c r="I8073" s="577" t="s">
        <v>134</v>
      </c>
      <c r="J8073" s="578">
        <v>1</v>
      </c>
      <c r="K8073" s="579"/>
      <c r="L8073" s="579">
        <v>300</v>
      </c>
      <c r="M8073" s="579">
        <v>300</v>
      </c>
    </row>
    <row r="8074" ht="15" customHeight="1" spans="3:13">
      <c r="C8074" s="100" t="s">
        <v>2893</v>
      </c>
      <c r="D8074" s="99" t="s">
        <v>5238</v>
      </c>
      <c r="E8074" s="100" t="s">
        <v>149</v>
      </c>
      <c r="F8074" s="100" t="s">
        <v>5239</v>
      </c>
      <c r="G8074" s="100" t="s">
        <v>2961</v>
      </c>
      <c r="H8074" s="100"/>
      <c r="I8074" s="101" t="s">
        <v>134</v>
      </c>
      <c r="J8074" s="580">
        <v>1</v>
      </c>
      <c r="K8074" s="580">
        <v>0</v>
      </c>
      <c r="L8074" s="102">
        <v>300</v>
      </c>
      <c r="M8074" s="102">
        <v>300</v>
      </c>
    </row>
    <row r="8075" ht="25.5" spans="3:13">
      <c r="C8075" s="108"/>
      <c r="D8075" s="108"/>
      <c r="E8075" s="108"/>
      <c r="F8075" s="108"/>
      <c r="G8075" s="108"/>
      <c r="H8075" s="108" t="s">
        <v>2898</v>
      </c>
      <c r="I8075" s="581">
        <v>0</v>
      </c>
      <c r="J8075" s="108" t="s">
        <v>2899</v>
      </c>
      <c r="K8075" s="581">
        <v>0</v>
      </c>
      <c r="L8075" s="108" t="s">
        <v>2900</v>
      </c>
      <c r="M8075" s="581">
        <v>0</v>
      </c>
    </row>
    <row r="8076" ht="26.25" spans="3:13">
      <c r="C8076" s="108"/>
      <c r="D8076" s="108"/>
      <c r="E8076" s="108"/>
      <c r="F8076" s="108"/>
      <c r="G8076" s="108"/>
      <c r="H8076" s="108" t="s">
        <v>2901</v>
      </c>
      <c r="I8076" s="581">
        <v>76.47</v>
      </c>
      <c r="J8076" s="114"/>
      <c r="K8076" s="114" t="s">
        <v>2902</v>
      </c>
      <c r="L8076" s="108"/>
      <c r="M8076" s="581">
        <v>376.47</v>
      </c>
    </row>
    <row r="8077" ht="15" spans="3:13">
      <c r="C8077" s="571"/>
      <c r="D8077" s="571"/>
      <c r="E8077" s="571"/>
      <c r="F8077" s="571"/>
      <c r="G8077" s="571"/>
      <c r="H8077" s="571"/>
      <c r="I8077" s="571"/>
      <c r="J8077" s="571"/>
      <c r="K8077" s="571"/>
      <c r="L8077" s="571"/>
      <c r="M8077" s="571"/>
    </row>
    <row r="8078" ht="15" customHeight="1" spans="3:13">
      <c r="C8078" s="76" t="s">
        <v>2806</v>
      </c>
      <c r="D8078" s="75" t="s">
        <v>63</v>
      </c>
      <c r="E8078" s="76" t="s">
        <v>64</v>
      </c>
      <c r="F8078" s="76" t="s">
        <v>65</v>
      </c>
      <c r="G8078" s="76" t="s">
        <v>2889</v>
      </c>
      <c r="H8078" s="76"/>
      <c r="I8078" s="77" t="s">
        <v>66</v>
      </c>
      <c r="J8078" s="75" t="s">
        <v>67</v>
      </c>
      <c r="K8078" s="75" t="s">
        <v>2890</v>
      </c>
      <c r="L8078" s="75" t="s">
        <v>68</v>
      </c>
      <c r="M8078" s="75" t="s">
        <v>70</v>
      </c>
    </row>
    <row r="8079" ht="35.05" customHeight="1" spans="3:13">
      <c r="C8079" s="569" t="s">
        <v>2891</v>
      </c>
      <c r="D8079" s="570" t="s">
        <v>2807</v>
      </c>
      <c r="E8079" s="569" t="s">
        <v>132</v>
      </c>
      <c r="F8079" s="569" t="s">
        <v>2808</v>
      </c>
      <c r="G8079" s="569" t="s">
        <v>3505</v>
      </c>
      <c r="H8079" s="569"/>
      <c r="I8079" s="577" t="s">
        <v>134</v>
      </c>
      <c r="J8079" s="578">
        <v>1</v>
      </c>
      <c r="K8079" s="579"/>
      <c r="L8079" s="579">
        <v>519.89</v>
      </c>
      <c r="M8079" s="579">
        <v>519.89</v>
      </c>
    </row>
    <row r="8080" ht="23.85" customHeight="1" spans="3:13">
      <c r="C8080" s="79" t="s">
        <v>2921</v>
      </c>
      <c r="D8080" s="78" t="s">
        <v>4721</v>
      </c>
      <c r="E8080" s="79" t="s">
        <v>139</v>
      </c>
      <c r="F8080" s="79" t="s">
        <v>4722</v>
      </c>
      <c r="G8080" s="79" t="s">
        <v>2928</v>
      </c>
      <c r="H8080" s="79"/>
      <c r="I8080" s="80" t="s">
        <v>2897</v>
      </c>
      <c r="J8080" s="583">
        <v>1.303</v>
      </c>
      <c r="K8080" s="583">
        <v>0</v>
      </c>
      <c r="L8080" s="92">
        <v>47.06</v>
      </c>
      <c r="M8080" s="92">
        <v>61.31</v>
      </c>
    </row>
    <row r="8081" ht="23.85" customHeight="1" spans="3:13">
      <c r="C8081" s="79" t="s">
        <v>2921</v>
      </c>
      <c r="D8081" s="78" t="s">
        <v>2952</v>
      </c>
      <c r="E8081" s="79" t="s">
        <v>139</v>
      </c>
      <c r="F8081" s="79" t="s">
        <v>2953</v>
      </c>
      <c r="G8081" s="79" t="s">
        <v>2928</v>
      </c>
      <c r="H8081" s="79"/>
      <c r="I8081" s="80" t="s">
        <v>2897</v>
      </c>
      <c r="J8081" s="583">
        <v>1.228</v>
      </c>
      <c r="K8081" s="583">
        <v>0</v>
      </c>
      <c r="L8081" s="92">
        <v>29.15</v>
      </c>
      <c r="M8081" s="92">
        <v>35.79</v>
      </c>
    </row>
    <row r="8082" ht="15" customHeight="1" spans="3:13">
      <c r="C8082" s="100" t="s">
        <v>2893</v>
      </c>
      <c r="D8082" s="99" t="s">
        <v>5241</v>
      </c>
      <c r="E8082" s="100" t="s">
        <v>149</v>
      </c>
      <c r="F8082" s="100" t="s">
        <v>5242</v>
      </c>
      <c r="G8082" s="100" t="s">
        <v>2961</v>
      </c>
      <c r="H8082" s="100"/>
      <c r="I8082" s="101" t="s">
        <v>141</v>
      </c>
      <c r="J8082" s="580">
        <v>1.4</v>
      </c>
      <c r="K8082" s="580">
        <v>0</v>
      </c>
      <c r="L8082" s="102">
        <v>139.55</v>
      </c>
      <c r="M8082" s="102">
        <v>195.37</v>
      </c>
    </row>
    <row r="8083" ht="15" customHeight="1" spans="3:13">
      <c r="C8083" s="100" t="s">
        <v>2893</v>
      </c>
      <c r="D8083" s="99" t="s">
        <v>5243</v>
      </c>
      <c r="E8083" s="100" t="s">
        <v>132</v>
      </c>
      <c r="F8083" s="100" t="s">
        <v>5244</v>
      </c>
      <c r="G8083" s="100" t="s">
        <v>2961</v>
      </c>
      <c r="H8083" s="100"/>
      <c r="I8083" s="101" t="s">
        <v>141</v>
      </c>
      <c r="J8083" s="580">
        <v>1.4</v>
      </c>
      <c r="K8083" s="580">
        <v>0</v>
      </c>
      <c r="L8083" s="102">
        <v>99.17</v>
      </c>
      <c r="M8083" s="102">
        <v>138.83</v>
      </c>
    </row>
    <row r="8084" ht="15" customHeight="1" spans="3:13">
      <c r="C8084" s="100" t="s">
        <v>2893</v>
      </c>
      <c r="D8084" s="99" t="s">
        <v>5245</v>
      </c>
      <c r="E8084" s="100" t="s">
        <v>149</v>
      </c>
      <c r="F8084" s="100" t="s">
        <v>5246</v>
      </c>
      <c r="G8084" s="100" t="s">
        <v>2961</v>
      </c>
      <c r="H8084" s="100"/>
      <c r="I8084" s="101" t="s">
        <v>393</v>
      </c>
      <c r="J8084" s="580">
        <v>6.916</v>
      </c>
      <c r="K8084" s="580">
        <v>0</v>
      </c>
      <c r="L8084" s="102">
        <v>11.3</v>
      </c>
      <c r="M8084" s="102">
        <v>78.15</v>
      </c>
    </row>
    <row r="8085" ht="15" customHeight="1" spans="3:13">
      <c r="C8085" s="100" t="s">
        <v>2893</v>
      </c>
      <c r="D8085" s="99" t="s">
        <v>5247</v>
      </c>
      <c r="E8085" s="100" t="s">
        <v>149</v>
      </c>
      <c r="F8085" s="100" t="s">
        <v>5248</v>
      </c>
      <c r="G8085" s="100" t="s">
        <v>2961</v>
      </c>
      <c r="H8085" s="100"/>
      <c r="I8085" s="101" t="s">
        <v>141</v>
      </c>
      <c r="J8085" s="580">
        <v>1.4</v>
      </c>
      <c r="K8085" s="580">
        <v>0</v>
      </c>
      <c r="L8085" s="102">
        <v>7.46</v>
      </c>
      <c r="M8085" s="102">
        <v>10.44</v>
      </c>
    </row>
    <row r="8086" ht="25.5" spans="3:13">
      <c r="C8086" s="108"/>
      <c r="D8086" s="108"/>
      <c r="E8086" s="108"/>
      <c r="F8086" s="108"/>
      <c r="G8086" s="108"/>
      <c r="H8086" s="108" t="s">
        <v>2898</v>
      </c>
      <c r="I8086" s="581">
        <v>73.41</v>
      </c>
      <c r="J8086" s="108" t="s">
        <v>2899</v>
      </c>
      <c r="K8086" s="581">
        <v>0</v>
      </c>
      <c r="L8086" s="108" t="s">
        <v>2900</v>
      </c>
      <c r="M8086" s="581">
        <v>73.41</v>
      </c>
    </row>
    <row r="8087" ht="26.25" spans="3:13">
      <c r="C8087" s="108"/>
      <c r="D8087" s="108"/>
      <c r="E8087" s="108"/>
      <c r="F8087" s="108"/>
      <c r="G8087" s="108"/>
      <c r="H8087" s="108" t="s">
        <v>2901</v>
      </c>
      <c r="I8087" s="581">
        <v>132.51</v>
      </c>
      <c r="J8087" s="114"/>
      <c r="K8087" s="114" t="s">
        <v>2902</v>
      </c>
      <c r="L8087" s="108"/>
      <c r="M8087" s="581">
        <v>652.4</v>
      </c>
    </row>
    <row r="8088" ht="15" spans="3:13">
      <c r="C8088" s="571"/>
      <c r="D8088" s="571"/>
      <c r="E8088" s="571"/>
      <c r="F8088" s="571"/>
      <c r="G8088" s="571"/>
      <c r="H8088" s="571"/>
      <c r="I8088" s="571"/>
      <c r="J8088" s="571"/>
      <c r="K8088" s="571"/>
      <c r="L8088" s="571"/>
      <c r="M8088" s="571"/>
    </row>
    <row r="8089" ht="15" customHeight="1" spans="3:13">
      <c r="C8089" s="76" t="s">
        <v>2809</v>
      </c>
      <c r="D8089" s="75" t="s">
        <v>63</v>
      </c>
      <c r="E8089" s="76" t="s">
        <v>64</v>
      </c>
      <c r="F8089" s="76" t="s">
        <v>65</v>
      </c>
      <c r="G8089" s="76" t="s">
        <v>2889</v>
      </c>
      <c r="H8089" s="76"/>
      <c r="I8089" s="77" t="s">
        <v>66</v>
      </c>
      <c r="J8089" s="75" t="s">
        <v>67</v>
      </c>
      <c r="K8089" s="75" t="s">
        <v>2890</v>
      </c>
      <c r="L8089" s="75" t="s">
        <v>68</v>
      </c>
      <c r="M8089" s="75" t="s">
        <v>70</v>
      </c>
    </row>
    <row r="8090" ht="46.25" customHeight="1" spans="3:13">
      <c r="C8090" s="569" t="s">
        <v>2891</v>
      </c>
      <c r="D8090" s="570" t="s">
        <v>2810</v>
      </c>
      <c r="E8090" s="569" t="s">
        <v>132</v>
      </c>
      <c r="F8090" s="569" t="s">
        <v>2811</v>
      </c>
      <c r="G8090" s="569" t="s">
        <v>4113</v>
      </c>
      <c r="H8090" s="569"/>
      <c r="I8090" s="577" t="s">
        <v>334</v>
      </c>
      <c r="J8090" s="578">
        <v>1</v>
      </c>
      <c r="K8090" s="579"/>
      <c r="L8090" s="579">
        <v>115.45</v>
      </c>
      <c r="M8090" s="579">
        <v>115.45</v>
      </c>
    </row>
    <row r="8091" ht="23.85" customHeight="1" spans="3:13">
      <c r="C8091" s="79" t="s">
        <v>2921</v>
      </c>
      <c r="D8091" s="78" t="s">
        <v>2952</v>
      </c>
      <c r="E8091" s="79" t="s">
        <v>139</v>
      </c>
      <c r="F8091" s="79" t="s">
        <v>2953</v>
      </c>
      <c r="G8091" s="79" t="s">
        <v>2928</v>
      </c>
      <c r="H8091" s="79"/>
      <c r="I8091" s="80" t="s">
        <v>2897</v>
      </c>
      <c r="J8091" s="583">
        <v>0.059</v>
      </c>
      <c r="K8091" s="583">
        <v>0</v>
      </c>
      <c r="L8091" s="92">
        <v>29.15</v>
      </c>
      <c r="M8091" s="92">
        <v>1.71</v>
      </c>
    </row>
    <row r="8092" ht="23.85" customHeight="1" spans="3:13">
      <c r="C8092" s="79" t="s">
        <v>2921</v>
      </c>
      <c r="D8092" s="78" t="s">
        <v>3026</v>
      </c>
      <c r="E8092" s="79" t="s">
        <v>139</v>
      </c>
      <c r="F8092" s="79" t="s">
        <v>3027</v>
      </c>
      <c r="G8092" s="79" t="s">
        <v>2928</v>
      </c>
      <c r="H8092" s="79"/>
      <c r="I8092" s="80" t="s">
        <v>2897</v>
      </c>
      <c r="J8092" s="583">
        <v>0.088</v>
      </c>
      <c r="K8092" s="583">
        <v>0</v>
      </c>
      <c r="L8092" s="92">
        <v>39.71</v>
      </c>
      <c r="M8092" s="92">
        <v>3.49</v>
      </c>
    </row>
    <row r="8093" ht="23.85" customHeight="1" spans="3:13">
      <c r="C8093" s="100" t="s">
        <v>2893</v>
      </c>
      <c r="D8093" s="99" t="s">
        <v>5249</v>
      </c>
      <c r="E8093" s="100" t="s">
        <v>149</v>
      </c>
      <c r="F8093" s="100" t="s">
        <v>5250</v>
      </c>
      <c r="G8093" s="100" t="s">
        <v>2961</v>
      </c>
      <c r="H8093" s="100"/>
      <c r="I8093" s="101" t="s">
        <v>134</v>
      </c>
      <c r="J8093" s="580">
        <v>0.3</v>
      </c>
      <c r="K8093" s="580">
        <v>0</v>
      </c>
      <c r="L8093" s="102">
        <v>259.26</v>
      </c>
      <c r="M8093" s="102">
        <v>77.77</v>
      </c>
    </row>
    <row r="8094" ht="15" customHeight="1" spans="3:13">
      <c r="C8094" s="100" t="s">
        <v>2893</v>
      </c>
      <c r="D8094" s="99" t="s">
        <v>5251</v>
      </c>
      <c r="E8094" s="100" t="s">
        <v>139</v>
      </c>
      <c r="F8094" s="100" t="s">
        <v>5252</v>
      </c>
      <c r="G8094" s="100" t="s">
        <v>2961</v>
      </c>
      <c r="H8094" s="100"/>
      <c r="I8094" s="101" t="s">
        <v>141</v>
      </c>
      <c r="J8094" s="580">
        <v>0.059</v>
      </c>
      <c r="K8094" s="580">
        <v>0</v>
      </c>
      <c r="L8094" s="102">
        <v>46.35</v>
      </c>
      <c r="M8094" s="102">
        <v>2.73</v>
      </c>
    </row>
    <row r="8095" ht="15" customHeight="1" spans="3:13">
      <c r="C8095" s="100" t="s">
        <v>2893</v>
      </c>
      <c r="D8095" s="99" t="s">
        <v>5243</v>
      </c>
      <c r="E8095" s="100" t="s">
        <v>132</v>
      </c>
      <c r="F8095" s="100" t="s">
        <v>5244</v>
      </c>
      <c r="G8095" s="100" t="s">
        <v>2961</v>
      </c>
      <c r="H8095" s="100"/>
      <c r="I8095" s="101" t="s">
        <v>141</v>
      </c>
      <c r="J8095" s="580">
        <v>0.3</v>
      </c>
      <c r="K8095" s="580">
        <v>0</v>
      </c>
      <c r="L8095" s="102">
        <v>99.17</v>
      </c>
      <c r="M8095" s="102">
        <v>29.75</v>
      </c>
    </row>
    <row r="8096" ht="25.5" spans="3:13">
      <c r="C8096" s="108"/>
      <c r="D8096" s="108"/>
      <c r="E8096" s="108"/>
      <c r="F8096" s="108"/>
      <c r="G8096" s="108"/>
      <c r="H8096" s="108" t="s">
        <v>2898</v>
      </c>
      <c r="I8096" s="581">
        <v>3.76</v>
      </c>
      <c r="J8096" s="108" t="s">
        <v>2899</v>
      </c>
      <c r="K8096" s="581">
        <v>0</v>
      </c>
      <c r="L8096" s="108" t="s">
        <v>2900</v>
      </c>
      <c r="M8096" s="581">
        <v>3.76</v>
      </c>
    </row>
    <row r="8097" ht="26.25" spans="3:13">
      <c r="C8097" s="108"/>
      <c r="D8097" s="108"/>
      <c r="E8097" s="108"/>
      <c r="F8097" s="108"/>
      <c r="G8097" s="108"/>
      <c r="H8097" s="108" t="s">
        <v>2901</v>
      </c>
      <c r="I8097" s="581">
        <v>29.42</v>
      </c>
      <c r="J8097" s="114"/>
      <c r="K8097" s="114" t="s">
        <v>2902</v>
      </c>
      <c r="L8097" s="108"/>
      <c r="M8097" s="581">
        <v>144.87</v>
      </c>
    </row>
    <row r="8098" ht="15" spans="3:13">
      <c r="C8098" s="571"/>
      <c r="D8098" s="571"/>
      <c r="E8098" s="571"/>
      <c r="F8098" s="571"/>
      <c r="G8098" s="571"/>
      <c r="H8098" s="571"/>
      <c r="I8098" s="571"/>
      <c r="J8098" s="571"/>
      <c r="K8098" s="571"/>
      <c r="L8098" s="571"/>
      <c r="M8098" s="571"/>
    </row>
    <row r="8099" ht="15" customHeight="1" spans="3:13">
      <c r="C8099" s="76" t="s">
        <v>2812</v>
      </c>
      <c r="D8099" s="75" t="s">
        <v>63</v>
      </c>
      <c r="E8099" s="76" t="s">
        <v>64</v>
      </c>
      <c r="F8099" s="76" t="s">
        <v>65</v>
      </c>
      <c r="G8099" s="76" t="s">
        <v>2889</v>
      </c>
      <c r="H8099" s="76"/>
      <c r="I8099" s="77" t="s">
        <v>66</v>
      </c>
      <c r="J8099" s="75" t="s">
        <v>67</v>
      </c>
      <c r="K8099" s="75" t="s">
        <v>2890</v>
      </c>
      <c r="L8099" s="75" t="s">
        <v>68</v>
      </c>
      <c r="M8099" s="75" t="s">
        <v>70</v>
      </c>
    </row>
    <row r="8100" ht="46.25" customHeight="1" spans="3:13">
      <c r="C8100" s="569" t="s">
        <v>2891</v>
      </c>
      <c r="D8100" s="570" t="s">
        <v>2813</v>
      </c>
      <c r="E8100" s="569" t="s">
        <v>132</v>
      </c>
      <c r="F8100" s="569" t="s">
        <v>2814</v>
      </c>
      <c r="G8100" s="569" t="s">
        <v>4113</v>
      </c>
      <c r="H8100" s="569"/>
      <c r="I8100" s="577" t="s">
        <v>334</v>
      </c>
      <c r="J8100" s="578">
        <v>1</v>
      </c>
      <c r="K8100" s="579"/>
      <c r="L8100" s="579">
        <v>57.67</v>
      </c>
      <c r="M8100" s="579">
        <v>57.67</v>
      </c>
    </row>
    <row r="8101" ht="23.85" customHeight="1" spans="3:13">
      <c r="C8101" s="79" t="s">
        <v>2921</v>
      </c>
      <c r="D8101" s="78" t="s">
        <v>2952</v>
      </c>
      <c r="E8101" s="79" t="s">
        <v>139</v>
      </c>
      <c r="F8101" s="79" t="s">
        <v>2953</v>
      </c>
      <c r="G8101" s="79" t="s">
        <v>2928</v>
      </c>
      <c r="H8101" s="79"/>
      <c r="I8101" s="80" t="s">
        <v>2897</v>
      </c>
      <c r="J8101" s="583">
        <v>0.029</v>
      </c>
      <c r="K8101" s="583">
        <v>0</v>
      </c>
      <c r="L8101" s="92">
        <v>29.15</v>
      </c>
      <c r="M8101" s="92">
        <v>0.84</v>
      </c>
    </row>
    <row r="8102" ht="23.85" customHeight="1" spans="3:13">
      <c r="C8102" s="79" t="s">
        <v>2921</v>
      </c>
      <c r="D8102" s="78" t="s">
        <v>3026</v>
      </c>
      <c r="E8102" s="79" t="s">
        <v>139</v>
      </c>
      <c r="F8102" s="79" t="s">
        <v>3027</v>
      </c>
      <c r="G8102" s="79" t="s">
        <v>2928</v>
      </c>
      <c r="H8102" s="79"/>
      <c r="I8102" s="80" t="s">
        <v>2897</v>
      </c>
      <c r="J8102" s="583">
        <v>0.044</v>
      </c>
      <c r="K8102" s="583">
        <v>0</v>
      </c>
      <c r="L8102" s="92">
        <v>39.71</v>
      </c>
      <c r="M8102" s="92">
        <v>1.74</v>
      </c>
    </row>
    <row r="8103" ht="23.85" customHeight="1" spans="3:13">
      <c r="C8103" s="100" t="s">
        <v>2893</v>
      </c>
      <c r="D8103" s="99" t="s">
        <v>5249</v>
      </c>
      <c r="E8103" s="100" t="s">
        <v>149</v>
      </c>
      <c r="F8103" s="100" t="s">
        <v>5250</v>
      </c>
      <c r="G8103" s="100" t="s">
        <v>2961</v>
      </c>
      <c r="H8103" s="100"/>
      <c r="I8103" s="101" t="s">
        <v>134</v>
      </c>
      <c r="J8103" s="580">
        <v>0.15</v>
      </c>
      <c r="K8103" s="580">
        <v>0</v>
      </c>
      <c r="L8103" s="102">
        <v>259.26</v>
      </c>
      <c r="M8103" s="102">
        <v>38.88</v>
      </c>
    </row>
    <row r="8104" ht="15" customHeight="1" spans="3:13">
      <c r="C8104" s="100" t="s">
        <v>2893</v>
      </c>
      <c r="D8104" s="99" t="s">
        <v>5243</v>
      </c>
      <c r="E8104" s="100" t="s">
        <v>132</v>
      </c>
      <c r="F8104" s="100" t="s">
        <v>5244</v>
      </c>
      <c r="G8104" s="100" t="s">
        <v>2961</v>
      </c>
      <c r="H8104" s="100"/>
      <c r="I8104" s="101" t="s">
        <v>141</v>
      </c>
      <c r="J8104" s="580">
        <v>0.15</v>
      </c>
      <c r="K8104" s="580">
        <v>0</v>
      </c>
      <c r="L8104" s="102">
        <v>99.17</v>
      </c>
      <c r="M8104" s="102">
        <v>14.87</v>
      </c>
    </row>
    <row r="8105" ht="15" customHeight="1" spans="3:13">
      <c r="C8105" s="100" t="s">
        <v>2893</v>
      </c>
      <c r="D8105" s="99" t="s">
        <v>5251</v>
      </c>
      <c r="E8105" s="100" t="s">
        <v>139</v>
      </c>
      <c r="F8105" s="100" t="s">
        <v>5252</v>
      </c>
      <c r="G8105" s="100" t="s">
        <v>2961</v>
      </c>
      <c r="H8105" s="100"/>
      <c r="I8105" s="101" t="s">
        <v>141</v>
      </c>
      <c r="J8105" s="580">
        <v>0.029</v>
      </c>
      <c r="K8105" s="580">
        <v>0</v>
      </c>
      <c r="L8105" s="102">
        <v>46.35</v>
      </c>
      <c r="M8105" s="102">
        <v>1.34</v>
      </c>
    </row>
    <row r="8106" ht="25.5" spans="3:13">
      <c r="C8106" s="108"/>
      <c r="D8106" s="108"/>
      <c r="E8106" s="108"/>
      <c r="F8106" s="108"/>
      <c r="G8106" s="108"/>
      <c r="H8106" s="108" t="s">
        <v>2898</v>
      </c>
      <c r="I8106" s="581">
        <v>1.86</v>
      </c>
      <c r="J8106" s="108" t="s">
        <v>2899</v>
      </c>
      <c r="K8106" s="581">
        <v>0</v>
      </c>
      <c r="L8106" s="108" t="s">
        <v>2900</v>
      </c>
      <c r="M8106" s="581">
        <v>1.86</v>
      </c>
    </row>
    <row r="8107" ht="26.25" spans="3:13">
      <c r="C8107" s="108"/>
      <c r="D8107" s="108"/>
      <c r="E8107" s="108"/>
      <c r="F8107" s="108"/>
      <c r="G8107" s="108"/>
      <c r="H8107" s="108" t="s">
        <v>2901</v>
      </c>
      <c r="I8107" s="581">
        <v>14.7</v>
      </c>
      <c r="J8107" s="114"/>
      <c r="K8107" s="114" t="s">
        <v>2902</v>
      </c>
      <c r="L8107" s="108"/>
      <c r="M8107" s="581">
        <v>72.37</v>
      </c>
    </row>
    <row r="8108" ht="15" spans="3:13">
      <c r="C8108" s="571"/>
      <c r="D8108" s="571"/>
      <c r="E8108" s="571"/>
      <c r="F8108" s="571"/>
      <c r="G8108" s="571"/>
      <c r="H8108" s="571"/>
      <c r="I8108" s="571"/>
      <c r="J8108" s="571"/>
      <c r="K8108" s="571"/>
      <c r="L8108" s="571"/>
      <c r="M8108" s="571"/>
    </row>
    <row r="8109" ht="15" customHeight="1" spans="3:13">
      <c r="C8109" s="76" t="s">
        <v>2815</v>
      </c>
      <c r="D8109" s="75" t="s">
        <v>63</v>
      </c>
      <c r="E8109" s="76" t="s">
        <v>64</v>
      </c>
      <c r="F8109" s="76" t="s">
        <v>65</v>
      </c>
      <c r="G8109" s="76" t="s">
        <v>2889</v>
      </c>
      <c r="H8109" s="76"/>
      <c r="I8109" s="77" t="s">
        <v>66</v>
      </c>
      <c r="J8109" s="75" t="s">
        <v>67</v>
      </c>
      <c r="K8109" s="75" t="s">
        <v>2890</v>
      </c>
      <c r="L8109" s="75" t="s">
        <v>68</v>
      </c>
      <c r="M8109" s="75" t="s">
        <v>70</v>
      </c>
    </row>
    <row r="8110" ht="63.75" spans="3:13">
      <c r="C8110" s="569" t="s">
        <v>2891</v>
      </c>
      <c r="D8110" s="570" t="s">
        <v>2816</v>
      </c>
      <c r="E8110" s="569" t="s">
        <v>132</v>
      </c>
      <c r="F8110" s="569" t="s">
        <v>2817</v>
      </c>
      <c r="G8110" s="569">
        <v>97.02</v>
      </c>
      <c r="H8110" s="569"/>
      <c r="I8110" s="577" t="s">
        <v>134</v>
      </c>
      <c r="J8110" s="578">
        <v>1</v>
      </c>
      <c r="K8110" s="579"/>
      <c r="L8110" s="579">
        <v>11.98</v>
      </c>
      <c r="M8110" s="579">
        <v>11.98</v>
      </c>
    </row>
    <row r="8111" ht="23.85" customHeight="1" spans="3:13">
      <c r="C8111" s="79" t="s">
        <v>2921</v>
      </c>
      <c r="D8111" s="78" t="s">
        <v>3017</v>
      </c>
      <c r="E8111" s="79" t="s">
        <v>139</v>
      </c>
      <c r="F8111" s="79" t="s">
        <v>3018</v>
      </c>
      <c r="G8111" s="79" t="s">
        <v>2928</v>
      </c>
      <c r="H8111" s="79"/>
      <c r="I8111" s="80" t="s">
        <v>2897</v>
      </c>
      <c r="J8111" s="583">
        <v>0.06</v>
      </c>
      <c r="K8111" s="583">
        <v>0</v>
      </c>
      <c r="L8111" s="92">
        <v>36.96</v>
      </c>
      <c r="M8111" s="92">
        <v>2.21</v>
      </c>
    </row>
    <row r="8112" ht="23.85" customHeight="1" spans="3:13">
      <c r="C8112" s="79" t="s">
        <v>2921</v>
      </c>
      <c r="D8112" s="78" t="s">
        <v>2952</v>
      </c>
      <c r="E8112" s="79" t="s">
        <v>139</v>
      </c>
      <c r="F8112" s="79" t="s">
        <v>2953</v>
      </c>
      <c r="G8112" s="79" t="s">
        <v>2928</v>
      </c>
      <c r="H8112" s="79"/>
      <c r="I8112" s="80" t="s">
        <v>2897</v>
      </c>
      <c r="J8112" s="583">
        <v>0.06</v>
      </c>
      <c r="K8112" s="583">
        <v>0</v>
      </c>
      <c r="L8112" s="92">
        <v>29.15</v>
      </c>
      <c r="M8112" s="92">
        <v>1.74</v>
      </c>
    </row>
    <row r="8113" ht="15" customHeight="1" spans="3:13">
      <c r="C8113" s="100" t="s">
        <v>2893</v>
      </c>
      <c r="D8113" s="99" t="s">
        <v>5243</v>
      </c>
      <c r="E8113" s="100" t="s">
        <v>132</v>
      </c>
      <c r="F8113" s="100" t="s">
        <v>5244</v>
      </c>
      <c r="G8113" s="100" t="s">
        <v>2961</v>
      </c>
      <c r="H8113" s="100"/>
      <c r="I8113" s="101" t="s">
        <v>141</v>
      </c>
      <c r="J8113" s="580">
        <v>0.06</v>
      </c>
      <c r="K8113" s="580">
        <v>0</v>
      </c>
      <c r="L8113" s="102">
        <v>99.17</v>
      </c>
      <c r="M8113" s="102">
        <v>5.95</v>
      </c>
    </row>
    <row r="8114" ht="15" customHeight="1" spans="3:13">
      <c r="C8114" s="100" t="s">
        <v>2893</v>
      </c>
      <c r="D8114" s="99" t="s">
        <v>5253</v>
      </c>
      <c r="E8114" s="100" t="s">
        <v>132</v>
      </c>
      <c r="F8114" s="100" t="s">
        <v>5254</v>
      </c>
      <c r="G8114" s="100" t="s">
        <v>2961</v>
      </c>
      <c r="H8114" s="100"/>
      <c r="I8114" s="101" t="s">
        <v>134</v>
      </c>
      <c r="J8114" s="580">
        <v>0.01</v>
      </c>
      <c r="K8114" s="580">
        <v>0</v>
      </c>
      <c r="L8114" s="102">
        <v>156.15</v>
      </c>
      <c r="M8114" s="102">
        <v>1.56</v>
      </c>
    </row>
    <row r="8115" ht="23.85" customHeight="1" spans="3:13">
      <c r="C8115" s="100" t="s">
        <v>2893</v>
      </c>
      <c r="D8115" s="99" t="s">
        <v>4038</v>
      </c>
      <c r="E8115" s="100" t="s">
        <v>139</v>
      </c>
      <c r="F8115" s="100" t="s">
        <v>4039</v>
      </c>
      <c r="G8115" s="100" t="s">
        <v>2961</v>
      </c>
      <c r="H8115" s="100"/>
      <c r="I8115" s="101" t="s">
        <v>134</v>
      </c>
      <c r="J8115" s="580">
        <v>2</v>
      </c>
      <c r="K8115" s="580">
        <v>0</v>
      </c>
      <c r="L8115" s="102">
        <v>0.26</v>
      </c>
      <c r="M8115" s="102">
        <v>0.52</v>
      </c>
    </row>
    <row r="8116" ht="25.5" spans="3:13">
      <c r="C8116" s="108"/>
      <c r="D8116" s="108"/>
      <c r="E8116" s="108"/>
      <c r="F8116" s="108"/>
      <c r="G8116" s="108"/>
      <c r="H8116" s="108" t="s">
        <v>2898</v>
      </c>
      <c r="I8116" s="581">
        <v>2.76</v>
      </c>
      <c r="J8116" s="108" t="s">
        <v>2899</v>
      </c>
      <c r="K8116" s="581">
        <v>0</v>
      </c>
      <c r="L8116" s="108" t="s">
        <v>2900</v>
      </c>
      <c r="M8116" s="581">
        <v>2.76</v>
      </c>
    </row>
    <row r="8117" ht="26.25" spans="3:13">
      <c r="C8117" s="108"/>
      <c r="D8117" s="108"/>
      <c r="E8117" s="108"/>
      <c r="F8117" s="108"/>
      <c r="G8117" s="108"/>
      <c r="H8117" s="108" t="s">
        <v>2901</v>
      </c>
      <c r="I8117" s="581">
        <v>3.05</v>
      </c>
      <c r="J8117" s="114"/>
      <c r="K8117" s="114" t="s">
        <v>2902</v>
      </c>
      <c r="L8117" s="108"/>
      <c r="M8117" s="581">
        <v>15.03</v>
      </c>
    </row>
    <row r="8118" ht="15" spans="3:13">
      <c r="C8118" s="571"/>
      <c r="D8118" s="571"/>
      <c r="E8118" s="571"/>
      <c r="F8118" s="571"/>
      <c r="G8118" s="571"/>
      <c r="H8118" s="571"/>
      <c r="I8118" s="571"/>
      <c r="J8118" s="571"/>
      <c r="K8118" s="571"/>
      <c r="L8118" s="571"/>
      <c r="M8118" s="571"/>
    </row>
    <row r="8119" ht="15" customHeight="1" spans="3:13">
      <c r="C8119" s="76" t="s">
        <v>2818</v>
      </c>
      <c r="D8119" s="75" t="s">
        <v>63</v>
      </c>
      <c r="E8119" s="76" t="s">
        <v>64</v>
      </c>
      <c r="F8119" s="76" t="s">
        <v>65</v>
      </c>
      <c r="G8119" s="76" t="s">
        <v>2889</v>
      </c>
      <c r="H8119" s="76"/>
      <c r="I8119" s="77" t="s">
        <v>66</v>
      </c>
      <c r="J8119" s="75" t="s">
        <v>67</v>
      </c>
      <c r="K8119" s="75" t="s">
        <v>2890</v>
      </c>
      <c r="L8119" s="75" t="s">
        <v>68</v>
      </c>
      <c r="M8119" s="75" t="s">
        <v>70</v>
      </c>
    </row>
    <row r="8120" ht="51" spans="3:13">
      <c r="C8120" s="569" t="s">
        <v>2891</v>
      </c>
      <c r="D8120" s="570" t="s">
        <v>2819</v>
      </c>
      <c r="E8120" s="569" t="s">
        <v>132</v>
      </c>
      <c r="F8120" s="569" t="s">
        <v>2820</v>
      </c>
      <c r="G8120" s="569">
        <v>97.02</v>
      </c>
      <c r="H8120" s="569"/>
      <c r="I8120" s="577" t="s">
        <v>134</v>
      </c>
      <c r="J8120" s="578">
        <v>1</v>
      </c>
      <c r="K8120" s="579"/>
      <c r="L8120" s="579">
        <v>15.75</v>
      </c>
      <c r="M8120" s="579">
        <v>15.75</v>
      </c>
    </row>
    <row r="8121" ht="23.85" customHeight="1" spans="3:13">
      <c r="C8121" s="79" t="s">
        <v>2921</v>
      </c>
      <c r="D8121" s="78" t="s">
        <v>3017</v>
      </c>
      <c r="E8121" s="79" t="s">
        <v>139</v>
      </c>
      <c r="F8121" s="79" t="s">
        <v>3018</v>
      </c>
      <c r="G8121" s="79" t="s">
        <v>2928</v>
      </c>
      <c r="H8121" s="79"/>
      <c r="I8121" s="80" t="s">
        <v>2897</v>
      </c>
      <c r="J8121" s="583">
        <v>0.08</v>
      </c>
      <c r="K8121" s="583">
        <v>0</v>
      </c>
      <c r="L8121" s="92">
        <v>36.96</v>
      </c>
      <c r="M8121" s="92">
        <v>2.95</v>
      </c>
    </row>
    <row r="8122" ht="23.85" customHeight="1" spans="3:13">
      <c r="C8122" s="79" t="s">
        <v>2921</v>
      </c>
      <c r="D8122" s="78" t="s">
        <v>2952</v>
      </c>
      <c r="E8122" s="79" t="s">
        <v>139</v>
      </c>
      <c r="F8122" s="79" t="s">
        <v>2953</v>
      </c>
      <c r="G8122" s="79" t="s">
        <v>2928</v>
      </c>
      <c r="H8122" s="79"/>
      <c r="I8122" s="80" t="s">
        <v>2897</v>
      </c>
      <c r="J8122" s="583">
        <v>0.08</v>
      </c>
      <c r="K8122" s="583">
        <v>0</v>
      </c>
      <c r="L8122" s="92">
        <v>29.15</v>
      </c>
      <c r="M8122" s="92">
        <v>2.33</v>
      </c>
    </row>
    <row r="8123" ht="15" customHeight="1" spans="3:13">
      <c r="C8123" s="100" t="s">
        <v>2893</v>
      </c>
      <c r="D8123" s="99" t="s">
        <v>5243</v>
      </c>
      <c r="E8123" s="100" t="s">
        <v>132</v>
      </c>
      <c r="F8123" s="100" t="s">
        <v>5244</v>
      </c>
      <c r="G8123" s="100" t="s">
        <v>2961</v>
      </c>
      <c r="H8123" s="100"/>
      <c r="I8123" s="101" t="s">
        <v>141</v>
      </c>
      <c r="J8123" s="580">
        <v>0.08</v>
      </c>
      <c r="K8123" s="580">
        <v>0</v>
      </c>
      <c r="L8123" s="102">
        <v>99.17</v>
      </c>
      <c r="M8123" s="102">
        <v>7.93</v>
      </c>
    </row>
    <row r="8124" ht="15" customHeight="1" spans="3:13">
      <c r="C8124" s="100" t="s">
        <v>2893</v>
      </c>
      <c r="D8124" s="99" t="s">
        <v>5253</v>
      </c>
      <c r="E8124" s="100" t="s">
        <v>132</v>
      </c>
      <c r="F8124" s="100" t="s">
        <v>5254</v>
      </c>
      <c r="G8124" s="100" t="s">
        <v>2961</v>
      </c>
      <c r="H8124" s="100"/>
      <c r="I8124" s="101" t="s">
        <v>134</v>
      </c>
      <c r="J8124" s="580">
        <v>0.013</v>
      </c>
      <c r="K8124" s="580">
        <v>0</v>
      </c>
      <c r="L8124" s="102">
        <v>156.15</v>
      </c>
      <c r="M8124" s="102">
        <v>2.02</v>
      </c>
    </row>
    <row r="8125" ht="23.85" customHeight="1" spans="3:13">
      <c r="C8125" s="100" t="s">
        <v>2893</v>
      </c>
      <c r="D8125" s="99" t="s">
        <v>4038</v>
      </c>
      <c r="E8125" s="100" t="s">
        <v>139</v>
      </c>
      <c r="F8125" s="100" t="s">
        <v>4039</v>
      </c>
      <c r="G8125" s="100" t="s">
        <v>2961</v>
      </c>
      <c r="H8125" s="100"/>
      <c r="I8125" s="101" t="s">
        <v>134</v>
      </c>
      <c r="J8125" s="580">
        <v>2</v>
      </c>
      <c r="K8125" s="580">
        <v>0</v>
      </c>
      <c r="L8125" s="102">
        <v>0.26</v>
      </c>
      <c r="M8125" s="102">
        <v>0.52</v>
      </c>
    </row>
    <row r="8126" ht="25.5" spans="3:13">
      <c r="C8126" s="108"/>
      <c r="D8126" s="108"/>
      <c r="E8126" s="108"/>
      <c r="F8126" s="108"/>
      <c r="G8126" s="108"/>
      <c r="H8126" s="108" t="s">
        <v>2898</v>
      </c>
      <c r="I8126" s="581">
        <v>3.68</v>
      </c>
      <c r="J8126" s="108" t="s">
        <v>2899</v>
      </c>
      <c r="K8126" s="581">
        <v>0</v>
      </c>
      <c r="L8126" s="108" t="s">
        <v>2900</v>
      </c>
      <c r="M8126" s="581">
        <v>3.68</v>
      </c>
    </row>
    <row r="8127" ht="26.25" spans="3:13">
      <c r="C8127" s="108"/>
      <c r="D8127" s="108"/>
      <c r="E8127" s="108"/>
      <c r="F8127" s="108"/>
      <c r="G8127" s="108"/>
      <c r="H8127" s="108" t="s">
        <v>2901</v>
      </c>
      <c r="I8127" s="581">
        <v>4.01</v>
      </c>
      <c r="J8127" s="114"/>
      <c r="K8127" s="114" t="s">
        <v>2902</v>
      </c>
      <c r="L8127" s="108"/>
      <c r="M8127" s="581">
        <v>19.76</v>
      </c>
    </row>
    <row r="8128" ht="15" spans="3:13">
      <c r="C8128" s="571"/>
      <c r="D8128" s="571"/>
      <c r="E8128" s="571"/>
      <c r="F8128" s="571"/>
      <c r="G8128" s="571"/>
      <c r="H8128" s="571"/>
      <c r="I8128" s="571"/>
      <c r="J8128" s="571"/>
      <c r="K8128" s="571"/>
      <c r="L8128" s="571"/>
      <c r="M8128" s="571"/>
    </row>
    <row r="8129" ht="15" customHeight="1" spans="3:13">
      <c r="C8129" s="76" t="s">
        <v>2821</v>
      </c>
      <c r="D8129" s="75" t="s">
        <v>63</v>
      </c>
      <c r="E8129" s="76" t="s">
        <v>64</v>
      </c>
      <c r="F8129" s="76" t="s">
        <v>65</v>
      </c>
      <c r="G8129" s="76" t="s">
        <v>2889</v>
      </c>
      <c r="H8129" s="76"/>
      <c r="I8129" s="77" t="s">
        <v>66</v>
      </c>
      <c r="J8129" s="75" t="s">
        <v>67</v>
      </c>
      <c r="K8129" s="75" t="s">
        <v>2890</v>
      </c>
      <c r="L8129" s="75" t="s">
        <v>68</v>
      </c>
      <c r="M8129" s="75" t="s">
        <v>70</v>
      </c>
    </row>
    <row r="8130" ht="76.5" spans="3:13">
      <c r="C8130" s="569" t="s">
        <v>2891</v>
      </c>
      <c r="D8130" s="570" t="s">
        <v>2822</v>
      </c>
      <c r="E8130" s="569" t="s">
        <v>132</v>
      </c>
      <c r="F8130" s="569" t="s">
        <v>2823</v>
      </c>
      <c r="G8130" s="569">
        <v>97.02</v>
      </c>
      <c r="H8130" s="569"/>
      <c r="I8130" s="577" t="s">
        <v>134</v>
      </c>
      <c r="J8130" s="578">
        <v>1</v>
      </c>
      <c r="K8130" s="579"/>
      <c r="L8130" s="579">
        <v>14.41</v>
      </c>
      <c r="M8130" s="579">
        <v>14.41</v>
      </c>
    </row>
    <row r="8131" ht="23.85" customHeight="1" spans="3:13">
      <c r="C8131" s="79" t="s">
        <v>2921</v>
      </c>
      <c r="D8131" s="78" t="s">
        <v>2952</v>
      </c>
      <c r="E8131" s="79" t="s">
        <v>139</v>
      </c>
      <c r="F8131" s="79" t="s">
        <v>2953</v>
      </c>
      <c r="G8131" s="79" t="s">
        <v>2928</v>
      </c>
      <c r="H8131" s="79"/>
      <c r="I8131" s="80" t="s">
        <v>2897</v>
      </c>
      <c r="J8131" s="583">
        <v>0.036</v>
      </c>
      <c r="K8131" s="583">
        <v>0</v>
      </c>
      <c r="L8131" s="92">
        <v>29.15</v>
      </c>
      <c r="M8131" s="92">
        <v>1.04</v>
      </c>
    </row>
    <row r="8132" ht="23.85" customHeight="1" spans="3:13">
      <c r="C8132" s="79" t="s">
        <v>2921</v>
      </c>
      <c r="D8132" s="78" t="s">
        <v>3017</v>
      </c>
      <c r="E8132" s="79" t="s">
        <v>139</v>
      </c>
      <c r="F8132" s="79" t="s">
        <v>3018</v>
      </c>
      <c r="G8132" s="79" t="s">
        <v>2928</v>
      </c>
      <c r="H8132" s="79"/>
      <c r="I8132" s="80" t="s">
        <v>2897</v>
      </c>
      <c r="J8132" s="583">
        <v>0.036</v>
      </c>
      <c r="K8132" s="583">
        <v>0</v>
      </c>
      <c r="L8132" s="92">
        <v>36.96</v>
      </c>
      <c r="M8132" s="92">
        <v>1.33</v>
      </c>
    </row>
    <row r="8133" ht="15" customHeight="1" spans="3:13">
      <c r="C8133" s="100" t="s">
        <v>2893</v>
      </c>
      <c r="D8133" s="99" t="s">
        <v>5243</v>
      </c>
      <c r="E8133" s="100" t="s">
        <v>132</v>
      </c>
      <c r="F8133" s="100" t="s">
        <v>5244</v>
      </c>
      <c r="G8133" s="100" t="s">
        <v>2961</v>
      </c>
      <c r="H8133" s="100"/>
      <c r="I8133" s="101" t="s">
        <v>141</v>
      </c>
      <c r="J8133" s="580">
        <v>0.018</v>
      </c>
      <c r="K8133" s="580">
        <v>0</v>
      </c>
      <c r="L8133" s="102">
        <v>99.17</v>
      </c>
      <c r="M8133" s="102">
        <v>1.78</v>
      </c>
    </row>
    <row r="8134" ht="23.85" customHeight="1" spans="3:13">
      <c r="C8134" s="100" t="s">
        <v>2893</v>
      </c>
      <c r="D8134" s="99" t="s">
        <v>5249</v>
      </c>
      <c r="E8134" s="100" t="s">
        <v>149</v>
      </c>
      <c r="F8134" s="100" t="s">
        <v>5250</v>
      </c>
      <c r="G8134" s="100" t="s">
        <v>2961</v>
      </c>
      <c r="H8134" s="100"/>
      <c r="I8134" s="101" t="s">
        <v>134</v>
      </c>
      <c r="J8134" s="580">
        <v>0.036</v>
      </c>
      <c r="K8134" s="580">
        <v>0</v>
      </c>
      <c r="L8134" s="102">
        <v>259.26</v>
      </c>
      <c r="M8134" s="102">
        <v>9.33</v>
      </c>
    </row>
    <row r="8135" ht="15" customHeight="1" spans="3:13">
      <c r="C8135" s="100" t="s">
        <v>2893</v>
      </c>
      <c r="D8135" s="99" t="s">
        <v>5253</v>
      </c>
      <c r="E8135" s="100" t="s">
        <v>132</v>
      </c>
      <c r="F8135" s="100" t="s">
        <v>5254</v>
      </c>
      <c r="G8135" s="100" t="s">
        <v>2961</v>
      </c>
      <c r="H8135" s="100"/>
      <c r="I8135" s="101" t="s">
        <v>134</v>
      </c>
      <c r="J8135" s="580">
        <v>0.006</v>
      </c>
      <c r="K8135" s="580">
        <v>0</v>
      </c>
      <c r="L8135" s="102">
        <v>156.15</v>
      </c>
      <c r="M8135" s="102">
        <v>0.93</v>
      </c>
    </row>
    <row r="8136" ht="25.5" spans="3:13">
      <c r="C8136" s="108"/>
      <c r="D8136" s="108"/>
      <c r="E8136" s="108"/>
      <c r="F8136" s="108"/>
      <c r="G8136" s="108"/>
      <c r="H8136" s="108" t="s">
        <v>2898</v>
      </c>
      <c r="I8136" s="581">
        <v>1.65</v>
      </c>
      <c r="J8136" s="108" t="s">
        <v>2899</v>
      </c>
      <c r="K8136" s="581">
        <v>0</v>
      </c>
      <c r="L8136" s="108" t="s">
        <v>2900</v>
      </c>
      <c r="M8136" s="581">
        <v>1.65</v>
      </c>
    </row>
    <row r="8137" ht="26.25" spans="3:13">
      <c r="C8137" s="108"/>
      <c r="D8137" s="108"/>
      <c r="E8137" s="108"/>
      <c r="F8137" s="108"/>
      <c r="G8137" s="108"/>
      <c r="H8137" s="108" t="s">
        <v>2901</v>
      </c>
      <c r="I8137" s="581">
        <v>3.67</v>
      </c>
      <c r="J8137" s="114"/>
      <c r="K8137" s="114" t="s">
        <v>2902</v>
      </c>
      <c r="L8137" s="108"/>
      <c r="M8137" s="581">
        <v>18.08</v>
      </c>
    </row>
    <row r="8138" ht="15" spans="3:13">
      <c r="C8138" s="571"/>
      <c r="D8138" s="571"/>
      <c r="E8138" s="571"/>
      <c r="F8138" s="571"/>
      <c r="G8138" s="571"/>
      <c r="H8138" s="571"/>
      <c r="I8138" s="571"/>
      <c r="J8138" s="571"/>
      <c r="K8138" s="571"/>
      <c r="L8138" s="571"/>
      <c r="M8138" s="571"/>
    </row>
    <row r="8139" ht="15" customHeight="1" spans="3:13">
      <c r="C8139" s="76" t="s">
        <v>2824</v>
      </c>
      <c r="D8139" s="75" t="s">
        <v>63</v>
      </c>
      <c r="E8139" s="76" t="s">
        <v>64</v>
      </c>
      <c r="F8139" s="76" t="s">
        <v>65</v>
      </c>
      <c r="G8139" s="76" t="s">
        <v>2889</v>
      </c>
      <c r="H8139" s="76"/>
      <c r="I8139" s="77" t="s">
        <v>66</v>
      </c>
      <c r="J8139" s="75" t="s">
        <v>67</v>
      </c>
      <c r="K8139" s="75" t="s">
        <v>2890</v>
      </c>
      <c r="L8139" s="75" t="s">
        <v>68</v>
      </c>
      <c r="M8139" s="75" t="s">
        <v>70</v>
      </c>
    </row>
    <row r="8140" ht="89.25" spans="3:13">
      <c r="C8140" s="569" t="s">
        <v>2891</v>
      </c>
      <c r="D8140" s="570" t="s">
        <v>2825</v>
      </c>
      <c r="E8140" s="569" t="s">
        <v>132</v>
      </c>
      <c r="F8140" s="569" t="s">
        <v>2826</v>
      </c>
      <c r="G8140" s="569">
        <v>97.02</v>
      </c>
      <c r="H8140" s="569"/>
      <c r="I8140" s="577" t="s">
        <v>134</v>
      </c>
      <c r="J8140" s="578">
        <v>1</v>
      </c>
      <c r="K8140" s="579"/>
      <c r="L8140" s="579">
        <v>12.76</v>
      </c>
      <c r="M8140" s="579">
        <v>12.76</v>
      </c>
    </row>
    <row r="8141" ht="23.85" customHeight="1" spans="3:13">
      <c r="C8141" s="79" t="s">
        <v>2921</v>
      </c>
      <c r="D8141" s="78" t="s">
        <v>3017</v>
      </c>
      <c r="E8141" s="79" t="s">
        <v>139</v>
      </c>
      <c r="F8141" s="79" t="s">
        <v>3018</v>
      </c>
      <c r="G8141" s="79" t="s">
        <v>2928</v>
      </c>
      <c r="H8141" s="79"/>
      <c r="I8141" s="80" t="s">
        <v>2897</v>
      </c>
      <c r="J8141" s="583">
        <v>0.032</v>
      </c>
      <c r="K8141" s="583">
        <v>0</v>
      </c>
      <c r="L8141" s="92">
        <v>36.96</v>
      </c>
      <c r="M8141" s="92">
        <v>1.18</v>
      </c>
    </row>
    <row r="8142" ht="23.85" customHeight="1" spans="3:13">
      <c r="C8142" s="79" t="s">
        <v>2921</v>
      </c>
      <c r="D8142" s="78" t="s">
        <v>2952</v>
      </c>
      <c r="E8142" s="79" t="s">
        <v>139</v>
      </c>
      <c r="F8142" s="79" t="s">
        <v>2953</v>
      </c>
      <c r="G8142" s="79" t="s">
        <v>2928</v>
      </c>
      <c r="H8142" s="79"/>
      <c r="I8142" s="80" t="s">
        <v>2897</v>
      </c>
      <c r="J8142" s="583">
        <v>0.032</v>
      </c>
      <c r="K8142" s="583">
        <v>0</v>
      </c>
      <c r="L8142" s="92">
        <v>29.15</v>
      </c>
      <c r="M8142" s="92">
        <v>0.93</v>
      </c>
    </row>
    <row r="8143" ht="23.85" customHeight="1" spans="3:13">
      <c r="C8143" s="100" t="s">
        <v>2893</v>
      </c>
      <c r="D8143" s="99" t="s">
        <v>5249</v>
      </c>
      <c r="E8143" s="100" t="s">
        <v>149</v>
      </c>
      <c r="F8143" s="100" t="s">
        <v>5250</v>
      </c>
      <c r="G8143" s="100" t="s">
        <v>2961</v>
      </c>
      <c r="H8143" s="100"/>
      <c r="I8143" s="101" t="s">
        <v>134</v>
      </c>
      <c r="J8143" s="580">
        <v>0.032</v>
      </c>
      <c r="K8143" s="580">
        <v>0</v>
      </c>
      <c r="L8143" s="102">
        <v>259.26</v>
      </c>
      <c r="M8143" s="102">
        <v>8.29</v>
      </c>
    </row>
    <row r="8144" ht="15" customHeight="1" spans="3:13">
      <c r="C8144" s="100" t="s">
        <v>2893</v>
      </c>
      <c r="D8144" s="99" t="s">
        <v>5253</v>
      </c>
      <c r="E8144" s="100" t="s">
        <v>132</v>
      </c>
      <c r="F8144" s="100" t="s">
        <v>5254</v>
      </c>
      <c r="G8144" s="100" t="s">
        <v>2961</v>
      </c>
      <c r="H8144" s="100"/>
      <c r="I8144" s="101" t="s">
        <v>134</v>
      </c>
      <c r="J8144" s="580">
        <v>0.005</v>
      </c>
      <c r="K8144" s="580">
        <v>0</v>
      </c>
      <c r="L8144" s="102">
        <v>156.15</v>
      </c>
      <c r="M8144" s="102">
        <v>0.78</v>
      </c>
    </row>
    <row r="8145" ht="15" customHeight="1" spans="3:13">
      <c r="C8145" s="100" t="s">
        <v>2893</v>
      </c>
      <c r="D8145" s="99" t="s">
        <v>5243</v>
      </c>
      <c r="E8145" s="100" t="s">
        <v>132</v>
      </c>
      <c r="F8145" s="100" t="s">
        <v>5244</v>
      </c>
      <c r="G8145" s="100" t="s">
        <v>2961</v>
      </c>
      <c r="H8145" s="100"/>
      <c r="I8145" s="101" t="s">
        <v>141</v>
      </c>
      <c r="J8145" s="580">
        <v>0.016</v>
      </c>
      <c r="K8145" s="580">
        <v>0</v>
      </c>
      <c r="L8145" s="102">
        <v>99.17</v>
      </c>
      <c r="M8145" s="102">
        <v>1.58</v>
      </c>
    </row>
    <row r="8146" ht="25.5" spans="3:13">
      <c r="C8146" s="108"/>
      <c r="D8146" s="108"/>
      <c r="E8146" s="108"/>
      <c r="F8146" s="108"/>
      <c r="G8146" s="108"/>
      <c r="H8146" s="108" t="s">
        <v>2898</v>
      </c>
      <c r="I8146" s="581">
        <v>1.47</v>
      </c>
      <c r="J8146" s="108" t="s">
        <v>2899</v>
      </c>
      <c r="K8146" s="581">
        <v>0</v>
      </c>
      <c r="L8146" s="108" t="s">
        <v>2900</v>
      </c>
      <c r="M8146" s="581">
        <v>1.47</v>
      </c>
    </row>
    <row r="8147" ht="26.25" spans="3:13">
      <c r="C8147" s="108"/>
      <c r="D8147" s="108"/>
      <c r="E8147" s="108"/>
      <c r="F8147" s="108"/>
      <c r="G8147" s="108"/>
      <c r="H8147" s="108" t="s">
        <v>2901</v>
      </c>
      <c r="I8147" s="581">
        <v>3.25</v>
      </c>
      <c r="J8147" s="114"/>
      <c r="K8147" s="114" t="s">
        <v>2902</v>
      </c>
      <c r="L8147" s="108"/>
      <c r="M8147" s="581">
        <v>16.01</v>
      </c>
    </row>
    <row r="8148" ht="15" spans="3:13">
      <c r="C8148" s="571"/>
      <c r="D8148" s="571"/>
      <c r="E8148" s="571"/>
      <c r="F8148" s="571"/>
      <c r="G8148" s="571"/>
      <c r="H8148" s="571"/>
      <c r="I8148" s="571"/>
      <c r="J8148" s="571"/>
      <c r="K8148" s="571"/>
      <c r="L8148" s="571"/>
      <c r="M8148" s="571"/>
    </row>
    <row r="8149" ht="15" customHeight="1" spans="3:13">
      <c r="C8149" s="76" t="s">
        <v>2827</v>
      </c>
      <c r="D8149" s="75" t="s">
        <v>63</v>
      </c>
      <c r="E8149" s="76" t="s">
        <v>64</v>
      </c>
      <c r="F8149" s="76" t="s">
        <v>65</v>
      </c>
      <c r="G8149" s="76" t="s">
        <v>2889</v>
      </c>
      <c r="H8149" s="76"/>
      <c r="I8149" s="77" t="s">
        <v>66</v>
      </c>
      <c r="J8149" s="75" t="s">
        <v>67</v>
      </c>
      <c r="K8149" s="75" t="s">
        <v>2890</v>
      </c>
      <c r="L8149" s="75" t="s">
        <v>68</v>
      </c>
      <c r="M8149" s="75" t="s">
        <v>70</v>
      </c>
    </row>
    <row r="8150" ht="51" spans="3:13">
      <c r="C8150" s="569" t="s">
        <v>2891</v>
      </c>
      <c r="D8150" s="570" t="s">
        <v>2828</v>
      </c>
      <c r="E8150" s="569" t="s">
        <v>132</v>
      </c>
      <c r="F8150" s="569" t="s">
        <v>2829</v>
      </c>
      <c r="G8150" s="569">
        <v>18.05</v>
      </c>
      <c r="H8150" s="569"/>
      <c r="I8150" s="577" t="s">
        <v>134</v>
      </c>
      <c r="J8150" s="578">
        <v>1</v>
      </c>
      <c r="K8150" s="579"/>
      <c r="L8150" s="579">
        <v>13.91</v>
      </c>
      <c r="M8150" s="579">
        <v>13.91</v>
      </c>
    </row>
    <row r="8151" ht="23.85" customHeight="1" spans="3:13">
      <c r="C8151" s="79" t="s">
        <v>2921</v>
      </c>
      <c r="D8151" s="78" t="s">
        <v>2952</v>
      </c>
      <c r="E8151" s="79" t="s">
        <v>139</v>
      </c>
      <c r="F8151" s="79" t="s">
        <v>2953</v>
      </c>
      <c r="G8151" s="79" t="s">
        <v>2928</v>
      </c>
      <c r="H8151" s="79"/>
      <c r="I8151" s="80" t="s">
        <v>2897</v>
      </c>
      <c r="J8151" s="583">
        <v>0.25</v>
      </c>
      <c r="K8151" s="583">
        <v>0</v>
      </c>
      <c r="L8151" s="92">
        <v>29.15</v>
      </c>
      <c r="M8151" s="92">
        <v>7.28</v>
      </c>
    </row>
    <row r="8152" ht="15" customHeight="1" spans="3:13">
      <c r="C8152" s="100" t="s">
        <v>2893</v>
      </c>
      <c r="D8152" s="99" t="s">
        <v>5243</v>
      </c>
      <c r="E8152" s="100" t="s">
        <v>132</v>
      </c>
      <c r="F8152" s="100" t="s">
        <v>5244</v>
      </c>
      <c r="G8152" s="100" t="s">
        <v>2961</v>
      </c>
      <c r="H8152" s="100"/>
      <c r="I8152" s="101" t="s">
        <v>141</v>
      </c>
      <c r="J8152" s="580">
        <v>0.01</v>
      </c>
      <c r="K8152" s="580">
        <v>0</v>
      </c>
      <c r="L8152" s="102">
        <v>99.17</v>
      </c>
      <c r="M8152" s="102">
        <v>0.99</v>
      </c>
    </row>
    <row r="8153" ht="15" customHeight="1" spans="3:13">
      <c r="C8153" s="100" t="s">
        <v>2893</v>
      </c>
      <c r="D8153" s="99" t="s">
        <v>5253</v>
      </c>
      <c r="E8153" s="100" t="s">
        <v>132</v>
      </c>
      <c r="F8153" s="100" t="s">
        <v>5254</v>
      </c>
      <c r="G8153" s="100" t="s">
        <v>2961</v>
      </c>
      <c r="H8153" s="100"/>
      <c r="I8153" s="101" t="s">
        <v>134</v>
      </c>
      <c r="J8153" s="580">
        <v>0.003</v>
      </c>
      <c r="K8153" s="580">
        <v>0</v>
      </c>
      <c r="L8153" s="102">
        <v>156.15</v>
      </c>
      <c r="M8153" s="102">
        <v>0.46</v>
      </c>
    </row>
    <row r="8154" ht="23.85" customHeight="1" spans="3:13">
      <c r="C8154" s="100" t="s">
        <v>2893</v>
      </c>
      <c r="D8154" s="99" t="s">
        <v>5249</v>
      </c>
      <c r="E8154" s="100" t="s">
        <v>149</v>
      </c>
      <c r="F8154" s="100" t="s">
        <v>5250</v>
      </c>
      <c r="G8154" s="100" t="s">
        <v>2961</v>
      </c>
      <c r="H8154" s="100"/>
      <c r="I8154" s="101" t="s">
        <v>134</v>
      </c>
      <c r="J8154" s="580">
        <v>0.02</v>
      </c>
      <c r="K8154" s="580">
        <v>0</v>
      </c>
      <c r="L8154" s="102">
        <v>259.26</v>
      </c>
      <c r="M8154" s="102">
        <v>5.18</v>
      </c>
    </row>
    <row r="8155" ht="25.5" spans="3:13">
      <c r="C8155" s="108"/>
      <c r="D8155" s="108"/>
      <c r="E8155" s="108"/>
      <c r="F8155" s="108"/>
      <c r="G8155" s="108"/>
      <c r="H8155" s="108" t="s">
        <v>2898</v>
      </c>
      <c r="I8155" s="581">
        <v>4.8</v>
      </c>
      <c r="J8155" s="108" t="s">
        <v>2899</v>
      </c>
      <c r="K8155" s="581">
        <v>0</v>
      </c>
      <c r="L8155" s="108" t="s">
        <v>2900</v>
      </c>
      <c r="M8155" s="581">
        <v>4.8</v>
      </c>
    </row>
    <row r="8156" ht="26.25" spans="3:13">
      <c r="C8156" s="108"/>
      <c r="D8156" s="108"/>
      <c r="E8156" s="108"/>
      <c r="F8156" s="108"/>
      <c r="G8156" s="108"/>
      <c r="H8156" s="108" t="s">
        <v>2901</v>
      </c>
      <c r="I8156" s="581">
        <v>3.54</v>
      </c>
      <c r="J8156" s="114"/>
      <c r="K8156" s="114" t="s">
        <v>2902</v>
      </c>
      <c r="L8156" s="108"/>
      <c r="M8156" s="581">
        <v>17.45</v>
      </c>
    </row>
    <row r="8157" ht="15" spans="3:13">
      <c r="C8157" s="571"/>
      <c r="D8157" s="571"/>
      <c r="E8157" s="571"/>
      <c r="F8157" s="571"/>
      <c r="G8157" s="571"/>
      <c r="H8157" s="571"/>
      <c r="I8157" s="571"/>
      <c r="J8157" s="571"/>
      <c r="K8157" s="571"/>
      <c r="L8157" s="571"/>
      <c r="M8157" s="571"/>
    </row>
    <row r="8158" ht="15" customHeight="1" spans="3:13">
      <c r="C8158" s="76" t="s">
        <v>2830</v>
      </c>
      <c r="D8158" s="75" t="s">
        <v>63</v>
      </c>
      <c r="E8158" s="76" t="s">
        <v>64</v>
      </c>
      <c r="F8158" s="76" t="s">
        <v>65</v>
      </c>
      <c r="G8158" s="76" t="s">
        <v>2889</v>
      </c>
      <c r="H8158" s="76"/>
      <c r="I8158" s="77" t="s">
        <v>66</v>
      </c>
      <c r="J8158" s="75" t="s">
        <v>67</v>
      </c>
      <c r="K8158" s="75" t="s">
        <v>2890</v>
      </c>
      <c r="L8158" s="75" t="s">
        <v>68</v>
      </c>
      <c r="M8158" s="75" t="s">
        <v>70</v>
      </c>
    </row>
    <row r="8159" ht="46.25" customHeight="1" spans="3:13">
      <c r="C8159" s="569" t="s">
        <v>2891</v>
      </c>
      <c r="D8159" s="570" t="s">
        <v>2831</v>
      </c>
      <c r="E8159" s="569" t="s">
        <v>132</v>
      </c>
      <c r="F8159" s="569" t="s">
        <v>2832</v>
      </c>
      <c r="G8159" s="569" t="s">
        <v>4113</v>
      </c>
      <c r="H8159" s="569"/>
      <c r="I8159" s="577" t="s">
        <v>334</v>
      </c>
      <c r="J8159" s="578">
        <v>1</v>
      </c>
      <c r="K8159" s="579"/>
      <c r="L8159" s="579">
        <v>76.87</v>
      </c>
      <c r="M8159" s="579">
        <v>76.87</v>
      </c>
    </row>
    <row r="8160" ht="23.85" customHeight="1" spans="3:13">
      <c r="C8160" s="79" t="s">
        <v>2921</v>
      </c>
      <c r="D8160" s="78" t="s">
        <v>2952</v>
      </c>
      <c r="E8160" s="79" t="s">
        <v>139</v>
      </c>
      <c r="F8160" s="79" t="s">
        <v>2953</v>
      </c>
      <c r="G8160" s="79" t="s">
        <v>2928</v>
      </c>
      <c r="H8160" s="79"/>
      <c r="I8160" s="80" t="s">
        <v>2897</v>
      </c>
      <c r="J8160" s="583">
        <v>0.039</v>
      </c>
      <c r="K8160" s="583">
        <v>0</v>
      </c>
      <c r="L8160" s="92">
        <v>29.15</v>
      </c>
      <c r="M8160" s="92">
        <v>1.13</v>
      </c>
    </row>
    <row r="8161" ht="23.85" customHeight="1" spans="3:13">
      <c r="C8161" s="79" t="s">
        <v>2921</v>
      </c>
      <c r="D8161" s="78" t="s">
        <v>3026</v>
      </c>
      <c r="E8161" s="79" t="s">
        <v>139</v>
      </c>
      <c r="F8161" s="79" t="s">
        <v>3027</v>
      </c>
      <c r="G8161" s="79" t="s">
        <v>2928</v>
      </c>
      <c r="H8161" s="79"/>
      <c r="I8161" s="80" t="s">
        <v>2897</v>
      </c>
      <c r="J8161" s="583">
        <v>0.059</v>
      </c>
      <c r="K8161" s="583">
        <v>0</v>
      </c>
      <c r="L8161" s="92">
        <v>39.71</v>
      </c>
      <c r="M8161" s="92">
        <v>2.34</v>
      </c>
    </row>
    <row r="8162" ht="23.85" customHeight="1" spans="3:13">
      <c r="C8162" s="100" t="s">
        <v>2893</v>
      </c>
      <c r="D8162" s="99" t="s">
        <v>5249</v>
      </c>
      <c r="E8162" s="100" t="s">
        <v>149</v>
      </c>
      <c r="F8162" s="100" t="s">
        <v>5250</v>
      </c>
      <c r="G8162" s="100" t="s">
        <v>2961</v>
      </c>
      <c r="H8162" s="100"/>
      <c r="I8162" s="101" t="s">
        <v>134</v>
      </c>
      <c r="J8162" s="580">
        <v>0.2</v>
      </c>
      <c r="K8162" s="580">
        <v>0</v>
      </c>
      <c r="L8162" s="102">
        <v>259.26</v>
      </c>
      <c r="M8162" s="102">
        <v>51.85</v>
      </c>
    </row>
    <row r="8163" ht="15" customHeight="1" spans="3:13">
      <c r="C8163" s="100" t="s">
        <v>2893</v>
      </c>
      <c r="D8163" s="99" t="s">
        <v>5255</v>
      </c>
      <c r="E8163" s="100" t="s">
        <v>139</v>
      </c>
      <c r="F8163" s="100" t="s">
        <v>5256</v>
      </c>
      <c r="G8163" s="100" t="s">
        <v>2961</v>
      </c>
      <c r="H8163" s="100"/>
      <c r="I8163" s="101" t="s">
        <v>141</v>
      </c>
      <c r="J8163" s="580">
        <v>0.039</v>
      </c>
      <c r="K8163" s="580">
        <v>0</v>
      </c>
      <c r="L8163" s="102">
        <v>44.28</v>
      </c>
      <c r="M8163" s="102">
        <v>1.72</v>
      </c>
    </row>
    <row r="8164" ht="15" customHeight="1" spans="3:13">
      <c r="C8164" s="100" t="s">
        <v>2893</v>
      </c>
      <c r="D8164" s="99" t="s">
        <v>5243</v>
      </c>
      <c r="E8164" s="100" t="s">
        <v>132</v>
      </c>
      <c r="F8164" s="100" t="s">
        <v>5244</v>
      </c>
      <c r="G8164" s="100" t="s">
        <v>2961</v>
      </c>
      <c r="H8164" s="100"/>
      <c r="I8164" s="101" t="s">
        <v>141</v>
      </c>
      <c r="J8164" s="580">
        <v>0.2</v>
      </c>
      <c r="K8164" s="580">
        <v>0</v>
      </c>
      <c r="L8164" s="102">
        <v>99.17</v>
      </c>
      <c r="M8164" s="102">
        <v>19.83</v>
      </c>
    </row>
    <row r="8165" ht="25.5" spans="3:13">
      <c r="C8165" s="108"/>
      <c r="D8165" s="108"/>
      <c r="E8165" s="108"/>
      <c r="F8165" s="108"/>
      <c r="G8165" s="108"/>
      <c r="H8165" s="108" t="s">
        <v>2898</v>
      </c>
      <c r="I8165" s="581">
        <v>2.5</v>
      </c>
      <c r="J8165" s="108" t="s">
        <v>2899</v>
      </c>
      <c r="K8165" s="581">
        <v>0</v>
      </c>
      <c r="L8165" s="108" t="s">
        <v>2900</v>
      </c>
      <c r="M8165" s="581">
        <v>2.5</v>
      </c>
    </row>
    <row r="8166" ht="26.25" spans="3:13">
      <c r="C8166" s="108"/>
      <c r="D8166" s="108"/>
      <c r="E8166" s="108"/>
      <c r="F8166" s="108"/>
      <c r="G8166" s="108"/>
      <c r="H8166" s="108" t="s">
        <v>2901</v>
      </c>
      <c r="I8166" s="581">
        <v>19.59</v>
      </c>
      <c r="J8166" s="114"/>
      <c r="K8166" s="114" t="s">
        <v>2902</v>
      </c>
      <c r="L8166" s="108"/>
      <c r="M8166" s="581">
        <v>96.46</v>
      </c>
    </row>
    <row r="8167" ht="15" spans="3:13">
      <c r="C8167" s="571"/>
      <c r="D8167" s="571"/>
      <c r="E8167" s="571"/>
      <c r="F8167" s="571"/>
      <c r="G8167" s="571"/>
      <c r="H8167" s="571"/>
      <c r="I8167" s="571"/>
      <c r="J8167" s="571"/>
      <c r="K8167" s="571"/>
      <c r="L8167" s="571"/>
      <c r="M8167" s="571"/>
    </row>
    <row r="8168" ht="15" customHeight="1" spans="3:13">
      <c r="C8168" s="76" t="s">
        <v>2833</v>
      </c>
      <c r="D8168" s="75" t="s">
        <v>63</v>
      </c>
      <c r="E8168" s="76" t="s">
        <v>64</v>
      </c>
      <c r="F8168" s="76" t="s">
        <v>65</v>
      </c>
      <c r="G8168" s="76" t="s">
        <v>2889</v>
      </c>
      <c r="H8168" s="76"/>
      <c r="I8168" s="77" t="s">
        <v>66</v>
      </c>
      <c r="J8168" s="75" t="s">
        <v>67</v>
      </c>
      <c r="K8168" s="75" t="s">
        <v>2890</v>
      </c>
      <c r="L8168" s="75" t="s">
        <v>68</v>
      </c>
      <c r="M8168" s="75" t="s">
        <v>70</v>
      </c>
    </row>
    <row r="8169" ht="89.25" spans="3:13">
      <c r="C8169" s="569" t="s">
        <v>2891</v>
      </c>
      <c r="D8169" s="570" t="s">
        <v>2834</v>
      </c>
      <c r="E8169" s="569" t="s">
        <v>132</v>
      </c>
      <c r="F8169" s="569" t="s">
        <v>2835</v>
      </c>
      <c r="G8169" s="569">
        <v>97.02</v>
      </c>
      <c r="H8169" s="569"/>
      <c r="I8169" s="577" t="s">
        <v>134</v>
      </c>
      <c r="J8169" s="578">
        <v>1</v>
      </c>
      <c r="K8169" s="579"/>
      <c r="L8169" s="579">
        <v>149.13</v>
      </c>
      <c r="M8169" s="579">
        <v>149.13</v>
      </c>
    </row>
    <row r="8170" ht="23.85" customHeight="1" spans="3:13">
      <c r="C8170" s="79" t="s">
        <v>2921</v>
      </c>
      <c r="D8170" s="78" t="s">
        <v>2952</v>
      </c>
      <c r="E8170" s="79" t="s">
        <v>139</v>
      </c>
      <c r="F8170" s="79" t="s">
        <v>2953</v>
      </c>
      <c r="G8170" s="79" t="s">
        <v>2928</v>
      </c>
      <c r="H8170" s="79"/>
      <c r="I8170" s="80" t="s">
        <v>2897</v>
      </c>
      <c r="J8170" s="583">
        <v>0.5</v>
      </c>
      <c r="K8170" s="583">
        <v>0</v>
      </c>
      <c r="L8170" s="92">
        <v>29.15</v>
      </c>
      <c r="M8170" s="92">
        <v>14.57</v>
      </c>
    </row>
    <row r="8171" ht="23.85" customHeight="1" spans="3:13">
      <c r="C8171" s="79" t="s">
        <v>2921</v>
      </c>
      <c r="D8171" s="78" t="s">
        <v>3017</v>
      </c>
      <c r="E8171" s="79" t="s">
        <v>139</v>
      </c>
      <c r="F8171" s="79" t="s">
        <v>3018</v>
      </c>
      <c r="G8171" s="79" t="s">
        <v>2928</v>
      </c>
      <c r="H8171" s="79"/>
      <c r="I8171" s="80" t="s">
        <v>2897</v>
      </c>
      <c r="J8171" s="583">
        <v>0.5</v>
      </c>
      <c r="K8171" s="583">
        <v>0</v>
      </c>
      <c r="L8171" s="92">
        <v>36.96</v>
      </c>
      <c r="M8171" s="92">
        <v>18.48</v>
      </c>
    </row>
    <row r="8172" ht="15" customHeight="1" spans="3:13">
      <c r="C8172" s="100" t="s">
        <v>2893</v>
      </c>
      <c r="D8172" s="99" t="s">
        <v>5257</v>
      </c>
      <c r="E8172" s="100" t="s">
        <v>132</v>
      </c>
      <c r="F8172" s="100" t="s">
        <v>5258</v>
      </c>
      <c r="G8172" s="100" t="s">
        <v>2961</v>
      </c>
      <c r="H8172" s="100"/>
      <c r="I8172" s="101" t="s">
        <v>134</v>
      </c>
      <c r="J8172" s="580">
        <v>0.084</v>
      </c>
      <c r="K8172" s="580">
        <v>0</v>
      </c>
      <c r="L8172" s="102">
        <v>108</v>
      </c>
      <c r="M8172" s="102">
        <v>9.07</v>
      </c>
    </row>
    <row r="8173" ht="15" customHeight="1" spans="3:13">
      <c r="C8173" s="100" t="s">
        <v>2893</v>
      </c>
      <c r="D8173" s="99" t="s">
        <v>5259</v>
      </c>
      <c r="E8173" s="100" t="s">
        <v>132</v>
      </c>
      <c r="F8173" s="100" t="s">
        <v>5260</v>
      </c>
      <c r="G8173" s="100" t="s">
        <v>2961</v>
      </c>
      <c r="H8173" s="100"/>
      <c r="I8173" s="101" t="s">
        <v>134</v>
      </c>
      <c r="J8173" s="580">
        <v>1</v>
      </c>
      <c r="K8173" s="580">
        <v>0</v>
      </c>
      <c r="L8173" s="102">
        <v>5.89</v>
      </c>
      <c r="M8173" s="102">
        <v>5.89</v>
      </c>
    </row>
    <row r="8174" ht="15" customHeight="1" spans="3:13">
      <c r="C8174" s="100" t="s">
        <v>2893</v>
      </c>
      <c r="D8174" s="99" t="s">
        <v>5243</v>
      </c>
      <c r="E8174" s="100" t="s">
        <v>132</v>
      </c>
      <c r="F8174" s="100" t="s">
        <v>5244</v>
      </c>
      <c r="G8174" s="100" t="s">
        <v>2961</v>
      </c>
      <c r="H8174" s="100"/>
      <c r="I8174" s="101" t="s">
        <v>141</v>
      </c>
      <c r="J8174" s="580">
        <v>0.5</v>
      </c>
      <c r="K8174" s="580">
        <v>0</v>
      </c>
      <c r="L8174" s="102">
        <v>99.17</v>
      </c>
      <c r="M8174" s="102">
        <v>49.58</v>
      </c>
    </row>
    <row r="8175" ht="23.85" customHeight="1" spans="3:13">
      <c r="C8175" s="100" t="s">
        <v>2893</v>
      </c>
      <c r="D8175" s="99" t="s">
        <v>5038</v>
      </c>
      <c r="E8175" s="100" t="s">
        <v>139</v>
      </c>
      <c r="F8175" s="100" t="s">
        <v>5039</v>
      </c>
      <c r="G8175" s="100" t="s">
        <v>2961</v>
      </c>
      <c r="H8175" s="100"/>
      <c r="I8175" s="101" t="s">
        <v>204</v>
      </c>
      <c r="J8175" s="580">
        <v>1</v>
      </c>
      <c r="K8175" s="580">
        <v>0</v>
      </c>
      <c r="L8175" s="102">
        <v>51.54</v>
      </c>
      <c r="M8175" s="102">
        <v>51.54</v>
      </c>
    </row>
    <row r="8176" ht="25.5" spans="3:13">
      <c r="C8176" s="108"/>
      <c r="D8176" s="108"/>
      <c r="E8176" s="108"/>
      <c r="F8176" s="108"/>
      <c r="G8176" s="108"/>
      <c r="H8176" s="108" t="s">
        <v>2898</v>
      </c>
      <c r="I8176" s="581">
        <v>23.08</v>
      </c>
      <c r="J8176" s="108" t="s">
        <v>2899</v>
      </c>
      <c r="K8176" s="581">
        <v>0</v>
      </c>
      <c r="L8176" s="108" t="s">
        <v>2900</v>
      </c>
      <c r="M8176" s="581">
        <v>23.08</v>
      </c>
    </row>
    <row r="8177" ht="26.25" spans="3:13">
      <c r="C8177" s="108"/>
      <c r="D8177" s="108"/>
      <c r="E8177" s="108"/>
      <c r="F8177" s="108"/>
      <c r="G8177" s="108"/>
      <c r="H8177" s="108" t="s">
        <v>2901</v>
      </c>
      <c r="I8177" s="581">
        <v>38.01</v>
      </c>
      <c r="J8177" s="114"/>
      <c r="K8177" s="114" t="s">
        <v>2902</v>
      </c>
      <c r="L8177" s="108"/>
      <c r="M8177" s="581">
        <v>187.14</v>
      </c>
    </row>
    <row r="8178" ht="15" spans="3:13">
      <c r="C8178" s="571"/>
      <c r="D8178" s="571"/>
      <c r="E8178" s="571"/>
      <c r="F8178" s="571"/>
      <c r="G8178" s="571"/>
      <c r="H8178" s="571"/>
      <c r="I8178" s="571"/>
      <c r="J8178" s="571"/>
      <c r="K8178" s="571"/>
      <c r="L8178" s="571"/>
      <c r="M8178" s="571"/>
    </row>
    <row r="8179" ht="15" customHeight="1" spans="3:13">
      <c r="C8179" s="76" t="s">
        <v>2836</v>
      </c>
      <c r="D8179" s="75" t="s">
        <v>63</v>
      </c>
      <c r="E8179" s="76" t="s">
        <v>64</v>
      </c>
      <c r="F8179" s="76" t="s">
        <v>65</v>
      </c>
      <c r="G8179" s="76" t="s">
        <v>2889</v>
      </c>
      <c r="H8179" s="76"/>
      <c r="I8179" s="77" t="s">
        <v>66</v>
      </c>
      <c r="J8179" s="75" t="s">
        <v>67</v>
      </c>
      <c r="K8179" s="75" t="s">
        <v>2890</v>
      </c>
      <c r="L8179" s="75" t="s">
        <v>68</v>
      </c>
      <c r="M8179" s="75" t="s">
        <v>70</v>
      </c>
    </row>
    <row r="8180" ht="57.45" customHeight="1" spans="3:13">
      <c r="C8180" s="569" t="s">
        <v>2891</v>
      </c>
      <c r="D8180" s="570" t="s">
        <v>2837</v>
      </c>
      <c r="E8180" s="569" t="s">
        <v>132</v>
      </c>
      <c r="F8180" s="569" t="s">
        <v>2838</v>
      </c>
      <c r="G8180" s="569" t="s">
        <v>2924</v>
      </c>
      <c r="H8180" s="569"/>
      <c r="I8180" s="577" t="s">
        <v>134</v>
      </c>
      <c r="J8180" s="578">
        <v>1</v>
      </c>
      <c r="K8180" s="579"/>
      <c r="L8180" s="579">
        <v>70.59</v>
      </c>
      <c r="M8180" s="579">
        <v>70.59</v>
      </c>
    </row>
    <row r="8181" ht="23.85" customHeight="1" spans="3:13">
      <c r="C8181" s="79" t="s">
        <v>2921</v>
      </c>
      <c r="D8181" s="78" t="s">
        <v>2952</v>
      </c>
      <c r="E8181" s="79" t="s">
        <v>139</v>
      </c>
      <c r="F8181" s="79" t="s">
        <v>2953</v>
      </c>
      <c r="G8181" s="79" t="s">
        <v>2928</v>
      </c>
      <c r="H8181" s="79"/>
      <c r="I8181" s="80" t="s">
        <v>2897</v>
      </c>
      <c r="J8181" s="583">
        <v>0.2</v>
      </c>
      <c r="K8181" s="583">
        <v>0</v>
      </c>
      <c r="L8181" s="92">
        <v>29.15</v>
      </c>
      <c r="M8181" s="92">
        <v>5.83</v>
      </c>
    </row>
    <row r="8182" ht="15" customHeight="1" spans="3:13">
      <c r="C8182" s="100" t="s">
        <v>2893</v>
      </c>
      <c r="D8182" s="99" t="s">
        <v>5243</v>
      </c>
      <c r="E8182" s="100" t="s">
        <v>132</v>
      </c>
      <c r="F8182" s="100" t="s">
        <v>5244</v>
      </c>
      <c r="G8182" s="100" t="s">
        <v>2961</v>
      </c>
      <c r="H8182" s="100"/>
      <c r="I8182" s="101" t="s">
        <v>141</v>
      </c>
      <c r="J8182" s="580">
        <v>0.006</v>
      </c>
      <c r="K8182" s="580">
        <v>0</v>
      </c>
      <c r="L8182" s="102">
        <v>99.17</v>
      </c>
      <c r="M8182" s="102">
        <v>0.59</v>
      </c>
    </row>
    <row r="8183" ht="23.85" customHeight="1" spans="3:13">
      <c r="C8183" s="100" t="s">
        <v>2893</v>
      </c>
      <c r="D8183" s="99" t="s">
        <v>5249</v>
      </c>
      <c r="E8183" s="100" t="s">
        <v>149</v>
      </c>
      <c r="F8183" s="100" t="s">
        <v>5250</v>
      </c>
      <c r="G8183" s="100" t="s">
        <v>2961</v>
      </c>
      <c r="H8183" s="100"/>
      <c r="I8183" s="101" t="s">
        <v>134</v>
      </c>
      <c r="J8183" s="580">
        <v>0.024</v>
      </c>
      <c r="K8183" s="580">
        <v>0</v>
      </c>
      <c r="L8183" s="102">
        <v>259.26</v>
      </c>
      <c r="M8183" s="102">
        <v>6.22</v>
      </c>
    </row>
    <row r="8184" ht="35.05" customHeight="1" spans="3:13">
      <c r="C8184" s="100" t="s">
        <v>2893</v>
      </c>
      <c r="D8184" s="99" t="s">
        <v>5261</v>
      </c>
      <c r="E8184" s="100" t="s">
        <v>139</v>
      </c>
      <c r="F8184" s="100" t="s">
        <v>5262</v>
      </c>
      <c r="G8184" s="100" t="s">
        <v>2961</v>
      </c>
      <c r="H8184" s="100"/>
      <c r="I8184" s="101" t="s">
        <v>134</v>
      </c>
      <c r="J8184" s="580">
        <v>0.9</v>
      </c>
      <c r="K8184" s="580">
        <v>0</v>
      </c>
      <c r="L8184" s="102">
        <v>64.39</v>
      </c>
      <c r="M8184" s="102">
        <v>57.95</v>
      </c>
    </row>
    <row r="8185" ht="25.5" spans="3:13">
      <c r="C8185" s="108"/>
      <c r="D8185" s="108"/>
      <c r="E8185" s="108"/>
      <c r="F8185" s="108"/>
      <c r="G8185" s="108"/>
      <c r="H8185" s="108" t="s">
        <v>2898</v>
      </c>
      <c r="I8185" s="581">
        <v>3.84</v>
      </c>
      <c r="J8185" s="108" t="s">
        <v>2899</v>
      </c>
      <c r="K8185" s="581">
        <v>0</v>
      </c>
      <c r="L8185" s="108" t="s">
        <v>2900</v>
      </c>
      <c r="M8185" s="581">
        <v>3.84</v>
      </c>
    </row>
    <row r="8186" ht="26.25" spans="3:13">
      <c r="C8186" s="108"/>
      <c r="D8186" s="108"/>
      <c r="E8186" s="108"/>
      <c r="F8186" s="108"/>
      <c r="G8186" s="108"/>
      <c r="H8186" s="108" t="s">
        <v>2901</v>
      </c>
      <c r="I8186" s="581">
        <v>17.99</v>
      </c>
      <c r="J8186" s="114"/>
      <c r="K8186" s="114" t="s">
        <v>2902</v>
      </c>
      <c r="L8186" s="108"/>
      <c r="M8186" s="581">
        <v>88.58</v>
      </c>
    </row>
    <row r="8187" ht="15" spans="3:13">
      <c r="C8187" s="571"/>
      <c r="D8187" s="571"/>
      <c r="E8187" s="571"/>
      <c r="F8187" s="571"/>
      <c r="G8187" s="571"/>
      <c r="H8187" s="571"/>
      <c r="I8187" s="571"/>
      <c r="J8187" s="571"/>
      <c r="K8187" s="571"/>
      <c r="L8187" s="571"/>
      <c r="M8187" s="571"/>
    </row>
    <row r="8188" ht="15" customHeight="1" spans="3:13">
      <c r="C8188" s="76" t="s">
        <v>2839</v>
      </c>
      <c r="D8188" s="75" t="s">
        <v>63</v>
      </c>
      <c r="E8188" s="76" t="s">
        <v>64</v>
      </c>
      <c r="F8188" s="76" t="s">
        <v>65</v>
      </c>
      <c r="G8188" s="76" t="s">
        <v>2889</v>
      </c>
      <c r="H8188" s="76"/>
      <c r="I8188" s="77" t="s">
        <v>66</v>
      </c>
      <c r="J8188" s="75" t="s">
        <v>67</v>
      </c>
      <c r="K8188" s="75" t="s">
        <v>2890</v>
      </c>
      <c r="L8188" s="75" t="s">
        <v>68</v>
      </c>
      <c r="M8188" s="75" t="s">
        <v>70</v>
      </c>
    </row>
    <row r="8189" ht="38.25" spans="3:13">
      <c r="C8189" s="569" t="s">
        <v>2891</v>
      </c>
      <c r="D8189" s="570" t="s">
        <v>2840</v>
      </c>
      <c r="E8189" s="569" t="s">
        <v>132</v>
      </c>
      <c r="F8189" s="569" t="s">
        <v>2841</v>
      </c>
      <c r="G8189" s="569">
        <v>200</v>
      </c>
      <c r="H8189" s="569"/>
      <c r="I8189" s="577" t="s">
        <v>134</v>
      </c>
      <c r="J8189" s="578">
        <v>1</v>
      </c>
      <c r="K8189" s="579"/>
      <c r="L8189" s="579">
        <v>115.52</v>
      </c>
      <c r="M8189" s="579">
        <v>115.52</v>
      </c>
    </row>
    <row r="8190" ht="23.85" customHeight="1" spans="3:13">
      <c r="C8190" s="79" t="s">
        <v>2921</v>
      </c>
      <c r="D8190" s="78" t="s">
        <v>2952</v>
      </c>
      <c r="E8190" s="79" t="s">
        <v>139</v>
      </c>
      <c r="F8190" s="79" t="s">
        <v>2953</v>
      </c>
      <c r="G8190" s="79" t="s">
        <v>2928</v>
      </c>
      <c r="H8190" s="79"/>
      <c r="I8190" s="80" t="s">
        <v>2897</v>
      </c>
      <c r="J8190" s="583">
        <v>1.031</v>
      </c>
      <c r="K8190" s="583">
        <v>0</v>
      </c>
      <c r="L8190" s="92">
        <v>29.15</v>
      </c>
      <c r="M8190" s="92">
        <v>30.05</v>
      </c>
    </row>
    <row r="8191" ht="15" customHeight="1" spans="3:13">
      <c r="C8191" s="100" t="s">
        <v>2893</v>
      </c>
      <c r="D8191" s="99" t="s">
        <v>5263</v>
      </c>
      <c r="E8191" s="100" t="s">
        <v>149</v>
      </c>
      <c r="F8191" s="100" t="s">
        <v>5264</v>
      </c>
      <c r="G8191" s="100" t="s">
        <v>2961</v>
      </c>
      <c r="H8191" s="100"/>
      <c r="I8191" s="101" t="s">
        <v>141</v>
      </c>
      <c r="J8191" s="580">
        <v>1.196</v>
      </c>
      <c r="K8191" s="580">
        <v>0</v>
      </c>
      <c r="L8191" s="102">
        <v>15.75</v>
      </c>
      <c r="M8191" s="102">
        <v>18.83</v>
      </c>
    </row>
    <row r="8192" ht="15" customHeight="1" spans="3:13">
      <c r="C8192" s="100" t="s">
        <v>2893</v>
      </c>
      <c r="D8192" s="99" t="s">
        <v>5243</v>
      </c>
      <c r="E8192" s="100" t="s">
        <v>132</v>
      </c>
      <c r="F8192" s="100" t="s">
        <v>5244</v>
      </c>
      <c r="G8192" s="100" t="s">
        <v>2961</v>
      </c>
      <c r="H8192" s="100"/>
      <c r="I8192" s="101" t="s">
        <v>141</v>
      </c>
      <c r="J8192" s="580">
        <v>0.672</v>
      </c>
      <c r="K8192" s="580">
        <v>0</v>
      </c>
      <c r="L8192" s="102">
        <v>99.17</v>
      </c>
      <c r="M8192" s="102">
        <v>66.64</v>
      </c>
    </row>
    <row r="8193" ht="25.5" spans="3:13">
      <c r="C8193" s="108"/>
      <c r="D8193" s="108"/>
      <c r="E8193" s="108"/>
      <c r="F8193" s="108"/>
      <c r="G8193" s="108"/>
      <c r="H8193" s="108" t="s">
        <v>2898</v>
      </c>
      <c r="I8193" s="581">
        <v>19.81</v>
      </c>
      <c r="J8193" s="108" t="s">
        <v>2899</v>
      </c>
      <c r="K8193" s="581">
        <v>0</v>
      </c>
      <c r="L8193" s="108" t="s">
        <v>2900</v>
      </c>
      <c r="M8193" s="581">
        <v>19.81</v>
      </c>
    </row>
    <row r="8194" ht="26.25" spans="3:13">
      <c r="C8194" s="108"/>
      <c r="D8194" s="108"/>
      <c r="E8194" s="108"/>
      <c r="F8194" s="108"/>
      <c r="G8194" s="108"/>
      <c r="H8194" s="108" t="s">
        <v>2901</v>
      </c>
      <c r="I8194" s="581">
        <v>29.44</v>
      </c>
      <c r="J8194" s="114"/>
      <c r="K8194" s="114" t="s">
        <v>2902</v>
      </c>
      <c r="L8194" s="108"/>
      <c r="M8194" s="581">
        <v>144.96</v>
      </c>
    </row>
    <row r="8195" ht="15" spans="3:13">
      <c r="C8195" s="571"/>
      <c r="D8195" s="571"/>
      <c r="E8195" s="571"/>
      <c r="F8195" s="571"/>
      <c r="G8195" s="571"/>
      <c r="H8195" s="571"/>
      <c r="I8195" s="571"/>
      <c r="J8195" s="571"/>
      <c r="K8195" s="571"/>
      <c r="L8195" s="571"/>
      <c r="M8195" s="571"/>
    </row>
    <row r="8196" ht="15" customHeight="1" spans="3:13">
      <c r="C8196" s="76" t="s">
        <v>2842</v>
      </c>
      <c r="D8196" s="75" t="s">
        <v>63</v>
      </c>
      <c r="E8196" s="76" t="s">
        <v>64</v>
      </c>
      <c r="F8196" s="76" t="s">
        <v>65</v>
      </c>
      <c r="G8196" s="76" t="s">
        <v>2889</v>
      </c>
      <c r="H8196" s="76"/>
      <c r="I8196" s="77" t="s">
        <v>66</v>
      </c>
      <c r="J8196" s="75" t="s">
        <v>67</v>
      </c>
      <c r="K8196" s="75" t="s">
        <v>2890</v>
      </c>
      <c r="L8196" s="75" t="s">
        <v>68</v>
      </c>
      <c r="M8196" s="75" t="s">
        <v>70</v>
      </c>
    </row>
    <row r="8197" ht="38.25" spans="3:13">
      <c r="C8197" s="569" t="s">
        <v>2891</v>
      </c>
      <c r="D8197" s="570" t="s">
        <v>2843</v>
      </c>
      <c r="E8197" s="569" t="s">
        <v>132</v>
      </c>
      <c r="F8197" s="569" t="s">
        <v>2844</v>
      </c>
      <c r="G8197" s="569">
        <v>200</v>
      </c>
      <c r="H8197" s="569"/>
      <c r="I8197" s="577" t="s">
        <v>134</v>
      </c>
      <c r="J8197" s="578">
        <v>1</v>
      </c>
      <c r="K8197" s="579"/>
      <c r="L8197" s="579">
        <v>72.78</v>
      </c>
      <c r="M8197" s="579">
        <v>72.78</v>
      </c>
    </row>
    <row r="8198" ht="23.85" customHeight="1" spans="3:13">
      <c r="C8198" s="79" t="s">
        <v>2921</v>
      </c>
      <c r="D8198" s="78" t="s">
        <v>2952</v>
      </c>
      <c r="E8198" s="79" t="s">
        <v>139</v>
      </c>
      <c r="F8198" s="79" t="s">
        <v>2953</v>
      </c>
      <c r="G8198" s="79" t="s">
        <v>2928</v>
      </c>
      <c r="H8198" s="79"/>
      <c r="I8198" s="80" t="s">
        <v>2897</v>
      </c>
      <c r="J8198" s="583">
        <v>1.031</v>
      </c>
      <c r="K8198" s="583">
        <v>0</v>
      </c>
      <c r="L8198" s="92">
        <v>29.15</v>
      </c>
      <c r="M8198" s="92">
        <v>30.05</v>
      </c>
    </row>
    <row r="8199" ht="15" customHeight="1" spans="3:13">
      <c r="C8199" s="100" t="s">
        <v>2893</v>
      </c>
      <c r="D8199" s="99" t="s">
        <v>5243</v>
      </c>
      <c r="E8199" s="100" t="s">
        <v>132</v>
      </c>
      <c r="F8199" s="100" t="s">
        <v>5244</v>
      </c>
      <c r="G8199" s="100" t="s">
        <v>2961</v>
      </c>
      <c r="H8199" s="100"/>
      <c r="I8199" s="101" t="s">
        <v>141</v>
      </c>
      <c r="J8199" s="580">
        <v>0.336</v>
      </c>
      <c r="K8199" s="580">
        <v>0</v>
      </c>
      <c r="L8199" s="102">
        <v>99.17</v>
      </c>
      <c r="M8199" s="102">
        <v>33.32</v>
      </c>
    </row>
    <row r="8200" ht="15" customHeight="1" spans="3:13">
      <c r="C8200" s="100" t="s">
        <v>2893</v>
      </c>
      <c r="D8200" s="99" t="s">
        <v>5263</v>
      </c>
      <c r="E8200" s="100" t="s">
        <v>149</v>
      </c>
      <c r="F8200" s="100" t="s">
        <v>5264</v>
      </c>
      <c r="G8200" s="100" t="s">
        <v>2961</v>
      </c>
      <c r="H8200" s="100"/>
      <c r="I8200" s="101" t="s">
        <v>141</v>
      </c>
      <c r="J8200" s="580">
        <v>0.598</v>
      </c>
      <c r="K8200" s="580">
        <v>0</v>
      </c>
      <c r="L8200" s="102">
        <v>15.75</v>
      </c>
      <c r="M8200" s="102">
        <v>9.41</v>
      </c>
    </row>
    <row r="8201" ht="25.5" spans="3:13">
      <c r="C8201" s="108"/>
      <c r="D8201" s="108"/>
      <c r="E8201" s="108"/>
      <c r="F8201" s="108"/>
      <c r="G8201" s="108"/>
      <c r="H8201" s="108" t="s">
        <v>2898</v>
      </c>
      <c r="I8201" s="581">
        <v>19.81</v>
      </c>
      <c r="J8201" s="108" t="s">
        <v>2899</v>
      </c>
      <c r="K8201" s="581">
        <v>0</v>
      </c>
      <c r="L8201" s="108" t="s">
        <v>2900</v>
      </c>
      <c r="M8201" s="581">
        <v>19.81</v>
      </c>
    </row>
    <row r="8202" ht="26.25" spans="3:13">
      <c r="C8202" s="108"/>
      <c r="D8202" s="108"/>
      <c r="E8202" s="108"/>
      <c r="F8202" s="108"/>
      <c r="G8202" s="108"/>
      <c r="H8202" s="108" t="s">
        <v>2901</v>
      </c>
      <c r="I8202" s="581">
        <v>18.55</v>
      </c>
      <c r="J8202" s="114"/>
      <c r="K8202" s="114" t="s">
        <v>2902</v>
      </c>
      <c r="L8202" s="108"/>
      <c r="M8202" s="581">
        <v>91.33</v>
      </c>
    </row>
    <row r="8203" ht="15" spans="3:13">
      <c r="C8203" s="571"/>
      <c r="D8203" s="571"/>
      <c r="E8203" s="571"/>
      <c r="F8203" s="571"/>
      <c r="G8203" s="571"/>
      <c r="H8203" s="571"/>
      <c r="I8203" s="571"/>
      <c r="J8203" s="571"/>
      <c r="K8203" s="571"/>
      <c r="L8203" s="571"/>
      <c r="M8203" s="571"/>
    </row>
    <row r="8204" ht="15" customHeight="1" spans="3:13">
      <c r="C8204" s="76" t="s">
        <v>2845</v>
      </c>
      <c r="D8204" s="75" t="s">
        <v>63</v>
      </c>
      <c r="E8204" s="76" t="s">
        <v>64</v>
      </c>
      <c r="F8204" s="76" t="s">
        <v>65</v>
      </c>
      <c r="G8204" s="76" t="s">
        <v>2889</v>
      </c>
      <c r="H8204" s="76"/>
      <c r="I8204" s="77" t="s">
        <v>66</v>
      </c>
      <c r="J8204" s="75" t="s">
        <v>67</v>
      </c>
      <c r="K8204" s="75" t="s">
        <v>2890</v>
      </c>
      <c r="L8204" s="75" t="s">
        <v>68</v>
      </c>
      <c r="M8204" s="75" t="s">
        <v>70</v>
      </c>
    </row>
    <row r="8205" ht="35.05" customHeight="1" spans="3:13">
      <c r="C8205" s="569" t="s">
        <v>2891</v>
      </c>
      <c r="D8205" s="570" t="s">
        <v>2846</v>
      </c>
      <c r="E8205" s="569" t="s">
        <v>132</v>
      </c>
      <c r="F8205" s="569" t="s">
        <v>2847</v>
      </c>
      <c r="G8205" s="569" t="s">
        <v>2924</v>
      </c>
      <c r="H8205" s="569"/>
      <c r="I8205" s="577" t="s">
        <v>134</v>
      </c>
      <c r="J8205" s="578">
        <v>1</v>
      </c>
      <c r="K8205" s="579"/>
      <c r="L8205" s="579">
        <v>191.62</v>
      </c>
      <c r="M8205" s="579">
        <v>191.62</v>
      </c>
    </row>
    <row r="8206" ht="23.85" customHeight="1" spans="3:13">
      <c r="C8206" s="79" t="s">
        <v>2921</v>
      </c>
      <c r="D8206" s="78" t="s">
        <v>2952</v>
      </c>
      <c r="E8206" s="79" t="s">
        <v>139</v>
      </c>
      <c r="F8206" s="79" t="s">
        <v>2953</v>
      </c>
      <c r="G8206" s="79" t="s">
        <v>2928</v>
      </c>
      <c r="H8206" s="79"/>
      <c r="I8206" s="80" t="s">
        <v>2897</v>
      </c>
      <c r="J8206" s="583">
        <v>0.4</v>
      </c>
      <c r="K8206" s="583">
        <v>0</v>
      </c>
      <c r="L8206" s="92">
        <v>29.15</v>
      </c>
      <c r="M8206" s="92">
        <v>11.66</v>
      </c>
    </row>
    <row r="8207" ht="15" customHeight="1" spans="3:13">
      <c r="C8207" s="100" t="s">
        <v>2893</v>
      </c>
      <c r="D8207" s="99" t="s">
        <v>5243</v>
      </c>
      <c r="E8207" s="100" t="s">
        <v>132</v>
      </c>
      <c r="F8207" s="100" t="s">
        <v>5244</v>
      </c>
      <c r="G8207" s="100" t="s">
        <v>2961</v>
      </c>
      <c r="H8207" s="100"/>
      <c r="I8207" s="101" t="s">
        <v>141</v>
      </c>
      <c r="J8207" s="580">
        <v>0.65</v>
      </c>
      <c r="K8207" s="580">
        <v>0</v>
      </c>
      <c r="L8207" s="102">
        <v>99.17</v>
      </c>
      <c r="M8207" s="102">
        <v>64.46</v>
      </c>
    </row>
    <row r="8208" ht="15" customHeight="1" spans="3:13">
      <c r="C8208" s="100" t="s">
        <v>2893</v>
      </c>
      <c r="D8208" s="99" t="s">
        <v>5265</v>
      </c>
      <c r="E8208" s="100" t="s">
        <v>139</v>
      </c>
      <c r="F8208" s="100" t="s">
        <v>5266</v>
      </c>
      <c r="G8208" s="100" t="s">
        <v>2961</v>
      </c>
      <c r="H8208" s="100"/>
      <c r="I8208" s="101" t="s">
        <v>393</v>
      </c>
      <c r="J8208" s="580">
        <v>10.14</v>
      </c>
      <c r="K8208" s="580">
        <v>0</v>
      </c>
      <c r="L8208" s="102">
        <v>11.34</v>
      </c>
      <c r="M8208" s="102">
        <v>114.98</v>
      </c>
    </row>
    <row r="8209" ht="23.85" customHeight="1" spans="3:13">
      <c r="C8209" s="100" t="s">
        <v>2893</v>
      </c>
      <c r="D8209" s="99" t="s">
        <v>4038</v>
      </c>
      <c r="E8209" s="100" t="s">
        <v>139</v>
      </c>
      <c r="F8209" s="100" t="s">
        <v>4039</v>
      </c>
      <c r="G8209" s="100" t="s">
        <v>2961</v>
      </c>
      <c r="H8209" s="100"/>
      <c r="I8209" s="101" t="s">
        <v>134</v>
      </c>
      <c r="J8209" s="580">
        <v>2</v>
      </c>
      <c r="K8209" s="580">
        <v>0</v>
      </c>
      <c r="L8209" s="102">
        <v>0.26</v>
      </c>
      <c r="M8209" s="102">
        <v>0.52</v>
      </c>
    </row>
    <row r="8210" ht="25.5" spans="3:13">
      <c r="C8210" s="108"/>
      <c r="D8210" s="108"/>
      <c r="E8210" s="108"/>
      <c r="F8210" s="108"/>
      <c r="G8210" s="108"/>
      <c r="H8210" s="108" t="s">
        <v>2898</v>
      </c>
      <c r="I8210" s="581">
        <v>7.68</v>
      </c>
      <c r="J8210" s="108" t="s">
        <v>2899</v>
      </c>
      <c r="K8210" s="581">
        <v>0</v>
      </c>
      <c r="L8210" s="108" t="s">
        <v>2900</v>
      </c>
      <c r="M8210" s="581">
        <v>7.68</v>
      </c>
    </row>
    <row r="8211" ht="26.25" spans="3:13">
      <c r="C8211" s="108"/>
      <c r="D8211" s="108"/>
      <c r="E8211" s="108"/>
      <c r="F8211" s="108"/>
      <c r="G8211" s="108"/>
      <c r="H8211" s="108" t="s">
        <v>2901</v>
      </c>
      <c r="I8211" s="581">
        <v>48.84</v>
      </c>
      <c r="J8211" s="114"/>
      <c r="K8211" s="114" t="s">
        <v>2902</v>
      </c>
      <c r="L8211" s="108"/>
      <c r="M8211" s="581">
        <v>240.46</v>
      </c>
    </row>
    <row r="8212" ht="15" spans="3:13">
      <c r="C8212" s="571"/>
      <c r="D8212" s="571"/>
      <c r="E8212" s="571"/>
      <c r="F8212" s="571"/>
      <c r="G8212" s="571"/>
      <c r="H8212" s="571"/>
      <c r="I8212" s="571"/>
      <c r="J8212" s="571"/>
      <c r="K8212" s="571"/>
      <c r="L8212" s="571"/>
      <c r="M8212" s="571"/>
    </row>
    <row r="8213" ht="15" customHeight="1" spans="3:13">
      <c r="C8213" s="76" t="s">
        <v>2848</v>
      </c>
      <c r="D8213" s="75" t="s">
        <v>63</v>
      </c>
      <c r="E8213" s="76" t="s">
        <v>64</v>
      </c>
      <c r="F8213" s="76" t="s">
        <v>65</v>
      </c>
      <c r="G8213" s="76" t="s">
        <v>2889</v>
      </c>
      <c r="H8213" s="76"/>
      <c r="I8213" s="77" t="s">
        <v>66</v>
      </c>
      <c r="J8213" s="75" t="s">
        <v>67</v>
      </c>
      <c r="K8213" s="75" t="s">
        <v>2890</v>
      </c>
      <c r="L8213" s="75" t="s">
        <v>68</v>
      </c>
      <c r="M8213" s="75" t="s">
        <v>70</v>
      </c>
    </row>
    <row r="8214" ht="35.05" customHeight="1" spans="3:13">
      <c r="C8214" s="569" t="s">
        <v>2891</v>
      </c>
      <c r="D8214" s="570" t="s">
        <v>2849</v>
      </c>
      <c r="E8214" s="569" t="s">
        <v>132</v>
      </c>
      <c r="F8214" s="569" t="s">
        <v>2850</v>
      </c>
      <c r="G8214" s="569" t="s">
        <v>5267</v>
      </c>
      <c r="H8214" s="569"/>
      <c r="I8214" s="577" t="s">
        <v>134</v>
      </c>
      <c r="J8214" s="578">
        <v>1</v>
      </c>
      <c r="K8214" s="579"/>
      <c r="L8214" s="579">
        <v>518.73</v>
      </c>
      <c r="M8214" s="579">
        <v>518.73</v>
      </c>
    </row>
    <row r="8215" ht="23.85" customHeight="1" spans="3:13">
      <c r="C8215" s="79" t="s">
        <v>2921</v>
      </c>
      <c r="D8215" s="78" t="s">
        <v>2952</v>
      </c>
      <c r="E8215" s="79" t="s">
        <v>139</v>
      </c>
      <c r="F8215" s="79" t="s">
        <v>2953</v>
      </c>
      <c r="G8215" s="79" t="s">
        <v>2928</v>
      </c>
      <c r="H8215" s="79"/>
      <c r="I8215" s="80" t="s">
        <v>2897</v>
      </c>
      <c r="J8215" s="583">
        <v>0.8862</v>
      </c>
      <c r="K8215" s="583">
        <v>0</v>
      </c>
      <c r="L8215" s="92">
        <v>29.15</v>
      </c>
      <c r="M8215" s="92">
        <v>25.83</v>
      </c>
    </row>
    <row r="8216" ht="35.05" customHeight="1" spans="3:13">
      <c r="C8216" s="79" t="s">
        <v>2921</v>
      </c>
      <c r="D8216" s="78" t="s">
        <v>5268</v>
      </c>
      <c r="E8216" s="79" t="s">
        <v>139</v>
      </c>
      <c r="F8216" s="79" t="s">
        <v>5269</v>
      </c>
      <c r="G8216" s="79" t="s">
        <v>2999</v>
      </c>
      <c r="H8216" s="79"/>
      <c r="I8216" s="80" t="s">
        <v>279</v>
      </c>
      <c r="J8216" s="583">
        <v>0.0569</v>
      </c>
      <c r="K8216" s="583">
        <v>0</v>
      </c>
      <c r="L8216" s="92">
        <v>649.73</v>
      </c>
      <c r="M8216" s="92">
        <v>36.96</v>
      </c>
    </row>
    <row r="8217" ht="23.85" customHeight="1" spans="3:13">
      <c r="C8217" s="79" t="s">
        <v>2921</v>
      </c>
      <c r="D8217" s="78" t="s">
        <v>3017</v>
      </c>
      <c r="E8217" s="79" t="s">
        <v>139</v>
      </c>
      <c r="F8217" s="79" t="s">
        <v>3018</v>
      </c>
      <c r="G8217" s="79" t="s">
        <v>2928</v>
      </c>
      <c r="H8217" s="79"/>
      <c r="I8217" s="80" t="s">
        <v>2897</v>
      </c>
      <c r="J8217" s="583">
        <v>1.7724</v>
      </c>
      <c r="K8217" s="583">
        <v>0</v>
      </c>
      <c r="L8217" s="92">
        <v>36.96</v>
      </c>
      <c r="M8217" s="92">
        <v>65.5</v>
      </c>
    </row>
    <row r="8218" ht="15" customHeight="1" spans="3:13">
      <c r="C8218" s="100" t="s">
        <v>2893</v>
      </c>
      <c r="D8218" s="99" t="s">
        <v>5265</v>
      </c>
      <c r="E8218" s="100" t="s">
        <v>139</v>
      </c>
      <c r="F8218" s="100" t="s">
        <v>5266</v>
      </c>
      <c r="G8218" s="100" t="s">
        <v>2961</v>
      </c>
      <c r="H8218" s="100"/>
      <c r="I8218" s="101" t="s">
        <v>393</v>
      </c>
      <c r="J8218" s="580">
        <v>16.224</v>
      </c>
      <c r="K8218" s="580">
        <v>0</v>
      </c>
      <c r="L8218" s="102">
        <v>11.34</v>
      </c>
      <c r="M8218" s="102">
        <v>183.98</v>
      </c>
    </row>
    <row r="8219" ht="23.85" customHeight="1" spans="3:13">
      <c r="C8219" s="100" t="s">
        <v>2893</v>
      </c>
      <c r="D8219" s="99" t="s">
        <v>5038</v>
      </c>
      <c r="E8219" s="100" t="s">
        <v>139</v>
      </c>
      <c r="F8219" s="100" t="s">
        <v>5039</v>
      </c>
      <c r="G8219" s="100" t="s">
        <v>2961</v>
      </c>
      <c r="H8219" s="100"/>
      <c r="I8219" s="101" t="s">
        <v>204</v>
      </c>
      <c r="J8219" s="580">
        <v>2</v>
      </c>
      <c r="K8219" s="580">
        <v>0</v>
      </c>
      <c r="L8219" s="102">
        <v>51.54</v>
      </c>
      <c r="M8219" s="102">
        <v>103.08</v>
      </c>
    </row>
    <row r="8220" ht="23.85" customHeight="1" spans="3:13">
      <c r="C8220" s="100" t="s">
        <v>2893</v>
      </c>
      <c r="D8220" s="99" t="s">
        <v>5270</v>
      </c>
      <c r="E8220" s="100" t="s">
        <v>139</v>
      </c>
      <c r="F8220" s="100" t="s">
        <v>5271</v>
      </c>
      <c r="G8220" s="100" t="s">
        <v>2961</v>
      </c>
      <c r="H8220" s="100"/>
      <c r="I8220" s="101" t="s">
        <v>279</v>
      </c>
      <c r="J8220" s="580">
        <v>0.0024</v>
      </c>
      <c r="K8220" s="580">
        <v>0</v>
      </c>
      <c r="L8220" s="102">
        <v>108.18</v>
      </c>
      <c r="M8220" s="102">
        <v>0.25</v>
      </c>
    </row>
    <row r="8221" ht="15" customHeight="1" spans="3:13">
      <c r="C8221" s="100" t="s">
        <v>2893</v>
      </c>
      <c r="D8221" s="99" t="s">
        <v>5243</v>
      </c>
      <c r="E8221" s="100" t="s">
        <v>132</v>
      </c>
      <c r="F8221" s="100" t="s">
        <v>5244</v>
      </c>
      <c r="G8221" s="100" t="s">
        <v>2961</v>
      </c>
      <c r="H8221" s="100"/>
      <c r="I8221" s="101" t="s">
        <v>141</v>
      </c>
      <c r="J8221" s="580">
        <v>1.04</v>
      </c>
      <c r="K8221" s="580">
        <v>0</v>
      </c>
      <c r="L8221" s="102">
        <v>99.17</v>
      </c>
      <c r="M8221" s="102">
        <v>103.13</v>
      </c>
    </row>
    <row r="8222" ht="25.5" spans="3:13">
      <c r="C8222" s="108"/>
      <c r="D8222" s="108"/>
      <c r="E8222" s="108"/>
      <c r="F8222" s="108"/>
      <c r="G8222" s="108"/>
      <c r="H8222" s="108" t="s">
        <v>2898</v>
      </c>
      <c r="I8222" s="581">
        <v>71.59</v>
      </c>
      <c r="J8222" s="108" t="s">
        <v>2899</v>
      </c>
      <c r="K8222" s="581">
        <v>0</v>
      </c>
      <c r="L8222" s="108" t="s">
        <v>2900</v>
      </c>
      <c r="M8222" s="581">
        <v>71.59</v>
      </c>
    </row>
    <row r="8223" ht="26.25" spans="3:13">
      <c r="C8223" s="108"/>
      <c r="D8223" s="108"/>
      <c r="E8223" s="108"/>
      <c r="F8223" s="108"/>
      <c r="G8223" s="108"/>
      <c r="H8223" s="108" t="s">
        <v>2901</v>
      </c>
      <c r="I8223" s="581">
        <v>132.22</v>
      </c>
      <c r="J8223" s="114"/>
      <c r="K8223" s="114" t="s">
        <v>2902</v>
      </c>
      <c r="L8223" s="108"/>
      <c r="M8223" s="581">
        <v>650.95</v>
      </c>
    </row>
    <row r="8224" ht="15" spans="3:13">
      <c r="C8224" s="571"/>
      <c r="D8224" s="571"/>
      <c r="E8224" s="571"/>
      <c r="F8224" s="571"/>
      <c r="G8224" s="571"/>
      <c r="H8224" s="571"/>
      <c r="I8224" s="571"/>
      <c r="J8224" s="571"/>
      <c r="K8224" s="571"/>
      <c r="L8224" s="571"/>
      <c r="M8224" s="571"/>
    </row>
    <row r="8225" ht="15" customHeight="1" spans="3:13">
      <c r="C8225" s="76" t="s">
        <v>2851</v>
      </c>
      <c r="D8225" s="75" t="s">
        <v>63</v>
      </c>
      <c r="E8225" s="76" t="s">
        <v>64</v>
      </c>
      <c r="F8225" s="76" t="s">
        <v>65</v>
      </c>
      <c r="G8225" s="76" t="s">
        <v>2889</v>
      </c>
      <c r="H8225" s="76"/>
      <c r="I8225" s="77" t="s">
        <v>66</v>
      </c>
      <c r="J8225" s="75" t="s">
        <v>67</v>
      </c>
      <c r="K8225" s="75" t="s">
        <v>2890</v>
      </c>
      <c r="L8225" s="75" t="s">
        <v>68</v>
      </c>
      <c r="M8225" s="75" t="s">
        <v>70</v>
      </c>
    </row>
    <row r="8226" ht="38.25" spans="3:13">
      <c r="C8226" s="569" t="s">
        <v>2891</v>
      </c>
      <c r="D8226" s="570" t="s">
        <v>2852</v>
      </c>
      <c r="E8226" s="569" t="s">
        <v>132</v>
      </c>
      <c r="F8226" s="569" t="s">
        <v>2853</v>
      </c>
      <c r="G8226" s="569">
        <v>202</v>
      </c>
      <c r="H8226" s="569"/>
      <c r="I8226" s="577" t="s">
        <v>134</v>
      </c>
      <c r="J8226" s="578">
        <v>1</v>
      </c>
      <c r="K8226" s="579"/>
      <c r="L8226" s="579">
        <v>145.89</v>
      </c>
      <c r="M8226" s="579">
        <v>145.89</v>
      </c>
    </row>
    <row r="8227" ht="23.85" customHeight="1" spans="3:13">
      <c r="C8227" s="79" t="s">
        <v>2921</v>
      </c>
      <c r="D8227" s="78" t="s">
        <v>2952</v>
      </c>
      <c r="E8227" s="79" t="s">
        <v>139</v>
      </c>
      <c r="F8227" s="79" t="s">
        <v>2953</v>
      </c>
      <c r="G8227" s="79" t="s">
        <v>2928</v>
      </c>
      <c r="H8227" s="79"/>
      <c r="I8227" s="80" t="s">
        <v>2897</v>
      </c>
      <c r="J8227" s="583">
        <v>0.2</v>
      </c>
      <c r="K8227" s="583">
        <v>0</v>
      </c>
      <c r="L8227" s="92">
        <v>29.15</v>
      </c>
      <c r="M8227" s="92">
        <v>5.83</v>
      </c>
    </row>
    <row r="8228" ht="23.85" customHeight="1" spans="3:13">
      <c r="C8228" s="100" t="s">
        <v>2893</v>
      </c>
      <c r="D8228" s="99" t="s">
        <v>5272</v>
      </c>
      <c r="E8228" s="100" t="s">
        <v>149</v>
      </c>
      <c r="F8228" s="100" t="s">
        <v>5273</v>
      </c>
      <c r="G8228" s="100" t="s">
        <v>2961</v>
      </c>
      <c r="H8228" s="100"/>
      <c r="I8228" s="101" t="s">
        <v>134</v>
      </c>
      <c r="J8228" s="580">
        <v>1</v>
      </c>
      <c r="K8228" s="580">
        <v>0</v>
      </c>
      <c r="L8228" s="102">
        <v>140.06</v>
      </c>
      <c r="M8228" s="102">
        <v>140.06</v>
      </c>
    </row>
    <row r="8229" ht="25.5" spans="3:13">
      <c r="C8229" s="108"/>
      <c r="D8229" s="108"/>
      <c r="E8229" s="108"/>
      <c r="F8229" s="108"/>
      <c r="G8229" s="108"/>
      <c r="H8229" s="108" t="s">
        <v>2898</v>
      </c>
      <c r="I8229" s="581">
        <v>3.84</v>
      </c>
      <c r="J8229" s="108" t="s">
        <v>2899</v>
      </c>
      <c r="K8229" s="581">
        <v>0</v>
      </c>
      <c r="L8229" s="108" t="s">
        <v>2900</v>
      </c>
      <c r="M8229" s="581">
        <v>3.84</v>
      </c>
    </row>
    <row r="8230" ht="26.25" spans="3:13">
      <c r="C8230" s="108"/>
      <c r="D8230" s="108"/>
      <c r="E8230" s="108"/>
      <c r="F8230" s="108"/>
      <c r="G8230" s="108"/>
      <c r="H8230" s="108" t="s">
        <v>2901</v>
      </c>
      <c r="I8230" s="581">
        <v>37.18</v>
      </c>
      <c r="J8230" s="114"/>
      <c r="K8230" s="114" t="s">
        <v>2902</v>
      </c>
      <c r="L8230" s="108"/>
      <c r="M8230" s="581">
        <v>183.07</v>
      </c>
    </row>
    <row r="8231" ht="15" spans="3:13">
      <c r="C8231" s="571"/>
      <c r="D8231" s="571"/>
      <c r="E8231" s="571"/>
      <c r="F8231" s="571"/>
      <c r="G8231" s="571"/>
      <c r="H8231" s="571"/>
      <c r="I8231" s="571"/>
      <c r="J8231" s="571"/>
      <c r="K8231" s="571"/>
      <c r="L8231" s="571"/>
      <c r="M8231" s="571"/>
    </row>
    <row r="8232" ht="15" customHeight="1" spans="3:13">
      <c r="C8232" s="76" t="s">
        <v>2854</v>
      </c>
      <c r="D8232" s="75" t="s">
        <v>63</v>
      </c>
      <c r="E8232" s="76" t="s">
        <v>64</v>
      </c>
      <c r="F8232" s="76" t="s">
        <v>65</v>
      </c>
      <c r="G8232" s="76" t="s">
        <v>2889</v>
      </c>
      <c r="H8232" s="76"/>
      <c r="I8232" s="77" t="s">
        <v>66</v>
      </c>
      <c r="J8232" s="75" t="s">
        <v>67</v>
      </c>
      <c r="K8232" s="75" t="s">
        <v>2890</v>
      </c>
      <c r="L8232" s="75" t="s">
        <v>68</v>
      </c>
      <c r="M8232" s="75" t="s">
        <v>70</v>
      </c>
    </row>
    <row r="8233" ht="15" customHeight="1" spans="3:13">
      <c r="C8233" s="569" t="s">
        <v>2891</v>
      </c>
      <c r="D8233" s="570" t="s">
        <v>2855</v>
      </c>
      <c r="E8233" s="569" t="s">
        <v>149</v>
      </c>
      <c r="F8233" s="569" t="s">
        <v>2856</v>
      </c>
      <c r="G8233" s="569" t="s">
        <v>3810</v>
      </c>
      <c r="H8233" s="569"/>
      <c r="I8233" s="577" t="s">
        <v>134</v>
      </c>
      <c r="J8233" s="578">
        <v>1</v>
      </c>
      <c r="K8233" s="579"/>
      <c r="L8233" s="579">
        <v>1614.26</v>
      </c>
      <c r="M8233" s="579">
        <v>1614.26</v>
      </c>
    </row>
    <row r="8234" ht="15" customHeight="1" spans="3:13">
      <c r="C8234" s="100" t="s">
        <v>2893</v>
      </c>
      <c r="D8234" s="99" t="s">
        <v>5274</v>
      </c>
      <c r="E8234" s="100" t="s">
        <v>149</v>
      </c>
      <c r="F8234" s="100" t="s">
        <v>5275</v>
      </c>
      <c r="G8234" s="100" t="s">
        <v>2961</v>
      </c>
      <c r="H8234" s="100"/>
      <c r="I8234" s="101" t="s">
        <v>134</v>
      </c>
      <c r="J8234" s="580">
        <v>1</v>
      </c>
      <c r="K8234" s="580">
        <v>0</v>
      </c>
      <c r="L8234" s="102">
        <v>910</v>
      </c>
      <c r="M8234" s="102">
        <v>910</v>
      </c>
    </row>
    <row r="8235" ht="15" customHeight="1" spans="3:13">
      <c r="C8235" s="100" t="s">
        <v>2893</v>
      </c>
      <c r="D8235" s="99" t="s">
        <v>3573</v>
      </c>
      <c r="E8235" s="100" t="s">
        <v>149</v>
      </c>
      <c r="F8235" s="100" t="s">
        <v>3574</v>
      </c>
      <c r="G8235" s="100" t="s">
        <v>2896</v>
      </c>
      <c r="H8235" s="100"/>
      <c r="I8235" s="101" t="s">
        <v>2897</v>
      </c>
      <c r="J8235" s="580">
        <v>1.5</v>
      </c>
      <c r="K8235" s="580">
        <v>0</v>
      </c>
      <c r="L8235" s="102">
        <v>20.515752</v>
      </c>
      <c r="M8235" s="102">
        <v>30.77</v>
      </c>
    </row>
    <row r="8236" ht="15" customHeight="1" spans="3:13">
      <c r="C8236" s="100" t="s">
        <v>2893</v>
      </c>
      <c r="D8236" s="99" t="s">
        <v>3571</v>
      </c>
      <c r="E8236" s="100" t="s">
        <v>149</v>
      </c>
      <c r="F8236" s="100" t="s">
        <v>3572</v>
      </c>
      <c r="G8236" s="100" t="s">
        <v>2896</v>
      </c>
      <c r="H8236" s="100"/>
      <c r="I8236" s="101" t="s">
        <v>2897</v>
      </c>
      <c r="J8236" s="580">
        <v>1.5</v>
      </c>
      <c r="K8236" s="580">
        <v>0</v>
      </c>
      <c r="L8236" s="102">
        <v>28.994744</v>
      </c>
      <c r="M8236" s="102">
        <v>43.49</v>
      </c>
    </row>
    <row r="8237" ht="23.85" customHeight="1" spans="3:13">
      <c r="C8237" s="100" t="s">
        <v>2893</v>
      </c>
      <c r="D8237" s="99" t="s">
        <v>5276</v>
      </c>
      <c r="E8237" s="100" t="s">
        <v>149</v>
      </c>
      <c r="F8237" s="100" t="s">
        <v>5277</v>
      </c>
      <c r="G8237" s="100" t="s">
        <v>2961</v>
      </c>
      <c r="H8237" s="100"/>
      <c r="I8237" s="101" t="s">
        <v>134</v>
      </c>
      <c r="J8237" s="580">
        <v>1</v>
      </c>
      <c r="K8237" s="580">
        <v>0</v>
      </c>
      <c r="L8237" s="102">
        <v>630</v>
      </c>
      <c r="M8237" s="102">
        <v>630</v>
      </c>
    </row>
    <row r="8238" ht="25.5" spans="3:13">
      <c r="C8238" s="108"/>
      <c r="D8238" s="108"/>
      <c r="E8238" s="108"/>
      <c r="F8238" s="108"/>
      <c r="G8238" s="108"/>
      <c r="H8238" s="108" t="s">
        <v>2898</v>
      </c>
      <c r="I8238" s="581">
        <v>74.26</v>
      </c>
      <c r="J8238" s="108" t="s">
        <v>2899</v>
      </c>
      <c r="K8238" s="581">
        <v>0</v>
      </c>
      <c r="L8238" s="108" t="s">
        <v>2900</v>
      </c>
      <c r="M8238" s="581">
        <v>74.26</v>
      </c>
    </row>
    <row r="8239" ht="26.25" spans="3:13">
      <c r="C8239" s="108"/>
      <c r="D8239" s="108"/>
      <c r="E8239" s="108"/>
      <c r="F8239" s="108"/>
      <c r="G8239" s="108"/>
      <c r="H8239" s="108" t="s">
        <v>2901</v>
      </c>
      <c r="I8239" s="581">
        <v>411.47</v>
      </c>
      <c r="J8239" s="114"/>
      <c r="K8239" s="114" t="s">
        <v>2902</v>
      </c>
      <c r="L8239" s="108"/>
      <c r="M8239" s="581">
        <v>2025.73</v>
      </c>
    </row>
    <row r="8240" ht="15" spans="3:13">
      <c r="C8240" s="571"/>
      <c r="D8240" s="571"/>
      <c r="E8240" s="571"/>
      <c r="F8240" s="571"/>
      <c r="G8240" s="571"/>
      <c r="H8240" s="571"/>
      <c r="I8240" s="571"/>
      <c r="J8240" s="571"/>
      <c r="K8240" s="571"/>
      <c r="L8240" s="571"/>
      <c r="M8240" s="571"/>
    </row>
    <row r="8241" ht="15" customHeight="1" spans="3:13">
      <c r="C8241" s="76" t="s">
        <v>2859</v>
      </c>
      <c r="D8241" s="75" t="s">
        <v>63</v>
      </c>
      <c r="E8241" s="76" t="s">
        <v>64</v>
      </c>
      <c r="F8241" s="76" t="s">
        <v>65</v>
      </c>
      <c r="G8241" s="76" t="s">
        <v>2889</v>
      </c>
      <c r="H8241" s="76"/>
      <c r="I8241" s="77" t="s">
        <v>66</v>
      </c>
      <c r="J8241" s="75" t="s">
        <v>67</v>
      </c>
      <c r="K8241" s="75" t="s">
        <v>2890</v>
      </c>
      <c r="L8241" s="75" t="s">
        <v>68</v>
      </c>
      <c r="M8241" s="75" t="s">
        <v>70</v>
      </c>
    </row>
    <row r="8242" ht="23.85" customHeight="1" spans="3:13">
      <c r="C8242" s="569" t="s">
        <v>2891</v>
      </c>
      <c r="D8242" s="570" t="s">
        <v>271</v>
      </c>
      <c r="E8242" s="569" t="s">
        <v>139</v>
      </c>
      <c r="F8242" s="569" t="s">
        <v>272</v>
      </c>
      <c r="G8242" s="569" t="s">
        <v>3248</v>
      </c>
      <c r="H8242" s="569"/>
      <c r="I8242" s="577" t="s">
        <v>141</v>
      </c>
      <c r="J8242" s="578">
        <v>1</v>
      </c>
      <c r="K8242" s="579"/>
      <c r="L8242" s="579">
        <v>4.09</v>
      </c>
      <c r="M8242" s="579">
        <v>4.09</v>
      </c>
    </row>
    <row r="8243" ht="23.85" customHeight="1" spans="3:13">
      <c r="C8243" s="79" t="s">
        <v>2921</v>
      </c>
      <c r="D8243" s="78" t="s">
        <v>2952</v>
      </c>
      <c r="E8243" s="79" t="s">
        <v>139</v>
      </c>
      <c r="F8243" s="79" t="s">
        <v>2953</v>
      </c>
      <c r="G8243" s="79" t="s">
        <v>2928</v>
      </c>
      <c r="H8243" s="79"/>
      <c r="I8243" s="80" t="s">
        <v>2897</v>
      </c>
      <c r="J8243" s="583">
        <v>0.0952</v>
      </c>
      <c r="K8243" s="583">
        <v>0</v>
      </c>
      <c r="L8243" s="92">
        <v>29.15</v>
      </c>
      <c r="M8243" s="92">
        <v>2.77</v>
      </c>
    </row>
    <row r="8244" ht="23.85" customHeight="1" spans="3:13">
      <c r="C8244" s="79" t="s">
        <v>2921</v>
      </c>
      <c r="D8244" s="78" t="s">
        <v>3113</v>
      </c>
      <c r="E8244" s="79" t="s">
        <v>139</v>
      </c>
      <c r="F8244" s="79" t="s">
        <v>3114</v>
      </c>
      <c r="G8244" s="79" t="s">
        <v>2928</v>
      </c>
      <c r="H8244" s="79"/>
      <c r="I8244" s="80" t="s">
        <v>2897</v>
      </c>
      <c r="J8244" s="583">
        <v>0.0337</v>
      </c>
      <c r="K8244" s="583">
        <v>0</v>
      </c>
      <c r="L8244" s="92">
        <v>39.26</v>
      </c>
      <c r="M8244" s="92">
        <v>1.32</v>
      </c>
    </row>
    <row r="8245" ht="25.5" spans="3:13">
      <c r="C8245" s="108"/>
      <c r="D8245" s="108"/>
      <c r="E8245" s="108"/>
      <c r="F8245" s="108"/>
      <c r="G8245" s="108"/>
      <c r="H8245" s="108" t="s">
        <v>2898</v>
      </c>
      <c r="I8245" s="581">
        <v>2.84</v>
      </c>
      <c r="J8245" s="108" t="s">
        <v>2899</v>
      </c>
      <c r="K8245" s="581">
        <v>0</v>
      </c>
      <c r="L8245" s="108" t="s">
        <v>2900</v>
      </c>
      <c r="M8245" s="581">
        <v>2.84</v>
      </c>
    </row>
    <row r="8246" ht="26.25" spans="3:13">
      <c r="C8246" s="108"/>
      <c r="D8246" s="108"/>
      <c r="E8246" s="108"/>
      <c r="F8246" s="108"/>
      <c r="G8246" s="108"/>
      <c r="H8246" s="108" t="s">
        <v>2901</v>
      </c>
      <c r="I8246" s="581">
        <v>1.04</v>
      </c>
      <c r="J8246" s="114"/>
      <c r="K8246" s="114" t="s">
        <v>2902</v>
      </c>
      <c r="L8246" s="108"/>
      <c r="M8246" s="581">
        <v>5.13</v>
      </c>
    </row>
    <row r="8247" ht="15" spans="3:13">
      <c r="C8247" s="571"/>
      <c r="D8247" s="571"/>
      <c r="E8247" s="571"/>
      <c r="F8247" s="571"/>
      <c r="G8247" s="571"/>
      <c r="H8247" s="571"/>
      <c r="I8247" s="571"/>
      <c r="J8247" s="571"/>
      <c r="K8247" s="571"/>
      <c r="L8247" s="571"/>
      <c r="M8247" s="571"/>
    </row>
    <row r="8248" ht="15" customHeight="1" spans="3:13">
      <c r="C8248" s="76" t="s">
        <v>2860</v>
      </c>
      <c r="D8248" s="75" t="s">
        <v>63</v>
      </c>
      <c r="E8248" s="76" t="s">
        <v>64</v>
      </c>
      <c r="F8248" s="76" t="s">
        <v>65</v>
      </c>
      <c r="G8248" s="76" t="s">
        <v>2889</v>
      </c>
      <c r="H8248" s="76"/>
      <c r="I8248" s="77" t="s">
        <v>66</v>
      </c>
      <c r="J8248" s="75" t="s">
        <v>67</v>
      </c>
      <c r="K8248" s="75" t="s">
        <v>2890</v>
      </c>
      <c r="L8248" s="75" t="s">
        <v>68</v>
      </c>
      <c r="M8248" s="75" t="s">
        <v>70</v>
      </c>
    </row>
    <row r="8249" ht="23.85" customHeight="1" spans="3:13">
      <c r="C8249" s="569" t="s">
        <v>2891</v>
      </c>
      <c r="D8249" s="570" t="s">
        <v>308</v>
      </c>
      <c r="E8249" s="569" t="s">
        <v>139</v>
      </c>
      <c r="F8249" s="569" t="s">
        <v>309</v>
      </c>
      <c r="G8249" s="569" t="s">
        <v>3248</v>
      </c>
      <c r="H8249" s="569"/>
      <c r="I8249" s="577" t="s">
        <v>141</v>
      </c>
      <c r="J8249" s="578">
        <v>1</v>
      </c>
      <c r="K8249" s="579"/>
      <c r="L8249" s="579">
        <v>10.5</v>
      </c>
      <c r="M8249" s="579">
        <v>10.5</v>
      </c>
    </row>
    <row r="8250" ht="23.85" customHeight="1" spans="3:13">
      <c r="C8250" s="79" t="s">
        <v>2921</v>
      </c>
      <c r="D8250" s="78" t="s">
        <v>2952</v>
      </c>
      <c r="E8250" s="79" t="s">
        <v>139</v>
      </c>
      <c r="F8250" s="79" t="s">
        <v>2953</v>
      </c>
      <c r="G8250" s="79" t="s">
        <v>2928</v>
      </c>
      <c r="H8250" s="79"/>
      <c r="I8250" s="80" t="s">
        <v>2897</v>
      </c>
      <c r="J8250" s="583">
        <v>0.2487</v>
      </c>
      <c r="K8250" s="583">
        <v>0</v>
      </c>
      <c r="L8250" s="92">
        <v>29.15</v>
      </c>
      <c r="M8250" s="92">
        <v>7.24</v>
      </c>
    </row>
    <row r="8251" ht="23.85" customHeight="1" spans="3:13">
      <c r="C8251" s="79" t="s">
        <v>2921</v>
      </c>
      <c r="D8251" s="78" t="s">
        <v>3095</v>
      </c>
      <c r="E8251" s="79" t="s">
        <v>139</v>
      </c>
      <c r="F8251" s="79" t="s">
        <v>3096</v>
      </c>
      <c r="G8251" s="79" t="s">
        <v>2928</v>
      </c>
      <c r="H8251" s="79"/>
      <c r="I8251" s="80" t="s">
        <v>2897</v>
      </c>
      <c r="J8251" s="583">
        <v>0.0879</v>
      </c>
      <c r="K8251" s="583">
        <v>0</v>
      </c>
      <c r="L8251" s="92">
        <v>37.16</v>
      </c>
      <c r="M8251" s="92">
        <v>3.26</v>
      </c>
    </row>
    <row r="8252" ht="25.5" spans="3:13">
      <c r="C8252" s="108"/>
      <c r="D8252" s="108"/>
      <c r="E8252" s="108"/>
      <c r="F8252" s="108"/>
      <c r="G8252" s="108"/>
      <c r="H8252" s="108" t="s">
        <v>2898</v>
      </c>
      <c r="I8252" s="581">
        <v>7.18</v>
      </c>
      <c r="J8252" s="108" t="s">
        <v>2899</v>
      </c>
      <c r="K8252" s="581">
        <v>0</v>
      </c>
      <c r="L8252" s="108" t="s">
        <v>2900</v>
      </c>
      <c r="M8252" s="581">
        <v>7.18</v>
      </c>
    </row>
    <row r="8253" ht="26.25" spans="3:13">
      <c r="C8253" s="108"/>
      <c r="D8253" s="108"/>
      <c r="E8253" s="108"/>
      <c r="F8253" s="108"/>
      <c r="G8253" s="108"/>
      <c r="H8253" s="108" t="s">
        <v>2901</v>
      </c>
      <c r="I8253" s="581">
        <v>2.67</v>
      </c>
      <c r="J8253" s="114"/>
      <c r="K8253" s="114" t="s">
        <v>2902</v>
      </c>
      <c r="L8253" s="108"/>
      <c r="M8253" s="581">
        <v>13.17</v>
      </c>
    </row>
    <row r="8254" ht="15" spans="3:13">
      <c r="C8254" s="571"/>
      <c r="D8254" s="571"/>
      <c r="E8254" s="571"/>
      <c r="F8254" s="571"/>
      <c r="G8254" s="571"/>
      <c r="H8254" s="571"/>
      <c r="I8254" s="571"/>
      <c r="J8254" s="571"/>
      <c r="K8254" s="571"/>
      <c r="L8254" s="571"/>
      <c r="M8254" s="571"/>
    </row>
    <row r="8255" ht="15" customHeight="1" spans="3:13">
      <c r="C8255" s="76" t="s">
        <v>2861</v>
      </c>
      <c r="D8255" s="75" t="s">
        <v>63</v>
      </c>
      <c r="E8255" s="76" t="s">
        <v>64</v>
      </c>
      <c r="F8255" s="76" t="s">
        <v>65</v>
      </c>
      <c r="G8255" s="76" t="s">
        <v>2889</v>
      </c>
      <c r="H8255" s="76"/>
      <c r="I8255" s="77" t="s">
        <v>66</v>
      </c>
      <c r="J8255" s="75" t="s">
        <v>67</v>
      </c>
      <c r="K8255" s="75" t="s">
        <v>2890</v>
      </c>
      <c r="L8255" s="75" t="s">
        <v>68</v>
      </c>
      <c r="M8255" s="75" t="s">
        <v>70</v>
      </c>
    </row>
    <row r="8256" ht="23.85" customHeight="1" spans="3:13">
      <c r="C8256" s="569" t="s">
        <v>2891</v>
      </c>
      <c r="D8256" s="570" t="s">
        <v>305</v>
      </c>
      <c r="E8256" s="569" t="s">
        <v>139</v>
      </c>
      <c r="F8256" s="569" t="s">
        <v>306</v>
      </c>
      <c r="G8256" s="569" t="s">
        <v>3248</v>
      </c>
      <c r="H8256" s="569"/>
      <c r="I8256" s="577" t="s">
        <v>141</v>
      </c>
      <c r="J8256" s="578">
        <v>1</v>
      </c>
      <c r="K8256" s="579"/>
      <c r="L8256" s="579">
        <v>4.87</v>
      </c>
      <c r="M8256" s="579">
        <v>4.87</v>
      </c>
    </row>
    <row r="8257" ht="23.85" customHeight="1" spans="3:13">
      <c r="C8257" s="79" t="s">
        <v>2921</v>
      </c>
      <c r="D8257" s="78" t="s">
        <v>3095</v>
      </c>
      <c r="E8257" s="79" t="s">
        <v>139</v>
      </c>
      <c r="F8257" s="79" t="s">
        <v>3096</v>
      </c>
      <c r="G8257" s="79" t="s">
        <v>2928</v>
      </c>
      <c r="H8257" s="79"/>
      <c r="I8257" s="80" t="s">
        <v>2897</v>
      </c>
      <c r="J8257" s="583">
        <v>0.0408</v>
      </c>
      <c r="K8257" s="583">
        <v>0</v>
      </c>
      <c r="L8257" s="92">
        <v>37.16</v>
      </c>
      <c r="M8257" s="92">
        <v>1.51</v>
      </c>
    </row>
    <row r="8258" ht="23.85" customHeight="1" spans="3:13">
      <c r="C8258" s="79" t="s">
        <v>2921</v>
      </c>
      <c r="D8258" s="78" t="s">
        <v>2952</v>
      </c>
      <c r="E8258" s="79" t="s">
        <v>139</v>
      </c>
      <c r="F8258" s="79" t="s">
        <v>2953</v>
      </c>
      <c r="G8258" s="79" t="s">
        <v>2928</v>
      </c>
      <c r="H8258" s="79"/>
      <c r="I8258" s="80" t="s">
        <v>2897</v>
      </c>
      <c r="J8258" s="583">
        <v>0.1153</v>
      </c>
      <c r="K8258" s="583">
        <v>0</v>
      </c>
      <c r="L8258" s="92">
        <v>29.15</v>
      </c>
      <c r="M8258" s="92">
        <v>3.36</v>
      </c>
    </row>
    <row r="8259" ht="25.5" spans="3:13">
      <c r="C8259" s="108"/>
      <c r="D8259" s="108"/>
      <c r="E8259" s="108"/>
      <c r="F8259" s="108"/>
      <c r="G8259" s="108"/>
      <c r="H8259" s="108" t="s">
        <v>2898</v>
      </c>
      <c r="I8259" s="581">
        <v>3.32</v>
      </c>
      <c r="J8259" s="108" t="s">
        <v>2899</v>
      </c>
      <c r="K8259" s="581">
        <v>0</v>
      </c>
      <c r="L8259" s="108" t="s">
        <v>2900</v>
      </c>
      <c r="M8259" s="581">
        <v>3.32</v>
      </c>
    </row>
    <row r="8260" ht="26.25" spans="3:13">
      <c r="C8260" s="108"/>
      <c r="D8260" s="108"/>
      <c r="E8260" s="108"/>
      <c r="F8260" s="108"/>
      <c r="G8260" s="108"/>
      <c r="H8260" s="108" t="s">
        <v>2901</v>
      </c>
      <c r="I8260" s="581">
        <v>1.24</v>
      </c>
      <c r="J8260" s="114"/>
      <c r="K8260" s="114" t="s">
        <v>2902</v>
      </c>
      <c r="L8260" s="108"/>
      <c r="M8260" s="581">
        <v>6.11</v>
      </c>
    </row>
    <row r="8261" ht="15" spans="3:13">
      <c r="C8261" s="571"/>
      <c r="D8261" s="571"/>
      <c r="E8261" s="571"/>
      <c r="F8261" s="571"/>
      <c r="G8261" s="571"/>
      <c r="H8261" s="571"/>
      <c r="I8261" s="571"/>
      <c r="J8261" s="571"/>
      <c r="K8261" s="571"/>
      <c r="L8261" s="571"/>
      <c r="M8261" s="571"/>
    </row>
    <row r="8262" ht="15" customHeight="1" spans="3:13">
      <c r="C8262" s="76" t="s">
        <v>2862</v>
      </c>
      <c r="D8262" s="75" t="s">
        <v>63</v>
      </c>
      <c r="E8262" s="76" t="s">
        <v>64</v>
      </c>
      <c r="F8262" s="76" t="s">
        <v>65</v>
      </c>
      <c r="G8262" s="76" t="s">
        <v>2889</v>
      </c>
      <c r="H8262" s="76"/>
      <c r="I8262" s="77" t="s">
        <v>66</v>
      </c>
      <c r="J8262" s="75" t="s">
        <v>67</v>
      </c>
      <c r="K8262" s="75" t="s">
        <v>2890</v>
      </c>
      <c r="L8262" s="75" t="s">
        <v>68</v>
      </c>
      <c r="M8262" s="75" t="s">
        <v>70</v>
      </c>
    </row>
    <row r="8263" ht="23.85" customHeight="1" spans="3:13">
      <c r="C8263" s="569" t="s">
        <v>2891</v>
      </c>
      <c r="D8263" s="570" t="s">
        <v>293</v>
      </c>
      <c r="E8263" s="569" t="s">
        <v>139</v>
      </c>
      <c r="F8263" s="569" t="s">
        <v>294</v>
      </c>
      <c r="G8263" s="569" t="s">
        <v>3248</v>
      </c>
      <c r="H8263" s="569"/>
      <c r="I8263" s="577" t="s">
        <v>141</v>
      </c>
      <c r="J8263" s="578">
        <v>1</v>
      </c>
      <c r="K8263" s="579"/>
      <c r="L8263" s="579">
        <v>12.97</v>
      </c>
      <c r="M8263" s="579">
        <v>12.97</v>
      </c>
    </row>
    <row r="8264" ht="23.85" customHeight="1" spans="3:13">
      <c r="C8264" s="79" t="s">
        <v>2921</v>
      </c>
      <c r="D8264" s="78" t="s">
        <v>3017</v>
      </c>
      <c r="E8264" s="79" t="s">
        <v>139</v>
      </c>
      <c r="F8264" s="79" t="s">
        <v>3018</v>
      </c>
      <c r="G8264" s="79" t="s">
        <v>2928</v>
      </c>
      <c r="H8264" s="79"/>
      <c r="I8264" s="80" t="s">
        <v>2897</v>
      </c>
      <c r="J8264" s="583">
        <v>0.1087</v>
      </c>
      <c r="K8264" s="583">
        <v>0</v>
      </c>
      <c r="L8264" s="92">
        <v>36.96</v>
      </c>
      <c r="M8264" s="92">
        <v>4.01</v>
      </c>
    </row>
    <row r="8265" ht="23.85" customHeight="1" spans="3:13">
      <c r="C8265" s="79" t="s">
        <v>2921</v>
      </c>
      <c r="D8265" s="78" t="s">
        <v>2952</v>
      </c>
      <c r="E8265" s="79" t="s">
        <v>139</v>
      </c>
      <c r="F8265" s="79" t="s">
        <v>2953</v>
      </c>
      <c r="G8265" s="79" t="s">
        <v>2928</v>
      </c>
      <c r="H8265" s="79"/>
      <c r="I8265" s="80" t="s">
        <v>2897</v>
      </c>
      <c r="J8265" s="583">
        <v>0.3075</v>
      </c>
      <c r="K8265" s="583">
        <v>0</v>
      </c>
      <c r="L8265" s="92">
        <v>29.15</v>
      </c>
      <c r="M8265" s="92">
        <v>8.96</v>
      </c>
    </row>
    <row r="8266" ht="25.5" spans="3:13">
      <c r="C8266" s="108"/>
      <c r="D8266" s="108"/>
      <c r="E8266" s="108"/>
      <c r="F8266" s="108"/>
      <c r="G8266" s="108"/>
      <c r="H8266" s="108" t="s">
        <v>2898</v>
      </c>
      <c r="I8266" s="581">
        <v>8.83</v>
      </c>
      <c r="J8266" s="108" t="s">
        <v>2899</v>
      </c>
      <c r="K8266" s="581">
        <v>0</v>
      </c>
      <c r="L8266" s="108" t="s">
        <v>2900</v>
      </c>
      <c r="M8266" s="581">
        <v>8.83</v>
      </c>
    </row>
    <row r="8267" ht="26.25" spans="3:13">
      <c r="C8267" s="108"/>
      <c r="D8267" s="108"/>
      <c r="E8267" s="108"/>
      <c r="F8267" s="108"/>
      <c r="G8267" s="108"/>
      <c r="H8267" s="108" t="s">
        <v>2901</v>
      </c>
      <c r="I8267" s="581">
        <v>3.3</v>
      </c>
      <c r="J8267" s="114"/>
      <c r="K8267" s="114" t="s">
        <v>2902</v>
      </c>
      <c r="L8267" s="108"/>
      <c r="M8267" s="581">
        <v>16.27</v>
      </c>
    </row>
    <row r="8268" ht="15" spans="3:13">
      <c r="C8268" s="571"/>
      <c r="D8268" s="571"/>
      <c r="E8268" s="571"/>
      <c r="F8268" s="571"/>
      <c r="G8268" s="571"/>
      <c r="H8268" s="571"/>
      <c r="I8268" s="571"/>
      <c r="J8268" s="571"/>
      <c r="K8268" s="571"/>
      <c r="L8268" s="571"/>
      <c r="M8268" s="571"/>
    </row>
    <row r="8269" ht="15" customHeight="1" spans="3:13">
      <c r="C8269" s="76" t="s">
        <v>2863</v>
      </c>
      <c r="D8269" s="75" t="s">
        <v>63</v>
      </c>
      <c r="E8269" s="76" t="s">
        <v>64</v>
      </c>
      <c r="F8269" s="76" t="s">
        <v>65</v>
      </c>
      <c r="G8269" s="76" t="s">
        <v>2889</v>
      </c>
      <c r="H8269" s="76"/>
      <c r="I8269" s="77" t="s">
        <v>66</v>
      </c>
      <c r="J8269" s="75" t="s">
        <v>67</v>
      </c>
      <c r="K8269" s="75" t="s">
        <v>2890</v>
      </c>
      <c r="L8269" s="75" t="s">
        <v>68</v>
      </c>
      <c r="M8269" s="75" t="s">
        <v>70</v>
      </c>
    </row>
    <row r="8270" ht="23.85" customHeight="1" spans="3:13">
      <c r="C8270" s="569" t="s">
        <v>2891</v>
      </c>
      <c r="D8270" s="570" t="s">
        <v>2864</v>
      </c>
      <c r="E8270" s="569" t="s">
        <v>139</v>
      </c>
      <c r="F8270" s="569" t="s">
        <v>2865</v>
      </c>
      <c r="G8270" s="569" t="s">
        <v>3248</v>
      </c>
      <c r="H8270" s="569"/>
      <c r="I8270" s="577" t="s">
        <v>279</v>
      </c>
      <c r="J8270" s="578">
        <v>1</v>
      </c>
      <c r="K8270" s="579"/>
      <c r="L8270" s="579">
        <v>141.46</v>
      </c>
      <c r="M8270" s="579">
        <v>141.46</v>
      </c>
    </row>
    <row r="8271" ht="23.85" customHeight="1" spans="3:13">
      <c r="C8271" s="79" t="s">
        <v>2921</v>
      </c>
      <c r="D8271" s="78" t="s">
        <v>3253</v>
      </c>
      <c r="E8271" s="79" t="s">
        <v>139</v>
      </c>
      <c r="F8271" s="79" t="s">
        <v>3254</v>
      </c>
      <c r="G8271" s="79" t="s">
        <v>2995</v>
      </c>
      <c r="H8271" s="79"/>
      <c r="I8271" s="80" t="s">
        <v>3002</v>
      </c>
      <c r="J8271" s="583">
        <v>1.137</v>
      </c>
      <c r="K8271" s="583">
        <v>0</v>
      </c>
      <c r="L8271" s="92">
        <v>41.23</v>
      </c>
      <c r="M8271" s="92">
        <v>46.87</v>
      </c>
    </row>
    <row r="8272" ht="23.85" customHeight="1" spans="3:13">
      <c r="C8272" s="79" t="s">
        <v>2921</v>
      </c>
      <c r="D8272" s="78" t="s">
        <v>3251</v>
      </c>
      <c r="E8272" s="79" t="s">
        <v>139</v>
      </c>
      <c r="F8272" s="79" t="s">
        <v>3252</v>
      </c>
      <c r="G8272" s="79" t="s">
        <v>2995</v>
      </c>
      <c r="H8272" s="79"/>
      <c r="I8272" s="80" t="s">
        <v>2996</v>
      </c>
      <c r="J8272" s="583">
        <v>0.8695</v>
      </c>
      <c r="K8272" s="583">
        <v>0</v>
      </c>
      <c r="L8272" s="92">
        <v>39.1</v>
      </c>
      <c r="M8272" s="92">
        <v>33.99</v>
      </c>
    </row>
    <row r="8273" ht="35.05" customHeight="1" spans="3:13">
      <c r="C8273" s="79" t="s">
        <v>2921</v>
      </c>
      <c r="D8273" s="78" t="s">
        <v>3255</v>
      </c>
      <c r="E8273" s="79" t="s">
        <v>139</v>
      </c>
      <c r="F8273" s="79" t="s">
        <v>3256</v>
      </c>
      <c r="G8273" s="79" t="s">
        <v>2995</v>
      </c>
      <c r="H8273" s="79"/>
      <c r="I8273" s="80" t="s">
        <v>3002</v>
      </c>
      <c r="J8273" s="583">
        <v>1.137</v>
      </c>
      <c r="K8273" s="583">
        <v>0</v>
      </c>
      <c r="L8273" s="92">
        <v>32.69</v>
      </c>
      <c r="M8273" s="92">
        <v>37.16</v>
      </c>
    </row>
    <row r="8274" ht="23.85" customHeight="1" spans="3:13">
      <c r="C8274" s="79" t="s">
        <v>2921</v>
      </c>
      <c r="D8274" s="78" t="s">
        <v>3017</v>
      </c>
      <c r="E8274" s="79" t="s">
        <v>139</v>
      </c>
      <c r="F8274" s="79" t="s">
        <v>3018</v>
      </c>
      <c r="G8274" s="79" t="s">
        <v>2928</v>
      </c>
      <c r="H8274" s="79"/>
      <c r="I8274" s="80" t="s">
        <v>2897</v>
      </c>
      <c r="J8274" s="583">
        <v>0.0722</v>
      </c>
      <c r="K8274" s="583">
        <v>0</v>
      </c>
      <c r="L8274" s="92">
        <v>36.96</v>
      </c>
      <c r="M8274" s="92">
        <v>2.66</v>
      </c>
    </row>
    <row r="8275" ht="35.05" customHeight="1" spans="3:13">
      <c r="C8275" s="79" t="s">
        <v>2921</v>
      </c>
      <c r="D8275" s="78" t="s">
        <v>3249</v>
      </c>
      <c r="E8275" s="79" t="s">
        <v>139</v>
      </c>
      <c r="F8275" s="79" t="s">
        <v>3250</v>
      </c>
      <c r="G8275" s="79" t="s">
        <v>2995</v>
      </c>
      <c r="H8275" s="79"/>
      <c r="I8275" s="80" t="s">
        <v>2996</v>
      </c>
      <c r="J8275" s="583">
        <v>0.8695</v>
      </c>
      <c r="K8275" s="583">
        <v>0</v>
      </c>
      <c r="L8275" s="92">
        <v>8.9</v>
      </c>
      <c r="M8275" s="92">
        <v>7.73</v>
      </c>
    </row>
    <row r="8276" ht="23.85" customHeight="1" spans="3:13">
      <c r="C8276" s="79" t="s">
        <v>2921</v>
      </c>
      <c r="D8276" s="78" t="s">
        <v>2952</v>
      </c>
      <c r="E8276" s="79" t="s">
        <v>139</v>
      </c>
      <c r="F8276" s="79" t="s">
        <v>2953</v>
      </c>
      <c r="G8276" s="79" t="s">
        <v>2928</v>
      </c>
      <c r="H8276" s="79"/>
      <c r="I8276" s="80" t="s">
        <v>2897</v>
      </c>
      <c r="J8276" s="583">
        <v>0.4479</v>
      </c>
      <c r="K8276" s="583">
        <v>0</v>
      </c>
      <c r="L8276" s="92">
        <v>29.15</v>
      </c>
      <c r="M8276" s="92">
        <v>13.05</v>
      </c>
    </row>
    <row r="8277" ht="25.5" spans="3:13">
      <c r="C8277" s="108"/>
      <c r="D8277" s="108"/>
      <c r="E8277" s="108"/>
      <c r="F8277" s="108"/>
      <c r="G8277" s="108"/>
      <c r="H8277" s="108" t="s">
        <v>2898</v>
      </c>
      <c r="I8277" s="581">
        <v>67.08</v>
      </c>
      <c r="J8277" s="108" t="s">
        <v>2899</v>
      </c>
      <c r="K8277" s="581">
        <v>0</v>
      </c>
      <c r="L8277" s="108" t="s">
        <v>2900</v>
      </c>
      <c r="M8277" s="581">
        <v>67.08</v>
      </c>
    </row>
    <row r="8278" ht="26.25" spans="3:13">
      <c r="C8278" s="108"/>
      <c r="D8278" s="108"/>
      <c r="E8278" s="108"/>
      <c r="F8278" s="108"/>
      <c r="G8278" s="108"/>
      <c r="H8278" s="108" t="s">
        <v>2901</v>
      </c>
      <c r="I8278" s="581">
        <v>36.05</v>
      </c>
      <c r="J8278" s="114"/>
      <c r="K8278" s="114" t="s">
        <v>2902</v>
      </c>
      <c r="L8278" s="108"/>
      <c r="M8278" s="581">
        <v>177.51</v>
      </c>
    </row>
    <row r="8279" ht="15" spans="3:13">
      <c r="C8279" s="571"/>
      <c r="D8279" s="571"/>
      <c r="E8279" s="571"/>
      <c r="F8279" s="571"/>
      <c r="G8279" s="571"/>
      <c r="H8279" s="571"/>
      <c r="I8279" s="571"/>
      <c r="J8279" s="571"/>
      <c r="K8279" s="571"/>
      <c r="L8279" s="571"/>
      <c r="M8279" s="571"/>
    </row>
    <row r="8280" ht="15" customHeight="1" spans="3:13">
      <c r="C8280" s="76" t="s">
        <v>2866</v>
      </c>
      <c r="D8280" s="75" t="s">
        <v>63</v>
      </c>
      <c r="E8280" s="76" t="s">
        <v>64</v>
      </c>
      <c r="F8280" s="76" t="s">
        <v>65</v>
      </c>
      <c r="G8280" s="76" t="s">
        <v>2889</v>
      </c>
      <c r="H8280" s="76"/>
      <c r="I8280" s="77" t="s">
        <v>66</v>
      </c>
      <c r="J8280" s="75" t="s">
        <v>67</v>
      </c>
      <c r="K8280" s="75" t="s">
        <v>2890</v>
      </c>
      <c r="L8280" s="75" t="s">
        <v>68</v>
      </c>
      <c r="M8280" s="75" t="s">
        <v>70</v>
      </c>
    </row>
    <row r="8281" ht="35.05" customHeight="1" spans="3:13">
      <c r="C8281" s="569" t="s">
        <v>2891</v>
      </c>
      <c r="D8281" s="570" t="s">
        <v>2867</v>
      </c>
      <c r="E8281" s="569" t="s">
        <v>139</v>
      </c>
      <c r="F8281" s="569" t="s">
        <v>2868</v>
      </c>
      <c r="G8281" s="569" t="s">
        <v>3282</v>
      </c>
      <c r="H8281" s="569"/>
      <c r="I8281" s="577" t="s">
        <v>141</v>
      </c>
      <c r="J8281" s="578">
        <v>1</v>
      </c>
      <c r="K8281" s="579"/>
      <c r="L8281" s="579">
        <v>0.73</v>
      </c>
      <c r="M8281" s="579">
        <v>0.73</v>
      </c>
    </row>
    <row r="8282" ht="23.85" customHeight="1" spans="3:13">
      <c r="C8282" s="79" t="s">
        <v>2921</v>
      </c>
      <c r="D8282" s="78" t="s">
        <v>5278</v>
      </c>
      <c r="E8282" s="79" t="s">
        <v>139</v>
      </c>
      <c r="F8282" s="79" t="s">
        <v>5279</v>
      </c>
      <c r="G8282" s="79" t="s">
        <v>2995</v>
      </c>
      <c r="H8282" s="79"/>
      <c r="I8282" s="80" t="s">
        <v>3002</v>
      </c>
      <c r="J8282" s="583">
        <v>0.0017</v>
      </c>
      <c r="K8282" s="583">
        <v>0</v>
      </c>
      <c r="L8282" s="92">
        <v>210.93</v>
      </c>
      <c r="M8282" s="92">
        <v>0.35</v>
      </c>
    </row>
    <row r="8283" ht="23.85" customHeight="1" spans="3:13">
      <c r="C8283" s="79" t="s">
        <v>2921</v>
      </c>
      <c r="D8283" s="78" t="s">
        <v>5167</v>
      </c>
      <c r="E8283" s="79" t="s">
        <v>139</v>
      </c>
      <c r="F8283" s="79" t="s">
        <v>5168</v>
      </c>
      <c r="G8283" s="79" t="s">
        <v>2928</v>
      </c>
      <c r="H8283" s="79"/>
      <c r="I8283" s="80" t="s">
        <v>2897</v>
      </c>
      <c r="J8283" s="583">
        <v>0.0046</v>
      </c>
      <c r="K8283" s="583">
        <v>0</v>
      </c>
      <c r="L8283" s="92">
        <v>30.3</v>
      </c>
      <c r="M8283" s="92">
        <v>0.13</v>
      </c>
    </row>
    <row r="8284" ht="23.85" customHeight="1" spans="3:13">
      <c r="C8284" s="79" t="s">
        <v>2921</v>
      </c>
      <c r="D8284" s="78" t="s">
        <v>5280</v>
      </c>
      <c r="E8284" s="79" t="s">
        <v>139</v>
      </c>
      <c r="F8284" s="79" t="s">
        <v>5281</v>
      </c>
      <c r="G8284" s="79" t="s">
        <v>2995</v>
      </c>
      <c r="H8284" s="79"/>
      <c r="I8284" s="80" t="s">
        <v>2996</v>
      </c>
      <c r="J8284" s="583">
        <v>0.0029</v>
      </c>
      <c r="K8284" s="583">
        <v>0</v>
      </c>
      <c r="L8284" s="92">
        <v>88.25</v>
      </c>
      <c r="M8284" s="92">
        <v>0.25</v>
      </c>
    </row>
    <row r="8285" ht="25.5" spans="3:13">
      <c r="C8285" s="108"/>
      <c r="D8285" s="108"/>
      <c r="E8285" s="108"/>
      <c r="F8285" s="108"/>
      <c r="G8285" s="108"/>
      <c r="H8285" s="108" t="s">
        <v>2898</v>
      </c>
      <c r="I8285" s="581">
        <v>0.23</v>
      </c>
      <c r="J8285" s="108" t="s">
        <v>2899</v>
      </c>
      <c r="K8285" s="581">
        <v>0</v>
      </c>
      <c r="L8285" s="108" t="s">
        <v>2900</v>
      </c>
      <c r="M8285" s="581">
        <v>0.23</v>
      </c>
    </row>
    <row r="8286" ht="26.25" spans="3:13">
      <c r="C8286" s="108"/>
      <c r="D8286" s="108"/>
      <c r="E8286" s="108"/>
      <c r="F8286" s="108"/>
      <c r="G8286" s="108"/>
      <c r="H8286" s="108" t="s">
        <v>2901</v>
      </c>
      <c r="I8286" s="581">
        <v>0.18</v>
      </c>
      <c r="J8286" s="114"/>
      <c r="K8286" s="114" t="s">
        <v>2902</v>
      </c>
      <c r="L8286" s="108"/>
      <c r="M8286" s="581">
        <v>0.91</v>
      </c>
    </row>
    <row r="8287" ht="15" spans="3:13">
      <c r="C8287" s="571"/>
      <c r="D8287" s="571"/>
      <c r="E8287" s="571"/>
      <c r="F8287" s="571"/>
      <c r="G8287" s="571"/>
      <c r="H8287" s="571"/>
      <c r="I8287" s="571"/>
      <c r="J8287" s="571"/>
      <c r="K8287" s="571"/>
      <c r="L8287" s="571"/>
      <c r="M8287" s="571"/>
    </row>
    <row r="8288" ht="15" customHeight="1" spans="3:13">
      <c r="C8288" s="76" t="s">
        <v>2871</v>
      </c>
      <c r="D8288" s="75" t="s">
        <v>63</v>
      </c>
      <c r="E8288" s="76" t="s">
        <v>64</v>
      </c>
      <c r="F8288" s="76" t="s">
        <v>65</v>
      </c>
      <c r="G8288" s="76" t="s">
        <v>2889</v>
      </c>
      <c r="H8288" s="76"/>
      <c r="I8288" s="77" t="s">
        <v>66</v>
      </c>
      <c r="J8288" s="75" t="s">
        <v>67</v>
      </c>
      <c r="K8288" s="75" t="s">
        <v>2890</v>
      </c>
      <c r="L8288" s="75" t="s">
        <v>68</v>
      </c>
      <c r="M8288" s="75" t="s">
        <v>70</v>
      </c>
    </row>
    <row r="8289" spans="3:13">
      <c r="C8289" s="569" t="s">
        <v>2891</v>
      </c>
      <c r="D8289" s="570" t="s">
        <v>2872</v>
      </c>
      <c r="E8289" s="569" t="s">
        <v>77</v>
      </c>
      <c r="F8289" s="569" t="s">
        <v>5282</v>
      </c>
      <c r="G8289" s="569">
        <v>20</v>
      </c>
      <c r="H8289" s="569"/>
      <c r="I8289" s="577" t="s">
        <v>134</v>
      </c>
      <c r="J8289" s="578">
        <v>1</v>
      </c>
      <c r="K8289" s="579"/>
      <c r="L8289" s="579">
        <v>11.84</v>
      </c>
      <c r="M8289" s="579">
        <v>11.84</v>
      </c>
    </row>
    <row r="8290" ht="23.85" customHeight="1" spans="3:13">
      <c r="C8290" s="100" t="s">
        <v>2893</v>
      </c>
      <c r="D8290" s="99" t="s">
        <v>3108</v>
      </c>
      <c r="E8290" s="100" t="s">
        <v>77</v>
      </c>
      <c r="F8290" s="100" t="s">
        <v>3109</v>
      </c>
      <c r="G8290" s="100" t="s">
        <v>2896</v>
      </c>
      <c r="H8290" s="100"/>
      <c r="I8290" s="101" t="s">
        <v>2897</v>
      </c>
      <c r="J8290" s="580">
        <v>0.6</v>
      </c>
      <c r="K8290" s="580">
        <v>3</v>
      </c>
      <c r="L8290" s="102">
        <v>19.16</v>
      </c>
      <c r="M8290" s="102">
        <v>11.84</v>
      </c>
    </row>
    <row r="8291" ht="25.5" spans="3:13">
      <c r="C8291" s="108"/>
      <c r="D8291" s="108"/>
      <c r="E8291" s="108"/>
      <c r="F8291" s="108"/>
      <c r="G8291" s="108"/>
      <c r="H8291" s="108" t="s">
        <v>2898</v>
      </c>
      <c r="I8291" s="581">
        <v>11.84</v>
      </c>
      <c r="J8291" s="108" t="s">
        <v>2899</v>
      </c>
      <c r="K8291" s="581">
        <v>0</v>
      </c>
      <c r="L8291" s="108" t="s">
        <v>2900</v>
      </c>
      <c r="M8291" s="581">
        <v>11.84</v>
      </c>
    </row>
    <row r="8292" ht="26.25" spans="3:13">
      <c r="C8292" s="108"/>
      <c r="D8292" s="108"/>
      <c r="E8292" s="108"/>
      <c r="F8292" s="108"/>
      <c r="G8292" s="108"/>
      <c r="H8292" s="108" t="s">
        <v>2901</v>
      </c>
      <c r="I8292" s="581">
        <v>3.01</v>
      </c>
      <c r="J8292" s="114"/>
      <c r="K8292" s="114" t="s">
        <v>2902</v>
      </c>
      <c r="L8292" s="108"/>
      <c r="M8292" s="581">
        <v>14.85</v>
      </c>
    </row>
    <row r="8293" ht="15" spans="3:13">
      <c r="C8293" s="571"/>
      <c r="D8293" s="571"/>
      <c r="E8293" s="571"/>
      <c r="F8293" s="571"/>
      <c r="G8293" s="571"/>
      <c r="H8293" s="571"/>
      <c r="I8293" s="571"/>
      <c r="J8293" s="571"/>
      <c r="K8293" s="571"/>
      <c r="L8293" s="571"/>
      <c r="M8293" s="571"/>
    </row>
    <row r="8294" ht="15" customHeight="1" spans="3:13">
      <c r="C8294" s="76" t="s">
        <v>2874</v>
      </c>
      <c r="D8294" s="75" t="s">
        <v>63</v>
      </c>
      <c r="E8294" s="76" t="s">
        <v>64</v>
      </c>
      <c r="F8294" s="76" t="s">
        <v>65</v>
      </c>
      <c r="G8294" s="76" t="s">
        <v>2889</v>
      </c>
      <c r="H8294" s="76"/>
      <c r="I8294" s="77" t="s">
        <v>66</v>
      </c>
      <c r="J8294" s="75" t="s">
        <v>67</v>
      </c>
      <c r="K8294" s="75" t="s">
        <v>2890</v>
      </c>
      <c r="L8294" s="75" t="s">
        <v>68</v>
      </c>
      <c r="M8294" s="75" t="s">
        <v>70</v>
      </c>
    </row>
    <row r="8295" ht="76.5" spans="3:13">
      <c r="C8295" s="569" t="s">
        <v>2891</v>
      </c>
      <c r="D8295" s="570" t="s">
        <v>2875</v>
      </c>
      <c r="E8295" s="569" t="s">
        <v>77</v>
      </c>
      <c r="F8295" s="569" t="s">
        <v>5283</v>
      </c>
      <c r="G8295" s="569">
        <v>5</v>
      </c>
      <c r="H8295" s="569"/>
      <c r="I8295" s="577" t="s">
        <v>134</v>
      </c>
      <c r="J8295" s="578">
        <v>1</v>
      </c>
      <c r="K8295" s="579"/>
      <c r="L8295" s="579">
        <v>1084.78</v>
      </c>
      <c r="M8295" s="579">
        <v>1084.78</v>
      </c>
    </row>
    <row r="8296" ht="76.5" spans="3:13">
      <c r="C8296" s="79" t="s">
        <v>2921</v>
      </c>
      <c r="D8296" s="78" t="s">
        <v>5284</v>
      </c>
      <c r="E8296" s="79" t="s">
        <v>77</v>
      </c>
      <c r="F8296" s="79" t="s">
        <v>5285</v>
      </c>
      <c r="G8296" s="79">
        <v>19</v>
      </c>
      <c r="H8296" s="79"/>
      <c r="I8296" s="80" t="s">
        <v>2897</v>
      </c>
      <c r="J8296" s="583">
        <v>15</v>
      </c>
      <c r="K8296" s="583">
        <v>0</v>
      </c>
      <c r="L8296" s="92">
        <v>0.16</v>
      </c>
      <c r="M8296" s="92">
        <v>2.4</v>
      </c>
    </row>
    <row r="8297" ht="76.5" spans="3:13">
      <c r="C8297" s="79" t="s">
        <v>2921</v>
      </c>
      <c r="D8297" s="78" t="s">
        <v>5286</v>
      </c>
      <c r="E8297" s="79" t="s">
        <v>77</v>
      </c>
      <c r="F8297" s="79" t="s">
        <v>5285</v>
      </c>
      <c r="G8297" s="79">
        <v>19</v>
      </c>
      <c r="H8297" s="79"/>
      <c r="I8297" s="80" t="s">
        <v>2897</v>
      </c>
      <c r="J8297" s="583">
        <v>0.05</v>
      </c>
      <c r="K8297" s="583">
        <v>0</v>
      </c>
      <c r="L8297" s="92">
        <v>12.63</v>
      </c>
      <c r="M8297" s="92">
        <v>0.63</v>
      </c>
    </row>
    <row r="8298" ht="15" customHeight="1" spans="3:13">
      <c r="C8298" s="100" t="s">
        <v>2893</v>
      </c>
      <c r="D8298" s="99" t="s">
        <v>5287</v>
      </c>
      <c r="E8298" s="100" t="s">
        <v>77</v>
      </c>
      <c r="F8298" s="100" t="s">
        <v>5288</v>
      </c>
      <c r="G8298" s="100" t="s">
        <v>2961</v>
      </c>
      <c r="H8298" s="100"/>
      <c r="I8298" s="101" t="s">
        <v>393</v>
      </c>
      <c r="J8298" s="580">
        <v>0.3</v>
      </c>
      <c r="K8298" s="580">
        <v>0</v>
      </c>
      <c r="L8298" s="102">
        <v>21.62</v>
      </c>
      <c r="M8298" s="102">
        <v>6.48</v>
      </c>
    </row>
    <row r="8299" ht="35.05" customHeight="1" spans="3:13">
      <c r="C8299" s="100" t="s">
        <v>2893</v>
      </c>
      <c r="D8299" s="99" t="s">
        <v>5289</v>
      </c>
      <c r="E8299" s="100" t="s">
        <v>77</v>
      </c>
      <c r="F8299" s="100" t="s">
        <v>5290</v>
      </c>
      <c r="G8299" s="100" t="s">
        <v>2896</v>
      </c>
      <c r="H8299" s="100"/>
      <c r="I8299" s="101" t="s">
        <v>2897</v>
      </c>
      <c r="J8299" s="580">
        <v>13.5</v>
      </c>
      <c r="K8299" s="580">
        <v>3</v>
      </c>
      <c r="L8299" s="102">
        <v>26.52</v>
      </c>
      <c r="M8299" s="102">
        <v>368.76</v>
      </c>
    </row>
    <row r="8300" ht="15" customHeight="1" spans="3:13">
      <c r="C8300" s="100" t="s">
        <v>2893</v>
      </c>
      <c r="D8300" s="99" t="s">
        <v>5291</v>
      </c>
      <c r="E8300" s="100" t="s">
        <v>77</v>
      </c>
      <c r="F8300" s="100" t="s">
        <v>5292</v>
      </c>
      <c r="G8300" s="100" t="s">
        <v>2961</v>
      </c>
      <c r="H8300" s="100"/>
      <c r="I8300" s="101" t="s">
        <v>3084</v>
      </c>
      <c r="J8300" s="580">
        <v>0.3</v>
      </c>
      <c r="K8300" s="580">
        <v>0</v>
      </c>
      <c r="L8300" s="102">
        <v>2.56</v>
      </c>
      <c r="M8300" s="102">
        <v>0.76</v>
      </c>
    </row>
    <row r="8301" ht="23.85" customHeight="1" spans="3:13">
      <c r="C8301" s="100" t="s">
        <v>2893</v>
      </c>
      <c r="D8301" s="99" t="s">
        <v>3589</v>
      </c>
      <c r="E8301" s="100" t="s">
        <v>77</v>
      </c>
      <c r="F8301" s="100" t="s">
        <v>3590</v>
      </c>
      <c r="G8301" s="100" t="s">
        <v>2896</v>
      </c>
      <c r="H8301" s="100"/>
      <c r="I8301" s="101" t="s">
        <v>2897</v>
      </c>
      <c r="J8301" s="580">
        <v>15</v>
      </c>
      <c r="K8301" s="580">
        <v>3</v>
      </c>
      <c r="L8301" s="102">
        <v>26.52</v>
      </c>
      <c r="M8301" s="102">
        <v>409.73</v>
      </c>
    </row>
    <row r="8302" ht="23.85" customHeight="1" spans="3:13">
      <c r="C8302" s="100" t="s">
        <v>2893</v>
      </c>
      <c r="D8302" s="99" t="s">
        <v>3108</v>
      </c>
      <c r="E8302" s="100" t="s">
        <v>77</v>
      </c>
      <c r="F8302" s="100" t="s">
        <v>3109</v>
      </c>
      <c r="G8302" s="100" t="s">
        <v>2896</v>
      </c>
      <c r="H8302" s="100"/>
      <c r="I8302" s="101" t="s">
        <v>2897</v>
      </c>
      <c r="J8302" s="580">
        <v>15</v>
      </c>
      <c r="K8302" s="580">
        <v>3</v>
      </c>
      <c r="L8302" s="102">
        <v>19.16</v>
      </c>
      <c r="M8302" s="102">
        <v>296.02</v>
      </c>
    </row>
    <row r="8303" ht="25.5" spans="3:13">
      <c r="C8303" s="108"/>
      <c r="D8303" s="108"/>
      <c r="E8303" s="108"/>
      <c r="F8303" s="108"/>
      <c r="G8303" s="108"/>
      <c r="H8303" s="108" t="s">
        <v>2898</v>
      </c>
      <c r="I8303" s="581">
        <v>1074.51</v>
      </c>
      <c r="J8303" s="108" t="s">
        <v>2899</v>
      </c>
      <c r="K8303" s="581">
        <v>0</v>
      </c>
      <c r="L8303" s="108" t="s">
        <v>2900</v>
      </c>
      <c r="M8303" s="581">
        <v>1074.51</v>
      </c>
    </row>
    <row r="8304" ht="26.25" spans="3:13">
      <c r="C8304" s="108"/>
      <c r="D8304" s="108"/>
      <c r="E8304" s="108"/>
      <c r="F8304" s="108"/>
      <c r="G8304" s="108"/>
      <c r="H8304" s="108" t="s">
        <v>2901</v>
      </c>
      <c r="I8304" s="581">
        <v>276.51</v>
      </c>
      <c r="J8304" s="114"/>
      <c r="K8304" s="114" t="s">
        <v>2902</v>
      </c>
      <c r="L8304" s="108"/>
      <c r="M8304" s="581">
        <v>1361.29</v>
      </c>
    </row>
    <row r="8305" ht="15" spans="3:13">
      <c r="C8305" s="571"/>
      <c r="D8305" s="571"/>
      <c r="E8305" s="571"/>
      <c r="F8305" s="571"/>
      <c r="G8305" s="571"/>
      <c r="H8305" s="571"/>
      <c r="I8305" s="571"/>
      <c r="J8305" s="571"/>
      <c r="K8305" s="571"/>
      <c r="L8305" s="571"/>
      <c r="M8305" s="571"/>
    </row>
    <row r="8306" ht="15" customHeight="1" spans="3:13">
      <c r="C8306" s="76" t="s">
        <v>2877</v>
      </c>
      <c r="D8306" s="75" t="s">
        <v>63</v>
      </c>
      <c r="E8306" s="76" t="s">
        <v>64</v>
      </c>
      <c r="F8306" s="76" t="s">
        <v>65</v>
      </c>
      <c r="G8306" s="76" t="s">
        <v>2889</v>
      </c>
      <c r="H8306" s="76"/>
      <c r="I8306" s="77" t="s">
        <v>66</v>
      </c>
      <c r="J8306" s="75" t="s">
        <v>67</v>
      </c>
      <c r="K8306" s="75" t="s">
        <v>2890</v>
      </c>
      <c r="L8306" s="75" t="s">
        <v>68</v>
      </c>
      <c r="M8306" s="75" t="s">
        <v>70</v>
      </c>
    </row>
    <row r="8307" ht="35.05" customHeight="1" spans="3:13">
      <c r="C8307" s="569" t="s">
        <v>2891</v>
      </c>
      <c r="D8307" s="570" t="s">
        <v>2878</v>
      </c>
      <c r="E8307" s="569" t="s">
        <v>132</v>
      </c>
      <c r="F8307" s="569" t="s">
        <v>2879</v>
      </c>
      <c r="G8307" s="569" t="s">
        <v>2924</v>
      </c>
      <c r="H8307" s="569"/>
      <c r="I8307" s="577" t="s">
        <v>141</v>
      </c>
      <c r="J8307" s="578">
        <v>1</v>
      </c>
      <c r="K8307" s="579"/>
      <c r="L8307" s="579">
        <v>4.96</v>
      </c>
      <c r="M8307" s="579">
        <v>4.96</v>
      </c>
    </row>
    <row r="8308" ht="23.85" customHeight="1" spans="3:13">
      <c r="C8308" s="79" t="s">
        <v>2921</v>
      </c>
      <c r="D8308" s="78" t="s">
        <v>2952</v>
      </c>
      <c r="E8308" s="79" t="s">
        <v>139</v>
      </c>
      <c r="F8308" s="79" t="s">
        <v>2953</v>
      </c>
      <c r="G8308" s="79" t="s">
        <v>2928</v>
      </c>
      <c r="H8308" s="79"/>
      <c r="I8308" s="80" t="s">
        <v>2897</v>
      </c>
      <c r="J8308" s="583">
        <v>0.14</v>
      </c>
      <c r="K8308" s="583">
        <v>0</v>
      </c>
      <c r="L8308" s="92">
        <v>29.15</v>
      </c>
      <c r="M8308" s="92">
        <v>4.08</v>
      </c>
    </row>
    <row r="8309" ht="23.85" customHeight="1" spans="3:13">
      <c r="C8309" s="100" t="s">
        <v>2893</v>
      </c>
      <c r="D8309" s="99" t="s">
        <v>5293</v>
      </c>
      <c r="E8309" s="100" t="s">
        <v>139</v>
      </c>
      <c r="F8309" s="100" t="s">
        <v>5294</v>
      </c>
      <c r="G8309" s="100" t="s">
        <v>2961</v>
      </c>
      <c r="H8309" s="100"/>
      <c r="I8309" s="101" t="s">
        <v>3084</v>
      </c>
      <c r="J8309" s="580">
        <v>0.05</v>
      </c>
      <c r="K8309" s="580">
        <v>0</v>
      </c>
      <c r="L8309" s="102">
        <v>17.64</v>
      </c>
      <c r="M8309" s="102">
        <v>0.88</v>
      </c>
    </row>
    <row r="8310" ht="25.5" spans="3:13">
      <c r="C8310" s="108"/>
      <c r="D8310" s="108"/>
      <c r="E8310" s="108"/>
      <c r="F8310" s="108"/>
      <c r="G8310" s="108"/>
      <c r="H8310" s="108" t="s">
        <v>2898</v>
      </c>
      <c r="I8310" s="581">
        <v>2.69</v>
      </c>
      <c r="J8310" s="108" t="s">
        <v>2899</v>
      </c>
      <c r="K8310" s="581">
        <v>0</v>
      </c>
      <c r="L8310" s="108" t="s">
        <v>2900</v>
      </c>
      <c r="M8310" s="581">
        <v>2.69</v>
      </c>
    </row>
    <row r="8311" ht="26.25" spans="3:13">
      <c r="C8311" s="108"/>
      <c r="D8311" s="108"/>
      <c r="E8311" s="108"/>
      <c r="F8311" s="108"/>
      <c r="G8311" s="108"/>
      <c r="H8311" s="108" t="s">
        <v>2901</v>
      </c>
      <c r="I8311" s="581">
        <v>1.26</v>
      </c>
      <c r="J8311" s="114"/>
      <c r="K8311" s="114" t="s">
        <v>2902</v>
      </c>
      <c r="L8311" s="108"/>
      <c r="M8311" s="581">
        <v>6.22</v>
      </c>
    </row>
    <row r="8312" ht="15" spans="3:13">
      <c r="C8312" s="571"/>
      <c r="D8312" s="571"/>
      <c r="E8312" s="571"/>
      <c r="F8312" s="571"/>
      <c r="G8312" s="571"/>
      <c r="H8312" s="571"/>
      <c r="I8312" s="571"/>
      <c r="J8312" s="571"/>
      <c r="K8312" s="571"/>
      <c r="L8312" s="571"/>
      <c r="M8312" s="571"/>
    </row>
    <row r="8313" ht="15" customHeight="1" spans="3:13">
      <c r="C8313" s="568" t="s">
        <v>5295</v>
      </c>
      <c r="D8313" s="568"/>
      <c r="E8313" s="568"/>
      <c r="F8313" s="568"/>
      <c r="G8313" s="568"/>
      <c r="H8313" s="568"/>
      <c r="I8313" s="568"/>
      <c r="J8313" s="568"/>
      <c r="K8313" s="568"/>
      <c r="L8313" s="568"/>
      <c r="M8313" s="568"/>
    </row>
    <row r="8314" ht="15" customHeight="1" spans="3:13">
      <c r="C8314" s="76"/>
      <c r="D8314" s="75" t="s">
        <v>63</v>
      </c>
      <c r="E8314" s="76" t="s">
        <v>64</v>
      </c>
      <c r="F8314" s="76" t="s">
        <v>65</v>
      </c>
      <c r="G8314" s="76" t="s">
        <v>2889</v>
      </c>
      <c r="H8314" s="76"/>
      <c r="I8314" s="77" t="s">
        <v>66</v>
      </c>
      <c r="J8314" s="75" t="s">
        <v>67</v>
      </c>
      <c r="K8314" s="75" t="s">
        <v>2890</v>
      </c>
      <c r="L8314" s="75" t="s">
        <v>68</v>
      </c>
      <c r="M8314" s="75" t="s">
        <v>70</v>
      </c>
    </row>
    <row r="8315" ht="35.05" customHeight="1" spans="3:13">
      <c r="C8315" s="569" t="s">
        <v>2891</v>
      </c>
      <c r="D8315" s="570" t="s">
        <v>3202</v>
      </c>
      <c r="E8315" s="569" t="s">
        <v>139</v>
      </c>
      <c r="F8315" s="569" t="s">
        <v>3203</v>
      </c>
      <c r="G8315" s="569" t="s">
        <v>3201</v>
      </c>
      <c r="H8315" s="569"/>
      <c r="I8315" s="577" t="s">
        <v>134</v>
      </c>
      <c r="J8315" s="578">
        <v>1</v>
      </c>
      <c r="K8315" s="579"/>
      <c r="L8315" s="579">
        <v>22.11</v>
      </c>
      <c r="M8315" s="579">
        <v>22.11</v>
      </c>
    </row>
    <row r="8316" ht="23.85" customHeight="1" spans="3:13">
      <c r="C8316" s="79" t="s">
        <v>2921</v>
      </c>
      <c r="D8316" s="78" t="s">
        <v>3146</v>
      </c>
      <c r="E8316" s="79" t="s">
        <v>139</v>
      </c>
      <c r="F8316" s="79" t="s">
        <v>3147</v>
      </c>
      <c r="G8316" s="79" t="s">
        <v>2928</v>
      </c>
      <c r="H8316" s="79"/>
      <c r="I8316" s="80" t="s">
        <v>2897</v>
      </c>
      <c r="J8316" s="583">
        <v>0.1338</v>
      </c>
      <c r="K8316" s="583">
        <v>0</v>
      </c>
      <c r="L8316" s="92">
        <v>29.54</v>
      </c>
      <c r="M8316" s="92">
        <v>3.95</v>
      </c>
    </row>
    <row r="8317" ht="23.85" customHeight="1" spans="3:13">
      <c r="C8317" s="79" t="s">
        <v>2921</v>
      </c>
      <c r="D8317" s="78" t="s">
        <v>3144</v>
      </c>
      <c r="E8317" s="79" t="s">
        <v>139</v>
      </c>
      <c r="F8317" s="79" t="s">
        <v>3145</v>
      </c>
      <c r="G8317" s="79" t="s">
        <v>2928</v>
      </c>
      <c r="H8317" s="79"/>
      <c r="I8317" s="80" t="s">
        <v>2897</v>
      </c>
      <c r="J8317" s="583">
        <v>0.1338</v>
      </c>
      <c r="K8317" s="583">
        <v>0</v>
      </c>
      <c r="L8317" s="92">
        <v>35.55</v>
      </c>
      <c r="M8317" s="92">
        <v>4.75</v>
      </c>
    </row>
    <row r="8318" ht="23.85" customHeight="1" spans="3:13">
      <c r="C8318" s="100" t="s">
        <v>2893</v>
      </c>
      <c r="D8318" s="99" t="s">
        <v>5296</v>
      </c>
      <c r="E8318" s="100" t="s">
        <v>139</v>
      </c>
      <c r="F8318" s="100" t="s">
        <v>5297</v>
      </c>
      <c r="G8318" s="100" t="s">
        <v>2961</v>
      </c>
      <c r="H8318" s="100"/>
      <c r="I8318" s="101" t="s">
        <v>134</v>
      </c>
      <c r="J8318" s="580">
        <v>1</v>
      </c>
      <c r="K8318" s="580">
        <v>0</v>
      </c>
      <c r="L8318" s="102">
        <v>12.84</v>
      </c>
      <c r="M8318" s="102">
        <v>12.84</v>
      </c>
    </row>
    <row r="8319" ht="23.85" customHeight="1" spans="3:13">
      <c r="C8319" s="100" t="s">
        <v>2893</v>
      </c>
      <c r="D8319" s="99" t="s">
        <v>3616</v>
      </c>
      <c r="E8319" s="100" t="s">
        <v>139</v>
      </c>
      <c r="F8319" s="100" t="s">
        <v>3617</v>
      </c>
      <c r="G8319" s="100" t="s">
        <v>2961</v>
      </c>
      <c r="H8319" s="100"/>
      <c r="I8319" s="101" t="s">
        <v>134</v>
      </c>
      <c r="J8319" s="580">
        <v>0.004</v>
      </c>
      <c r="K8319" s="580">
        <v>0</v>
      </c>
      <c r="L8319" s="102">
        <v>82.38</v>
      </c>
      <c r="M8319" s="102">
        <v>0.32</v>
      </c>
    </row>
    <row r="8320" ht="15" customHeight="1" spans="3:13">
      <c r="C8320" s="100" t="s">
        <v>2893</v>
      </c>
      <c r="D8320" s="99" t="s">
        <v>3618</v>
      </c>
      <c r="E8320" s="100" t="s">
        <v>139</v>
      </c>
      <c r="F8320" s="100" t="s">
        <v>3619</v>
      </c>
      <c r="G8320" s="100" t="s">
        <v>2961</v>
      </c>
      <c r="H8320" s="100"/>
      <c r="I8320" s="101" t="s">
        <v>134</v>
      </c>
      <c r="J8320" s="580">
        <v>0.0035</v>
      </c>
      <c r="K8320" s="580">
        <v>0</v>
      </c>
      <c r="L8320" s="102">
        <v>72.71</v>
      </c>
      <c r="M8320" s="102">
        <v>0.25</v>
      </c>
    </row>
    <row r="8321" ht="25.5" spans="3:13">
      <c r="C8321" s="108"/>
      <c r="D8321" s="108"/>
      <c r="E8321" s="108"/>
      <c r="F8321" s="108"/>
      <c r="G8321" s="108"/>
      <c r="H8321" s="108" t="s">
        <v>2898</v>
      </c>
      <c r="I8321" s="581">
        <v>6.19</v>
      </c>
      <c r="J8321" s="108" t="s">
        <v>2899</v>
      </c>
      <c r="K8321" s="581">
        <v>0</v>
      </c>
      <c r="L8321" s="108" t="s">
        <v>2900</v>
      </c>
      <c r="M8321" s="581">
        <v>6.19</v>
      </c>
    </row>
    <row r="8322" ht="26.25" spans="3:13">
      <c r="C8322" s="108"/>
      <c r="D8322" s="108"/>
      <c r="E8322" s="108"/>
      <c r="F8322" s="108"/>
      <c r="G8322" s="108"/>
      <c r="H8322" s="108" t="s">
        <v>2901</v>
      </c>
      <c r="I8322" s="581">
        <v>5.63</v>
      </c>
      <c r="J8322" s="114"/>
      <c r="K8322" s="114" t="s">
        <v>2902</v>
      </c>
      <c r="L8322" s="108"/>
      <c r="M8322" s="581">
        <v>27.74</v>
      </c>
    </row>
    <row r="8323" ht="15" spans="3:13">
      <c r="C8323" s="571"/>
      <c r="D8323" s="571"/>
      <c r="E8323" s="571"/>
      <c r="F8323" s="571"/>
      <c r="G8323" s="571"/>
      <c r="H8323" s="571"/>
      <c r="I8323" s="571"/>
      <c r="J8323" s="571"/>
      <c r="K8323" s="571"/>
      <c r="L8323" s="571"/>
      <c r="M8323" s="571"/>
    </row>
    <row r="8324" ht="15" customHeight="1" spans="3:13">
      <c r="C8324" s="76"/>
      <c r="D8324" s="75" t="s">
        <v>63</v>
      </c>
      <c r="E8324" s="76" t="s">
        <v>64</v>
      </c>
      <c r="F8324" s="76" t="s">
        <v>65</v>
      </c>
      <c r="G8324" s="76" t="s">
        <v>2889</v>
      </c>
      <c r="H8324" s="76"/>
      <c r="I8324" s="77" t="s">
        <v>66</v>
      </c>
      <c r="J8324" s="75" t="s">
        <v>67</v>
      </c>
      <c r="K8324" s="75" t="s">
        <v>2890</v>
      </c>
      <c r="L8324" s="75" t="s">
        <v>68</v>
      </c>
      <c r="M8324" s="75" t="s">
        <v>70</v>
      </c>
    </row>
    <row r="8325" ht="35.05" customHeight="1" spans="3:13">
      <c r="C8325" s="569" t="s">
        <v>2891</v>
      </c>
      <c r="D8325" s="570" t="s">
        <v>5298</v>
      </c>
      <c r="E8325" s="569" t="s">
        <v>139</v>
      </c>
      <c r="F8325" s="569" t="s">
        <v>5299</v>
      </c>
      <c r="G8325" s="569" t="s">
        <v>3135</v>
      </c>
      <c r="H8325" s="569"/>
      <c r="I8325" s="577" t="s">
        <v>134</v>
      </c>
      <c r="J8325" s="578">
        <v>1</v>
      </c>
      <c r="K8325" s="579"/>
      <c r="L8325" s="579">
        <v>8.11</v>
      </c>
      <c r="M8325" s="579">
        <v>8.11</v>
      </c>
    </row>
    <row r="8326" ht="23.85" customHeight="1" spans="3:13">
      <c r="C8326" s="79" t="s">
        <v>2921</v>
      </c>
      <c r="D8326" s="78" t="s">
        <v>3144</v>
      </c>
      <c r="E8326" s="79" t="s">
        <v>139</v>
      </c>
      <c r="F8326" s="79" t="s">
        <v>3145</v>
      </c>
      <c r="G8326" s="79" t="s">
        <v>2928</v>
      </c>
      <c r="H8326" s="79"/>
      <c r="I8326" s="80" t="s">
        <v>2897</v>
      </c>
      <c r="J8326" s="583">
        <v>0.0944</v>
      </c>
      <c r="K8326" s="583">
        <v>0</v>
      </c>
      <c r="L8326" s="92">
        <v>35.55</v>
      </c>
      <c r="M8326" s="92">
        <v>3.35</v>
      </c>
    </row>
    <row r="8327" ht="23.85" customHeight="1" spans="3:13">
      <c r="C8327" s="79" t="s">
        <v>2921</v>
      </c>
      <c r="D8327" s="78" t="s">
        <v>3146</v>
      </c>
      <c r="E8327" s="79" t="s">
        <v>139</v>
      </c>
      <c r="F8327" s="79" t="s">
        <v>3147</v>
      </c>
      <c r="G8327" s="79" t="s">
        <v>2928</v>
      </c>
      <c r="H8327" s="79"/>
      <c r="I8327" s="80" t="s">
        <v>2897</v>
      </c>
      <c r="J8327" s="583">
        <v>0.0944</v>
      </c>
      <c r="K8327" s="583">
        <v>0</v>
      </c>
      <c r="L8327" s="92">
        <v>29.54</v>
      </c>
      <c r="M8327" s="92">
        <v>2.78</v>
      </c>
    </row>
    <row r="8328" ht="15" customHeight="1" spans="3:13">
      <c r="C8328" s="100" t="s">
        <v>2893</v>
      </c>
      <c r="D8328" s="99" t="s">
        <v>3609</v>
      </c>
      <c r="E8328" s="100" t="s">
        <v>139</v>
      </c>
      <c r="F8328" s="100" t="s">
        <v>3610</v>
      </c>
      <c r="G8328" s="100" t="s">
        <v>2961</v>
      </c>
      <c r="H8328" s="100"/>
      <c r="I8328" s="101" t="s">
        <v>134</v>
      </c>
      <c r="J8328" s="580">
        <v>0.0315</v>
      </c>
      <c r="K8328" s="580">
        <v>0</v>
      </c>
      <c r="L8328" s="102">
        <v>2.08</v>
      </c>
      <c r="M8328" s="102">
        <v>0.06</v>
      </c>
    </row>
    <row r="8329" ht="23.85" customHeight="1" spans="3:13">
      <c r="C8329" s="100" t="s">
        <v>2893</v>
      </c>
      <c r="D8329" s="99" t="s">
        <v>3616</v>
      </c>
      <c r="E8329" s="100" t="s">
        <v>139</v>
      </c>
      <c r="F8329" s="100" t="s">
        <v>3617</v>
      </c>
      <c r="G8329" s="100" t="s">
        <v>2961</v>
      </c>
      <c r="H8329" s="100"/>
      <c r="I8329" s="101" t="s">
        <v>134</v>
      </c>
      <c r="J8329" s="580">
        <v>0.007</v>
      </c>
      <c r="K8329" s="580">
        <v>0</v>
      </c>
      <c r="L8329" s="102">
        <v>82.38</v>
      </c>
      <c r="M8329" s="102">
        <v>0.57</v>
      </c>
    </row>
    <row r="8330" ht="15" customHeight="1" spans="3:13">
      <c r="C8330" s="100" t="s">
        <v>2893</v>
      </c>
      <c r="D8330" s="99" t="s">
        <v>3618</v>
      </c>
      <c r="E8330" s="100" t="s">
        <v>139</v>
      </c>
      <c r="F8330" s="100" t="s">
        <v>3619</v>
      </c>
      <c r="G8330" s="100" t="s">
        <v>2961</v>
      </c>
      <c r="H8330" s="100"/>
      <c r="I8330" s="101" t="s">
        <v>134</v>
      </c>
      <c r="J8330" s="580">
        <v>0.0059</v>
      </c>
      <c r="K8330" s="580">
        <v>0</v>
      </c>
      <c r="L8330" s="102">
        <v>72.71</v>
      </c>
      <c r="M8330" s="102">
        <v>0.42</v>
      </c>
    </row>
    <row r="8331" ht="23.85" customHeight="1" spans="3:13">
      <c r="C8331" s="100" t="s">
        <v>2893</v>
      </c>
      <c r="D8331" s="99" t="s">
        <v>5300</v>
      </c>
      <c r="E8331" s="100" t="s">
        <v>139</v>
      </c>
      <c r="F8331" s="100" t="s">
        <v>5301</v>
      </c>
      <c r="G8331" s="100" t="s">
        <v>2961</v>
      </c>
      <c r="H8331" s="100"/>
      <c r="I8331" s="101" t="s">
        <v>134</v>
      </c>
      <c r="J8331" s="580">
        <v>1</v>
      </c>
      <c r="K8331" s="580">
        <v>0</v>
      </c>
      <c r="L8331" s="102">
        <v>0.93</v>
      </c>
      <c r="M8331" s="102">
        <v>0.93</v>
      </c>
    </row>
    <row r="8332" ht="25.5" spans="3:13">
      <c r="C8332" s="108"/>
      <c r="D8332" s="108"/>
      <c r="E8332" s="108"/>
      <c r="F8332" s="108"/>
      <c r="G8332" s="108"/>
      <c r="H8332" s="108" t="s">
        <v>2898</v>
      </c>
      <c r="I8332" s="581">
        <v>4.37</v>
      </c>
      <c r="J8332" s="108" t="s">
        <v>2899</v>
      </c>
      <c r="K8332" s="581">
        <v>0</v>
      </c>
      <c r="L8332" s="108" t="s">
        <v>2900</v>
      </c>
      <c r="M8332" s="581">
        <v>4.37</v>
      </c>
    </row>
    <row r="8333" ht="26.25" spans="3:13">
      <c r="C8333" s="108"/>
      <c r="D8333" s="108"/>
      <c r="E8333" s="108"/>
      <c r="F8333" s="108"/>
      <c r="G8333" s="108"/>
      <c r="H8333" s="108" t="s">
        <v>2901</v>
      </c>
      <c r="I8333" s="581">
        <v>2.06</v>
      </c>
      <c r="J8333" s="114"/>
      <c r="K8333" s="114" t="s">
        <v>2902</v>
      </c>
      <c r="L8333" s="108"/>
      <c r="M8333" s="581">
        <v>10.17</v>
      </c>
    </row>
    <row r="8334" ht="15" spans="3:13">
      <c r="C8334" s="571"/>
      <c r="D8334" s="571"/>
      <c r="E8334" s="571"/>
      <c r="F8334" s="571"/>
      <c r="G8334" s="571"/>
      <c r="H8334" s="571"/>
      <c r="I8334" s="571"/>
      <c r="J8334" s="571"/>
      <c r="K8334" s="571"/>
      <c r="L8334" s="571"/>
      <c r="M8334" s="571"/>
    </row>
    <row r="8335" ht="15" customHeight="1" spans="3:13">
      <c r="C8335" s="76"/>
      <c r="D8335" s="75" t="s">
        <v>63</v>
      </c>
      <c r="E8335" s="76" t="s">
        <v>64</v>
      </c>
      <c r="F8335" s="76" t="s">
        <v>65</v>
      </c>
      <c r="G8335" s="76" t="s">
        <v>2889</v>
      </c>
      <c r="H8335" s="76"/>
      <c r="I8335" s="77" t="s">
        <v>66</v>
      </c>
      <c r="J8335" s="75" t="s">
        <v>67</v>
      </c>
      <c r="K8335" s="75" t="s">
        <v>2890</v>
      </c>
      <c r="L8335" s="75" t="s">
        <v>68</v>
      </c>
      <c r="M8335" s="75" t="s">
        <v>70</v>
      </c>
    </row>
    <row r="8336" ht="23.85" customHeight="1" spans="3:13">
      <c r="C8336" s="569" t="s">
        <v>2891</v>
      </c>
      <c r="D8336" s="570" t="s">
        <v>3311</v>
      </c>
      <c r="E8336" s="569" t="s">
        <v>139</v>
      </c>
      <c r="F8336" s="569" t="s">
        <v>3312</v>
      </c>
      <c r="G8336" s="569" t="s">
        <v>2928</v>
      </c>
      <c r="H8336" s="569"/>
      <c r="I8336" s="577" t="s">
        <v>2897</v>
      </c>
      <c r="J8336" s="578">
        <v>1</v>
      </c>
      <c r="K8336" s="579"/>
      <c r="L8336" s="579">
        <v>30.06</v>
      </c>
      <c r="M8336" s="579">
        <v>30.06</v>
      </c>
    </row>
    <row r="8337" ht="23.85" customHeight="1" spans="3:13">
      <c r="C8337" s="79" t="s">
        <v>2921</v>
      </c>
      <c r="D8337" s="78" t="s">
        <v>5302</v>
      </c>
      <c r="E8337" s="79" t="s">
        <v>139</v>
      </c>
      <c r="F8337" s="79" t="s">
        <v>5303</v>
      </c>
      <c r="G8337" s="79" t="s">
        <v>2928</v>
      </c>
      <c r="H8337" s="79"/>
      <c r="I8337" s="80" t="s">
        <v>2897</v>
      </c>
      <c r="J8337" s="583">
        <v>1</v>
      </c>
      <c r="K8337" s="583">
        <v>0</v>
      </c>
      <c r="L8337" s="92">
        <v>0.22</v>
      </c>
      <c r="M8337" s="92">
        <v>0.22</v>
      </c>
    </row>
    <row r="8338" ht="23.85" customHeight="1" spans="3:13">
      <c r="C8338" s="100" t="s">
        <v>2893</v>
      </c>
      <c r="D8338" s="99" t="s">
        <v>5304</v>
      </c>
      <c r="E8338" s="100" t="s">
        <v>139</v>
      </c>
      <c r="F8338" s="100" t="s">
        <v>5305</v>
      </c>
      <c r="G8338" s="100" t="s">
        <v>2961</v>
      </c>
      <c r="H8338" s="100"/>
      <c r="I8338" s="101" t="s">
        <v>2897</v>
      </c>
      <c r="J8338" s="580">
        <v>1</v>
      </c>
      <c r="K8338" s="580">
        <v>0</v>
      </c>
      <c r="L8338" s="102">
        <v>1.31</v>
      </c>
      <c r="M8338" s="102">
        <v>1.31</v>
      </c>
    </row>
    <row r="8339" ht="15" customHeight="1" spans="3:13">
      <c r="C8339" s="100" t="s">
        <v>2893</v>
      </c>
      <c r="D8339" s="99" t="s">
        <v>5306</v>
      </c>
      <c r="E8339" s="100" t="s">
        <v>139</v>
      </c>
      <c r="F8339" s="100" t="s">
        <v>5307</v>
      </c>
      <c r="G8339" s="100" t="s">
        <v>2961</v>
      </c>
      <c r="H8339" s="100"/>
      <c r="I8339" s="101" t="s">
        <v>2897</v>
      </c>
      <c r="J8339" s="580">
        <v>1</v>
      </c>
      <c r="K8339" s="580">
        <v>0</v>
      </c>
      <c r="L8339" s="102">
        <v>1.43</v>
      </c>
      <c r="M8339" s="102">
        <v>1.43</v>
      </c>
    </row>
    <row r="8340" ht="23.85" customHeight="1" spans="3:13">
      <c r="C8340" s="100" t="s">
        <v>2893</v>
      </c>
      <c r="D8340" s="99" t="s">
        <v>5308</v>
      </c>
      <c r="E8340" s="100" t="s">
        <v>139</v>
      </c>
      <c r="F8340" s="100" t="s">
        <v>5309</v>
      </c>
      <c r="G8340" s="100" t="s">
        <v>2961</v>
      </c>
      <c r="H8340" s="100"/>
      <c r="I8340" s="101" t="s">
        <v>2897</v>
      </c>
      <c r="J8340" s="580">
        <v>1</v>
      </c>
      <c r="K8340" s="580">
        <v>0</v>
      </c>
      <c r="L8340" s="102">
        <v>4.84</v>
      </c>
      <c r="M8340" s="102">
        <v>4.84</v>
      </c>
    </row>
    <row r="8341" ht="23.85" customHeight="1" spans="3:13">
      <c r="C8341" s="100" t="s">
        <v>2893</v>
      </c>
      <c r="D8341" s="99" t="s">
        <v>5310</v>
      </c>
      <c r="E8341" s="100" t="s">
        <v>139</v>
      </c>
      <c r="F8341" s="100" t="s">
        <v>5311</v>
      </c>
      <c r="G8341" s="100" t="s">
        <v>2961</v>
      </c>
      <c r="H8341" s="100"/>
      <c r="I8341" s="101" t="s">
        <v>2897</v>
      </c>
      <c r="J8341" s="580">
        <v>1</v>
      </c>
      <c r="K8341" s="580">
        <v>0</v>
      </c>
      <c r="L8341" s="102">
        <v>1.58</v>
      </c>
      <c r="M8341" s="102">
        <v>1.58</v>
      </c>
    </row>
    <row r="8342" ht="15" customHeight="1" spans="3:13">
      <c r="C8342" s="100" t="s">
        <v>2893</v>
      </c>
      <c r="D8342" s="99" t="s">
        <v>5312</v>
      </c>
      <c r="E8342" s="100" t="s">
        <v>139</v>
      </c>
      <c r="F8342" s="100" t="s">
        <v>5313</v>
      </c>
      <c r="G8342" s="100" t="s">
        <v>2961</v>
      </c>
      <c r="H8342" s="100"/>
      <c r="I8342" s="101" t="s">
        <v>2897</v>
      </c>
      <c r="J8342" s="580">
        <v>1</v>
      </c>
      <c r="K8342" s="580">
        <v>0</v>
      </c>
      <c r="L8342" s="102">
        <v>0.08</v>
      </c>
      <c r="M8342" s="102">
        <v>0.08</v>
      </c>
    </row>
    <row r="8343" ht="23.85" customHeight="1" spans="3:13">
      <c r="C8343" s="100" t="s">
        <v>2893</v>
      </c>
      <c r="D8343" s="99" t="s">
        <v>5314</v>
      </c>
      <c r="E8343" s="100" t="s">
        <v>139</v>
      </c>
      <c r="F8343" s="100" t="s">
        <v>5315</v>
      </c>
      <c r="G8343" s="100" t="s">
        <v>2961</v>
      </c>
      <c r="H8343" s="100"/>
      <c r="I8343" s="101" t="s">
        <v>2897</v>
      </c>
      <c r="J8343" s="580">
        <v>1</v>
      </c>
      <c r="K8343" s="580">
        <v>0</v>
      </c>
      <c r="L8343" s="102">
        <v>0.78</v>
      </c>
      <c r="M8343" s="102">
        <v>0.78</v>
      </c>
    </row>
    <row r="8344" ht="15" customHeight="1" spans="3:13">
      <c r="C8344" s="100" t="s">
        <v>2893</v>
      </c>
      <c r="D8344" s="99" t="s">
        <v>5316</v>
      </c>
      <c r="E8344" s="100" t="s">
        <v>139</v>
      </c>
      <c r="F8344" s="100" t="s">
        <v>5317</v>
      </c>
      <c r="G8344" s="100" t="s">
        <v>2896</v>
      </c>
      <c r="H8344" s="100"/>
      <c r="I8344" s="101" t="s">
        <v>2897</v>
      </c>
      <c r="J8344" s="580">
        <v>1</v>
      </c>
      <c r="K8344" s="580">
        <v>0</v>
      </c>
      <c r="L8344" s="102">
        <v>19.82</v>
      </c>
      <c r="M8344" s="102">
        <v>19.82</v>
      </c>
    </row>
    <row r="8345" ht="25.5" spans="3:13">
      <c r="C8345" s="108"/>
      <c r="D8345" s="108"/>
      <c r="E8345" s="108"/>
      <c r="F8345" s="108"/>
      <c r="G8345" s="108"/>
      <c r="H8345" s="108" t="s">
        <v>2898</v>
      </c>
      <c r="I8345" s="581">
        <v>20.04</v>
      </c>
      <c r="J8345" s="108" t="s">
        <v>2899</v>
      </c>
      <c r="K8345" s="581">
        <v>0</v>
      </c>
      <c r="L8345" s="108" t="s">
        <v>2900</v>
      </c>
      <c r="M8345" s="581">
        <v>20.04</v>
      </c>
    </row>
    <row r="8346" ht="26.25" spans="3:13">
      <c r="C8346" s="108"/>
      <c r="D8346" s="108"/>
      <c r="E8346" s="108"/>
      <c r="F8346" s="108"/>
      <c r="G8346" s="108"/>
      <c r="H8346" s="108" t="s">
        <v>2901</v>
      </c>
      <c r="I8346" s="581">
        <v>7.66</v>
      </c>
      <c r="J8346" s="114"/>
      <c r="K8346" s="114" t="s">
        <v>2902</v>
      </c>
      <c r="L8346" s="108"/>
      <c r="M8346" s="581">
        <v>37.72</v>
      </c>
    </row>
    <row r="8347" ht="15" spans="3:13">
      <c r="C8347" s="571"/>
      <c r="D8347" s="571"/>
      <c r="E8347" s="571"/>
      <c r="F8347" s="571"/>
      <c r="G8347" s="571"/>
      <c r="H8347" s="571"/>
      <c r="I8347" s="571"/>
      <c r="J8347" s="571"/>
      <c r="K8347" s="571"/>
      <c r="L8347" s="571"/>
      <c r="M8347" s="571"/>
    </row>
    <row r="8348" ht="15" customHeight="1" spans="3:13">
      <c r="C8348" s="76"/>
      <c r="D8348" s="75" t="s">
        <v>63</v>
      </c>
      <c r="E8348" s="76" t="s">
        <v>64</v>
      </c>
      <c r="F8348" s="76" t="s">
        <v>65</v>
      </c>
      <c r="G8348" s="76" t="s">
        <v>2889</v>
      </c>
      <c r="H8348" s="76"/>
      <c r="I8348" s="77" t="s">
        <v>66</v>
      </c>
      <c r="J8348" s="75" t="s">
        <v>67</v>
      </c>
      <c r="K8348" s="75" t="s">
        <v>2890</v>
      </c>
      <c r="L8348" s="75" t="s">
        <v>68</v>
      </c>
      <c r="M8348" s="75" t="s">
        <v>70</v>
      </c>
    </row>
    <row r="8349" ht="23.85" customHeight="1" spans="3:13">
      <c r="C8349" s="569" t="s">
        <v>2891</v>
      </c>
      <c r="D8349" s="570" t="s">
        <v>3003</v>
      </c>
      <c r="E8349" s="569" t="s">
        <v>139</v>
      </c>
      <c r="F8349" s="569" t="s">
        <v>3004</v>
      </c>
      <c r="G8349" s="569" t="s">
        <v>2928</v>
      </c>
      <c r="H8349" s="569"/>
      <c r="I8349" s="577" t="s">
        <v>2897</v>
      </c>
      <c r="J8349" s="578">
        <v>1</v>
      </c>
      <c r="K8349" s="579"/>
      <c r="L8349" s="579">
        <v>29.91</v>
      </c>
      <c r="M8349" s="579">
        <v>29.91</v>
      </c>
    </row>
    <row r="8350" ht="23.85" customHeight="1" spans="3:13">
      <c r="C8350" s="79" t="s">
        <v>2921</v>
      </c>
      <c r="D8350" s="78" t="s">
        <v>5318</v>
      </c>
      <c r="E8350" s="79" t="s">
        <v>139</v>
      </c>
      <c r="F8350" s="79" t="s">
        <v>5319</v>
      </c>
      <c r="G8350" s="79" t="s">
        <v>2928</v>
      </c>
      <c r="H8350" s="79"/>
      <c r="I8350" s="80" t="s">
        <v>2897</v>
      </c>
      <c r="J8350" s="583">
        <v>1</v>
      </c>
      <c r="K8350" s="583">
        <v>0</v>
      </c>
      <c r="L8350" s="92">
        <v>0.29</v>
      </c>
      <c r="M8350" s="92">
        <v>0.29</v>
      </c>
    </row>
    <row r="8351" ht="23.85" customHeight="1" spans="3:13">
      <c r="C8351" s="100" t="s">
        <v>2893</v>
      </c>
      <c r="D8351" s="99" t="s">
        <v>5310</v>
      </c>
      <c r="E8351" s="100" t="s">
        <v>139</v>
      </c>
      <c r="F8351" s="100" t="s">
        <v>5311</v>
      </c>
      <c r="G8351" s="100" t="s">
        <v>2961</v>
      </c>
      <c r="H8351" s="100"/>
      <c r="I8351" s="101" t="s">
        <v>2897</v>
      </c>
      <c r="J8351" s="580">
        <v>1</v>
      </c>
      <c r="K8351" s="580">
        <v>0</v>
      </c>
      <c r="L8351" s="102">
        <v>1.58</v>
      </c>
      <c r="M8351" s="102">
        <v>1.58</v>
      </c>
    </row>
    <row r="8352" ht="15" customHeight="1" spans="3:13">
      <c r="C8352" s="100" t="s">
        <v>2893</v>
      </c>
      <c r="D8352" s="99" t="s">
        <v>5312</v>
      </c>
      <c r="E8352" s="100" t="s">
        <v>139</v>
      </c>
      <c r="F8352" s="100" t="s">
        <v>5313</v>
      </c>
      <c r="G8352" s="100" t="s">
        <v>2961</v>
      </c>
      <c r="H8352" s="100"/>
      <c r="I8352" s="101" t="s">
        <v>2897</v>
      </c>
      <c r="J8352" s="580">
        <v>1</v>
      </c>
      <c r="K8352" s="580">
        <v>0</v>
      </c>
      <c r="L8352" s="102">
        <v>0.08</v>
      </c>
      <c r="M8352" s="102">
        <v>0.08</v>
      </c>
    </row>
    <row r="8353" ht="15" customHeight="1" spans="3:13">
      <c r="C8353" s="100" t="s">
        <v>2893</v>
      </c>
      <c r="D8353" s="99" t="s">
        <v>5320</v>
      </c>
      <c r="E8353" s="100" t="s">
        <v>139</v>
      </c>
      <c r="F8353" s="100" t="s">
        <v>5321</v>
      </c>
      <c r="G8353" s="100" t="s">
        <v>2896</v>
      </c>
      <c r="H8353" s="100"/>
      <c r="I8353" s="101" t="s">
        <v>2897</v>
      </c>
      <c r="J8353" s="580">
        <v>1</v>
      </c>
      <c r="K8353" s="580">
        <v>0</v>
      </c>
      <c r="L8353" s="102">
        <v>19.82</v>
      </c>
      <c r="M8353" s="102">
        <v>19.82</v>
      </c>
    </row>
    <row r="8354" ht="23.85" customHeight="1" spans="3:13">
      <c r="C8354" s="100" t="s">
        <v>2893</v>
      </c>
      <c r="D8354" s="99" t="s">
        <v>5322</v>
      </c>
      <c r="E8354" s="100" t="s">
        <v>139</v>
      </c>
      <c r="F8354" s="100" t="s">
        <v>5323</v>
      </c>
      <c r="G8354" s="100" t="s">
        <v>2961</v>
      </c>
      <c r="H8354" s="100"/>
      <c r="I8354" s="101" t="s">
        <v>2897</v>
      </c>
      <c r="J8354" s="580">
        <v>1</v>
      </c>
      <c r="K8354" s="580">
        <v>0</v>
      </c>
      <c r="L8354" s="102">
        <v>1.43</v>
      </c>
      <c r="M8354" s="102">
        <v>1.43</v>
      </c>
    </row>
    <row r="8355" ht="23.85" customHeight="1" spans="3:13">
      <c r="C8355" s="100" t="s">
        <v>2893</v>
      </c>
      <c r="D8355" s="99" t="s">
        <v>5324</v>
      </c>
      <c r="E8355" s="100" t="s">
        <v>139</v>
      </c>
      <c r="F8355" s="100" t="s">
        <v>5325</v>
      </c>
      <c r="G8355" s="100" t="s">
        <v>2961</v>
      </c>
      <c r="H8355" s="100"/>
      <c r="I8355" s="101" t="s">
        <v>2897</v>
      </c>
      <c r="J8355" s="580">
        <v>1</v>
      </c>
      <c r="K8355" s="580">
        <v>0</v>
      </c>
      <c r="L8355" s="102">
        <v>0.44</v>
      </c>
      <c r="M8355" s="102">
        <v>0.44</v>
      </c>
    </row>
    <row r="8356" ht="23.85" customHeight="1" spans="3:13">
      <c r="C8356" s="100" t="s">
        <v>2893</v>
      </c>
      <c r="D8356" s="99" t="s">
        <v>5308</v>
      </c>
      <c r="E8356" s="100" t="s">
        <v>139</v>
      </c>
      <c r="F8356" s="100" t="s">
        <v>5309</v>
      </c>
      <c r="G8356" s="100" t="s">
        <v>2961</v>
      </c>
      <c r="H8356" s="100"/>
      <c r="I8356" s="101" t="s">
        <v>2897</v>
      </c>
      <c r="J8356" s="580">
        <v>1</v>
      </c>
      <c r="K8356" s="580">
        <v>0</v>
      </c>
      <c r="L8356" s="102">
        <v>4.84</v>
      </c>
      <c r="M8356" s="102">
        <v>4.84</v>
      </c>
    </row>
    <row r="8357" ht="15" customHeight="1" spans="3:13">
      <c r="C8357" s="100" t="s">
        <v>2893</v>
      </c>
      <c r="D8357" s="99" t="s">
        <v>5306</v>
      </c>
      <c r="E8357" s="100" t="s">
        <v>139</v>
      </c>
      <c r="F8357" s="100" t="s">
        <v>5307</v>
      </c>
      <c r="G8357" s="100" t="s">
        <v>2961</v>
      </c>
      <c r="H8357" s="100"/>
      <c r="I8357" s="101" t="s">
        <v>2897</v>
      </c>
      <c r="J8357" s="580">
        <v>1</v>
      </c>
      <c r="K8357" s="580">
        <v>0</v>
      </c>
      <c r="L8357" s="102">
        <v>1.43</v>
      </c>
      <c r="M8357" s="102">
        <v>1.43</v>
      </c>
    </row>
    <row r="8358" ht="25.5" spans="3:13">
      <c r="C8358" s="108"/>
      <c r="D8358" s="108"/>
      <c r="E8358" s="108"/>
      <c r="F8358" s="108"/>
      <c r="G8358" s="108"/>
      <c r="H8358" s="108" t="s">
        <v>2898</v>
      </c>
      <c r="I8358" s="581">
        <v>20.11</v>
      </c>
      <c r="J8358" s="108" t="s">
        <v>2899</v>
      </c>
      <c r="K8358" s="581">
        <v>0</v>
      </c>
      <c r="L8358" s="108" t="s">
        <v>2900</v>
      </c>
      <c r="M8358" s="581">
        <v>20.11</v>
      </c>
    </row>
    <row r="8359" ht="26.25" spans="3:13">
      <c r="C8359" s="108"/>
      <c r="D8359" s="108"/>
      <c r="E8359" s="108"/>
      <c r="F8359" s="108"/>
      <c r="G8359" s="108"/>
      <c r="H8359" s="108" t="s">
        <v>2901</v>
      </c>
      <c r="I8359" s="581">
        <v>7.62</v>
      </c>
      <c r="J8359" s="114"/>
      <c r="K8359" s="114" t="s">
        <v>2902</v>
      </c>
      <c r="L8359" s="108"/>
      <c r="M8359" s="581">
        <v>37.53</v>
      </c>
    </row>
    <row r="8360" ht="15" spans="3:13">
      <c r="C8360" s="571"/>
      <c r="D8360" s="571"/>
      <c r="E8360" s="571"/>
      <c r="F8360" s="571"/>
      <c r="G8360" s="571"/>
      <c r="H8360" s="571"/>
      <c r="I8360" s="571"/>
      <c r="J8360" s="571"/>
      <c r="K8360" s="571"/>
      <c r="L8360" s="571"/>
      <c r="M8360" s="571"/>
    </row>
    <row r="8361" ht="15" customHeight="1" spans="3:13">
      <c r="C8361" s="76"/>
      <c r="D8361" s="75" t="s">
        <v>63</v>
      </c>
      <c r="E8361" s="76" t="s">
        <v>64</v>
      </c>
      <c r="F8361" s="76" t="s">
        <v>65</v>
      </c>
      <c r="G8361" s="76" t="s">
        <v>2889</v>
      </c>
      <c r="H8361" s="76"/>
      <c r="I8361" s="77" t="s">
        <v>66</v>
      </c>
      <c r="J8361" s="75" t="s">
        <v>67</v>
      </c>
      <c r="K8361" s="75" t="s">
        <v>2890</v>
      </c>
      <c r="L8361" s="75" t="s">
        <v>68</v>
      </c>
      <c r="M8361" s="75" t="s">
        <v>70</v>
      </c>
    </row>
    <row r="8362" ht="23.85" customHeight="1" spans="3:13">
      <c r="C8362" s="569" t="s">
        <v>2891</v>
      </c>
      <c r="D8362" s="570" t="s">
        <v>4085</v>
      </c>
      <c r="E8362" s="569" t="s">
        <v>139</v>
      </c>
      <c r="F8362" s="569" t="s">
        <v>4086</v>
      </c>
      <c r="G8362" s="569" t="s">
        <v>2928</v>
      </c>
      <c r="H8362" s="569"/>
      <c r="I8362" s="577" t="s">
        <v>2897</v>
      </c>
      <c r="J8362" s="578">
        <v>1</v>
      </c>
      <c r="K8362" s="579"/>
      <c r="L8362" s="579">
        <v>30.13</v>
      </c>
      <c r="M8362" s="579">
        <v>30.13</v>
      </c>
    </row>
    <row r="8363" ht="23.85" customHeight="1" spans="3:13">
      <c r="C8363" s="79" t="s">
        <v>2921</v>
      </c>
      <c r="D8363" s="78" t="s">
        <v>5326</v>
      </c>
      <c r="E8363" s="79" t="s">
        <v>139</v>
      </c>
      <c r="F8363" s="79" t="s">
        <v>5327</v>
      </c>
      <c r="G8363" s="79" t="s">
        <v>2928</v>
      </c>
      <c r="H8363" s="79"/>
      <c r="I8363" s="80" t="s">
        <v>2897</v>
      </c>
      <c r="J8363" s="583">
        <v>1</v>
      </c>
      <c r="K8363" s="583">
        <v>0</v>
      </c>
      <c r="L8363" s="92">
        <v>0.29</v>
      </c>
      <c r="M8363" s="92">
        <v>0.29</v>
      </c>
    </row>
    <row r="8364" ht="23.85" customHeight="1" spans="3:13">
      <c r="C8364" s="100" t="s">
        <v>2893</v>
      </c>
      <c r="D8364" s="99" t="s">
        <v>5304</v>
      </c>
      <c r="E8364" s="100" t="s">
        <v>139</v>
      </c>
      <c r="F8364" s="100" t="s">
        <v>5305</v>
      </c>
      <c r="G8364" s="100" t="s">
        <v>2961</v>
      </c>
      <c r="H8364" s="100"/>
      <c r="I8364" s="101" t="s">
        <v>2897</v>
      </c>
      <c r="J8364" s="580">
        <v>1</v>
      </c>
      <c r="K8364" s="580">
        <v>0</v>
      </c>
      <c r="L8364" s="102">
        <v>1.31</v>
      </c>
      <c r="M8364" s="102">
        <v>1.31</v>
      </c>
    </row>
    <row r="8365" ht="15" customHeight="1" spans="3:13">
      <c r="C8365" s="100" t="s">
        <v>2893</v>
      </c>
      <c r="D8365" s="99" t="s">
        <v>5312</v>
      </c>
      <c r="E8365" s="100" t="s">
        <v>139</v>
      </c>
      <c r="F8365" s="100" t="s">
        <v>5313</v>
      </c>
      <c r="G8365" s="100" t="s">
        <v>2961</v>
      </c>
      <c r="H8365" s="100"/>
      <c r="I8365" s="101" t="s">
        <v>2897</v>
      </c>
      <c r="J8365" s="580">
        <v>1</v>
      </c>
      <c r="K8365" s="580">
        <v>0</v>
      </c>
      <c r="L8365" s="102">
        <v>0.08</v>
      </c>
      <c r="M8365" s="102">
        <v>0.08</v>
      </c>
    </row>
    <row r="8366" ht="23.85" customHeight="1" spans="3:13">
      <c r="C8366" s="100" t="s">
        <v>2893</v>
      </c>
      <c r="D8366" s="99" t="s">
        <v>5314</v>
      </c>
      <c r="E8366" s="100" t="s">
        <v>139</v>
      </c>
      <c r="F8366" s="100" t="s">
        <v>5315</v>
      </c>
      <c r="G8366" s="100" t="s">
        <v>2961</v>
      </c>
      <c r="H8366" s="100"/>
      <c r="I8366" s="101" t="s">
        <v>2897</v>
      </c>
      <c r="J8366" s="580">
        <v>1</v>
      </c>
      <c r="K8366" s="580">
        <v>0</v>
      </c>
      <c r="L8366" s="102">
        <v>0.78</v>
      </c>
      <c r="M8366" s="102">
        <v>0.78</v>
      </c>
    </row>
    <row r="8367" ht="23.85" customHeight="1" spans="3:13">
      <c r="C8367" s="100" t="s">
        <v>2893</v>
      </c>
      <c r="D8367" s="99" t="s">
        <v>5308</v>
      </c>
      <c r="E8367" s="100" t="s">
        <v>139</v>
      </c>
      <c r="F8367" s="100" t="s">
        <v>5309</v>
      </c>
      <c r="G8367" s="100" t="s">
        <v>2961</v>
      </c>
      <c r="H8367" s="100"/>
      <c r="I8367" s="101" t="s">
        <v>2897</v>
      </c>
      <c r="J8367" s="580">
        <v>1</v>
      </c>
      <c r="K8367" s="580">
        <v>0</v>
      </c>
      <c r="L8367" s="102">
        <v>4.84</v>
      </c>
      <c r="M8367" s="102">
        <v>4.84</v>
      </c>
    </row>
    <row r="8368" ht="15" customHeight="1" spans="3:13">
      <c r="C8368" s="100" t="s">
        <v>2893</v>
      </c>
      <c r="D8368" s="99" t="s">
        <v>5306</v>
      </c>
      <c r="E8368" s="100" t="s">
        <v>139</v>
      </c>
      <c r="F8368" s="100" t="s">
        <v>5307</v>
      </c>
      <c r="G8368" s="100" t="s">
        <v>2961</v>
      </c>
      <c r="H8368" s="100"/>
      <c r="I8368" s="101" t="s">
        <v>2897</v>
      </c>
      <c r="J8368" s="580">
        <v>1</v>
      </c>
      <c r="K8368" s="580">
        <v>0</v>
      </c>
      <c r="L8368" s="102">
        <v>1.43</v>
      </c>
      <c r="M8368" s="102">
        <v>1.43</v>
      </c>
    </row>
    <row r="8369" ht="23.85" customHeight="1" spans="3:13">
      <c r="C8369" s="100" t="s">
        <v>2893</v>
      </c>
      <c r="D8369" s="99" t="s">
        <v>5310</v>
      </c>
      <c r="E8369" s="100" t="s">
        <v>139</v>
      </c>
      <c r="F8369" s="100" t="s">
        <v>5311</v>
      </c>
      <c r="G8369" s="100" t="s">
        <v>2961</v>
      </c>
      <c r="H8369" s="100"/>
      <c r="I8369" s="101" t="s">
        <v>2897</v>
      </c>
      <c r="J8369" s="580">
        <v>1</v>
      </c>
      <c r="K8369" s="580">
        <v>0</v>
      </c>
      <c r="L8369" s="102">
        <v>1.58</v>
      </c>
      <c r="M8369" s="102">
        <v>1.58</v>
      </c>
    </row>
    <row r="8370" ht="15" customHeight="1" spans="3:13">
      <c r="C8370" s="100" t="s">
        <v>2893</v>
      </c>
      <c r="D8370" s="99" t="s">
        <v>5328</v>
      </c>
      <c r="E8370" s="100" t="s">
        <v>139</v>
      </c>
      <c r="F8370" s="100" t="s">
        <v>5329</v>
      </c>
      <c r="G8370" s="100" t="s">
        <v>2896</v>
      </c>
      <c r="H8370" s="100"/>
      <c r="I8370" s="101" t="s">
        <v>2897</v>
      </c>
      <c r="J8370" s="580">
        <v>1</v>
      </c>
      <c r="K8370" s="580">
        <v>0</v>
      </c>
      <c r="L8370" s="102">
        <v>19.82</v>
      </c>
      <c r="M8370" s="102">
        <v>19.82</v>
      </c>
    </row>
    <row r="8371" ht="25.5" spans="3:13">
      <c r="C8371" s="108"/>
      <c r="D8371" s="108"/>
      <c r="E8371" s="108"/>
      <c r="F8371" s="108"/>
      <c r="G8371" s="108"/>
      <c r="H8371" s="108" t="s">
        <v>2898</v>
      </c>
      <c r="I8371" s="581">
        <v>20.11</v>
      </c>
      <c r="J8371" s="108" t="s">
        <v>2899</v>
      </c>
      <c r="K8371" s="581">
        <v>0</v>
      </c>
      <c r="L8371" s="108" t="s">
        <v>2900</v>
      </c>
      <c r="M8371" s="581">
        <v>20.11</v>
      </c>
    </row>
    <row r="8372" ht="26.25" spans="3:13">
      <c r="C8372" s="108"/>
      <c r="D8372" s="108"/>
      <c r="E8372" s="108"/>
      <c r="F8372" s="108"/>
      <c r="G8372" s="108"/>
      <c r="H8372" s="108" t="s">
        <v>2901</v>
      </c>
      <c r="I8372" s="581">
        <v>7.68</v>
      </c>
      <c r="J8372" s="114"/>
      <c r="K8372" s="114" t="s">
        <v>2902</v>
      </c>
      <c r="L8372" s="108"/>
      <c r="M8372" s="581">
        <v>37.81</v>
      </c>
    </row>
    <row r="8373" ht="15" spans="3:13">
      <c r="C8373" s="571"/>
      <c r="D8373" s="571"/>
      <c r="E8373" s="571"/>
      <c r="F8373" s="571"/>
      <c r="G8373" s="571"/>
      <c r="H8373" s="571"/>
      <c r="I8373" s="571"/>
      <c r="J8373" s="571"/>
      <c r="K8373" s="571"/>
      <c r="L8373" s="571"/>
      <c r="M8373" s="571"/>
    </row>
    <row r="8374" ht="15" customHeight="1" spans="3:13">
      <c r="C8374" s="76"/>
      <c r="D8374" s="75" t="s">
        <v>63</v>
      </c>
      <c r="E8374" s="76" t="s">
        <v>64</v>
      </c>
      <c r="F8374" s="76" t="s">
        <v>65</v>
      </c>
      <c r="G8374" s="76" t="s">
        <v>2889</v>
      </c>
      <c r="H8374" s="76"/>
      <c r="I8374" s="77" t="s">
        <v>66</v>
      </c>
      <c r="J8374" s="75" t="s">
        <v>67</v>
      </c>
      <c r="K8374" s="75" t="s">
        <v>2890</v>
      </c>
      <c r="L8374" s="75" t="s">
        <v>68</v>
      </c>
      <c r="M8374" s="75" t="s">
        <v>70</v>
      </c>
    </row>
    <row r="8375" ht="23.85" customHeight="1" spans="3:13">
      <c r="C8375" s="569" t="s">
        <v>2891</v>
      </c>
      <c r="D8375" s="570" t="s">
        <v>3487</v>
      </c>
      <c r="E8375" s="569" t="s">
        <v>139</v>
      </c>
      <c r="F8375" s="569" t="s">
        <v>3488</v>
      </c>
      <c r="G8375" s="569" t="s">
        <v>2928</v>
      </c>
      <c r="H8375" s="569"/>
      <c r="I8375" s="577" t="s">
        <v>2897</v>
      </c>
      <c r="J8375" s="578">
        <v>1</v>
      </c>
      <c r="K8375" s="579"/>
      <c r="L8375" s="579">
        <v>30.31</v>
      </c>
      <c r="M8375" s="579">
        <v>30.31</v>
      </c>
    </row>
    <row r="8376" ht="23.85" customHeight="1" spans="3:13">
      <c r="C8376" s="79" t="s">
        <v>2921</v>
      </c>
      <c r="D8376" s="78" t="s">
        <v>5330</v>
      </c>
      <c r="E8376" s="79" t="s">
        <v>139</v>
      </c>
      <c r="F8376" s="79" t="s">
        <v>5331</v>
      </c>
      <c r="G8376" s="79" t="s">
        <v>2928</v>
      </c>
      <c r="H8376" s="79"/>
      <c r="I8376" s="80" t="s">
        <v>2897</v>
      </c>
      <c r="J8376" s="583">
        <v>1</v>
      </c>
      <c r="K8376" s="583">
        <v>0</v>
      </c>
      <c r="L8376" s="92">
        <v>0.23</v>
      </c>
      <c r="M8376" s="92">
        <v>0.23</v>
      </c>
    </row>
    <row r="8377" ht="15" customHeight="1" spans="3:13">
      <c r="C8377" s="100" t="s">
        <v>2893</v>
      </c>
      <c r="D8377" s="99" t="s">
        <v>5312</v>
      </c>
      <c r="E8377" s="100" t="s">
        <v>139</v>
      </c>
      <c r="F8377" s="100" t="s">
        <v>5313</v>
      </c>
      <c r="G8377" s="100" t="s">
        <v>2961</v>
      </c>
      <c r="H8377" s="100"/>
      <c r="I8377" s="101" t="s">
        <v>2897</v>
      </c>
      <c r="J8377" s="580">
        <v>1</v>
      </c>
      <c r="K8377" s="580">
        <v>0</v>
      </c>
      <c r="L8377" s="102">
        <v>0.08</v>
      </c>
      <c r="M8377" s="102">
        <v>0.08</v>
      </c>
    </row>
    <row r="8378" ht="23.85" customHeight="1" spans="3:13">
      <c r="C8378" s="100" t="s">
        <v>2893</v>
      </c>
      <c r="D8378" s="99" t="s">
        <v>5332</v>
      </c>
      <c r="E8378" s="100" t="s">
        <v>139</v>
      </c>
      <c r="F8378" s="100" t="s">
        <v>5333</v>
      </c>
      <c r="G8378" s="100" t="s">
        <v>2961</v>
      </c>
      <c r="H8378" s="100"/>
      <c r="I8378" s="101" t="s">
        <v>2897</v>
      </c>
      <c r="J8378" s="580">
        <v>1</v>
      </c>
      <c r="K8378" s="580">
        <v>0</v>
      </c>
      <c r="L8378" s="102">
        <v>1.39</v>
      </c>
      <c r="M8378" s="102">
        <v>1.39</v>
      </c>
    </row>
    <row r="8379" ht="23.85" customHeight="1" spans="3:13">
      <c r="C8379" s="100" t="s">
        <v>2893</v>
      </c>
      <c r="D8379" s="99" t="s">
        <v>5334</v>
      </c>
      <c r="E8379" s="100" t="s">
        <v>139</v>
      </c>
      <c r="F8379" s="100" t="s">
        <v>5335</v>
      </c>
      <c r="G8379" s="100" t="s">
        <v>2961</v>
      </c>
      <c r="H8379" s="100"/>
      <c r="I8379" s="101" t="s">
        <v>2897</v>
      </c>
      <c r="J8379" s="580">
        <v>1</v>
      </c>
      <c r="K8379" s="580">
        <v>0</v>
      </c>
      <c r="L8379" s="102">
        <v>0.61</v>
      </c>
      <c r="M8379" s="102">
        <v>0.61</v>
      </c>
    </row>
    <row r="8380" ht="15" customHeight="1" spans="3:13">
      <c r="C8380" s="100" t="s">
        <v>2893</v>
      </c>
      <c r="D8380" s="99" t="s">
        <v>5336</v>
      </c>
      <c r="E8380" s="100" t="s">
        <v>139</v>
      </c>
      <c r="F8380" s="100" t="s">
        <v>5337</v>
      </c>
      <c r="G8380" s="100" t="s">
        <v>2896</v>
      </c>
      <c r="H8380" s="100"/>
      <c r="I8380" s="101" t="s">
        <v>2897</v>
      </c>
      <c r="J8380" s="580">
        <v>1</v>
      </c>
      <c r="K8380" s="580">
        <v>0</v>
      </c>
      <c r="L8380" s="102">
        <v>20.15</v>
      </c>
      <c r="M8380" s="102">
        <v>20.15</v>
      </c>
    </row>
    <row r="8381" ht="15" customHeight="1" spans="3:13">
      <c r="C8381" s="100" t="s">
        <v>2893</v>
      </c>
      <c r="D8381" s="99" t="s">
        <v>5306</v>
      </c>
      <c r="E8381" s="100" t="s">
        <v>139</v>
      </c>
      <c r="F8381" s="100" t="s">
        <v>5307</v>
      </c>
      <c r="G8381" s="100" t="s">
        <v>2961</v>
      </c>
      <c r="H8381" s="100"/>
      <c r="I8381" s="101" t="s">
        <v>2897</v>
      </c>
      <c r="J8381" s="580">
        <v>1</v>
      </c>
      <c r="K8381" s="580">
        <v>0</v>
      </c>
      <c r="L8381" s="102">
        <v>1.43</v>
      </c>
      <c r="M8381" s="102">
        <v>1.43</v>
      </c>
    </row>
    <row r="8382" ht="23.85" customHeight="1" spans="3:13">
      <c r="C8382" s="100" t="s">
        <v>2893</v>
      </c>
      <c r="D8382" s="99" t="s">
        <v>5310</v>
      </c>
      <c r="E8382" s="100" t="s">
        <v>139</v>
      </c>
      <c r="F8382" s="100" t="s">
        <v>5311</v>
      </c>
      <c r="G8382" s="100" t="s">
        <v>2961</v>
      </c>
      <c r="H8382" s="100"/>
      <c r="I8382" s="101" t="s">
        <v>2897</v>
      </c>
      <c r="J8382" s="580">
        <v>1</v>
      </c>
      <c r="K8382" s="580">
        <v>0</v>
      </c>
      <c r="L8382" s="102">
        <v>1.58</v>
      </c>
      <c r="M8382" s="102">
        <v>1.58</v>
      </c>
    </row>
    <row r="8383" ht="23.85" customHeight="1" spans="3:13">
      <c r="C8383" s="100" t="s">
        <v>2893</v>
      </c>
      <c r="D8383" s="99" t="s">
        <v>5308</v>
      </c>
      <c r="E8383" s="100" t="s">
        <v>139</v>
      </c>
      <c r="F8383" s="100" t="s">
        <v>5309</v>
      </c>
      <c r="G8383" s="100" t="s">
        <v>2961</v>
      </c>
      <c r="H8383" s="100"/>
      <c r="I8383" s="101" t="s">
        <v>2897</v>
      </c>
      <c r="J8383" s="580">
        <v>1</v>
      </c>
      <c r="K8383" s="580">
        <v>0</v>
      </c>
      <c r="L8383" s="102">
        <v>4.84</v>
      </c>
      <c r="M8383" s="102">
        <v>4.84</v>
      </c>
    </row>
    <row r="8384" ht="25.5" spans="3:13">
      <c r="C8384" s="108"/>
      <c r="D8384" s="108"/>
      <c r="E8384" s="108"/>
      <c r="F8384" s="108"/>
      <c r="G8384" s="108"/>
      <c r="H8384" s="108" t="s">
        <v>2898</v>
      </c>
      <c r="I8384" s="581">
        <v>20.38</v>
      </c>
      <c r="J8384" s="108" t="s">
        <v>2899</v>
      </c>
      <c r="K8384" s="581">
        <v>0</v>
      </c>
      <c r="L8384" s="108" t="s">
        <v>2900</v>
      </c>
      <c r="M8384" s="581">
        <v>20.38</v>
      </c>
    </row>
    <row r="8385" ht="26.25" spans="3:13">
      <c r="C8385" s="108"/>
      <c r="D8385" s="108"/>
      <c r="E8385" s="108"/>
      <c r="F8385" s="108"/>
      <c r="G8385" s="108"/>
      <c r="H8385" s="108" t="s">
        <v>2901</v>
      </c>
      <c r="I8385" s="581">
        <v>7.72</v>
      </c>
      <c r="J8385" s="114"/>
      <c r="K8385" s="114" t="s">
        <v>2902</v>
      </c>
      <c r="L8385" s="108"/>
      <c r="M8385" s="581">
        <v>38.03</v>
      </c>
    </row>
    <row r="8386" ht="15" spans="3:13">
      <c r="C8386" s="571"/>
      <c r="D8386" s="571"/>
      <c r="E8386" s="571"/>
      <c r="F8386" s="571"/>
      <c r="G8386" s="571"/>
      <c r="H8386" s="571"/>
      <c r="I8386" s="571"/>
      <c r="J8386" s="571"/>
      <c r="K8386" s="571"/>
      <c r="L8386" s="571"/>
      <c r="M8386" s="571"/>
    </row>
    <row r="8387" ht="15" customHeight="1" spans="3:13">
      <c r="C8387" s="76"/>
      <c r="D8387" s="75" t="s">
        <v>63</v>
      </c>
      <c r="E8387" s="76" t="s">
        <v>64</v>
      </c>
      <c r="F8387" s="76" t="s">
        <v>65</v>
      </c>
      <c r="G8387" s="76" t="s">
        <v>2889</v>
      </c>
      <c r="H8387" s="76"/>
      <c r="I8387" s="77" t="s">
        <v>66</v>
      </c>
      <c r="J8387" s="75" t="s">
        <v>67</v>
      </c>
      <c r="K8387" s="75" t="s">
        <v>2890</v>
      </c>
      <c r="L8387" s="75" t="s">
        <v>68</v>
      </c>
      <c r="M8387" s="75" t="s">
        <v>70</v>
      </c>
    </row>
    <row r="8388" ht="23.85" customHeight="1" spans="3:13">
      <c r="C8388" s="569" t="s">
        <v>2891</v>
      </c>
      <c r="D8388" s="570" t="s">
        <v>2941</v>
      </c>
      <c r="E8388" s="569" t="s">
        <v>139</v>
      </c>
      <c r="F8388" s="569" t="s">
        <v>2942</v>
      </c>
      <c r="G8388" s="569" t="s">
        <v>2928</v>
      </c>
      <c r="H8388" s="569"/>
      <c r="I8388" s="577" t="s">
        <v>2925</v>
      </c>
      <c r="J8388" s="578">
        <v>1</v>
      </c>
      <c r="K8388" s="579"/>
      <c r="L8388" s="579">
        <v>5786.23</v>
      </c>
      <c r="M8388" s="579">
        <v>5786.23</v>
      </c>
    </row>
    <row r="8389" ht="23.85" customHeight="1" spans="3:13">
      <c r="C8389" s="79" t="s">
        <v>2921</v>
      </c>
      <c r="D8389" s="78" t="s">
        <v>5338</v>
      </c>
      <c r="E8389" s="79" t="s">
        <v>139</v>
      </c>
      <c r="F8389" s="79" t="s">
        <v>5339</v>
      </c>
      <c r="G8389" s="79" t="s">
        <v>2928</v>
      </c>
      <c r="H8389" s="79"/>
      <c r="I8389" s="80" t="s">
        <v>2925</v>
      </c>
      <c r="J8389" s="583">
        <v>1</v>
      </c>
      <c r="K8389" s="583">
        <v>0</v>
      </c>
      <c r="L8389" s="92">
        <v>20.35</v>
      </c>
      <c r="M8389" s="92">
        <v>20.35</v>
      </c>
    </row>
    <row r="8390" ht="23.85" customHeight="1" spans="3:13">
      <c r="C8390" s="100" t="s">
        <v>2893</v>
      </c>
      <c r="D8390" s="99" t="s">
        <v>5340</v>
      </c>
      <c r="E8390" s="100" t="s">
        <v>139</v>
      </c>
      <c r="F8390" s="100" t="s">
        <v>5341</v>
      </c>
      <c r="G8390" s="100" t="s">
        <v>2961</v>
      </c>
      <c r="H8390" s="100"/>
      <c r="I8390" s="101" t="s">
        <v>2925</v>
      </c>
      <c r="J8390" s="580">
        <v>1</v>
      </c>
      <c r="K8390" s="580">
        <v>0</v>
      </c>
      <c r="L8390" s="102">
        <v>270.51</v>
      </c>
      <c r="M8390" s="102">
        <v>270.51</v>
      </c>
    </row>
    <row r="8391" ht="15" customHeight="1" spans="3:13">
      <c r="C8391" s="100" t="s">
        <v>2893</v>
      </c>
      <c r="D8391" s="99" t="s">
        <v>5342</v>
      </c>
      <c r="E8391" s="100" t="s">
        <v>139</v>
      </c>
      <c r="F8391" s="100" t="s">
        <v>5343</v>
      </c>
      <c r="G8391" s="100" t="s">
        <v>2896</v>
      </c>
      <c r="H8391" s="100"/>
      <c r="I8391" s="101" t="s">
        <v>2925</v>
      </c>
      <c r="J8391" s="580">
        <v>1</v>
      </c>
      <c r="K8391" s="580">
        <v>0</v>
      </c>
      <c r="L8391" s="102">
        <v>5315.23</v>
      </c>
      <c r="M8391" s="102">
        <v>5315.23</v>
      </c>
    </row>
    <row r="8392" ht="23.85" customHeight="1" spans="3:13">
      <c r="C8392" s="100" t="s">
        <v>2893</v>
      </c>
      <c r="D8392" s="99" t="s">
        <v>5344</v>
      </c>
      <c r="E8392" s="100" t="s">
        <v>139</v>
      </c>
      <c r="F8392" s="100" t="s">
        <v>5345</v>
      </c>
      <c r="G8392" s="100" t="s">
        <v>2961</v>
      </c>
      <c r="H8392" s="100"/>
      <c r="I8392" s="101" t="s">
        <v>2925</v>
      </c>
      <c r="J8392" s="580">
        <v>1</v>
      </c>
      <c r="K8392" s="580">
        <v>0</v>
      </c>
      <c r="L8392" s="102">
        <v>11.14</v>
      </c>
      <c r="M8392" s="102">
        <v>11.14</v>
      </c>
    </row>
    <row r="8393" ht="23.85" customHeight="1" spans="3:13">
      <c r="C8393" s="100" t="s">
        <v>2893</v>
      </c>
      <c r="D8393" s="99" t="s">
        <v>5346</v>
      </c>
      <c r="E8393" s="100" t="s">
        <v>139</v>
      </c>
      <c r="F8393" s="100" t="s">
        <v>5347</v>
      </c>
      <c r="G8393" s="100" t="s">
        <v>2961</v>
      </c>
      <c r="H8393" s="100"/>
      <c r="I8393" s="101" t="s">
        <v>2925</v>
      </c>
      <c r="J8393" s="580">
        <v>1</v>
      </c>
      <c r="K8393" s="580">
        <v>0</v>
      </c>
      <c r="L8393" s="102">
        <v>153.54</v>
      </c>
      <c r="M8393" s="102">
        <v>153.54</v>
      </c>
    </row>
    <row r="8394" ht="23.85" customHeight="1" spans="3:13">
      <c r="C8394" s="100" t="s">
        <v>2893</v>
      </c>
      <c r="D8394" s="99" t="s">
        <v>5348</v>
      </c>
      <c r="E8394" s="100" t="s">
        <v>139</v>
      </c>
      <c r="F8394" s="100" t="s">
        <v>5349</v>
      </c>
      <c r="G8394" s="100" t="s">
        <v>2961</v>
      </c>
      <c r="H8394" s="100"/>
      <c r="I8394" s="101" t="s">
        <v>2925</v>
      </c>
      <c r="J8394" s="580">
        <v>1</v>
      </c>
      <c r="K8394" s="580">
        <v>0</v>
      </c>
      <c r="L8394" s="102">
        <v>15.46</v>
      </c>
      <c r="M8394" s="102">
        <v>15.46</v>
      </c>
    </row>
    <row r="8395" ht="25.5" spans="3:13">
      <c r="C8395" s="108"/>
      <c r="D8395" s="108"/>
      <c r="E8395" s="108"/>
      <c r="F8395" s="108"/>
      <c r="G8395" s="108"/>
      <c r="H8395" s="108" t="s">
        <v>2898</v>
      </c>
      <c r="I8395" s="581">
        <v>5335.58</v>
      </c>
      <c r="J8395" s="108" t="s">
        <v>2899</v>
      </c>
      <c r="K8395" s="581">
        <v>0</v>
      </c>
      <c r="L8395" s="108" t="s">
        <v>2900</v>
      </c>
      <c r="M8395" s="581">
        <v>5335.58</v>
      </c>
    </row>
    <row r="8396" ht="26.25" spans="3:13">
      <c r="C8396" s="108"/>
      <c r="D8396" s="108"/>
      <c r="E8396" s="108"/>
      <c r="F8396" s="108"/>
      <c r="G8396" s="108"/>
      <c r="H8396" s="108" t="s">
        <v>2901</v>
      </c>
      <c r="I8396" s="581">
        <v>1474.91</v>
      </c>
      <c r="J8396" s="114"/>
      <c r="K8396" s="114" t="s">
        <v>2902</v>
      </c>
      <c r="L8396" s="108"/>
      <c r="M8396" s="581">
        <v>7261.14</v>
      </c>
    </row>
    <row r="8397" ht="15" spans="3:13">
      <c r="C8397" s="571"/>
      <c r="D8397" s="571"/>
      <c r="E8397" s="571"/>
      <c r="F8397" s="571"/>
      <c r="G8397" s="571"/>
      <c r="H8397" s="571"/>
      <c r="I8397" s="571"/>
      <c r="J8397" s="571"/>
      <c r="K8397" s="571"/>
      <c r="L8397" s="571"/>
      <c r="M8397" s="571"/>
    </row>
    <row r="8398" ht="15" customHeight="1" spans="3:13">
      <c r="C8398" s="76"/>
      <c r="D8398" s="75" t="s">
        <v>63</v>
      </c>
      <c r="E8398" s="76" t="s">
        <v>64</v>
      </c>
      <c r="F8398" s="76" t="s">
        <v>65</v>
      </c>
      <c r="G8398" s="76" t="s">
        <v>2889</v>
      </c>
      <c r="H8398" s="76"/>
      <c r="I8398" s="77" t="s">
        <v>66</v>
      </c>
      <c r="J8398" s="75" t="s">
        <v>67</v>
      </c>
      <c r="K8398" s="75" t="s">
        <v>2890</v>
      </c>
      <c r="L8398" s="75" t="s">
        <v>68</v>
      </c>
      <c r="M8398" s="75" t="s">
        <v>70</v>
      </c>
    </row>
    <row r="8399" ht="23.85" customHeight="1" spans="3:13">
      <c r="C8399" s="569" t="s">
        <v>2891</v>
      </c>
      <c r="D8399" s="570" t="s">
        <v>2943</v>
      </c>
      <c r="E8399" s="569" t="s">
        <v>139</v>
      </c>
      <c r="F8399" s="569" t="s">
        <v>2944</v>
      </c>
      <c r="G8399" s="569" t="s">
        <v>2928</v>
      </c>
      <c r="H8399" s="569"/>
      <c r="I8399" s="577" t="s">
        <v>2925</v>
      </c>
      <c r="J8399" s="578">
        <v>1</v>
      </c>
      <c r="K8399" s="579"/>
      <c r="L8399" s="579">
        <v>5946.56</v>
      </c>
      <c r="M8399" s="579">
        <v>5946.56</v>
      </c>
    </row>
    <row r="8400" ht="23.85" customHeight="1" spans="3:13">
      <c r="C8400" s="79" t="s">
        <v>2921</v>
      </c>
      <c r="D8400" s="78" t="s">
        <v>5350</v>
      </c>
      <c r="E8400" s="79" t="s">
        <v>139</v>
      </c>
      <c r="F8400" s="79" t="s">
        <v>5351</v>
      </c>
      <c r="G8400" s="79" t="s">
        <v>2928</v>
      </c>
      <c r="H8400" s="79"/>
      <c r="I8400" s="80" t="s">
        <v>2925</v>
      </c>
      <c r="J8400" s="583">
        <v>1</v>
      </c>
      <c r="K8400" s="583">
        <v>0</v>
      </c>
      <c r="L8400" s="92">
        <v>86.39</v>
      </c>
      <c r="M8400" s="92">
        <v>86.39</v>
      </c>
    </row>
    <row r="8401" ht="23.85" customHeight="1" spans="3:13">
      <c r="C8401" s="100" t="s">
        <v>2893</v>
      </c>
      <c r="D8401" s="99" t="s">
        <v>5340</v>
      </c>
      <c r="E8401" s="100" t="s">
        <v>139</v>
      </c>
      <c r="F8401" s="100" t="s">
        <v>5341</v>
      </c>
      <c r="G8401" s="100" t="s">
        <v>2961</v>
      </c>
      <c r="H8401" s="100"/>
      <c r="I8401" s="101" t="s">
        <v>2925</v>
      </c>
      <c r="J8401" s="580">
        <v>1</v>
      </c>
      <c r="K8401" s="580">
        <v>0</v>
      </c>
      <c r="L8401" s="102">
        <v>270.51</v>
      </c>
      <c r="M8401" s="102">
        <v>270.51</v>
      </c>
    </row>
    <row r="8402" ht="15" customHeight="1" spans="3:13">
      <c r="C8402" s="100" t="s">
        <v>2893</v>
      </c>
      <c r="D8402" s="99" t="s">
        <v>5352</v>
      </c>
      <c r="E8402" s="100" t="s">
        <v>139</v>
      </c>
      <c r="F8402" s="100" t="s">
        <v>5353</v>
      </c>
      <c r="G8402" s="100" t="s">
        <v>2896</v>
      </c>
      <c r="H8402" s="100"/>
      <c r="I8402" s="101" t="s">
        <v>2925</v>
      </c>
      <c r="J8402" s="580">
        <v>1</v>
      </c>
      <c r="K8402" s="580">
        <v>0</v>
      </c>
      <c r="L8402" s="102">
        <v>5409.52</v>
      </c>
      <c r="M8402" s="102">
        <v>5409.52</v>
      </c>
    </row>
    <row r="8403" ht="23.85" customHeight="1" spans="3:13">
      <c r="C8403" s="100" t="s">
        <v>2893</v>
      </c>
      <c r="D8403" s="99" t="s">
        <v>5344</v>
      </c>
      <c r="E8403" s="100" t="s">
        <v>139</v>
      </c>
      <c r="F8403" s="100" t="s">
        <v>5345</v>
      </c>
      <c r="G8403" s="100" t="s">
        <v>2961</v>
      </c>
      <c r="H8403" s="100"/>
      <c r="I8403" s="101" t="s">
        <v>2925</v>
      </c>
      <c r="J8403" s="580">
        <v>1</v>
      </c>
      <c r="K8403" s="580">
        <v>0</v>
      </c>
      <c r="L8403" s="102">
        <v>11.14</v>
      </c>
      <c r="M8403" s="102">
        <v>11.14</v>
      </c>
    </row>
    <row r="8404" ht="23.85" customHeight="1" spans="3:13">
      <c r="C8404" s="100" t="s">
        <v>2893</v>
      </c>
      <c r="D8404" s="99" t="s">
        <v>5348</v>
      </c>
      <c r="E8404" s="100" t="s">
        <v>139</v>
      </c>
      <c r="F8404" s="100" t="s">
        <v>5349</v>
      </c>
      <c r="G8404" s="100" t="s">
        <v>2961</v>
      </c>
      <c r="H8404" s="100"/>
      <c r="I8404" s="101" t="s">
        <v>2925</v>
      </c>
      <c r="J8404" s="580">
        <v>1</v>
      </c>
      <c r="K8404" s="580">
        <v>0</v>
      </c>
      <c r="L8404" s="102">
        <v>15.46</v>
      </c>
      <c r="M8404" s="102">
        <v>15.46</v>
      </c>
    </row>
    <row r="8405" ht="23.85" customHeight="1" spans="3:13">
      <c r="C8405" s="100" t="s">
        <v>2893</v>
      </c>
      <c r="D8405" s="99" t="s">
        <v>5346</v>
      </c>
      <c r="E8405" s="100" t="s">
        <v>139</v>
      </c>
      <c r="F8405" s="100" t="s">
        <v>5347</v>
      </c>
      <c r="G8405" s="100" t="s">
        <v>2961</v>
      </c>
      <c r="H8405" s="100"/>
      <c r="I8405" s="101" t="s">
        <v>2925</v>
      </c>
      <c r="J8405" s="580">
        <v>1</v>
      </c>
      <c r="K8405" s="580">
        <v>0</v>
      </c>
      <c r="L8405" s="102">
        <v>153.54</v>
      </c>
      <c r="M8405" s="102">
        <v>153.54</v>
      </c>
    </row>
    <row r="8406" ht="25.5" spans="3:13">
      <c r="C8406" s="108"/>
      <c r="D8406" s="108"/>
      <c r="E8406" s="108"/>
      <c r="F8406" s="108"/>
      <c r="G8406" s="108"/>
      <c r="H8406" s="108" t="s">
        <v>2898</v>
      </c>
      <c r="I8406" s="581">
        <v>5495.91</v>
      </c>
      <c r="J8406" s="108" t="s">
        <v>2899</v>
      </c>
      <c r="K8406" s="581">
        <v>0</v>
      </c>
      <c r="L8406" s="108" t="s">
        <v>2900</v>
      </c>
      <c r="M8406" s="581">
        <v>5495.91</v>
      </c>
    </row>
    <row r="8407" ht="26.25" spans="3:13">
      <c r="C8407" s="108"/>
      <c r="D8407" s="108"/>
      <c r="E8407" s="108"/>
      <c r="F8407" s="108"/>
      <c r="G8407" s="108"/>
      <c r="H8407" s="108" t="s">
        <v>2901</v>
      </c>
      <c r="I8407" s="581">
        <v>1515.77</v>
      </c>
      <c r="J8407" s="114"/>
      <c r="K8407" s="114" t="s">
        <v>2902</v>
      </c>
      <c r="L8407" s="108"/>
      <c r="M8407" s="581">
        <v>7462.33</v>
      </c>
    </row>
    <row r="8408" ht="15" spans="3:13">
      <c r="C8408" s="571"/>
      <c r="D8408" s="571"/>
      <c r="E8408" s="571"/>
      <c r="F8408" s="571"/>
      <c r="G8408" s="571"/>
      <c r="H8408" s="571"/>
      <c r="I8408" s="571"/>
      <c r="J8408" s="571"/>
      <c r="K8408" s="571"/>
      <c r="L8408" s="571"/>
      <c r="M8408" s="571"/>
    </row>
    <row r="8409" ht="15" customHeight="1" spans="3:13">
      <c r="C8409" s="76"/>
      <c r="D8409" s="75" t="s">
        <v>63</v>
      </c>
      <c r="E8409" s="76" t="s">
        <v>64</v>
      </c>
      <c r="F8409" s="76" t="s">
        <v>65</v>
      </c>
      <c r="G8409" s="76" t="s">
        <v>2889</v>
      </c>
      <c r="H8409" s="76"/>
      <c r="I8409" s="77" t="s">
        <v>66</v>
      </c>
      <c r="J8409" s="75" t="s">
        <v>67</v>
      </c>
      <c r="K8409" s="75" t="s">
        <v>2890</v>
      </c>
      <c r="L8409" s="75" t="s">
        <v>68</v>
      </c>
      <c r="M8409" s="75" t="s">
        <v>70</v>
      </c>
    </row>
    <row r="8410" ht="25.5" spans="3:13">
      <c r="C8410" s="569" t="s">
        <v>2891</v>
      </c>
      <c r="D8410" s="570" t="s">
        <v>3881</v>
      </c>
      <c r="E8410" s="569" t="s">
        <v>77</v>
      </c>
      <c r="F8410" s="569" t="s">
        <v>3882</v>
      </c>
      <c r="G8410" s="569">
        <v>7</v>
      </c>
      <c r="H8410" s="569"/>
      <c r="I8410" s="577" t="s">
        <v>279</v>
      </c>
      <c r="J8410" s="578">
        <v>1</v>
      </c>
      <c r="K8410" s="579"/>
      <c r="L8410" s="579">
        <v>446.79</v>
      </c>
      <c r="M8410" s="579">
        <v>446.79</v>
      </c>
    </row>
    <row r="8411" ht="38.25" spans="3:13">
      <c r="C8411" s="79" t="s">
        <v>2921</v>
      </c>
      <c r="D8411" s="78" t="s">
        <v>5354</v>
      </c>
      <c r="E8411" s="79" t="s">
        <v>77</v>
      </c>
      <c r="F8411" s="79" t="s">
        <v>5355</v>
      </c>
      <c r="G8411" s="79">
        <v>19</v>
      </c>
      <c r="H8411" s="79"/>
      <c r="I8411" s="80" t="s">
        <v>2897</v>
      </c>
      <c r="J8411" s="583">
        <v>0.65</v>
      </c>
      <c r="K8411" s="583">
        <v>0</v>
      </c>
      <c r="L8411" s="92">
        <v>11.78</v>
      </c>
      <c r="M8411" s="92">
        <v>7.65</v>
      </c>
    </row>
    <row r="8412" ht="38.25" spans="3:13">
      <c r="C8412" s="79" t="s">
        <v>2921</v>
      </c>
      <c r="D8412" s="78" t="s">
        <v>5356</v>
      </c>
      <c r="E8412" s="79" t="s">
        <v>77</v>
      </c>
      <c r="F8412" s="79" t="s">
        <v>5357</v>
      </c>
      <c r="G8412" s="79">
        <v>19</v>
      </c>
      <c r="H8412" s="79"/>
      <c r="I8412" s="80" t="s">
        <v>2897</v>
      </c>
      <c r="J8412" s="583">
        <v>0.2</v>
      </c>
      <c r="K8412" s="583">
        <v>0</v>
      </c>
      <c r="L8412" s="92">
        <v>1.19</v>
      </c>
      <c r="M8412" s="92">
        <v>0.23</v>
      </c>
    </row>
    <row r="8413" ht="35.05" customHeight="1" spans="3:13">
      <c r="C8413" s="100" t="s">
        <v>2893</v>
      </c>
      <c r="D8413" s="99" t="s">
        <v>5289</v>
      </c>
      <c r="E8413" s="100" t="s">
        <v>77</v>
      </c>
      <c r="F8413" s="100" t="s">
        <v>5290</v>
      </c>
      <c r="G8413" s="100" t="s">
        <v>2896</v>
      </c>
      <c r="H8413" s="100"/>
      <c r="I8413" s="101" t="s">
        <v>2897</v>
      </c>
      <c r="J8413" s="580">
        <v>0.65</v>
      </c>
      <c r="K8413" s="580">
        <v>3</v>
      </c>
      <c r="L8413" s="102">
        <v>26.52</v>
      </c>
      <c r="M8413" s="102">
        <v>17.75</v>
      </c>
    </row>
    <row r="8414" ht="23.85" customHeight="1" spans="3:13">
      <c r="C8414" s="100" t="s">
        <v>2893</v>
      </c>
      <c r="D8414" s="99" t="s">
        <v>5094</v>
      </c>
      <c r="E8414" s="100" t="s">
        <v>77</v>
      </c>
      <c r="F8414" s="100" t="s">
        <v>5095</v>
      </c>
      <c r="G8414" s="100" t="s">
        <v>2961</v>
      </c>
      <c r="H8414" s="100"/>
      <c r="I8414" s="101" t="s">
        <v>393</v>
      </c>
      <c r="J8414" s="580">
        <v>377</v>
      </c>
      <c r="K8414" s="580">
        <v>0</v>
      </c>
      <c r="L8414" s="102">
        <v>0.59</v>
      </c>
      <c r="M8414" s="102">
        <v>222.43</v>
      </c>
    </row>
    <row r="8415" ht="23.85" customHeight="1" spans="3:13">
      <c r="C8415" s="100" t="s">
        <v>2893</v>
      </c>
      <c r="D8415" s="99" t="s">
        <v>3108</v>
      </c>
      <c r="E8415" s="100" t="s">
        <v>77</v>
      </c>
      <c r="F8415" s="100" t="s">
        <v>3109</v>
      </c>
      <c r="G8415" s="100" t="s">
        <v>2896</v>
      </c>
      <c r="H8415" s="100"/>
      <c r="I8415" s="101" t="s">
        <v>2897</v>
      </c>
      <c r="J8415" s="580">
        <v>2.75</v>
      </c>
      <c r="K8415" s="580">
        <v>3</v>
      </c>
      <c r="L8415" s="102">
        <v>19.16</v>
      </c>
      <c r="M8415" s="102">
        <v>54.27</v>
      </c>
    </row>
    <row r="8416" ht="23.85" customHeight="1" spans="3:13">
      <c r="C8416" s="100" t="s">
        <v>2893</v>
      </c>
      <c r="D8416" s="99" t="s">
        <v>5096</v>
      </c>
      <c r="E8416" s="100" t="s">
        <v>77</v>
      </c>
      <c r="F8416" s="100" t="s">
        <v>5097</v>
      </c>
      <c r="G8416" s="100" t="s">
        <v>2961</v>
      </c>
      <c r="H8416" s="100"/>
      <c r="I8416" s="101" t="s">
        <v>279</v>
      </c>
      <c r="J8416" s="580">
        <v>1.27</v>
      </c>
      <c r="K8416" s="580">
        <v>0</v>
      </c>
      <c r="L8416" s="102">
        <v>113.75</v>
      </c>
      <c r="M8416" s="102">
        <v>144.46</v>
      </c>
    </row>
    <row r="8417" ht="25.5" spans="3:13">
      <c r="C8417" s="108"/>
      <c r="D8417" s="108"/>
      <c r="E8417" s="108"/>
      <c r="F8417" s="108"/>
      <c r="G8417" s="108"/>
      <c r="H8417" s="108" t="s">
        <v>2898</v>
      </c>
      <c r="I8417" s="581">
        <v>72.02</v>
      </c>
      <c r="J8417" s="108" t="s">
        <v>2899</v>
      </c>
      <c r="K8417" s="581">
        <v>0</v>
      </c>
      <c r="L8417" s="108" t="s">
        <v>2900</v>
      </c>
      <c r="M8417" s="581">
        <v>72.02</v>
      </c>
    </row>
    <row r="8418" ht="26.25" spans="3:13">
      <c r="C8418" s="108"/>
      <c r="D8418" s="108"/>
      <c r="E8418" s="108"/>
      <c r="F8418" s="108"/>
      <c r="G8418" s="108"/>
      <c r="H8418" s="108" t="s">
        <v>2901</v>
      </c>
      <c r="I8418" s="581">
        <v>113.88</v>
      </c>
      <c r="J8418" s="114"/>
      <c r="K8418" s="114" t="s">
        <v>2902</v>
      </c>
      <c r="L8418" s="108"/>
      <c r="M8418" s="581">
        <v>560.67</v>
      </c>
    </row>
    <row r="8419" ht="15" spans="3:13">
      <c r="C8419" s="571"/>
      <c r="D8419" s="571"/>
      <c r="E8419" s="571"/>
      <c r="F8419" s="571"/>
      <c r="G8419" s="571"/>
      <c r="H8419" s="571"/>
      <c r="I8419" s="571"/>
      <c r="J8419" s="571"/>
      <c r="K8419" s="571"/>
      <c r="L8419" s="571"/>
      <c r="M8419" s="571"/>
    </row>
    <row r="8420" ht="15" customHeight="1" spans="3:13">
      <c r="C8420" s="76"/>
      <c r="D8420" s="75" t="s">
        <v>63</v>
      </c>
      <c r="E8420" s="76" t="s">
        <v>64</v>
      </c>
      <c r="F8420" s="76" t="s">
        <v>65</v>
      </c>
      <c r="G8420" s="76" t="s">
        <v>2889</v>
      </c>
      <c r="H8420" s="76"/>
      <c r="I8420" s="77" t="s">
        <v>66</v>
      </c>
      <c r="J8420" s="75" t="s">
        <v>67</v>
      </c>
      <c r="K8420" s="75" t="s">
        <v>2890</v>
      </c>
      <c r="L8420" s="75" t="s">
        <v>68</v>
      </c>
      <c r="M8420" s="75" t="s">
        <v>70</v>
      </c>
    </row>
    <row r="8421" ht="23.85" customHeight="1" spans="3:13">
      <c r="C8421" s="569" t="s">
        <v>2891</v>
      </c>
      <c r="D8421" s="570" t="s">
        <v>5124</v>
      </c>
      <c r="E8421" s="569" t="s">
        <v>139</v>
      </c>
      <c r="F8421" s="569" t="s">
        <v>5125</v>
      </c>
      <c r="G8421" s="569" t="s">
        <v>3016</v>
      </c>
      <c r="H8421" s="569"/>
      <c r="I8421" s="577" t="s">
        <v>279</v>
      </c>
      <c r="J8421" s="578">
        <v>1</v>
      </c>
      <c r="K8421" s="579"/>
      <c r="L8421" s="579">
        <v>2173.09</v>
      </c>
      <c r="M8421" s="579">
        <v>2173.09</v>
      </c>
    </row>
    <row r="8422" ht="23.85" customHeight="1" spans="3:13">
      <c r="C8422" s="79" t="s">
        <v>2921</v>
      </c>
      <c r="D8422" s="78" t="s">
        <v>2952</v>
      </c>
      <c r="E8422" s="79" t="s">
        <v>139</v>
      </c>
      <c r="F8422" s="79" t="s">
        <v>2953</v>
      </c>
      <c r="G8422" s="79" t="s">
        <v>2928</v>
      </c>
      <c r="H8422" s="79"/>
      <c r="I8422" s="80" t="s">
        <v>2897</v>
      </c>
      <c r="J8422" s="583">
        <v>13.53</v>
      </c>
      <c r="K8422" s="583">
        <v>0</v>
      </c>
      <c r="L8422" s="92">
        <v>29.15</v>
      </c>
      <c r="M8422" s="92">
        <v>394.39</v>
      </c>
    </row>
    <row r="8423" ht="15" customHeight="1" spans="3:13">
      <c r="C8423" s="100" t="s">
        <v>2893</v>
      </c>
      <c r="D8423" s="99" t="s">
        <v>5358</v>
      </c>
      <c r="E8423" s="100" t="s">
        <v>139</v>
      </c>
      <c r="F8423" s="100" t="s">
        <v>5359</v>
      </c>
      <c r="G8423" s="100" t="s">
        <v>2961</v>
      </c>
      <c r="H8423" s="100"/>
      <c r="I8423" s="101" t="s">
        <v>393</v>
      </c>
      <c r="J8423" s="580">
        <v>2310</v>
      </c>
      <c r="K8423" s="580">
        <v>0</v>
      </c>
      <c r="L8423" s="102">
        <v>0.77</v>
      </c>
      <c r="M8423" s="102">
        <v>1778.7</v>
      </c>
    </row>
    <row r="8424" ht="25.5" spans="3:13">
      <c r="C8424" s="108"/>
      <c r="D8424" s="108"/>
      <c r="E8424" s="108"/>
      <c r="F8424" s="108"/>
      <c r="G8424" s="108"/>
      <c r="H8424" s="108" t="s">
        <v>2898</v>
      </c>
      <c r="I8424" s="581">
        <v>260.04</v>
      </c>
      <c r="J8424" s="108" t="s">
        <v>2899</v>
      </c>
      <c r="K8424" s="581">
        <v>0</v>
      </c>
      <c r="L8424" s="108" t="s">
        <v>2900</v>
      </c>
      <c r="M8424" s="581">
        <v>260.04</v>
      </c>
    </row>
    <row r="8425" ht="26.25" spans="3:13">
      <c r="C8425" s="108"/>
      <c r="D8425" s="108"/>
      <c r="E8425" s="108"/>
      <c r="F8425" s="108"/>
      <c r="G8425" s="108"/>
      <c r="H8425" s="108" t="s">
        <v>2901</v>
      </c>
      <c r="I8425" s="581">
        <v>553.92</v>
      </c>
      <c r="J8425" s="114"/>
      <c r="K8425" s="114" t="s">
        <v>2902</v>
      </c>
      <c r="L8425" s="108"/>
      <c r="M8425" s="581">
        <v>2727.01</v>
      </c>
    </row>
    <row r="8426" ht="15" spans="3:13">
      <c r="C8426" s="571"/>
      <c r="D8426" s="571"/>
      <c r="E8426" s="571"/>
      <c r="F8426" s="571"/>
      <c r="G8426" s="571"/>
      <c r="H8426" s="571"/>
      <c r="I8426" s="571"/>
      <c r="J8426" s="571"/>
      <c r="K8426" s="571"/>
      <c r="L8426" s="571"/>
      <c r="M8426" s="571"/>
    </row>
    <row r="8427" ht="15" customHeight="1" spans="3:13">
      <c r="C8427" s="76"/>
      <c r="D8427" s="75" t="s">
        <v>63</v>
      </c>
      <c r="E8427" s="76" t="s">
        <v>64</v>
      </c>
      <c r="F8427" s="76" t="s">
        <v>65</v>
      </c>
      <c r="G8427" s="76" t="s">
        <v>2889</v>
      </c>
      <c r="H8427" s="76"/>
      <c r="I8427" s="77" t="s">
        <v>66</v>
      </c>
      <c r="J8427" s="75" t="s">
        <v>67</v>
      </c>
      <c r="K8427" s="75" t="s">
        <v>2890</v>
      </c>
      <c r="L8427" s="75" t="s">
        <v>68</v>
      </c>
      <c r="M8427" s="75" t="s">
        <v>70</v>
      </c>
    </row>
    <row r="8428" ht="35.05" customHeight="1" spans="3:13">
      <c r="C8428" s="569" t="s">
        <v>2891</v>
      </c>
      <c r="D8428" s="570" t="s">
        <v>3558</v>
      </c>
      <c r="E8428" s="569" t="s">
        <v>139</v>
      </c>
      <c r="F8428" s="569" t="s">
        <v>3559</v>
      </c>
      <c r="G8428" s="569" t="s">
        <v>3016</v>
      </c>
      <c r="H8428" s="569"/>
      <c r="I8428" s="577" t="s">
        <v>279</v>
      </c>
      <c r="J8428" s="578">
        <v>1</v>
      </c>
      <c r="K8428" s="579"/>
      <c r="L8428" s="579">
        <v>688.18</v>
      </c>
      <c r="M8428" s="579">
        <v>688.18</v>
      </c>
    </row>
    <row r="8429" ht="23.85" customHeight="1" spans="3:13">
      <c r="C8429" s="79" t="s">
        <v>2921</v>
      </c>
      <c r="D8429" s="78" t="s">
        <v>2952</v>
      </c>
      <c r="E8429" s="79" t="s">
        <v>139</v>
      </c>
      <c r="F8429" s="79" t="s">
        <v>2953</v>
      </c>
      <c r="G8429" s="79" t="s">
        <v>2928</v>
      </c>
      <c r="H8429" s="79"/>
      <c r="I8429" s="80" t="s">
        <v>2897</v>
      </c>
      <c r="J8429" s="583">
        <v>8.78</v>
      </c>
      <c r="K8429" s="583">
        <v>0</v>
      </c>
      <c r="L8429" s="92">
        <v>29.15</v>
      </c>
      <c r="M8429" s="92">
        <v>255.93</v>
      </c>
    </row>
    <row r="8430" ht="15" customHeight="1" spans="3:13">
      <c r="C8430" s="100" t="s">
        <v>2893</v>
      </c>
      <c r="D8430" s="99" t="s">
        <v>5360</v>
      </c>
      <c r="E8430" s="100" t="s">
        <v>139</v>
      </c>
      <c r="F8430" s="100" t="s">
        <v>5361</v>
      </c>
      <c r="G8430" s="100" t="s">
        <v>2961</v>
      </c>
      <c r="H8430" s="100"/>
      <c r="I8430" s="101" t="s">
        <v>393</v>
      </c>
      <c r="J8430" s="580">
        <v>75.47</v>
      </c>
      <c r="K8430" s="580">
        <v>0</v>
      </c>
      <c r="L8430" s="102">
        <v>1.5</v>
      </c>
      <c r="M8430" s="102">
        <v>113.2</v>
      </c>
    </row>
    <row r="8431" ht="15" customHeight="1" spans="3:13">
      <c r="C8431" s="100" t="s">
        <v>2893</v>
      </c>
      <c r="D8431" s="99" t="s">
        <v>3021</v>
      </c>
      <c r="E8431" s="100" t="s">
        <v>139</v>
      </c>
      <c r="F8431" s="100" t="s">
        <v>3022</v>
      </c>
      <c r="G8431" s="100" t="s">
        <v>2961</v>
      </c>
      <c r="H8431" s="100"/>
      <c r="I8431" s="101" t="s">
        <v>393</v>
      </c>
      <c r="J8431" s="580">
        <v>339.62</v>
      </c>
      <c r="K8431" s="580">
        <v>0</v>
      </c>
      <c r="L8431" s="102">
        <v>0.64</v>
      </c>
      <c r="M8431" s="102">
        <v>217.35</v>
      </c>
    </row>
    <row r="8432" ht="23.85" customHeight="1" spans="3:13">
      <c r="C8432" s="100" t="s">
        <v>2893</v>
      </c>
      <c r="D8432" s="99" t="s">
        <v>5148</v>
      </c>
      <c r="E8432" s="100" t="s">
        <v>139</v>
      </c>
      <c r="F8432" s="100" t="s">
        <v>5149</v>
      </c>
      <c r="G8432" s="100" t="s">
        <v>2961</v>
      </c>
      <c r="H8432" s="100"/>
      <c r="I8432" s="101" t="s">
        <v>279</v>
      </c>
      <c r="J8432" s="580">
        <v>1.13</v>
      </c>
      <c r="K8432" s="580">
        <v>0</v>
      </c>
      <c r="L8432" s="102">
        <v>90</v>
      </c>
      <c r="M8432" s="102">
        <v>101.7</v>
      </c>
    </row>
    <row r="8433" ht="25.5" spans="3:13">
      <c r="C8433" s="108"/>
      <c r="D8433" s="108"/>
      <c r="E8433" s="108"/>
      <c r="F8433" s="108"/>
      <c r="G8433" s="108"/>
      <c r="H8433" s="108" t="s">
        <v>2898</v>
      </c>
      <c r="I8433" s="581">
        <v>168.75</v>
      </c>
      <c r="J8433" s="108" t="s">
        <v>2899</v>
      </c>
      <c r="K8433" s="581">
        <v>0</v>
      </c>
      <c r="L8433" s="108" t="s">
        <v>2900</v>
      </c>
      <c r="M8433" s="581">
        <v>168.75</v>
      </c>
    </row>
    <row r="8434" ht="26.25" spans="3:13">
      <c r="C8434" s="108"/>
      <c r="D8434" s="108"/>
      <c r="E8434" s="108"/>
      <c r="F8434" s="108"/>
      <c r="G8434" s="108"/>
      <c r="H8434" s="108" t="s">
        <v>2901</v>
      </c>
      <c r="I8434" s="581">
        <v>175.41</v>
      </c>
      <c r="J8434" s="114"/>
      <c r="K8434" s="114" t="s">
        <v>2902</v>
      </c>
      <c r="L8434" s="108"/>
      <c r="M8434" s="581">
        <v>863.59</v>
      </c>
    </row>
    <row r="8435" ht="15" spans="3:13">
      <c r="C8435" s="571"/>
      <c r="D8435" s="571"/>
      <c r="E8435" s="571"/>
      <c r="F8435" s="571"/>
      <c r="G8435" s="571"/>
      <c r="H8435" s="571"/>
      <c r="I8435" s="571"/>
      <c r="J8435" s="571"/>
      <c r="K8435" s="571"/>
      <c r="L8435" s="571"/>
      <c r="M8435" s="571"/>
    </row>
    <row r="8436" ht="15" customHeight="1" spans="3:13">
      <c r="C8436" s="76"/>
      <c r="D8436" s="75" t="s">
        <v>63</v>
      </c>
      <c r="E8436" s="76" t="s">
        <v>64</v>
      </c>
      <c r="F8436" s="76" t="s">
        <v>65</v>
      </c>
      <c r="G8436" s="76" t="s">
        <v>2889</v>
      </c>
      <c r="H8436" s="76"/>
      <c r="I8436" s="77" t="s">
        <v>66</v>
      </c>
      <c r="J8436" s="75" t="s">
        <v>67</v>
      </c>
      <c r="K8436" s="75" t="s">
        <v>2890</v>
      </c>
      <c r="L8436" s="75" t="s">
        <v>68</v>
      </c>
      <c r="M8436" s="75" t="s">
        <v>70</v>
      </c>
    </row>
    <row r="8437" ht="35.05" customHeight="1" spans="3:13">
      <c r="C8437" s="569" t="s">
        <v>2891</v>
      </c>
      <c r="D8437" s="570" t="s">
        <v>3182</v>
      </c>
      <c r="E8437" s="569" t="s">
        <v>139</v>
      </c>
      <c r="F8437" s="569" t="s">
        <v>3183</v>
      </c>
      <c r="G8437" s="569" t="s">
        <v>3016</v>
      </c>
      <c r="H8437" s="569"/>
      <c r="I8437" s="577" t="s">
        <v>279</v>
      </c>
      <c r="J8437" s="578">
        <v>1</v>
      </c>
      <c r="K8437" s="579"/>
      <c r="L8437" s="579">
        <v>773.95</v>
      </c>
      <c r="M8437" s="579">
        <v>773.95</v>
      </c>
    </row>
    <row r="8438" ht="23.85" customHeight="1" spans="3:13">
      <c r="C8438" s="79" t="s">
        <v>2921</v>
      </c>
      <c r="D8438" s="78" t="s">
        <v>2952</v>
      </c>
      <c r="E8438" s="79" t="s">
        <v>139</v>
      </c>
      <c r="F8438" s="79" t="s">
        <v>2953</v>
      </c>
      <c r="G8438" s="79" t="s">
        <v>2928</v>
      </c>
      <c r="H8438" s="79"/>
      <c r="I8438" s="80" t="s">
        <v>2897</v>
      </c>
      <c r="J8438" s="583">
        <v>11.23</v>
      </c>
      <c r="K8438" s="583">
        <v>0</v>
      </c>
      <c r="L8438" s="92">
        <v>29.15</v>
      </c>
      <c r="M8438" s="92">
        <v>327.35</v>
      </c>
    </row>
    <row r="8439" ht="23.85" customHeight="1" spans="3:13">
      <c r="C8439" s="100" t="s">
        <v>2893</v>
      </c>
      <c r="D8439" s="99" t="s">
        <v>5148</v>
      </c>
      <c r="E8439" s="100" t="s">
        <v>139</v>
      </c>
      <c r="F8439" s="100" t="s">
        <v>5149</v>
      </c>
      <c r="G8439" s="100" t="s">
        <v>2961</v>
      </c>
      <c r="H8439" s="100"/>
      <c r="I8439" s="101" t="s">
        <v>279</v>
      </c>
      <c r="J8439" s="580">
        <v>1.16</v>
      </c>
      <c r="K8439" s="580">
        <v>0</v>
      </c>
      <c r="L8439" s="102">
        <v>90</v>
      </c>
      <c r="M8439" s="102">
        <v>104.4</v>
      </c>
    </row>
    <row r="8440" ht="15" customHeight="1" spans="3:13">
      <c r="C8440" s="100" t="s">
        <v>2893</v>
      </c>
      <c r="D8440" s="99" t="s">
        <v>3021</v>
      </c>
      <c r="E8440" s="100" t="s">
        <v>139</v>
      </c>
      <c r="F8440" s="100" t="s">
        <v>3022</v>
      </c>
      <c r="G8440" s="100" t="s">
        <v>2961</v>
      </c>
      <c r="H8440" s="100"/>
      <c r="I8440" s="101" t="s">
        <v>393</v>
      </c>
      <c r="J8440" s="580">
        <v>261.89</v>
      </c>
      <c r="K8440" s="580">
        <v>0</v>
      </c>
      <c r="L8440" s="102">
        <v>0.64</v>
      </c>
      <c r="M8440" s="102">
        <v>167.6</v>
      </c>
    </row>
    <row r="8441" ht="15" customHeight="1" spans="3:13">
      <c r="C8441" s="100" t="s">
        <v>2893</v>
      </c>
      <c r="D8441" s="99" t="s">
        <v>5360</v>
      </c>
      <c r="E8441" s="100" t="s">
        <v>139</v>
      </c>
      <c r="F8441" s="100" t="s">
        <v>5361</v>
      </c>
      <c r="G8441" s="100" t="s">
        <v>2961</v>
      </c>
      <c r="H8441" s="100"/>
      <c r="I8441" s="101" t="s">
        <v>393</v>
      </c>
      <c r="J8441" s="580">
        <v>116.4</v>
      </c>
      <c r="K8441" s="580">
        <v>0</v>
      </c>
      <c r="L8441" s="102">
        <v>1.5</v>
      </c>
      <c r="M8441" s="102">
        <v>174.6</v>
      </c>
    </row>
    <row r="8442" ht="25.5" spans="3:13">
      <c r="C8442" s="108"/>
      <c r="D8442" s="108"/>
      <c r="E8442" s="108"/>
      <c r="F8442" s="108"/>
      <c r="G8442" s="108"/>
      <c r="H8442" s="108" t="s">
        <v>2898</v>
      </c>
      <c r="I8442" s="581">
        <v>215.84</v>
      </c>
      <c r="J8442" s="108" t="s">
        <v>2899</v>
      </c>
      <c r="K8442" s="581">
        <v>0</v>
      </c>
      <c r="L8442" s="108" t="s">
        <v>2900</v>
      </c>
      <c r="M8442" s="581">
        <v>215.84</v>
      </c>
    </row>
    <row r="8443" ht="26.25" spans="3:13">
      <c r="C8443" s="108"/>
      <c r="D8443" s="108"/>
      <c r="E8443" s="108"/>
      <c r="F8443" s="108"/>
      <c r="G8443" s="108"/>
      <c r="H8443" s="108" t="s">
        <v>2901</v>
      </c>
      <c r="I8443" s="581">
        <v>197.27</v>
      </c>
      <c r="J8443" s="114"/>
      <c r="K8443" s="114" t="s">
        <v>2902</v>
      </c>
      <c r="L8443" s="108"/>
      <c r="M8443" s="581">
        <v>971.22</v>
      </c>
    </row>
    <row r="8444" ht="15" spans="3:13">
      <c r="C8444" s="571"/>
      <c r="D8444" s="571"/>
      <c r="E8444" s="571"/>
      <c r="F8444" s="571"/>
      <c r="G8444" s="571"/>
      <c r="H8444" s="571"/>
      <c r="I8444" s="571"/>
      <c r="J8444" s="571"/>
      <c r="K8444" s="571"/>
      <c r="L8444" s="571"/>
      <c r="M8444" s="571"/>
    </row>
    <row r="8445" ht="15" customHeight="1" spans="3:13">
      <c r="C8445" s="76"/>
      <c r="D8445" s="75" t="s">
        <v>63</v>
      </c>
      <c r="E8445" s="76" t="s">
        <v>64</v>
      </c>
      <c r="F8445" s="76" t="s">
        <v>65</v>
      </c>
      <c r="G8445" s="76" t="s">
        <v>2889</v>
      </c>
      <c r="H8445" s="76"/>
      <c r="I8445" s="77" t="s">
        <v>66</v>
      </c>
      <c r="J8445" s="75" t="s">
        <v>67</v>
      </c>
      <c r="K8445" s="75" t="s">
        <v>2890</v>
      </c>
      <c r="L8445" s="75" t="s">
        <v>68</v>
      </c>
      <c r="M8445" s="75" t="s">
        <v>70</v>
      </c>
    </row>
    <row r="8446" ht="35.05" customHeight="1" spans="3:13">
      <c r="C8446" s="569" t="s">
        <v>2891</v>
      </c>
      <c r="D8446" s="570" t="s">
        <v>3073</v>
      </c>
      <c r="E8446" s="569" t="s">
        <v>139</v>
      </c>
      <c r="F8446" s="569" t="s">
        <v>3074</v>
      </c>
      <c r="G8446" s="569" t="s">
        <v>3016</v>
      </c>
      <c r="H8446" s="569"/>
      <c r="I8446" s="577" t="s">
        <v>279</v>
      </c>
      <c r="J8446" s="578">
        <v>1</v>
      </c>
      <c r="K8446" s="579"/>
      <c r="L8446" s="579">
        <v>806.06</v>
      </c>
      <c r="M8446" s="579">
        <v>806.06</v>
      </c>
    </row>
    <row r="8447" ht="23.85" customHeight="1" spans="3:13">
      <c r="C8447" s="79" t="s">
        <v>2921</v>
      </c>
      <c r="D8447" s="78" t="s">
        <v>2952</v>
      </c>
      <c r="E8447" s="79" t="s">
        <v>139</v>
      </c>
      <c r="F8447" s="79" t="s">
        <v>2953</v>
      </c>
      <c r="G8447" s="79" t="s">
        <v>2928</v>
      </c>
      <c r="H8447" s="79"/>
      <c r="I8447" s="80" t="s">
        <v>2897</v>
      </c>
      <c r="J8447" s="583">
        <v>11.1</v>
      </c>
      <c r="K8447" s="583">
        <v>0</v>
      </c>
      <c r="L8447" s="92">
        <v>29.15</v>
      </c>
      <c r="M8447" s="92">
        <v>323.56</v>
      </c>
    </row>
    <row r="8448" ht="15" customHeight="1" spans="3:13">
      <c r="C8448" s="100" t="s">
        <v>2893</v>
      </c>
      <c r="D8448" s="99" t="s">
        <v>3021</v>
      </c>
      <c r="E8448" s="100" t="s">
        <v>139</v>
      </c>
      <c r="F8448" s="100" t="s">
        <v>3022</v>
      </c>
      <c r="G8448" s="100" t="s">
        <v>2961</v>
      </c>
      <c r="H8448" s="100"/>
      <c r="I8448" s="101" t="s">
        <v>393</v>
      </c>
      <c r="J8448" s="580">
        <v>192.52</v>
      </c>
      <c r="K8448" s="580">
        <v>0</v>
      </c>
      <c r="L8448" s="102">
        <v>0.64</v>
      </c>
      <c r="M8448" s="102">
        <v>123.21</v>
      </c>
    </row>
    <row r="8449" ht="23.85" customHeight="1" spans="3:13">
      <c r="C8449" s="100" t="s">
        <v>2893</v>
      </c>
      <c r="D8449" s="99" t="s">
        <v>5148</v>
      </c>
      <c r="E8449" s="100" t="s">
        <v>139</v>
      </c>
      <c r="F8449" s="100" t="s">
        <v>5149</v>
      </c>
      <c r="G8449" s="100" t="s">
        <v>2961</v>
      </c>
      <c r="H8449" s="100"/>
      <c r="I8449" s="101" t="s">
        <v>279</v>
      </c>
      <c r="J8449" s="580">
        <v>1.14</v>
      </c>
      <c r="K8449" s="580">
        <v>0</v>
      </c>
      <c r="L8449" s="102">
        <v>90</v>
      </c>
      <c r="M8449" s="102">
        <v>102.6</v>
      </c>
    </row>
    <row r="8450" ht="15" customHeight="1" spans="3:13">
      <c r="C8450" s="100" t="s">
        <v>2893</v>
      </c>
      <c r="D8450" s="99" t="s">
        <v>5360</v>
      </c>
      <c r="E8450" s="100" t="s">
        <v>139</v>
      </c>
      <c r="F8450" s="100" t="s">
        <v>5361</v>
      </c>
      <c r="G8450" s="100" t="s">
        <v>2961</v>
      </c>
      <c r="H8450" s="100"/>
      <c r="I8450" s="101" t="s">
        <v>393</v>
      </c>
      <c r="J8450" s="580">
        <v>171.13</v>
      </c>
      <c r="K8450" s="580">
        <v>0</v>
      </c>
      <c r="L8450" s="102">
        <v>1.5</v>
      </c>
      <c r="M8450" s="102">
        <v>256.69</v>
      </c>
    </row>
    <row r="8451" ht="25.5" spans="3:13">
      <c r="C8451" s="108"/>
      <c r="D8451" s="108"/>
      <c r="E8451" s="108"/>
      <c r="F8451" s="108"/>
      <c r="G8451" s="108"/>
      <c r="H8451" s="108" t="s">
        <v>2898</v>
      </c>
      <c r="I8451" s="581">
        <v>213.34</v>
      </c>
      <c r="J8451" s="108" t="s">
        <v>2899</v>
      </c>
      <c r="K8451" s="581">
        <v>0</v>
      </c>
      <c r="L8451" s="108" t="s">
        <v>2900</v>
      </c>
      <c r="M8451" s="581">
        <v>213.34</v>
      </c>
    </row>
    <row r="8452" ht="26.25" spans="3:13">
      <c r="C8452" s="108"/>
      <c r="D8452" s="108"/>
      <c r="E8452" s="108"/>
      <c r="F8452" s="108"/>
      <c r="G8452" s="108"/>
      <c r="H8452" s="108" t="s">
        <v>2901</v>
      </c>
      <c r="I8452" s="581">
        <v>205.46</v>
      </c>
      <c r="J8452" s="114"/>
      <c r="K8452" s="114" t="s">
        <v>2902</v>
      </c>
      <c r="L8452" s="108"/>
      <c r="M8452" s="581">
        <v>1011.52</v>
      </c>
    </row>
    <row r="8453" ht="15" spans="3:13">
      <c r="C8453" s="571"/>
      <c r="D8453" s="571"/>
      <c r="E8453" s="571"/>
      <c r="F8453" s="571"/>
      <c r="G8453" s="571"/>
      <c r="H8453" s="571"/>
      <c r="I8453" s="571"/>
      <c r="J8453" s="571"/>
      <c r="K8453" s="571"/>
      <c r="L8453" s="571"/>
      <c r="M8453" s="571"/>
    </row>
    <row r="8454" ht="15" customHeight="1" spans="3:13">
      <c r="C8454" s="76"/>
      <c r="D8454" s="75" t="s">
        <v>63</v>
      </c>
      <c r="E8454" s="76" t="s">
        <v>64</v>
      </c>
      <c r="F8454" s="76" t="s">
        <v>65</v>
      </c>
      <c r="G8454" s="76" t="s">
        <v>2889</v>
      </c>
      <c r="H8454" s="76"/>
      <c r="I8454" s="77" t="s">
        <v>66</v>
      </c>
      <c r="J8454" s="75" t="s">
        <v>67</v>
      </c>
      <c r="K8454" s="75" t="s">
        <v>2890</v>
      </c>
      <c r="L8454" s="75" t="s">
        <v>68</v>
      </c>
      <c r="M8454" s="75" t="s">
        <v>70</v>
      </c>
    </row>
    <row r="8455" ht="35.05" customHeight="1" spans="3:13">
      <c r="C8455" s="569" t="s">
        <v>2891</v>
      </c>
      <c r="D8455" s="570" t="s">
        <v>3063</v>
      </c>
      <c r="E8455" s="569" t="s">
        <v>139</v>
      </c>
      <c r="F8455" s="569" t="s">
        <v>3064</v>
      </c>
      <c r="G8455" s="569" t="s">
        <v>3016</v>
      </c>
      <c r="H8455" s="569"/>
      <c r="I8455" s="577" t="s">
        <v>279</v>
      </c>
      <c r="J8455" s="578">
        <v>1</v>
      </c>
      <c r="K8455" s="579"/>
      <c r="L8455" s="579">
        <v>639.63</v>
      </c>
      <c r="M8455" s="579">
        <v>639.63</v>
      </c>
    </row>
    <row r="8456" ht="35.05" customHeight="1" spans="3:13">
      <c r="C8456" s="79" t="s">
        <v>2921</v>
      </c>
      <c r="D8456" s="78" t="s">
        <v>5362</v>
      </c>
      <c r="E8456" s="79" t="s">
        <v>139</v>
      </c>
      <c r="F8456" s="79" t="s">
        <v>5363</v>
      </c>
      <c r="G8456" s="79" t="s">
        <v>2995</v>
      </c>
      <c r="H8456" s="79"/>
      <c r="I8456" s="80" t="s">
        <v>3002</v>
      </c>
      <c r="J8456" s="583">
        <v>1.05</v>
      </c>
      <c r="K8456" s="583">
        <v>0</v>
      </c>
      <c r="L8456" s="92">
        <v>2.24</v>
      </c>
      <c r="M8456" s="92">
        <v>2.35</v>
      </c>
    </row>
    <row r="8457" ht="35.05" customHeight="1" spans="3:13">
      <c r="C8457" s="79" t="s">
        <v>2921</v>
      </c>
      <c r="D8457" s="78" t="s">
        <v>5364</v>
      </c>
      <c r="E8457" s="79" t="s">
        <v>139</v>
      </c>
      <c r="F8457" s="79" t="s">
        <v>5365</v>
      </c>
      <c r="G8457" s="79" t="s">
        <v>2995</v>
      </c>
      <c r="H8457" s="79"/>
      <c r="I8457" s="80" t="s">
        <v>2996</v>
      </c>
      <c r="J8457" s="583">
        <v>3.45</v>
      </c>
      <c r="K8457" s="583">
        <v>0</v>
      </c>
      <c r="L8457" s="92">
        <v>0.43</v>
      </c>
      <c r="M8457" s="92">
        <v>1.48</v>
      </c>
    </row>
    <row r="8458" ht="23.85" customHeight="1" spans="3:13">
      <c r="C8458" s="79" t="s">
        <v>2921</v>
      </c>
      <c r="D8458" s="78" t="s">
        <v>5366</v>
      </c>
      <c r="E8458" s="79" t="s">
        <v>139</v>
      </c>
      <c r="F8458" s="79" t="s">
        <v>5367</v>
      </c>
      <c r="G8458" s="79" t="s">
        <v>2928</v>
      </c>
      <c r="H8458" s="79"/>
      <c r="I8458" s="80" t="s">
        <v>2897</v>
      </c>
      <c r="J8458" s="583">
        <v>4.5</v>
      </c>
      <c r="K8458" s="583">
        <v>0</v>
      </c>
      <c r="L8458" s="92">
        <v>32.2</v>
      </c>
      <c r="M8458" s="92">
        <v>144.9</v>
      </c>
    </row>
    <row r="8459" ht="15" customHeight="1" spans="3:13">
      <c r="C8459" s="100" t="s">
        <v>2893</v>
      </c>
      <c r="D8459" s="99" t="s">
        <v>5360</v>
      </c>
      <c r="E8459" s="100" t="s">
        <v>139</v>
      </c>
      <c r="F8459" s="100" t="s">
        <v>5361</v>
      </c>
      <c r="G8459" s="100" t="s">
        <v>2961</v>
      </c>
      <c r="H8459" s="100"/>
      <c r="I8459" s="101" t="s">
        <v>393</v>
      </c>
      <c r="J8459" s="580">
        <v>174.1</v>
      </c>
      <c r="K8459" s="580">
        <v>0</v>
      </c>
      <c r="L8459" s="102">
        <v>1.5</v>
      </c>
      <c r="M8459" s="102">
        <v>261.15</v>
      </c>
    </row>
    <row r="8460" ht="23.85" customHeight="1" spans="3:13">
      <c r="C8460" s="100" t="s">
        <v>2893</v>
      </c>
      <c r="D8460" s="99" t="s">
        <v>5148</v>
      </c>
      <c r="E8460" s="100" t="s">
        <v>139</v>
      </c>
      <c r="F8460" s="100" t="s">
        <v>5149</v>
      </c>
      <c r="G8460" s="100" t="s">
        <v>2961</v>
      </c>
      <c r="H8460" s="100"/>
      <c r="I8460" s="101" t="s">
        <v>279</v>
      </c>
      <c r="J8460" s="580">
        <v>1.16</v>
      </c>
      <c r="K8460" s="580">
        <v>0</v>
      </c>
      <c r="L8460" s="102">
        <v>90</v>
      </c>
      <c r="M8460" s="102">
        <v>104.4</v>
      </c>
    </row>
    <row r="8461" ht="15" customHeight="1" spans="3:13">
      <c r="C8461" s="100" t="s">
        <v>2893</v>
      </c>
      <c r="D8461" s="99" t="s">
        <v>3021</v>
      </c>
      <c r="E8461" s="100" t="s">
        <v>139</v>
      </c>
      <c r="F8461" s="100" t="s">
        <v>3022</v>
      </c>
      <c r="G8461" s="100" t="s">
        <v>2961</v>
      </c>
      <c r="H8461" s="100"/>
      <c r="I8461" s="101" t="s">
        <v>393</v>
      </c>
      <c r="J8461" s="580">
        <v>195.86</v>
      </c>
      <c r="K8461" s="580">
        <v>0</v>
      </c>
      <c r="L8461" s="102">
        <v>0.64</v>
      </c>
      <c r="M8461" s="102">
        <v>125.35</v>
      </c>
    </row>
    <row r="8462" ht="25.5" spans="3:13">
      <c r="C8462" s="108"/>
      <c r="D8462" s="108"/>
      <c r="E8462" s="108"/>
      <c r="F8462" s="108"/>
      <c r="G8462" s="108"/>
      <c r="H8462" s="108" t="s">
        <v>2898</v>
      </c>
      <c r="I8462" s="581">
        <v>105.16</v>
      </c>
      <c r="J8462" s="108" t="s">
        <v>2899</v>
      </c>
      <c r="K8462" s="581">
        <v>0</v>
      </c>
      <c r="L8462" s="108" t="s">
        <v>2900</v>
      </c>
      <c r="M8462" s="581">
        <v>105.16</v>
      </c>
    </row>
    <row r="8463" ht="26.25" spans="3:13">
      <c r="C8463" s="108"/>
      <c r="D8463" s="108"/>
      <c r="E8463" s="108"/>
      <c r="F8463" s="108"/>
      <c r="G8463" s="108"/>
      <c r="H8463" s="108" t="s">
        <v>2901</v>
      </c>
      <c r="I8463" s="581">
        <v>163.04</v>
      </c>
      <c r="J8463" s="114"/>
      <c r="K8463" s="114" t="s">
        <v>2902</v>
      </c>
      <c r="L8463" s="108"/>
      <c r="M8463" s="581">
        <v>802.67</v>
      </c>
    </row>
    <row r="8464" ht="15" spans="3:13">
      <c r="C8464" s="571"/>
      <c r="D8464" s="571"/>
      <c r="E8464" s="571"/>
      <c r="F8464" s="571"/>
      <c r="G8464" s="571"/>
      <c r="H8464" s="571"/>
      <c r="I8464" s="571"/>
      <c r="J8464" s="571"/>
      <c r="K8464" s="571"/>
      <c r="L8464" s="571"/>
      <c r="M8464" s="571"/>
    </row>
    <row r="8465" ht="15" customHeight="1" spans="3:13">
      <c r="C8465" s="76"/>
      <c r="D8465" s="75" t="s">
        <v>63</v>
      </c>
      <c r="E8465" s="76" t="s">
        <v>64</v>
      </c>
      <c r="F8465" s="76" t="s">
        <v>65</v>
      </c>
      <c r="G8465" s="76" t="s">
        <v>2889</v>
      </c>
      <c r="H8465" s="76"/>
      <c r="I8465" s="77" t="s">
        <v>66</v>
      </c>
      <c r="J8465" s="75" t="s">
        <v>67</v>
      </c>
      <c r="K8465" s="75" t="s">
        <v>2890</v>
      </c>
      <c r="L8465" s="75" t="s">
        <v>68</v>
      </c>
      <c r="M8465" s="75" t="s">
        <v>70</v>
      </c>
    </row>
    <row r="8466" ht="35.05" customHeight="1" spans="3:13">
      <c r="C8466" s="569" t="s">
        <v>2891</v>
      </c>
      <c r="D8466" s="570" t="s">
        <v>3077</v>
      </c>
      <c r="E8466" s="569" t="s">
        <v>139</v>
      </c>
      <c r="F8466" s="569" t="s">
        <v>3078</v>
      </c>
      <c r="G8466" s="569" t="s">
        <v>3016</v>
      </c>
      <c r="H8466" s="569"/>
      <c r="I8466" s="577" t="s">
        <v>279</v>
      </c>
      <c r="J8466" s="578">
        <v>1</v>
      </c>
      <c r="K8466" s="579"/>
      <c r="L8466" s="579">
        <v>677.4</v>
      </c>
      <c r="M8466" s="579">
        <v>677.4</v>
      </c>
    </row>
    <row r="8467" ht="23.85" customHeight="1" spans="3:13">
      <c r="C8467" s="79" t="s">
        <v>2921</v>
      </c>
      <c r="D8467" s="78" t="s">
        <v>2952</v>
      </c>
      <c r="E8467" s="79" t="s">
        <v>139</v>
      </c>
      <c r="F8467" s="79" t="s">
        <v>2953</v>
      </c>
      <c r="G8467" s="79" t="s">
        <v>2928</v>
      </c>
      <c r="H8467" s="79"/>
      <c r="I8467" s="80" t="s">
        <v>2897</v>
      </c>
      <c r="J8467" s="583">
        <v>11.02</v>
      </c>
      <c r="K8467" s="583">
        <v>0</v>
      </c>
      <c r="L8467" s="92">
        <v>29.15</v>
      </c>
      <c r="M8467" s="92">
        <v>321.23</v>
      </c>
    </row>
    <row r="8468" ht="23.85" customHeight="1" spans="3:13">
      <c r="C8468" s="100" t="s">
        <v>2893</v>
      </c>
      <c r="D8468" s="99" t="s">
        <v>2715</v>
      </c>
      <c r="E8468" s="100" t="s">
        <v>139</v>
      </c>
      <c r="F8468" s="100" t="s">
        <v>2716</v>
      </c>
      <c r="G8468" s="100" t="s">
        <v>2961</v>
      </c>
      <c r="H8468" s="100"/>
      <c r="I8468" s="101" t="s">
        <v>279</v>
      </c>
      <c r="J8468" s="580">
        <v>0.94</v>
      </c>
      <c r="K8468" s="580">
        <v>0</v>
      </c>
      <c r="L8468" s="102">
        <v>91.17</v>
      </c>
      <c r="M8468" s="102">
        <v>85.69</v>
      </c>
    </row>
    <row r="8469" ht="15" customHeight="1" spans="3:13">
      <c r="C8469" s="100" t="s">
        <v>2893</v>
      </c>
      <c r="D8469" s="99" t="s">
        <v>3021</v>
      </c>
      <c r="E8469" s="100" t="s">
        <v>139</v>
      </c>
      <c r="F8469" s="100" t="s">
        <v>3022</v>
      </c>
      <c r="G8469" s="100" t="s">
        <v>2961</v>
      </c>
      <c r="H8469" s="100"/>
      <c r="I8469" s="101" t="s">
        <v>393</v>
      </c>
      <c r="J8469" s="580">
        <v>422.63</v>
      </c>
      <c r="K8469" s="580">
        <v>0</v>
      </c>
      <c r="L8469" s="102">
        <v>0.64</v>
      </c>
      <c r="M8469" s="102">
        <v>270.48</v>
      </c>
    </row>
    <row r="8470" ht="25.5" spans="3:13">
      <c r="C8470" s="108"/>
      <c r="D8470" s="108"/>
      <c r="E8470" s="108"/>
      <c r="F8470" s="108"/>
      <c r="G8470" s="108"/>
      <c r="H8470" s="108" t="s">
        <v>2898</v>
      </c>
      <c r="I8470" s="581">
        <v>211.8</v>
      </c>
      <c r="J8470" s="108" t="s">
        <v>2899</v>
      </c>
      <c r="K8470" s="581">
        <v>0</v>
      </c>
      <c r="L8470" s="108" t="s">
        <v>2900</v>
      </c>
      <c r="M8470" s="581">
        <v>211.8</v>
      </c>
    </row>
    <row r="8471" ht="26.25" spans="3:13">
      <c r="C8471" s="108"/>
      <c r="D8471" s="108"/>
      <c r="E8471" s="108"/>
      <c r="F8471" s="108"/>
      <c r="G8471" s="108"/>
      <c r="H8471" s="108" t="s">
        <v>2901</v>
      </c>
      <c r="I8471" s="581">
        <v>172.66</v>
      </c>
      <c r="J8471" s="114"/>
      <c r="K8471" s="114" t="s">
        <v>2902</v>
      </c>
      <c r="L8471" s="108"/>
      <c r="M8471" s="581">
        <v>850.06</v>
      </c>
    </row>
    <row r="8472" ht="15" spans="3:13">
      <c r="C8472" s="571"/>
      <c r="D8472" s="571"/>
      <c r="E8472" s="571"/>
      <c r="F8472" s="571"/>
      <c r="G8472" s="571"/>
      <c r="H8472" s="571"/>
      <c r="I8472" s="571"/>
      <c r="J8472" s="571"/>
      <c r="K8472" s="571"/>
      <c r="L8472" s="571"/>
      <c r="M8472" s="571"/>
    </row>
    <row r="8473" ht="15" customHeight="1" spans="3:13">
      <c r="C8473" s="76"/>
      <c r="D8473" s="75" t="s">
        <v>63</v>
      </c>
      <c r="E8473" s="76" t="s">
        <v>64</v>
      </c>
      <c r="F8473" s="76" t="s">
        <v>65</v>
      </c>
      <c r="G8473" s="76" t="s">
        <v>2889</v>
      </c>
      <c r="H8473" s="76"/>
      <c r="I8473" s="77" t="s">
        <v>66</v>
      </c>
      <c r="J8473" s="75" t="s">
        <v>67</v>
      </c>
      <c r="K8473" s="75" t="s">
        <v>2890</v>
      </c>
      <c r="L8473" s="75" t="s">
        <v>68</v>
      </c>
      <c r="M8473" s="75" t="s">
        <v>70</v>
      </c>
    </row>
    <row r="8474" ht="35.05" customHeight="1" spans="3:13">
      <c r="C8474" s="569" t="s">
        <v>2891</v>
      </c>
      <c r="D8474" s="570" t="s">
        <v>5054</v>
      </c>
      <c r="E8474" s="569" t="s">
        <v>139</v>
      </c>
      <c r="F8474" s="569" t="s">
        <v>5055</v>
      </c>
      <c r="G8474" s="569" t="s">
        <v>3016</v>
      </c>
      <c r="H8474" s="569"/>
      <c r="I8474" s="577" t="s">
        <v>279</v>
      </c>
      <c r="J8474" s="578">
        <v>1</v>
      </c>
      <c r="K8474" s="579"/>
      <c r="L8474" s="579">
        <v>502.34</v>
      </c>
      <c r="M8474" s="579">
        <v>502.34</v>
      </c>
    </row>
    <row r="8475" ht="35.05" customHeight="1" spans="3:13">
      <c r="C8475" s="79" t="s">
        <v>2921</v>
      </c>
      <c r="D8475" s="78" t="s">
        <v>5362</v>
      </c>
      <c r="E8475" s="79" t="s">
        <v>139</v>
      </c>
      <c r="F8475" s="79" t="s">
        <v>5363</v>
      </c>
      <c r="G8475" s="79" t="s">
        <v>2995</v>
      </c>
      <c r="H8475" s="79"/>
      <c r="I8475" s="80" t="s">
        <v>3002</v>
      </c>
      <c r="J8475" s="583">
        <v>1.01</v>
      </c>
      <c r="K8475" s="583">
        <v>0</v>
      </c>
      <c r="L8475" s="92">
        <v>2.24</v>
      </c>
      <c r="M8475" s="92">
        <v>2.26</v>
      </c>
    </row>
    <row r="8476" ht="23.85" customHeight="1" spans="3:13">
      <c r="C8476" s="79" t="s">
        <v>2921</v>
      </c>
      <c r="D8476" s="78" t="s">
        <v>5366</v>
      </c>
      <c r="E8476" s="79" t="s">
        <v>139</v>
      </c>
      <c r="F8476" s="79" t="s">
        <v>5367</v>
      </c>
      <c r="G8476" s="79" t="s">
        <v>2928</v>
      </c>
      <c r="H8476" s="79"/>
      <c r="I8476" s="80" t="s">
        <v>2897</v>
      </c>
      <c r="J8476" s="583">
        <v>4.32</v>
      </c>
      <c r="K8476" s="583">
        <v>0</v>
      </c>
      <c r="L8476" s="92">
        <v>32.2</v>
      </c>
      <c r="M8476" s="92">
        <v>139.1</v>
      </c>
    </row>
    <row r="8477" ht="35.05" customHeight="1" spans="3:13">
      <c r="C8477" s="79" t="s">
        <v>2921</v>
      </c>
      <c r="D8477" s="78" t="s">
        <v>5364</v>
      </c>
      <c r="E8477" s="79" t="s">
        <v>139</v>
      </c>
      <c r="F8477" s="79" t="s">
        <v>5365</v>
      </c>
      <c r="G8477" s="79" t="s">
        <v>2995</v>
      </c>
      <c r="H8477" s="79"/>
      <c r="I8477" s="80" t="s">
        <v>2996</v>
      </c>
      <c r="J8477" s="583">
        <v>3.31</v>
      </c>
      <c r="K8477" s="583">
        <v>0</v>
      </c>
      <c r="L8477" s="92">
        <v>0.43</v>
      </c>
      <c r="M8477" s="92">
        <v>1.42</v>
      </c>
    </row>
    <row r="8478" ht="15" customHeight="1" spans="3:13">
      <c r="C8478" s="100" t="s">
        <v>2893</v>
      </c>
      <c r="D8478" s="99" t="s">
        <v>3021</v>
      </c>
      <c r="E8478" s="100" t="s">
        <v>139</v>
      </c>
      <c r="F8478" s="100" t="s">
        <v>3022</v>
      </c>
      <c r="G8478" s="100" t="s">
        <v>2961</v>
      </c>
      <c r="H8478" s="100"/>
      <c r="I8478" s="101" t="s">
        <v>393</v>
      </c>
      <c r="J8478" s="580">
        <v>426.49</v>
      </c>
      <c r="K8478" s="580">
        <v>0</v>
      </c>
      <c r="L8478" s="102">
        <v>0.64</v>
      </c>
      <c r="M8478" s="102">
        <v>272.95</v>
      </c>
    </row>
    <row r="8479" ht="23.85" customHeight="1" spans="3:13">
      <c r="C8479" s="100" t="s">
        <v>2893</v>
      </c>
      <c r="D8479" s="99" t="s">
        <v>2715</v>
      </c>
      <c r="E8479" s="100" t="s">
        <v>139</v>
      </c>
      <c r="F8479" s="100" t="s">
        <v>2716</v>
      </c>
      <c r="G8479" s="100" t="s">
        <v>2961</v>
      </c>
      <c r="H8479" s="100"/>
      <c r="I8479" s="101" t="s">
        <v>279</v>
      </c>
      <c r="J8479" s="580">
        <v>0.95</v>
      </c>
      <c r="K8479" s="580">
        <v>0</v>
      </c>
      <c r="L8479" s="102">
        <v>91.17</v>
      </c>
      <c r="M8479" s="102">
        <v>86.61</v>
      </c>
    </row>
    <row r="8480" ht="25.5" spans="3:13">
      <c r="C8480" s="108"/>
      <c r="D8480" s="108"/>
      <c r="E8480" s="108"/>
      <c r="F8480" s="108"/>
      <c r="G8480" s="108"/>
      <c r="H8480" s="108" t="s">
        <v>2898</v>
      </c>
      <c r="I8480" s="581">
        <v>100.95</v>
      </c>
      <c r="J8480" s="108" t="s">
        <v>2899</v>
      </c>
      <c r="K8480" s="581">
        <v>0</v>
      </c>
      <c r="L8480" s="108" t="s">
        <v>2900</v>
      </c>
      <c r="M8480" s="581">
        <v>100.95</v>
      </c>
    </row>
    <row r="8481" ht="26.25" spans="3:13">
      <c r="C8481" s="108"/>
      <c r="D8481" s="108"/>
      <c r="E8481" s="108"/>
      <c r="F8481" s="108"/>
      <c r="G8481" s="108"/>
      <c r="H8481" s="108" t="s">
        <v>2901</v>
      </c>
      <c r="I8481" s="581">
        <v>128.04</v>
      </c>
      <c r="J8481" s="114"/>
      <c r="K8481" s="114" t="s">
        <v>2902</v>
      </c>
      <c r="L8481" s="108"/>
      <c r="M8481" s="581">
        <v>630.38</v>
      </c>
    </row>
    <row r="8482" ht="15" spans="3:13">
      <c r="C8482" s="571"/>
      <c r="D8482" s="571"/>
      <c r="E8482" s="571"/>
      <c r="F8482" s="571"/>
      <c r="G8482" s="571"/>
      <c r="H8482" s="571"/>
      <c r="I8482" s="571"/>
      <c r="J8482" s="571"/>
      <c r="K8482" s="571"/>
      <c r="L8482" s="571"/>
      <c r="M8482" s="571"/>
    </row>
    <row r="8483" ht="15" customHeight="1" spans="3:13">
      <c r="C8483" s="76"/>
      <c r="D8483" s="75" t="s">
        <v>63</v>
      </c>
      <c r="E8483" s="76" t="s">
        <v>64</v>
      </c>
      <c r="F8483" s="76" t="s">
        <v>65</v>
      </c>
      <c r="G8483" s="76" t="s">
        <v>2889</v>
      </c>
      <c r="H8483" s="76"/>
      <c r="I8483" s="77" t="s">
        <v>66</v>
      </c>
      <c r="J8483" s="75" t="s">
        <v>67</v>
      </c>
      <c r="K8483" s="75" t="s">
        <v>2890</v>
      </c>
      <c r="L8483" s="75" t="s">
        <v>68</v>
      </c>
      <c r="M8483" s="75" t="s">
        <v>70</v>
      </c>
    </row>
    <row r="8484" ht="35.05" customHeight="1" spans="3:13">
      <c r="C8484" s="569" t="s">
        <v>2891</v>
      </c>
      <c r="D8484" s="570" t="s">
        <v>5368</v>
      </c>
      <c r="E8484" s="569" t="s">
        <v>139</v>
      </c>
      <c r="F8484" s="569" t="s">
        <v>5369</v>
      </c>
      <c r="G8484" s="569" t="s">
        <v>3016</v>
      </c>
      <c r="H8484" s="569"/>
      <c r="I8484" s="577" t="s">
        <v>279</v>
      </c>
      <c r="J8484" s="578">
        <v>1</v>
      </c>
      <c r="K8484" s="579"/>
      <c r="L8484" s="579">
        <v>693.51</v>
      </c>
      <c r="M8484" s="579">
        <v>693.51</v>
      </c>
    </row>
    <row r="8485" ht="35.05" customHeight="1" spans="3:13">
      <c r="C8485" s="79" t="s">
        <v>2921</v>
      </c>
      <c r="D8485" s="78" t="s">
        <v>5364</v>
      </c>
      <c r="E8485" s="79" t="s">
        <v>139</v>
      </c>
      <c r="F8485" s="79" t="s">
        <v>5365</v>
      </c>
      <c r="G8485" s="79" t="s">
        <v>2995</v>
      </c>
      <c r="H8485" s="79"/>
      <c r="I8485" s="80" t="s">
        <v>2996</v>
      </c>
      <c r="J8485" s="583">
        <v>2.88</v>
      </c>
      <c r="K8485" s="583">
        <v>0</v>
      </c>
      <c r="L8485" s="92">
        <v>0.43</v>
      </c>
      <c r="M8485" s="92">
        <v>1.23</v>
      </c>
    </row>
    <row r="8486" ht="23.85" customHeight="1" spans="3:13">
      <c r="C8486" s="79" t="s">
        <v>2921</v>
      </c>
      <c r="D8486" s="78" t="s">
        <v>5366</v>
      </c>
      <c r="E8486" s="79" t="s">
        <v>139</v>
      </c>
      <c r="F8486" s="79" t="s">
        <v>5367</v>
      </c>
      <c r="G8486" s="79" t="s">
        <v>2928</v>
      </c>
      <c r="H8486" s="79"/>
      <c r="I8486" s="80" t="s">
        <v>2897</v>
      </c>
      <c r="J8486" s="583">
        <v>3.75</v>
      </c>
      <c r="K8486" s="583">
        <v>0</v>
      </c>
      <c r="L8486" s="92">
        <v>32.2</v>
      </c>
      <c r="M8486" s="92">
        <v>120.75</v>
      </c>
    </row>
    <row r="8487" ht="35.05" customHeight="1" spans="3:13">
      <c r="C8487" s="79" t="s">
        <v>2921</v>
      </c>
      <c r="D8487" s="78" t="s">
        <v>5362</v>
      </c>
      <c r="E8487" s="79" t="s">
        <v>139</v>
      </c>
      <c r="F8487" s="79" t="s">
        <v>5363</v>
      </c>
      <c r="G8487" s="79" t="s">
        <v>2995</v>
      </c>
      <c r="H8487" s="79"/>
      <c r="I8487" s="80" t="s">
        <v>3002</v>
      </c>
      <c r="J8487" s="583">
        <v>0.87</v>
      </c>
      <c r="K8487" s="583">
        <v>0</v>
      </c>
      <c r="L8487" s="92">
        <v>2.24</v>
      </c>
      <c r="M8487" s="92">
        <v>1.94</v>
      </c>
    </row>
    <row r="8488" ht="23.85" customHeight="1" spans="3:13">
      <c r="C8488" s="100" t="s">
        <v>2893</v>
      </c>
      <c r="D8488" s="99" t="s">
        <v>5148</v>
      </c>
      <c r="E8488" s="100" t="s">
        <v>139</v>
      </c>
      <c r="F8488" s="100" t="s">
        <v>5149</v>
      </c>
      <c r="G8488" s="100" t="s">
        <v>2961</v>
      </c>
      <c r="H8488" s="100"/>
      <c r="I8488" s="101" t="s">
        <v>279</v>
      </c>
      <c r="J8488" s="580">
        <v>1.08</v>
      </c>
      <c r="K8488" s="580">
        <v>0</v>
      </c>
      <c r="L8488" s="102">
        <v>90</v>
      </c>
      <c r="M8488" s="102">
        <v>97.2</v>
      </c>
    </row>
    <row r="8489" ht="15" customHeight="1" spans="3:13">
      <c r="C8489" s="100" t="s">
        <v>2893</v>
      </c>
      <c r="D8489" s="99" t="s">
        <v>3021</v>
      </c>
      <c r="E8489" s="100" t="s">
        <v>139</v>
      </c>
      <c r="F8489" s="100" t="s">
        <v>3022</v>
      </c>
      <c r="G8489" s="100" t="s">
        <v>2961</v>
      </c>
      <c r="H8489" s="100"/>
      <c r="I8489" s="101" t="s">
        <v>393</v>
      </c>
      <c r="J8489" s="580">
        <v>486</v>
      </c>
      <c r="K8489" s="580">
        <v>0</v>
      </c>
      <c r="L8489" s="102">
        <v>0.64</v>
      </c>
      <c r="M8489" s="102">
        <v>311.04</v>
      </c>
    </row>
    <row r="8490" ht="23.85" customHeight="1" spans="3:13">
      <c r="C8490" s="100" t="s">
        <v>2893</v>
      </c>
      <c r="D8490" s="99" t="s">
        <v>5370</v>
      </c>
      <c r="E8490" s="100" t="s">
        <v>139</v>
      </c>
      <c r="F8490" s="100" t="s">
        <v>5371</v>
      </c>
      <c r="G8490" s="100" t="s">
        <v>2961</v>
      </c>
      <c r="H8490" s="100"/>
      <c r="I8490" s="101" t="s">
        <v>3084</v>
      </c>
      <c r="J8490" s="580">
        <v>19.44</v>
      </c>
      <c r="K8490" s="580">
        <v>0</v>
      </c>
      <c r="L8490" s="102">
        <v>8.3</v>
      </c>
      <c r="M8490" s="102">
        <v>161.35</v>
      </c>
    </row>
    <row r="8491" ht="25.5" spans="3:13">
      <c r="C8491" s="108"/>
      <c r="D8491" s="108"/>
      <c r="E8491" s="108"/>
      <c r="F8491" s="108"/>
      <c r="G8491" s="108"/>
      <c r="H8491" s="108" t="s">
        <v>2898</v>
      </c>
      <c r="I8491" s="581">
        <v>87.63</v>
      </c>
      <c r="J8491" s="108" t="s">
        <v>2899</v>
      </c>
      <c r="K8491" s="581">
        <v>0</v>
      </c>
      <c r="L8491" s="108" t="s">
        <v>2900</v>
      </c>
      <c r="M8491" s="581">
        <v>87.63</v>
      </c>
    </row>
    <row r="8492" ht="26.25" spans="3:13">
      <c r="C8492" s="108"/>
      <c r="D8492" s="108"/>
      <c r="E8492" s="108"/>
      <c r="F8492" s="108"/>
      <c r="G8492" s="108"/>
      <c r="H8492" s="108" t="s">
        <v>2901</v>
      </c>
      <c r="I8492" s="581">
        <v>176.77</v>
      </c>
      <c r="J8492" s="114"/>
      <c r="K8492" s="114" t="s">
        <v>2902</v>
      </c>
      <c r="L8492" s="108"/>
      <c r="M8492" s="581">
        <v>870.28</v>
      </c>
    </row>
    <row r="8493" ht="15" spans="3:13">
      <c r="C8493" s="571"/>
      <c r="D8493" s="571"/>
      <c r="E8493" s="571"/>
      <c r="F8493" s="571"/>
      <c r="G8493" s="571"/>
      <c r="H8493" s="571"/>
      <c r="I8493" s="571"/>
      <c r="J8493" s="571"/>
      <c r="K8493" s="571"/>
      <c r="L8493" s="571"/>
      <c r="M8493" s="571"/>
    </row>
    <row r="8494" ht="15" customHeight="1" spans="3:13">
      <c r="C8494" s="76"/>
      <c r="D8494" s="75" t="s">
        <v>63</v>
      </c>
      <c r="E8494" s="76" t="s">
        <v>64</v>
      </c>
      <c r="F8494" s="76" t="s">
        <v>65</v>
      </c>
      <c r="G8494" s="76" t="s">
        <v>2889</v>
      </c>
      <c r="H8494" s="76"/>
      <c r="I8494" s="77" t="s">
        <v>66</v>
      </c>
      <c r="J8494" s="75" t="s">
        <v>67</v>
      </c>
      <c r="K8494" s="75" t="s">
        <v>2890</v>
      </c>
      <c r="L8494" s="75" t="s">
        <v>68</v>
      </c>
      <c r="M8494" s="75" t="s">
        <v>70</v>
      </c>
    </row>
    <row r="8495" ht="35.05" customHeight="1" spans="3:13">
      <c r="C8495" s="569" t="s">
        <v>2891</v>
      </c>
      <c r="D8495" s="570" t="s">
        <v>3014</v>
      </c>
      <c r="E8495" s="569" t="s">
        <v>139</v>
      </c>
      <c r="F8495" s="569" t="s">
        <v>3015</v>
      </c>
      <c r="G8495" s="569" t="s">
        <v>3016</v>
      </c>
      <c r="H8495" s="569"/>
      <c r="I8495" s="577" t="s">
        <v>279</v>
      </c>
      <c r="J8495" s="578">
        <v>1</v>
      </c>
      <c r="K8495" s="579"/>
      <c r="L8495" s="579">
        <v>627.48</v>
      </c>
      <c r="M8495" s="579">
        <v>627.48</v>
      </c>
    </row>
    <row r="8496" ht="35.05" customHeight="1" spans="3:13">
      <c r="C8496" s="79" t="s">
        <v>2921</v>
      </c>
      <c r="D8496" s="78" t="s">
        <v>5364</v>
      </c>
      <c r="E8496" s="79" t="s">
        <v>139</v>
      </c>
      <c r="F8496" s="79" t="s">
        <v>5365</v>
      </c>
      <c r="G8496" s="79" t="s">
        <v>2995</v>
      </c>
      <c r="H8496" s="79"/>
      <c r="I8496" s="80" t="s">
        <v>2996</v>
      </c>
      <c r="J8496" s="583">
        <v>3.39</v>
      </c>
      <c r="K8496" s="583">
        <v>0</v>
      </c>
      <c r="L8496" s="92">
        <v>0.43</v>
      </c>
      <c r="M8496" s="92">
        <v>1.45</v>
      </c>
    </row>
    <row r="8497" ht="35.05" customHeight="1" spans="3:13">
      <c r="C8497" s="79" t="s">
        <v>2921</v>
      </c>
      <c r="D8497" s="78" t="s">
        <v>5362</v>
      </c>
      <c r="E8497" s="79" t="s">
        <v>139</v>
      </c>
      <c r="F8497" s="79" t="s">
        <v>5363</v>
      </c>
      <c r="G8497" s="79" t="s">
        <v>2995</v>
      </c>
      <c r="H8497" s="79"/>
      <c r="I8497" s="80" t="s">
        <v>3002</v>
      </c>
      <c r="J8497" s="583">
        <v>1.03</v>
      </c>
      <c r="K8497" s="583">
        <v>0</v>
      </c>
      <c r="L8497" s="92">
        <v>2.24</v>
      </c>
      <c r="M8497" s="92">
        <v>2.3</v>
      </c>
    </row>
    <row r="8498" ht="23.85" customHeight="1" spans="3:13">
      <c r="C8498" s="79" t="s">
        <v>2921</v>
      </c>
      <c r="D8498" s="78" t="s">
        <v>5366</v>
      </c>
      <c r="E8498" s="79" t="s">
        <v>139</v>
      </c>
      <c r="F8498" s="79" t="s">
        <v>5367</v>
      </c>
      <c r="G8498" s="79" t="s">
        <v>2928</v>
      </c>
      <c r="H8498" s="79"/>
      <c r="I8498" s="80" t="s">
        <v>2897</v>
      </c>
      <c r="J8498" s="583">
        <v>4.42</v>
      </c>
      <c r="K8498" s="583">
        <v>0</v>
      </c>
      <c r="L8498" s="92">
        <v>32.2</v>
      </c>
      <c r="M8498" s="92">
        <v>142.32</v>
      </c>
    </row>
    <row r="8499" ht="15" customHeight="1" spans="3:13">
      <c r="C8499" s="100" t="s">
        <v>2893</v>
      </c>
      <c r="D8499" s="99" t="s">
        <v>3021</v>
      </c>
      <c r="E8499" s="100" t="s">
        <v>139</v>
      </c>
      <c r="F8499" s="100" t="s">
        <v>3022</v>
      </c>
      <c r="G8499" s="100" t="s">
        <v>2961</v>
      </c>
      <c r="H8499" s="100"/>
      <c r="I8499" s="101" t="s">
        <v>393</v>
      </c>
      <c r="J8499" s="580">
        <v>573.61</v>
      </c>
      <c r="K8499" s="580">
        <v>0</v>
      </c>
      <c r="L8499" s="102">
        <v>0.64</v>
      </c>
      <c r="M8499" s="102">
        <v>367.11</v>
      </c>
    </row>
    <row r="8500" ht="23.85" customHeight="1" spans="3:13">
      <c r="C8500" s="100" t="s">
        <v>2893</v>
      </c>
      <c r="D8500" s="99" t="s">
        <v>5148</v>
      </c>
      <c r="E8500" s="100" t="s">
        <v>139</v>
      </c>
      <c r="F8500" s="100" t="s">
        <v>5149</v>
      </c>
      <c r="G8500" s="100" t="s">
        <v>2961</v>
      </c>
      <c r="H8500" s="100"/>
      <c r="I8500" s="101" t="s">
        <v>279</v>
      </c>
      <c r="J8500" s="580">
        <v>1.27</v>
      </c>
      <c r="K8500" s="580">
        <v>0</v>
      </c>
      <c r="L8500" s="102">
        <v>90</v>
      </c>
      <c r="M8500" s="102">
        <v>114.3</v>
      </c>
    </row>
    <row r="8501" ht="25.5" spans="3:13">
      <c r="C8501" s="108"/>
      <c r="D8501" s="108"/>
      <c r="E8501" s="108"/>
      <c r="F8501" s="108"/>
      <c r="G8501" s="108"/>
      <c r="H8501" s="108" t="s">
        <v>2898</v>
      </c>
      <c r="I8501" s="581">
        <v>103.29</v>
      </c>
      <c r="J8501" s="108" t="s">
        <v>2899</v>
      </c>
      <c r="K8501" s="581">
        <v>0</v>
      </c>
      <c r="L8501" s="108" t="s">
        <v>2900</v>
      </c>
      <c r="M8501" s="581">
        <v>103.29</v>
      </c>
    </row>
    <row r="8502" ht="26.25" spans="3:13">
      <c r="C8502" s="108"/>
      <c r="D8502" s="108"/>
      <c r="E8502" s="108"/>
      <c r="F8502" s="108"/>
      <c r="G8502" s="108"/>
      <c r="H8502" s="108" t="s">
        <v>2901</v>
      </c>
      <c r="I8502" s="581">
        <v>159.94</v>
      </c>
      <c r="J8502" s="114"/>
      <c r="K8502" s="114" t="s">
        <v>2902</v>
      </c>
      <c r="L8502" s="108"/>
      <c r="M8502" s="581">
        <v>787.42</v>
      </c>
    </row>
    <row r="8503" ht="15" spans="3:13">
      <c r="C8503" s="571"/>
      <c r="D8503" s="571"/>
      <c r="E8503" s="571"/>
      <c r="F8503" s="571"/>
      <c r="G8503" s="571"/>
      <c r="H8503" s="571"/>
      <c r="I8503" s="571"/>
      <c r="J8503" s="571"/>
      <c r="K8503" s="571"/>
      <c r="L8503" s="571"/>
      <c r="M8503" s="571"/>
    </row>
    <row r="8504" ht="15" customHeight="1" spans="3:13">
      <c r="C8504" s="76"/>
      <c r="D8504" s="75" t="s">
        <v>63</v>
      </c>
      <c r="E8504" s="76" t="s">
        <v>64</v>
      </c>
      <c r="F8504" s="76" t="s">
        <v>65</v>
      </c>
      <c r="G8504" s="76" t="s">
        <v>2889</v>
      </c>
      <c r="H8504" s="76"/>
      <c r="I8504" s="77" t="s">
        <v>66</v>
      </c>
      <c r="J8504" s="75" t="s">
        <v>67</v>
      </c>
      <c r="K8504" s="75" t="s">
        <v>2890</v>
      </c>
      <c r="L8504" s="75" t="s">
        <v>68</v>
      </c>
      <c r="M8504" s="75" t="s">
        <v>70</v>
      </c>
    </row>
    <row r="8505" ht="23.85" customHeight="1" spans="3:13">
      <c r="C8505" s="569" t="s">
        <v>2891</v>
      </c>
      <c r="D8505" s="570" t="s">
        <v>3165</v>
      </c>
      <c r="E8505" s="569" t="s">
        <v>139</v>
      </c>
      <c r="F8505" s="569" t="s">
        <v>3166</v>
      </c>
      <c r="G8505" s="569" t="s">
        <v>3016</v>
      </c>
      <c r="H8505" s="569"/>
      <c r="I8505" s="577" t="s">
        <v>279</v>
      </c>
      <c r="J8505" s="578">
        <v>1</v>
      </c>
      <c r="K8505" s="579"/>
      <c r="L8505" s="579">
        <v>655.2</v>
      </c>
      <c r="M8505" s="579">
        <v>655.2</v>
      </c>
    </row>
    <row r="8506" ht="23.85" customHeight="1" spans="3:13">
      <c r="C8506" s="79" t="s">
        <v>2921</v>
      </c>
      <c r="D8506" s="78" t="s">
        <v>2952</v>
      </c>
      <c r="E8506" s="79" t="s">
        <v>139</v>
      </c>
      <c r="F8506" s="79" t="s">
        <v>2953</v>
      </c>
      <c r="G8506" s="79" t="s">
        <v>2928</v>
      </c>
      <c r="H8506" s="79"/>
      <c r="I8506" s="80" t="s">
        <v>2897</v>
      </c>
      <c r="J8506" s="583">
        <v>8.57</v>
      </c>
      <c r="K8506" s="583">
        <v>0</v>
      </c>
      <c r="L8506" s="92">
        <v>29.15</v>
      </c>
      <c r="M8506" s="92">
        <v>249.81</v>
      </c>
    </row>
    <row r="8507" ht="23.85" customHeight="1" spans="3:13">
      <c r="C8507" s="100" t="s">
        <v>2893</v>
      </c>
      <c r="D8507" s="99" t="s">
        <v>5148</v>
      </c>
      <c r="E8507" s="100" t="s">
        <v>139</v>
      </c>
      <c r="F8507" s="100" t="s">
        <v>5149</v>
      </c>
      <c r="G8507" s="100" t="s">
        <v>2961</v>
      </c>
      <c r="H8507" s="100"/>
      <c r="I8507" s="101" t="s">
        <v>279</v>
      </c>
      <c r="J8507" s="580">
        <v>1.07</v>
      </c>
      <c r="K8507" s="580">
        <v>0</v>
      </c>
      <c r="L8507" s="102">
        <v>90</v>
      </c>
      <c r="M8507" s="102">
        <v>96.3</v>
      </c>
    </row>
    <row r="8508" ht="15" customHeight="1" spans="3:13">
      <c r="C8508" s="100" t="s">
        <v>2893</v>
      </c>
      <c r="D8508" s="99" t="s">
        <v>3021</v>
      </c>
      <c r="E8508" s="100" t="s">
        <v>139</v>
      </c>
      <c r="F8508" s="100" t="s">
        <v>3022</v>
      </c>
      <c r="G8508" s="100" t="s">
        <v>2961</v>
      </c>
      <c r="H8508" s="100"/>
      <c r="I8508" s="101" t="s">
        <v>393</v>
      </c>
      <c r="J8508" s="580">
        <v>482.96</v>
      </c>
      <c r="K8508" s="580">
        <v>0</v>
      </c>
      <c r="L8508" s="102">
        <v>0.64</v>
      </c>
      <c r="M8508" s="102">
        <v>309.09</v>
      </c>
    </row>
    <row r="8509" ht="25.5" spans="3:13">
      <c r="C8509" s="108"/>
      <c r="D8509" s="108"/>
      <c r="E8509" s="108"/>
      <c r="F8509" s="108"/>
      <c r="G8509" s="108"/>
      <c r="H8509" s="108" t="s">
        <v>2898</v>
      </c>
      <c r="I8509" s="581">
        <v>164.71</v>
      </c>
      <c r="J8509" s="108" t="s">
        <v>2899</v>
      </c>
      <c r="K8509" s="581">
        <v>0</v>
      </c>
      <c r="L8509" s="108" t="s">
        <v>2900</v>
      </c>
      <c r="M8509" s="581">
        <v>164.71</v>
      </c>
    </row>
    <row r="8510" ht="26.25" spans="3:13">
      <c r="C8510" s="108"/>
      <c r="D8510" s="108"/>
      <c r="E8510" s="108"/>
      <c r="F8510" s="108"/>
      <c r="G8510" s="108"/>
      <c r="H8510" s="108" t="s">
        <v>2901</v>
      </c>
      <c r="I8510" s="581">
        <v>167.01</v>
      </c>
      <c r="J8510" s="114"/>
      <c r="K8510" s="114" t="s">
        <v>2902</v>
      </c>
      <c r="L8510" s="108"/>
      <c r="M8510" s="581">
        <v>822.21</v>
      </c>
    </row>
    <row r="8511" ht="15" spans="3:13">
      <c r="C8511" s="571"/>
      <c r="D8511" s="571"/>
      <c r="E8511" s="571"/>
      <c r="F8511" s="571"/>
      <c r="G8511" s="571"/>
      <c r="H8511" s="571"/>
      <c r="I8511" s="571"/>
      <c r="J8511" s="571"/>
      <c r="K8511" s="571"/>
      <c r="L8511" s="571"/>
      <c r="M8511" s="571"/>
    </row>
    <row r="8512" ht="15" customHeight="1" spans="3:13">
      <c r="C8512" s="76"/>
      <c r="D8512" s="75" t="s">
        <v>63</v>
      </c>
      <c r="E8512" s="76" t="s">
        <v>64</v>
      </c>
      <c r="F8512" s="76" t="s">
        <v>65</v>
      </c>
      <c r="G8512" s="76" t="s">
        <v>2889</v>
      </c>
      <c r="H8512" s="76"/>
      <c r="I8512" s="77" t="s">
        <v>66</v>
      </c>
      <c r="J8512" s="75" t="s">
        <v>67</v>
      </c>
      <c r="K8512" s="75" t="s">
        <v>2890</v>
      </c>
      <c r="L8512" s="75" t="s">
        <v>68</v>
      </c>
      <c r="M8512" s="75" t="s">
        <v>70</v>
      </c>
    </row>
    <row r="8513" ht="23.85" customHeight="1" spans="3:13">
      <c r="C8513" s="569" t="s">
        <v>2891</v>
      </c>
      <c r="D8513" s="570" t="s">
        <v>3922</v>
      </c>
      <c r="E8513" s="569" t="s">
        <v>139</v>
      </c>
      <c r="F8513" s="569" t="s">
        <v>3923</v>
      </c>
      <c r="G8513" s="569" t="s">
        <v>3016</v>
      </c>
      <c r="H8513" s="569"/>
      <c r="I8513" s="577" t="s">
        <v>279</v>
      </c>
      <c r="J8513" s="578">
        <v>1</v>
      </c>
      <c r="K8513" s="579"/>
      <c r="L8513" s="579">
        <v>518.89</v>
      </c>
      <c r="M8513" s="579">
        <v>518.89</v>
      </c>
    </row>
    <row r="8514" ht="35.05" customHeight="1" spans="3:13">
      <c r="C8514" s="79" t="s">
        <v>2921</v>
      </c>
      <c r="D8514" s="78" t="s">
        <v>5362</v>
      </c>
      <c r="E8514" s="79" t="s">
        <v>139</v>
      </c>
      <c r="F8514" s="79" t="s">
        <v>5363</v>
      </c>
      <c r="G8514" s="79" t="s">
        <v>2995</v>
      </c>
      <c r="H8514" s="79"/>
      <c r="I8514" s="80" t="s">
        <v>3002</v>
      </c>
      <c r="J8514" s="583">
        <v>0.8</v>
      </c>
      <c r="K8514" s="583">
        <v>0</v>
      </c>
      <c r="L8514" s="92">
        <v>2.24</v>
      </c>
      <c r="M8514" s="92">
        <v>1.79</v>
      </c>
    </row>
    <row r="8515" ht="35.05" customHeight="1" spans="3:13">
      <c r="C8515" s="79" t="s">
        <v>2921</v>
      </c>
      <c r="D8515" s="78" t="s">
        <v>5364</v>
      </c>
      <c r="E8515" s="79" t="s">
        <v>139</v>
      </c>
      <c r="F8515" s="79" t="s">
        <v>5365</v>
      </c>
      <c r="G8515" s="79" t="s">
        <v>2995</v>
      </c>
      <c r="H8515" s="79"/>
      <c r="I8515" s="80" t="s">
        <v>2996</v>
      </c>
      <c r="J8515" s="583">
        <v>2.62</v>
      </c>
      <c r="K8515" s="583">
        <v>0</v>
      </c>
      <c r="L8515" s="92">
        <v>0.43</v>
      </c>
      <c r="M8515" s="92">
        <v>1.12</v>
      </c>
    </row>
    <row r="8516" ht="23.85" customHeight="1" spans="3:13">
      <c r="C8516" s="79" t="s">
        <v>2921</v>
      </c>
      <c r="D8516" s="78" t="s">
        <v>5366</v>
      </c>
      <c r="E8516" s="79" t="s">
        <v>139</v>
      </c>
      <c r="F8516" s="79" t="s">
        <v>5367</v>
      </c>
      <c r="G8516" s="79" t="s">
        <v>2928</v>
      </c>
      <c r="H8516" s="79"/>
      <c r="I8516" s="80" t="s">
        <v>2897</v>
      </c>
      <c r="J8516" s="583">
        <v>3.42</v>
      </c>
      <c r="K8516" s="583">
        <v>0</v>
      </c>
      <c r="L8516" s="92">
        <v>32.2</v>
      </c>
      <c r="M8516" s="92">
        <v>110.12</v>
      </c>
    </row>
    <row r="8517" ht="23.85" customHeight="1" spans="3:13">
      <c r="C8517" s="100" t="s">
        <v>2893</v>
      </c>
      <c r="D8517" s="99" t="s">
        <v>5148</v>
      </c>
      <c r="E8517" s="100" t="s">
        <v>139</v>
      </c>
      <c r="F8517" s="100" t="s">
        <v>5149</v>
      </c>
      <c r="G8517" s="100" t="s">
        <v>2961</v>
      </c>
      <c r="H8517" s="100"/>
      <c r="I8517" s="101" t="s">
        <v>279</v>
      </c>
      <c r="J8517" s="580">
        <v>1.07</v>
      </c>
      <c r="K8517" s="580">
        <v>0</v>
      </c>
      <c r="L8517" s="102">
        <v>90</v>
      </c>
      <c r="M8517" s="102">
        <v>96.3</v>
      </c>
    </row>
    <row r="8518" ht="15" customHeight="1" spans="3:13">
      <c r="C8518" s="100" t="s">
        <v>2893</v>
      </c>
      <c r="D8518" s="99" t="s">
        <v>3021</v>
      </c>
      <c r="E8518" s="100" t="s">
        <v>139</v>
      </c>
      <c r="F8518" s="100" t="s">
        <v>3022</v>
      </c>
      <c r="G8518" s="100" t="s">
        <v>2961</v>
      </c>
      <c r="H8518" s="100"/>
      <c r="I8518" s="101" t="s">
        <v>393</v>
      </c>
      <c r="J8518" s="580">
        <v>483.7</v>
      </c>
      <c r="K8518" s="580">
        <v>0</v>
      </c>
      <c r="L8518" s="102">
        <v>0.64</v>
      </c>
      <c r="M8518" s="102">
        <v>309.56</v>
      </c>
    </row>
    <row r="8519" ht="25.5" spans="3:13">
      <c r="C8519" s="108"/>
      <c r="D8519" s="108"/>
      <c r="E8519" s="108"/>
      <c r="F8519" s="108"/>
      <c r="G8519" s="108"/>
      <c r="H8519" s="108" t="s">
        <v>2898</v>
      </c>
      <c r="I8519" s="581">
        <v>79.92</v>
      </c>
      <c r="J8519" s="108" t="s">
        <v>2899</v>
      </c>
      <c r="K8519" s="581">
        <v>0</v>
      </c>
      <c r="L8519" s="108" t="s">
        <v>2900</v>
      </c>
      <c r="M8519" s="581">
        <v>79.92</v>
      </c>
    </row>
    <row r="8520" ht="26.25" spans="3:13">
      <c r="C8520" s="108"/>
      <c r="D8520" s="108"/>
      <c r="E8520" s="108"/>
      <c r="F8520" s="108"/>
      <c r="G8520" s="108"/>
      <c r="H8520" s="108" t="s">
        <v>2901</v>
      </c>
      <c r="I8520" s="581">
        <v>132.26</v>
      </c>
      <c r="J8520" s="114"/>
      <c r="K8520" s="114" t="s">
        <v>2902</v>
      </c>
      <c r="L8520" s="108"/>
      <c r="M8520" s="581">
        <v>651.15</v>
      </c>
    </row>
    <row r="8521" ht="15" spans="3:13">
      <c r="C8521" s="571"/>
      <c r="D8521" s="571"/>
      <c r="E8521" s="571"/>
      <c r="F8521" s="571"/>
      <c r="G8521" s="571"/>
      <c r="H8521" s="571"/>
      <c r="I8521" s="571"/>
      <c r="J8521" s="571"/>
      <c r="K8521" s="571"/>
      <c r="L8521" s="571"/>
      <c r="M8521" s="571"/>
    </row>
    <row r="8522" ht="15" customHeight="1" spans="3:13">
      <c r="C8522" s="76"/>
      <c r="D8522" s="75" t="s">
        <v>63</v>
      </c>
      <c r="E8522" s="76" t="s">
        <v>64</v>
      </c>
      <c r="F8522" s="76" t="s">
        <v>65</v>
      </c>
      <c r="G8522" s="76" t="s">
        <v>2889</v>
      </c>
      <c r="H8522" s="76"/>
      <c r="I8522" s="77" t="s">
        <v>66</v>
      </c>
      <c r="J8522" s="75" t="s">
        <v>67</v>
      </c>
      <c r="K8522" s="75" t="s">
        <v>2890</v>
      </c>
      <c r="L8522" s="75" t="s">
        <v>68</v>
      </c>
      <c r="M8522" s="75" t="s">
        <v>70</v>
      </c>
    </row>
    <row r="8523" ht="35.05" customHeight="1" spans="3:13">
      <c r="C8523" s="569" t="s">
        <v>2891</v>
      </c>
      <c r="D8523" s="570" t="s">
        <v>3918</v>
      </c>
      <c r="E8523" s="569" t="s">
        <v>139</v>
      </c>
      <c r="F8523" s="569" t="s">
        <v>3919</v>
      </c>
      <c r="G8523" s="569" t="s">
        <v>3016</v>
      </c>
      <c r="H8523" s="569"/>
      <c r="I8523" s="577" t="s">
        <v>279</v>
      </c>
      <c r="J8523" s="578">
        <v>1</v>
      </c>
      <c r="K8523" s="579"/>
      <c r="L8523" s="579">
        <v>466.18</v>
      </c>
      <c r="M8523" s="579">
        <v>466.18</v>
      </c>
    </row>
    <row r="8524" ht="35.05" customHeight="1" spans="3:13">
      <c r="C8524" s="79" t="s">
        <v>2921</v>
      </c>
      <c r="D8524" s="78" t="s">
        <v>5364</v>
      </c>
      <c r="E8524" s="79" t="s">
        <v>139</v>
      </c>
      <c r="F8524" s="79" t="s">
        <v>5365</v>
      </c>
      <c r="G8524" s="79" t="s">
        <v>2995</v>
      </c>
      <c r="H8524" s="79"/>
      <c r="I8524" s="80" t="s">
        <v>2996</v>
      </c>
      <c r="J8524" s="583">
        <v>3.56</v>
      </c>
      <c r="K8524" s="583">
        <v>0</v>
      </c>
      <c r="L8524" s="92">
        <v>0.43</v>
      </c>
      <c r="M8524" s="92">
        <v>1.53</v>
      </c>
    </row>
    <row r="8525" ht="35.05" customHeight="1" spans="3:13">
      <c r="C8525" s="79" t="s">
        <v>2921</v>
      </c>
      <c r="D8525" s="78" t="s">
        <v>5362</v>
      </c>
      <c r="E8525" s="79" t="s">
        <v>139</v>
      </c>
      <c r="F8525" s="79" t="s">
        <v>5363</v>
      </c>
      <c r="G8525" s="79" t="s">
        <v>2995</v>
      </c>
      <c r="H8525" s="79"/>
      <c r="I8525" s="80" t="s">
        <v>3002</v>
      </c>
      <c r="J8525" s="583">
        <v>1.08</v>
      </c>
      <c r="K8525" s="583">
        <v>0</v>
      </c>
      <c r="L8525" s="92">
        <v>2.24</v>
      </c>
      <c r="M8525" s="92">
        <v>2.41</v>
      </c>
    </row>
    <row r="8526" ht="23.85" customHeight="1" spans="3:13">
      <c r="C8526" s="79" t="s">
        <v>2921</v>
      </c>
      <c r="D8526" s="78" t="s">
        <v>5366</v>
      </c>
      <c r="E8526" s="79" t="s">
        <v>139</v>
      </c>
      <c r="F8526" s="79" t="s">
        <v>5367</v>
      </c>
      <c r="G8526" s="79" t="s">
        <v>2928</v>
      </c>
      <c r="H8526" s="79"/>
      <c r="I8526" s="80" t="s">
        <v>2897</v>
      </c>
      <c r="J8526" s="583">
        <v>4.64</v>
      </c>
      <c r="K8526" s="583">
        <v>0</v>
      </c>
      <c r="L8526" s="92">
        <v>32.2</v>
      </c>
      <c r="M8526" s="92">
        <v>149.4</v>
      </c>
    </row>
    <row r="8527" ht="23.85" customHeight="1" spans="3:13">
      <c r="C8527" s="100" t="s">
        <v>2893</v>
      </c>
      <c r="D8527" s="99" t="s">
        <v>2715</v>
      </c>
      <c r="E8527" s="100" t="s">
        <v>139</v>
      </c>
      <c r="F8527" s="100" t="s">
        <v>2716</v>
      </c>
      <c r="G8527" s="100" t="s">
        <v>2961</v>
      </c>
      <c r="H8527" s="100"/>
      <c r="I8527" s="101" t="s">
        <v>279</v>
      </c>
      <c r="J8527" s="580">
        <v>1.02</v>
      </c>
      <c r="K8527" s="580">
        <v>0</v>
      </c>
      <c r="L8527" s="102">
        <v>91.17</v>
      </c>
      <c r="M8527" s="102">
        <v>92.99</v>
      </c>
    </row>
    <row r="8528" ht="15" customHeight="1" spans="3:13">
      <c r="C8528" s="100" t="s">
        <v>2893</v>
      </c>
      <c r="D8528" s="99" t="s">
        <v>3021</v>
      </c>
      <c r="E8528" s="100" t="s">
        <v>139</v>
      </c>
      <c r="F8528" s="100" t="s">
        <v>3022</v>
      </c>
      <c r="G8528" s="100" t="s">
        <v>2961</v>
      </c>
      <c r="H8528" s="100"/>
      <c r="I8528" s="101" t="s">
        <v>393</v>
      </c>
      <c r="J8528" s="580">
        <v>343.52</v>
      </c>
      <c r="K8528" s="580">
        <v>0</v>
      </c>
      <c r="L8528" s="102">
        <v>0.64</v>
      </c>
      <c r="M8528" s="102">
        <v>219.85</v>
      </c>
    </row>
    <row r="8529" ht="25.5" spans="3:13">
      <c r="C8529" s="108"/>
      <c r="D8529" s="108"/>
      <c r="E8529" s="108"/>
      <c r="F8529" s="108"/>
      <c r="G8529" s="108"/>
      <c r="H8529" s="108" t="s">
        <v>2898</v>
      </c>
      <c r="I8529" s="581">
        <v>108.43</v>
      </c>
      <c r="J8529" s="108" t="s">
        <v>2899</v>
      </c>
      <c r="K8529" s="581">
        <v>0</v>
      </c>
      <c r="L8529" s="108" t="s">
        <v>2900</v>
      </c>
      <c r="M8529" s="581">
        <v>108.43</v>
      </c>
    </row>
    <row r="8530" ht="26.25" spans="3:13">
      <c r="C8530" s="108"/>
      <c r="D8530" s="108"/>
      <c r="E8530" s="108"/>
      <c r="F8530" s="108"/>
      <c r="G8530" s="108"/>
      <c r="H8530" s="108" t="s">
        <v>2901</v>
      </c>
      <c r="I8530" s="581">
        <v>118.82</v>
      </c>
      <c r="J8530" s="114"/>
      <c r="K8530" s="114" t="s">
        <v>2902</v>
      </c>
      <c r="L8530" s="108"/>
      <c r="M8530" s="581">
        <v>585</v>
      </c>
    </row>
    <row r="8531" ht="15" spans="3:13">
      <c r="C8531" s="571"/>
      <c r="D8531" s="571"/>
      <c r="E8531" s="571"/>
      <c r="F8531" s="571"/>
      <c r="G8531" s="571"/>
      <c r="H8531" s="571"/>
      <c r="I8531" s="571"/>
      <c r="J8531" s="571"/>
      <c r="K8531" s="571"/>
      <c r="L8531" s="571"/>
      <c r="M8531" s="571"/>
    </row>
    <row r="8532" ht="15" customHeight="1" spans="3:13">
      <c r="C8532" s="76"/>
      <c r="D8532" s="75" t="s">
        <v>63</v>
      </c>
      <c r="E8532" s="76" t="s">
        <v>64</v>
      </c>
      <c r="F8532" s="76" t="s">
        <v>65</v>
      </c>
      <c r="G8532" s="76" t="s">
        <v>2889</v>
      </c>
      <c r="H8532" s="76"/>
      <c r="I8532" s="77" t="s">
        <v>66</v>
      </c>
      <c r="J8532" s="75" t="s">
        <v>67</v>
      </c>
      <c r="K8532" s="75" t="s">
        <v>2890</v>
      </c>
      <c r="L8532" s="75" t="s">
        <v>68</v>
      </c>
      <c r="M8532" s="75" t="s">
        <v>70</v>
      </c>
    </row>
    <row r="8533" ht="23.85" customHeight="1" spans="3:13">
      <c r="C8533" s="569" t="s">
        <v>2891</v>
      </c>
      <c r="D8533" s="570" t="s">
        <v>5156</v>
      </c>
      <c r="E8533" s="569" t="s">
        <v>139</v>
      </c>
      <c r="F8533" s="569" t="s">
        <v>5157</v>
      </c>
      <c r="G8533" s="569" t="s">
        <v>3016</v>
      </c>
      <c r="H8533" s="569"/>
      <c r="I8533" s="577" t="s">
        <v>279</v>
      </c>
      <c r="J8533" s="578">
        <v>1</v>
      </c>
      <c r="K8533" s="579"/>
      <c r="L8533" s="579">
        <v>594.45</v>
      </c>
      <c r="M8533" s="579">
        <v>594.45</v>
      </c>
    </row>
    <row r="8534" ht="23.85" customHeight="1" spans="3:13">
      <c r="C8534" s="79" t="s">
        <v>2921</v>
      </c>
      <c r="D8534" s="78" t="s">
        <v>2952</v>
      </c>
      <c r="E8534" s="79" t="s">
        <v>139</v>
      </c>
      <c r="F8534" s="79" t="s">
        <v>2953</v>
      </c>
      <c r="G8534" s="79" t="s">
        <v>2928</v>
      </c>
      <c r="H8534" s="79"/>
      <c r="I8534" s="80" t="s">
        <v>2897</v>
      </c>
      <c r="J8534" s="583">
        <v>8.29</v>
      </c>
      <c r="K8534" s="583">
        <v>0</v>
      </c>
      <c r="L8534" s="92">
        <v>29.15</v>
      </c>
      <c r="M8534" s="92">
        <v>241.65</v>
      </c>
    </row>
    <row r="8535" ht="23.85" customHeight="1" spans="3:13">
      <c r="C8535" s="100" t="s">
        <v>2893</v>
      </c>
      <c r="D8535" s="99" t="s">
        <v>5148</v>
      </c>
      <c r="E8535" s="100" t="s">
        <v>139</v>
      </c>
      <c r="F8535" s="100" t="s">
        <v>5149</v>
      </c>
      <c r="G8535" s="100" t="s">
        <v>2961</v>
      </c>
      <c r="H8535" s="100"/>
      <c r="I8535" s="101" t="s">
        <v>279</v>
      </c>
      <c r="J8535" s="580">
        <v>1.15</v>
      </c>
      <c r="K8535" s="580">
        <v>0</v>
      </c>
      <c r="L8535" s="102">
        <v>90</v>
      </c>
      <c r="M8535" s="102">
        <v>103.5</v>
      </c>
    </row>
    <row r="8536" ht="15" customHeight="1" spans="3:13">
      <c r="C8536" s="100" t="s">
        <v>2893</v>
      </c>
      <c r="D8536" s="99" t="s">
        <v>3021</v>
      </c>
      <c r="E8536" s="100" t="s">
        <v>139</v>
      </c>
      <c r="F8536" s="100" t="s">
        <v>3022</v>
      </c>
      <c r="G8536" s="100" t="s">
        <v>2961</v>
      </c>
      <c r="H8536" s="100"/>
      <c r="I8536" s="101" t="s">
        <v>393</v>
      </c>
      <c r="J8536" s="580">
        <v>389.54</v>
      </c>
      <c r="K8536" s="580">
        <v>0</v>
      </c>
      <c r="L8536" s="102">
        <v>0.64</v>
      </c>
      <c r="M8536" s="102">
        <v>249.3</v>
      </c>
    </row>
    <row r="8537" ht="25.5" spans="3:13">
      <c r="C8537" s="108"/>
      <c r="D8537" s="108"/>
      <c r="E8537" s="108"/>
      <c r="F8537" s="108"/>
      <c r="G8537" s="108"/>
      <c r="H8537" s="108" t="s">
        <v>2898</v>
      </c>
      <c r="I8537" s="581">
        <v>159.33</v>
      </c>
      <c r="J8537" s="108" t="s">
        <v>2899</v>
      </c>
      <c r="K8537" s="581">
        <v>0</v>
      </c>
      <c r="L8537" s="108" t="s">
        <v>2900</v>
      </c>
      <c r="M8537" s="581">
        <v>159.33</v>
      </c>
    </row>
    <row r="8538" ht="26.25" spans="3:13">
      <c r="C8538" s="108"/>
      <c r="D8538" s="108"/>
      <c r="E8538" s="108"/>
      <c r="F8538" s="108"/>
      <c r="G8538" s="108"/>
      <c r="H8538" s="108" t="s">
        <v>2901</v>
      </c>
      <c r="I8538" s="581">
        <v>151.52</v>
      </c>
      <c r="J8538" s="114"/>
      <c r="K8538" s="114" t="s">
        <v>2902</v>
      </c>
      <c r="L8538" s="108"/>
      <c r="M8538" s="581">
        <v>745.97</v>
      </c>
    </row>
    <row r="8539" ht="15" spans="3:13">
      <c r="C8539" s="571"/>
      <c r="D8539" s="571"/>
      <c r="E8539" s="571"/>
      <c r="F8539" s="571"/>
      <c r="G8539" s="571"/>
      <c r="H8539" s="571"/>
      <c r="I8539" s="571"/>
      <c r="J8539" s="571"/>
      <c r="K8539" s="571"/>
      <c r="L8539" s="571"/>
      <c r="M8539" s="571"/>
    </row>
    <row r="8540" ht="15" customHeight="1" spans="3:13">
      <c r="C8540" s="76"/>
      <c r="D8540" s="75" t="s">
        <v>63</v>
      </c>
      <c r="E8540" s="76" t="s">
        <v>64</v>
      </c>
      <c r="F8540" s="76" t="s">
        <v>65</v>
      </c>
      <c r="G8540" s="76" t="s">
        <v>2889</v>
      </c>
      <c r="H8540" s="76"/>
      <c r="I8540" s="77" t="s">
        <v>66</v>
      </c>
      <c r="J8540" s="75" t="s">
        <v>67</v>
      </c>
      <c r="K8540" s="75" t="s">
        <v>2890</v>
      </c>
      <c r="L8540" s="75" t="s">
        <v>68</v>
      </c>
      <c r="M8540" s="75" t="s">
        <v>70</v>
      </c>
    </row>
    <row r="8541" ht="46.25" customHeight="1" spans="3:13">
      <c r="C8541" s="569" t="s">
        <v>2891</v>
      </c>
      <c r="D8541" s="570" t="s">
        <v>3478</v>
      </c>
      <c r="E8541" s="569" t="s">
        <v>139</v>
      </c>
      <c r="F8541" s="569" t="s">
        <v>3479</v>
      </c>
      <c r="G8541" s="569" t="s">
        <v>3016</v>
      </c>
      <c r="H8541" s="569"/>
      <c r="I8541" s="577" t="s">
        <v>279</v>
      </c>
      <c r="J8541" s="578">
        <v>1</v>
      </c>
      <c r="K8541" s="579"/>
      <c r="L8541" s="579">
        <v>442.35</v>
      </c>
      <c r="M8541" s="579">
        <v>442.35</v>
      </c>
    </row>
    <row r="8542" ht="35.05" customHeight="1" spans="3:13">
      <c r="C8542" s="79" t="s">
        <v>2921</v>
      </c>
      <c r="D8542" s="78" t="s">
        <v>5364</v>
      </c>
      <c r="E8542" s="79" t="s">
        <v>139</v>
      </c>
      <c r="F8542" s="79" t="s">
        <v>5365</v>
      </c>
      <c r="G8542" s="79" t="s">
        <v>2995</v>
      </c>
      <c r="H8542" s="79"/>
      <c r="I8542" s="80" t="s">
        <v>2996</v>
      </c>
      <c r="J8542" s="583">
        <v>1.01</v>
      </c>
      <c r="K8542" s="583">
        <v>0</v>
      </c>
      <c r="L8542" s="92">
        <v>0.43</v>
      </c>
      <c r="M8542" s="92">
        <v>0.43</v>
      </c>
    </row>
    <row r="8543" ht="35.05" customHeight="1" spans="3:13">
      <c r="C8543" s="79" t="s">
        <v>2921</v>
      </c>
      <c r="D8543" s="78" t="s">
        <v>5362</v>
      </c>
      <c r="E8543" s="79" t="s">
        <v>139</v>
      </c>
      <c r="F8543" s="79" t="s">
        <v>5363</v>
      </c>
      <c r="G8543" s="79" t="s">
        <v>2995</v>
      </c>
      <c r="H8543" s="79"/>
      <c r="I8543" s="80" t="s">
        <v>3002</v>
      </c>
      <c r="J8543" s="583">
        <v>3.332</v>
      </c>
      <c r="K8543" s="583">
        <v>0</v>
      </c>
      <c r="L8543" s="92">
        <v>2.24</v>
      </c>
      <c r="M8543" s="92">
        <v>7.46</v>
      </c>
    </row>
    <row r="8544" ht="23.85" customHeight="1" spans="3:13">
      <c r="C8544" s="79" t="s">
        <v>2921</v>
      </c>
      <c r="D8544" s="78" t="s">
        <v>5366</v>
      </c>
      <c r="E8544" s="79" t="s">
        <v>139</v>
      </c>
      <c r="F8544" s="79" t="s">
        <v>5367</v>
      </c>
      <c r="G8544" s="79" t="s">
        <v>2928</v>
      </c>
      <c r="H8544" s="79"/>
      <c r="I8544" s="80" t="s">
        <v>2897</v>
      </c>
      <c r="J8544" s="583">
        <v>4.33</v>
      </c>
      <c r="K8544" s="583">
        <v>0</v>
      </c>
      <c r="L8544" s="92">
        <v>32.2</v>
      </c>
      <c r="M8544" s="92">
        <v>139.42</v>
      </c>
    </row>
    <row r="8545" ht="23.85" customHeight="1" spans="3:13">
      <c r="C8545" s="100" t="s">
        <v>2893</v>
      </c>
      <c r="D8545" s="99" t="s">
        <v>5372</v>
      </c>
      <c r="E8545" s="100" t="s">
        <v>139</v>
      </c>
      <c r="F8545" s="100" t="s">
        <v>5373</v>
      </c>
      <c r="G8545" s="100" t="s">
        <v>2961</v>
      </c>
      <c r="H8545" s="100"/>
      <c r="I8545" s="101" t="s">
        <v>3084</v>
      </c>
      <c r="J8545" s="580">
        <v>0.063</v>
      </c>
      <c r="K8545" s="580">
        <v>0</v>
      </c>
      <c r="L8545" s="102">
        <v>9.19</v>
      </c>
      <c r="M8545" s="102">
        <v>0.57</v>
      </c>
    </row>
    <row r="8546" ht="23.85" customHeight="1" spans="3:13">
      <c r="C8546" s="100" t="s">
        <v>2893</v>
      </c>
      <c r="D8546" s="99" t="s">
        <v>5148</v>
      </c>
      <c r="E8546" s="100" t="s">
        <v>139</v>
      </c>
      <c r="F8546" s="100" t="s">
        <v>5149</v>
      </c>
      <c r="G8546" s="100" t="s">
        <v>2961</v>
      </c>
      <c r="H8546" s="100"/>
      <c r="I8546" s="101" t="s">
        <v>279</v>
      </c>
      <c r="J8546" s="580">
        <v>1.27</v>
      </c>
      <c r="K8546" s="580">
        <v>0</v>
      </c>
      <c r="L8546" s="102">
        <v>90</v>
      </c>
      <c r="M8546" s="102">
        <v>114.3</v>
      </c>
    </row>
    <row r="8547" ht="15" customHeight="1" spans="3:13">
      <c r="C8547" s="100" t="s">
        <v>2893</v>
      </c>
      <c r="D8547" s="99" t="s">
        <v>3021</v>
      </c>
      <c r="E8547" s="100" t="s">
        <v>139</v>
      </c>
      <c r="F8547" s="100" t="s">
        <v>3022</v>
      </c>
      <c r="G8547" s="100" t="s">
        <v>2961</v>
      </c>
      <c r="H8547" s="100"/>
      <c r="I8547" s="101" t="s">
        <v>393</v>
      </c>
      <c r="J8547" s="580">
        <v>281.53</v>
      </c>
      <c r="K8547" s="580">
        <v>0</v>
      </c>
      <c r="L8547" s="102">
        <v>0.64</v>
      </c>
      <c r="M8547" s="102">
        <v>180.17</v>
      </c>
    </row>
    <row r="8548" ht="25.5" spans="3:13">
      <c r="C8548" s="108"/>
      <c r="D8548" s="108"/>
      <c r="E8548" s="108"/>
      <c r="F8548" s="108"/>
      <c r="G8548" s="108"/>
      <c r="H8548" s="108" t="s">
        <v>2898</v>
      </c>
      <c r="I8548" s="581">
        <v>101.19</v>
      </c>
      <c r="J8548" s="108" t="s">
        <v>2899</v>
      </c>
      <c r="K8548" s="581">
        <v>0</v>
      </c>
      <c r="L8548" s="108" t="s">
        <v>2900</v>
      </c>
      <c r="M8548" s="581">
        <v>101.19</v>
      </c>
    </row>
    <row r="8549" ht="26.25" spans="3:13">
      <c r="C8549" s="108"/>
      <c r="D8549" s="108"/>
      <c r="E8549" s="108"/>
      <c r="F8549" s="108"/>
      <c r="G8549" s="108"/>
      <c r="H8549" s="108" t="s">
        <v>2901</v>
      </c>
      <c r="I8549" s="581">
        <v>112.75</v>
      </c>
      <c r="J8549" s="114"/>
      <c r="K8549" s="114" t="s">
        <v>2902</v>
      </c>
      <c r="L8549" s="108"/>
      <c r="M8549" s="581">
        <v>555.1</v>
      </c>
    </row>
    <row r="8550" ht="15" spans="3:13">
      <c r="C8550" s="571"/>
      <c r="D8550" s="571"/>
      <c r="E8550" s="571"/>
      <c r="F8550" s="571"/>
      <c r="G8550" s="571"/>
      <c r="H8550" s="571"/>
      <c r="I8550" s="571"/>
      <c r="J8550" s="571"/>
      <c r="K8550" s="571"/>
      <c r="L8550" s="571"/>
      <c r="M8550" s="571"/>
    </row>
    <row r="8551" ht="15" customHeight="1" spans="3:13">
      <c r="C8551" s="76"/>
      <c r="D8551" s="75" t="s">
        <v>63</v>
      </c>
      <c r="E8551" s="76" t="s">
        <v>64</v>
      </c>
      <c r="F8551" s="76" t="s">
        <v>65</v>
      </c>
      <c r="G8551" s="76" t="s">
        <v>2889</v>
      </c>
      <c r="H8551" s="76"/>
      <c r="I8551" s="77" t="s">
        <v>66</v>
      </c>
      <c r="J8551" s="75" t="s">
        <v>67</v>
      </c>
      <c r="K8551" s="75" t="s">
        <v>2890</v>
      </c>
      <c r="L8551" s="75" t="s">
        <v>68</v>
      </c>
      <c r="M8551" s="75" t="s">
        <v>70</v>
      </c>
    </row>
    <row r="8552" ht="23.85" customHeight="1" spans="3:13">
      <c r="C8552" s="569" t="s">
        <v>2891</v>
      </c>
      <c r="D8552" s="570" t="s">
        <v>3313</v>
      </c>
      <c r="E8552" s="569" t="s">
        <v>139</v>
      </c>
      <c r="F8552" s="569" t="s">
        <v>3314</v>
      </c>
      <c r="G8552" s="569" t="s">
        <v>2928</v>
      </c>
      <c r="H8552" s="569"/>
      <c r="I8552" s="577" t="s">
        <v>2897</v>
      </c>
      <c r="J8552" s="578">
        <v>1</v>
      </c>
      <c r="K8552" s="579"/>
      <c r="L8552" s="579">
        <v>35.95</v>
      </c>
      <c r="M8552" s="579">
        <v>35.95</v>
      </c>
    </row>
    <row r="8553" ht="23.85" customHeight="1" spans="3:13">
      <c r="C8553" s="79" t="s">
        <v>2921</v>
      </c>
      <c r="D8553" s="78" t="s">
        <v>5374</v>
      </c>
      <c r="E8553" s="79" t="s">
        <v>139</v>
      </c>
      <c r="F8553" s="79" t="s">
        <v>5375</v>
      </c>
      <c r="G8553" s="79" t="s">
        <v>2928</v>
      </c>
      <c r="H8553" s="79"/>
      <c r="I8553" s="80" t="s">
        <v>2897</v>
      </c>
      <c r="J8553" s="583">
        <v>1</v>
      </c>
      <c r="K8553" s="583">
        <v>0</v>
      </c>
      <c r="L8553" s="92">
        <v>0.29</v>
      </c>
      <c r="M8553" s="92">
        <v>0.29</v>
      </c>
    </row>
    <row r="8554" ht="15" customHeight="1" spans="3:13">
      <c r="C8554" s="100" t="s">
        <v>2893</v>
      </c>
      <c r="D8554" s="99" t="s">
        <v>5306</v>
      </c>
      <c r="E8554" s="100" t="s">
        <v>139</v>
      </c>
      <c r="F8554" s="100" t="s">
        <v>5307</v>
      </c>
      <c r="G8554" s="100" t="s">
        <v>2961</v>
      </c>
      <c r="H8554" s="100"/>
      <c r="I8554" s="101" t="s">
        <v>2897</v>
      </c>
      <c r="J8554" s="580">
        <v>1</v>
      </c>
      <c r="K8554" s="580">
        <v>0</v>
      </c>
      <c r="L8554" s="102">
        <v>1.43</v>
      </c>
      <c r="M8554" s="102">
        <v>1.43</v>
      </c>
    </row>
    <row r="8555" ht="23.85" customHeight="1" spans="3:13">
      <c r="C8555" s="100" t="s">
        <v>2893</v>
      </c>
      <c r="D8555" s="99" t="s">
        <v>5310</v>
      </c>
      <c r="E8555" s="100" t="s">
        <v>139</v>
      </c>
      <c r="F8555" s="100" t="s">
        <v>5311</v>
      </c>
      <c r="G8555" s="100" t="s">
        <v>2961</v>
      </c>
      <c r="H8555" s="100"/>
      <c r="I8555" s="101" t="s">
        <v>2897</v>
      </c>
      <c r="J8555" s="580">
        <v>1</v>
      </c>
      <c r="K8555" s="580">
        <v>0</v>
      </c>
      <c r="L8555" s="102">
        <v>1.58</v>
      </c>
      <c r="M8555" s="102">
        <v>1.58</v>
      </c>
    </row>
    <row r="8556" ht="23.85" customHeight="1" spans="3:13">
      <c r="C8556" s="100" t="s">
        <v>2893</v>
      </c>
      <c r="D8556" s="99" t="s">
        <v>5308</v>
      </c>
      <c r="E8556" s="100" t="s">
        <v>139</v>
      </c>
      <c r="F8556" s="100" t="s">
        <v>5309</v>
      </c>
      <c r="G8556" s="100" t="s">
        <v>2961</v>
      </c>
      <c r="H8556" s="100"/>
      <c r="I8556" s="101" t="s">
        <v>2897</v>
      </c>
      <c r="J8556" s="580">
        <v>1</v>
      </c>
      <c r="K8556" s="580">
        <v>0</v>
      </c>
      <c r="L8556" s="102">
        <v>4.84</v>
      </c>
      <c r="M8556" s="102">
        <v>4.84</v>
      </c>
    </row>
    <row r="8557" ht="15" customHeight="1" spans="3:13">
      <c r="C8557" s="100" t="s">
        <v>2893</v>
      </c>
      <c r="D8557" s="99" t="s">
        <v>5376</v>
      </c>
      <c r="E8557" s="100" t="s">
        <v>139</v>
      </c>
      <c r="F8557" s="100" t="s">
        <v>5377</v>
      </c>
      <c r="G8557" s="100" t="s">
        <v>2896</v>
      </c>
      <c r="H8557" s="100"/>
      <c r="I8557" s="101" t="s">
        <v>2897</v>
      </c>
      <c r="J8557" s="580">
        <v>1</v>
      </c>
      <c r="K8557" s="580">
        <v>0</v>
      </c>
      <c r="L8557" s="102">
        <v>25.64</v>
      </c>
      <c r="M8557" s="102">
        <v>25.64</v>
      </c>
    </row>
    <row r="8558" ht="15" customHeight="1" spans="3:13">
      <c r="C8558" s="100" t="s">
        <v>2893</v>
      </c>
      <c r="D8558" s="99" t="s">
        <v>5312</v>
      </c>
      <c r="E8558" s="100" t="s">
        <v>139</v>
      </c>
      <c r="F8558" s="100" t="s">
        <v>5313</v>
      </c>
      <c r="G8558" s="100" t="s">
        <v>2961</v>
      </c>
      <c r="H8558" s="100"/>
      <c r="I8558" s="101" t="s">
        <v>2897</v>
      </c>
      <c r="J8558" s="580">
        <v>1</v>
      </c>
      <c r="K8558" s="580">
        <v>0</v>
      </c>
      <c r="L8558" s="102">
        <v>0.08</v>
      </c>
      <c r="M8558" s="102">
        <v>0.08</v>
      </c>
    </row>
    <row r="8559" ht="23.85" customHeight="1" spans="3:13">
      <c r="C8559" s="100" t="s">
        <v>2893</v>
      </c>
      <c r="D8559" s="99" t="s">
        <v>5304</v>
      </c>
      <c r="E8559" s="100" t="s">
        <v>139</v>
      </c>
      <c r="F8559" s="100" t="s">
        <v>5305</v>
      </c>
      <c r="G8559" s="100" t="s">
        <v>2961</v>
      </c>
      <c r="H8559" s="100"/>
      <c r="I8559" s="101" t="s">
        <v>2897</v>
      </c>
      <c r="J8559" s="580">
        <v>1</v>
      </c>
      <c r="K8559" s="580">
        <v>0</v>
      </c>
      <c r="L8559" s="102">
        <v>1.31</v>
      </c>
      <c r="M8559" s="102">
        <v>1.31</v>
      </c>
    </row>
    <row r="8560" ht="23.85" customHeight="1" spans="3:13">
      <c r="C8560" s="100" t="s">
        <v>2893</v>
      </c>
      <c r="D8560" s="99" t="s">
        <v>5314</v>
      </c>
      <c r="E8560" s="100" t="s">
        <v>139</v>
      </c>
      <c r="F8560" s="100" t="s">
        <v>5315</v>
      </c>
      <c r="G8560" s="100" t="s">
        <v>2961</v>
      </c>
      <c r="H8560" s="100"/>
      <c r="I8560" s="101" t="s">
        <v>2897</v>
      </c>
      <c r="J8560" s="580">
        <v>1</v>
      </c>
      <c r="K8560" s="580">
        <v>0</v>
      </c>
      <c r="L8560" s="102">
        <v>0.78</v>
      </c>
      <c r="M8560" s="102">
        <v>0.78</v>
      </c>
    </row>
    <row r="8561" ht="25.5" spans="3:13">
      <c r="C8561" s="108"/>
      <c r="D8561" s="108"/>
      <c r="E8561" s="108"/>
      <c r="F8561" s="108"/>
      <c r="G8561" s="108"/>
      <c r="H8561" s="108" t="s">
        <v>2898</v>
      </c>
      <c r="I8561" s="581">
        <v>25.93</v>
      </c>
      <c r="J8561" s="108" t="s">
        <v>2899</v>
      </c>
      <c r="K8561" s="581">
        <v>0</v>
      </c>
      <c r="L8561" s="108" t="s">
        <v>2900</v>
      </c>
      <c r="M8561" s="581">
        <v>25.93</v>
      </c>
    </row>
    <row r="8562" ht="26.25" spans="3:13">
      <c r="C8562" s="108"/>
      <c r="D8562" s="108"/>
      <c r="E8562" s="108"/>
      <c r="F8562" s="108"/>
      <c r="G8562" s="108"/>
      <c r="H8562" s="108" t="s">
        <v>2901</v>
      </c>
      <c r="I8562" s="581">
        <v>9.16</v>
      </c>
      <c r="J8562" s="114"/>
      <c r="K8562" s="114" t="s">
        <v>2902</v>
      </c>
      <c r="L8562" s="108"/>
      <c r="M8562" s="581">
        <v>45.11</v>
      </c>
    </row>
    <row r="8563" ht="15" spans="3:13">
      <c r="C8563" s="571"/>
      <c r="D8563" s="571"/>
      <c r="E8563" s="571"/>
      <c r="F8563" s="571"/>
      <c r="G8563" s="571"/>
      <c r="H8563" s="571"/>
      <c r="I8563" s="571"/>
      <c r="J8563" s="571"/>
      <c r="K8563" s="571"/>
      <c r="L8563" s="571"/>
      <c r="M8563" s="571"/>
    </row>
    <row r="8564" ht="15" customHeight="1" spans="3:13">
      <c r="C8564" s="76"/>
      <c r="D8564" s="75" t="s">
        <v>63</v>
      </c>
      <c r="E8564" s="76" t="s">
        <v>64</v>
      </c>
      <c r="F8564" s="76" t="s">
        <v>65</v>
      </c>
      <c r="G8564" s="76" t="s">
        <v>2889</v>
      </c>
      <c r="H8564" s="76"/>
      <c r="I8564" s="77" t="s">
        <v>66</v>
      </c>
      <c r="J8564" s="75" t="s">
        <v>67</v>
      </c>
      <c r="K8564" s="75" t="s">
        <v>2890</v>
      </c>
      <c r="L8564" s="75" t="s">
        <v>68</v>
      </c>
      <c r="M8564" s="75" t="s">
        <v>70</v>
      </c>
    </row>
    <row r="8565" ht="23.85" customHeight="1" spans="3:13">
      <c r="C8565" s="569" t="s">
        <v>2891</v>
      </c>
      <c r="D8565" s="570" t="s">
        <v>3906</v>
      </c>
      <c r="E8565" s="569" t="s">
        <v>139</v>
      </c>
      <c r="F8565" s="569" t="s">
        <v>3907</v>
      </c>
      <c r="G8565" s="569" t="s">
        <v>3908</v>
      </c>
      <c r="H8565" s="569"/>
      <c r="I8565" s="577" t="s">
        <v>393</v>
      </c>
      <c r="J8565" s="578">
        <v>1</v>
      </c>
      <c r="K8565" s="579"/>
      <c r="L8565" s="579">
        <v>11.22</v>
      </c>
      <c r="M8565" s="579">
        <v>11.22</v>
      </c>
    </row>
    <row r="8566" ht="23.85" customHeight="1" spans="3:13">
      <c r="C8566" s="79" t="s">
        <v>2921</v>
      </c>
      <c r="D8566" s="78" t="s">
        <v>3311</v>
      </c>
      <c r="E8566" s="79" t="s">
        <v>139</v>
      </c>
      <c r="F8566" s="79" t="s">
        <v>3312</v>
      </c>
      <c r="G8566" s="79" t="s">
        <v>2928</v>
      </c>
      <c r="H8566" s="79"/>
      <c r="I8566" s="80" t="s">
        <v>2897</v>
      </c>
      <c r="J8566" s="583">
        <v>0.0325</v>
      </c>
      <c r="K8566" s="583">
        <v>0</v>
      </c>
      <c r="L8566" s="92">
        <v>30.06</v>
      </c>
      <c r="M8566" s="92">
        <v>0.97</v>
      </c>
    </row>
    <row r="8567" ht="23.85" customHeight="1" spans="3:13">
      <c r="C8567" s="79" t="s">
        <v>2921</v>
      </c>
      <c r="D8567" s="78" t="s">
        <v>3313</v>
      </c>
      <c r="E8567" s="79" t="s">
        <v>139</v>
      </c>
      <c r="F8567" s="79" t="s">
        <v>3314</v>
      </c>
      <c r="G8567" s="79" t="s">
        <v>2928</v>
      </c>
      <c r="H8567" s="79"/>
      <c r="I8567" s="80" t="s">
        <v>2897</v>
      </c>
      <c r="J8567" s="583">
        <v>0.0488</v>
      </c>
      <c r="K8567" s="583">
        <v>0</v>
      </c>
      <c r="L8567" s="92">
        <v>35.95</v>
      </c>
      <c r="M8567" s="92">
        <v>1.75</v>
      </c>
    </row>
    <row r="8568" ht="15" customHeight="1" spans="3:13">
      <c r="C8568" s="100" t="s">
        <v>2893</v>
      </c>
      <c r="D8568" s="99" t="s">
        <v>5378</v>
      </c>
      <c r="E8568" s="100" t="s">
        <v>139</v>
      </c>
      <c r="F8568" s="100" t="s">
        <v>5379</v>
      </c>
      <c r="G8568" s="100" t="s">
        <v>2961</v>
      </c>
      <c r="H8568" s="100"/>
      <c r="I8568" s="101" t="s">
        <v>393</v>
      </c>
      <c r="J8568" s="580">
        <v>1</v>
      </c>
      <c r="K8568" s="580">
        <v>0</v>
      </c>
      <c r="L8568" s="102">
        <v>8.5</v>
      </c>
      <c r="M8568" s="102">
        <v>8.5</v>
      </c>
    </row>
    <row r="8569" ht="25.5" spans="3:13">
      <c r="C8569" s="108"/>
      <c r="D8569" s="108"/>
      <c r="E8569" s="108"/>
      <c r="F8569" s="108"/>
      <c r="G8569" s="108"/>
      <c r="H8569" s="108" t="s">
        <v>2898</v>
      </c>
      <c r="I8569" s="581">
        <v>1.91</v>
      </c>
      <c r="J8569" s="108" t="s">
        <v>2899</v>
      </c>
      <c r="K8569" s="581">
        <v>0</v>
      </c>
      <c r="L8569" s="108" t="s">
        <v>2900</v>
      </c>
      <c r="M8569" s="581">
        <v>1.91</v>
      </c>
    </row>
    <row r="8570" ht="26.25" spans="3:13">
      <c r="C8570" s="108"/>
      <c r="D8570" s="108"/>
      <c r="E8570" s="108"/>
      <c r="F8570" s="108"/>
      <c r="G8570" s="108"/>
      <c r="H8570" s="108" t="s">
        <v>2901</v>
      </c>
      <c r="I8570" s="581">
        <v>2.85</v>
      </c>
      <c r="J8570" s="114"/>
      <c r="K8570" s="114" t="s">
        <v>2902</v>
      </c>
      <c r="L8570" s="108"/>
      <c r="M8570" s="581">
        <v>14.07</v>
      </c>
    </row>
    <row r="8571" ht="15" spans="3:13">
      <c r="C8571" s="571"/>
      <c r="D8571" s="571"/>
      <c r="E8571" s="571"/>
      <c r="F8571" s="571"/>
      <c r="G8571" s="571"/>
      <c r="H8571" s="571"/>
      <c r="I8571" s="571"/>
      <c r="J8571" s="571"/>
      <c r="K8571" s="571"/>
      <c r="L8571" s="571"/>
      <c r="M8571" s="571"/>
    </row>
    <row r="8572" ht="15" customHeight="1" spans="3:13">
      <c r="C8572" s="76"/>
      <c r="D8572" s="75" t="s">
        <v>63</v>
      </c>
      <c r="E8572" s="76" t="s">
        <v>64</v>
      </c>
      <c r="F8572" s="76" t="s">
        <v>65</v>
      </c>
      <c r="G8572" s="76" t="s">
        <v>2889</v>
      </c>
      <c r="H8572" s="76"/>
      <c r="I8572" s="77" t="s">
        <v>66</v>
      </c>
      <c r="J8572" s="75" t="s">
        <v>67</v>
      </c>
      <c r="K8572" s="75" t="s">
        <v>2890</v>
      </c>
      <c r="L8572" s="75" t="s">
        <v>68</v>
      </c>
      <c r="M8572" s="75" t="s">
        <v>70</v>
      </c>
    </row>
    <row r="8573" ht="23.85" customHeight="1" spans="3:13">
      <c r="C8573" s="569" t="s">
        <v>2891</v>
      </c>
      <c r="D8573" s="570" t="s">
        <v>5380</v>
      </c>
      <c r="E8573" s="569" t="s">
        <v>139</v>
      </c>
      <c r="F8573" s="569" t="s">
        <v>5381</v>
      </c>
      <c r="G8573" s="569" t="s">
        <v>3317</v>
      </c>
      <c r="H8573" s="569"/>
      <c r="I8573" s="577" t="s">
        <v>393</v>
      </c>
      <c r="J8573" s="578">
        <v>1</v>
      </c>
      <c r="K8573" s="579"/>
      <c r="L8573" s="579">
        <v>17.86</v>
      </c>
      <c r="M8573" s="579">
        <v>17.86</v>
      </c>
    </row>
    <row r="8574" ht="23.85" customHeight="1" spans="3:13">
      <c r="C8574" s="79" t="s">
        <v>2921</v>
      </c>
      <c r="D8574" s="78" t="s">
        <v>3311</v>
      </c>
      <c r="E8574" s="79" t="s">
        <v>139</v>
      </c>
      <c r="F8574" s="79" t="s">
        <v>3312</v>
      </c>
      <c r="G8574" s="79" t="s">
        <v>2928</v>
      </c>
      <c r="H8574" s="79"/>
      <c r="I8574" s="80" t="s">
        <v>2897</v>
      </c>
      <c r="J8574" s="583">
        <v>0.0172</v>
      </c>
      <c r="K8574" s="583">
        <v>0</v>
      </c>
      <c r="L8574" s="92">
        <v>30.06</v>
      </c>
      <c r="M8574" s="92">
        <v>0.51</v>
      </c>
    </row>
    <row r="8575" ht="23.85" customHeight="1" spans="3:13">
      <c r="C8575" s="79" t="s">
        <v>2921</v>
      </c>
      <c r="D8575" s="78" t="s">
        <v>3313</v>
      </c>
      <c r="E8575" s="79" t="s">
        <v>139</v>
      </c>
      <c r="F8575" s="79" t="s">
        <v>3314</v>
      </c>
      <c r="G8575" s="79" t="s">
        <v>2928</v>
      </c>
      <c r="H8575" s="79"/>
      <c r="I8575" s="80" t="s">
        <v>2897</v>
      </c>
      <c r="J8575" s="583">
        <v>0.1055</v>
      </c>
      <c r="K8575" s="583">
        <v>0</v>
      </c>
      <c r="L8575" s="92">
        <v>35.95</v>
      </c>
      <c r="M8575" s="92">
        <v>3.79</v>
      </c>
    </row>
    <row r="8576" ht="23.85" customHeight="1" spans="3:13">
      <c r="C8576" s="79" t="s">
        <v>2921</v>
      </c>
      <c r="D8576" s="78" t="s">
        <v>5382</v>
      </c>
      <c r="E8576" s="79" t="s">
        <v>139</v>
      </c>
      <c r="F8576" s="79" t="s">
        <v>5383</v>
      </c>
      <c r="G8576" s="79" t="s">
        <v>3317</v>
      </c>
      <c r="H8576" s="79"/>
      <c r="I8576" s="80" t="s">
        <v>393</v>
      </c>
      <c r="J8576" s="583">
        <v>1</v>
      </c>
      <c r="K8576" s="583">
        <v>0</v>
      </c>
      <c r="L8576" s="92">
        <v>12.4</v>
      </c>
      <c r="M8576" s="92">
        <v>12.4</v>
      </c>
    </row>
    <row r="8577" ht="23.85" customHeight="1" spans="3:13">
      <c r="C8577" s="100" t="s">
        <v>2893</v>
      </c>
      <c r="D8577" s="99" t="s">
        <v>3318</v>
      </c>
      <c r="E8577" s="100" t="s">
        <v>139</v>
      </c>
      <c r="F8577" s="100" t="s">
        <v>3319</v>
      </c>
      <c r="G8577" s="100" t="s">
        <v>2961</v>
      </c>
      <c r="H8577" s="100"/>
      <c r="I8577" s="101" t="s">
        <v>393</v>
      </c>
      <c r="J8577" s="580">
        <v>0.025</v>
      </c>
      <c r="K8577" s="580">
        <v>0</v>
      </c>
      <c r="L8577" s="102">
        <v>22</v>
      </c>
      <c r="M8577" s="102">
        <v>0.55</v>
      </c>
    </row>
    <row r="8578" ht="23.85" customHeight="1" spans="3:13">
      <c r="C8578" s="100" t="s">
        <v>2893</v>
      </c>
      <c r="D8578" s="99" t="s">
        <v>3320</v>
      </c>
      <c r="E8578" s="100" t="s">
        <v>139</v>
      </c>
      <c r="F8578" s="100" t="s">
        <v>3321</v>
      </c>
      <c r="G8578" s="100" t="s">
        <v>2961</v>
      </c>
      <c r="H8578" s="100"/>
      <c r="I8578" s="101" t="s">
        <v>134</v>
      </c>
      <c r="J8578" s="580">
        <v>2.816</v>
      </c>
      <c r="K8578" s="580">
        <v>0</v>
      </c>
      <c r="L8578" s="102">
        <v>0.22</v>
      </c>
      <c r="M8578" s="102">
        <v>0.61</v>
      </c>
    </row>
    <row r="8579" ht="25.5" spans="3:13">
      <c r="C8579" s="108"/>
      <c r="D8579" s="108"/>
      <c r="E8579" s="108"/>
      <c r="F8579" s="108"/>
      <c r="G8579" s="108"/>
      <c r="H8579" s="108" t="s">
        <v>2898</v>
      </c>
      <c r="I8579" s="581">
        <v>5.78</v>
      </c>
      <c r="J8579" s="108" t="s">
        <v>2899</v>
      </c>
      <c r="K8579" s="581">
        <v>0</v>
      </c>
      <c r="L8579" s="108" t="s">
        <v>2900</v>
      </c>
      <c r="M8579" s="581">
        <v>5.78</v>
      </c>
    </row>
    <row r="8580" ht="26.25" spans="3:13">
      <c r="C8580" s="108"/>
      <c r="D8580" s="108"/>
      <c r="E8580" s="108"/>
      <c r="F8580" s="108"/>
      <c r="G8580" s="108"/>
      <c r="H8580" s="108" t="s">
        <v>2901</v>
      </c>
      <c r="I8580" s="581">
        <v>4.55</v>
      </c>
      <c r="J8580" s="114"/>
      <c r="K8580" s="114" t="s">
        <v>2902</v>
      </c>
      <c r="L8580" s="108"/>
      <c r="M8580" s="581">
        <v>22.41</v>
      </c>
    </row>
    <row r="8581" ht="15" spans="3:13">
      <c r="C8581" s="571"/>
      <c r="D8581" s="571"/>
      <c r="E8581" s="571"/>
      <c r="F8581" s="571"/>
      <c r="G8581" s="571"/>
      <c r="H8581" s="571"/>
      <c r="I8581" s="571"/>
      <c r="J8581" s="571"/>
      <c r="K8581" s="571"/>
      <c r="L8581" s="571"/>
      <c r="M8581" s="571"/>
    </row>
    <row r="8582" ht="15" customHeight="1" spans="3:13">
      <c r="C8582" s="76"/>
      <c r="D8582" s="75" t="s">
        <v>63</v>
      </c>
      <c r="E8582" s="76" t="s">
        <v>64</v>
      </c>
      <c r="F8582" s="76" t="s">
        <v>65</v>
      </c>
      <c r="G8582" s="76" t="s">
        <v>2889</v>
      </c>
      <c r="H8582" s="76"/>
      <c r="I8582" s="77" t="s">
        <v>66</v>
      </c>
      <c r="J8582" s="75" t="s">
        <v>67</v>
      </c>
      <c r="K8582" s="75" t="s">
        <v>2890</v>
      </c>
      <c r="L8582" s="75" t="s">
        <v>68</v>
      </c>
      <c r="M8582" s="75" t="s">
        <v>70</v>
      </c>
    </row>
    <row r="8583" ht="23.85" customHeight="1" spans="3:13">
      <c r="C8583" s="569" t="s">
        <v>2891</v>
      </c>
      <c r="D8583" s="570" t="s">
        <v>3920</v>
      </c>
      <c r="E8583" s="569" t="s">
        <v>139</v>
      </c>
      <c r="F8583" s="569" t="s">
        <v>3921</v>
      </c>
      <c r="G8583" s="569" t="s">
        <v>3908</v>
      </c>
      <c r="H8583" s="569"/>
      <c r="I8583" s="577" t="s">
        <v>393</v>
      </c>
      <c r="J8583" s="578">
        <v>1</v>
      </c>
      <c r="K8583" s="579"/>
      <c r="L8583" s="579">
        <v>11.94</v>
      </c>
      <c r="M8583" s="579">
        <v>11.94</v>
      </c>
    </row>
    <row r="8584" ht="23.85" customHeight="1" spans="3:13">
      <c r="C8584" s="79" t="s">
        <v>2921</v>
      </c>
      <c r="D8584" s="78" t="s">
        <v>3313</v>
      </c>
      <c r="E8584" s="79" t="s">
        <v>139</v>
      </c>
      <c r="F8584" s="79" t="s">
        <v>3314</v>
      </c>
      <c r="G8584" s="79" t="s">
        <v>2928</v>
      </c>
      <c r="H8584" s="79"/>
      <c r="I8584" s="80" t="s">
        <v>2897</v>
      </c>
      <c r="J8584" s="583">
        <v>0.0615</v>
      </c>
      <c r="K8584" s="583">
        <v>0</v>
      </c>
      <c r="L8584" s="92">
        <v>35.95</v>
      </c>
      <c r="M8584" s="92">
        <v>2.21</v>
      </c>
    </row>
    <row r="8585" ht="23.85" customHeight="1" spans="3:13">
      <c r="C8585" s="79" t="s">
        <v>2921</v>
      </c>
      <c r="D8585" s="78" t="s">
        <v>3311</v>
      </c>
      <c r="E8585" s="79" t="s">
        <v>139</v>
      </c>
      <c r="F8585" s="79" t="s">
        <v>3312</v>
      </c>
      <c r="G8585" s="79" t="s">
        <v>2928</v>
      </c>
      <c r="H8585" s="79"/>
      <c r="I8585" s="80" t="s">
        <v>2897</v>
      </c>
      <c r="J8585" s="583">
        <v>0.041</v>
      </c>
      <c r="K8585" s="583">
        <v>0</v>
      </c>
      <c r="L8585" s="92">
        <v>30.06</v>
      </c>
      <c r="M8585" s="92">
        <v>1.23</v>
      </c>
    </row>
    <row r="8586" ht="15" customHeight="1" spans="3:13">
      <c r="C8586" s="100" t="s">
        <v>2893</v>
      </c>
      <c r="D8586" s="99" t="s">
        <v>5378</v>
      </c>
      <c r="E8586" s="100" t="s">
        <v>139</v>
      </c>
      <c r="F8586" s="100" t="s">
        <v>5379</v>
      </c>
      <c r="G8586" s="100" t="s">
        <v>2961</v>
      </c>
      <c r="H8586" s="100"/>
      <c r="I8586" s="101" t="s">
        <v>393</v>
      </c>
      <c r="J8586" s="580">
        <v>1</v>
      </c>
      <c r="K8586" s="580">
        <v>0</v>
      </c>
      <c r="L8586" s="102">
        <v>8.5</v>
      </c>
      <c r="M8586" s="102">
        <v>8.5</v>
      </c>
    </row>
    <row r="8587" ht="25.5" spans="3:13">
      <c r="C8587" s="108"/>
      <c r="D8587" s="108"/>
      <c r="E8587" s="108"/>
      <c r="F8587" s="108"/>
      <c r="G8587" s="108"/>
      <c r="H8587" s="108" t="s">
        <v>2898</v>
      </c>
      <c r="I8587" s="581">
        <v>2.41</v>
      </c>
      <c r="J8587" s="108" t="s">
        <v>2899</v>
      </c>
      <c r="K8587" s="581">
        <v>0</v>
      </c>
      <c r="L8587" s="108" t="s">
        <v>2900</v>
      </c>
      <c r="M8587" s="581">
        <v>2.41</v>
      </c>
    </row>
    <row r="8588" ht="26.25" spans="3:13">
      <c r="C8588" s="108"/>
      <c r="D8588" s="108"/>
      <c r="E8588" s="108"/>
      <c r="F8588" s="108"/>
      <c r="G8588" s="108"/>
      <c r="H8588" s="108" t="s">
        <v>2901</v>
      </c>
      <c r="I8588" s="581">
        <v>3.04</v>
      </c>
      <c r="J8588" s="114"/>
      <c r="K8588" s="114" t="s">
        <v>2902</v>
      </c>
      <c r="L8588" s="108"/>
      <c r="M8588" s="581">
        <v>14.98</v>
      </c>
    </row>
    <row r="8589" ht="15" spans="3:13">
      <c r="C8589" s="571"/>
      <c r="D8589" s="571"/>
      <c r="E8589" s="571"/>
      <c r="F8589" s="571"/>
      <c r="G8589" s="571"/>
      <c r="H8589" s="571"/>
      <c r="I8589" s="571"/>
      <c r="J8589" s="571"/>
      <c r="K8589" s="571"/>
      <c r="L8589" s="571"/>
      <c r="M8589" s="571"/>
    </row>
    <row r="8590" ht="15" customHeight="1" spans="3:13">
      <c r="C8590" s="76"/>
      <c r="D8590" s="75" t="s">
        <v>63</v>
      </c>
      <c r="E8590" s="76" t="s">
        <v>64</v>
      </c>
      <c r="F8590" s="76" t="s">
        <v>65</v>
      </c>
      <c r="G8590" s="76" t="s">
        <v>2889</v>
      </c>
      <c r="H8590" s="76"/>
      <c r="I8590" s="77" t="s">
        <v>66</v>
      </c>
      <c r="J8590" s="75" t="s">
        <v>67</v>
      </c>
      <c r="K8590" s="75" t="s">
        <v>2890</v>
      </c>
      <c r="L8590" s="75" t="s">
        <v>68</v>
      </c>
      <c r="M8590" s="75" t="s">
        <v>70</v>
      </c>
    </row>
    <row r="8591" ht="23.85" customHeight="1" spans="3:13">
      <c r="C8591" s="569" t="s">
        <v>2891</v>
      </c>
      <c r="D8591" s="570" t="s">
        <v>3728</v>
      </c>
      <c r="E8591" s="569" t="s">
        <v>139</v>
      </c>
      <c r="F8591" s="569" t="s">
        <v>3729</v>
      </c>
      <c r="G8591" s="569" t="s">
        <v>2928</v>
      </c>
      <c r="H8591" s="569"/>
      <c r="I8591" s="577" t="s">
        <v>2897</v>
      </c>
      <c r="J8591" s="578">
        <v>1</v>
      </c>
      <c r="K8591" s="579"/>
      <c r="L8591" s="579">
        <v>34.94</v>
      </c>
      <c r="M8591" s="579">
        <v>34.94</v>
      </c>
    </row>
    <row r="8592" ht="23.85" customHeight="1" spans="3:13">
      <c r="C8592" s="79" t="s">
        <v>2921</v>
      </c>
      <c r="D8592" s="78" t="s">
        <v>5384</v>
      </c>
      <c r="E8592" s="79" t="s">
        <v>139</v>
      </c>
      <c r="F8592" s="79" t="s">
        <v>5385</v>
      </c>
      <c r="G8592" s="79" t="s">
        <v>2928</v>
      </c>
      <c r="H8592" s="79"/>
      <c r="I8592" s="80" t="s">
        <v>2897</v>
      </c>
      <c r="J8592" s="583">
        <v>1</v>
      </c>
      <c r="K8592" s="583">
        <v>0</v>
      </c>
      <c r="L8592" s="92">
        <v>0.37</v>
      </c>
      <c r="M8592" s="92">
        <v>0.37</v>
      </c>
    </row>
    <row r="8593" ht="23.85" customHeight="1" spans="3:13">
      <c r="C8593" s="100" t="s">
        <v>2893</v>
      </c>
      <c r="D8593" s="99" t="s">
        <v>5386</v>
      </c>
      <c r="E8593" s="100" t="s">
        <v>139</v>
      </c>
      <c r="F8593" s="100" t="s">
        <v>5387</v>
      </c>
      <c r="G8593" s="100" t="s">
        <v>2961</v>
      </c>
      <c r="H8593" s="100"/>
      <c r="I8593" s="101" t="s">
        <v>2897</v>
      </c>
      <c r="J8593" s="580">
        <v>1</v>
      </c>
      <c r="K8593" s="580">
        <v>0</v>
      </c>
      <c r="L8593" s="102">
        <v>0.89</v>
      </c>
      <c r="M8593" s="102">
        <v>0.89</v>
      </c>
    </row>
    <row r="8594" ht="15" customHeight="1" spans="3:13">
      <c r="C8594" s="100" t="s">
        <v>2893</v>
      </c>
      <c r="D8594" s="99" t="s">
        <v>5312</v>
      </c>
      <c r="E8594" s="100" t="s">
        <v>139</v>
      </c>
      <c r="F8594" s="100" t="s">
        <v>5313</v>
      </c>
      <c r="G8594" s="100" t="s">
        <v>2961</v>
      </c>
      <c r="H8594" s="100"/>
      <c r="I8594" s="101" t="s">
        <v>2897</v>
      </c>
      <c r="J8594" s="580">
        <v>1</v>
      </c>
      <c r="K8594" s="580">
        <v>0</v>
      </c>
      <c r="L8594" s="102">
        <v>0.08</v>
      </c>
      <c r="M8594" s="102">
        <v>0.08</v>
      </c>
    </row>
    <row r="8595" ht="15" customHeight="1" spans="3:13">
      <c r="C8595" s="100" t="s">
        <v>2893</v>
      </c>
      <c r="D8595" s="99" t="s">
        <v>5306</v>
      </c>
      <c r="E8595" s="100" t="s">
        <v>139</v>
      </c>
      <c r="F8595" s="100" t="s">
        <v>5307</v>
      </c>
      <c r="G8595" s="100" t="s">
        <v>2961</v>
      </c>
      <c r="H8595" s="100"/>
      <c r="I8595" s="101" t="s">
        <v>2897</v>
      </c>
      <c r="J8595" s="580">
        <v>1</v>
      </c>
      <c r="K8595" s="580">
        <v>0</v>
      </c>
      <c r="L8595" s="102">
        <v>1.43</v>
      </c>
      <c r="M8595" s="102">
        <v>1.43</v>
      </c>
    </row>
    <row r="8596" ht="15" customHeight="1" spans="3:13">
      <c r="C8596" s="100" t="s">
        <v>2893</v>
      </c>
      <c r="D8596" s="99" t="s">
        <v>5388</v>
      </c>
      <c r="E8596" s="100" t="s">
        <v>139</v>
      </c>
      <c r="F8596" s="100" t="s">
        <v>5389</v>
      </c>
      <c r="G8596" s="100" t="s">
        <v>2896</v>
      </c>
      <c r="H8596" s="100"/>
      <c r="I8596" s="101" t="s">
        <v>2897</v>
      </c>
      <c r="J8596" s="580">
        <v>1</v>
      </c>
      <c r="K8596" s="580">
        <v>0</v>
      </c>
      <c r="L8596" s="102">
        <v>25.74</v>
      </c>
      <c r="M8596" s="102">
        <v>25.74</v>
      </c>
    </row>
    <row r="8597" ht="23.85" customHeight="1" spans="3:13">
      <c r="C8597" s="100" t="s">
        <v>2893</v>
      </c>
      <c r="D8597" s="99" t="s">
        <v>5308</v>
      </c>
      <c r="E8597" s="100" t="s">
        <v>139</v>
      </c>
      <c r="F8597" s="100" t="s">
        <v>5309</v>
      </c>
      <c r="G8597" s="100" t="s">
        <v>2961</v>
      </c>
      <c r="H8597" s="100"/>
      <c r="I8597" s="101" t="s">
        <v>2897</v>
      </c>
      <c r="J8597" s="580">
        <v>1</v>
      </c>
      <c r="K8597" s="580">
        <v>0</v>
      </c>
      <c r="L8597" s="102">
        <v>4.84</v>
      </c>
      <c r="M8597" s="102">
        <v>4.84</v>
      </c>
    </row>
    <row r="8598" ht="23.85" customHeight="1" spans="3:13">
      <c r="C8598" s="100" t="s">
        <v>2893</v>
      </c>
      <c r="D8598" s="99" t="s">
        <v>5390</v>
      </c>
      <c r="E8598" s="100" t="s">
        <v>139</v>
      </c>
      <c r="F8598" s="100" t="s">
        <v>5391</v>
      </c>
      <c r="G8598" s="100" t="s">
        <v>2961</v>
      </c>
      <c r="H8598" s="100"/>
      <c r="I8598" s="101" t="s">
        <v>2897</v>
      </c>
      <c r="J8598" s="580">
        <v>1</v>
      </c>
      <c r="K8598" s="580">
        <v>0</v>
      </c>
      <c r="L8598" s="102">
        <v>0.01</v>
      </c>
      <c r="M8598" s="102">
        <v>0.01</v>
      </c>
    </row>
    <row r="8599" ht="23.85" customHeight="1" spans="3:13">
      <c r="C8599" s="100" t="s">
        <v>2893</v>
      </c>
      <c r="D8599" s="99" t="s">
        <v>5310</v>
      </c>
      <c r="E8599" s="100" t="s">
        <v>139</v>
      </c>
      <c r="F8599" s="100" t="s">
        <v>5311</v>
      </c>
      <c r="G8599" s="100" t="s">
        <v>2961</v>
      </c>
      <c r="H8599" s="100"/>
      <c r="I8599" s="101" t="s">
        <v>2897</v>
      </c>
      <c r="J8599" s="580">
        <v>1</v>
      </c>
      <c r="K8599" s="580">
        <v>0</v>
      </c>
      <c r="L8599" s="102">
        <v>1.58</v>
      </c>
      <c r="M8599" s="102">
        <v>1.58</v>
      </c>
    </row>
    <row r="8600" ht="25.5" spans="3:13">
      <c r="C8600" s="108"/>
      <c r="D8600" s="108"/>
      <c r="E8600" s="108"/>
      <c r="F8600" s="108"/>
      <c r="G8600" s="108"/>
      <c r="H8600" s="108" t="s">
        <v>2898</v>
      </c>
      <c r="I8600" s="581">
        <v>26.11</v>
      </c>
      <c r="J8600" s="108" t="s">
        <v>2899</v>
      </c>
      <c r="K8600" s="581">
        <v>0</v>
      </c>
      <c r="L8600" s="108" t="s">
        <v>2900</v>
      </c>
      <c r="M8600" s="581">
        <v>26.11</v>
      </c>
    </row>
    <row r="8601" ht="26.25" spans="3:13">
      <c r="C8601" s="108"/>
      <c r="D8601" s="108"/>
      <c r="E8601" s="108"/>
      <c r="F8601" s="108"/>
      <c r="G8601" s="108"/>
      <c r="H8601" s="108" t="s">
        <v>2901</v>
      </c>
      <c r="I8601" s="581">
        <v>8.9</v>
      </c>
      <c r="J8601" s="114"/>
      <c r="K8601" s="114" t="s">
        <v>2902</v>
      </c>
      <c r="L8601" s="108"/>
      <c r="M8601" s="581">
        <v>43.84</v>
      </c>
    </row>
    <row r="8602" ht="15" spans="3:13">
      <c r="C8602" s="571"/>
      <c r="D8602" s="571"/>
      <c r="E8602" s="571"/>
      <c r="F8602" s="571"/>
      <c r="G8602" s="571"/>
      <c r="H8602" s="571"/>
      <c r="I8602" s="571"/>
      <c r="J8602" s="571"/>
      <c r="K8602" s="571"/>
      <c r="L8602" s="571"/>
      <c r="M8602" s="571"/>
    </row>
    <row r="8603" ht="15" customHeight="1" spans="3:13">
      <c r="C8603" s="76"/>
      <c r="D8603" s="75" t="s">
        <v>63</v>
      </c>
      <c r="E8603" s="76" t="s">
        <v>64</v>
      </c>
      <c r="F8603" s="76" t="s">
        <v>65</v>
      </c>
      <c r="G8603" s="76" t="s">
        <v>2889</v>
      </c>
      <c r="H8603" s="76"/>
      <c r="I8603" s="77" t="s">
        <v>66</v>
      </c>
      <c r="J8603" s="75" t="s">
        <v>67</v>
      </c>
      <c r="K8603" s="75" t="s">
        <v>2890</v>
      </c>
      <c r="L8603" s="75" t="s">
        <v>68</v>
      </c>
      <c r="M8603" s="75" t="s">
        <v>70</v>
      </c>
    </row>
    <row r="8604" ht="23.85" customHeight="1" spans="3:13">
      <c r="C8604" s="569" t="s">
        <v>2891</v>
      </c>
      <c r="D8604" s="570" t="s">
        <v>3153</v>
      </c>
      <c r="E8604" s="569" t="s">
        <v>139</v>
      </c>
      <c r="F8604" s="569" t="s">
        <v>3154</v>
      </c>
      <c r="G8604" s="569" t="s">
        <v>2928</v>
      </c>
      <c r="H8604" s="569"/>
      <c r="I8604" s="577" t="s">
        <v>2897</v>
      </c>
      <c r="J8604" s="578">
        <v>1</v>
      </c>
      <c r="K8604" s="579"/>
      <c r="L8604" s="579">
        <v>30.6</v>
      </c>
      <c r="M8604" s="579">
        <v>30.6</v>
      </c>
    </row>
    <row r="8605" ht="23.85" customHeight="1" spans="3:13">
      <c r="C8605" s="79" t="s">
        <v>2921</v>
      </c>
      <c r="D8605" s="78" t="s">
        <v>5392</v>
      </c>
      <c r="E8605" s="79" t="s">
        <v>139</v>
      </c>
      <c r="F8605" s="79" t="s">
        <v>5393</v>
      </c>
      <c r="G8605" s="79" t="s">
        <v>2928</v>
      </c>
      <c r="H8605" s="79"/>
      <c r="I8605" s="80" t="s">
        <v>2897</v>
      </c>
      <c r="J8605" s="583">
        <v>1</v>
      </c>
      <c r="K8605" s="583">
        <v>0</v>
      </c>
      <c r="L8605" s="92">
        <v>0.73</v>
      </c>
      <c r="M8605" s="92">
        <v>0.73</v>
      </c>
    </row>
    <row r="8606" ht="23.85" customHeight="1" spans="3:13">
      <c r="C8606" s="100" t="s">
        <v>2893</v>
      </c>
      <c r="D8606" s="99" t="s">
        <v>5308</v>
      </c>
      <c r="E8606" s="100" t="s">
        <v>139</v>
      </c>
      <c r="F8606" s="100" t="s">
        <v>5309</v>
      </c>
      <c r="G8606" s="100" t="s">
        <v>2961</v>
      </c>
      <c r="H8606" s="100"/>
      <c r="I8606" s="101" t="s">
        <v>2897</v>
      </c>
      <c r="J8606" s="580">
        <v>1</v>
      </c>
      <c r="K8606" s="580">
        <v>0</v>
      </c>
      <c r="L8606" s="102">
        <v>4.84</v>
      </c>
      <c r="M8606" s="102">
        <v>4.84</v>
      </c>
    </row>
    <row r="8607" ht="23.85" customHeight="1" spans="3:13">
      <c r="C8607" s="100" t="s">
        <v>2893</v>
      </c>
      <c r="D8607" s="99" t="s">
        <v>5310</v>
      </c>
      <c r="E8607" s="100" t="s">
        <v>139</v>
      </c>
      <c r="F8607" s="100" t="s">
        <v>5311</v>
      </c>
      <c r="G8607" s="100" t="s">
        <v>2961</v>
      </c>
      <c r="H8607" s="100"/>
      <c r="I8607" s="101" t="s">
        <v>2897</v>
      </c>
      <c r="J8607" s="580">
        <v>1</v>
      </c>
      <c r="K8607" s="580">
        <v>0</v>
      </c>
      <c r="L8607" s="102">
        <v>1.58</v>
      </c>
      <c r="M8607" s="102">
        <v>1.58</v>
      </c>
    </row>
    <row r="8608" ht="15" customHeight="1" spans="3:13">
      <c r="C8608" s="100" t="s">
        <v>2893</v>
      </c>
      <c r="D8608" s="99" t="s">
        <v>5394</v>
      </c>
      <c r="E8608" s="100" t="s">
        <v>139</v>
      </c>
      <c r="F8608" s="100" t="s">
        <v>5395</v>
      </c>
      <c r="G8608" s="100" t="s">
        <v>2896</v>
      </c>
      <c r="H8608" s="100"/>
      <c r="I8608" s="101" t="s">
        <v>2897</v>
      </c>
      <c r="J8608" s="580">
        <v>1</v>
      </c>
      <c r="K8608" s="580">
        <v>0</v>
      </c>
      <c r="L8608" s="102">
        <v>19.82</v>
      </c>
      <c r="M8608" s="102">
        <v>19.82</v>
      </c>
    </row>
    <row r="8609" ht="15" customHeight="1" spans="3:13">
      <c r="C8609" s="100" t="s">
        <v>2893</v>
      </c>
      <c r="D8609" s="99" t="s">
        <v>5312</v>
      </c>
      <c r="E8609" s="100" t="s">
        <v>139</v>
      </c>
      <c r="F8609" s="100" t="s">
        <v>5313</v>
      </c>
      <c r="G8609" s="100" t="s">
        <v>2961</v>
      </c>
      <c r="H8609" s="100"/>
      <c r="I8609" s="101" t="s">
        <v>2897</v>
      </c>
      <c r="J8609" s="580">
        <v>1</v>
      </c>
      <c r="K8609" s="580">
        <v>0</v>
      </c>
      <c r="L8609" s="102">
        <v>0.08</v>
      </c>
      <c r="M8609" s="102">
        <v>0.08</v>
      </c>
    </row>
    <row r="8610" ht="23.85" customHeight="1" spans="3:13">
      <c r="C8610" s="100" t="s">
        <v>2893</v>
      </c>
      <c r="D8610" s="99" t="s">
        <v>5396</v>
      </c>
      <c r="E8610" s="100" t="s">
        <v>139</v>
      </c>
      <c r="F8610" s="100" t="s">
        <v>5397</v>
      </c>
      <c r="G8610" s="100" t="s">
        <v>2961</v>
      </c>
      <c r="H8610" s="100"/>
      <c r="I8610" s="101" t="s">
        <v>2897</v>
      </c>
      <c r="J8610" s="580">
        <v>1</v>
      </c>
      <c r="K8610" s="580">
        <v>0</v>
      </c>
      <c r="L8610" s="102">
        <v>0.86</v>
      </c>
      <c r="M8610" s="102">
        <v>0.86</v>
      </c>
    </row>
    <row r="8611" ht="23.85" customHeight="1" spans="3:13">
      <c r="C8611" s="100" t="s">
        <v>2893</v>
      </c>
      <c r="D8611" s="99" t="s">
        <v>5398</v>
      </c>
      <c r="E8611" s="100" t="s">
        <v>139</v>
      </c>
      <c r="F8611" s="100" t="s">
        <v>5399</v>
      </c>
      <c r="G8611" s="100" t="s">
        <v>2961</v>
      </c>
      <c r="H8611" s="100"/>
      <c r="I8611" s="101" t="s">
        <v>2897</v>
      </c>
      <c r="J8611" s="580">
        <v>1</v>
      </c>
      <c r="K8611" s="580">
        <v>0</v>
      </c>
      <c r="L8611" s="102">
        <v>1.26</v>
      </c>
      <c r="M8611" s="102">
        <v>1.26</v>
      </c>
    </row>
    <row r="8612" ht="15" customHeight="1" spans="3:13">
      <c r="C8612" s="100" t="s">
        <v>2893</v>
      </c>
      <c r="D8612" s="99" t="s">
        <v>5306</v>
      </c>
      <c r="E8612" s="100" t="s">
        <v>139</v>
      </c>
      <c r="F8612" s="100" t="s">
        <v>5307</v>
      </c>
      <c r="G8612" s="100" t="s">
        <v>2961</v>
      </c>
      <c r="H8612" s="100"/>
      <c r="I8612" s="101" t="s">
        <v>2897</v>
      </c>
      <c r="J8612" s="580">
        <v>1</v>
      </c>
      <c r="K8612" s="580">
        <v>0</v>
      </c>
      <c r="L8612" s="102">
        <v>1.43</v>
      </c>
      <c r="M8612" s="102">
        <v>1.43</v>
      </c>
    </row>
    <row r="8613" ht="25.5" spans="3:13">
      <c r="C8613" s="108"/>
      <c r="D8613" s="108"/>
      <c r="E8613" s="108"/>
      <c r="F8613" s="108"/>
      <c r="G8613" s="108"/>
      <c r="H8613" s="108" t="s">
        <v>2898</v>
      </c>
      <c r="I8613" s="581">
        <v>20.55</v>
      </c>
      <c r="J8613" s="108" t="s">
        <v>2899</v>
      </c>
      <c r="K8613" s="581">
        <v>0</v>
      </c>
      <c r="L8613" s="108" t="s">
        <v>2900</v>
      </c>
      <c r="M8613" s="581">
        <v>20.55</v>
      </c>
    </row>
    <row r="8614" ht="26.25" spans="3:13">
      <c r="C8614" s="108"/>
      <c r="D8614" s="108"/>
      <c r="E8614" s="108"/>
      <c r="F8614" s="108"/>
      <c r="G8614" s="108"/>
      <c r="H8614" s="108" t="s">
        <v>2901</v>
      </c>
      <c r="I8614" s="581">
        <v>7.79</v>
      </c>
      <c r="J8614" s="114"/>
      <c r="K8614" s="114" t="s">
        <v>2902</v>
      </c>
      <c r="L8614" s="108"/>
      <c r="M8614" s="581">
        <v>38.39</v>
      </c>
    </row>
    <row r="8615" ht="15" spans="3:13">
      <c r="C8615" s="571"/>
      <c r="D8615" s="571"/>
      <c r="E8615" s="571"/>
      <c r="F8615" s="571"/>
      <c r="G8615" s="571"/>
      <c r="H8615" s="571"/>
      <c r="I8615" s="571"/>
      <c r="J8615" s="571"/>
      <c r="K8615" s="571"/>
      <c r="L8615" s="571"/>
      <c r="M8615" s="571"/>
    </row>
    <row r="8616" ht="15" customHeight="1" spans="3:13">
      <c r="C8616" s="76"/>
      <c r="D8616" s="75" t="s">
        <v>63</v>
      </c>
      <c r="E8616" s="76" t="s">
        <v>64</v>
      </c>
      <c r="F8616" s="76" t="s">
        <v>65</v>
      </c>
      <c r="G8616" s="76" t="s">
        <v>2889</v>
      </c>
      <c r="H8616" s="76"/>
      <c r="I8616" s="77" t="s">
        <v>66</v>
      </c>
      <c r="J8616" s="75" t="s">
        <v>67</v>
      </c>
      <c r="K8616" s="75" t="s">
        <v>2890</v>
      </c>
      <c r="L8616" s="75" t="s">
        <v>68</v>
      </c>
      <c r="M8616" s="75" t="s">
        <v>70</v>
      </c>
    </row>
    <row r="8617" ht="23.85" customHeight="1" spans="3:13">
      <c r="C8617" s="569" t="s">
        <v>2891</v>
      </c>
      <c r="D8617" s="570" t="s">
        <v>3146</v>
      </c>
      <c r="E8617" s="569" t="s">
        <v>139</v>
      </c>
      <c r="F8617" s="569" t="s">
        <v>3147</v>
      </c>
      <c r="G8617" s="569" t="s">
        <v>2928</v>
      </c>
      <c r="H8617" s="569"/>
      <c r="I8617" s="577" t="s">
        <v>2897</v>
      </c>
      <c r="J8617" s="578">
        <v>1</v>
      </c>
      <c r="K8617" s="579"/>
      <c r="L8617" s="579">
        <v>29.54</v>
      </c>
      <c r="M8617" s="579">
        <v>29.54</v>
      </c>
    </row>
    <row r="8618" ht="23.85" customHeight="1" spans="3:13">
      <c r="C8618" s="79" t="s">
        <v>2921</v>
      </c>
      <c r="D8618" s="78" t="s">
        <v>5400</v>
      </c>
      <c r="E8618" s="79" t="s">
        <v>139</v>
      </c>
      <c r="F8618" s="79" t="s">
        <v>5401</v>
      </c>
      <c r="G8618" s="79" t="s">
        <v>2928</v>
      </c>
      <c r="H8618" s="79"/>
      <c r="I8618" s="80" t="s">
        <v>2897</v>
      </c>
      <c r="J8618" s="583">
        <v>1</v>
      </c>
      <c r="K8618" s="583">
        <v>0</v>
      </c>
      <c r="L8618" s="92">
        <v>0.35</v>
      </c>
      <c r="M8618" s="92">
        <v>0.35</v>
      </c>
    </row>
    <row r="8619" ht="15" customHeight="1" spans="3:13">
      <c r="C8619" s="100" t="s">
        <v>2893</v>
      </c>
      <c r="D8619" s="99" t="s">
        <v>5312</v>
      </c>
      <c r="E8619" s="100" t="s">
        <v>139</v>
      </c>
      <c r="F8619" s="100" t="s">
        <v>5313</v>
      </c>
      <c r="G8619" s="100" t="s">
        <v>2961</v>
      </c>
      <c r="H8619" s="100"/>
      <c r="I8619" s="101" t="s">
        <v>2897</v>
      </c>
      <c r="J8619" s="580">
        <v>1</v>
      </c>
      <c r="K8619" s="580">
        <v>0</v>
      </c>
      <c r="L8619" s="102">
        <v>0.08</v>
      </c>
      <c r="M8619" s="102">
        <v>0.08</v>
      </c>
    </row>
    <row r="8620" ht="15" customHeight="1" spans="3:13">
      <c r="C8620" s="100" t="s">
        <v>2893</v>
      </c>
      <c r="D8620" s="99" t="s">
        <v>5306</v>
      </c>
      <c r="E8620" s="100" t="s">
        <v>139</v>
      </c>
      <c r="F8620" s="100" t="s">
        <v>5307</v>
      </c>
      <c r="G8620" s="100" t="s">
        <v>2961</v>
      </c>
      <c r="H8620" s="100"/>
      <c r="I8620" s="101" t="s">
        <v>2897</v>
      </c>
      <c r="J8620" s="580">
        <v>1</v>
      </c>
      <c r="K8620" s="580">
        <v>0</v>
      </c>
      <c r="L8620" s="102">
        <v>1.43</v>
      </c>
      <c r="M8620" s="102">
        <v>1.43</v>
      </c>
    </row>
    <row r="8621" ht="23.85" customHeight="1" spans="3:13">
      <c r="C8621" s="100" t="s">
        <v>2893</v>
      </c>
      <c r="D8621" s="99" t="s">
        <v>5402</v>
      </c>
      <c r="E8621" s="100" t="s">
        <v>139</v>
      </c>
      <c r="F8621" s="100" t="s">
        <v>5403</v>
      </c>
      <c r="G8621" s="100" t="s">
        <v>2961</v>
      </c>
      <c r="H8621" s="100"/>
      <c r="I8621" s="101" t="s">
        <v>2897</v>
      </c>
      <c r="J8621" s="580">
        <v>1</v>
      </c>
      <c r="K8621" s="580">
        <v>0</v>
      </c>
      <c r="L8621" s="102">
        <v>1.13</v>
      </c>
      <c r="M8621" s="102">
        <v>1.13</v>
      </c>
    </row>
    <row r="8622" ht="15" customHeight="1" spans="3:13">
      <c r="C8622" s="100" t="s">
        <v>2893</v>
      </c>
      <c r="D8622" s="99" t="s">
        <v>5404</v>
      </c>
      <c r="E8622" s="100" t="s">
        <v>139</v>
      </c>
      <c r="F8622" s="100" t="s">
        <v>5405</v>
      </c>
      <c r="G8622" s="100" t="s">
        <v>2896</v>
      </c>
      <c r="H8622" s="100"/>
      <c r="I8622" s="101" t="s">
        <v>2897</v>
      </c>
      <c r="J8622" s="580">
        <v>1</v>
      </c>
      <c r="K8622" s="580">
        <v>0</v>
      </c>
      <c r="L8622" s="102">
        <v>19.82</v>
      </c>
      <c r="M8622" s="102">
        <v>19.82</v>
      </c>
    </row>
    <row r="8623" ht="23.85" customHeight="1" spans="3:13">
      <c r="C8623" s="100" t="s">
        <v>2893</v>
      </c>
      <c r="D8623" s="99" t="s">
        <v>5406</v>
      </c>
      <c r="E8623" s="100" t="s">
        <v>139</v>
      </c>
      <c r="F8623" s="100" t="s">
        <v>5407</v>
      </c>
      <c r="G8623" s="100" t="s">
        <v>2961</v>
      </c>
      <c r="H8623" s="100"/>
      <c r="I8623" s="101" t="s">
        <v>2897</v>
      </c>
      <c r="J8623" s="580">
        <v>1</v>
      </c>
      <c r="K8623" s="580">
        <v>0</v>
      </c>
      <c r="L8623" s="102">
        <v>0.31</v>
      </c>
      <c r="M8623" s="102">
        <v>0.31</v>
      </c>
    </row>
    <row r="8624" ht="23.85" customHeight="1" spans="3:13">
      <c r="C8624" s="100" t="s">
        <v>2893</v>
      </c>
      <c r="D8624" s="99" t="s">
        <v>5308</v>
      </c>
      <c r="E8624" s="100" t="s">
        <v>139</v>
      </c>
      <c r="F8624" s="100" t="s">
        <v>5309</v>
      </c>
      <c r="G8624" s="100" t="s">
        <v>2961</v>
      </c>
      <c r="H8624" s="100"/>
      <c r="I8624" s="101" t="s">
        <v>2897</v>
      </c>
      <c r="J8624" s="580">
        <v>1</v>
      </c>
      <c r="K8624" s="580">
        <v>0</v>
      </c>
      <c r="L8624" s="102">
        <v>4.84</v>
      </c>
      <c r="M8624" s="102">
        <v>4.84</v>
      </c>
    </row>
    <row r="8625" ht="23.85" customHeight="1" spans="3:13">
      <c r="C8625" s="100" t="s">
        <v>2893</v>
      </c>
      <c r="D8625" s="99" t="s">
        <v>5310</v>
      </c>
      <c r="E8625" s="100" t="s">
        <v>139</v>
      </c>
      <c r="F8625" s="100" t="s">
        <v>5311</v>
      </c>
      <c r="G8625" s="100" t="s">
        <v>2961</v>
      </c>
      <c r="H8625" s="100"/>
      <c r="I8625" s="101" t="s">
        <v>2897</v>
      </c>
      <c r="J8625" s="580">
        <v>1</v>
      </c>
      <c r="K8625" s="580">
        <v>0</v>
      </c>
      <c r="L8625" s="102">
        <v>1.58</v>
      </c>
      <c r="M8625" s="102">
        <v>1.58</v>
      </c>
    </row>
    <row r="8626" ht="25.5" spans="3:13">
      <c r="C8626" s="108"/>
      <c r="D8626" s="108"/>
      <c r="E8626" s="108"/>
      <c r="F8626" s="108"/>
      <c r="G8626" s="108"/>
      <c r="H8626" s="108" t="s">
        <v>2898</v>
      </c>
      <c r="I8626" s="581">
        <v>20.17</v>
      </c>
      <c r="J8626" s="108" t="s">
        <v>2899</v>
      </c>
      <c r="K8626" s="581">
        <v>0</v>
      </c>
      <c r="L8626" s="108" t="s">
        <v>2900</v>
      </c>
      <c r="M8626" s="581">
        <v>20.17</v>
      </c>
    </row>
    <row r="8627" ht="26.25" spans="3:13">
      <c r="C8627" s="108"/>
      <c r="D8627" s="108"/>
      <c r="E8627" s="108"/>
      <c r="F8627" s="108"/>
      <c r="G8627" s="108"/>
      <c r="H8627" s="108" t="s">
        <v>2901</v>
      </c>
      <c r="I8627" s="581">
        <v>7.52</v>
      </c>
      <c r="J8627" s="114"/>
      <c r="K8627" s="114" t="s">
        <v>2902</v>
      </c>
      <c r="L8627" s="108"/>
      <c r="M8627" s="581">
        <v>37.06</v>
      </c>
    </row>
    <row r="8628" ht="15" spans="3:13">
      <c r="C8628" s="571"/>
      <c r="D8628" s="571"/>
      <c r="E8628" s="571"/>
      <c r="F8628" s="571"/>
      <c r="G8628" s="571"/>
      <c r="H8628" s="571"/>
      <c r="I8628" s="571"/>
      <c r="J8628" s="571"/>
      <c r="K8628" s="571"/>
      <c r="L8628" s="571"/>
      <c r="M8628" s="571"/>
    </row>
    <row r="8629" ht="15" customHeight="1" spans="3:13">
      <c r="C8629" s="76"/>
      <c r="D8629" s="75" t="s">
        <v>63</v>
      </c>
      <c r="E8629" s="76" t="s">
        <v>64</v>
      </c>
      <c r="F8629" s="76" t="s">
        <v>65</v>
      </c>
      <c r="G8629" s="76" t="s">
        <v>2889</v>
      </c>
      <c r="H8629" s="76"/>
      <c r="I8629" s="77" t="s">
        <v>66</v>
      </c>
      <c r="J8629" s="75" t="s">
        <v>67</v>
      </c>
      <c r="K8629" s="75" t="s">
        <v>2890</v>
      </c>
      <c r="L8629" s="75" t="s">
        <v>68</v>
      </c>
      <c r="M8629" s="75" t="s">
        <v>70</v>
      </c>
    </row>
    <row r="8630" ht="23.85" customHeight="1" spans="3:13">
      <c r="C8630" s="569" t="s">
        <v>2891</v>
      </c>
      <c r="D8630" s="570" t="s">
        <v>4711</v>
      </c>
      <c r="E8630" s="569" t="s">
        <v>139</v>
      </c>
      <c r="F8630" s="569" t="s">
        <v>4712</v>
      </c>
      <c r="G8630" s="569" t="s">
        <v>2928</v>
      </c>
      <c r="H8630" s="569"/>
      <c r="I8630" s="577" t="s">
        <v>2897</v>
      </c>
      <c r="J8630" s="578">
        <v>1</v>
      </c>
      <c r="K8630" s="579"/>
      <c r="L8630" s="579">
        <v>28.87</v>
      </c>
      <c r="M8630" s="579">
        <v>28.87</v>
      </c>
    </row>
    <row r="8631" ht="23.85" customHeight="1" spans="3:13">
      <c r="C8631" s="79" t="s">
        <v>2921</v>
      </c>
      <c r="D8631" s="78" t="s">
        <v>5408</v>
      </c>
      <c r="E8631" s="79" t="s">
        <v>139</v>
      </c>
      <c r="F8631" s="79" t="s">
        <v>5409</v>
      </c>
      <c r="G8631" s="79" t="s">
        <v>2928</v>
      </c>
      <c r="H8631" s="79"/>
      <c r="I8631" s="80" t="s">
        <v>2897</v>
      </c>
      <c r="J8631" s="583">
        <v>1</v>
      </c>
      <c r="K8631" s="583">
        <v>0</v>
      </c>
      <c r="L8631" s="92">
        <v>0.22</v>
      </c>
      <c r="M8631" s="92">
        <v>0.22</v>
      </c>
    </row>
    <row r="8632" ht="15" customHeight="1" spans="3:13">
      <c r="C8632" s="100" t="s">
        <v>2893</v>
      </c>
      <c r="D8632" s="99" t="s">
        <v>5312</v>
      </c>
      <c r="E8632" s="100" t="s">
        <v>139</v>
      </c>
      <c r="F8632" s="100" t="s">
        <v>5313</v>
      </c>
      <c r="G8632" s="100" t="s">
        <v>2961</v>
      </c>
      <c r="H8632" s="100"/>
      <c r="I8632" s="101" t="s">
        <v>2897</v>
      </c>
      <c r="J8632" s="580">
        <v>1</v>
      </c>
      <c r="K8632" s="580">
        <v>0</v>
      </c>
      <c r="L8632" s="102">
        <v>0.08</v>
      </c>
      <c r="M8632" s="102">
        <v>0.08</v>
      </c>
    </row>
    <row r="8633" ht="23.85" customHeight="1" spans="3:13">
      <c r="C8633" s="100" t="s">
        <v>2893</v>
      </c>
      <c r="D8633" s="99" t="s">
        <v>5308</v>
      </c>
      <c r="E8633" s="100" t="s">
        <v>139</v>
      </c>
      <c r="F8633" s="100" t="s">
        <v>5309</v>
      </c>
      <c r="G8633" s="100" t="s">
        <v>2961</v>
      </c>
      <c r="H8633" s="100"/>
      <c r="I8633" s="101" t="s">
        <v>2897</v>
      </c>
      <c r="J8633" s="580">
        <v>1</v>
      </c>
      <c r="K8633" s="580">
        <v>0</v>
      </c>
      <c r="L8633" s="102">
        <v>4.84</v>
      </c>
      <c r="M8633" s="102">
        <v>4.84</v>
      </c>
    </row>
    <row r="8634" ht="15" customHeight="1" spans="3:13">
      <c r="C8634" s="100" t="s">
        <v>2893</v>
      </c>
      <c r="D8634" s="99" t="s">
        <v>5306</v>
      </c>
      <c r="E8634" s="100" t="s">
        <v>139</v>
      </c>
      <c r="F8634" s="100" t="s">
        <v>5307</v>
      </c>
      <c r="G8634" s="100" t="s">
        <v>2961</v>
      </c>
      <c r="H8634" s="100"/>
      <c r="I8634" s="101" t="s">
        <v>2897</v>
      </c>
      <c r="J8634" s="580">
        <v>1</v>
      </c>
      <c r="K8634" s="580">
        <v>0</v>
      </c>
      <c r="L8634" s="102">
        <v>1.43</v>
      </c>
      <c r="M8634" s="102">
        <v>1.43</v>
      </c>
    </row>
    <row r="8635" ht="23.85" customHeight="1" spans="3:13">
      <c r="C8635" s="100" t="s">
        <v>2893</v>
      </c>
      <c r="D8635" s="99" t="s">
        <v>5386</v>
      </c>
      <c r="E8635" s="100" t="s">
        <v>139</v>
      </c>
      <c r="F8635" s="100" t="s">
        <v>5387</v>
      </c>
      <c r="G8635" s="100" t="s">
        <v>2961</v>
      </c>
      <c r="H8635" s="100"/>
      <c r="I8635" s="101" t="s">
        <v>2897</v>
      </c>
      <c r="J8635" s="580">
        <v>1</v>
      </c>
      <c r="K8635" s="580">
        <v>0</v>
      </c>
      <c r="L8635" s="102">
        <v>0.89</v>
      </c>
      <c r="M8635" s="102">
        <v>0.89</v>
      </c>
    </row>
    <row r="8636" ht="15" customHeight="1" spans="3:13">
      <c r="C8636" s="100" t="s">
        <v>2893</v>
      </c>
      <c r="D8636" s="99" t="s">
        <v>5410</v>
      </c>
      <c r="E8636" s="100" t="s">
        <v>139</v>
      </c>
      <c r="F8636" s="100" t="s">
        <v>5411</v>
      </c>
      <c r="G8636" s="100" t="s">
        <v>2896</v>
      </c>
      <c r="H8636" s="100"/>
      <c r="I8636" s="101" t="s">
        <v>2897</v>
      </c>
      <c r="J8636" s="580">
        <v>1</v>
      </c>
      <c r="K8636" s="580">
        <v>0</v>
      </c>
      <c r="L8636" s="102">
        <v>19.82</v>
      </c>
      <c r="M8636" s="102">
        <v>19.82</v>
      </c>
    </row>
    <row r="8637" ht="23.85" customHeight="1" spans="3:13">
      <c r="C8637" s="100" t="s">
        <v>2893</v>
      </c>
      <c r="D8637" s="99" t="s">
        <v>5310</v>
      </c>
      <c r="E8637" s="100" t="s">
        <v>139</v>
      </c>
      <c r="F8637" s="100" t="s">
        <v>5311</v>
      </c>
      <c r="G8637" s="100" t="s">
        <v>2961</v>
      </c>
      <c r="H8637" s="100"/>
      <c r="I8637" s="101" t="s">
        <v>2897</v>
      </c>
      <c r="J8637" s="580">
        <v>1</v>
      </c>
      <c r="K8637" s="580">
        <v>0</v>
      </c>
      <c r="L8637" s="102">
        <v>1.58</v>
      </c>
      <c r="M8637" s="102">
        <v>1.58</v>
      </c>
    </row>
    <row r="8638" ht="23.85" customHeight="1" spans="3:13">
      <c r="C8638" s="100" t="s">
        <v>2893</v>
      </c>
      <c r="D8638" s="99" t="s">
        <v>5390</v>
      </c>
      <c r="E8638" s="100" t="s">
        <v>139</v>
      </c>
      <c r="F8638" s="100" t="s">
        <v>5391</v>
      </c>
      <c r="G8638" s="100" t="s">
        <v>2961</v>
      </c>
      <c r="H8638" s="100"/>
      <c r="I8638" s="101" t="s">
        <v>2897</v>
      </c>
      <c r="J8638" s="580">
        <v>1</v>
      </c>
      <c r="K8638" s="580">
        <v>0</v>
      </c>
      <c r="L8638" s="102">
        <v>0.01</v>
      </c>
      <c r="M8638" s="102">
        <v>0.01</v>
      </c>
    </row>
    <row r="8639" ht="25.5" spans="3:13">
      <c r="C8639" s="108"/>
      <c r="D8639" s="108"/>
      <c r="E8639" s="108"/>
      <c r="F8639" s="108"/>
      <c r="G8639" s="108"/>
      <c r="H8639" s="108" t="s">
        <v>2898</v>
      </c>
      <c r="I8639" s="581">
        <v>20.04</v>
      </c>
      <c r="J8639" s="108" t="s">
        <v>2899</v>
      </c>
      <c r="K8639" s="581">
        <v>0</v>
      </c>
      <c r="L8639" s="108" t="s">
        <v>2900</v>
      </c>
      <c r="M8639" s="581">
        <v>20.04</v>
      </c>
    </row>
    <row r="8640" ht="26.25" spans="3:13">
      <c r="C8640" s="108"/>
      <c r="D8640" s="108"/>
      <c r="E8640" s="108"/>
      <c r="F8640" s="108"/>
      <c r="G8640" s="108"/>
      <c r="H8640" s="108" t="s">
        <v>2901</v>
      </c>
      <c r="I8640" s="581">
        <v>7.35</v>
      </c>
      <c r="J8640" s="114"/>
      <c r="K8640" s="114" t="s">
        <v>2902</v>
      </c>
      <c r="L8640" s="108"/>
      <c r="M8640" s="581">
        <v>36.22</v>
      </c>
    </row>
    <row r="8641" ht="15" spans="3:13">
      <c r="C8641" s="571"/>
      <c r="D8641" s="571"/>
      <c r="E8641" s="571"/>
      <c r="F8641" s="571"/>
      <c r="G8641" s="571"/>
      <c r="H8641" s="571"/>
      <c r="I8641" s="571"/>
      <c r="J8641" s="571"/>
      <c r="K8641" s="571"/>
      <c r="L8641" s="571"/>
      <c r="M8641" s="571"/>
    </row>
    <row r="8642" ht="15" customHeight="1" spans="3:13">
      <c r="C8642" s="76"/>
      <c r="D8642" s="75" t="s">
        <v>63</v>
      </c>
      <c r="E8642" s="76" t="s">
        <v>64</v>
      </c>
      <c r="F8642" s="76" t="s">
        <v>65</v>
      </c>
      <c r="G8642" s="76" t="s">
        <v>2889</v>
      </c>
      <c r="H8642" s="76"/>
      <c r="I8642" s="77" t="s">
        <v>66</v>
      </c>
      <c r="J8642" s="75" t="s">
        <v>67</v>
      </c>
      <c r="K8642" s="75" t="s">
        <v>2890</v>
      </c>
      <c r="L8642" s="75" t="s">
        <v>68</v>
      </c>
      <c r="M8642" s="75" t="s">
        <v>70</v>
      </c>
    </row>
    <row r="8643" ht="23.85" customHeight="1" spans="3:13">
      <c r="C8643" s="569" t="s">
        <v>2891</v>
      </c>
      <c r="D8643" s="570" t="s">
        <v>3543</v>
      </c>
      <c r="E8643" s="569" t="s">
        <v>139</v>
      </c>
      <c r="F8643" s="569" t="s">
        <v>3544</v>
      </c>
      <c r="G8643" s="569" t="s">
        <v>2928</v>
      </c>
      <c r="H8643" s="569"/>
      <c r="I8643" s="577" t="s">
        <v>2897</v>
      </c>
      <c r="J8643" s="578">
        <v>1</v>
      </c>
      <c r="K8643" s="579"/>
      <c r="L8643" s="579">
        <v>30.06</v>
      </c>
      <c r="M8643" s="579">
        <v>30.06</v>
      </c>
    </row>
    <row r="8644" ht="23.85" customHeight="1" spans="3:13">
      <c r="C8644" s="79" t="s">
        <v>2921</v>
      </c>
      <c r="D8644" s="78" t="s">
        <v>5412</v>
      </c>
      <c r="E8644" s="79" t="s">
        <v>139</v>
      </c>
      <c r="F8644" s="79" t="s">
        <v>5413</v>
      </c>
      <c r="G8644" s="79" t="s">
        <v>2928</v>
      </c>
      <c r="H8644" s="79"/>
      <c r="I8644" s="80" t="s">
        <v>2897</v>
      </c>
      <c r="J8644" s="583">
        <v>1</v>
      </c>
      <c r="K8644" s="583">
        <v>0</v>
      </c>
      <c r="L8644" s="92">
        <v>0.22</v>
      </c>
      <c r="M8644" s="92">
        <v>0.22</v>
      </c>
    </row>
    <row r="8645" ht="23.85" customHeight="1" spans="3:13">
      <c r="C8645" s="100" t="s">
        <v>2893</v>
      </c>
      <c r="D8645" s="99" t="s">
        <v>5310</v>
      </c>
      <c r="E8645" s="100" t="s">
        <v>139</v>
      </c>
      <c r="F8645" s="100" t="s">
        <v>5311</v>
      </c>
      <c r="G8645" s="100" t="s">
        <v>2961</v>
      </c>
      <c r="H8645" s="100"/>
      <c r="I8645" s="101" t="s">
        <v>2897</v>
      </c>
      <c r="J8645" s="580">
        <v>1</v>
      </c>
      <c r="K8645" s="580">
        <v>0</v>
      </c>
      <c r="L8645" s="102">
        <v>1.58</v>
      </c>
      <c r="M8645" s="102">
        <v>1.58</v>
      </c>
    </row>
    <row r="8646" ht="23.85" customHeight="1" spans="3:13">
      <c r="C8646" s="100" t="s">
        <v>2893</v>
      </c>
      <c r="D8646" s="99" t="s">
        <v>5308</v>
      </c>
      <c r="E8646" s="100" t="s">
        <v>139</v>
      </c>
      <c r="F8646" s="100" t="s">
        <v>5309</v>
      </c>
      <c r="G8646" s="100" t="s">
        <v>2961</v>
      </c>
      <c r="H8646" s="100"/>
      <c r="I8646" s="101" t="s">
        <v>2897</v>
      </c>
      <c r="J8646" s="580">
        <v>1</v>
      </c>
      <c r="K8646" s="580">
        <v>0</v>
      </c>
      <c r="L8646" s="102">
        <v>4.84</v>
      </c>
      <c r="M8646" s="102">
        <v>4.84</v>
      </c>
    </row>
    <row r="8647" ht="15" customHeight="1" spans="3:13">
      <c r="C8647" s="100" t="s">
        <v>2893</v>
      </c>
      <c r="D8647" s="99" t="s">
        <v>5312</v>
      </c>
      <c r="E8647" s="100" t="s">
        <v>139</v>
      </c>
      <c r="F8647" s="100" t="s">
        <v>5313</v>
      </c>
      <c r="G8647" s="100" t="s">
        <v>2961</v>
      </c>
      <c r="H8647" s="100"/>
      <c r="I8647" s="101" t="s">
        <v>2897</v>
      </c>
      <c r="J8647" s="580">
        <v>1</v>
      </c>
      <c r="K8647" s="580">
        <v>0</v>
      </c>
      <c r="L8647" s="102">
        <v>0.08</v>
      </c>
      <c r="M8647" s="102">
        <v>0.08</v>
      </c>
    </row>
    <row r="8648" ht="15" customHeight="1" spans="3:13">
      <c r="C8648" s="100" t="s">
        <v>2893</v>
      </c>
      <c r="D8648" s="99" t="s">
        <v>5306</v>
      </c>
      <c r="E8648" s="100" t="s">
        <v>139</v>
      </c>
      <c r="F8648" s="100" t="s">
        <v>5307</v>
      </c>
      <c r="G8648" s="100" t="s">
        <v>2961</v>
      </c>
      <c r="H8648" s="100"/>
      <c r="I8648" s="101" t="s">
        <v>2897</v>
      </c>
      <c r="J8648" s="580">
        <v>1</v>
      </c>
      <c r="K8648" s="580">
        <v>0</v>
      </c>
      <c r="L8648" s="102">
        <v>1.43</v>
      </c>
      <c r="M8648" s="102">
        <v>1.43</v>
      </c>
    </row>
    <row r="8649" ht="23.85" customHeight="1" spans="3:13">
      <c r="C8649" s="100" t="s">
        <v>2893</v>
      </c>
      <c r="D8649" s="99" t="s">
        <v>5304</v>
      </c>
      <c r="E8649" s="100" t="s">
        <v>139</v>
      </c>
      <c r="F8649" s="100" t="s">
        <v>5305</v>
      </c>
      <c r="G8649" s="100" t="s">
        <v>2961</v>
      </c>
      <c r="H8649" s="100"/>
      <c r="I8649" s="101" t="s">
        <v>2897</v>
      </c>
      <c r="J8649" s="580">
        <v>1</v>
      </c>
      <c r="K8649" s="580">
        <v>0</v>
      </c>
      <c r="L8649" s="102">
        <v>1.31</v>
      </c>
      <c r="M8649" s="102">
        <v>1.31</v>
      </c>
    </row>
    <row r="8650" ht="23.85" customHeight="1" spans="3:13">
      <c r="C8650" s="100" t="s">
        <v>2893</v>
      </c>
      <c r="D8650" s="99" t="s">
        <v>5314</v>
      </c>
      <c r="E8650" s="100" t="s">
        <v>139</v>
      </c>
      <c r="F8650" s="100" t="s">
        <v>5315</v>
      </c>
      <c r="G8650" s="100" t="s">
        <v>2961</v>
      </c>
      <c r="H8650" s="100"/>
      <c r="I8650" s="101" t="s">
        <v>2897</v>
      </c>
      <c r="J8650" s="580">
        <v>1</v>
      </c>
      <c r="K8650" s="580">
        <v>0</v>
      </c>
      <c r="L8650" s="102">
        <v>0.78</v>
      </c>
      <c r="M8650" s="102">
        <v>0.78</v>
      </c>
    </row>
    <row r="8651" ht="15" customHeight="1" spans="3:13">
      <c r="C8651" s="100" t="s">
        <v>2893</v>
      </c>
      <c r="D8651" s="99" t="s">
        <v>5414</v>
      </c>
      <c r="E8651" s="100" t="s">
        <v>139</v>
      </c>
      <c r="F8651" s="100" t="s">
        <v>5415</v>
      </c>
      <c r="G8651" s="100" t="s">
        <v>2896</v>
      </c>
      <c r="H8651" s="100"/>
      <c r="I8651" s="101" t="s">
        <v>2897</v>
      </c>
      <c r="J8651" s="580">
        <v>1</v>
      </c>
      <c r="K8651" s="580">
        <v>0</v>
      </c>
      <c r="L8651" s="102">
        <v>19.82</v>
      </c>
      <c r="M8651" s="102">
        <v>19.82</v>
      </c>
    </row>
    <row r="8652" ht="25.5" spans="3:13">
      <c r="C8652" s="108"/>
      <c r="D8652" s="108"/>
      <c r="E8652" s="108"/>
      <c r="F8652" s="108"/>
      <c r="G8652" s="108"/>
      <c r="H8652" s="108" t="s">
        <v>2898</v>
      </c>
      <c r="I8652" s="581">
        <v>20.04</v>
      </c>
      <c r="J8652" s="108" t="s">
        <v>2899</v>
      </c>
      <c r="K8652" s="581">
        <v>0</v>
      </c>
      <c r="L8652" s="108" t="s">
        <v>2900</v>
      </c>
      <c r="M8652" s="581">
        <v>20.04</v>
      </c>
    </row>
    <row r="8653" ht="26.25" spans="3:13">
      <c r="C8653" s="108"/>
      <c r="D8653" s="108"/>
      <c r="E8653" s="108"/>
      <c r="F8653" s="108"/>
      <c r="G8653" s="108"/>
      <c r="H8653" s="108" t="s">
        <v>2901</v>
      </c>
      <c r="I8653" s="581">
        <v>7.66</v>
      </c>
      <c r="J8653" s="114"/>
      <c r="K8653" s="114" t="s">
        <v>2902</v>
      </c>
      <c r="L8653" s="108"/>
      <c r="M8653" s="581">
        <v>37.72</v>
      </c>
    </row>
    <row r="8654" ht="15" spans="3:13">
      <c r="C8654" s="571"/>
      <c r="D8654" s="571"/>
      <c r="E8654" s="571"/>
      <c r="F8654" s="571"/>
      <c r="G8654" s="571"/>
      <c r="H8654" s="571"/>
      <c r="I8654" s="571"/>
      <c r="J8654" s="571"/>
      <c r="K8654" s="571"/>
      <c r="L8654" s="571"/>
      <c r="M8654" s="571"/>
    </row>
    <row r="8655" ht="15" customHeight="1" spans="3:13">
      <c r="C8655" s="76"/>
      <c r="D8655" s="75" t="s">
        <v>63</v>
      </c>
      <c r="E8655" s="76" t="s">
        <v>64</v>
      </c>
      <c r="F8655" s="76" t="s">
        <v>65</v>
      </c>
      <c r="G8655" s="76" t="s">
        <v>2889</v>
      </c>
      <c r="H8655" s="76"/>
      <c r="I8655" s="77" t="s">
        <v>66</v>
      </c>
      <c r="J8655" s="75" t="s">
        <v>67</v>
      </c>
      <c r="K8655" s="75" t="s">
        <v>2890</v>
      </c>
      <c r="L8655" s="75" t="s">
        <v>68</v>
      </c>
      <c r="M8655" s="75" t="s">
        <v>70</v>
      </c>
    </row>
    <row r="8656" ht="23.85" customHeight="1" spans="3:13">
      <c r="C8656" s="569" t="s">
        <v>2891</v>
      </c>
      <c r="D8656" s="570" t="s">
        <v>2945</v>
      </c>
      <c r="E8656" s="569" t="s">
        <v>139</v>
      </c>
      <c r="F8656" s="569" t="s">
        <v>2946</v>
      </c>
      <c r="G8656" s="569" t="s">
        <v>2928</v>
      </c>
      <c r="H8656" s="569"/>
      <c r="I8656" s="577" t="s">
        <v>2925</v>
      </c>
      <c r="J8656" s="578">
        <v>1</v>
      </c>
      <c r="K8656" s="579"/>
      <c r="L8656" s="579">
        <v>2398.38</v>
      </c>
      <c r="M8656" s="579">
        <v>2398.38</v>
      </c>
    </row>
    <row r="8657" ht="23.85" customHeight="1" spans="3:13">
      <c r="C8657" s="79" t="s">
        <v>2921</v>
      </c>
      <c r="D8657" s="78" t="s">
        <v>5416</v>
      </c>
      <c r="E8657" s="79" t="s">
        <v>139</v>
      </c>
      <c r="F8657" s="79" t="s">
        <v>5417</v>
      </c>
      <c r="G8657" s="79" t="s">
        <v>2928</v>
      </c>
      <c r="H8657" s="79"/>
      <c r="I8657" s="80" t="s">
        <v>2925</v>
      </c>
      <c r="J8657" s="583">
        <v>1</v>
      </c>
      <c r="K8657" s="583">
        <v>0</v>
      </c>
      <c r="L8657" s="92">
        <v>12.21</v>
      </c>
      <c r="M8657" s="92">
        <v>12.21</v>
      </c>
    </row>
    <row r="8658" ht="15" customHeight="1" spans="3:13">
      <c r="C8658" s="100" t="s">
        <v>2893</v>
      </c>
      <c r="D8658" s="99" t="s">
        <v>5418</v>
      </c>
      <c r="E8658" s="100" t="s">
        <v>139</v>
      </c>
      <c r="F8658" s="100" t="s">
        <v>5419</v>
      </c>
      <c r="G8658" s="100" t="s">
        <v>2896</v>
      </c>
      <c r="H8658" s="100"/>
      <c r="I8658" s="101" t="s">
        <v>2925</v>
      </c>
      <c r="J8658" s="580">
        <v>1</v>
      </c>
      <c r="K8658" s="580">
        <v>0</v>
      </c>
      <c r="L8658" s="102">
        <v>1951.33</v>
      </c>
      <c r="M8658" s="102">
        <v>1951.33</v>
      </c>
    </row>
    <row r="8659" ht="23.85" customHeight="1" spans="3:13">
      <c r="C8659" s="100" t="s">
        <v>2893</v>
      </c>
      <c r="D8659" s="99" t="s">
        <v>5340</v>
      </c>
      <c r="E8659" s="100" t="s">
        <v>139</v>
      </c>
      <c r="F8659" s="100" t="s">
        <v>5341</v>
      </c>
      <c r="G8659" s="100" t="s">
        <v>2961</v>
      </c>
      <c r="H8659" s="100"/>
      <c r="I8659" s="101" t="s">
        <v>2925</v>
      </c>
      <c r="J8659" s="580">
        <v>1</v>
      </c>
      <c r="K8659" s="580">
        <v>0</v>
      </c>
      <c r="L8659" s="102">
        <v>270.51</v>
      </c>
      <c r="M8659" s="102">
        <v>270.51</v>
      </c>
    </row>
    <row r="8660" ht="23.85" customHeight="1" spans="3:13">
      <c r="C8660" s="100" t="s">
        <v>2893</v>
      </c>
      <c r="D8660" s="99" t="s">
        <v>5420</v>
      </c>
      <c r="E8660" s="100" t="s">
        <v>139</v>
      </c>
      <c r="F8660" s="100" t="s">
        <v>5421</v>
      </c>
      <c r="G8660" s="100" t="s">
        <v>2961</v>
      </c>
      <c r="H8660" s="100"/>
      <c r="I8660" s="101" t="s">
        <v>2925</v>
      </c>
      <c r="J8660" s="580">
        <v>1</v>
      </c>
      <c r="K8660" s="580">
        <v>0</v>
      </c>
      <c r="L8660" s="102">
        <v>138.98</v>
      </c>
      <c r="M8660" s="102">
        <v>138.98</v>
      </c>
    </row>
    <row r="8661" ht="23.85" customHeight="1" spans="3:13">
      <c r="C8661" s="100" t="s">
        <v>2893</v>
      </c>
      <c r="D8661" s="99" t="s">
        <v>5348</v>
      </c>
      <c r="E8661" s="100" t="s">
        <v>139</v>
      </c>
      <c r="F8661" s="100" t="s">
        <v>5349</v>
      </c>
      <c r="G8661" s="100" t="s">
        <v>2961</v>
      </c>
      <c r="H8661" s="100"/>
      <c r="I8661" s="101" t="s">
        <v>2925</v>
      </c>
      <c r="J8661" s="580">
        <v>1</v>
      </c>
      <c r="K8661" s="580">
        <v>0</v>
      </c>
      <c r="L8661" s="102">
        <v>15.46</v>
      </c>
      <c r="M8661" s="102">
        <v>15.46</v>
      </c>
    </row>
    <row r="8662" ht="23.85" customHeight="1" spans="3:13">
      <c r="C8662" s="100" t="s">
        <v>2893</v>
      </c>
      <c r="D8662" s="99" t="s">
        <v>5422</v>
      </c>
      <c r="E8662" s="100" t="s">
        <v>139</v>
      </c>
      <c r="F8662" s="100" t="s">
        <v>5423</v>
      </c>
      <c r="G8662" s="100" t="s">
        <v>2961</v>
      </c>
      <c r="H8662" s="100"/>
      <c r="I8662" s="101" t="s">
        <v>2925</v>
      </c>
      <c r="J8662" s="580">
        <v>1</v>
      </c>
      <c r="K8662" s="580">
        <v>0</v>
      </c>
      <c r="L8662" s="102">
        <v>9.89</v>
      </c>
      <c r="M8662" s="102">
        <v>9.89</v>
      </c>
    </row>
    <row r="8663" ht="25.5" spans="3:13">
      <c r="C8663" s="108"/>
      <c r="D8663" s="108"/>
      <c r="E8663" s="108"/>
      <c r="F8663" s="108"/>
      <c r="G8663" s="108"/>
      <c r="H8663" s="108" t="s">
        <v>2898</v>
      </c>
      <c r="I8663" s="581">
        <v>1963.54</v>
      </c>
      <c r="J8663" s="108" t="s">
        <v>2899</v>
      </c>
      <c r="K8663" s="581">
        <v>0</v>
      </c>
      <c r="L8663" s="108" t="s">
        <v>2900</v>
      </c>
      <c r="M8663" s="581">
        <v>1963.54</v>
      </c>
    </row>
    <row r="8664" ht="26.25" spans="3:13">
      <c r="C8664" s="108"/>
      <c r="D8664" s="108"/>
      <c r="E8664" s="108"/>
      <c r="F8664" s="108"/>
      <c r="G8664" s="108"/>
      <c r="H8664" s="108" t="s">
        <v>2901</v>
      </c>
      <c r="I8664" s="581">
        <v>611.34</v>
      </c>
      <c r="J8664" s="114"/>
      <c r="K8664" s="114" t="s">
        <v>2902</v>
      </c>
      <c r="L8664" s="108"/>
      <c r="M8664" s="581">
        <v>3009.72</v>
      </c>
    </row>
    <row r="8665" ht="15" spans="3:13">
      <c r="C8665" s="571"/>
      <c r="D8665" s="571"/>
      <c r="E8665" s="571"/>
      <c r="F8665" s="571"/>
      <c r="G8665" s="571"/>
      <c r="H8665" s="571"/>
      <c r="I8665" s="571"/>
      <c r="J8665" s="571"/>
      <c r="K8665" s="571"/>
      <c r="L8665" s="571"/>
      <c r="M8665" s="571"/>
    </row>
    <row r="8666" ht="15" customHeight="1" spans="3:13">
      <c r="C8666" s="76"/>
      <c r="D8666" s="75" t="s">
        <v>63</v>
      </c>
      <c r="E8666" s="76" t="s">
        <v>64</v>
      </c>
      <c r="F8666" s="76" t="s">
        <v>65</v>
      </c>
      <c r="G8666" s="76" t="s">
        <v>2889</v>
      </c>
      <c r="H8666" s="76"/>
      <c r="I8666" s="77" t="s">
        <v>66</v>
      </c>
      <c r="J8666" s="75" t="s">
        <v>67</v>
      </c>
      <c r="K8666" s="75" t="s">
        <v>2890</v>
      </c>
      <c r="L8666" s="75" t="s">
        <v>68</v>
      </c>
      <c r="M8666" s="75" t="s">
        <v>70</v>
      </c>
    </row>
    <row r="8667" ht="23.85" customHeight="1" spans="3:13">
      <c r="C8667" s="569" t="s">
        <v>2891</v>
      </c>
      <c r="D8667" s="570" t="s">
        <v>2939</v>
      </c>
      <c r="E8667" s="569" t="s">
        <v>139</v>
      </c>
      <c r="F8667" s="569" t="s">
        <v>2940</v>
      </c>
      <c r="G8667" s="569" t="s">
        <v>2928</v>
      </c>
      <c r="H8667" s="569"/>
      <c r="I8667" s="577" t="s">
        <v>2925</v>
      </c>
      <c r="J8667" s="578">
        <v>1</v>
      </c>
      <c r="K8667" s="579"/>
      <c r="L8667" s="579">
        <v>6609.95</v>
      </c>
      <c r="M8667" s="579">
        <v>6609.95</v>
      </c>
    </row>
    <row r="8668" ht="23.85" customHeight="1" spans="3:13">
      <c r="C8668" s="79" t="s">
        <v>2921</v>
      </c>
      <c r="D8668" s="78" t="s">
        <v>5424</v>
      </c>
      <c r="E8668" s="79" t="s">
        <v>139</v>
      </c>
      <c r="F8668" s="79" t="s">
        <v>5425</v>
      </c>
      <c r="G8668" s="79" t="s">
        <v>2928</v>
      </c>
      <c r="H8668" s="79"/>
      <c r="I8668" s="80" t="s">
        <v>2925</v>
      </c>
      <c r="J8668" s="583">
        <v>1</v>
      </c>
      <c r="K8668" s="583">
        <v>0</v>
      </c>
      <c r="L8668" s="92">
        <v>38.41</v>
      </c>
      <c r="M8668" s="92">
        <v>38.41</v>
      </c>
    </row>
    <row r="8669" ht="23.85" customHeight="1" spans="3:13">
      <c r="C8669" s="100" t="s">
        <v>2893</v>
      </c>
      <c r="D8669" s="99" t="s">
        <v>5340</v>
      </c>
      <c r="E8669" s="100" t="s">
        <v>139</v>
      </c>
      <c r="F8669" s="100" t="s">
        <v>5341</v>
      </c>
      <c r="G8669" s="100" t="s">
        <v>2961</v>
      </c>
      <c r="H8669" s="100"/>
      <c r="I8669" s="101" t="s">
        <v>2925</v>
      </c>
      <c r="J8669" s="580">
        <v>1</v>
      </c>
      <c r="K8669" s="580">
        <v>0</v>
      </c>
      <c r="L8669" s="102">
        <v>270.51</v>
      </c>
      <c r="M8669" s="102">
        <v>270.51</v>
      </c>
    </row>
    <row r="8670" ht="23.85" customHeight="1" spans="3:13">
      <c r="C8670" s="100" t="s">
        <v>2893</v>
      </c>
      <c r="D8670" s="99" t="s">
        <v>5348</v>
      </c>
      <c r="E8670" s="100" t="s">
        <v>139</v>
      </c>
      <c r="F8670" s="100" t="s">
        <v>5349</v>
      </c>
      <c r="G8670" s="100" t="s">
        <v>2961</v>
      </c>
      <c r="H8670" s="100"/>
      <c r="I8670" s="101" t="s">
        <v>2925</v>
      </c>
      <c r="J8670" s="580">
        <v>1</v>
      </c>
      <c r="K8670" s="580">
        <v>0</v>
      </c>
      <c r="L8670" s="102">
        <v>15.46</v>
      </c>
      <c r="M8670" s="102">
        <v>15.46</v>
      </c>
    </row>
    <row r="8671" ht="23.85" customHeight="1" spans="3:13">
      <c r="C8671" s="100" t="s">
        <v>2893</v>
      </c>
      <c r="D8671" s="99" t="s">
        <v>5426</v>
      </c>
      <c r="E8671" s="100" t="s">
        <v>139</v>
      </c>
      <c r="F8671" s="100" t="s">
        <v>5427</v>
      </c>
      <c r="G8671" s="100" t="s">
        <v>2961</v>
      </c>
      <c r="H8671" s="100"/>
      <c r="I8671" s="101" t="s">
        <v>2925</v>
      </c>
      <c r="J8671" s="580">
        <v>1</v>
      </c>
      <c r="K8671" s="580">
        <v>0</v>
      </c>
      <c r="L8671" s="102">
        <v>146</v>
      </c>
      <c r="M8671" s="102">
        <v>146</v>
      </c>
    </row>
    <row r="8672" ht="23.85" customHeight="1" spans="3:13">
      <c r="C8672" s="100" t="s">
        <v>2893</v>
      </c>
      <c r="D8672" s="99" t="s">
        <v>5428</v>
      </c>
      <c r="E8672" s="100" t="s">
        <v>139</v>
      </c>
      <c r="F8672" s="100" t="s">
        <v>5429</v>
      </c>
      <c r="G8672" s="100" t="s">
        <v>2961</v>
      </c>
      <c r="H8672" s="100"/>
      <c r="I8672" s="101" t="s">
        <v>2925</v>
      </c>
      <c r="J8672" s="580">
        <v>1</v>
      </c>
      <c r="K8672" s="580">
        <v>0</v>
      </c>
      <c r="L8672" s="102">
        <v>2.35</v>
      </c>
      <c r="M8672" s="102">
        <v>2.35</v>
      </c>
    </row>
    <row r="8673" ht="15" customHeight="1" spans="3:13">
      <c r="C8673" s="100" t="s">
        <v>2893</v>
      </c>
      <c r="D8673" s="99" t="s">
        <v>5430</v>
      </c>
      <c r="E8673" s="100" t="s">
        <v>139</v>
      </c>
      <c r="F8673" s="100" t="s">
        <v>5431</v>
      </c>
      <c r="G8673" s="100" t="s">
        <v>2896</v>
      </c>
      <c r="H8673" s="100"/>
      <c r="I8673" s="101" t="s">
        <v>2925</v>
      </c>
      <c r="J8673" s="580">
        <v>1</v>
      </c>
      <c r="K8673" s="580">
        <v>0</v>
      </c>
      <c r="L8673" s="102">
        <v>6137.22</v>
      </c>
      <c r="M8673" s="102">
        <v>6137.22</v>
      </c>
    </row>
    <row r="8674" ht="25.5" spans="3:13">
      <c r="C8674" s="108"/>
      <c r="D8674" s="108"/>
      <c r="E8674" s="108"/>
      <c r="F8674" s="108"/>
      <c r="G8674" s="108"/>
      <c r="H8674" s="108" t="s">
        <v>2898</v>
      </c>
      <c r="I8674" s="581">
        <v>6175.63</v>
      </c>
      <c r="J8674" s="108" t="s">
        <v>2899</v>
      </c>
      <c r="K8674" s="581">
        <v>0</v>
      </c>
      <c r="L8674" s="108" t="s">
        <v>2900</v>
      </c>
      <c r="M8674" s="581">
        <v>6175.63</v>
      </c>
    </row>
    <row r="8675" ht="26.25" spans="3:13">
      <c r="C8675" s="108"/>
      <c r="D8675" s="108"/>
      <c r="E8675" s="108"/>
      <c r="F8675" s="108"/>
      <c r="G8675" s="108"/>
      <c r="H8675" s="108" t="s">
        <v>2901</v>
      </c>
      <c r="I8675" s="581">
        <v>1684.87</v>
      </c>
      <c r="J8675" s="114"/>
      <c r="K8675" s="114" t="s">
        <v>2902</v>
      </c>
      <c r="L8675" s="108"/>
      <c r="M8675" s="581">
        <v>8294.82</v>
      </c>
    </row>
    <row r="8676" ht="15" spans="3:13">
      <c r="C8676" s="571"/>
      <c r="D8676" s="571"/>
      <c r="E8676" s="571"/>
      <c r="F8676" s="571"/>
      <c r="G8676" s="571"/>
      <c r="H8676" s="571"/>
      <c r="I8676" s="571"/>
      <c r="J8676" s="571"/>
      <c r="K8676" s="571"/>
      <c r="L8676" s="571"/>
      <c r="M8676" s="571"/>
    </row>
    <row r="8677" ht="15" customHeight="1" spans="3:13">
      <c r="C8677" s="76"/>
      <c r="D8677" s="75" t="s">
        <v>63</v>
      </c>
      <c r="E8677" s="76" t="s">
        <v>64</v>
      </c>
      <c r="F8677" s="76" t="s">
        <v>65</v>
      </c>
      <c r="G8677" s="76" t="s">
        <v>2889</v>
      </c>
      <c r="H8677" s="76"/>
      <c r="I8677" s="77" t="s">
        <v>66</v>
      </c>
      <c r="J8677" s="75" t="s">
        <v>67</v>
      </c>
      <c r="K8677" s="75" t="s">
        <v>2890</v>
      </c>
      <c r="L8677" s="75" t="s">
        <v>68</v>
      </c>
      <c r="M8677" s="75" t="s">
        <v>70</v>
      </c>
    </row>
    <row r="8678" ht="23.85" customHeight="1" spans="3:13">
      <c r="C8678" s="569" t="s">
        <v>2891</v>
      </c>
      <c r="D8678" s="570" t="s">
        <v>3258</v>
      </c>
      <c r="E8678" s="569" t="s">
        <v>139</v>
      </c>
      <c r="F8678" s="569" t="s">
        <v>3259</v>
      </c>
      <c r="G8678" s="569" t="s">
        <v>2928</v>
      </c>
      <c r="H8678" s="569"/>
      <c r="I8678" s="577" t="s">
        <v>2897</v>
      </c>
      <c r="J8678" s="578">
        <v>1</v>
      </c>
      <c r="K8678" s="579"/>
      <c r="L8678" s="579">
        <v>38.96</v>
      </c>
      <c r="M8678" s="579">
        <v>38.96</v>
      </c>
    </row>
    <row r="8679" ht="23.85" customHeight="1" spans="3:13">
      <c r="C8679" s="79" t="s">
        <v>2921</v>
      </c>
      <c r="D8679" s="78" t="s">
        <v>5432</v>
      </c>
      <c r="E8679" s="79" t="s">
        <v>139</v>
      </c>
      <c r="F8679" s="79" t="s">
        <v>5433</v>
      </c>
      <c r="G8679" s="79" t="s">
        <v>2928</v>
      </c>
      <c r="H8679" s="79"/>
      <c r="I8679" s="80" t="s">
        <v>2897</v>
      </c>
      <c r="J8679" s="583">
        <v>1</v>
      </c>
      <c r="K8679" s="583">
        <v>0</v>
      </c>
      <c r="L8679" s="92">
        <v>0.42</v>
      </c>
      <c r="M8679" s="92">
        <v>0.42</v>
      </c>
    </row>
    <row r="8680" ht="23.85" customHeight="1" spans="3:13">
      <c r="C8680" s="100" t="s">
        <v>2893</v>
      </c>
      <c r="D8680" s="99" t="s">
        <v>5308</v>
      </c>
      <c r="E8680" s="100" t="s">
        <v>139</v>
      </c>
      <c r="F8680" s="100" t="s">
        <v>5309</v>
      </c>
      <c r="G8680" s="100" t="s">
        <v>2961</v>
      </c>
      <c r="H8680" s="100"/>
      <c r="I8680" s="101" t="s">
        <v>2897</v>
      </c>
      <c r="J8680" s="580">
        <v>1</v>
      </c>
      <c r="K8680" s="580">
        <v>0</v>
      </c>
      <c r="L8680" s="102">
        <v>4.84</v>
      </c>
      <c r="M8680" s="102">
        <v>4.84</v>
      </c>
    </row>
    <row r="8681" ht="23.85" customHeight="1" spans="3:13">
      <c r="C8681" s="100" t="s">
        <v>2893</v>
      </c>
      <c r="D8681" s="99" t="s">
        <v>5304</v>
      </c>
      <c r="E8681" s="100" t="s">
        <v>139</v>
      </c>
      <c r="F8681" s="100" t="s">
        <v>5305</v>
      </c>
      <c r="G8681" s="100" t="s">
        <v>2961</v>
      </c>
      <c r="H8681" s="100"/>
      <c r="I8681" s="101" t="s">
        <v>2897</v>
      </c>
      <c r="J8681" s="580">
        <v>1</v>
      </c>
      <c r="K8681" s="580">
        <v>0</v>
      </c>
      <c r="L8681" s="102">
        <v>1.31</v>
      </c>
      <c r="M8681" s="102">
        <v>1.31</v>
      </c>
    </row>
    <row r="8682" ht="23.85" customHeight="1" spans="3:13">
      <c r="C8682" s="100" t="s">
        <v>2893</v>
      </c>
      <c r="D8682" s="99" t="s">
        <v>5310</v>
      </c>
      <c r="E8682" s="100" t="s">
        <v>139</v>
      </c>
      <c r="F8682" s="100" t="s">
        <v>5311</v>
      </c>
      <c r="G8682" s="100" t="s">
        <v>2961</v>
      </c>
      <c r="H8682" s="100"/>
      <c r="I8682" s="101" t="s">
        <v>2897</v>
      </c>
      <c r="J8682" s="580">
        <v>1</v>
      </c>
      <c r="K8682" s="580">
        <v>0</v>
      </c>
      <c r="L8682" s="102">
        <v>1.58</v>
      </c>
      <c r="M8682" s="102">
        <v>1.58</v>
      </c>
    </row>
    <row r="8683" ht="15" customHeight="1" spans="3:13">
      <c r="C8683" s="100" t="s">
        <v>2893</v>
      </c>
      <c r="D8683" s="99" t="s">
        <v>5312</v>
      </c>
      <c r="E8683" s="100" t="s">
        <v>139</v>
      </c>
      <c r="F8683" s="100" t="s">
        <v>5313</v>
      </c>
      <c r="G8683" s="100" t="s">
        <v>2961</v>
      </c>
      <c r="H8683" s="100"/>
      <c r="I8683" s="101" t="s">
        <v>2897</v>
      </c>
      <c r="J8683" s="580">
        <v>1</v>
      </c>
      <c r="K8683" s="580">
        <v>0</v>
      </c>
      <c r="L8683" s="102">
        <v>0.08</v>
      </c>
      <c r="M8683" s="102">
        <v>0.08</v>
      </c>
    </row>
    <row r="8684" ht="15" customHeight="1" spans="3:13">
      <c r="C8684" s="100" t="s">
        <v>2893</v>
      </c>
      <c r="D8684" s="99" t="s">
        <v>5434</v>
      </c>
      <c r="E8684" s="100" t="s">
        <v>139</v>
      </c>
      <c r="F8684" s="100" t="s">
        <v>5435</v>
      </c>
      <c r="G8684" s="100" t="s">
        <v>2896</v>
      </c>
      <c r="H8684" s="100"/>
      <c r="I8684" s="101" t="s">
        <v>2897</v>
      </c>
      <c r="J8684" s="580">
        <v>1</v>
      </c>
      <c r="K8684" s="580">
        <v>0</v>
      </c>
      <c r="L8684" s="102">
        <v>28.52</v>
      </c>
      <c r="M8684" s="102">
        <v>28.52</v>
      </c>
    </row>
    <row r="8685" ht="23.85" customHeight="1" spans="3:13">
      <c r="C8685" s="100" t="s">
        <v>2893</v>
      </c>
      <c r="D8685" s="99" t="s">
        <v>5314</v>
      </c>
      <c r="E8685" s="100" t="s">
        <v>139</v>
      </c>
      <c r="F8685" s="100" t="s">
        <v>5315</v>
      </c>
      <c r="G8685" s="100" t="s">
        <v>2961</v>
      </c>
      <c r="H8685" s="100"/>
      <c r="I8685" s="101" t="s">
        <v>2897</v>
      </c>
      <c r="J8685" s="580">
        <v>1</v>
      </c>
      <c r="K8685" s="580">
        <v>0</v>
      </c>
      <c r="L8685" s="102">
        <v>0.78</v>
      </c>
      <c r="M8685" s="102">
        <v>0.78</v>
      </c>
    </row>
    <row r="8686" ht="15" customHeight="1" spans="3:13">
      <c r="C8686" s="100" t="s">
        <v>2893</v>
      </c>
      <c r="D8686" s="99" t="s">
        <v>5306</v>
      </c>
      <c r="E8686" s="100" t="s">
        <v>139</v>
      </c>
      <c r="F8686" s="100" t="s">
        <v>5307</v>
      </c>
      <c r="G8686" s="100" t="s">
        <v>2961</v>
      </c>
      <c r="H8686" s="100"/>
      <c r="I8686" s="101" t="s">
        <v>2897</v>
      </c>
      <c r="J8686" s="580">
        <v>1</v>
      </c>
      <c r="K8686" s="580">
        <v>0</v>
      </c>
      <c r="L8686" s="102">
        <v>1.43</v>
      </c>
      <c r="M8686" s="102">
        <v>1.43</v>
      </c>
    </row>
    <row r="8687" ht="25.5" spans="3:13">
      <c r="C8687" s="108"/>
      <c r="D8687" s="108"/>
      <c r="E8687" s="108"/>
      <c r="F8687" s="108"/>
      <c r="G8687" s="108"/>
      <c r="H8687" s="108" t="s">
        <v>2898</v>
      </c>
      <c r="I8687" s="581">
        <v>28.94</v>
      </c>
      <c r="J8687" s="108" t="s">
        <v>2899</v>
      </c>
      <c r="K8687" s="581">
        <v>0</v>
      </c>
      <c r="L8687" s="108" t="s">
        <v>2900</v>
      </c>
      <c r="M8687" s="581">
        <v>28.94</v>
      </c>
    </row>
    <row r="8688" ht="26.25" spans="3:13">
      <c r="C8688" s="108"/>
      <c r="D8688" s="108"/>
      <c r="E8688" s="108"/>
      <c r="F8688" s="108"/>
      <c r="G8688" s="108"/>
      <c r="H8688" s="108" t="s">
        <v>2901</v>
      </c>
      <c r="I8688" s="581">
        <v>9.93</v>
      </c>
      <c r="J8688" s="114"/>
      <c r="K8688" s="114" t="s">
        <v>2902</v>
      </c>
      <c r="L8688" s="108"/>
      <c r="M8688" s="581">
        <v>48.89</v>
      </c>
    </row>
    <row r="8689" ht="15" spans="3:13">
      <c r="C8689" s="571"/>
      <c r="D8689" s="571"/>
      <c r="E8689" s="571"/>
      <c r="F8689" s="571"/>
      <c r="G8689" s="571"/>
      <c r="H8689" s="571"/>
      <c r="I8689" s="571"/>
      <c r="J8689" s="571"/>
      <c r="K8689" s="571"/>
      <c r="L8689" s="571"/>
      <c r="M8689" s="571"/>
    </row>
    <row r="8690" ht="15" customHeight="1" spans="3:13">
      <c r="C8690" s="76"/>
      <c r="D8690" s="75" t="s">
        <v>63</v>
      </c>
      <c r="E8690" s="76" t="s">
        <v>64</v>
      </c>
      <c r="F8690" s="76" t="s">
        <v>65</v>
      </c>
      <c r="G8690" s="76" t="s">
        <v>2889</v>
      </c>
      <c r="H8690" s="76"/>
      <c r="I8690" s="77" t="s">
        <v>66</v>
      </c>
      <c r="J8690" s="75" t="s">
        <v>67</v>
      </c>
      <c r="K8690" s="75" t="s">
        <v>2890</v>
      </c>
      <c r="L8690" s="75" t="s">
        <v>68</v>
      </c>
      <c r="M8690" s="75" t="s">
        <v>70</v>
      </c>
    </row>
    <row r="8691" ht="46.25" customHeight="1" spans="3:13">
      <c r="C8691" s="569" t="s">
        <v>2891</v>
      </c>
      <c r="D8691" s="570" t="s">
        <v>4108</v>
      </c>
      <c r="E8691" s="569" t="s">
        <v>796</v>
      </c>
      <c r="F8691" s="569" t="s">
        <v>4109</v>
      </c>
      <c r="G8691" s="569" t="s">
        <v>4110</v>
      </c>
      <c r="H8691" s="569"/>
      <c r="I8691" s="577" t="s">
        <v>141</v>
      </c>
      <c r="J8691" s="578">
        <v>1</v>
      </c>
      <c r="K8691" s="579"/>
      <c r="L8691" s="579">
        <v>169.39</v>
      </c>
      <c r="M8691" s="579">
        <v>169.39</v>
      </c>
    </row>
    <row r="8692" ht="15" customHeight="1" spans="3:13">
      <c r="C8692" s="79" t="s">
        <v>2921</v>
      </c>
      <c r="D8692" s="78" t="s">
        <v>5436</v>
      </c>
      <c r="E8692" s="79" t="s">
        <v>796</v>
      </c>
      <c r="F8692" s="79" t="s">
        <v>5437</v>
      </c>
      <c r="G8692" s="79" t="s">
        <v>4113</v>
      </c>
      <c r="H8692" s="79"/>
      <c r="I8692" s="80" t="s">
        <v>279</v>
      </c>
      <c r="J8692" s="583">
        <v>0.1</v>
      </c>
      <c r="K8692" s="583">
        <v>0</v>
      </c>
      <c r="L8692" s="92">
        <v>585.11</v>
      </c>
      <c r="M8692" s="92">
        <v>58.51</v>
      </c>
    </row>
    <row r="8693" ht="23.85" customHeight="1" spans="3:13">
      <c r="C8693" s="100" t="s">
        <v>2893</v>
      </c>
      <c r="D8693" s="99" t="s">
        <v>5438</v>
      </c>
      <c r="E8693" s="100" t="s">
        <v>796</v>
      </c>
      <c r="F8693" s="100" t="s">
        <v>5439</v>
      </c>
      <c r="G8693" s="100" t="s">
        <v>2896</v>
      </c>
      <c r="H8693" s="100"/>
      <c r="I8693" s="101" t="s">
        <v>3707</v>
      </c>
      <c r="J8693" s="580">
        <v>1.1</v>
      </c>
      <c r="K8693" s="580">
        <v>0</v>
      </c>
      <c r="L8693" s="102">
        <v>33.83</v>
      </c>
      <c r="M8693" s="102">
        <v>37.21</v>
      </c>
    </row>
    <row r="8694" ht="15" customHeight="1" spans="3:13">
      <c r="C8694" s="100" t="s">
        <v>2893</v>
      </c>
      <c r="D8694" s="99" t="s">
        <v>3717</v>
      </c>
      <c r="E8694" s="100" t="s">
        <v>796</v>
      </c>
      <c r="F8694" s="100" t="s">
        <v>3718</v>
      </c>
      <c r="G8694" s="100" t="s">
        <v>2896</v>
      </c>
      <c r="H8694" s="100"/>
      <c r="I8694" s="101" t="s">
        <v>3707</v>
      </c>
      <c r="J8694" s="580">
        <v>1.1</v>
      </c>
      <c r="K8694" s="580">
        <v>0</v>
      </c>
      <c r="L8694" s="102">
        <v>23.89</v>
      </c>
      <c r="M8694" s="102">
        <v>26.27</v>
      </c>
    </row>
    <row r="8695" ht="35.05" customHeight="1" spans="3:13">
      <c r="C8695" s="100" t="s">
        <v>2893</v>
      </c>
      <c r="D8695" s="99" t="s">
        <v>3713</v>
      </c>
      <c r="E8695" s="100" t="s">
        <v>796</v>
      </c>
      <c r="F8695" s="100" t="s">
        <v>3714</v>
      </c>
      <c r="G8695" s="100" t="s">
        <v>3715</v>
      </c>
      <c r="H8695" s="100"/>
      <c r="I8695" s="101" t="s">
        <v>3716</v>
      </c>
      <c r="J8695" s="580">
        <v>63.48</v>
      </c>
      <c r="K8695" s="580">
        <v>3</v>
      </c>
      <c r="L8695" s="102">
        <v>1</v>
      </c>
      <c r="M8695" s="102">
        <v>1.9</v>
      </c>
    </row>
    <row r="8696" ht="15" customHeight="1" spans="3:13">
      <c r="C8696" s="100" t="s">
        <v>2893</v>
      </c>
      <c r="D8696" s="99" t="s">
        <v>5440</v>
      </c>
      <c r="E8696" s="100" t="s">
        <v>796</v>
      </c>
      <c r="F8696" s="100" t="s">
        <v>5441</v>
      </c>
      <c r="G8696" s="100" t="s">
        <v>2961</v>
      </c>
      <c r="H8696" s="100"/>
      <c r="I8696" s="101" t="s">
        <v>334</v>
      </c>
      <c r="J8696" s="580">
        <v>13</v>
      </c>
      <c r="K8696" s="580">
        <v>0</v>
      </c>
      <c r="L8696" s="102">
        <v>3.5</v>
      </c>
      <c r="M8696" s="102">
        <v>45.5</v>
      </c>
    </row>
    <row r="8697" ht="25.5" spans="3:13">
      <c r="C8697" s="108"/>
      <c r="D8697" s="108"/>
      <c r="E8697" s="108"/>
      <c r="F8697" s="108"/>
      <c r="G8697" s="108"/>
      <c r="H8697" s="108" t="s">
        <v>2898</v>
      </c>
      <c r="I8697" s="581">
        <v>89.75</v>
      </c>
      <c r="J8697" s="108" t="s">
        <v>2899</v>
      </c>
      <c r="K8697" s="581">
        <v>0</v>
      </c>
      <c r="L8697" s="108" t="s">
        <v>2900</v>
      </c>
      <c r="M8697" s="581">
        <v>89.75</v>
      </c>
    </row>
    <row r="8698" ht="26.25" spans="3:13">
      <c r="C8698" s="108"/>
      <c r="D8698" s="108"/>
      <c r="E8698" s="108"/>
      <c r="F8698" s="108"/>
      <c r="G8698" s="108"/>
      <c r="H8698" s="108" t="s">
        <v>2901</v>
      </c>
      <c r="I8698" s="581">
        <v>43.17</v>
      </c>
      <c r="J8698" s="114"/>
      <c r="K8698" s="114" t="s">
        <v>2902</v>
      </c>
      <c r="L8698" s="108"/>
      <c r="M8698" s="581">
        <v>212.56</v>
      </c>
    </row>
    <row r="8699" ht="15" spans="3:13">
      <c r="C8699" s="571"/>
      <c r="D8699" s="571"/>
      <c r="E8699" s="571"/>
      <c r="F8699" s="571"/>
      <c r="G8699" s="571"/>
      <c r="H8699" s="571"/>
      <c r="I8699" s="571"/>
      <c r="J8699" s="571"/>
      <c r="K8699" s="571"/>
      <c r="L8699" s="571"/>
      <c r="M8699" s="571"/>
    </row>
    <row r="8700" ht="15" customHeight="1" spans="3:13">
      <c r="C8700" s="76"/>
      <c r="D8700" s="75" t="s">
        <v>63</v>
      </c>
      <c r="E8700" s="76" t="s">
        <v>64</v>
      </c>
      <c r="F8700" s="76" t="s">
        <v>65</v>
      </c>
      <c r="G8700" s="76" t="s">
        <v>2889</v>
      </c>
      <c r="H8700" s="76"/>
      <c r="I8700" s="77" t="s">
        <v>66</v>
      </c>
      <c r="J8700" s="75" t="s">
        <v>67</v>
      </c>
      <c r="K8700" s="75" t="s">
        <v>2890</v>
      </c>
      <c r="L8700" s="75" t="s">
        <v>68</v>
      </c>
      <c r="M8700" s="75" t="s">
        <v>70</v>
      </c>
    </row>
    <row r="8701" ht="15" customHeight="1" spans="3:13">
      <c r="C8701" s="569" t="s">
        <v>2891</v>
      </c>
      <c r="D8701" s="570" t="s">
        <v>4326</v>
      </c>
      <c r="E8701" s="569" t="s">
        <v>796</v>
      </c>
      <c r="F8701" s="569" t="s">
        <v>4327</v>
      </c>
      <c r="G8701" s="569" t="s">
        <v>4113</v>
      </c>
      <c r="H8701" s="569"/>
      <c r="I8701" s="577" t="s">
        <v>279</v>
      </c>
      <c r="J8701" s="578">
        <v>1</v>
      </c>
      <c r="K8701" s="579"/>
      <c r="L8701" s="579">
        <v>656.45</v>
      </c>
      <c r="M8701" s="579">
        <v>656.45</v>
      </c>
    </row>
    <row r="8702" ht="15" customHeight="1" spans="3:13">
      <c r="C8702" s="100" t="s">
        <v>2893</v>
      </c>
      <c r="D8702" s="99" t="s">
        <v>5442</v>
      </c>
      <c r="E8702" s="100" t="s">
        <v>796</v>
      </c>
      <c r="F8702" s="100" t="s">
        <v>5443</v>
      </c>
      <c r="G8702" s="100" t="s">
        <v>5444</v>
      </c>
      <c r="H8702" s="100"/>
      <c r="I8702" s="101" t="s">
        <v>3712</v>
      </c>
      <c r="J8702" s="580">
        <v>20</v>
      </c>
      <c r="K8702" s="580">
        <v>0</v>
      </c>
      <c r="L8702" s="102">
        <v>0.62</v>
      </c>
      <c r="M8702" s="102">
        <v>12.4</v>
      </c>
    </row>
    <row r="8703" ht="15" customHeight="1" spans="3:13">
      <c r="C8703" s="100" t="s">
        <v>2893</v>
      </c>
      <c r="D8703" s="99" t="s">
        <v>3717</v>
      </c>
      <c r="E8703" s="100" t="s">
        <v>796</v>
      </c>
      <c r="F8703" s="100" t="s">
        <v>3718</v>
      </c>
      <c r="G8703" s="100" t="s">
        <v>2896</v>
      </c>
      <c r="H8703" s="100"/>
      <c r="I8703" s="101" t="s">
        <v>3707</v>
      </c>
      <c r="J8703" s="580">
        <v>11</v>
      </c>
      <c r="K8703" s="580">
        <v>0</v>
      </c>
      <c r="L8703" s="102">
        <v>23.89</v>
      </c>
      <c r="M8703" s="102">
        <v>262.79</v>
      </c>
    </row>
    <row r="8704" ht="15" customHeight="1" spans="3:13">
      <c r="C8704" s="100" t="s">
        <v>2893</v>
      </c>
      <c r="D8704" s="99" t="s">
        <v>5445</v>
      </c>
      <c r="E8704" s="100" t="s">
        <v>796</v>
      </c>
      <c r="F8704" s="100" t="s">
        <v>5446</v>
      </c>
      <c r="G8704" s="100" t="s">
        <v>2961</v>
      </c>
      <c r="H8704" s="100"/>
      <c r="I8704" s="101" t="s">
        <v>3712</v>
      </c>
      <c r="J8704" s="580">
        <v>400</v>
      </c>
      <c r="K8704" s="580">
        <v>0</v>
      </c>
      <c r="L8704" s="102">
        <v>0.62</v>
      </c>
      <c r="M8704" s="102">
        <v>248</v>
      </c>
    </row>
    <row r="8705" ht="15" customHeight="1" spans="3:13">
      <c r="C8705" s="100" t="s">
        <v>2893</v>
      </c>
      <c r="D8705" s="99" t="s">
        <v>5447</v>
      </c>
      <c r="E8705" s="100" t="s">
        <v>796</v>
      </c>
      <c r="F8705" s="100" t="s">
        <v>5448</v>
      </c>
      <c r="G8705" s="100" t="s">
        <v>5444</v>
      </c>
      <c r="H8705" s="100"/>
      <c r="I8705" s="101" t="s">
        <v>279</v>
      </c>
      <c r="J8705" s="580">
        <v>0.06325</v>
      </c>
      <c r="K8705" s="580">
        <v>0</v>
      </c>
      <c r="L8705" s="102">
        <v>94.4</v>
      </c>
      <c r="M8705" s="102">
        <v>5.97</v>
      </c>
    </row>
    <row r="8706" ht="35.05" customHeight="1" spans="3:13">
      <c r="C8706" s="100" t="s">
        <v>2893</v>
      </c>
      <c r="D8706" s="99" t="s">
        <v>3713</v>
      </c>
      <c r="E8706" s="100" t="s">
        <v>796</v>
      </c>
      <c r="F8706" s="100" t="s">
        <v>3714</v>
      </c>
      <c r="G8706" s="100" t="s">
        <v>3715</v>
      </c>
      <c r="H8706" s="100"/>
      <c r="I8706" s="101" t="s">
        <v>3716</v>
      </c>
      <c r="J8706" s="580">
        <v>262.79</v>
      </c>
      <c r="K8706" s="580">
        <v>3</v>
      </c>
      <c r="L8706" s="102">
        <v>1</v>
      </c>
      <c r="M8706" s="102">
        <v>7.88</v>
      </c>
    </row>
    <row r="8707" ht="15" customHeight="1" spans="3:13">
      <c r="C8707" s="100" t="s">
        <v>2893</v>
      </c>
      <c r="D8707" s="99" t="s">
        <v>5449</v>
      </c>
      <c r="E8707" s="100" t="s">
        <v>796</v>
      </c>
      <c r="F8707" s="100" t="s">
        <v>5450</v>
      </c>
      <c r="G8707" s="100" t="s">
        <v>2961</v>
      </c>
      <c r="H8707" s="100"/>
      <c r="I8707" s="101" t="s">
        <v>279</v>
      </c>
      <c r="J8707" s="580">
        <v>1.265</v>
      </c>
      <c r="K8707" s="580">
        <v>0</v>
      </c>
      <c r="L8707" s="102">
        <v>94.4</v>
      </c>
      <c r="M8707" s="102">
        <v>119.41</v>
      </c>
    </row>
    <row r="8708" ht="25.5" spans="3:13">
      <c r="C8708" s="108"/>
      <c r="D8708" s="108"/>
      <c r="E8708" s="108"/>
      <c r="F8708" s="108"/>
      <c r="G8708" s="108"/>
      <c r="H8708" s="108" t="s">
        <v>2898</v>
      </c>
      <c r="I8708" s="581">
        <v>262.79</v>
      </c>
      <c r="J8708" s="108" t="s">
        <v>2899</v>
      </c>
      <c r="K8708" s="581">
        <v>0</v>
      </c>
      <c r="L8708" s="108" t="s">
        <v>2900</v>
      </c>
      <c r="M8708" s="581">
        <v>262.79</v>
      </c>
    </row>
    <row r="8709" ht="26.25" spans="3:13">
      <c r="C8709" s="108"/>
      <c r="D8709" s="108"/>
      <c r="E8709" s="108"/>
      <c r="F8709" s="108"/>
      <c r="G8709" s="108"/>
      <c r="H8709" s="108" t="s">
        <v>2901</v>
      </c>
      <c r="I8709" s="581">
        <v>167.32</v>
      </c>
      <c r="J8709" s="114"/>
      <c r="K8709" s="114" t="s">
        <v>2902</v>
      </c>
      <c r="L8709" s="108"/>
      <c r="M8709" s="581">
        <v>823.77</v>
      </c>
    </row>
    <row r="8710" ht="15" spans="3:13">
      <c r="C8710" s="571"/>
      <c r="D8710" s="571"/>
      <c r="E8710" s="571"/>
      <c r="F8710" s="571"/>
      <c r="G8710" s="571"/>
      <c r="H8710" s="571"/>
      <c r="I8710" s="571"/>
      <c r="J8710" s="571"/>
      <c r="K8710" s="571"/>
      <c r="L8710" s="571"/>
      <c r="M8710" s="571"/>
    </row>
    <row r="8711" ht="15" customHeight="1" spans="3:13">
      <c r="C8711" s="76"/>
      <c r="D8711" s="75" t="s">
        <v>63</v>
      </c>
      <c r="E8711" s="76" t="s">
        <v>64</v>
      </c>
      <c r="F8711" s="76" t="s">
        <v>65</v>
      </c>
      <c r="G8711" s="76" t="s">
        <v>2889</v>
      </c>
      <c r="H8711" s="76"/>
      <c r="I8711" s="77" t="s">
        <v>66</v>
      </c>
      <c r="J8711" s="75" t="s">
        <v>67</v>
      </c>
      <c r="K8711" s="75" t="s">
        <v>2890</v>
      </c>
      <c r="L8711" s="75" t="s">
        <v>68</v>
      </c>
      <c r="M8711" s="75" t="s">
        <v>70</v>
      </c>
    </row>
    <row r="8712" ht="15" customHeight="1" spans="3:13">
      <c r="C8712" s="569" t="s">
        <v>2891</v>
      </c>
      <c r="D8712" s="570" t="s">
        <v>5436</v>
      </c>
      <c r="E8712" s="569" t="s">
        <v>796</v>
      </c>
      <c r="F8712" s="569" t="s">
        <v>5437</v>
      </c>
      <c r="G8712" s="569" t="s">
        <v>4113</v>
      </c>
      <c r="H8712" s="569"/>
      <c r="I8712" s="577" t="s">
        <v>279</v>
      </c>
      <c r="J8712" s="578">
        <v>1</v>
      </c>
      <c r="K8712" s="579"/>
      <c r="L8712" s="579">
        <v>585.11</v>
      </c>
      <c r="M8712" s="579">
        <v>585.11</v>
      </c>
    </row>
    <row r="8713" ht="15" customHeight="1" spans="3:13">
      <c r="C8713" s="100" t="s">
        <v>2893</v>
      </c>
      <c r="D8713" s="99" t="s">
        <v>5445</v>
      </c>
      <c r="E8713" s="100" t="s">
        <v>796</v>
      </c>
      <c r="F8713" s="100" t="s">
        <v>5446</v>
      </c>
      <c r="G8713" s="100" t="s">
        <v>2961</v>
      </c>
      <c r="H8713" s="100"/>
      <c r="I8713" s="101" t="s">
        <v>3712</v>
      </c>
      <c r="J8713" s="580">
        <v>295</v>
      </c>
      <c r="K8713" s="580">
        <v>0</v>
      </c>
      <c r="L8713" s="102">
        <v>0.62</v>
      </c>
      <c r="M8713" s="102">
        <v>182.9</v>
      </c>
    </row>
    <row r="8714" ht="15" customHeight="1" spans="3:13">
      <c r="C8714" s="100" t="s">
        <v>2893</v>
      </c>
      <c r="D8714" s="99" t="s">
        <v>5447</v>
      </c>
      <c r="E8714" s="100" t="s">
        <v>796</v>
      </c>
      <c r="F8714" s="100" t="s">
        <v>5448</v>
      </c>
      <c r="G8714" s="100" t="s">
        <v>5444</v>
      </c>
      <c r="H8714" s="100"/>
      <c r="I8714" s="101" t="s">
        <v>279</v>
      </c>
      <c r="J8714" s="580">
        <v>0.06175</v>
      </c>
      <c r="K8714" s="580">
        <v>0</v>
      </c>
      <c r="L8714" s="102">
        <v>94.4</v>
      </c>
      <c r="M8714" s="102">
        <v>5.82</v>
      </c>
    </row>
    <row r="8715" ht="35.05" customHeight="1" spans="3:13">
      <c r="C8715" s="100" t="s">
        <v>2893</v>
      </c>
      <c r="D8715" s="99" t="s">
        <v>3713</v>
      </c>
      <c r="E8715" s="100" t="s">
        <v>796</v>
      </c>
      <c r="F8715" s="100" t="s">
        <v>3714</v>
      </c>
      <c r="G8715" s="100" t="s">
        <v>3715</v>
      </c>
      <c r="H8715" s="100"/>
      <c r="I8715" s="101" t="s">
        <v>3716</v>
      </c>
      <c r="J8715" s="580">
        <v>262.79</v>
      </c>
      <c r="K8715" s="580">
        <v>3</v>
      </c>
      <c r="L8715" s="102">
        <v>1</v>
      </c>
      <c r="M8715" s="102">
        <v>7.88</v>
      </c>
    </row>
    <row r="8716" ht="15" customHeight="1" spans="3:13">
      <c r="C8716" s="100" t="s">
        <v>2893</v>
      </c>
      <c r="D8716" s="99" t="s">
        <v>5449</v>
      </c>
      <c r="E8716" s="100" t="s">
        <v>796</v>
      </c>
      <c r="F8716" s="100" t="s">
        <v>5450</v>
      </c>
      <c r="G8716" s="100" t="s">
        <v>2961</v>
      </c>
      <c r="H8716" s="100"/>
      <c r="I8716" s="101" t="s">
        <v>279</v>
      </c>
      <c r="J8716" s="580">
        <v>1.235</v>
      </c>
      <c r="K8716" s="580">
        <v>0</v>
      </c>
      <c r="L8716" s="102">
        <v>94.4</v>
      </c>
      <c r="M8716" s="102">
        <v>116.58</v>
      </c>
    </row>
    <row r="8717" ht="15" customHeight="1" spans="3:13">
      <c r="C8717" s="100" t="s">
        <v>2893</v>
      </c>
      <c r="D8717" s="99" t="s">
        <v>5442</v>
      </c>
      <c r="E8717" s="100" t="s">
        <v>796</v>
      </c>
      <c r="F8717" s="100" t="s">
        <v>5443</v>
      </c>
      <c r="G8717" s="100" t="s">
        <v>5444</v>
      </c>
      <c r="H8717" s="100"/>
      <c r="I8717" s="101" t="s">
        <v>3712</v>
      </c>
      <c r="J8717" s="580">
        <v>14.75</v>
      </c>
      <c r="K8717" s="580">
        <v>0</v>
      </c>
      <c r="L8717" s="102">
        <v>0.62</v>
      </c>
      <c r="M8717" s="102">
        <v>9.14</v>
      </c>
    </row>
    <row r="8718" ht="15" customHeight="1" spans="3:13">
      <c r="C8718" s="100" t="s">
        <v>2893</v>
      </c>
      <c r="D8718" s="99" t="s">
        <v>3717</v>
      </c>
      <c r="E8718" s="100" t="s">
        <v>796</v>
      </c>
      <c r="F8718" s="100" t="s">
        <v>3718</v>
      </c>
      <c r="G8718" s="100" t="s">
        <v>2896</v>
      </c>
      <c r="H8718" s="100"/>
      <c r="I8718" s="101" t="s">
        <v>3707</v>
      </c>
      <c r="J8718" s="580">
        <v>11</v>
      </c>
      <c r="K8718" s="580">
        <v>0</v>
      </c>
      <c r="L8718" s="102">
        <v>23.89</v>
      </c>
      <c r="M8718" s="102">
        <v>262.79</v>
      </c>
    </row>
    <row r="8719" ht="25.5" spans="3:13">
      <c r="C8719" s="108"/>
      <c r="D8719" s="108"/>
      <c r="E8719" s="108"/>
      <c r="F8719" s="108"/>
      <c r="G8719" s="108"/>
      <c r="H8719" s="108" t="s">
        <v>2898</v>
      </c>
      <c r="I8719" s="581">
        <v>262.79</v>
      </c>
      <c r="J8719" s="108" t="s">
        <v>2899</v>
      </c>
      <c r="K8719" s="581">
        <v>0</v>
      </c>
      <c r="L8719" s="108" t="s">
        <v>2900</v>
      </c>
      <c r="M8719" s="581">
        <v>262.79</v>
      </c>
    </row>
    <row r="8720" ht="26.25" spans="3:13">
      <c r="C8720" s="108"/>
      <c r="D8720" s="108"/>
      <c r="E8720" s="108"/>
      <c r="F8720" s="108"/>
      <c r="G8720" s="108"/>
      <c r="H8720" s="108" t="s">
        <v>2901</v>
      </c>
      <c r="I8720" s="581">
        <v>149.14</v>
      </c>
      <c r="J8720" s="114"/>
      <c r="K8720" s="114" t="s">
        <v>2902</v>
      </c>
      <c r="L8720" s="108"/>
      <c r="M8720" s="581">
        <v>734.25</v>
      </c>
    </row>
    <row r="8721" ht="15" spans="3:13">
      <c r="C8721" s="571"/>
      <c r="D8721" s="571"/>
      <c r="E8721" s="571"/>
      <c r="F8721" s="571"/>
      <c r="G8721" s="571"/>
      <c r="H8721" s="571"/>
      <c r="I8721" s="571"/>
      <c r="J8721" s="571"/>
      <c r="K8721" s="571"/>
      <c r="L8721" s="571"/>
      <c r="M8721" s="571"/>
    </row>
    <row r="8722" ht="15" customHeight="1" spans="3:13">
      <c r="C8722" s="76"/>
      <c r="D8722" s="75" t="s">
        <v>63</v>
      </c>
      <c r="E8722" s="76" t="s">
        <v>64</v>
      </c>
      <c r="F8722" s="76" t="s">
        <v>65</v>
      </c>
      <c r="G8722" s="76" t="s">
        <v>2889</v>
      </c>
      <c r="H8722" s="76"/>
      <c r="I8722" s="77" t="s">
        <v>66</v>
      </c>
      <c r="J8722" s="75" t="s">
        <v>67</v>
      </c>
      <c r="K8722" s="75" t="s">
        <v>2890</v>
      </c>
      <c r="L8722" s="75" t="s">
        <v>68</v>
      </c>
      <c r="M8722" s="75" t="s">
        <v>70</v>
      </c>
    </row>
    <row r="8723" ht="35.05" customHeight="1" spans="3:13">
      <c r="C8723" s="569" t="s">
        <v>2891</v>
      </c>
      <c r="D8723" s="570" t="s">
        <v>3514</v>
      </c>
      <c r="E8723" s="569" t="s">
        <v>132</v>
      </c>
      <c r="F8723" s="569" t="s">
        <v>3515</v>
      </c>
      <c r="G8723" s="569" t="s">
        <v>3505</v>
      </c>
      <c r="H8723" s="569"/>
      <c r="I8723" s="577" t="s">
        <v>134</v>
      </c>
      <c r="J8723" s="578">
        <v>1</v>
      </c>
      <c r="K8723" s="579"/>
      <c r="L8723" s="579">
        <v>56.38</v>
      </c>
      <c r="M8723" s="579">
        <v>56.38</v>
      </c>
    </row>
    <row r="8724" ht="23.85" customHeight="1" spans="3:13">
      <c r="C8724" s="79" t="s">
        <v>2921</v>
      </c>
      <c r="D8724" s="78" t="s">
        <v>3026</v>
      </c>
      <c r="E8724" s="79" t="s">
        <v>139</v>
      </c>
      <c r="F8724" s="79" t="s">
        <v>3027</v>
      </c>
      <c r="G8724" s="79" t="s">
        <v>2928</v>
      </c>
      <c r="H8724" s="79"/>
      <c r="I8724" s="80" t="s">
        <v>2897</v>
      </c>
      <c r="J8724" s="583">
        <v>0.645</v>
      </c>
      <c r="K8724" s="583">
        <v>0</v>
      </c>
      <c r="L8724" s="92">
        <v>39.71</v>
      </c>
      <c r="M8724" s="92">
        <v>25.61</v>
      </c>
    </row>
    <row r="8725" ht="23.85" customHeight="1" spans="3:13">
      <c r="C8725" s="79" t="s">
        <v>2921</v>
      </c>
      <c r="D8725" s="78" t="s">
        <v>2952</v>
      </c>
      <c r="E8725" s="79" t="s">
        <v>139</v>
      </c>
      <c r="F8725" s="79" t="s">
        <v>2953</v>
      </c>
      <c r="G8725" s="79" t="s">
        <v>2928</v>
      </c>
      <c r="H8725" s="79"/>
      <c r="I8725" s="80" t="s">
        <v>2897</v>
      </c>
      <c r="J8725" s="583">
        <v>0.323</v>
      </c>
      <c r="K8725" s="583">
        <v>0</v>
      </c>
      <c r="L8725" s="92">
        <v>29.15</v>
      </c>
      <c r="M8725" s="92">
        <v>9.41</v>
      </c>
    </row>
    <row r="8726" ht="15" customHeight="1" spans="3:13">
      <c r="C8726" s="100" t="s">
        <v>2893</v>
      </c>
      <c r="D8726" s="99" t="s">
        <v>5451</v>
      </c>
      <c r="E8726" s="100" t="s">
        <v>139</v>
      </c>
      <c r="F8726" s="100" t="s">
        <v>5452</v>
      </c>
      <c r="G8726" s="100" t="s">
        <v>2961</v>
      </c>
      <c r="H8726" s="100"/>
      <c r="I8726" s="101" t="s">
        <v>393</v>
      </c>
      <c r="J8726" s="580">
        <v>1.728</v>
      </c>
      <c r="K8726" s="580">
        <v>0</v>
      </c>
      <c r="L8726" s="102">
        <v>9.99</v>
      </c>
      <c r="M8726" s="102">
        <v>17.26</v>
      </c>
    </row>
    <row r="8727" ht="23.85" customHeight="1" spans="3:13">
      <c r="C8727" s="100" t="s">
        <v>2893</v>
      </c>
      <c r="D8727" s="99" t="s">
        <v>3863</v>
      </c>
      <c r="E8727" s="100" t="s">
        <v>139</v>
      </c>
      <c r="F8727" s="100" t="s">
        <v>3864</v>
      </c>
      <c r="G8727" s="100" t="s">
        <v>2961</v>
      </c>
      <c r="H8727" s="100"/>
      <c r="I8727" s="101" t="s">
        <v>134</v>
      </c>
      <c r="J8727" s="580">
        <v>2.2</v>
      </c>
      <c r="K8727" s="580">
        <v>0</v>
      </c>
      <c r="L8727" s="102">
        <v>0.79</v>
      </c>
      <c r="M8727" s="102">
        <v>1.73</v>
      </c>
    </row>
    <row r="8728" ht="23.85" customHeight="1" spans="3:13">
      <c r="C8728" s="100" t="s">
        <v>2893</v>
      </c>
      <c r="D8728" s="99" t="s">
        <v>5453</v>
      </c>
      <c r="E8728" s="100" t="s">
        <v>139</v>
      </c>
      <c r="F8728" s="100" t="s">
        <v>5454</v>
      </c>
      <c r="G8728" s="100" t="s">
        <v>2961</v>
      </c>
      <c r="H8728" s="100"/>
      <c r="I8728" s="101" t="s">
        <v>134</v>
      </c>
      <c r="J8728" s="580">
        <v>4.4</v>
      </c>
      <c r="K8728" s="580">
        <v>0</v>
      </c>
      <c r="L8728" s="102">
        <v>0.54</v>
      </c>
      <c r="M8728" s="102">
        <v>2.37</v>
      </c>
    </row>
    <row r="8729" ht="25.5" spans="3:13">
      <c r="C8729" s="108"/>
      <c r="D8729" s="108"/>
      <c r="E8729" s="108"/>
      <c r="F8729" s="108"/>
      <c r="G8729" s="108"/>
      <c r="H8729" s="108" t="s">
        <v>2898</v>
      </c>
      <c r="I8729" s="581">
        <v>25.49</v>
      </c>
      <c r="J8729" s="108" t="s">
        <v>2899</v>
      </c>
      <c r="K8729" s="581">
        <v>0</v>
      </c>
      <c r="L8729" s="108" t="s">
        <v>2900</v>
      </c>
      <c r="M8729" s="581">
        <v>25.49</v>
      </c>
    </row>
    <row r="8730" ht="26.25" spans="3:13">
      <c r="C8730" s="108"/>
      <c r="D8730" s="108"/>
      <c r="E8730" s="108"/>
      <c r="F8730" s="108"/>
      <c r="G8730" s="108"/>
      <c r="H8730" s="108" t="s">
        <v>2901</v>
      </c>
      <c r="I8730" s="581">
        <v>14.37</v>
      </c>
      <c r="J8730" s="114"/>
      <c r="K8730" s="114" t="s">
        <v>2902</v>
      </c>
      <c r="L8730" s="108"/>
      <c r="M8730" s="581">
        <v>70.75</v>
      </c>
    </row>
    <row r="8731" ht="15" spans="3:13">
      <c r="C8731" s="571"/>
      <c r="D8731" s="571"/>
      <c r="E8731" s="571"/>
      <c r="F8731" s="571"/>
      <c r="G8731" s="571"/>
      <c r="H8731" s="571"/>
      <c r="I8731" s="571"/>
      <c r="J8731" s="571"/>
      <c r="K8731" s="571"/>
      <c r="L8731" s="571"/>
      <c r="M8731" s="571"/>
    </row>
    <row r="8732" ht="15" customHeight="1" spans="3:13">
      <c r="C8732" s="76"/>
      <c r="D8732" s="75" t="s">
        <v>63</v>
      </c>
      <c r="E8732" s="76" t="s">
        <v>64</v>
      </c>
      <c r="F8732" s="76" t="s">
        <v>65</v>
      </c>
      <c r="G8732" s="76" t="s">
        <v>2889</v>
      </c>
      <c r="H8732" s="76"/>
      <c r="I8732" s="77" t="s">
        <v>66</v>
      </c>
      <c r="J8732" s="75" t="s">
        <v>67</v>
      </c>
      <c r="K8732" s="75" t="s">
        <v>2890</v>
      </c>
      <c r="L8732" s="75" t="s">
        <v>68</v>
      </c>
      <c r="M8732" s="75" t="s">
        <v>70</v>
      </c>
    </row>
    <row r="8733" ht="25.5" spans="3:13">
      <c r="C8733" s="569" t="s">
        <v>2891</v>
      </c>
      <c r="D8733" s="570" t="s">
        <v>5455</v>
      </c>
      <c r="E8733" s="569" t="s">
        <v>77</v>
      </c>
      <c r="F8733" s="569" t="s">
        <v>5456</v>
      </c>
      <c r="G8733" s="569">
        <v>55</v>
      </c>
      <c r="H8733" s="569"/>
      <c r="I8733" s="577" t="s">
        <v>393</v>
      </c>
      <c r="J8733" s="578">
        <v>1</v>
      </c>
      <c r="K8733" s="579"/>
      <c r="L8733" s="579">
        <v>4.22</v>
      </c>
      <c r="M8733" s="579">
        <v>4.22</v>
      </c>
    </row>
    <row r="8734" ht="23.85" customHeight="1" spans="3:13">
      <c r="C8734" s="100" t="s">
        <v>2893</v>
      </c>
      <c r="D8734" s="99" t="s">
        <v>5457</v>
      </c>
      <c r="E8734" s="100" t="s">
        <v>77</v>
      </c>
      <c r="F8734" s="100" t="s">
        <v>5458</v>
      </c>
      <c r="G8734" s="100" t="s">
        <v>2961</v>
      </c>
      <c r="H8734" s="100"/>
      <c r="I8734" s="101" t="s">
        <v>393</v>
      </c>
      <c r="J8734" s="580">
        <v>0.4146</v>
      </c>
      <c r="K8734" s="580">
        <v>0</v>
      </c>
      <c r="L8734" s="102">
        <v>10.18</v>
      </c>
      <c r="M8734" s="102">
        <v>4.22</v>
      </c>
    </row>
    <row r="8735" ht="25.5" spans="3:13">
      <c r="C8735" s="108"/>
      <c r="D8735" s="108"/>
      <c r="E8735" s="108"/>
      <c r="F8735" s="108"/>
      <c r="G8735" s="108"/>
      <c r="H8735" s="108" t="s">
        <v>2898</v>
      </c>
      <c r="I8735" s="581">
        <v>0</v>
      </c>
      <c r="J8735" s="108" t="s">
        <v>2899</v>
      </c>
      <c r="K8735" s="581">
        <v>0</v>
      </c>
      <c r="L8735" s="108" t="s">
        <v>2900</v>
      </c>
      <c r="M8735" s="581">
        <v>0</v>
      </c>
    </row>
    <row r="8736" ht="26.25" spans="3:13">
      <c r="C8736" s="108"/>
      <c r="D8736" s="108"/>
      <c r="E8736" s="108"/>
      <c r="F8736" s="108"/>
      <c r="G8736" s="108"/>
      <c r="H8736" s="108" t="s">
        <v>2901</v>
      </c>
      <c r="I8736" s="581">
        <v>1.07</v>
      </c>
      <c r="J8736" s="114"/>
      <c r="K8736" s="114" t="s">
        <v>2902</v>
      </c>
      <c r="L8736" s="108"/>
      <c r="M8736" s="581">
        <v>5.29</v>
      </c>
    </row>
    <row r="8737" ht="15" spans="3:13">
      <c r="C8737" s="571"/>
      <c r="D8737" s="571"/>
      <c r="E8737" s="571"/>
      <c r="F8737" s="571"/>
      <c r="G8737" s="571"/>
      <c r="H8737" s="571"/>
      <c r="I8737" s="571"/>
      <c r="J8737" s="571"/>
      <c r="K8737" s="571"/>
      <c r="L8737" s="571"/>
      <c r="M8737" s="571"/>
    </row>
    <row r="8738" ht="15" customHeight="1" spans="3:13">
      <c r="C8738" s="76"/>
      <c r="D8738" s="75" t="s">
        <v>63</v>
      </c>
      <c r="E8738" s="76" t="s">
        <v>64</v>
      </c>
      <c r="F8738" s="76" t="s">
        <v>65</v>
      </c>
      <c r="G8738" s="76" t="s">
        <v>2889</v>
      </c>
      <c r="H8738" s="76"/>
      <c r="I8738" s="77" t="s">
        <v>66</v>
      </c>
      <c r="J8738" s="75" t="s">
        <v>67</v>
      </c>
      <c r="K8738" s="75" t="s">
        <v>2890</v>
      </c>
      <c r="L8738" s="75" t="s">
        <v>68</v>
      </c>
      <c r="M8738" s="75" t="s">
        <v>70</v>
      </c>
    </row>
    <row r="8739" ht="23.85" customHeight="1" spans="3:13">
      <c r="C8739" s="569" t="s">
        <v>2891</v>
      </c>
      <c r="D8739" s="570" t="s">
        <v>3512</v>
      </c>
      <c r="E8739" s="569" t="s">
        <v>139</v>
      </c>
      <c r="F8739" s="569" t="s">
        <v>3513</v>
      </c>
      <c r="G8739" s="569" t="s">
        <v>3025</v>
      </c>
      <c r="H8739" s="569"/>
      <c r="I8739" s="577" t="s">
        <v>134</v>
      </c>
      <c r="J8739" s="578">
        <v>1</v>
      </c>
      <c r="K8739" s="579"/>
      <c r="L8739" s="579">
        <v>242.98</v>
      </c>
      <c r="M8739" s="579">
        <v>242.98</v>
      </c>
    </row>
    <row r="8740" ht="23.85" customHeight="1" spans="3:13">
      <c r="C8740" s="79" t="s">
        <v>2921</v>
      </c>
      <c r="D8740" s="78" t="s">
        <v>3026</v>
      </c>
      <c r="E8740" s="79" t="s">
        <v>139</v>
      </c>
      <c r="F8740" s="79" t="s">
        <v>3027</v>
      </c>
      <c r="G8740" s="79" t="s">
        <v>2928</v>
      </c>
      <c r="H8740" s="79"/>
      <c r="I8740" s="80" t="s">
        <v>2897</v>
      </c>
      <c r="J8740" s="583">
        <v>2.177</v>
      </c>
      <c r="K8740" s="583">
        <v>0</v>
      </c>
      <c r="L8740" s="92">
        <v>39.71</v>
      </c>
      <c r="M8740" s="92">
        <v>86.44</v>
      </c>
    </row>
    <row r="8741" ht="23.85" customHeight="1" spans="3:13">
      <c r="C8741" s="79" t="s">
        <v>2921</v>
      </c>
      <c r="D8741" s="78" t="s">
        <v>2952</v>
      </c>
      <c r="E8741" s="79" t="s">
        <v>139</v>
      </c>
      <c r="F8741" s="79" t="s">
        <v>2953</v>
      </c>
      <c r="G8741" s="79" t="s">
        <v>2928</v>
      </c>
      <c r="H8741" s="79"/>
      <c r="I8741" s="80" t="s">
        <v>2897</v>
      </c>
      <c r="J8741" s="583">
        <v>1.089</v>
      </c>
      <c r="K8741" s="583">
        <v>0</v>
      </c>
      <c r="L8741" s="92">
        <v>29.15</v>
      </c>
      <c r="M8741" s="92">
        <v>31.74</v>
      </c>
    </row>
    <row r="8742" ht="46.25" customHeight="1" spans="3:13">
      <c r="C8742" s="100" t="s">
        <v>2893</v>
      </c>
      <c r="D8742" s="99" t="s">
        <v>5459</v>
      </c>
      <c r="E8742" s="100" t="s">
        <v>139</v>
      </c>
      <c r="F8742" s="100" t="s">
        <v>5460</v>
      </c>
      <c r="G8742" s="100" t="s">
        <v>2961</v>
      </c>
      <c r="H8742" s="100"/>
      <c r="I8742" s="101" t="s">
        <v>5461</v>
      </c>
      <c r="J8742" s="580">
        <v>0.824</v>
      </c>
      <c r="K8742" s="580">
        <v>0</v>
      </c>
      <c r="L8742" s="102">
        <v>143.03</v>
      </c>
      <c r="M8742" s="102">
        <v>117.85</v>
      </c>
    </row>
    <row r="8743" ht="23.85" customHeight="1" spans="3:13">
      <c r="C8743" s="100" t="s">
        <v>2893</v>
      </c>
      <c r="D8743" s="99" t="s">
        <v>3863</v>
      </c>
      <c r="E8743" s="100" t="s">
        <v>139</v>
      </c>
      <c r="F8743" s="100" t="s">
        <v>3864</v>
      </c>
      <c r="G8743" s="100" t="s">
        <v>2961</v>
      </c>
      <c r="H8743" s="100"/>
      <c r="I8743" s="101" t="s">
        <v>134</v>
      </c>
      <c r="J8743" s="580">
        <v>8.8</v>
      </c>
      <c r="K8743" s="580">
        <v>0</v>
      </c>
      <c r="L8743" s="102">
        <v>0.79</v>
      </c>
      <c r="M8743" s="102">
        <v>6.95</v>
      </c>
    </row>
    <row r="8744" ht="25.5" spans="3:13">
      <c r="C8744" s="108"/>
      <c r="D8744" s="108"/>
      <c r="E8744" s="108"/>
      <c r="F8744" s="108"/>
      <c r="G8744" s="108"/>
      <c r="H8744" s="108" t="s">
        <v>2898</v>
      </c>
      <c r="I8744" s="581">
        <v>86.04</v>
      </c>
      <c r="J8744" s="108" t="s">
        <v>2899</v>
      </c>
      <c r="K8744" s="581">
        <v>0</v>
      </c>
      <c r="L8744" s="108" t="s">
        <v>2900</v>
      </c>
      <c r="M8744" s="581">
        <v>86.04</v>
      </c>
    </row>
    <row r="8745" ht="26.25" spans="3:13">
      <c r="C8745" s="108"/>
      <c r="D8745" s="108"/>
      <c r="E8745" s="108"/>
      <c r="F8745" s="108"/>
      <c r="G8745" s="108"/>
      <c r="H8745" s="108" t="s">
        <v>2901</v>
      </c>
      <c r="I8745" s="581">
        <v>61.93</v>
      </c>
      <c r="J8745" s="114"/>
      <c r="K8745" s="114" t="s">
        <v>2902</v>
      </c>
      <c r="L8745" s="108"/>
      <c r="M8745" s="581">
        <v>304.91</v>
      </c>
    </row>
    <row r="8746" ht="15" spans="3:13">
      <c r="C8746" s="571"/>
      <c r="D8746" s="571"/>
      <c r="E8746" s="571"/>
      <c r="F8746" s="571"/>
      <c r="G8746" s="571"/>
      <c r="H8746" s="571"/>
      <c r="I8746" s="571"/>
      <c r="J8746" s="571"/>
      <c r="K8746" s="571"/>
      <c r="L8746" s="571"/>
      <c r="M8746" s="571"/>
    </row>
    <row r="8747" ht="15" customHeight="1" spans="3:13">
      <c r="C8747" s="76"/>
      <c r="D8747" s="75" t="s">
        <v>63</v>
      </c>
      <c r="E8747" s="76" t="s">
        <v>64</v>
      </c>
      <c r="F8747" s="76" t="s">
        <v>65</v>
      </c>
      <c r="G8747" s="76" t="s">
        <v>2889</v>
      </c>
      <c r="H8747" s="76"/>
      <c r="I8747" s="77" t="s">
        <v>66</v>
      </c>
      <c r="J8747" s="75" t="s">
        <v>67</v>
      </c>
      <c r="K8747" s="75" t="s">
        <v>2890</v>
      </c>
      <c r="L8747" s="75" t="s">
        <v>68</v>
      </c>
      <c r="M8747" s="75" t="s">
        <v>70</v>
      </c>
    </row>
    <row r="8748" ht="35.05" customHeight="1" spans="3:13">
      <c r="C8748" s="569" t="s">
        <v>2891</v>
      </c>
      <c r="D8748" s="570" t="s">
        <v>5364</v>
      </c>
      <c r="E8748" s="569" t="s">
        <v>139</v>
      </c>
      <c r="F8748" s="569" t="s">
        <v>5365</v>
      </c>
      <c r="G8748" s="569" t="s">
        <v>2995</v>
      </c>
      <c r="H8748" s="569"/>
      <c r="I8748" s="577" t="s">
        <v>2996</v>
      </c>
      <c r="J8748" s="578">
        <v>1</v>
      </c>
      <c r="K8748" s="579"/>
      <c r="L8748" s="579">
        <v>0.43</v>
      </c>
      <c r="M8748" s="579">
        <v>0.43</v>
      </c>
    </row>
    <row r="8749" ht="46.25" customHeight="1" spans="3:13">
      <c r="C8749" s="79" t="s">
        <v>2921</v>
      </c>
      <c r="D8749" s="78" t="s">
        <v>5462</v>
      </c>
      <c r="E8749" s="79" t="s">
        <v>139</v>
      </c>
      <c r="F8749" s="79" t="s">
        <v>5463</v>
      </c>
      <c r="G8749" s="79" t="s">
        <v>5464</v>
      </c>
      <c r="H8749" s="79"/>
      <c r="I8749" s="80" t="s">
        <v>2897</v>
      </c>
      <c r="J8749" s="583">
        <v>1</v>
      </c>
      <c r="K8749" s="583">
        <v>0</v>
      </c>
      <c r="L8749" s="92">
        <v>0.35</v>
      </c>
      <c r="M8749" s="92">
        <v>0.35</v>
      </c>
    </row>
    <row r="8750" ht="46.25" customHeight="1" spans="3:13">
      <c r="C8750" s="79" t="s">
        <v>2921</v>
      </c>
      <c r="D8750" s="78" t="s">
        <v>5465</v>
      </c>
      <c r="E8750" s="79" t="s">
        <v>139</v>
      </c>
      <c r="F8750" s="79" t="s">
        <v>5466</v>
      </c>
      <c r="G8750" s="79" t="s">
        <v>5464</v>
      </c>
      <c r="H8750" s="79"/>
      <c r="I8750" s="80" t="s">
        <v>2897</v>
      </c>
      <c r="J8750" s="583">
        <v>1</v>
      </c>
      <c r="K8750" s="583">
        <v>0</v>
      </c>
      <c r="L8750" s="92">
        <v>0.08</v>
      </c>
      <c r="M8750" s="92">
        <v>0.08</v>
      </c>
    </row>
    <row r="8751" ht="25.5" spans="3:13">
      <c r="C8751" s="108"/>
      <c r="D8751" s="108"/>
      <c r="E8751" s="108"/>
      <c r="F8751" s="108"/>
      <c r="G8751" s="108"/>
      <c r="H8751" s="108" t="s">
        <v>2898</v>
      </c>
      <c r="I8751" s="581">
        <v>0</v>
      </c>
      <c r="J8751" s="108" t="s">
        <v>2899</v>
      </c>
      <c r="K8751" s="581">
        <v>0</v>
      </c>
      <c r="L8751" s="108" t="s">
        <v>2900</v>
      </c>
      <c r="M8751" s="581">
        <v>0</v>
      </c>
    </row>
    <row r="8752" ht="26.25" spans="3:13">
      <c r="C8752" s="108"/>
      <c r="D8752" s="108"/>
      <c r="E8752" s="108"/>
      <c r="F8752" s="108"/>
      <c r="G8752" s="108"/>
      <c r="H8752" s="108" t="s">
        <v>2901</v>
      </c>
      <c r="I8752" s="581">
        <v>0.1</v>
      </c>
      <c r="J8752" s="114"/>
      <c r="K8752" s="114" t="s">
        <v>2902</v>
      </c>
      <c r="L8752" s="108"/>
      <c r="M8752" s="581">
        <v>0.53</v>
      </c>
    </row>
    <row r="8753" ht="15" spans="3:13">
      <c r="C8753" s="571"/>
      <c r="D8753" s="571"/>
      <c r="E8753" s="571"/>
      <c r="F8753" s="571"/>
      <c r="G8753" s="571"/>
      <c r="H8753" s="571"/>
      <c r="I8753" s="571"/>
      <c r="J8753" s="571"/>
      <c r="K8753" s="571"/>
      <c r="L8753" s="571"/>
      <c r="M8753" s="571"/>
    </row>
    <row r="8754" ht="15" customHeight="1" spans="3:13">
      <c r="C8754" s="76"/>
      <c r="D8754" s="75" t="s">
        <v>63</v>
      </c>
      <c r="E8754" s="76" t="s">
        <v>64</v>
      </c>
      <c r="F8754" s="76" t="s">
        <v>65</v>
      </c>
      <c r="G8754" s="76" t="s">
        <v>2889</v>
      </c>
      <c r="H8754" s="76"/>
      <c r="I8754" s="77" t="s">
        <v>66</v>
      </c>
      <c r="J8754" s="75" t="s">
        <v>67</v>
      </c>
      <c r="K8754" s="75" t="s">
        <v>2890</v>
      </c>
      <c r="L8754" s="75" t="s">
        <v>68</v>
      </c>
      <c r="M8754" s="75" t="s">
        <v>70</v>
      </c>
    </row>
    <row r="8755" ht="35.05" customHeight="1" spans="3:13">
      <c r="C8755" s="569" t="s">
        <v>2891</v>
      </c>
      <c r="D8755" s="570" t="s">
        <v>5362</v>
      </c>
      <c r="E8755" s="569" t="s">
        <v>139</v>
      </c>
      <c r="F8755" s="569" t="s">
        <v>5363</v>
      </c>
      <c r="G8755" s="569" t="s">
        <v>2995</v>
      </c>
      <c r="H8755" s="569"/>
      <c r="I8755" s="577" t="s">
        <v>3002</v>
      </c>
      <c r="J8755" s="578">
        <v>1</v>
      </c>
      <c r="K8755" s="579"/>
      <c r="L8755" s="579">
        <v>2.24</v>
      </c>
      <c r="M8755" s="579">
        <v>2.24</v>
      </c>
    </row>
    <row r="8756" ht="46.25" customHeight="1" spans="3:13">
      <c r="C8756" s="79" t="s">
        <v>2921</v>
      </c>
      <c r="D8756" s="78" t="s">
        <v>5467</v>
      </c>
      <c r="E8756" s="79" t="s">
        <v>139</v>
      </c>
      <c r="F8756" s="79" t="s">
        <v>5468</v>
      </c>
      <c r="G8756" s="79" t="s">
        <v>5464</v>
      </c>
      <c r="H8756" s="79"/>
      <c r="I8756" s="80" t="s">
        <v>2897</v>
      </c>
      <c r="J8756" s="583">
        <v>1</v>
      </c>
      <c r="K8756" s="583">
        <v>0</v>
      </c>
      <c r="L8756" s="92">
        <v>1.43</v>
      </c>
      <c r="M8756" s="92">
        <v>1.43</v>
      </c>
    </row>
    <row r="8757" ht="46.25" customHeight="1" spans="3:13">
      <c r="C8757" s="79" t="s">
        <v>2921</v>
      </c>
      <c r="D8757" s="78" t="s">
        <v>5469</v>
      </c>
      <c r="E8757" s="79" t="s">
        <v>139</v>
      </c>
      <c r="F8757" s="79" t="s">
        <v>5470</v>
      </c>
      <c r="G8757" s="79" t="s">
        <v>5464</v>
      </c>
      <c r="H8757" s="79"/>
      <c r="I8757" s="80" t="s">
        <v>2897</v>
      </c>
      <c r="J8757" s="583">
        <v>1</v>
      </c>
      <c r="K8757" s="583">
        <v>0</v>
      </c>
      <c r="L8757" s="92">
        <v>0.38</v>
      </c>
      <c r="M8757" s="92">
        <v>0.38</v>
      </c>
    </row>
    <row r="8758" ht="46.25" customHeight="1" spans="3:13">
      <c r="C8758" s="79" t="s">
        <v>2921</v>
      </c>
      <c r="D8758" s="78" t="s">
        <v>5462</v>
      </c>
      <c r="E8758" s="79" t="s">
        <v>139</v>
      </c>
      <c r="F8758" s="79" t="s">
        <v>5463</v>
      </c>
      <c r="G8758" s="79" t="s">
        <v>5464</v>
      </c>
      <c r="H8758" s="79"/>
      <c r="I8758" s="80" t="s">
        <v>2897</v>
      </c>
      <c r="J8758" s="583">
        <v>1</v>
      </c>
      <c r="K8758" s="583">
        <v>0</v>
      </c>
      <c r="L8758" s="92">
        <v>0.35</v>
      </c>
      <c r="M8758" s="92">
        <v>0.35</v>
      </c>
    </row>
    <row r="8759" ht="46.25" customHeight="1" spans="3:13">
      <c r="C8759" s="79" t="s">
        <v>2921</v>
      </c>
      <c r="D8759" s="78" t="s">
        <v>5465</v>
      </c>
      <c r="E8759" s="79" t="s">
        <v>139</v>
      </c>
      <c r="F8759" s="79" t="s">
        <v>5466</v>
      </c>
      <c r="G8759" s="79" t="s">
        <v>5464</v>
      </c>
      <c r="H8759" s="79"/>
      <c r="I8759" s="80" t="s">
        <v>2897</v>
      </c>
      <c r="J8759" s="583">
        <v>1</v>
      </c>
      <c r="K8759" s="583">
        <v>0</v>
      </c>
      <c r="L8759" s="92">
        <v>0.08</v>
      </c>
      <c r="M8759" s="92">
        <v>0.08</v>
      </c>
    </row>
    <row r="8760" ht="25.5" spans="3:13">
      <c r="C8760" s="108"/>
      <c r="D8760" s="108"/>
      <c r="E8760" s="108"/>
      <c r="F8760" s="108"/>
      <c r="G8760" s="108"/>
      <c r="H8760" s="108" t="s">
        <v>2898</v>
      </c>
      <c r="I8760" s="581">
        <v>0</v>
      </c>
      <c r="J8760" s="108" t="s">
        <v>2899</v>
      </c>
      <c r="K8760" s="581">
        <v>0</v>
      </c>
      <c r="L8760" s="108" t="s">
        <v>2900</v>
      </c>
      <c r="M8760" s="581">
        <v>0</v>
      </c>
    </row>
    <row r="8761" ht="26.25" spans="3:13">
      <c r="C8761" s="108"/>
      <c r="D8761" s="108"/>
      <c r="E8761" s="108"/>
      <c r="F8761" s="108"/>
      <c r="G8761" s="108"/>
      <c r="H8761" s="108" t="s">
        <v>2901</v>
      </c>
      <c r="I8761" s="581">
        <v>0.57</v>
      </c>
      <c r="J8761" s="114"/>
      <c r="K8761" s="114" t="s">
        <v>2902</v>
      </c>
      <c r="L8761" s="108"/>
      <c r="M8761" s="581">
        <v>2.81</v>
      </c>
    </row>
    <row r="8762" ht="15" spans="3:13">
      <c r="C8762" s="571"/>
      <c r="D8762" s="571"/>
      <c r="E8762" s="571"/>
      <c r="F8762" s="571"/>
      <c r="G8762" s="571"/>
      <c r="H8762" s="571"/>
      <c r="I8762" s="571"/>
      <c r="J8762" s="571"/>
      <c r="K8762" s="571"/>
      <c r="L8762" s="571"/>
      <c r="M8762" s="571"/>
    </row>
    <row r="8763" ht="15" customHeight="1" spans="3:13">
      <c r="C8763" s="76"/>
      <c r="D8763" s="75" t="s">
        <v>63</v>
      </c>
      <c r="E8763" s="76" t="s">
        <v>64</v>
      </c>
      <c r="F8763" s="76" t="s">
        <v>65</v>
      </c>
      <c r="G8763" s="76" t="s">
        <v>2889</v>
      </c>
      <c r="H8763" s="76"/>
      <c r="I8763" s="77" t="s">
        <v>66</v>
      </c>
      <c r="J8763" s="75" t="s">
        <v>67</v>
      </c>
      <c r="K8763" s="75" t="s">
        <v>2890</v>
      </c>
      <c r="L8763" s="75" t="s">
        <v>68</v>
      </c>
      <c r="M8763" s="75" t="s">
        <v>70</v>
      </c>
    </row>
    <row r="8764" ht="46.25" customHeight="1" spans="3:13">
      <c r="C8764" s="569" t="s">
        <v>2891</v>
      </c>
      <c r="D8764" s="570" t="s">
        <v>5462</v>
      </c>
      <c r="E8764" s="569" t="s">
        <v>139</v>
      </c>
      <c r="F8764" s="569" t="s">
        <v>5463</v>
      </c>
      <c r="G8764" s="569" t="s">
        <v>5464</v>
      </c>
      <c r="H8764" s="569"/>
      <c r="I8764" s="577" t="s">
        <v>2897</v>
      </c>
      <c r="J8764" s="578">
        <v>1</v>
      </c>
      <c r="K8764" s="579"/>
      <c r="L8764" s="579">
        <v>0.35</v>
      </c>
      <c r="M8764" s="579">
        <v>0.35</v>
      </c>
    </row>
    <row r="8765" ht="35.05" customHeight="1" spans="3:13">
      <c r="C8765" s="100" t="s">
        <v>2893</v>
      </c>
      <c r="D8765" s="99" t="s">
        <v>5471</v>
      </c>
      <c r="E8765" s="100" t="s">
        <v>139</v>
      </c>
      <c r="F8765" s="100" t="s">
        <v>5472</v>
      </c>
      <c r="G8765" s="100" t="s">
        <v>3680</v>
      </c>
      <c r="H8765" s="100"/>
      <c r="I8765" s="101" t="s">
        <v>134</v>
      </c>
      <c r="J8765" s="580">
        <v>6.4e-5</v>
      </c>
      <c r="K8765" s="580">
        <v>0</v>
      </c>
      <c r="L8765" s="102">
        <v>5550</v>
      </c>
      <c r="M8765" s="102">
        <v>0.35</v>
      </c>
    </row>
    <row r="8766" ht="25.5" spans="3:13">
      <c r="C8766" s="108"/>
      <c r="D8766" s="108"/>
      <c r="E8766" s="108"/>
      <c r="F8766" s="108"/>
      <c r="G8766" s="108"/>
      <c r="H8766" s="108" t="s">
        <v>2898</v>
      </c>
      <c r="I8766" s="581">
        <v>0</v>
      </c>
      <c r="J8766" s="108" t="s">
        <v>2899</v>
      </c>
      <c r="K8766" s="581">
        <v>0</v>
      </c>
      <c r="L8766" s="108" t="s">
        <v>2900</v>
      </c>
      <c r="M8766" s="581">
        <v>0</v>
      </c>
    </row>
    <row r="8767" ht="26.25" spans="3:13">
      <c r="C8767" s="108"/>
      <c r="D8767" s="108"/>
      <c r="E8767" s="108"/>
      <c r="F8767" s="108"/>
      <c r="G8767" s="108"/>
      <c r="H8767" s="108" t="s">
        <v>2901</v>
      </c>
      <c r="I8767" s="581">
        <v>0.08</v>
      </c>
      <c r="J8767" s="114"/>
      <c r="K8767" s="114" t="s">
        <v>2902</v>
      </c>
      <c r="L8767" s="108"/>
      <c r="M8767" s="581">
        <v>0.43</v>
      </c>
    </row>
    <row r="8768" ht="15" spans="3:13">
      <c r="C8768" s="571"/>
      <c r="D8768" s="571"/>
      <c r="E8768" s="571"/>
      <c r="F8768" s="571"/>
      <c r="G8768" s="571"/>
      <c r="H8768" s="571"/>
      <c r="I8768" s="571"/>
      <c r="J8768" s="571"/>
      <c r="K8768" s="571"/>
      <c r="L8768" s="571"/>
      <c r="M8768" s="571"/>
    </row>
    <row r="8769" ht="15" customHeight="1" spans="3:13">
      <c r="C8769" s="76"/>
      <c r="D8769" s="75" t="s">
        <v>63</v>
      </c>
      <c r="E8769" s="76" t="s">
        <v>64</v>
      </c>
      <c r="F8769" s="76" t="s">
        <v>65</v>
      </c>
      <c r="G8769" s="76" t="s">
        <v>2889</v>
      </c>
      <c r="H8769" s="76"/>
      <c r="I8769" s="77" t="s">
        <v>66</v>
      </c>
      <c r="J8769" s="75" t="s">
        <v>67</v>
      </c>
      <c r="K8769" s="75" t="s">
        <v>2890</v>
      </c>
      <c r="L8769" s="75" t="s">
        <v>68</v>
      </c>
      <c r="M8769" s="75" t="s">
        <v>70</v>
      </c>
    </row>
    <row r="8770" ht="46.25" customHeight="1" spans="3:13">
      <c r="C8770" s="569" t="s">
        <v>2891</v>
      </c>
      <c r="D8770" s="570" t="s">
        <v>5465</v>
      </c>
      <c r="E8770" s="569" t="s">
        <v>139</v>
      </c>
      <c r="F8770" s="569" t="s">
        <v>5466</v>
      </c>
      <c r="G8770" s="569" t="s">
        <v>5464</v>
      </c>
      <c r="H8770" s="569"/>
      <c r="I8770" s="577" t="s">
        <v>2897</v>
      </c>
      <c r="J8770" s="578">
        <v>1</v>
      </c>
      <c r="K8770" s="579"/>
      <c r="L8770" s="579">
        <v>0.08</v>
      </c>
      <c r="M8770" s="579">
        <v>0.08</v>
      </c>
    </row>
    <row r="8771" ht="35.05" customHeight="1" spans="3:13">
      <c r="C8771" s="100" t="s">
        <v>2893</v>
      </c>
      <c r="D8771" s="99" t="s">
        <v>5471</v>
      </c>
      <c r="E8771" s="100" t="s">
        <v>139</v>
      </c>
      <c r="F8771" s="100" t="s">
        <v>5472</v>
      </c>
      <c r="G8771" s="100" t="s">
        <v>3680</v>
      </c>
      <c r="H8771" s="100"/>
      <c r="I8771" s="101" t="s">
        <v>134</v>
      </c>
      <c r="J8771" s="580">
        <v>1.48e-5</v>
      </c>
      <c r="K8771" s="580">
        <v>0</v>
      </c>
      <c r="L8771" s="102">
        <v>5550</v>
      </c>
      <c r="M8771" s="102">
        <v>0.08</v>
      </c>
    </row>
    <row r="8772" ht="25.5" spans="3:13">
      <c r="C8772" s="108"/>
      <c r="D8772" s="108"/>
      <c r="E8772" s="108"/>
      <c r="F8772" s="108"/>
      <c r="G8772" s="108"/>
      <c r="H8772" s="108" t="s">
        <v>2898</v>
      </c>
      <c r="I8772" s="581">
        <v>0</v>
      </c>
      <c r="J8772" s="108" t="s">
        <v>2899</v>
      </c>
      <c r="K8772" s="581">
        <v>0</v>
      </c>
      <c r="L8772" s="108" t="s">
        <v>2900</v>
      </c>
      <c r="M8772" s="581">
        <v>0</v>
      </c>
    </row>
    <row r="8773" ht="26.25" spans="3:13">
      <c r="C8773" s="108"/>
      <c r="D8773" s="108"/>
      <c r="E8773" s="108"/>
      <c r="F8773" s="108"/>
      <c r="G8773" s="108"/>
      <c r="H8773" s="108" t="s">
        <v>2901</v>
      </c>
      <c r="I8773" s="581">
        <v>0.02</v>
      </c>
      <c r="J8773" s="114"/>
      <c r="K8773" s="114" t="s">
        <v>2902</v>
      </c>
      <c r="L8773" s="108"/>
      <c r="M8773" s="581">
        <v>0.1</v>
      </c>
    </row>
    <row r="8774" ht="15" spans="3:13">
      <c r="C8774" s="571"/>
      <c r="D8774" s="571"/>
      <c r="E8774" s="571"/>
      <c r="F8774" s="571"/>
      <c r="G8774" s="571"/>
      <c r="H8774" s="571"/>
      <c r="I8774" s="571"/>
      <c r="J8774" s="571"/>
      <c r="K8774" s="571"/>
      <c r="L8774" s="571"/>
      <c r="M8774" s="571"/>
    </row>
    <row r="8775" ht="15" customHeight="1" spans="3:13">
      <c r="C8775" s="76"/>
      <c r="D8775" s="75" t="s">
        <v>63</v>
      </c>
      <c r="E8775" s="76" t="s">
        <v>64</v>
      </c>
      <c r="F8775" s="76" t="s">
        <v>65</v>
      </c>
      <c r="G8775" s="76" t="s">
        <v>2889</v>
      </c>
      <c r="H8775" s="76"/>
      <c r="I8775" s="77" t="s">
        <v>66</v>
      </c>
      <c r="J8775" s="75" t="s">
        <v>67</v>
      </c>
      <c r="K8775" s="75" t="s">
        <v>2890</v>
      </c>
      <c r="L8775" s="75" t="s">
        <v>68</v>
      </c>
      <c r="M8775" s="75" t="s">
        <v>70</v>
      </c>
    </row>
    <row r="8776" ht="46.25" customHeight="1" spans="3:13">
      <c r="C8776" s="569" t="s">
        <v>2891</v>
      </c>
      <c r="D8776" s="570" t="s">
        <v>5469</v>
      </c>
      <c r="E8776" s="569" t="s">
        <v>139</v>
      </c>
      <c r="F8776" s="569" t="s">
        <v>5470</v>
      </c>
      <c r="G8776" s="569" t="s">
        <v>5464</v>
      </c>
      <c r="H8776" s="569"/>
      <c r="I8776" s="577" t="s">
        <v>2897</v>
      </c>
      <c r="J8776" s="578">
        <v>1</v>
      </c>
      <c r="K8776" s="579"/>
      <c r="L8776" s="579">
        <v>0.38</v>
      </c>
      <c r="M8776" s="579">
        <v>0.38</v>
      </c>
    </row>
    <row r="8777" ht="35.05" customHeight="1" spans="3:13">
      <c r="C8777" s="100" t="s">
        <v>2893</v>
      </c>
      <c r="D8777" s="99" t="s">
        <v>5471</v>
      </c>
      <c r="E8777" s="100" t="s">
        <v>139</v>
      </c>
      <c r="F8777" s="100" t="s">
        <v>5472</v>
      </c>
      <c r="G8777" s="100" t="s">
        <v>3680</v>
      </c>
      <c r="H8777" s="100"/>
      <c r="I8777" s="101" t="s">
        <v>134</v>
      </c>
      <c r="J8777" s="580">
        <v>7e-5</v>
      </c>
      <c r="K8777" s="580">
        <v>0</v>
      </c>
      <c r="L8777" s="102">
        <v>5550</v>
      </c>
      <c r="M8777" s="102">
        <v>0.38</v>
      </c>
    </row>
    <row r="8778" ht="25.5" spans="3:13">
      <c r="C8778" s="108"/>
      <c r="D8778" s="108"/>
      <c r="E8778" s="108"/>
      <c r="F8778" s="108"/>
      <c r="G8778" s="108"/>
      <c r="H8778" s="108" t="s">
        <v>2898</v>
      </c>
      <c r="I8778" s="581">
        <v>0</v>
      </c>
      <c r="J8778" s="108" t="s">
        <v>2899</v>
      </c>
      <c r="K8778" s="581">
        <v>0</v>
      </c>
      <c r="L8778" s="108" t="s">
        <v>2900</v>
      </c>
      <c r="M8778" s="581">
        <v>0</v>
      </c>
    </row>
    <row r="8779" ht="26.25" spans="3:13">
      <c r="C8779" s="108"/>
      <c r="D8779" s="108"/>
      <c r="E8779" s="108"/>
      <c r="F8779" s="108"/>
      <c r="G8779" s="108"/>
      <c r="H8779" s="108" t="s">
        <v>2901</v>
      </c>
      <c r="I8779" s="581">
        <v>0.09</v>
      </c>
      <c r="J8779" s="114"/>
      <c r="K8779" s="114" t="s">
        <v>2902</v>
      </c>
      <c r="L8779" s="108"/>
      <c r="M8779" s="581">
        <v>0.47</v>
      </c>
    </row>
    <row r="8780" ht="15" spans="3:13">
      <c r="C8780" s="571"/>
      <c r="D8780" s="571"/>
      <c r="E8780" s="571"/>
      <c r="F8780" s="571"/>
      <c r="G8780" s="571"/>
      <c r="H8780" s="571"/>
      <c r="I8780" s="571"/>
      <c r="J8780" s="571"/>
      <c r="K8780" s="571"/>
      <c r="L8780" s="571"/>
      <c r="M8780" s="571"/>
    </row>
    <row r="8781" ht="15" customHeight="1" spans="3:13">
      <c r="C8781" s="76"/>
      <c r="D8781" s="75" t="s">
        <v>63</v>
      </c>
      <c r="E8781" s="76" t="s">
        <v>64</v>
      </c>
      <c r="F8781" s="76" t="s">
        <v>65</v>
      </c>
      <c r="G8781" s="76" t="s">
        <v>2889</v>
      </c>
      <c r="H8781" s="76"/>
      <c r="I8781" s="77" t="s">
        <v>66</v>
      </c>
      <c r="J8781" s="75" t="s">
        <v>67</v>
      </c>
      <c r="K8781" s="75" t="s">
        <v>2890</v>
      </c>
      <c r="L8781" s="75" t="s">
        <v>68</v>
      </c>
      <c r="M8781" s="75" t="s">
        <v>70</v>
      </c>
    </row>
    <row r="8782" ht="46.25" customHeight="1" spans="3:13">
      <c r="C8782" s="569" t="s">
        <v>2891</v>
      </c>
      <c r="D8782" s="570" t="s">
        <v>5467</v>
      </c>
      <c r="E8782" s="569" t="s">
        <v>139</v>
      </c>
      <c r="F8782" s="569" t="s">
        <v>5468</v>
      </c>
      <c r="G8782" s="569" t="s">
        <v>5464</v>
      </c>
      <c r="H8782" s="569"/>
      <c r="I8782" s="577" t="s">
        <v>2897</v>
      </c>
      <c r="J8782" s="578">
        <v>1</v>
      </c>
      <c r="K8782" s="579"/>
      <c r="L8782" s="579">
        <v>1.43</v>
      </c>
      <c r="M8782" s="579">
        <v>1.43</v>
      </c>
    </row>
    <row r="8783" ht="15" customHeight="1" spans="3:13">
      <c r="C8783" s="100" t="s">
        <v>2893</v>
      </c>
      <c r="D8783" s="99" t="s">
        <v>5473</v>
      </c>
      <c r="E8783" s="100" t="s">
        <v>139</v>
      </c>
      <c r="F8783" s="100" t="s">
        <v>5474</v>
      </c>
      <c r="G8783" s="100" t="s">
        <v>5444</v>
      </c>
      <c r="H8783" s="100"/>
      <c r="I8783" s="101" t="s">
        <v>5228</v>
      </c>
      <c r="J8783" s="580">
        <v>1.25</v>
      </c>
      <c r="K8783" s="580">
        <v>0</v>
      </c>
      <c r="L8783" s="102">
        <v>1.15</v>
      </c>
      <c r="M8783" s="102">
        <v>1.43</v>
      </c>
    </row>
    <row r="8784" ht="25.5" spans="3:13">
      <c r="C8784" s="108"/>
      <c r="D8784" s="108"/>
      <c r="E8784" s="108"/>
      <c r="F8784" s="108"/>
      <c r="G8784" s="108"/>
      <c r="H8784" s="108" t="s">
        <v>2898</v>
      </c>
      <c r="I8784" s="581">
        <v>0</v>
      </c>
      <c r="J8784" s="108" t="s">
        <v>2899</v>
      </c>
      <c r="K8784" s="581">
        <v>0</v>
      </c>
      <c r="L8784" s="108" t="s">
        <v>2900</v>
      </c>
      <c r="M8784" s="581">
        <v>0</v>
      </c>
    </row>
    <row r="8785" ht="26.25" spans="3:13">
      <c r="C8785" s="108"/>
      <c r="D8785" s="108"/>
      <c r="E8785" s="108"/>
      <c r="F8785" s="108"/>
      <c r="G8785" s="108"/>
      <c r="H8785" s="108" t="s">
        <v>2901</v>
      </c>
      <c r="I8785" s="581">
        <v>0.36</v>
      </c>
      <c r="J8785" s="114"/>
      <c r="K8785" s="114" t="s">
        <v>2902</v>
      </c>
      <c r="L8785" s="108"/>
      <c r="M8785" s="581">
        <v>1.79</v>
      </c>
    </row>
    <row r="8786" ht="15" spans="3:13">
      <c r="C8786" s="571"/>
      <c r="D8786" s="571"/>
      <c r="E8786" s="571"/>
      <c r="F8786" s="571"/>
      <c r="G8786" s="571"/>
      <c r="H8786" s="571"/>
      <c r="I8786" s="571"/>
      <c r="J8786" s="571"/>
      <c r="K8786" s="571"/>
      <c r="L8786" s="571"/>
      <c r="M8786" s="571"/>
    </row>
    <row r="8787" ht="15" customHeight="1" spans="3:13">
      <c r="C8787" s="76"/>
      <c r="D8787" s="75" t="s">
        <v>63</v>
      </c>
      <c r="E8787" s="76" t="s">
        <v>64</v>
      </c>
      <c r="F8787" s="76" t="s">
        <v>65</v>
      </c>
      <c r="G8787" s="76" t="s">
        <v>2889</v>
      </c>
      <c r="H8787" s="76"/>
      <c r="I8787" s="77" t="s">
        <v>66</v>
      </c>
      <c r="J8787" s="75" t="s">
        <v>67</v>
      </c>
      <c r="K8787" s="75" t="s">
        <v>2890</v>
      </c>
      <c r="L8787" s="75" t="s">
        <v>68</v>
      </c>
      <c r="M8787" s="75" t="s">
        <v>70</v>
      </c>
    </row>
    <row r="8788" ht="35.05" customHeight="1" spans="3:13">
      <c r="C8788" s="569" t="s">
        <v>2891</v>
      </c>
      <c r="D8788" s="570" t="s">
        <v>5067</v>
      </c>
      <c r="E8788" s="569" t="s">
        <v>139</v>
      </c>
      <c r="F8788" s="569" t="s">
        <v>5068</v>
      </c>
      <c r="G8788" s="569" t="s">
        <v>2995</v>
      </c>
      <c r="H8788" s="569"/>
      <c r="I8788" s="577" t="s">
        <v>2996</v>
      </c>
      <c r="J8788" s="578">
        <v>1</v>
      </c>
      <c r="K8788" s="579"/>
      <c r="L8788" s="579">
        <v>1.77</v>
      </c>
      <c r="M8788" s="579">
        <v>1.77</v>
      </c>
    </row>
    <row r="8789" ht="46.25" customHeight="1" spans="3:13">
      <c r="C8789" s="79" t="s">
        <v>2921</v>
      </c>
      <c r="D8789" s="78" t="s">
        <v>5475</v>
      </c>
      <c r="E8789" s="79" t="s">
        <v>139</v>
      </c>
      <c r="F8789" s="79" t="s">
        <v>5476</v>
      </c>
      <c r="G8789" s="79" t="s">
        <v>5464</v>
      </c>
      <c r="H8789" s="79"/>
      <c r="I8789" s="80" t="s">
        <v>2897</v>
      </c>
      <c r="J8789" s="583">
        <v>1</v>
      </c>
      <c r="K8789" s="583">
        <v>0</v>
      </c>
      <c r="L8789" s="92">
        <v>0.33</v>
      </c>
      <c r="M8789" s="92">
        <v>0.33</v>
      </c>
    </row>
    <row r="8790" ht="46.25" customHeight="1" spans="3:13">
      <c r="C8790" s="79" t="s">
        <v>2921</v>
      </c>
      <c r="D8790" s="78" t="s">
        <v>5477</v>
      </c>
      <c r="E8790" s="79" t="s">
        <v>139</v>
      </c>
      <c r="F8790" s="79" t="s">
        <v>5478</v>
      </c>
      <c r="G8790" s="79" t="s">
        <v>5464</v>
      </c>
      <c r="H8790" s="79"/>
      <c r="I8790" s="80" t="s">
        <v>2897</v>
      </c>
      <c r="J8790" s="583">
        <v>1</v>
      </c>
      <c r="K8790" s="583">
        <v>0</v>
      </c>
      <c r="L8790" s="92">
        <v>1.44</v>
      </c>
      <c r="M8790" s="92">
        <v>1.44</v>
      </c>
    </row>
    <row r="8791" ht="25.5" spans="3:13">
      <c r="C8791" s="108"/>
      <c r="D8791" s="108"/>
      <c r="E8791" s="108"/>
      <c r="F8791" s="108"/>
      <c r="G8791" s="108"/>
      <c r="H8791" s="108" t="s">
        <v>2898</v>
      </c>
      <c r="I8791" s="581">
        <v>0</v>
      </c>
      <c r="J8791" s="108" t="s">
        <v>2899</v>
      </c>
      <c r="K8791" s="581">
        <v>0</v>
      </c>
      <c r="L8791" s="108" t="s">
        <v>2900</v>
      </c>
      <c r="M8791" s="581">
        <v>0</v>
      </c>
    </row>
    <row r="8792" ht="26.25" spans="3:13">
      <c r="C8792" s="108"/>
      <c r="D8792" s="108"/>
      <c r="E8792" s="108"/>
      <c r="F8792" s="108"/>
      <c r="G8792" s="108"/>
      <c r="H8792" s="108" t="s">
        <v>2901</v>
      </c>
      <c r="I8792" s="581">
        <v>0.45</v>
      </c>
      <c r="J8792" s="114"/>
      <c r="K8792" s="114" t="s">
        <v>2902</v>
      </c>
      <c r="L8792" s="108"/>
      <c r="M8792" s="581">
        <v>2.22</v>
      </c>
    </row>
    <row r="8793" ht="15" spans="3:13">
      <c r="C8793" s="571"/>
      <c r="D8793" s="571"/>
      <c r="E8793" s="571"/>
      <c r="F8793" s="571"/>
      <c r="G8793" s="571"/>
      <c r="H8793" s="571"/>
      <c r="I8793" s="571"/>
      <c r="J8793" s="571"/>
      <c r="K8793" s="571"/>
      <c r="L8793" s="571"/>
      <c r="M8793" s="571"/>
    </row>
    <row r="8794" ht="15" customHeight="1" spans="3:13">
      <c r="C8794" s="76"/>
      <c r="D8794" s="75" t="s">
        <v>63</v>
      </c>
      <c r="E8794" s="76" t="s">
        <v>64</v>
      </c>
      <c r="F8794" s="76" t="s">
        <v>65</v>
      </c>
      <c r="G8794" s="76" t="s">
        <v>2889</v>
      </c>
      <c r="H8794" s="76"/>
      <c r="I8794" s="77" t="s">
        <v>66</v>
      </c>
      <c r="J8794" s="75" t="s">
        <v>67</v>
      </c>
      <c r="K8794" s="75" t="s">
        <v>2890</v>
      </c>
      <c r="L8794" s="75" t="s">
        <v>68</v>
      </c>
      <c r="M8794" s="75" t="s">
        <v>70</v>
      </c>
    </row>
    <row r="8795" ht="35.05" customHeight="1" spans="3:13">
      <c r="C8795" s="569" t="s">
        <v>2891</v>
      </c>
      <c r="D8795" s="570" t="s">
        <v>5069</v>
      </c>
      <c r="E8795" s="569" t="s">
        <v>139</v>
      </c>
      <c r="F8795" s="569" t="s">
        <v>5070</v>
      </c>
      <c r="G8795" s="569" t="s">
        <v>2995</v>
      </c>
      <c r="H8795" s="569"/>
      <c r="I8795" s="577" t="s">
        <v>3002</v>
      </c>
      <c r="J8795" s="578">
        <v>1</v>
      </c>
      <c r="K8795" s="579"/>
      <c r="L8795" s="579">
        <v>6.22</v>
      </c>
      <c r="M8795" s="579">
        <v>6.22</v>
      </c>
    </row>
    <row r="8796" ht="46.25" customHeight="1" spans="3:13">
      <c r="C8796" s="79" t="s">
        <v>2921</v>
      </c>
      <c r="D8796" s="78" t="s">
        <v>5477</v>
      </c>
      <c r="E8796" s="79" t="s">
        <v>139</v>
      </c>
      <c r="F8796" s="79" t="s">
        <v>5478</v>
      </c>
      <c r="G8796" s="79" t="s">
        <v>5464</v>
      </c>
      <c r="H8796" s="79"/>
      <c r="I8796" s="80" t="s">
        <v>2897</v>
      </c>
      <c r="J8796" s="583">
        <v>1</v>
      </c>
      <c r="K8796" s="583">
        <v>0</v>
      </c>
      <c r="L8796" s="92">
        <v>1.44</v>
      </c>
      <c r="M8796" s="92">
        <v>1.44</v>
      </c>
    </row>
    <row r="8797" ht="46.25" customHeight="1" spans="3:13">
      <c r="C8797" s="79" t="s">
        <v>2921</v>
      </c>
      <c r="D8797" s="78" t="s">
        <v>5479</v>
      </c>
      <c r="E8797" s="79" t="s">
        <v>139</v>
      </c>
      <c r="F8797" s="79" t="s">
        <v>5480</v>
      </c>
      <c r="G8797" s="79" t="s">
        <v>5464</v>
      </c>
      <c r="H8797" s="79"/>
      <c r="I8797" s="80" t="s">
        <v>2897</v>
      </c>
      <c r="J8797" s="583">
        <v>1</v>
      </c>
      <c r="K8797" s="583">
        <v>0</v>
      </c>
      <c r="L8797" s="92">
        <v>1.58</v>
      </c>
      <c r="M8797" s="92">
        <v>1.58</v>
      </c>
    </row>
    <row r="8798" ht="46.25" customHeight="1" spans="3:13">
      <c r="C8798" s="79" t="s">
        <v>2921</v>
      </c>
      <c r="D8798" s="78" t="s">
        <v>5475</v>
      </c>
      <c r="E8798" s="79" t="s">
        <v>139</v>
      </c>
      <c r="F8798" s="79" t="s">
        <v>5476</v>
      </c>
      <c r="G8798" s="79" t="s">
        <v>5464</v>
      </c>
      <c r="H8798" s="79"/>
      <c r="I8798" s="80" t="s">
        <v>2897</v>
      </c>
      <c r="J8798" s="583">
        <v>1</v>
      </c>
      <c r="K8798" s="583">
        <v>0</v>
      </c>
      <c r="L8798" s="92">
        <v>0.33</v>
      </c>
      <c r="M8798" s="92">
        <v>0.33</v>
      </c>
    </row>
    <row r="8799" ht="46.25" customHeight="1" spans="3:13">
      <c r="C8799" s="79" t="s">
        <v>2921</v>
      </c>
      <c r="D8799" s="78" t="s">
        <v>5481</v>
      </c>
      <c r="E8799" s="79" t="s">
        <v>139</v>
      </c>
      <c r="F8799" s="79" t="s">
        <v>5482</v>
      </c>
      <c r="G8799" s="79" t="s">
        <v>5464</v>
      </c>
      <c r="H8799" s="79"/>
      <c r="I8799" s="80" t="s">
        <v>2897</v>
      </c>
      <c r="J8799" s="583">
        <v>1</v>
      </c>
      <c r="K8799" s="583">
        <v>0</v>
      </c>
      <c r="L8799" s="92">
        <v>2.87</v>
      </c>
      <c r="M8799" s="92">
        <v>2.87</v>
      </c>
    </row>
    <row r="8800" ht="25.5" spans="3:13">
      <c r="C8800" s="108"/>
      <c r="D8800" s="108"/>
      <c r="E8800" s="108"/>
      <c r="F8800" s="108"/>
      <c r="G8800" s="108"/>
      <c r="H8800" s="108" t="s">
        <v>2898</v>
      </c>
      <c r="I8800" s="581">
        <v>0</v>
      </c>
      <c r="J8800" s="108" t="s">
        <v>2899</v>
      </c>
      <c r="K8800" s="581">
        <v>0</v>
      </c>
      <c r="L8800" s="108" t="s">
        <v>2900</v>
      </c>
      <c r="M8800" s="581">
        <v>0</v>
      </c>
    </row>
    <row r="8801" ht="26.25" spans="3:13">
      <c r="C8801" s="108"/>
      <c r="D8801" s="108"/>
      <c r="E8801" s="108"/>
      <c r="F8801" s="108"/>
      <c r="G8801" s="108"/>
      <c r="H8801" s="108" t="s">
        <v>2901</v>
      </c>
      <c r="I8801" s="581">
        <v>1.58</v>
      </c>
      <c r="J8801" s="114"/>
      <c r="K8801" s="114" t="s">
        <v>2902</v>
      </c>
      <c r="L8801" s="108"/>
      <c r="M8801" s="581">
        <v>7.8</v>
      </c>
    </row>
    <row r="8802" ht="15" spans="3:13">
      <c r="C8802" s="571"/>
      <c r="D8802" s="571"/>
      <c r="E8802" s="571"/>
      <c r="F8802" s="571"/>
      <c r="G8802" s="571"/>
      <c r="H8802" s="571"/>
      <c r="I8802" s="571"/>
      <c r="J8802" s="571"/>
      <c r="K8802" s="571"/>
      <c r="L8802" s="571"/>
      <c r="M8802" s="571"/>
    </row>
    <row r="8803" ht="15" customHeight="1" spans="3:13">
      <c r="C8803" s="76"/>
      <c r="D8803" s="75" t="s">
        <v>63</v>
      </c>
      <c r="E8803" s="76" t="s">
        <v>64</v>
      </c>
      <c r="F8803" s="76" t="s">
        <v>65</v>
      </c>
      <c r="G8803" s="76" t="s">
        <v>2889</v>
      </c>
      <c r="H8803" s="76"/>
      <c r="I8803" s="77" t="s">
        <v>66</v>
      </c>
      <c r="J8803" s="75" t="s">
        <v>67</v>
      </c>
      <c r="K8803" s="75" t="s">
        <v>2890</v>
      </c>
      <c r="L8803" s="75" t="s">
        <v>68</v>
      </c>
      <c r="M8803" s="75" t="s">
        <v>70</v>
      </c>
    </row>
    <row r="8804" ht="46.25" customHeight="1" spans="3:13">
      <c r="C8804" s="569" t="s">
        <v>2891</v>
      </c>
      <c r="D8804" s="570" t="s">
        <v>5477</v>
      </c>
      <c r="E8804" s="569" t="s">
        <v>139</v>
      </c>
      <c r="F8804" s="569" t="s">
        <v>5478</v>
      </c>
      <c r="G8804" s="569" t="s">
        <v>5464</v>
      </c>
      <c r="H8804" s="569"/>
      <c r="I8804" s="577" t="s">
        <v>2897</v>
      </c>
      <c r="J8804" s="578">
        <v>1</v>
      </c>
      <c r="K8804" s="579"/>
      <c r="L8804" s="579">
        <v>1.44</v>
      </c>
      <c r="M8804" s="579">
        <v>1.44</v>
      </c>
    </row>
    <row r="8805" ht="35.05" customHeight="1" spans="3:13">
      <c r="C8805" s="100" t="s">
        <v>2893</v>
      </c>
      <c r="D8805" s="99" t="s">
        <v>5483</v>
      </c>
      <c r="E8805" s="100" t="s">
        <v>139</v>
      </c>
      <c r="F8805" s="100" t="s">
        <v>5484</v>
      </c>
      <c r="G8805" s="100" t="s">
        <v>3680</v>
      </c>
      <c r="H8805" s="100"/>
      <c r="I8805" s="101" t="s">
        <v>134</v>
      </c>
      <c r="J8805" s="580">
        <v>6.4e-5</v>
      </c>
      <c r="K8805" s="580">
        <v>0</v>
      </c>
      <c r="L8805" s="102">
        <v>22576.27</v>
      </c>
      <c r="M8805" s="102">
        <v>1.44</v>
      </c>
    </row>
    <row r="8806" ht="25.5" spans="3:13">
      <c r="C8806" s="108"/>
      <c r="D8806" s="108"/>
      <c r="E8806" s="108"/>
      <c r="F8806" s="108"/>
      <c r="G8806" s="108"/>
      <c r="H8806" s="108" t="s">
        <v>2898</v>
      </c>
      <c r="I8806" s="581">
        <v>0</v>
      </c>
      <c r="J8806" s="108" t="s">
        <v>2899</v>
      </c>
      <c r="K8806" s="581">
        <v>0</v>
      </c>
      <c r="L8806" s="108" t="s">
        <v>2900</v>
      </c>
      <c r="M8806" s="581">
        <v>0</v>
      </c>
    </row>
    <row r="8807" ht="26.25" spans="3:13">
      <c r="C8807" s="108"/>
      <c r="D8807" s="108"/>
      <c r="E8807" s="108"/>
      <c r="F8807" s="108"/>
      <c r="G8807" s="108"/>
      <c r="H8807" s="108" t="s">
        <v>2901</v>
      </c>
      <c r="I8807" s="581">
        <v>0.36</v>
      </c>
      <c r="J8807" s="114"/>
      <c r="K8807" s="114" t="s">
        <v>2902</v>
      </c>
      <c r="L8807" s="108"/>
      <c r="M8807" s="581">
        <v>1.8</v>
      </c>
    </row>
    <row r="8808" ht="15" spans="3:13">
      <c r="C8808" s="571"/>
      <c r="D8808" s="571"/>
      <c r="E8808" s="571"/>
      <c r="F8808" s="571"/>
      <c r="G8808" s="571"/>
      <c r="H8808" s="571"/>
      <c r="I8808" s="571"/>
      <c r="J8808" s="571"/>
      <c r="K8808" s="571"/>
      <c r="L8808" s="571"/>
      <c r="M8808" s="571"/>
    </row>
    <row r="8809" ht="15" customHeight="1" spans="3:13">
      <c r="C8809" s="76"/>
      <c r="D8809" s="75" t="s">
        <v>63</v>
      </c>
      <c r="E8809" s="76" t="s">
        <v>64</v>
      </c>
      <c r="F8809" s="76" t="s">
        <v>65</v>
      </c>
      <c r="G8809" s="76" t="s">
        <v>2889</v>
      </c>
      <c r="H8809" s="76"/>
      <c r="I8809" s="77" t="s">
        <v>66</v>
      </c>
      <c r="J8809" s="75" t="s">
        <v>67</v>
      </c>
      <c r="K8809" s="75" t="s">
        <v>2890</v>
      </c>
      <c r="L8809" s="75" t="s">
        <v>68</v>
      </c>
      <c r="M8809" s="75" t="s">
        <v>70</v>
      </c>
    </row>
    <row r="8810" ht="46.25" customHeight="1" spans="3:13">
      <c r="C8810" s="569" t="s">
        <v>2891</v>
      </c>
      <c r="D8810" s="570" t="s">
        <v>5475</v>
      </c>
      <c r="E8810" s="569" t="s">
        <v>139</v>
      </c>
      <c r="F8810" s="569" t="s">
        <v>5476</v>
      </c>
      <c r="G8810" s="569" t="s">
        <v>5464</v>
      </c>
      <c r="H8810" s="569"/>
      <c r="I8810" s="577" t="s">
        <v>2897</v>
      </c>
      <c r="J8810" s="578">
        <v>1</v>
      </c>
      <c r="K8810" s="579"/>
      <c r="L8810" s="579">
        <v>0.33</v>
      </c>
      <c r="M8810" s="579">
        <v>0.33</v>
      </c>
    </row>
    <row r="8811" ht="35.05" customHeight="1" spans="3:13">
      <c r="C8811" s="100" t="s">
        <v>2893</v>
      </c>
      <c r="D8811" s="99" t="s">
        <v>5483</v>
      </c>
      <c r="E8811" s="100" t="s">
        <v>139</v>
      </c>
      <c r="F8811" s="100" t="s">
        <v>5484</v>
      </c>
      <c r="G8811" s="100" t="s">
        <v>3680</v>
      </c>
      <c r="H8811" s="100"/>
      <c r="I8811" s="101" t="s">
        <v>134</v>
      </c>
      <c r="J8811" s="580">
        <v>1.48e-5</v>
      </c>
      <c r="K8811" s="580">
        <v>0</v>
      </c>
      <c r="L8811" s="102">
        <v>22576.27</v>
      </c>
      <c r="M8811" s="102">
        <v>0.33</v>
      </c>
    </row>
    <row r="8812" ht="25.5" spans="3:13">
      <c r="C8812" s="108"/>
      <c r="D8812" s="108"/>
      <c r="E8812" s="108"/>
      <c r="F8812" s="108"/>
      <c r="G8812" s="108"/>
      <c r="H8812" s="108" t="s">
        <v>2898</v>
      </c>
      <c r="I8812" s="581">
        <v>0</v>
      </c>
      <c r="J8812" s="108" t="s">
        <v>2899</v>
      </c>
      <c r="K8812" s="581">
        <v>0</v>
      </c>
      <c r="L8812" s="108" t="s">
        <v>2900</v>
      </c>
      <c r="M8812" s="581">
        <v>0</v>
      </c>
    </row>
    <row r="8813" ht="26.25" spans="3:13">
      <c r="C8813" s="108"/>
      <c r="D8813" s="108"/>
      <c r="E8813" s="108"/>
      <c r="F8813" s="108"/>
      <c r="G8813" s="108"/>
      <c r="H8813" s="108" t="s">
        <v>2901</v>
      </c>
      <c r="I8813" s="581">
        <v>0.08</v>
      </c>
      <c r="J8813" s="114"/>
      <c r="K8813" s="114" t="s">
        <v>2902</v>
      </c>
      <c r="L8813" s="108"/>
      <c r="M8813" s="581">
        <v>0.41</v>
      </c>
    </row>
    <row r="8814" ht="15" spans="3:13">
      <c r="C8814" s="571"/>
      <c r="D8814" s="571"/>
      <c r="E8814" s="571"/>
      <c r="F8814" s="571"/>
      <c r="G8814" s="571"/>
      <c r="H8814" s="571"/>
      <c r="I8814" s="571"/>
      <c r="J8814" s="571"/>
      <c r="K8814" s="571"/>
      <c r="L8814" s="571"/>
      <c r="M8814" s="571"/>
    </row>
    <row r="8815" ht="15" customHeight="1" spans="3:13">
      <c r="C8815" s="76"/>
      <c r="D8815" s="75" t="s">
        <v>63</v>
      </c>
      <c r="E8815" s="76" t="s">
        <v>64</v>
      </c>
      <c r="F8815" s="76" t="s">
        <v>65</v>
      </c>
      <c r="G8815" s="76" t="s">
        <v>2889</v>
      </c>
      <c r="H8815" s="76"/>
      <c r="I8815" s="77" t="s">
        <v>66</v>
      </c>
      <c r="J8815" s="75" t="s">
        <v>67</v>
      </c>
      <c r="K8815" s="75" t="s">
        <v>2890</v>
      </c>
      <c r="L8815" s="75" t="s">
        <v>68</v>
      </c>
      <c r="M8815" s="75" t="s">
        <v>70</v>
      </c>
    </row>
    <row r="8816" ht="46.25" customHeight="1" spans="3:13">
      <c r="C8816" s="569" t="s">
        <v>2891</v>
      </c>
      <c r="D8816" s="570" t="s">
        <v>5479</v>
      </c>
      <c r="E8816" s="569" t="s">
        <v>139</v>
      </c>
      <c r="F8816" s="569" t="s">
        <v>5480</v>
      </c>
      <c r="G8816" s="569" t="s">
        <v>5464</v>
      </c>
      <c r="H8816" s="569"/>
      <c r="I8816" s="577" t="s">
        <v>2897</v>
      </c>
      <c r="J8816" s="578">
        <v>1</v>
      </c>
      <c r="K8816" s="579"/>
      <c r="L8816" s="579">
        <v>1.58</v>
      </c>
      <c r="M8816" s="579">
        <v>1.58</v>
      </c>
    </row>
    <row r="8817" ht="35.05" customHeight="1" spans="3:13">
      <c r="C8817" s="100" t="s">
        <v>2893</v>
      </c>
      <c r="D8817" s="99" t="s">
        <v>5483</v>
      </c>
      <c r="E8817" s="100" t="s">
        <v>139</v>
      </c>
      <c r="F8817" s="100" t="s">
        <v>5484</v>
      </c>
      <c r="G8817" s="100" t="s">
        <v>3680</v>
      </c>
      <c r="H8817" s="100"/>
      <c r="I8817" s="101" t="s">
        <v>134</v>
      </c>
      <c r="J8817" s="580">
        <v>7e-5</v>
      </c>
      <c r="K8817" s="580">
        <v>0</v>
      </c>
      <c r="L8817" s="102">
        <v>22576.27</v>
      </c>
      <c r="M8817" s="102">
        <v>1.58</v>
      </c>
    </row>
    <row r="8818" ht="25.5" spans="3:13">
      <c r="C8818" s="108"/>
      <c r="D8818" s="108"/>
      <c r="E8818" s="108"/>
      <c r="F8818" s="108"/>
      <c r="G8818" s="108"/>
      <c r="H8818" s="108" t="s">
        <v>2898</v>
      </c>
      <c r="I8818" s="581">
        <v>0</v>
      </c>
      <c r="J8818" s="108" t="s">
        <v>2899</v>
      </c>
      <c r="K8818" s="581">
        <v>0</v>
      </c>
      <c r="L8818" s="108" t="s">
        <v>2900</v>
      </c>
      <c r="M8818" s="581">
        <v>0</v>
      </c>
    </row>
    <row r="8819" ht="26.25" spans="3:13">
      <c r="C8819" s="108"/>
      <c r="D8819" s="108"/>
      <c r="E8819" s="108"/>
      <c r="F8819" s="108"/>
      <c r="G8819" s="108"/>
      <c r="H8819" s="108" t="s">
        <v>2901</v>
      </c>
      <c r="I8819" s="581">
        <v>0.4</v>
      </c>
      <c r="J8819" s="114"/>
      <c r="K8819" s="114" t="s">
        <v>2902</v>
      </c>
      <c r="L8819" s="108"/>
      <c r="M8819" s="581">
        <v>1.98</v>
      </c>
    </row>
    <row r="8820" ht="15" spans="3:13">
      <c r="C8820" s="571"/>
      <c r="D8820" s="571"/>
      <c r="E8820" s="571"/>
      <c r="F8820" s="571"/>
      <c r="G8820" s="571"/>
      <c r="H8820" s="571"/>
      <c r="I8820" s="571"/>
      <c r="J8820" s="571"/>
      <c r="K8820" s="571"/>
      <c r="L8820" s="571"/>
      <c r="M8820" s="571"/>
    </row>
    <row r="8821" ht="15" customHeight="1" spans="3:13">
      <c r="C8821" s="76"/>
      <c r="D8821" s="75" t="s">
        <v>63</v>
      </c>
      <c r="E8821" s="76" t="s">
        <v>64</v>
      </c>
      <c r="F8821" s="76" t="s">
        <v>65</v>
      </c>
      <c r="G8821" s="76" t="s">
        <v>2889</v>
      </c>
      <c r="H8821" s="76"/>
      <c r="I8821" s="77" t="s">
        <v>66</v>
      </c>
      <c r="J8821" s="75" t="s">
        <v>67</v>
      </c>
      <c r="K8821" s="75" t="s">
        <v>2890</v>
      </c>
      <c r="L8821" s="75" t="s">
        <v>68</v>
      </c>
      <c r="M8821" s="75" t="s">
        <v>70</v>
      </c>
    </row>
    <row r="8822" ht="46.25" customHeight="1" spans="3:13">
      <c r="C8822" s="569" t="s">
        <v>2891</v>
      </c>
      <c r="D8822" s="570" t="s">
        <v>5481</v>
      </c>
      <c r="E8822" s="569" t="s">
        <v>139</v>
      </c>
      <c r="F8822" s="569" t="s">
        <v>5482</v>
      </c>
      <c r="G8822" s="569" t="s">
        <v>5464</v>
      </c>
      <c r="H8822" s="569"/>
      <c r="I8822" s="577" t="s">
        <v>2897</v>
      </c>
      <c r="J8822" s="578">
        <v>1</v>
      </c>
      <c r="K8822" s="579"/>
      <c r="L8822" s="579">
        <v>2.87</v>
      </c>
      <c r="M8822" s="579">
        <v>2.87</v>
      </c>
    </row>
    <row r="8823" ht="15" customHeight="1" spans="3:13">
      <c r="C8823" s="100" t="s">
        <v>2893</v>
      </c>
      <c r="D8823" s="99" t="s">
        <v>5473</v>
      </c>
      <c r="E8823" s="100" t="s">
        <v>139</v>
      </c>
      <c r="F8823" s="100" t="s">
        <v>5474</v>
      </c>
      <c r="G8823" s="100" t="s">
        <v>5444</v>
      </c>
      <c r="H8823" s="100"/>
      <c r="I8823" s="101" t="s">
        <v>5228</v>
      </c>
      <c r="J8823" s="580">
        <v>2.5</v>
      </c>
      <c r="K8823" s="580">
        <v>0</v>
      </c>
      <c r="L8823" s="102">
        <v>1.15</v>
      </c>
      <c r="M8823" s="102">
        <v>2.87</v>
      </c>
    </row>
    <row r="8824" ht="25.5" spans="3:13">
      <c r="C8824" s="108"/>
      <c r="D8824" s="108"/>
      <c r="E8824" s="108"/>
      <c r="F8824" s="108"/>
      <c r="G8824" s="108"/>
      <c r="H8824" s="108" t="s">
        <v>2898</v>
      </c>
      <c r="I8824" s="581">
        <v>0</v>
      </c>
      <c r="J8824" s="108" t="s">
        <v>2899</v>
      </c>
      <c r="K8824" s="581">
        <v>0</v>
      </c>
      <c r="L8824" s="108" t="s">
        <v>2900</v>
      </c>
      <c r="M8824" s="581">
        <v>0</v>
      </c>
    </row>
    <row r="8825" ht="26.25" spans="3:13">
      <c r="C8825" s="108"/>
      <c r="D8825" s="108"/>
      <c r="E8825" s="108"/>
      <c r="F8825" s="108"/>
      <c r="G8825" s="108"/>
      <c r="H8825" s="108" t="s">
        <v>2901</v>
      </c>
      <c r="I8825" s="581">
        <v>0.73</v>
      </c>
      <c r="J8825" s="114"/>
      <c r="K8825" s="114" t="s">
        <v>2902</v>
      </c>
      <c r="L8825" s="108"/>
      <c r="M8825" s="581">
        <v>3.6</v>
      </c>
    </row>
    <row r="8826" ht="15" spans="3:13">
      <c r="C8826" s="571"/>
      <c r="D8826" s="571"/>
      <c r="E8826" s="571"/>
      <c r="F8826" s="571"/>
      <c r="G8826" s="571"/>
      <c r="H8826" s="571"/>
      <c r="I8826" s="571"/>
      <c r="J8826" s="571"/>
      <c r="K8826" s="571"/>
      <c r="L8826" s="571"/>
      <c r="M8826" s="571"/>
    </row>
    <row r="8827" ht="15" customHeight="1" spans="3:13">
      <c r="C8827" s="76"/>
      <c r="D8827" s="75" t="s">
        <v>63</v>
      </c>
      <c r="E8827" s="76" t="s">
        <v>64</v>
      </c>
      <c r="F8827" s="76" t="s">
        <v>65</v>
      </c>
      <c r="G8827" s="76" t="s">
        <v>2889</v>
      </c>
      <c r="H8827" s="76"/>
      <c r="I8827" s="77" t="s">
        <v>66</v>
      </c>
      <c r="J8827" s="75" t="s">
        <v>67</v>
      </c>
      <c r="K8827" s="75" t="s">
        <v>2890</v>
      </c>
      <c r="L8827" s="75" t="s">
        <v>68</v>
      </c>
      <c r="M8827" s="75" t="s">
        <v>70</v>
      </c>
    </row>
    <row r="8828" ht="38.25" spans="3:13">
      <c r="C8828" s="569" t="s">
        <v>2891</v>
      </c>
      <c r="D8828" s="570" t="s">
        <v>5354</v>
      </c>
      <c r="E8828" s="569" t="s">
        <v>77</v>
      </c>
      <c r="F8828" s="569" t="s">
        <v>5355</v>
      </c>
      <c r="G8828" s="569">
        <v>19</v>
      </c>
      <c r="H8828" s="569"/>
      <c r="I8828" s="577" t="s">
        <v>2897</v>
      </c>
      <c r="J8828" s="578">
        <v>1</v>
      </c>
      <c r="K8828" s="579"/>
      <c r="L8828" s="579">
        <v>11.78</v>
      </c>
      <c r="M8828" s="579">
        <v>11.78</v>
      </c>
    </row>
    <row r="8829" ht="15" customHeight="1" spans="3:13">
      <c r="C8829" s="100" t="s">
        <v>2893</v>
      </c>
      <c r="D8829" s="99" t="s">
        <v>5485</v>
      </c>
      <c r="E8829" s="100" t="s">
        <v>77</v>
      </c>
      <c r="F8829" s="100" t="s">
        <v>5486</v>
      </c>
      <c r="G8829" s="100" t="s">
        <v>2961</v>
      </c>
      <c r="H8829" s="100"/>
      <c r="I8829" s="101" t="s">
        <v>3084</v>
      </c>
      <c r="J8829" s="580">
        <v>1.5</v>
      </c>
      <c r="K8829" s="580">
        <v>0</v>
      </c>
      <c r="L8829" s="102">
        <v>5.98</v>
      </c>
      <c r="M8829" s="102">
        <v>8.97</v>
      </c>
    </row>
    <row r="8830" ht="15" customHeight="1" spans="3:13">
      <c r="C8830" s="100" t="s">
        <v>2893</v>
      </c>
      <c r="D8830" s="99" t="s">
        <v>5487</v>
      </c>
      <c r="E8830" s="100" t="s">
        <v>77</v>
      </c>
      <c r="F8830" s="100" t="s">
        <v>5488</v>
      </c>
      <c r="G8830" s="100" t="s">
        <v>2961</v>
      </c>
      <c r="H8830" s="100"/>
      <c r="I8830" s="101" t="s">
        <v>393</v>
      </c>
      <c r="J8830" s="580">
        <v>0.01</v>
      </c>
      <c r="K8830" s="580">
        <v>0</v>
      </c>
      <c r="L8830" s="102">
        <v>11.39</v>
      </c>
      <c r="M8830" s="102">
        <v>0.11</v>
      </c>
    </row>
    <row r="8831" ht="23.85" customHeight="1" spans="3:13">
      <c r="C8831" s="100" t="s">
        <v>2893</v>
      </c>
      <c r="D8831" s="99" t="s">
        <v>5489</v>
      </c>
      <c r="E8831" s="100" t="s">
        <v>77</v>
      </c>
      <c r="F8831" s="100" t="s">
        <v>5490</v>
      </c>
      <c r="G8831" s="100" t="s">
        <v>3395</v>
      </c>
      <c r="H8831" s="100"/>
      <c r="I8831" s="101" t="s">
        <v>134</v>
      </c>
      <c r="J8831" s="580">
        <v>0.00028</v>
      </c>
      <c r="K8831" s="580">
        <v>0</v>
      </c>
      <c r="L8831" s="102">
        <v>6623.23</v>
      </c>
      <c r="M8831" s="102">
        <v>1.85</v>
      </c>
    </row>
    <row r="8832" ht="23.85" customHeight="1" spans="3:13">
      <c r="C8832" s="100" t="s">
        <v>2893</v>
      </c>
      <c r="D8832" s="99" t="s">
        <v>5491</v>
      </c>
      <c r="E8832" s="100" t="s">
        <v>77</v>
      </c>
      <c r="F8832" s="100" t="s">
        <v>5492</v>
      </c>
      <c r="G8832" s="100" t="s">
        <v>2961</v>
      </c>
      <c r="H8832" s="100"/>
      <c r="I8832" s="101" t="s">
        <v>3084</v>
      </c>
      <c r="J8832" s="580">
        <v>0.03</v>
      </c>
      <c r="K8832" s="580">
        <v>0</v>
      </c>
      <c r="L8832" s="102">
        <v>28.49</v>
      </c>
      <c r="M8832" s="102">
        <v>0.85</v>
      </c>
    </row>
    <row r="8833" ht="25.5" spans="3:13">
      <c r="C8833" s="108"/>
      <c r="D8833" s="108"/>
      <c r="E8833" s="108"/>
      <c r="F8833" s="108"/>
      <c r="G8833" s="108"/>
      <c r="H8833" s="108" t="s">
        <v>2898</v>
      </c>
      <c r="I8833" s="581">
        <v>0</v>
      </c>
      <c r="J8833" s="108" t="s">
        <v>2899</v>
      </c>
      <c r="K8833" s="581">
        <v>0</v>
      </c>
      <c r="L8833" s="108" t="s">
        <v>2900</v>
      </c>
      <c r="M8833" s="581">
        <v>0</v>
      </c>
    </row>
    <row r="8834" ht="26.25" spans="3:13">
      <c r="C8834" s="108"/>
      <c r="D8834" s="108"/>
      <c r="E8834" s="108"/>
      <c r="F8834" s="108"/>
      <c r="G8834" s="108"/>
      <c r="H8834" s="108" t="s">
        <v>2901</v>
      </c>
      <c r="I8834" s="581">
        <v>3</v>
      </c>
      <c r="J8834" s="114"/>
      <c r="K8834" s="114" t="s">
        <v>2902</v>
      </c>
      <c r="L8834" s="108"/>
      <c r="M8834" s="581">
        <v>14.78</v>
      </c>
    </row>
    <row r="8835" ht="15" spans="3:13">
      <c r="C8835" s="571"/>
      <c r="D8835" s="571"/>
      <c r="E8835" s="571"/>
      <c r="F8835" s="571"/>
      <c r="G8835" s="571"/>
      <c r="H8835" s="571"/>
      <c r="I8835" s="571"/>
      <c r="J8835" s="571"/>
      <c r="K8835" s="571"/>
      <c r="L8835" s="571"/>
      <c r="M8835" s="571"/>
    </row>
    <row r="8836" ht="15" customHeight="1" spans="3:13">
      <c r="C8836" s="76"/>
      <c r="D8836" s="75" t="s">
        <v>63</v>
      </c>
      <c r="E8836" s="76" t="s">
        <v>64</v>
      </c>
      <c r="F8836" s="76" t="s">
        <v>65</v>
      </c>
      <c r="G8836" s="76" t="s">
        <v>2889</v>
      </c>
      <c r="H8836" s="76"/>
      <c r="I8836" s="77" t="s">
        <v>66</v>
      </c>
      <c r="J8836" s="75" t="s">
        <v>67</v>
      </c>
      <c r="K8836" s="75" t="s">
        <v>2890</v>
      </c>
      <c r="L8836" s="75" t="s">
        <v>68</v>
      </c>
      <c r="M8836" s="75" t="s">
        <v>70</v>
      </c>
    </row>
    <row r="8837" ht="38.25" spans="3:13">
      <c r="C8837" s="569" t="s">
        <v>2891</v>
      </c>
      <c r="D8837" s="570" t="s">
        <v>5356</v>
      </c>
      <c r="E8837" s="569" t="s">
        <v>77</v>
      </c>
      <c r="F8837" s="569" t="s">
        <v>5357</v>
      </c>
      <c r="G8837" s="569">
        <v>19</v>
      </c>
      <c r="H8837" s="569"/>
      <c r="I8837" s="577" t="s">
        <v>2897</v>
      </c>
      <c r="J8837" s="578">
        <v>1</v>
      </c>
      <c r="K8837" s="579"/>
      <c r="L8837" s="579">
        <v>1.19</v>
      </c>
      <c r="M8837" s="579">
        <v>1.19</v>
      </c>
    </row>
    <row r="8838" ht="23.85" customHeight="1" spans="3:13">
      <c r="C8838" s="100" t="s">
        <v>2893</v>
      </c>
      <c r="D8838" s="99" t="s">
        <v>5489</v>
      </c>
      <c r="E8838" s="100" t="s">
        <v>77</v>
      </c>
      <c r="F8838" s="100" t="s">
        <v>5490</v>
      </c>
      <c r="G8838" s="100" t="s">
        <v>3395</v>
      </c>
      <c r="H8838" s="100"/>
      <c r="I8838" s="101" t="s">
        <v>134</v>
      </c>
      <c r="J8838" s="580">
        <v>0.00018</v>
      </c>
      <c r="K8838" s="580">
        <v>0</v>
      </c>
      <c r="L8838" s="102">
        <v>6623.23</v>
      </c>
      <c r="M8838" s="102">
        <v>1.19</v>
      </c>
    </row>
    <row r="8839" ht="25.5" spans="3:13">
      <c r="C8839" s="108"/>
      <c r="D8839" s="108"/>
      <c r="E8839" s="108"/>
      <c r="F8839" s="108"/>
      <c r="G8839" s="108"/>
      <c r="H8839" s="108" t="s">
        <v>2898</v>
      </c>
      <c r="I8839" s="581">
        <v>0</v>
      </c>
      <c r="J8839" s="108" t="s">
        <v>2899</v>
      </c>
      <c r="K8839" s="581">
        <v>0</v>
      </c>
      <c r="L8839" s="108" t="s">
        <v>2900</v>
      </c>
      <c r="M8839" s="581">
        <v>0</v>
      </c>
    </row>
    <row r="8840" ht="26.25" spans="3:13">
      <c r="C8840" s="108"/>
      <c r="D8840" s="108"/>
      <c r="E8840" s="108"/>
      <c r="F8840" s="108"/>
      <c r="G8840" s="108"/>
      <c r="H8840" s="108" t="s">
        <v>2901</v>
      </c>
      <c r="I8840" s="581">
        <v>0.3</v>
      </c>
      <c r="J8840" s="114"/>
      <c r="K8840" s="114" t="s">
        <v>2902</v>
      </c>
      <c r="L8840" s="108"/>
      <c r="M8840" s="581">
        <v>1.49</v>
      </c>
    </row>
    <row r="8841" ht="15" spans="3:13">
      <c r="C8841" s="571"/>
      <c r="D8841" s="571"/>
      <c r="E8841" s="571"/>
      <c r="F8841" s="571"/>
      <c r="G8841" s="571"/>
      <c r="H8841" s="571"/>
      <c r="I8841" s="571"/>
      <c r="J8841" s="571"/>
      <c r="K8841" s="571"/>
      <c r="L8841" s="571"/>
      <c r="M8841" s="571"/>
    </row>
    <row r="8842" ht="15" customHeight="1" spans="3:13">
      <c r="C8842" s="76"/>
      <c r="D8842" s="75" t="s">
        <v>63</v>
      </c>
      <c r="E8842" s="76" t="s">
        <v>64</v>
      </c>
      <c r="F8842" s="76" t="s">
        <v>65</v>
      </c>
      <c r="G8842" s="76" t="s">
        <v>2889</v>
      </c>
      <c r="H8842" s="76"/>
      <c r="I8842" s="77" t="s">
        <v>66</v>
      </c>
      <c r="J8842" s="75" t="s">
        <v>67</v>
      </c>
      <c r="K8842" s="75" t="s">
        <v>2890</v>
      </c>
      <c r="L8842" s="75" t="s">
        <v>68</v>
      </c>
      <c r="M8842" s="75" t="s">
        <v>70</v>
      </c>
    </row>
    <row r="8843" ht="38.25" spans="3:13">
      <c r="C8843" s="569" t="s">
        <v>2891</v>
      </c>
      <c r="D8843" s="570" t="s">
        <v>5493</v>
      </c>
      <c r="E8843" s="569" t="s">
        <v>77</v>
      </c>
      <c r="F8843" s="569" t="s">
        <v>5494</v>
      </c>
      <c r="G8843" s="569">
        <v>19</v>
      </c>
      <c r="H8843" s="569"/>
      <c r="I8843" s="577" t="s">
        <v>2897</v>
      </c>
      <c r="J8843" s="578">
        <v>1</v>
      </c>
      <c r="K8843" s="579"/>
      <c r="L8843" s="579">
        <v>58.94</v>
      </c>
      <c r="M8843" s="579">
        <v>58.94</v>
      </c>
    </row>
    <row r="8844" ht="35.05" customHeight="1" spans="3:13">
      <c r="C8844" s="100" t="s">
        <v>2893</v>
      </c>
      <c r="D8844" s="99" t="s">
        <v>5495</v>
      </c>
      <c r="E8844" s="100" t="s">
        <v>77</v>
      </c>
      <c r="F8844" s="100" t="s">
        <v>5496</v>
      </c>
      <c r="G8844" s="100" t="s">
        <v>3395</v>
      </c>
      <c r="H8844" s="100"/>
      <c r="I8844" s="101" t="s">
        <v>134</v>
      </c>
      <c r="J8844" s="580">
        <v>0.0002167</v>
      </c>
      <c r="K8844" s="580">
        <v>12</v>
      </c>
      <c r="L8844" s="102">
        <v>227000</v>
      </c>
      <c r="M8844" s="102">
        <v>55.09</v>
      </c>
    </row>
    <row r="8845" ht="15" customHeight="1" spans="3:13">
      <c r="C8845" s="100" t="s">
        <v>2893</v>
      </c>
      <c r="D8845" s="99" t="s">
        <v>5497</v>
      </c>
      <c r="E8845" s="100" t="s">
        <v>77</v>
      </c>
      <c r="F8845" s="100" t="s">
        <v>5498</v>
      </c>
      <c r="G8845" s="100" t="s">
        <v>2961</v>
      </c>
      <c r="H8845" s="100"/>
      <c r="I8845" s="101" t="s">
        <v>5228</v>
      </c>
      <c r="J8845" s="580">
        <v>3.5</v>
      </c>
      <c r="K8845" s="580">
        <v>0</v>
      </c>
      <c r="L8845" s="102">
        <v>1.1</v>
      </c>
      <c r="M8845" s="102">
        <v>3.85</v>
      </c>
    </row>
    <row r="8846" ht="25.5" spans="3:13">
      <c r="C8846" s="108"/>
      <c r="D8846" s="108"/>
      <c r="E8846" s="108"/>
      <c r="F8846" s="108"/>
      <c r="G8846" s="108"/>
      <c r="H8846" s="108" t="s">
        <v>2898</v>
      </c>
      <c r="I8846" s="581">
        <v>0</v>
      </c>
      <c r="J8846" s="108" t="s">
        <v>2899</v>
      </c>
      <c r="K8846" s="581">
        <v>0</v>
      </c>
      <c r="L8846" s="108" t="s">
        <v>2900</v>
      </c>
      <c r="M8846" s="581">
        <v>0</v>
      </c>
    </row>
    <row r="8847" ht="26.25" spans="3:13">
      <c r="C8847" s="108"/>
      <c r="D8847" s="108"/>
      <c r="E8847" s="108"/>
      <c r="F8847" s="108"/>
      <c r="G8847" s="108"/>
      <c r="H8847" s="108" t="s">
        <v>2901</v>
      </c>
      <c r="I8847" s="581">
        <v>15.02</v>
      </c>
      <c r="J8847" s="114"/>
      <c r="K8847" s="114" t="s">
        <v>2902</v>
      </c>
      <c r="L8847" s="108"/>
      <c r="M8847" s="581">
        <v>73.96</v>
      </c>
    </row>
    <row r="8848" ht="15" spans="3:13">
      <c r="C8848" s="571"/>
      <c r="D8848" s="571"/>
      <c r="E8848" s="571"/>
      <c r="F8848" s="571"/>
      <c r="G8848" s="571"/>
      <c r="H8848" s="571"/>
      <c r="I8848" s="571"/>
      <c r="J8848" s="571"/>
      <c r="K8848" s="571"/>
      <c r="L8848" s="571"/>
      <c r="M8848" s="571"/>
    </row>
    <row r="8849" ht="15" customHeight="1" spans="3:13">
      <c r="C8849" s="76"/>
      <c r="D8849" s="75" t="s">
        <v>63</v>
      </c>
      <c r="E8849" s="76" t="s">
        <v>64</v>
      </c>
      <c r="F8849" s="76" t="s">
        <v>65</v>
      </c>
      <c r="G8849" s="76" t="s">
        <v>2889</v>
      </c>
      <c r="H8849" s="76"/>
      <c r="I8849" s="77" t="s">
        <v>66</v>
      </c>
      <c r="J8849" s="75" t="s">
        <v>67</v>
      </c>
      <c r="K8849" s="75" t="s">
        <v>2890</v>
      </c>
      <c r="L8849" s="75" t="s">
        <v>68</v>
      </c>
      <c r="M8849" s="75" t="s">
        <v>70</v>
      </c>
    </row>
    <row r="8850" ht="38.25" spans="3:13">
      <c r="C8850" s="569" t="s">
        <v>2891</v>
      </c>
      <c r="D8850" s="570" t="s">
        <v>5499</v>
      </c>
      <c r="E8850" s="569" t="s">
        <v>77</v>
      </c>
      <c r="F8850" s="569" t="s">
        <v>5494</v>
      </c>
      <c r="G8850" s="569">
        <v>19</v>
      </c>
      <c r="H8850" s="569"/>
      <c r="I8850" s="577" t="s">
        <v>2897</v>
      </c>
      <c r="J8850" s="578">
        <v>1</v>
      </c>
      <c r="K8850" s="579"/>
      <c r="L8850" s="579">
        <v>38.13</v>
      </c>
      <c r="M8850" s="579">
        <v>38.13</v>
      </c>
    </row>
    <row r="8851" ht="35.05" customHeight="1" spans="3:13">
      <c r="C8851" s="100" t="s">
        <v>2893</v>
      </c>
      <c r="D8851" s="99" t="s">
        <v>5495</v>
      </c>
      <c r="E8851" s="100" t="s">
        <v>77</v>
      </c>
      <c r="F8851" s="100" t="s">
        <v>5496</v>
      </c>
      <c r="G8851" s="100" t="s">
        <v>3395</v>
      </c>
      <c r="H8851" s="100"/>
      <c r="I8851" s="101" t="s">
        <v>134</v>
      </c>
      <c r="J8851" s="580">
        <v>0.00015</v>
      </c>
      <c r="K8851" s="580">
        <v>12</v>
      </c>
      <c r="L8851" s="102">
        <v>227000</v>
      </c>
      <c r="M8851" s="102">
        <v>38.13</v>
      </c>
    </row>
    <row r="8852" ht="25.5" spans="3:13">
      <c r="C8852" s="108"/>
      <c r="D8852" s="108"/>
      <c r="E8852" s="108"/>
      <c r="F8852" s="108"/>
      <c r="G8852" s="108"/>
      <c r="H8852" s="108" t="s">
        <v>2898</v>
      </c>
      <c r="I8852" s="581">
        <v>0</v>
      </c>
      <c r="J8852" s="108" t="s">
        <v>2899</v>
      </c>
      <c r="K8852" s="581">
        <v>0</v>
      </c>
      <c r="L8852" s="108" t="s">
        <v>2900</v>
      </c>
      <c r="M8852" s="581">
        <v>0</v>
      </c>
    </row>
    <row r="8853" ht="26.25" spans="3:13">
      <c r="C8853" s="108"/>
      <c r="D8853" s="108"/>
      <c r="E8853" s="108"/>
      <c r="F8853" s="108"/>
      <c r="G8853" s="108"/>
      <c r="H8853" s="108" t="s">
        <v>2901</v>
      </c>
      <c r="I8853" s="581">
        <v>9.71</v>
      </c>
      <c r="J8853" s="114"/>
      <c r="K8853" s="114" t="s">
        <v>2902</v>
      </c>
      <c r="L8853" s="108"/>
      <c r="M8853" s="581">
        <v>47.84</v>
      </c>
    </row>
    <row r="8854" ht="15" spans="3:13">
      <c r="C8854" s="571"/>
      <c r="D8854" s="571"/>
      <c r="E8854" s="571"/>
      <c r="F8854" s="571"/>
      <c r="G8854" s="571"/>
      <c r="H8854" s="571"/>
      <c r="I8854" s="571"/>
      <c r="J8854" s="571"/>
      <c r="K8854" s="571"/>
      <c r="L8854" s="571"/>
      <c r="M8854" s="571"/>
    </row>
    <row r="8855" ht="15" customHeight="1" spans="3:13">
      <c r="C8855" s="76"/>
      <c r="D8855" s="75" t="s">
        <v>63</v>
      </c>
      <c r="E8855" s="76" t="s">
        <v>64</v>
      </c>
      <c r="F8855" s="76" t="s">
        <v>65</v>
      </c>
      <c r="G8855" s="76" t="s">
        <v>2889</v>
      </c>
      <c r="H8855" s="76"/>
      <c r="I8855" s="77" t="s">
        <v>66</v>
      </c>
      <c r="J8855" s="75" t="s">
        <v>67</v>
      </c>
      <c r="K8855" s="75" t="s">
        <v>2890</v>
      </c>
      <c r="L8855" s="75" t="s">
        <v>68</v>
      </c>
      <c r="M8855" s="75" t="s">
        <v>70</v>
      </c>
    </row>
    <row r="8856" ht="35.05" customHeight="1" spans="3:13">
      <c r="C8856" s="569" t="s">
        <v>2891</v>
      </c>
      <c r="D8856" s="570" t="s">
        <v>5500</v>
      </c>
      <c r="E8856" s="569" t="s">
        <v>796</v>
      </c>
      <c r="F8856" s="569" t="s">
        <v>5501</v>
      </c>
      <c r="G8856" s="569" t="s">
        <v>3668</v>
      </c>
      <c r="H8856" s="569"/>
      <c r="I8856" s="577" t="s">
        <v>3707</v>
      </c>
      <c r="J8856" s="578">
        <v>1</v>
      </c>
      <c r="K8856" s="579"/>
      <c r="L8856" s="579">
        <v>16.72</v>
      </c>
      <c r="M8856" s="579">
        <v>16.72</v>
      </c>
    </row>
    <row r="8857" ht="23.85" customHeight="1" spans="3:13">
      <c r="C8857" s="100" t="s">
        <v>2893</v>
      </c>
      <c r="D8857" s="99" t="s">
        <v>5502</v>
      </c>
      <c r="E8857" s="100" t="s">
        <v>796</v>
      </c>
      <c r="F8857" s="100" t="s">
        <v>5503</v>
      </c>
      <c r="G8857" s="100" t="s">
        <v>3395</v>
      </c>
      <c r="H8857" s="100"/>
      <c r="I8857" s="101" t="s">
        <v>334</v>
      </c>
      <c r="J8857" s="580">
        <v>0.0002285</v>
      </c>
      <c r="K8857" s="580">
        <v>0</v>
      </c>
      <c r="L8857" s="102">
        <v>34000</v>
      </c>
      <c r="M8857" s="102">
        <v>7.76</v>
      </c>
    </row>
    <row r="8858" ht="15" customHeight="1" spans="3:13">
      <c r="C8858" s="100" t="s">
        <v>2893</v>
      </c>
      <c r="D8858" s="99" t="s">
        <v>5504</v>
      </c>
      <c r="E8858" s="100" t="s">
        <v>796</v>
      </c>
      <c r="F8858" s="100" t="s">
        <v>5505</v>
      </c>
      <c r="G8858" s="100" t="s">
        <v>2961</v>
      </c>
      <c r="H8858" s="100"/>
      <c r="I8858" s="101" t="s">
        <v>5506</v>
      </c>
      <c r="J8858" s="580">
        <v>8</v>
      </c>
      <c r="K8858" s="580">
        <v>0</v>
      </c>
      <c r="L8858" s="102">
        <v>1.12</v>
      </c>
      <c r="M8858" s="102">
        <v>8.96</v>
      </c>
    </row>
    <row r="8859" ht="25.5" spans="3:13">
      <c r="C8859" s="108"/>
      <c r="D8859" s="108"/>
      <c r="E8859" s="108"/>
      <c r="F8859" s="108"/>
      <c r="G8859" s="108"/>
      <c r="H8859" s="108" t="s">
        <v>2898</v>
      </c>
      <c r="I8859" s="581">
        <v>0</v>
      </c>
      <c r="J8859" s="108" t="s">
        <v>2899</v>
      </c>
      <c r="K8859" s="581">
        <v>0</v>
      </c>
      <c r="L8859" s="108" t="s">
        <v>2900</v>
      </c>
      <c r="M8859" s="581">
        <v>0</v>
      </c>
    </row>
    <row r="8860" ht="26.25" spans="3:13">
      <c r="C8860" s="108"/>
      <c r="D8860" s="108"/>
      <c r="E8860" s="108"/>
      <c r="F8860" s="108"/>
      <c r="G8860" s="108"/>
      <c r="H8860" s="108" t="s">
        <v>2901</v>
      </c>
      <c r="I8860" s="581">
        <v>4.26</v>
      </c>
      <c r="J8860" s="114"/>
      <c r="K8860" s="114" t="s">
        <v>2902</v>
      </c>
      <c r="L8860" s="108"/>
      <c r="M8860" s="581">
        <v>20.98</v>
      </c>
    </row>
    <row r="8861" ht="15" spans="3:13">
      <c r="C8861" s="571"/>
      <c r="D8861" s="571"/>
      <c r="E8861" s="571"/>
      <c r="F8861" s="571"/>
      <c r="G8861" s="571"/>
      <c r="H8861" s="571"/>
      <c r="I8861" s="571"/>
      <c r="J8861" s="571"/>
      <c r="K8861" s="571"/>
      <c r="L8861" s="571"/>
      <c r="M8861" s="571"/>
    </row>
    <row r="8862" ht="15" customHeight="1" spans="3:13">
      <c r="C8862" s="76"/>
      <c r="D8862" s="75" t="s">
        <v>63</v>
      </c>
      <c r="E8862" s="76" t="s">
        <v>64</v>
      </c>
      <c r="F8862" s="76" t="s">
        <v>65</v>
      </c>
      <c r="G8862" s="76" t="s">
        <v>2889</v>
      </c>
      <c r="H8862" s="76"/>
      <c r="I8862" s="77" t="s">
        <v>66</v>
      </c>
      <c r="J8862" s="75" t="s">
        <v>67</v>
      </c>
      <c r="K8862" s="75" t="s">
        <v>2890</v>
      </c>
      <c r="L8862" s="75" t="s">
        <v>68</v>
      </c>
      <c r="M8862" s="75" t="s">
        <v>70</v>
      </c>
    </row>
    <row r="8863" ht="35.05" customHeight="1" spans="3:13">
      <c r="C8863" s="569" t="s">
        <v>2891</v>
      </c>
      <c r="D8863" s="570" t="s">
        <v>3236</v>
      </c>
      <c r="E8863" s="569" t="s">
        <v>139</v>
      </c>
      <c r="F8863" s="569" t="s">
        <v>3237</v>
      </c>
      <c r="G8863" s="569" t="s">
        <v>3150</v>
      </c>
      <c r="H8863" s="569"/>
      <c r="I8863" s="577" t="s">
        <v>204</v>
      </c>
      <c r="J8863" s="578">
        <v>1</v>
      </c>
      <c r="K8863" s="579"/>
      <c r="L8863" s="579">
        <v>3.49</v>
      </c>
      <c r="M8863" s="579">
        <v>3.49</v>
      </c>
    </row>
    <row r="8864" ht="23.85" customHeight="1" spans="3:13">
      <c r="C8864" s="79" t="s">
        <v>2921</v>
      </c>
      <c r="D8864" s="78" t="s">
        <v>3153</v>
      </c>
      <c r="E8864" s="79" t="s">
        <v>139</v>
      </c>
      <c r="F8864" s="79" t="s">
        <v>3154</v>
      </c>
      <c r="G8864" s="79" t="s">
        <v>2928</v>
      </c>
      <c r="H8864" s="79"/>
      <c r="I8864" s="80" t="s">
        <v>2897</v>
      </c>
      <c r="J8864" s="583">
        <v>0.023</v>
      </c>
      <c r="K8864" s="583">
        <v>0</v>
      </c>
      <c r="L8864" s="92">
        <v>30.6</v>
      </c>
      <c r="M8864" s="92">
        <v>0.7</v>
      </c>
    </row>
    <row r="8865" ht="23.85" customHeight="1" spans="3:13">
      <c r="C8865" s="79" t="s">
        <v>2921</v>
      </c>
      <c r="D8865" s="78" t="s">
        <v>3151</v>
      </c>
      <c r="E8865" s="79" t="s">
        <v>139</v>
      </c>
      <c r="F8865" s="79" t="s">
        <v>3152</v>
      </c>
      <c r="G8865" s="79" t="s">
        <v>2928</v>
      </c>
      <c r="H8865" s="79"/>
      <c r="I8865" s="80" t="s">
        <v>2897</v>
      </c>
      <c r="J8865" s="583">
        <v>0.023</v>
      </c>
      <c r="K8865" s="583">
        <v>0</v>
      </c>
      <c r="L8865" s="92">
        <v>36.82</v>
      </c>
      <c r="M8865" s="92">
        <v>0.84</v>
      </c>
    </row>
    <row r="8866" ht="23.85" customHeight="1" spans="3:13">
      <c r="C8866" s="100" t="s">
        <v>2893</v>
      </c>
      <c r="D8866" s="99" t="s">
        <v>3161</v>
      </c>
      <c r="E8866" s="100" t="s">
        <v>139</v>
      </c>
      <c r="F8866" s="100" t="s">
        <v>3162</v>
      </c>
      <c r="G8866" s="100" t="s">
        <v>2961</v>
      </c>
      <c r="H8866" s="100"/>
      <c r="I8866" s="101" t="s">
        <v>134</v>
      </c>
      <c r="J8866" s="580">
        <v>0.0094</v>
      </c>
      <c r="K8866" s="580">
        <v>0</v>
      </c>
      <c r="L8866" s="102">
        <v>10.55</v>
      </c>
      <c r="M8866" s="102">
        <v>0.09</v>
      </c>
    </row>
    <row r="8867" ht="23.85" customHeight="1" spans="3:13">
      <c r="C8867" s="100" t="s">
        <v>2893</v>
      </c>
      <c r="D8867" s="99" t="s">
        <v>5507</v>
      </c>
      <c r="E8867" s="100" t="s">
        <v>139</v>
      </c>
      <c r="F8867" s="100" t="s">
        <v>5508</v>
      </c>
      <c r="G8867" s="100" t="s">
        <v>2961</v>
      </c>
      <c r="H8867" s="100"/>
      <c r="I8867" s="101" t="s">
        <v>204</v>
      </c>
      <c r="J8867" s="580">
        <v>1.2434</v>
      </c>
      <c r="K8867" s="580">
        <v>0</v>
      </c>
      <c r="L8867" s="102">
        <v>1.5</v>
      </c>
      <c r="M8867" s="102">
        <v>1.86</v>
      </c>
    </row>
    <row r="8868" ht="25.5" spans="3:13">
      <c r="C8868" s="108"/>
      <c r="D8868" s="108"/>
      <c r="E8868" s="108"/>
      <c r="F8868" s="108"/>
      <c r="G8868" s="108"/>
      <c r="H8868" s="108" t="s">
        <v>2898</v>
      </c>
      <c r="I8868" s="581">
        <v>1.08</v>
      </c>
      <c r="J8868" s="108" t="s">
        <v>2899</v>
      </c>
      <c r="K8868" s="581">
        <v>0</v>
      </c>
      <c r="L8868" s="108" t="s">
        <v>2900</v>
      </c>
      <c r="M8868" s="581">
        <v>1.08</v>
      </c>
    </row>
    <row r="8869" ht="26.25" spans="3:13">
      <c r="C8869" s="108"/>
      <c r="D8869" s="108"/>
      <c r="E8869" s="108"/>
      <c r="F8869" s="108"/>
      <c r="G8869" s="108"/>
      <c r="H8869" s="108" t="s">
        <v>2901</v>
      </c>
      <c r="I8869" s="581">
        <v>0.88</v>
      </c>
      <c r="J8869" s="114"/>
      <c r="K8869" s="114" t="s">
        <v>2902</v>
      </c>
      <c r="L8869" s="108"/>
      <c r="M8869" s="581">
        <v>4.37</v>
      </c>
    </row>
    <row r="8870" ht="15" spans="3:13">
      <c r="C8870" s="571"/>
      <c r="D8870" s="571"/>
      <c r="E8870" s="571"/>
      <c r="F8870" s="571"/>
      <c r="G8870" s="571"/>
      <c r="H8870" s="571"/>
      <c r="I8870" s="571"/>
      <c r="J8870" s="571"/>
      <c r="K8870" s="571"/>
      <c r="L8870" s="571"/>
      <c r="M8870" s="571"/>
    </row>
    <row r="8871" ht="15" customHeight="1" spans="3:13">
      <c r="C8871" s="76"/>
      <c r="D8871" s="75" t="s">
        <v>63</v>
      </c>
      <c r="E8871" s="76" t="s">
        <v>64</v>
      </c>
      <c r="F8871" s="76" t="s">
        <v>65</v>
      </c>
      <c r="G8871" s="76" t="s">
        <v>2889</v>
      </c>
      <c r="H8871" s="76"/>
      <c r="I8871" s="77" t="s">
        <v>66</v>
      </c>
      <c r="J8871" s="75" t="s">
        <v>67</v>
      </c>
      <c r="K8871" s="75" t="s">
        <v>2890</v>
      </c>
      <c r="L8871" s="75" t="s">
        <v>68</v>
      </c>
      <c r="M8871" s="75" t="s">
        <v>70</v>
      </c>
    </row>
    <row r="8872" ht="35.05" customHeight="1" spans="3:13">
      <c r="C8872" s="569" t="s">
        <v>2891</v>
      </c>
      <c r="D8872" s="570" t="s">
        <v>3212</v>
      </c>
      <c r="E8872" s="569" t="s">
        <v>139</v>
      </c>
      <c r="F8872" s="569" t="s">
        <v>3213</v>
      </c>
      <c r="G8872" s="569" t="s">
        <v>3177</v>
      </c>
      <c r="H8872" s="569"/>
      <c r="I8872" s="577" t="s">
        <v>204</v>
      </c>
      <c r="J8872" s="578">
        <v>1</v>
      </c>
      <c r="K8872" s="579"/>
      <c r="L8872" s="579">
        <v>16.87</v>
      </c>
      <c r="M8872" s="579">
        <v>16.87</v>
      </c>
    </row>
    <row r="8873" ht="23.85" customHeight="1" spans="3:13">
      <c r="C8873" s="79" t="s">
        <v>2921</v>
      </c>
      <c r="D8873" s="78" t="s">
        <v>3153</v>
      </c>
      <c r="E8873" s="79" t="s">
        <v>139</v>
      </c>
      <c r="F8873" s="79" t="s">
        <v>3154</v>
      </c>
      <c r="G8873" s="79" t="s">
        <v>2928</v>
      </c>
      <c r="H8873" s="79"/>
      <c r="I8873" s="80" t="s">
        <v>2897</v>
      </c>
      <c r="J8873" s="583">
        <v>0.013</v>
      </c>
      <c r="K8873" s="583">
        <v>0</v>
      </c>
      <c r="L8873" s="92">
        <v>30.6</v>
      </c>
      <c r="M8873" s="92">
        <v>0.39</v>
      </c>
    </row>
    <row r="8874" ht="23.85" customHeight="1" spans="3:13">
      <c r="C8874" s="79" t="s">
        <v>2921</v>
      </c>
      <c r="D8874" s="78" t="s">
        <v>3151</v>
      </c>
      <c r="E8874" s="79" t="s">
        <v>139</v>
      </c>
      <c r="F8874" s="79" t="s">
        <v>3152</v>
      </c>
      <c r="G8874" s="79" t="s">
        <v>2928</v>
      </c>
      <c r="H8874" s="79"/>
      <c r="I8874" s="80" t="s">
        <v>2897</v>
      </c>
      <c r="J8874" s="583">
        <v>0.013</v>
      </c>
      <c r="K8874" s="583">
        <v>0</v>
      </c>
      <c r="L8874" s="92">
        <v>36.82</v>
      </c>
      <c r="M8874" s="92">
        <v>0.47</v>
      </c>
    </row>
    <row r="8875" ht="23.85" customHeight="1" spans="3:13">
      <c r="C8875" s="100" t="s">
        <v>2893</v>
      </c>
      <c r="D8875" s="99" t="s">
        <v>5509</v>
      </c>
      <c r="E8875" s="100" t="s">
        <v>139</v>
      </c>
      <c r="F8875" s="100" t="s">
        <v>5510</v>
      </c>
      <c r="G8875" s="100" t="s">
        <v>2961</v>
      </c>
      <c r="H8875" s="100"/>
      <c r="I8875" s="101" t="s">
        <v>204</v>
      </c>
      <c r="J8875" s="580">
        <v>1.027</v>
      </c>
      <c r="K8875" s="580">
        <v>0</v>
      </c>
      <c r="L8875" s="102">
        <v>15.5</v>
      </c>
      <c r="M8875" s="102">
        <v>15.91</v>
      </c>
    </row>
    <row r="8876" ht="23.85" customHeight="1" spans="3:13">
      <c r="C8876" s="100" t="s">
        <v>2893</v>
      </c>
      <c r="D8876" s="99" t="s">
        <v>3161</v>
      </c>
      <c r="E8876" s="100" t="s">
        <v>139</v>
      </c>
      <c r="F8876" s="100" t="s">
        <v>3162</v>
      </c>
      <c r="G8876" s="100" t="s">
        <v>2961</v>
      </c>
      <c r="H8876" s="100"/>
      <c r="I8876" s="101" t="s">
        <v>134</v>
      </c>
      <c r="J8876" s="580">
        <v>0.01</v>
      </c>
      <c r="K8876" s="580">
        <v>0</v>
      </c>
      <c r="L8876" s="102">
        <v>10.55</v>
      </c>
      <c r="M8876" s="102">
        <v>0.1</v>
      </c>
    </row>
    <row r="8877" ht="25.5" spans="3:13">
      <c r="C8877" s="108"/>
      <c r="D8877" s="108"/>
      <c r="E8877" s="108"/>
      <c r="F8877" s="108"/>
      <c r="G8877" s="108"/>
      <c r="H8877" s="108" t="s">
        <v>2898</v>
      </c>
      <c r="I8877" s="581">
        <v>0.6</v>
      </c>
      <c r="J8877" s="108" t="s">
        <v>2899</v>
      </c>
      <c r="K8877" s="581">
        <v>0</v>
      </c>
      <c r="L8877" s="108" t="s">
        <v>2900</v>
      </c>
      <c r="M8877" s="581">
        <v>0.6</v>
      </c>
    </row>
    <row r="8878" ht="26.25" spans="3:13">
      <c r="C8878" s="108"/>
      <c r="D8878" s="108"/>
      <c r="E8878" s="108"/>
      <c r="F8878" s="108"/>
      <c r="G8878" s="108"/>
      <c r="H8878" s="108" t="s">
        <v>2901</v>
      </c>
      <c r="I8878" s="581">
        <v>4.3</v>
      </c>
      <c r="J8878" s="114"/>
      <c r="K8878" s="114" t="s">
        <v>2902</v>
      </c>
      <c r="L8878" s="108"/>
      <c r="M8878" s="581">
        <v>21.17</v>
      </c>
    </row>
    <row r="8879" ht="15" spans="3:13">
      <c r="C8879" s="571"/>
      <c r="D8879" s="571"/>
      <c r="E8879" s="571"/>
      <c r="F8879" s="571"/>
      <c r="G8879" s="571"/>
      <c r="H8879" s="571"/>
      <c r="I8879" s="571"/>
      <c r="J8879" s="571"/>
      <c r="K8879" s="571"/>
      <c r="L8879" s="571"/>
      <c r="M8879" s="571"/>
    </row>
    <row r="8880" ht="15" customHeight="1" spans="3:13">
      <c r="C8880" s="76"/>
      <c r="D8880" s="75" t="s">
        <v>63</v>
      </c>
      <c r="E8880" s="76" t="s">
        <v>64</v>
      </c>
      <c r="F8880" s="76" t="s">
        <v>65</v>
      </c>
      <c r="G8880" s="76" t="s">
        <v>2889</v>
      </c>
      <c r="H8880" s="76"/>
      <c r="I8880" s="77" t="s">
        <v>66</v>
      </c>
      <c r="J8880" s="75" t="s">
        <v>67</v>
      </c>
      <c r="K8880" s="75" t="s">
        <v>2890</v>
      </c>
      <c r="L8880" s="75" t="s">
        <v>68</v>
      </c>
      <c r="M8880" s="75" t="s">
        <v>70</v>
      </c>
    </row>
    <row r="8881" spans="3:13">
      <c r="C8881" s="569" t="s">
        <v>2891</v>
      </c>
      <c r="D8881" s="570" t="s">
        <v>3104</v>
      </c>
      <c r="E8881" s="569" t="s">
        <v>77</v>
      </c>
      <c r="F8881" s="569" t="s">
        <v>3105</v>
      </c>
      <c r="G8881" s="569">
        <v>58</v>
      </c>
      <c r="H8881" s="569"/>
      <c r="I8881" s="577" t="s">
        <v>204</v>
      </c>
      <c r="J8881" s="578">
        <v>1</v>
      </c>
      <c r="K8881" s="579"/>
      <c r="L8881" s="579">
        <v>14.63</v>
      </c>
      <c r="M8881" s="579">
        <v>14.63</v>
      </c>
    </row>
    <row r="8882" ht="15" customHeight="1" spans="3:13">
      <c r="C8882" s="100" t="s">
        <v>2893</v>
      </c>
      <c r="D8882" s="99" t="s">
        <v>5511</v>
      </c>
      <c r="E8882" s="100" t="s">
        <v>77</v>
      </c>
      <c r="F8882" s="100" t="s">
        <v>5512</v>
      </c>
      <c r="G8882" s="100" t="s">
        <v>2961</v>
      </c>
      <c r="H8882" s="100"/>
      <c r="I8882" s="101" t="s">
        <v>204</v>
      </c>
      <c r="J8882" s="580">
        <v>1.33</v>
      </c>
      <c r="K8882" s="580">
        <v>0</v>
      </c>
      <c r="L8882" s="102">
        <v>11</v>
      </c>
      <c r="M8882" s="102">
        <v>14.63</v>
      </c>
    </row>
    <row r="8883" ht="25.5" spans="3:13">
      <c r="C8883" s="108"/>
      <c r="D8883" s="108"/>
      <c r="E8883" s="108"/>
      <c r="F8883" s="108"/>
      <c r="G8883" s="108"/>
      <c r="H8883" s="108" t="s">
        <v>2898</v>
      </c>
      <c r="I8883" s="581">
        <v>0</v>
      </c>
      <c r="J8883" s="108" t="s">
        <v>2899</v>
      </c>
      <c r="K8883" s="581">
        <v>0</v>
      </c>
      <c r="L8883" s="108" t="s">
        <v>2900</v>
      </c>
      <c r="M8883" s="581">
        <v>0</v>
      </c>
    </row>
    <row r="8884" ht="26.25" spans="3:13">
      <c r="C8884" s="108"/>
      <c r="D8884" s="108"/>
      <c r="E8884" s="108"/>
      <c r="F8884" s="108"/>
      <c r="G8884" s="108"/>
      <c r="H8884" s="108" t="s">
        <v>2901</v>
      </c>
      <c r="I8884" s="581">
        <v>3.72</v>
      </c>
      <c r="J8884" s="114"/>
      <c r="K8884" s="114" t="s">
        <v>2902</v>
      </c>
      <c r="L8884" s="108"/>
      <c r="M8884" s="581">
        <v>18.35</v>
      </c>
    </row>
    <row r="8885" ht="15" spans="3:13">
      <c r="C8885" s="571"/>
      <c r="D8885" s="571"/>
      <c r="E8885" s="571"/>
      <c r="F8885" s="571"/>
      <c r="G8885" s="571"/>
      <c r="H8885" s="571"/>
      <c r="I8885" s="571"/>
      <c r="J8885" s="571"/>
      <c r="K8885" s="571"/>
      <c r="L8885" s="571"/>
      <c r="M8885" s="571"/>
    </row>
    <row r="8886" ht="15" customHeight="1" spans="3:13">
      <c r="C8886" s="76"/>
      <c r="D8886" s="75" t="s">
        <v>63</v>
      </c>
      <c r="E8886" s="76" t="s">
        <v>64</v>
      </c>
      <c r="F8886" s="76" t="s">
        <v>65</v>
      </c>
      <c r="G8886" s="76" t="s">
        <v>2889</v>
      </c>
      <c r="H8886" s="76"/>
      <c r="I8886" s="77" t="s">
        <v>66</v>
      </c>
      <c r="J8886" s="75" t="s">
        <v>67</v>
      </c>
      <c r="K8886" s="75" t="s">
        <v>2890</v>
      </c>
      <c r="L8886" s="75" t="s">
        <v>68</v>
      </c>
      <c r="M8886" s="75" t="s">
        <v>70</v>
      </c>
    </row>
    <row r="8887" ht="35.05" customHeight="1" spans="3:13">
      <c r="C8887" s="569" t="s">
        <v>2891</v>
      </c>
      <c r="D8887" s="570" t="s">
        <v>3216</v>
      </c>
      <c r="E8887" s="569" t="s">
        <v>139</v>
      </c>
      <c r="F8887" s="569" t="s">
        <v>3217</v>
      </c>
      <c r="G8887" s="569" t="s">
        <v>3218</v>
      </c>
      <c r="H8887" s="569"/>
      <c r="I8887" s="577" t="s">
        <v>134</v>
      </c>
      <c r="J8887" s="578">
        <v>1</v>
      </c>
      <c r="K8887" s="579"/>
      <c r="L8887" s="579">
        <v>193.84</v>
      </c>
      <c r="M8887" s="579">
        <v>193.84</v>
      </c>
    </row>
    <row r="8888" ht="35.05" customHeight="1" spans="3:13">
      <c r="C8888" s="79" t="s">
        <v>2921</v>
      </c>
      <c r="D8888" s="78" t="s">
        <v>3918</v>
      </c>
      <c r="E8888" s="79" t="s">
        <v>139</v>
      </c>
      <c r="F8888" s="79" t="s">
        <v>3919</v>
      </c>
      <c r="G8888" s="79" t="s">
        <v>3016</v>
      </c>
      <c r="H8888" s="79"/>
      <c r="I8888" s="80" t="s">
        <v>279</v>
      </c>
      <c r="J8888" s="583">
        <v>0.0039</v>
      </c>
      <c r="K8888" s="583">
        <v>0</v>
      </c>
      <c r="L8888" s="92">
        <v>466.18</v>
      </c>
      <c r="M8888" s="92">
        <v>1.81</v>
      </c>
    </row>
    <row r="8889" ht="35.05" customHeight="1" spans="3:13">
      <c r="C8889" s="79" t="s">
        <v>2921</v>
      </c>
      <c r="D8889" s="78" t="s">
        <v>5368</v>
      </c>
      <c r="E8889" s="79" t="s">
        <v>139</v>
      </c>
      <c r="F8889" s="79" t="s">
        <v>5369</v>
      </c>
      <c r="G8889" s="79" t="s">
        <v>3016</v>
      </c>
      <c r="H8889" s="79"/>
      <c r="I8889" s="80" t="s">
        <v>279</v>
      </c>
      <c r="J8889" s="583">
        <v>0.0278</v>
      </c>
      <c r="K8889" s="583">
        <v>0</v>
      </c>
      <c r="L8889" s="92">
        <v>693.51</v>
      </c>
      <c r="M8889" s="92">
        <v>19.27</v>
      </c>
    </row>
    <row r="8890" ht="23.85" customHeight="1" spans="3:13">
      <c r="C8890" s="79" t="s">
        <v>2921</v>
      </c>
      <c r="D8890" s="78" t="s">
        <v>5513</v>
      </c>
      <c r="E8890" s="79" t="s">
        <v>139</v>
      </c>
      <c r="F8890" s="79" t="s">
        <v>5514</v>
      </c>
      <c r="G8890" s="79" t="s">
        <v>3911</v>
      </c>
      <c r="H8890" s="79"/>
      <c r="I8890" s="80" t="s">
        <v>279</v>
      </c>
      <c r="J8890" s="583">
        <v>0.0175</v>
      </c>
      <c r="K8890" s="583">
        <v>0</v>
      </c>
      <c r="L8890" s="92">
        <v>3586.58</v>
      </c>
      <c r="M8890" s="92">
        <v>62.76</v>
      </c>
    </row>
    <row r="8891" ht="23.85" customHeight="1" spans="3:13">
      <c r="C8891" s="79" t="s">
        <v>2921</v>
      </c>
      <c r="D8891" s="78" t="s">
        <v>3017</v>
      </c>
      <c r="E8891" s="79" t="s">
        <v>139</v>
      </c>
      <c r="F8891" s="79" t="s">
        <v>3018</v>
      </c>
      <c r="G8891" s="79" t="s">
        <v>2928</v>
      </c>
      <c r="H8891" s="79"/>
      <c r="I8891" s="80" t="s">
        <v>2897</v>
      </c>
      <c r="J8891" s="583">
        <v>1.2686</v>
      </c>
      <c r="K8891" s="583">
        <v>0</v>
      </c>
      <c r="L8891" s="92">
        <v>36.96</v>
      </c>
      <c r="M8891" s="92">
        <v>46.88</v>
      </c>
    </row>
    <row r="8892" ht="23.85" customHeight="1" spans="3:13">
      <c r="C8892" s="79" t="s">
        <v>2921</v>
      </c>
      <c r="D8892" s="78" t="s">
        <v>1857</v>
      </c>
      <c r="E8892" s="79" t="s">
        <v>139</v>
      </c>
      <c r="F8892" s="79" t="s">
        <v>1858</v>
      </c>
      <c r="G8892" s="79" t="s">
        <v>3928</v>
      </c>
      <c r="H8892" s="79"/>
      <c r="I8892" s="80" t="s">
        <v>279</v>
      </c>
      <c r="J8892" s="583">
        <v>0.036</v>
      </c>
      <c r="K8892" s="583">
        <v>0</v>
      </c>
      <c r="L8892" s="92">
        <v>344.76</v>
      </c>
      <c r="M8892" s="92">
        <v>12.41</v>
      </c>
    </row>
    <row r="8893" ht="23.85" customHeight="1" spans="3:13">
      <c r="C8893" s="79" t="s">
        <v>2921</v>
      </c>
      <c r="D8893" s="78" t="s">
        <v>2952</v>
      </c>
      <c r="E8893" s="79" t="s">
        <v>139</v>
      </c>
      <c r="F8893" s="79" t="s">
        <v>2953</v>
      </c>
      <c r="G8893" s="79" t="s">
        <v>2928</v>
      </c>
      <c r="H8893" s="79"/>
      <c r="I8893" s="80" t="s">
        <v>2897</v>
      </c>
      <c r="J8893" s="583">
        <v>0.9967</v>
      </c>
      <c r="K8893" s="583">
        <v>0</v>
      </c>
      <c r="L8893" s="92">
        <v>29.15</v>
      </c>
      <c r="M8893" s="92">
        <v>29.05</v>
      </c>
    </row>
    <row r="8894" ht="15" customHeight="1" spans="3:13">
      <c r="C8894" s="100" t="s">
        <v>2893</v>
      </c>
      <c r="D8894" s="99" t="s">
        <v>5515</v>
      </c>
      <c r="E8894" s="100" t="s">
        <v>139</v>
      </c>
      <c r="F8894" s="100" t="s">
        <v>5516</v>
      </c>
      <c r="G8894" s="100" t="s">
        <v>2961</v>
      </c>
      <c r="H8894" s="100"/>
      <c r="I8894" s="101" t="s">
        <v>134</v>
      </c>
      <c r="J8894" s="580">
        <v>38.691</v>
      </c>
      <c r="K8894" s="580">
        <v>0</v>
      </c>
      <c r="L8894" s="102">
        <v>0.56</v>
      </c>
      <c r="M8894" s="102">
        <v>21.66</v>
      </c>
    </row>
    <row r="8895" ht="25.5" spans="3:13">
      <c r="C8895" s="108"/>
      <c r="D8895" s="108"/>
      <c r="E8895" s="108"/>
      <c r="F8895" s="108"/>
      <c r="G8895" s="108"/>
      <c r="H8895" s="108" t="s">
        <v>2898</v>
      </c>
      <c r="I8895" s="581">
        <v>95.07</v>
      </c>
      <c r="J8895" s="108" t="s">
        <v>2899</v>
      </c>
      <c r="K8895" s="581">
        <v>0</v>
      </c>
      <c r="L8895" s="108" t="s">
        <v>2900</v>
      </c>
      <c r="M8895" s="581">
        <v>95.07</v>
      </c>
    </row>
    <row r="8896" ht="26.25" spans="3:13">
      <c r="C8896" s="108"/>
      <c r="D8896" s="108"/>
      <c r="E8896" s="108"/>
      <c r="F8896" s="108"/>
      <c r="G8896" s="108"/>
      <c r="H8896" s="108" t="s">
        <v>2901</v>
      </c>
      <c r="I8896" s="581">
        <v>49.4</v>
      </c>
      <c r="J8896" s="114"/>
      <c r="K8896" s="114" t="s">
        <v>2902</v>
      </c>
      <c r="L8896" s="108"/>
      <c r="M8896" s="581">
        <v>243.24</v>
      </c>
    </row>
    <row r="8897" ht="15" spans="3:13">
      <c r="C8897" s="571"/>
      <c r="D8897" s="571"/>
      <c r="E8897" s="571"/>
      <c r="F8897" s="571"/>
      <c r="G8897" s="571"/>
      <c r="H8897" s="571"/>
      <c r="I8897" s="571"/>
      <c r="J8897" s="571"/>
      <c r="K8897" s="571"/>
      <c r="L8897" s="571"/>
      <c r="M8897" s="571"/>
    </row>
    <row r="8898" ht="15" customHeight="1" spans="3:13">
      <c r="C8898" s="76"/>
      <c r="D8898" s="75" t="s">
        <v>63</v>
      </c>
      <c r="E8898" s="76" t="s">
        <v>64</v>
      </c>
      <c r="F8898" s="76" t="s">
        <v>65</v>
      </c>
      <c r="G8898" s="76" t="s">
        <v>2889</v>
      </c>
      <c r="H8898" s="76"/>
      <c r="I8898" s="77" t="s">
        <v>66</v>
      </c>
      <c r="J8898" s="75" t="s">
        <v>67</v>
      </c>
      <c r="K8898" s="75" t="s">
        <v>2890</v>
      </c>
      <c r="L8898" s="75" t="s">
        <v>68</v>
      </c>
      <c r="M8898" s="75" t="s">
        <v>70</v>
      </c>
    </row>
    <row r="8899" ht="23.85" customHeight="1" spans="3:13">
      <c r="C8899" s="569" t="s">
        <v>2891</v>
      </c>
      <c r="D8899" s="570" t="s">
        <v>5144</v>
      </c>
      <c r="E8899" s="569" t="s">
        <v>139</v>
      </c>
      <c r="F8899" s="569" t="s">
        <v>5145</v>
      </c>
      <c r="G8899" s="569" t="s">
        <v>2928</v>
      </c>
      <c r="H8899" s="569"/>
      <c r="I8899" s="577" t="s">
        <v>2897</v>
      </c>
      <c r="J8899" s="578">
        <v>1</v>
      </c>
      <c r="K8899" s="579"/>
      <c r="L8899" s="579">
        <v>35.7</v>
      </c>
      <c r="M8899" s="579">
        <v>35.7</v>
      </c>
    </row>
    <row r="8900" ht="23.85" customHeight="1" spans="3:13">
      <c r="C8900" s="79" t="s">
        <v>2921</v>
      </c>
      <c r="D8900" s="78" t="s">
        <v>5517</v>
      </c>
      <c r="E8900" s="79" t="s">
        <v>139</v>
      </c>
      <c r="F8900" s="79" t="s">
        <v>5518</v>
      </c>
      <c r="G8900" s="79" t="s">
        <v>2928</v>
      </c>
      <c r="H8900" s="79"/>
      <c r="I8900" s="80" t="s">
        <v>2897</v>
      </c>
      <c r="J8900" s="583">
        <v>1</v>
      </c>
      <c r="K8900" s="583">
        <v>0</v>
      </c>
      <c r="L8900" s="92">
        <v>0.29</v>
      </c>
      <c r="M8900" s="92">
        <v>0.29</v>
      </c>
    </row>
    <row r="8901" ht="15" customHeight="1" spans="3:13">
      <c r="C8901" s="100" t="s">
        <v>2893</v>
      </c>
      <c r="D8901" s="99" t="s">
        <v>5306</v>
      </c>
      <c r="E8901" s="100" t="s">
        <v>139</v>
      </c>
      <c r="F8901" s="100" t="s">
        <v>5307</v>
      </c>
      <c r="G8901" s="100" t="s">
        <v>2961</v>
      </c>
      <c r="H8901" s="100"/>
      <c r="I8901" s="101" t="s">
        <v>2897</v>
      </c>
      <c r="J8901" s="580">
        <v>1</v>
      </c>
      <c r="K8901" s="580">
        <v>0</v>
      </c>
      <c r="L8901" s="102">
        <v>1.43</v>
      </c>
      <c r="M8901" s="102">
        <v>1.43</v>
      </c>
    </row>
    <row r="8902" ht="15" customHeight="1" spans="3:13">
      <c r="C8902" s="100" t="s">
        <v>2893</v>
      </c>
      <c r="D8902" s="99" t="s">
        <v>5312</v>
      </c>
      <c r="E8902" s="100" t="s">
        <v>139</v>
      </c>
      <c r="F8902" s="100" t="s">
        <v>5313</v>
      </c>
      <c r="G8902" s="100" t="s">
        <v>2961</v>
      </c>
      <c r="H8902" s="100"/>
      <c r="I8902" s="101" t="s">
        <v>2897</v>
      </c>
      <c r="J8902" s="580">
        <v>1</v>
      </c>
      <c r="K8902" s="580">
        <v>0</v>
      </c>
      <c r="L8902" s="102">
        <v>0.08</v>
      </c>
      <c r="M8902" s="102">
        <v>0.08</v>
      </c>
    </row>
    <row r="8903" ht="23.85" customHeight="1" spans="3:13">
      <c r="C8903" s="100" t="s">
        <v>2893</v>
      </c>
      <c r="D8903" s="99" t="s">
        <v>5310</v>
      </c>
      <c r="E8903" s="100" t="s">
        <v>139</v>
      </c>
      <c r="F8903" s="100" t="s">
        <v>5311</v>
      </c>
      <c r="G8903" s="100" t="s">
        <v>2961</v>
      </c>
      <c r="H8903" s="100"/>
      <c r="I8903" s="101" t="s">
        <v>2897</v>
      </c>
      <c r="J8903" s="580">
        <v>1</v>
      </c>
      <c r="K8903" s="580">
        <v>0</v>
      </c>
      <c r="L8903" s="102">
        <v>1.58</v>
      </c>
      <c r="M8903" s="102">
        <v>1.58</v>
      </c>
    </row>
    <row r="8904" ht="23.85" customHeight="1" spans="3:13">
      <c r="C8904" s="100" t="s">
        <v>2893</v>
      </c>
      <c r="D8904" s="99" t="s">
        <v>5304</v>
      </c>
      <c r="E8904" s="100" t="s">
        <v>139</v>
      </c>
      <c r="F8904" s="100" t="s">
        <v>5305</v>
      </c>
      <c r="G8904" s="100" t="s">
        <v>2961</v>
      </c>
      <c r="H8904" s="100"/>
      <c r="I8904" s="101" t="s">
        <v>2897</v>
      </c>
      <c r="J8904" s="580">
        <v>1</v>
      </c>
      <c r="K8904" s="580">
        <v>0</v>
      </c>
      <c r="L8904" s="102">
        <v>1.31</v>
      </c>
      <c r="M8904" s="102">
        <v>1.31</v>
      </c>
    </row>
    <row r="8905" ht="23.85" customHeight="1" spans="3:13">
      <c r="C8905" s="100" t="s">
        <v>2893</v>
      </c>
      <c r="D8905" s="99" t="s">
        <v>5314</v>
      </c>
      <c r="E8905" s="100" t="s">
        <v>139</v>
      </c>
      <c r="F8905" s="100" t="s">
        <v>5315</v>
      </c>
      <c r="G8905" s="100" t="s">
        <v>2961</v>
      </c>
      <c r="H8905" s="100"/>
      <c r="I8905" s="101" t="s">
        <v>2897</v>
      </c>
      <c r="J8905" s="580">
        <v>1</v>
      </c>
      <c r="K8905" s="580">
        <v>0</v>
      </c>
      <c r="L8905" s="102">
        <v>0.78</v>
      </c>
      <c r="M8905" s="102">
        <v>0.78</v>
      </c>
    </row>
    <row r="8906" ht="23.85" customHeight="1" spans="3:13">
      <c r="C8906" s="100" t="s">
        <v>2893</v>
      </c>
      <c r="D8906" s="99" t="s">
        <v>5308</v>
      </c>
      <c r="E8906" s="100" t="s">
        <v>139</v>
      </c>
      <c r="F8906" s="100" t="s">
        <v>5309</v>
      </c>
      <c r="G8906" s="100" t="s">
        <v>2961</v>
      </c>
      <c r="H8906" s="100"/>
      <c r="I8906" s="101" t="s">
        <v>2897</v>
      </c>
      <c r="J8906" s="580">
        <v>1</v>
      </c>
      <c r="K8906" s="580">
        <v>0</v>
      </c>
      <c r="L8906" s="102">
        <v>4.84</v>
      </c>
      <c r="M8906" s="102">
        <v>4.84</v>
      </c>
    </row>
    <row r="8907" ht="15" customHeight="1" spans="3:13">
      <c r="C8907" s="100" t="s">
        <v>2893</v>
      </c>
      <c r="D8907" s="99" t="s">
        <v>5519</v>
      </c>
      <c r="E8907" s="100" t="s">
        <v>139</v>
      </c>
      <c r="F8907" s="100" t="s">
        <v>5520</v>
      </c>
      <c r="G8907" s="100" t="s">
        <v>2896</v>
      </c>
      <c r="H8907" s="100"/>
      <c r="I8907" s="101" t="s">
        <v>2897</v>
      </c>
      <c r="J8907" s="580">
        <v>1</v>
      </c>
      <c r="K8907" s="580">
        <v>0</v>
      </c>
      <c r="L8907" s="102">
        <v>25.39</v>
      </c>
      <c r="M8907" s="102">
        <v>25.39</v>
      </c>
    </row>
    <row r="8908" ht="25.5" spans="3:13">
      <c r="C8908" s="108"/>
      <c r="D8908" s="108"/>
      <c r="E8908" s="108"/>
      <c r="F8908" s="108"/>
      <c r="G8908" s="108"/>
      <c r="H8908" s="108" t="s">
        <v>2898</v>
      </c>
      <c r="I8908" s="581">
        <v>25.68</v>
      </c>
      <c r="J8908" s="108" t="s">
        <v>2899</v>
      </c>
      <c r="K8908" s="581">
        <v>0</v>
      </c>
      <c r="L8908" s="108" t="s">
        <v>2900</v>
      </c>
      <c r="M8908" s="581">
        <v>25.68</v>
      </c>
    </row>
    <row r="8909" ht="26.25" spans="3:13">
      <c r="C8909" s="108"/>
      <c r="D8909" s="108"/>
      <c r="E8909" s="108"/>
      <c r="F8909" s="108"/>
      <c r="G8909" s="108"/>
      <c r="H8909" s="108" t="s">
        <v>2901</v>
      </c>
      <c r="I8909" s="581">
        <v>9.09</v>
      </c>
      <c r="J8909" s="114"/>
      <c r="K8909" s="114" t="s">
        <v>2902</v>
      </c>
      <c r="L8909" s="108"/>
      <c r="M8909" s="581">
        <v>44.79</v>
      </c>
    </row>
    <row r="8910" ht="15" spans="3:13">
      <c r="C8910" s="571"/>
      <c r="D8910" s="571"/>
      <c r="E8910" s="571"/>
      <c r="F8910" s="571"/>
      <c r="G8910" s="571"/>
      <c r="H8910" s="571"/>
      <c r="I8910" s="571"/>
      <c r="J8910" s="571"/>
      <c r="K8910" s="571"/>
      <c r="L8910" s="571"/>
      <c r="M8910" s="571"/>
    </row>
    <row r="8911" ht="15" customHeight="1" spans="3:13">
      <c r="C8911" s="76"/>
      <c r="D8911" s="75" t="s">
        <v>63</v>
      </c>
      <c r="E8911" s="76" t="s">
        <v>64</v>
      </c>
      <c r="F8911" s="76" t="s">
        <v>65</v>
      </c>
      <c r="G8911" s="76" t="s">
        <v>2889</v>
      </c>
      <c r="H8911" s="76"/>
      <c r="I8911" s="77" t="s">
        <v>66</v>
      </c>
      <c r="J8911" s="75" t="s">
        <v>67</v>
      </c>
      <c r="K8911" s="75" t="s">
        <v>2890</v>
      </c>
      <c r="L8911" s="75" t="s">
        <v>68</v>
      </c>
      <c r="M8911" s="75" t="s">
        <v>70</v>
      </c>
    </row>
    <row r="8912" ht="25.5" spans="3:13">
      <c r="C8912" s="569" t="s">
        <v>2891</v>
      </c>
      <c r="D8912" s="570" t="s">
        <v>3265</v>
      </c>
      <c r="E8912" s="569" t="s">
        <v>77</v>
      </c>
      <c r="F8912" s="569" t="s">
        <v>3266</v>
      </c>
      <c r="G8912" s="569">
        <v>19</v>
      </c>
      <c r="H8912" s="569"/>
      <c r="I8912" s="577" t="s">
        <v>2897</v>
      </c>
      <c r="J8912" s="578">
        <v>1</v>
      </c>
      <c r="K8912" s="579"/>
      <c r="L8912" s="579">
        <v>170.13</v>
      </c>
      <c r="M8912" s="579">
        <v>170.13</v>
      </c>
    </row>
    <row r="8913" ht="23.85" customHeight="1" spans="3:13">
      <c r="C8913" s="100" t="s">
        <v>2893</v>
      </c>
      <c r="D8913" s="99" t="s">
        <v>5521</v>
      </c>
      <c r="E8913" s="100" t="s">
        <v>77</v>
      </c>
      <c r="F8913" s="100" t="s">
        <v>5522</v>
      </c>
      <c r="G8913" s="100" t="s">
        <v>3395</v>
      </c>
      <c r="H8913" s="100"/>
      <c r="I8913" s="101" t="s">
        <v>134</v>
      </c>
      <c r="J8913" s="580">
        <v>0.00014</v>
      </c>
      <c r="K8913" s="580">
        <v>15</v>
      </c>
      <c r="L8913" s="102">
        <v>326952.02</v>
      </c>
      <c r="M8913" s="102">
        <v>52.63</v>
      </c>
    </row>
    <row r="8914" ht="15" customHeight="1" spans="3:13">
      <c r="C8914" s="100" t="s">
        <v>2893</v>
      </c>
      <c r="D8914" s="99" t="s">
        <v>5523</v>
      </c>
      <c r="E8914" s="100" t="s">
        <v>77</v>
      </c>
      <c r="F8914" s="100" t="s">
        <v>5524</v>
      </c>
      <c r="G8914" s="100" t="s">
        <v>2961</v>
      </c>
      <c r="H8914" s="100"/>
      <c r="I8914" s="101" t="s">
        <v>134</v>
      </c>
      <c r="J8914" s="580">
        <v>0.0006</v>
      </c>
      <c r="K8914" s="580">
        <v>0</v>
      </c>
      <c r="L8914" s="102">
        <v>9454.98</v>
      </c>
      <c r="M8914" s="102">
        <v>5.67</v>
      </c>
    </row>
    <row r="8915" ht="15" customHeight="1" spans="3:13">
      <c r="C8915" s="100" t="s">
        <v>2893</v>
      </c>
      <c r="D8915" s="99" t="s">
        <v>5487</v>
      </c>
      <c r="E8915" s="100" t="s">
        <v>77</v>
      </c>
      <c r="F8915" s="100" t="s">
        <v>5488</v>
      </c>
      <c r="G8915" s="100" t="s">
        <v>2961</v>
      </c>
      <c r="H8915" s="100"/>
      <c r="I8915" s="101" t="s">
        <v>393</v>
      </c>
      <c r="J8915" s="580">
        <v>0.085</v>
      </c>
      <c r="K8915" s="580">
        <v>0</v>
      </c>
      <c r="L8915" s="102">
        <v>11.39</v>
      </c>
      <c r="M8915" s="102">
        <v>0.96</v>
      </c>
    </row>
    <row r="8916" ht="23.85" customHeight="1" spans="3:13">
      <c r="C8916" s="100" t="s">
        <v>2893</v>
      </c>
      <c r="D8916" s="99" t="s">
        <v>5525</v>
      </c>
      <c r="E8916" s="100" t="s">
        <v>77</v>
      </c>
      <c r="F8916" s="100" t="s">
        <v>5526</v>
      </c>
      <c r="G8916" s="100" t="s">
        <v>2896</v>
      </c>
      <c r="H8916" s="100"/>
      <c r="I8916" s="101" t="s">
        <v>2897</v>
      </c>
      <c r="J8916" s="580">
        <v>1</v>
      </c>
      <c r="K8916" s="580">
        <v>0</v>
      </c>
      <c r="L8916" s="102">
        <v>26.52</v>
      </c>
      <c r="M8916" s="102">
        <v>26.52</v>
      </c>
    </row>
    <row r="8917" ht="15" customHeight="1" spans="3:13">
      <c r="C8917" s="100" t="s">
        <v>2893</v>
      </c>
      <c r="D8917" s="99" t="s">
        <v>5527</v>
      </c>
      <c r="E8917" s="100" t="s">
        <v>77</v>
      </c>
      <c r="F8917" s="100" t="s">
        <v>5528</v>
      </c>
      <c r="G8917" s="100" t="s">
        <v>2961</v>
      </c>
      <c r="H8917" s="100"/>
      <c r="I8917" s="101" t="s">
        <v>3084</v>
      </c>
      <c r="J8917" s="580">
        <v>13</v>
      </c>
      <c r="K8917" s="580">
        <v>0</v>
      </c>
      <c r="L8917" s="102">
        <v>5.93</v>
      </c>
      <c r="M8917" s="102">
        <v>77.09</v>
      </c>
    </row>
    <row r="8918" ht="23.85" customHeight="1" spans="3:13">
      <c r="C8918" s="100" t="s">
        <v>2893</v>
      </c>
      <c r="D8918" s="99" t="s">
        <v>5491</v>
      </c>
      <c r="E8918" s="100" t="s">
        <v>77</v>
      </c>
      <c r="F8918" s="100" t="s">
        <v>5492</v>
      </c>
      <c r="G8918" s="100" t="s">
        <v>2961</v>
      </c>
      <c r="H8918" s="100"/>
      <c r="I8918" s="101" t="s">
        <v>3084</v>
      </c>
      <c r="J8918" s="580">
        <v>0.17</v>
      </c>
      <c r="K8918" s="580">
        <v>50</v>
      </c>
      <c r="L8918" s="102">
        <v>28.49</v>
      </c>
      <c r="M8918" s="102">
        <v>7.26</v>
      </c>
    </row>
    <row r="8919" ht="25.5" spans="3:13">
      <c r="C8919" s="108"/>
      <c r="D8919" s="108"/>
      <c r="E8919" s="108"/>
      <c r="F8919" s="108"/>
      <c r="G8919" s="108"/>
      <c r="H8919" s="108" t="s">
        <v>2898</v>
      </c>
      <c r="I8919" s="581">
        <v>26.52</v>
      </c>
      <c r="J8919" s="108" t="s">
        <v>2899</v>
      </c>
      <c r="K8919" s="581">
        <v>0</v>
      </c>
      <c r="L8919" s="108" t="s">
        <v>2900</v>
      </c>
      <c r="M8919" s="581">
        <v>26.52</v>
      </c>
    </row>
    <row r="8920" ht="26.25" spans="3:13">
      <c r="C8920" s="108"/>
      <c r="D8920" s="108"/>
      <c r="E8920" s="108"/>
      <c r="F8920" s="108"/>
      <c r="G8920" s="108"/>
      <c r="H8920" s="108" t="s">
        <v>2901</v>
      </c>
      <c r="I8920" s="581">
        <v>43.36</v>
      </c>
      <c r="J8920" s="114"/>
      <c r="K8920" s="114" t="s">
        <v>2902</v>
      </c>
      <c r="L8920" s="108"/>
      <c r="M8920" s="581">
        <v>213.49</v>
      </c>
    </row>
    <row r="8921" ht="15" spans="3:13">
      <c r="C8921" s="571"/>
      <c r="D8921" s="571"/>
      <c r="E8921" s="571"/>
      <c r="F8921" s="571"/>
      <c r="G8921" s="571"/>
      <c r="H8921" s="571"/>
      <c r="I8921" s="571"/>
      <c r="J8921" s="571"/>
      <c r="K8921" s="571"/>
      <c r="L8921" s="571"/>
      <c r="M8921" s="571"/>
    </row>
    <row r="8922" ht="15" customHeight="1" spans="3:13">
      <c r="C8922" s="76"/>
      <c r="D8922" s="75" t="s">
        <v>63</v>
      </c>
      <c r="E8922" s="76" t="s">
        <v>64</v>
      </c>
      <c r="F8922" s="76" t="s">
        <v>65</v>
      </c>
      <c r="G8922" s="76" t="s">
        <v>2889</v>
      </c>
      <c r="H8922" s="76"/>
      <c r="I8922" s="77" t="s">
        <v>66</v>
      </c>
      <c r="J8922" s="75" t="s">
        <v>67</v>
      </c>
      <c r="K8922" s="75" t="s">
        <v>2890</v>
      </c>
      <c r="L8922" s="75" t="s">
        <v>68</v>
      </c>
      <c r="M8922" s="75" t="s">
        <v>70</v>
      </c>
    </row>
    <row r="8923" ht="25.5" spans="3:13">
      <c r="C8923" s="569" t="s">
        <v>2891</v>
      </c>
      <c r="D8923" s="570" t="s">
        <v>3263</v>
      </c>
      <c r="E8923" s="569" t="s">
        <v>77</v>
      </c>
      <c r="F8923" s="569" t="s">
        <v>3264</v>
      </c>
      <c r="G8923" s="569">
        <v>19</v>
      </c>
      <c r="H8923" s="569"/>
      <c r="I8923" s="577" t="s">
        <v>2897</v>
      </c>
      <c r="J8923" s="578">
        <v>1</v>
      </c>
      <c r="K8923" s="579"/>
      <c r="L8923" s="579">
        <v>58.62</v>
      </c>
      <c r="M8923" s="579">
        <v>58.62</v>
      </c>
    </row>
    <row r="8924" ht="23.85" customHeight="1" spans="3:13">
      <c r="C8924" s="100" t="s">
        <v>2893</v>
      </c>
      <c r="D8924" s="99" t="s">
        <v>5521</v>
      </c>
      <c r="E8924" s="100" t="s">
        <v>77</v>
      </c>
      <c r="F8924" s="100" t="s">
        <v>5522</v>
      </c>
      <c r="G8924" s="100" t="s">
        <v>3395</v>
      </c>
      <c r="H8924" s="100"/>
      <c r="I8924" s="101" t="s">
        <v>134</v>
      </c>
      <c r="J8924" s="580">
        <v>8e-5</v>
      </c>
      <c r="K8924" s="580">
        <v>22.76</v>
      </c>
      <c r="L8924" s="102">
        <v>326952.02</v>
      </c>
      <c r="M8924" s="102">
        <v>32.1</v>
      </c>
    </row>
    <row r="8925" ht="23.85" customHeight="1" spans="3:13">
      <c r="C8925" s="100" t="s">
        <v>2893</v>
      </c>
      <c r="D8925" s="99" t="s">
        <v>5525</v>
      </c>
      <c r="E8925" s="100" t="s">
        <v>77</v>
      </c>
      <c r="F8925" s="100" t="s">
        <v>5526</v>
      </c>
      <c r="G8925" s="100" t="s">
        <v>2896</v>
      </c>
      <c r="H8925" s="100"/>
      <c r="I8925" s="101" t="s">
        <v>2897</v>
      </c>
      <c r="J8925" s="580">
        <v>1</v>
      </c>
      <c r="K8925" s="580">
        <v>0</v>
      </c>
      <c r="L8925" s="102">
        <v>26.52</v>
      </c>
      <c r="M8925" s="102">
        <v>26.52</v>
      </c>
    </row>
    <row r="8926" ht="25.5" spans="3:13">
      <c r="C8926" s="108"/>
      <c r="D8926" s="108"/>
      <c r="E8926" s="108"/>
      <c r="F8926" s="108"/>
      <c r="G8926" s="108"/>
      <c r="H8926" s="108" t="s">
        <v>2898</v>
      </c>
      <c r="I8926" s="581">
        <v>26.52</v>
      </c>
      <c r="J8926" s="108" t="s">
        <v>2899</v>
      </c>
      <c r="K8926" s="581">
        <v>0</v>
      </c>
      <c r="L8926" s="108" t="s">
        <v>2900</v>
      </c>
      <c r="M8926" s="581">
        <v>26.52</v>
      </c>
    </row>
    <row r="8927" ht="26.25" spans="3:13">
      <c r="C8927" s="108"/>
      <c r="D8927" s="108"/>
      <c r="E8927" s="108"/>
      <c r="F8927" s="108"/>
      <c r="G8927" s="108"/>
      <c r="H8927" s="108" t="s">
        <v>2901</v>
      </c>
      <c r="I8927" s="581">
        <v>14.94</v>
      </c>
      <c r="J8927" s="114"/>
      <c r="K8927" s="114" t="s">
        <v>2902</v>
      </c>
      <c r="L8927" s="108"/>
      <c r="M8927" s="581">
        <v>73.56</v>
      </c>
    </row>
    <row r="8928" ht="15" spans="3:13">
      <c r="C8928" s="571"/>
      <c r="D8928" s="571"/>
      <c r="E8928" s="571"/>
      <c r="F8928" s="571"/>
      <c r="G8928" s="571"/>
      <c r="H8928" s="571"/>
      <c r="I8928" s="571"/>
      <c r="J8928" s="571"/>
      <c r="K8928" s="571"/>
      <c r="L8928" s="571"/>
      <c r="M8928" s="571"/>
    </row>
    <row r="8929" ht="15" customHeight="1" spans="3:13">
      <c r="C8929" s="76"/>
      <c r="D8929" s="75" t="s">
        <v>63</v>
      </c>
      <c r="E8929" s="76" t="s">
        <v>64</v>
      </c>
      <c r="F8929" s="76" t="s">
        <v>65</v>
      </c>
      <c r="G8929" s="76" t="s">
        <v>2889</v>
      </c>
      <c r="H8929" s="76"/>
      <c r="I8929" s="77" t="s">
        <v>66</v>
      </c>
      <c r="J8929" s="75" t="s">
        <v>67</v>
      </c>
      <c r="K8929" s="75" t="s">
        <v>2890</v>
      </c>
      <c r="L8929" s="75" t="s">
        <v>68</v>
      </c>
      <c r="M8929" s="75" t="s">
        <v>70</v>
      </c>
    </row>
    <row r="8930" ht="25.5" spans="3:13">
      <c r="C8930" s="569" t="s">
        <v>2891</v>
      </c>
      <c r="D8930" s="570" t="s">
        <v>3277</v>
      </c>
      <c r="E8930" s="569" t="s">
        <v>77</v>
      </c>
      <c r="F8930" s="569" t="s">
        <v>3278</v>
      </c>
      <c r="G8930" s="569">
        <v>19</v>
      </c>
      <c r="H8930" s="569"/>
      <c r="I8930" s="577" t="s">
        <v>2897</v>
      </c>
      <c r="J8930" s="578">
        <v>1</v>
      </c>
      <c r="K8930" s="579"/>
      <c r="L8930" s="579">
        <v>66.2</v>
      </c>
      <c r="M8930" s="579">
        <v>66.2</v>
      </c>
    </row>
    <row r="8931" ht="23.85" customHeight="1" spans="3:13">
      <c r="C8931" s="100" t="s">
        <v>2893</v>
      </c>
      <c r="D8931" s="99" t="s">
        <v>5529</v>
      </c>
      <c r="E8931" s="100" t="s">
        <v>77</v>
      </c>
      <c r="F8931" s="100" t="s">
        <v>5530</v>
      </c>
      <c r="G8931" s="100" t="s">
        <v>3395</v>
      </c>
      <c r="H8931" s="100"/>
      <c r="I8931" s="101" t="s">
        <v>134</v>
      </c>
      <c r="J8931" s="580">
        <v>8e-5</v>
      </c>
      <c r="K8931" s="580">
        <v>22.76</v>
      </c>
      <c r="L8931" s="102">
        <v>404044.47</v>
      </c>
      <c r="M8931" s="102">
        <v>39.68</v>
      </c>
    </row>
    <row r="8932" ht="23.85" customHeight="1" spans="3:13">
      <c r="C8932" s="100" t="s">
        <v>2893</v>
      </c>
      <c r="D8932" s="99" t="s">
        <v>5525</v>
      </c>
      <c r="E8932" s="100" t="s">
        <v>77</v>
      </c>
      <c r="F8932" s="100" t="s">
        <v>5526</v>
      </c>
      <c r="G8932" s="100" t="s">
        <v>2896</v>
      </c>
      <c r="H8932" s="100"/>
      <c r="I8932" s="101" t="s">
        <v>2897</v>
      </c>
      <c r="J8932" s="580">
        <v>1</v>
      </c>
      <c r="K8932" s="580">
        <v>0</v>
      </c>
      <c r="L8932" s="102">
        <v>26.52</v>
      </c>
      <c r="M8932" s="102">
        <v>26.52</v>
      </c>
    </row>
    <row r="8933" ht="25.5" spans="3:13">
      <c r="C8933" s="108"/>
      <c r="D8933" s="108"/>
      <c r="E8933" s="108"/>
      <c r="F8933" s="108"/>
      <c r="G8933" s="108"/>
      <c r="H8933" s="108" t="s">
        <v>2898</v>
      </c>
      <c r="I8933" s="581">
        <v>26.52</v>
      </c>
      <c r="J8933" s="108" t="s">
        <v>2899</v>
      </c>
      <c r="K8933" s="581">
        <v>0</v>
      </c>
      <c r="L8933" s="108" t="s">
        <v>2900</v>
      </c>
      <c r="M8933" s="581">
        <v>26.52</v>
      </c>
    </row>
    <row r="8934" ht="26.25" spans="3:13">
      <c r="C8934" s="108"/>
      <c r="D8934" s="108"/>
      <c r="E8934" s="108"/>
      <c r="F8934" s="108"/>
      <c r="G8934" s="108"/>
      <c r="H8934" s="108" t="s">
        <v>2901</v>
      </c>
      <c r="I8934" s="581">
        <v>16.87</v>
      </c>
      <c r="J8934" s="114"/>
      <c r="K8934" s="114" t="s">
        <v>2902</v>
      </c>
      <c r="L8934" s="108"/>
      <c r="M8934" s="581">
        <v>83.07</v>
      </c>
    </row>
    <row r="8935" ht="15" spans="3:13">
      <c r="C8935" s="571"/>
      <c r="D8935" s="571"/>
      <c r="E8935" s="571"/>
      <c r="F8935" s="571"/>
      <c r="G8935" s="571"/>
      <c r="H8935" s="571"/>
      <c r="I8935" s="571"/>
      <c r="J8935" s="571"/>
      <c r="K8935" s="571"/>
      <c r="L8935" s="571"/>
      <c r="M8935" s="571"/>
    </row>
    <row r="8936" ht="15" customHeight="1" spans="3:13">
      <c r="C8936" s="76"/>
      <c r="D8936" s="75" t="s">
        <v>63</v>
      </c>
      <c r="E8936" s="76" t="s">
        <v>64</v>
      </c>
      <c r="F8936" s="76" t="s">
        <v>65</v>
      </c>
      <c r="G8936" s="76" t="s">
        <v>2889</v>
      </c>
      <c r="H8936" s="76"/>
      <c r="I8936" s="77" t="s">
        <v>66</v>
      </c>
      <c r="J8936" s="75" t="s">
        <v>67</v>
      </c>
      <c r="K8936" s="75" t="s">
        <v>2890</v>
      </c>
      <c r="L8936" s="75" t="s">
        <v>68</v>
      </c>
      <c r="M8936" s="75" t="s">
        <v>70</v>
      </c>
    </row>
    <row r="8937" ht="25.5" spans="3:13">
      <c r="C8937" s="569" t="s">
        <v>2891</v>
      </c>
      <c r="D8937" s="570" t="s">
        <v>3272</v>
      </c>
      <c r="E8937" s="569" t="s">
        <v>77</v>
      </c>
      <c r="F8937" s="569" t="s">
        <v>3273</v>
      </c>
      <c r="G8937" s="569">
        <v>19</v>
      </c>
      <c r="H8937" s="569"/>
      <c r="I8937" s="577" t="s">
        <v>2897</v>
      </c>
      <c r="J8937" s="578">
        <v>1</v>
      </c>
      <c r="K8937" s="579"/>
      <c r="L8937" s="579">
        <v>81.79</v>
      </c>
      <c r="M8937" s="579">
        <v>81.79</v>
      </c>
    </row>
    <row r="8938" ht="23.85" customHeight="1" spans="3:13">
      <c r="C8938" s="100" t="s">
        <v>2893</v>
      </c>
      <c r="D8938" s="99" t="s">
        <v>5529</v>
      </c>
      <c r="E8938" s="100" t="s">
        <v>77</v>
      </c>
      <c r="F8938" s="100" t="s">
        <v>5530</v>
      </c>
      <c r="G8938" s="100" t="s">
        <v>3395</v>
      </c>
      <c r="H8938" s="100"/>
      <c r="I8938" s="101" t="s">
        <v>134</v>
      </c>
      <c r="J8938" s="580">
        <v>9.2e-5</v>
      </c>
      <c r="K8938" s="580">
        <v>20.62</v>
      </c>
      <c r="L8938" s="102">
        <v>404044.47</v>
      </c>
      <c r="M8938" s="102">
        <v>44.83</v>
      </c>
    </row>
    <row r="8939" ht="15" customHeight="1" spans="3:13">
      <c r="C8939" s="100" t="s">
        <v>2893</v>
      </c>
      <c r="D8939" s="99" t="s">
        <v>5487</v>
      </c>
      <c r="E8939" s="100" t="s">
        <v>77</v>
      </c>
      <c r="F8939" s="100" t="s">
        <v>5488</v>
      </c>
      <c r="G8939" s="100" t="s">
        <v>2961</v>
      </c>
      <c r="H8939" s="100"/>
      <c r="I8939" s="101" t="s">
        <v>393</v>
      </c>
      <c r="J8939" s="580">
        <v>0.013</v>
      </c>
      <c r="K8939" s="580">
        <v>0</v>
      </c>
      <c r="L8939" s="102">
        <v>11.39</v>
      </c>
      <c r="M8939" s="102">
        <v>0.14</v>
      </c>
    </row>
    <row r="8940" ht="23.85" customHeight="1" spans="3:13">
      <c r="C8940" s="100" t="s">
        <v>2893</v>
      </c>
      <c r="D8940" s="99" t="s">
        <v>5525</v>
      </c>
      <c r="E8940" s="100" t="s">
        <v>77</v>
      </c>
      <c r="F8940" s="100" t="s">
        <v>5526</v>
      </c>
      <c r="G8940" s="100" t="s">
        <v>2896</v>
      </c>
      <c r="H8940" s="100"/>
      <c r="I8940" s="101" t="s">
        <v>2897</v>
      </c>
      <c r="J8940" s="580">
        <v>1</v>
      </c>
      <c r="K8940" s="580">
        <v>0</v>
      </c>
      <c r="L8940" s="102">
        <v>26.52</v>
      </c>
      <c r="M8940" s="102">
        <v>26.52</v>
      </c>
    </row>
    <row r="8941" ht="23.85" customHeight="1" spans="3:13">
      <c r="C8941" s="100" t="s">
        <v>2893</v>
      </c>
      <c r="D8941" s="99" t="s">
        <v>5491</v>
      </c>
      <c r="E8941" s="100" t="s">
        <v>77</v>
      </c>
      <c r="F8941" s="100" t="s">
        <v>5492</v>
      </c>
      <c r="G8941" s="100" t="s">
        <v>2961</v>
      </c>
      <c r="H8941" s="100"/>
      <c r="I8941" s="101" t="s">
        <v>3084</v>
      </c>
      <c r="J8941" s="580">
        <v>0.026</v>
      </c>
      <c r="K8941" s="580">
        <v>50</v>
      </c>
      <c r="L8941" s="102">
        <v>28.49</v>
      </c>
      <c r="M8941" s="102">
        <v>1.11</v>
      </c>
    </row>
    <row r="8942" ht="15" customHeight="1" spans="3:13">
      <c r="C8942" s="100" t="s">
        <v>2893</v>
      </c>
      <c r="D8942" s="99" t="s">
        <v>5527</v>
      </c>
      <c r="E8942" s="100" t="s">
        <v>77</v>
      </c>
      <c r="F8942" s="100" t="s">
        <v>5528</v>
      </c>
      <c r="G8942" s="100" t="s">
        <v>2961</v>
      </c>
      <c r="H8942" s="100"/>
      <c r="I8942" s="101" t="s">
        <v>3084</v>
      </c>
      <c r="J8942" s="580">
        <v>1.55</v>
      </c>
      <c r="K8942" s="580">
        <v>0</v>
      </c>
      <c r="L8942" s="102">
        <v>5.93</v>
      </c>
      <c r="M8942" s="102">
        <v>9.19</v>
      </c>
    </row>
    <row r="8943" ht="25.5" spans="3:13">
      <c r="C8943" s="108"/>
      <c r="D8943" s="108"/>
      <c r="E8943" s="108"/>
      <c r="F8943" s="108"/>
      <c r="G8943" s="108"/>
      <c r="H8943" s="108" t="s">
        <v>2898</v>
      </c>
      <c r="I8943" s="581">
        <v>26.52</v>
      </c>
      <c r="J8943" s="108" t="s">
        <v>2899</v>
      </c>
      <c r="K8943" s="581">
        <v>0</v>
      </c>
      <c r="L8943" s="108" t="s">
        <v>2900</v>
      </c>
      <c r="M8943" s="581">
        <v>26.52</v>
      </c>
    </row>
    <row r="8944" ht="26.25" spans="3:13">
      <c r="C8944" s="108"/>
      <c r="D8944" s="108"/>
      <c r="E8944" s="108"/>
      <c r="F8944" s="108"/>
      <c r="G8944" s="108"/>
      <c r="H8944" s="108" t="s">
        <v>2901</v>
      </c>
      <c r="I8944" s="581">
        <v>20.84</v>
      </c>
      <c r="J8944" s="114"/>
      <c r="K8944" s="114" t="s">
        <v>2902</v>
      </c>
      <c r="L8944" s="108"/>
      <c r="M8944" s="581">
        <v>102.63</v>
      </c>
    </row>
    <row r="8945" ht="15" spans="3:13">
      <c r="C8945" s="571"/>
      <c r="D8945" s="571"/>
      <c r="E8945" s="571"/>
      <c r="F8945" s="571"/>
      <c r="G8945" s="571"/>
      <c r="H8945" s="571"/>
      <c r="I8945" s="571"/>
      <c r="J8945" s="571"/>
      <c r="K8945" s="571"/>
      <c r="L8945" s="571"/>
      <c r="M8945" s="571"/>
    </row>
    <row r="8946" ht="15" customHeight="1" spans="3:13">
      <c r="C8946" s="76"/>
      <c r="D8946" s="75" t="s">
        <v>63</v>
      </c>
      <c r="E8946" s="76" t="s">
        <v>64</v>
      </c>
      <c r="F8946" s="76" t="s">
        <v>65</v>
      </c>
      <c r="G8946" s="76" t="s">
        <v>2889</v>
      </c>
      <c r="H8946" s="76"/>
      <c r="I8946" s="77" t="s">
        <v>66</v>
      </c>
      <c r="J8946" s="75" t="s">
        <v>67</v>
      </c>
      <c r="K8946" s="75" t="s">
        <v>2890</v>
      </c>
      <c r="L8946" s="75" t="s">
        <v>68</v>
      </c>
      <c r="M8946" s="75" t="s">
        <v>70</v>
      </c>
    </row>
    <row r="8947" ht="46.25" customHeight="1" spans="3:13">
      <c r="C8947" s="569" t="s">
        <v>2891</v>
      </c>
      <c r="D8947" s="570" t="s">
        <v>3304</v>
      </c>
      <c r="E8947" s="569" t="s">
        <v>139</v>
      </c>
      <c r="F8947" s="569" t="s">
        <v>3305</v>
      </c>
      <c r="G8947" s="569" t="s">
        <v>2995</v>
      </c>
      <c r="H8947" s="569"/>
      <c r="I8947" s="577" t="s">
        <v>2996</v>
      </c>
      <c r="J8947" s="578">
        <v>1</v>
      </c>
      <c r="K8947" s="579"/>
      <c r="L8947" s="579">
        <v>94.91</v>
      </c>
      <c r="M8947" s="579">
        <v>94.91</v>
      </c>
    </row>
    <row r="8948" ht="46.25" customHeight="1" spans="3:13">
      <c r="C8948" s="79" t="s">
        <v>2921</v>
      </c>
      <c r="D8948" s="78" t="s">
        <v>5531</v>
      </c>
      <c r="E8948" s="79" t="s">
        <v>139</v>
      </c>
      <c r="F8948" s="79" t="s">
        <v>5532</v>
      </c>
      <c r="G8948" s="79" t="s">
        <v>5464</v>
      </c>
      <c r="H8948" s="79"/>
      <c r="I8948" s="80" t="s">
        <v>2897</v>
      </c>
      <c r="J8948" s="583">
        <v>1</v>
      </c>
      <c r="K8948" s="583">
        <v>0</v>
      </c>
      <c r="L8948" s="92">
        <v>29.18</v>
      </c>
      <c r="M8948" s="92">
        <v>29.18</v>
      </c>
    </row>
    <row r="8949" ht="23.85" customHeight="1" spans="3:13">
      <c r="C8949" s="79" t="s">
        <v>2921</v>
      </c>
      <c r="D8949" s="78" t="s">
        <v>5533</v>
      </c>
      <c r="E8949" s="79" t="s">
        <v>139</v>
      </c>
      <c r="F8949" s="79" t="s">
        <v>5534</v>
      </c>
      <c r="G8949" s="79" t="s">
        <v>2928</v>
      </c>
      <c r="H8949" s="79"/>
      <c r="I8949" s="80" t="s">
        <v>2897</v>
      </c>
      <c r="J8949" s="583">
        <v>1</v>
      </c>
      <c r="K8949" s="583">
        <v>0</v>
      </c>
      <c r="L8949" s="92">
        <v>49.9</v>
      </c>
      <c r="M8949" s="92">
        <v>49.9</v>
      </c>
    </row>
    <row r="8950" ht="46.25" customHeight="1" spans="3:13">
      <c r="C8950" s="79" t="s">
        <v>2921</v>
      </c>
      <c r="D8950" s="78" t="s">
        <v>5535</v>
      </c>
      <c r="E8950" s="79" t="s">
        <v>139</v>
      </c>
      <c r="F8950" s="79" t="s">
        <v>5536</v>
      </c>
      <c r="G8950" s="79" t="s">
        <v>5464</v>
      </c>
      <c r="H8950" s="79"/>
      <c r="I8950" s="80" t="s">
        <v>2897</v>
      </c>
      <c r="J8950" s="583">
        <v>1</v>
      </c>
      <c r="K8950" s="583">
        <v>0</v>
      </c>
      <c r="L8950" s="92">
        <v>4.55</v>
      </c>
      <c r="M8950" s="92">
        <v>4.55</v>
      </c>
    </row>
    <row r="8951" ht="46.25" customHeight="1" spans="3:13">
      <c r="C8951" s="79" t="s">
        <v>2921</v>
      </c>
      <c r="D8951" s="78" t="s">
        <v>5537</v>
      </c>
      <c r="E8951" s="79" t="s">
        <v>139</v>
      </c>
      <c r="F8951" s="79" t="s">
        <v>5538</v>
      </c>
      <c r="G8951" s="79" t="s">
        <v>5464</v>
      </c>
      <c r="H8951" s="79"/>
      <c r="I8951" s="80" t="s">
        <v>2897</v>
      </c>
      <c r="J8951" s="583">
        <v>1</v>
      </c>
      <c r="K8951" s="583">
        <v>0</v>
      </c>
      <c r="L8951" s="92">
        <v>11.28</v>
      </c>
      <c r="M8951" s="92">
        <v>11.28</v>
      </c>
    </row>
    <row r="8952" ht="25.5" spans="3:13">
      <c r="C8952" s="108"/>
      <c r="D8952" s="108"/>
      <c r="E8952" s="108"/>
      <c r="F8952" s="108"/>
      <c r="G8952" s="108"/>
      <c r="H8952" s="108" t="s">
        <v>2898</v>
      </c>
      <c r="I8952" s="581">
        <v>41.07</v>
      </c>
      <c r="J8952" s="108" t="s">
        <v>2899</v>
      </c>
      <c r="K8952" s="581">
        <v>0</v>
      </c>
      <c r="L8952" s="108" t="s">
        <v>2900</v>
      </c>
      <c r="M8952" s="581">
        <v>41.07</v>
      </c>
    </row>
    <row r="8953" ht="26.25" spans="3:13">
      <c r="C8953" s="108"/>
      <c r="D8953" s="108"/>
      <c r="E8953" s="108"/>
      <c r="F8953" s="108"/>
      <c r="G8953" s="108"/>
      <c r="H8953" s="108" t="s">
        <v>2901</v>
      </c>
      <c r="I8953" s="581">
        <v>24.19</v>
      </c>
      <c r="J8953" s="114"/>
      <c r="K8953" s="114" t="s">
        <v>2902</v>
      </c>
      <c r="L8953" s="108"/>
      <c r="M8953" s="581">
        <v>119.1</v>
      </c>
    </row>
    <row r="8954" ht="15" spans="3:13">
      <c r="C8954" s="571"/>
      <c r="D8954" s="571"/>
      <c r="E8954" s="571"/>
      <c r="F8954" s="571"/>
      <c r="G8954" s="571"/>
      <c r="H8954" s="571"/>
      <c r="I8954" s="571"/>
      <c r="J8954" s="571"/>
      <c r="K8954" s="571"/>
      <c r="L8954" s="571"/>
      <c r="M8954" s="571"/>
    </row>
    <row r="8955" ht="15" customHeight="1" spans="3:13">
      <c r="C8955" s="76"/>
      <c r="D8955" s="75" t="s">
        <v>63</v>
      </c>
      <c r="E8955" s="76" t="s">
        <v>64</v>
      </c>
      <c r="F8955" s="76" t="s">
        <v>65</v>
      </c>
      <c r="G8955" s="76" t="s">
        <v>2889</v>
      </c>
      <c r="H8955" s="76"/>
      <c r="I8955" s="77" t="s">
        <v>66</v>
      </c>
      <c r="J8955" s="75" t="s">
        <v>67</v>
      </c>
      <c r="K8955" s="75" t="s">
        <v>2890</v>
      </c>
      <c r="L8955" s="75" t="s">
        <v>68</v>
      </c>
      <c r="M8955" s="75" t="s">
        <v>70</v>
      </c>
    </row>
    <row r="8956" ht="46.25" customHeight="1" spans="3:13">
      <c r="C8956" s="569" t="s">
        <v>2891</v>
      </c>
      <c r="D8956" s="570" t="s">
        <v>3308</v>
      </c>
      <c r="E8956" s="569" t="s">
        <v>139</v>
      </c>
      <c r="F8956" s="569" t="s">
        <v>3309</v>
      </c>
      <c r="G8956" s="569" t="s">
        <v>2995</v>
      </c>
      <c r="H8956" s="569"/>
      <c r="I8956" s="577" t="s">
        <v>3002</v>
      </c>
      <c r="J8956" s="578">
        <v>1</v>
      </c>
      <c r="K8956" s="579"/>
      <c r="L8956" s="579">
        <v>339.64</v>
      </c>
      <c r="M8956" s="579">
        <v>339.64</v>
      </c>
    </row>
    <row r="8957" ht="23.85" customHeight="1" spans="3:13">
      <c r="C8957" s="79" t="s">
        <v>2921</v>
      </c>
      <c r="D8957" s="78" t="s">
        <v>5533</v>
      </c>
      <c r="E8957" s="79" t="s">
        <v>139</v>
      </c>
      <c r="F8957" s="79" t="s">
        <v>5534</v>
      </c>
      <c r="G8957" s="79" t="s">
        <v>2928</v>
      </c>
      <c r="H8957" s="79"/>
      <c r="I8957" s="80" t="s">
        <v>2897</v>
      </c>
      <c r="J8957" s="583">
        <v>1</v>
      </c>
      <c r="K8957" s="583">
        <v>0</v>
      </c>
      <c r="L8957" s="92">
        <v>49.9</v>
      </c>
      <c r="M8957" s="92">
        <v>49.9</v>
      </c>
    </row>
    <row r="8958" ht="46.25" customHeight="1" spans="3:13">
      <c r="C8958" s="79" t="s">
        <v>2921</v>
      </c>
      <c r="D8958" s="78" t="s">
        <v>5539</v>
      </c>
      <c r="E8958" s="79" t="s">
        <v>139</v>
      </c>
      <c r="F8958" s="79" t="s">
        <v>5540</v>
      </c>
      <c r="G8958" s="79" t="s">
        <v>5464</v>
      </c>
      <c r="H8958" s="79"/>
      <c r="I8958" s="80" t="s">
        <v>2897</v>
      </c>
      <c r="J8958" s="583">
        <v>1</v>
      </c>
      <c r="K8958" s="583">
        <v>0</v>
      </c>
      <c r="L8958" s="92">
        <v>192.96</v>
      </c>
      <c r="M8958" s="92">
        <v>192.96</v>
      </c>
    </row>
    <row r="8959" ht="46.25" customHeight="1" spans="3:13">
      <c r="C8959" s="79" t="s">
        <v>2921</v>
      </c>
      <c r="D8959" s="78" t="s">
        <v>5531</v>
      </c>
      <c r="E8959" s="79" t="s">
        <v>139</v>
      </c>
      <c r="F8959" s="79" t="s">
        <v>5532</v>
      </c>
      <c r="G8959" s="79" t="s">
        <v>5464</v>
      </c>
      <c r="H8959" s="79"/>
      <c r="I8959" s="80" t="s">
        <v>2897</v>
      </c>
      <c r="J8959" s="583">
        <v>1</v>
      </c>
      <c r="K8959" s="583">
        <v>0</v>
      </c>
      <c r="L8959" s="92">
        <v>29.18</v>
      </c>
      <c r="M8959" s="92">
        <v>29.18</v>
      </c>
    </row>
    <row r="8960" ht="46.25" customHeight="1" spans="3:13">
      <c r="C8960" s="79" t="s">
        <v>2921</v>
      </c>
      <c r="D8960" s="78" t="s">
        <v>5541</v>
      </c>
      <c r="E8960" s="79" t="s">
        <v>139</v>
      </c>
      <c r="F8960" s="79" t="s">
        <v>5542</v>
      </c>
      <c r="G8960" s="79" t="s">
        <v>5464</v>
      </c>
      <c r="H8960" s="79"/>
      <c r="I8960" s="80" t="s">
        <v>2897</v>
      </c>
      <c r="J8960" s="583">
        <v>1</v>
      </c>
      <c r="K8960" s="583">
        <v>0</v>
      </c>
      <c r="L8960" s="92">
        <v>51.77</v>
      </c>
      <c r="M8960" s="92">
        <v>51.77</v>
      </c>
    </row>
    <row r="8961" ht="46.25" customHeight="1" spans="3:13">
      <c r="C8961" s="79" t="s">
        <v>2921</v>
      </c>
      <c r="D8961" s="78" t="s">
        <v>5535</v>
      </c>
      <c r="E8961" s="79" t="s">
        <v>139</v>
      </c>
      <c r="F8961" s="79" t="s">
        <v>5536</v>
      </c>
      <c r="G8961" s="79" t="s">
        <v>5464</v>
      </c>
      <c r="H8961" s="79"/>
      <c r="I8961" s="80" t="s">
        <v>2897</v>
      </c>
      <c r="J8961" s="583">
        <v>1</v>
      </c>
      <c r="K8961" s="583">
        <v>0</v>
      </c>
      <c r="L8961" s="92">
        <v>4.55</v>
      </c>
      <c r="M8961" s="92">
        <v>4.55</v>
      </c>
    </row>
    <row r="8962" ht="46.25" customHeight="1" spans="3:13">
      <c r="C8962" s="79" t="s">
        <v>2921</v>
      </c>
      <c r="D8962" s="78" t="s">
        <v>5537</v>
      </c>
      <c r="E8962" s="79" t="s">
        <v>139</v>
      </c>
      <c r="F8962" s="79" t="s">
        <v>5538</v>
      </c>
      <c r="G8962" s="79" t="s">
        <v>5464</v>
      </c>
      <c r="H8962" s="79"/>
      <c r="I8962" s="80" t="s">
        <v>2897</v>
      </c>
      <c r="J8962" s="583">
        <v>1</v>
      </c>
      <c r="K8962" s="583">
        <v>0</v>
      </c>
      <c r="L8962" s="92">
        <v>11.28</v>
      </c>
      <c r="M8962" s="92">
        <v>11.28</v>
      </c>
    </row>
    <row r="8963" ht="25.5" spans="3:13">
      <c r="C8963" s="108"/>
      <c r="D8963" s="108"/>
      <c r="E8963" s="108"/>
      <c r="F8963" s="108"/>
      <c r="G8963" s="108"/>
      <c r="H8963" s="108" t="s">
        <v>2898</v>
      </c>
      <c r="I8963" s="581">
        <v>41.07</v>
      </c>
      <c r="J8963" s="108" t="s">
        <v>2899</v>
      </c>
      <c r="K8963" s="581">
        <v>0</v>
      </c>
      <c r="L8963" s="108" t="s">
        <v>2900</v>
      </c>
      <c r="M8963" s="581">
        <v>41.07</v>
      </c>
    </row>
    <row r="8964" ht="26.25" spans="3:13">
      <c r="C8964" s="108"/>
      <c r="D8964" s="108"/>
      <c r="E8964" s="108"/>
      <c r="F8964" s="108"/>
      <c r="G8964" s="108"/>
      <c r="H8964" s="108" t="s">
        <v>2901</v>
      </c>
      <c r="I8964" s="581">
        <v>86.57</v>
      </c>
      <c r="J8964" s="114"/>
      <c r="K8964" s="114" t="s">
        <v>2902</v>
      </c>
      <c r="L8964" s="108"/>
      <c r="M8964" s="581">
        <v>426.21</v>
      </c>
    </row>
    <row r="8965" ht="15" spans="3:13">
      <c r="C8965" s="571"/>
      <c r="D8965" s="571"/>
      <c r="E8965" s="571"/>
      <c r="F8965" s="571"/>
      <c r="G8965" s="571"/>
      <c r="H8965" s="571"/>
      <c r="I8965" s="571"/>
      <c r="J8965" s="571"/>
      <c r="K8965" s="571"/>
      <c r="L8965" s="571"/>
      <c r="M8965" s="571"/>
    </row>
    <row r="8966" ht="15" customHeight="1" spans="3:13">
      <c r="C8966" s="76"/>
      <c r="D8966" s="75" t="s">
        <v>63</v>
      </c>
      <c r="E8966" s="76" t="s">
        <v>64</v>
      </c>
      <c r="F8966" s="76" t="s">
        <v>65</v>
      </c>
      <c r="G8966" s="76" t="s">
        <v>2889</v>
      </c>
      <c r="H8966" s="76"/>
      <c r="I8966" s="77" t="s">
        <v>66</v>
      </c>
      <c r="J8966" s="75" t="s">
        <v>67</v>
      </c>
      <c r="K8966" s="75" t="s">
        <v>2890</v>
      </c>
      <c r="L8966" s="75" t="s">
        <v>68</v>
      </c>
      <c r="M8966" s="75" t="s">
        <v>70</v>
      </c>
    </row>
    <row r="8967" ht="46.25" customHeight="1" spans="3:13">
      <c r="C8967" s="569" t="s">
        <v>2891</v>
      </c>
      <c r="D8967" s="570" t="s">
        <v>5531</v>
      </c>
      <c r="E8967" s="569" t="s">
        <v>139</v>
      </c>
      <c r="F8967" s="569" t="s">
        <v>5532</v>
      </c>
      <c r="G8967" s="569" t="s">
        <v>5464</v>
      </c>
      <c r="H8967" s="569"/>
      <c r="I8967" s="577" t="s">
        <v>2897</v>
      </c>
      <c r="J8967" s="578">
        <v>1</v>
      </c>
      <c r="K8967" s="579"/>
      <c r="L8967" s="579">
        <v>29.18</v>
      </c>
      <c r="M8967" s="579">
        <v>29.18</v>
      </c>
    </row>
    <row r="8968" ht="35.05" customHeight="1" spans="3:13">
      <c r="C8968" s="100" t="s">
        <v>2893</v>
      </c>
      <c r="D8968" s="99" t="s">
        <v>5543</v>
      </c>
      <c r="E8968" s="100" t="s">
        <v>139</v>
      </c>
      <c r="F8968" s="100" t="s">
        <v>5544</v>
      </c>
      <c r="G8968" s="100" t="s">
        <v>3680</v>
      </c>
      <c r="H8968" s="100"/>
      <c r="I8968" s="101" t="s">
        <v>134</v>
      </c>
      <c r="J8968" s="580">
        <v>3.43e-5</v>
      </c>
      <c r="K8968" s="580">
        <v>0</v>
      </c>
      <c r="L8968" s="102">
        <v>713097.82</v>
      </c>
      <c r="M8968" s="102">
        <v>24.45</v>
      </c>
    </row>
    <row r="8969" ht="46.25" customHeight="1" spans="3:13">
      <c r="C8969" s="100" t="s">
        <v>2893</v>
      </c>
      <c r="D8969" s="99" t="s">
        <v>5545</v>
      </c>
      <c r="E8969" s="100" t="s">
        <v>139</v>
      </c>
      <c r="F8969" s="100" t="s">
        <v>5546</v>
      </c>
      <c r="G8969" s="100" t="s">
        <v>3680</v>
      </c>
      <c r="H8969" s="100"/>
      <c r="I8969" s="101" t="s">
        <v>134</v>
      </c>
      <c r="J8969" s="580">
        <v>5.51e-5</v>
      </c>
      <c r="K8969" s="580">
        <v>0</v>
      </c>
      <c r="L8969" s="102">
        <v>85950</v>
      </c>
      <c r="M8969" s="102">
        <v>4.73</v>
      </c>
    </row>
    <row r="8970" ht="25.5" spans="3:13">
      <c r="C8970" s="108"/>
      <c r="D8970" s="108"/>
      <c r="E8970" s="108"/>
      <c r="F8970" s="108"/>
      <c r="G8970" s="108"/>
      <c r="H8970" s="108" t="s">
        <v>2898</v>
      </c>
      <c r="I8970" s="581">
        <v>0</v>
      </c>
      <c r="J8970" s="108" t="s">
        <v>2899</v>
      </c>
      <c r="K8970" s="581">
        <v>0</v>
      </c>
      <c r="L8970" s="108" t="s">
        <v>2900</v>
      </c>
      <c r="M8970" s="581">
        <v>0</v>
      </c>
    </row>
    <row r="8971" ht="26.25" spans="3:13">
      <c r="C8971" s="108"/>
      <c r="D8971" s="108"/>
      <c r="E8971" s="108"/>
      <c r="F8971" s="108"/>
      <c r="G8971" s="108"/>
      <c r="H8971" s="108" t="s">
        <v>2901</v>
      </c>
      <c r="I8971" s="581">
        <v>7.43</v>
      </c>
      <c r="J8971" s="114"/>
      <c r="K8971" s="114" t="s">
        <v>2902</v>
      </c>
      <c r="L8971" s="108"/>
      <c r="M8971" s="581">
        <v>36.61</v>
      </c>
    </row>
    <row r="8972" ht="15" spans="3:13">
      <c r="C8972" s="571"/>
      <c r="D8972" s="571"/>
      <c r="E8972" s="571"/>
      <c r="F8972" s="571"/>
      <c r="G8972" s="571"/>
      <c r="H8972" s="571"/>
      <c r="I8972" s="571"/>
      <c r="J8972" s="571"/>
      <c r="K8972" s="571"/>
      <c r="L8972" s="571"/>
      <c r="M8972" s="571"/>
    </row>
    <row r="8973" ht="15" customHeight="1" spans="3:13">
      <c r="C8973" s="76"/>
      <c r="D8973" s="75" t="s">
        <v>63</v>
      </c>
      <c r="E8973" s="76" t="s">
        <v>64</v>
      </c>
      <c r="F8973" s="76" t="s">
        <v>65</v>
      </c>
      <c r="G8973" s="76" t="s">
        <v>2889</v>
      </c>
      <c r="H8973" s="76"/>
      <c r="I8973" s="77" t="s">
        <v>66</v>
      </c>
      <c r="J8973" s="75" t="s">
        <v>67</v>
      </c>
      <c r="K8973" s="75" t="s">
        <v>2890</v>
      </c>
      <c r="L8973" s="75" t="s">
        <v>68</v>
      </c>
      <c r="M8973" s="75" t="s">
        <v>70</v>
      </c>
    </row>
    <row r="8974" ht="46.25" customHeight="1" spans="3:13">
      <c r="C8974" s="569" t="s">
        <v>2891</v>
      </c>
      <c r="D8974" s="570" t="s">
        <v>5535</v>
      </c>
      <c r="E8974" s="569" t="s">
        <v>139</v>
      </c>
      <c r="F8974" s="569" t="s">
        <v>5536</v>
      </c>
      <c r="G8974" s="569" t="s">
        <v>5464</v>
      </c>
      <c r="H8974" s="569"/>
      <c r="I8974" s="577" t="s">
        <v>2897</v>
      </c>
      <c r="J8974" s="578">
        <v>1</v>
      </c>
      <c r="K8974" s="579"/>
      <c r="L8974" s="579">
        <v>4.55</v>
      </c>
      <c r="M8974" s="579">
        <v>4.55</v>
      </c>
    </row>
    <row r="8975" ht="46.25" customHeight="1" spans="3:13">
      <c r="C8975" s="100" t="s">
        <v>2893</v>
      </c>
      <c r="D8975" s="99" t="s">
        <v>5545</v>
      </c>
      <c r="E8975" s="100" t="s">
        <v>139</v>
      </c>
      <c r="F8975" s="100" t="s">
        <v>5546</v>
      </c>
      <c r="G8975" s="100" t="s">
        <v>3680</v>
      </c>
      <c r="H8975" s="100"/>
      <c r="I8975" s="101" t="s">
        <v>134</v>
      </c>
      <c r="J8975" s="580">
        <v>5.8e-6</v>
      </c>
      <c r="K8975" s="580">
        <v>0</v>
      </c>
      <c r="L8975" s="102">
        <v>85950</v>
      </c>
      <c r="M8975" s="102">
        <v>0.49</v>
      </c>
    </row>
    <row r="8976" ht="35.05" customHeight="1" spans="3:13">
      <c r="C8976" s="100" t="s">
        <v>2893</v>
      </c>
      <c r="D8976" s="99" t="s">
        <v>5543</v>
      </c>
      <c r="E8976" s="100" t="s">
        <v>139</v>
      </c>
      <c r="F8976" s="100" t="s">
        <v>5544</v>
      </c>
      <c r="G8976" s="100" t="s">
        <v>3680</v>
      </c>
      <c r="H8976" s="100"/>
      <c r="I8976" s="101" t="s">
        <v>134</v>
      </c>
      <c r="J8976" s="580">
        <v>5.7e-6</v>
      </c>
      <c r="K8976" s="580">
        <v>0</v>
      </c>
      <c r="L8976" s="102">
        <v>713097.82</v>
      </c>
      <c r="M8976" s="102">
        <v>4.06</v>
      </c>
    </row>
    <row r="8977" ht="25.5" spans="3:13">
      <c r="C8977" s="108"/>
      <c r="D8977" s="108"/>
      <c r="E8977" s="108"/>
      <c r="F8977" s="108"/>
      <c r="G8977" s="108"/>
      <c r="H8977" s="108" t="s">
        <v>2898</v>
      </c>
      <c r="I8977" s="581">
        <v>0</v>
      </c>
      <c r="J8977" s="108" t="s">
        <v>2899</v>
      </c>
      <c r="K8977" s="581">
        <v>0</v>
      </c>
      <c r="L8977" s="108" t="s">
        <v>2900</v>
      </c>
      <c r="M8977" s="581">
        <v>0</v>
      </c>
    </row>
    <row r="8978" ht="26.25" spans="3:13">
      <c r="C8978" s="108"/>
      <c r="D8978" s="108"/>
      <c r="E8978" s="108"/>
      <c r="F8978" s="108"/>
      <c r="G8978" s="108"/>
      <c r="H8978" s="108" t="s">
        <v>2901</v>
      </c>
      <c r="I8978" s="581">
        <v>1.15</v>
      </c>
      <c r="J8978" s="114"/>
      <c r="K8978" s="114" t="s">
        <v>2902</v>
      </c>
      <c r="L8978" s="108"/>
      <c r="M8978" s="581">
        <v>5.7</v>
      </c>
    </row>
    <row r="8979" ht="15" spans="3:13">
      <c r="C8979" s="571"/>
      <c r="D8979" s="571"/>
      <c r="E8979" s="571"/>
      <c r="F8979" s="571"/>
      <c r="G8979" s="571"/>
      <c r="H8979" s="571"/>
      <c r="I8979" s="571"/>
      <c r="J8979" s="571"/>
      <c r="K8979" s="571"/>
      <c r="L8979" s="571"/>
      <c r="M8979" s="571"/>
    </row>
    <row r="8980" ht="15" customHeight="1" spans="3:13">
      <c r="C8980" s="76"/>
      <c r="D8980" s="75" t="s">
        <v>63</v>
      </c>
      <c r="E8980" s="76" t="s">
        <v>64</v>
      </c>
      <c r="F8980" s="76" t="s">
        <v>65</v>
      </c>
      <c r="G8980" s="76" t="s">
        <v>2889</v>
      </c>
      <c r="H8980" s="76"/>
      <c r="I8980" s="77" t="s">
        <v>66</v>
      </c>
      <c r="J8980" s="75" t="s">
        <v>67</v>
      </c>
      <c r="K8980" s="75" t="s">
        <v>2890</v>
      </c>
      <c r="L8980" s="75" t="s">
        <v>68</v>
      </c>
      <c r="M8980" s="75" t="s">
        <v>70</v>
      </c>
    </row>
    <row r="8981" ht="46.25" customHeight="1" spans="3:13">
      <c r="C8981" s="569" t="s">
        <v>2891</v>
      </c>
      <c r="D8981" s="570" t="s">
        <v>5537</v>
      </c>
      <c r="E8981" s="569" t="s">
        <v>139</v>
      </c>
      <c r="F8981" s="569" t="s">
        <v>5538</v>
      </c>
      <c r="G8981" s="569" t="s">
        <v>5464</v>
      </c>
      <c r="H8981" s="569"/>
      <c r="I8981" s="577" t="s">
        <v>2897</v>
      </c>
      <c r="J8981" s="578">
        <v>1</v>
      </c>
      <c r="K8981" s="579"/>
      <c r="L8981" s="579">
        <v>11.28</v>
      </c>
      <c r="M8981" s="579">
        <v>11.28</v>
      </c>
    </row>
    <row r="8982" ht="35.05" customHeight="1" spans="3:13">
      <c r="C8982" s="100" t="s">
        <v>2893</v>
      </c>
      <c r="D8982" s="99" t="s">
        <v>5543</v>
      </c>
      <c r="E8982" s="100" t="s">
        <v>139</v>
      </c>
      <c r="F8982" s="100" t="s">
        <v>5544</v>
      </c>
      <c r="G8982" s="100" t="s">
        <v>3680</v>
      </c>
      <c r="H8982" s="100"/>
      <c r="I8982" s="101" t="s">
        <v>134</v>
      </c>
      <c r="J8982" s="580">
        <v>1.41e-5</v>
      </c>
      <c r="K8982" s="580">
        <v>0</v>
      </c>
      <c r="L8982" s="102">
        <v>713097.82</v>
      </c>
      <c r="M8982" s="102">
        <v>10.05</v>
      </c>
    </row>
    <row r="8983" ht="46.25" customHeight="1" spans="3:13">
      <c r="C8983" s="100" t="s">
        <v>2893</v>
      </c>
      <c r="D8983" s="99" t="s">
        <v>5545</v>
      </c>
      <c r="E8983" s="100" t="s">
        <v>139</v>
      </c>
      <c r="F8983" s="100" t="s">
        <v>5546</v>
      </c>
      <c r="G8983" s="100" t="s">
        <v>3680</v>
      </c>
      <c r="H8983" s="100"/>
      <c r="I8983" s="101" t="s">
        <v>134</v>
      </c>
      <c r="J8983" s="580">
        <v>1.44e-5</v>
      </c>
      <c r="K8983" s="580">
        <v>0</v>
      </c>
      <c r="L8983" s="102">
        <v>85950</v>
      </c>
      <c r="M8983" s="102">
        <v>1.23</v>
      </c>
    </row>
    <row r="8984" ht="25.5" spans="3:13">
      <c r="C8984" s="108"/>
      <c r="D8984" s="108"/>
      <c r="E8984" s="108"/>
      <c r="F8984" s="108"/>
      <c r="G8984" s="108"/>
      <c r="H8984" s="108" t="s">
        <v>2898</v>
      </c>
      <c r="I8984" s="581">
        <v>0</v>
      </c>
      <c r="J8984" s="108" t="s">
        <v>2899</v>
      </c>
      <c r="K8984" s="581">
        <v>0</v>
      </c>
      <c r="L8984" s="108" t="s">
        <v>2900</v>
      </c>
      <c r="M8984" s="581">
        <v>0</v>
      </c>
    </row>
    <row r="8985" ht="26.25" spans="3:13">
      <c r="C8985" s="108"/>
      <c r="D8985" s="108"/>
      <c r="E8985" s="108"/>
      <c r="F8985" s="108"/>
      <c r="G8985" s="108"/>
      <c r="H8985" s="108" t="s">
        <v>2901</v>
      </c>
      <c r="I8985" s="581">
        <v>2.87</v>
      </c>
      <c r="J8985" s="114"/>
      <c r="K8985" s="114" t="s">
        <v>2902</v>
      </c>
      <c r="L8985" s="108"/>
      <c r="M8985" s="581">
        <v>14.15</v>
      </c>
    </row>
    <row r="8986" ht="15" spans="3:13">
      <c r="C8986" s="571"/>
      <c r="D8986" s="571"/>
      <c r="E8986" s="571"/>
      <c r="F8986" s="571"/>
      <c r="G8986" s="571"/>
      <c r="H8986" s="571"/>
      <c r="I8986" s="571"/>
      <c r="J8986" s="571"/>
      <c r="K8986" s="571"/>
      <c r="L8986" s="571"/>
      <c r="M8986" s="571"/>
    </row>
    <row r="8987" ht="15" customHeight="1" spans="3:13">
      <c r="C8987" s="76"/>
      <c r="D8987" s="75" t="s">
        <v>63</v>
      </c>
      <c r="E8987" s="76" t="s">
        <v>64</v>
      </c>
      <c r="F8987" s="76" t="s">
        <v>65</v>
      </c>
      <c r="G8987" s="76" t="s">
        <v>2889</v>
      </c>
      <c r="H8987" s="76"/>
      <c r="I8987" s="77" t="s">
        <v>66</v>
      </c>
      <c r="J8987" s="75" t="s">
        <v>67</v>
      </c>
      <c r="K8987" s="75" t="s">
        <v>2890</v>
      </c>
      <c r="L8987" s="75" t="s">
        <v>68</v>
      </c>
      <c r="M8987" s="75" t="s">
        <v>70</v>
      </c>
    </row>
    <row r="8988" ht="46.25" customHeight="1" spans="3:13">
      <c r="C8988" s="569" t="s">
        <v>2891</v>
      </c>
      <c r="D8988" s="570" t="s">
        <v>5541</v>
      </c>
      <c r="E8988" s="569" t="s">
        <v>139</v>
      </c>
      <c r="F8988" s="569" t="s">
        <v>5542</v>
      </c>
      <c r="G8988" s="569" t="s">
        <v>5464</v>
      </c>
      <c r="H8988" s="569"/>
      <c r="I8988" s="577" t="s">
        <v>2897</v>
      </c>
      <c r="J8988" s="578">
        <v>1</v>
      </c>
      <c r="K8988" s="579"/>
      <c r="L8988" s="579">
        <v>51.77</v>
      </c>
      <c r="M8988" s="579">
        <v>51.77</v>
      </c>
    </row>
    <row r="8989" ht="35.05" customHeight="1" spans="3:13">
      <c r="C8989" s="100" t="s">
        <v>2893</v>
      </c>
      <c r="D8989" s="99" t="s">
        <v>5543</v>
      </c>
      <c r="E8989" s="100" t="s">
        <v>139</v>
      </c>
      <c r="F8989" s="100" t="s">
        <v>5544</v>
      </c>
      <c r="G8989" s="100" t="s">
        <v>3680</v>
      </c>
      <c r="H8989" s="100"/>
      <c r="I8989" s="101" t="s">
        <v>134</v>
      </c>
      <c r="J8989" s="580">
        <v>6.43e-5</v>
      </c>
      <c r="K8989" s="580">
        <v>0</v>
      </c>
      <c r="L8989" s="102">
        <v>713097.82</v>
      </c>
      <c r="M8989" s="102">
        <v>45.85</v>
      </c>
    </row>
    <row r="8990" ht="46.25" customHeight="1" spans="3:13">
      <c r="C8990" s="100" t="s">
        <v>2893</v>
      </c>
      <c r="D8990" s="99" t="s">
        <v>5545</v>
      </c>
      <c r="E8990" s="100" t="s">
        <v>139</v>
      </c>
      <c r="F8990" s="100" t="s">
        <v>5546</v>
      </c>
      <c r="G8990" s="100" t="s">
        <v>3680</v>
      </c>
      <c r="H8990" s="100"/>
      <c r="I8990" s="101" t="s">
        <v>134</v>
      </c>
      <c r="J8990" s="580">
        <v>6.89e-5</v>
      </c>
      <c r="K8990" s="580">
        <v>0</v>
      </c>
      <c r="L8990" s="102">
        <v>85950</v>
      </c>
      <c r="M8990" s="102">
        <v>5.92</v>
      </c>
    </row>
    <row r="8991" ht="25.5" spans="3:13">
      <c r="C8991" s="108"/>
      <c r="D8991" s="108"/>
      <c r="E8991" s="108"/>
      <c r="F8991" s="108"/>
      <c r="G8991" s="108"/>
      <c r="H8991" s="108" t="s">
        <v>2898</v>
      </c>
      <c r="I8991" s="581">
        <v>0</v>
      </c>
      <c r="J8991" s="108" t="s">
        <v>2899</v>
      </c>
      <c r="K8991" s="581">
        <v>0</v>
      </c>
      <c r="L8991" s="108" t="s">
        <v>2900</v>
      </c>
      <c r="M8991" s="581">
        <v>0</v>
      </c>
    </row>
    <row r="8992" ht="26.25" spans="3:13">
      <c r="C8992" s="108"/>
      <c r="D8992" s="108"/>
      <c r="E8992" s="108"/>
      <c r="F8992" s="108"/>
      <c r="G8992" s="108"/>
      <c r="H8992" s="108" t="s">
        <v>2901</v>
      </c>
      <c r="I8992" s="581">
        <v>13.19</v>
      </c>
      <c r="J8992" s="114"/>
      <c r="K8992" s="114" t="s">
        <v>2902</v>
      </c>
      <c r="L8992" s="108"/>
      <c r="M8992" s="581">
        <v>64.96</v>
      </c>
    </row>
    <row r="8993" ht="15" spans="3:13">
      <c r="C8993" s="571"/>
      <c r="D8993" s="571"/>
      <c r="E8993" s="571"/>
      <c r="F8993" s="571"/>
      <c r="G8993" s="571"/>
      <c r="H8993" s="571"/>
      <c r="I8993" s="571"/>
      <c r="J8993" s="571"/>
      <c r="K8993" s="571"/>
      <c r="L8993" s="571"/>
      <c r="M8993" s="571"/>
    </row>
    <row r="8994" ht="15" customHeight="1" spans="3:13">
      <c r="C8994" s="76"/>
      <c r="D8994" s="75" t="s">
        <v>63</v>
      </c>
      <c r="E8994" s="76" t="s">
        <v>64</v>
      </c>
      <c r="F8994" s="76" t="s">
        <v>65</v>
      </c>
      <c r="G8994" s="76" t="s">
        <v>2889</v>
      </c>
      <c r="H8994" s="76"/>
      <c r="I8994" s="77" t="s">
        <v>66</v>
      </c>
      <c r="J8994" s="75" t="s">
        <v>67</v>
      </c>
      <c r="K8994" s="75" t="s">
        <v>2890</v>
      </c>
      <c r="L8994" s="75" t="s">
        <v>68</v>
      </c>
      <c r="M8994" s="75" t="s">
        <v>70</v>
      </c>
    </row>
    <row r="8995" ht="46.25" customHeight="1" spans="3:13">
      <c r="C8995" s="569" t="s">
        <v>2891</v>
      </c>
      <c r="D8995" s="570" t="s">
        <v>5539</v>
      </c>
      <c r="E8995" s="569" t="s">
        <v>139</v>
      </c>
      <c r="F8995" s="569" t="s">
        <v>5540</v>
      </c>
      <c r="G8995" s="569" t="s">
        <v>5464</v>
      </c>
      <c r="H8995" s="569"/>
      <c r="I8995" s="577" t="s">
        <v>2897</v>
      </c>
      <c r="J8995" s="578">
        <v>1</v>
      </c>
      <c r="K8995" s="579"/>
      <c r="L8995" s="579">
        <v>192.96</v>
      </c>
      <c r="M8995" s="579">
        <v>192.96</v>
      </c>
    </row>
    <row r="8996" ht="15" customHeight="1" spans="3:13">
      <c r="C8996" s="100" t="s">
        <v>2893</v>
      </c>
      <c r="D8996" s="99" t="s">
        <v>5547</v>
      </c>
      <c r="E8996" s="100" t="s">
        <v>139</v>
      </c>
      <c r="F8996" s="100" t="s">
        <v>5548</v>
      </c>
      <c r="G8996" s="100" t="s">
        <v>2961</v>
      </c>
      <c r="H8996" s="100"/>
      <c r="I8996" s="101" t="s">
        <v>3084</v>
      </c>
      <c r="J8996" s="580">
        <v>32.16</v>
      </c>
      <c r="K8996" s="580">
        <v>0</v>
      </c>
      <c r="L8996" s="102">
        <v>6</v>
      </c>
      <c r="M8996" s="102">
        <v>192.96</v>
      </c>
    </row>
    <row r="8997" ht="25.5" spans="3:13">
      <c r="C8997" s="108"/>
      <c r="D8997" s="108"/>
      <c r="E8997" s="108"/>
      <c r="F8997" s="108"/>
      <c r="G8997" s="108"/>
      <c r="H8997" s="108" t="s">
        <v>2898</v>
      </c>
      <c r="I8997" s="581">
        <v>0</v>
      </c>
      <c r="J8997" s="108" t="s">
        <v>2899</v>
      </c>
      <c r="K8997" s="581">
        <v>0</v>
      </c>
      <c r="L8997" s="108" t="s">
        <v>2900</v>
      </c>
      <c r="M8997" s="581">
        <v>0</v>
      </c>
    </row>
    <row r="8998" ht="26.25" spans="3:13">
      <c r="C8998" s="108"/>
      <c r="D8998" s="108"/>
      <c r="E8998" s="108"/>
      <c r="F8998" s="108"/>
      <c r="G8998" s="108"/>
      <c r="H8998" s="108" t="s">
        <v>2901</v>
      </c>
      <c r="I8998" s="581">
        <v>49.18</v>
      </c>
      <c r="J8998" s="114"/>
      <c r="K8998" s="114" t="s">
        <v>2902</v>
      </c>
      <c r="L8998" s="108"/>
      <c r="M8998" s="581">
        <v>242.14</v>
      </c>
    </row>
    <row r="8999" ht="15" spans="3:13">
      <c r="C8999" s="571"/>
      <c r="D8999" s="571"/>
      <c r="E8999" s="571"/>
      <c r="F8999" s="571"/>
      <c r="G8999" s="571"/>
      <c r="H8999" s="571"/>
      <c r="I8999" s="571"/>
      <c r="J8999" s="571"/>
      <c r="K8999" s="571"/>
      <c r="L8999" s="571"/>
      <c r="M8999" s="571"/>
    </row>
    <row r="9000" ht="15" customHeight="1" spans="3:13">
      <c r="C9000" s="76"/>
      <c r="D9000" s="75" t="s">
        <v>63</v>
      </c>
      <c r="E9000" s="76" t="s">
        <v>64</v>
      </c>
      <c r="F9000" s="76" t="s">
        <v>65</v>
      </c>
      <c r="G9000" s="76" t="s">
        <v>2889</v>
      </c>
      <c r="H9000" s="76"/>
      <c r="I9000" s="77" t="s">
        <v>66</v>
      </c>
      <c r="J9000" s="75" t="s">
        <v>67</v>
      </c>
      <c r="K9000" s="75" t="s">
        <v>2890</v>
      </c>
      <c r="L9000" s="75" t="s">
        <v>68</v>
      </c>
      <c r="M9000" s="75" t="s">
        <v>70</v>
      </c>
    </row>
    <row r="9001" ht="23.85" customHeight="1" spans="3:13">
      <c r="C9001" s="569" t="s">
        <v>2891</v>
      </c>
      <c r="D9001" s="570" t="s">
        <v>3026</v>
      </c>
      <c r="E9001" s="569" t="s">
        <v>139</v>
      </c>
      <c r="F9001" s="569" t="s">
        <v>3027</v>
      </c>
      <c r="G9001" s="569" t="s">
        <v>2928</v>
      </c>
      <c r="H9001" s="569"/>
      <c r="I9001" s="577" t="s">
        <v>2897</v>
      </c>
      <c r="J9001" s="578">
        <v>1</v>
      </c>
      <c r="K9001" s="579"/>
      <c r="L9001" s="579">
        <v>39.71</v>
      </c>
      <c r="M9001" s="579">
        <v>39.71</v>
      </c>
    </row>
    <row r="9002" ht="23.85" customHeight="1" spans="3:13">
      <c r="C9002" s="79" t="s">
        <v>2921</v>
      </c>
      <c r="D9002" s="78" t="s">
        <v>5549</v>
      </c>
      <c r="E9002" s="79" t="s">
        <v>139</v>
      </c>
      <c r="F9002" s="79" t="s">
        <v>5550</v>
      </c>
      <c r="G9002" s="79" t="s">
        <v>2928</v>
      </c>
      <c r="H9002" s="79"/>
      <c r="I9002" s="80" t="s">
        <v>2897</v>
      </c>
      <c r="J9002" s="583">
        <v>1</v>
      </c>
      <c r="K9002" s="583">
        <v>0</v>
      </c>
      <c r="L9002" s="92">
        <v>0.43</v>
      </c>
      <c r="M9002" s="92">
        <v>0.43</v>
      </c>
    </row>
    <row r="9003" ht="23.85" customHeight="1" spans="3:13">
      <c r="C9003" s="100" t="s">
        <v>2893</v>
      </c>
      <c r="D9003" s="99" t="s">
        <v>5324</v>
      </c>
      <c r="E9003" s="100" t="s">
        <v>139</v>
      </c>
      <c r="F9003" s="100" t="s">
        <v>5325</v>
      </c>
      <c r="G9003" s="100" t="s">
        <v>2961</v>
      </c>
      <c r="H9003" s="100"/>
      <c r="I9003" s="101" t="s">
        <v>2897</v>
      </c>
      <c r="J9003" s="580">
        <v>1</v>
      </c>
      <c r="K9003" s="580">
        <v>0</v>
      </c>
      <c r="L9003" s="102">
        <v>0.44</v>
      </c>
      <c r="M9003" s="102">
        <v>0.44</v>
      </c>
    </row>
    <row r="9004" ht="23.85" customHeight="1" spans="3:13">
      <c r="C9004" s="100" t="s">
        <v>2893</v>
      </c>
      <c r="D9004" s="99" t="s">
        <v>5310</v>
      </c>
      <c r="E9004" s="100" t="s">
        <v>139</v>
      </c>
      <c r="F9004" s="100" t="s">
        <v>5311</v>
      </c>
      <c r="G9004" s="100" t="s">
        <v>2961</v>
      </c>
      <c r="H9004" s="100"/>
      <c r="I9004" s="101" t="s">
        <v>2897</v>
      </c>
      <c r="J9004" s="580">
        <v>1</v>
      </c>
      <c r="K9004" s="580">
        <v>0</v>
      </c>
      <c r="L9004" s="102">
        <v>1.58</v>
      </c>
      <c r="M9004" s="102">
        <v>1.58</v>
      </c>
    </row>
    <row r="9005" ht="23.85" customHeight="1" spans="3:13">
      <c r="C9005" s="100" t="s">
        <v>2893</v>
      </c>
      <c r="D9005" s="99" t="s">
        <v>5322</v>
      </c>
      <c r="E9005" s="100" t="s">
        <v>139</v>
      </c>
      <c r="F9005" s="100" t="s">
        <v>5323</v>
      </c>
      <c r="G9005" s="100" t="s">
        <v>2961</v>
      </c>
      <c r="H9005" s="100"/>
      <c r="I9005" s="101" t="s">
        <v>2897</v>
      </c>
      <c r="J9005" s="580">
        <v>1</v>
      </c>
      <c r="K9005" s="580">
        <v>0</v>
      </c>
      <c r="L9005" s="102">
        <v>1.43</v>
      </c>
      <c r="M9005" s="102">
        <v>1.43</v>
      </c>
    </row>
    <row r="9006" ht="15" customHeight="1" spans="3:13">
      <c r="C9006" s="100" t="s">
        <v>2893</v>
      </c>
      <c r="D9006" s="99" t="s">
        <v>5306</v>
      </c>
      <c r="E9006" s="100" t="s">
        <v>139</v>
      </c>
      <c r="F9006" s="100" t="s">
        <v>5307</v>
      </c>
      <c r="G9006" s="100" t="s">
        <v>2961</v>
      </c>
      <c r="H9006" s="100"/>
      <c r="I9006" s="101" t="s">
        <v>2897</v>
      </c>
      <c r="J9006" s="580">
        <v>1</v>
      </c>
      <c r="K9006" s="580">
        <v>0</v>
      </c>
      <c r="L9006" s="102">
        <v>1.43</v>
      </c>
      <c r="M9006" s="102">
        <v>1.43</v>
      </c>
    </row>
    <row r="9007" ht="15" customHeight="1" spans="3:13">
      <c r="C9007" s="100" t="s">
        <v>2893</v>
      </c>
      <c r="D9007" s="99" t="s">
        <v>5551</v>
      </c>
      <c r="E9007" s="100" t="s">
        <v>139</v>
      </c>
      <c r="F9007" s="100" t="s">
        <v>5552</v>
      </c>
      <c r="G9007" s="100" t="s">
        <v>2896</v>
      </c>
      <c r="H9007" s="100"/>
      <c r="I9007" s="101" t="s">
        <v>2897</v>
      </c>
      <c r="J9007" s="580">
        <v>1</v>
      </c>
      <c r="K9007" s="580">
        <v>0</v>
      </c>
      <c r="L9007" s="102">
        <v>29.48</v>
      </c>
      <c r="M9007" s="102">
        <v>29.48</v>
      </c>
    </row>
    <row r="9008" ht="15" customHeight="1" spans="3:13">
      <c r="C9008" s="100" t="s">
        <v>2893</v>
      </c>
      <c r="D9008" s="99" t="s">
        <v>5312</v>
      </c>
      <c r="E9008" s="100" t="s">
        <v>139</v>
      </c>
      <c r="F9008" s="100" t="s">
        <v>5313</v>
      </c>
      <c r="G9008" s="100" t="s">
        <v>2961</v>
      </c>
      <c r="H9008" s="100"/>
      <c r="I9008" s="101" t="s">
        <v>2897</v>
      </c>
      <c r="J9008" s="580">
        <v>1</v>
      </c>
      <c r="K9008" s="580">
        <v>0</v>
      </c>
      <c r="L9008" s="102">
        <v>0.08</v>
      </c>
      <c r="M9008" s="102">
        <v>0.08</v>
      </c>
    </row>
    <row r="9009" ht="23.85" customHeight="1" spans="3:13">
      <c r="C9009" s="100" t="s">
        <v>2893</v>
      </c>
      <c r="D9009" s="99" t="s">
        <v>5308</v>
      </c>
      <c r="E9009" s="100" t="s">
        <v>139</v>
      </c>
      <c r="F9009" s="100" t="s">
        <v>5309</v>
      </c>
      <c r="G9009" s="100" t="s">
        <v>2961</v>
      </c>
      <c r="H9009" s="100"/>
      <c r="I9009" s="101" t="s">
        <v>2897</v>
      </c>
      <c r="J9009" s="580">
        <v>1</v>
      </c>
      <c r="K9009" s="580">
        <v>0</v>
      </c>
      <c r="L9009" s="102">
        <v>4.84</v>
      </c>
      <c r="M9009" s="102">
        <v>4.84</v>
      </c>
    </row>
    <row r="9010" ht="25.5" spans="3:13">
      <c r="C9010" s="108"/>
      <c r="D9010" s="108"/>
      <c r="E9010" s="108"/>
      <c r="F9010" s="108"/>
      <c r="G9010" s="108"/>
      <c r="H9010" s="108" t="s">
        <v>2898</v>
      </c>
      <c r="I9010" s="581">
        <v>29.91</v>
      </c>
      <c r="J9010" s="108" t="s">
        <v>2899</v>
      </c>
      <c r="K9010" s="581">
        <v>0</v>
      </c>
      <c r="L9010" s="108" t="s">
        <v>2900</v>
      </c>
      <c r="M9010" s="581">
        <v>29.91</v>
      </c>
    </row>
    <row r="9011" ht="26.25" spans="3:13">
      <c r="C9011" s="108"/>
      <c r="D9011" s="108"/>
      <c r="E9011" s="108"/>
      <c r="F9011" s="108"/>
      <c r="G9011" s="108"/>
      <c r="H9011" s="108" t="s">
        <v>2901</v>
      </c>
      <c r="I9011" s="581">
        <v>10.12</v>
      </c>
      <c r="J9011" s="114"/>
      <c r="K9011" s="114" t="s">
        <v>2902</v>
      </c>
      <c r="L9011" s="108"/>
      <c r="M9011" s="581">
        <v>49.83</v>
      </c>
    </row>
    <row r="9012" ht="15" spans="3:13">
      <c r="C9012" s="571"/>
      <c r="D9012" s="571"/>
      <c r="E9012" s="571"/>
      <c r="F9012" s="571"/>
      <c r="G9012" s="571"/>
      <c r="H9012" s="571"/>
      <c r="I9012" s="571"/>
      <c r="J9012" s="571"/>
      <c r="K9012" s="571"/>
      <c r="L9012" s="571"/>
      <c r="M9012" s="571"/>
    </row>
    <row r="9013" ht="15" customHeight="1" spans="3:13">
      <c r="C9013" s="76"/>
      <c r="D9013" s="75" t="s">
        <v>63</v>
      </c>
      <c r="E9013" s="76" t="s">
        <v>64</v>
      </c>
      <c r="F9013" s="76" t="s">
        <v>65</v>
      </c>
      <c r="G9013" s="76" t="s">
        <v>2889</v>
      </c>
      <c r="H9013" s="76"/>
      <c r="I9013" s="77" t="s">
        <v>66</v>
      </c>
      <c r="J9013" s="75" t="s">
        <v>67</v>
      </c>
      <c r="K9013" s="75" t="s">
        <v>2890</v>
      </c>
      <c r="L9013" s="75" t="s">
        <v>68</v>
      </c>
      <c r="M9013" s="75" t="s">
        <v>70</v>
      </c>
    </row>
    <row r="9014" ht="23.85" customHeight="1" spans="3:13">
      <c r="C9014" s="569" t="s">
        <v>2891</v>
      </c>
      <c r="D9014" s="570" t="s">
        <v>2954</v>
      </c>
      <c r="E9014" s="569" t="s">
        <v>139</v>
      </c>
      <c r="F9014" s="569" t="s">
        <v>2955</v>
      </c>
      <c r="G9014" s="569" t="s">
        <v>2928</v>
      </c>
      <c r="H9014" s="569"/>
      <c r="I9014" s="577" t="s">
        <v>2897</v>
      </c>
      <c r="J9014" s="578">
        <v>1</v>
      </c>
      <c r="K9014" s="579"/>
      <c r="L9014" s="579">
        <v>37.51</v>
      </c>
      <c r="M9014" s="579">
        <v>37.51</v>
      </c>
    </row>
    <row r="9015" ht="23.85" customHeight="1" spans="3:13">
      <c r="C9015" s="79" t="s">
        <v>2921</v>
      </c>
      <c r="D9015" s="78" t="s">
        <v>5553</v>
      </c>
      <c r="E9015" s="79" t="s">
        <v>139</v>
      </c>
      <c r="F9015" s="79" t="s">
        <v>5554</v>
      </c>
      <c r="G9015" s="79" t="s">
        <v>2928</v>
      </c>
      <c r="H9015" s="79"/>
      <c r="I9015" s="80" t="s">
        <v>2897</v>
      </c>
      <c r="J9015" s="583">
        <v>1</v>
      </c>
      <c r="K9015" s="583">
        <v>0</v>
      </c>
      <c r="L9015" s="92">
        <v>0.31</v>
      </c>
      <c r="M9015" s="92">
        <v>0.31</v>
      </c>
    </row>
    <row r="9016" ht="15" customHeight="1" spans="3:13">
      <c r="C9016" s="100" t="s">
        <v>2893</v>
      </c>
      <c r="D9016" s="99" t="s">
        <v>5555</v>
      </c>
      <c r="E9016" s="100" t="s">
        <v>139</v>
      </c>
      <c r="F9016" s="100" t="s">
        <v>5556</v>
      </c>
      <c r="G9016" s="100" t="s">
        <v>2896</v>
      </c>
      <c r="H9016" s="100"/>
      <c r="I9016" s="101" t="s">
        <v>2897</v>
      </c>
      <c r="J9016" s="580">
        <v>1</v>
      </c>
      <c r="K9016" s="580">
        <v>0</v>
      </c>
      <c r="L9016" s="102">
        <v>27.4</v>
      </c>
      <c r="M9016" s="102">
        <v>27.4</v>
      </c>
    </row>
    <row r="9017" ht="23.85" customHeight="1" spans="3:13">
      <c r="C9017" s="100" t="s">
        <v>2893</v>
      </c>
      <c r="D9017" s="99" t="s">
        <v>5324</v>
      </c>
      <c r="E9017" s="100" t="s">
        <v>139</v>
      </c>
      <c r="F9017" s="100" t="s">
        <v>5325</v>
      </c>
      <c r="G9017" s="100" t="s">
        <v>2961</v>
      </c>
      <c r="H9017" s="100"/>
      <c r="I9017" s="101" t="s">
        <v>2897</v>
      </c>
      <c r="J9017" s="580">
        <v>1</v>
      </c>
      <c r="K9017" s="580">
        <v>0</v>
      </c>
      <c r="L9017" s="102">
        <v>0.44</v>
      </c>
      <c r="M9017" s="102">
        <v>0.44</v>
      </c>
    </row>
    <row r="9018" ht="15" customHeight="1" spans="3:13">
      <c r="C9018" s="100" t="s">
        <v>2893</v>
      </c>
      <c r="D9018" s="99" t="s">
        <v>5312</v>
      </c>
      <c r="E9018" s="100" t="s">
        <v>139</v>
      </c>
      <c r="F9018" s="100" t="s">
        <v>5313</v>
      </c>
      <c r="G9018" s="100" t="s">
        <v>2961</v>
      </c>
      <c r="H9018" s="100"/>
      <c r="I9018" s="101" t="s">
        <v>2897</v>
      </c>
      <c r="J9018" s="580">
        <v>1</v>
      </c>
      <c r="K9018" s="580">
        <v>0</v>
      </c>
      <c r="L9018" s="102">
        <v>0.08</v>
      </c>
      <c r="M9018" s="102">
        <v>0.08</v>
      </c>
    </row>
    <row r="9019" ht="23.85" customHeight="1" spans="3:13">
      <c r="C9019" s="100" t="s">
        <v>2893</v>
      </c>
      <c r="D9019" s="99" t="s">
        <v>5310</v>
      </c>
      <c r="E9019" s="100" t="s">
        <v>139</v>
      </c>
      <c r="F9019" s="100" t="s">
        <v>5311</v>
      </c>
      <c r="G9019" s="100" t="s">
        <v>2961</v>
      </c>
      <c r="H9019" s="100"/>
      <c r="I9019" s="101" t="s">
        <v>2897</v>
      </c>
      <c r="J9019" s="580">
        <v>1</v>
      </c>
      <c r="K9019" s="580">
        <v>0</v>
      </c>
      <c r="L9019" s="102">
        <v>1.58</v>
      </c>
      <c r="M9019" s="102">
        <v>1.58</v>
      </c>
    </row>
    <row r="9020" ht="23.85" customHeight="1" spans="3:13">
      <c r="C9020" s="100" t="s">
        <v>2893</v>
      </c>
      <c r="D9020" s="99" t="s">
        <v>5322</v>
      </c>
      <c r="E9020" s="100" t="s">
        <v>139</v>
      </c>
      <c r="F9020" s="100" t="s">
        <v>5323</v>
      </c>
      <c r="G9020" s="100" t="s">
        <v>2961</v>
      </c>
      <c r="H9020" s="100"/>
      <c r="I9020" s="101" t="s">
        <v>2897</v>
      </c>
      <c r="J9020" s="580">
        <v>1</v>
      </c>
      <c r="K9020" s="580">
        <v>0</v>
      </c>
      <c r="L9020" s="102">
        <v>1.43</v>
      </c>
      <c r="M9020" s="102">
        <v>1.43</v>
      </c>
    </row>
    <row r="9021" ht="15" customHeight="1" spans="3:13">
      <c r="C9021" s="100" t="s">
        <v>2893</v>
      </c>
      <c r="D9021" s="99" t="s">
        <v>5306</v>
      </c>
      <c r="E9021" s="100" t="s">
        <v>139</v>
      </c>
      <c r="F9021" s="100" t="s">
        <v>5307</v>
      </c>
      <c r="G9021" s="100" t="s">
        <v>2961</v>
      </c>
      <c r="H9021" s="100"/>
      <c r="I9021" s="101" t="s">
        <v>2897</v>
      </c>
      <c r="J9021" s="580">
        <v>1</v>
      </c>
      <c r="K9021" s="580">
        <v>0</v>
      </c>
      <c r="L9021" s="102">
        <v>1.43</v>
      </c>
      <c r="M9021" s="102">
        <v>1.43</v>
      </c>
    </row>
    <row r="9022" ht="23.85" customHeight="1" spans="3:13">
      <c r="C9022" s="100" t="s">
        <v>2893</v>
      </c>
      <c r="D9022" s="99" t="s">
        <v>5308</v>
      </c>
      <c r="E9022" s="100" t="s">
        <v>139</v>
      </c>
      <c r="F9022" s="100" t="s">
        <v>5309</v>
      </c>
      <c r="G9022" s="100" t="s">
        <v>2961</v>
      </c>
      <c r="H9022" s="100"/>
      <c r="I9022" s="101" t="s">
        <v>2897</v>
      </c>
      <c r="J9022" s="580">
        <v>1</v>
      </c>
      <c r="K9022" s="580">
        <v>0</v>
      </c>
      <c r="L9022" s="102">
        <v>4.84</v>
      </c>
      <c r="M9022" s="102">
        <v>4.84</v>
      </c>
    </row>
    <row r="9023" ht="25.5" spans="3:13">
      <c r="C9023" s="108"/>
      <c r="D9023" s="108"/>
      <c r="E9023" s="108"/>
      <c r="F9023" s="108"/>
      <c r="G9023" s="108"/>
      <c r="H9023" s="108" t="s">
        <v>2898</v>
      </c>
      <c r="I9023" s="581">
        <v>27.71</v>
      </c>
      <c r="J9023" s="108" t="s">
        <v>2899</v>
      </c>
      <c r="K9023" s="581">
        <v>0</v>
      </c>
      <c r="L9023" s="108" t="s">
        <v>2900</v>
      </c>
      <c r="M9023" s="581">
        <v>27.71</v>
      </c>
    </row>
    <row r="9024" ht="26.25" spans="3:13">
      <c r="C9024" s="108"/>
      <c r="D9024" s="108"/>
      <c r="E9024" s="108"/>
      <c r="F9024" s="108"/>
      <c r="G9024" s="108"/>
      <c r="H9024" s="108" t="s">
        <v>2901</v>
      </c>
      <c r="I9024" s="581">
        <v>9.56</v>
      </c>
      <c r="J9024" s="114"/>
      <c r="K9024" s="114" t="s">
        <v>2902</v>
      </c>
      <c r="L9024" s="108"/>
      <c r="M9024" s="581">
        <v>47.07</v>
      </c>
    </row>
    <row r="9025" ht="15" spans="3:13">
      <c r="C9025" s="571"/>
      <c r="D9025" s="571"/>
      <c r="E9025" s="571"/>
      <c r="F9025" s="571"/>
      <c r="G9025" s="571"/>
      <c r="H9025" s="571"/>
      <c r="I9025" s="571"/>
      <c r="J9025" s="571"/>
      <c r="K9025" s="571"/>
      <c r="L9025" s="571"/>
      <c r="M9025" s="571"/>
    </row>
    <row r="9026" ht="15" customHeight="1" spans="3:13">
      <c r="C9026" s="76"/>
      <c r="D9026" s="75" t="s">
        <v>63</v>
      </c>
      <c r="E9026" s="76" t="s">
        <v>64</v>
      </c>
      <c r="F9026" s="76" t="s">
        <v>65</v>
      </c>
      <c r="G9026" s="76" t="s">
        <v>2889</v>
      </c>
      <c r="H9026" s="76"/>
      <c r="I9026" s="77" t="s">
        <v>66</v>
      </c>
      <c r="J9026" s="75" t="s">
        <v>67</v>
      </c>
      <c r="K9026" s="75" t="s">
        <v>2890</v>
      </c>
      <c r="L9026" s="75" t="s">
        <v>68</v>
      </c>
      <c r="M9026" s="75" t="s">
        <v>70</v>
      </c>
    </row>
    <row r="9027" ht="35.05" customHeight="1" spans="3:13">
      <c r="C9027" s="569" t="s">
        <v>2891</v>
      </c>
      <c r="D9027" s="570" t="s">
        <v>3140</v>
      </c>
      <c r="E9027" s="569" t="s">
        <v>139</v>
      </c>
      <c r="F9027" s="569" t="s">
        <v>3141</v>
      </c>
      <c r="G9027" s="569" t="s">
        <v>3132</v>
      </c>
      <c r="H9027" s="569"/>
      <c r="I9027" s="577" t="s">
        <v>204</v>
      </c>
      <c r="J9027" s="578">
        <v>1</v>
      </c>
      <c r="K9027" s="579"/>
      <c r="L9027" s="579">
        <v>18.76</v>
      </c>
      <c r="M9027" s="579">
        <v>18.76</v>
      </c>
    </row>
    <row r="9028" ht="23.85" customHeight="1" spans="3:13">
      <c r="C9028" s="79" t="s">
        <v>2921</v>
      </c>
      <c r="D9028" s="78" t="s">
        <v>3144</v>
      </c>
      <c r="E9028" s="79" t="s">
        <v>139</v>
      </c>
      <c r="F9028" s="79" t="s">
        <v>3145</v>
      </c>
      <c r="G9028" s="79" t="s">
        <v>2928</v>
      </c>
      <c r="H9028" s="79"/>
      <c r="I9028" s="80" t="s">
        <v>2897</v>
      </c>
      <c r="J9028" s="583">
        <v>0.365</v>
      </c>
      <c r="K9028" s="583">
        <v>0</v>
      </c>
      <c r="L9028" s="92">
        <v>35.55</v>
      </c>
      <c r="M9028" s="92">
        <v>12.97</v>
      </c>
    </row>
    <row r="9029" ht="23.85" customHeight="1" spans="3:13">
      <c r="C9029" s="79" t="s">
        <v>2921</v>
      </c>
      <c r="D9029" s="78" t="s">
        <v>3165</v>
      </c>
      <c r="E9029" s="79" t="s">
        <v>139</v>
      </c>
      <c r="F9029" s="79" t="s">
        <v>3166</v>
      </c>
      <c r="G9029" s="79" t="s">
        <v>3016</v>
      </c>
      <c r="H9029" s="79"/>
      <c r="I9029" s="80" t="s">
        <v>279</v>
      </c>
      <c r="J9029" s="583">
        <v>0.0051</v>
      </c>
      <c r="K9029" s="583">
        <v>0</v>
      </c>
      <c r="L9029" s="92">
        <v>655.2</v>
      </c>
      <c r="M9029" s="92">
        <v>3.34</v>
      </c>
    </row>
    <row r="9030" ht="23.85" customHeight="1" spans="3:13">
      <c r="C9030" s="79" t="s">
        <v>2921</v>
      </c>
      <c r="D9030" s="78" t="s">
        <v>3146</v>
      </c>
      <c r="E9030" s="79" t="s">
        <v>139</v>
      </c>
      <c r="F9030" s="79" t="s">
        <v>3147</v>
      </c>
      <c r="G9030" s="79" t="s">
        <v>2928</v>
      </c>
      <c r="H9030" s="79"/>
      <c r="I9030" s="80" t="s">
        <v>2897</v>
      </c>
      <c r="J9030" s="583">
        <v>0.083</v>
      </c>
      <c r="K9030" s="583">
        <v>0</v>
      </c>
      <c r="L9030" s="92">
        <v>29.54</v>
      </c>
      <c r="M9030" s="92">
        <v>2.45</v>
      </c>
    </row>
    <row r="9031" ht="25.5" spans="3:13">
      <c r="C9031" s="108"/>
      <c r="D9031" s="108"/>
      <c r="E9031" s="108"/>
      <c r="F9031" s="108"/>
      <c r="G9031" s="108"/>
      <c r="H9031" s="108" t="s">
        <v>2898</v>
      </c>
      <c r="I9031" s="581">
        <v>12.06</v>
      </c>
      <c r="J9031" s="108" t="s">
        <v>2899</v>
      </c>
      <c r="K9031" s="581">
        <v>0</v>
      </c>
      <c r="L9031" s="108" t="s">
        <v>2900</v>
      </c>
      <c r="M9031" s="581">
        <v>12.06</v>
      </c>
    </row>
    <row r="9032" ht="26.25" spans="3:13">
      <c r="C9032" s="108"/>
      <c r="D9032" s="108"/>
      <c r="E9032" s="108"/>
      <c r="F9032" s="108"/>
      <c r="G9032" s="108"/>
      <c r="H9032" s="108" t="s">
        <v>2901</v>
      </c>
      <c r="I9032" s="581">
        <v>4.78</v>
      </c>
      <c r="J9032" s="114"/>
      <c r="K9032" s="114" t="s">
        <v>2902</v>
      </c>
      <c r="L9032" s="108"/>
      <c r="M9032" s="581">
        <v>23.54</v>
      </c>
    </row>
    <row r="9033" ht="15" spans="3:13">
      <c r="C9033" s="571"/>
      <c r="D9033" s="571"/>
      <c r="E9033" s="571"/>
      <c r="F9033" s="571"/>
      <c r="G9033" s="571"/>
      <c r="H9033" s="571"/>
      <c r="I9033" s="571"/>
      <c r="J9033" s="571"/>
      <c r="K9033" s="571"/>
      <c r="L9033" s="571"/>
      <c r="M9033" s="571"/>
    </row>
    <row r="9034" ht="15" customHeight="1" spans="3:13">
      <c r="C9034" s="76"/>
      <c r="D9034" s="75" t="s">
        <v>63</v>
      </c>
      <c r="E9034" s="76" t="s">
        <v>64</v>
      </c>
      <c r="F9034" s="76" t="s">
        <v>65</v>
      </c>
      <c r="G9034" s="76" t="s">
        <v>2889</v>
      </c>
      <c r="H9034" s="76"/>
      <c r="I9034" s="77" t="s">
        <v>66</v>
      </c>
      <c r="J9034" s="75" t="s">
        <v>67</v>
      </c>
      <c r="K9034" s="75" t="s">
        <v>2890</v>
      </c>
      <c r="L9034" s="75" t="s">
        <v>68</v>
      </c>
      <c r="M9034" s="75" t="s">
        <v>70</v>
      </c>
    </row>
    <row r="9035" ht="23.85" customHeight="1" spans="3:13">
      <c r="C9035" s="569" t="s">
        <v>2891</v>
      </c>
      <c r="D9035" s="570" t="s">
        <v>4568</v>
      </c>
      <c r="E9035" s="569" t="s">
        <v>139</v>
      </c>
      <c r="F9035" s="569" t="s">
        <v>4569</v>
      </c>
      <c r="G9035" s="569" t="s">
        <v>2995</v>
      </c>
      <c r="H9035" s="569"/>
      <c r="I9035" s="577" t="s">
        <v>2996</v>
      </c>
      <c r="J9035" s="578">
        <v>1</v>
      </c>
      <c r="K9035" s="579"/>
      <c r="L9035" s="579">
        <v>40.97</v>
      </c>
      <c r="M9035" s="579">
        <v>40.97</v>
      </c>
    </row>
    <row r="9036" ht="23.85" customHeight="1" spans="3:13">
      <c r="C9036" s="79" t="s">
        <v>2921</v>
      </c>
      <c r="D9036" s="78" t="s">
        <v>5557</v>
      </c>
      <c r="E9036" s="79" t="s">
        <v>139</v>
      </c>
      <c r="F9036" s="79" t="s">
        <v>5558</v>
      </c>
      <c r="G9036" s="79" t="s">
        <v>2928</v>
      </c>
      <c r="H9036" s="79"/>
      <c r="I9036" s="80" t="s">
        <v>2897</v>
      </c>
      <c r="J9036" s="583">
        <v>1</v>
      </c>
      <c r="K9036" s="583">
        <v>0</v>
      </c>
      <c r="L9036" s="92">
        <v>39.88</v>
      </c>
      <c r="M9036" s="92">
        <v>39.88</v>
      </c>
    </row>
    <row r="9037" ht="46.25" customHeight="1" spans="3:13">
      <c r="C9037" s="79" t="s">
        <v>2921</v>
      </c>
      <c r="D9037" s="78" t="s">
        <v>5559</v>
      </c>
      <c r="E9037" s="79" t="s">
        <v>139</v>
      </c>
      <c r="F9037" s="79" t="s">
        <v>5560</v>
      </c>
      <c r="G9037" s="79" t="s">
        <v>5464</v>
      </c>
      <c r="H9037" s="79"/>
      <c r="I9037" s="80" t="s">
        <v>2897</v>
      </c>
      <c r="J9037" s="583">
        <v>1</v>
      </c>
      <c r="K9037" s="583">
        <v>0</v>
      </c>
      <c r="L9037" s="92">
        <v>0.86</v>
      </c>
      <c r="M9037" s="92">
        <v>0.86</v>
      </c>
    </row>
    <row r="9038" ht="46.25" customHeight="1" spans="3:13">
      <c r="C9038" s="79" t="s">
        <v>2921</v>
      </c>
      <c r="D9038" s="78" t="s">
        <v>5561</v>
      </c>
      <c r="E9038" s="79" t="s">
        <v>139</v>
      </c>
      <c r="F9038" s="79" t="s">
        <v>5562</v>
      </c>
      <c r="G9038" s="79" t="s">
        <v>5464</v>
      </c>
      <c r="H9038" s="79"/>
      <c r="I9038" s="80" t="s">
        <v>2897</v>
      </c>
      <c r="J9038" s="583">
        <v>1</v>
      </c>
      <c r="K9038" s="583">
        <v>0</v>
      </c>
      <c r="L9038" s="92">
        <v>0.23</v>
      </c>
      <c r="M9038" s="92">
        <v>0.23</v>
      </c>
    </row>
    <row r="9039" ht="25.5" spans="3:13">
      <c r="C9039" s="108"/>
      <c r="D9039" s="108"/>
      <c r="E9039" s="108"/>
      <c r="F9039" s="108"/>
      <c r="G9039" s="108"/>
      <c r="H9039" s="108" t="s">
        <v>2898</v>
      </c>
      <c r="I9039" s="581">
        <v>31.05</v>
      </c>
      <c r="J9039" s="108" t="s">
        <v>2899</v>
      </c>
      <c r="K9039" s="581">
        <v>0</v>
      </c>
      <c r="L9039" s="108" t="s">
        <v>2900</v>
      </c>
      <c r="M9039" s="581">
        <v>31.05</v>
      </c>
    </row>
    <row r="9040" ht="26.25" spans="3:13">
      <c r="C9040" s="108"/>
      <c r="D9040" s="108"/>
      <c r="E9040" s="108"/>
      <c r="F9040" s="108"/>
      <c r="G9040" s="108"/>
      <c r="H9040" s="108" t="s">
        <v>2901</v>
      </c>
      <c r="I9040" s="581">
        <v>10.44</v>
      </c>
      <c r="J9040" s="114"/>
      <c r="K9040" s="114" t="s">
        <v>2902</v>
      </c>
      <c r="L9040" s="108"/>
      <c r="M9040" s="581">
        <v>51.41</v>
      </c>
    </row>
    <row r="9041" ht="15" spans="3:13">
      <c r="C9041" s="571"/>
      <c r="D9041" s="571"/>
      <c r="E9041" s="571"/>
      <c r="F9041" s="571"/>
      <c r="G9041" s="571"/>
      <c r="H9041" s="571"/>
      <c r="I9041" s="571"/>
      <c r="J9041" s="571"/>
      <c r="K9041" s="571"/>
      <c r="L9041" s="571"/>
      <c r="M9041" s="571"/>
    </row>
    <row r="9042" ht="15" customHeight="1" spans="3:13">
      <c r="C9042" s="76"/>
      <c r="D9042" s="75" t="s">
        <v>63</v>
      </c>
      <c r="E9042" s="76" t="s">
        <v>64</v>
      </c>
      <c r="F9042" s="76" t="s">
        <v>65</v>
      </c>
      <c r="G9042" s="76" t="s">
        <v>2889</v>
      </c>
      <c r="H9042" s="76"/>
      <c r="I9042" s="77" t="s">
        <v>66</v>
      </c>
      <c r="J9042" s="75" t="s">
        <v>67</v>
      </c>
      <c r="K9042" s="75" t="s">
        <v>2890</v>
      </c>
      <c r="L9042" s="75" t="s">
        <v>68</v>
      </c>
      <c r="M9042" s="75" t="s">
        <v>70</v>
      </c>
    </row>
    <row r="9043" ht="23.85" customHeight="1" spans="3:13">
      <c r="C9043" s="569" t="s">
        <v>2891</v>
      </c>
      <c r="D9043" s="570" t="s">
        <v>3306</v>
      </c>
      <c r="E9043" s="569" t="s">
        <v>139</v>
      </c>
      <c r="F9043" s="569" t="s">
        <v>3307</v>
      </c>
      <c r="G9043" s="569" t="s">
        <v>2995</v>
      </c>
      <c r="H9043" s="569"/>
      <c r="I9043" s="577" t="s">
        <v>3002</v>
      </c>
      <c r="J9043" s="578">
        <v>1</v>
      </c>
      <c r="K9043" s="579"/>
      <c r="L9043" s="579">
        <v>48.29</v>
      </c>
      <c r="M9043" s="579">
        <v>48.29</v>
      </c>
    </row>
    <row r="9044" ht="23.85" customHeight="1" spans="3:13">
      <c r="C9044" s="79" t="s">
        <v>2921</v>
      </c>
      <c r="D9044" s="78" t="s">
        <v>5557</v>
      </c>
      <c r="E9044" s="79" t="s">
        <v>139</v>
      </c>
      <c r="F9044" s="79" t="s">
        <v>5558</v>
      </c>
      <c r="G9044" s="79" t="s">
        <v>2928</v>
      </c>
      <c r="H9044" s="79"/>
      <c r="I9044" s="80" t="s">
        <v>2897</v>
      </c>
      <c r="J9044" s="583">
        <v>1</v>
      </c>
      <c r="K9044" s="583">
        <v>0</v>
      </c>
      <c r="L9044" s="92">
        <v>39.88</v>
      </c>
      <c r="M9044" s="92">
        <v>39.88</v>
      </c>
    </row>
    <row r="9045" ht="46.25" customHeight="1" spans="3:13">
      <c r="C9045" s="79" t="s">
        <v>2921</v>
      </c>
      <c r="D9045" s="78" t="s">
        <v>5559</v>
      </c>
      <c r="E9045" s="79" t="s">
        <v>139</v>
      </c>
      <c r="F9045" s="79" t="s">
        <v>5560</v>
      </c>
      <c r="G9045" s="79" t="s">
        <v>5464</v>
      </c>
      <c r="H9045" s="79"/>
      <c r="I9045" s="80" t="s">
        <v>2897</v>
      </c>
      <c r="J9045" s="583">
        <v>1</v>
      </c>
      <c r="K9045" s="583">
        <v>0</v>
      </c>
      <c r="L9045" s="92">
        <v>0.86</v>
      </c>
      <c r="M9045" s="92">
        <v>0.86</v>
      </c>
    </row>
    <row r="9046" ht="46.25" customHeight="1" spans="3:13">
      <c r="C9046" s="79" t="s">
        <v>2921</v>
      </c>
      <c r="D9046" s="78" t="s">
        <v>5563</v>
      </c>
      <c r="E9046" s="79" t="s">
        <v>139</v>
      </c>
      <c r="F9046" s="79" t="s">
        <v>5564</v>
      </c>
      <c r="G9046" s="79" t="s">
        <v>5464</v>
      </c>
      <c r="H9046" s="79"/>
      <c r="I9046" s="80" t="s">
        <v>2897</v>
      </c>
      <c r="J9046" s="583">
        <v>1</v>
      </c>
      <c r="K9046" s="583">
        <v>0</v>
      </c>
      <c r="L9046" s="92">
        <v>1.07</v>
      </c>
      <c r="M9046" s="92">
        <v>1.07</v>
      </c>
    </row>
    <row r="9047" ht="46.25" customHeight="1" spans="3:13">
      <c r="C9047" s="79" t="s">
        <v>2921</v>
      </c>
      <c r="D9047" s="78" t="s">
        <v>5565</v>
      </c>
      <c r="E9047" s="79" t="s">
        <v>139</v>
      </c>
      <c r="F9047" s="79" t="s">
        <v>5566</v>
      </c>
      <c r="G9047" s="79" t="s">
        <v>5464</v>
      </c>
      <c r="H9047" s="79"/>
      <c r="I9047" s="80" t="s">
        <v>2897</v>
      </c>
      <c r="J9047" s="583">
        <v>1</v>
      </c>
      <c r="K9047" s="583">
        <v>0</v>
      </c>
      <c r="L9047" s="92">
        <v>6.25</v>
      </c>
      <c r="M9047" s="92">
        <v>6.25</v>
      </c>
    </row>
    <row r="9048" ht="46.25" customHeight="1" spans="3:13">
      <c r="C9048" s="79" t="s">
        <v>2921</v>
      </c>
      <c r="D9048" s="78" t="s">
        <v>5561</v>
      </c>
      <c r="E9048" s="79" t="s">
        <v>139</v>
      </c>
      <c r="F9048" s="79" t="s">
        <v>5562</v>
      </c>
      <c r="G9048" s="79" t="s">
        <v>5464</v>
      </c>
      <c r="H9048" s="79"/>
      <c r="I9048" s="80" t="s">
        <v>2897</v>
      </c>
      <c r="J9048" s="583">
        <v>1</v>
      </c>
      <c r="K9048" s="583">
        <v>0</v>
      </c>
      <c r="L9048" s="92">
        <v>0.23</v>
      </c>
      <c r="M9048" s="92">
        <v>0.23</v>
      </c>
    </row>
    <row r="9049" ht="25.5" spans="3:13">
      <c r="C9049" s="108"/>
      <c r="D9049" s="108"/>
      <c r="E9049" s="108"/>
      <c r="F9049" s="108"/>
      <c r="G9049" s="108"/>
      <c r="H9049" s="108" t="s">
        <v>2898</v>
      </c>
      <c r="I9049" s="581">
        <v>31.05</v>
      </c>
      <c r="J9049" s="108" t="s">
        <v>2899</v>
      </c>
      <c r="K9049" s="581">
        <v>0</v>
      </c>
      <c r="L9049" s="108" t="s">
        <v>2900</v>
      </c>
      <c r="M9049" s="581">
        <v>31.05</v>
      </c>
    </row>
    <row r="9050" ht="26.25" spans="3:13">
      <c r="C9050" s="108"/>
      <c r="D9050" s="108"/>
      <c r="E9050" s="108"/>
      <c r="F9050" s="108"/>
      <c r="G9050" s="108"/>
      <c r="H9050" s="108" t="s">
        <v>2901</v>
      </c>
      <c r="I9050" s="581">
        <v>12.3</v>
      </c>
      <c r="J9050" s="114"/>
      <c r="K9050" s="114" t="s">
        <v>2902</v>
      </c>
      <c r="L9050" s="108"/>
      <c r="M9050" s="581">
        <v>60.59</v>
      </c>
    </row>
    <row r="9051" ht="15" spans="3:13">
      <c r="C9051" s="571"/>
      <c r="D9051" s="571"/>
      <c r="E9051" s="571"/>
      <c r="F9051" s="571"/>
      <c r="G9051" s="571"/>
      <c r="H9051" s="571"/>
      <c r="I9051" s="571"/>
      <c r="J9051" s="571"/>
      <c r="K9051" s="571"/>
      <c r="L9051" s="571"/>
      <c r="M9051" s="571"/>
    </row>
    <row r="9052" ht="15" customHeight="1" spans="3:13">
      <c r="C9052" s="76"/>
      <c r="D9052" s="75" t="s">
        <v>63</v>
      </c>
      <c r="E9052" s="76" t="s">
        <v>64</v>
      </c>
      <c r="F9052" s="76" t="s">
        <v>65</v>
      </c>
      <c r="G9052" s="76" t="s">
        <v>2889</v>
      </c>
      <c r="H9052" s="76"/>
      <c r="I9052" s="77" t="s">
        <v>66</v>
      </c>
      <c r="J9052" s="75" t="s">
        <v>67</v>
      </c>
      <c r="K9052" s="75" t="s">
        <v>2890</v>
      </c>
      <c r="L9052" s="75" t="s">
        <v>68</v>
      </c>
      <c r="M9052" s="75" t="s">
        <v>70</v>
      </c>
    </row>
    <row r="9053" ht="46.25" customHeight="1" spans="3:13">
      <c r="C9053" s="569" t="s">
        <v>2891</v>
      </c>
      <c r="D9053" s="570" t="s">
        <v>5559</v>
      </c>
      <c r="E9053" s="569" t="s">
        <v>139</v>
      </c>
      <c r="F9053" s="569" t="s">
        <v>5560</v>
      </c>
      <c r="G9053" s="569" t="s">
        <v>5464</v>
      </c>
      <c r="H9053" s="569"/>
      <c r="I9053" s="577" t="s">
        <v>2897</v>
      </c>
      <c r="J9053" s="578">
        <v>1</v>
      </c>
      <c r="K9053" s="579"/>
      <c r="L9053" s="579">
        <v>0.86</v>
      </c>
      <c r="M9053" s="579">
        <v>0.86</v>
      </c>
    </row>
    <row r="9054" ht="23.85" customHeight="1" spans="3:13">
      <c r="C9054" s="100" t="s">
        <v>2893</v>
      </c>
      <c r="D9054" s="99" t="s">
        <v>5567</v>
      </c>
      <c r="E9054" s="100" t="s">
        <v>139</v>
      </c>
      <c r="F9054" s="100" t="s">
        <v>5568</v>
      </c>
      <c r="G9054" s="100" t="s">
        <v>3680</v>
      </c>
      <c r="H9054" s="100"/>
      <c r="I9054" s="101" t="s">
        <v>134</v>
      </c>
      <c r="J9054" s="580">
        <v>5.33e-5</v>
      </c>
      <c r="K9054" s="580">
        <v>0</v>
      </c>
      <c r="L9054" s="102">
        <v>16149.52</v>
      </c>
      <c r="M9054" s="102">
        <v>0.86</v>
      </c>
    </row>
    <row r="9055" ht="25.5" spans="3:13">
      <c r="C9055" s="108"/>
      <c r="D9055" s="108"/>
      <c r="E9055" s="108"/>
      <c r="F9055" s="108"/>
      <c r="G9055" s="108"/>
      <c r="H9055" s="108" t="s">
        <v>2898</v>
      </c>
      <c r="I9055" s="581">
        <v>0</v>
      </c>
      <c r="J9055" s="108" t="s">
        <v>2899</v>
      </c>
      <c r="K9055" s="581">
        <v>0</v>
      </c>
      <c r="L9055" s="108" t="s">
        <v>2900</v>
      </c>
      <c r="M9055" s="581">
        <v>0</v>
      </c>
    </row>
    <row r="9056" ht="26.25" spans="3:13">
      <c r="C9056" s="108"/>
      <c r="D9056" s="108"/>
      <c r="E9056" s="108"/>
      <c r="F9056" s="108"/>
      <c r="G9056" s="108"/>
      <c r="H9056" s="108" t="s">
        <v>2901</v>
      </c>
      <c r="I9056" s="581">
        <v>0.21</v>
      </c>
      <c r="J9056" s="114"/>
      <c r="K9056" s="114" t="s">
        <v>2902</v>
      </c>
      <c r="L9056" s="108"/>
      <c r="M9056" s="581">
        <v>1.07</v>
      </c>
    </row>
    <row r="9057" ht="15" spans="3:13">
      <c r="C9057" s="571"/>
      <c r="D9057" s="571"/>
      <c r="E9057" s="571"/>
      <c r="F9057" s="571"/>
      <c r="G9057" s="571"/>
      <c r="H9057" s="571"/>
      <c r="I9057" s="571"/>
      <c r="J9057" s="571"/>
      <c r="K9057" s="571"/>
      <c r="L9057" s="571"/>
      <c r="M9057" s="571"/>
    </row>
    <row r="9058" ht="15" customHeight="1" spans="3:13">
      <c r="C9058" s="76"/>
      <c r="D9058" s="75" t="s">
        <v>63</v>
      </c>
      <c r="E9058" s="76" t="s">
        <v>64</v>
      </c>
      <c r="F9058" s="76" t="s">
        <v>65</v>
      </c>
      <c r="G9058" s="76" t="s">
        <v>2889</v>
      </c>
      <c r="H9058" s="76"/>
      <c r="I9058" s="77" t="s">
        <v>66</v>
      </c>
      <c r="J9058" s="75" t="s">
        <v>67</v>
      </c>
      <c r="K9058" s="75" t="s">
        <v>2890</v>
      </c>
      <c r="L9058" s="75" t="s">
        <v>68</v>
      </c>
      <c r="M9058" s="75" t="s">
        <v>70</v>
      </c>
    </row>
    <row r="9059" ht="46.25" customHeight="1" spans="3:13">
      <c r="C9059" s="569" t="s">
        <v>2891</v>
      </c>
      <c r="D9059" s="570" t="s">
        <v>5561</v>
      </c>
      <c r="E9059" s="569" t="s">
        <v>139</v>
      </c>
      <c r="F9059" s="569" t="s">
        <v>5562</v>
      </c>
      <c r="G9059" s="569" t="s">
        <v>5464</v>
      </c>
      <c r="H9059" s="569"/>
      <c r="I9059" s="577" t="s">
        <v>2897</v>
      </c>
      <c r="J9059" s="578">
        <v>1</v>
      </c>
      <c r="K9059" s="579"/>
      <c r="L9059" s="579">
        <v>0.23</v>
      </c>
      <c r="M9059" s="579">
        <v>0.23</v>
      </c>
    </row>
    <row r="9060" ht="23.85" customHeight="1" spans="3:13">
      <c r="C9060" s="100" t="s">
        <v>2893</v>
      </c>
      <c r="D9060" s="99" t="s">
        <v>5567</v>
      </c>
      <c r="E9060" s="100" t="s">
        <v>139</v>
      </c>
      <c r="F9060" s="100" t="s">
        <v>5568</v>
      </c>
      <c r="G9060" s="100" t="s">
        <v>3680</v>
      </c>
      <c r="H9060" s="100"/>
      <c r="I9060" s="101" t="s">
        <v>134</v>
      </c>
      <c r="J9060" s="580">
        <v>1.43e-5</v>
      </c>
      <c r="K9060" s="580">
        <v>0</v>
      </c>
      <c r="L9060" s="102">
        <v>16149.52</v>
      </c>
      <c r="M9060" s="102">
        <v>0.23</v>
      </c>
    </row>
    <row r="9061" ht="25.5" spans="3:13">
      <c r="C9061" s="108"/>
      <c r="D9061" s="108"/>
      <c r="E9061" s="108"/>
      <c r="F9061" s="108"/>
      <c r="G9061" s="108"/>
      <c r="H9061" s="108" t="s">
        <v>2898</v>
      </c>
      <c r="I9061" s="581">
        <v>0</v>
      </c>
      <c r="J9061" s="108" t="s">
        <v>2899</v>
      </c>
      <c r="K9061" s="581">
        <v>0</v>
      </c>
      <c r="L9061" s="108" t="s">
        <v>2900</v>
      </c>
      <c r="M9061" s="581">
        <v>0</v>
      </c>
    </row>
    <row r="9062" ht="26.25" spans="3:13">
      <c r="C9062" s="108"/>
      <c r="D9062" s="108"/>
      <c r="E9062" s="108"/>
      <c r="F9062" s="108"/>
      <c r="G9062" s="108"/>
      <c r="H9062" s="108" t="s">
        <v>2901</v>
      </c>
      <c r="I9062" s="581">
        <v>0.05</v>
      </c>
      <c r="J9062" s="114"/>
      <c r="K9062" s="114" t="s">
        <v>2902</v>
      </c>
      <c r="L9062" s="108"/>
      <c r="M9062" s="581">
        <v>0.28</v>
      </c>
    </row>
    <row r="9063" ht="15" spans="3:13">
      <c r="C9063" s="571"/>
      <c r="D9063" s="571"/>
      <c r="E9063" s="571"/>
      <c r="F9063" s="571"/>
      <c r="G9063" s="571"/>
      <c r="H9063" s="571"/>
      <c r="I9063" s="571"/>
      <c r="J9063" s="571"/>
      <c r="K9063" s="571"/>
      <c r="L9063" s="571"/>
      <c r="M9063" s="571"/>
    </row>
    <row r="9064" ht="15" customHeight="1" spans="3:13">
      <c r="C9064" s="76"/>
      <c r="D9064" s="75" t="s">
        <v>63</v>
      </c>
      <c r="E9064" s="76" t="s">
        <v>64</v>
      </c>
      <c r="F9064" s="76" t="s">
        <v>65</v>
      </c>
      <c r="G9064" s="76" t="s">
        <v>2889</v>
      </c>
      <c r="H9064" s="76"/>
      <c r="I9064" s="77" t="s">
        <v>66</v>
      </c>
      <c r="J9064" s="75" t="s">
        <v>67</v>
      </c>
      <c r="K9064" s="75" t="s">
        <v>2890</v>
      </c>
      <c r="L9064" s="75" t="s">
        <v>68</v>
      </c>
      <c r="M9064" s="75" t="s">
        <v>70</v>
      </c>
    </row>
    <row r="9065" ht="46.25" customHeight="1" spans="3:13">
      <c r="C9065" s="569" t="s">
        <v>2891</v>
      </c>
      <c r="D9065" s="570" t="s">
        <v>5563</v>
      </c>
      <c r="E9065" s="569" t="s">
        <v>139</v>
      </c>
      <c r="F9065" s="569" t="s">
        <v>5564</v>
      </c>
      <c r="G9065" s="569" t="s">
        <v>5464</v>
      </c>
      <c r="H9065" s="569"/>
      <c r="I9065" s="577" t="s">
        <v>2897</v>
      </c>
      <c r="J9065" s="578">
        <v>1</v>
      </c>
      <c r="K9065" s="579"/>
      <c r="L9065" s="579">
        <v>1.07</v>
      </c>
      <c r="M9065" s="579">
        <v>1.07</v>
      </c>
    </row>
    <row r="9066" ht="23.85" customHeight="1" spans="3:13">
      <c r="C9066" s="100" t="s">
        <v>2893</v>
      </c>
      <c r="D9066" s="99" t="s">
        <v>5567</v>
      </c>
      <c r="E9066" s="100" t="s">
        <v>139</v>
      </c>
      <c r="F9066" s="100" t="s">
        <v>5568</v>
      </c>
      <c r="G9066" s="100" t="s">
        <v>3680</v>
      </c>
      <c r="H9066" s="100"/>
      <c r="I9066" s="101" t="s">
        <v>134</v>
      </c>
      <c r="J9066" s="580">
        <v>6.67e-5</v>
      </c>
      <c r="K9066" s="580">
        <v>0</v>
      </c>
      <c r="L9066" s="102">
        <v>16149.52</v>
      </c>
      <c r="M9066" s="102">
        <v>1.07</v>
      </c>
    </row>
    <row r="9067" ht="25.5" spans="3:13">
      <c r="C9067" s="108"/>
      <c r="D9067" s="108"/>
      <c r="E9067" s="108"/>
      <c r="F9067" s="108"/>
      <c r="G9067" s="108"/>
      <c r="H9067" s="108" t="s">
        <v>2898</v>
      </c>
      <c r="I9067" s="581">
        <v>0</v>
      </c>
      <c r="J9067" s="108" t="s">
        <v>2899</v>
      </c>
      <c r="K9067" s="581">
        <v>0</v>
      </c>
      <c r="L9067" s="108" t="s">
        <v>2900</v>
      </c>
      <c r="M9067" s="581">
        <v>0</v>
      </c>
    </row>
    <row r="9068" ht="26.25" spans="3:13">
      <c r="C9068" s="108"/>
      <c r="D9068" s="108"/>
      <c r="E9068" s="108"/>
      <c r="F9068" s="108"/>
      <c r="G9068" s="108"/>
      <c r="H9068" s="108" t="s">
        <v>2901</v>
      </c>
      <c r="I9068" s="581">
        <v>0.27</v>
      </c>
      <c r="J9068" s="114"/>
      <c r="K9068" s="114" t="s">
        <v>2902</v>
      </c>
      <c r="L9068" s="108"/>
      <c r="M9068" s="581">
        <v>1.34</v>
      </c>
    </row>
    <row r="9069" ht="15" spans="3:13">
      <c r="C9069" s="571"/>
      <c r="D9069" s="571"/>
      <c r="E9069" s="571"/>
      <c r="F9069" s="571"/>
      <c r="G9069" s="571"/>
      <c r="H9069" s="571"/>
      <c r="I9069" s="571"/>
      <c r="J9069" s="571"/>
      <c r="K9069" s="571"/>
      <c r="L9069" s="571"/>
      <c r="M9069" s="571"/>
    </row>
    <row r="9070" ht="15" customHeight="1" spans="3:13">
      <c r="C9070" s="76"/>
      <c r="D9070" s="75" t="s">
        <v>63</v>
      </c>
      <c r="E9070" s="76" t="s">
        <v>64</v>
      </c>
      <c r="F9070" s="76" t="s">
        <v>65</v>
      </c>
      <c r="G9070" s="76" t="s">
        <v>2889</v>
      </c>
      <c r="H9070" s="76"/>
      <c r="I9070" s="77" t="s">
        <v>66</v>
      </c>
      <c r="J9070" s="75" t="s">
        <v>67</v>
      </c>
      <c r="K9070" s="75" t="s">
        <v>2890</v>
      </c>
      <c r="L9070" s="75" t="s">
        <v>68</v>
      </c>
      <c r="M9070" s="75" t="s">
        <v>70</v>
      </c>
    </row>
    <row r="9071" ht="46.25" customHeight="1" spans="3:13">
      <c r="C9071" s="569" t="s">
        <v>2891</v>
      </c>
      <c r="D9071" s="570" t="s">
        <v>5565</v>
      </c>
      <c r="E9071" s="569" t="s">
        <v>139</v>
      </c>
      <c r="F9071" s="569" t="s">
        <v>5566</v>
      </c>
      <c r="G9071" s="569" t="s">
        <v>5464</v>
      </c>
      <c r="H9071" s="569"/>
      <c r="I9071" s="577" t="s">
        <v>2897</v>
      </c>
      <c r="J9071" s="578">
        <v>1</v>
      </c>
      <c r="K9071" s="579"/>
      <c r="L9071" s="579">
        <v>6.25</v>
      </c>
      <c r="M9071" s="579">
        <v>6.25</v>
      </c>
    </row>
    <row r="9072" ht="15" customHeight="1" spans="3:13">
      <c r="C9072" s="100" t="s">
        <v>2893</v>
      </c>
      <c r="D9072" s="99" t="s">
        <v>5569</v>
      </c>
      <c r="E9072" s="100" t="s">
        <v>139</v>
      </c>
      <c r="F9072" s="100" t="s">
        <v>5570</v>
      </c>
      <c r="G9072" s="100" t="s">
        <v>2961</v>
      </c>
      <c r="H9072" s="100"/>
      <c r="I9072" s="101" t="s">
        <v>3084</v>
      </c>
      <c r="J9072" s="580">
        <v>1.03</v>
      </c>
      <c r="K9072" s="580">
        <v>0</v>
      </c>
      <c r="L9072" s="102">
        <v>6.07</v>
      </c>
      <c r="M9072" s="102">
        <v>6.25</v>
      </c>
    </row>
    <row r="9073" ht="25.5" spans="3:13">
      <c r="C9073" s="108"/>
      <c r="D9073" s="108"/>
      <c r="E9073" s="108"/>
      <c r="F9073" s="108"/>
      <c r="G9073" s="108"/>
      <c r="H9073" s="108" t="s">
        <v>2898</v>
      </c>
      <c r="I9073" s="581">
        <v>0</v>
      </c>
      <c r="J9073" s="108" t="s">
        <v>2899</v>
      </c>
      <c r="K9073" s="581">
        <v>0</v>
      </c>
      <c r="L9073" s="108" t="s">
        <v>2900</v>
      </c>
      <c r="M9073" s="581">
        <v>0</v>
      </c>
    </row>
    <row r="9074" ht="26.25" spans="3:13">
      <c r="C9074" s="108"/>
      <c r="D9074" s="108"/>
      <c r="E9074" s="108"/>
      <c r="F9074" s="108"/>
      <c r="G9074" s="108"/>
      <c r="H9074" s="108" t="s">
        <v>2901</v>
      </c>
      <c r="I9074" s="581">
        <v>1.59</v>
      </c>
      <c r="J9074" s="114"/>
      <c r="K9074" s="114" t="s">
        <v>2902</v>
      </c>
      <c r="L9074" s="108"/>
      <c r="M9074" s="581">
        <v>7.84</v>
      </c>
    </row>
    <row r="9075" ht="15" spans="3:13">
      <c r="C9075" s="571"/>
      <c r="D9075" s="571"/>
      <c r="E9075" s="571"/>
      <c r="F9075" s="571"/>
      <c r="G9075" s="571"/>
      <c r="H9075" s="571"/>
      <c r="I9075" s="571"/>
      <c r="J9075" s="571"/>
      <c r="K9075" s="571"/>
      <c r="L9075" s="571"/>
      <c r="M9075" s="571"/>
    </row>
    <row r="9076" ht="15" customHeight="1" spans="3:13">
      <c r="C9076" s="76"/>
      <c r="D9076" s="75" t="s">
        <v>63</v>
      </c>
      <c r="E9076" s="76" t="s">
        <v>64</v>
      </c>
      <c r="F9076" s="76" t="s">
        <v>65</v>
      </c>
      <c r="G9076" s="76" t="s">
        <v>2889</v>
      </c>
      <c r="H9076" s="76"/>
      <c r="I9076" s="77" t="s">
        <v>66</v>
      </c>
      <c r="J9076" s="75" t="s">
        <v>67</v>
      </c>
      <c r="K9076" s="75" t="s">
        <v>2890</v>
      </c>
      <c r="L9076" s="75" t="s">
        <v>68</v>
      </c>
      <c r="M9076" s="75" t="s">
        <v>70</v>
      </c>
    </row>
    <row r="9077" ht="23.85" customHeight="1" spans="3:13">
      <c r="C9077" s="569" t="s">
        <v>2891</v>
      </c>
      <c r="D9077" s="570" t="s">
        <v>3382</v>
      </c>
      <c r="E9077" s="569" t="s">
        <v>139</v>
      </c>
      <c r="F9077" s="569" t="s">
        <v>3383</v>
      </c>
      <c r="G9077" s="569" t="s">
        <v>2995</v>
      </c>
      <c r="H9077" s="569"/>
      <c r="I9077" s="577" t="s">
        <v>2996</v>
      </c>
      <c r="J9077" s="578">
        <v>1</v>
      </c>
      <c r="K9077" s="579"/>
      <c r="L9077" s="579">
        <v>0.87</v>
      </c>
      <c r="M9077" s="579">
        <v>0.87</v>
      </c>
    </row>
    <row r="9078" ht="46.25" customHeight="1" spans="3:13">
      <c r="C9078" s="79" t="s">
        <v>2921</v>
      </c>
      <c r="D9078" s="78" t="s">
        <v>5571</v>
      </c>
      <c r="E9078" s="79" t="s">
        <v>139</v>
      </c>
      <c r="F9078" s="79" t="s">
        <v>5572</v>
      </c>
      <c r="G9078" s="79" t="s">
        <v>5464</v>
      </c>
      <c r="H9078" s="79"/>
      <c r="I9078" s="80" t="s">
        <v>2897</v>
      </c>
      <c r="J9078" s="583">
        <v>1</v>
      </c>
      <c r="K9078" s="583">
        <v>0</v>
      </c>
      <c r="L9078" s="92">
        <v>0.69</v>
      </c>
      <c r="M9078" s="92">
        <v>0.69</v>
      </c>
    </row>
    <row r="9079" ht="46.25" customHeight="1" spans="3:13">
      <c r="C9079" s="79" t="s">
        <v>2921</v>
      </c>
      <c r="D9079" s="78" t="s">
        <v>5573</v>
      </c>
      <c r="E9079" s="79" t="s">
        <v>139</v>
      </c>
      <c r="F9079" s="79" t="s">
        <v>5574</v>
      </c>
      <c r="G9079" s="79" t="s">
        <v>5464</v>
      </c>
      <c r="H9079" s="79"/>
      <c r="I9079" s="80" t="s">
        <v>2897</v>
      </c>
      <c r="J9079" s="583">
        <v>1</v>
      </c>
      <c r="K9079" s="583">
        <v>0</v>
      </c>
      <c r="L9079" s="92">
        <v>0.18</v>
      </c>
      <c r="M9079" s="92">
        <v>0.18</v>
      </c>
    </row>
    <row r="9080" ht="25.5" spans="3:13">
      <c r="C9080" s="108"/>
      <c r="D9080" s="108"/>
      <c r="E9080" s="108"/>
      <c r="F9080" s="108"/>
      <c r="G9080" s="108"/>
      <c r="H9080" s="108" t="s">
        <v>2898</v>
      </c>
      <c r="I9080" s="581">
        <v>0</v>
      </c>
      <c r="J9080" s="108" t="s">
        <v>2899</v>
      </c>
      <c r="K9080" s="581">
        <v>0</v>
      </c>
      <c r="L9080" s="108" t="s">
        <v>2900</v>
      </c>
      <c r="M9080" s="581">
        <v>0</v>
      </c>
    </row>
    <row r="9081" ht="26.25" spans="3:13">
      <c r="C9081" s="108"/>
      <c r="D9081" s="108"/>
      <c r="E9081" s="108"/>
      <c r="F9081" s="108"/>
      <c r="G9081" s="108"/>
      <c r="H9081" s="108" t="s">
        <v>2901</v>
      </c>
      <c r="I9081" s="581">
        <v>0.22</v>
      </c>
      <c r="J9081" s="114"/>
      <c r="K9081" s="114" t="s">
        <v>2902</v>
      </c>
      <c r="L9081" s="108"/>
      <c r="M9081" s="581">
        <v>1.09</v>
      </c>
    </row>
    <row r="9082" ht="15" spans="3:13">
      <c r="C9082" s="571"/>
      <c r="D9082" s="571"/>
      <c r="E9082" s="571"/>
      <c r="F9082" s="571"/>
      <c r="G9082" s="571"/>
      <c r="H9082" s="571"/>
      <c r="I9082" s="571"/>
      <c r="J9082" s="571"/>
      <c r="K9082" s="571"/>
      <c r="L9082" s="571"/>
      <c r="M9082" s="571"/>
    </row>
    <row r="9083" ht="15" customHeight="1" spans="3:13">
      <c r="C9083" s="76"/>
      <c r="D9083" s="75" t="s">
        <v>63</v>
      </c>
      <c r="E9083" s="76" t="s">
        <v>64</v>
      </c>
      <c r="F9083" s="76" t="s">
        <v>65</v>
      </c>
      <c r="G9083" s="76" t="s">
        <v>2889</v>
      </c>
      <c r="H9083" s="76"/>
      <c r="I9083" s="77" t="s">
        <v>66</v>
      </c>
      <c r="J9083" s="75" t="s">
        <v>67</v>
      </c>
      <c r="K9083" s="75" t="s">
        <v>2890</v>
      </c>
      <c r="L9083" s="75" t="s">
        <v>68</v>
      </c>
      <c r="M9083" s="75" t="s">
        <v>70</v>
      </c>
    </row>
    <row r="9084" ht="23.85" customHeight="1" spans="3:13">
      <c r="C9084" s="569" t="s">
        <v>2891</v>
      </c>
      <c r="D9084" s="570" t="s">
        <v>3380</v>
      </c>
      <c r="E9084" s="569" t="s">
        <v>139</v>
      </c>
      <c r="F9084" s="569" t="s">
        <v>3381</v>
      </c>
      <c r="G9084" s="569" t="s">
        <v>2995</v>
      </c>
      <c r="H9084" s="569"/>
      <c r="I9084" s="577" t="s">
        <v>3002</v>
      </c>
      <c r="J9084" s="578">
        <v>1</v>
      </c>
      <c r="K9084" s="579"/>
      <c r="L9084" s="579">
        <v>6.46</v>
      </c>
      <c r="M9084" s="579">
        <v>6.46</v>
      </c>
    </row>
    <row r="9085" ht="46.25" customHeight="1" spans="3:13">
      <c r="C9085" s="79" t="s">
        <v>2921</v>
      </c>
      <c r="D9085" s="78" t="s">
        <v>5575</v>
      </c>
      <c r="E9085" s="79" t="s">
        <v>139</v>
      </c>
      <c r="F9085" s="79" t="s">
        <v>5576</v>
      </c>
      <c r="G9085" s="79" t="s">
        <v>5464</v>
      </c>
      <c r="H9085" s="79"/>
      <c r="I9085" s="80" t="s">
        <v>2897</v>
      </c>
      <c r="J9085" s="583">
        <v>1</v>
      </c>
      <c r="K9085" s="583">
        <v>0</v>
      </c>
      <c r="L9085" s="92">
        <v>4.73</v>
      </c>
      <c r="M9085" s="92">
        <v>4.73</v>
      </c>
    </row>
    <row r="9086" ht="46.25" customHeight="1" spans="3:13">
      <c r="C9086" s="79" t="s">
        <v>2921</v>
      </c>
      <c r="D9086" s="78" t="s">
        <v>5571</v>
      </c>
      <c r="E9086" s="79" t="s">
        <v>139</v>
      </c>
      <c r="F9086" s="79" t="s">
        <v>5572</v>
      </c>
      <c r="G9086" s="79" t="s">
        <v>5464</v>
      </c>
      <c r="H9086" s="79"/>
      <c r="I9086" s="80" t="s">
        <v>2897</v>
      </c>
      <c r="J9086" s="583">
        <v>1</v>
      </c>
      <c r="K9086" s="583">
        <v>0</v>
      </c>
      <c r="L9086" s="92">
        <v>0.69</v>
      </c>
      <c r="M9086" s="92">
        <v>0.69</v>
      </c>
    </row>
    <row r="9087" ht="46.25" customHeight="1" spans="3:13">
      <c r="C9087" s="79" t="s">
        <v>2921</v>
      </c>
      <c r="D9087" s="78" t="s">
        <v>5577</v>
      </c>
      <c r="E9087" s="79" t="s">
        <v>139</v>
      </c>
      <c r="F9087" s="79" t="s">
        <v>5578</v>
      </c>
      <c r="G9087" s="79" t="s">
        <v>5464</v>
      </c>
      <c r="H9087" s="79"/>
      <c r="I9087" s="80" t="s">
        <v>2897</v>
      </c>
      <c r="J9087" s="583">
        <v>1</v>
      </c>
      <c r="K9087" s="583">
        <v>0</v>
      </c>
      <c r="L9087" s="92">
        <v>0.86</v>
      </c>
      <c r="M9087" s="92">
        <v>0.86</v>
      </c>
    </row>
    <row r="9088" ht="46.25" customHeight="1" spans="3:13">
      <c r="C9088" s="79" t="s">
        <v>2921</v>
      </c>
      <c r="D9088" s="78" t="s">
        <v>5573</v>
      </c>
      <c r="E9088" s="79" t="s">
        <v>139</v>
      </c>
      <c r="F9088" s="79" t="s">
        <v>5574</v>
      </c>
      <c r="G9088" s="79" t="s">
        <v>5464</v>
      </c>
      <c r="H9088" s="79"/>
      <c r="I9088" s="80" t="s">
        <v>2897</v>
      </c>
      <c r="J9088" s="583">
        <v>1</v>
      </c>
      <c r="K9088" s="583">
        <v>0</v>
      </c>
      <c r="L9088" s="92">
        <v>0.18</v>
      </c>
      <c r="M9088" s="92">
        <v>0.18</v>
      </c>
    </row>
    <row r="9089" ht="25.5" spans="3:13">
      <c r="C9089" s="108"/>
      <c r="D9089" s="108"/>
      <c r="E9089" s="108"/>
      <c r="F9089" s="108"/>
      <c r="G9089" s="108"/>
      <c r="H9089" s="108" t="s">
        <v>2898</v>
      </c>
      <c r="I9089" s="581">
        <v>0</v>
      </c>
      <c r="J9089" s="108" t="s">
        <v>2899</v>
      </c>
      <c r="K9089" s="581">
        <v>0</v>
      </c>
      <c r="L9089" s="108" t="s">
        <v>2900</v>
      </c>
      <c r="M9089" s="581">
        <v>0</v>
      </c>
    </row>
    <row r="9090" ht="26.25" spans="3:13">
      <c r="C9090" s="108"/>
      <c r="D9090" s="108"/>
      <c r="E9090" s="108"/>
      <c r="F9090" s="108"/>
      <c r="G9090" s="108"/>
      <c r="H9090" s="108" t="s">
        <v>2901</v>
      </c>
      <c r="I9090" s="581">
        <v>1.64</v>
      </c>
      <c r="J9090" s="114"/>
      <c r="K9090" s="114" t="s">
        <v>2902</v>
      </c>
      <c r="L9090" s="108"/>
      <c r="M9090" s="581">
        <v>8.1</v>
      </c>
    </row>
    <row r="9091" ht="15" spans="3:13">
      <c r="C9091" s="571"/>
      <c r="D9091" s="571"/>
      <c r="E9091" s="571"/>
      <c r="F9091" s="571"/>
      <c r="G9091" s="571"/>
      <c r="H9091" s="571"/>
      <c r="I9091" s="571"/>
      <c r="J9091" s="571"/>
      <c r="K9091" s="571"/>
      <c r="L9091" s="571"/>
      <c r="M9091" s="571"/>
    </row>
    <row r="9092" ht="15" customHeight="1" spans="3:13">
      <c r="C9092" s="76"/>
      <c r="D9092" s="75" t="s">
        <v>63</v>
      </c>
      <c r="E9092" s="76" t="s">
        <v>64</v>
      </c>
      <c r="F9092" s="76" t="s">
        <v>65</v>
      </c>
      <c r="G9092" s="76" t="s">
        <v>2889</v>
      </c>
      <c r="H9092" s="76"/>
      <c r="I9092" s="77" t="s">
        <v>66</v>
      </c>
      <c r="J9092" s="75" t="s">
        <v>67</v>
      </c>
      <c r="K9092" s="75" t="s">
        <v>2890</v>
      </c>
      <c r="L9092" s="75" t="s">
        <v>68</v>
      </c>
      <c r="M9092" s="75" t="s">
        <v>70</v>
      </c>
    </row>
    <row r="9093" ht="46.25" customHeight="1" spans="3:13">
      <c r="C9093" s="569" t="s">
        <v>2891</v>
      </c>
      <c r="D9093" s="570" t="s">
        <v>5571</v>
      </c>
      <c r="E9093" s="569" t="s">
        <v>139</v>
      </c>
      <c r="F9093" s="569" t="s">
        <v>5572</v>
      </c>
      <c r="G9093" s="569" t="s">
        <v>5464</v>
      </c>
      <c r="H9093" s="569"/>
      <c r="I9093" s="577" t="s">
        <v>2897</v>
      </c>
      <c r="J9093" s="578">
        <v>1</v>
      </c>
      <c r="K9093" s="579"/>
      <c r="L9093" s="579">
        <v>0.69</v>
      </c>
      <c r="M9093" s="579">
        <v>0.69</v>
      </c>
    </row>
    <row r="9094" ht="46.25" customHeight="1" spans="3:13">
      <c r="C9094" s="100" t="s">
        <v>2893</v>
      </c>
      <c r="D9094" s="99" t="s">
        <v>5579</v>
      </c>
      <c r="E9094" s="100" t="s">
        <v>139</v>
      </c>
      <c r="F9094" s="100" t="s">
        <v>5580</v>
      </c>
      <c r="G9094" s="100" t="s">
        <v>3680</v>
      </c>
      <c r="H9094" s="100"/>
      <c r="I9094" s="101" t="s">
        <v>134</v>
      </c>
      <c r="J9094" s="580">
        <v>5.33e-5</v>
      </c>
      <c r="K9094" s="580">
        <v>0</v>
      </c>
      <c r="L9094" s="102">
        <v>13032.95</v>
      </c>
      <c r="M9094" s="102">
        <v>0.69</v>
      </c>
    </row>
    <row r="9095" ht="25.5" spans="3:13">
      <c r="C9095" s="108"/>
      <c r="D9095" s="108"/>
      <c r="E9095" s="108"/>
      <c r="F9095" s="108"/>
      <c r="G9095" s="108"/>
      <c r="H9095" s="108" t="s">
        <v>2898</v>
      </c>
      <c r="I9095" s="581">
        <v>0</v>
      </c>
      <c r="J9095" s="108" t="s">
        <v>2899</v>
      </c>
      <c r="K9095" s="581">
        <v>0</v>
      </c>
      <c r="L9095" s="108" t="s">
        <v>2900</v>
      </c>
      <c r="M9095" s="581">
        <v>0</v>
      </c>
    </row>
    <row r="9096" ht="26.25" spans="3:13">
      <c r="C9096" s="108"/>
      <c r="D9096" s="108"/>
      <c r="E9096" s="108"/>
      <c r="F9096" s="108"/>
      <c r="G9096" s="108"/>
      <c r="H9096" s="108" t="s">
        <v>2901</v>
      </c>
      <c r="I9096" s="581">
        <v>0.17</v>
      </c>
      <c r="J9096" s="114"/>
      <c r="K9096" s="114" t="s">
        <v>2902</v>
      </c>
      <c r="L9096" s="108"/>
      <c r="M9096" s="581">
        <v>0.86</v>
      </c>
    </row>
    <row r="9097" ht="15" spans="3:13">
      <c r="C9097" s="571"/>
      <c r="D9097" s="571"/>
      <c r="E9097" s="571"/>
      <c r="F9097" s="571"/>
      <c r="G9097" s="571"/>
      <c r="H9097" s="571"/>
      <c r="I9097" s="571"/>
      <c r="J9097" s="571"/>
      <c r="K9097" s="571"/>
      <c r="L9097" s="571"/>
      <c r="M9097" s="571"/>
    </row>
    <row r="9098" ht="15" customHeight="1" spans="3:13">
      <c r="C9098" s="76"/>
      <c r="D9098" s="75" t="s">
        <v>63</v>
      </c>
      <c r="E9098" s="76" t="s">
        <v>64</v>
      </c>
      <c r="F9098" s="76" t="s">
        <v>65</v>
      </c>
      <c r="G9098" s="76" t="s">
        <v>2889</v>
      </c>
      <c r="H9098" s="76"/>
      <c r="I9098" s="77" t="s">
        <v>66</v>
      </c>
      <c r="J9098" s="75" t="s">
        <v>67</v>
      </c>
      <c r="K9098" s="75" t="s">
        <v>2890</v>
      </c>
      <c r="L9098" s="75" t="s">
        <v>68</v>
      </c>
      <c r="M9098" s="75" t="s">
        <v>70</v>
      </c>
    </row>
    <row r="9099" ht="46.25" customHeight="1" spans="3:13">
      <c r="C9099" s="569" t="s">
        <v>2891</v>
      </c>
      <c r="D9099" s="570" t="s">
        <v>5573</v>
      </c>
      <c r="E9099" s="569" t="s">
        <v>139</v>
      </c>
      <c r="F9099" s="569" t="s">
        <v>5574</v>
      </c>
      <c r="G9099" s="569" t="s">
        <v>5464</v>
      </c>
      <c r="H9099" s="569"/>
      <c r="I9099" s="577" t="s">
        <v>2897</v>
      </c>
      <c r="J9099" s="578">
        <v>1</v>
      </c>
      <c r="K9099" s="579"/>
      <c r="L9099" s="579">
        <v>0.18</v>
      </c>
      <c r="M9099" s="579">
        <v>0.18</v>
      </c>
    </row>
    <row r="9100" ht="46.25" customHeight="1" spans="3:13">
      <c r="C9100" s="100" t="s">
        <v>2893</v>
      </c>
      <c r="D9100" s="99" t="s">
        <v>5579</v>
      </c>
      <c r="E9100" s="100" t="s">
        <v>139</v>
      </c>
      <c r="F9100" s="100" t="s">
        <v>5580</v>
      </c>
      <c r="G9100" s="100" t="s">
        <v>3680</v>
      </c>
      <c r="H9100" s="100"/>
      <c r="I9100" s="101" t="s">
        <v>134</v>
      </c>
      <c r="J9100" s="580">
        <v>1.43e-5</v>
      </c>
      <c r="K9100" s="580">
        <v>0</v>
      </c>
      <c r="L9100" s="102">
        <v>13032.95</v>
      </c>
      <c r="M9100" s="102">
        <v>0.18</v>
      </c>
    </row>
    <row r="9101" ht="25.5" spans="3:13">
      <c r="C9101" s="108"/>
      <c r="D9101" s="108"/>
      <c r="E9101" s="108"/>
      <c r="F9101" s="108"/>
      <c r="G9101" s="108"/>
      <c r="H9101" s="108" t="s">
        <v>2898</v>
      </c>
      <c r="I9101" s="581">
        <v>0</v>
      </c>
      <c r="J9101" s="108" t="s">
        <v>2899</v>
      </c>
      <c r="K9101" s="581">
        <v>0</v>
      </c>
      <c r="L9101" s="108" t="s">
        <v>2900</v>
      </c>
      <c r="M9101" s="581">
        <v>0</v>
      </c>
    </row>
    <row r="9102" ht="26.25" spans="3:13">
      <c r="C9102" s="108"/>
      <c r="D9102" s="108"/>
      <c r="E9102" s="108"/>
      <c r="F9102" s="108"/>
      <c r="G9102" s="108"/>
      <c r="H9102" s="108" t="s">
        <v>2901</v>
      </c>
      <c r="I9102" s="581">
        <v>0.04</v>
      </c>
      <c r="J9102" s="114"/>
      <c r="K9102" s="114" t="s">
        <v>2902</v>
      </c>
      <c r="L9102" s="108"/>
      <c r="M9102" s="581">
        <v>0.22</v>
      </c>
    </row>
    <row r="9103" ht="15" spans="3:13">
      <c r="C9103" s="571"/>
      <c r="D9103" s="571"/>
      <c r="E9103" s="571"/>
      <c r="F9103" s="571"/>
      <c r="G9103" s="571"/>
      <c r="H9103" s="571"/>
      <c r="I9103" s="571"/>
      <c r="J9103" s="571"/>
      <c r="K9103" s="571"/>
      <c r="L9103" s="571"/>
      <c r="M9103" s="571"/>
    </row>
    <row r="9104" ht="15" customHeight="1" spans="3:13">
      <c r="C9104" s="76"/>
      <c r="D9104" s="75" t="s">
        <v>63</v>
      </c>
      <c r="E9104" s="76" t="s">
        <v>64</v>
      </c>
      <c r="F9104" s="76" t="s">
        <v>65</v>
      </c>
      <c r="G9104" s="76" t="s">
        <v>2889</v>
      </c>
      <c r="H9104" s="76"/>
      <c r="I9104" s="77" t="s">
        <v>66</v>
      </c>
      <c r="J9104" s="75" t="s">
        <v>67</v>
      </c>
      <c r="K9104" s="75" t="s">
        <v>2890</v>
      </c>
      <c r="L9104" s="75" t="s">
        <v>68</v>
      </c>
      <c r="M9104" s="75" t="s">
        <v>70</v>
      </c>
    </row>
    <row r="9105" ht="46.25" customHeight="1" spans="3:13">
      <c r="C9105" s="569" t="s">
        <v>2891</v>
      </c>
      <c r="D9105" s="570" t="s">
        <v>5577</v>
      </c>
      <c r="E9105" s="569" t="s">
        <v>139</v>
      </c>
      <c r="F9105" s="569" t="s">
        <v>5578</v>
      </c>
      <c r="G9105" s="569" t="s">
        <v>5464</v>
      </c>
      <c r="H9105" s="569"/>
      <c r="I9105" s="577" t="s">
        <v>2897</v>
      </c>
      <c r="J9105" s="578">
        <v>1</v>
      </c>
      <c r="K9105" s="579"/>
      <c r="L9105" s="579">
        <v>0.86</v>
      </c>
      <c r="M9105" s="579">
        <v>0.86</v>
      </c>
    </row>
    <row r="9106" ht="46.25" customHeight="1" spans="3:13">
      <c r="C9106" s="100" t="s">
        <v>2893</v>
      </c>
      <c r="D9106" s="99" t="s">
        <v>5579</v>
      </c>
      <c r="E9106" s="100" t="s">
        <v>139</v>
      </c>
      <c r="F9106" s="100" t="s">
        <v>5580</v>
      </c>
      <c r="G9106" s="100" t="s">
        <v>3680</v>
      </c>
      <c r="H9106" s="100"/>
      <c r="I9106" s="101" t="s">
        <v>134</v>
      </c>
      <c r="J9106" s="580">
        <v>6.67e-5</v>
      </c>
      <c r="K9106" s="580">
        <v>0</v>
      </c>
      <c r="L9106" s="102">
        <v>13032.95</v>
      </c>
      <c r="M9106" s="102">
        <v>0.86</v>
      </c>
    </row>
    <row r="9107" ht="25.5" spans="3:13">
      <c r="C9107" s="108"/>
      <c r="D9107" s="108"/>
      <c r="E9107" s="108"/>
      <c r="F9107" s="108"/>
      <c r="G9107" s="108"/>
      <c r="H9107" s="108" t="s">
        <v>2898</v>
      </c>
      <c r="I9107" s="581">
        <v>0</v>
      </c>
      <c r="J9107" s="108" t="s">
        <v>2899</v>
      </c>
      <c r="K9107" s="581">
        <v>0</v>
      </c>
      <c r="L9107" s="108" t="s">
        <v>2900</v>
      </c>
      <c r="M9107" s="581">
        <v>0</v>
      </c>
    </row>
    <row r="9108" ht="26.25" spans="3:13">
      <c r="C9108" s="108"/>
      <c r="D9108" s="108"/>
      <c r="E9108" s="108"/>
      <c r="F9108" s="108"/>
      <c r="G9108" s="108"/>
      <c r="H9108" s="108" t="s">
        <v>2901</v>
      </c>
      <c r="I9108" s="581">
        <v>0.21</v>
      </c>
      <c r="J9108" s="114"/>
      <c r="K9108" s="114" t="s">
        <v>2902</v>
      </c>
      <c r="L9108" s="108"/>
      <c r="M9108" s="581">
        <v>1.07</v>
      </c>
    </row>
    <row r="9109" ht="15" spans="3:13">
      <c r="C9109" s="571"/>
      <c r="D9109" s="571"/>
      <c r="E9109" s="571"/>
      <c r="F9109" s="571"/>
      <c r="G9109" s="571"/>
      <c r="H9109" s="571"/>
      <c r="I9109" s="571"/>
      <c r="J9109" s="571"/>
      <c r="K9109" s="571"/>
      <c r="L9109" s="571"/>
      <c r="M9109" s="571"/>
    </row>
    <row r="9110" ht="15" customHeight="1" spans="3:13">
      <c r="C9110" s="76"/>
      <c r="D9110" s="75" t="s">
        <v>63</v>
      </c>
      <c r="E9110" s="76" t="s">
        <v>64</v>
      </c>
      <c r="F9110" s="76" t="s">
        <v>65</v>
      </c>
      <c r="G9110" s="76" t="s">
        <v>2889</v>
      </c>
      <c r="H9110" s="76"/>
      <c r="I9110" s="77" t="s">
        <v>66</v>
      </c>
      <c r="J9110" s="75" t="s">
        <v>67</v>
      </c>
      <c r="K9110" s="75" t="s">
        <v>2890</v>
      </c>
      <c r="L9110" s="75" t="s">
        <v>68</v>
      </c>
      <c r="M9110" s="75" t="s">
        <v>70</v>
      </c>
    </row>
    <row r="9111" ht="46.25" customHeight="1" spans="3:13">
      <c r="C9111" s="569" t="s">
        <v>2891</v>
      </c>
      <c r="D9111" s="570" t="s">
        <v>5575</v>
      </c>
      <c r="E9111" s="569" t="s">
        <v>139</v>
      </c>
      <c r="F9111" s="569" t="s">
        <v>5576</v>
      </c>
      <c r="G9111" s="569" t="s">
        <v>5464</v>
      </c>
      <c r="H9111" s="569"/>
      <c r="I9111" s="577" t="s">
        <v>2897</v>
      </c>
      <c r="J9111" s="578">
        <v>1</v>
      </c>
      <c r="K9111" s="579"/>
      <c r="L9111" s="579">
        <v>4.73</v>
      </c>
      <c r="M9111" s="579">
        <v>4.73</v>
      </c>
    </row>
    <row r="9112" ht="15" customHeight="1" spans="3:13">
      <c r="C9112" s="100" t="s">
        <v>2893</v>
      </c>
      <c r="D9112" s="99" t="s">
        <v>5569</v>
      </c>
      <c r="E9112" s="100" t="s">
        <v>139</v>
      </c>
      <c r="F9112" s="100" t="s">
        <v>5570</v>
      </c>
      <c r="G9112" s="100" t="s">
        <v>2961</v>
      </c>
      <c r="H9112" s="100"/>
      <c r="I9112" s="101" t="s">
        <v>3084</v>
      </c>
      <c r="J9112" s="580">
        <v>0.78</v>
      </c>
      <c r="K9112" s="580">
        <v>0</v>
      </c>
      <c r="L9112" s="102">
        <v>6.07</v>
      </c>
      <c r="M9112" s="102">
        <v>4.73</v>
      </c>
    </row>
    <row r="9113" ht="25.5" spans="3:13">
      <c r="C9113" s="108"/>
      <c r="D9113" s="108"/>
      <c r="E9113" s="108"/>
      <c r="F9113" s="108"/>
      <c r="G9113" s="108"/>
      <c r="H9113" s="108" t="s">
        <v>2898</v>
      </c>
      <c r="I9113" s="581">
        <v>0</v>
      </c>
      <c r="J9113" s="108" t="s">
        <v>2899</v>
      </c>
      <c r="K9113" s="581">
        <v>0</v>
      </c>
      <c r="L9113" s="108" t="s">
        <v>2900</v>
      </c>
      <c r="M9113" s="581">
        <v>0</v>
      </c>
    </row>
    <row r="9114" ht="26.25" spans="3:13">
      <c r="C9114" s="108"/>
      <c r="D9114" s="108"/>
      <c r="E9114" s="108"/>
      <c r="F9114" s="108"/>
      <c r="G9114" s="108"/>
      <c r="H9114" s="108" t="s">
        <v>2901</v>
      </c>
      <c r="I9114" s="581">
        <v>1.2</v>
      </c>
      <c r="J9114" s="114"/>
      <c r="K9114" s="114" t="s">
        <v>2902</v>
      </c>
      <c r="L9114" s="108"/>
      <c r="M9114" s="581">
        <v>5.93</v>
      </c>
    </row>
    <row r="9115" ht="15" spans="3:13">
      <c r="C9115" s="571"/>
      <c r="D9115" s="571"/>
      <c r="E9115" s="571"/>
      <c r="F9115" s="571"/>
      <c r="G9115" s="571"/>
      <c r="H9115" s="571"/>
      <c r="I9115" s="571"/>
      <c r="J9115" s="571"/>
      <c r="K9115" s="571"/>
      <c r="L9115" s="571"/>
      <c r="M9115" s="571"/>
    </row>
    <row r="9116" ht="15" customHeight="1" spans="3:13">
      <c r="C9116" s="76"/>
      <c r="D9116" s="75" t="s">
        <v>63</v>
      </c>
      <c r="E9116" s="76" t="s">
        <v>64</v>
      </c>
      <c r="F9116" s="76" t="s">
        <v>65</v>
      </c>
      <c r="G9116" s="76" t="s">
        <v>2889</v>
      </c>
      <c r="H9116" s="76"/>
      <c r="I9116" s="77" t="s">
        <v>66</v>
      </c>
      <c r="J9116" s="75" t="s">
        <v>67</v>
      </c>
      <c r="K9116" s="75" t="s">
        <v>2890</v>
      </c>
      <c r="L9116" s="75" t="s">
        <v>68</v>
      </c>
      <c r="M9116" s="75" t="s">
        <v>70</v>
      </c>
    </row>
    <row r="9117" ht="25.5" spans="3:13">
      <c r="C9117" s="569" t="s">
        <v>2891</v>
      </c>
      <c r="D9117" s="570" t="s">
        <v>3425</v>
      </c>
      <c r="E9117" s="569" t="s">
        <v>77</v>
      </c>
      <c r="F9117" s="569" t="s">
        <v>3426</v>
      </c>
      <c r="G9117" s="569">
        <v>55</v>
      </c>
      <c r="H9117" s="569"/>
      <c r="I9117" s="577" t="s">
        <v>134</v>
      </c>
      <c r="J9117" s="578">
        <v>1</v>
      </c>
      <c r="K9117" s="579"/>
      <c r="L9117" s="579">
        <v>175.19</v>
      </c>
      <c r="M9117" s="579">
        <v>175.19</v>
      </c>
    </row>
    <row r="9118" spans="3:13">
      <c r="C9118" s="79" t="s">
        <v>2921</v>
      </c>
      <c r="D9118" s="78" t="s">
        <v>5581</v>
      </c>
      <c r="E9118" s="79" t="s">
        <v>77</v>
      </c>
      <c r="F9118" s="79" t="s">
        <v>5582</v>
      </c>
      <c r="G9118" s="79">
        <v>55</v>
      </c>
      <c r="H9118" s="79"/>
      <c r="I9118" s="80" t="s">
        <v>134</v>
      </c>
      <c r="J9118" s="583">
        <v>0.0251</v>
      </c>
      <c r="K9118" s="583">
        <v>0</v>
      </c>
      <c r="L9118" s="92">
        <v>1246.86</v>
      </c>
      <c r="M9118" s="92">
        <v>31.29</v>
      </c>
    </row>
    <row r="9119" ht="23.85" customHeight="1" spans="3:13">
      <c r="C9119" s="100" t="s">
        <v>2893</v>
      </c>
      <c r="D9119" s="99" t="s">
        <v>5583</v>
      </c>
      <c r="E9119" s="100" t="s">
        <v>77</v>
      </c>
      <c r="F9119" s="100" t="s">
        <v>5584</v>
      </c>
      <c r="G9119" s="100" t="s">
        <v>2896</v>
      </c>
      <c r="H9119" s="100"/>
      <c r="I9119" s="101" t="s">
        <v>2897</v>
      </c>
      <c r="J9119" s="580">
        <v>0.7468</v>
      </c>
      <c r="K9119" s="580">
        <v>33.9</v>
      </c>
      <c r="L9119" s="102">
        <v>40.71</v>
      </c>
      <c r="M9119" s="102">
        <v>40.7</v>
      </c>
    </row>
    <row r="9120" ht="15" customHeight="1" spans="3:13">
      <c r="C9120" s="100" t="s">
        <v>2893</v>
      </c>
      <c r="D9120" s="99" t="s">
        <v>5585</v>
      </c>
      <c r="E9120" s="100" t="s">
        <v>77</v>
      </c>
      <c r="F9120" s="100" t="s">
        <v>5586</v>
      </c>
      <c r="G9120" s="100" t="s">
        <v>2961</v>
      </c>
      <c r="H9120" s="100"/>
      <c r="I9120" s="101" t="s">
        <v>2925</v>
      </c>
      <c r="J9120" s="580">
        <v>0.0214</v>
      </c>
      <c r="K9120" s="580">
        <v>0</v>
      </c>
      <c r="L9120" s="102">
        <v>1518</v>
      </c>
      <c r="M9120" s="102">
        <v>32.48</v>
      </c>
    </row>
    <row r="9121" ht="23.85" customHeight="1" spans="3:13">
      <c r="C9121" s="100" t="s">
        <v>2893</v>
      </c>
      <c r="D9121" s="99" t="s">
        <v>5587</v>
      </c>
      <c r="E9121" s="100" t="s">
        <v>77</v>
      </c>
      <c r="F9121" s="100" t="s">
        <v>5588</v>
      </c>
      <c r="G9121" s="100" t="s">
        <v>2896</v>
      </c>
      <c r="H9121" s="100"/>
      <c r="I9121" s="101" t="s">
        <v>2897</v>
      </c>
      <c r="J9121" s="580">
        <v>1.7924</v>
      </c>
      <c r="K9121" s="580">
        <v>33.9</v>
      </c>
      <c r="L9121" s="102">
        <v>29.47</v>
      </c>
      <c r="M9121" s="102">
        <v>70.72</v>
      </c>
    </row>
    <row r="9122" ht="25.5" spans="3:13">
      <c r="C9122" s="108"/>
      <c r="D9122" s="108"/>
      <c r="E9122" s="108"/>
      <c r="F9122" s="108"/>
      <c r="G9122" s="108"/>
      <c r="H9122" s="108" t="s">
        <v>2898</v>
      </c>
      <c r="I9122" s="581">
        <v>111.42</v>
      </c>
      <c r="J9122" s="108" t="s">
        <v>2899</v>
      </c>
      <c r="K9122" s="581">
        <v>0</v>
      </c>
      <c r="L9122" s="108" t="s">
        <v>2900</v>
      </c>
      <c r="M9122" s="581">
        <v>111.42</v>
      </c>
    </row>
    <row r="9123" ht="26.25" spans="3:13">
      <c r="C9123" s="108"/>
      <c r="D9123" s="108"/>
      <c r="E9123" s="108"/>
      <c r="F9123" s="108"/>
      <c r="G9123" s="108"/>
      <c r="H9123" s="108" t="s">
        <v>2901</v>
      </c>
      <c r="I9123" s="581">
        <v>44.65</v>
      </c>
      <c r="J9123" s="114"/>
      <c r="K9123" s="114" t="s">
        <v>2902</v>
      </c>
      <c r="L9123" s="108"/>
      <c r="M9123" s="581">
        <v>219.84</v>
      </c>
    </row>
    <row r="9124" ht="15" spans="3:13">
      <c r="C9124" s="571"/>
      <c r="D9124" s="571"/>
      <c r="E9124" s="571"/>
      <c r="F9124" s="571"/>
      <c r="G9124" s="571"/>
      <c r="H9124" s="571"/>
      <c r="I9124" s="571"/>
      <c r="J9124" s="571"/>
      <c r="K9124" s="571"/>
      <c r="L9124" s="571"/>
      <c r="M9124" s="571"/>
    </row>
    <row r="9125" ht="15" customHeight="1" spans="3:13">
      <c r="C9125" s="76"/>
      <c r="D9125" s="75" t="s">
        <v>63</v>
      </c>
      <c r="E9125" s="76" t="s">
        <v>64</v>
      </c>
      <c r="F9125" s="76" t="s">
        <v>65</v>
      </c>
      <c r="G9125" s="76" t="s">
        <v>2889</v>
      </c>
      <c r="H9125" s="76"/>
      <c r="I9125" s="77" t="s">
        <v>66</v>
      </c>
      <c r="J9125" s="75" t="s">
        <v>67</v>
      </c>
      <c r="K9125" s="75" t="s">
        <v>2890</v>
      </c>
      <c r="L9125" s="75" t="s">
        <v>68</v>
      </c>
      <c r="M9125" s="75" t="s">
        <v>70</v>
      </c>
    </row>
    <row r="9126" ht="35.05" customHeight="1" spans="3:13">
      <c r="C9126" s="569" t="s">
        <v>2891</v>
      </c>
      <c r="D9126" s="570" t="s">
        <v>3249</v>
      </c>
      <c r="E9126" s="569" t="s">
        <v>139</v>
      </c>
      <c r="F9126" s="569" t="s">
        <v>3250</v>
      </c>
      <c r="G9126" s="569" t="s">
        <v>2995</v>
      </c>
      <c r="H9126" s="569"/>
      <c r="I9126" s="577" t="s">
        <v>2996</v>
      </c>
      <c r="J9126" s="578">
        <v>1</v>
      </c>
      <c r="K9126" s="579"/>
      <c r="L9126" s="579">
        <v>8.9</v>
      </c>
      <c r="M9126" s="579">
        <v>8.9</v>
      </c>
    </row>
    <row r="9127" ht="46.25" customHeight="1" spans="3:13">
      <c r="C9127" s="79" t="s">
        <v>2921</v>
      </c>
      <c r="D9127" s="78" t="s">
        <v>5589</v>
      </c>
      <c r="E9127" s="79" t="s">
        <v>139</v>
      </c>
      <c r="F9127" s="79" t="s">
        <v>5590</v>
      </c>
      <c r="G9127" s="79" t="s">
        <v>5464</v>
      </c>
      <c r="H9127" s="79"/>
      <c r="I9127" s="80" t="s">
        <v>2897</v>
      </c>
      <c r="J9127" s="583">
        <v>1</v>
      </c>
      <c r="K9127" s="583">
        <v>0</v>
      </c>
      <c r="L9127" s="92">
        <v>1.88</v>
      </c>
      <c r="M9127" s="92">
        <v>1.88</v>
      </c>
    </row>
    <row r="9128" ht="46.25" customHeight="1" spans="3:13">
      <c r="C9128" s="79" t="s">
        <v>2921</v>
      </c>
      <c r="D9128" s="78" t="s">
        <v>5591</v>
      </c>
      <c r="E9128" s="79" t="s">
        <v>139</v>
      </c>
      <c r="F9128" s="79" t="s">
        <v>5592</v>
      </c>
      <c r="G9128" s="79" t="s">
        <v>5464</v>
      </c>
      <c r="H9128" s="79"/>
      <c r="I9128" s="80" t="s">
        <v>2897</v>
      </c>
      <c r="J9128" s="583">
        <v>1</v>
      </c>
      <c r="K9128" s="583">
        <v>0</v>
      </c>
      <c r="L9128" s="92">
        <v>7.02</v>
      </c>
      <c r="M9128" s="92">
        <v>7.02</v>
      </c>
    </row>
    <row r="9129" ht="25.5" spans="3:13">
      <c r="C9129" s="108"/>
      <c r="D9129" s="108"/>
      <c r="E9129" s="108"/>
      <c r="F9129" s="108"/>
      <c r="G9129" s="108"/>
      <c r="H9129" s="108" t="s">
        <v>2898</v>
      </c>
      <c r="I9129" s="581">
        <v>0</v>
      </c>
      <c r="J9129" s="108" t="s">
        <v>2899</v>
      </c>
      <c r="K9129" s="581">
        <v>0</v>
      </c>
      <c r="L9129" s="108" t="s">
        <v>2900</v>
      </c>
      <c r="M9129" s="581">
        <v>0</v>
      </c>
    </row>
    <row r="9130" ht="26.25" spans="3:13">
      <c r="C9130" s="108"/>
      <c r="D9130" s="108"/>
      <c r="E9130" s="108"/>
      <c r="F9130" s="108"/>
      <c r="G9130" s="108"/>
      <c r="H9130" s="108" t="s">
        <v>2901</v>
      </c>
      <c r="I9130" s="581">
        <v>2.26</v>
      </c>
      <c r="J9130" s="114"/>
      <c r="K9130" s="114" t="s">
        <v>2902</v>
      </c>
      <c r="L9130" s="108"/>
      <c r="M9130" s="581">
        <v>11.16</v>
      </c>
    </row>
    <row r="9131" ht="15" spans="3:13">
      <c r="C9131" s="571"/>
      <c r="D9131" s="571"/>
      <c r="E9131" s="571"/>
      <c r="F9131" s="571"/>
      <c r="G9131" s="571"/>
      <c r="H9131" s="571"/>
      <c r="I9131" s="571"/>
      <c r="J9131" s="571"/>
      <c r="K9131" s="571"/>
      <c r="L9131" s="571"/>
      <c r="M9131" s="571"/>
    </row>
    <row r="9132" ht="15" customHeight="1" spans="3:13">
      <c r="C9132" s="76"/>
      <c r="D9132" s="75" t="s">
        <v>63</v>
      </c>
      <c r="E9132" s="76" t="s">
        <v>64</v>
      </c>
      <c r="F9132" s="76" t="s">
        <v>65</v>
      </c>
      <c r="G9132" s="76" t="s">
        <v>2889</v>
      </c>
      <c r="H9132" s="76"/>
      <c r="I9132" s="77" t="s">
        <v>66</v>
      </c>
      <c r="J9132" s="75" t="s">
        <v>67</v>
      </c>
      <c r="K9132" s="75" t="s">
        <v>2890</v>
      </c>
      <c r="L9132" s="75" t="s">
        <v>68</v>
      </c>
      <c r="M9132" s="75" t="s">
        <v>70</v>
      </c>
    </row>
    <row r="9133" ht="35.05" customHeight="1" spans="3:13">
      <c r="C9133" s="569" t="s">
        <v>2891</v>
      </c>
      <c r="D9133" s="570" t="s">
        <v>3255</v>
      </c>
      <c r="E9133" s="569" t="s">
        <v>139</v>
      </c>
      <c r="F9133" s="569" t="s">
        <v>3256</v>
      </c>
      <c r="G9133" s="569" t="s">
        <v>2995</v>
      </c>
      <c r="H9133" s="569"/>
      <c r="I9133" s="577" t="s">
        <v>3002</v>
      </c>
      <c r="J9133" s="578">
        <v>1</v>
      </c>
      <c r="K9133" s="579"/>
      <c r="L9133" s="579">
        <v>32.69</v>
      </c>
      <c r="M9133" s="579">
        <v>32.69</v>
      </c>
    </row>
    <row r="9134" ht="46.25" customHeight="1" spans="3:13">
      <c r="C9134" s="79" t="s">
        <v>2921</v>
      </c>
      <c r="D9134" s="78" t="s">
        <v>5589</v>
      </c>
      <c r="E9134" s="79" t="s">
        <v>139</v>
      </c>
      <c r="F9134" s="79" t="s">
        <v>5590</v>
      </c>
      <c r="G9134" s="79" t="s">
        <v>5464</v>
      </c>
      <c r="H9134" s="79"/>
      <c r="I9134" s="80" t="s">
        <v>2897</v>
      </c>
      <c r="J9134" s="583">
        <v>1</v>
      </c>
      <c r="K9134" s="583">
        <v>0</v>
      </c>
      <c r="L9134" s="92">
        <v>1.88</v>
      </c>
      <c r="M9134" s="92">
        <v>1.88</v>
      </c>
    </row>
    <row r="9135" ht="46.25" customHeight="1" spans="3:13">
      <c r="C9135" s="79" t="s">
        <v>2921</v>
      </c>
      <c r="D9135" s="78" t="s">
        <v>5591</v>
      </c>
      <c r="E9135" s="79" t="s">
        <v>139</v>
      </c>
      <c r="F9135" s="79" t="s">
        <v>5592</v>
      </c>
      <c r="G9135" s="79" t="s">
        <v>5464</v>
      </c>
      <c r="H9135" s="79"/>
      <c r="I9135" s="80" t="s">
        <v>2897</v>
      </c>
      <c r="J9135" s="583">
        <v>1</v>
      </c>
      <c r="K9135" s="583">
        <v>0</v>
      </c>
      <c r="L9135" s="92">
        <v>7.02</v>
      </c>
      <c r="M9135" s="92">
        <v>7.02</v>
      </c>
    </row>
    <row r="9136" ht="46.25" customHeight="1" spans="3:13">
      <c r="C9136" s="79" t="s">
        <v>2921</v>
      </c>
      <c r="D9136" s="78" t="s">
        <v>5593</v>
      </c>
      <c r="E9136" s="79" t="s">
        <v>139</v>
      </c>
      <c r="F9136" s="79" t="s">
        <v>5594</v>
      </c>
      <c r="G9136" s="79" t="s">
        <v>5464</v>
      </c>
      <c r="H9136" s="79"/>
      <c r="I9136" s="80" t="s">
        <v>2897</v>
      </c>
      <c r="J9136" s="583">
        <v>1</v>
      </c>
      <c r="K9136" s="583">
        <v>0</v>
      </c>
      <c r="L9136" s="92">
        <v>15</v>
      </c>
      <c r="M9136" s="92">
        <v>15</v>
      </c>
    </row>
    <row r="9137" ht="46.25" customHeight="1" spans="3:13">
      <c r="C9137" s="79" t="s">
        <v>2921</v>
      </c>
      <c r="D9137" s="78" t="s">
        <v>5595</v>
      </c>
      <c r="E9137" s="79" t="s">
        <v>139</v>
      </c>
      <c r="F9137" s="79" t="s">
        <v>5596</v>
      </c>
      <c r="G9137" s="79" t="s">
        <v>5464</v>
      </c>
      <c r="H9137" s="79"/>
      <c r="I9137" s="80" t="s">
        <v>2897</v>
      </c>
      <c r="J9137" s="583">
        <v>1</v>
      </c>
      <c r="K9137" s="583">
        <v>0</v>
      </c>
      <c r="L9137" s="92">
        <v>8.79</v>
      </c>
      <c r="M9137" s="92">
        <v>8.79</v>
      </c>
    </row>
    <row r="9138" ht="25.5" spans="3:13">
      <c r="C9138" s="108"/>
      <c r="D9138" s="108"/>
      <c r="E9138" s="108"/>
      <c r="F9138" s="108"/>
      <c r="G9138" s="108"/>
      <c r="H9138" s="108" t="s">
        <v>2898</v>
      </c>
      <c r="I9138" s="581">
        <v>0</v>
      </c>
      <c r="J9138" s="108" t="s">
        <v>2899</v>
      </c>
      <c r="K9138" s="581">
        <v>0</v>
      </c>
      <c r="L9138" s="108" t="s">
        <v>2900</v>
      </c>
      <c r="M9138" s="581">
        <v>0</v>
      </c>
    </row>
    <row r="9139" ht="26.25" spans="3:13">
      <c r="C9139" s="108"/>
      <c r="D9139" s="108"/>
      <c r="E9139" s="108"/>
      <c r="F9139" s="108"/>
      <c r="G9139" s="108"/>
      <c r="H9139" s="108" t="s">
        <v>2901</v>
      </c>
      <c r="I9139" s="581">
        <v>8.33</v>
      </c>
      <c r="J9139" s="114"/>
      <c r="K9139" s="114" t="s">
        <v>2902</v>
      </c>
      <c r="L9139" s="108"/>
      <c r="M9139" s="581">
        <v>41.02</v>
      </c>
    </row>
    <row r="9140" ht="15" spans="3:13">
      <c r="C9140" s="571"/>
      <c r="D9140" s="571"/>
      <c r="E9140" s="571"/>
      <c r="F9140" s="571"/>
      <c r="G9140" s="571"/>
      <c r="H9140" s="571"/>
      <c r="I9140" s="571"/>
      <c r="J9140" s="571"/>
      <c r="K9140" s="571"/>
      <c r="L9140" s="571"/>
      <c r="M9140" s="571"/>
    </row>
    <row r="9141" ht="15" customHeight="1" spans="3:13">
      <c r="C9141" s="76"/>
      <c r="D9141" s="75" t="s">
        <v>63</v>
      </c>
      <c r="E9141" s="76" t="s">
        <v>64</v>
      </c>
      <c r="F9141" s="76" t="s">
        <v>65</v>
      </c>
      <c r="G9141" s="76" t="s">
        <v>2889</v>
      </c>
      <c r="H9141" s="76"/>
      <c r="I9141" s="77" t="s">
        <v>66</v>
      </c>
      <c r="J9141" s="75" t="s">
        <v>67</v>
      </c>
      <c r="K9141" s="75" t="s">
        <v>2890</v>
      </c>
      <c r="L9141" s="75" t="s">
        <v>68</v>
      </c>
      <c r="M9141" s="75" t="s">
        <v>70</v>
      </c>
    </row>
    <row r="9142" ht="46.25" customHeight="1" spans="3:13">
      <c r="C9142" s="569" t="s">
        <v>2891</v>
      </c>
      <c r="D9142" s="570" t="s">
        <v>5591</v>
      </c>
      <c r="E9142" s="569" t="s">
        <v>139</v>
      </c>
      <c r="F9142" s="569" t="s">
        <v>5592</v>
      </c>
      <c r="G9142" s="569" t="s">
        <v>5464</v>
      </c>
      <c r="H9142" s="569"/>
      <c r="I9142" s="577" t="s">
        <v>2897</v>
      </c>
      <c r="J9142" s="578">
        <v>1</v>
      </c>
      <c r="K9142" s="579"/>
      <c r="L9142" s="579">
        <v>7.02</v>
      </c>
      <c r="M9142" s="579">
        <v>7.02</v>
      </c>
    </row>
    <row r="9143" ht="23.85" customHeight="1" spans="3:13">
      <c r="C9143" s="100" t="s">
        <v>2893</v>
      </c>
      <c r="D9143" s="99" t="s">
        <v>5597</v>
      </c>
      <c r="E9143" s="100" t="s">
        <v>139</v>
      </c>
      <c r="F9143" s="100" t="s">
        <v>5598</v>
      </c>
      <c r="G9143" s="100" t="s">
        <v>3680</v>
      </c>
      <c r="H9143" s="100"/>
      <c r="I9143" s="101" t="s">
        <v>134</v>
      </c>
      <c r="J9143" s="580">
        <v>5.33e-5</v>
      </c>
      <c r="K9143" s="580">
        <v>0</v>
      </c>
      <c r="L9143" s="102">
        <v>131850</v>
      </c>
      <c r="M9143" s="102">
        <v>7.02</v>
      </c>
    </row>
    <row r="9144" ht="25.5" spans="3:13">
      <c r="C9144" s="108"/>
      <c r="D9144" s="108"/>
      <c r="E9144" s="108"/>
      <c r="F9144" s="108"/>
      <c r="G9144" s="108"/>
      <c r="H9144" s="108" t="s">
        <v>2898</v>
      </c>
      <c r="I9144" s="581">
        <v>0</v>
      </c>
      <c r="J9144" s="108" t="s">
        <v>2899</v>
      </c>
      <c r="K9144" s="581">
        <v>0</v>
      </c>
      <c r="L9144" s="108" t="s">
        <v>2900</v>
      </c>
      <c r="M9144" s="581">
        <v>0</v>
      </c>
    </row>
    <row r="9145" ht="26.25" spans="3:13">
      <c r="C9145" s="108"/>
      <c r="D9145" s="108"/>
      <c r="E9145" s="108"/>
      <c r="F9145" s="108"/>
      <c r="G9145" s="108"/>
      <c r="H9145" s="108" t="s">
        <v>2901</v>
      </c>
      <c r="I9145" s="581">
        <v>1.78</v>
      </c>
      <c r="J9145" s="114"/>
      <c r="K9145" s="114" t="s">
        <v>2902</v>
      </c>
      <c r="L9145" s="108"/>
      <c r="M9145" s="581">
        <v>8.8</v>
      </c>
    </row>
    <row r="9146" ht="15" spans="3:13">
      <c r="C9146" s="571"/>
      <c r="D9146" s="571"/>
      <c r="E9146" s="571"/>
      <c r="F9146" s="571"/>
      <c r="G9146" s="571"/>
      <c r="H9146" s="571"/>
      <c r="I9146" s="571"/>
      <c r="J9146" s="571"/>
      <c r="K9146" s="571"/>
      <c r="L9146" s="571"/>
      <c r="M9146" s="571"/>
    </row>
    <row r="9147" ht="15" customHeight="1" spans="3:13">
      <c r="C9147" s="76"/>
      <c r="D9147" s="75" t="s">
        <v>63</v>
      </c>
      <c r="E9147" s="76" t="s">
        <v>64</v>
      </c>
      <c r="F9147" s="76" t="s">
        <v>65</v>
      </c>
      <c r="G9147" s="76" t="s">
        <v>2889</v>
      </c>
      <c r="H9147" s="76"/>
      <c r="I9147" s="77" t="s">
        <v>66</v>
      </c>
      <c r="J9147" s="75" t="s">
        <v>67</v>
      </c>
      <c r="K9147" s="75" t="s">
        <v>2890</v>
      </c>
      <c r="L9147" s="75" t="s">
        <v>68</v>
      </c>
      <c r="M9147" s="75" t="s">
        <v>70</v>
      </c>
    </row>
    <row r="9148" ht="46.25" customHeight="1" spans="3:13">
      <c r="C9148" s="569" t="s">
        <v>2891</v>
      </c>
      <c r="D9148" s="570" t="s">
        <v>5589</v>
      </c>
      <c r="E9148" s="569" t="s">
        <v>139</v>
      </c>
      <c r="F9148" s="569" t="s">
        <v>5590</v>
      </c>
      <c r="G9148" s="569" t="s">
        <v>5464</v>
      </c>
      <c r="H9148" s="569"/>
      <c r="I9148" s="577" t="s">
        <v>2897</v>
      </c>
      <c r="J9148" s="578">
        <v>1</v>
      </c>
      <c r="K9148" s="579"/>
      <c r="L9148" s="579">
        <v>1.88</v>
      </c>
      <c r="M9148" s="579">
        <v>1.88</v>
      </c>
    </row>
    <row r="9149" ht="23.85" customHeight="1" spans="3:13">
      <c r="C9149" s="100" t="s">
        <v>2893</v>
      </c>
      <c r="D9149" s="99" t="s">
        <v>5597</v>
      </c>
      <c r="E9149" s="100" t="s">
        <v>139</v>
      </c>
      <c r="F9149" s="100" t="s">
        <v>5598</v>
      </c>
      <c r="G9149" s="100" t="s">
        <v>3680</v>
      </c>
      <c r="H9149" s="100"/>
      <c r="I9149" s="101" t="s">
        <v>134</v>
      </c>
      <c r="J9149" s="580">
        <v>1.43e-5</v>
      </c>
      <c r="K9149" s="580">
        <v>0</v>
      </c>
      <c r="L9149" s="102">
        <v>131850</v>
      </c>
      <c r="M9149" s="102">
        <v>1.88</v>
      </c>
    </row>
    <row r="9150" ht="25.5" spans="3:13">
      <c r="C9150" s="108"/>
      <c r="D9150" s="108"/>
      <c r="E9150" s="108"/>
      <c r="F9150" s="108"/>
      <c r="G9150" s="108"/>
      <c r="H9150" s="108" t="s">
        <v>2898</v>
      </c>
      <c r="I9150" s="581">
        <v>0</v>
      </c>
      <c r="J9150" s="108" t="s">
        <v>2899</v>
      </c>
      <c r="K9150" s="581">
        <v>0</v>
      </c>
      <c r="L9150" s="108" t="s">
        <v>2900</v>
      </c>
      <c r="M9150" s="581">
        <v>0</v>
      </c>
    </row>
    <row r="9151" ht="26.25" spans="3:13">
      <c r="C9151" s="108"/>
      <c r="D9151" s="108"/>
      <c r="E9151" s="108"/>
      <c r="F9151" s="108"/>
      <c r="G9151" s="108"/>
      <c r="H9151" s="108" t="s">
        <v>2901</v>
      </c>
      <c r="I9151" s="581">
        <v>0.47</v>
      </c>
      <c r="J9151" s="114"/>
      <c r="K9151" s="114" t="s">
        <v>2902</v>
      </c>
      <c r="L9151" s="108"/>
      <c r="M9151" s="581">
        <v>2.35</v>
      </c>
    </row>
    <row r="9152" ht="15" spans="3:13">
      <c r="C9152" s="571"/>
      <c r="D9152" s="571"/>
      <c r="E9152" s="571"/>
      <c r="F9152" s="571"/>
      <c r="G9152" s="571"/>
      <c r="H9152" s="571"/>
      <c r="I9152" s="571"/>
      <c r="J9152" s="571"/>
      <c r="K9152" s="571"/>
      <c r="L9152" s="571"/>
      <c r="M9152" s="571"/>
    </row>
    <row r="9153" ht="15" customHeight="1" spans="3:13">
      <c r="C9153" s="76"/>
      <c r="D9153" s="75" t="s">
        <v>63</v>
      </c>
      <c r="E9153" s="76" t="s">
        <v>64</v>
      </c>
      <c r="F9153" s="76" t="s">
        <v>65</v>
      </c>
      <c r="G9153" s="76" t="s">
        <v>2889</v>
      </c>
      <c r="H9153" s="76"/>
      <c r="I9153" s="77" t="s">
        <v>66</v>
      </c>
      <c r="J9153" s="75" t="s">
        <v>67</v>
      </c>
      <c r="K9153" s="75" t="s">
        <v>2890</v>
      </c>
      <c r="L9153" s="75" t="s">
        <v>68</v>
      </c>
      <c r="M9153" s="75" t="s">
        <v>70</v>
      </c>
    </row>
    <row r="9154" ht="46.25" customHeight="1" spans="3:13">
      <c r="C9154" s="569" t="s">
        <v>2891</v>
      </c>
      <c r="D9154" s="570" t="s">
        <v>5595</v>
      </c>
      <c r="E9154" s="569" t="s">
        <v>139</v>
      </c>
      <c r="F9154" s="569" t="s">
        <v>5596</v>
      </c>
      <c r="G9154" s="569" t="s">
        <v>5464</v>
      </c>
      <c r="H9154" s="569"/>
      <c r="I9154" s="577" t="s">
        <v>2897</v>
      </c>
      <c r="J9154" s="578">
        <v>1</v>
      </c>
      <c r="K9154" s="579"/>
      <c r="L9154" s="579">
        <v>8.79</v>
      </c>
      <c r="M9154" s="579">
        <v>8.79</v>
      </c>
    </row>
    <row r="9155" ht="23.85" customHeight="1" spans="3:13">
      <c r="C9155" s="100" t="s">
        <v>2893</v>
      </c>
      <c r="D9155" s="99" t="s">
        <v>5597</v>
      </c>
      <c r="E9155" s="100" t="s">
        <v>139</v>
      </c>
      <c r="F9155" s="100" t="s">
        <v>5598</v>
      </c>
      <c r="G9155" s="100" t="s">
        <v>3680</v>
      </c>
      <c r="H9155" s="100"/>
      <c r="I9155" s="101" t="s">
        <v>134</v>
      </c>
      <c r="J9155" s="580">
        <v>6.67e-5</v>
      </c>
      <c r="K9155" s="580">
        <v>0</v>
      </c>
      <c r="L9155" s="102">
        <v>131850</v>
      </c>
      <c r="M9155" s="102">
        <v>8.79</v>
      </c>
    </row>
    <row r="9156" ht="25.5" spans="3:13">
      <c r="C9156" s="108"/>
      <c r="D9156" s="108"/>
      <c r="E9156" s="108"/>
      <c r="F9156" s="108"/>
      <c r="G9156" s="108"/>
      <c r="H9156" s="108" t="s">
        <v>2898</v>
      </c>
      <c r="I9156" s="581">
        <v>0</v>
      </c>
      <c r="J9156" s="108" t="s">
        <v>2899</v>
      </c>
      <c r="K9156" s="581">
        <v>0</v>
      </c>
      <c r="L9156" s="108" t="s">
        <v>2900</v>
      </c>
      <c r="M9156" s="581">
        <v>0</v>
      </c>
    </row>
    <row r="9157" ht="26.25" spans="3:13">
      <c r="C9157" s="108"/>
      <c r="D9157" s="108"/>
      <c r="E9157" s="108"/>
      <c r="F9157" s="108"/>
      <c r="G9157" s="108"/>
      <c r="H9157" s="108" t="s">
        <v>2901</v>
      </c>
      <c r="I9157" s="581">
        <v>2.24</v>
      </c>
      <c r="J9157" s="114"/>
      <c r="K9157" s="114" t="s">
        <v>2902</v>
      </c>
      <c r="L9157" s="108"/>
      <c r="M9157" s="581">
        <v>11.03</v>
      </c>
    </row>
    <row r="9158" ht="15" spans="3:13">
      <c r="C9158" s="571"/>
      <c r="D9158" s="571"/>
      <c r="E9158" s="571"/>
      <c r="F9158" s="571"/>
      <c r="G9158" s="571"/>
      <c r="H9158" s="571"/>
      <c r="I9158" s="571"/>
      <c r="J9158" s="571"/>
      <c r="K9158" s="571"/>
      <c r="L9158" s="571"/>
      <c r="M9158" s="571"/>
    </row>
    <row r="9159" ht="15" customHeight="1" spans="3:13">
      <c r="C9159" s="76"/>
      <c r="D9159" s="75" t="s">
        <v>63</v>
      </c>
      <c r="E9159" s="76" t="s">
        <v>64</v>
      </c>
      <c r="F9159" s="76" t="s">
        <v>65</v>
      </c>
      <c r="G9159" s="76" t="s">
        <v>2889</v>
      </c>
      <c r="H9159" s="76"/>
      <c r="I9159" s="77" t="s">
        <v>66</v>
      </c>
      <c r="J9159" s="75" t="s">
        <v>67</v>
      </c>
      <c r="K9159" s="75" t="s">
        <v>2890</v>
      </c>
      <c r="L9159" s="75" t="s">
        <v>68</v>
      </c>
      <c r="M9159" s="75" t="s">
        <v>70</v>
      </c>
    </row>
    <row r="9160" ht="46.25" customHeight="1" spans="3:13">
      <c r="C9160" s="569" t="s">
        <v>2891</v>
      </c>
      <c r="D9160" s="570" t="s">
        <v>5593</v>
      </c>
      <c r="E9160" s="569" t="s">
        <v>139</v>
      </c>
      <c r="F9160" s="569" t="s">
        <v>5594</v>
      </c>
      <c r="G9160" s="569" t="s">
        <v>5464</v>
      </c>
      <c r="H9160" s="569"/>
      <c r="I9160" s="577" t="s">
        <v>2897</v>
      </c>
      <c r="J9160" s="578">
        <v>1</v>
      </c>
      <c r="K9160" s="579"/>
      <c r="L9160" s="579">
        <v>15</v>
      </c>
      <c r="M9160" s="579">
        <v>15</v>
      </c>
    </row>
    <row r="9161" ht="15" customHeight="1" spans="3:13">
      <c r="C9161" s="100" t="s">
        <v>2893</v>
      </c>
      <c r="D9161" s="99" t="s">
        <v>5547</v>
      </c>
      <c r="E9161" s="100" t="s">
        <v>139</v>
      </c>
      <c r="F9161" s="100" t="s">
        <v>5548</v>
      </c>
      <c r="G9161" s="100" t="s">
        <v>2961</v>
      </c>
      <c r="H9161" s="100"/>
      <c r="I9161" s="101" t="s">
        <v>3084</v>
      </c>
      <c r="J9161" s="580">
        <v>2.5</v>
      </c>
      <c r="K9161" s="580">
        <v>0</v>
      </c>
      <c r="L9161" s="102">
        <v>6</v>
      </c>
      <c r="M9161" s="102">
        <v>15</v>
      </c>
    </row>
    <row r="9162" ht="25.5" spans="3:13">
      <c r="C9162" s="108"/>
      <c r="D9162" s="108"/>
      <c r="E9162" s="108"/>
      <c r="F9162" s="108"/>
      <c r="G9162" s="108"/>
      <c r="H9162" s="108" t="s">
        <v>2898</v>
      </c>
      <c r="I9162" s="581">
        <v>0</v>
      </c>
      <c r="J9162" s="108" t="s">
        <v>2899</v>
      </c>
      <c r="K9162" s="581">
        <v>0</v>
      </c>
      <c r="L9162" s="108" t="s">
        <v>2900</v>
      </c>
      <c r="M9162" s="581">
        <v>0</v>
      </c>
    </row>
    <row r="9163" ht="26.25" spans="3:13">
      <c r="C9163" s="108"/>
      <c r="D9163" s="108"/>
      <c r="E9163" s="108"/>
      <c r="F9163" s="108"/>
      <c r="G9163" s="108"/>
      <c r="H9163" s="108" t="s">
        <v>2901</v>
      </c>
      <c r="I9163" s="581">
        <v>3.82</v>
      </c>
      <c r="J9163" s="114"/>
      <c r="K9163" s="114" t="s">
        <v>2902</v>
      </c>
      <c r="L9163" s="108"/>
      <c r="M9163" s="581">
        <v>18.82</v>
      </c>
    </row>
    <row r="9164" ht="15" spans="3:13">
      <c r="C9164" s="571"/>
      <c r="D9164" s="571"/>
      <c r="E9164" s="571"/>
      <c r="F9164" s="571"/>
      <c r="G9164" s="571"/>
      <c r="H9164" s="571"/>
      <c r="I9164" s="571"/>
      <c r="J9164" s="571"/>
      <c r="K9164" s="571"/>
      <c r="L9164" s="571"/>
      <c r="M9164" s="571"/>
    </row>
    <row r="9165" ht="15" customHeight="1" spans="3:13">
      <c r="C9165" s="76"/>
      <c r="D9165" s="75" t="s">
        <v>63</v>
      </c>
      <c r="E9165" s="76" t="s">
        <v>64</v>
      </c>
      <c r="F9165" s="76" t="s">
        <v>65</v>
      </c>
      <c r="G9165" s="76" t="s">
        <v>2889</v>
      </c>
      <c r="H9165" s="76"/>
      <c r="I9165" s="77" t="s">
        <v>66</v>
      </c>
      <c r="J9165" s="75" t="s">
        <v>67</v>
      </c>
      <c r="K9165" s="75" t="s">
        <v>2890</v>
      </c>
      <c r="L9165" s="75" t="s">
        <v>68</v>
      </c>
      <c r="M9165" s="75" t="s">
        <v>70</v>
      </c>
    </row>
    <row r="9166" ht="51" spans="3:13">
      <c r="C9166" s="569" t="s">
        <v>2891</v>
      </c>
      <c r="D9166" s="570" t="s">
        <v>3883</v>
      </c>
      <c r="E9166" s="569" t="s">
        <v>77</v>
      </c>
      <c r="F9166" s="569" t="s">
        <v>3884</v>
      </c>
      <c r="G9166" s="569">
        <v>11</v>
      </c>
      <c r="H9166" s="569"/>
      <c r="I9166" s="577" t="s">
        <v>279</v>
      </c>
      <c r="J9166" s="578">
        <v>1</v>
      </c>
      <c r="K9166" s="579"/>
      <c r="L9166" s="579">
        <v>359.88</v>
      </c>
      <c r="M9166" s="579">
        <v>359.88</v>
      </c>
    </row>
    <row r="9167" ht="23.85" customHeight="1" spans="3:13">
      <c r="C9167" s="100" t="s">
        <v>2893</v>
      </c>
      <c r="D9167" s="99" t="s">
        <v>5599</v>
      </c>
      <c r="E9167" s="100" t="s">
        <v>77</v>
      </c>
      <c r="F9167" s="100" t="s">
        <v>5600</v>
      </c>
      <c r="G9167" s="100" t="s">
        <v>2961</v>
      </c>
      <c r="H9167" s="100"/>
      <c r="I9167" s="101" t="s">
        <v>5601</v>
      </c>
      <c r="J9167" s="580">
        <v>1.1426</v>
      </c>
      <c r="K9167" s="580">
        <v>5</v>
      </c>
      <c r="L9167" s="102">
        <v>96</v>
      </c>
      <c r="M9167" s="102">
        <v>115.17</v>
      </c>
    </row>
    <row r="9168" ht="23.85" customHeight="1" spans="3:13">
      <c r="C9168" s="100" t="s">
        <v>2893</v>
      </c>
      <c r="D9168" s="99" t="s">
        <v>5096</v>
      </c>
      <c r="E9168" s="100" t="s">
        <v>77</v>
      </c>
      <c r="F9168" s="100" t="s">
        <v>5097</v>
      </c>
      <c r="G9168" s="100" t="s">
        <v>2961</v>
      </c>
      <c r="H9168" s="100"/>
      <c r="I9168" s="101" t="s">
        <v>279</v>
      </c>
      <c r="J9168" s="580">
        <v>0.69</v>
      </c>
      <c r="K9168" s="580">
        <v>5</v>
      </c>
      <c r="L9168" s="102">
        <v>113.75</v>
      </c>
      <c r="M9168" s="102">
        <v>82.41</v>
      </c>
    </row>
    <row r="9169" ht="23.85" customHeight="1" spans="3:13">
      <c r="C9169" s="100" t="s">
        <v>2893</v>
      </c>
      <c r="D9169" s="99" t="s">
        <v>5094</v>
      </c>
      <c r="E9169" s="100" t="s">
        <v>77</v>
      </c>
      <c r="F9169" s="100" t="s">
        <v>5095</v>
      </c>
      <c r="G9169" s="100" t="s">
        <v>2961</v>
      </c>
      <c r="H9169" s="100"/>
      <c r="I9169" s="101" t="s">
        <v>393</v>
      </c>
      <c r="J9169" s="580">
        <v>262</v>
      </c>
      <c r="K9169" s="580">
        <v>5</v>
      </c>
      <c r="L9169" s="102">
        <v>0.59</v>
      </c>
      <c r="M9169" s="102">
        <v>162.3</v>
      </c>
    </row>
    <row r="9170" ht="25.5" spans="3:13">
      <c r="C9170" s="108"/>
      <c r="D9170" s="108"/>
      <c r="E9170" s="108"/>
      <c r="F9170" s="108"/>
      <c r="G9170" s="108"/>
      <c r="H9170" s="108" t="s">
        <v>2898</v>
      </c>
      <c r="I9170" s="581">
        <v>0</v>
      </c>
      <c r="J9170" s="108" t="s">
        <v>2899</v>
      </c>
      <c r="K9170" s="581">
        <v>0</v>
      </c>
      <c r="L9170" s="108" t="s">
        <v>2900</v>
      </c>
      <c r="M9170" s="581">
        <v>0</v>
      </c>
    </row>
    <row r="9171" ht="26.25" spans="3:13">
      <c r="C9171" s="108"/>
      <c r="D9171" s="108"/>
      <c r="E9171" s="108"/>
      <c r="F9171" s="108"/>
      <c r="G9171" s="108"/>
      <c r="H9171" s="108" t="s">
        <v>2901</v>
      </c>
      <c r="I9171" s="581">
        <v>91.73</v>
      </c>
      <c r="J9171" s="114"/>
      <c r="K9171" s="114" t="s">
        <v>2902</v>
      </c>
      <c r="L9171" s="108"/>
      <c r="M9171" s="581">
        <v>451.61</v>
      </c>
    </row>
    <row r="9172" ht="15" spans="3:13">
      <c r="C9172" s="571"/>
      <c r="D9172" s="571"/>
      <c r="E9172" s="571"/>
      <c r="F9172" s="571"/>
      <c r="G9172" s="571"/>
      <c r="H9172" s="571"/>
      <c r="I9172" s="571"/>
      <c r="J9172" s="571"/>
      <c r="K9172" s="571"/>
      <c r="L9172" s="571"/>
      <c r="M9172" s="571"/>
    </row>
    <row r="9173" ht="15" customHeight="1" spans="3:13">
      <c r="C9173" s="76"/>
      <c r="D9173" s="75" t="s">
        <v>63</v>
      </c>
      <c r="E9173" s="76" t="s">
        <v>64</v>
      </c>
      <c r="F9173" s="76" t="s">
        <v>65</v>
      </c>
      <c r="G9173" s="76" t="s">
        <v>2889</v>
      </c>
      <c r="H9173" s="76"/>
      <c r="I9173" s="77" t="s">
        <v>66</v>
      </c>
      <c r="J9173" s="75" t="s">
        <v>67</v>
      </c>
      <c r="K9173" s="75" t="s">
        <v>2890</v>
      </c>
      <c r="L9173" s="75" t="s">
        <v>68</v>
      </c>
      <c r="M9173" s="75" t="s">
        <v>70</v>
      </c>
    </row>
    <row r="9174" ht="35.05" customHeight="1" spans="3:13">
      <c r="C9174" s="569" t="s">
        <v>2891</v>
      </c>
      <c r="D9174" s="570" t="s">
        <v>5268</v>
      </c>
      <c r="E9174" s="569" t="s">
        <v>139</v>
      </c>
      <c r="F9174" s="569" t="s">
        <v>5269</v>
      </c>
      <c r="G9174" s="569" t="s">
        <v>2999</v>
      </c>
      <c r="H9174" s="569"/>
      <c r="I9174" s="577" t="s">
        <v>279</v>
      </c>
      <c r="J9174" s="578">
        <v>1</v>
      </c>
      <c r="K9174" s="579"/>
      <c r="L9174" s="579">
        <v>649.73</v>
      </c>
      <c r="M9174" s="579">
        <v>649.73</v>
      </c>
    </row>
    <row r="9175" ht="23.85" customHeight="1" spans="3:13">
      <c r="C9175" s="79" t="s">
        <v>2921</v>
      </c>
      <c r="D9175" s="78" t="s">
        <v>2952</v>
      </c>
      <c r="E9175" s="79" t="s">
        <v>139</v>
      </c>
      <c r="F9175" s="79" t="s">
        <v>2953</v>
      </c>
      <c r="G9175" s="79" t="s">
        <v>2928</v>
      </c>
      <c r="H9175" s="79"/>
      <c r="I9175" s="80" t="s">
        <v>2897</v>
      </c>
      <c r="J9175" s="583">
        <v>6.2383</v>
      </c>
      <c r="K9175" s="583">
        <v>0</v>
      </c>
      <c r="L9175" s="92">
        <v>29.15</v>
      </c>
      <c r="M9175" s="92">
        <v>181.84</v>
      </c>
    </row>
    <row r="9176" ht="15" customHeight="1" spans="3:13">
      <c r="C9176" s="100" t="s">
        <v>2893</v>
      </c>
      <c r="D9176" s="99" t="s">
        <v>3021</v>
      </c>
      <c r="E9176" s="100" t="s">
        <v>139</v>
      </c>
      <c r="F9176" s="100" t="s">
        <v>3022</v>
      </c>
      <c r="G9176" s="100" t="s">
        <v>2961</v>
      </c>
      <c r="H9176" s="100"/>
      <c r="I9176" s="101" t="s">
        <v>393</v>
      </c>
      <c r="J9176" s="580">
        <v>283.3092</v>
      </c>
      <c r="K9176" s="580">
        <v>0</v>
      </c>
      <c r="L9176" s="102">
        <v>0.64</v>
      </c>
      <c r="M9176" s="102">
        <v>181.31</v>
      </c>
    </row>
    <row r="9177" ht="23.85" customHeight="1" spans="3:13">
      <c r="C9177" s="100" t="s">
        <v>2893</v>
      </c>
      <c r="D9177" s="99" t="s">
        <v>5148</v>
      </c>
      <c r="E9177" s="100" t="s">
        <v>139</v>
      </c>
      <c r="F9177" s="100" t="s">
        <v>5149</v>
      </c>
      <c r="G9177" s="100" t="s">
        <v>2961</v>
      </c>
      <c r="H9177" s="100"/>
      <c r="I9177" s="101" t="s">
        <v>279</v>
      </c>
      <c r="J9177" s="580">
        <v>0.8348</v>
      </c>
      <c r="K9177" s="580">
        <v>0</v>
      </c>
      <c r="L9177" s="102">
        <v>90</v>
      </c>
      <c r="M9177" s="102">
        <v>75.13</v>
      </c>
    </row>
    <row r="9178" ht="23.85" customHeight="1" spans="3:13">
      <c r="C9178" s="100" t="s">
        <v>2893</v>
      </c>
      <c r="D9178" s="99" t="s">
        <v>5602</v>
      </c>
      <c r="E9178" s="100" t="s">
        <v>139</v>
      </c>
      <c r="F9178" s="100" t="s">
        <v>5603</v>
      </c>
      <c r="G9178" s="100" t="s">
        <v>2961</v>
      </c>
      <c r="H9178" s="100"/>
      <c r="I9178" s="101" t="s">
        <v>279</v>
      </c>
      <c r="J9178" s="580">
        <v>0.5946</v>
      </c>
      <c r="K9178" s="580">
        <v>0</v>
      </c>
      <c r="L9178" s="102">
        <v>355.62</v>
      </c>
      <c r="M9178" s="102">
        <v>211.45</v>
      </c>
    </row>
    <row r="9179" ht="25.5" spans="3:13">
      <c r="C9179" s="108"/>
      <c r="D9179" s="108"/>
      <c r="E9179" s="108"/>
      <c r="F9179" s="108"/>
      <c r="G9179" s="108"/>
      <c r="H9179" s="108" t="s">
        <v>2898</v>
      </c>
      <c r="I9179" s="581">
        <v>119.9</v>
      </c>
      <c r="J9179" s="108" t="s">
        <v>2899</v>
      </c>
      <c r="K9179" s="581">
        <v>0</v>
      </c>
      <c r="L9179" s="108" t="s">
        <v>2900</v>
      </c>
      <c r="M9179" s="581">
        <v>119.9</v>
      </c>
    </row>
    <row r="9180" ht="26.25" spans="3:13">
      <c r="C9180" s="108"/>
      <c r="D9180" s="108"/>
      <c r="E9180" s="108"/>
      <c r="F9180" s="108"/>
      <c r="G9180" s="108"/>
      <c r="H9180" s="108" t="s">
        <v>2901</v>
      </c>
      <c r="I9180" s="581">
        <v>165.61</v>
      </c>
      <c r="J9180" s="114"/>
      <c r="K9180" s="114" t="s">
        <v>2902</v>
      </c>
      <c r="L9180" s="108"/>
      <c r="M9180" s="581">
        <v>815.34</v>
      </c>
    </row>
    <row r="9181" ht="15" spans="3:13">
      <c r="C9181" s="571"/>
      <c r="D9181" s="571"/>
      <c r="E9181" s="571"/>
      <c r="F9181" s="571"/>
      <c r="G9181" s="571"/>
      <c r="H9181" s="571"/>
      <c r="I9181" s="571"/>
      <c r="J9181" s="571"/>
      <c r="K9181" s="571"/>
      <c r="L9181" s="571"/>
      <c r="M9181" s="571"/>
    </row>
    <row r="9182" ht="15" customHeight="1" spans="3:13">
      <c r="C9182" s="76"/>
      <c r="D9182" s="75" t="s">
        <v>63</v>
      </c>
      <c r="E9182" s="76" t="s">
        <v>64</v>
      </c>
      <c r="F9182" s="76" t="s">
        <v>65</v>
      </c>
      <c r="G9182" s="76" t="s">
        <v>2889</v>
      </c>
      <c r="H9182" s="76"/>
      <c r="I9182" s="77" t="s">
        <v>66</v>
      </c>
      <c r="J9182" s="75" t="s">
        <v>67</v>
      </c>
      <c r="K9182" s="75" t="s">
        <v>2890</v>
      </c>
      <c r="L9182" s="75" t="s">
        <v>68</v>
      </c>
      <c r="M9182" s="75" t="s">
        <v>70</v>
      </c>
    </row>
    <row r="9183" ht="35.05" customHeight="1" spans="3:13">
      <c r="C9183" s="569" t="s">
        <v>2891</v>
      </c>
      <c r="D9183" s="570" t="s">
        <v>3897</v>
      </c>
      <c r="E9183" s="569" t="s">
        <v>139</v>
      </c>
      <c r="F9183" s="569" t="s">
        <v>3898</v>
      </c>
      <c r="G9183" s="569" t="s">
        <v>2999</v>
      </c>
      <c r="H9183" s="569"/>
      <c r="I9183" s="577" t="s">
        <v>279</v>
      </c>
      <c r="J9183" s="578">
        <v>1</v>
      </c>
      <c r="K9183" s="579"/>
      <c r="L9183" s="579">
        <v>445.88</v>
      </c>
      <c r="M9183" s="579">
        <v>445.88</v>
      </c>
    </row>
    <row r="9184" ht="35.05" customHeight="1" spans="3:13">
      <c r="C9184" s="79" t="s">
        <v>2921</v>
      </c>
      <c r="D9184" s="78" t="s">
        <v>5067</v>
      </c>
      <c r="E9184" s="79" t="s">
        <v>139</v>
      </c>
      <c r="F9184" s="79" t="s">
        <v>5068</v>
      </c>
      <c r="G9184" s="79" t="s">
        <v>2995</v>
      </c>
      <c r="H9184" s="79"/>
      <c r="I9184" s="80" t="s">
        <v>2996</v>
      </c>
      <c r="J9184" s="583">
        <v>0.6197</v>
      </c>
      <c r="K9184" s="583">
        <v>0</v>
      </c>
      <c r="L9184" s="92">
        <v>1.77</v>
      </c>
      <c r="M9184" s="92">
        <v>1.09</v>
      </c>
    </row>
    <row r="9185" ht="23.85" customHeight="1" spans="3:13">
      <c r="C9185" s="79" t="s">
        <v>2921</v>
      </c>
      <c r="D9185" s="78" t="s">
        <v>5366</v>
      </c>
      <c r="E9185" s="79" t="s">
        <v>139</v>
      </c>
      <c r="F9185" s="79" t="s">
        <v>5367</v>
      </c>
      <c r="G9185" s="79" t="s">
        <v>2928</v>
      </c>
      <c r="H9185" s="79"/>
      <c r="I9185" s="80" t="s">
        <v>2897</v>
      </c>
      <c r="J9185" s="583">
        <v>1.2768</v>
      </c>
      <c r="K9185" s="583">
        <v>0</v>
      </c>
      <c r="L9185" s="92">
        <v>32.2</v>
      </c>
      <c r="M9185" s="92">
        <v>41.11</v>
      </c>
    </row>
    <row r="9186" ht="23.85" customHeight="1" spans="3:13">
      <c r="C9186" s="79" t="s">
        <v>2921</v>
      </c>
      <c r="D9186" s="78" t="s">
        <v>2952</v>
      </c>
      <c r="E9186" s="79" t="s">
        <v>139</v>
      </c>
      <c r="F9186" s="79" t="s">
        <v>2953</v>
      </c>
      <c r="G9186" s="79" t="s">
        <v>2928</v>
      </c>
      <c r="H9186" s="79"/>
      <c r="I9186" s="80" t="s">
        <v>2897</v>
      </c>
      <c r="J9186" s="583">
        <v>2.0267</v>
      </c>
      <c r="K9186" s="583">
        <v>0</v>
      </c>
      <c r="L9186" s="92">
        <v>29.15</v>
      </c>
      <c r="M9186" s="92">
        <v>59.07</v>
      </c>
    </row>
    <row r="9187" ht="35.05" customHeight="1" spans="3:13">
      <c r="C9187" s="79" t="s">
        <v>2921</v>
      </c>
      <c r="D9187" s="78" t="s">
        <v>5069</v>
      </c>
      <c r="E9187" s="79" t="s">
        <v>139</v>
      </c>
      <c r="F9187" s="79" t="s">
        <v>5070</v>
      </c>
      <c r="G9187" s="79" t="s">
        <v>2995</v>
      </c>
      <c r="H9187" s="79"/>
      <c r="I9187" s="80" t="s">
        <v>3002</v>
      </c>
      <c r="J9187" s="583">
        <v>0.6572</v>
      </c>
      <c r="K9187" s="583">
        <v>0</v>
      </c>
      <c r="L9187" s="92">
        <v>6.22</v>
      </c>
      <c r="M9187" s="92">
        <v>4.08</v>
      </c>
    </row>
    <row r="9188" ht="23.85" customHeight="1" spans="3:13">
      <c r="C9188" s="100" t="s">
        <v>2893</v>
      </c>
      <c r="D9188" s="99" t="s">
        <v>5270</v>
      </c>
      <c r="E9188" s="100" t="s">
        <v>139</v>
      </c>
      <c r="F9188" s="100" t="s">
        <v>5271</v>
      </c>
      <c r="G9188" s="100" t="s">
        <v>2961</v>
      </c>
      <c r="H9188" s="100"/>
      <c r="I9188" s="101" t="s">
        <v>279</v>
      </c>
      <c r="J9188" s="580">
        <v>0.5912</v>
      </c>
      <c r="K9188" s="580">
        <v>0</v>
      </c>
      <c r="L9188" s="102">
        <v>108.18</v>
      </c>
      <c r="M9188" s="102">
        <v>63.95</v>
      </c>
    </row>
    <row r="9189" ht="23.85" customHeight="1" spans="3:13">
      <c r="C9189" s="100" t="s">
        <v>2893</v>
      </c>
      <c r="D9189" s="99" t="s">
        <v>5148</v>
      </c>
      <c r="E9189" s="100" t="s">
        <v>139</v>
      </c>
      <c r="F9189" s="100" t="s">
        <v>5149</v>
      </c>
      <c r="G9189" s="100" t="s">
        <v>2961</v>
      </c>
      <c r="H9189" s="100"/>
      <c r="I9189" s="101" t="s">
        <v>279</v>
      </c>
      <c r="J9189" s="580">
        <v>0.7609</v>
      </c>
      <c r="K9189" s="580">
        <v>0</v>
      </c>
      <c r="L9189" s="102">
        <v>90</v>
      </c>
      <c r="M9189" s="102">
        <v>68.48</v>
      </c>
    </row>
    <row r="9190" ht="15" customHeight="1" spans="3:13">
      <c r="C9190" s="100" t="s">
        <v>2893</v>
      </c>
      <c r="D9190" s="99" t="s">
        <v>3021</v>
      </c>
      <c r="E9190" s="100" t="s">
        <v>139</v>
      </c>
      <c r="F9190" s="100" t="s">
        <v>3022</v>
      </c>
      <c r="G9190" s="100" t="s">
        <v>2961</v>
      </c>
      <c r="H9190" s="100"/>
      <c r="I9190" s="101" t="s">
        <v>393</v>
      </c>
      <c r="J9190" s="580">
        <v>325.1589</v>
      </c>
      <c r="K9190" s="580">
        <v>0</v>
      </c>
      <c r="L9190" s="102">
        <v>0.64</v>
      </c>
      <c r="M9190" s="102">
        <v>208.1</v>
      </c>
    </row>
    <row r="9191" ht="25.5" spans="3:13">
      <c r="C9191" s="108"/>
      <c r="D9191" s="108"/>
      <c r="E9191" s="108"/>
      <c r="F9191" s="108"/>
      <c r="G9191" s="108"/>
      <c r="H9191" s="108" t="s">
        <v>2898</v>
      </c>
      <c r="I9191" s="581">
        <v>68.78</v>
      </c>
      <c r="J9191" s="108" t="s">
        <v>2899</v>
      </c>
      <c r="K9191" s="581">
        <v>0</v>
      </c>
      <c r="L9191" s="108" t="s">
        <v>2900</v>
      </c>
      <c r="M9191" s="581">
        <v>68.78</v>
      </c>
    </row>
    <row r="9192" ht="26.25" spans="3:13">
      <c r="C9192" s="108"/>
      <c r="D9192" s="108"/>
      <c r="E9192" s="108"/>
      <c r="F9192" s="108"/>
      <c r="G9192" s="108"/>
      <c r="H9192" s="108" t="s">
        <v>2901</v>
      </c>
      <c r="I9192" s="581">
        <v>113.65</v>
      </c>
      <c r="J9192" s="114"/>
      <c r="K9192" s="114" t="s">
        <v>2902</v>
      </c>
      <c r="L9192" s="108"/>
      <c r="M9192" s="581">
        <v>559.53</v>
      </c>
    </row>
    <row r="9193" ht="15" spans="3:13">
      <c r="C9193" s="571"/>
      <c r="D9193" s="571"/>
      <c r="E9193" s="571"/>
      <c r="F9193" s="571"/>
      <c r="G9193" s="571"/>
      <c r="H9193" s="571"/>
      <c r="I9193" s="571"/>
      <c r="J9193" s="571"/>
      <c r="K9193" s="571"/>
      <c r="L9193" s="571"/>
      <c r="M9193" s="571"/>
    </row>
    <row r="9194" ht="15" customHeight="1" spans="3:13">
      <c r="C9194" s="76"/>
      <c r="D9194" s="75" t="s">
        <v>63</v>
      </c>
      <c r="E9194" s="76" t="s">
        <v>64</v>
      </c>
      <c r="F9194" s="76" t="s">
        <v>65</v>
      </c>
      <c r="G9194" s="76" t="s">
        <v>2889</v>
      </c>
      <c r="H9194" s="76"/>
      <c r="I9194" s="77" t="s">
        <v>66</v>
      </c>
      <c r="J9194" s="75" t="s">
        <v>67</v>
      </c>
      <c r="K9194" s="75" t="s">
        <v>2890</v>
      </c>
      <c r="L9194" s="75" t="s">
        <v>68</v>
      </c>
      <c r="M9194" s="75" t="s">
        <v>70</v>
      </c>
    </row>
    <row r="9195" ht="35.05" customHeight="1" spans="3:13">
      <c r="C9195" s="569" t="s">
        <v>2891</v>
      </c>
      <c r="D9195" s="570" t="s">
        <v>5604</v>
      </c>
      <c r="E9195" s="569" t="s">
        <v>139</v>
      </c>
      <c r="F9195" s="569" t="s">
        <v>5605</v>
      </c>
      <c r="G9195" s="569" t="s">
        <v>2999</v>
      </c>
      <c r="H9195" s="569"/>
      <c r="I9195" s="577" t="s">
        <v>279</v>
      </c>
      <c r="J9195" s="578">
        <v>1</v>
      </c>
      <c r="K9195" s="579"/>
      <c r="L9195" s="579">
        <v>466.64</v>
      </c>
      <c r="M9195" s="579">
        <v>466.64</v>
      </c>
    </row>
    <row r="9196" ht="35.05" customHeight="1" spans="3:13">
      <c r="C9196" s="79" t="s">
        <v>2921</v>
      </c>
      <c r="D9196" s="78" t="s">
        <v>5069</v>
      </c>
      <c r="E9196" s="79" t="s">
        <v>139</v>
      </c>
      <c r="F9196" s="79" t="s">
        <v>5070</v>
      </c>
      <c r="G9196" s="79" t="s">
        <v>2995</v>
      </c>
      <c r="H9196" s="79"/>
      <c r="I9196" s="80" t="s">
        <v>3002</v>
      </c>
      <c r="J9196" s="583">
        <v>0.6434</v>
      </c>
      <c r="K9196" s="583">
        <v>0</v>
      </c>
      <c r="L9196" s="92">
        <v>6.22</v>
      </c>
      <c r="M9196" s="92">
        <v>4</v>
      </c>
    </row>
    <row r="9197" ht="23.85" customHeight="1" spans="3:13">
      <c r="C9197" s="79" t="s">
        <v>2921</v>
      </c>
      <c r="D9197" s="78" t="s">
        <v>2952</v>
      </c>
      <c r="E9197" s="79" t="s">
        <v>139</v>
      </c>
      <c r="F9197" s="79" t="s">
        <v>2953</v>
      </c>
      <c r="G9197" s="79" t="s">
        <v>2928</v>
      </c>
      <c r="H9197" s="79"/>
      <c r="I9197" s="80" t="s">
        <v>2897</v>
      </c>
      <c r="J9197" s="583">
        <v>1.9792</v>
      </c>
      <c r="K9197" s="583">
        <v>0</v>
      </c>
      <c r="L9197" s="92">
        <v>29.15</v>
      </c>
      <c r="M9197" s="92">
        <v>57.69</v>
      </c>
    </row>
    <row r="9198" ht="35.05" customHeight="1" spans="3:13">
      <c r="C9198" s="79" t="s">
        <v>2921</v>
      </c>
      <c r="D9198" s="78" t="s">
        <v>5067</v>
      </c>
      <c r="E9198" s="79" t="s">
        <v>139</v>
      </c>
      <c r="F9198" s="79" t="s">
        <v>5068</v>
      </c>
      <c r="G9198" s="79" t="s">
        <v>2995</v>
      </c>
      <c r="H9198" s="79"/>
      <c r="I9198" s="80" t="s">
        <v>2996</v>
      </c>
      <c r="J9198" s="583">
        <v>0.6067</v>
      </c>
      <c r="K9198" s="583">
        <v>0</v>
      </c>
      <c r="L9198" s="92">
        <v>1.77</v>
      </c>
      <c r="M9198" s="92">
        <v>1.07</v>
      </c>
    </row>
    <row r="9199" ht="23.85" customHeight="1" spans="3:13">
      <c r="C9199" s="79" t="s">
        <v>2921</v>
      </c>
      <c r="D9199" s="78" t="s">
        <v>5366</v>
      </c>
      <c r="E9199" s="79" t="s">
        <v>139</v>
      </c>
      <c r="F9199" s="79" t="s">
        <v>5367</v>
      </c>
      <c r="G9199" s="79" t="s">
        <v>2928</v>
      </c>
      <c r="H9199" s="79"/>
      <c r="I9199" s="80" t="s">
        <v>2897</v>
      </c>
      <c r="J9199" s="583">
        <v>1.2501</v>
      </c>
      <c r="K9199" s="583">
        <v>0</v>
      </c>
      <c r="L9199" s="92">
        <v>32.2</v>
      </c>
      <c r="M9199" s="92">
        <v>40.25</v>
      </c>
    </row>
    <row r="9200" ht="15" customHeight="1" spans="3:13">
      <c r="C9200" s="100" t="s">
        <v>2893</v>
      </c>
      <c r="D9200" s="99" t="s">
        <v>3021</v>
      </c>
      <c r="E9200" s="100" t="s">
        <v>139</v>
      </c>
      <c r="F9200" s="100" t="s">
        <v>3022</v>
      </c>
      <c r="G9200" s="100" t="s">
        <v>2961</v>
      </c>
      <c r="H9200" s="100"/>
      <c r="I9200" s="101" t="s">
        <v>393</v>
      </c>
      <c r="J9200" s="580">
        <v>364.9433</v>
      </c>
      <c r="K9200" s="580">
        <v>0</v>
      </c>
      <c r="L9200" s="102">
        <v>0.64</v>
      </c>
      <c r="M9200" s="102">
        <v>233.56</v>
      </c>
    </row>
    <row r="9201" ht="23.85" customHeight="1" spans="3:13">
      <c r="C9201" s="100" t="s">
        <v>2893</v>
      </c>
      <c r="D9201" s="99" t="s">
        <v>5148</v>
      </c>
      <c r="E9201" s="100" t="s">
        <v>139</v>
      </c>
      <c r="F9201" s="100" t="s">
        <v>5149</v>
      </c>
      <c r="G9201" s="100" t="s">
        <v>2961</v>
      </c>
      <c r="H9201" s="100"/>
      <c r="I9201" s="101" t="s">
        <v>279</v>
      </c>
      <c r="J9201" s="580">
        <v>0.7275</v>
      </c>
      <c r="K9201" s="580">
        <v>0</v>
      </c>
      <c r="L9201" s="102">
        <v>90</v>
      </c>
      <c r="M9201" s="102">
        <v>65.47</v>
      </c>
    </row>
    <row r="9202" ht="23.85" customHeight="1" spans="3:13">
      <c r="C9202" s="100" t="s">
        <v>2893</v>
      </c>
      <c r="D9202" s="99" t="s">
        <v>5270</v>
      </c>
      <c r="E9202" s="100" t="s">
        <v>139</v>
      </c>
      <c r="F9202" s="100" t="s">
        <v>5271</v>
      </c>
      <c r="G9202" s="100" t="s">
        <v>2961</v>
      </c>
      <c r="H9202" s="100"/>
      <c r="I9202" s="101" t="s">
        <v>279</v>
      </c>
      <c r="J9202" s="580">
        <v>0.5972</v>
      </c>
      <c r="K9202" s="580">
        <v>0</v>
      </c>
      <c r="L9202" s="102">
        <v>108.18</v>
      </c>
      <c r="M9202" s="102">
        <v>64.6</v>
      </c>
    </row>
    <row r="9203" ht="25.5" spans="3:13">
      <c r="C9203" s="108"/>
      <c r="D9203" s="108"/>
      <c r="E9203" s="108"/>
      <c r="F9203" s="108"/>
      <c r="G9203" s="108"/>
      <c r="H9203" s="108" t="s">
        <v>2898</v>
      </c>
      <c r="I9203" s="581">
        <v>67.25</v>
      </c>
      <c r="J9203" s="108" t="s">
        <v>2899</v>
      </c>
      <c r="K9203" s="581">
        <v>0</v>
      </c>
      <c r="L9203" s="108" t="s">
        <v>2900</v>
      </c>
      <c r="M9203" s="581">
        <v>67.25</v>
      </c>
    </row>
    <row r="9204" ht="26.25" spans="3:13">
      <c r="C9204" s="108"/>
      <c r="D9204" s="108"/>
      <c r="E9204" s="108"/>
      <c r="F9204" s="108"/>
      <c r="G9204" s="108"/>
      <c r="H9204" s="108" t="s">
        <v>2901</v>
      </c>
      <c r="I9204" s="581">
        <v>118.94</v>
      </c>
      <c r="J9204" s="114"/>
      <c r="K9204" s="114" t="s">
        <v>2902</v>
      </c>
      <c r="L9204" s="108"/>
      <c r="M9204" s="581">
        <v>585.58</v>
      </c>
    </row>
    <row r="9205" ht="15" spans="3:13">
      <c r="C9205" s="571"/>
      <c r="D9205" s="571"/>
      <c r="E9205" s="571"/>
      <c r="F9205" s="571"/>
      <c r="G9205" s="571"/>
      <c r="H9205" s="571"/>
      <c r="I9205" s="571"/>
      <c r="J9205" s="571"/>
      <c r="K9205" s="571"/>
      <c r="L9205" s="571"/>
      <c r="M9205" s="571"/>
    </row>
    <row r="9206" ht="15" customHeight="1" spans="3:13">
      <c r="C9206" s="76"/>
      <c r="D9206" s="75" t="s">
        <v>63</v>
      </c>
      <c r="E9206" s="76" t="s">
        <v>64</v>
      </c>
      <c r="F9206" s="76" t="s">
        <v>65</v>
      </c>
      <c r="G9206" s="76" t="s">
        <v>2889</v>
      </c>
      <c r="H9206" s="76"/>
      <c r="I9206" s="77" t="s">
        <v>66</v>
      </c>
      <c r="J9206" s="75" t="s">
        <v>67</v>
      </c>
      <c r="K9206" s="75" t="s">
        <v>2890</v>
      </c>
      <c r="L9206" s="75" t="s">
        <v>68</v>
      </c>
      <c r="M9206" s="75" t="s">
        <v>70</v>
      </c>
    </row>
    <row r="9207" ht="35.05" customHeight="1" spans="3:13">
      <c r="C9207" s="569" t="s">
        <v>2891</v>
      </c>
      <c r="D9207" s="570" t="s">
        <v>3344</v>
      </c>
      <c r="E9207" s="569" t="s">
        <v>139</v>
      </c>
      <c r="F9207" s="569" t="s">
        <v>3345</v>
      </c>
      <c r="G9207" s="569" t="s">
        <v>2999</v>
      </c>
      <c r="H9207" s="569"/>
      <c r="I9207" s="577" t="s">
        <v>279</v>
      </c>
      <c r="J9207" s="578">
        <v>1</v>
      </c>
      <c r="K9207" s="579"/>
      <c r="L9207" s="579">
        <v>480.69</v>
      </c>
      <c r="M9207" s="579">
        <v>480.69</v>
      </c>
    </row>
    <row r="9208" ht="35.05" customHeight="1" spans="3:13">
      <c r="C9208" s="79" t="s">
        <v>2921</v>
      </c>
      <c r="D9208" s="78" t="s">
        <v>5067</v>
      </c>
      <c r="E9208" s="79" t="s">
        <v>139</v>
      </c>
      <c r="F9208" s="79" t="s">
        <v>5068</v>
      </c>
      <c r="G9208" s="79" t="s">
        <v>2995</v>
      </c>
      <c r="H9208" s="79"/>
      <c r="I9208" s="80" t="s">
        <v>2996</v>
      </c>
      <c r="J9208" s="583">
        <v>0.6018</v>
      </c>
      <c r="K9208" s="583">
        <v>0</v>
      </c>
      <c r="L9208" s="92">
        <v>1.77</v>
      </c>
      <c r="M9208" s="92">
        <v>1.06</v>
      </c>
    </row>
    <row r="9209" ht="35.05" customHeight="1" spans="3:13">
      <c r="C9209" s="79" t="s">
        <v>2921</v>
      </c>
      <c r="D9209" s="78" t="s">
        <v>5069</v>
      </c>
      <c r="E9209" s="79" t="s">
        <v>139</v>
      </c>
      <c r="F9209" s="79" t="s">
        <v>5070</v>
      </c>
      <c r="G9209" s="79" t="s">
        <v>2995</v>
      </c>
      <c r="H9209" s="79"/>
      <c r="I9209" s="80" t="s">
        <v>3002</v>
      </c>
      <c r="J9209" s="583">
        <v>0.6382</v>
      </c>
      <c r="K9209" s="583">
        <v>0</v>
      </c>
      <c r="L9209" s="92">
        <v>6.22</v>
      </c>
      <c r="M9209" s="92">
        <v>3.96</v>
      </c>
    </row>
    <row r="9210" ht="23.85" customHeight="1" spans="3:13">
      <c r="C9210" s="79" t="s">
        <v>2921</v>
      </c>
      <c r="D9210" s="78" t="s">
        <v>2952</v>
      </c>
      <c r="E9210" s="79" t="s">
        <v>139</v>
      </c>
      <c r="F9210" s="79" t="s">
        <v>2953</v>
      </c>
      <c r="G9210" s="79" t="s">
        <v>2928</v>
      </c>
      <c r="H9210" s="79"/>
      <c r="I9210" s="80" t="s">
        <v>2897</v>
      </c>
      <c r="J9210" s="583">
        <v>1.9633</v>
      </c>
      <c r="K9210" s="583">
        <v>0</v>
      </c>
      <c r="L9210" s="92">
        <v>29.15</v>
      </c>
      <c r="M9210" s="92">
        <v>57.23</v>
      </c>
    </row>
    <row r="9211" ht="23.85" customHeight="1" spans="3:13">
      <c r="C9211" s="79" t="s">
        <v>2921</v>
      </c>
      <c r="D9211" s="78" t="s">
        <v>5366</v>
      </c>
      <c r="E9211" s="79" t="s">
        <v>139</v>
      </c>
      <c r="F9211" s="79" t="s">
        <v>5367</v>
      </c>
      <c r="G9211" s="79" t="s">
        <v>2928</v>
      </c>
      <c r="H9211" s="79"/>
      <c r="I9211" s="80" t="s">
        <v>2897</v>
      </c>
      <c r="J9211" s="583">
        <v>1.24</v>
      </c>
      <c r="K9211" s="583">
        <v>0</v>
      </c>
      <c r="L9211" s="92">
        <v>32.2</v>
      </c>
      <c r="M9211" s="92">
        <v>39.92</v>
      </c>
    </row>
    <row r="9212" ht="15" customHeight="1" spans="3:13">
      <c r="C9212" s="100" t="s">
        <v>2893</v>
      </c>
      <c r="D9212" s="99" t="s">
        <v>3021</v>
      </c>
      <c r="E9212" s="100" t="s">
        <v>139</v>
      </c>
      <c r="F9212" s="100" t="s">
        <v>3022</v>
      </c>
      <c r="G9212" s="100" t="s">
        <v>2961</v>
      </c>
      <c r="H9212" s="100"/>
      <c r="I9212" s="101" t="s">
        <v>393</v>
      </c>
      <c r="J9212" s="580">
        <v>391.1663</v>
      </c>
      <c r="K9212" s="580">
        <v>0</v>
      </c>
      <c r="L9212" s="102">
        <v>0.64</v>
      </c>
      <c r="M9212" s="102">
        <v>250.34</v>
      </c>
    </row>
    <row r="9213" ht="23.85" customHeight="1" spans="3:13">
      <c r="C9213" s="100" t="s">
        <v>2893</v>
      </c>
      <c r="D9213" s="99" t="s">
        <v>5270</v>
      </c>
      <c r="E9213" s="100" t="s">
        <v>139</v>
      </c>
      <c r="F9213" s="100" t="s">
        <v>5271</v>
      </c>
      <c r="G9213" s="100" t="s">
        <v>2961</v>
      </c>
      <c r="H9213" s="100"/>
      <c r="I9213" s="101" t="s">
        <v>279</v>
      </c>
      <c r="J9213" s="580">
        <v>0.5927</v>
      </c>
      <c r="K9213" s="580">
        <v>0</v>
      </c>
      <c r="L9213" s="102">
        <v>108.18</v>
      </c>
      <c r="M9213" s="102">
        <v>64.11</v>
      </c>
    </row>
    <row r="9214" ht="23.85" customHeight="1" spans="3:13">
      <c r="C9214" s="100" t="s">
        <v>2893</v>
      </c>
      <c r="D9214" s="99" t="s">
        <v>5148</v>
      </c>
      <c r="E9214" s="100" t="s">
        <v>139</v>
      </c>
      <c r="F9214" s="100" t="s">
        <v>5149</v>
      </c>
      <c r="G9214" s="100" t="s">
        <v>2961</v>
      </c>
      <c r="H9214" s="100"/>
      <c r="I9214" s="101" t="s">
        <v>279</v>
      </c>
      <c r="J9214" s="580">
        <v>0.7119</v>
      </c>
      <c r="K9214" s="580">
        <v>0</v>
      </c>
      <c r="L9214" s="102">
        <v>90</v>
      </c>
      <c r="M9214" s="102">
        <v>64.07</v>
      </c>
    </row>
    <row r="9215" ht="25.5" spans="3:13">
      <c r="C9215" s="108"/>
      <c r="D9215" s="108"/>
      <c r="E9215" s="108"/>
      <c r="F9215" s="108"/>
      <c r="G9215" s="108"/>
      <c r="H9215" s="108" t="s">
        <v>2898</v>
      </c>
      <c r="I9215" s="581">
        <v>66.7</v>
      </c>
      <c r="J9215" s="108" t="s">
        <v>2899</v>
      </c>
      <c r="K9215" s="581">
        <v>0</v>
      </c>
      <c r="L9215" s="108" t="s">
        <v>2900</v>
      </c>
      <c r="M9215" s="581">
        <v>66.7</v>
      </c>
    </row>
    <row r="9216" ht="26.25" spans="3:13">
      <c r="C9216" s="108"/>
      <c r="D9216" s="108"/>
      <c r="E9216" s="108"/>
      <c r="F9216" s="108"/>
      <c r="G9216" s="108"/>
      <c r="H9216" s="108" t="s">
        <v>2901</v>
      </c>
      <c r="I9216" s="581">
        <v>122.52</v>
      </c>
      <c r="J9216" s="114"/>
      <c r="K9216" s="114" t="s">
        <v>2902</v>
      </c>
      <c r="L9216" s="108"/>
      <c r="M9216" s="581">
        <v>603.21</v>
      </c>
    </row>
    <row r="9217" ht="15" spans="3:13">
      <c r="C9217" s="571"/>
      <c r="D9217" s="571"/>
      <c r="E9217" s="571"/>
      <c r="F9217" s="571"/>
      <c r="G9217" s="571"/>
      <c r="H9217" s="571"/>
      <c r="I9217" s="571"/>
      <c r="J9217" s="571"/>
      <c r="K9217" s="571"/>
      <c r="L9217" s="571"/>
      <c r="M9217" s="571"/>
    </row>
    <row r="9218" ht="15" customHeight="1" spans="3:13">
      <c r="C9218" s="76"/>
      <c r="D9218" s="75" t="s">
        <v>63</v>
      </c>
      <c r="E9218" s="76" t="s">
        <v>64</v>
      </c>
      <c r="F9218" s="76" t="s">
        <v>65</v>
      </c>
      <c r="G9218" s="76" t="s">
        <v>2889</v>
      </c>
      <c r="H9218" s="76"/>
      <c r="I9218" s="77" t="s">
        <v>66</v>
      </c>
      <c r="J9218" s="75" t="s">
        <v>67</v>
      </c>
      <c r="K9218" s="75" t="s">
        <v>2890</v>
      </c>
      <c r="L9218" s="75" t="s">
        <v>68</v>
      </c>
      <c r="M9218" s="75" t="s">
        <v>70</v>
      </c>
    </row>
    <row r="9219" ht="23.85" customHeight="1" spans="3:13">
      <c r="C9219" s="569" t="s">
        <v>2891</v>
      </c>
      <c r="D9219" s="570" t="s">
        <v>2997</v>
      </c>
      <c r="E9219" s="569" t="s">
        <v>139</v>
      </c>
      <c r="F9219" s="569" t="s">
        <v>2998</v>
      </c>
      <c r="G9219" s="569" t="s">
        <v>2999</v>
      </c>
      <c r="H9219" s="569"/>
      <c r="I9219" s="577" t="s">
        <v>279</v>
      </c>
      <c r="J9219" s="578">
        <v>1</v>
      </c>
      <c r="K9219" s="579"/>
      <c r="L9219" s="579">
        <v>464.77</v>
      </c>
      <c r="M9219" s="579">
        <v>464.77</v>
      </c>
    </row>
    <row r="9220" ht="23.85" customHeight="1" spans="3:13">
      <c r="C9220" s="79" t="s">
        <v>2921</v>
      </c>
      <c r="D9220" s="78" t="s">
        <v>2952</v>
      </c>
      <c r="E9220" s="79" t="s">
        <v>139</v>
      </c>
      <c r="F9220" s="79" t="s">
        <v>2953</v>
      </c>
      <c r="G9220" s="79" t="s">
        <v>2928</v>
      </c>
      <c r="H9220" s="79"/>
      <c r="I9220" s="80" t="s">
        <v>2897</v>
      </c>
      <c r="J9220" s="583">
        <v>6.2858</v>
      </c>
      <c r="K9220" s="583">
        <v>0</v>
      </c>
      <c r="L9220" s="92">
        <v>29.15</v>
      </c>
      <c r="M9220" s="92">
        <v>183.23</v>
      </c>
    </row>
    <row r="9221" ht="23.85" customHeight="1" spans="3:13">
      <c r="C9221" s="100" t="s">
        <v>2893</v>
      </c>
      <c r="D9221" s="99" t="s">
        <v>5148</v>
      </c>
      <c r="E9221" s="100" t="s">
        <v>139</v>
      </c>
      <c r="F9221" s="100" t="s">
        <v>5149</v>
      </c>
      <c r="G9221" s="100" t="s">
        <v>2961</v>
      </c>
      <c r="H9221" s="100"/>
      <c r="I9221" s="101" t="s">
        <v>279</v>
      </c>
      <c r="J9221" s="580">
        <v>0.8538</v>
      </c>
      <c r="K9221" s="580">
        <v>0</v>
      </c>
      <c r="L9221" s="102">
        <v>90</v>
      </c>
      <c r="M9221" s="102">
        <v>76.84</v>
      </c>
    </row>
    <row r="9222" ht="15" customHeight="1" spans="3:13">
      <c r="C9222" s="100" t="s">
        <v>2893</v>
      </c>
      <c r="D9222" s="99" t="s">
        <v>3021</v>
      </c>
      <c r="E9222" s="100" t="s">
        <v>139</v>
      </c>
      <c r="F9222" s="100" t="s">
        <v>3022</v>
      </c>
      <c r="G9222" s="100" t="s">
        <v>2961</v>
      </c>
      <c r="H9222" s="100"/>
      <c r="I9222" s="101" t="s">
        <v>393</v>
      </c>
      <c r="J9222" s="580">
        <v>218.93</v>
      </c>
      <c r="K9222" s="580">
        <v>0</v>
      </c>
      <c r="L9222" s="102">
        <v>0.64</v>
      </c>
      <c r="M9222" s="102">
        <v>140.11</v>
      </c>
    </row>
    <row r="9223" ht="23.85" customHeight="1" spans="3:13">
      <c r="C9223" s="100" t="s">
        <v>2893</v>
      </c>
      <c r="D9223" s="99" t="s">
        <v>5270</v>
      </c>
      <c r="E9223" s="100" t="s">
        <v>139</v>
      </c>
      <c r="F9223" s="100" t="s">
        <v>5271</v>
      </c>
      <c r="G9223" s="100" t="s">
        <v>2961</v>
      </c>
      <c r="H9223" s="100"/>
      <c r="I9223" s="101" t="s">
        <v>279</v>
      </c>
      <c r="J9223" s="580">
        <v>0.5971</v>
      </c>
      <c r="K9223" s="580">
        <v>0</v>
      </c>
      <c r="L9223" s="102">
        <v>108.18</v>
      </c>
      <c r="M9223" s="102">
        <v>64.59</v>
      </c>
    </row>
    <row r="9224" ht="25.5" spans="3:13">
      <c r="C9224" s="108"/>
      <c r="D9224" s="108"/>
      <c r="E9224" s="108"/>
      <c r="F9224" s="108"/>
      <c r="G9224" s="108"/>
      <c r="H9224" s="108" t="s">
        <v>2898</v>
      </c>
      <c r="I9224" s="581">
        <v>120.81</v>
      </c>
      <c r="J9224" s="108" t="s">
        <v>2899</v>
      </c>
      <c r="K9224" s="581">
        <v>0</v>
      </c>
      <c r="L9224" s="108" t="s">
        <v>2900</v>
      </c>
      <c r="M9224" s="581">
        <v>120.81</v>
      </c>
    </row>
    <row r="9225" ht="26.25" spans="3:13">
      <c r="C9225" s="108"/>
      <c r="D9225" s="108"/>
      <c r="E9225" s="108"/>
      <c r="F9225" s="108"/>
      <c r="G9225" s="108"/>
      <c r="H9225" s="108" t="s">
        <v>2901</v>
      </c>
      <c r="I9225" s="581">
        <v>118.46</v>
      </c>
      <c r="J9225" s="114"/>
      <c r="K9225" s="114" t="s">
        <v>2902</v>
      </c>
      <c r="L9225" s="108"/>
      <c r="M9225" s="581">
        <v>583.23</v>
      </c>
    </row>
    <row r="9226" ht="15" spans="3:13">
      <c r="C9226" s="571"/>
      <c r="D9226" s="571"/>
      <c r="E9226" s="571"/>
      <c r="F9226" s="571"/>
      <c r="G9226" s="571"/>
      <c r="H9226" s="571"/>
      <c r="I9226" s="571"/>
      <c r="J9226" s="571"/>
      <c r="K9226" s="571"/>
      <c r="L9226" s="571"/>
      <c r="M9226" s="571"/>
    </row>
    <row r="9227" ht="15" customHeight="1" spans="3:13">
      <c r="C9227" s="76"/>
      <c r="D9227" s="75" t="s">
        <v>63</v>
      </c>
      <c r="E9227" s="76" t="s">
        <v>64</v>
      </c>
      <c r="F9227" s="76" t="s">
        <v>65</v>
      </c>
      <c r="G9227" s="76" t="s">
        <v>2889</v>
      </c>
      <c r="H9227" s="76"/>
      <c r="I9227" s="77" t="s">
        <v>66</v>
      </c>
      <c r="J9227" s="75" t="s">
        <v>67</v>
      </c>
      <c r="K9227" s="75" t="s">
        <v>2890</v>
      </c>
      <c r="L9227" s="75" t="s">
        <v>68</v>
      </c>
      <c r="M9227" s="75" t="s">
        <v>70</v>
      </c>
    </row>
    <row r="9228" ht="35.05" customHeight="1" spans="3:13">
      <c r="C9228" s="569" t="s">
        <v>2891</v>
      </c>
      <c r="D9228" s="570" t="s">
        <v>3350</v>
      </c>
      <c r="E9228" s="569" t="s">
        <v>139</v>
      </c>
      <c r="F9228" s="569" t="s">
        <v>3351</v>
      </c>
      <c r="G9228" s="569" t="s">
        <v>2999</v>
      </c>
      <c r="H9228" s="569"/>
      <c r="I9228" s="577" t="s">
        <v>279</v>
      </c>
      <c r="J9228" s="578">
        <v>1</v>
      </c>
      <c r="K9228" s="579"/>
      <c r="L9228" s="579">
        <v>384.14</v>
      </c>
      <c r="M9228" s="579">
        <v>384.14</v>
      </c>
    </row>
    <row r="9229" ht="35.05" customHeight="1" spans="3:13">
      <c r="C9229" s="79" t="s">
        <v>2921</v>
      </c>
      <c r="D9229" s="78" t="s">
        <v>5069</v>
      </c>
      <c r="E9229" s="79" t="s">
        <v>139</v>
      </c>
      <c r="F9229" s="79" t="s">
        <v>5070</v>
      </c>
      <c r="G9229" s="79" t="s">
        <v>2995</v>
      </c>
      <c r="H9229" s="79"/>
      <c r="I9229" s="80" t="s">
        <v>3002</v>
      </c>
      <c r="J9229" s="583">
        <v>0.6853</v>
      </c>
      <c r="K9229" s="583">
        <v>0</v>
      </c>
      <c r="L9229" s="92">
        <v>6.22</v>
      </c>
      <c r="M9229" s="92">
        <v>4.26</v>
      </c>
    </row>
    <row r="9230" ht="23.85" customHeight="1" spans="3:13">
      <c r="C9230" s="79" t="s">
        <v>2921</v>
      </c>
      <c r="D9230" s="78" t="s">
        <v>2952</v>
      </c>
      <c r="E9230" s="79" t="s">
        <v>139</v>
      </c>
      <c r="F9230" s="79" t="s">
        <v>2953</v>
      </c>
      <c r="G9230" s="79" t="s">
        <v>2928</v>
      </c>
      <c r="H9230" s="79"/>
      <c r="I9230" s="80" t="s">
        <v>2897</v>
      </c>
      <c r="J9230" s="583">
        <v>2.1058</v>
      </c>
      <c r="K9230" s="583">
        <v>0</v>
      </c>
      <c r="L9230" s="92">
        <v>29.15</v>
      </c>
      <c r="M9230" s="92">
        <v>61.38</v>
      </c>
    </row>
    <row r="9231" ht="35.05" customHeight="1" spans="3:13">
      <c r="C9231" s="79" t="s">
        <v>2921</v>
      </c>
      <c r="D9231" s="78" t="s">
        <v>5067</v>
      </c>
      <c r="E9231" s="79" t="s">
        <v>139</v>
      </c>
      <c r="F9231" s="79" t="s">
        <v>5068</v>
      </c>
      <c r="G9231" s="79" t="s">
        <v>2995</v>
      </c>
      <c r="H9231" s="79"/>
      <c r="I9231" s="80" t="s">
        <v>2996</v>
      </c>
      <c r="J9231" s="583">
        <v>0.6462</v>
      </c>
      <c r="K9231" s="583">
        <v>0</v>
      </c>
      <c r="L9231" s="92">
        <v>1.77</v>
      </c>
      <c r="M9231" s="92">
        <v>1.14</v>
      </c>
    </row>
    <row r="9232" ht="23.85" customHeight="1" spans="3:13">
      <c r="C9232" s="79" t="s">
        <v>2921</v>
      </c>
      <c r="D9232" s="78" t="s">
        <v>5366</v>
      </c>
      <c r="E9232" s="79" t="s">
        <v>139</v>
      </c>
      <c r="F9232" s="79" t="s">
        <v>5367</v>
      </c>
      <c r="G9232" s="79" t="s">
        <v>2928</v>
      </c>
      <c r="H9232" s="79"/>
      <c r="I9232" s="80" t="s">
        <v>2897</v>
      </c>
      <c r="J9232" s="583">
        <v>1.3315</v>
      </c>
      <c r="K9232" s="583">
        <v>0</v>
      </c>
      <c r="L9232" s="92">
        <v>32.2</v>
      </c>
      <c r="M9232" s="92">
        <v>42.87</v>
      </c>
    </row>
    <row r="9233" ht="15" customHeight="1" spans="3:13">
      <c r="C9233" s="100" t="s">
        <v>2893</v>
      </c>
      <c r="D9233" s="99" t="s">
        <v>3021</v>
      </c>
      <c r="E9233" s="100" t="s">
        <v>139</v>
      </c>
      <c r="F9233" s="100" t="s">
        <v>3022</v>
      </c>
      <c r="G9233" s="100" t="s">
        <v>2961</v>
      </c>
      <c r="H9233" s="100"/>
      <c r="I9233" s="101" t="s">
        <v>393</v>
      </c>
      <c r="J9233" s="580">
        <v>213.4531</v>
      </c>
      <c r="K9233" s="580">
        <v>0</v>
      </c>
      <c r="L9233" s="102">
        <v>0.64</v>
      </c>
      <c r="M9233" s="102">
        <v>136.6</v>
      </c>
    </row>
    <row r="9234" ht="23.85" customHeight="1" spans="3:13">
      <c r="C9234" s="100" t="s">
        <v>2893</v>
      </c>
      <c r="D9234" s="99" t="s">
        <v>5148</v>
      </c>
      <c r="E9234" s="100" t="s">
        <v>139</v>
      </c>
      <c r="F9234" s="100" t="s">
        <v>5149</v>
      </c>
      <c r="G9234" s="100" t="s">
        <v>2961</v>
      </c>
      <c r="H9234" s="100"/>
      <c r="I9234" s="101" t="s">
        <v>279</v>
      </c>
      <c r="J9234" s="580">
        <v>0.8325</v>
      </c>
      <c r="K9234" s="580">
        <v>0</v>
      </c>
      <c r="L9234" s="102">
        <v>90</v>
      </c>
      <c r="M9234" s="102">
        <v>74.92</v>
      </c>
    </row>
    <row r="9235" ht="23.85" customHeight="1" spans="3:13">
      <c r="C9235" s="100" t="s">
        <v>2893</v>
      </c>
      <c r="D9235" s="99" t="s">
        <v>5270</v>
      </c>
      <c r="E9235" s="100" t="s">
        <v>139</v>
      </c>
      <c r="F9235" s="100" t="s">
        <v>5271</v>
      </c>
      <c r="G9235" s="100" t="s">
        <v>2961</v>
      </c>
      <c r="H9235" s="100"/>
      <c r="I9235" s="101" t="s">
        <v>279</v>
      </c>
      <c r="J9235" s="580">
        <v>0.5821</v>
      </c>
      <c r="K9235" s="580">
        <v>0</v>
      </c>
      <c r="L9235" s="102">
        <v>108.18</v>
      </c>
      <c r="M9235" s="102">
        <v>62.97</v>
      </c>
    </row>
    <row r="9236" ht="25.5" spans="3:13">
      <c r="C9236" s="108"/>
      <c r="D9236" s="108"/>
      <c r="E9236" s="108"/>
      <c r="F9236" s="108"/>
      <c r="G9236" s="108"/>
      <c r="H9236" s="108" t="s">
        <v>2898</v>
      </c>
      <c r="I9236" s="581">
        <v>71.58</v>
      </c>
      <c r="J9236" s="108" t="s">
        <v>2899</v>
      </c>
      <c r="K9236" s="581">
        <v>0</v>
      </c>
      <c r="L9236" s="108" t="s">
        <v>2900</v>
      </c>
      <c r="M9236" s="581">
        <v>71.58</v>
      </c>
    </row>
    <row r="9237" ht="26.25" spans="3:13">
      <c r="C9237" s="108"/>
      <c r="D9237" s="108"/>
      <c r="E9237" s="108"/>
      <c r="F9237" s="108"/>
      <c r="G9237" s="108"/>
      <c r="H9237" s="108" t="s">
        <v>2901</v>
      </c>
      <c r="I9237" s="581">
        <v>97.91</v>
      </c>
      <c r="J9237" s="114"/>
      <c r="K9237" s="114" t="s">
        <v>2902</v>
      </c>
      <c r="L9237" s="108"/>
      <c r="M9237" s="581">
        <v>482.05</v>
      </c>
    </row>
    <row r="9238" ht="15" spans="3:13">
      <c r="C9238" s="571"/>
      <c r="D9238" s="571"/>
      <c r="E9238" s="571"/>
      <c r="F9238" s="571"/>
      <c r="G9238" s="571"/>
      <c r="H9238" s="571"/>
      <c r="I9238" s="571"/>
      <c r="J9238" s="571"/>
      <c r="K9238" s="571"/>
      <c r="L9238" s="571"/>
      <c r="M9238" s="571"/>
    </row>
    <row r="9239" ht="15" customHeight="1" spans="3:13">
      <c r="C9239" s="76"/>
      <c r="D9239" s="75" t="s">
        <v>63</v>
      </c>
      <c r="E9239" s="76" t="s">
        <v>64</v>
      </c>
      <c r="F9239" s="76" t="s">
        <v>65</v>
      </c>
      <c r="G9239" s="76" t="s">
        <v>2889</v>
      </c>
      <c r="H9239" s="76"/>
      <c r="I9239" s="77" t="s">
        <v>66</v>
      </c>
      <c r="J9239" s="75" t="s">
        <v>67</v>
      </c>
      <c r="K9239" s="75" t="s">
        <v>2890</v>
      </c>
      <c r="L9239" s="75" t="s">
        <v>68</v>
      </c>
      <c r="M9239" s="75" t="s">
        <v>70</v>
      </c>
    </row>
    <row r="9240" ht="35.05" customHeight="1" spans="3:13">
      <c r="C9240" s="569" t="s">
        <v>2891</v>
      </c>
      <c r="D9240" s="570" t="s">
        <v>3233</v>
      </c>
      <c r="E9240" s="569" t="s">
        <v>139</v>
      </c>
      <c r="F9240" s="569" t="s">
        <v>3234</v>
      </c>
      <c r="G9240" s="569" t="s">
        <v>3235</v>
      </c>
      <c r="H9240" s="569"/>
      <c r="I9240" s="577" t="s">
        <v>134</v>
      </c>
      <c r="J9240" s="578">
        <v>1</v>
      </c>
      <c r="K9240" s="579"/>
      <c r="L9240" s="579">
        <v>29.38</v>
      </c>
      <c r="M9240" s="579">
        <v>29.38</v>
      </c>
    </row>
    <row r="9241" ht="23.85" customHeight="1" spans="3:13">
      <c r="C9241" s="79" t="s">
        <v>2921</v>
      </c>
      <c r="D9241" s="78" t="s">
        <v>3151</v>
      </c>
      <c r="E9241" s="79" t="s">
        <v>139</v>
      </c>
      <c r="F9241" s="79" t="s">
        <v>3152</v>
      </c>
      <c r="G9241" s="79" t="s">
        <v>2928</v>
      </c>
      <c r="H9241" s="79"/>
      <c r="I9241" s="80" t="s">
        <v>2897</v>
      </c>
      <c r="J9241" s="583">
        <v>0.2397</v>
      </c>
      <c r="K9241" s="583">
        <v>0</v>
      </c>
      <c r="L9241" s="92">
        <v>36.82</v>
      </c>
      <c r="M9241" s="92">
        <v>8.82</v>
      </c>
    </row>
    <row r="9242" ht="23.85" customHeight="1" spans="3:13">
      <c r="C9242" s="79" t="s">
        <v>2921</v>
      </c>
      <c r="D9242" s="78" t="s">
        <v>3153</v>
      </c>
      <c r="E9242" s="79" t="s">
        <v>139</v>
      </c>
      <c r="F9242" s="79" t="s">
        <v>3154</v>
      </c>
      <c r="G9242" s="79" t="s">
        <v>2928</v>
      </c>
      <c r="H9242" s="79"/>
      <c r="I9242" s="80" t="s">
        <v>2897</v>
      </c>
      <c r="J9242" s="583">
        <v>0.2397</v>
      </c>
      <c r="K9242" s="583">
        <v>0</v>
      </c>
      <c r="L9242" s="92">
        <v>30.6</v>
      </c>
      <c r="M9242" s="92">
        <v>7.33</v>
      </c>
    </row>
    <row r="9243" ht="15" customHeight="1" spans="3:13">
      <c r="C9243" s="100" t="s">
        <v>2893</v>
      </c>
      <c r="D9243" s="99" t="s">
        <v>5606</v>
      </c>
      <c r="E9243" s="100" t="s">
        <v>139</v>
      </c>
      <c r="F9243" s="100" t="s">
        <v>5607</v>
      </c>
      <c r="G9243" s="100" t="s">
        <v>2961</v>
      </c>
      <c r="H9243" s="100"/>
      <c r="I9243" s="101" t="s">
        <v>134</v>
      </c>
      <c r="J9243" s="580">
        <v>1</v>
      </c>
      <c r="K9243" s="580">
        <v>0</v>
      </c>
      <c r="L9243" s="102">
        <v>12.71</v>
      </c>
      <c r="M9243" s="102">
        <v>12.71</v>
      </c>
    </row>
    <row r="9244" ht="23.85" customHeight="1" spans="3:13">
      <c r="C9244" s="100" t="s">
        <v>2893</v>
      </c>
      <c r="D9244" s="99" t="s">
        <v>4038</v>
      </c>
      <c r="E9244" s="100" t="s">
        <v>139</v>
      </c>
      <c r="F9244" s="100" t="s">
        <v>4039</v>
      </c>
      <c r="G9244" s="100" t="s">
        <v>2961</v>
      </c>
      <c r="H9244" s="100"/>
      <c r="I9244" s="101" t="s">
        <v>134</v>
      </c>
      <c r="J9244" s="580">
        <v>2</v>
      </c>
      <c r="K9244" s="580">
        <v>0</v>
      </c>
      <c r="L9244" s="102">
        <v>0.26</v>
      </c>
      <c r="M9244" s="102">
        <v>0.52</v>
      </c>
    </row>
    <row r="9245" ht="25.5" spans="3:13">
      <c r="C9245" s="108"/>
      <c r="D9245" s="108"/>
      <c r="E9245" s="108"/>
      <c r="F9245" s="108"/>
      <c r="G9245" s="108"/>
      <c r="H9245" s="108" t="s">
        <v>2898</v>
      </c>
      <c r="I9245" s="581">
        <v>11.33</v>
      </c>
      <c r="J9245" s="108" t="s">
        <v>2899</v>
      </c>
      <c r="K9245" s="581">
        <v>0</v>
      </c>
      <c r="L9245" s="108" t="s">
        <v>2900</v>
      </c>
      <c r="M9245" s="581">
        <v>11.33</v>
      </c>
    </row>
    <row r="9246" ht="26.25" spans="3:13">
      <c r="C9246" s="108"/>
      <c r="D9246" s="108"/>
      <c r="E9246" s="108"/>
      <c r="F9246" s="108"/>
      <c r="G9246" s="108"/>
      <c r="H9246" s="108" t="s">
        <v>2901</v>
      </c>
      <c r="I9246" s="581">
        <v>7.48</v>
      </c>
      <c r="J9246" s="114"/>
      <c r="K9246" s="114" t="s">
        <v>2902</v>
      </c>
      <c r="L9246" s="108"/>
      <c r="M9246" s="581">
        <v>36.86</v>
      </c>
    </row>
    <row r="9247" ht="15" spans="3:13">
      <c r="C9247" s="571"/>
      <c r="D9247" s="571"/>
      <c r="E9247" s="571"/>
      <c r="F9247" s="571"/>
      <c r="G9247" s="571"/>
      <c r="H9247" s="571"/>
      <c r="I9247" s="571"/>
      <c r="J9247" s="571"/>
      <c r="K9247" s="571"/>
      <c r="L9247" s="571"/>
      <c r="M9247" s="571"/>
    </row>
    <row r="9248" ht="15" customHeight="1" spans="3:13">
      <c r="C9248" s="76"/>
      <c r="D9248" s="75" t="s">
        <v>63</v>
      </c>
      <c r="E9248" s="76" t="s">
        <v>64</v>
      </c>
      <c r="F9248" s="76" t="s">
        <v>65</v>
      </c>
      <c r="G9248" s="76" t="s">
        <v>2889</v>
      </c>
      <c r="H9248" s="76"/>
      <c r="I9248" s="77" t="s">
        <v>66</v>
      </c>
      <c r="J9248" s="75" t="s">
        <v>67</v>
      </c>
      <c r="K9248" s="75" t="s">
        <v>2890</v>
      </c>
      <c r="L9248" s="75" t="s">
        <v>68</v>
      </c>
      <c r="M9248" s="75" t="s">
        <v>70</v>
      </c>
    </row>
    <row r="9249" ht="46.25" customHeight="1" spans="3:13">
      <c r="C9249" s="569" t="s">
        <v>2891</v>
      </c>
      <c r="D9249" s="570" t="s">
        <v>5146</v>
      </c>
      <c r="E9249" s="569" t="s">
        <v>139</v>
      </c>
      <c r="F9249" s="569" t="s">
        <v>5147</v>
      </c>
      <c r="G9249" s="569" t="s">
        <v>2995</v>
      </c>
      <c r="H9249" s="569"/>
      <c r="I9249" s="577" t="s">
        <v>2996</v>
      </c>
      <c r="J9249" s="578">
        <v>1</v>
      </c>
      <c r="K9249" s="579"/>
      <c r="L9249" s="579">
        <v>0.97</v>
      </c>
      <c r="M9249" s="579">
        <v>0.97</v>
      </c>
    </row>
    <row r="9250" ht="46.25" customHeight="1" spans="3:13">
      <c r="C9250" s="79" t="s">
        <v>2921</v>
      </c>
      <c r="D9250" s="78" t="s">
        <v>5608</v>
      </c>
      <c r="E9250" s="79" t="s">
        <v>139</v>
      </c>
      <c r="F9250" s="79" t="s">
        <v>5609</v>
      </c>
      <c r="G9250" s="79" t="s">
        <v>5464</v>
      </c>
      <c r="H9250" s="79"/>
      <c r="I9250" s="80" t="s">
        <v>2897</v>
      </c>
      <c r="J9250" s="583">
        <v>1</v>
      </c>
      <c r="K9250" s="583">
        <v>0</v>
      </c>
      <c r="L9250" s="92">
        <v>0.18</v>
      </c>
      <c r="M9250" s="92">
        <v>0.18</v>
      </c>
    </row>
    <row r="9251" ht="46.25" customHeight="1" spans="3:13">
      <c r="C9251" s="79" t="s">
        <v>2921</v>
      </c>
      <c r="D9251" s="78" t="s">
        <v>5610</v>
      </c>
      <c r="E9251" s="79" t="s">
        <v>139</v>
      </c>
      <c r="F9251" s="79" t="s">
        <v>5611</v>
      </c>
      <c r="G9251" s="79" t="s">
        <v>5464</v>
      </c>
      <c r="H9251" s="79"/>
      <c r="I9251" s="80" t="s">
        <v>2897</v>
      </c>
      <c r="J9251" s="583">
        <v>1</v>
      </c>
      <c r="K9251" s="583">
        <v>0</v>
      </c>
      <c r="L9251" s="92">
        <v>0.79</v>
      </c>
      <c r="M9251" s="92">
        <v>0.79</v>
      </c>
    </row>
    <row r="9252" ht="25.5" spans="3:13">
      <c r="C9252" s="108"/>
      <c r="D9252" s="108"/>
      <c r="E9252" s="108"/>
      <c r="F9252" s="108"/>
      <c r="G9252" s="108"/>
      <c r="H9252" s="108" t="s">
        <v>2898</v>
      </c>
      <c r="I9252" s="581">
        <v>0</v>
      </c>
      <c r="J9252" s="108" t="s">
        <v>2899</v>
      </c>
      <c r="K9252" s="581">
        <v>0</v>
      </c>
      <c r="L9252" s="108" t="s">
        <v>2900</v>
      </c>
      <c r="M9252" s="581">
        <v>0</v>
      </c>
    </row>
    <row r="9253" ht="26.25" spans="3:13">
      <c r="C9253" s="108"/>
      <c r="D9253" s="108"/>
      <c r="E9253" s="108"/>
      <c r="F9253" s="108"/>
      <c r="G9253" s="108"/>
      <c r="H9253" s="108" t="s">
        <v>2901</v>
      </c>
      <c r="I9253" s="581">
        <v>0.24</v>
      </c>
      <c r="J9253" s="114"/>
      <c r="K9253" s="114" t="s">
        <v>2902</v>
      </c>
      <c r="L9253" s="108"/>
      <c r="M9253" s="581">
        <v>1.21</v>
      </c>
    </row>
    <row r="9254" ht="15" spans="3:13">
      <c r="C9254" s="571"/>
      <c r="D9254" s="571"/>
      <c r="E9254" s="571"/>
      <c r="F9254" s="571"/>
      <c r="G9254" s="571"/>
      <c r="H9254" s="571"/>
      <c r="I9254" s="571"/>
      <c r="J9254" s="571"/>
      <c r="K9254" s="571"/>
      <c r="L9254" s="571"/>
      <c r="M9254" s="571"/>
    </row>
    <row r="9255" ht="15" customHeight="1" spans="3:13">
      <c r="C9255" s="76"/>
      <c r="D9255" s="75" t="s">
        <v>63</v>
      </c>
      <c r="E9255" s="76" t="s">
        <v>64</v>
      </c>
      <c r="F9255" s="76" t="s">
        <v>65</v>
      </c>
      <c r="G9255" s="76" t="s">
        <v>2889</v>
      </c>
      <c r="H9255" s="76"/>
      <c r="I9255" s="77" t="s">
        <v>66</v>
      </c>
      <c r="J9255" s="75" t="s">
        <v>67</v>
      </c>
      <c r="K9255" s="75" t="s">
        <v>2890</v>
      </c>
      <c r="L9255" s="75" t="s">
        <v>68</v>
      </c>
      <c r="M9255" s="75" t="s">
        <v>70</v>
      </c>
    </row>
    <row r="9256" ht="46.25" customHeight="1" spans="3:13">
      <c r="C9256" s="569" t="s">
        <v>2891</v>
      </c>
      <c r="D9256" s="570" t="s">
        <v>5142</v>
      </c>
      <c r="E9256" s="569" t="s">
        <v>139</v>
      </c>
      <c r="F9256" s="569" t="s">
        <v>5143</v>
      </c>
      <c r="G9256" s="569" t="s">
        <v>2995</v>
      </c>
      <c r="H9256" s="569"/>
      <c r="I9256" s="577" t="s">
        <v>3002</v>
      </c>
      <c r="J9256" s="578">
        <v>1</v>
      </c>
      <c r="K9256" s="579"/>
      <c r="L9256" s="579">
        <v>10.76</v>
      </c>
      <c r="M9256" s="579">
        <v>10.76</v>
      </c>
    </row>
    <row r="9257" ht="46.25" customHeight="1" spans="3:13">
      <c r="C9257" s="79" t="s">
        <v>2921</v>
      </c>
      <c r="D9257" s="78" t="s">
        <v>5608</v>
      </c>
      <c r="E9257" s="79" t="s">
        <v>139</v>
      </c>
      <c r="F9257" s="79" t="s">
        <v>5609</v>
      </c>
      <c r="G9257" s="79" t="s">
        <v>5464</v>
      </c>
      <c r="H9257" s="79"/>
      <c r="I9257" s="80" t="s">
        <v>2897</v>
      </c>
      <c r="J9257" s="583">
        <v>1</v>
      </c>
      <c r="K9257" s="583">
        <v>0</v>
      </c>
      <c r="L9257" s="92">
        <v>0.18</v>
      </c>
      <c r="M9257" s="92">
        <v>0.18</v>
      </c>
    </row>
    <row r="9258" ht="46.25" customHeight="1" spans="3:13">
      <c r="C9258" s="79" t="s">
        <v>2921</v>
      </c>
      <c r="D9258" s="78" t="s">
        <v>5612</v>
      </c>
      <c r="E9258" s="79" t="s">
        <v>139</v>
      </c>
      <c r="F9258" s="79" t="s">
        <v>5613</v>
      </c>
      <c r="G9258" s="79" t="s">
        <v>5464</v>
      </c>
      <c r="H9258" s="79"/>
      <c r="I9258" s="80" t="s">
        <v>2897</v>
      </c>
      <c r="J9258" s="583">
        <v>1</v>
      </c>
      <c r="K9258" s="583">
        <v>0</v>
      </c>
      <c r="L9258" s="92">
        <v>8.8</v>
      </c>
      <c r="M9258" s="92">
        <v>8.8</v>
      </c>
    </row>
    <row r="9259" ht="46.25" customHeight="1" spans="3:13">
      <c r="C9259" s="79" t="s">
        <v>2921</v>
      </c>
      <c r="D9259" s="78" t="s">
        <v>5614</v>
      </c>
      <c r="E9259" s="79" t="s">
        <v>139</v>
      </c>
      <c r="F9259" s="79" t="s">
        <v>5615</v>
      </c>
      <c r="G9259" s="79" t="s">
        <v>5464</v>
      </c>
      <c r="H9259" s="79"/>
      <c r="I9259" s="80" t="s">
        <v>2897</v>
      </c>
      <c r="J9259" s="583">
        <v>1</v>
      </c>
      <c r="K9259" s="583">
        <v>0</v>
      </c>
      <c r="L9259" s="92">
        <v>0.99</v>
      </c>
      <c r="M9259" s="92">
        <v>0.99</v>
      </c>
    </row>
    <row r="9260" ht="46.25" customHeight="1" spans="3:13">
      <c r="C9260" s="79" t="s">
        <v>2921</v>
      </c>
      <c r="D9260" s="78" t="s">
        <v>5610</v>
      </c>
      <c r="E9260" s="79" t="s">
        <v>139</v>
      </c>
      <c r="F9260" s="79" t="s">
        <v>5611</v>
      </c>
      <c r="G9260" s="79" t="s">
        <v>5464</v>
      </c>
      <c r="H9260" s="79"/>
      <c r="I9260" s="80" t="s">
        <v>2897</v>
      </c>
      <c r="J9260" s="583">
        <v>1</v>
      </c>
      <c r="K9260" s="583">
        <v>0</v>
      </c>
      <c r="L9260" s="92">
        <v>0.79</v>
      </c>
      <c r="M9260" s="92">
        <v>0.79</v>
      </c>
    </row>
    <row r="9261" ht="25.5" spans="3:13">
      <c r="C9261" s="108"/>
      <c r="D9261" s="108"/>
      <c r="E9261" s="108"/>
      <c r="F9261" s="108"/>
      <c r="G9261" s="108"/>
      <c r="H9261" s="108" t="s">
        <v>2898</v>
      </c>
      <c r="I9261" s="581">
        <v>0</v>
      </c>
      <c r="J9261" s="108" t="s">
        <v>2899</v>
      </c>
      <c r="K9261" s="581">
        <v>0</v>
      </c>
      <c r="L9261" s="108" t="s">
        <v>2900</v>
      </c>
      <c r="M9261" s="581">
        <v>0</v>
      </c>
    </row>
    <row r="9262" ht="26.25" spans="3:13">
      <c r="C9262" s="108"/>
      <c r="D9262" s="108"/>
      <c r="E9262" s="108"/>
      <c r="F9262" s="108"/>
      <c r="G9262" s="108"/>
      <c r="H9262" s="108" t="s">
        <v>2901</v>
      </c>
      <c r="I9262" s="581">
        <v>2.74</v>
      </c>
      <c r="J9262" s="114"/>
      <c r="K9262" s="114" t="s">
        <v>2902</v>
      </c>
      <c r="L9262" s="108"/>
      <c r="M9262" s="581">
        <v>13.5</v>
      </c>
    </row>
    <row r="9263" ht="15" spans="3:13">
      <c r="C9263" s="571"/>
      <c r="D9263" s="571"/>
      <c r="E9263" s="571"/>
      <c r="F9263" s="571"/>
      <c r="G9263" s="571"/>
      <c r="H9263" s="571"/>
      <c r="I9263" s="571"/>
      <c r="J9263" s="571"/>
      <c r="K9263" s="571"/>
      <c r="L9263" s="571"/>
      <c r="M9263" s="571"/>
    </row>
    <row r="9264" ht="15" customHeight="1" spans="3:13">
      <c r="C9264" s="76"/>
      <c r="D9264" s="75" t="s">
        <v>63</v>
      </c>
      <c r="E9264" s="76" t="s">
        <v>64</v>
      </c>
      <c r="F9264" s="76" t="s">
        <v>65</v>
      </c>
      <c r="G9264" s="76" t="s">
        <v>2889</v>
      </c>
      <c r="H9264" s="76"/>
      <c r="I9264" s="77" t="s">
        <v>66</v>
      </c>
      <c r="J9264" s="75" t="s">
        <v>67</v>
      </c>
      <c r="K9264" s="75" t="s">
        <v>2890</v>
      </c>
      <c r="L9264" s="75" t="s">
        <v>68</v>
      </c>
      <c r="M9264" s="75" t="s">
        <v>70</v>
      </c>
    </row>
    <row r="9265" ht="46.25" customHeight="1" spans="3:13">
      <c r="C9265" s="569" t="s">
        <v>2891</v>
      </c>
      <c r="D9265" s="570" t="s">
        <v>5610</v>
      </c>
      <c r="E9265" s="569" t="s">
        <v>139</v>
      </c>
      <c r="F9265" s="569" t="s">
        <v>5611</v>
      </c>
      <c r="G9265" s="569" t="s">
        <v>5464</v>
      </c>
      <c r="H9265" s="569"/>
      <c r="I9265" s="577" t="s">
        <v>2897</v>
      </c>
      <c r="J9265" s="578">
        <v>1</v>
      </c>
      <c r="K9265" s="579"/>
      <c r="L9265" s="579">
        <v>0.79</v>
      </c>
      <c r="M9265" s="579">
        <v>0.79</v>
      </c>
    </row>
    <row r="9266" ht="35.05" customHeight="1" spans="3:13">
      <c r="C9266" s="100" t="s">
        <v>2893</v>
      </c>
      <c r="D9266" s="99" t="s">
        <v>5616</v>
      </c>
      <c r="E9266" s="100" t="s">
        <v>139</v>
      </c>
      <c r="F9266" s="100" t="s">
        <v>5617</v>
      </c>
      <c r="G9266" s="100" t="s">
        <v>3680</v>
      </c>
      <c r="H9266" s="100"/>
      <c r="I9266" s="101" t="s">
        <v>134</v>
      </c>
      <c r="J9266" s="580">
        <v>6.4e-5</v>
      </c>
      <c r="K9266" s="580">
        <v>0</v>
      </c>
      <c r="L9266" s="102">
        <v>12220.41</v>
      </c>
      <c r="M9266" s="102">
        <v>0.78</v>
      </c>
    </row>
    <row r="9267" ht="23.85" customHeight="1" spans="3:13">
      <c r="C9267" s="100" t="s">
        <v>2893</v>
      </c>
      <c r="D9267" s="99" t="s">
        <v>5618</v>
      </c>
      <c r="E9267" s="100" t="s">
        <v>139</v>
      </c>
      <c r="F9267" s="100" t="s">
        <v>5619</v>
      </c>
      <c r="G9267" s="100" t="s">
        <v>2961</v>
      </c>
      <c r="H9267" s="100"/>
      <c r="I9267" s="101" t="s">
        <v>134</v>
      </c>
      <c r="J9267" s="580">
        <v>6.4e-5</v>
      </c>
      <c r="K9267" s="580">
        <v>0</v>
      </c>
      <c r="L9267" s="102">
        <v>295.8</v>
      </c>
      <c r="M9267" s="102">
        <v>0.01</v>
      </c>
    </row>
    <row r="9268" ht="25.5" spans="3:13">
      <c r="C9268" s="108"/>
      <c r="D9268" s="108"/>
      <c r="E9268" s="108"/>
      <c r="F9268" s="108"/>
      <c r="G9268" s="108"/>
      <c r="H9268" s="108" t="s">
        <v>2898</v>
      </c>
      <c r="I9268" s="581">
        <v>0</v>
      </c>
      <c r="J9268" s="108" t="s">
        <v>2899</v>
      </c>
      <c r="K9268" s="581">
        <v>0</v>
      </c>
      <c r="L9268" s="108" t="s">
        <v>2900</v>
      </c>
      <c r="M9268" s="581">
        <v>0</v>
      </c>
    </row>
    <row r="9269" ht="26.25" spans="3:13">
      <c r="C9269" s="108"/>
      <c r="D9269" s="108"/>
      <c r="E9269" s="108"/>
      <c r="F9269" s="108"/>
      <c r="G9269" s="108"/>
      <c r="H9269" s="108" t="s">
        <v>2901</v>
      </c>
      <c r="I9269" s="581">
        <v>0.2</v>
      </c>
      <c r="J9269" s="114"/>
      <c r="K9269" s="114" t="s">
        <v>2902</v>
      </c>
      <c r="L9269" s="108"/>
      <c r="M9269" s="581">
        <v>0.99</v>
      </c>
    </row>
    <row r="9270" ht="15" spans="3:13">
      <c r="C9270" s="571"/>
      <c r="D9270" s="571"/>
      <c r="E9270" s="571"/>
      <c r="F9270" s="571"/>
      <c r="G9270" s="571"/>
      <c r="H9270" s="571"/>
      <c r="I9270" s="571"/>
      <c r="J9270" s="571"/>
      <c r="K9270" s="571"/>
      <c r="L9270" s="571"/>
      <c r="M9270" s="571"/>
    </row>
    <row r="9271" ht="15" customHeight="1" spans="3:13">
      <c r="C9271" s="76"/>
      <c r="D9271" s="75" t="s">
        <v>63</v>
      </c>
      <c r="E9271" s="76" t="s">
        <v>64</v>
      </c>
      <c r="F9271" s="76" t="s">
        <v>65</v>
      </c>
      <c r="G9271" s="76" t="s">
        <v>2889</v>
      </c>
      <c r="H9271" s="76"/>
      <c r="I9271" s="77" t="s">
        <v>66</v>
      </c>
      <c r="J9271" s="75" t="s">
        <v>67</v>
      </c>
      <c r="K9271" s="75" t="s">
        <v>2890</v>
      </c>
      <c r="L9271" s="75" t="s">
        <v>68</v>
      </c>
      <c r="M9271" s="75" t="s">
        <v>70</v>
      </c>
    </row>
    <row r="9272" ht="46.25" customHeight="1" spans="3:13">
      <c r="C9272" s="569" t="s">
        <v>2891</v>
      </c>
      <c r="D9272" s="570" t="s">
        <v>5608</v>
      </c>
      <c r="E9272" s="569" t="s">
        <v>139</v>
      </c>
      <c r="F9272" s="569" t="s">
        <v>5609</v>
      </c>
      <c r="G9272" s="569" t="s">
        <v>5464</v>
      </c>
      <c r="H9272" s="569"/>
      <c r="I9272" s="577" t="s">
        <v>2897</v>
      </c>
      <c r="J9272" s="578">
        <v>1</v>
      </c>
      <c r="K9272" s="579"/>
      <c r="L9272" s="579">
        <v>0.18</v>
      </c>
      <c r="M9272" s="579">
        <v>0.18</v>
      </c>
    </row>
    <row r="9273" ht="35.05" customHeight="1" spans="3:13">
      <c r="C9273" s="100" t="s">
        <v>2893</v>
      </c>
      <c r="D9273" s="99" t="s">
        <v>5616</v>
      </c>
      <c r="E9273" s="100" t="s">
        <v>139</v>
      </c>
      <c r="F9273" s="100" t="s">
        <v>5617</v>
      </c>
      <c r="G9273" s="100" t="s">
        <v>3680</v>
      </c>
      <c r="H9273" s="100"/>
      <c r="I9273" s="101" t="s">
        <v>134</v>
      </c>
      <c r="J9273" s="580">
        <v>1.48e-5</v>
      </c>
      <c r="K9273" s="580">
        <v>0</v>
      </c>
      <c r="L9273" s="102">
        <v>12220.41</v>
      </c>
      <c r="M9273" s="102">
        <v>0.18</v>
      </c>
    </row>
    <row r="9274" ht="25.5" spans="3:13">
      <c r="C9274" s="108"/>
      <c r="D9274" s="108"/>
      <c r="E9274" s="108"/>
      <c r="F9274" s="108"/>
      <c r="G9274" s="108"/>
      <c r="H9274" s="108" t="s">
        <v>2898</v>
      </c>
      <c r="I9274" s="581">
        <v>0</v>
      </c>
      <c r="J9274" s="108" t="s">
        <v>2899</v>
      </c>
      <c r="K9274" s="581">
        <v>0</v>
      </c>
      <c r="L9274" s="108" t="s">
        <v>2900</v>
      </c>
      <c r="M9274" s="581">
        <v>0</v>
      </c>
    </row>
    <row r="9275" ht="26.25" spans="3:13">
      <c r="C9275" s="108"/>
      <c r="D9275" s="108"/>
      <c r="E9275" s="108"/>
      <c r="F9275" s="108"/>
      <c r="G9275" s="108"/>
      <c r="H9275" s="108" t="s">
        <v>2901</v>
      </c>
      <c r="I9275" s="581">
        <v>0.04</v>
      </c>
      <c r="J9275" s="114"/>
      <c r="K9275" s="114" t="s">
        <v>2902</v>
      </c>
      <c r="L9275" s="108"/>
      <c r="M9275" s="581">
        <v>0.22</v>
      </c>
    </row>
    <row r="9276" ht="15" spans="3:13">
      <c r="C9276" s="571"/>
      <c r="D9276" s="571"/>
      <c r="E9276" s="571"/>
      <c r="F9276" s="571"/>
      <c r="G9276" s="571"/>
      <c r="H9276" s="571"/>
      <c r="I9276" s="571"/>
      <c r="J9276" s="571"/>
      <c r="K9276" s="571"/>
      <c r="L9276" s="571"/>
      <c r="M9276" s="571"/>
    </row>
    <row r="9277" ht="15" customHeight="1" spans="3:13">
      <c r="C9277" s="76"/>
      <c r="D9277" s="75" t="s">
        <v>63</v>
      </c>
      <c r="E9277" s="76" t="s">
        <v>64</v>
      </c>
      <c r="F9277" s="76" t="s">
        <v>65</v>
      </c>
      <c r="G9277" s="76" t="s">
        <v>2889</v>
      </c>
      <c r="H9277" s="76"/>
      <c r="I9277" s="77" t="s">
        <v>66</v>
      </c>
      <c r="J9277" s="75" t="s">
        <v>67</v>
      </c>
      <c r="K9277" s="75" t="s">
        <v>2890</v>
      </c>
      <c r="L9277" s="75" t="s">
        <v>68</v>
      </c>
      <c r="M9277" s="75" t="s">
        <v>70</v>
      </c>
    </row>
    <row r="9278" ht="46.25" customHeight="1" spans="3:13">
      <c r="C9278" s="569" t="s">
        <v>2891</v>
      </c>
      <c r="D9278" s="570" t="s">
        <v>5614</v>
      </c>
      <c r="E9278" s="569" t="s">
        <v>139</v>
      </c>
      <c r="F9278" s="569" t="s">
        <v>5615</v>
      </c>
      <c r="G9278" s="569" t="s">
        <v>5464</v>
      </c>
      <c r="H9278" s="569"/>
      <c r="I9278" s="577" t="s">
        <v>2897</v>
      </c>
      <c r="J9278" s="578">
        <v>1</v>
      </c>
      <c r="K9278" s="579"/>
      <c r="L9278" s="579">
        <v>0.99</v>
      </c>
      <c r="M9278" s="579">
        <v>0.99</v>
      </c>
    </row>
    <row r="9279" ht="23.85" customHeight="1" spans="3:13">
      <c r="C9279" s="100" t="s">
        <v>2893</v>
      </c>
      <c r="D9279" s="99" t="s">
        <v>5618</v>
      </c>
      <c r="E9279" s="100" t="s">
        <v>139</v>
      </c>
      <c r="F9279" s="100" t="s">
        <v>5619</v>
      </c>
      <c r="G9279" s="100" t="s">
        <v>2961</v>
      </c>
      <c r="H9279" s="100"/>
      <c r="I9279" s="101" t="s">
        <v>134</v>
      </c>
      <c r="J9279" s="580">
        <v>8e-5</v>
      </c>
      <c r="K9279" s="580">
        <v>0</v>
      </c>
      <c r="L9279" s="102">
        <v>295.8</v>
      </c>
      <c r="M9279" s="102">
        <v>0.02</v>
      </c>
    </row>
    <row r="9280" ht="35.05" customHeight="1" spans="3:13">
      <c r="C9280" s="100" t="s">
        <v>2893</v>
      </c>
      <c r="D9280" s="99" t="s">
        <v>5616</v>
      </c>
      <c r="E9280" s="100" t="s">
        <v>139</v>
      </c>
      <c r="F9280" s="100" t="s">
        <v>5617</v>
      </c>
      <c r="G9280" s="100" t="s">
        <v>3680</v>
      </c>
      <c r="H9280" s="100"/>
      <c r="I9280" s="101" t="s">
        <v>134</v>
      </c>
      <c r="J9280" s="580">
        <v>8e-5</v>
      </c>
      <c r="K9280" s="580">
        <v>0</v>
      </c>
      <c r="L9280" s="102">
        <v>12220.41</v>
      </c>
      <c r="M9280" s="102">
        <v>0.97</v>
      </c>
    </row>
    <row r="9281" ht="25.5" spans="3:13">
      <c r="C9281" s="108"/>
      <c r="D9281" s="108"/>
      <c r="E9281" s="108"/>
      <c r="F9281" s="108"/>
      <c r="G9281" s="108"/>
      <c r="H9281" s="108" t="s">
        <v>2898</v>
      </c>
      <c r="I9281" s="581">
        <v>0</v>
      </c>
      <c r="J9281" s="108" t="s">
        <v>2899</v>
      </c>
      <c r="K9281" s="581">
        <v>0</v>
      </c>
      <c r="L9281" s="108" t="s">
        <v>2900</v>
      </c>
      <c r="M9281" s="581">
        <v>0</v>
      </c>
    </row>
    <row r="9282" ht="26.25" spans="3:13">
      <c r="C9282" s="108"/>
      <c r="D9282" s="108"/>
      <c r="E9282" s="108"/>
      <c r="F9282" s="108"/>
      <c r="G9282" s="108"/>
      <c r="H9282" s="108" t="s">
        <v>2901</v>
      </c>
      <c r="I9282" s="581">
        <v>0.25</v>
      </c>
      <c r="J9282" s="114"/>
      <c r="K9282" s="114" t="s">
        <v>2902</v>
      </c>
      <c r="L9282" s="108"/>
      <c r="M9282" s="581">
        <v>1.24</v>
      </c>
    </row>
    <row r="9283" ht="15" spans="3:13">
      <c r="C9283" s="571"/>
      <c r="D9283" s="571"/>
      <c r="E9283" s="571"/>
      <c r="F9283" s="571"/>
      <c r="G9283" s="571"/>
      <c r="H9283" s="571"/>
      <c r="I9283" s="571"/>
      <c r="J9283" s="571"/>
      <c r="K9283" s="571"/>
      <c r="L9283" s="571"/>
      <c r="M9283" s="571"/>
    </row>
    <row r="9284" ht="15" customHeight="1" spans="3:13">
      <c r="C9284" s="76"/>
      <c r="D9284" s="75" t="s">
        <v>63</v>
      </c>
      <c r="E9284" s="76" t="s">
        <v>64</v>
      </c>
      <c r="F9284" s="76" t="s">
        <v>65</v>
      </c>
      <c r="G9284" s="76" t="s">
        <v>2889</v>
      </c>
      <c r="H9284" s="76"/>
      <c r="I9284" s="77" t="s">
        <v>66</v>
      </c>
      <c r="J9284" s="75" t="s">
        <v>67</v>
      </c>
      <c r="K9284" s="75" t="s">
        <v>2890</v>
      </c>
      <c r="L9284" s="75" t="s">
        <v>68</v>
      </c>
      <c r="M9284" s="75" t="s">
        <v>70</v>
      </c>
    </row>
    <row r="9285" ht="46.25" customHeight="1" spans="3:13">
      <c r="C9285" s="569" t="s">
        <v>2891</v>
      </c>
      <c r="D9285" s="570" t="s">
        <v>5612</v>
      </c>
      <c r="E9285" s="569" t="s">
        <v>139</v>
      </c>
      <c r="F9285" s="569" t="s">
        <v>5613</v>
      </c>
      <c r="G9285" s="569" t="s">
        <v>5464</v>
      </c>
      <c r="H9285" s="569"/>
      <c r="I9285" s="577" t="s">
        <v>2897</v>
      </c>
      <c r="J9285" s="578">
        <v>1</v>
      </c>
      <c r="K9285" s="579"/>
      <c r="L9285" s="579">
        <v>8.8</v>
      </c>
      <c r="M9285" s="579">
        <v>8.8</v>
      </c>
    </row>
    <row r="9286" ht="15" customHeight="1" spans="3:13">
      <c r="C9286" s="100" t="s">
        <v>2893</v>
      </c>
      <c r="D9286" s="99" t="s">
        <v>5569</v>
      </c>
      <c r="E9286" s="100" t="s">
        <v>139</v>
      </c>
      <c r="F9286" s="100" t="s">
        <v>5570</v>
      </c>
      <c r="G9286" s="100" t="s">
        <v>2961</v>
      </c>
      <c r="H9286" s="100"/>
      <c r="I9286" s="101" t="s">
        <v>3084</v>
      </c>
      <c r="J9286" s="580">
        <v>1.45</v>
      </c>
      <c r="K9286" s="580">
        <v>0</v>
      </c>
      <c r="L9286" s="102">
        <v>6.07</v>
      </c>
      <c r="M9286" s="102">
        <v>8.8</v>
      </c>
    </row>
    <row r="9287" ht="25.5" spans="3:13">
      <c r="C9287" s="108"/>
      <c r="D9287" s="108"/>
      <c r="E9287" s="108"/>
      <c r="F9287" s="108"/>
      <c r="G9287" s="108"/>
      <c r="H9287" s="108" t="s">
        <v>2898</v>
      </c>
      <c r="I9287" s="581">
        <v>0</v>
      </c>
      <c r="J9287" s="108" t="s">
        <v>2899</v>
      </c>
      <c r="K9287" s="581">
        <v>0</v>
      </c>
      <c r="L9287" s="108" t="s">
        <v>2900</v>
      </c>
      <c r="M9287" s="581">
        <v>0</v>
      </c>
    </row>
    <row r="9288" ht="26.25" spans="3:13">
      <c r="C9288" s="108"/>
      <c r="D9288" s="108"/>
      <c r="E9288" s="108"/>
      <c r="F9288" s="108"/>
      <c r="G9288" s="108"/>
      <c r="H9288" s="108" t="s">
        <v>2901</v>
      </c>
      <c r="I9288" s="581">
        <v>2.24</v>
      </c>
      <c r="J9288" s="114"/>
      <c r="K9288" s="114" t="s">
        <v>2902</v>
      </c>
      <c r="L9288" s="108"/>
      <c r="M9288" s="581">
        <v>11.04</v>
      </c>
    </row>
    <row r="9289" ht="15" spans="3:13">
      <c r="C9289" s="571"/>
      <c r="D9289" s="571"/>
      <c r="E9289" s="571"/>
      <c r="F9289" s="571"/>
      <c r="G9289" s="571"/>
      <c r="H9289" s="571"/>
      <c r="I9289" s="571"/>
      <c r="J9289" s="571"/>
      <c r="K9289" s="571"/>
      <c r="L9289" s="571"/>
      <c r="M9289" s="571"/>
    </row>
    <row r="9290" ht="15" customHeight="1" spans="3:13">
      <c r="C9290" s="76"/>
      <c r="D9290" s="75" t="s">
        <v>63</v>
      </c>
      <c r="E9290" s="76" t="s">
        <v>64</v>
      </c>
      <c r="F9290" s="76" t="s">
        <v>65</v>
      </c>
      <c r="G9290" s="76" t="s">
        <v>2889</v>
      </c>
      <c r="H9290" s="76"/>
      <c r="I9290" s="77" t="s">
        <v>66</v>
      </c>
      <c r="J9290" s="75" t="s">
        <v>67</v>
      </c>
      <c r="K9290" s="75" t="s">
        <v>2890</v>
      </c>
      <c r="L9290" s="75" t="s">
        <v>68</v>
      </c>
      <c r="M9290" s="75" t="s">
        <v>70</v>
      </c>
    </row>
    <row r="9291" ht="23.85" customHeight="1" spans="3:13">
      <c r="C9291" s="569" t="s">
        <v>2891</v>
      </c>
      <c r="D9291" s="570" t="s">
        <v>3324</v>
      </c>
      <c r="E9291" s="569" t="s">
        <v>139</v>
      </c>
      <c r="F9291" s="569" t="s">
        <v>3325</v>
      </c>
      <c r="G9291" s="569" t="s">
        <v>3317</v>
      </c>
      <c r="H9291" s="569"/>
      <c r="I9291" s="577" t="s">
        <v>393</v>
      </c>
      <c r="J9291" s="578">
        <v>1</v>
      </c>
      <c r="K9291" s="579"/>
      <c r="L9291" s="579">
        <v>9.78</v>
      </c>
      <c r="M9291" s="579">
        <v>9.78</v>
      </c>
    </row>
    <row r="9292" ht="23.85" customHeight="1" spans="3:13">
      <c r="C9292" s="79" t="s">
        <v>2921</v>
      </c>
      <c r="D9292" s="78" t="s">
        <v>3311</v>
      </c>
      <c r="E9292" s="79" t="s">
        <v>139</v>
      </c>
      <c r="F9292" s="79" t="s">
        <v>3312</v>
      </c>
      <c r="G9292" s="79" t="s">
        <v>2928</v>
      </c>
      <c r="H9292" s="79"/>
      <c r="I9292" s="80" t="s">
        <v>2897</v>
      </c>
      <c r="J9292" s="583">
        <v>0.0014</v>
      </c>
      <c r="K9292" s="583">
        <v>0</v>
      </c>
      <c r="L9292" s="92">
        <v>30.06</v>
      </c>
      <c r="M9292" s="92">
        <v>0.04</v>
      </c>
    </row>
    <row r="9293" ht="23.85" customHeight="1" spans="3:13">
      <c r="C9293" s="79" t="s">
        <v>2921</v>
      </c>
      <c r="D9293" s="78" t="s">
        <v>3313</v>
      </c>
      <c r="E9293" s="79" t="s">
        <v>139</v>
      </c>
      <c r="F9293" s="79" t="s">
        <v>3314</v>
      </c>
      <c r="G9293" s="79" t="s">
        <v>2928</v>
      </c>
      <c r="H9293" s="79"/>
      <c r="I9293" s="80" t="s">
        <v>2897</v>
      </c>
      <c r="J9293" s="583">
        <v>0.0088</v>
      </c>
      <c r="K9293" s="583">
        <v>0</v>
      </c>
      <c r="L9293" s="92">
        <v>35.95</v>
      </c>
      <c r="M9293" s="92">
        <v>0.31</v>
      </c>
    </row>
    <row r="9294" ht="15" customHeight="1" spans="3:13">
      <c r="C9294" s="100" t="s">
        <v>2893</v>
      </c>
      <c r="D9294" s="99" t="s">
        <v>5378</v>
      </c>
      <c r="E9294" s="100" t="s">
        <v>139</v>
      </c>
      <c r="F9294" s="100" t="s">
        <v>5379</v>
      </c>
      <c r="G9294" s="100" t="s">
        <v>2961</v>
      </c>
      <c r="H9294" s="100"/>
      <c r="I9294" s="101" t="s">
        <v>393</v>
      </c>
      <c r="J9294" s="580">
        <v>1.11</v>
      </c>
      <c r="K9294" s="580">
        <v>0</v>
      </c>
      <c r="L9294" s="102">
        <v>8.5</v>
      </c>
      <c r="M9294" s="102">
        <v>9.43</v>
      </c>
    </row>
    <row r="9295" ht="25.5" spans="3:13">
      <c r="C9295" s="108"/>
      <c r="D9295" s="108"/>
      <c r="E9295" s="108"/>
      <c r="F9295" s="108"/>
      <c r="G9295" s="108"/>
      <c r="H9295" s="108" t="s">
        <v>2898</v>
      </c>
      <c r="I9295" s="581">
        <v>0.24</v>
      </c>
      <c r="J9295" s="108" t="s">
        <v>2899</v>
      </c>
      <c r="K9295" s="581">
        <v>0</v>
      </c>
      <c r="L9295" s="108" t="s">
        <v>2900</v>
      </c>
      <c r="M9295" s="581">
        <v>0.24</v>
      </c>
    </row>
    <row r="9296" ht="26.25" spans="3:13">
      <c r="C9296" s="108"/>
      <c r="D9296" s="108"/>
      <c r="E9296" s="108"/>
      <c r="F9296" s="108"/>
      <c r="G9296" s="108"/>
      <c r="H9296" s="108" t="s">
        <v>2901</v>
      </c>
      <c r="I9296" s="581">
        <v>2.49</v>
      </c>
      <c r="J9296" s="114"/>
      <c r="K9296" s="114" t="s">
        <v>2902</v>
      </c>
      <c r="L9296" s="108"/>
      <c r="M9296" s="581">
        <v>12.27</v>
      </c>
    </row>
    <row r="9297" ht="15" spans="3:13">
      <c r="C9297" s="571"/>
      <c r="D9297" s="571"/>
      <c r="E9297" s="571"/>
      <c r="F9297" s="571"/>
      <c r="G9297" s="571"/>
      <c r="H9297" s="571"/>
      <c r="I9297" s="571"/>
      <c r="J9297" s="571"/>
      <c r="K9297" s="571"/>
      <c r="L9297" s="571"/>
      <c r="M9297" s="571"/>
    </row>
    <row r="9298" ht="15" customHeight="1" spans="3:13">
      <c r="C9298" s="76"/>
      <c r="D9298" s="75" t="s">
        <v>63</v>
      </c>
      <c r="E9298" s="76" t="s">
        <v>64</v>
      </c>
      <c r="F9298" s="76" t="s">
        <v>65</v>
      </c>
      <c r="G9298" s="76" t="s">
        <v>2889</v>
      </c>
      <c r="H9298" s="76"/>
      <c r="I9298" s="77" t="s">
        <v>66</v>
      </c>
      <c r="J9298" s="75" t="s">
        <v>67</v>
      </c>
      <c r="K9298" s="75" t="s">
        <v>2890</v>
      </c>
      <c r="L9298" s="75" t="s">
        <v>68</v>
      </c>
      <c r="M9298" s="75" t="s">
        <v>70</v>
      </c>
    </row>
    <row r="9299" ht="23.85" customHeight="1" spans="3:13">
      <c r="C9299" s="569" t="s">
        <v>2891</v>
      </c>
      <c r="D9299" s="570" t="s">
        <v>3326</v>
      </c>
      <c r="E9299" s="569" t="s">
        <v>139</v>
      </c>
      <c r="F9299" s="569" t="s">
        <v>3327</v>
      </c>
      <c r="G9299" s="569" t="s">
        <v>3317</v>
      </c>
      <c r="H9299" s="569"/>
      <c r="I9299" s="577" t="s">
        <v>393</v>
      </c>
      <c r="J9299" s="578">
        <v>1</v>
      </c>
      <c r="K9299" s="579"/>
      <c r="L9299" s="579">
        <v>8.35</v>
      </c>
      <c r="M9299" s="579">
        <v>8.35</v>
      </c>
    </row>
    <row r="9300" ht="23.85" customHeight="1" spans="3:13">
      <c r="C9300" s="79" t="s">
        <v>2921</v>
      </c>
      <c r="D9300" s="78" t="s">
        <v>3311</v>
      </c>
      <c r="E9300" s="79" t="s">
        <v>139</v>
      </c>
      <c r="F9300" s="79" t="s">
        <v>3312</v>
      </c>
      <c r="G9300" s="79" t="s">
        <v>2928</v>
      </c>
      <c r="H9300" s="79"/>
      <c r="I9300" s="80" t="s">
        <v>2897</v>
      </c>
      <c r="J9300" s="583">
        <v>0.0008</v>
      </c>
      <c r="K9300" s="583">
        <v>0</v>
      </c>
      <c r="L9300" s="92">
        <v>30.06</v>
      </c>
      <c r="M9300" s="92">
        <v>0.02</v>
      </c>
    </row>
    <row r="9301" ht="23.85" customHeight="1" spans="3:13">
      <c r="C9301" s="79" t="s">
        <v>2921</v>
      </c>
      <c r="D9301" s="78" t="s">
        <v>3313</v>
      </c>
      <c r="E9301" s="79" t="s">
        <v>139</v>
      </c>
      <c r="F9301" s="79" t="s">
        <v>3314</v>
      </c>
      <c r="G9301" s="79" t="s">
        <v>2928</v>
      </c>
      <c r="H9301" s="79"/>
      <c r="I9301" s="80" t="s">
        <v>2897</v>
      </c>
      <c r="J9301" s="583">
        <v>0.0048</v>
      </c>
      <c r="K9301" s="583">
        <v>0</v>
      </c>
      <c r="L9301" s="92">
        <v>35.95</v>
      </c>
      <c r="M9301" s="92">
        <v>0.17</v>
      </c>
    </row>
    <row r="9302" ht="15" customHeight="1" spans="3:13">
      <c r="C9302" s="100" t="s">
        <v>2893</v>
      </c>
      <c r="D9302" s="99" t="s">
        <v>5620</v>
      </c>
      <c r="E9302" s="100" t="s">
        <v>139</v>
      </c>
      <c r="F9302" s="100" t="s">
        <v>5621</v>
      </c>
      <c r="G9302" s="100" t="s">
        <v>2961</v>
      </c>
      <c r="H9302" s="100"/>
      <c r="I9302" s="101" t="s">
        <v>393</v>
      </c>
      <c r="J9302" s="580">
        <v>1.11</v>
      </c>
      <c r="K9302" s="580">
        <v>0</v>
      </c>
      <c r="L9302" s="102">
        <v>7.36</v>
      </c>
      <c r="M9302" s="102">
        <v>8.16</v>
      </c>
    </row>
    <row r="9303" ht="25.5" spans="3:13">
      <c r="C9303" s="108"/>
      <c r="D9303" s="108"/>
      <c r="E9303" s="108"/>
      <c r="F9303" s="108"/>
      <c r="G9303" s="108"/>
      <c r="H9303" s="108" t="s">
        <v>2898</v>
      </c>
      <c r="I9303" s="581">
        <v>0.13</v>
      </c>
      <c r="J9303" s="108" t="s">
        <v>2899</v>
      </c>
      <c r="K9303" s="581">
        <v>0</v>
      </c>
      <c r="L9303" s="108" t="s">
        <v>2900</v>
      </c>
      <c r="M9303" s="581">
        <v>0.13</v>
      </c>
    </row>
    <row r="9304" ht="26.25" spans="3:13">
      <c r="C9304" s="108"/>
      <c r="D9304" s="108"/>
      <c r="E9304" s="108"/>
      <c r="F9304" s="108"/>
      <c r="G9304" s="108"/>
      <c r="H9304" s="108" t="s">
        <v>2901</v>
      </c>
      <c r="I9304" s="581">
        <v>2.12</v>
      </c>
      <c r="J9304" s="114"/>
      <c r="K9304" s="114" t="s">
        <v>2902</v>
      </c>
      <c r="L9304" s="108"/>
      <c r="M9304" s="581">
        <v>10.47</v>
      </c>
    </row>
    <row r="9305" ht="15" spans="3:13">
      <c r="C9305" s="571"/>
      <c r="D9305" s="571"/>
      <c r="E9305" s="571"/>
      <c r="F9305" s="571"/>
      <c r="G9305" s="571"/>
      <c r="H9305" s="571"/>
      <c r="I9305" s="571"/>
      <c r="J9305" s="571"/>
      <c r="K9305" s="571"/>
      <c r="L9305" s="571"/>
      <c r="M9305" s="571"/>
    </row>
    <row r="9306" ht="15" customHeight="1" spans="3:13">
      <c r="C9306" s="76"/>
      <c r="D9306" s="75" t="s">
        <v>63</v>
      </c>
      <c r="E9306" s="76" t="s">
        <v>64</v>
      </c>
      <c r="F9306" s="76" t="s">
        <v>65</v>
      </c>
      <c r="G9306" s="76" t="s">
        <v>2889</v>
      </c>
      <c r="H9306" s="76"/>
      <c r="I9306" s="77" t="s">
        <v>66</v>
      </c>
      <c r="J9306" s="75" t="s">
        <v>67</v>
      </c>
      <c r="K9306" s="75" t="s">
        <v>2890</v>
      </c>
      <c r="L9306" s="75" t="s">
        <v>68</v>
      </c>
      <c r="M9306" s="75" t="s">
        <v>70</v>
      </c>
    </row>
    <row r="9307" ht="23.85" customHeight="1" spans="3:13">
      <c r="C9307" s="569" t="s">
        <v>2891</v>
      </c>
      <c r="D9307" s="570" t="s">
        <v>3328</v>
      </c>
      <c r="E9307" s="569" t="s">
        <v>139</v>
      </c>
      <c r="F9307" s="569" t="s">
        <v>3329</v>
      </c>
      <c r="G9307" s="569" t="s">
        <v>3317</v>
      </c>
      <c r="H9307" s="569"/>
      <c r="I9307" s="577" t="s">
        <v>393</v>
      </c>
      <c r="J9307" s="578">
        <v>1</v>
      </c>
      <c r="K9307" s="579"/>
      <c r="L9307" s="579">
        <v>8.24</v>
      </c>
      <c r="M9307" s="579">
        <v>8.24</v>
      </c>
    </row>
    <row r="9308" ht="23.85" customHeight="1" spans="3:13">
      <c r="C9308" s="79" t="s">
        <v>2921</v>
      </c>
      <c r="D9308" s="78" t="s">
        <v>3313</v>
      </c>
      <c r="E9308" s="79" t="s">
        <v>139</v>
      </c>
      <c r="F9308" s="79" t="s">
        <v>3314</v>
      </c>
      <c r="G9308" s="79" t="s">
        <v>2928</v>
      </c>
      <c r="H9308" s="79"/>
      <c r="I9308" s="80" t="s">
        <v>2897</v>
      </c>
      <c r="J9308" s="583">
        <v>0.0025</v>
      </c>
      <c r="K9308" s="583">
        <v>0</v>
      </c>
      <c r="L9308" s="92">
        <v>35.95</v>
      </c>
      <c r="M9308" s="92">
        <v>0.08</v>
      </c>
    </row>
    <row r="9309" ht="15" customHeight="1" spans="3:13">
      <c r="C9309" s="100" t="s">
        <v>2893</v>
      </c>
      <c r="D9309" s="99" t="s">
        <v>5620</v>
      </c>
      <c r="E9309" s="100" t="s">
        <v>139</v>
      </c>
      <c r="F9309" s="100" t="s">
        <v>5621</v>
      </c>
      <c r="G9309" s="100" t="s">
        <v>2961</v>
      </c>
      <c r="H9309" s="100"/>
      <c r="I9309" s="101" t="s">
        <v>393</v>
      </c>
      <c r="J9309" s="580">
        <v>1.11</v>
      </c>
      <c r="K9309" s="580">
        <v>0</v>
      </c>
      <c r="L9309" s="102">
        <v>7.36</v>
      </c>
      <c r="M9309" s="102">
        <v>8.16</v>
      </c>
    </row>
    <row r="9310" ht="25.5" spans="3:13">
      <c r="C9310" s="108"/>
      <c r="D9310" s="108"/>
      <c r="E9310" s="108"/>
      <c r="F9310" s="108"/>
      <c r="G9310" s="108"/>
      <c r="H9310" s="108" t="s">
        <v>2898</v>
      </c>
      <c r="I9310" s="581">
        <v>0.06</v>
      </c>
      <c r="J9310" s="108" t="s">
        <v>2899</v>
      </c>
      <c r="K9310" s="581">
        <v>0</v>
      </c>
      <c r="L9310" s="108" t="s">
        <v>2900</v>
      </c>
      <c r="M9310" s="581">
        <v>0.06</v>
      </c>
    </row>
    <row r="9311" ht="26.25" spans="3:13">
      <c r="C9311" s="108"/>
      <c r="D9311" s="108"/>
      <c r="E9311" s="108"/>
      <c r="F9311" s="108"/>
      <c r="G9311" s="108"/>
      <c r="H9311" s="108" t="s">
        <v>2901</v>
      </c>
      <c r="I9311" s="581">
        <v>2.1</v>
      </c>
      <c r="J9311" s="114"/>
      <c r="K9311" s="114" t="s">
        <v>2902</v>
      </c>
      <c r="L9311" s="108"/>
      <c r="M9311" s="581">
        <v>10.34</v>
      </c>
    </row>
    <row r="9312" ht="15" spans="3:13">
      <c r="C9312" s="571"/>
      <c r="D9312" s="571"/>
      <c r="E9312" s="571"/>
      <c r="F9312" s="571"/>
      <c r="G9312" s="571"/>
      <c r="H9312" s="571"/>
      <c r="I9312" s="571"/>
      <c r="J9312" s="571"/>
      <c r="K9312" s="571"/>
      <c r="L9312" s="571"/>
      <c r="M9312" s="571"/>
    </row>
    <row r="9313" ht="15" customHeight="1" spans="3:13">
      <c r="C9313" s="76"/>
      <c r="D9313" s="75" t="s">
        <v>63</v>
      </c>
      <c r="E9313" s="76" t="s">
        <v>64</v>
      </c>
      <c r="F9313" s="76" t="s">
        <v>65</v>
      </c>
      <c r="G9313" s="76" t="s">
        <v>2889</v>
      </c>
      <c r="H9313" s="76"/>
      <c r="I9313" s="77" t="s">
        <v>66</v>
      </c>
      <c r="J9313" s="75" t="s">
        <v>67</v>
      </c>
      <c r="K9313" s="75" t="s">
        <v>2890</v>
      </c>
      <c r="L9313" s="75" t="s">
        <v>68</v>
      </c>
      <c r="M9313" s="75" t="s">
        <v>70</v>
      </c>
    </row>
    <row r="9314" ht="23.85" customHeight="1" spans="3:13">
      <c r="C9314" s="569" t="s">
        <v>2891</v>
      </c>
      <c r="D9314" s="570" t="s">
        <v>3315</v>
      </c>
      <c r="E9314" s="569" t="s">
        <v>139</v>
      </c>
      <c r="F9314" s="569" t="s">
        <v>3316</v>
      </c>
      <c r="G9314" s="569" t="s">
        <v>3317</v>
      </c>
      <c r="H9314" s="569"/>
      <c r="I9314" s="577" t="s">
        <v>393</v>
      </c>
      <c r="J9314" s="578">
        <v>1</v>
      </c>
      <c r="K9314" s="579"/>
      <c r="L9314" s="579">
        <v>10.84</v>
      </c>
      <c r="M9314" s="579">
        <v>10.84</v>
      </c>
    </row>
    <row r="9315" ht="23.85" customHeight="1" spans="3:13">
      <c r="C9315" s="79" t="s">
        <v>2921</v>
      </c>
      <c r="D9315" s="78" t="s">
        <v>3311</v>
      </c>
      <c r="E9315" s="79" t="s">
        <v>139</v>
      </c>
      <c r="F9315" s="79" t="s">
        <v>3312</v>
      </c>
      <c r="G9315" s="79" t="s">
        <v>2928</v>
      </c>
      <c r="H9315" s="79"/>
      <c r="I9315" s="80" t="s">
        <v>2897</v>
      </c>
      <c r="J9315" s="583">
        <v>0.0051</v>
      </c>
      <c r="K9315" s="583">
        <v>0</v>
      </c>
      <c r="L9315" s="92">
        <v>30.06</v>
      </c>
      <c r="M9315" s="92">
        <v>0.15</v>
      </c>
    </row>
    <row r="9316" ht="23.85" customHeight="1" spans="3:13">
      <c r="C9316" s="79" t="s">
        <v>2921</v>
      </c>
      <c r="D9316" s="78" t="s">
        <v>3313</v>
      </c>
      <c r="E9316" s="79" t="s">
        <v>139</v>
      </c>
      <c r="F9316" s="79" t="s">
        <v>3314</v>
      </c>
      <c r="G9316" s="79" t="s">
        <v>2928</v>
      </c>
      <c r="H9316" s="79"/>
      <c r="I9316" s="80" t="s">
        <v>2897</v>
      </c>
      <c r="J9316" s="583">
        <v>0.031</v>
      </c>
      <c r="K9316" s="583">
        <v>0</v>
      </c>
      <c r="L9316" s="92">
        <v>35.95</v>
      </c>
      <c r="M9316" s="92">
        <v>1.11</v>
      </c>
    </row>
    <row r="9317" ht="15" customHeight="1" spans="3:13">
      <c r="C9317" s="100" t="s">
        <v>2893</v>
      </c>
      <c r="D9317" s="99" t="s">
        <v>5622</v>
      </c>
      <c r="E9317" s="100" t="s">
        <v>139</v>
      </c>
      <c r="F9317" s="100" t="s">
        <v>5623</v>
      </c>
      <c r="G9317" s="100" t="s">
        <v>2961</v>
      </c>
      <c r="H9317" s="100"/>
      <c r="I9317" s="101" t="s">
        <v>393</v>
      </c>
      <c r="J9317" s="580">
        <v>1.07</v>
      </c>
      <c r="K9317" s="580">
        <v>0</v>
      </c>
      <c r="L9317" s="102">
        <v>8.96</v>
      </c>
      <c r="M9317" s="102">
        <v>9.58</v>
      </c>
    </row>
    <row r="9318" ht="25.5" spans="3:13">
      <c r="C9318" s="108"/>
      <c r="D9318" s="108"/>
      <c r="E9318" s="108"/>
      <c r="F9318" s="108"/>
      <c r="G9318" s="108"/>
      <c r="H9318" s="108" t="s">
        <v>2898</v>
      </c>
      <c r="I9318" s="581">
        <v>0.9</v>
      </c>
      <c r="J9318" s="108" t="s">
        <v>2899</v>
      </c>
      <c r="K9318" s="581">
        <v>0</v>
      </c>
      <c r="L9318" s="108" t="s">
        <v>2900</v>
      </c>
      <c r="M9318" s="581">
        <v>0.9</v>
      </c>
    </row>
    <row r="9319" ht="26.25" spans="3:13">
      <c r="C9319" s="108"/>
      <c r="D9319" s="108"/>
      <c r="E9319" s="108"/>
      <c r="F9319" s="108"/>
      <c r="G9319" s="108"/>
      <c r="H9319" s="108" t="s">
        <v>2901</v>
      </c>
      <c r="I9319" s="581">
        <v>2.76</v>
      </c>
      <c r="J9319" s="114"/>
      <c r="K9319" s="114" t="s">
        <v>2902</v>
      </c>
      <c r="L9319" s="108"/>
      <c r="M9319" s="581">
        <v>13.6</v>
      </c>
    </row>
    <row r="9320" ht="15" spans="3:13">
      <c r="C9320" s="571"/>
      <c r="D9320" s="571"/>
      <c r="E9320" s="571"/>
      <c r="F9320" s="571"/>
      <c r="G9320" s="571"/>
      <c r="H9320" s="571"/>
      <c r="I9320" s="571"/>
      <c r="J9320" s="571"/>
      <c r="K9320" s="571"/>
      <c r="L9320" s="571"/>
      <c r="M9320" s="571"/>
    </row>
    <row r="9321" ht="15" customHeight="1" spans="3:13">
      <c r="C9321" s="76"/>
      <c r="D9321" s="75" t="s">
        <v>63</v>
      </c>
      <c r="E9321" s="76" t="s">
        <v>64</v>
      </c>
      <c r="F9321" s="76" t="s">
        <v>65</v>
      </c>
      <c r="G9321" s="76" t="s">
        <v>2889</v>
      </c>
      <c r="H9321" s="76"/>
      <c r="I9321" s="77" t="s">
        <v>66</v>
      </c>
      <c r="J9321" s="75" t="s">
        <v>67</v>
      </c>
      <c r="K9321" s="75" t="s">
        <v>2890</v>
      </c>
      <c r="L9321" s="75" t="s">
        <v>68</v>
      </c>
      <c r="M9321" s="75" t="s">
        <v>70</v>
      </c>
    </row>
    <row r="9322" ht="23.85" customHeight="1" spans="3:13">
      <c r="C9322" s="569" t="s">
        <v>2891</v>
      </c>
      <c r="D9322" s="570" t="s">
        <v>3322</v>
      </c>
      <c r="E9322" s="569" t="s">
        <v>139</v>
      </c>
      <c r="F9322" s="569" t="s">
        <v>3323</v>
      </c>
      <c r="G9322" s="569" t="s">
        <v>3317</v>
      </c>
      <c r="H9322" s="569"/>
      <c r="I9322" s="577" t="s">
        <v>393</v>
      </c>
      <c r="J9322" s="578">
        <v>1</v>
      </c>
      <c r="K9322" s="579"/>
      <c r="L9322" s="579">
        <v>10.65</v>
      </c>
      <c r="M9322" s="579">
        <v>10.65</v>
      </c>
    </row>
    <row r="9323" ht="23.85" customHeight="1" spans="3:13">
      <c r="C9323" s="79" t="s">
        <v>2921</v>
      </c>
      <c r="D9323" s="78" t="s">
        <v>3311</v>
      </c>
      <c r="E9323" s="79" t="s">
        <v>139</v>
      </c>
      <c r="F9323" s="79" t="s">
        <v>3312</v>
      </c>
      <c r="G9323" s="79" t="s">
        <v>2928</v>
      </c>
      <c r="H9323" s="79"/>
      <c r="I9323" s="80" t="s">
        <v>2897</v>
      </c>
      <c r="J9323" s="583">
        <v>0.0026</v>
      </c>
      <c r="K9323" s="583">
        <v>0</v>
      </c>
      <c r="L9323" s="92">
        <v>30.06</v>
      </c>
      <c r="M9323" s="92">
        <v>0.07</v>
      </c>
    </row>
    <row r="9324" ht="23.85" customHeight="1" spans="3:13">
      <c r="C9324" s="79" t="s">
        <v>2921</v>
      </c>
      <c r="D9324" s="78" t="s">
        <v>3313</v>
      </c>
      <c r="E9324" s="79" t="s">
        <v>139</v>
      </c>
      <c r="F9324" s="79" t="s">
        <v>3314</v>
      </c>
      <c r="G9324" s="79" t="s">
        <v>2928</v>
      </c>
      <c r="H9324" s="79"/>
      <c r="I9324" s="80" t="s">
        <v>2897</v>
      </c>
      <c r="J9324" s="583">
        <v>0.0162</v>
      </c>
      <c r="K9324" s="583">
        <v>0</v>
      </c>
      <c r="L9324" s="92">
        <v>35.95</v>
      </c>
      <c r="M9324" s="92">
        <v>0.58</v>
      </c>
    </row>
    <row r="9325" ht="15" customHeight="1" spans="3:13">
      <c r="C9325" s="100" t="s">
        <v>2893</v>
      </c>
      <c r="D9325" s="99" t="s">
        <v>4093</v>
      </c>
      <c r="E9325" s="100" t="s">
        <v>139</v>
      </c>
      <c r="F9325" s="100" t="s">
        <v>4094</v>
      </c>
      <c r="G9325" s="100" t="s">
        <v>2961</v>
      </c>
      <c r="H9325" s="100"/>
      <c r="I9325" s="101" t="s">
        <v>393</v>
      </c>
      <c r="J9325" s="580">
        <v>1.11</v>
      </c>
      <c r="K9325" s="580">
        <v>0</v>
      </c>
      <c r="L9325" s="102">
        <v>9.01</v>
      </c>
      <c r="M9325" s="102">
        <v>10</v>
      </c>
    </row>
    <row r="9326" ht="25.5" spans="3:13">
      <c r="C9326" s="108"/>
      <c r="D9326" s="108"/>
      <c r="E9326" s="108"/>
      <c r="F9326" s="108"/>
      <c r="G9326" s="108"/>
      <c r="H9326" s="108" t="s">
        <v>2898</v>
      </c>
      <c r="I9326" s="581">
        <v>0.47</v>
      </c>
      <c r="J9326" s="108" t="s">
        <v>2899</v>
      </c>
      <c r="K9326" s="581">
        <v>0</v>
      </c>
      <c r="L9326" s="108" t="s">
        <v>2900</v>
      </c>
      <c r="M9326" s="581">
        <v>0.47</v>
      </c>
    </row>
    <row r="9327" ht="26.25" spans="3:13">
      <c r="C9327" s="108"/>
      <c r="D9327" s="108"/>
      <c r="E9327" s="108"/>
      <c r="F9327" s="108"/>
      <c r="G9327" s="108"/>
      <c r="H9327" s="108" t="s">
        <v>2901</v>
      </c>
      <c r="I9327" s="581">
        <v>2.71</v>
      </c>
      <c r="J9327" s="114"/>
      <c r="K9327" s="114" t="s">
        <v>2902</v>
      </c>
      <c r="L9327" s="108"/>
      <c r="M9327" s="581">
        <v>13.36</v>
      </c>
    </row>
    <row r="9328" ht="15" spans="3:13">
      <c r="C9328" s="571"/>
      <c r="D9328" s="571"/>
      <c r="E9328" s="571"/>
      <c r="F9328" s="571"/>
      <c r="G9328" s="571"/>
      <c r="H9328" s="571"/>
      <c r="I9328" s="571"/>
      <c r="J9328" s="571"/>
      <c r="K9328" s="571"/>
      <c r="L9328" s="571"/>
      <c r="M9328" s="571"/>
    </row>
    <row r="9329" ht="15" customHeight="1" spans="3:13">
      <c r="C9329" s="76"/>
      <c r="D9329" s="75" t="s">
        <v>63</v>
      </c>
      <c r="E9329" s="76" t="s">
        <v>64</v>
      </c>
      <c r="F9329" s="76" t="s">
        <v>65</v>
      </c>
      <c r="G9329" s="76" t="s">
        <v>2889</v>
      </c>
      <c r="H9329" s="76"/>
      <c r="I9329" s="77" t="s">
        <v>66</v>
      </c>
      <c r="J9329" s="75" t="s">
        <v>67</v>
      </c>
      <c r="K9329" s="75" t="s">
        <v>2890</v>
      </c>
      <c r="L9329" s="75" t="s">
        <v>68</v>
      </c>
      <c r="M9329" s="75" t="s">
        <v>70</v>
      </c>
    </row>
    <row r="9330" ht="23.85" customHeight="1" spans="3:13">
      <c r="C9330" s="569" t="s">
        <v>2891</v>
      </c>
      <c r="D9330" s="570" t="s">
        <v>5382</v>
      </c>
      <c r="E9330" s="569" t="s">
        <v>139</v>
      </c>
      <c r="F9330" s="569" t="s">
        <v>5383</v>
      </c>
      <c r="G9330" s="569" t="s">
        <v>3317</v>
      </c>
      <c r="H9330" s="569"/>
      <c r="I9330" s="577" t="s">
        <v>393</v>
      </c>
      <c r="J9330" s="578">
        <v>1</v>
      </c>
      <c r="K9330" s="579"/>
      <c r="L9330" s="579">
        <v>12.4</v>
      </c>
      <c r="M9330" s="579">
        <v>12.4</v>
      </c>
    </row>
    <row r="9331" ht="23.85" customHeight="1" spans="3:13">
      <c r="C9331" s="79" t="s">
        <v>2921</v>
      </c>
      <c r="D9331" s="78" t="s">
        <v>3311</v>
      </c>
      <c r="E9331" s="79" t="s">
        <v>139</v>
      </c>
      <c r="F9331" s="79" t="s">
        <v>3312</v>
      </c>
      <c r="G9331" s="79" t="s">
        <v>2928</v>
      </c>
      <c r="H9331" s="79"/>
      <c r="I9331" s="80" t="s">
        <v>2897</v>
      </c>
      <c r="J9331" s="583">
        <v>0.0152</v>
      </c>
      <c r="K9331" s="583">
        <v>0</v>
      </c>
      <c r="L9331" s="92">
        <v>30.06</v>
      </c>
      <c r="M9331" s="92">
        <v>0.45</v>
      </c>
    </row>
    <row r="9332" ht="23.85" customHeight="1" spans="3:13">
      <c r="C9332" s="79" t="s">
        <v>2921</v>
      </c>
      <c r="D9332" s="78" t="s">
        <v>3313</v>
      </c>
      <c r="E9332" s="79" t="s">
        <v>139</v>
      </c>
      <c r="F9332" s="79" t="s">
        <v>3314</v>
      </c>
      <c r="G9332" s="79" t="s">
        <v>2928</v>
      </c>
      <c r="H9332" s="79"/>
      <c r="I9332" s="80" t="s">
        <v>2897</v>
      </c>
      <c r="J9332" s="583">
        <v>0.0933</v>
      </c>
      <c r="K9332" s="583">
        <v>0</v>
      </c>
      <c r="L9332" s="92">
        <v>35.95</v>
      </c>
      <c r="M9332" s="92">
        <v>3.35</v>
      </c>
    </row>
    <row r="9333" ht="15" customHeight="1" spans="3:13">
      <c r="C9333" s="100" t="s">
        <v>2893</v>
      </c>
      <c r="D9333" s="99" t="s">
        <v>5624</v>
      </c>
      <c r="E9333" s="100" t="s">
        <v>139</v>
      </c>
      <c r="F9333" s="100" t="s">
        <v>5625</v>
      </c>
      <c r="G9333" s="100" t="s">
        <v>2961</v>
      </c>
      <c r="H9333" s="100"/>
      <c r="I9333" s="101" t="s">
        <v>393</v>
      </c>
      <c r="J9333" s="580">
        <v>1.07</v>
      </c>
      <c r="K9333" s="580">
        <v>0</v>
      </c>
      <c r="L9333" s="102">
        <v>8.04</v>
      </c>
      <c r="M9333" s="102">
        <v>8.6</v>
      </c>
    </row>
    <row r="9334" ht="25.5" spans="3:13">
      <c r="C9334" s="108"/>
      <c r="D9334" s="108"/>
      <c r="E9334" s="108"/>
      <c r="F9334" s="108"/>
      <c r="G9334" s="108"/>
      <c r="H9334" s="108" t="s">
        <v>2898</v>
      </c>
      <c r="I9334" s="581">
        <v>2.71</v>
      </c>
      <c r="J9334" s="108" t="s">
        <v>2899</v>
      </c>
      <c r="K9334" s="581">
        <v>0</v>
      </c>
      <c r="L9334" s="108" t="s">
        <v>2900</v>
      </c>
      <c r="M9334" s="581">
        <v>2.71</v>
      </c>
    </row>
    <row r="9335" ht="26.25" spans="3:13">
      <c r="C9335" s="108"/>
      <c r="D9335" s="108"/>
      <c r="E9335" s="108"/>
      <c r="F9335" s="108"/>
      <c r="G9335" s="108"/>
      <c r="H9335" s="108" t="s">
        <v>2901</v>
      </c>
      <c r="I9335" s="581">
        <v>3.16</v>
      </c>
      <c r="J9335" s="114"/>
      <c r="K9335" s="114" t="s">
        <v>2902</v>
      </c>
      <c r="L9335" s="108"/>
      <c r="M9335" s="581">
        <v>15.56</v>
      </c>
    </row>
    <row r="9336" ht="15" spans="3:13">
      <c r="C9336" s="571"/>
      <c r="D9336" s="571"/>
      <c r="E9336" s="571"/>
      <c r="F9336" s="571"/>
      <c r="G9336" s="571"/>
      <c r="H9336" s="571"/>
      <c r="I9336" s="571"/>
      <c r="J9336" s="571"/>
      <c r="K9336" s="571"/>
      <c r="L9336" s="571"/>
      <c r="M9336" s="571"/>
    </row>
    <row r="9337" ht="15" customHeight="1" spans="3:13">
      <c r="C9337" s="76"/>
      <c r="D9337" s="75" t="s">
        <v>63</v>
      </c>
      <c r="E9337" s="76" t="s">
        <v>64</v>
      </c>
      <c r="F9337" s="76" t="s">
        <v>65</v>
      </c>
      <c r="G9337" s="76" t="s">
        <v>2889</v>
      </c>
      <c r="H9337" s="76"/>
      <c r="I9337" s="77" t="s">
        <v>66</v>
      </c>
      <c r="J9337" s="75" t="s">
        <v>67</v>
      </c>
      <c r="K9337" s="75" t="s">
        <v>2890</v>
      </c>
      <c r="L9337" s="75" t="s">
        <v>68</v>
      </c>
      <c r="M9337" s="75" t="s">
        <v>70</v>
      </c>
    </row>
    <row r="9338" ht="23.85" customHeight="1" spans="3:13">
      <c r="C9338" s="569" t="s">
        <v>2891</v>
      </c>
      <c r="D9338" s="570" t="s">
        <v>3378</v>
      </c>
      <c r="E9338" s="569" t="s">
        <v>139</v>
      </c>
      <c r="F9338" s="569" t="s">
        <v>3379</v>
      </c>
      <c r="G9338" s="569" t="s">
        <v>3317</v>
      </c>
      <c r="H9338" s="569"/>
      <c r="I9338" s="577" t="s">
        <v>393</v>
      </c>
      <c r="J9338" s="578">
        <v>1</v>
      </c>
      <c r="K9338" s="579"/>
      <c r="L9338" s="579">
        <v>10.96</v>
      </c>
      <c r="M9338" s="579">
        <v>10.96</v>
      </c>
    </row>
    <row r="9339" ht="23.85" customHeight="1" spans="3:13">
      <c r="C9339" s="79" t="s">
        <v>2921</v>
      </c>
      <c r="D9339" s="78" t="s">
        <v>3311</v>
      </c>
      <c r="E9339" s="79" t="s">
        <v>139</v>
      </c>
      <c r="F9339" s="79" t="s">
        <v>3312</v>
      </c>
      <c r="G9339" s="79" t="s">
        <v>2928</v>
      </c>
      <c r="H9339" s="79"/>
      <c r="I9339" s="80" t="s">
        <v>2897</v>
      </c>
      <c r="J9339" s="583">
        <v>0.0095</v>
      </c>
      <c r="K9339" s="583">
        <v>0</v>
      </c>
      <c r="L9339" s="92">
        <v>30.06</v>
      </c>
      <c r="M9339" s="92">
        <v>0.28</v>
      </c>
    </row>
    <row r="9340" ht="23.85" customHeight="1" spans="3:13">
      <c r="C9340" s="79" t="s">
        <v>2921</v>
      </c>
      <c r="D9340" s="78" t="s">
        <v>3313</v>
      </c>
      <c r="E9340" s="79" t="s">
        <v>139</v>
      </c>
      <c r="F9340" s="79" t="s">
        <v>3314</v>
      </c>
      <c r="G9340" s="79" t="s">
        <v>2928</v>
      </c>
      <c r="H9340" s="79"/>
      <c r="I9340" s="80" t="s">
        <v>2897</v>
      </c>
      <c r="J9340" s="583">
        <v>0.0581</v>
      </c>
      <c r="K9340" s="583">
        <v>0</v>
      </c>
      <c r="L9340" s="92">
        <v>35.95</v>
      </c>
      <c r="M9340" s="92">
        <v>2.08</v>
      </c>
    </row>
    <row r="9341" ht="15" customHeight="1" spans="3:13">
      <c r="C9341" s="100" t="s">
        <v>2893</v>
      </c>
      <c r="D9341" s="99" t="s">
        <v>5624</v>
      </c>
      <c r="E9341" s="100" t="s">
        <v>139</v>
      </c>
      <c r="F9341" s="100" t="s">
        <v>5625</v>
      </c>
      <c r="G9341" s="100" t="s">
        <v>2961</v>
      </c>
      <c r="H9341" s="100"/>
      <c r="I9341" s="101" t="s">
        <v>393</v>
      </c>
      <c r="J9341" s="580">
        <v>1.07</v>
      </c>
      <c r="K9341" s="580">
        <v>0</v>
      </c>
      <c r="L9341" s="102">
        <v>8.04</v>
      </c>
      <c r="M9341" s="102">
        <v>8.6</v>
      </c>
    </row>
    <row r="9342" ht="25.5" spans="3:13">
      <c r="C9342" s="108"/>
      <c r="D9342" s="108"/>
      <c r="E9342" s="108"/>
      <c r="F9342" s="108"/>
      <c r="G9342" s="108"/>
      <c r="H9342" s="108" t="s">
        <v>2898</v>
      </c>
      <c r="I9342" s="581">
        <v>1.69</v>
      </c>
      <c r="J9342" s="108" t="s">
        <v>2899</v>
      </c>
      <c r="K9342" s="581">
        <v>0</v>
      </c>
      <c r="L9342" s="108" t="s">
        <v>2900</v>
      </c>
      <c r="M9342" s="581">
        <v>1.69</v>
      </c>
    </row>
    <row r="9343" ht="26.25" spans="3:13">
      <c r="C9343" s="108"/>
      <c r="D9343" s="108"/>
      <c r="E9343" s="108"/>
      <c r="F9343" s="108"/>
      <c r="G9343" s="108"/>
      <c r="H9343" s="108" t="s">
        <v>2901</v>
      </c>
      <c r="I9343" s="581">
        <v>2.79</v>
      </c>
      <c r="J9343" s="114"/>
      <c r="K9343" s="114" t="s">
        <v>2902</v>
      </c>
      <c r="L9343" s="108"/>
      <c r="M9343" s="581">
        <v>13.75</v>
      </c>
    </row>
    <row r="9344" ht="15" spans="3:13">
      <c r="C9344" s="571"/>
      <c r="D9344" s="571"/>
      <c r="E9344" s="571"/>
      <c r="F9344" s="571"/>
      <c r="G9344" s="571"/>
      <c r="H9344" s="571"/>
      <c r="I9344" s="571"/>
      <c r="J9344" s="571"/>
      <c r="K9344" s="571"/>
      <c r="L9344" s="571"/>
      <c r="M9344" s="571"/>
    </row>
    <row r="9345" ht="15" customHeight="1" spans="3:13">
      <c r="C9345" s="76"/>
      <c r="D9345" s="75" t="s">
        <v>63</v>
      </c>
      <c r="E9345" s="76" t="s">
        <v>64</v>
      </c>
      <c r="F9345" s="76" t="s">
        <v>65</v>
      </c>
      <c r="G9345" s="76" t="s">
        <v>2889</v>
      </c>
      <c r="H9345" s="76"/>
      <c r="I9345" s="77" t="s">
        <v>66</v>
      </c>
      <c r="J9345" s="75" t="s">
        <v>67</v>
      </c>
      <c r="K9345" s="75" t="s">
        <v>2890</v>
      </c>
      <c r="L9345" s="75" t="s">
        <v>68</v>
      </c>
      <c r="M9345" s="75" t="s">
        <v>70</v>
      </c>
    </row>
    <row r="9346" ht="38.25" spans="3:13">
      <c r="C9346" s="569" t="s">
        <v>2891</v>
      </c>
      <c r="D9346" s="570" t="s">
        <v>3361</v>
      </c>
      <c r="E9346" s="569" t="s">
        <v>77</v>
      </c>
      <c r="F9346" s="569" t="s">
        <v>3362</v>
      </c>
      <c r="G9346" s="569">
        <v>11</v>
      </c>
      <c r="H9346" s="569"/>
      <c r="I9346" s="577" t="s">
        <v>393</v>
      </c>
      <c r="J9346" s="578">
        <v>1</v>
      </c>
      <c r="K9346" s="579"/>
      <c r="L9346" s="579">
        <v>5.63</v>
      </c>
      <c r="M9346" s="579">
        <v>5.63</v>
      </c>
    </row>
    <row r="9347" ht="23.85" customHeight="1" spans="3:13">
      <c r="C9347" s="100" t="s">
        <v>2893</v>
      </c>
      <c r="D9347" s="99" t="s">
        <v>3108</v>
      </c>
      <c r="E9347" s="100" t="s">
        <v>77</v>
      </c>
      <c r="F9347" s="100" t="s">
        <v>3109</v>
      </c>
      <c r="G9347" s="100" t="s">
        <v>2896</v>
      </c>
      <c r="H9347" s="100"/>
      <c r="I9347" s="101" t="s">
        <v>2897</v>
      </c>
      <c r="J9347" s="580">
        <v>0.12</v>
      </c>
      <c r="K9347" s="580">
        <v>3</v>
      </c>
      <c r="L9347" s="102">
        <v>19.16</v>
      </c>
      <c r="M9347" s="102">
        <v>2.36</v>
      </c>
    </row>
    <row r="9348" ht="23.85" customHeight="1" spans="3:13">
      <c r="C9348" s="100" t="s">
        <v>2893</v>
      </c>
      <c r="D9348" s="99" t="s">
        <v>5626</v>
      </c>
      <c r="E9348" s="100" t="s">
        <v>77</v>
      </c>
      <c r="F9348" s="100" t="s">
        <v>5627</v>
      </c>
      <c r="G9348" s="100" t="s">
        <v>2896</v>
      </c>
      <c r="H9348" s="100"/>
      <c r="I9348" s="101" t="s">
        <v>2897</v>
      </c>
      <c r="J9348" s="580">
        <v>0.12</v>
      </c>
      <c r="K9348" s="580">
        <v>3</v>
      </c>
      <c r="L9348" s="102">
        <v>26.52</v>
      </c>
      <c r="M9348" s="102">
        <v>3.27</v>
      </c>
    </row>
    <row r="9349" ht="25.5" spans="3:13">
      <c r="C9349" s="108"/>
      <c r="D9349" s="108"/>
      <c r="E9349" s="108"/>
      <c r="F9349" s="108"/>
      <c r="G9349" s="108"/>
      <c r="H9349" s="108" t="s">
        <v>2898</v>
      </c>
      <c r="I9349" s="581">
        <v>5.63</v>
      </c>
      <c r="J9349" s="108" t="s">
        <v>2899</v>
      </c>
      <c r="K9349" s="581">
        <v>0</v>
      </c>
      <c r="L9349" s="108" t="s">
        <v>2900</v>
      </c>
      <c r="M9349" s="581">
        <v>5.63</v>
      </c>
    </row>
    <row r="9350" ht="26.25" spans="3:13">
      <c r="C9350" s="108"/>
      <c r="D9350" s="108"/>
      <c r="E9350" s="108"/>
      <c r="F9350" s="108"/>
      <c r="G9350" s="108"/>
      <c r="H9350" s="108" t="s">
        <v>2901</v>
      </c>
      <c r="I9350" s="581">
        <v>1.43</v>
      </c>
      <c r="J9350" s="114"/>
      <c r="K9350" s="114" t="s">
        <v>2902</v>
      </c>
      <c r="L9350" s="108"/>
      <c r="M9350" s="581">
        <v>7.06</v>
      </c>
    </row>
    <row r="9351" ht="15" spans="3:13">
      <c r="C9351" s="571"/>
      <c r="D9351" s="571"/>
      <c r="E9351" s="571"/>
      <c r="F9351" s="571"/>
      <c r="G9351" s="571"/>
      <c r="H9351" s="571"/>
      <c r="I9351" s="571"/>
      <c r="J9351" s="571"/>
      <c r="K9351" s="571"/>
      <c r="L9351" s="571"/>
      <c r="M9351" s="571"/>
    </row>
    <row r="9352" ht="15" customHeight="1" spans="3:13">
      <c r="C9352" s="76"/>
      <c r="D9352" s="75" t="s">
        <v>63</v>
      </c>
      <c r="E9352" s="76" t="s">
        <v>64</v>
      </c>
      <c r="F9352" s="76" t="s">
        <v>65</v>
      </c>
      <c r="G9352" s="76" t="s">
        <v>2889</v>
      </c>
      <c r="H9352" s="76"/>
      <c r="I9352" s="77" t="s">
        <v>66</v>
      </c>
      <c r="J9352" s="75" t="s">
        <v>67</v>
      </c>
      <c r="K9352" s="75" t="s">
        <v>2890</v>
      </c>
      <c r="L9352" s="75" t="s">
        <v>68</v>
      </c>
      <c r="M9352" s="75" t="s">
        <v>70</v>
      </c>
    </row>
    <row r="9353" ht="38.25" spans="3:13">
      <c r="C9353" s="569" t="s">
        <v>2891</v>
      </c>
      <c r="D9353" s="570" t="s">
        <v>3365</v>
      </c>
      <c r="E9353" s="569" t="s">
        <v>77</v>
      </c>
      <c r="F9353" s="569" t="s">
        <v>3366</v>
      </c>
      <c r="G9353" s="569">
        <v>11</v>
      </c>
      <c r="H9353" s="569"/>
      <c r="I9353" s="577" t="s">
        <v>393</v>
      </c>
      <c r="J9353" s="578">
        <v>1</v>
      </c>
      <c r="K9353" s="579"/>
      <c r="L9353" s="579">
        <v>4.22</v>
      </c>
      <c r="M9353" s="579">
        <v>4.22</v>
      </c>
    </row>
    <row r="9354" ht="23.85" customHeight="1" spans="3:13">
      <c r="C9354" s="100" t="s">
        <v>2893</v>
      </c>
      <c r="D9354" s="99" t="s">
        <v>5626</v>
      </c>
      <c r="E9354" s="100" t="s">
        <v>77</v>
      </c>
      <c r="F9354" s="100" t="s">
        <v>5627</v>
      </c>
      <c r="G9354" s="100" t="s">
        <v>2896</v>
      </c>
      <c r="H9354" s="100"/>
      <c r="I9354" s="101" t="s">
        <v>2897</v>
      </c>
      <c r="J9354" s="580">
        <v>0.09</v>
      </c>
      <c r="K9354" s="580">
        <v>3</v>
      </c>
      <c r="L9354" s="102">
        <v>26.52</v>
      </c>
      <c r="M9354" s="102">
        <v>2.45</v>
      </c>
    </row>
    <row r="9355" ht="23.85" customHeight="1" spans="3:13">
      <c r="C9355" s="100" t="s">
        <v>2893</v>
      </c>
      <c r="D9355" s="99" t="s">
        <v>3108</v>
      </c>
      <c r="E9355" s="100" t="s">
        <v>77</v>
      </c>
      <c r="F9355" s="100" t="s">
        <v>3109</v>
      </c>
      <c r="G9355" s="100" t="s">
        <v>2896</v>
      </c>
      <c r="H9355" s="100"/>
      <c r="I9355" s="101" t="s">
        <v>2897</v>
      </c>
      <c r="J9355" s="580">
        <v>0.09</v>
      </c>
      <c r="K9355" s="580">
        <v>3</v>
      </c>
      <c r="L9355" s="102">
        <v>19.16</v>
      </c>
      <c r="M9355" s="102">
        <v>1.77</v>
      </c>
    </row>
    <row r="9356" ht="25.5" spans="3:13">
      <c r="C9356" s="108"/>
      <c r="D9356" s="108"/>
      <c r="E9356" s="108"/>
      <c r="F9356" s="108"/>
      <c r="G9356" s="108"/>
      <c r="H9356" s="108" t="s">
        <v>2898</v>
      </c>
      <c r="I9356" s="581">
        <v>4.22</v>
      </c>
      <c r="J9356" s="108" t="s">
        <v>2899</v>
      </c>
      <c r="K9356" s="581">
        <v>0</v>
      </c>
      <c r="L9356" s="108" t="s">
        <v>2900</v>
      </c>
      <c r="M9356" s="581">
        <v>4.22</v>
      </c>
    </row>
    <row r="9357" ht="26.25" spans="3:13">
      <c r="C9357" s="108"/>
      <c r="D9357" s="108"/>
      <c r="E9357" s="108"/>
      <c r="F9357" s="108"/>
      <c r="G9357" s="108"/>
      <c r="H9357" s="108" t="s">
        <v>2901</v>
      </c>
      <c r="I9357" s="581">
        <v>1.07</v>
      </c>
      <c r="J9357" s="114"/>
      <c r="K9357" s="114" t="s">
        <v>2902</v>
      </c>
      <c r="L9357" s="108"/>
      <c r="M9357" s="581">
        <v>5.29</v>
      </c>
    </row>
    <row r="9358" ht="15" spans="3:13">
      <c r="C9358" s="571"/>
      <c r="D9358" s="571"/>
      <c r="E9358" s="571"/>
      <c r="F9358" s="571"/>
      <c r="G9358" s="571"/>
      <c r="H9358" s="571"/>
      <c r="I9358" s="571"/>
      <c r="J9358" s="571"/>
      <c r="K9358" s="571"/>
      <c r="L9358" s="571"/>
      <c r="M9358" s="571"/>
    </row>
    <row r="9359" ht="15" customHeight="1" spans="3:13">
      <c r="C9359" s="76"/>
      <c r="D9359" s="75" t="s">
        <v>63</v>
      </c>
      <c r="E9359" s="76" t="s">
        <v>64</v>
      </c>
      <c r="F9359" s="76" t="s">
        <v>65</v>
      </c>
      <c r="G9359" s="76" t="s">
        <v>2889</v>
      </c>
      <c r="H9359" s="76"/>
      <c r="I9359" s="77" t="s">
        <v>66</v>
      </c>
      <c r="J9359" s="75" t="s">
        <v>67</v>
      </c>
      <c r="K9359" s="75" t="s">
        <v>2890</v>
      </c>
      <c r="L9359" s="75" t="s">
        <v>68</v>
      </c>
      <c r="M9359" s="75" t="s">
        <v>70</v>
      </c>
    </row>
    <row r="9360" ht="23.85" customHeight="1" spans="3:13">
      <c r="C9360" s="569" t="s">
        <v>2891</v>
      </c>
      <c r="D9360" s="570" t="s">
        <v>5302</v>
      </c>
      <c r="E9360" s="569" t="s">
        <v>139</v>
      </c>
      <c r="F9360" s="569" t="s">
        <v>5303</v>
      </c>
      <c r="G9360" s="569" t="s">
        <v>2928</v>
      </c>
      <c r="H9360" s="569"/>
      <c r="I9360" s="577" t="s">
        <v>2897</v>
      </c>
      <c r="J9360" s="578">
        <v>1</v>
      </c>
      <c r="K9360" s="579"/>
      <c r="L9360" s="579">
        <v>0.22</v>
      </c>
      <c r="M9360" s="579">
        <v>0.22</v>
      </c>
    </row>
    <row r="9361" ht="15" customHeight="1" spans="3:13">
      <c r="C9361" s="100" t="s">
        <v>2893</v>
      </c>
      <c r="D9361" s="99" t="s">
        <v>5316</v>
      </c>
      <c r="E9361" s="100" t="s">
        <v>139</v>
      </c>
      <c r="F9361" s="100" t="s">
        <v>5317</v>
      </c>
      <c r="G9361" s="100" t="s">
        <v>2896</v>
      </c>
      <c r="H9361" s="100"/>
      <c r="I9361" s="101" t="s">
        <v>2897</v>
      </c>
      <c r="J9361" s="580">
        <v>0.01154</v>
      </c>
      <c r="K9361" s="580">
        <v>0</v>
      </c>
      <c r="L9361" s="102">
        <v>19.82</v>
      </c>
      <c r="M9361" s="102">
        <v>0.22</v>
      </c>
    </row>
    <row r="9362" ht="25.5" spans="3:13">
      <c r="C9362" s="108"/>
      <c r="D9362" s="108"/>
      <c r="E9362" s="108"/>
      <c r="F9362" s="108"/>
      <c r="G9362" s="108"/>
      <c r="H9362" s="108" t="s">
        <v>2898</v>
      </c>
      <c r="I9362" s="581">
        <v>0.22</v>
      </c>
      <c r="J9362" s="108" t="s">
        <v>2899</v>
      </c>
      <c r="K9362" s="581">
        <v>0</v>
      </c>
      <c r="L9362" s="108" t="s">
        <v>2900</v>
      </c>
      <c r="M9362" s="581">
        <v>0.22</v>
      </c>
    </row>
    <row r="9363" ht="26.25" spans="3:13">
      <c r="C9363" s="108"/>
      <c r="D9363" s="108"/>
      <c r="E9363" s="108"/>
      <c r="F9363" s="108"/>
      <c r="G9363" s="108"/>
      <c r="H9363" s="108" t="s">
        <v>2901</v>
      </c>
      <c r="I9363" s="581">
        <v>0.05</v>
      </c>
      <c r="J9363" s="114"/>
      <c r="K9363" s="114" t="s">
        <v>2902</v>
      </c>
      <c r="L9363" s="108"/>
      <c r="M9363" s="581">
        <v>0.27</v>
      </c>
    </row>
    <row r="9364" ht="15" spans="3:13">
      <c r="C9364" s="571"/>
      <c r="D9364" s="571"/>
      <c r="E9364" s="571"/>
      <c r="F9364" s="571"/>
      <c r="G9364" s="571"/>
      <c r="H9364" s="571"/>
      <c r="I9364" s="571"/>
      <c r="J9364" s="571"/>
      <c r="K9364" s="571"/>
      <c r="L9364" s="571"/>
      <c r="M9364" s="571"/>
    </row>
    <row r="9365" ht="15" customHeight="1" spans="3:13">
      <c r="C9365" s="76"/>
      <c r="D9365" s="75" t="s">
        <v>63</v>
      </c>
      <c r="E9365" s="76" t="s">
        <v>64</v>
      </c>
      <c r="F9365" s="76" t="s">
        <v>65</v>
      </c>
      <c r="G9365" s="76" t="s">
        <v>2889</v>
      </c>
      <c r="H9365" s="76"/>
      <c r="I9365" s="77" t="s">
        <v>66</v>
      </c>
      <c r="J9365" s="75" t="s">
        <v>67</v>
      </c>
      <c r="K9365" s="75" t="s">
        <v>2890</v>
      </c>
      <c r="L9365" s="75" t="s">
        <v>68</v>
      </c>
      <c r="M9365" s="75" t="s">
        <v>70</v>
      </c>
    </row>
    <row r="9366" ht="23.85" customHeight="1" spans="3:13">
      <c r="C9366" s="569" t="s">
        <v>2891</v>
      </c>
      <c r="D9366" s="570" t="s">
        <v>5318</v>
      </c>
      <c r="E9366" s="569" t="s">
        <v>139</v>
      </c>
      <c r="F9366" s="569" t="s">
        <v>5319</v>
      </c>
      <c r="G9366" s="569" t="s">
        <v>2928</v>
      </c>
      <c r="H9366" s="569"/>
      <c r="I9366" s="577" t="s">
        <v>2897</v>
      </c>
      <c r="J9366" s="578">
        <v>1</v>
      </c>
      <c r="K9366" s="579"/>
      <c r="L9366" s="579">
        <v>0.29</v>
      </c>
      <c r="M9366" s="579">
        <v>0.29</v>
      </c>
    </row>
    <row r="9367" ht="15" customHeight="1" spans="3:13">
      <c r="C9367" s="100" t="s">
        <v>2893</v>
      </c>
      <c r="D9367" s="99" t="s">
        <v>5320</v>
      </c>
      <c r="E9367" s="100" t="s">
        <v>139</v>
      </c>
      <c r="F9367" s="100" t="s">
        <v>5321</v>
      </c>
      <c r="G9367" s="100" t="s">
        <v>2896</v>
      </c>
      <c r="H9367" s="100"/>
      <c r="I9367" s="101" t="s">
        <v>2897</v>
      </c>
      <c r="J9367" s="580">
        <v>0.01476</v>
      </c>
      <c r="K9367" s="580">
        <v>0</v>
      </c>
      <c r="L9367" s="102">
        <v>19.82</v>
      </c>
      <c r="M9367" s="102">
        <v>0.29</v>
      </c>
    </row>
    <row r="9368" ht="25.5" spans="3:13">
      <c r="C9368" s="108"/>
      <c r="D9368" s="108"/>
      <c r="E9368" s="108"/>
      <c r="F9368" s="108"/>
      <c r="G9368" s="108"/>
      <c r="H9368" s="108" t="s">
        <v>2898</v>
      </c>
      <c r="I9368" s="581">
        <v>0.29</v>
      </c>
      <c r="J9368" s="108" t="s">
        <v>2899</v>
      </c>
      <c r="K9368" s="581">
        <v>0</v>
      </c>
      <c r="L9368" s="108" t="s">
        <v>2900</v>
      </c>
      <c r="M9368" s="581">
        <v>0.29</v>
      </c>
    </row>
    <row r="9369" ht="26.25" spans="3:13">
      <c r="C9369" s="108"/>
      <c r="D9369" s="108"/>
      <c r="E9369" s="108"/>
      <c r="F9369" s="108"/>
      <c r="G9369" s="108"/>
      <c r="H9369" s="108" t="s">
        <v>2901</v>
      </c>
      <c r="I9369" s="581">
        <v>0.07</v>
      </c>
      <c r="J9369" s="114"/>
      <c r="K9369" s="114" t="s">
        <v>2902</v>
      </c>
      <c r="L9369" s="108"/>
      <c r="M9369" s="581">
        <v>0.36</v>
      </c>
    </row>
    <row r="9370" ht="15" spans="3:13">
      <c r="C9370" s="571"/>
      <c r="D9370" s="571"/>
      <c r="E9370" s="571"/>
      <c r="F9370" s="571"/>
      <c r="G9370" s="571"/>
      <c r="H9370" s="571"/>
      <c r="I9370" s="571"/>
      <c r="J9370" s="571"/>
      <c r="K9370" s="571"/>
      <c r="L9370" s="571"/>
      <c r="M9370" s="571"/>
    </row>
    <row r="9371" ht="15" customHeight="1" spans="3:13">
      <c r="C9371" s="76"/>
      <c r="D9371" s="75" t="s">
        <v>63</v>
      </c>
      <c r="E9371" s="76" t="s">
        <v>64</v>
      </c>
      <c r="F9371" s="76" t="s">
        <v>65</v>
      </c>
      <c r="G9371" s="76" t="s">
        <v>2889</v>
      </c>
      <c r="H9371" s="76"/>
      <c r="I9371" s="77" t="s">
        <v>66</v>
      </c>
      <c r="J9371" s="75" t="s">
        <v>67</v>
      </c>
      <c r="K9371" s="75" t="s">
        <v>2890</v>
      </c>
      <c r="L9371" s="75" t="s">
        <v>68</v>
      </c>
      <c r="M9371" s="75" t="s">
        <v>70</v>
      </c>
    </row>
    <row r="9372" ht="23.85" customHeight="1" spans="3:13">
      <c r="C9372" s="569" t="s">
        <v>2891</v>
      </c>
      <c r="D9372" s="570" t="s">
        <v>5326</v>
      </c>
      <c r="E9372" s="569" t="s">
        <v>139</v>
      </c>
      <c r="F9372" s="569" t="s">
        <v>5327</v>
      </c>
      <c r="G9372" s="569" t="s">
        <v>2928</v>
      </c>
      <c r="H9372" s="569"/>
      <c r="I9372" s="577" t="s">
        <v>2897</v>
      </c>
      <c r="J9372" s="578">
        <v>1</v>
      </c>
      <c r="K9372" s="579"/>
      <c r="L9372" s="579">
        <v>0.29</v>
      </c>
      <c r="M9372" s="579">
        <v>0.29</v>
      </c>
    </row>
    <row r="9373" ht="15" customHeight="1" spans="3:13">
      <c r="C9373" s="100" t="s">
        <v>2893</v>
      </c>
      <c r="D9373" s="99" t="s">
        <v>5328</v>
      </c>
      <c r="E9373" s="100" t="s">
        <v>139</v>
      </c>
      <c r="F9373" s="100" t="s">
        <v>5329</v>
      </c>
      <c r="G9373" s="100" t="s">
        <v>2896</v>
      </c>
      <c r="H9373" s="100"/>
      <c r="I9373" s="101" t="s">
        <v>2897</v>
      </c>
      <c r="J9373" s="580">
        <v>0.01476</v>
      </c>
      <c r="K9373" s="580">
        <v>0</v>
      </c>
      <c r="L9373" s="102">
        <v>19.82</v>
      </c>
      <c r="M9373" s="102">
        <v>0.29</v>
      </c>
    </row>
    <row r="9374" ht="25.5" spans="3:13">
      <c r="C9374" s="108"/>
      <c r="D9374" s="108"/>
      <c r="E9374" s="108"/>
      <c r="F9374" s="108"/>
      <c r="G9374" s="108"/>
      <c r="H9374" s="108" t="s">
        <v>2898</v>
      </c>
      <c r="I9374" s="581">
        <v>0.29</v>
      </c>
      <c r="J9374" s="108" t="s">
        <v>2899</v>
      </c>
      <c r="K9374" s="581">
        <v>0</v>
      </c>
      <c r="L9374" s="108" t="s">
        <v>2900</v>
      </c>
      <c r="M9374" s="581">
        <v>0.29</v>
      </c>
    </row>
    <row r="9375" ht="26.25" spans="3:13">
      <c r="C9375" s="108"/>
      <c r="D9375" s="108"/>
      <c r="E9375" s="108"/>
      <c r="F9375" s="108"/>
      <c r="G9375" s="108"/>
      <c r="H9375" s="108" t="s">
        <v>2901</v>
      </c>
      <c r="I9375" s="581">
        <v>0.07</v>
      </c>
      <c r="J9375" s="114"/>
      <c r="K9375" s="114" t="s">
        <v>2902</v>
      </c>
      <c r="L9375" s="108"/>
      <c r="M9375" s="581">
        <v>0.36</v>
      </c>
    </row>
    <row r="9376" ht="15" spans="3:13">
      <c r="C9376" s="571"/>
      <c r="D9376" s="571"/>
      <c r="E9376" s="571"/>
      <c r="F9376" s="571"/>
      <c r="G9376" s="571"/>
      <c r="H9376" s="571"/>
      <c r="I9376" s="571"/>
      <c r="J9376" s="571"/>
      <c r="K9376" s="571"/>
      <c r="L9376" s="571"/>
      <c r="M9376" s="571"/>
    </row>
    <row r="9377" ht="15" customHeight="1" spans="3:13">
      <c r="C9377" s="76"/>
      <c r="D9377" s="75" t="s">
        <v>63</v>
      </c>
      <c r="E9377" s="76" t="s">
        <v>64</v>
      </c>
      <c r="F9377" s="76" t="s">
        <v>65</v>
      </c>
      <c r="G9377" s="76" t="s">
        <v>2889</v>
      </c>
      <c r="H9377" s="76"/>
      <c r="I9377" s="77" t="s">
        <v>66</v>
      </c>
      <c r="J9377" s="75" t="s">
        <v>67</v>
      </c>
      <c r="K9377" s="75" t="s">
        <v>2890</v>
      </c>
      <c r="L9377" s="75" t="s">
        <v>68</v>
      </c>
      <c r="M9377" s="75" t="s">
        <v>70</v>
      </c>
    </row>
    <row r="9378" ht="23.85" customHeight="1" spans="3:13">
      <c r="C9378" s="569" t="s">
        <v>2891</v>
      </c>
      <c r="D9378" s="570" t="s">
        <v>5330</v>
      </c>
      <c r="E9378" s="569" t="s">
        <v>139</v>
      </c>
      <c r="F9378" s="569" t="s">
        <v>5331</v>
      </c>
      <c r="G9378" s="569" t="s">
        <v>2928</v>
      </c>
      <c r="H9378" s="569"/>
      <c r="I9378" s="577" t="s">
        <v>2897</v>
      </c>
      <c r="J9378" s="578">
        <v>1</v>
      </c>
      <c r="K9378" s="579"/>
      <c r="L9378" s="579">
        <v>0.23</v>
      </c>
      <c r="M9378" s="579">
        <v>0.23</v>
      </c>
    </row>
    <row r="9379" ht="15" customHeight="1" spans="3:13">
      <c r="C9379" s="100" t="s">
        <v>2893</v>
      </c>
      <c r="D9379" s="99" t="s">
        <v>5336</v>
      </c>
      <c r="E9379" s="100" t="s">
        <v>139</v>
      </c>
      <c r="F9379" s="100" t="s">
        <v>5337</v>
      </c>
      <c r="G9379" s="100" t="s">
        <v>2896</v>
      </c>
      <c r="H9379" s="100"/>
      <c r="I9379" s="101" t="s">
        <v>2897</v>
      </c>
      <c r="J9379" s="580">
        <v>0.01154</v>
      </c>
      <c r="K9379" s="580">
        <v>0</v>
      </c>
      <c r="L9379" s="102">
        <v>20.15</v>
      </c>
      <c r="M9379" s="102">
        <v>0.23</v>
      </c>
    </row>
    <row r="9380" ht="25.5" spans="3:13">
      <c r="C9380" s="108"/>
      <c r="D9380" s="108"/>
      <c r="E9380" s="108"/>
      <c r="F9380" s="108"/>
      <c r="G9380" s="108"/>
      <c r="H9380" s="108" t="s">
        <v>2898</v>
      </c>
      <c r="I9380" s="581">
        <v>0.23</v>
      </c>
      <c r="J9380" s="108" t="s">
        <v>2899</v>
      </c>
      <c r="K9380" s="581">
        <v>0</v>
      </c>
      <c r="L9380" s="108" t="s">
        <v>2900</v>
      </c>
      <c r="M9380" s="581">
        <v>0.23</v>
      </c>
    </row>
    <row r="9381" ht="26.25" spans="3:13">
      <c r="C9381" s="108"/>
      <c r="D9381" s="108"/>
      <c r="E9381" s="108"/>
      <c r="F9381" s="108"/>
      <c r="G9381" s="108"/>
      <c r="H9381" s="108" t="s">
        <v>2901</v>
      </c>
      <c r="I9381" s="581">
        <v>0.05</v>
      </c>
      <c r="J9381" s="114"/>
      <c r="K9381" s="114" t="s">
        <v>2902</v>
      </c>
      <c r="L9381" s="108"/>
      <c r="M9381" s="581">
        <v>0.28</v>
      </c>
    </row>
    <row r="9382" ht="15" spans="3:13">
      <c r="C9382" s="571"/>
      <c r="D9382" s="571"/>
      <c r="E9382" s="571"/>
      <c r="F9382" s="571"/>
      <c r="G9382" s="571"/>
      <c r="H9382" s="571"/>
      <c r="I9382" s="571"/>
      <c r="J9382" s="571"/>
      <c r="K9382" s="571"/>
      <c r="L9382" s="571"/>
      <c r="M9382" s="571"/>
    </row>
    <row r="9383" ht="15" customHeight="1" spans="3:13">
      <c r="C9383" s="76"/>
      <c r="D9383" s="75" t="s">
        <v>63</v>
      </c>
      <c r="E9383" s="76" t="s">
        <v>64</v>
      </c>
      <c r="F9383" s="76" t="s">
        <v>65</v>
      </c>
      <c r="G9383" s="76" t="s">
        <v>2889</v>
      </c>
      <c r="H9383" s="76"/>
      <c r="I9383" s="77" t="s">
        <v>66</v>
      </c>
      <c r="J9383" s="75" t="s">
        <v>67</v>
      </c>
      <c r="K9383" s="75" t="s">
        <v>2890</v>
      </c>
      <c r="L9383" s="75" t="s">
        <v>68</v>
      </c>
      <c r="M9383" s="75" t="s">
        <v>70</v>
      </c>
    </row>
    <row r="9384" ht="23.85" customHeight="1" spans="3:13">
      <c r="C9384" s="569" t="s">
        <v>2891</v>
      </c>
      <c r="D9384" s="570" t="s">
        <v>5338</v>
      </c>
      <c r="E9384" s="569" t="s">
        <v>139</v>
      </c>
      <c r="F9384" s="569" t="s">
        <v>5339</v>
      </c>
      <c r="G9384" s="569" t="s">
        <v>2928</v>
      </c>
      <c r="H9384" s="569"/>
      <c r="I9384" s="577" t="s">
        <v>2925</v>
      </c>
      <c r="J9384" s="578">
        <v>1</v>
      </c>
      <c r="K9384" s="579"/>
      <c r="L9384" s="579">
        <v>20.35</v>
      </c>
      <c r="M9384" s="579">
        <v>20.35</v>
      </c>
    </row>
    <row r="9385" ht="15" customHeight="1" spans="3:13">
      <c r="C9385" s="100" t="s">
        <v>2893</v>
      </c>
      <c r="D9385" s="99" t="s">
        <v>5342</v>
      </c>
      <c r="E9385" s="100" t="s">
        <v>139</v>
      </c>
      <c r="F9385" s="100" t="s">
        <v>5343</v>
      </c>
      <c r="G9385" s="100" t="s">
        <v>2896</v>
      </c>
      <c r="H9385" s="100"/>
      <c r="I9385" s="101" t="s">
        <v>2925</v>
      </c>
      <c r="J9385" s="580">
        <v>0.00383</v>
      </c>
      <c r="K9385" s="580">
        <v>0</v>
      </c>
      <c r="L9385" s="102">
        <v>5315.23</v>
      </c>
      <c r="M9385" s="102">
        <v>20.35</v>
      </c>
    </row>
    <row r="9386" ht="25.5" spans="3:13">
      <c r="C9386" s="108"/>
      <c r="D9386" s="108"/>
      <c r="E9386" s="108"/>
      <c r="F9386" s="108"/>
      <c r="G9386" s="108"/>
      <c r="H9386" s="108" t="s">
        <v>2898</v>
      </c>
      <c r="I9386" s="581">
        <v>20.35</v>
      </c>
      <c r="J9386" s="108" t="s">
        <v>2899</v>
      </c>
      <c r="K9386" s="581">
        <v>0</v>
      </c>
      <c r="L9386" s="108" t="s">
        <v>2900</v>
      </c>
      <c r="M9386" s="581">
        <v>20.35</v>
      </c>
    </row>
    <row r="9387" ht="26.25" spans="3:13">
      <c r="C9387" s="108"/>
      <c r="D9387" s="108"/>
      <c r="E9387" s="108"/>
      <c r="F9387" s="108"/>
      <c r="G9387" s="108"/>
      <c r="H9387" s="108" t="s">
        <v>2901</v>
      </c>
      <c r="I9387" s="581">
        <v>5.18</v>
      </c>
      <c r="J9387" s="114"/>
      <c r="K9387" s="114" t="s">
        <v>2902</v>
      </c>
      <c r="L9387" s="108"/>
      <c r="M9387" s="581">
        <v>25.53</v>
      </c>
    </row>
    <row r="9388" ht="15" spans="3:13">
      <c r="C9388" s="571"/>
      <c r="D9388" s="571"/>
      <c r="E9388" s="571"/>
      <c r="F9388" s="571"/>
      <c r="G9388" s="571"/>
      <c r="H9388" s="571"/>
      <c r="I9388" s="571"/>
      <c r="J9388" s="571"/>
      <c r="K9388" s="571"/>
      <c r="L9388" s="571"/>
      <c r="M9388" s="571"/>
    </row>
    <row r="9389" ht="15" customHeight="1" spans="3:13">
      <c r="C9389" s="76"/>
      <c r="D9389" s="75" t="s">
        <v>63</v>
      </c>
      <c r="E9389" s="76" t="s">
        <v>64</v>
      </c>
      <c r="F9389" s="76" t="s">
        <v>65</v>
      </c>
      <c r="G9389" s="76" t="s">
        <v>2889</v>
      </c>
      <c r="H9389" s="76"/>
      <c r="I9389" s="77" t="s">
        <v>66</v>
      </c>
      <c r="J9389" s="75" t="s">
        <v>67</v>
      </c>
      <c r="K9389" s="75" t="s">
        <v>2890</v>
      </c>
      <c r="L9389" s="75" t="s">
        <v>68</v>
      </c>
      <c r="M9389" s="75" t="s">
        <v>70</v>
      </c>
    </row>
    <row r="9390" ht="23.85" customHeight="1" spans="3:13">
      <c r="C9390" s="569" t="s">
        <v>2891</v>
      </c>
      <c r="D9390" s="570" t="s">
        <v>5350</v>
      </c>
      <c r="E9390" s="569" t="s">
        <v>139</v>
      </c>
      <c r="F9390" s="569" t="s">
        <v>5351</v>
      </c>
      <c r="G9390" s="569" t="s">
        <v>2928</v>
      </c>
      <c r="H9390" s="569"/>
      <c r="I9390" s="577" t="s">
        <v>2925</v>
      </c>
      <c r="J9390" s="578">
        <v>1</v>
      </c>
      <c r="K9390" s="579"/>
      <c r="L9390" s="579">
        <v>86.39</v>
      </c>
      <c r="M9390" s="579">
        <v>86.39</v>
      </c>
    </row>
    <row r="9391" ht="15" customHeight="1" spans="3:13">
      <c r="C9391" s="100" t="s">
        <v>2893</v>
      </c>
      <c r="D9391" s="99" t="s">
        <v>5352</v>
      </c>
      <c r="E9391" s="100" t="s">
        <v>139</v>
      </c>
      <c r="F9391" s="100" t="s">
        <v>5353</v>
      </c>
      <c r="G9391" s="100" t="s">
        <v>2896</v>
      </c>
      <c r="H9391" s="100"/>
      <c r="I9391" s="101" t="s">
        <v>2925</v>
      </c>
      <c r="J9391" s="580">
        <v>0.01597</v>
      </c>
      <c r="K9391" s="580">
        <v>0</v>
      </c>
      <c r="L9391" s="102">
        <v>5409.52</v>
      </c>
      <c r="M9391" s="102">
        <v>86.39</v>
      </c>
    </row>
    <row r="9392" ht="25.5" spans="3:13">
      <c r="C9392" s="108"/>
      <c r="D9392" s="108"/>
      <c r="E9392" s="108"/>
      <c r="F9392" s="108"/>
      <c r="G9392" s="108"/>
      <c r="H9392" s="108" t="s">
        <v>2898</v>
      </c>
      <c r="I9392" s="581">
        <v>86.39</v>
      </c>
      <c r="J9392" s="108" t="s">
        <v>2899</v>
      </c>
      <c r="K9392" s="581">
        <v>0</v>
      </c>
      <c r="L9392" s="108" t="s">
        <v>2900</v>
      </c>
      <c r="M9392" s="581">
        <v>86.39</v>
      </c>
    </row>
    <row r="9393" ht="26.25" spans="3:13">
      <c r="C9393" s="108"/>
      <c r="D9393" s="108"/>
      <c r="E9393" s="108"/>
      <c r="F9393" s="108"/>
      <c r="G9393" s="108"/>
      <c r="H9393" s="108" t="s">
        <v>2901</v>
      </c>
      <c r="I9393" s="581">
        <v>22.02</v>
      </c>
      <c r="J9393" s="114"/>
      <c r="K9393" s="114" t="s">
        <v>2902</v>
      </c>
      <c r="L9393" s="108"/>
      <c r="M9393" s="581">
        <v>108.41</v>
      </c>
    </row>
    <row r="9394" ht="15" spans="3:13">
      <c r="C9394" s="571"/>
      <c r="D9394" s="571"/>
      <c r="E9394" s="571"/>
      <c r="F9394" s="571"/>
      <c r="G9394" s="571"/>
      <c r="H9394" s="571"/>
      <c r="I9394" s="571"/>
      <c r="J9394" s="571"/>
      <c r="K9394" s="571"/>
      <c r="L9394" s="571"/>
      <c r="M9394" s="571"/>
    </row>
    <row r="9395" ht="15" customHeight="1" spans="3:13">
      <c r="C9395" s="76"/>
      <c r="D9395" s="75" t="s">
        <v>63</v>
      </c>
      <c r="E9395" s="76" t="s">
        <v>64</v>
      </c>
      <c r="F9395" s="76" t="s">
        <v>65</v>
      </c>
      <c r="G9395" s="76" t="s">
        <v>2889</v>
      </c>
      <c r="H9395" s="76"/>
      <c r="I9395" s="77" t="s">
        <v>66</v>
      </c>
      <c r="J9395" s="75" t="s">
        <v>67</v>
      </c>
      <c r="K9395" s="75" t="s">
        <v>2890</v>
      </c>
      <c r="L9395" s="75" t="s">
        <v>68</v>
      </c>
      <c r="M9395" s="75" t="s">
        <v>70</v>
      </c>
    </row>
    <row r="9396" ht="23.85" customHeight="1" spans="3:13">
      <c r="C9396" s="569" t="s">
        <v>2891</v>
      </c>
      <c r="D9396" s="570" t="s">
        <v>5374</v>
      </c>
      <c r="E9396" s="569" t="s">
        <v>139</v>
      </c>
      <c r="F9396" s="569" t="s">
        <v>5375</v>
      </c>
      <c r="G9396" s="569" t="s">
        <v>2928</v>
      </c>
      <c r="H9396" s="569"/>
      <c r="I9396" s="577" t="s">
        <v>2897</v>
      </c>
      <c r="J9396" s="578">
        <v>1</v>
      </c>
      <c r="K9396" s="579"/>
      <c r="L9396" s="579">
        <v>0.29</v>
      </c>
      <c r="M9396" s="579">
        <v>0.29</v>
      </c>
    </row>
    <row r="9397" ht="15" customHeight="1" spans="3:13">
      <c r="C9397" s="100" t="s">
        <v>2893</v>
      </c>
      <c r="D9397" s="99" t="s">
        <v>5376</v>
      </c>
      <c r="E9397" s="100" t="s">
        <v>139</v>
      </c>
      <c r="F9397" s="100" t="s">
        <v>5377</v>
      </c>
      <c r="G9397" s="100" t="s">
        <v>2896</v>
      </c>
      <c r="H9397" s="100"/>
      <c r="I9397" s="101" t="s">
        <v>2897</v>
      </c>
      <c r="J9397" s="580">
        <v>0.01154</v>
      </c>
      <c r="K9397" s="580">
        <v>0</v>
      </c>
      <c r="L9397" s="102">
        <v>25.64</v>
      </c>
      <c r="M9397" s="102">
        <v>0.29</v>
      </c>
    </row>
    <row r="9398" ht="25.5" spans="3:13">
      <c r="C9398" s="108"/>
      <c r="D9398" s="108"/>
      <c r="E9398" s="108"/>
      <c r="F9398" s="108"/>
      <c r="G9398" s="108"/>
      <c r="H9398" s="108" t="s">
        <v>2898</v>
      </c>
      <c r="I9398" s="581">
        <v>0.29</v>
      </c>
      <c r="J9398" s="108" t="s">
        <v>2899</v>
      </c>
      <c r="K9398" s="581">
        <v>0</v>
      </c>
      <c r="L9398" s="108" t="s">
        <v>2900</v>
      </c>
      <c r="M9398" s="581">
        <v>0.29</v>
      </c>
    </row>
    <row r="9399" ht="26.25" spans="3:13">
      <c r="C9399" s="108"/>
      <c r="D9399" s="108"/>
      <c r="E9399" s="108"/>
      <c r="F9399" s="108"/>
      <c r="G9399" s="108"/>
      <c r="H9399" s="108" t="s">
        <v>2901</v>
      </c>
      <c r="I9399" s="581">
        <v>0.07</v>
      </c>
      <c r="J9399" s="114"/>
      <c r="K9399" s="114" t="s">
        <v>2902</v>
      </c>
      <c r="L9399" s="108"/>
      <c r="M9399" s="581">
        <v>0.36</v>
      </c>
    </row>
    <row r="9400" ht="15" spans="3:13">
      <c r="C9400" s="571"/>
      <c r="D9400" s="571"/>
      <c r="E9400" s="571"/>
      <c r="F9400" s="571"/>
      <c r="G9400" s="571"/>
      <c r="H9400" s="571"/>
      <c r="I9400" s="571"/>
      <c r="J9400" s="571"/>
      <c r="K9400" s="571"/>
      <c r="L9400" s="571"/>
      <c r="M9400" s="571"/>
    </row>
    <row r="9401" ht="15" customHeight="1" spans="3:13">
      <c r="C9401" s="76"/>
      <c r="D9401" s="75" t="s">
        <v>63</v>
      </c>
      <c r="E9401" s="76" t="s">
        <v>64</v>
      </c>
      <c r="F9401" s="76" t="s">
        <v>65</v>
      </c>
      <c r="G9401" s="76" t="s">
        <v>2889</v>
      </c>
      <c r="H9401" s="76"/>
      <c r="I9401" s="77" t="s">
        <v>66</v>
      </c>
      <c r="J9401" s="75" t="s">
        <v>67</v>
      </c>
      <c r="K9401" s="75" t="s">
        <v>2890</v>
      </c>
      <c r="L9401" s="75" t="s">
        <v>68</v>
      </c>
      <c r="M9401" s="75" t="s">
        <v>70</v>
      </c>
    </row>
    <row r="9402" ht="23.85" customHeight="1" spans="3:13">
      <c r="C9402" s="569" t="s">
        <v>2891</v>
      </c>
      <c r="D9402" s="570" t="s">
        <v>5384</v>
      </c>
      <c r="E9402" s="569" t="s">
        <v>139</v>
      </c>
      <c r="F9402" s="569" t="s">
        <v>5385</v>
      </c>
      <c r="G9402" s="569" t="s">
        <v>2928</v>
      </c>
      <c r="H9402" s="569"/>
      <c r="I9402" s="577" t="s">
        <v>2897</v>
      </c>
      <c r="J9402" s="578">
        <v>1</v>
      </c>
      <c r="K9402" s="579"/>
      <c r="L9402" s="579">
        <v>0.37</v>
      </c>
      <c r="M9402" s="579">
        <v>0.37</v>
      </c>
    </row>
    <row r="9403" ht="15" customHeight="1" spans="3:13">
      <c r="C9403" s="100" t="s">
        <v>2893</v>
      </c>
      <c r="D9403" s="99" t="s">
        <v>5388</v>
      </c>
      <c r="E9403" s="100" t="s">
        <v>139</v>
      </c>
      <c r="F9403" s="100" t="s">
        <v>5389</v>
      </c>
      <c r="G9403" s="100" t="s">
        <v>2896</v>
      </c>
      <c r="H9403" s="100"/>
      <c r="I9403" s="101" t="s">
        <v>2897</v>
      </c>
      <c r="J9403" s="580">
        <v>0.01476</v>
      </c>
      <c r="K9403" s="580">
        <v>0</v>
      </c>
      <c r="L9403" s="102">
        <v>25.74</v>
      </c>
      <c r="M9403" s="102">
        <v>0.37</v>
      </c>
    </row>
    <row r="9404" ht="25.5" spans="3:13">
      <c r="C9404" s="108"/>
      <c r="D9404" s="108"/>
      <c r="E9404" s="108"/>
      <c r="F9404" s="108"/>
      <c r="G9404" s="108"/>
      <c r="H9404" s="108" t="s">
        <v>2898</v>
      </c>
      <c r="I9404" s="581">
        <v>0.37</v>
      </c>
      <c r="J9404" s="108" t="s">
        <v>2899</v>
      </c>
      <c r="K9404" s="581">
        <v>0</v>
      </c>
      <c r="L9404" s="108" t="s">
        <v>2900</v>
      </c>
      <c r="M9404" s="581">
        <v>0.37</v>
      </c>
    </row>
    <row r="9405" ht="26.25" spans="3:13">
      <c r="C9405" s="108"/>
      <c r="D9405" s="108"/>
      <c r="E9405" s="108"/>
      <c r="F9405" s="108"/>
      <c r="G9405" s="108"/>
      <c r="H9405" s="108" t="s">
        <v>2901</v>
      </c>
      <c r="I9405" s="581">
        <v>0.09</v>
      </c>
      <c r="J9405" s="114"/>
      <c r="K9405" s="114" t="s">
        <v>2902</v>
      </c>
      <c r="L9405" s="108"/>
      <c r="M9405" s="581">
        <v>0.46</v>
      </c>
    </row>
    <row r="9406" ht="15" spans="3:13">
      <c r="C9406" s="571"/>
      <c r="D9406" s="571"/>
      <c r="E9406" s="571"/>
      <c r="F9406" s="571"/>
      <c r="G9406" s="571"/>
      <c r="H9406" s="571"/>
      <c r="I9406" s="571"/>
      <c r="J9406" s="571"/>
      <c r="K9406" s="571"/>
      <c r="L9406" s="571"/>
      <c r="M9406" s="571"/>
    </row>
    <row r="9407" ht="15" customHeight="1" spans="3:13">
      <c r="C9407" s="76"/>
      <c r="D9407" s="75" t="s">
        <v>63</v>
      </c>
      <c r="E9407" s="76" t="s">
        <v>64</v>
      </c>
      <c r="F9407" s="76" t="s">
        <v>65</v>
      </c>
      <c r="G9407" s="76" t="s">
        <v>2889</v>
      </c>
      <c r="H9407" s="76"/>
      <c r="I9407" s="77" t="s">
        <v>66</v>
      </c>
      <c r="J9407" s="75" t="s">
        <v>67</v>
      </c>
      <c r="K9407" s="75" t="s">
        <v>2890</v>
      </c>
      <c r="L9407" s="75" t="s">
        <v>68</v>
      </c>
      <c r="M9407" s="75" t="s">
        <v>70</v>
      </c>
    </row>
    <row r="9408" ht="23.85" customHeight="1" spans="3:13">
      <c r="C9408" s="569" t="s">
        <v>2891</v>
      </c>
      <c r="D9408" s="570" t="s">
        <v>5392</v>
      </c>
      <c r="E9408" s="569" t="s">
        <v>139</v>
      </c>
      <c r="F9408" s="569" t="s">
        <v>5393</v>
      </c>
      <c r="G9408" s="569" t="s">
        <v>2928</v>
      </c>
      <c r="H9408" s="569"/>
      <c r="I9408" s="577" t="s">
        <v>2897</v>
      </c>
      <c r="J9408" s="578">
        <v>1</v>
      </c>
      <c r="K9408" s="579"/>
      <c r="L9408" s="579">
        <v>0.73</v>
      </c>
      <c r="M9408" s="579">
        <v>0.73</v>
      </c>
    </row>
    <row r="9409" ht="15" customHeight="1" spans="3:13">
      <c r="C9409" s="100" t="s">
        <v>2893</v>
      </c>
      <c r="D9409" s="99" t="s">
        <v>5394</v>
      </c>
      <c r="E9409" s="100" t="s">
        <v>139</v>
      </c>
      <c r="F9409" s="100" t="s">
        <v>5395</v>
      </c>
      <c r="G9409" s="100" t="s">
        <v>2896</v>
      </c>
      <c r="H9409" s="100"/>
      <c r="I9409" s="101" t="s">
        <v>2897</v>
      </c>
      <c r="J9409" s="580">
        <v>0.03732</v>
      </c>
      <c r="K9409" s="580">
        <v>0</v>
      </c>
      <c r="L9409" s="102">
        <v>19.82</v>
      </c>
      <c r="M9409" s="102">
        <v>0.73</v>
      </c>
    </row>
    <row r="9410" ht="25.5" spans="3:13">
      <c r="C9410" s="108"/>
      <c r="D9410" s="108"/>
      <c r="E9410" s="108"/>
      <c r="F9410" s="108"/>
      <c r="G9410" s="108"/>
      <c r="H9410" s="108" t="s">
        <v>2898</v>
      </c>
      <c r="I9410" s="581">
        <v>0.73</v>
      </c>
      <c r="J9410" s="108" t="s">
        <v>2899</v>
      </c>
      <c r="K9410" s="581">
        <v>0</v>
      </c>
      <c r="L9410" s="108" t="s">
        <v>2900</v>
      </c>
      <c r="M9410" s="581">
        <v>0.73</v>
      </c>
    </row>
    <row r="9411" ht="26.25" spans="3:13">
      <c r="C9411" s="108"/>
      <c r="D9411" s="108"/>
      <c r="E9411" s="108"/>
      <c r="F9411" s="108"/>
      <c r="G9411" s="108"/>
      <c r="H9411" s="108" t="s">
        <v>2901</v>
      </c>
      <c r="I9411" s="581">
        <v>0.18</v>
      </c>
      <c r="J9411" s="114"/>
      <c r="K9411" s="114" t="s">
        <v>2902</v>
      </c>
      <c r="L9411" s="108"/>
      <c r="M9411" s="581">
        <v>0.91</v>
      </c>
    </row>
    <row r="9412" ht="15" spans="3:13">
      <c r="C9412" s="571"/>
      <c r="D9412" s="571"/>
      <c r="E9412" s="571"/>
      <c r="F9412" s="571"/>
      <c r="G9412" s="571"/>
      <c r="H9412" s="571"/>
      <c r="I9412" s="571"/>
      <c r="J9412" s="571"/>
      <c r="K9412" s="571"/>
      <c r="L9412" s="571"/>
      <c r="M9412" s="571"/>
    </row>
    <row r="9413" ht="15" customHeight="1" spans="3:13">
      <c r="C9413" s="76"/>
      <c r="D9413" s="75" t="s">
        <v>63</v>
      </c>
      <c r="E9413" s="76" t="s">
        <v>64</v>
      </c>
      <c r="F9413" s="76" t="s">
        <v>65</v>
      </c>
      <c r="G9413" s="76" t="s">
        <v>2889</v>
      </c>
      <c r="H9413" s="76"/>
      <c r="I9413" s="77" t="s">
        <v>66</v>
      </c>
      <c r="J9413" s="75" t="s">
        <v>67</v>
      </c>
      <c r="K9413" s="75" t="s">
        <v>2890</v>
      </c>
      <c r="L9413" s="75" t="s">
        <v>68</v>
      </c>
      <c r="M9413" s="75" t="s">
        <v>70</v>
      </c>
    </row>
    <row r="9414" ht="23.85" customHeight="1" spans="3:13">
      <c r="C9414" s="569" t="s">
        <v>2891</v>
      </c>
      <c r="D9414" s="570" t="s">
        <v>5400</v>
      </c>
      <c r="E9414" s="569" t="s">
        <v>139</v>
      </c>
      <c r="F9414" s="569" t="s">
        <v>5401</v>
      </c>
      <c r="G9414" s="569" t="s">
        <v>2928</v>
      </c>
      <c r="H9414" s="569"/>
      <c r="I9414" s="577" t="s">
        <v>2897</v>
      </c>
      <c r="J9414" s="578">
        <v>1</v>
      </c>
      <c r="K9414" s="579"/>
      <c r="L9414" s="579">
        <v>0.35</v>
      </c>
      <c r="M9414" s="579">
        <v>0.35</v>
      </c>
    </row>
    <row r="9415" ht="15" customHeight="1" spans="3:13">
      <c r="C9415" s="100" t="s">
        <v>2893</v>
      </c>
      <c r="D9415" s="99" t="s">
        <v>5404</v>
      </c>
      <c r="E9415" s="100" t="s">
        <v>139</v>
      </c>
      <c r="F9415" s="100" t="s">
        <v>5405</v>
      </c>
      <c r="G9415" s="100" t="s">
        <v>2896</v>
      </c>
      <c r="H9415" s="100"/>
      <c r="I9415" s="101" t="s">
        <v>2897</v>
      </c>
      <c r="J9415" s="580">
        <v>0.01798</v>
      </c>
      <c r="K9415" s="580">
        <v>0</v>
      </c>
      <c r="L9415" s="102">
        <v>19.82</v>
      </c>
      <c r="M9415" s="102">
        <v>0.35</v>
      </c>
    </row>
    <row r="9416" ht="25.5" spans="3:13">
      <c r="C9416" s="108"/>
      <c r="D9416" s="108"/>
      <c r="E9416" s="108"/>
      <c r="F9416" s="108"/>
      <c r="G9416" s="108"/>
      <c r="H9416" s="108" t="s">
        <v>2898</v>
      </c>
      <c r="I9416" s="581">
        <v>0.35</v>
      </c>
      <c r="J9416" s="108" t="s">
        <v>2899</v>
      </c>
      <c r="K9416" s="581">
        <v>0</v>
      </c>
      <c r="L9416" s="108" t="s">
        <v>2900</v>
      </c>
      <c r="M9416" s="581">
        <v>0.35</v>
      </c>
    </row>
    <row r="9417" ht="26.25" spans="3:13">
      <c r="C9417" s="108"/>
      <c r="D9417" s="108"/>
      <c r="E9417" s="108"/>
      <c r="F9417" s="108"/>
      <c r="G9417" s="108"/>
      <c r="H9417" s="108" t="s">
        <v>2901</v>
      </c>
      <c r="I9417" s="581">
        <v>0.08</v>
      </c>
      <c r="J9417" s="114"/>
      <c r="K9417" s="114" t="s">
        <v>2902</v>
      </c>
      <c r="L9417" s="108"/>
      <c r="M9417" s="581">
        <v>0.43</v>
      </c>
    </row>
    <row r="9418" ht="15" spans="3:13">
      <c r="C9418" s="571"/>
      <c r="D9418" s="571"/>
      <c r="E9418" s="571"/>
      <c r="F9418" s="571"/>
      <c r="G9418" s="571"/>
      <c r="H9418" s="571"/>
      <c r="I9418" s="571"/>
      <c r="J9418" s="571"/>
      <c r="K9418" s="571"/>
      <c r="L9418" s="571"/>
      <c r="M9418" s="571"/>
    </row>
    <row r="9419" ht="15" customHeight="1" spans="3:13">
      <c r="C9419" s="76"/>
      <c r="D9419" s="75" t="s">
        <v>63</v>
      </c>
      <c r="E9419" s="76" t="s">
        <v>64</v>
      </c>
      <c r="F9419" s="76" t="s">
        <v>65</v>
      </c>
      <c r="G9419" s="76" t="s">
        <v>2889</v>
      </c>
      <c r="H9419" s="76"/>
      <c r="I9419" s="77" t="s">
        <v>66</v>
      </c>
      <c r="J9419" s="75" t="s">
        <v>67</v>
      </c>
      <c r="K9419" s="75" t="s">
        <v>2890</v>
      </c>
      <c r="L9419" s="75" t="s">
        <v>68</v>
      </c>
      <c r="M9419" s="75" t="s">
        <v>70</v>
      </c>
    </row>
    <row r="9420" ht="23.85" customHeight="1" spans="3:13">
      <c r="C9420" s="569" t="s">
        <v>2891</v>
      </c>
      <c r="D9420" s="570" t="s">
        <v>5408</v>
      </c>
      <c r="E9420" s="569" t="s">
        <v>139</v>
      </c>
      <c r="F9420" s="569" t="s">
        <v>5409</v>
      </c>
      <c r="G9420" s="569" t="s">
        <v>2928</v>
      </c>
      <c r="H9420" s="569"/>
      <c r="I9420" s="577" t="s">
        <v>2897</v>
      </c>
      <c r="J9420" s="578">
        <v>1</v>
      </c>
      <c r="K9420" s="579"/>
      <c r="L9420" s="579">
        <v>0.22</v>
      </c>
      <c r="M9420" s="579">
        <v>0.22</v>
      </c>
    </row>
    <row r="9421" ht="15" customHeight="1" spans="3:13">
      <c r="C9421" s="100" t="s">
        <v>2893</v>
      </c>
      <c r="D9421" s="99" t="s">
        <v>5410</v>
      </c>
      <c r="E9421" s="100" t="s">
        <v>139</v>
      </c>
      <c r="F9421" s="100" t="s">
        <v>5411</v>
      </c>
      <c r="G9421" s="100" t="s">
        <v>2896</v>
      </c>
      <c r="H9421" s="100"/>
      <c r="I9421" s="101" t="s">
        <v>2897</v>
      </c>
      <c r="J9421" s="580">
        <v>0.01154</v>
      </c>
      <c r="K9421" s="580">
        <v>0</v>
      </c>
      <c r="L9421" s="102">
        <v>19.82</v>
      </c>
      <c r="M9421" s="102">
        <v>0.22</v>
      </c>
    </row>
    <row r="9422" ht="25.5" spans="3:13">
      <c r="C9422" s="108"/>
      <c r="D9422" s="108"/>
      <c r="E9422" s="108"/>
      <c r="F9422" s="108"/>
      <c r="G9422" s="108"/>
      <c r="H9422" s="108" t="s">
        <v>2898</v>
      </c>
      <c r="I9422" s="581">
        <v>0.22</v>
      </c>
      <c r="J9422" s="108" t="s">
        <v>2899</v>
      </c>
      <c r="K9422" s="581">
        <v>0</v>
      </c>
      <c r="L9422" s="108" t="s">
        <v>2900</v>
      </c>
      <c r="M9422" s="581">
        <v>0.22</v>
      </c>
    </row>
    <row r="9423" ht="26.25" spans="3:13">
      <c r="C9423" s="108"/>
      <c r="D9423" s="108"/>
      <c r="E9423" s="108"/>
      <c r="F9423" s="108"/>
      <c r="G9423" s="108"/>
      <c r="H9423" s="108" t="s">
        <v>2901</v>
      </c>
      <c r="I9423" s="581">
        <v>0.05</v>
      </c>
      <c r="J9423" s="114"/>
      <c r="K9423" s="114" t="s">
        <v>2902</v>
      </c>
      <c r="L9423" s="108"/>
      <c r="M9423" s="581">
        <v>0.27</v>
      </c>
    </row>
    <row r="9424" ht="15" spans="3:13">
      <c r="C9424" s="571"/>
      <c r="D9424" s="571"/>
      <c r="E9424" s="571"/>
      <c r="F9424" s="571"/>
      <c r="G9424" s="571"/>
      <c r="H9424" s="571"/>
      <c r="I9424" s="571"/>
      <c r="J9424" s="571"/>
      <c r="K9424" s="571"/>
      <c r="L9424" s="571"/>
      <c r="M9424" s="571"/>
    </row>
    <row r="9425" ht="15" customHeight="1" spans="3:13">
      <c r="C9425" s="76"/>
      <c r="D9425" s="75" t="s">
        <v>63</v>
      </c>
      <c r="E9425" s="76" t="s">
        <v>64</v>
      </c>
      <c r="F9425" s="76" t="s">
        <v>65</v>
      </c>
      <c r="G9425" s="76" t="s">
        <v>2889</v>
      </c>
      <c r="H9425" s="76"/>
      <c r="I9425" s="77" t="s">
        <v>66</v>
      </c>
      <c r="J9425" s="75" t="s">
        <v>67</v>
      </c>
      <c r="K9425" s="75" t="s">
        <v>2890</v>
      </c>
      <c r="L9425" s="75" t="s">
        <v>68</v>
      </c>
      <c r="M9425" s="75" t="s">
        <v>70</v>
      </c>
    </row>
    <row r="9426" ht="23.85" customHeight="1" spans="3:13">
      <c r="C9426" s="569" t="s">
        <v>2891</v>
      </c>
      <c r="D9426" s="570" t="s">
        <v>5412</v>
      </c>
      <c r="E9426" s="569" t="s">
        <v>139</v>
      </c>
      <c r="F9426" s="569" t="s">
        <v>5413</v>
      </c>
      <c r="G9426" s="569" t="s">
        <v>2928</v>
      </c>
      <c r="H9426" s="569"/>
      <c r="I9426" s="577" t="s">
        <v>2897</v>
      </c>
      <c r="J9426" s="578">
        <v>1</v>
      </c>
      <c r="K9426" s="579"/>
      <c r="L9426" s="579">
        <v>0.22</v>
      </c>
      <c r="M9426" s="579">
        <v>0.22</v>
      </c>
    </row>
    <row r="9427" ht="15" customHeight="1" spans="3:13">
      <c r="C9427" s="100" t="s">
        <v>2893</v>
      </c>
      <c r="D9427" s="99" t="s">
        <v>5414</v>
      </c>
      <c r="E9427" s="100" t="s">
        <v>139</v>
      </c>
      <c r="F9427" s="100" t="s">
        <v>5415</v>
      </c>
      <c r="G9427" s="100" t="s">
        <v>2896</v>
      </c>
      <c r="H9427" s="100"/>
      <c r="I9427" s="101" t="s">
        <v>2897</v>
      </c>
      <c r="J9427" s="580">
        <v>0.01154</v>
      </c>
      <c r="K9427" s="580">
        <v>0</v>
      </c>
      <c r="L9427" s="102">
        <v>19.82</v>
      </c>
      <c r="M9427" s="102">
        <v>0.22</v>
      </c>
    </row>
    <row r="9428" ht="25.5" spans="3:13">
      <c r="C9428" s="108"/>
      <c r="D9428" s="108"/>
      <c r="E9428" s="108"/>
      <c r="F9428" s="108"/>
      <c r="G9428" s="108"/>
      <c r="H9428" s="108" t="s">
        <v>2898</v>
      </c>
      <c r="I9428" s="581">
        <v>0.22</v>
      </c>
      <c r="J9428" s="108" t="s">
        <v>2899</v>
      </c>
      <c r="K9428" s="581">
        <v>0</v>
      </c>
      <c r="L9428" s="108" t="s">
        <v>2900</v>
      </c>
      <c r="M9428" s="581">
        <v>0.22</v>
      </c>
    </row>
    <row r="9429" ht="26.25" spans="3:13">
      <c r="C9429" s="108"/>
      <c r="D9429" s="108"/>
      <c r="E9429" s="108"/>
      <c r="F9429" s="108"/>
      <c r="G9429" s="108"/>
      <c r="H9429" s="108" t="s">
        <v>2901</v>
      </c>
      <c r="I9429" s="581">
        <v>0.05</v>
      </c>
      <c r="J9429" s="114"/>
      <c r="K9429" s="114" t="s">
        <v>2902</v>
      </c>
      <c r="L9429" s="108"/>
      <c r="M9429" s="581">
        <v>0.27</v>
      </c>
    </row>
    <row r="9430" ht="15" spans="3:13">
      <c r="C9430" s="571"/>
      <c r="D9430" s="571"/>
      <c r="E9430" s="571"/>
      <c r="F9430" s="571"/>
      <c r="G9430" s="571"/>
      <c r="H9430" s="571"/>
      <c r="I9430" s="571"/>
      <c r="J9430" s="571"/>
      <c r="K9430" s="571"/>
      <c r="L9430" s="571"/>
      <c r="M9430" s="571"/>
    </row>
    <row r="9431" ht="15" customHeight="1" spans="3:13">
      <c r="C9431" s="76"/>
      <c r="D9431" s="75" t="s">
        <v>63</v>
      </c>
      <c r="E9431" s="76" t="s">
        <v>64</v>
      </c>
      <c r="F9431" s="76" t="s">
        <v>65</v>
      </c>
      <c r="G9431" s="76" t="s">
        <v>2889</v>
      </c>
      <c r="H9431" s="76"/>
      <c r="I9431" s="77" t="s">
        <v>66</v>
      </c>
      <c r="J9431" s="75" t="s">
        <v>67</v>
      </c>
      <c r="K9431" s="75" t="s">
        <v>2890</v>
      </c>
      <c r="L9431" s="75" t="s">
        <v>68</v>
      </c>
      <c r="M9431" s="75" t="s">
        <v>70</v>
      </c>
    </row>
    <row r="9432" ht="23.85" customHeight="1" spans="3:13">
      <c r="C9432" s="569" t="s">
        <v>2891</v>
      </c>
      <c r="D9432" s="570" t="s">
        <v>5416</v>
      </c>
      <c r="E9432" s="569" t="s">
        <v>139</v>
      </c>
      <c r="F9432" s="569" t="s">
        <v>5417</v>
      </c>
      <c r="G9432" s="569" t="s">
        <v>2928</v>
      </c>
      <c r="H9432" s="569"/>
      <c r="I9432" s="577" t="s">
        <v>2925</v>
      </c>
      <c r="J9432" s="578">
        <v>1</v>
      </c>
      <c r="K9432" s="579"/>
      <c r="L9432" s="579">
        <v>12.21</v>
      </c>
      <c r="M9432" s="579">
        <v>12.21</v>
      </c>
    </row>
    <row r="9433" ht="15" customHeight="1" spans="3:13">
      <c r="C9433" s="100" t="s">
        <v>2893</v>
      </c>
      <c r="D9433" s="99" t="s">
        <v>5418</v>
      </c>
      <c r="E9433" s="100" t="s">
        <v>139</v>
      </c>
      <c r="F9433" s="100" t="s">
        <v>5419</v>
      </c>
      <c r="G9433" s="100" t="s">
        <v>2896</v>
      </c>
      <c r="H9433" s="100"/>
      <c r="I9433" s="101" t="s">
        <v>2925</v>
      </c>
      <c r="J9433" s="580">
        <v>0.00626</v>
      </c>
      <c r="K9433" s="580">
        <v>0</v>
      </c>
      <c r="L9433" s="102">
        <v>1951.33</v>
      </c>
      <c r="M9433" s="102">
        <v>12.21</v>
      </c>
    </row>
    <row r="9434" ht="25.5" spans="3:13">
      <c r="C9434" s="108"/>
      <c r="D9434" s="108"/>
      <c r="E9434" s="108"/>
      <c r="F9434" s="108"/>
      <c r="G9434" s="108"/>
      <c r="H9434" s="108" t="s">
        <v>2898</v>
      </c>
      <c r="I9434" s="581">
        <v>12.21</v>
      </c>
      <c r="J9434" s="108" t="s">
        <v>2899</v>
      </c>
      <c r="K9434" s="581">
        <v>0</v>
      </c>
      <c r="L9434" s="108" t="s">
        <v>2900</v>
      </c>
      <c r="M9434" s="581">
        <v>12.21</v>
      </c>
    </row>
    <row r="9435" ht="26.25" spans="3:13">
      <c r="C9435" s="108"/>
      <c r="D9435" s="108"/>
      <c r="E9435" s="108"/>
      <c r="F9435" s="108"/>
      <c r="G9435" s="108"/>
      <c r="H9435" s="108" t="s">
        <v>2901</v>
      </c>
      <c r="I9435" s="581">
        <v>3.11</v>
      </c>
      <c r="J9435" s="114"/>
      <c r="K9435" s="114" t="s">
        <v>2902</v>
      </c>
      <c r="L9435" s="108"/>
      <c r="M9435" s="581">
        <v>15.32</v>
      </c>
    </row>
    <row r="9436" ht="15" spans="3:13">
      <c r="C9436" s="571"/>
      <c r="D9436" s="571"/>
      <c r="E9436" s="571"/>
      <c r="F9436" s="571"/>
      <c r="G9436" s="571"/>
      <c r="H9436" s="571"/>
      <c r="I9436" s="571"/>
      <c r="J9436" s="571"/>
      <c r="K9436" s="571"/>
      <c r="L9436" s="571"/>
      <c r="M9436" s="571"/>
    </row>
    <row r="9437" ht="15" customHeight="1" spans="3:13">
      <c r="C9437" s="76"/>
      <c r="D9437" s="75" t="s">
        <v>63</v>
      </c>
      <c r="E9437" s="76" t="s">
        <v>64</v>
      </c>
      <c r="F9437" s="76" t="s">
        <v>65</v>
      </c>
      <c r="G9437" s="76" t="s">
        <v>2889</v>
      </c>
      <c r="H9437" s="76"/>
      <c r="I9437" s="77" t="s">
        <v>66</v>
      </c>
      <c r="J9437" s="75" t="s">
        <v>67</v>
      </c>
      <c r="K9437" s="75" t="s">
        <v>2890</v>
      </c>
      <c r="L9437" s="75" t="s">
        <v>68</v>
      </c>
      <c r="M9437" s="75" t="s">
        <v>70</v>
      </c>
    </row>
    <row r="9438" ht="23.85" customHeight="1" spans="3:13">
      <c r="C9438" s="569" t="s">
        <v>2891</v>
      </c>
      <c r="D9438" s="570" t="s">
        <v>5424</v>
      </c>
      <c r="E9438" s="569" t="s">
        <v>139</v>
      </c>
      <c r="F9438" s="569" t="s">
        <v>5425</v>
      </c>
      <c r="G9438" s="569" t="s">
        <v>2928</v>
      </c>
      <c r="H9438" s="569"/>
      <c r="I9438" s="577" t="s">
        <v>2925</v>
      </c>
      <c r="J9438" s="578">
        <v>1</v>
      </c>
      <c r="K9438" s="579"/>
      <c r="L9438" s="579">
        <v>38.41</v>
      </c>
      <c r="M9438" s="579">
        <v>38.41</v>
      </c>
    </row>
    <row r="9439" ht="15" customHeight="1" spans="3:13">
      <c r="C9439" s="100" t="s">
        <v>2893</v>
      </c>
      <c r="D9439" s="99" t="s">
        <v>5430</v>
      </c>
      <c r="E9439" s="100" t="s">
        <v>139</v>
      </c>
      <c r="F9439" s="100" t="s">
        <v>5431</v>
      </c>
      <c r="G9439" s="100" t="s">
        <v>2896</v>
      </c>
      <c r="H9439" s="100"/>
      <c r="I9439" s="101" t="s">
        <v>2925</v>
      </c>
      <c r="J9439" s="580">
        <v>0.00626</v>
      </c>
      <c r="K9439" s="580">
        <v>0</v>
      </c>
      <c r="L9439" s="102">
        <v>6137.22</v>
      </c>
      <c r="M9439" s="102">
        <v>38.41</v>
      </c>
    </row>
    <row r="9440" ht="25.5" spans="3:13">
      <c r="C9440" s="108"/>
      <c r="D9440" s="108"/>
      <c r="E9440" s="108"/>
      <c r="F9440" s="108"/>
      <c r="G9440" s="108"/>
      <c r="H9440" s="108" t="s">
        <v>2898</v>
      </c>
      <c r="I9440" s="581">
        <v>38.41</v>
      </c>
      <c r="J9440" s="108" t="s">
        <v>2899</v>
      </c>
      <c r="K9440" s="581">
        <v>0</v>
      </c>
      <c r="L9440" s="108" t="s">
        <v>2900</v>
      </c>
      <c r="M9440" s="581">
        <v>38.41</v>
      </c>
    </row>
    <row r="9441" ht="26.25" spans="3:13">
      <c r="C9441" s="108"/>
      <c r="D9441" s="108"/>
      <c r="E9441" s="108"/>
      <c r="F9441" s="108"/>
      <c r="G9441" s="108"/>
      <c r="H9441" s="108" t="s">
        <v>2901</v>
      </c>
      <c r="I9441" s="581">
        <v>9.79</v>
      </c>
      <c r="J9441" s="114"/>
      <c r="K9441" s="114" t="s">
        <v>2902</v>
      </c>
      <c r="L9441" s="108"/>
      <c r="M9441" s="581">
        <v>48.2</v>
      </c>
    </row>
    <row r="9442" ht="15" spans="3:13">
      <c r="C9442" s="571"/>
      <c r="D9442" s="571"/>
      <c r="E9442" s="571"/>
      <c r="F9442" s="571"/>
      <c r="G9442" s="571"/>
      <c r="H9442" s="571"/>
      <c r="I9442" s="571"/>
      <c r="J9442" s="571"/>
      <c r="K9442" s="571"/>
      <c r="L9442" s="571"/>
      <c r="M9442" s="571"/>
    </row>
    <row r="9443" ht="15" customHeight="1" spans="3:13">
      <c r="C9443" s="76"/>
      <c r="D9443" s="75" t="s">
        <v>63</v>
      </c>
      <c r="E9443" s="76" t="s">
        <v>64</v>
      </c>
      <c r="F9443" s="76" t="s">
        <v>65</v>
      </c>
      <c r="G9443" s="76" t="s">
        <v>2889</v>
      </c>
      <c r="H9443" s="76"/>
      <c r="I9443" s="77" t="s">
        <v>66</v>
      </c>
      <c r="J9443" s="75" t="s">
        <v>67</v>
      </c>
      <c r="K9443" s="75" t="s">
        <v>2890</v>
      </c>
      <c r="L9443" s="75" t="s">
        <v>68</v>
      </c>
      <c r="M9443" s="75" t="s">
        <v>70</v>
      </c>
    </row>
    <row r="9444" ht="23.85" customHeight="1" spans="3:13">
      <c r="C9444" s="569" t="s">
        <v>2891</v>
      </c>
      <c r="D9444" s="570" t="s">
        <v>5432</v>
      </c>
      <c r="E9444" s="569" t="s">
        <v>139</v>
      </c>
      <c r="F9444" s="569" t="s">
        <v>5433</v>
      </c>
      <c r="G9444" s="569" t="s">
        <v>2928</v>
      </c>
      <c r="H9444" s="569"/>
      <c r="I9444" s="577" t="s">
        <v>2897</v>
      </c>
      <c r="J9444" s="578">
        <v>1</v>
      </c>
      <c r="K9444" s="579"/>
      <c r="L9444" s="579">
        <v>0.42</v>
      </c>
      <c r="M9444" s="579">
        <v>0.42</v>
      </c>
    </row>
    <row r="9445" ht="15" customHeight="1" spans="3:13">
      <c r="C9445" s="100" t="s">
        <v>2893</v>
      </c>
      <c r="D9445" s="99" t="s">
        <v>5434</v>
      </c>
      <c r="E9445" s="100" t="s">
        <v>139</v>
      </c>
      <c r="F9445" s="100" t="s">
        <v>5435</v>
      </c>
      <c r="G9445" s="100" t="s">
        <v>2896</v>
      </c>
      <c r="H9445" s="100"/>
      <c r="I9445" s="101" t="s">
        <v>2897</v>
      </c>
      <c r="J9445" s="580">
        <v>0.01476</v>
      </c>
      <c r="K9445" s="580">
        <v>0</v>
      </c>
      <c r="L9445" s="102">
        <v>28.52</v>
      </c>
      <c r="M9445" s="102">
        <v>0.42</v>
      </c>
    </row>
    <row r="9446" ht="25.5" spans="3:13">
      <c r="C9446" s="108"/>
      <c r="D9446" s="108"/>
      <c r="E9446" s="108"/>
      <c r="F9446" s="108"/>
      <c r="G9446" s="108"/>
      <c r="H9446" s="108" t="s">
        <v>2898</v>
      </c>
      <c r="I9446" s="581">
        <v>0.42</v>
      </c>
      <c r="J9446" s="108" t="s">
        <v>2899</v>
      </c>
      <c r="K9446" s="581">
        <v>0</v>
      </c>
      <c r="L9446" s="108" t="s">
        <v>2900</v>
      </c>
      <c r="M9446" s="581">
        <v>0.42</v>
      </c>
    </row>
    <row r="9447" ht="26.25" spans="3:13">
      <c r="C9447" s="108"/>
      <c r="D9447" s="108"/>
      <c r="E9447" s="108"/>
      <c r="F9447" s="108"/>
      <c r="G9447" s="108"/>
      <c r="H9447" s="108" t="s">
        <v>2901</v>
      </c>
      <c r="I9447" s="581">
        <v>0.1</v>
      </c>
      <c r="J9447" s="114"/>
      <c r="K9447" s="114" t="s">
        <v>2902</v>
      </c>
      <c r="L9447" s="108"/>
      <c r="M9447" s="581">
        <v>0.52</v>
      </c>
    </row>
    <row r="9448" ht="15" spans="3:13">
      <c r="C9448" s="571"/>
      <c r="D9448" s="571"/>
      <c r="E9448" s="571"/>
      <c r="F9448" s="571"/>
      <c r="G9448" s="571"/>
      <c r="H9448" s="571"/>
      <c r="I9448" s="571"/>
      <c r="J9448" s="571"/>
      <c r="K9448" s="571"/>
      <c r="L9448" s="571"/>
      <c r="M9448" s="571"/>
    </row>
    <row r="9449" ht="15" customHeight="1" spans="3:13">
      <c r="C9449" s="76"/>
      <c r="D9449" s="75" t="s">
        <v>63</v>
      </c>
      <c r="E9449" s="76" t="s">
        <v>64</v>
      </c>
      <c r="F9449" s="76" t="s">
        <v>65</v>
      </c>
      <c r="G9449" s="76" t="s">
        <v>2889</v>
      </c>
      <c r="H9449" s="76"/>
      <c r="I9449" s="77" t="s">
        <v>66</v>
      </c>
      <c r="J9449" s="75" t="s">
        <v>67</v>
      </c>
      <c r="K9449" s="75" t="s">
        <v>2890</v>
      </c>
      <c r="L9449" s="75" t="s">
        <v>68</v>
      </c>
      <c r="M9449" s="75" t="s">
        <v>70</v>
      </c>
    </row>
    <row r="9450" ht="23.85" customHeight="1" spans="3:13">
      <c r="C9450" s="569" t="s">
        <v>2891</v>
      </c>
      <c r="D9450" s="570" t="s">
        <v>5517</v>
      </c>
      <c r="E9450" s="569" t="s">
        <v>139</v>
      </c>
      <c r="F9450" s="569" t="s">
        <v>5518</v>
      </c>
      <c r="G9450" s="569" t="s">
        <v>2928</v>
      </c>
      <c r="H9450" s="569"/>
      <c r="I9450" s="577" t="s">
        <v>2897</v>
      </c>
      <c r="J9450" s="578">
        <v>1</v>
      </c>
      <c r="K9450" s="579"/>
      <c r="L9450" s="579">
        <v>0.29</v>
      </c>
      <c r="M9450" s="579">
        <v>0.29</v>
      </c>
    </row>
    <row r="9451" ht="15" customHeight="1" spans="3:13">
      <c r="C9451" s="100" t="s">
        <v>2893</v>
      </c>
      <c r="D9451" s="99" t="s">
        <v>5519</v>
      </c>
      <c r="E9451" s="100" t="s">
        <v>139</v>
      </c>
      <c r="F9451" s="100" t="s">
        <v>5520</v>
      </c>
      <c r="G9451" s="100" t="s">
        <v>2896</v>
      </c>
      <c r="H9451" s="100"/>
      <c r="I9451" s="101" t="s">
        <v>2897</v>
      </c>
      <c r="J9451" s="580">
        <v>0.01154</v>
      </c>
      <c r="K9451" s="580">
        <v>0</v>
      </c>
      <c r="L9451" s="102">
        <v>25.39</v>
      </c>
      <c r="M9451" s="102">
        <v>0.29</v>
      </c>
    </row>
    <row r="9452" ht="25.5" spans="3:13">
      <c r="C9452" s="108"/>
      <c r="D9452" s="108"/>
      <c r="E9452" s="108"/>
      <c r="F9452" s="108"/>
      <c r="G9452" s="108"/>
      <c r="H9452" s="108" t="s">
        <v>2898</v>
      </c>
      <c r="I9452" s="581">
        <v>0.29</v>
      </c>
      <c r="J9452" s="108" t="s">
        <v>2899</v>
      </c>
      <c r="K9452" s="581">
        <v>0</v>
      </c>
      <c r="L9452" s="108" t="s">
        <v>2900</v>
      </c>
      <c r="M9452" s="581">
        <v>0.29</v>
      </c>
    </row>
    <row r="9453" ht="26.25" spans="3:13">
      <c r="C9453" s="108"/>
      <c r="D9453" s="108"/>
      <c r="E9453" s="108"/>
      <c r="F9453" s="108"/>
      <c r="G9453" s="108"/>
      <c r="H9453" s="108" t="s">
        <v>2901</v>
      </c>
      <c r="I9453" s="581">
        <v>0.07</v>
      </c>
      <c r="J9453" s="114"/>
      <c r="K9453" s="114" t="s">
        <v>2902</v>
      </c>
      <c r="L9453" s="108"/>
      <c r="M9453" s="581">
        <v>0.36</v>
      </c>
    </row>
    <row r="9454" ht="15" spans="3:13">
      <c r="C9454" s="571"/>
      <c r="D9454" s="571"/>
      <c r="E9454" s="571"/>
      <c r="F9454" s="571"/>
      <c r="G9454" s="571"/>
      <c r="H9454" s="571"/>
      <c r="I9454" s="571"/>
      <c r="J9454" s="571"/>
      <c r="K9454" s="571"/>
      <c r="L9454" s="571"/>
      <c r="M9454" s="571"/>
    </row>
    <row r="9455" ht="15" customHeight="1" spans="3:13">
      <c r="C9455" s="76"/>
      <c r="D9455" s="75" t="s">
        <v>63</v>
      </c>
      <c r="E9455" s="76" t="s">
        <v>64</v>
      </c>
      <c r="F9455" s="76" t="s">
        <v>65</v>
      </c>
      <c r="G9455" s="76" t="s">
        <v>2889</v>
      </c>
      <c r="H9455" s="76"/>
      <c r="I9455" s="77" t="s">
        <v>66</v>
      </c>
      <c r="J9455" s="75" t="s">
        <v>67</v>
      </c>
      <c r="K9455" s="75" t="s">
        <v>2890</v>
      </c>
      <c r="L9455" s="75" t="s">
        <v>68</v>
      </c>
      <c r="M9455" s="75" t="s">
        <v>70</v>
      </c>
    </row>
    <row r="9456" ht="23.85" customHeight="1" spans="3:13">
      <c r="C9456" s="569" t="s">
        <v>2891</v>
      </c>
      <c r="D9456" s="570" t="s">
        <v>5549</v>
      </c>
      <c r="E9456" s="569" t="s">
        <v>139</v>
      </c>
      <c r="F9456" s="569" t="s">
        <v>5550</v>
      </c>
      <c r="G9456" s="569" t="s">
        <v>2928</v>
      </c>
      <c r="H9456" s="569"/>
      <c r="I9456" s="577" t="s">
        <v>2897</v>
      </c>
      <c r="J9456" s="578">
        <v>1</v>
      </c>
      <c r="K9456" s="579"/>
      <c r="L9456" s="579">
        <v>0.43</v>
      </c>
      <c r="M9456" s="579">
        <v>0.43</v>
      </c>
    </row>
    <row r="9457" ht="15" customHeight="1" spans="3:13">
      <c r="C9457" s="100" t="s">
        <v>2893</v>
      </c>
      <c r="D9457" s="99" t="s">
        <v>5551</v>
      </c>
      <c r="E9457" s="100" t="s">
        <v>139</v>
      </c>
      <c r="F9457" s="100" t="s">
        <v>5552</v>
      </c>
      <c r="G9457" s="100" t="s">
        <v>2896</v>
      </c>
      <c r="H9457" s="100"/>
      <c r="I9457" s="101" t="s">
        <v>2897</v>
      </c>
      <c r="J9457" s="580">
        <v>0.01476</v>
      </c>
      <c r="K9457" s="580">
        <v>0</v>
      </c>
      <c r="L9457" s="102">
        <v>29.48</v>
      </c>
      <c r="M9457" s="102">
        <v>0.43</v>
      </c>
    </row>
    <row r="9458" ht="25.5" spans="3:13">
      <c r="C9458" s="108"/>
      <c r="D9458" s="108"/>
      <c r="E9458" s="108"/>
      <c r="F9458" s="108"/>
      <c r="G9458" s="108"/>
      <c r="H9458" s="108" t="s">
        <v>2898</v>
      </c>
      <c r="I9458" s="581">
        <v>0.43</v>
      </c>
      <c r="J9458" s="108" t="s">
        <v>2899</v>
      </c>
      <c r="K9458" s="581">
        <v>0</v>
      </c>
      <c r="L9458" s="108" t="s">
        <v>2900</v>
      </c>
      <c r="M9458" s="581">
        <v>0.43</v>
      </c>
    </row>
    <row r="9459" ht="26.25" spans="3:13">
      <c r="C9459" s="108"/>
      <c r="D9459" s="108"/>
      <c r="E9459" s="108"/>
      <c r="F9459" s="108"/>
      <c r="G9459" s="108"/>
      <c r="H9459" s="108" t="s">
        <v>2901</v>
      </c>
      <c r="I9459" s="581">
        <v>0.1</v>
      </c>
      <c r="J9459" s="114"/>
      <c r="K9459" s="114" t="s">
        <v>2902</v>
      </c>
      <c r="L9459" s="108"/>
      <c r="M9459" s="581">
        <v>0.53</v>
      </c>
    </row>
    <row r="9460" ht="15" spans="3:13">
      <c r="C9460" s="571"/>
      <c r="D9460" s="571"/>
      <c r="E9460" s="571"/>
      <c r="F9460" s="571"/>
      <c r="G9460" s="571"/>
      <c r="H9460" s="571"/>
      <c r="I9460" s="571"/>
      <c r="J9460" s="571"/>
      <c r="K9460" s="571"/>
      <c r="L9460" s="571"/>
      <c r="M9460" s="571"/>
    </row>
    <row r="9461" ht="15" customHeight="1" spans="3:13">
      <c r="C9461" s="76"/>
      <c r="D9461" s="75" t="s">
        <v>63</v>
      </c>
      <c r="E9461" s="76" t="s">
        <v>64</v>
      </c>
      <c r="F9461" s="76" t="s">
        <v>65</v>
      </c>
      <c r="G9461" s="76" t="s">
        <v>2889</v>
      </c>
      <c r="H9461" s="76"/>
      <c r="I9461" s="77" t="s">
        <v>66</v>
      </c>
      <c r="J9461" s="75" t="s">
        <v>67</v>
      </c>
      <c r="K9461" s="75" t="s">
        <v>2890</v>
      </c>
      <c r="L9461" s="75" t="s">
        <v>68</v>
      </c>
      <c r="M9461" s="75" t="s">
        <v>70</v>
      </c>
    </row>
    <row r="9462" ht="23.85" customHeight="1" spans="3:13">
      <c r="C9462" s="569" t="s">
        <v>2891</v>
      </c>
      <c r="D9462" s="570" t="s">
        <v>5553</v>
      </c>
      <c r="E9462" s="569" t="s">
        <v>139</v>
      </c>
      <c r="F9462" s="569" t="s">
        <v>5554</v>
      </c>
      <c r="G9462" s="569" t="s">
        <v>2928</v>
      </c>
      <c r="H9462" s="569"/>
      <c r="I9462" s="577" t="s">
        <v>2897</v>
      </c>
      <c r="J9462" s="578">
        <v>1</v>
      </c>
      <c r="K9462" s="579"/>
      <c r="L9462" s="579">
        <v>0.31</v>
      </c>
      <c r="M9462" s="579">
        <v>0.31</v>
      </c>
    </row>
    <row r="9463" ht="15" customHeight="1" spans="3:13">
      <c r="C9463" s="100" t="s">
        <v>2893</v>
      </c>
      <c r="D9463" s="99" t="s">
        <v>5555</v>
      </c>
      <c r="E9463" s="100" t="s">
        <v>139</v>
      </c>
      <c r="F9463" s="100" t="s">
        <v>5556</v>
      </c>
      <c r="G9463" s="100" t="s">
        <v>2896</v>
      </c>
      <c r="H9463" s="100"/>
      <c r="I9463" s="101" t="s">
        <v>2897</v>
      </c>
      <c r="J9463" s="580">
        <v>0.01154</v>
      </c>
      <c r="K9463" s="580">
        <v>0</v>
      </c>
      <c r="L9463" s="102">
        <v>27.4</v>
      </c>
      <c r="M9463" s="102">
        <v>0.31</v>
      </c>
    </row>
    <row r="9464" ht="25.5" spans="3:13">
      <c r="C9464" s="108"/>
      <c r="D9464" s="108"/>
      <c r="E9464" s="108"/>
      <c r="F9464" s="108"/>
      <c r="G9464" s="108"/>
      <c r="H9464" s="108" t="s">
        <v>2898</v>
      </c>
      <c r="I9464" s="581">
        <v>0.31</v>
      </c>
      <c r="J9464" s="108" t="s">
        <v>2899</v>
      </c>
      <c r="K9464" s="581">
        <v>0</v>
      </c>
      <c r="L9464" s="108" t="s">
        <v>2900</v>
      </c>
      <c r="M9464" s="581">
        <v>0.31</v>
      </c>
    </row>
    <row r="9465" ht="26.25" spans="3:13">
      <c r="C9465" s="108"/>
      <c r="D9465" s="108"/>
      <c r="E9465" s="108"/>
      <c r="F9465" s="108"/>
      <c r="G9465" s="108"/>
      <c r="H9465" s="108" t="s">
        <v>2901</v>
      </c>
      <c r="I9465" s="581">
        <v>0.07</v>
      </c>
      <c r="J9465" s="114"/>
      <c r="K9465" s="114" t="s">
        <v>2902</v>
      </c>
      <c r="L9465" s="108"/>
      <c r="M9465" s="581">
        <v>0.38</v>
      </c>
    </row>
    <row r="9466" ht="15" spans="3:13">
      <c r="C9466" s="571"/>
      <c r="D9466" s="571"/>
      <c r="E9466" s="571"/>
      <c r="F9466" s="571"/>
      <c r="G9466" s="571"/>
      <c r="H9466" s="571"/>
      <c r="I9466" s="571"/>
      <c r="J9466" s="571"/>
      <c r="K9466" s="571"/>
      <c r="L9466" s="571"/>
      <c r="M9466" s="571"/>
    </row>
    <row r="9467" ht="15" customHeight="1" spans="3:13">
      <c r="C9467" s="76"/>
      <c r="D9467" s="75" t="s">
        <v>63</v>
      </c>
      <c r="E9467" s="76" t="s">
        <v>64</v>
      </c>
      <c r="F9467" s="76" t="s">
        <v>65</v>
      </c>
      <c r="G9467" s="76" t="s">
        <v>2889</v>
      </c>
      <c r="H9467" s="76"/>
      <c r="I9467" s="77" t="s">
        <v>66</v>
      </c>
      <c r="J9467" s="75" t="s">
        <v>67</v>
      </c>
      <c r="K9467" s="75" t="s">
        <v>2890</v>
      </c>
      <c r="L9467" s="75" t="s">
        <v>68</v>
      </c>
      <c r="M9467" s="75" t="s">
        <v>70</v>
      </c>
    </row>
    <row r="9468" ht="23.85" customHeight="1" spans="3:13">
      <c r="C9468" s="569" t="s">
        <v>2891</v>
      </c>
      <c r="D9468" s="570" t="s">
        <v>5628</v>
      </c>
      <c r="E9468" s="569" t="s">
        <v>139</v>
      </c>
      <c r="F9468" s="569" t="s">
        <v>5629</v>
      </c>
      <c r="G9468" s="569" t="s">
        <v>2928</v>
      </c>
      <c r="H9468" s="569"/>
      <c r="I9468" s="577" t="s">
        <v>2897</v>
      </c>
      <c r="J9468" s="578">
        <v>1</v>
      </c>
      <c r="K9468" s="579"/>
      <c r="L9468" s="579">
        <v>0.96</v>
      </c>
      <c r="M9468" s="579">
        <v>0.96</v>
      </c>
    </row>
    <row r="9469" ht="15" customHeight="1" spans="3:13">
      <c r="C9469" s="100" t="s">
        <v>2893</v>
      </c>
      <c r="D9469" s="99" t="s">
        <v>5630</v>
      </c>
      <c r="E9469" s="100" t="s">
        <v>139</v>
      </c>
      <c r="F9469" s="100" t="s">
        <v>5631</v>
      </c>
      <c r="G9469" s="100" t="s">
        <v>2896</v>
      </c>
      <c r="H9469" s="100"/>
      <c r="I9469" s="101" t="s">
        <v>2897</v>
      </c>
      <c r="J9469" s="580">
        <v>0.03732</v>
      </c>
      <c r="K9469" s="580">
        <v>0</v>
      </c>
      <c r="L9469" s="102">
        <v>25.81</v>
      </c>
      <c r="M9469" s="102">
        <v>0.96</v>
      </c>
    </row>
    <row r="9470" ht="25.5" spans="3:13">
      <c r="C9470" s="108"/>
      <c r="D9470" s="108"/>
      <c r="E9470" s="108"/>
      <c r="F9470" s="108"/>
      <c r="G9470" s="108"/>
      <c r="H9470" s="108" t="s">
        <v>2898</v>
      </c>
      <c r="I9470" s="581">
        <v>0.96</v>
      </c>
      <c r="J9470" s="108" t="s">
        <v>2899</v>
      </c>
      <c r="K9470" s="581">
        <v>0</v>
      </c>
      <c r="L9470" s="108" t="s">
        <v>2900</v>
      </c>
      <c r="M9470" s="581">
        <v>0.96</v>
      </c>
    </row>
    <row r="9471" ht="26.25" spans="3:13">
      <c r="C9471" s="108"/>
      <c r="D9471" s="108"/>
      <c r="E9471" s="108"/>
      <c r="F9471" s="108"/>
      <c r="G9471" s="108"/>
      <c r="H9471" s="108" t="s">
        <v>2901</v>
      </c>
      <c r="I9471" s="581">
        <v>0.24</v>
      </c>
      <c r="J9471" s="114"/>
      <c r="K9471" s="114" t="s">
        <v>2902</v>
      </c>
      <c r="L9471" s="108"/>
      <c r="M9471" s="581">
        <v>1.2</v>
      </c>
    </row>
    <row r="9472" ht="15" spans="3:13">
      <c r="C9472" s="571"/>
      <c r="D9472" s="571"/>
      <c r="E9472" s="571"/>
      <c r="F9472" s="571"/>
      <c r="G9472" s="571"/>
      <c r="H9472" s="571"/>
      <c r="I9472" s="571"/>
      <c r="J9472" s="571"/>
      <c r="K9472" s="571"/>
      <c r="L9472" s="571"/>
      <c r="M9472" s="571"/>
    </row>
    <row r="9473" ht="15" customHeight="1" spans="3:13">
      <c r="C9473" s="76"/>
      <c r="D9473" s="75" t="s">
        <v>63</v>
      </c>
      <c r="E9473" s="76" t="s">
        <v>64</v>
      </c>
      <c r="F9473" s="76" t="s">
        <v>65</v>
      </c>
      <c r="G9473" s="76" t="s">
        <v>2889</v>
      </c>
      <c r="H9473" s="76"/>
      <c r="I9473" s="77" t="s">
        <v>66</v>
      </c>
      <c r="J9473" s="75" t="s">
        <v>67</v>
      </c>
      <c r="K9473" s="75" t="s">
        <v>2890</v>
      </c>
      <c r="L9473" s="75" t="s">
        <v>68</v>
      </c>
      <c r="M9473" s="75" t="s">
        <v>70</v>
      </c>
    </row>
    <row r="9474" ht="23.85" customHeight="1" spans="3:13">
      <c r="C9474" s="569" t="s">
        <v>2891</v>
      </c>
      <c r="D9474" s="570" t="s">
        <v>5632</v>
      </c>
      <c r="E9474" s="569" t="s">
        <v>139</v>
      </c>
      <c r="F9474" s="569" t="s">
        <v>5633</v>
      </c>
      <c r="G9474" s="569" t="s">
        <v>2928</v>
      </c>
      <c r="H9474" s="569"/>
      <c r="I9474" s="577" t="s">
        <v>2897</v>
      </c>
      <c r="J9474" s="578">
        <v>1</v>
      </c>
      <c r="K9474" s="579"/>
      <c r="L9474" s="579">
        <v>0.91</v>
      </c>
      <c r="M9474" s="579">
        <v>0.91</v>
      </c>
    </row>
    <row r="9475" ht="15" customHeight="1" spans="3:13">
      <c r="C9475" s="100" t="s">
        <v>2893</v>
      </c>
      <c r="D9475" s="99" t="s">
        <v>5634</v>
      </c>
      <c r="E9475" s="100" t="s">
        <v>139</v>
      </c>
      <c r="F9475" s="100" t="s">
        <v>5635</v>
      </c>
      <c r="G9475" s="100" t="s">
        <v>2896</v>
      </c>
      <c r="H9475" s="100"/>
      <c r="I9475" s="101" t="s">
        <v>2897</v>
      </c>
      <c r="J9475" s="580">
        <v>0.03087</v>
      </c>
      <c r="K9475" s="580">
        <v>0</v>
      </c>
      <c r="L9475" s="102">
        <v>29.69</v>
      </c>
      <c r="M9475" s="102">
        <v>0.91</v>
      </c>
    </row>
    <row r="9476" ht="25.5" spans="3:13">
      <c r="C9476" s="108"/>
      <c r="D9476" s="108"/>
      <c r="E9476" s="108"/>
      <c r="F9476" s="108"/>
      <c r="G9476" s="108"/>
      <c r="H9476" s="108" t="s">
        <v>2898</v>
      </c>
      <c r="I9476" s="581">
        <v>0.91</v>
      </c>
      <c r="J9476" s="108" t="s">
        <v>2899</v>
      </c>
      <c r="K9476" s="581">
        <v>0</v>
      </c>
      <c r="L9476" s="108" t="s">
        <v>2900</v>
      </c>
      <c r="M9476" s="581">
        <v>0.91</v>
      </c>
    </row>
    <row r="9477" ht="26.25" spans="3:13">
      <c r="C9477" s="108"/>
      <c r="D9477" s="108"/>
      <c r="E9477" s="108"/>
      <c r="F9477" s="108"/>
      <c r="G9477" s="108"/>
      <c r="H9477" s="108" t="s">
        <v>2901</v>
      </c>
      <c r="I9477" s="581">
        <v>0.23</v>
      </c>
      <c r="J9477" s="114"/>
      <c r="K9477" s="114" t="s">
        <v>2902</v>
      </c>
      <c r="L9477" s="108"/>
      <c r="M9477" s="581">
        <v>1.14</v>
      </c>
    </row>
    <row r="9478" ht="15" spans="3:13">
      <c r="C9478" s="571"/>
      <c r="D9478" s="571"/>
      <c r="E9478" s="571"/>
      <c r="F9478" s="571"/>
      <c r="G9478" s="571"/>
      <c r="H9478" s="571"/>
      <c r="I9478" s="571"/>
      <c r="J9478" s="571"/>
      <c r="K9478" s="571"/>
      <c r="L9478" s="571"/>
      <c r="M9478" s="571"/>
    </row>
    <row r="9479" ht="15" customHeight="1" spans="3:13">
      <c r="C9479" s="76"/>
      <c r="D9479" s="75" t="s">
        <v>63</v>
      </c>
      <c r="E9479" s="76" t="s">
        <v>64</v>
      </c>
      <c r="F9479" s="76" t="s">
        <v>65</v>
      </c>
      <c r="G9479" s="76" t="s">
        <v>2889</v>
      </c>
      <c r="H9479" s="76"/>
      <c r="I9479" s="77" t="s">
        <v>66</v>
      </c>
      <c r="J9479" s="75" t="s">
        <v>67</v>
      </c>
      <c r="K9479" s="75" t="s">
        <v>2890</v>
      </c>
      <c r="L9479" s="75" t="s">
        <v>68</v>
      </c>
      <c r="M9479" s="75" t="s">
        <v>70</v>
      </c>
    </row>
    <row r="9480" ht="23.85" customHeight="1" spans="3:13">
      <c r="C9480" s="569" t="s">
        <v>2891</v>
      </c>
      <c r="D9480" s="570" t="s">
        <v>5636</v>
      </c>
      <c r="E9480" s="569" t="s">
        <v>139</v>
      </c>
      <c r="F9480" s="569" t="s">
        <v>5637</v>
      </c>
      <c r="G9480" s="569" t="s">
        <v>2928</v>
      </c>
      <c r="H9480" s="569"/>
      <c r="I9480" s="577" t="s">
        <v>2897</v>
      </c>
      <c r="J9480" s="578">
        <v>1</v>
      </c>
      <c r="K9480" s="579"/>
      <c r="L9480" s="579">
        <v>0.46</v>
      </c>
      <c r="M9480" s="579">
        <v>0.46</v>
      </c>
    </row>
    <row r="9481" ht="15" customHeight="1" spans="3:13">
      <c r="C9481" s="100" t="s">
        <v>2893</v>
      </c>
      <c r="D9481" s="99" t="s">
        <v>5638</v>
      </c>
      <c r="E9481" s="100" t="s">
        <v>139</v>
      </c>
      <c r="F9481" s="100" t="s">
        <v>5639</v>
      </c>
      <c r="G9481" s="100" t="s">
        <v>2896</v>
      </c>
      <c r="H9481" s="100"/>
      <c r="I9481" s="101" t="s">
        <v>2897</v>
      </c>
      <c r="J9481" s="580">
        <v>0.01798</v>
      </c>
      <c r="K9481" s="580">
        <v>0</v>
      </c>
      <c r="L9481" s="102">
        <v>25.72</v>
      </c>
      <c r="M9481" s="102">
        <v>0.46</v>
      </c>
    </row>
    <row r="9482" ht="25.5" spans="3:13">
      <c r="C9482" s="108"/>
      <c r="D9482" s="108"/>
      <c r="E9482" s="108"/>
      <c r="F9482" s="108"/>
      <c r="G9482" s="108"/>
      <c r="H9482" s="108" t="s">
        <v>2898</v>
      </c>
      <c r="I9482" s="581">
        <v>0.46</v>
      </c>
      <c r="J9482" s="108" t="s">
        <v>2899</v>
      </c>
      <c r="K9482" s="581">
        <v>0</v>
      </c>
      <c r="L9482" s="108" t="s">
        <v>2900</v>
      </c>
      <c r="M9482" s="581">
        <v>0.46</v>
      </c>
    </row>
    <row r="9483" ht="26.25" spans="3:13">
      <c r="C9483" s="108"/>
      <c r="D9483" s="108"/>
      <c r="E9483" s="108"/>
      <c r="F9483" s="108"/>
      <c r="G9483" s="108"/>
      <c r="H9483" s="108" t="s">
        <v>2901</v>
      </c>
      <c r="I9483" s="581">
        <v>0.11</v>
      </c>
      <c r="J9483" s="114"/>
      <c r="K9483" s="114" t="s">
        <v>2902</v>
      </c>
      <c r="L9483" s="108"/>
      <c r="M9483" s="581">
        <v>0.57</v>
      </c>
    </row>
    <row r="9484" ht="15" spans="3:13">
      <c r="C9484" s="571"/>
      <c r="D9484" s="571"/>
      <c r="E9484" s="571"/>
      <c r="F9484" s="571"/>
      <c r="G9484" s="571"/>
      <c r="H9484" s="571"/>
      <c r="I9484" s="571"/>
      <c r="J9484" s="571"/>
      <c r="K9484" s="571"/>
      <c r="L9484" s="571"/>
      <c r="M9484" s="571"/>
    </row>
    <row r="9485" ht="15" customHeight="1" spans="3:13">
      <c r="C9485" s="76"/>
      <c r="D9485" s="75" t="s">
        <v>63</v>
      </c>
      <c r="E9485" s="76" t="s">
        <v>64</v>
      </c>
      <c r="F9485" s="76" t="s">
        <v>65</v>
      </c>
      <c r="G9485" s="76" t="s">
        <v>2889</v>
      </c>
      <c r="H9485" s="76"/>
      <c r="I9485" s="77" t="s">
        <v>66</v>
      </c>
      <c r="J9485" s="75" t="s">
        <v>67</v>
      </c>
      <c r="K9485" s="75" t="s">
        <v>2890</v>
      </c>
      <c r="L9485" s="75" t="s">
        <v>68</v>
      </c>
      <c r="M9485" s="75" t="s">
        <v>70</v>
      </c>
    </row>
    <row r="9486" ht="23.85" customHeight="1" spans="3:13">
      <c r="C9486" s="569" t="s">
        <v>2891</v>
      </c>
      <c r="D9486" s="570" t="s">
        <v>5640</v>
      </c>
      <c r="E9486" s="569" t="s">
        <v>139</v>
      </c>
      <c r="F9486" s="569" t="s">
        <v>5641</v>
      </c>
      <c r="G9486" s="569" t="s">
        <v>2928</v>
      </c>
      <c r="H9486" s="569"/>
      <c r="I9486" s="577" t="s">
        <v>2925</v>
      </c>
      <c r="J9486" s="578">
        <v>1</v>
      </c>
      <c r="K9486" s="579"/>
      <c r="L9486" s="579">
        <v>119.64</v>
      </c>
      <c r="M9486" s="579">
        <v>119.64</v>
      </c>
    </row>
    <row r="9487" ht="15" customHeight="1" spans="3:13">
      <c r="C9487" s="100" t="s">
        <v>2893</v>
      </c>
      <c r="D9487" s="99" t="s">
        <v>5642</v>
      </c>
      <c r="E9487" s="100" t="s">
        <v>139</v>
      </c>
      <c r="F9487" s="100" t="s">
        <v>5643</v>
      </c>
      <c r="G9487" s="100" t="s">
        <v>2896</v>
      </c>
      <c r="H9487" s="100"/>
      <c r="I9487" s="101" t="s">
        <v>2925</v>
      </c>
      <c r="J9487" s="580">
        <v>0.01597</v>
      </c>
      <c r="K9487" s="580">
        <v>0</v>
      </c>
      <c r="L9487" s="102">
        <v>7491.62</v>
      </c>
      <c r="M9487" s="102">
        <v>119.64</v>
      </c>
    </row>
    <row r="9488" ht="25.5" spans="3:13">
      <c r="C9488" s="108"/>
      <c r="D9488" s="108"/>
      <c r="E9488" s="108"/>
      <c r="F9488" s="108"/>
      <c r="G9488" s="108"/>
      <c r="H9488" s="108" t="s">
        <v>2898</v>
      </c>
      <c r="I9488" s="581">
        <v>119.64</v>
      </c>
      <c r="J9488" s="108" t="s">
        <v>2899</v>
      </c>
      <c r="K9488" s="581">
        <v>0</v>
      </c>
      <c r="L9488" s="108" t="s">
        <v>2900</v>
      </c>
      <c r="M9488" s="581">
        <v>119.64</v>
      </c>
    </row>
    <row r="9489" ht="26.25" spans="3:13">
      <c r="C9489" s="108"/>
      <c r="D9489" s="108"/>
      <c r="E9489" s="108"/>
      <c r="F9489" s="108"/>
      <c r="G9489" s="108"/>
      <c r="H9489" s="108" t="s">
        <v>2901</v>
      </c>
      <c r="I9489" s="581">
        <v>30.49</v>
      </c>
      <c r="J9489" s="114"/>
      <c r="K9489" s="114" t="s">
        <v>2902</v>
      </c>
      <c r="L9489" s="108"/>
      <c r="M9489" s="581">
        <v>150.13</v>
      </c>
    </row>
    <row r="9490" ht="15" spans="3:13">
      <c r="C9490" s="571"/>
      <c r="D9490" s="571"/>
      <c r="E9490" s="571"/>
      <c r="F9490" s="571"/>
      <c r="G9490" s="571"/>
      <c r="H9490" s="571"/>
      <c r="I9490" s="571"/>
      <c r="J9490" s="571"/>
      <c r="K9490" s="571"/>
      <c r="L9490" s="571"/>
      <c r="M9490" s="571"/>
    </row>
    <row r="9491" ht="15" customHeight="1" spans="3:13">
      <c r="C9491" s="76"/>
      <c r="D9491" s="75" t="s">
        <v>63</v>
      </c>
      <c r="E9491" s="76" t="s">
        <v>64</v>
      </c>
      <c r="F9491" s="76" t="s">
        <v>65</v>
      </c>
      <c r="G9491" s="76" t="s">
        <v>2889</v>
      </c>
      <c r="H9491" s="76"/>
      <c r="I9491" s="77" t="s">
        <v>66</v>
      </c>
      <c r="J9491" s="75" t="s">
        <v>67</v>
      </c>
      <c r="K9491" s="75" t="s">
        <v>2890</v>
      </c>
      <c r="L9491" s="75" t="s">
        <v>68</v>
      </c>
      <c r="M9491" s="75" t="s">
        <v>70</v>
      </c>
    </row>
    <row r="9492" ht="23.85" customHeight="1" spans="3:13">
      <c r="C9492" s="569" t="s">
        <v>2891</v>
      </c>
      <c r="D9492" s="570" t="s">
        <v>5644</v>
      </c>
      <c r="E9492" s="569" t="s">
        <v>139</v>
      </c>
      <c r="F9492" s="569" t="s">
        <v>5645</v>
      </c>
      <c r="G9492" s="569" t="s">
        <v>2928</v>
      </c>
      <c r="H9492" s="569"/>
      <c r="I9492" s="577" t="s">
        <v>2897</v>
      </c>
      <c r="J9492" s="578">
        <v>1</v>
      </c>
      <c r="K9492" s="579"/>
      <c r="L9492" s="579">
        <v>1.81</v>
      </c>
      <c r="M9492" s="579">
        <v>1.81</v>
      </c>
    </row>
    <row r="9493" ht="15" customHeight="1" spans="3:13">
      <c r="C9493" s="100" t="s">
        <v>2893</v>
      </c>
      <c r="D9493" s="99" t="s">
        <v>5646</v>
      </c>
      <c r="E9493" s="100" t="s">
        <v>139</v>
      </c>
      <c r="F9493" s="100" t="s">
        <v>5647</v>
      </c>
      <c r="G9493" s="100" t="s">
        <v>2896</v>
      </c>
      <c r="H9493" s="100"/>
      <c r="I9493" s="101" t="s">
        <v>2897</v>
      </c>
      <c r="J9493" s="580">
        <v>0.01476</v>
      </c>
      <c r="K9493" s="580">
        <v>0</v>
      </c>
      <c r="L9493" s="102">
        <v>122.68</v>
      </c>
      <c r="M9493" s="102">
        <v>1.81</v>
      </c>
    </row>
    <row r="9494" ht="25.5" spans="3:13">
      <c r="C9494" s="108"/>
      <c r="D9494" s="108"/>
      <c r="E9494" s="108"/>
      <c r="F9494" s="108"/>
      <c r="G9494" s="108"/>
      <c r="H9494" s="108" t="s">
        <v>2898</v>
      </c>
      <c r="I9494" s="581">
        <v>1.81</v>
      </c>
      <c r="J9494" s="108" t="s">
        <v>2899</v>
      </c>
      <c r="K9494" s="581">
        <v>0</v>
      </c>
      <c r="L9494" s="108" t="s">
        <v>2900</v>
      </c>
      <c r="M9494" s="581">
        <v>1.81</v>
      </c>
    </row>
    <row r="9495" ht="26.25" spans="3:13">
      <c r="C9495" s="108"/>
      <c r="D9495" s="108"/>
      <c r="E9495" s="108"/>
      <c r="F9495" s="108"/>
      <c r="G9495" s="108"/>
      <c r="H9495" s="108" t="s">
        <v>2901</v>
      </c>
      <c r="I9495" s="581">
        <v>0.46</v>
      </c>
      <c r="J9495" s="114"/>
      <c r="K9495" s="114" t="s">
        <v>2902</v>
      </c>
      <c r="L9495" s="108"/>
      <c r="M9495" s="581">
        <v>2.27</v>
      </c>
    </row>
    <row r="9496" ht="15" spans="3:13">
      <c r="C9496" s="571"/>
      <c r="D9496" s="571"/>
      <c r="E9496" s="571"/>
      <c r="F9496" s="571"/>
      <c r="G9496" s="571"/>
      <c r="H9496" s="571"/>
      <c r="I9496" s="571"/>
      <c r="J9496" s="571"/>
      <c r="K9496" s="571"/>
      <c r="L9496" s="571"/>
      <c r="M9496" s="571"/>
    </row>
    <row r="9497" ht="15" customHeight="1" spans="3:13">
      <c r="C9497" s="76"/>
      <c r="D9497" s="75" t="s">
        <v>63</v>
      </c>
      <c r="E9497" s="76" t="s">
        <v>64</v>
      </c>
      <c r="F9497" s="76" t="s">
        <v>65</v>
      </c>
      <c r="G9497" s="76" t="s">
        <v>2889</v>
      </c>
      <c r="H9497" s="76"/>
      <c r="I9497" s="77" t="s">
        <v>66</v>
      </c>
      <c r="J9497" s="75" t="s">
        <v>67</v>
      </c>
      <c r="K9497" s="75" t="s">
        <v>2890</v>
      </c>
      <c r="L9497" s="75" t="s">
        <v>68</v>
      </c>
      <c r="M9497" s="75" t="s">
        <v>70</v>
      </c>
    </row>
    <row r="9498" ht="23.85" customHeight="1" spans="3:13">
      <c r="C9498" s="569" t="s">
        <v>2891</v>
      </c>
      <c r="D9498" s="570" t="s">
        <v>5648</v>
      </c>
      <c r="E9498" s="569" t="s">
        <v>139</v>
      </c>
      <c r="F9498" s="569" t="s">
        <v>5649</v>
      </c>
      <c r="G9498" s="569" t="s">
        <v>2928</v>
      </c>
      <c r="H9498" s="569"/>
      <c r="I9498" s="577" t="s">
        <v>2925</v>
      </c>
      <c r="J9498" s="578">
        <v>1</v>
      </c>
      <c r="K9498" s="579"/>
      <c r="L9498" s="579">
        <v>239.74</v>
      </c>
      <c r="M9498" s="579">
        <v>239.74</v>
      </c>
    </row>
    <row r="9499" ht="15" customHeight="1" spans="3:13">
      <c r="C9499" s="100" t="s">
        <v>2893</v>
      </c>
      <c r="D9499" s="99" t="s">
        <v>5650</v>
      </c>
      <c r="E9499" s="100" t="s">
        <v>139</v>
      </c>
      <c r="F9499" s="100" t="s">
        <v>5651</v>
      </c>
      <c r="G9499" s="100" t="s">
        <v>2896</v>
      </c>
      <c r="H9499" s="100"/>
      <c r="I9499" s="101" t="s">
        <v>2925</v>
      </c>
      <c r="J9499" s="580">
        <v>0.01112</v>
      </c>
      <c r="K9499" s="580">
        <v>0</v>
      </c>
      <c r="L9499" s="102">
        <v>21559.39</v>
      </c>
      <c r="M9499" s="102">
        <v>239.74</v>
      </c>
    </row>
    <row r="9500" ht="25.5" spans="3:13">
      <c r="C9500" s="108"/>
      <c r="D9500" s="108"/>
      <c r="E9500" s="108"/>
      <c r="F9500" s="108"/>
      <c r="G9500" s="108"/>
      <c r="H9500" s="108" t="s">
        <v>2898</v>
      </c>
      <c r="I9500" s="581">
        <v>239.74</v>
      </c>
      <c r="J9500" s="108" t="s">
        <v>2899</v>
      </c>
      <c r="K9500" s="581">
        <v>0</v>
      </c>
      <c r="L9500" s="108" t="s">
        <v>2900</v>
      </c>
      <c r="M9500" s="581">
        <v>239.74</v>
      </c>
    </row>
    <row r="9501" ht="26.25" spans="3:13">
      <c r="C9501" s="108"/>
      <c r="D9501" s="108"/>
      <c r="E9501" s="108"/>
      <c r="F9501" s="108"/>
      <c r="G9501" s="108"/>
      <c r="H9501" s="108" t="s">
        <v>2901</v>
      </c>
      <c r="I9501" s="581">
        <v>61.1</v>
      </c>
      <c r="J9501" s="114"/>
      <c r="K9501" s="114" t="s">
        <v>2902</v>
      </c>
      <c r="L9501" s="108"/>
      <c r="M9501" s="581">
        <v>300.84</v>
      </c>
    </row>
    <row r="9502" ht="15" spans="3:13">
      <c r="C9502" s="571"/>
      <c r="D9502" s="571"/>
      <c r="E9502" s="571"/>
      <c r="F9502" s="571"/>
      <c r="G9502" s="571"/>
      <c r="H9502" s="571"/>
      <c r="I9502" s="571"/>
      <c r="J9502" s="571"/>
      <c r="K9502" s="571"/>
      <c r="L9502" s="571"/>
      <c r="M9502" s="571"/>
    </row>
    <row r="9503" ht="15" customHeight="1" spans="3:13">
      <c r="C9503" s="76"/>
      <c r="D9503" s="75" t="s">
        <v>63</v>
      </c>
      <c r="E9503" s="76" t="s">
        <v>64</v>
      </c>
      <c r="F9503" s="76" t="s">
        <v>65</v>
      </c>
      <c r="G9503" s="76" t="s">
        <v>2889</v>
      </c>
      <c r="H9503" s="76"/>
      <c r="I9503" s="77" t="s">
        <v>66</v>
      </c>
      <c r="J9503" s="75" t="s">
        <v>67</v>
      </c>
      <c r="K9503" s="75" t="s">
        <v>2890</v>
      </c>
      <c r="L9503" s="75" t="s">
        <v>68</v>
      </c>
      <c r="M9503" s="75" t="s">
        <v>70</v>
      </c>
    </row>
    <row r="9504" ht="23.85" customHeight="1" spans="3:13">
      <c r="C9504" s="569" t="s">
        <v>2891</v>
      </c>
      <c r="D9504" s="570" t="s">
        <v>5652</v>
      </c>
      <c r="E9504" s="569" t="s">
        <v>139</v>
      </c>
      <c r="F9504" s="569" t="s">
        <v>5653</v>
      </c>
      <c r="G9504" s="569" t="s">
        <v>2928</v>
      </c>
      <c r="H9504" s="569"/>
      <c r="I9504" s="577" t="s">
        <v>2925</v>
      </c>
      <c r="J9504" s="578">
        <v>1</v>
      </c>
      <c r="K9504" s="579"/>
      <c r="L9504" s="579">
        <v>266.85</v>
      </c>
      <c r="M9504" s="579">
        <v>266.85</v>
      </c>
    </row>
    <row r="9505" ht="15" customHeight="1" spans="3:13">
      <c r="C9505" s="100" t="s">
        <v>2893</v>
      </c>
      <c r="D9505" s="99" t="s">
        <v>5654</v>
      </c>
      <c r="E9505" s="100" t="s">
        <v>139</v>
      </c>
      <c r="F9505" s="100" t="s">
        <v>5655</v>
      </c>
      <c r="G9505" s="100" t="s">
        <v>2896</v>
      </c>
      <c r="H9505" s="100"/>
      <c r="I9505" s="101" t="s">
        <v>2925</v>
      </c>
      <c r="J9505" s="580">
        <v>0.01112</v>
      </c>
      <c r="K9505" s="580">
        <v>0</v>
      </c>
      <c r="L9505" s="102">
        <v>23997.99</v>
      </c>
      <c r="M9505" s="102">
        <v>266.85</v>
      </c>
    </row>
    <row r="9506" ht="25.5" spans="3:13">
      <c r="C9506" s="108"/>
      <c r="D9506" s="108"/>
      <c r="E9506" s="108"/>
      <c r="F9506" s="108"/>
      <c r="G9506" s="108"/>
      <c r="H9506" s="108" t="s">
        <v>2898</v>
      </c>
      <c r="I9506" s="581">
        <v>266.85</v>
      </c>
      <c r="J9506" s="108" t="s">
        <v>2899</v>
      </c>
      <c r="K9506" s="581">
        <v>0</v>
      </c>
      <c r="L9506" s="108" t="s">
        <v>2900</v>
      </c>
      <c r="M9506" s="581">
        <v>266.85</v>
      </c>
    </row>
    <row r="9507" ht="26.25" spans="3:13">
      <c r="C9507" s="108"/>
      <c r="D9507" s="108"/>
      <c r="E9507" s="108"/>
      <c r="F9507" s="108"/>
      <c r="G9507" s="108"/>
      <c r="H9507" s="108" t="s">
        <v>2901</v>
      </c>
      <c r="I9507" s="581">
        <v>68.02</v>
      </c>
      <c r="J9507" s="114"/>
      <c r="K9507" s="114" t="s">
        <v>2902</v>
      </c>
      <c r="L9507" s="108"/>
      <c r="M9507" s="581">
        <v>334.87</v>
      </c>
    </row>
    <row r="9508" ht="15" spans="3:13">
      <c r="C9508" s="571"/>
      <c r="D9508" s="571"/>
      <c r="E9508" s="571"/>
      <c r="F9508" s="571"/>
      <c r="G9508" s="571"/>
      <c r="H9508" s="571"/>
      <c r="I9508" s="571"/>
      <c r="J9508" s="571"/>
      <c r="K9508" s="571"/>
      <c r="L9508" s="571"/>
      <c r="M9508" s="571"/>
    </row>
    <row r="9509" ht="15" customHeight="1" spans="3:13">
      <c r="C9509" s="76"/>
      <c r="D9509" s="75" t="s">
        <v>63</v>
      </c>
      <c r="E9509" s="76" t="s">
        <v>64</v>
      </c>
      <c r="F9509" s="76" t="s">
        <v>65</v>
      </c>
      <c r="G9509" s="76" t="s">
        <v>2889</v>
      </c>
      <c r="H9509" s="76"/>
      <c r="I9509" s="77" t="s">
        <v>66</v>
      </c>
      <c r="J9509" s="75" t="s">
        <v>67</v>
      </c>
      <c r="K9509" s="75" t="s">
        <v>2890</v>
      </c>
      <c r="L9509" s="75" t="s">
        <v>68</v>
      </c>
      <c r="M9509" s="75" t="s">
        <v>70</v>
      </c>
    </row>
    <row r="9510" ht="23.85" customHeight="1" spans="3:13">
      <c r="C9510" s="569" t="s">
        <v>2891</v>
      </c>
      <c r="D9510" s="570" t="s">
        <v>5656</v>
      </c>
      <c r="E9510" s="569" t="s">
        <v>139</v>
      </c>
      <c r="F9510" s="569" t="s">
        <v>5657</v>
      </c>
      <c r="G9510" s="569" t="s">
        <v>2928</v>
      </c>
      <c r="H9510" s="569"/>
      <c r="I9510" s="577" t="s">
        <v>2897</v>
      </c>
      <c r="J9510" s="578">
        <v>1</v>
      </c>
      <c r="K9510" s="579"/>
      <c r="L9510" s="579">
        <v>0.29</v>
      </c>
      <c r="M9510" s="579">
        <v>0.29</v>
      </c>
    </row>
    <row r="9511" ht="15" customHeight="1" spans="3:13">
      <c r="C9511" s="100" t="s">
        <v>2893</v>
      </c>
      <c r="D9511" s="99" t="s">
        <v>5658</v>
      </c>
      <c r="E9511" s="100" t="s">
        <v>139</v>
      </c>
      <c r="F9511" s="100" t="s">
        <v>5659</v>
      </c>
      <c r="G9511" s="100" t="s">
        <v>2896</v>
      </c>
      <c r="H9511" s="100"/>
      <c r="I9511" s="101" t="s">
        <v>2897</v>
      </c>
      <c r="J9511" s="580">
        <v>0.01154</v>
      </c>
      <c r="K9511" s="580">
        <v>0</v>
      </c>
      <c r="L9511" s="102">
        <v>25.7</v>
      </c>
      <c r="M9511" s="102">
        <v>0.29</v>
      </c>
    </row>
    <row r="9512" ht="25.5" spans="3:13">
      <c r="C9512" s="108"/>
      <c r="D9512" s="108"/>
      <c r="E9512" s="108"/>
      <c r="F9512" s="108"/>
      <c r="G9512" s="108"/>
      <c r="H9512" s="108" t="s">
        <v>2898</v>
      </c>
      <c r="I9512" s="581">
        <v>0.29</v>
      </c>
      <c r="J9512" s="108" t="s">
        <v>2899</v>
      </c>
      <c r="K9512" s="581">
        <v>0</v>
      </c>
      <c r="L9512" s="108" t="s">
        <v>2900</v>
      </c>
      <c r="M9512" s="581">
        <v>0.29</v>
      </c>
    </row>
    <row r="9513" ht="26.25" spans="3:13">
      <c r="C9513" s="108"/>
      <c r="D9513" s="108"/>
      <c r="E9513" s="108"/>
      <c r="F9513" s="108"/>
      <c r="G9513" s="108"/>
      <c r="H9513" s="108" t="s">
        <v>2901</v>
      </c>
      <c r="I9513" s="581">
        <v>0.07</v>
      </c>
      <c r="J9513" s="114"/>
      <c r="K9513" s="114" t="s">
        <v>2902</v>
      </c>
      <c r="L9513" s="108"/>
      <c r="M9513" s="581">
        <v>0.36</v>
      </c>
    </row>
    <row r="9514" ht="15" spans="3:13">
      <c r="C9514" s="571"/>
      <c r="D9514" s="571"/>
      <c r="E9514" s="571"/>
      <c r="F9514" s="571"/>
      <c r="G9514" s="571"/>
      <c r="H9514" s="571"/>
      <c r="I9514" s="571"/>
      <c r="J9514" s="571"/>
      <c r="K9514" s="571"/>
      <c r="L9514" s="571"/>
      <c r="M9514" s="571"/>
    </row>
    <row r="9515" ht="15" customHeight="1" spans="3:13">
      <c r="C9515" s="76"/>
      <c r="D9515" s="75" t="s">
        <v>63</v>
      </c>
      <c r="E9515" s="76" t="s">
        <v>64</v>
      </c>
      <c r="F9515" s="76" t="s">
        <v>65</v>
      </c>
      <c r="G9515" s="76" t="s">
        <v>2889</v>
      </c>
      <c r="H9515" s="76"/>
      <c r="I9515" s="77" t="s">
        <v>66</v>
      </c>
      <c r="J9515" s="75" t="s">
        <v>67</v>
      </c>
      <c r="K9515" s="75" t="s">
        <v>2890</v>
      </c>
      <c r="L9515" s="75" t="s">
        <v>68</v>
      </c>
      <c r="M9515" s="75" t="s">
        <v>70</v>
      </c>
    </row>
    <row r="9516" ht="23.85" customHeight="1" spans="3:13">
      <c r="C9516" s="569" t="s">
        <v>2891</v>
      </c>
      <c r="D9516" s="570" t="s">
        <v>5660</v>
      </c>
      <c r="E9516" s="569" t="s">
        <v>139</v>
      </c>
      <c r="F9516" s="569" t="s">
        <v>5661</v>
      </c>
      <c r="G9516" s="569" t="s">
        <v>2928</v>
      </c>
      <c r="H9516" s="569"/>
      <c r="I9516" s="577" t="s">
        <v>2897</v>
      </c>
      <c r="J9516" s="578">
        <v>1</v>
      </c>
      <c r="K9516" s="579"/>
      <c r="L9516" s="579">
        <v>0.56</v>
      </c>
      <c r="M9516" s="579">
        <v>0.56</v>
      </c>
    </row>
    <row r="9517" ht="15" customHeight="1" spans="3:13">
      <c r="C9517" s="100" t="s">
        <v>2893</v>
      </c>
      <c r="D9517" s="99" t="s">
        <v>5662</v>
      </c>
      <c r="E9517" s="100" t="s">
        <v>139</v>
      </c>
      <c r="F9517" s="100" t="s">
        <v>5663</v>
      </c>
      <c r="G9517" s="100" t="s">
        <v>2896</v>
      </c>
      <c r="H9517" s="100"/>
      <c r="I9517" s="101" t="s">
        <v>2897</v>
      </c>
      <c r="J9517" s="580">
        <v>0.0212</v>
      </c>
      <c r="K9517" s="580">
        <v>0</v>
      </c>
      <c r="L9517" s="102">
        <v>26.5</v>
      </c>
      <c r="M9517" s="102">
        <v>0.56</v>
      </c>
    </row>
    <row r="9518" ht="25.5" spans="3:13">
      <c r="C9518" s="108"/>
      <c r="D9518" s="108"/>
      <c r="E9518" s="108"/>
      <c r="F9518" s="108"/>
      <c r="G9518" s="108"/>
      <c r="H9518" s="108" t="s">
        <v>2898</v>
      </c>
      <c r="I9518" s="581">
        <v>0.56</v>
      </c>
      <c r="J9518" s="108" t="s">
        <v>2899</v>
      </c>
      <c r="K9518" s="581">
        <v>0</v>
      </c>
      <c r="L9518" s="108" t="s">
        <v>2900</v>
      </c>
      <c r="M9518" s="581">
        <v>0.56</v>
      </c>
    </row>
    <row r="9519" ht="26.25" spans="3:13">
      <c r="C9519" s="108"/>
      <c r="D9519" s="108"/>
      <c r="E9519" s="108"/>
      <c r="F9519" s="108"/>
      <c r="G9519" s="108"/>
      <c r="H9519" s="108" t="s">
        <v>2901</v>
      </c>
      <c r="I9519" s="581">
        <v>0.14</v>
      </c>
      <c r="J9519" s="114"/>
      <c r="K9519" s="114" t="s">
        <v>2902</v>
      </c>
      <c r="L9519" s="108"/>
      <c r="M9519" s="581">
        <v>0.7</v>
      </c>
    </row>
    <row r="9520" ht="15" spans="3:13">
      <c r="C9520" s="571"/>
      <c r="D9520" s="571"/>
      <c r="E9520" s="571"/>
      <c r="F9520" s="571"/>
      <c r="G9520" s="571"/>
      <c r="H9520" s="571"/>
      <c r="I9520" s="571"/>
      <c r="J9520" s="571"/>
      <c r="K9520" s="571"/>
      <c r="L9520" s="571"/>
      <c r="M9520" s="571"/>
    </row>
    <row r="9521" ht="15" customHeight="1" spans="3:13">
      <c r="C9521" s="76"/>
      <c r="D9521" s="75" t="s">
        <v>63</v>
      </c>
      <c r="E9521" s="76" t="s">
        <v>64</v>
      </c>
      <c r="F9521" s="76" t="s">
        <v>65</v>
      </c>
      <c r="G9521" s="76" t="s">
        <v>2889</v>
      </c>
      <c r="H9521" s="76"/>
      <c r="I9521" s="77" t="s">
        <v>66</v>
      </c>
      <c r="J9521" s="75" t="s">
        <v>67</v>
      </c>
      <c r="K9521" s="75" t="s">
        <v>2890</v>
      </c>
      <c r="L9521" s="75" t="s">
        <v>68</v>
      </c>
      <c r="M9521" s="75" t="s">
        <v>70</v>
      </c>
    </row>
    <row r="9522" ht="23.85" customHeight="1" spans="3:13">
      <c r="C9522" s="569" t="s">
        <v>2891</v>
      </c>
      <c r="D9522" s="570" t="s">
        <v>5664</v>
      </c>
      <c r="E9522" s="569" t="s">
        <v>139</v>
      </c>
      <c r="F9522" s="569" t="s">
        <v>5665</v>
      </c>
      <c r="G9522" s="569" t="s">
        <v>2928</v>
      </c>
      <c r="H9522" s="569"/>
      <c r="I9522" s="577" t="s">
        <v>2897</v>
      </c>
      <c r="J9522" s="578">
        <v>1</v>
      </c>
      <c r="K9522" s="579"/>
      <c r="L9522" s="579">
        <v>0.1</v>
      </c>
      <c r="M9522" s="579">
        <v>0.1</v>
      </c>
    </row>
    <row r="9523" ht="15" customHeight="1" spans="3:13">
      <c r="C9523" s="100" t="s">
        <v>2893</v>
      </c>
      <c r="D9523" s="99" t="s">
        <v>5666</v>
      </c>
      <c r="E9523" s="100" t="s">
        <v>139</v>
      </c>
      <c r="F9523" s="100" t="s">
        <v>5667</v>
      </c>
      <c r="G9523" s="100" t="s">
        <v>2896</v>
      </c>
      <c r="H9523" s="100"/>
      <c r="I9523" s="101" t="s">
        <v>2897</v>
      </c>
      <c r="J9523" s="580">
        <v>0.00509</v>
      </c>
      <c r="K9523" s="580">
        <v>0</v>
      </c>
      <c r="L9523" s="102">
        <v>20.18</v>
      </c>
      <c r="M9523" s="102">
        <v>0.1</v>
      </c>
    </row>
    <row r="9524" ht="25.5" spans="3:13">
      <c r="C9524" s="108"/>
      <c r="D9524" s="108"/>
      <c r="E9524" s="108"/>
      <c r="F9524" s="108"/>
      <c r="G9524" s="108"/>
      <c r="H9524" s="108" t="s">
        <v>2898</v>
      </c>
      <c r="I9524" s="581">
        <v>0.1</v>
      </c>
      <c r="J9524" s="108" t="s">
        <v>2899</v>
      </c>
      <c r="K9524" s="581">
        <v>0</v>
      </c>
      <c r="L9524" s="108" t="s">
        <v>2900</v>
      </c>
      <c r="M9524" s="581">
        <v>0.1</v>
      </c>
    </row>
    <row r="9525" ht="26.25" spans="3:13">
      <c r="C9525" s="108"/>
      <c r="D9525" s="108"/>
      <c r="E9525" s="108"/>
      <c r="F9525" s="108"/>
      <c r="G9525" s="108"/>
      <c r="H9525" s="108" t="s">
        <v>2901</v>
      </c>
      <c r="I9525" s="581">
        <v>0.02</v>
      </c>
      <c r="J9525" s="114"/>
      <c r="K9525" s="114" t="s">
        <v>2902</v>
      </c>
      <c r="L9525" s="108"/>
      <c r="M9525" s="581">
        <v>0.12</v>
      </c>
    </row>
    <row r="9526" ht="15" spans="3:13">
      <c r="C9526" s="571"/>
      <c r="D9526" s="571"/>
      <c r="E9526" s="571"/>
      <c r="F9526" s="571"/>
      <c r="G9526" s="571"/>
      <c r="H9526" s="571"/>
      <c r="I9526" s="571"/>
      <c r="J9526" s="571"/>
      <c r="K9526" s="571"/>
      <c r="L9526" s="571"/>
      <c r="M9526" s="571"/>
    </row>
    <row r="9527" ht="15" customHeight="1" spans="3:13">
      <c r="C9527" s="76"/>
      <c r="D9527" s="75" t="s">
        <v>63</v>
      </c>
      <c r="E9527" s="76" t="s">
        <v>64</v>
      </c>
      <c r="F9527" s="76" t="s">
        <v>65</v>
      </c>
      <c r="G9527" s="76" t="s">
        <v>2889</v>
      </c>
      <c r="H9527" s="76"/>
      <c r="I9527" s="77" t="s">
        <v>66</v>
      </c>
      <c r="J9527" s="75" t="s">
        <v>67</v>
      </c>
      <c r="K9527" s="75" t="s">
        <v>2890</v>
      </c>
      <c r="L9527" s="75" t="s">
        <v>68</v>
      </c>
      <c r="M9527" s="75" t="s">
        <v>70</v>
      </c>
    </row>
    <row r="9528" ht="23.85" customHeight="1" spans="3:13">
      <c r="C9528" s="569" t="s">
        <v>2891</v>
      </c>
      <c r="D9528" s="570" t="s">
        <v>5668</v>
      </c>
      <c r="E9528" s="569" t="s">
        <v>139</v>
      </c>
      <c r="F9528" s="569" t="s">
        <v>5669</v>
      </c>
      <c r="G9528" s="569" t="s">
        <v>2928</v>
      </c>
      <c r="H9528" s="569"/>
      <c r="I9528" s="577" t="s">
        <v>2897</v>
      </c>
      <c r="J9528" s="578">
        <v>1</v>
      </c>
      <c r="K9528" s="579"/>
      <c r="L9528" s="579">
        <v>0.3</v>
      </c>
      <c r="M9528" s="579">
        <v>0.3</v>
      </c>
    </row>
    <row r="9529" ht="15" customHeight="1" spans="3:13">
      <c r="C9529" s="100" t="s">
        <v>2893</v>
      </c>
      <c r="D9529" s="99" t="s">
        <v>5670</v>
      </c>
      <c r="E9529" s="100" t="s">
        <v>139</v>
      </c>
      <c r="F9529" s="100" t="s">
        <v>5671</v>
      </c>
      <c r="G9529" s="100" t="s">
        <v>2896</v>
      </c>
      <c r="H9529" s="100"/>
      <c r="I9529" s="101" t="s">
        <v>2897</v>
      </c>
      <c r="J9529" s="580">
        <v>0.01476</v>
      </c>
      <c r="K9529" s="580">
        <v>0</v>
      </c>
      <c r="L9529" s="102">
        <v>20.47</v>
      </c>
      <c r="M9529" s="102">
        <v>0.3</v>
      </c>
    </row>
    <row r="9530" ht="25.5" spans="3:13">
      <c r="C9530" s="108"/>
      <c r="D9530" s="108"/>
      <c r="E9530" s="108"/>
      <c r="F9530" s="108"/>
      <c r="G9530" s="108"/>
      <c r="H9530" s="108" t="s">
        <v>2898</v>
      </c>
      <c r="I9530" s="581">
        <v>0.3</v>
      </c>
      <c r="J9530" s="108" t="s">
        <v>2899</v>
      </c>
      <c r="K9530" s="581">
        <v>0</v>
      </c>
      <c r="L9530" s="108" t="s">
        <v>2900</v>
      </c>
      <c r="M9530" s="581">
        <v>0.3</v>
      </c>
    </row>
    <row r="9531" ht="26.25" spans="3:13">
      <c r="C9531" s="108"/>
      <c r="D9531" s="108"/>
      <c r="E9531" s="108"/>
      <c r="F9531" s="108"/>
      <c r="G9531" s="108"/>
      <c r="H9531" s="108" t="s">
        <v>2901</v>
      </c>
      <c r="I9531" s="581">
        <v>0.07</v>
      </c>
      <c r="J9531" s="114"/>
      <c r="K9531" s="114" t="s">
        <v>2902</v>
      </c>
      <c r="L9531" s="108"/>
      <c r="M9531" s="581">
        <v>0.37</v>
      </c>
    </row>
    <row r="9532" ht="15" spans="3:13">
      <c r="C9532" s="571"/>
      <c r="D9532" s="571"/>
      <c r="E9532" s="571"/>
      <c r="F9532" s="571"/>
      <c r="G9532" s="571"/>
      <c r="H9532" s="571"/>
      <c r="I9532" s="571"/>
      <c r="J9532" s="571"/>
      <c r="K9532" s="571"/>
      <c r="L9532" s="571"/>
      <c r="M9532" s="571"/>
    </row>
    <row r="9533" ht="15" customHeight="1" spans="3:13">
      <c r="C9533" s="76"/>
      <c r="D9533" s="75" t="s">
        <v>63</v>
      </c>
      <c r="E9533" s="76" t="s">
        <v>64</v>
      </c>
      <c r="F9533" s="76" t="s">
        <v>65</v>
      </c>
      <c r="G9533" s="76" t="s">
        <v>2889</v>
      </c>
      <c r="H9533" s="76"/>
      <c r="I9533" s="77" t="s">
        <v>66</v>
      </c>
      <c r="J9533" s="75" t="s">
        <v>67</v>
      </c>
      <c r="K9533" s="75" t="s">
        <v>2890</v>
      </c>
      <c r="L9533" s="75" t="s">
        <v>68</v>
      </c>
      <c r="M9533" s="75" t="s">
        <v>70</v>
      </c>
    </row>
    <row r="9534" ht="23.85" customHeight="1" spans="3:13">
      <c r="C9534" s="569" t="s">
        <v>2891</v>
      </c>
      <c r="D9534" s="570" t="s">
        <v>5672</v>
      </c>
      <c r="E9534" s="569" t="s">
        <v>139</v>
      </c>
      <c r="F9534" s="569" t="s">
        <v>5673</v>
      </c>
      <c r="G9534" s="569" t="s">
        <v>2928</v>
      </c>
      <c r="H9534" s="569"/>
      <c r="I9534" s="577" t="s">
        <v>2897</v>
      </c>
      <c r="J9534" s="578">
        <v>1</v>
      </c>
      <c r="K9534" s="579"/>
      <c r="L9534" s="579">
        <v>0.62</v>
      </c>
      <c r="M9534" s="579">
        <v>0.62</v>
      </c>
    </row>
    <row r="9535" ht="15" customHeight="1" spans="3:13">
      <c r="C9535" s="100" t="s">
        <v>2893</v>
      </c>
      <c r="D9535" s="99" t="s">
        <v>5674</v>
      </c>
      <c r="E9535" s="100" t="s">
        <v>139</v>
      </c>
      <c r="F9535" s="100" t="s">
        <v>5675</v>
      </c>
      <c r="G9535" s="100" t="s">
        <v>2896</v>
      </c>
      <c r="H9535" s="100"/>
      <c r="I9535" s="101" t="s">
        <v>2897</v>
      </c>
      <c r="J9535" s="580">
        <v>0.02765</v>
      </c>
      <c r="K9535" s="580">
        <v>0</v>
      </c>
      <c r="L9535" s="102">
        <v>22.67</v>
      </c>
      <c r="M9535" s="102">
        <v>0.62</v>
      </c>
    </row>
    <row r="9536" ht="25.5" spans="3:13">
      <c r="C9536" s="108"/>
      <c r="D9536" s="108"/>
      <c r="E9536" s="108"/>
      <c r="F9536" s="108"/>
      <c r="G9536" s="108"/>
      <c r="H9536" s="108" t="s">
        <v>2898</v>
      </c>
      <c r="I9536" s="581">
        <v>0.62</v>
      </c>
      <c r="J9536" s="108" t="s">
        <v>2899</v>
      </c>
      <c r="K9536" s="581">
        <v>0</v>
      </c>
      <c r="L9536" s="108" t="s">
        <v>2900</v>
      </c>
      <c r="M9536" s="581">
        <v>0.62</v>
      </c>
    </row>
    <row r="9537" ht="26.25" spans="3:13">
      <c r="C9537" s="108"/>
      <c r="D9537" s="108"/>
      <c r="E9537" s="108"/>
      <c r="F9537" s="108"/>
      <c r="G9537" s="108"/>
      <c r="H9537" s="108" t="s">
        <v>2901</v>
      </c>
      <c r="I9537" s="581">
        <v>0.15</v>
      </c>
      <c r="J9537" s="114"/>
      <c r="K9537" s="114" t="s">
        <v>2902</v>
      </c>
      <c r="L9537" s="108"/>
      <c r="M9537" s="581">
        <v>0.77</v>
      </c>
    </row>
    <row r="9538" ht="15" spans="3:13">
      <c r="C9538" s="571"/>
      <c r="D9538" s="571"/>
      <c r="E9538" s="571"/>
      <c r="F9538" s="571"/>
      <c r="G9538" s="571"/>
      <c r="H9538" s="571"/>
      <c r="I9538" s="571"/>
      <c r="J9538" s="571"/>
      <c r="K9538" s="571"/>
      <c r="L9538" s="571"/>
      <c r="M9538" s="571"/>
    </row>
    <row r="9539" ht="15" customHeight="1" spans="3:13">
      <c r="C9539" s="76"/>
      <c r="D9539" s="75" t="s">
        <v>63</v>
      </c>
      <c r="E9539" s="76" t="s">
        <v>64</v>
      </c>
      <c r="F9539" s="76" t="s">
        <v>65</v>
      </c>
      <c r="G9539" s="76" t="s">
        <v>2889</v>
      </c>
      <c r="H9539" s="76"/>
      <c r="I9539" s="77" t="s">
        <v>66</v>
      </c>
      <c r="J9539" s="75" t="s">
        <v>67</v>
      </c>
      <c r="K9539" s="75" t="s">
        <v>2890</v>
      </c>
      <c r="L9539" s="75" t="s">
        <v>68</v>
      </c>
      <c r="M9539" s="75" t="s">
        <v>70</v>
      </c>
    </row>
    <row r="9540" ht="23.85" customHeight="1" spans="3:13">
      <c r="C9540" s="569" t="s">
        <v>2891</v>
      </c>
      <c r="D9540" s="570" t="s">
        <v>5676</v>
      </c>
      <c r="E9540" s="569" t="s">
        <v>139</v>
      </c>
      <c r="F9540" s="569" t="s">
        <v>5677</v>
      </c>
      <c r="G9540" s="569" t="s">
        <v>2928</v>
      </c>
      <c r="H9540" s="569"/>
      <c r="I9540" s="577" t="s">
        <v>2925</v>
      </c>
      <c r="J9540" s="578">
        <v>1</v>
      </c>
      <c r="K9540" s="579"/>
      <c r="L9540" s="579">
        <v>164.38</v>
      </c>
      <c r="M9540" s="579">
        <v>164.38</v>
      </c>
    </row>
    <row r="9541" ht="15" customHeight="1" spans="3:13">
      <c r="C9541" s="100" t="s">
        <v>2893</v>
      </c>
      <c r="D9541" s="99" t="s">
        <v>5678</v>
      </c>
      <c r="E9541" s="100" t="s">
        <v>139</v>
      </c>
      <c r="F9541" s="100" t="s">
        <v>5679</v>
      </c>
      <c r="G9541" s="100" t="s">
        <v>2896</v>
      </c>
      <c r="H9541" s="100"/>
      <c r="I9541" s="101" t="s">
        <v>2925</v>
      </c>
      <c r="J9541" s="580">
        <v>0.01597</v>
      </c>
      <c r="K9541" s="580">
        <v>0</v>
      </c>
      <c r="L9541" s="102">
        <v>10293.36</v>
      </c>
      <c r="M9541" s="102">
        <v>164.38</v>
      </c>
    </row>
    <row r="9542" ht="25.5" spans="3:13">
      <c r="C9542" s="108"/>
      <c r="D9542" s="108"/>
      <c r="E9542" s="108"/>
      <c r="F9542" s="108"/>
      <c r="G9542" s="108"/>
      <c r="H9542" s="108" t="s">
        <v>2898</v>
      </c>
      <c r="I9542" s="581">
        <v>164.38</v>
      </c>
      <c r="J9542" s="108" t="s">
        <v>2899</v>
      </c>
      <c r="K9542" s="581">
        <v>0</v>
      </c>
      <c r="L9542" s="108" t="s">
        <v>2900</v>
      </c>
      <c r="M9542" s="581">
        <v>164.38</v>
      </c>
    </row>
    <row r="9543" ht="26.25" spans="3:13">
      <c r="C9543" s="108"/>
      <c r="D9543" s="108"/>
      <c r="E9543" s="108"/>
      <c r="F9543" s="108"/>
      <c r="G9543" s="108"/>
      <c r="H9543" s="108" t="s">
        <v>2901</v>
      </c>
      <c r="I9543" s="581">
        <v>41.9</v>
      </c>
      <c r="J9543" s="114"/>
      <c r="K9543" s="114" t="s">
        <v>2902</v>
      </c>
      <c r="L9543" s="108"/>
      <c r="M9543" s="581">
        <v>206.28</v>
      </c>
    </row>
    <row r="9544" ht="15" spans="3:13">
      <c r="C9544" s="571"/>
      <c r="D9544" s="571"/>
      <c r="E9544" s="571"/>
      <c r="F9544" s="571"/>
      <c r="G9544" s="571"/>
      <c r="H9544" s="571"/>
      <c r="I9544" s="571"/>
      <c r="J9544" s="571"/>
      <c r="K9544" s="571"/>
      <c r="L9544" s="571"/>
      <c r="M9544" s="571"/>
    </row>
    <row r="9545" ht="15" customHeight="1" spans="3:13">
      <c r="C9545" s="76"/>
      <c r="D9545" s="75" t="s">
        <v>63</v>
      </c>
      <c r="E9545" s="76" t="s">
        <v>64</v>
      </c>
      <c r="F9545" s="76" t="s">
        <v>65</v>
      </c>
      <c r="G9545" s="76" t="s">
        <v>2889</v>
      </c>
      <c r="H9545" s="76"/>
      <c r="I9545" s="77" t="s">
        <v>66</v>
      </c>
      <c r="J9545" s="75" t="s">
        <v>67</v>
      </c>
      <c r="K9545" s="75" t="s">
        <v>2890</v>
      </c>
      <c r="L9545" s="75" t="s">
        <v>68</v>
      </c>
      <c r="M9545" s="75" t="s">
        <v>70</v>
      </c>
    </row>
    <row r="9546" ht="23.85" customHeight="1" spans="3:13">
      <c r="C9546" s="569" t="s">
        <v>2891</v>
      </c>
      <c r="D9546" s="570" t="s">
        <v>5680</v>
      </c>
      <c r="E9546" s="569" t="s">
        <v>139</v>
      </c>
      <c r="F9546" s="569" t="s">
        <v>5681</v>
      </c>
      <c r="G9546" s="569" t="s">
        <v>2928</v>
      </c>
      <c r="H9546" s="569"/>
      <c r="I9546" s="577" t="s">
        <v>2897</v>
      </c>
      <c r="J9546" s="578">
        <v>1</v>
      </c>
      <c r="K9546" s="579"/>
      <c r="L9546" s="579">
        <v>0.75</v>
      </c>
      <c r="M9546" s="579">
        <v>0.75</v>
      </c>
    </row>
    <row r="9547" ht="15" customHeight="1" spans="3:13">
      <c r="C9547" s="100" t="s">
        <v>2893</v>
      </c>
      <c r="D9547" s="99" t="s">
        <v>5682</v>
      </c>
      <c r="E9547" s="100" t="s">
        <v>139</v>
      </c>
      <c r="F9547" s="100" t="s">
        <v>5683</v>
      </c>
      <c r="G9547" s="100" t="s">
        <v>2896</v>
      </c>
      <c r="H9547" s="100"/>
      <c r="I9547" s="101" t="s">
        <v>2897</v>
      </c>
      <c r="J9547" s="580">
        <v>0.03087</v>
      </c>
      <c r="K9547" s="580">
        <v>0</v>
      </c>
      <c r="L9547" s="102">
        <v>24.34</v>
      </c>
      <c r="M9547" s="102">
        <v>0.75</v>
      </c>
    </row>
    <row r="9548" ht="25.5" spans="3:13">
      <c r="C9548" s="108"/>
      <c r="D9548" s="108"/>
      <c r="E9548" s="108"/>
      <c r="F9548" s="108"/>
      <c r="G9548" s="108"/>
      <c r="H9548" s="108" t="s">
        <v>2898</v>
      </c>
      <c r="I9548" s="581">
        <v>0.75</v>
      </c>
      <c r="J9548" s="108" t="s">
        <v>2899</v>
      </c>
      <c r="K9548" s="581">
        <v>0</v>
      </c>
      <c r="L9548" s="108" t="s">
        <v>2900</v>
      </c>
      <c r="M9548" s="581">
        <v>0.75</v>
      </c>
    </row>
    <row r="9549" ht="26.25" spans="3:13">
      <c r="C9549" s="108"/>
      <c r="D9549" s="108"/>
      <c r="E9549" s="108"/>
      <c r="F9549" s="108"/>
      <c r="G9549" s="108"/>
      <c r="H9549" s="108" t="s">
        <v>2901</v>
      </c>
      <c r="I9549" s="581">
        <v>0.19</v>
      </c>
      <c r="J9549" s="114"/>
      <c r="K9549" s="114" t="s">
        <v>2902</v>
      </c>
      <c r="L9549" s="108"/>
      <c r="M9549" s="581">
        <v>0.94</v>
      </c>
    </row>
    <row r="9550" ht="15" spans="3:13">
      <c r="C9550" s="571"/>
      <c r="D9550" s="571"/>
      <c r="E9550" s="571"/>
      <c r="F9550" s="571"/>
      <c r="G9550" s="571"/>
      <c r="H9550" s="571"/>
      <c r="I9550" s="571"/>
      <c r="J9550" s="571"/>
      <c r="K9550" s="571"/>
      <c r="L9550" s="571"/>
      <c r="M9550" s="571"/>
    </row>
    <row r="9551" ht="15" customHeight="1" spans="3:13">
      <c r="C9551" s="76"/>
      <c r="D9551" s="75" t="s">
        <v>63</v>
      </c>
      <c r="E9551" s="76" t="s">
        <v>64</v>
      </c>
      <c r="F9551" s="76" t="s">
        <v>65</v>
      </c>
      <c r="G9551" s="76" t="s">
        <v>2889</v>
      </c>
      <c r="H9551" s="76"/>
      <c r="I9551" s="77" t="s">
        <v>66</v>
      </c>
      <c r="J9551" s="75" t="s">
        <v>67</v>
      </c>
      <c r="K9551" s="75" t="s">
        <v>2890</v>
      </c>
      <c r="L9551" s="75" t="s">
        <v>68</v>
      </c>
      <c r="M9551" s="75" t="s">
        <v>70</v>
      </c>
    </row>
    <row r="9552" ht="23.85" customHeight="1" spans="3:13">
      <c r="C9552" s="569" t="s">
        <v>2891</v>
      </c>
      <c r="D9552" s="570" t="s">
        <v>5684</v>
      </c>
      <c r="E9552" s="569" t="s">
        <v>139</v>
      </c>
      <c r="F9552" s="569" t="s">
        <v>5685</v>
      </c>
      <c r="G9552" s="569" t="s">
        <v>2928</v>
      </c>
      <c r="H9552" s="569"/>
      <c r="I9552" s="577" t="s">
        <v>2897</v>
      </c>
      <c r="J9552" s="578">
        <v>1</v>
      </c>
      <c r="K9552" s="579"/>
      <c r="L9552" s="579">
        <v>0.34</v>
      </c>
      <c r="M9552" s="579">
        <v>0.34</v>
      </c>
    </row>
    <row r="9553" ht="15" customHeight="1" spans="3:13">
      <c r="C9553" s="100" t="s">
        <v>2893</v>
      </c>
      <c r="D9553" s="99" t="s">
        <v>5686</v>
      </c>
      <c r="E9553" s="100" t="s">
        <v>139</v>
      </c>
      <c r="F9553" s="100" t="s">
        <v>5687</v>
      </c>
      <c r="G9553" s="100" t="s">
        <v>2896</v>
      </c>
      <c r="H9553" s="100"/>
      <c r="I9553" s="101" t="s">
        <v>2897</v>
      </c>
      <c r="J9553" s="580">
        <v>0.01154</v>
      </c>
      <c r="K9553" s="580">
        <v>0</v>
      </c>
      <c r="L9553" s="102">
        <v>30.09</v>
      </c>
      <c r="M9553" s="102">
        <v>0.34</v>
      </c>
    </row>
    <row r="9554" ht="25.5" spans="3:13">
      <c r="C9554" s="108"/>
      <c r="D9554" s="108"/>
      <c r="E9554" s="108"/>
      <c r="F9554" s="108"/>
      <c r="G9554" s="108"/>
      <c r="H9554" s="108" t="s">
        <v>2898</v>
      </c>
      <c r="I9554" s="581">
        <v>0.34</v>
      </c>
      <c r="J9554" s="108" t="s">
        <v>2899</v>
      </c>
      <c r="K9554" s="581">
        <v>0</v>
      </c>
      <c r="L9554" s="108" t="s">
        <v>2900</v>
      </c>
      <c r="M9554" s="581">
        <v>0.34</v>
      </c>
    </row>
    <row r="9555" ht="26.25" spans="3:13">
      <c r="C9555" s="108"/>
      <c r="D9555" s="108"/>
      <c r="E9555" s="108"/>
      <c r="F9555" s="108"/>
      <c r="G9555" s="108"/>
      <c r="H9555" s="108" t="s">
        <v>2901</v>
      </c>
      <c r="I9555" s="581">
        <v>0.08</v>
      </c>
      <c r="J9555" s="114"/>
      <c r="K9555" s="114" t="s">
        <v>2902</v>
      </c>
      <c r="L9555" s="108"/>
      <c r="M9555" s="581">
        <v>0.42</v>
      </c>
    </row>
    <row r="9556" ht="15" spans="3:13">
      <c r="C9556" s="571"/>
      <c r="D9556" s="571"/>
      <c r="E9556" s="571"/>
      <c r="F9556" s="571"/>
      <c r="G9556" s="571"/>
      <c r="H9556" s="571"/>
      <c r="I9556" s="571"/>
      <c r="J9556" s="571"/>
      <c r="K9556" s="571"/>
      <c r="L9556" s="571"/>
      <c r="M9556" s="571"/>
    </row>
    <row r="9557" ht="15" customHeight="1" spans="3:13">
      <c r="C9557" s="76"/>
      <c r="D9557" s="75" t="s">
        <v>63</v>
      </c>
      <c r="E9557" s="76" t="s">
        <v>64</v>
      </c>
      <c r="F9557" s="76" t="s">
        <v>65</v>
      </c>
      <c r="G9557" s="76" t="s">
        <v>2889</v>
      </c>
      <c r="H9557" s="76"/>
      <c r="I9557" s="77" t="s">
        <v>66</v>
      </c>
      <c r="J9557" s="75" t="s">
        <v>67</v>
      </c>
      <c r="K9557" s="75" t="s">
        <v>2890</v>
      </c>
      <c r="L9557" s="75" t="s">
        <v>68</v>
      </c>
      <c r="M9557" s="75" t="s">
        <v>70</v>
      </c>
    </row>
    <row r="9558" ht="23.85" customHeight="1" spans="3:13">
      <c r="C9558" s="569" t="s">
        <v>2891</v>
      </c>
      <c r="D9558" s="570" t="s">
        <v>5688</v>
      </c>
      <c r="E9558" s="569" t="s">
        <v>139</v>
      </c>
      <c r="F9558" s="569" t="s">
        <v>5689</v>
      </c>
      <c r="G9558" s="569" t="s">
        <v>2928</v>
      </c>
      <c r="H9558" s="569"/>
      <c r="I9558" s="577" t="s">
        <v>2897</v>
      </c>
      <c r="J9558" s="578">
        <v>1</v>
      </c>
      <c r="K9558" s="579"/>
      <c r="L9558" s="579">
        <v>0.55</v>
      </c>
      <c r="M9558" s="579">
        <v>0.55</v>
      </c>
    </row>
    <row r="9559" ht="15" customHeight="1" spans="3:13">
      <c r="C9559" s="100" t="s">
        <v>2893</v>
      </c>
      <c r="D9559" s="99" t="s">
        <v>5690</v>
      </c>
      <c r="E9559" s="100" t="s">
        <v>139</v>
      </c>
      <c r="F9559" s="100" t="s">
        <v>5691</v>
      </c>
      <c r="G9559" s="100" t="s">
        <v>2896</v>
      </c>
      <c r="H9559" s="100"/>
      <c r="I9559" s="101" t="s">
        <v>2897</v>
      </c>
      <c r="J9559" s="580">
        <v>0.01476</v>
      </c>
      <c r="K9559" s="580">
        <v>0</v>
      </c>
      <c r="L9559" s="102">
        <v>37.68</v>
      </c>
      <c r="M9559" s="102">
        <v>0.55</v>
      </c>
    </row>
    <row r="9560" ht="25.5" spans="3:13">
      <c r="C9560" s="108"/>
      <c r="D9560" s="108"/>
      <c r="E9560" s="108"/>
      <c r="F9560" s="108"/>
      <c r="G9560" s="108"/>
      <c r="H9560" s="108" t="s">
        <v>2898</v>
      </c>
      <c r="I9560" s="581">
        <v>0.55</v>
      </c>
      <c r="J9560" s="108" t="s">
        <v>2899</v>
      </c>
      <c r="K9560" s="581">
        <v>0</v>
      </c>
      <c r="L9560" s="108" t="s">
        <v>2900</v>
      </c>
      <c r="M9560" s="581">
        <v>0.55</v>
      </c>
    </row>
    <row r="9561" ht="26.25" spans="3:13">
      <c r="C9561" s="108"/>
      <c r="D9561" s="108"/>
      <c r="E9561" s="108"/>
      <c r="F9561" s="108"/>
      <c r="G9561" s="108"/>
      <c r="H9561" s="108" t="s">
        <v>2901</v>
      </c>
      <c r="I9561" s="581">
        <v>0.14</v>
      </c>
      <c r="J9561" s="114"/>
      <c r="K9561" s="114" t="s">
        <v>2902</v>
      </c>
      <c r="L9561" s="108"/>
      <c r="M9561" s="581">
        <v>0.69</v>
      </c>
    </row>
    <row r="9562" ht="15" spans="3:13">
      <c r="C9562" s="571"/>
      <c r="D9562" s="571"/>
      <c r="E9562" s="571"/>
      <c r="F9562" s="571"/>
      <c r="G9562" s="571"/>
      <c r="H9562" s="571"/>
      <c r="I9562" s="571"/>
      <c r="J9562" s="571"/>
      <c r="K9562" s="571"/>
      <c r="L9562" s="571"/>
      <c r="M9562" s="571"/>
    </row>
    <row r="9563" ht="15" customHeight="1" spans="3:13">
      <c r="C9563" s="76"/>
      <c r="D9563" s="75" t="s">
        <v>63</v>
      </c>
      <c r="E9563" s="76" t="s">
        <v>64</v>
      </c>
      <c r="F9563" s="76" t="s">
        <v>65</v>
      </c>
      <c r="G9563" s="76" t="s">
        <v>2889</v>
      </c>
      <c r="H9563" s="76"/>
      <c r="I9563" s="77" t="s">
        <v>66</v>
      </c>
      <c r="J9563" s="75" t="s">
        <v>67</v>
      </c>
      <c r="K9563" s="75" t="s">
        <v>2890</v>
      </c>
      <c r="L9563" s="75" t="s">
        <v>68</v>
      </c>
      <c r="M9563" s="75" t="s">
        <v>70</v>
      </c>
    </row>
    <row r="9564" ht="23.85" customHeight="1" spans="3:13">
      <c r="C9564" s="569" t="s">
        <v>2891</v>
      </c>
      <c r="D9564" s="570" t="s">
        <v>5692</v>
      </c>
      <c r="E9564" s="569" t="s">
        <v>139</v>
      </c>
      <c r="F9564" s="569" t="s">
        <v>5693</v>
      </c>
      <c r="G9564" s="569" t="s">
        <v>2928</v>
      </c>
      <c r="H9564" s="569"/>
      <c r="I9564" s="577" t="s">
        <v>2897</v>
      </c>
      <c r="J9564" s="578">
        <v>1</v>
      </c>
      <c r="K9564" s="579"/>
      <c r="L9564" s="579">
        <v>1.1</v>
      </c>
      <c r="M9564" s="579">
        <v>1.1</v>
      </c>
    </row>
    <row r="9565" ht="15" customHeight="1" spans="3:13">
      <c r="C9565" s="100" t="s">
        <v>2893</v>
      </c>
      <c r="D9565" s="99" t="s">
        <v>5694</v>
      </c>
      <c r="E9565" s="100" t="s">
        <v>139</v>
      </c>
      <c r="F9565" s="100" t="s">
        <v>5695</v>
      </c>
      <c r="G9565" s="100" t="s">
        <v>2896</v>
      </c>
      <c r="H9565" s="100"/>
      <c r="I9565" s="101" t="s">
        <v>2897</v>
      </c>
      <c r="J9565" s="580">
        <v>0.03087</v>
      </c>
      <c r="K9565" s="580">
        <v>0</v>
      </c>
      <c r="L9565" s="102">
        <v>35.95</v>
      </c>
      <c r="M9565" s="102">
        <v>1.1</v>
      </c>
    </row>
    <row r="9566" ht="25.5" spans="3:13">
      <c r="C9566" s="108"/>
      <c r="D9566" s="108"/>
      <c r="E9566" s="108"/>
      <c r="F9566" s="108"/>
      <c r="G9566" s="108"/>
      <c r="H9566" s="108" t="s">
        <v>2898</v>
      </c>
      <c r="I9566" s="581">
        <v>1.1</v>
      </c>
      <c r="J9566" s="108" t="s">
        <v>2899</v>
      </c>
      <c r="K9566" s="581">
        <v>0</v>
      </c>
      <c r="L9566" s="108" t="s">
        <v>2900</v>
      </c>
      <c r="M9566" s="581">
        <v>1.1</v>
      </c>
    </row>
    <row r="9567" ht="26.25" spans="3:13">
      <c r="C9567" s="108"/>
      <c r="D9567" s="108"/>
      <c r="E9567" s="108"/>
      <c r="F9567" s="108"/>
      <c r="G9567" s="108"/>
      <c r="H9567" s="108" t="s">
        <v>2901</v>
      </c>
      <c r="I9567" s="581">
        <v>0.28</v>
      </c>
      <c r="J9567" s="114"/>
      <c r="K9567" s="114" t="s">
        <v>2902</v>
      </c>
      <c r="L9567" s="108"/>
      <c r="M9567" s="581">
        <v>1.38</v>
      </c>
    </row>
    <row r="9568" ht="15" spans="3:13">
      <c r="C9568" s="571"/>
      <c r="D9568" s="571"/>
      <c r="E9568" s="571"/>
      <c r="F9568" s="571"/>
      <c r="G9568" s="571"/>
      <c r="H9568" s="571"/>
      <c r="I9568" s="571"/>
      <c r="J9568" s="571"/>
      <c r="K9568" s="571"/>
      <c r="L9568" s="571"/>
      <c r="M9568" s="571"/>
    </row>
    <row r="9569" ht="15" customHeight="1" spans="3:13">
      <c r="C9569" s="76"/>
      <c r="D9569" s="75" t="s">
        <v>63</v>
      </c>
      <c r="E9569" s="76" t="s">
        <v>64</v>
      </c>
      <c r="F9569" s="76" t="s">
        <v>65</v>
      </c>
      <c r="G9569" s="76" t="s">
        <v>2889</v>
      </c>
      <c r="H9569" s="76"/>
      <c r="I9569" s="77" t="s">
        <v>66</v>
      </c>
      <c r="J9569" s="75" t="s">
        <v>67</v>
      </c>
      <c r="K9569" s="75" t="s">
        <v>2890</v>
      </c>
      <c r="L9569" s="75" t="s">
        <v>68</v>
      </c>
      <c r="M9569" s="75" t="s">
        <v>70</v>
      </c>
    </row>
    <row r="9570" ht="23.85" customHeight="1" spans="3:13">
      <c r="C9570" s="569" t="s">
        <v>2891</v>
      </c>
      <c r="D9570" s="570" t="s">
        <v>5696</v>
      </c>
      <c r="E9570" s="569" t="s">
        <v>139</v>
      </c>
      <c r="F9570" s="569" t="s">
        <v>5697</v>
      </c>
      <c r="G9570" s="569" t="s">
        <v>2928</v>
      </c>
      <c r="H9570" s="569"/>
      <c r="I9570" s="577" t="s">
        <v>2897</v>
      </c>
      <c r="J9570" s="578">
        <v>1</v>
      </c>
      <c r="K9570" s="579"/>
      <c r="L9570" s="579">
        <v>0.2</v>
      </c>
      <c r="M9570" s="579">
        <v>0.2</v>
      </c>
    </row>
    <row r="9571" ht="15" customHeight="1" spans="3:13">
      <c r="C9571" s="100" t="s">
        <v>2893</v>
      </c>
      <c r="D9571" s="99" t="s">
        <v>5698</v>
      </c>
      <c r="E9571" s="100" t="s">
        <v>139</v>
      </c>
      <c r="F9571" s="100" t="s">
        <v>5699</v>
      </c>
      <c r="G9571" s="100" t="s">
        <v>2896</v>
      </c>
      <c r="H9571" s="100"/>
      <c r="I9571" s="101" t="s">
        <v>2897</v>
      </c>
      <c r="J9571" s="580">
        <v>0.00509</v>
      </c>
      <c r="K9571" s="580">
        <v>0</v>
      </c>
      <c r="L9571" s="102">
        <v>40.87</v>
      </c>
      <c r="M9571" s="102">
        <v>0.2</v>
      </c>
    </row>
    <row r="9572" ht="25.5" spans="3:13">
      <c r="C9572" s="108"/>
      <c r="D9572" s="108"/>
      <c r="E9572" s="108"/>
      <c r="F9572" s="108"/>
      <c r="G9572" s="108"/>
      <c r="H9572" s="108" t="s">
        <v>2898</v>
      </c>
      <c r="I9572" s="581">
        <v>0.2</v>
      </c>
      <c r="J9572" s="108" t="s">
        <v>2899</v>
      </c>
      <c r="K9572" s="581">
        <v>0</v>
      </c>
      <c r="L9572" s="108" t="s">
        <v>2900</v>
      </c>
      <c r="M9572" s="581">
        <v>0.2</v>
      </c>
    </row>
    <row r="9573" ht="26.25" spans="3:13">
      <c r="C9573" s="108"/>
      <c r="D9573" s="108"/>
      <c r="E9573" s="108"/>
      <c r="F9573" s="108"/>
      <c r="G9573" s="108"/>
      <c r="H9573" s="108" t="s">
        <v>2901</v>
      </c>
      <c r="I9573" s="581">
        <v>0.05</v>
      </c>
      <c r="J9573" s="114"/>
      <c r="K9573" s="114" t="s">
        <v>2902</v>
      </c>
      <c r="L9573" s="108"/>
      <c r="M9573" s="581">
        <v>0.25</v>
      </c>
    </row>
    <row r="9574" ht="15" spans="3:13">
      <c r="C9574" s="571"/>
      <c r="D9574" s="571"/>
      <c r="E9574" s="571"/>
      <c r="F9574" s="571"/>
      <c r="G9574" s="571"/>
      <c r="H9574" s="571"/>
      <c r="I9574" s="571"/>
      <c r="J9574" s="571"/>
      <c r="K9574" s="571"/>
      <c r="L9574" s="571"/>
      <c r="M9574" s="571"/>
    </row>
    <row r="9575" ht="15" customHeight="1" spans="3:13">
      <c r="C9575" s="76"/>
      <c r="D9575" s="75" t="s">
        <v>63</v>
      </c>
      <c r="E9575" s="76" t="s">
        <v>64</v>
      </c>
      <c r="F9575" s="76" t="s">
        <v>65</v>
      </c>
      <c r="G9575" s="76" t="s">
        <v>2889</v>
      </c>
      <c r="H9575" s="76"/>
      <c r="I9575" s="77" t="s">
        <v>66</v>
      </c>
      <c r="J9575" s="75" t="s">
        <v>67</v>
      </c>
      <c r="K9575" s="75" t="s">
        <v>2890</v>
      </c>
      <c r="L9575" s="75" t="s">
        <v>68</v>
      </c>
      <c r="M9575" s="75" t="s">
        <v>70</v>
      </c>
    </row>
    <row r="9576" ht="23.85" customHeight="1" spans="3:13">
      <c r="C9576" s="569" t="s">
        <v>2891</v>
      </c>
      <c r="D9576" s="570" t="s">
        <v>5700</v>
      </c>
      <c r="E9576" s="569" t="s">
        <v>139</v>
      </c>
      <c r="F9576" s="569" t="s">
        <v>5701</v>
      </c>
      <c r="G9576" s="569" t="s">
        <v>2928</v>
      </c>
      <c r="H9576" s="569"/>
      <c r="I9576" s="577" t="s">
        <v>2897</v>
      </c>
      <c r="J9576" s="578">
        <v>1</v>
      </c>
      <c r="K9576" s="579"/>
      <c r="L9576" s="579">
        <v>0.73</v>
      </c>
      <c r="M9576" s="579">
        <v>0.73</v>
      </c>
    </row>
    <row r="9577" ht="15" customHeight="1" spans="3:13">
      <c r="C9577" s="100" t="s">
        <v>2893</v>
      </c>
      <c r="D9577" s="99" t="s">
        <v>5702</v>
      </c>
      <c r="E9577" s="100" t="s">
        <v>139</v>
      </c>
      <c r="F9577" s="100" t="s">
        <v>5703</v>
      </c>
      <c r="G9577" s="100" t="s">
        <v>2896</v>
      </c>
      <c r="H9577" s="100"/>
      <c r="I9577" s="101" t="s">
        <v>2897</v>
      </c>
      <c r="J9577" s="580">
        <v>0.01637</v>
      </c>
      <c r="K9577" s="580">
        <v>0</v>
      </c>
      <c r="L9577" s="102">
        <v>44.78</v>
      </c>
      <c r="M9577" s="102">
        <v>0.73</v>
      </c>
    </row>
    <row r="9578" ht="25.5" spans="3:13">
      <c r="C9578" s="108"/>
      <c r="D9578" s="108"/>
      <c r="E9578" s="108"/>
      <c r="F9578" s="108"/>
      <c r="G9578" s="108"/>
      <c r="H9578" s="108" t="s">
        <v>2898</v>
      </c>
      <c r="I9578" s="581">
        <v>0.73</v>
      </c>
      <c r="J9578" s="108" t="s">
        <v>2899</v>
      </c>
      <c r="K9578" s="581">
        <v>0</v>
      </c>
      <c r="L9578" s="108" t="s">
        <v>2900</v>
      </c>
      <c r="M9578" s="581">
        <v>0.73</v>
      </c>
    </row>
    <row r="9579" ht="26.25" spans="3:13">
      <c r="C9579" s="108"/>
      <c r="D9579" s="108"/>
      <c r="E9579" s="108"/>
      <c r="F9579" s="108"/>
      <c r="G9579" s="108"/>
      <c r="H9579" s="108" t="s">
        <v>2901</v>
      </c>
      <c r="I9579" s="581">
        <v>0.18</v>
      </c>
      <c r="J9579" s="114"/>
      <c r="K9579" s="114" t="s">
        <v>2902</v>
      </c>
      <c r="L9579" s="108"/>
      <c r="M9579" s="581">
        <v>0.91</v>
      </c>
    </row>
    <row r="9580" ht="15" spans="3:13">
      <c r="C9580" s="571"/>
      <c r="D9580" s="571"/>
      <c r="E9580" s="571"/>
      <c r="F9580" s="571"/>
      <c r="G9580" s="571"/>
      <c r="H9580" s="571"/>
      <c r="I9580" s="571"/>
      <c r="J9580" s="571"/>
      <c r="K9580" s="571"/>
      <c r="L9580" s="571"/>
      <c r="M9580" s="571"/>
    </row>
    <row r="9581" ht="15" customHeight="1" spans="3:13">
      <c r="C9581" s="76"/>
      <c r="D9581" s="75" t="s">
        <v>63</v>
      </c>
      <c r="E9581" s="76" t="s">
        <v>64</v>
      </c>
      <c r="F9581" s="76" t="s">
        <v>65</v>
      </c>
      <c r="G9581" s="76" t="s">
        <v>2889</v>
      </c>
      <c r="H9581" s="76"/>
      <c r="I9581" s="77" t="s">
        <v>66</v>
      </c>
      <c r="J9581" s="75" t="s">
        <v>67</v>
      </c>
      <c r="K9581" s="75" t="s">
        <v>2890</v>
      </c>
      <c r="L9581" s="75" t="s">
        <v>68</v>
      </c>
      <c r="M9581" s="75" t="s">
        <v>70</v>
      </c>
    </row>
    <row r="9582" ht="35.05" customHeight="1" spans="3:13">
      <c r="C9582" s="569" t="s">
        <v>2891</v>
      </c>
      <c r="D9582" s="570" t="s">
        <v>5704</v>
      </c>
      <c r="E9582" s="569" t="s">
        <v>139</v>
      </c>
      <c r="F9582" s="569" t="s">
        <v>5705</v>
      </c>
      <c r="G9582" s="569" t="s">
        <v>2928</v>
      </c>
      <c r="H9582" s="569"/>
      <c r="I9582" s="577" t="s">
        <v>2897</v>
      </c>
      <c r="J9582" s="578">
        <v>1</v>
      </c>
      <c r="K9582" s="579"/>
      <c r="L9582" s="579">
        <v>0.19</v>
      </c>
      <c r="M9582" s="579">
        <v>0.19</v>
      </c>
    </row>
    <row r="9583" ht="15" customHeight="1" spans="3:13">
      <c r="C9583" s="100" t="s">
        <v>2893</v>
      </c>
      <c r="D9583" s="99" t="s">
        <v>5706</v>
      </c>
      <c r="E9583" s="100" t="s">
        <v>139</v>
      </c>
      <c r="F9583" s="100" t="s">
        <v>5707</v>
      </c>
      <c r="G9583" s="100" t="s">
        <v>2896</v>
      </c>
      <c r="H9583" s="100"/>
      <c r="I9583" s="101" t="s">
        <v>2897</v>
      </c>
      <c r="J9583" s="580">
        <v>0.00831</v>
      </c>
      <c r="K9583" s="580">
        <v>0</v>
      </c>
      <c r="L9583" s="102">
        <v>23.18</v>
      </c>
      <c r="M9583" s="102">
        <v>0.19</v>
      </c>
    </row>
    <row r="9584" ht="25.5" spans="3:13">
      <c r="C9584" s="108"/>
      <c r="D9584" s="108"/>
      <c r="E9584" s="108"/>
      <c r="F9584" s="108"/>
      <c r="G9584" s="108"/>
      <c r="H9584" s="108" t="s">
        <v>2898</v>
      </c>
      <c r="I9584" s="581">
        <v>0.19</v>
      </c>
      <c r="J9584" s="108" t="s">
        <v>2899</v>
      </c>
      <c r="K9584" s="581">
        <v>0</v>
      </c>
      <c r="L9584" s="108" t="s">
        <v>2900</v>
      </c>
      <c r="M9584" s="581">
        <v>0.19</v>
      </c>
    </row>
    <row r="9585" ht="26.25" spans="3:13">
      <c r="C9585" s="108"/>
      <c r="D9585" s="108"/>
      <c r="E9585" s="108"/>
      <c r="F9585" s="108"/>
      <c r="G9585" s="108"/>
      <c r="H9585" s="108" t="s">
        <v>2901</v>
      </c>
      <c r="I9585" s="581">
        <v>0.04</v>
      </c>
      <c r="J9585" s="114"/>
      <c r="K9585" s="114" t="s">
        <v>2902</v>
      </c>
      <c r="L9585" s="108"/>
      <c r="M9585" s="581">
        <v>0.23</v>
      </c>
    </row>
    <row r="9586" ht="15" spans="3:13">
      <c r="C9586" s="571"/>
      <c r="D9586" s="571"/>
      <c r="E9586" s="571"/>
      <c r="F9586" s="571"/>
      <c r="G9586" s="571"/>
      <c r="H9586" s="571"/>
      <c r="I9586" s="571"/>
      <c r="J9586" s="571"/>
      <c r="K9586" s="571"/>
      <c r="L9586" s="571"/>
      <c r="M9586" s="571"/>
    </row>
    <row r="9587" ht="15" customHeight="1" spans="3:13">
      <c r="C9587" s="76"/>
      <c r="D9587" s="75" t="s">
        <v>63</v>
      </c>
      <c r="E9587" s="76" t="s">
        <v>64</v>
      </c>
      <c r="F9587" s="76" t="s">
        <v>65</v>
      </c>
      <c r="G9587" s="76" t="s">
        <v>2889</v>
      </c>
      <c r="H9587" s="76"/>
      <c r="I9587" s="77" t="s">
        <v>66</v>
      </c>
      <c r="J9587" s="75" t="s">
        <v>67</v>
      </c>
      <c r="K9587" s="75" t="s">
        <v>2890</v>
      </c>
      <c r="L9587" s="75" t="s">
        <v>68</v>
      </c>
      <c r="M9587" s="75" t="s">
        <v>70</v>
      </c>
    </row>
    <row r="9588" ht="23.85" customHeight="1" spans="3:13">
      <c r="C9588" s="569" t="s">
        <v>2891</v>
      </c>
      <c r="D9588" s="570" t="s">
        <v>5708</v>
      </c>
      <c r="E9588" s="569" t="s">
        <v>139</v>
      </c>
      <c r="F9588" s="569" t="s">
        <v>5709</v>
      </c>
      <c r="G9588" s="569" t="s">
        <v>2928</v>
      </c>
      <c r="H9588" s="569"/>
      <c r="I9588" s="577" t="s">
        <v>2897</v>
      </c>
      <c r="J9588" s="578">
        <v>1</v>
      </c>
      <c r="K9588" s="579"/>
      <c r="L9588" s="579">
        <v>0.35</v>
      </c>
      <c r="M9588" s="579">
        <v>0.35</v>
      </c>
    </row>
    <row r="9589" ht="15" customHeight="1" spans="3:13">
      <c r="C9589" s="100" t="s">
        <v>2893</v>
      </c>
      <c r="D9589" s="99" t="s">
        <v>5710</v>
      </c>
      <c r="E9589" s="100" t="s">
        <v>139</v>
      </c>
      <c r="F9589" s="100" t="s">
        <v>5711</v>
      </c>
      <c r="G9589" s="100" t="s">
        <v>2896</v>
      </c>
      <c r="H9589" s="100"/>
      <c r="I9589" s="101" t="s">
        <v>2897</v>
      </c>
      <c r="J9589" s="580">
        <v>0.01154</v>
      </c>
      <c r="K9589" s="580">
        <v>0</v>
      </c>
      <c r="L9589" s="102">
        <v>30.89</v>
      </c>
      <c r="M9589" s="102">
        <v>0.35</v>
      </c>
    </row>
    <row r="9590" ht="25.5" spans="3:13">
      <c r="C9590" s="108"/>
      <c r="D9590" s="108"/>
      <c r="E9590" s="108"/>
      <c r="F9590" s="108"/>
      <c r="G9590" s="108"/>
      <c r="H9590" s="108" t="s">
        <v>2898</v>
      </c>
      <c r="I9590" s="581">
        <v>0.35</v>
      </c>
      <c r="J9590" s="108" t="s">
        <v>2899</v>
      </c>
      <c r="K9590" s="581">
        <v>0</v>
      </c>
      <c r="L9590" s="108" t="s">
        <v>2900</v>
      </c>
      <c r="M9590" s="581">
        <v>0.35</v>
      </c>
    </row>
    <row r="9591" ht="26.25" spans="3:13">
      <c r="C9591" s="108"/>
      <c r="D9591" s="108"/>
      <c r="E9591" s="108"/>
      <c r="F9591" s="108"/>
      <c r="G9591" s="108"/>
      <c r="H9591" s="108" t="s">
        <v>2901</v>
      </c>
      <c r="I9591" s="581">
        <v>0.08</v>
      </c>
      <c r="J9591" s="114"/>
      <c r="K9591" s="114" t="s">
        <v>2902</v>
      </c>
      <c r="L9591" s="108"/>
      <c r="M9591" s="581">
        <v>0.43</v>
      </c>
    </row>
    <row r="9592" ht="15" spans="3:13">
      <c r="C9592" s="571"/>
      <c r="D9592" s="571"/>
      <c r="E9592" s="571"/>
      <c r="F9592" s="571"/>
      <c r="G9592" s="571"/>
      <c r="H9592" s="571"/>
      <c r="I9592" s="571"/>
      <c r="J9592" s="571"/>
      <c r="K9592" s="571"/>
      <c r="L9592" s="571"/>
      <c r="M9592" s="571"/>
    </row>
    <row r="9593" ht="15" customHeight="1" spans="3:13">
      <c r="C9593" s="76"/>
      <c r="D9593" s="75" t="s">
        <v>63</v>
      </c>
      <c r="E9593" s="76" t="s">
        <v>64</v>
      </c>
      <c r="F9593" s="76" t="s">
        <v>65</v>
      </c>
      <c r="G9593" s="76" t="s">
        <v>2889</v>
      </c>
      <c r="H9593" s="76"/>
      <c r="I9593" s="77" t="s">
        <v>66</v>
      </c>
      <c r="J9593" s="75" t="s">
        <v>67</v>
      </c>
      <c r="K9593" s="75" t="s">
        <v>2890</v>
      </c>
      <c r="L9593" s="75" t="s">
        <v>68</v>
      </c>
      <c r="M9593" s="75" t="s">
        <v>70</v>
      </c>
    </row>
    <row r="9594" ht="23.85" customHeight="1" spans="3:13">
      <c r="C9594" s="569" t="s">
        <v>2891</v>
      </c>
      <c r="D9594" s="570" t="s">
        <v>5712</v>
      </c>
      <c r="E9594" s="569" t="s">
        <v>139</v>
      </c>
      <c r="F9594" s="569" t="s">
        <v>5713</v>
      </c>
      <c r="G9594" s="569" t="s">
        <v>2928</v>
      </c>
      <c r="H9594" s="569"/>
      <c r="I9594" s="577" t="s">
        <v>2897</v>
      </c>
      <c r="J9594" s="578">
        <v>1</v>
      </c>
      <c r="K9594" s="579"/>
      <c r="L9594" s="579">
        <v>0.37</v>
      </c>
      <c r="M9594" s="579">
        <v>0.37</v>
      </c>
    </row>
    <row r="9595" ht="15" customHeight="1" spans="3:13">
      <c r="C9595" s="100" t="s">
        <v>2893</v>
      </c>
      <c r="D9595" s="99" t="s">
        <v>5714</v>
      </c>
      <c r="E9595" s="100" t="s">
        <v>139</v>
      </c>
      <c r="F9595" s="100" t="s">
        <v>5715</v>
      </c>
      <c r="G9595" s="100" t="s">
        <v>2896</v>
      </c>
      <c r="H9595" s="100"/>
      <c r="I9595" s="101" t="s">
        <v>2897</v>
      </c>
      <c r="J9595" s="580">
        <v>0.01637</v>
      </c>
      <c r="K9595" s="580">
        <v>0</v>
      </c>
      <c r="L9595" s="102">
        <v>22.7</v>
      </c>
      <c r="M9595" s="102">
        <v>0.37</v>
      </c>
    </row>
    <row r="9596" ht="25.5" spans="3:13">
      <c r="C9596" s="108"/>
      <c r="D9596" s="108"/>
      <c r="E9596" s="108"/>
      <c r="F9596" s="108"/>
      <c r="G9596" s="108"/>
      <c r="H9596" s="108" t="s">
        <v>2898</v>
      </c>
      <c r="I9596" s="581">
        <v>0.37</v>
      </c>
      <c r="J9596" s="108" t="s">
        <v>2899</v>
      </c>
      <c r="K9596" s="581">
        <v>0</v>
      </c>
      <c r="L9596" s="108" t="s">
        <v>2900</v>
      </c>
      <c r="M9596" s="581">
        <v>0.37</v>
      </c>
    </row>
    <row r="9597" ht="26.25" spans="3:13">
      <c r="C9597" s="108"/>
      <c r="D9597" s="108"/>
      <c r="E9597" s="108"/>
      <c r="F9597" s="108"/>
      <c r="G9597" s="108"/>
      <c r="H9597" s="108" t="s">
        <v>2901</v>
      </c>
      <c r="I9597" s="581">
        <v>0.09</v>
      </c>
      <c r="J9597" s="114"/>
      <c r="K9597" s="114" t="s">
        <v>2902</v>
      </c>
      <c r="L9597" s="108"/>
      <c r="M9597" s="581">
        <v>0.46</v>
      </c>
    </row>
    <row r="9598" ht="15" spans="3:13">
      <c r="C9598" s="571"/>
      <c r="D9598" s="571"/>
      <c r="E9598" s="571"/>
      <c r="F9598" s="571"/>
      <c r="G9598" s="571"/>
      <c r="H9598" s="571"/>
      <c r="I9598" s="571"/>
      <c r="J9598" s="571"/>
      <c r="K9598" s="571"/>
      <c r="L9598" s="571"/>
      <c r="M9598" s="571"/>
    </row>
    <row r="9599" ht="15" customHeight="1" spans="3:13">
      <c r="C9599" s="76"/>
      <c r="D9599" s="75" t="s">
        <v>63</v>
      </c>
      <c r="E9599" s="76" t="s">
        <v>64</v>
      </c>
      <c r="F9599" s="76" t="s">
        <v>65</v>
      </c>
      <c r="G9599" s="76" t="s">
        <v>2889</v>
      </c>
      <c r="H9599" s="76"/>
      <c r="I9599" s="77" t="s">
        <v>66</v>
      </c>
      <c r="J9599" s="75" t="s">
        <v>67</v>
      </c>
      <c r="K9599" s="75" t="s">
        <v>2890</v>
      </c>
      <c r="L9599" s="75" t="s">
        <v>68</v>
      </c>
      <c r="M9599" s="75" t="s">
        <v>70</v>
      </c>
    </row>
    <row r="9600" ht="23.85" customHeight="1" spans="3:13">
      <c r="C9600" s="569" t="s">
        <v>2891</v>
      </c>
      <c r="D9600" s="570" t="s">
        <v>5716</v>
      </c>
      <c r="E9600" s="569" t="s">
        <v>139</v>
      </c>
      <c r="F9600" s="569" t="s">
        <v>5717</v>
      </c>
      <c r="G9600" s="569" t="s">
        <v>2928</v>
      </c>
      <c r="H9600" s="569"/>
      <c r="I9600" s="577" t="s">
        <v>2897</v>
      </c>
      <c r="J9600" s="578">
        <v>1</v>
      </c>
      <c r="K9600" s="579"/>
      <c r="L9600" s="579">
        <v>0.23</v>
      </c>
      <c r="M9600" s="579">
        <v>0.23</v>
      </c>
    </row>
    <row r="9601" ht="15" customHeight="1" spans="3:13">
      <c r="C9601" s="100" t="s">
        <v>2893</v>
      </c>
      <c r="D9601" s="99" t="s">
        <v>5718</v>
      </c>
      <c r="E9601" s="100" t="s">
        <v>139</v>
      </c>
      <c r="F9601" s="100" t="s">
        <v>5719</v>
      </c>
      <c r="G9601" s="100" t="s">
        <v>2896</v>
      </c>
      <c r="H9601" s="100"/>
      <c r="I9601" s="101" t="s">
        <v>2897</v>
      </c>
      <c r="J9601" s="580">
        <v>0.00831</v>
      </c>
      <c r="K9601" s="580">
        <v>0</v>
      </c>
      <c r="L9601" s="102">
        <v>27.95</v>
      </c>
      <c r="M9601" s="102">
        <v>0.23</v>
      </c>
    </row>
    <row r="9602" ht="25.5" spans="3:13">
      <c r="C9602" s="108"/>
      <c r="D9602" s="108"/>
      <c r="E9602" s="108"/>
      <c r="F9602" s="108"/>
      <c r="G9602" s="108"/>
      <c r="H9602" s="108" t="s">
        <v>2898</v>
      </c>
      <c r="I9602" s="581">
        <v>0.23</v>
      </c>
      <c r="J9602" s="108" t="s">
        <v>2899</v>
      </c>
      <c r="K9602" s="581">
        <v>0</v>
      </c>
      <c r="L9602" s="108" t="s">
        <v>2900</v>
      </c>
      <c r="M9602" s="581">
        <v>0.23</v>
      </c>
    </row>
    <row r="9603" ht="26.25" spans="3:13">
      <c r="C9603" s="108"/>
      <c r="D9603" s="108"/>
      <c r="E9603" s="108"/>
      <c r="F9603" s="108"/>
      <c r="G9603" s="108"/>
      <c r="H9603" s="108" t="s">
        <v>2901</v>
      </c>
      <c r="I9603" s="581">
        <v>0.05</v>
      </c>
      <c r="J9603" s="114"/>
      <c r="K9603" s="114" t="s">
        <v>2902</v>
      </c>
      <c r="L9603" s="108"/>
      <c r="M9603" s="581">
        <v>0.28</v>
      </c>
    </row>
    <row r="9604" ht="15" spans="3:13">
      <c r="C9604" s="571"/>
      <c r="D9604" s="571"/>
      <c r="E9604" s="571"/>
      <c r="F9604" s="571"/>
      <c r="G9604" s="571"/>
      <c r="H9604" s="571"/>
      <c r="I9604" s="571"/>
      <c r="J9604" s="571"/>
      <c r="K9604" s="571"/>
      <c r="L9604" s="571"/>
      <c r="M9604" s="571"/>
    </row>
    <row r="9605" ht="15" customHeight="1" spans="3:13">
      <c r="C9605" s="76"/>
      <c r="D9605" s="75" t="s">
        <v>63</v>
      </c>
      <c r="E9605" s="76" t="s">
        <v>64</v>
      </c>
      <c r="F9605" s="76" t="s">
        <v>65</v>
      </c>
      <c r="G9605" s="76" t="s">
        <v>2889</v>
      </c>
      <c r="H9605" s="76"/>
      <c r="I9605" s="77" t="s">
        <v>66</v>
      </c>
      <c r="J9605" s="75" t="s">
        <v>67</v>
      </c>
      <c r="K9605" s="75" t="s">
        <v>2890</v>
      </c>
      <c r="L9605" s="75" t="s">
        <v>68</v>
      </c>
      <c r="M9605" s="75" t="s">
        <v>70</v>
      </c>
    </row>
    <row r="9606" ht="23.85" customHeight="1" spans="3:13">
      <c r="C9606" s="569" t="s">
        <v>2891</v>
      </c>
      <c r="D9606" s="570" t="s">
        <v>5720</v>
      </c>
      <c r="E9606" s="569" t="s">
        <v>139</v>
      </c>
      <c r="F9606" s="569" t="s">
        <v>5721</v>
      </c>
      <c r="G9606" s="569" t="s">
        <v>2928</v>
      </c>
      <c r="H9606" s="569"/>
      <c r="I9606" s="577" t="s">
        <v>2897</v>
      </c>
      <c r="J9606" s="578">
        <v>1</v>
      </c>
      <c r="K9606" s="579"/>
      <c r="L9606" s="579">
        <v>0.35</v>
      </c>
      <c r="M9606" s="579">
        <v>0.35</v>
      </c>
    </row>
    <row r="9607" ht="23.85" customHeight="1" spans="3:13">
      <c r="C9607" s="100" t="s">
        <v>2893</v>
      </c>
      <c r="D9607" s="99" t="s">
        <v>5722</v>
      </c>
      <c r="E9607" s="100" t="s">
        <v>139</v>
      </c>
      <c r="F9607" s="100" t="s">
        <v>5723</v>
      </c>
      <c r="G9607" s="100" t="s">
        <v>2896</v>
      </c>
      <c r="H9607" s="100"/>
      <c r="I9607" s="101" t="s">
        <v>2897</v>
      </c>
      <c r="J9607" s="580">
        <v>0.01154</v>
      </c>
      <c r="K9607" s="580">
        <v>0</v>
      </c>
      <c r="L9607" s="102">
        <v>30.7</v>
      </c>
      <c r="M9607" s="102">
        <v>0.35</v>
      </c>
    </row>
    <row r="9608" ht="25.5" spans="3:13">
      <c r="C9608" s="108"/>
      <c r="D9608" s="108"/>
      <c r="E9608" s="108"/>
      <c r="F9608" s="108"/>
      <c r="G9608" s="108"/>
      <c r="H9608" s="108" t="s">
        <v>2898</v>
      </c>
      <c r="I9608" s="581">
        <v>0.35</v>
      </c>
      <c r="J9608" s="108" t="s">
        <v>2899</v>
      </c>
      <c r="K9608" s="581">
        <v>0</v>
      </c>
      <c r="L9608" s="108" t="s">
        <v>2900</v>
      </c>
      <c r="M9608" s="581">
        <v>0.35</v>
      </c>
    </row>
    <row r="9609" ht="26.25" spans="3:13">
      <c r="C9609" s="108"/>
      <c r="D9609" s="108"/>
      <c r="E9609" s="108"/>
      <c r="F9609" s="108"/>
      <c r="G9609" s="108"/>
      <c r="H9609" s="108" t="s">
        <v>2901</v>
      </c>
      <c r="I9609" s="581">
        <v>0.08</v>
      </c>
      <c r="J9609" s="114"/>
      <c r="K9609" s="114" t="s">
        <v>2902</v>
      </c>
      <c r="L9609" s="108"/>
      <c r="M9609" s="581">
        <v>0.43</v>
      </c>
    </row>
    <row r="9610" ht="15" spans="3:13">
      <c r="C9610" s="571"/>
      <c r="D9610" s="571"/>
      <c r="E9610" s="571"/>
      <c r="F9610" s="571"/>
      <c r="G9610" s="571"/>
      <c r="H9610" s="571"/>
      <c r="I9610" s="571"/>
      <c r="J9610" s="571"/>
      <c r="K9610" s="571"/>
      <c r="L9610" s="571"/>
      <c r="M9610" s="571"/>
    </row>
    <row r="9611" ht="15" customHeight="1" spans="3:13">
      <c r="C9611" s="76"/>
      <c r="D9611" s="75" t="s">
        <v>63</v>
      </c>
      <c r="E9611" s="76" t="s">
        <v>64</v>
      </c>
      <c r="F9611" s="76" t="s">
        <v>65</v>
      </c>
      <c r="G9611" s="76" t="s">
        <v>2889</v>
      </c>
      <c r="H9611" s="76"/>
      <c r="I9611" s="77" t="s">
        <v>66</v>
      </c>
      <c r="J9611" s="75" t="s">
        <v>67</v>
      </c>
      <c r="K9611" s="75" t="s">
        <v>2890</v>
      </c>
      <c r="L9611" s="75" t="s">
        <v>68</v>
      </c>
      <c r="M9611" s="75" t="s">
        <v>70</v>
      </c>
    </row>
    <row r="9612" ht="23.85" customHeight="1" spans="3:13">
      <c r="C9612" s="569" t="s">
        <v>2891</v>
      </c>
      <c r="D9612" s="570" t="s">
        <v>5724</v>
      </c>
      <c r="E9612" s="569" t="s">
        <v>139</v>
      </c>
      <c r="F9612" s="569" t="s">
        <v>5725</v>
      </c>
      <c r="G9612" s="569" t="s">
        <v>2928</v>
      </c>
      <c r="H9612" s="569"/>
      <c r="I9612" s="577" t="s">
        <v>2897</v>
      </c>
      <c r="J9612" s="578">
        <v>1</v>
      </c>
      <c r="K9612" s="579"/>
      <c r="L9612" s="579">
        <v>0.55</v>
      </c>
      <c r="M9612" s="579">
        <v>0.55</v>
      </c>
    </row>
    <row r="9613" ht="15" customHeight="1" spans="3:13">
      <c r="C9613" s="100" t="s">
        <v>2893</v>
      </c>
      <c r="D9613" s="99" t="s">
        <v>5726</v>
      </c>
      <c r="E9613" s="100" t="s">
        <v>139</v>
      </c>
      <c r="F9613" s="100" t="s">
        <v>5727</v>
      </c>
      <c r="G9613" s="100" t="s">
        <v>2896</v>
      </c>
      <c r="H9613" s="100"/>
      <c r="I9613" s="101" t="s">
        <v>2897</v>
      </c>
      <c r="J9613" s="580">
        <v>0.0212</v>
      </c>
      <c r="K9613" s="580">
        <v>0</v>
      </c>
      <c r="L9613" s="102">
        <v>26.39</v>
      </c>
      <c r="M9613" s="102">
        <v>0.55</v>
      </c>
    </row>
    <row r="9614" ht="25.5" spans="3:13">
      <c r="C9614" s="108"/>
      <c r="D9614" s="108"/>
      <c r="E9614" s="108"/>
      <c r="F9614" s="108"/>
      <c r="G9614" s="108"/>
      <c r="H9614" s="108" t="s">
        <v>2898</v>
      </c>
      <c r="I9614" s="581">
        <v>0.55</v>
      </c>
      <c r="J9614" s="108" t="s">
        <v>2899</v>
      </c>
      <c r="K9614" s="581">
        <v>0</v>
      </c>
      <c r="L9614" s="108" t="s">
        <v>2900</v>
      </c>
      <c r="M9614" s="581">
        <v>0.55</v>
      </c>
    </row>
    <row r="9615" ht="26.25" spans="3:13">
      <c r="C9615" s="108"/>
      <c r="D9615" s="108"/>
      <c r="E9615" s="108"/>
      <c r="F9615" s="108"/>
      <c r="G9615" s="108"/>
      <c r="H9615" s="108" t="s">
        <v>2901</v>
      </c>
      <c r="I9615" s="581">
        <v>0.14</v>
      </c>
      <c r="J9615" s="114"/>
      <c r="K9615" s="114" t="s">
        <v>2902</v>
      </c>
      <c r="L9615" s="108"/>
      <c r="M9615" s="581">
        <v>0.69</v>
      </c>
    </row>
    <row r="9616" ht="15" spans="3:13">
      <c r="C9616" s="571"/>
      <c r="D9616" s="571"/>
      <c r="E9616" s="571"/>
      <c r="F9616" s="571"/>
      <c r="G9616" s="571"/>
      <c r="H9616" s="571"/>
      <c r="I9616" s="571"/>
      <c r="J9616" s="571"/>
      <c r="K9616" s="571"/>
      <c r="L9616" s="571"/>
      <c r="M9616" s="571"/>
    </row>
    <row r="9617" ht="15" customHeight="1" spans="3:13">
      <c r="C9617" s="76"/>
      <c r="D9617" s="75" t="s">
        <v>63</v>
      </c>
      <c r="E9617" s="76" t="s">
        <v>64</v>
      </c>
      <c r="F9617" s="76" t="s">
        <v>65</v>
      </c>
      <c r="G9617" s="76" t="s">
        <v>2889</v>
      </c>
      <c r="H9617" s="76"/>
      <c r="I9617" s="77" t="s">
        <v>66</v>
      </c>
      <c r="J9617" s="75" t="s">
        <v>67</v>
      </c>
      <c r="K9617" s="75" t="s">
        <v>2890</v>
      </c>
      <c r="L9617" s="75" t="s">
        <v>68</v>
      </c>
      <c r="M9617" s="75" t="s">
        <v>70</v>
      </c>
    </row>
    <row r="9618" ht="23.85" customHeight="1" spans="3:13">
      <c r="C9618" s="569" t="s">
        <v>2891</v>
      </c>
      <c r="D9618" s="570" t="s">
        <v>5728</v>
      </c>
      <c r="E9618" s="569" t="s">
        <v>139</v>
      </c>
      <c r="F9618" s="569" t="s">
        <v>5729</v>
      </c>
      <c r="G9618" s="569" t="s">
        <v>2928</v>
      </c>
      <c r="H9618" s="569"/>
      <c r="I9618" s="577" t="s">
        <v>2897</v>
      </c>
      <c r="J9618" s="578">
        <v>1</v>
      </c>
      <c r="K9618" s="579"/>
      <c r="L9618" s="579">
        <v>0.38</v>
      </c>
      <c r="M9618" s="579">
        <v>0.38</v>
      </c>
    </row>
    <row r="9619" ht="15" customHeight="1" spans="3:13">
      <c r="C9619" s="100" t="s">
        <v>2893</v>
      </c>
      <c r="D9619" s="99" t="s">
        <v>5730</v>
      </c>
      <c r="E9619" s="100" t="s">
        <v>139</v>
      </c>
      <c r="F9619" s="100" t="s">
        <v>5731</v>
      </c>
      <c r="G9619" s="100" t="s">
        <v>2896</v>
      </c>
      <c r="H9619" s="100"/>
      <c r="I9619" s="101" t="s">
        <v>2897</v>
      </c>
      <c r="J9619" s="580">
        <v>0.01476</v>
      </c>
      <c r="K9619" s="580">
        <v>0</v>
      </c>
      <c r="L9619" s="102">
        <v>25.81</v>
      </c>
      <c r="M9619" s="102">
        <v>0.38</v>
      </c>
    </row>
    <row r="9620" ht="25.5" spans="3:13">
      <c r="C9620" s="108"/>
      <c r="D9620" s="108"/>
      <c r="E9620" s="108"/>
      <c r="F9620" s="108"/>
      <c r="G9620" s="108"/>
      <c r="H9620" s="108" t="s">
        <v>2898</v>
      </c>
      <c r="I9620" s="581">
        <v>0.38</v>
      </c>
      <c r="J9620" s="108" t="s">
        <v>2899</v>
      </c>
      <c r="K9620" s="581">
        <v>0</v>
      </c>
      <c r="L9620" s="108" t="s">
        <v>2900</v>
      </c>
      <c r="M9620" s="581">
        <v>0.38</v>
      </c>
    </row>
    <row r="9621" ht="26.25" spans="3:13">
      <c r="C9621" s="108"/>
      <c r="D9621" s="108"/>
      <c r="E9621" s="108"/>
      <c r="F9621" s="108"/>
      <c r="G9621" s="108"/>
      <c r="H9621" s="108" t="s">
        <v>2901</v>
      </c>
      <c r="I9621" s="581">
        <v>0.09</v>
      </c>
      <c r="J9621" s="114"/>
      <c r="K9621" s="114" t="s">
        <v>2902</v>
      </c>
      <c r="L9621" s="108"/>
      <c r="M9621" s="581">
        <v>0.47</v>
      </c>
    </row>
    <row r="9622" ht="15" spans="3:13">
      <c r="C9622" s="571"/>
      <c r="D9622" s="571"/>
      <c r="E9622" s="571"/>
      <c r="F9622" s="571"/>
      <c r="G9622" s="571"/>
      <c r="H9622" s="571"/>
      <c r="I9622" s="571"/>
      <c r="J9622" s="571"/>
      <c r="K9622" s="571"/>
      <c r="L9622" s="571"/>
      <c r="M9622" s="571"/>
    </row>
    <row r="9623" ht="15" customHeight="1" spans="3:13">
      <c r="C9623" s="76"/>
      <c r="D9623" s="75" t="s">
        <v>63</v>
      </c>
      <c r="E9623" s="76" t="s">
        <v>64</v>
      </c>
      <c r="F9623" s="76" t="s">
        <v>65</v>
      </c>
      <c r="G9623" s="76" t="s">
        <v>2889</v>
      </c>
      <c r="H9623" s="76"/>
      <c r="I9623" s="77" t="s">
        <v>66</v>
      </c>
      <c r="J9623" s="75" t="s">
        <v>67</v>
      </c>
      <c r="K9623" s="75" t="s">
        <v>2890</v>
      </c>
      <c r="L9623" s="75" t="s">
        <v>68</v>
      </c>
      <c r="M9623" s="75" t="s">
        <v>70</v>
      </c>
    </row>
    <row r="9624" ht="23.85" customHeight="1" spans="3:13">
      <c r="C9624" s="569" t="s">
        <v>2891</v>
      </c>
      <c r="D9624" s="570" t="s">
        <v>5732</v>
      </c>
      <c r="E9624" s="569" t="s">
        <v>139</v>
      </c>
      <c r="F9624" s="569" t="s">
        <v>5733</v>
      </c>
      <c r="G9624" s="569" t="s">
        <v>2928</v>
      </c>
      <c r="H9624" s="569"/>
      <c r="I9624" s="577" t="s">
        <v>2897</v>
      </c>
      <c r="J9624" s="578">
        <v>1</v>
      </c>
      <c r="K9624" s="579"/>
      <c r="L9624" s="579">
        <v>0.3</v>
      </c>
      <c r="M9624" s="579">
        <v>0.3</v>
      </c>
    </row>
    <row r="9625" ht="15" customHeight="1" spans="3:13">
      <c r="C9625" s="100" t="s">
        <v>2893</v>
      </c>
      <c r="D9625" s="99" t="s">
        <v>5734</v>
      </c>
      <c r="E9625" s="100" t="s">
        <v>139</v>
      </c>
      <c r="F9625" s="100" t="s">
        <v>5735</v>
      </c>
      <c r="G9625" s="100" t="s">
        <v>2896</v>
      </c>
      <c r="H9625" s="100"/>
      <c r="I9625" s="101" t="s">
        <v>2897</v>
      </c>
      <c r="J9625" s="580">
        <v>0.01154</v>
      </c>
      <c r="K9625" s="580">
        <v>0</v>
      </c>
      <c r="L9625" s="102">
        <v>26.39</v>
      </c>
      <c r="M9625" s="102">
        <v>0.3</v>
      </c>
    </row>
    <row r="9626" ht="25.5" spans="3:13">
      <c r="C9626" s="108"/>
      <c r="D9626" s="108"/>
      <c r="E9626" s="108"/>
      <c r="F9626" s="108"/>
      <c r="G9626" s="108"/>
      <c r="H9626" s="108" t="s">
        <v>2898</v>
      </c>
      <c r="I9626" s="581">
        <v>0.3</v>
      </c>
      <c r="J9626" s="108" t="s">
        <v>2899</v>
      </c>
      <c r="K9626" s="581">
        <v>0</v>
      </c>
      <c r="L9626" s="108" t="s">
        <v>2900</v>
      </c>
      <c r="M9626" s="581">
        <v>0.3</v>
      </c>
    </row>
    <row r="9627" ht="26.25" spans="3:13">
      <c r="C9627" s="108"/>
      <c r="D9627" s="108"/>
      <c r="E9627" s="108"/>
      <c r="F9627" s="108"/>
      <c r="G9627" s="108"/>
      <c r="H9627" s="108" t="s">
        <v>2901</v>
      </c>
      <c r="I9627" s="581">
        <v>0.07</v>
      </c>
      <c r="J9627" s="114"/>
      <c r="K9627" s="114" t="s">
        <v>2902</v>
      </c>
      <c r="L9627" s="108"/>
      <c r="M9627" s="581">
        <v>0.37</v>
      </c>
    </row>
    <row r="9628" ht="15" spans="3:13">
      <c r="C9628" s="571"/>
      <c r="D9628" s="571"/>
      <c r="E9628" s="571"/>
      <c r="F9628" s="571"/>
      <c r="G9628" s="571"/>
      <c r="H9628" s="571"/>
      <c r="I9628" s="571"/>
      <c r="J9628" s="571"/>
      <c r="K9628" s="571"/>
      <c r="L9628" s="571"/>
      <c r="M9628" s="571"/>
    </row>
    <row r="9629" ht="15" customHeight="1" spans="3:13">
      <c r="C9629" s="76"/>
      <c r="D9629" s="75" t="s">
        <v>63</v>
      </c>
      <c r="E9629" s="76" t="s">
        <v>64</v>
      </c>
      <c r="F9629" s="76" t="s">
        <v>65</v>
      </c>
      <c r="G9629" s="76" t="s">
        <v>2889</v>
      </c>
      <c r="H9629" s="76"/>
      <c r="I9629" s="77" t="s">
        <v>66</v>
      </c>
      <c r="J9629" s="75" t="s">
        <v>67</v>
      </c>
      <c r="K9629" s="75" t="s">
        <v>2890</v>
      </c>
      <c r="L9629" s="75" t="s">
        <v>68</v>
      </c>
      <c r="M9629" s="75" t="s">
        <v>70</v>
      </c>
    </row>
    <row r="9630" ht="23.85" customHeight="1" spans="3:13">
      <c r="C9630" s="569" t="s">
        <v>2891</v>
      </c>
      <c r="D9630" s="570" t="s">
        <v>5736</v>
      </c>
      <c r="E9630" s="569" t="s">
        <v>139</v>
      </c>
      <c r="F9630" s="569" t="s">
        <v>5737</v>
      </c>
      <c r="G9630" s="569" t="s">
        <v>2928</v>
      </c>
      <c r="H9630" s="569"/>
      <c r="I9630" s="577" t="s">
        <v>2897</v>
      </c>
      <c r="J9630" s="578">
        <v>1</v>
      </c>
      <c r="K9630" s="579"/>
      <c r="L9630" s="579">
        <v>0.39</v>
      </c>
      <c r="M9630" s="579">
        <v>0.39</v>
      </c>
    </row>
    <row r="9631" ht="15" customHeight="1" spans="3:13">
      <c r="C9631" s="100" t="s">
        <v>2893</v>
      </c>
      <c r="D9631" s="99" t="s">
        <v>5738</v>
      </c>
      <c r="E9631" s="100" t="s">
        <v>139</v>
      </c>
      <c r="F9631" s="100" t="s">
        <v>5739</v>
      </c>
      <c r="G9631" s="100" t="s">
        <v>2896</v>
      </c>
      <c r="H9631" s="100"/>
      <c r="I9631" s="101" t="s">
        <v>2897</v>
      </c>
      <c r="J9631" s="580">
        <v>0.0212</v>
      </c>
      <c r="K9631" s="580">
        <v>0</v>
      </c>
      <c r="L9631" s="102">
        <v>18.83</v>
      </c>
      <c r="M9631" s="102">
        <v>0.39</v>
      </c>
    </row>
    <row r="9632" ht="25.5" spans="3:13">
      <c r="C9632" s="108"/>
      <c r="D9632" s="108"/>
      <c r="E9632" s="108"/>
      <c r="F9632" s="108"/>
      <c r="G9632" s="108"/>
      <c r="H9632" s="108" t="s">
        <v>2898</v>
      </c>
      <c r="I9632" s="581">
        <v>0.39</v>
      </c>
      <c r="J9632" s="108" t="s">
        <v>2899</v>
      </c>
      <c r="K9632" s="581">
        <v>0</v>
      </c>
      <c r="L9632" s="108" t="s">
        <v>2900</v>
      </c>
      <c r="M9632" s="581">
        <v>0.39</v>
      </c>
    </row>
    <row r="9633" ht="26.25" spans="3:13">
      <c r="C9633" s="108"/>
      <c r="D9633" s="108"/>
      <c r="E9633" s="108"/>
      <c r="F9633" s="108"/>
      <c r="G9633" s="108"/>
      <c r="H9633" s="108" t="s">
        <v>2901</v>
      </c>
      <c r="I9633" s="581">
        <v>0.09</v>
      </c>
      <c r="J9633" s="114"/>
      <c r="K9633" s="114" t="s">
        <v>2902</v>
      </c>
      <c r="L9633" s="108"/>
      <c r="M9633" s="581">
        <v>0.48</v>
      </c>
    </row>
    <row r="9634" ht="15" spans="3:13">
      <c r="C9634" s="571"/>
      <c r="D9634" s="571"/>
      <c r="E9634" s="571"/>
      <c r="F9634" s="571"/>
      <c r="G9634" s="571"/>
      <c r="H9634" s="571"/>
      <c r="I9634" s="571"/>
      <c r="J9634" s="571"/>
      <c r="K9634" s="571"/>
      <c r="L9634" s="571"/>
      <c r="M9634" s="571"/>
    </row>
    <row r="9635" ht="15" customHeight="1" spans="3:13">
      <c r="C9635" s="76"/>
      <c r="D9635" s="75" t="s">
        <v>63</v>
      </c>
      <c r="E9635" s="76" t="s">
        <v>64</v>
      </c>
      <c r="F9635" s="76" t="s">
        <v>65</v>
      </c>
      <c r="G9635" s="76" t="s">
        <v>2889</v>
      </c>
      <c r="H9635" s="76"/>
      <c r="I9635" s="77" t="s">
        <v>66</v>
      </c>
      <c r="J9635" s="75" t="s">
        <v>67</v>
      </c>
      <c r="K9635" s="75" t="s">
        <v>2890</v>
      </c>
      <c r="L9635" s="75" t="s">
        <v>68</v>
      </c>
      <c r="M9635" s="75" t="s">
        <v>70</v>
      </c>
    </row>
    <row r="9636" ht="23.85" customHeight="1" spans="3:13">
      <c r="C9636" s="569" t="s">
        <v>2891</v>
      </c>
      <c r="D9636" s="570" t="s">
        <v>5740</v>
      </c>
      <c r="E9636" s="569" t="s">
        <v>139</v>
      </c>
      <c r="F9636" s="569" t="s">
        <v>5741</v>
      </c>
      <c r="G9636" s="569" t="s">
        <v>2928</v>
      </c>
      <c r="H9636" s="569"/>
      <c r="I9636" s="577" t="s">
        <v>2925</v>
      </c>
      <c r="J9636" s="578">
        <v>1</v>
      </c>
      <c r="K9636" s="579"/>
      <c r="L9636" s="579">
        <v>52.85</v>
      </c>
      <c r="M9636" s="579">
        <v>52.85</v>
      </c>
    </row>
    <row r="9637" ht="15" customHeight="1" spans="3:13">
      <c r="C9637" s="100" t="s">
        <v>2893</v>
      </c>
      <c r="D9637" s="99" t="s">
        <v>5742</v>
      </c>
      <c r="E9637" s="100" t="s">
        <v>139</v>
      </c>
      <c r="F9637" s="100" t="s">
        <v>5743</v>
      </c>
      <c r="G9637" s="100" t="s">
        <v>2896</v>
      </c>
      <c r="H9637" s="100"/>
      <c r="I9637" s="101" t="s">
        <v>2925</v>
      </c>
      <c r="J9637" s="580">
        <v>0.01597</v>
      </c>
      <c r="K9637" s="580">
        <v>0</v>
      </c>
      <c r="L9637" s="102">
        <v>3309.86</v>
      </c>
      <c r="M9637" s="102">
        <v>52.85</v>
      </c>
    </row>
    <row r="9638" ht="25.5" spans="3:13">
      <c r="C9638" s="108"/>
      <c r="D9638" s="108"/>
      <c r="E9638" s="108"/>
      <c r="F9638" s="108"/>
      <c r="G9638" s="108"/>
      <c r="H9638" s="108" t="s">
        <v>2898</v>
      </c>
      <c r="I9638" s="581">
        <v>52.85</v>
      </c>
      <c r="J9638" s="108" t="s">
        <v>2899</v>
      </c>
      <c r="K9638" s="581">
        <v>0</v>
      </c>
      <c r="L9638" s="108" t="s">
        <v>2900</v>
      </c>
      <c r="M9638" s="581">
        <v>52.85</v>
      </c>
    </row>
    <row r="9639" ht="26.25" spans="3:13">
      <c r="C9639" s="108"/>
      <c r="D9639" s="108"/>
      <c r="E9639" s="108"/>
      <c r="F9639" s="108"/>
      <c r="G9639" s="108"/>
      <c r="H9639" s="108" t="s">
        <v>2901</v>
      </c>
      <c r="I9639" s="581">
        <v>13.47</v>
      </c>
      <c r="J9639" s="114"/>
      <c r="K9639" s="114" t="s">
        <v>2902</v>
      </c>
      <c r="L9639" s="108"/>
      <c r="M9639" s="581">
        <v>66.32</v>
      </c>
    </row>
    <row r="9640" ht="15" spans="3:13">
      <c r="C9640" s="571"/>
      <c r="D9640" s="571"/>
      <c r="E9640" s="571"/>
      <c r="F9640" s="571"/>
      <c r="G9640" s="571"/>
      <c r="H9640" s="571"/>
      <c r="I9640" s="571"/>
      <c r="J9640" s="571"/>
      <c r="K9640" s="571"/>
      <c r="L9640" s="571"/>
      <c r="M9640" s="571"/>
    </row>
    <row r="9641" ht="15" customHeight="1" spans="3:13">
      <c r="C9641" s="76"/>
      <c r="D9641" s="75" t="s">
        <v>63</v>
      </c>
      <c r="E9641" s="76" t="s">
        <v>64</v>
      </c>
      <c r="F9641" s="76" t="s">
        <v>65</v>
      </c>
      <c r="G9641" s="76" t="s">
        <v>2889</v>
      </c>
      <c r="H9641" s="76"/>
      <c r="I9641" s="77" t="s">
        <v>66</v>
      </c>
      <c r="J9641" s="75" t="s">
        <v>67</v>
      </c>
      <c r="K9641" s="75" t="s">
        <v>2890</v>
      </c>
      <c r="L9641" s="75" t="s">
        <v>68</v>
      </c>
      <c r="M9641" s="75" t="s">
        <v>70</v>
      </c>
    </row>
    <row r="9642" ht="23.85" customHeight="1" spans="3:13">
      <c r="C9642" s="569" t="s">
        <v>2891</v>
      </c>
      <c r="D9642" s="570" t="s">
        <v>5744</v>
      </c>
      <c r="E9642" s="569" t="s">
        <v>139</v>
      </c>
      <c r="F9642" s="569" t="s">
        <v>5745</v>
      </c>
      <c r="G9642" s="569" t="s">
        <v>2928</v>
      </c>
      <c r="H9642" s="569"/>
      <c r="I9642" s="577" t="s">
        <v>2897</v>
      </c>
      <c r="J9642" s="578">
        <v>1</v>
      </c>
      <c r="K9642" s="579"/>
      <c r="L9642" s="579">
        <v>0.38</v>
      </c>
      <c r="M9642" s="579">
        <v>0.38</v>
      </c>
    </row>
    <row r="9643" ht="15" customHeight="1" spans="3:13">
      <c r="C9643" s="100" t="s">
        <v>2893</v>
      </c>
      <c r="D9643" s="99" t="s">
        <v>5746</v>
      </c>
      <c r="E9643" s="100" t="s">
        <v>139</v>
      </c>
      <c r="F9643" s="100" t="s">
        <v>5747</v>
      </c>
      <c r="G9643" s="100" t="s">
        <v>2896</v>
      </c>
      <c r="H9643" s="100"/>
      <c r="I9643" s="101" t="s">
        <v>2897</v>
      </c>
      <c r="J9643" s="580">
        <v>0.01154</v>
      </c>
      <c r="K9643" s="580">
        <v>0</v>
      </c>
      <c r="L9643" s="102">
        <v>33.58</v>
      </c>
      <c r="M9643" s="102">
        <v>0.38</v>
      </c>
    </row>
    <row r="9644" ht="25.5" spans="3:13">
      <c r="C9644" s="108"/>
      <c r="D9644" s="108"/>
      <c r="E9644" s="108"/>
      <c r="F9644" s="108"/>
      <c r="G9644" s="108"/>
      <c r="H9644" s="108" t="s">
        <v>2898</v>
      </c>
      <c r="I9644" s="581">
        <v>0.38</v>
      </c>
      <c r="J9644" s="108" t="s">
        <v>2899</v>
      </c>
      <c r="K9644" s="581">
        <v>0</v>
      </c>
      <c r="L9644" s="108" t="s">
        <v>2900</v>
      </c>
      <c r="M9644" s="581">
        <v>0.38</v>
      </c>
    </row>
    <row r="9645" ht="26.25" spans="3:13">
      <c r="C9645" s="108"/>
      <c r="D9645" s="108"/>
      <c r="E9645" s="108"/>
      <c r="F9645" s="108"/>
      <c r="G9645" s="108"/>
      <c r="H9645" s="108" t="s">
        <v>2901</v>
      </c>
      <c r="I9645" s="581">
        <v>0.09</v>
      </c>
      <c r="J9645" s="114"/>
      <c r="K9645" s="114" t="s">
        <v>2902</v>
      </c>
      <c r="L9645" s="108"/>
      <c r="M9645" s="581">
        <v>0.47</v>
      </c>
    </row>
    <row r="9646" ht="15" spans="3:13">
      <c r="C9646" s="571"/>
      <c r="D9646" s="571"/>
      <c r="E9646" s="571"/>
      <c r="F9646" s="571"/>
      <c r="G9646" s="571"/>
      <c r="H9646" s="571"/>
      <c r="I9646" s="571"/>
      <c r="J9646" s="571"/>
      <c r="K9646" s="571"/>
      <c r="L9646" s="571"/>
      <c r="M9646" s="571"/>
    </row>
    <row r="9647" ht="15" customHeight="1" spans="3:13">
      <c r="C9647" s="76"/>
      <c r="D9647" s="75" t="s">
        <v>63</v>
      </c>
      <c r="E9647" s="76" t="s">
        <v>64</v>
      </c>
      <c r="F9647" s="76" t="s">
        <v>65</v>
      </c>
      <c r="G9647" s="76" t="s">
        <v>2889</v>
      </c>
      <c r="H9647" s="76"/>
      <c r="I9647" s="77" t="s">
        <v>66</v>
      </c>
      <c r="J9647" s="75" t="s">
        <v>67</v>
      </c>
      <c r="K9647" s="75" t="s">
        <v>2890</v>
      </c>
      <c r="L9647" s="75" t="s">
        <v>68</v>
      </c>
      <c r="M9647" s="75" t="s">
        <v>70</v>
      </c>
    </row>
    <row r="9648" ht="23.85" customHeight="1" spans="3:13">
      <c r="C9648" s="569" t="s">
        <v>2891</v>
      </c>
      <c r="D9648" s="570" t="s">
        <v>5748</v>
      </c>
      <c r="E9648" s="569" t="s">
        <v>139</v>
      </c>
      <c r="F9648" s="569" t="s">
        <v>5749</v>
      </c>
      <c r="G9648" s="569" t="s">
        <v>2924</v>
      </c>
      <c r="H9648" s="569"/>
      <c r="I9648" s="577" t="s">
        <v>2925</v>
      </c>
      <c r="J9648" s="578">
        <v>1</v>
      </c>
      <c r="K9648" s="579"/>
      <c r="L9648" s="579">
        <v>46.38</v>
      </c>
      <c r="M9648" s="579">
        <v>46.38</v>
      </c>
    </row>
    <row r="9649" ht="15" customHeight="1" spans="3:13">
      <c r="C9649" s="100" t="s">
        <v>2893</v>
      </c>
      <c r="D9649" s="99" t="s">
        <v>5750</v>
      </c>
      <c r="E9649" s="100" t="s">
        <v>139</v>
      </c>
      <c r="F9649" s="100" t="s">
        <v>5751</v>
      </c>
      <c r="G9649" s="100" t="s">
        <v>2896</v>
      </c>
      <c r="H9649" s="100"/>
      <c r="I9649" s="101" t="s">
        <v>2925</v>
      </c>
      <c r="J9649" s="580">
        <v>0.01354</v>
      </c>
      <c r="K9649" s="580">
        <v>0</v>
      </c>
      <c r="L9649" s="102">
        <v>3426</v>
      </c>
      <c r="M9649" s="102">
        <v>46.38</v>
      </c>
    </row>
    <row r="9650" ht="25.5" spans="3:13">
      <c r="C9650" s="108"/>
      <c r="D9650" s="108"/>
      <c r="E9650" s="108"/>
      <c r="F9650" s="108"/>
      <c r="G9650" s="108"/>
      <c r="H9650" s="108" t="s">
        <v>2898</v>
      </c>
      <c r="I9650" s="581">
        <v>46.38</v>
      </c>
      <c r="J9650" s="108" t="s">
        <v>2899</v>
      </c>
      <c r="K9650" s="581">
        <v>0</v>
      </c>
      <c r="L9650" s="108" t="s">
        <v>2900</v>
      </c>
      <c r="M9650" s="581">
        <v>46.38</v>
      </c>
    </row>
    <row r="9651" ht="26.25" spans="3:13">
      <c r="C9651" s="108"/>
      <c r="D9651" s="108"/>
      <c r="E9651" s="108"/>
      <c r="F9651" s="108"/>
      <c r="G9651" s="108"/>
      <c r="H9651" s="108" t="s">
        <v>2901</v>
      </c>
      <c r="I9651" s="581">
        <v>11.82</v>
      </c>
      <c r="J9651" s="114"/>
      <c r="K9651" s="114" t="s">
        <v>2902</v>
      </c>
      <c r="L9651" s="108"/>
      <c r="M9651" s="581">
        <v>58.2</v>
      </c>
    </row>
    <row r="9652" ht="15" spans="3:13">
      <c r="C9652" s="571"/>
      <c r="D9652" s="571"/>
      <c r="E9652" s="571"/>
      <c r="F9652" s="571"/>
      <c r="G9652" s="571"/>
      <c r="H9652" s="571"/>
      <c r="I9652" s="571"/>
      <c r="J9652" s="571"/>
      <c r="K9652" s="571"/>
      <c r="L9652" s="571"/>
      <c r="M9652" s="571"/>
    </row>
    <row r="9653" ht="15" customHeight="1" spans="3:13">
      <c r="C9653" s="76"/>
      <c r="D9653" s="75" t="s">
        <v>63</v>
      </c>
      <c r="E9653" s="76" t="s">
        <v>64</v>
      </c>
      <c r="F9653" s="76" t="s">
        <v>65</v>
      </c>
      <c r="G9653" s="76" t="s">
        <v>2889</v>
      </c>
      <c r="H9653" s="76"/>
      <c r="I9653" s="77" t="s">
        <v>66</v>
      </c>
      <c r="J9653" s="75" t="s">
        <v>67</v>
      </c>
      <c r="K9653" s="75" t="s">
        <v>2890</v>
      </c>
      <c r="L9653" s="75" t="s">
        <v>68</v>
      </c>
      <c r="M9653" s="75" t="s">
        <v>70</v>
      </c>
    </row>
    <row r="9654" ht="23.85" customHeight="1" spans="3:13">
      <c r="C9654" s="569" t="s">
        <v>2891</v>
      </c>
      <c r="D9654" s="570" t="s">
        <v>5752</v>
      </c>
      <c r="E9654" s="569" t="s">
        <v>139</v>
      </c>
      <c r="F9654" s="569" t="s">
        <v>5753</v>
      </c>
      <c r="G9654" s="569" t="s">
        <v>2928</v>
      </c>
      <c r="H9654" s="569"/>
      <c r="I9654" s="577" t="s">
        <v>2897</v>
      </c>
      <c r="J9654" s="578">
        <v>1</v>
      </c>
      <c r="K9654" s="579"/>
      <c r="L9654" s="579">
        <v>0.31</v>
      </c>
      <c r="M9654" s="579">
        <v>0.31</v>
      </c>
    </row>
    <row r="9655" ht="15" customHeight="1" spans="3:13">
      <c r="C9655" s="100" t="s">
        <v>2893</v>
      </c>
      <c r="D9655" s="99" t="s">
        <v>5754</v>
      </c>
      <c r="E9655" s="100" t="s">
        <v>139</v>
      </c>
      <c r="F9655" s="100" t="s">
        <v>5755</v>
      </c>
      <c r="G9655" s="100" t="s">
        <v>2896</v>
      </c>
      <c r="H9655" s="100"/>
      <c r="I9655" s="101" t="s">
        <v>2897</v>
      </c>
      <c r="J9655" s="580">
        <v>0.01154</v>
      </c>
      <c r="K9655" s="580">
        <v>0</v>
      </c>
      <c r="L9655" s="102">
        <v>27.05</v>
      </c>
      <c r="M9655" s="102">
        <v>0.31</v>
      </c>
    </row>
    <row r="9656" ht="25.5" spans="3:13">
      <c r="C9656" s="108"/>
      <c r="D9656" s="108"/>
      <c r="E9656" s="108"/>
      <c r="F9656" s="108"/>
      <c r="G9656" s="108"/>
      <c r="H9656" s="108" t="s">
        <v>2898</v>
      </c>
      <c r="I9656" s="581">
        <v>0.31</v>
      </c>
      <c r="J9656" s="108" t="s">
        <v>2899</v>
      </c>
      <c r="K9656" s="581">
        <v>0</v>
      </c>
      <c r="L9656" s="108" t="s">
        <v>2900</v>
      </c>
      <c r="M9656" s="581">
        <v>0.31</v>
      </c>
    </row>
    <row r="9657" ht="26.25" spans="3:13">
      <c r="C9657" s="108"/>
      <c r="D9657" s="108"/>
      <c r="E9657" s="108"/>
      <c r="F9657" s="108"/>
      <c r="G9657" s="108"/>
      <c r="H9657" s="108" t="s">
        <v>2901</v>
      </c>
      <c r="I9657" s="581">
        <v>0.07</v>
      </c>
      <c r="J9657" s="114"/>
      <c r="K9657" s="114" t="s">
        <v>2902</v>
      </c>
      <c r="L9657" s="108"/>
      <c r="M9657" s="581">
        <v>0.38</v>
      </c>
    </row>
    <row r="9658" ht="15" spans="3:13">
      <c r="C9658" s="571"/>
      <c r="D9658" s="571"/>
      <c r="E9658" s="571"/>
      <c r="F9658" s="571"/>
      <c r="G9658" s="571"/>
      <c r="H9658" s="571"/>
      <c r="I9658" s="571"/>
      <c r="J9658" s="571"/>
      <c r="K9658" s="571"/>
      <c r="L9658" s="571"/>
      <c r="M9658" s="571"/>
    </row>
    <row r="9659" ht="15" customHeight="1" spans="3:13">
      <c r="C9659" s="76"/>
      <c r="D9659" s="75" t="s">
        <v>63</v>
      </c>
      <c r="E9659" s="76" t="s">
        <v>64</v>
      </c>
      <c r="F9659" s="76" t="s">
        <v>65</v>
      </c>
      <c r="G9659" s="76" t="s">
        <v>2889</v>
      </c>
      <c r="H9659" s="76"/>
      <c r="I9659" s="77" t="s">
        <v>66</v>
      </c>
      <c r="J9659" s="75" t="s">
        <v>67</v>
      </c>
      <c r="K9659" s="75" t="s">
        <v>2890</v>
      </c>
      <c r="L9659" s="75" t="s">
        <v>68</v>
      </c>
      <c r="M9659" s="75" t="s">
        <v>70</v>
      </c>
    </row>
    <row r="9660" ht="23.85" customHeight="1" spans="3:13">
      <c r="C9660" s="569" t="s">
        <v>2891</v>
      </c>
      <c r="D9660" s="570" t="s">
        <v>5756</v>
      </c>
      <c r="E9660" s="569" t="s">
        <v>139</v>
      </c>
      <c r="F9660" s="569" t="s">
        <v>5757</v>
      </c>
      <c r="G9660" s="569" t="s">
        <v>2928</v>
      </c>
      <c r="H9660" s="569"/>
      <c r="I9660" s="577" t="s">
        <v>2897</v>
      </c>
      <c r="J9660" s="578">
        <v>1</v>
      </c>
      <c r="K9660" s="579"/>
      <c r="L9660" s="579">
        <v>0.2</v>
      </c>
      <c r="M9660" s="579">
        <v>0.2</v>
      </c>
    </row>
    <row r="9661" ht="15" customHeight="1" spans="3:13">
      <c r="C9661" s="100" t="s">
        <v>2893</v>
      </c>
      <c r="D9661" s="99" t="s">
        <v>5758</v>
      </c>
      <c r="E9661" s="100" t="s">
        <v>139</v>
      </c>
      <c r="F9661" s="100" t="s">
        <v>5759</v>
      </c>
      <c r="G9661" s="100" t="s">
        <v>2896</v>
      </c>
      <c r="H9661" s="100"/>
      <c r="I9661" s="101" t="s">
        <v>2897</v>
      </c>
      <c r="J9661" s="580">
        <v>0.00831</v>
      </c>
      <c r="K9661" s="580">
        <v>0</v>
      </c>
      <c r="L9661" s="102">
        <v>24.67</v>
      </c>
      <c r="M9661" s="102">
        <v>0.2</v>
      </c>
    </row>
    <row r="9662" ht="25.5" spans="3:13">
      <c r="C9662" s="108"/>
      <c r="D9662" s="108"/>
      <c r="E9662" s="108"/>
      <c r="F9662" s="108"/>
      <c r="G9662" s="108"/>
      <c r="H9662" s="108" t="s">
        <v>2898</v>
      </c>
      <c r="I9662" s="581">
        <v>0.2</v>
      </c>
      <c r="J9662" s="108" t="s">
        <v>2899</v>
      </c>
      <c r="K9662" s="581">
        <v>0</v>
      </c>
      <c r="L9662" s="108" t="s">
        <v>2900</v>
      </c>
      <c r="M9662" s="581">
        <v>0.2</v>
      </c>
    </row>
    <row r="9663" ht="26.25" spans="3:13">
      <c r="C9663" s="108"/>
      <c r="D9663" s="108"/>
      <c r="E9663" s="108"/>
      <c r="F9663" s="108"/>
      <c r="G9663" s="108"/>
      <c r="H9663" s="108" t="s">
        <v>2901</v>
      </c>
      <c r="I9663" s="581">
        <v>0.05</v>
      </c>
      <c r="J9663" s="114"/>
      <c r="K9663" s="114" t="s">
        <v>2902</v>
      </c>
      <c r="L9663" s="108"/>
      <c r="M9663" s="581">
        <v>0.25</v>
      </c>
    </row>
    <row r="9664" ht="15" spans="3:13">
      <c r="C9664" s="571"/>
      <c r="D9664" s="571"/>
      <c r="E9664" s="571"/>
      <c r="F9664" s="571"/>
      <c r="G9664" s="571"/>
      <c r="H9664" s="571"/>
      <c r="I9664" s="571"/>
      <c r="J9664" s="571"/>
      <c r="K9664" s="571"/>
      <c r="L9664" s="571"/>
      <c r="M9664" s="571"/>
    </row>
    <row r="9665" ht="15" customHeight="1" spans="3:13">
      <c r="C9665" s="76"/>
      <c r="D9665" s="75" t="s">
        <v>63</v>
      </c>
      <c r="E9665" s="76" t="s">
        <v>64</v>
      </c>
      <c r="F9665" s="76" t="s">
        <v>65</v>
      </c>
      <c r="G9665" s="76" t="s">
        <v>2889</v>
      </c>
      <c r="H9665" s="76"/>
      <c r="I9665" s="77" t="s">
        <v>66</v>
      </c>
      <c r="J9665" s="75" t="s">
        <v>67</v>
      </c>
      <c r="K9665" s="75" t="s">
        <v>2890</v>
      </c>
      <c r="L9665" s="75" t="s">
        <v>68</v>
      </c>
      <c r="M9665" s="75" t="s">
        <v>70</v>
      </c>
    </row>
    <row r="9666" ht="23.85" customHeight="1" spans="3:13">
      <c r="C9666" s="569" t="s">
        <v>2891</v>
      </c>
      <c r="D9666" s="570" t="s">
        <v>5760</v>
      </c>
      <c r="E9666" s="569" t="s">
        <v>139</v>
      </c>
      <c r="F9666" s="569" t="s">
        <v>5761</v>
      </c>
      <c r="G9666" s="569" t="s">
        <v>2928</v>
      </c>
      <c r="H9666" s="569"/>
      <c r="I9666" s="577" t="s">
        <v>2925</v>
      </c>
      <c r="J9666" s="578">
        <v>1</v>
      </c>
      <c r="K9666" s="579"/>
      <c r="L9666" s="579">
        <v>27.14</v>
      </c>
      <c r="M9666" s="579">
        <v>27.14</v>
      </c>
    </row>
    <row r="9667" ht="15" customHeight="1" spans="3:13">
      <c r="C9667" s="100" t="s">
        <v>2893</v>
      </c>
      <c r="D9667" s="99" t="s">
        <v>5762</v>
      </c>
      <c r="E9667" s="100" t="s">
        <v>139</v>
      </c>
      <c r="F9667" s="100" t="s">
        <v>5763</v>
      </c>
      <c r="G9667" s="100" t="s">
        <v>2896</v>
      </c>
      <c r="H9667" s="100"/>
      <c r="I9667" s="101" t="s">
        <v>2925</v>
      </c>
      <c r="J9667" s="580">
        <v>0.00626</v>
      </c>
      <c r="K9667" s="580">
        <v>0</v>
      </c>
      <c r="L9667" s="102">
        <v>4336.02</v>
      </c>
      <c r="M9667" s="102">
        <v>27.14</v>
      </c>
    </row>
    <row r="9668" ht="25.5" spans="3:13">
      <c r="C9668" s="108"/>
      <c r="D9668" s="108"/>
      <c r="E9668" s="108"/>
      <c r="F9668" s="108"/>
      <c r="G9668" s="108"/>
      <c r="H9668" s="108" t="s">
        <v>2898</v>
      </c>
      <c r="I9668" s="581">
        <v>27.14</v>
      </c>
      <c r="J9668" s="108" t="s">
        <v>2899</v>
      </c>
      <c r="K9668" s="581">
        <v>0</v>
      </c>
      <c r="L9668" s="108" t="s">
        <v>2900</v>
      </c>
      <c r="M9668" s="581">
        <v>27.14</v>
      </c>
    </row>
    <row r="9669" ht="26.25" spans="3:13">
      <c r="C9669" s="108"/>
      <c r="D9669" s="108"/>
      <c r="E9669" s="108"/>
      <c r="F9669" s="108"/>
      <c r="G9669" s="108"/>
      <c r="H9669" s="108" t="s">
        <v>2901</v>
      </c>
      <c r="I9669" s="581">
        <v>6.91</v>
      </c>
      <c r="J9669" s="114"/>
      <c r="K9669" s="114" t="s">
        <v>2902</v>
      </c>
      <c r="L9669" s="108"/>
      <c r="M9669" s="581">
        <v>34.05</v>
      </c>
    </row>
    <row r="9670" ht="15" spans="3:13">
      <c r="C9670" s="571"/>
      <c r="D9670" s="571"/>
      <c r="E9670" s="571"/>
      <c r="F9670" s="571"/>
      <c r="G9670" s="571"/>
      <c r="H9670" s="571"/>
      <c r="I9670" s="571"/>
      <c r="J9670" s="571"/>
      <c r="K9670" s="571"/>
      <c r="L9670" s="571"/>
      <c r="M9670" s="571"/>
    </row>
    <row r="9671" ht="15" customHeight="1" spans="3:13">
      <c r="C9671" s="76"/>
      <c r="D9671" s="75" t="s">
        <v>63</v>
      </c>
      <c r="E9671" s="76" t="s">
        <v>64</v>
      </c>
      <c r="F9671" s="76" t="s">
        <v>65</v>
      </c>
      <c r="G9671" s="76" t="s">
        <v>2889</v>
      </c>
      <c r="H9671" s="76"/>
      <c r="I9671" s="77" t="s">
        <v>66</v>
      </c>
      <c r="J9671" s="75" t="s">
        <v>67</v>
      </c>
      <c r="K9671" s="75" t="s">
        <v>2890</v>
      </c>
      <c r="L9671" s="75" t="s">
        <v>68</v>
      </c>
      <c r="M9671" s="75" t="s">
        <v>70</v>
      </c>
    </row>
    <row r="9672" ht="23.85" customHeight="1" spans="3:13">
      <c r="C9672" s="569" t="s">
        <v>2891</v>
      </c>
      <c r="D9672" s="570" t="s">
        <v>5764</v>
      </c>
      <c r="E9672" s="569" t="s">
        <v>139</v>
      </c>
      <c r="F9672" s="569" t="s">
        <v>5765</v>
      </c>
      <c r="G9672" s="569" t="s">
        <v>2928</v>
      </c>
      <c r="H9672" s="569"/>
      <c r="I9672" s="577" t="s">
        <v>2897</v>
      </c>
      <c r="J9672" s="578">
        <v>1</v>
      </c>
      <c r="K9672" s="579"/>
      <c r="L9672" s="579">
        <v>0.35</v>
      </c>
      <c r="M9672" s="579">
        <v>0.35</v>
      </c>
    </row>
    <row r="9673" ht="23.85" customHeight="1" spans="3:13">
      <c r="C9673" s="100" t="s">
        <v>2893</v>
      </c>
      <c r="D9673" s="99" t="s">
        <v>5722</v>
      </c>
      <c r="E9673" s="100" t="s">
        <v>139</v>
      </c>
      <c r="F9673" s="100" t="s">
        <v>5723</v>
      </c>
      <c r="G9673" s="100" t="s">
        <v>2896</v>
      </c>
      <c r="H9673" s="100"/>
      <c r="I9673" s="101" t="s">
        <v>2897</v>
      </c>
      <c r="J9673" s="580">
        <v>0.01154</v>
      </c>
      <c r="K9673" s="580">
        <v>0</v>
      </c>
      <c r="L9673" s="102">
        <v>30.7</v>
      </c>
      <c r="M9673" s="102">
        <v>0.35</v>
      </c>
    </row>
    <row r="9674" ht="25.5" spans="3:13">
      <c r="C9674" s="108"/>
      <c r="D9674" s="108"/>
      <c r="E9674" s="108"/>
      <c r="F9674" s="108"/>
      <c r="G9674" s="108"/>
      <c r="H9674" s="108" t="s">
        <v>2898</v>
      </c>
      <c r="I9674" s="581">
        <v>0.35</v>
      </c>
      <c r="J9674" s="108" t="s">
        <v>2899</v>
      </c>
      <c r="K9674" s="581">
        <v>0</v>
      </c>
      <c r="L9674" s="108" t="s">
        <v>2900</v>
      </c>
      <c r="M9674" s="581">
        <v>0.35</v>
      </c>
    </row>
    <row r="9675" ht="26.25" spans="3:13">
      <c r="C9675" s="108"/>
      <c r="D9675" s="108"/>
      <c r="E9675" s="108"/>
      <c r="F9675" s="108"/>
      <c r="G9675" s="108"/>
      <c r="H9675" s="108" t="s">
        <v>2901</v>
      </c>
      <c r="I9675" s="581">
        <v>0.08</v>
      </c>
      <c r="J9675" s="114"/>
      <c r="K9675" s="114" t="s">
        <v>2902</v>
      </c>
      <c r="L9675" s="108"/>
      <c r="M9675" s="581">
        <v>0.43</v>
      </c>
    </row>
    <row r="9676" ht="15" spans="3:13">
      <c r="C9676" s="571"/>
      <c r="D9676" s="571"/>
      <c r="E9676" s="571"/>
      <c r="F9676" s="571"/>
      <c r="G9676" s="571"/>
      <c r="H9676" s="571"/>
      <c r="I9676" s="571"/>
      <c r="J9676" s="571"/>
      <c r="K9676" s="571"/>
      <c r="L9676" s="571"/>
      <c r="M9676" s="571"/>
    </row>
    <row r="9677" ht="15" customHeight="1" spans="3:13">
      <c r="C9677" s="76"/>
      <c r="D9677" s="75" t="s">
        <v>63</v>
      </c>
      <c r="E9677" s="76" t="s">
        <v>64</v>
      </c>
      <c r="F9677" s="76" t="s">
        <v>65</v>
      </c>
      <c r="G9677" s="76" t="s">
        <v>2889</v>
      </c>
      <c r="H9677" s="76"/>
      <c r="I9677" s="77" t="s">
        <v>66</v>
      </c>
      <c r="J9677" s="75" t="s">
        <v>67</v>
      </c>
      <c r="K9677" s="75" t="s">
        <v>2890</v>
      </c>
      <c r="L9677" s="75" t="s">
        <v>68</v>
      </c>
      <c r="M9677" s="75" t="s">
        <v>70</v>
      </c>
    </row>
    <row r="9678" ht="23.85" customHeight="1" spans="3:13">
      <c r="C9678" s="569" t="s">
        <v>2891</v>
      </c>
      <c r="D9678" s="570" t="s">
        <v>5766</v>
      </c>
      <c r="E9678" s="569" t="s">
        <v>139</v>
      </c>
      <c r="F9678" s="569" t="s">
        <v>5767</v>
      </c>
      <c r="G9678" s="569" t="s">
        <v>2928</v>
      </c>
      <c r="H9678" s="569"/>
      <c r="I9678" s="577" t="s">
        <v>2925</v>
      </c>
      <c r="J9678" s="578">
        <v>1</v>
      </c>
      <c r="K9678" s="579"/>
      <c r="L9678" s="579">
        <v>97.95</v>
      </c>
      <c r="M9678" s="579">
        <v>97.95</v>
      </c>
    </row>
    <row r="9679" ht="15" customHeight="1" spans="3:13">
      <c r="C9679" s="100" t="s">
        <v>2893</v>
      </c>
      <c r="D9679" s="99" t="s">
        <v>5768</v>
      </c>
      <c r="E9679" s="100" t="s">
        <v>139</v>
      </c>
      <c r="F9679" s="100" t="s">
        <v>5769</v>
      </c>
      <c r="G9679" s="100" t="s">
        <v>2896</v>
      </c>
      <c r="H9679" s="100"/>
      <c r="I9679" s="101" t="s">
        <v>2925</v>
      </c>
      <c r="J9679" s="580">
        <v>0.01354</v>
      </c>
      <c r="K9679" s="580">
        <v>0</v>
      </c>
      <c r="L9679" s="102">
        <v>7234.28</v>
      </c>
      <c r="M9679" s="102">
        <v>97.95</v>
      </c>
    </row>
    <row r="9680" ht="25.5" spans="3:13">
      <c r="C9680" s="108"/>
      <c r="D9680" s="108"/>
      <c r="E9680" s="108"/>
      <c r="F9680" s="108"/>
      <c r="G9680" s="108"/>
      <c r="H9680" s="108" t="s">
        <v>2898</v>
      </c>
      <c r="I9680" s="581">
        <v>97.95</v>
      </c>
      <c r="J9680" s="108" t="s">
        <v>2899</v>
      </c>
      <c r="K9680" s="581">
        <v>0</v>
      </c>
      <c r="L9680" s="108" t="s">
        <v>2900</v>
      </c>
      <c r="M9680" s="581">
        <v>97.95</v>
      </c>
    </row>
    <row r="9681" ht="26.25" spans="3:13">
      <c r="C9681" s="108"/>
      <c r="D9681" s="108"/>
      <c r="E9681" s="108"/>
      <c r="F9681" s="108"/>
      <c r="G9681" s="108"/>
      <c r="H9681" s="108" t="s">
        <v>2901</v>
      </c>
      <c r="I9681" s="581">
        <v>24.96</v>
      </c>
      <c r="J9681" s="114"/>
      <c r="K9681" s="114" t="s">
        <v>2902</v>
      </c>
      <c r="L9681" s="108"/>
      <c r="M9681" s="581">
        <v>122.91</v>
      </c>
    </row>
    <row r="9682" ht="15" spans="3:13">
      <c r="C9682" s="571"/>
      <c r="D9682" s="571"/>
      <c r="E9682" s="571"/>
      <c r="F9682" s="571"/>
      <c r="G9682" s="571"/>
      <c r="H9682" s="571"/>
      <c r="I9682" s="571"/>
      <c r="J9682" s="571"/>
      <c r="K9682" s="571"/>
      <c r="L9682" s="571"/>
      <c r="M9682" s="571"/>
    </row>
    <row r="9683" ht="15" customHeight="1" spans="3:13">
      <c r="C9683" s="76"/>
      <c r="D9683" s="75" t="s">
        <v>63</v>
      </c>
      <c r="E9683" s="76" t="s">
        <v>64</v>
      </c>
      <c r="F9683" s="76" t="s">
        <v>65</v>
      </c>
      <c r="G9683" s="76" t="s">
        <v>2889</v>
      </c>
      <c r="H9683" s="76"/>
      <c r="I9683" s="77" t="s">
        <v>66</v>
      </c>
      <c r="J9683" s="75" t="s">
        <v>67</v>
      </c>
      <c r="K9683" s="75" t="s">
        <v>2890</v>
      </c>
      <c r="L9683" s="75" t="s">
        <v>68</v>
      </c>
      <c r="M9683" s="75" t="s">
        <v>70</v>
      </c>
    </row>
    <row r="9684" ht="23.85" customHeight="1" spans="3:13">
      <c r="C9684" s="569" t="s">
        <v>2891</v>
      </c>
      <c r="D9684" s="570" t="s">
        <v>5770</v>
      </c>
      <c r="E9684" s="569" t="s">
        <v>139</v>
      </c>
      <c r="F9684" s="569" t="s">
        <v>5771</v>
      </c>
      <c r="G9684" s="569" t="s">
        <v>2928</v>
      </c>
      <c r="H9684" s="569"/>
      <c r="I9684" s="577" t="s">
        <v>2897</v>
      </c>
      <c r="J9684" s="578">
        <v>1</v>
      </c>
      <c r="K9684" s="579"/>
      <c r="L9684" s="579">
        <v>0.33</v>
      </c>
      <c r="M9684" s="579">
        <v>0.33</v>
      </c>
    </row>
    <row r="9685" ht="15" customHeight="1" spans="3:13">
      <c r="C9685" s="100" t="s">
        <v>2893</v>
      </c>
      <c r="D9685" s="99" t="s">
        <v>5772</v>
      </c>
      <c r="E9685" s="100" t="s">
        <v>139</v>
      </c>
      <c r="F9685" s="100" t="s">
        <v>5773</v>
      </c>
      <c r="G9685" s="100" t="s">
        <v>2896</v>
      </c>
      <c r="H9685" s="100"/>
      <c r="I9685" s="101" t="s">
        <v>2897</v>
      </c>
      <c r="J9685" s="580">
        <v>0.01476</v>
      </c>
      <c r="K9685" s="580">
        <v>0</v>
      </c>
      <c r="L9685" s="102">
        <v>22.82</v>
      </c>
      <c r="M9685" s="102">
        <v>0.33</v>
      </c>
    </row>
    <row r="9686" ht="25.5" spans="3:13">
      <c r="C9686" s="108"/>
      <c r="D9686" s="108"/>
      <c r="E9686" s="108"/>
      <c r="F9686" s="108"/>
      <c r="G9686" s="108"/>
      <c r="H9686" s="108" t="s">
        <v>2898</v>
      </c>
      <c r="I9686" s="581">
        <v>0.33</v>
      </c>
      <c r="J9686" s="108" t="s">
        <v>2899</v>
      </c>
      <c r="K9686" s="581">
        <v>0</v>
      </c>
      <c r="L9686" s="108" t="s">
        <v>2900</v>
      </c>
      <c r="M9686" s="581">
        <v>0.33</v>
      </c>
    </row>
    <row r="9687" ht="26.25" spans="3:13">
      <c r="C9687" s="108"/>
      <c r="D9687" s="108"/>
      <c r="E9687" s="108"/>
      <c r="F9687" s="108"/>
      <c r="G9687" s="108"/>
      <c r="H9687" s="108" t="s">
        <v>2901</v>
      </c>
      <c r="I9687" s="581">
        <v>0.08</v>
      </c>
      <c r="J9687" s="114"/>
      <c r="K9687" s="114" t="s">
        <v>2902</v>
      </c>
      <c r="L9687" s="108"/>
      <c r="M9687" s="581">
        <v>0.41</v>
      </c>
    </row>
    <row r="9688" ht="15" spans="3:13">
      <c r="C9688" s="571"/>
      <c r="D9688" s="571"/>
      <c r="E9688" s="571"/>
      <c r="F9688" s="571"/>
      <c r="G9688" s="571"/>
      <c r="H9688" s="571"/>
      <c r="I9688" s="571"/>
      <c r="J9688" s="571"/>
      <c r="K9688" s="571"/>
      <c r="L9688" s="571"/>
      <c r="M9688" s="571"/>
    </row>
    <row r="9689" ht="15" customHeight="1" spans="3:13">
      <c r="C9689" s="76"/>
      <c r="D9689" s="75" t="s">
        <v>63</v>
      </c>
      <c r="E9689" s="76" t="s">
        <v>64</v>
      </c>
      <c r="F9689" s="76" t="s">
        <v>65</v>
      </c>
      <c r="G9689" s="76" t="s">
        <v>2889</v>
      </c>
      <c r="H9689" s="76"/>
      <c r="I9689" s="77" t="s">
        <v>66</v>
      </c>
      <c r="J9689" s="75" t="s">
        <v>67</v>
      </c>
      <c r="K9689" s="75" t="s">
        <v>2890</v>
      </c>
      <c r="L9689" s="75" t="s">
        <v>68</v>
      </c>
      <c r="M9689" s="75" t="s">
        <v>70</v>
      </c>
    </row>
    <row r="9690" ht="25.5" spans="3:13">
      <c r="C9690" s="569" t="s">
        <v>2891</v>
      </c>
      <c r="D9690" s="570" t="s">
        <v>3356</v>
      </c>
      <c r="E9690" s="569" t="s">
        <v>77</v>
      </c>
      <c r="F9690" s="569" t="s">
        <v>3357</v>
      </c>
      <c r="G9690" s="569">
        <v>55</v>
      </c>
      <c r="H9690" s="569"/>
      <c r="I9690" s="577" t="s">
        <v>2897</v>
      </c>
      <c r="J9690" s="578">
        <v>1</v>
      </c>
      <c r="K9690" s="579"/>
      <c r="L9690" s="579">
        <v>284.02</v>
      </c>
      <c r="M9690" s="579">
        <v>284.02</v>
      </c>
    </row>
    <row r="9691" ht="23.85" customHeight="1" spans="3:13">
      <c r="C9691" s="100" t="s">
        <v>2893</v>
      </c>
      <c r="D9691" s="99" t="s">
        <v>5774</v>
      </c>
      <c r="E9691" s="100" t="s">
        <v>77</v>
      </c>
      <c r="F9691" s="100" t="s">
        <v>5775</v>
      </c>
      <c r="G9691" s="100" t="s">
        <v>2896</v>
      </c>
      <c r="H9691" s="100"/>
      <c r="I9691" s="101" t="s">
        <v>2897</v>
      </c>
      <c r="J9691" s="580">
        <v>0.2963</v>
      </c>
      <c r="K9691" s="580">
        <v>33.9</v>
      </c>
      <c r="L9691" s="102">
        <v>44.13</v>
      </c>
      <c r="M9691" s="102">
        <v>17.5</v>
      </c>
    </row>
    <row r="9692" ht="15" customHeight="1" spans="3:13">
      <c r="C9692" s="100" t="s">
        <v>2893</v>
      </c>
      <c r="D9692" s="99" t="s">
        <v>5776</v>
      </c>
      <c r="E9692" s="100" t="s">
        <v>77</v>
      </c>
      <c r="F9692" s="100" t="s">
        <v>5777</v>
      </c>
      <c r="G9692" s="100" t="s">
        <v>3395</v>
      </c>
      <c r="H9692" s="100"/>
      <c r="I9692" s="101" t="s">
        <v>134</v>
      </c>
      <c r="J9692" s="580">
        <v>3.3e-5</v>
      </c>
      <c r="K9692" s="580">
        <v>0</v>
      </c>
      <c r="L9692" s="102">
        <v>13940.47</v>
      </c>
      <c r="M9692" s="102">
        <v>0.46</v>
      </c>
    </row>
    <row r="9693" ht="35.05" customHeight="1" spans="3:13">
      <c r="C9693" s="100" t="s">
        <v>2893</v>
      </c>
      <c r="D9693" s="99" t="s">
        <v>5778</v>
      </c>
      <c r="E9693" s="100" t="s">
        <v>77</v>
      </c>
      <c r="F9693" s="100" t="s">
        <v>5779</v>
      </c>
      <c r="G9693" s="100" t="s">
        <v>2896</v>
      </c>
      <c r="H9693" s="100"/>
      <c r="I9693" s="101" t="s">
        <v>2897</v>
      </c>
      <c r="J9693" s="580">
        <v>2.9634</v>
      </c>
      <c r="K9693" s="580">
        <v>33.9</v>
      </c>
      <c r="L9693" s="102">
        <v>20.2</v>
      </c>
      <c r="M9693" s="102">
        <v>80.15</v>
      </c>
    </row>
    <row r="9694" ht="23.85" customHeight="1" spans="3:13">
      <c r="C9694" s="100" t="s">
        <v>2893</v>
      </c>
      <c r="D9694" s="99" t="s">
        <v>3108</v>
      </c>
      <c r="E9694" s="100" t="s">
        <v>77</v>
      </c>
      <c r="F9694" s="100" t="s">
        <v>3109</v>
      </c>
      <c r="G9694" s="100" t="s">
        <v>2896</v>
      </c>
      <c r="H9694" s="100"/>
      <c r="I9694" s="101" t="s">
        <v>2897</v>
      </c>
      <c r="J9694" s="580">
        <v>1.4817</v>
      </c>
      <c r="K9694" s="580">
        <v>33.9</v>
      </c>
      <c r="L9694" s="102">
        <v>19.16</v>
      </c>
      <c r="M9694" s="102">
        <v>38.01</v>
      </c>
    </row>
    <row r="9695" ht="15" customHeight="1" spans="3:13">
      <c r="C9695" s="100" t="s">
        <v>2893</v>
      </c>
      <c r="D9695" s="99" t="s">
        <v>5485</v>
      </c>
      <c r="E9695" s="100" t="s">
        <v>77</v>
      </c>
      <c r="F9695" s="100" t="s">
        <v>5486</v>
      </c>
      <c r="G9695" s="100" t="s">
        <v>2961</v>
      </c>
      <c r="H9695" s="100"/>
      <c r="I9695" s="101" t="s">
        <v>3084</v>
      </c>
      <c r="J9695" s="580">
        <v>9.9225</v>
      </c>
      <c r="K9695" s="580">
        <v>0</v>
      </c>
      <c r="L9695" s="102">
        <v>5.98</v>
      </c>
      <c r="M9695" s="102">
        <v>59.33</v>
      </c>
    </row>
    <row r="9696" ht="15" customHeight="1" spans="3:13">
      <c r="C9696" s="100" t="s">
        <v>2893</v>
      </c>
      <c r="D9696" s="99" t="s">
        <v>5780</v>
      </c>
      <c r="E9696" s="100" t="s">
        <v>77</v>
      </c>
      <c r="F9696" s="100" t="s">
        <v>5781</v>
      </c>
      <c r="G9696" s="100" t="s">
        <v>3395</v>
      </c>
      <c r="H9696" s="100"/>
      <c r="I9696" s="101" t="s">
        <v>134</v>
      </c>
      <c r="J9696" s="580">
        <v>0.00011</v>
      </c>
      <c r="K9696" s="580">
        <v>0</v>
      </c>
      <c r="L9696" s="102">
        <v>290274.31</v>
      </c>
      <c r="M9696" s="102">
        <v>31.93</v>
      </c>
    </row>
    <row r="9697" ht="23.85" customHeight="1" spans="3:13">
      <c r="C9697" s="100" t="s">
        <v>2893</v>
      </c>
      <c r="D9697" s="99" t="s">
        <v>5782</v>
      </c>
      <c r="E9697" s="100" t="s">
        <v>77</v>
      </c>
      <c r="F9697" s="100" t="s">
        <v>5783</v>
      </c>
      <c r="G9697" s="100" t="s">
        <v>2896</v>
      </c>
      <c r="H9697" s="100"/>
      <c r="I9697" s="101" t="s">
        <v>2897</v>
      </c>
      <c r="J9697" s="580">
        <v>1.4817</v>
      </c>
      <c r="K9697" s="580">
        <v>33.9</v>
      </c>
      <c r="L9697" s="102">
        <v>28.55</v>
      </c>
      <c r="M9697" s="102">
        <v>56.64</v>
      </c>
    </row>
    <row r="9698" ht="25.5" spans="3:13">
      <c r="C9698" s="108"/>
      <c r="D9698" s="108"/>
      <c r="E9698" s="108"/>
      <c r="F9698" s="108"/>
      <c r="G9698" s="108"/>
      <c r="H9698" s="108" t="s">
        <v>2898</v>
      </c>
      <c r="I9698" s="581">
        <v>192.3</v>
      </c>
      <c r="J9698" s="108" t="s">
        <v>2899</v>
      </c>
      <c r="K9698" s="581">
        <v>0</v>
      </c>
      <c r="L9698" s="108" t="s">
        <v>2900</v>
      </c>
      <c r="M9698" s="581">
        <v>192.3</v>
      </c>
    </row>
    <row r="9699" ht="26.25" spans="3:13">
      <c r="C9699" s="108"/>
      <c r="D9699" s="108"/>
      <c r="E9699" s="108"/>
      <c r="F9699" s="108"/>
      <c r="G9699" s="108"/>
      <c r="H9699" s="108" t="s">
        <v>2901</v>
      </c>
      <c r="I9699" s="581">
        <v>72.39</v>
      </c>
      <c r="J9699" s="114"/>
      <c r="K9699" s="114" t="s">
        <v>2902</v>
      </c>
      <c r="L9699" s="108"/>
      <c r="M9699" s="581">
        <v>356.41</v>
      </c>
    </row>
    <row r="9700" ht="15" spans="3:13">
      <c r="C9700" s="571"/>
      <c r="D9700" s="571"/>
      <c r="E9700" s="571"/>
      <c r="F9700" s="571"/>
      <c r="G9700" s="571"/>
      <c r="H9700" s="571"/>
      <c r="I9700" s="571"/>
      <c r="J9700" s="571"/>
      <c r="K9700" s="571"/>
      <c r="L9700" s="571"/>
      <c r="M9700" s="571"/>
    </row>
    <row r="9701" ht="15" customHeight="1" spans="3:13">
      <c r="C9701" s="76"/>
      <c r="D9701" s="75" t="s">
        <v>63</v>
      </c>
      <c r="E9701" s="76" t="s">
        <v>64</v>
      </c>
      <c r="F9701" s="76" t="s">
        <v>65</v>
      </c>
      <c r="G9701" s="76" t="s">
        <v>2889</v>
      </c>
      <c r="H9701" s="76"/>
      <c r="I9701" s="77" t="s">
        <v>66</v>
      </c>
      <c r="J9701" s="75" t="s">
        <v>67</v>
      </c>
      <c r="K9701" s="75" t="s">
        <v>2890</v>
      </c>
      <c r="L9701" s="75" t="s">
        <v>68</v>
      </c>
      <c r="M9701" s="75" t="s">
        <v>70</v>
      </c>
    </row>
    <row r="9702" ht="25.5" spans="3:13">
      <c r="C9702" s="569" t="s">
        <v>2891</v>
      </c>
      <c r="D9702" s="570" t="s">
        <v>3358</v>
      </c>
      <c r="E9702" s="569" t="s">
        <v>77</v>
      </c>
      <c r="F9702" s="569" t="s">
        <v>3359</v>
      </c>
      <c r="G9702" s="569">
        <v>58</v>
      </c>
      <c r="H9702" s="569"/>
      <c r="I9702" s="577" t="s">
        <v>2897</v>
      </c>
      <c r="J9702" s="578">
        <v>1</v>
      </c>
      <c r="K9702" s="579"/>
      <c r="L9702" s="579">
        <v>142.38</v>
      </c>
      <c r="M9702" s="579">
        <v>142.38</v>
      </c>
    </row>
    <row r="9703" ht="23.85" customHeight="1" spans="3:13">
      <c r="C9703" s="100" t="s">
        <v>2893</v>
      </c>
      <c r="D9703" s="99" t="s">
        <v>5782</v>
      </c>
      <c r="E9703" s="100" t="s">
        <v>77</v>
      </c>
      <c r="F9703" s="100" t="s">
        <v>5783</v>
      </c>
      <c r="G9703" s="100" t="s">
        <v>2896</v>
      </c>
      <c r="H9703" s="100"/>
      <c r="I9703" s="101" t="s">
        <v>2897</v>
      </c>
      <c r="J9703" s="580">
        <v>1.375</v>
      </c>
      <c r="K9703" s="580">
        <v>0</v>
      </c>
      <c r="L9703" s="102">
        <v>28.55</v>
      </c>
      <c r="M9703" s="102">
        <v>39.25</v>
      </c>
    </row>
    <row r="9704" ht="23.85" customHeight="1" spans="3:13">
      <c r="C9704" s="100" t="s">
        <v>2893</v>
      </c>
      <c r="D9704" s="99" t="s">
        <v>3108</v>
      </c>
      <c r="E9704" s="100" t="s">
        <v>77</v>
      </c>
      <c r="F9704" s="100" t="s">
        <v>3109</v>
      </c>
      <c r="G9704" s="100" t="s">
        <v>2896</v>
      </c>
      <c r="H9704" s="100"/>
      <c r="I9704" s="101" t="s">
        <v>2897</v>
      </c>
      <c r="J9704" s="580">
        <v>1.375</v>
      </c>
      <c r="K9704" s="580">
        <v>0</v>
      </c>
      <c r="L9704" s="102">
        <v>19.16</v>
      </c>
      <c r="M9704" s="102">
        <v>26.34</v>
      </c>
    </row>
    <row r="9705" ht="15" customHeight="1" spans="3:13">
      <c r="C9705" s="100" t="s">
        <v>2893</v>
      </c>
      <c r="D9705" s="99" t="s">
        <v>5776</v>
      </c>
      <c r="E9705" s="100" t="s">
        <v>77</v>
      </c>
      <c r="F9705" s="100" t="s">
        <v>5777</v>
      </c>
      <c r="G9705" s="100" t="s">
        <v>3395</v>
      </c>
      <c r="H9705" s="100"/>
      <c r="I9705" s="101" t="s">
        <v>134</v>
      </c>
      <c r="J9705" s="580">
        <v>9e-6</v>
      </c>
      <c r="K9705" s="580">
        <v>0</v>
      </c>
      <c r="L9705" s="102">
        <v>13940.47</v>
      </c>
      <c r="M9705" s="102">
        <v>0.12</v>
      </c>
    </row>
    <row r="9706" ht="15" customHeight="1" spans="3:13">
      <c r="C9706" s="100" t="s">
        <v>2893</v>
      </c>
      <c r="D9706" s="99" t="s">
        <v>5780</v>
      </c>
      <c r="E9706" s="100" t="s">
        <v>77</v>
      </c>
      <c r="F9706" s="100" t="s">
        <v>5781</v>
      </c>
      <c r="G9706" s="100" t="s">
        <v>3395</v>
      </c>
      <c r="H9706" s="100"/>
      <c r="I9706" s="101" t="s">
        <v>134</v>
      </c>
      <c r="J9706" s="580">
        <v>3.1e-5</v>
      </c>
      <c r="K9706" s="580">
        <v>0</v>
      </c>
      <c r="L9706" s="102">
        <v>290274.31</v>
      </c>
      <c r="M9706" s="102">
        <v>8.99</v>
      </c>
    </row>
    <row r="9707" ht="23.85" customHeight="1" spans="3:13">
      <c r="C9707" s="100" t="s">
        <v>2893</v>
      </c>
      <c r="D9707" s="99" t="s">
        <v>5774</v>
      </c>
      <c r="E9707" s="100" t="s">
        <v>77</v>
      </c>
      <c r="F9707" s="100" t="s">
        <v>5775</v>
      </c>
      <c r="G9707" s="100" t="s">
        <v>2896</v>
      </c>
      <c r="H9707" s="100"/>
      <c r="I9707" s="101" t="s">
        <v>2897</v>
      </c>
      <c r="J9707" s="580">
        <v>0.275</v>
      </c>
      <c r="K9707" s="580">
        <v>0</v>
      </c>
      <c r="L9707" s="102">
        <v>44.13</v>
      </c>
      <c r="M9707" s="102">
        <v>12.13</v>
      </c>
    </row>
    <row r="9708" ht="35.05" customHeight="1" spans="3:13">
      <c r="C9708" s="100" t="s">
        <v>2893</v>
      </c>
      <c r="D9708" s="99" t="s">
        <v>5778</v>
      </c>
      <c r="E9708" s="100" t="s">
        <v>77</v>
      </c>
      <c r="F9708" s="100" t="s">
        <v>5779</v>
      </c>
      <c r="G9708" s="100" t="s">
        <v>2896</v>
      </c>
      <c r="H9708" s="100"/>
      <c r="I9708" s="101" t="s">
        <v>2897</v>
      </c>
      <c r="J9708" s="580">
        <v>2.75</v>
      </c>
      <c r="K9708" s="580">
        <v>0</v>
      </c>
      <c r="L9708" s="102">
        <v>20.2</v>
      </c>
      <c r="M9708" s="102">
        <v>55.55</v>
      </c>
    </row>
    <row r="9709" ht="25.5" spans="3:13">
      <c r="C9709" s="108"/>
      <c r="D9709" s="108"/>
      <c r="E9709" s="108"/>
      <c r="F9709" s="108"/>
      <c r="G9709" s="108"/>
      <c r="H9709" s="108" t="s">
        <v>2898</v>
      </c>
      <c r="I9709" s="581">
        <v>133.27</v>
      </c>
      <c r="J9709" s="108" t="s">
        <v>2899</v>
      </c>
      <c r="K9709" s="581">
        <v>0</v>
      </c>
      <c r="L9709" s="108" t="s">
        <v>2900</v>
      </c>
      <c r="M9709" s="581">
        <v>133.27</v>
      </c>
    </row>
    <row r="9710" ht="26.25" spans="3:13">
      <c r="C9710" s="108"/>
      <c r="D9710" s="108"/>
      <c r="E9710" s="108"/>
      <c r="F9710" s="108"/>
      <c r="G9710" s="108"/>
      <c r="H9710" s="108" t="s">
        <v>2901</v>
      </c>
      <c r="I9710" s="581">
        <v>36.29</v>
      </c>
      <c r="J9710" s="114"/>
      <c r="K9710" s="114" t="s">
        <v>2902</v>
      </c>
      <c r="L9710" s="108"/>
      <c r="M9710" s="581">
        <v>178.67</v>
      </c>
    </row>
    <row r="9711" ht="15" spans="3:13">
      <c r="C9711" s="571"/>
      <c r="D9711" s="571"/>
      <c r="E9711" s="571"/>
      <c r="F9711" s="571"/>
      <c r="G9711" s="571"/>
      <c r="H9711" s="571"/>
      <c r="I9711" s="571"/>
      <c r="J9711" s="571"/>
      <c r="K9711" s="571"/>
      <c r="L9711" s="571"/>
      <c r="M9711" s="571"/>
    </row>
    <row r="9712" ht="15" customHeight="1" spans="3:13">
      <c r="C9712" s="76"/>
      <c r="D9712" s="75" t="s">
        <v>63</v>
      </c>
      <c r="E9712" s="76" t="s">
        <v>64</v>
      </c>
      <c r="F9712" s="76" t="s">
        <v>65</v>
      </c>
      <c r="G9712" s="76" t="s">
        <v>2889</v>
      </c>
      <c r="H9712" s="76"/>
      <c r="I9712" s="77" t="s">
        <v>66</v>
      </c>
      <c r="J9712" s="75" t="s">
        <v>67</v>
      </c>
      <c r="K9712" s="75" t="s">
        <v>2890</v>
      </c>
      <c r="L9712" s="75" t="s">
        <v>68</v>
      </c>
      <c r="M9712" s="75" t="s">
        <v>70</v>
      </c>
    </row>
    <row r="9713" ht="23.85" customHeight="1" spans="3:13">
      <c r="C9713" s="569" t="s">
        <v>2891</v>
      </c>
      <c r="D9713" s="570" t="s">
        <v>4335</v>
      </c>
      <c r="E9713" s="569" t="s">
        <v>796</v>
      </c>
      <c r="F9713" s="569" t="s">
        <v>4336</v>
      </c>
      <c r="G9713" s="569" t="s">
        <v>4113</v>
      </c>
      <c r="H9713" s="569"/>
      <c r="I9713" s="577" t="s">
        <v>141</v>
      </c>
      <c r="J9713" s="578">
        <v>1</v>
      </c>
      <c r="K9713" s="579"/>
      <c r="L9713" s="579">
        <v>14.8</v>
      </c>
      <c r="M9713" s="579">
        <v>14.8</v>
      </c>
    </row>
    <row r="9714" ht="15" customHeight="1" spans="3:13">
      <c r="C9714" s="79" t="s">
        <v>2921</v>
      </c>
      <c r="D9714" s="78" t="s">
        <v>4326</v>
      </c>
      <c r="E9714" s="79" t="s">
        <v>796</v>
      </c>
      <c r="F9714" s="79" t="s">
        <v>4327</v>
      </c>
      <c r="G9714" s="79" t="s">
        <v>4113</v>
      </c>
      <c r="H9714" s="79"/>
      <c r="I9714" s="80" t="s">
        <v>279</v>
      </c>
      <c r="J9714" s="583">
        <v>0.009</v>
      </c>
      <c r="K9714" s="583">
        <v>0</v>
      </c>
      <c r="L9714" s="92">
        <v>656.45</v>
      </c>
      <c r="M9714" s="92">
        <v>5.9</v>
      </c>
    </row>
    <row r="9715" ht="35.05" customHeight="1" spans="3:13">
      <c r="C9715" s="100" t="s">
        <v>2893</v>
      </c>
      <c r="D9715" s="99" t="s">
        <v>3713</v>
      </c>
      <c r="E9715" s="100" t="s">
        <v>796</v>
      </c>
      <c r="F9715" s="100" t="s">
        <v>3714</v>
      </c>
      <c r="G9715" s="100" t="s">
        <v>3715</v>
      </c>
      <c r="H9715" s="100"/>
      <c r="I9715" s="101" t="s">
        <v>3716</v>
      </c>
      <c r="J9715" s="580">
        <v>8.65</v>
      </c>
      <c r="K9715" s="580">
        <v>3</v>
      </c>
      <c r="L9715" s="102">
        <v>1</v>
      </c>
      <c r="M9715" s="102">
        <v>0.25</v>
      </c>
    </row>
    <row r="9716" ht="15" customHeight="1" spans="3:13">
      <c r="C9716" s="100" t="s">
        <v>2893</v>
      </c>
      <c r="D9716" s="99" t="s">
        <v>3717</v>
      </c>
      <c r="E9716" s="100" t="s">
        <v>796</v>
      </c>
      <c r="F9716" s="100" t="s">
        <v>3718</v>
      </c>
      <c r="G9716" s="100" t="s">
        <v>2896</v>
      </c>
      <c r="H9716" s="100"/>
      <c r="I9716" s="101" t="s">
        <v>3707</v>
      </c>
      <c r="J9716" s="580">
        <v>0.15</v>
      </c>
      <c r="K9716" s="580">
        <v>0</v>
      </c>
      <c r="L9716" s="102">
        <v>23.89</v>
      </c>
      <c r="M9716" s="102">
        <v>3.58</v>
      </c>
    </row>
    <row r="9717" ht="23.85" customHeight="1" spans="3:13">
      <c r="C9717" s="100" t="s">
        <v>2893</v>
      </c>
      <c r="D9717" s="99" t="s">
        <v>5438</v>
      </c>
      <c r="E9717" s="100" t="s">
        <v>796</v>
      </c>
      <c r="F9717" s="100" t="s">
        <v>5439</v>
      </c>
      <c r="G9717" s="100" t="s">
        <v>2896</v>
      </c>
      <c r="H9717" s="100"/>
      <c r="I9717" s="101" t="s">
        <v>3707</v>
      </c>
      <c r="J9717" s="580">
        <v>0.15</v>
      </c>
      <c r="K9717" s="580">
        <v>0</v>
      </c>
      <c r="L9717" s="102">
        <v>33.83</v>
      </c>
      <c r="M9717" s="102">
        <v>5.07</v>
      </c>
    </row>
    <row r="9718" ht="25.5" spans="3:13">
      <c r="C9718" s="108"/>
      <c r="D9718" s="108"/>
      <c r="E9718" s="108"/>
      <c r="F9718" s="108"/>
      <c r="G9718" s="108"/>
      <c r="H9718" s="108" t="s">
        <v>2898</v>
      </c>
      <c r="I9718" s="581">
        <v>11.01</v>
      </c>
      <c r="J9718" s="108" t="s">
        <v>2899</v>
      </c>
      <c r="K9718" s="581">
        <v>0</v>
      </c>
      <c r="L9718" s="108" t="s">
        <v>2900</v>
      </c>
      <c r="M9718" s="581">
        <v>11.01</v>
      </c>
    </row>
    <row r="9719" ht="26.25" spans="3:13">
      <c r="C9719" s="108"/>
      <c r="D9719" s="108"/>
      <c r="E9719" s="108"/>
      <c r="F9719" s="108"/>
      <c r="G9719" s="108"/>
      <c r="H9719" s="108" t="s">
        <v>2901</v>
      </c>
      <c r="I9719" s="581">
        <v>3.77</v>
      </c>
      <c r="J9719" s="114"/>
      <c r="K9719" s="114" t="s">
        <v>2902</v>
      </c>
      <c r="L9719" s="108"/>
      <c r="M9719" s="581">
        <v>18.57</v>
      </c>
    </row>
    <row r="9720" ht="15" spans="3:13">
      <c r="C9720" s="571"/>
      <c r="D9720" s="571"/>
      <c r="E9720" s="571"/>
      <c r="F9720" s="571"/>
      <c r="G9720" s="571"/>
      <c r="H9720" s="571"/>
      <c r="I9720" s="571"/>
      <c r="J9720" s="571"/>
      <c r="K9720" s="571"/>
      <c r="L9720" s="571"/>
      <c r="M9720" s="571"/>
    </row>
    <row r="9721" ht="15" customHeight="1" spans="3:13">
      <c r="C9721" s="76"/>
      <c r="D9721" s="75" t="s">
        <v>63</v>
      </c>
      <c r="E9721" s="76" t="s">
        <v>64</v>
      </c>
      <c r="F9721" s="76" t="s">
        <v>65</v>
      </c>
      <c r="G9721" s="76" t="s">
        <v>2889</v>
      </c>
      <c r="H9721" s="76"/>
      <c r="I9721" s="77" t="s">
        <v>66</v>
      </c>
      <c r="J9721" s="75" t="s">
        <v>67</v>
      </c>
      <c r="K9721" s="75" t="s">
        <v>2890</v>
      </c>
      <c r="L9721" s="75" t="s">
        <v>68</v>
      </c>
      <c r="M9721" s="75" t="s">
        <v>70</v>
      </c>
    </row>
    <row r="9722" ht="91" customHeight="1" spans="3:13">
      <c r="C9722" s="569" t="s">
        <v>2891</v>
      </c>
      <c r="D9722" s="570" t="s">
        <v>4444</v>
      </c>
      <c r="E9722" s="569" t="s">
        <v>796</v>
      </c>
      <c r="F9722" s="569" t="s">
        <v>4445</v>
      </c>
      <c r="G9722" s="569" t="s">
        <v>4116</v>
      </c>
      <c r="H9722" s="569"/>
      <c r="I9722" s="577" t="s">
        <v>279</v>
      </c>
      <c r="J9722" s="578">
        <v>1</v>
      </c>
      <c r="K9722" s="579"/>
      <c r="L9722" s="579">
        <v>2877.83</v>
      </c>
      <c r="M9722" s="579">
        <v>2877.83</v>
      </c>
    </row>
    <row r="9723" ht="57.45" customHeight="1" spans="3:13">
      <c r="C9723" s="79" t="s">
        <v>2921</v>
      </c>
      <c r="D9723" s="78" t="s">
        <v>5784</v>
      </c>
      <c r="E9723" s="79" t="s">
        <v>796</v>
      </c>
      <c r="F9723" s="79" t="s">
        <v>5785</v>
      </c>
      <c r="G9723" s="79" t="s">
        <v>4116</v>
      </c>
      <c r="H9723" s="79"/>
      <c r="I9723" s="80" t="s">
        <v>141</v>
      </c>
      <c r="J9723" s="583">
        <v>12</v>
      </c>
      <c r="K9723" s="583">
        <v>0</v>
      </c>
      <c r="L9723" s="92">
        <v>131.9</v>
      </c>
      <c r="M9723" s="92">
        <v>1582.8</v>
      </c>
    </row>
    <row r="9724" ht="35.05" customHeight="1" spans="3:13">
      <c r="C9724" s="79" t="s">
        <v>2921</v>
      </c>
      <c r="D9724" s="78" t="s">
        <v>4320</v>
      </c>
      <c r="E9724" s="79" t="s">
        <v>796</v>
      </c>
      <c r="F9724" s="79" t="s">
        <v>4321</v>
      </c>
      <c r="G9724" s="79" t="s">
        <v>4116</v>
      </c>
      <c r="H9724" s="79"/>
      <c r="I9724" s="80" t="s">
        <v>279</v>
      </c>
      <c r="J9724" s="583">
        <v>1</v>
      </c>
      <c r="K9724" s="583">
        <v>0</v>
      </c>
      <c r="L9724" s="92">
        <v>358.54</v>
      </c>
      <c r="M9724" s="92">
        <v>358.54</v>
      </c>
    </row>
    <row r="9725" ht="35.05" customHeight="1" spans="3:13">
      <c r="C9725" s="79" t="s">
        <v>2921</v>
      </c>
      <c r="D9725" s="78" t="s">
        <v>5786</v>
      </c>
      <c r="E9725" s="79" t="s">
        <v>796</v>
      </c>
      <c r="F9725" s="79" t="s">
        <v>5787</v>
      </c>
      <c r="G9725" s="79" t="s">
        <v>4116</v>
      </c>
      <c r="H9725" s="79"/>
      <c r="I9725" s="80" t="s">
        <v>279</v>
      </c>
      <c r="J9725" s="583">
        <v>1</v>
      </c>
      <c r="K9725" s="583">
        <v>0</v>
      </c>
      <c r="L9725" s="92">
        <v>82.11</v>
      </c>
      <c r="M9725" s="92">
        <v>82.11</v>
      </c>
    </row>
    <row r="9726" ht="23.85" customHeight="1" spans="3:13">
      <c r="C9726" s="79" t="s">
        <v>2921</v>
      </c>
      <c r="D9726" s="78" t="s">
        <v>4333</v>
      </c>
      <c r="E9726" s="79" t="s">
        <v>796</v>
      </c>
      <c r="F9726" s="79" t="s">
        <v>4334</v>
      </c>
      <c r="G9726" s="79" t="s">
        <v>4116</v>
      </c>
      <c r="H9726" s="79"/>
      <c r="I9726" s="80" t="s">
        <v>279</v>
      </c>
      <c r="J9726" s="583">
        <v>1</v>
      </c>
      <c r="K9726" s="583">
        <v>0</v>
      </c>
      <c r="L9726" s="92">
        <v>89.12</v>
      </c>
      <c r="M9726" s="92">
        <v>89.12</v>
      </c>
    </row>
    <row r="9727" ht="15" customHeight="1" spans="3:13">
      <c r="C9727" s="100" t="s">
        <v>2893</v>
      </c>
      <c r="D9727" s="99" t="s">
        <v>4353</v>
      </c>
      <c r="E9727" s="100" t="s">
        <v>796</v>
      </c>
      <c r="F9727" s="100" t="s">
        <v>4354</v>
      </c>
      <c r="G9727" s="100" t="s">
        <v>2961</v>
      </c>
      <c r="H9727" s="100"/>
      <c r="I9727" s="101" t="s">
        <v>3712</v>
      </c>
      <c r="J9727" s="580">
        <v>1.8</v>
      </c>
      <c r="K9727" s="580">
        <v>0</v>
      </c>
      <c r="L9727" s="102">
        <v>10.48</v>
      </c>
      <c r="M9727" s="102">
        <v>18.86</v>
      </c>
    </row>
    <row r="9728" ht="35.05" customHeight="1" spans="3:13">
      <c r="C9728" s="100" t="s">
        <v>2893</v>
      </c>
      <c r="D9728" s="99" t="s">
        <v>3713</v>
      </c>
      <c r="E9728" s="100" t="s">
        <v>796</v>
      </c>
      <c r="F9728" s="100" t="s">
        <v>3714</v>
      </c>
      <c r="G9728" s="100" t="s">
        <v>3715</v>
      </c>
      <c r="H9728" s="100"/>
      <c r="I9728" s="101" t="s">
        <v>3716</v>
      </c>
      <c r="J9728" s="580">
        <v>334.92</v>
      </c>
      <c r="K9728" s="580">
        <v>3</v>
      </c>
      <c r="L9728" s="102">
        <v>1</v>
      </c>
      <c r="M9728" s="102">
        <v>10.04</v>
      </c>
    </row>
    <row r="9729" ht="15" customHeight="1" spans="3:13">
      <c r="C9729" s="100" t="s">
        <v>2893</v>
      </c>
      <c r="D9729" s="99" t="s">
        <v>5788</v>
      </c>
      <c r="E9729" s="100" t="s">
        <v>796</v>
      </c>
      <c r="F9729" s="100" t="s">
        <v>5789</v>
      </c>
      <c r="G9729" s="100" t="s">
        <v>2961</v>
      </c>
      <c r="H9729" s="100"/>
      <c r="I9729" s="101" t="s">
        <v>3712</v>
      </c>
      <c r="J9729" s="580">
        <v>12</v>
      </c>
      <c r="K9729" s="580">
        <v>0</v>
      </c>
      <c r="L9729" s="102">
        <v>5.78</v>
      </c>
      <c r="M9729" s="102">
        <v>69.36</v>
      </c>
    </row>
    <row r="9730" ht="15" customHeight="1" spans="3:13">
      <c r="C9730" s="100" t="s">
        <v>2893</v>
      </c>
      <c r="D9730" s="99" t="s">
        <v>5790</v>
      </c>
      <c r="E9730" s="100" t="s">
        <v>796</v>
      </c>
      <c r="F9730" s="100" t="s">
        <v>5791</v>
      </c>
      <c r="G9730" s="100" t="s">
        <v>2961</v>
      </c>
      <c r="H9730" s="100"/>
      <c r="I9730" s="101" t="s">
        <v>3712</v>
      </c>
      <c r="J9730" s="580">
        <v>12</v>
      </c>
      <c r="K9730" s="580">
        <v>0</v>
      </c>
      <c r="L9730" s="102">
        <v>5.62</v>
      </c>
      <c r="M9730" s="102">
        <v>67.44</v>
      </c>
    </row>
    <row r="9731" ht="15" customHeight="1" spans="3:13">
      <c r="C9731" s="100" t="s">
        <v>2893</v>
      </c>
      <c r="D9731" s="99" t="s">
        <v>5792</v>
      </c>
      <c r="E9731" s="100" t="s">
        <v>796</v>
      </c>
      <c r="F9731" s="100" t="s">
        <v>5793</v>
      </c>
      <c r="G9731" s="100" t="s">
        <v>2961</v>
      </c>
      <c r="H9731" s="100"/>
      <c r="I9731" s="101" t="s">
        <v>3712</v>
      </c>
      <c r="J9731" s="580">
        <v>5</v>
      </c>
      <c r="K9731" s="580">
        <v>0</v>
      </c>
      <c r="L9731" s="102">
        <v>5.66</v>
      </c>
      <c r="M9731" s="102">
        <v>28.3</v>
      </c>
    </row>
    <row r="9732" ht="15" customHeight="1" spans="3:13">
      <c r="C9732" s="100" t="s">
        <v>2893</v>
      </c>
      <c r="D9732" s="99" t="s">
        <v>4337</v>
      </c>
      <c r="E9732" s="100" t="s">
        <v>796</v>
      </c>
      <c r="F9732" s="100" t="s">
        <v>4338</v>
      </c>
      <c r="G9732" s="100" t="s">
        <v>2961</v>
      </c>
      <c r="H9732" s="100"/>
      <c r="I9732" s="101" t="s">
        <v>3712</v>
      </c>
      <c r="J9732" s="580">
        <v>10</v>
      </c>
      <c r="K9732" s="580">
        <v>0</v>
      </c>
      <c r="L9732" s="102">
        <v>6.47</v>
      </c>
      <c r="M9732" s="102">
        <v>64.7</v>
      </c>
    </row>
    <row r="9733" ht="23.85" customHeight="1" spans="3:13">
      <c r="C9733" s="100" t="s">
        <v>2893</v>
      </c>
      <c r="D9733" s="99" t="s">
        <v>5794</v>
      </c>
      <c r="E9733" s="100" t="s">
        <v>796</v>
      </c>
      <c r="F9733" s="100" t="s">
        <v>5795</v>
      </c>
      <c r="G9733" s="100" t="s">
        <v>2961</v>
      </c>
      <c r="H9733" s="100"/>
      <c r="I9733" s="101" t="s">
        <v>334</v>
      </c>
      <c r="J9733" s="580">
        <v>100</v>
      </c>
      <c r="K9733" s="580">
        <v>0</v>
      </c>
      <c r="L9733" s="102">
        <v>0.21</v>
      </c>
      <c r="M9733" s="102">
        <v>21</v>
      </c>
    </row>
    <row r="9734" ht="15" customHeight="1" spans="3:13">
      <c r="C9734" s="100" t="s">
        <v>2893</v>
      </c>
      <c r="D9734" s="99" t="s">
        <v>5796</v>
      </c>
      <c r="E9734" s="100" t="s">
        <v>796</v>
      </c>
      <c r="F9734" s="100" t="s">
        <v>5797</v>
      </c>
      <c r="G9734" s="100" t="s">
        <v>2961</v>
      </c>
      <c r="H9734" s="100"/>
      <c r="I9734" s="101" t="s">
        <v>3712</v>
      </c>
      <c r="J9734" s="580">
        <v>10</v>
      </c>
      <c r="K9734" s="580">
        <v>0</v>
      </c>
      <c r="L9734" s="102">
        <v>6.28</v>
      </c>
      <c r="M9734" s="102">
        <v>62.8</v>
      </c>
    </row>
    <row r="9735" ht="15" customHeight="1" spans="3:13">
      <c r="C9735" s="100" t="s">
        <v>2893</v>
      </c>
      <c r="D9735" s="99" t="s">
        <v>5798</v>
      </c>
      <c r="E9735" s="100" t="s">
        <v>796</v>
      </c>
      <c r="F9735" s="100" t="s">
        <v>5799</v>
      </c>
      <c r="G9735" s="100" t="s">
        <v>2896</v>
      </c>
      <c r="H9735" s="100"/>
      <c r="I9735" s="101" t="s">
        <v>3707</v>
      </c>
      <c r="J9735" s="580">
        <v>6.15</v>
      </c>
      <c r="K9735" s="580">
        <v>0</v>
      </c>
      <c r="L9735" s="102">
        <v>30.57</v>
      </c>
      <c r="M9735" s="102">
        <v>188</v>
      </c>
    </row>
    <row r="9736" ht="15" customHeight="1" spans="3:13">
      <c r="C9736" s="100" t="s">
        <v>2893</v>
      </c>
      <c r="D9736" s="99" t="s">
        <v>4343</v>
      </c>
      <c r="E9736" s="100" t="s">
        <v>796</v>
      </c>
      <c r="F9736" s="100" t="s">
        <v>4344</v>
      </c>
      <c r="G9736" s="100" t="s">
        <v>2961</v>
      </c>
      <c r="H9736" s="100"/>
      <c r="I9736" s="101" t="s">
        <v>3712</v>
      </c>
      <c r="J9736" s="580">
        <v>12</v>
      </c>
      <c r="K9736" s="580">
        <v>0</v>
      </c>
      <c r="L9736" s="102">
        <v>7.32</v>
      </c>
      <c r="M9736" s="102">
        <v>87.84</v>
      </c>
    </row>
    <row r="9737" ht="15" customHeight="1" spans="3:13">
      <c r="C9737" s="100" t="s">
        <v>2893</v>
      </c>
      <c r="D9737" s="99" t="s">
        <v>3717</v>
      </c>
      <c r="E9737" s="100" t="s">
        <v>796</v>
      </c>
      <c r="F9737" s="100" t="s">
        <v>3718</v>
      </c>
      <c r="G9737" s="100" t="s">
        <v>2896</v>
      </c>
      <c r="H9737" s="100"/>
      <c r="I9737" s="101" t="s">
        <v>3707</v>
      </c>
      <c r="J9737" s="580">
        <v>6.15</v>
      </c>
      <c r="K9737" s="580">
        <v>0</v>
      </c>
      <c r="L9737" s="102">
        <v>23.89</v>
      </c>
      <c r="M9737" s="102">
        <v>146.92</v>
      </c>
    </row>
    <row r="9738" ht="25.5" spans="3:13">
      <c r="C9738" s="108"/>
      <c r="D9738" s="108"/>
      <c r="E9738" s="108"/>
      <c r="F9738" s="108"/>
      <c r="G9738" s="108"/>
      <c r="H9738" s="108" t="s">
        <v>2898</v>
      </c>
      <c r="I9738" s="581">
        <v>1279.32</v>
      </c>
      <c r="J9738" s="108" t="s">
        <v>2899</v>
      </c>
      <c r="K9738" s="581">
        <v>0</v>
      </c>
      <c r="L9738" s="108" t="s">
        <v>2900</v>
      </c>
      <c r="M9738" s="581">
        <v>1279.32</v>
      </c>
    </row>
    <row r="9739" ht="26.25" spans="3:13">
      <c r="C9739" s="108"/>
      <c r="D9739" s="108"/>
      <c r="E9739" s="108"/>
      <c r="F9739" s="108"/>
      <c r="G9739" s="108"/>
      <c r="H9739" s="108" t="s">
        <v>2901</v>
      </c>
      <c r="I9739" s="581">
        <v>733.55</v>
      </c>
      <c r="J9739" s="114"/>
      <c r="K9739" s="114" t="s">
        <v>2902</v>
      </c>
      <c r="L9739" s="108"/>
      <c r="M9739" s="581">
        <v>3611.38</v>
      </c>
    </row>
    <row r="9740" ht="15" spans="3:13">
      <c r="C9740" s="571"/>
      <c r="D9740" s="571"/>
      <c r="E9740" s="571"/>
      <c r="F9740" s="571"/>
      <c r="G9740" s="571"/>
      <c r="H9740" s="571"/>
      <c r="I9740" s="571"/>
      <c r="J9740" s="571"/>
      <c r="K9740" s="571"/>
      <c r="L9740" s="571"/>
      <c r="M9740" s="571"/>
    </row>
    <row r="9741" ht="15" customHeight="1" spans="3:13">
      <c r="C9741" s="76"/>
      <c r="D9741" s="75" t="s">
        <v>63</v>
      </c>
      <c r="E9741" s="76" t="s">
        <v>64</v>
      </c>
      <c r="F9741" s="76" t="s">
        <v>65</v>
      </c>
      <c r="G9741" s="76" t="s">
        <v>2889</v>
      </c>
      <c r="H9741" s="76"/>
      <c r="I9741" s="77" t="s">
        <v>66</v>
      </c>
      <c r="J9741" s="75" t="s">
        <v>67</v>
      </c>
      <c r="K9741" s="75" t="s">
        <v>2890</v>
      </c>
      <c r="L9741" s="75" t="s">
        <v>68</v>
      </c>
      <c r="M9741" s="75" t="s">
        <v>70</v>
      </c>
    </row>
    <row r="9742" ht="35.05" customHeight="1" spans="3:13">
      <c r="C9742" s="569" t="s">
        <v>2891</v>
      </c>
      <c r="D9742" s="570" t="s">
        <v>4322</v>
      </c>
      <c r="E9742" s="569" t="s">
        <v>796</v>
      </c>
      <c r="F9742" s="569" t="s">
        <v>4323</v>
      </c>
      <c r="G9742" s="569" t="s">
        <v>4116</v>
      </c>
      <c r="H9742" s="569"/>
      <c r="I9742" s="577" t="s">
        <v>279</v>
      </c>
      <c r="J9742" s="578">
        <v>1</v>
      </c>
      <c r="K9742" s="579"/>
      <c r="L9742" s="579">
        <v>309.29</v>
      </c>
      <c r="M9742" s="579">
        <v>309.29</v>
      </c>
    </row>
    <row r="9743" ht="15" customHeight="1" spans="3:13">
      <c r="C9743" s="100" t="s">
        <v>2893</v>
      </c>
      <c r="D9743" s="99" t="s">
        <v>5800</v>
      </c>
      <c r="E9743" s="100" t="s">
        <v>796</v>
      </c>
      <c r="F9743" s="100" t="s">
        <v>5801</v>
      </c>
      <c r="G9743" s="100" t="s">
        <v>5444</v>
      </c>
      <c r="H9743" s="100"/>
      <c r="I9743" s="101" t="s">
        <v>279</v>
      </c>
      <c r="J9743" s="580">
        <v>0.02275</v>
      </c>
      <c r="K9743" s="580">
        <v>0</v>
      </c>
      <c r="L9743" s="102">
        <v>136.3</v>
      </c>
      <c r="M9743" s="102">
        <v>3.1</v>
      </c>
    </row>
    <row r="9744" ht="15" customHeight="1" spans="3:13">
      <c r="C9744" s="100" t="s">
        <v>2893</v>
      </c>
      <c r="D9744" s="99" t="s">
        <v>5802</v>
      </c>
      <c r="E9744" s="100" t="s">
        <v>796</v>
      </c>
      <c r="F9744" s="100" t="s">
        <v>5803</v>
      </c>
      <c r="G9744" s="100" t="s">
        <v>2961</v>
      </c>
      <c r="H9744" s="100"/>
      <c r="I9744" s="101" t="s">
        <v>279</v>
      </c>
      <c r="J9744" s="580">
        <v>0.455</v>
      </c>
      <c r="K9744" s="580">
        <v>0</v>
      </c>
      <c r="L9744" s="102">
        <v>136.3</v>
      </c>
      <c r="M9744" s="102">
        <v>62.01</v>
      </c>
    </row>
    <row r="9745" ht="15" customHeight="1" spans="3:13">
      <c r="C9745" s="100" t="s">
        <v>2893</v>
      </c>
      <c r="D9745" s="99" t="s">
        <v>5804</v>
      </c>
      <c r="E9745" s="100" t="s">
        <v>796</v>
      </c>
      <c r="F9745" s="100" t="s">
        <v>5805</v>
      </c>
      <c r="G9745" s="100" t="s">
        <v>5444</v>
      </c>
      <c r="H9745" s="100"/>
      <c r="I9745" s="101" t="s">
        <v>279</v>
      </c>
      <c r="J9745" s="580">
        <v>0.02275</v>
      </c>
      <c r="K9745" s="580">
        <v>0</v>
      </c>
      <c r="L9745" s="102">
        <v>141.38</v>
      </c>
      <c r="M9745" s="102">
        <v>3.21</v>
      </c>
    </row>
    <row r="9746" ht="15" customHeight="1" spans="3:13">
      <c r="C9746" s="100" t="s">
        <v>2893</v>
      </c>
      <c r="D9746" s="99" t="s">
        <v>5806</v>
      </c>
      <c r="E9746" s="100" t="s">
        <v>796</v>
      </c>
      <c r="F9746" s="100" t="s">
        <v>5807</v>
      </c>
      <c r="G9746" s="100" t="s">
        <v>2961</v>
      </c>
      <c r="H9746" s="100"/>
      <c r="I9746" s="101" t="s">
        <v>279</v>
      </c>
      <c r="J9746" s="580">
        <v>0.455</v>
      </c>
      <c r="K9746" s="580">
        <v>0</v>
      </c>
      <c r="L9746" s="102">
        <v>141.38</v>
      </c>
      <c r="M9746" s="102">
        <v>64.32</v>
      </c>
    </row>
    <row r="9747" ht="15" customHeight="1" spans="3:13">
      <c r="C9747" s="100" t="s">
        <v>2893</v>
      </c>
      <c r="D9747" s="99" t="s">
        <v>5442</v>
      </c>
      <c r="E9747" s="100" t="s">
        <v>796</v>
      </c>
      <c r="F9747" s="100" t="s">
        <v>5443</v>
      </c>
      <c r="G9747" s="100" t="s">
        <v>5444</v>
      </c>
      <c r="H9747" s="100"/>
      <c r="I9747" s="101" t="s">
        <v>3712</v>
      </c>
      <c r="J9747" s="580">
        <v>9</v>
      </c>
      <c r="K9747" s="580">
        <v>0</v>
      </c>
      <c r="L9747" s="102">
        <v>0.62</v>
      </c>
      <c r="M9747" s="102">
        <v>5.58</v>
      </c>
    </row>
    <row r="9748" ht="15" customHeight="1" spans="3:13">
      <c r="C9748" s="100" t="s">
        <v>2893</v>
      </c>
      <c r="D9748" s="99" t="s">
        <v>5445</v>
      </c>
      <c r="E9748" s="100" t="s">
        <v>796</v>
      </c>
      <c r="F9748" s="100" t="s">
        <v>5446</v>
      </c>
      <c r="G9748" s="100" t="s">
        <v>2961</v>
      </c>
      <c r="H9748" s="100"/>
      <c r="I9748" s="101" t="s">
        <v>3712</v>
      </c>
      <c r="J9748" s="580">
        <v>180</v>
      </c>
      <c r="K9748" s="580">
        <v>0</v>
      </c>
      <c r="L9748" s="102">
        <v>0.62</v>
      </c>
      <c r="M9748" s="102">
        <v>111.6</v>
      </c>
    </row>
    <row r="9749" ht="15" customHeight="1" spans="3:13">
      <c r="C9749" s="100" t="s">
        <v>2893</v>
      </c>
      <c r="D9749" s="99" t="s">
        <v>5447</v>
      </c>
      <c r="E9749" s="100" t="s">
        <v>796</v>
      </c>
      <c r="F9749" s="100" t="s">
        <v>5448</v>
      </c>
      <c r="G9749" s="100" t="s">
        <v>5444</v>
      </c>
      <c r="H9749" s="100"/>
      <c r="I9749" s="101" t="s">
        <v>279</v>
      </c>
      <c r="J9749" s="580">
        <v>0.03</v>
      </c>
      <c r="K9749" s="580">
        <v>0</v>
      </c>
      <c r="L9749" s="102">
        <v>94.4</v>
      </c>
      <c r="M9749" s="102">
        <v>2.83</v>
      </c>
    </row>
    <row r="9750" ht="15" customHeight="1" spans="3:13">
      <c r="C9750" s="100" t="s">
        <v>2893</v>
      </c>
      <c r="D9750" s="99" t="s">
        <v>5449</v>
      </c>
      <c r="E9750" s="100" t="s">
        <v>796</v>
      </c>
      <c r="F9750" s="100" t="s">
        <v>5450</v>
      </c>
      <c r="G9750" s="100" t="s">
        <v>2961</v>
      </c>
      <c r="H9750" s="100"/>
      <c r="I9750" s="101" t="s">
        <v>279</v>
      </c>
      <c r="J9750" s="580">
        <v>0.6</v>
      </c>
      <c r="K9750" s="580">
        <v>0</v>
      </c>
      <c r="L9750" s="102">
        <v>94.4</v>
      </c>
      <c r="M9750" s="102">
        <v>56.64</v>
      </c>
    </row>
    <row r="9751" ht="25.5" spans="3:13">
      <c r="C9751" s="108"/>
      <c r="D9751" s="108"/>
      <c r="E9751" s="108"/>
      <c r="F9751" s="108"/>
      <c r="G9751" s="108"/>
      <c r="H9751" s="108" t="s">
        <v>2898</v>
      </c>
      <c r="I9751" s="581">
        <v>0</v>
      </c>
      <c r="J9751" s="108" t="s">
        <v>2899</v>
      </c>
      <c r="K9751" s="581">
        <v>0</v>
      </c>
      <c r="L9751" s="108" t="s">
        <v>2900</v>
      </c>
      <c r="M9751" s="581">
        <v>0</v>
      </c>
    </row>
    <row r="9752" ht="26.25" spans="3:13">
      <c r="C9752" s="108"/>
      <c r="D9752" s="108"/>
      <c r="E9752" s="108"/>
      <c r="F9752" s="108"/>
      <c r="G9752" s="108"/>
      <c r="H9752" s="108" t="s">
        <v>2901</v>
      </c>
      <c r="I9752" s="581">
        <v>78.83</v>
      </c>
      <c r="J9752" s="114"/>
      <c r="K9752" s="114" t="s">
        <v>2902</v>
      </c>
      <c r="L9752" s="108"/>
      <c r="M9752" s="581">
        <v>388.12</v>
      </c>
    </row>
    <row r="9753" ht="15" spans="3:13">
      <c r="C9753" s="571"/>
      <c r="D9753" s="571"/>
      <c r="E9753" s="571"/>
      <c r="F9753" s="571"/>
      <c r="G9753" s="571"/>
      <c r="H9753" s="571"/>
      <c r="I9753" s="571"/>
      <c r="J9753" s="571"/>
      <c r="K9753" s="571"/>
      <c r="L9753" s="571"/>
      <c r="M9753" s="571"/>
    </row>
    <row r="9754" ht="15" customHeight="1" spans="3:13">
      <c r="C9754" s="76"/>
      <c r="D9754" s="75" t="s">
        <v>63</v>
      </c>
      <c r="E9754" s="76" t="s">
        <v>64</v>
      </c>
      <c r="F9754" s="76" t="s">
        <v>65</v>
      </c>
      <c r="G9754" s="76" t="s">
        <v>2889</v>
      </c>
      <c r="H9754" s="76"/>
      <c r="I9754" s="77" t="s">
        <v>66</v>
      </c>
      <c r="J9754" s="75" t="s">
        <v>67</v>
      </c>
      <c r="K9754" s="75" t="s">
        <v>2890</v>
      </c>
      <c r="L9754" s="75" t="s">
        <v>68</v>
      </c>
      <c r="M9754" s="75" t="s">
        <v>70</v>
      </c>
    </row>
    <row r="9755" ht="23.85" customHeight="1" spans="3:13">
      <c r="C9755" s="569" t="s">
        <v>2891</v>
      </c>
      <c r="D9755" s="570" t="s">
        <v>4328</v>
      </c>
      <c r="E9755" s="569" t="s">
        <v>796</v>
      </c>
      <c r="F9755" s="569" t="s">
        <v>4329</v>
      </c>
      <c r="G9755" s="569" t="s">
        <v>4116</v>
      </c>
      <c r="H9755" s="569"/>
      <c r="I9755" s="577" t="s">
        <v>3712</v>
      </c>
      <c r="J9755" s="578">
        <v>1</v>
      </c>
      <c r="K9755" s="579"/>
      <c r="L9755" s="579">
        <v>5.87</v>
      </c>
      <c r="M9755" s="579">
        <v>5.87</v>
      </c>
    </row>
    <row r="9756" ht="15" customHeight="1" spans="3:13">
      <c r="C9756" s="100" t="s">
        <v>2893</v>
      </c>
      <c r="D9756" s="99" t="s">
        <v>3717</v>
      </c>
      <c r="E9756" s="100" t="s">
        <v>796</v>
      </c>
      <c r="F9756" s="100" t="s">
        <v>3718</v>
      </c>
      <c r="G9756" s="100" t="s">
        <v>2896</v>
      </c>
      <c r="H9756" s="100"/>
      <c r="I9756" s="101" t="s">
        <v>3707</v>
      </c>
      <c r="J9756" s="580">
        <v>0.105</v>
      </c>
      <c r="K9756" s="580">
        <v>0</v>
      </c>
      <c r="L9756" s="102">
        <v>23.89</v>
      </c>
      <c r="M9756" s="102">
        <v>2.5</v>
      </c>
    </row>
    <row r="9757" ht="15" customHeight="1" spans="3:13">
      <c r="C9757" s="100" t="s">
        <v>2893</v>
      </c>
      <c r="D9757" s="99" t="s">
        <v>5798</v>
      </c>
      <c r="E9757" s="100" t="s">
        <v>796</v>
      </c>
      <c r="F9757" s="100" t="s">
        <v>5799</v>
      </c>
      <c r="G9757" s="100" t="s">
        <v>2896</v>
      </c>
      <c r="H9757" s="100"/>
      <c r="I9757" s="101" t="s">
        <v>3707</v>
      </c>
      <c r="J9757" s="580">
        <v>0.105</v>
      </c>
      <c r="K9757" s="580">
        <v>0</v>
      </c>
      <c r="L9757" s="102">
        <v>30.57</v>
      </c>
      <c r="M9757" s="102">
        <v>3.2</v>
      </c>
    </row>
    <row r="9758" ht="35.05" customHeight="1" spans="3:13">
      <c r="C9758" s="100" t="s">
        <v>2893</v>
      </c>
      <c r="D9758" s="99" t="s">
        <v>3713</v>
      </c>
      <c r="E9758" s="100" t="s">
        <v>796</v>
      </c>
      <c r="F9758" s="100" t="s">
        <v>3714</v>
      </c>
      <c r="G9758" s="100" t="s">
        <v>3715</v>
      </c>
      <c r="H9758" s="100"/>
      <c r="I9758" s="101" t="s">
        <v>3716</v>
      </c>
      <c r="J9758" s="580">
        <v>5.7</v>
      </c>
      <c r="K9758" s="580">
        <v>3</v>
      </c>
      <c r="L9758" s="102">
        <v>1</v>
      </c>
      <c r="M9758" s="102">
        <v>0.17</v>
      </c>
    </row>
    <row r="9759" ht="25.5" spans="3:13">
      <c r="C9759" s="108"/>
      <c r="D9759" s="108"/>
      <c r="E9759" s="108"/>
      <c r="F9759" s="108"/>
      <c r="G9759" s="108"/>
      <c r="H9759" s="108" t="s">
        <v>2898</v>
      </c>
      <c r="I9759" s="581">
        <v>5.7</v>
      </c>
      <c r="J9759" s="108" t="s">
        <v>2899</v>
      </c>
      <c r="K9759" s="581">
        <v>0</v>
      </c>
      <c r="L9759" s="108" t="s">
        <v>2900</v>
      </c>
      <c r="M9759" s="581">
        <v>5.7</v>
      </c>
    </row>
    <row r="9760" ht="26.25" spans="3:13">
      <c r="C9760" s="108"/>
      <c r="D9760" s="108"/>
      <c r="E9760" s="108"/>
      <c r="F9760" s="108"/>
      <c r="G9760" s="108"/>
      <c r="H9760" s="108" t="s">
        <v>2901</v>
      </c>
      <c r="I9760" s="581">
        <v>1.49</v>
      </c>
      <c r="J9760" s="114"/>
      <c r="K9760" s="114" t="s">
        <v>2902</v>
      </c>
      <c r="L9760" s="108"/>
      <c r="M9760" s="581">
        <v>7.36</v>
      </c>
    </row>
    <row r="9761" ht="15" spans="3:13">
      <c r="C9761" s="571"/>
      <c r="D9761" s="571"/>
      <c r="E9761" s="571"/>
      <c r="F9761" s="571"/>
      <c r="G9761" s="571"/>
      <c r="H9761" s="571"/>
      <c r="I9761" s="571"/>
      <c r="J9761" s="571"/>
      <c r="K9761" s="571"/>
      <c r="L9761" s="571"/>
      <c r="M9761" s="571"/>
    </row>
    <row r="9762" ht="15" customHeight="1" spans="3:13">
      <c r="C9762" s="76"/>
      <c r="D9762" s="75" t="s">
        <v>63</v>
      </c>
      <c r="E9762" s="76" t="s">
        <v>64</v>
      </c>
      <c r="F9762" s="76" t="s">
        <v>65</v>
      </c>
      <c r="G9762" s="76" t="s">
        <v>2889</v>
      </c>
      <c r="H9762" s="76"/>
      <c r="I9762" s="77" t="s">
        <v>66</v>
      </c>
      <c r="J9762" s="75" t="s">
        <v>67</v>
      </c>
      <c r="K9762" s="75" t="s">
        <v>2890</v>
      </c>
      <c r="L9762" s="75" t="s">
        <v>68</v>
      </c>
      <c r="M9762" s="75" t="s">
        <v>70</v>
      </c>
    </row>
    <row r="9763" ht="15" customHeight="1" spans="3:13">
      <c r="C9763" s="569" t="s">
        <v>2891</v>
      </c>
      <c r="D9763" s="570" t="s">
        <v>3274</v>
      </c>
      <c r="E9763" s="569" t="s">
        <v>149</v>
      </c>
      <c r="F9763" s="569" t="s">
        <v>3275</v>
      </c>
      <c r="G9763" s="569" t="s">
        <v>3276</v>
      </c>
      <c r="H9763" s="569"/>
      <c r="I9763" s="577" t="s">
        <v>134</v>
      </c>
      <c r="J9763" s="578">
        <v>1</v>
      </c>
      <c r="K9763" s="579"/>
      <c r="L9763" s="579">
        <v>2839.28</v>
      </c>
      <c r="M9763" s="579">
        <v>2839.28</v>
      </c>
    </row>
    <row r="9764" ht="15" customHeight="1" spans="3:13">
      <c r="C9764" s="100" t="s">
        <v>2893</v>
      </c>
      <c r="D9764" s="99" t="s">
        <v>2974</v>
      </c>
      <c r="E9764" s="100" t="s">
        <v>149</v>
      </c>
      <c r="F9764" s="100" t="s">
        <v>2975</v>
      </c>
      <c r="G9764" s="100" t="s">
        <v>2896</v>
      </c>
      <c r="H9764" s="100"/>
      <c r="I9764" s="101" t="s">
        <v>2897</v>
      </c>
      <c r="J9764" s="580">
        <v>61.86</v>
      </c>
      <c r="K9764" s="580">
        <v>0</v>
      </c>
      <c r="L9764" s="102">
        <v>19.471856</v>
      </c>
      <c r="M9764" s="102">
        <v>1204.52</v>
      </c>
    </row>
    <row r="9765" ht="15" customHeight="1" spans="3:13">
      <c r="C9765" s="100" t="s">
        <v>2893</v>
      </c>
      <c r="D9765" s="99" t="s">
        <v>4600</v>
      </c>
      <c r="E9765" s="100" t="s">
        <v>149</v>
      </c>
      <c r="F9765" s="100" t="s">
        <v>4601</v>
      </c>
      <c r="G9765" s="100" t="s">
        <v>2896</v>
      </c>
      <c r="H9765" s="100"/>
      <c r="I9765" s="101" t="s">
        <v>2897</v>
      </c>
      <c r="J9765" s="580">
        <v>37.116</v>
      </c>
      <c r="K9765" s="580">
        <v>0</v>
      </c>
      <c r="L9765" s="102">
        <v>20.515752</v>
      </c>
      <c r="M9765" s="102">
        <v>761.46</v>
      </c>
    </row>
    <row r="9766" ht="15" customHeight="1" spans="3:13">
      <c r="C9766" s="100" t="s">
        <v>2893</v>
      </c>
      <c r="D9766" s="99" t="s">
        <v>4604</v>
      </c>
      <c r="E9766" s="100" t="s">
        <v>149</v>
      </c>
      <c r="F9766" s="100" t="s">
        <v>4605</v>
      </c>
      <c r="G9766" s="100" t="s">
        <v>2896</v>
      </c>
      <c r="H9766" s="100"/>
      <c r="I9766" s="101" t="s">
        <v>2897</v>
      </c>
      <c r="J9766" s="580">
        <v>28.868</v>
      </c>
      <c r="K9766" s="580">
        <v>0</v>
      </c>
      <c r="L9766" s="102">
        <v>30.25168</v>
      </c>
      <c r="M9766" s="102">
        <v>873.3</v>
      </c>
    </row>
    <row r="9767" ht="25.5" spans="3:13">
      <c r="C9767" s="108"/>
      <c r="D9767" s="108"/>
      <c r="E9767" s="108"/>
      <c r="F9767" s="108"/>
      <c r="G9767" s="108"/>
      <c r="H9767" s="108" t="s">
        <v>2898</v>
      </c>
      <c r="I9767" s="581">
        <v>2839.28</v>
      </c>
      <c r="J9767" s="108" t="s">
        <v>2899</v>
      </c>
      <c r="K9767" s="581">
        <v>0</v>
      </c>
      <c r="L9767" s="108" t="s">
        <v>2900</v>
      </c>
      <c r="M9767" s="581">
        <v>2839.28</v>
      </c>
    </row>
    <row r="9768" ht="26.25" spans="3:13">
      <c r="C9768" s="108"/>
      <c r="D9768" s="108"/>
      <c r="E9768" s="108"/>
      <c r="F9768" s="108"/>
      <c r="G9768" s="108"/>
      <c r="H9768" s="108" t="s">
        <v>2901</v>
      </c>
      <c r="I9768" s="581">
        <v>723.73</v>
      </c>
      <c r="J9768" s="114"/>
      <c r="K9768" s="114" t="s">
        <v>2902</v>
      </c>
      <c r="L9768" s="108"/>
      <c r="M9768" s="581">
        <v>3563.01</v>
      </c>
    </row>
    <row r="9769" ht="15" spans="3:13">
      <c r="C9769" s="571"/>
      <c r="D9769" s="571"/>
      <c r="E9769" s="571"/>
      <c r="F9769" s="571"/>
      <c r="G9769" s="571"/>
      <c r="H9769" s="571"/>
      <c r="I9769" s="571"/>
      <c r="J9769" s="571"/>
      <c r="K9769" s="571"/>
      <c r="L9769" s="571"/>
      <c r="M9769" s="571"/>
    </row>
    <row r="9770" ht="15" customHeight="1" spans="3:13">
      <c r="C9770" s="76"/>
      <c r="D9770" s="75" t="s">
        <v>63</v>
      </c>
      <c r="E9770" s="76" t="s">
        <v>64</v>
      </c>
      <c r="F9770" s="76" t="s">
        <v>65</v>
      </c>
      <c r="G9770" s="76" t="s">
        <v>2889</v>
      </c>
      <c r="H9770" s="76"/>
      <c r="I9770" s="77" t="s">
        <v>66</v>
      </c>
      <c r="J9770" s="75" t="s">
        <v>67</v>
      </c>
      <c r="K9770" s="75" t="s">
        <v>2890</v>
      </c>
      <c r="L9770" s="75" t="s">
        <v>68</v>
      </c>
      <c r="M9770" s="75" t="s">
        <v>70</v>
      </c>
    </row>
    <row r="9771" ht="35.05" customHeight="1" spans="3:13">
      <c r="C9771" s="569" t="s">
        <v>2891</v>
      </c>
      <c r="D9771" s="570" t="s">
        <v>3222</v>
      </c>
      <c r="E9771" s="569" t="s">
        <v>139</v>
      </c>
      <c r="F9771" s="569" t="s">
        <v>3223</v>
      </c>
      <c r="G9771" s="569" t="s">
        <v>3181</v>
      </c>
      <c r="H9771" s="569"/>
      <c r="I9771" s="577" t="s">
        <v>134</v>
      </c>
      <c r="J9771" s="578">
        <v>1</v>
      </c>
      <c r="K9771" s="579"/>
      <c r="L9771" s="579">
        <v>27.3</v>
      </c>
      <c r="M9771" s="579">
        <v>27.3</v>
      </c>
    </row>
    <row r="9772" ht="23.85" customHeight="1" spans="3:13">
      <c r="C9772" s="79" t="s">
        <v>2921</v>
      </c>
      <c r="D9772" s="78" t="s">
        <v>3151</v>
      </c>
      <c r="E9772" s="79" t="s">
        <v>139</v>
      </c>
      <c r="F9772" s="79" t="s">
        <v>3152</v>
      </c>
      <c r="G9772" s="79" t="s">
        <v>2928</v>
      </c>
      <c r="H9772" s="79"/>
      <c r="I9772" s="80" t="s">
        <v>2897</v>
      </c>
      <c r="J9772" s="583">
        <v>0.12714</v>
      </c>
      <c r="K9772" s="583">
        <v>0</v>
      </c>
      <c r="L9772" s="92">
        <v>36.82</v>
      </c>
      <c r="M9772" s="92">
        <v>4.68</v>
      </c>
    </row>
    <row r="9773" ht="23.85" customHeight="1" spans="3:13">
      <c r="C9773" s="79" t="s">
        <v>2921</v>
      </c>
      <c r="D9773" s="78" t="s">
        <v>3153</v>
      </c>
      <c r="E9773" s="79" t="s">
        <v>139</v>
      </c>
      <c r="F9773" s="79" t="s">
        <v>3154</v>
      </c>
      <c r="G9773" s="79" t="s">
        <v>2928</v>
      </c>
      <c r="H9773" s="79"/>
      <c r="I9773" s="80" t="s">
        <v>2897</v>
      </c>
      <c r="J9773" s="583">
        <v>0.12714</v>
      </c>
      <c r="K9773" s="583">
        <v>0</v>
      </c>
      <c r="L9773" s="92">
        <v>30.6</v>
      </c>
      <c r="M9773" s="92">
        <v>3.89</v>
      </c>
    </row>
    <row r="9774" ht="23.85" customHeight="1" spans="3:13">
      <c r="C9774" s="100" t="s">
        <v>2893</v>
      </c>
      <c r="D9774" s="99" t="s">
        <v>5808</v>
      </c>
      <c r="E9774" s="100" t="s">
        <v>139</v>
      </c>
      <c r="F9774" s="100" t="s">
        <v>5809</v>
      </c>
      <c r="G9774" s="100" t="s">
        <v>2961</v>
      </c>
      <c r="H9774" s="100"/>
      <c r="I9774" s="101" t="s">
        <v>134</v>
      </c>
      <c r="J9774" s="580">
        <v>1</v>
      </c>
      <c r="K9774" s="580">
        <v>0</v>
      </c>
      <c r="L9774" s="102">
        <v>16.94</v>
      </c>
      <c r="M9774" s="102">
        <v>16.94</v>
      </c>
    </row>
    <row r="9775" ht="23.85" customHeight="1" spans="3:13">
      <c r="C9775" s="100" t="s">
        <v>2893</v>
      </c>
      <c r="D9775" s="99" t="s">
        <v>5810</v>
      </c>
      <c r="E9775" s="100" t="s">
        <v>139</v>
      </c>
      <c r="F9775" s="100" t="s">
        <v>5811</v>
      </c>
      <c r="G9775" s="100" t="s">
        <v>2961</v>
      </c>
      <c r="H9775" s="100"/>
      <c r="I9775" s="101" t="s">
        <v>134</v>
      </c>
      <c r="J9775" s="580">
        <v>1</v>
      </c>
      <c r="K9775" s="580">
        <v>0</v>
      </c>
      <c r="L9775" s="102">
        <v>1.79</v>
      </c>
      <c r="M9775" s="102">
        <v>1.79</v>
      </c>
    </row>
    <row r="9776" ht="25.5" spans="3:13">
      <c r="C9776" s="108"/>
      <c r="D9776" s="108"/>
      <c r="E9776" s="108"/>
      <c r="F9776" s="108"/>
      <c r="G9776" s="108"/>
      <c r="H9776" s="108" t="s">
        <v>2898</v>
      </c>
      <c r="I9776" s="581">
        <v>6.01</v>
      </c>
      <c r="J9776" s="108" t="s">
        <v>2899</v>
      </c>
      <c r="K9776" s="581">
        <v>0</v>
      </c>
      <c r="L9776" s="108" t="s">
        <v>2900</v>
      </c>
      <c r="M9776" s="581">
        <v>6.01</v>
      </c>
    </row>
    <row r="9777" ht="26.25" spans="3:13">
      <c r="C9777" s="108"/>
      <c r="D9777" s="108"/>
      <c r="E9777" s="108"/>
      <c r="F9777" s="108"/>
      <c r="G9777" s="108"/>
      <c r="H9777" s="108" t="s">
        <v>2901</v>
      </c>
      <c r="I9777" s="581">
        <v>6.95</v>
      </c>
      <c r="J9777" s="114"/>
      <c r="K9777" s="114" t="s">
        <v>2902</v>
      </c>
      <c r="L9777" s="108"/>
      <c r="M9777" s="581">
        <v>34.25</v>
      </c>
    </row>
    <row r="9778" ht="15" spans="3:13">
      <c r="C9778" s="571"/>
      <c r="D9778" s="571"/>
      <c r="E9778" s="571"/>
      <c r="F9778" s="571"/>
      <c r="G9778" s="571"/>
      <c r="H9778" s="571"/>
      <c r="I9778" s="571"/>
      <c r="J9778" s="571"/>
      <c r="K9778" s="571"/>
      <c r="L9778" s="571"/>
      <c r="M9778" s="571"/>
    </row>
    <row r="9779" ht="15" customHeight="1" spans="3:13">
      <c r="C9779" s="76"/>
      <c r="D9779" s="75" t="s">
        <v>63</v>
      </c>
      <c r="E9779" s="76" t="s">
        <v>64</v>
      </c>
      <c r="F9779" s="76" t="s">
        <v>65</v>
      </c>
      <c r="G9779" s="76" t="s">
        <v>2889</v>
      </c>
      <c r="H9779" s="76"/>
      <c r="I9779" s="77" t="s">
        <v>66</v>
      </c>
      <c r="J9779" s="75" t="s">
        <v>67</v>
      </c>
      <c r="K9779" s="75" t="s">
        <v>2890</v>
      </c>
      <c r="L9779" s="75" t="s">
        <v>68</v>
      </c>
      <c r="M9779" s="75" t="s">
        <v>70</v>
      </c>
    </row>
    <row r="9780" ht="23.85" customHeight="1" spans="3:13">
      <c r="C9780" s="569" t="s">
        <v>2891</v>
      </c>
      <c r="D9780" s="570" t="s">
        <v>3151</v>
      </c>
      <c r="E9780" s="569" t="s">
        <v>139</v>
      </c>
      <c r="F9780" s="569" t="s">
        <v>3152</v>
      </c>
      <c r="G9780" s="569" t="s">
        <v>2928</v>
      </c>
      <c r="H9780" s="569"/>
      <c r="I9780" s="577" t="s">
        <v>2897</v>
      </c>
      <c r="J9780" s="578">
        <v>1</v>
      </c>
      <c r="K9780" s="579"/>
      <c r="L9780" s="579">
        <v>36.82</v>
      </c>
      <c r="M9780" s="579">
        <v>36.82</v>
      </c>
    </row>
    <row r="9781" ht="23.85" customHeight="1" spans="3:13">
      <c r="C9781" s="79" t="s">
        <v>2921</v>
      </c>
      <c r="D9781" s="78" t="s">
        <v>5628</v>
      </c>
      <c r="E9781" s="79" t="s">
        <v>139</v>
      </c>
      <c r="F9781" s="79" t="s">
        <v>5629</v>
      </c>
      <c r="G9781" s="79" t="s">
        <v>2928</v>
      </c>
      <c r="H9781" s="79"/>
      <c r="I9781" s="80" t="s">
        <v>2897</v>
      </c>
      <c r="J9781" s="583">
        <v>1</v>
      </c>
      <c r="K9781" s="583">
        <v>0</v>
      </c>
      <c r="L9781" s="92">
        <v>0.96</v>
      </c>
      <c r="M9781" s="92">
        <v>0.96</v>
      </c>
    </row>
    <row r="9782" ht="23.85" customHeight="1" spans="3:13">
      <c r="C9782" s="100" t="s">
        <v>2893</v>
      </c>
      <c r="D9782" s="99" t="s">
        <v>5396</v>
      </c>
      <c r="E9782" s="100" t="s">
        <v>139</v>
      </c>
      <c r="F9782" s="100" t="s">
        <v>5397</v>
      </c>
      <c r="G9782" s="100" t="s">
        <v>2961</v>
      </c>
      <c r="H9782" s="100"/>
      <c r="I9782" s="101" t="s">
        <v>2897</v>
      </c>
      <c r="J9782" s="580">
        <v>1</v>
      </c>
      <c r="K9782" s="580">
        <v>0</v>
      </c>
      <c r="L9782" s="102">
        <v>0.86</v>
      </c>
      <c r="M9782" s="102">
        <v>0.86</v>
      </c>
    </row>
    <row r="9783" ht="23.85" customHeight="1" spans="3:13">
      <c r="C9783" s="100" t="s">
        <v>2893</v>
      </c>
      <c r="D9783" s="99" t="s">
        <v>5310</v>
      </c>
      <c r="E9783" s="100" t="s">
        <v>139</v>
      </c>
      <c r="F9783" s="100" t="s">
        <v>5311</v>
      </c>
      <c r="G9783" s="100" t="s">
        <v>2961</v>
      </c>
      <c r="H9783" s="100"/>
      <c r="I9783" s="101" t="s">
        <v>2897</v>
      </c>
      <c r="J9783" s="580">
        <v>1</v>
      </c>
      <c r="K9783" s="580">
        <v>0</v>
      </c>
      <c r="L9783" s="102">
        <v>1.58</v>
      </c>
      <c r="M9783" s="102">
        <v>1.58</v>
      </c>
    </row>
    <row r="9784" ht="15" customHeight="1" spans="3:13">
      <c r="C9784" s="100" t="s">
        <v>2893</v>
      </c>
      <c r="D9784" s="99" t="s">
        <v>5312</v>
      </c>
      <c r="E9784" s="100" t="s">
        <v>139</v>
      </c>
      <c r="F9784" s="100" t="s">
        <v>5313</v>
      </c>
      <c r="G9784" s="100" t="s">
        <v>2961</v>
      </c>
      <c r="H9784" s="100"/>
      <c r="I9784" s="101" t="s">
        <v>2897</v>
      </c>
      <c r="J9784" s="580">
        <v>1</v>
      </c>
      <c r="K9784" s="580">
        <v>0</v>
      </c>
      <c r="L9784" s="102">
        <v>0.08</v>
      </c>
      <c r="M9784" s="102">
        <v>0.08</v>
      </c>
    </row>
    <row r="9785" ht="15" customHeight="1" spans="3:13">
      <c r="C9785" s="100" t="s">
        <v>2893</v>
      </c>
      <c r="D9785" s="99" t="s">
        <v>5306</v>
      </c>
      <c r="E9785" s="100" t="s">
        <v>139</v>
      </c>
      <c r="F9785" s="100" t="s">
        <v>5307</v>
      </c>
      <c r="G9785" s="100" t="s">
        <v>2961</v>
      </c>
      <c r="H9785" s="100"/>
      <c r="I9785" s="101" t="s">
        <v>2897</v>
      </c>
      <c r="J9785" s="580">
        <v>1</v>
      </c>
      <c r="K9785" s="580">
        <v>0</v>
      </c>
      <c r="L9785" s="102">
        <v>1.43</v>
      </c>
      <c r="M9785" s="102">
        <v>1.43</v>
      </c>
    </row>
    <row r="9786" ht="15" customHeight="1" spans="3:13">
      <c r="C9786" s="100" t="s">
        <v>2893</v>
      </c>
      <c r="D9786" s="99" t="s">
        <v>5630</v>
      </c>
      <c r="E9786" s="100" t="s">
        <v>139</v>
      </c>
      <c r="F9786" s="100" t="s">
        <v>5631</v>
      </c>
      <c r="G9786" s="100" t="s">
        <v>2896</v>
      </c>
      <c r="H9786" s="100"/>
      <c r="I9786" s="101" t="s">
        <v>2897</v>
      </c>
      <c r="J9786" s="580">
        <v>1</v>
      </c>
      <c r="K9786" s="580">
        <v>0</v>
      </c>
      <c r="L9786" s="102">
        <v>25.81</v>
      </c>
      <c r="M9786" s="102">
        <v>25.81</v>
      </c>
    </row>
    <row r="9787" ht="23.85" customHeight="1" spans="3:13">
      <c r="C9787" s="100" t="s">
        <v>2893</v>
      </c>
      <c r="D9787" s="99" t="s">
        <v>5398</v>
      </c>
      <c r="E9787" s="100" t="s">
        <v>139</v>
      </c>
      <c r="F9787" s="100" t="s">
        <v>5399</v>
      </c>
      <c r="G9787" s="100" t="s">
        <v>2961</v>
      </c>
      <c r="H9787" s="100"/>
      <c r="I9787" s="101" t="s">
        <v>2897</v>
      </c>
      <c r="J9787" s="580">
        <v>1</v>
      </c>
      <c r="K9787" s="580">
        <v>0</v>
      </c>
      <c r="L9787" s="102">
        <v>1.26</v>
      </c>
      <c r="M9787" s="102">
        <v>1.26</v>
      </c>
    </row>
    <row r="9788" ht="23.85" customHeight="1" spans="3:13">
      <c r="C9788" s="100" t="s">
        <v>2893</v>
      </c>
      <c r="D9788" s="99" t="s">
        <v>5308</v>
      </c>
      <c r="E9788" s="100" t="s">
        <v>139</v>
      </c>
      <c r="F9788" s="100" t="s">
        <v>5309</v>
      </c>
      <c r="G9788" s="100" t="s">
        <v>2961</v>
      </c>
      <c r="H9788" s="100"/>
      <c r="I9788" s="101" t="s">
        <v>2897</v>
      </c>
      <c r="J9788" s="580">
        <v>1</v>
      </c>
      <c r="K9788" s="580">
        <v>0</v>
      </c>
      <c r="L9788" s="102">
        <v>4.84</v>
      </c>
      <c r="M9788" s="102">
        <v>4.84</v>
      </c>
    </row>
    <row r="9789" ht="25.5" spans="3:13">
      <c r="C9789" s="108"/>
      <c r="D9789" s="108"/>
      <c r="E9789" s="108"/>
      <c r="F9789" s="108"/>
      <c r="G9789" s="108"/>
      <c r="H9789" s="108" t="s">
        <v>2898</v>
      </c>
      <c r="I9789" s="581">
        <v>26.77</v>
      </c>
      <c r="J9789" s="108" t="s">
        <v>2899</v>
      </c>
      <c r="K9789" s="581">
        <v>0</v>
      </c>
      <c r="L9789" s="108" t="s">
        <v>2900</v>
      </c>
      <c r="M9789" s="581">
        <v>26.77</v>
      </c>
    </row>
    <row r="9790" ht="26.25" spans="3:13">
      <c r="C9790" s="108"/>
      <c r="D9790" s="108"/>
      <c r="E9790" s="108"/>
      <c r="F9790" s="108"/>
      <c r="G9790" s="108"/>
      <c r="H9790" s="108" t="s">
        <v>2901</v>
      </c>
      <c r="I9790" s="581">
        <v>9.38</v>
      </c>
      <c r="J9790" s="114"/>
      <c r="K9790" s="114" t="s">
        <v>2902</v>
      </c>
      <c r="L9790" s="108"/>
      <c r="M9790" s="581">
        <v>46.2</v>
      </c>
    </row>
    <row r="9791" ht="15" spans="3:13">
      <c r="C9791" s="571"/>
      <c r="D9791" s="571"/>
      <c r="E9791" s="571"/>
      <c r="F9791" s="571"/>
      <c r="G9791" s="571"/>
      <c r="H9791" s="571"/>
      <c r="I9791" s="571"/>
      <c r="J9791" s="571"/>
      <c r="K9791" s="571"/>
      <c r="L9791" s="571"/>
      <c r="M9791" s="571"/>
    </row>
    <row r="9792" ht="15" customHeight="1" spans="3:13">
      <c r="C9792" s="76"/>
      <c r="D9792" s="75" t="s">
        <v>63</v>
      </c>
      <c r="E9792" s="76" t="s">
        <v>64</v>
      </c>
      <c r="F9792" s="76" t="s">
        <v>65</v>
      </c>
      <c r="G9792" s="76" t="s">
        <v>2889</v>
      </c>
      <c r="H9792" s="76"/>
      <c r="I9792" s="77" t="s">
        <v>66</v>
      </c>
      <c r="J9792" s="75" t="s">
        <v>67</v>
      </c>
      <c r="K9792" s="75" t="s">
        <v>2890</v>
      </c>
      <c r="L9792" s="75" t="s">
        <v>68</v>
      </c>
      <c r="M9792" s="75" t="s">
        <v>70</v>
      </c>
    </row>
    <row r="9793" ht="35.05" customHeight="1" spans="3:13">
      <c r="C9793" s="569" t="s">
        <v>2891</v>
      </c>
      <c r="D9793" s="570" t="s">
        <v>3238</v>
      </c>
      <c r="E9793" s="569" t="s">
        <v>139</v>
      </c>
      <c r="F9793" s="569" t="s">
        <v>3239</v>
      </c>
      <c r="G9793" s="569" t="s">
        <v>3150</v>
      </c>
      <c r="H9793" s="569"/>
      <c r="I9793" s="577" t="s">
        <v>204</v>
      </c>
      <c r="J9793" s="578">
        <v>1</v>
      </c>
      <c r="K9793" s="579"/>
      <c r="L9793" s="579">
        <v>11.08</v>
      </c>
      <c r="M9793" s="579">
        <v>11.08</v>
      </c>
    </row>
    <row r="9794" ht="23.85" customHeight="1" spans="3:13">
      <c r="C9794" s="79" t="s">
        <v>2921</v>
      </c>
      <c r="D9794" s="78" t="s">
        <v>3151</v>
      </c>
      <c r="E9794" s="79" t="s">
        <v>139</v>
      </c>
      <c r="F9794" s="79" t="s">
        <v>3152</v>
      </c>
      <c r="G9794" s="79" t="s">
        <v>2928</v>
      </c>
      <c r="H9794" s="79"/>
      <c r="I9794" s="80" t="s">
        <v>2897</v>
      </c>
      <c r="J9794" s="583">
        <v>0.105</v>
      </c>
      <c r="K9794" s="583">
        <v>0</v>
      </c>
      <c r="L9794" s="92">
        <v>36.82</v>
      </c>
      <c r="M9794" s="92">
        <v>3.86</v>
      </c>
    </row>
    <row r="9795" ht="23.85" customHeight="1" spans="3:13">
      <c r="C9795" s="79" t="s">
        <v>2921</v>
      </c>
      <c r="D9795" s="78" t="s">
        <v>3153</v>
      </c>
      <c r="E9795" s="79" t="s">
        <v>139</v>
      </c>
      <c r="F9795" s="79" t="s">
        <v>3154</v>
      </c>
      <c r="G9795" s="79" t="s">
        <v>2928</v>
      </c>
      <c r="H9795" s="79"/>
      <c r="I9795" s="80" t="s">
        <v>2897</v>
      </c>
      <c r="J9795" s="583">
        <v>0.105</v>
      </c>
      <c r="K9795" s="583">
        <v>0</v>
      </c>
      <c r="L9795" s="92">
        <v>30.6</v>
      </c>
      <c r="M9795" s="92">
        <v>3.21</v>
      </c>
    </row>
    <row r="9796" ht="15" customHeight="1" spans="3:13">
      <c r="C9796" s="100" t="s">
        <v>2893</v>
      </c>
      <c r="D9796" s="99" t="s">
        <v>5812</v>
      </c>
      <c r="E9796" s="100" t="s">
        <v>139</v>
      </c>
      <c r="F9796" s="100" t="s">
        <v>5813</v>
      </c>
      <c r="G9796" s="100" t="s">
        <v>2961</v>
      </c>
      <c r="H9796" s="100"/>
      <c r="I9796" s="101" t="s">
        <v>204</v>
      </c>
      <c r="J9796" s="580">
        <v>1.017</v>
      </c>
      <c r="K9796" s="580">
        <v>0</v>
      </c>
      <c r="L9796" s="102">
        <v>3.95</v>
      </c>
      <c r="M9796" s="102">
        <v>4.01</v>
      </c>
    </row>
    <row r="9797" ht="25.5" spans="3:13">
      <c r="C9797" s="108"/>
      <c r="D9797" s="108"/>
      <c r="E9797" s="108"/>
      <c r="F9797" s="108"/>
      <c r="G9797" s="108"/>
      <c r="H9797" s="108" t="s">
        <v>2898</v>
      </c>
      <c r="I9797" s="581">
        <v>4.96</v>
      </c>
      <c r="J9797" s="108" t="s">
        <v>2899</v>
      </c>
      <c r="K9797" s="581">
        <v>0</v>
      </c>
      <c r="L9797" s="108" t="s">
        <v>2900</v>
      </c>
      <c r="M9797" s="581">
        <v>4.96</v>
      </c>
    </row>
    <row r="9798" ht="26.25" spans="3:13">
      <c r="C9798" s="108"/>
      <c r="D9798" s="108"/>
      <c r="E9798" s="108"/>
      <c r="F9798" s="108"/>
      <c r="G9798" s="108"/>
      <c r="H9798" s="108" t="s">
        <v>2901</v>
      </c>
      <c r="I9798" s="581">
        <v>2.82</v>
      </c>
      <c r="J9798" s="114"/>
      <c r="K9798" s="114" t="s">
        <v>2902</v>
      </c>
      <c r="L9798" s="108"/>
      <c r="M9798" s="581">
        <v>13.9</v>
      </c>
    </row>
    <row r="9799" ht="15" spans="3:13">
      <c r="C9799" s="571"/>
      <c r="D9799" s="571"/>
      <c r="E9799" s="571"/>
      <c r="F9799" s="571"/>
      <c r="G9799" s="571"/>
      <c r="H9799" s="571"/>
      <c r="I9799" s="571"/>
      <c r="J9799" s="571"/>
      <c r="K9799" s="571"/>
      <c r="L9799" s="571"/>
      <c r="M9799" s="571"/>
    </row>
    <row r="9800" ht="15" customHeight="1" spans="3:13">
      <c r="C9800" s="76"/>
      <c r="D9800" s="75" t="s">
        <v>63</v>
      </c>
      <c r="E9800" s="76" t="s">
        <v>64</v>
      </c>
      <c r="F9800" s="76" t="s">
        <v>65</v>
      </c>
      <c r="G9800" s="76" t="s">
        <v>2889</v>
      </c>
      <c r="H9800" s="76"/>
      <c r="I9800" s="77" t="s">
        <v>66</v>
      </c>
      <c r="J9800" s="75" t="s">
        <v>67</v>
      </c>
      <c r="K9800" s="75" t="s">
        <v>2890</v>
      </c>
      <c r="L9800" s="75" t="s">
        <v>68</v>
      </c>
      <c r="M9800" s="75" t="s">
        <v>70</v>
      </c>
    </row>
    <row r="9801" ht="35.05" customHeight="1" spans="3:13">
      <c r="C9801" s="569" t="s">
        <v>2891</v>
      </c>
      <c r="D9801" s="570" t="s">
        <v>3231</v>
      </c>
      <c r="E9801" s="569" t="s">
        <v>139</v>
      </c>
      <c r="F9801" s="569" t="s">
        <v>3232</v>
      </c>
      <c r="G9801" s="569" t="s">
        <v>3150</v>
      </c>
      <c r="H9801" s="569"/>
      <c r="I9801" s="577" t="s">
        <v>204</v>
      </c>
      <c r="J9801" s="578">
        <v>1</v>
      </c>
      <c r="K9801" s="579"/>
      <c r="L9801" s="579">
        <v>14.99</v>
      </c>
      <c r="M9801" s="579">
        <v>14.99</v>
      </c>
    </row>
    <row r="9802" ht="23.85" customHeight="1" spans="3:13">
      <c r="C9802" s="79" t="s">
        <v>2921</v>
      </c>
      <c r="D9802" s="78" t="s">
        <v>3153</v>
      </c>
      <c r="E9802" s="79" t="s">
        <v>139</v>
      </c>
      <c r="F9802" s="79" t="s">
        <v>3154</v>
      </c>
      <c r="G9802" s="79" t="s">
        <v>2928</v>
      </c>
      <c r="H9802" s="79"/>
      <c r="I9802" s="80" t="s">
        <v>2897</v>
      </c>
      <c r="J9802" s="583">
        <v>0.163</v>
      </c>
      <c r="K9802" s="583">
        <v>0</v>
      </c>
      <c r="L9802" s="92">
        <v>30.6</v>
      </c>
      <c r="M9802" s="92">
        <v>4.98</v>
      </c>
    </row>
    <row r="9803" ht="23.85" customHeight="1" spans="3:13">
      <c r="C9803" s="79" t="s">
        <v>2921</v>
      </c>
      <c r="D9803" s="78" t="s">
        <v>3151</v>
      </c>
      <c r="E9803" s="79" t="s">
        <v>139</v>
      </c>
      <c r="F9803" s="79" t="s">
        <v>3152</v>
      </c>
      <c r="G9803" s="79" t="s">
        <v>2928</v>
      </c>
      <c r="H9803" s="79"/>
      <c r="I9803" s="80" t="s">
        <v>2897</v>
      </c>
      <c r="J9803" s="583">
        <v>0.163</v>
      </c>
      <c r="K9803" s="583">
        <v>0</v>
      </c>
      <c r="L9803" s="92">
        <v>36.82</v>
      </c>
      <c r="M9803" s="92">
        <v>6</v>
      </c>
    </row>
    <row r="9804" ht="15" customHeight="1" spans="3:13">
      <c r="C9804" s="100" t="s">
        <v>2893</v>
      </c>
      <c r="D9804" s="99" t="s">
        <v>5812</v>
      </c>
      <c r="E9804" s="100" t="s">
        <v>139</v>
      </c>
      <c r="F9804" s="100" t="s">
        <v>5813</v>
      </c>
      <c r="G9804" s="100" t="s">
        <v>2961</v>
      </c>
      <c r="H9804" s="100"/>
      <c r="I9804" s="101" t="s">
        <v>204</v>
      </c>
      <c r="J9804" s="580">
        <v>1.017</v>
      </c>
      <c r="K9804" s="580">
        <v>0</v>
      </c>
      <c r="L9804" s="102">
        <v>3.95</v>
      </c>
      <c r="M9804" s="102">
        <v>4.01</v>
      </c>
    </row>
    <row r="9805" ht="25.5" spans="3:13">
      <c r="C9805" s="108"/>
      <c r="D9805" s="108"/>
      <c r="E9805" s="108"/>
      <c r="F9805" s="108"/>
      <c r="G9805" s="108"/>
      <c r="H9805" s="108" t="s">
        <v>2898</v>
      </c>
      <c r="I9805" s="581">
        <v>7.7</v>
      </c>
      <c r="J9805" s="108" t="s">
        <v>2899</v>
      </c>
      <c r="K9805" s="581">
        <v>0</v>
      </c>
      <c r="L9805" s="108" t="s">
        <v>2900</v>
      </c>
      <c r="M9805" s="581">
        <v>7.7</v>
      </c>
    </row>
    <row r="9806" ht="26.25" spans="3:13">
      <c r="C9806" s="108"/>
      <c r="D9806" s="108"/>
      <c r="E9806" s="108"/>
      <c r="F9806" s="108"/>
      <c r="G9806" s="108"/>
      <c r="H9806" s="108" t="s">
        <v>2901</v>
      </c>
      <c r="I9806" s="581">
        <v>3.82</v>
      </c>
      <c r="J9806" s="114"/>
      <c r="K9806" s="114" t="s">
        <v>2902</v>
      </c>
      <c r="L9806" s="108"/>
      <c r="M9806" s="581">
        <v>18.81</v>
      </c>
    </row>
    <row r="9807" ht="15" spans="3:13">
      <c r="C9807" s="571"/>
      <c r="D9807" s="571"/>
      <c r="E9807" s="571"/>
      <c r="F9807" s="571"/>
      <c r="G9807" s="571"/>
      <c r="H9807" s="571"/>
      <c r="I9807" s="571"/>
      <c r="J9807" s="571"/>
      <c r="K9807" s="571"/>
      <c r="L9807" s="571"/>
      <c r="M9807" s="571"/>
    </row>
    <row r="9808" ht="15" customHeight="1" spans="3:13">
      <c r="C9808" s="76"/>
      <c r="D9808" s="75" t="s">
        <v>63</v>
      </c>
      <c r="E9808" s="76" t="s">
        <v>64</v>
      </c>
      <c r="F9808" s="76" t="s">
        <v>65</v>
      </c>
      <c r="G9808" s="76" t="s">
        <v>2889</v>
      </c>
      <c r="H9808" s="76"/>
      <c r="I9808" s="77" t="s">
        <v>66</v>
      </c>
      <c r="J9808" s="75" t="s">
        <v>67</v>
      </c>
      <c r="K9808" s="75" t="s">
        <v>2890</v>
      </c>
      <c r="L9808" s="75" t="s">
        <v>68</v>
      </c>
      <c r="M9808" s="75" t="s">
        <v>70</v>
      </c>
    </row>
    <row r="9809" ht="23.85" customHeight="1" spans="3:13">
      <c r="C9809" s="569" t="s">
        <v>2891</v>
      </c>
      <c r="D9809" s="570" t="s">
        <v>4190</v>
      </c>
      <c r="E9809" s="569" t="s">
        <v>139</v>
      </c>
      <c r="F9809" s="569" t="s">
        <v>4191</v>
      </c>
      <c r="G9809" s="569" t="s">
        <v>2928</v>
      </c>
      <c r="H9809" s="569"/>
      <c r="I9809" s="577" t="s">
        <v>2897</v>
      </c>
      <c r="J9809" s="578">
        <v>1</v>
      </c>
      <c r="K9809" s="579"/>
      <c r="L9809" s="579">
        <v>40.65</v>
      </c>
      <c r="M9809" s="579">
        <v>40.65</v>
      </c>
    </row>
    <row r="9810" ht="23.85" customHeight="1" spans="3:13">
      <c r="C9810" s="79" t="s">
        <v>2921</v>
      </c>
      <c r="D9810" s="78" t="s">
        <v>5632</v>
      </c>
      <c r="E9810" s="79" t="s">
        <v>139</v>
      </c>
      <c r="F9810" s="79" t="s">
        <v>5633</v>
      </c>
      <c r="G9810" s="79" t="s">
        <v>2928</v>
      </c>
      <c r="H9810" s="79"/>
      <c r="I9810" s="80" t="s">
        <v>2897</v>
      </c>
      <c r="J9810" s="583">
        <v>1</v>
      </c>
      <c r="K9810" s="583">
        <v>0</v>
      </c>
      <c r="L9810" s="92">
        <v>0.91</v>
      </c>
      <c r="M9810" s="92">
        <v>0.91</v>
      </c>
    </row>
    <row r="9811" ht="23.85" customHeight="1" spans="3:13">
      <c r="C9811" s="100" t="s">
        <v>2893</v>
      </c>
      <c r="D9811" s="99" t="s">
        <v>5398</v>
      </c>
      <c r="E9811" s="100" t="s">
        <v>139</v>
      </c>
      <c r="F9811" s="100" t="s">
        <v>5399</v>
      </c>
      <c r="G9811" s="100" t="s">
        <v>2961</v>
      </c>
      <c r="H9811" s="100"/>
      <c r="I9811" s="101" t="s">
        <v>2897</v>
      </c>
      <c r="J9811" s="580">
        <v>1</v>
      </c>
      <c r="K9811" s="580">
        <v>0</v>
      </c>
      <c r="L9811" s="102">
        <v>1.26</v>
      </c>
      <c r="M9811" s="102">
        <v>1.26</v>
      </c>
    </row>
    <row r="9812" ht="23.85" customHeight="1" spans="3:13">
      <c r="C9812" s="100" t="s">
        <v>2893</v>
      </c>
      <c r="D9812" s="99" t="s">
        <v>5308</v>
      </c>
      <c r="E9812" s="100" t="s">
        <v>139</v>
      </c>
      <c r="F9812" s="100" t="s">
        <v>5309</v>
      </c>
      <c r="G9812" s="100" t="s">
        <v>2961</v>
      </c>
      <c r="H9812" s="100"/>
      <c r="I9812" s="101" t="s">
        <v>2897</v>
      </c>
      <c r="J9812" s="580">
        <v>1</v>
      </c>
      <c r="K9812" s="580">
        <v>0</v>
      </c>
      <c r="L9812" s="102">
        <v>4.84</v>
      </c>
      <c r="M9812" s="102">
        <v>4.84</v>
      </c>
    </row>
    <row r="9813" ht="15" customHeight="1" spans="3:13">
      <c r="C9813" s="100" t="s">
        <v>2893</v>
      </c>
      <c r="D9813" s="99" t="s">
        <v>5306</v>
      </c>
      <c r="E9813" s="100" t="s">
        <v>139</v>
      </c>
      <c r="F9813" s="100" t="s">
        <v>5307</v>
      </c>
      <c r="G9813" s="100" t="s">
        <v>2961</v>
      </c>
      <c r="H9813" s="100"/>
      <c r="I9813" s="101" t="s">
        <v>2897</v>
      </c>
      <c r="J9813" s="580">
        <v>1</v>
      </c>
      <c r="K9813" s="580">
        <v>0</v>
      </c>
      <c r="L9813" s="102">
        <v>1.43</v>
      </c>
      <c r="M9813" s="102">
        <v>1.43</v>
      </c>
    </row>
    <row r="9814" ht="23.85" customHeight="1" spans="3:13">
      <c r="C9814" s="100" t="s">
        <v>2893</v>
      </c>
      <c r="D9814" s="99" t="s">
        <v>5310</v>
      </c>
      <c r="E9814" s="100" t="s">
        <v>139</v>
      </c>
      <c r="F9814" s="100" t="s">
        <v>5311</v>
      </c>
      <c r="G9814" s="100" t="s">
        <v>2961</v>
      </c>
      <c r="H9814" s="100"/>
      <c r="I9814" s="101" t="s">
        <v>2897</v>
      </c>
      <c r="J9814" s="580">
        <v>1</v>
      </c>
      <c r="K9814" s="580">
        <v>0</v>
      </c>
      <c r="L9814" s="102">
        <v>1.58</v>
      </c>
      <c r="M9814" s="102">
        <v>1.58</v>
      </c>
    </row>
    <row r="9815" ht="15" customHeight="1" spans="3:13">
      <c r="C9815" s="100" t="s">
        <v>2893</v>
      </c>
      <c r="D9815" s="99" t="s">
        <v>5634</v>
      </c>
      <c r="E9815" s="100" t="s">
        <v>139</v>
      </c>
      <c r="F9815" s="100" t="s">
        <v>5635</v>
      </c>
      <c r="G9815" s="100" t="s">
        <v>2896</v>
      </c>
      <c r="H9815" s="100"/>
      <c r="I9815" s="101" t="s">
        <v>2897</v>
      </c>
      <c r="J9815" s="580">
        <v>1</v>
      </c>
      <c r="K9815" s="580">
        <v>0</v>
      </c>
      <c r="L9815" s="102">
        <v>29.69</v>
      </c>
      <c r="M9815" s="102">
        <v>29.69</v>
      </c>
    </row>
    <row r="9816" ht="15" customHeight="1" spans="3:13">
      <c r="C9816" s="100" t="s">
        <v>2893</v>
      </c>
      <c r="D9816" s="99" t="s">
        <v>5312</v>
      </c>
      <c r="E9816" s="100" t="s">
        <v>139</v>
      </c>
      <c r="F9816" s="100" t="s">
        <v>5313</v>
      </c>
      <c r="G9816" s="100" t="s">
        <v>2961</v>
      </c>
      <c r="H9816" s="100"/>
      <c r="I9816" s="101" t="s">
        <v>2897</v>
      </c>
      <c r="J9816" s="580">
        <v>1</v>
      </c>
      <c r="K9816" s="580">
        <v>0</v>
      </c>
      <c r="L9816" s="102">
        <v>0.08</v>
      </c>
      <c r="M9816" s="102">
        <v>0.08</v>
      </c>
    </row>
    <row r="9817" ht="23.85" customHeight="1" spans="3:13">
      <c r="C9817" s="100" t="s">
        <v>2893</v>
      </c>
      <c r="D9817" s="99" t="s">
        <v>5396</v>
      </c>
      <c r="E9817" s="100" t="s">
        <v>139</v>
      </c>
      <c r="F9817" s="100" t="s">
        <v>5397</v>
      </c>
      <c r="G9817" s="100" t="s">
        <v>2961</v>
      </c>
      <c r="H9817" s="100"/>
      <c r="I9817" s="101" t="s">
        <v>2897</v>
      </c>
      <c r="J9817" s="580">
        <v>1</v>
      </c>
      <c r="K9817" s="580">
        <v>0</v>
      </c>
      <c r="L9817" s="102">
        <v>0.86</v>
      </c>
      <c r="M9817" s="102">
        <v>0.86</v>
      </c>
    </row>
    <row r="9818" ht="25.5" spans="3:13">
      <c r="C9818" s="108"/>
      <c r="D9818" s="108"/>
      <c r="E9818" s="108"/>
      <c r="F9818" s="108"/>
      <c r="G9818" s="108"/>
      <c r="H9818" s="108" t="s">
        <v>2898</v>
      </c>
      <c r="I9818" s="581">
        <v>30.6</v>
      </c>
      <c r="J9818" s="108" t="s">
        <v>2899</v>
      </c>
      <c r="K9818" s="581">
        <v>0</v>
      </c>
      <c r="L9818" s="108" t="s">
        <v>2900</v>
      </c>
      <c r="M9818" s="581">
        <v>30.6</v>
      </c>
    </row>
    <row r="9819" ht="26.25" spans="3:13">
      <c r="C9819" s="108"/>
      <c r="D9819" s="108"/>
      <c r="E9819" s="108"/>
      <c r="F9819" s="108"/>
      <c r="G9819" s="108"/>
      <c r="H9819" s="108" t="s">
        <v>2901</v>
      </c>
      <c r="I9819" s="581">
        <v>10.36</v>
      </c>
      <c r="J9819" s="114"/>
      <c r="K9819" s="114" t="s">
        <v>2902</v>
      </c>
      <c r="L9819" s="108"/>
      <c r="M9819" s="581">
        <v>51.01</v>
      </c>
    </row>
    <row r="9820" ht="15" spans="3:13">
      <c r="C9820" s="571"/>
      <c r="D9820" s="571"/>
      <c r="E9820" s="571"/>
      <c r="F9820" s="571"/>
      <c r="G9820" s="571"/>
      <c r="H9820" s="571"/>
      <c r="I9820" s="571"/>
      <c r="J9820" s="571"/>
      <c r="K9820" s="571"/>
      <c r="L9820" s="571"/>
      <c r="M9820" s="571"/>
    </row>
    <row r="9821" ht="15" customHeight="1" spans="3:13">
      <c r="C9821" s="76"/>
      <c r="D9821" s="75" t="s">
        <v>63</v>
      </c>
      <c r="E9821" s="76" t="s">
        <v>64</v>
      </c>
      <c r="F9821" s="76" t="s">
        <v>65</v>
      </c>
      <c r="G9821" s="76" t="s">
        <v>2889</v>
      </c>
      <c r="H9821" s="76"/>
      <c r="I9821" s="77" t="s">
        <v>66</v>
      </c>
      <c r="J9821" s="75" t="s">
        <v>67</v>
      </c>
      <c r="K9821" s="75" t="s">
        <v>2890</v>
      </c>
      <c r="L9821" s="75" t="s">
        <v>68</v>
      </c>
      <c r="M9821" s="75" t="s">
        <v>70</v>
      </c>
    </row>
    <row r="9822" ht="23.85" customHeight="1" spans="3:13">
      <c r="C9822" s="569" t="s">
        <v>2891</v>
      </c>
      <c r="D9822" s="570" t="s">
        <v>3144</v>
      </c>
      <c r="E9822" s="569" t="s">
        <v>139</v>
      </c>
      <c r="F9822" s="569" t="s">
        <v>3145</v>
      </c>
      <c r="G9822" s="569" t="s">
        <v>2928</v>
      </c>
      <c r="H9822" s="569"/>
      <c r="I9822" s="577" t="s">
        <v>2897</v>
      </c>
      <c r="J9822" s="578">
        <v>1</v>
      </c>
      <c r="K9822" s="579"/>
      <c r="L9822" s="579">
        <v>35.55</v>
      </c>
      <c r="M9822" s="579">
        <v>35.55</v>
      </c>
    </row>
    <row r="9823" ht="23.85" customHeight="1" spans="3:13">
      <c r="C9823" s="79" t="s">
        <v>2921</v>
      </c>
      <c r="D9823" s="78" t="s">
        <v>5636</v>
      </c>
      <c r="E9823" s="79" t="s">
        <v>139</v>
      </c>
      <c r="F9823" s="79" t="s">
        <v>5637</v>
      </c>
      <c r="G9823" s="79" t="s">
        <v>2928</v>
      </c>
      <c r="H9823" s="79"/>
      <c r="I9823" s="80" t="s">
        <v>2897</v>
      </c>
      <c r="J9823" s="583">
        <v>1</v>
      </c>
      <c r="K9823" s="583">
        <v>0</v>
      </c>
      <c r="L9823" s="92">
        <v>0.46</v>
      </c>
      <c r="M9823" s="92">
        <v>0.46</v>
      </c>
    </row>
    <row r="9824" ht="15" customHeight="1" spans="3:13">
      <c r="C9824" s="100" t="s">
        <v>2893</v>
      </c>
      <c r="D9824" s="99" t="s">
        <v>5312</v>
      </c>
      <c r="E9824" s="100" t="s">
        <v>139</v>
      </c>
      <c r="F9824" s="100" t="s">
        <v>5313</v>
      </c>
      <c r="G9824" s="100" t="s">
        <v>2961</v>
      </c>
      <c r="H9824" s="100"/>
      <c r="I9824" s="101" t="s">
        <v>2897</v>
      </c>
      <c r="J9824" s="580">
        <v>1</v>
      </c>
      <c r="K9824" s="580">
        <v>0</v>
      </c>
      <c r="L9824" s="102">
        <v>0.08</v>
      </c>
      <c r="M9824" s="102">
        <v>0.08</v>
      </c>
    </row>
    <row r="9825" ht="23.85" customHeight="1" spans="3:13">
      <c r="C9825" s="100" t="s">
        <v>2893</v>
      </c>
      <c r="D9825" s="99" t="s">
        <v>5406</v>
      </c>
      <c r="E9825" s="100" t="s">
        <v>139</v>
      </c>
      <c r="F9825" s="100" t="s">
        <v>5407</v>
      </c>
      <c r="G9825" s="100" t="s">
        <v>2961</v>
      </c>
      <c r="H9825" s="100"/>
      <c r="I9825" s="101" t="s">
        <v>2897</v>
      </c>
      <c r="J9825" s="580">
        <v>1</v>
      </c>
      <c r="K9825" s="580">
        <v>0</v>
      </c>
      <c r="L9825" s="102">
        <v>0.31</v>
      </c>
      <c r="M9825" s="102">
        <v>0.31</v>
      </c>
    </row>
    <row r="9826" ht="23.85" customHeight="1" spans="3:13">
      <c r="C9826" s="100" t="s">
        <v>2893</v>
      </c>
      <c r="D9826" s="99" t="s">
        <v>5308</v>
      </c>
      <c r="E9826" s="100" t="s">
        <v>139</v>
      </c>
      <c r="F9826" s="100" t="s">
        <v>5309</v>
      </c>
      <c r="G9826" s="100" t="s">
        <v>2961</v>
      </c>
      <c r="H9826" s="100"/>
      <c r="I9826" s="101" t="s">
        <v>2897</v>
      </c>
      <c r="J9826" s="580">
        <v>1</v>
      </c>
      <c r="K9826" s="580">
        <v>0</v>
      </c>
      <c r="L9826" s="102">
        <v>4.84</v>
      </c>
      <c r="M9826" s="102">
        <v>4.84</v>
      </c>
    </row>
    <row r="9827" ht="23.85" customHeight="1" spans="3:13">
      <c r="C9827" s="100" t="s">
        <v>2893</v>
      </c>
      <c r="D9827" s="99" t="s">
        <v>5402</v>
      </c>
      <c r="E9827" s="100" t="s">
        <v>139</v>
      </c>
      <c r="F9827" s="100" t="s">
        <v>5403</v>
      </c>
      <c r="G9827" s="100" t="s">
        <v>2961</v>
      </c>
      <c r="H9827" s="100"/>
      <c r="I9827" s="101" t="s">
        <v>2897</v>
      </c>
      <c r="J9827" s="580">
        <v>1</v>
      </c>
      <c r="K9827" s="580">
        <v>0</v>
      </c>
      <c r="L9827" s="102">
        <v>1.13</v>
      </c>
      <c r="M9827" s="102">
        <v>1.13</v>
      </c>
    </row>
    <row r="9828" ht="15" customHeight="1" spans="3:13">
      <c r="C9828" s="100" t="s">
        <v>2893</v>
      </c>
      <c r="D9828" s="99" t="s">
        <v>5306</v>
      </c>
      <c r="E9828" s="100" t="s">
        <v>139</v>
      </c>
      <c r="F9828" s="100" t="s">
        <v>5307</v>
      </c>
      <c r="G9828" s="100" t="s">
        <v>2961</v>
      </c>
      <c r="H9828" s="100"/>
      <c r="I9828" s="101" t="s">
        <v>2897</v>
      </c>
      <c r="J9828" s="580">
        <v>1</v>
      </c>
      <c r="K9828" s="580">
        <v>0</v>
      </c>
      <c r="L9828" s="102">
        <v>1.43</v>
      </c>
      <c r="M9828" s="102">
        <v>1.43</v>
      </c>
    </row>
    <row r="9829" ht="15" customHeight="1" spans="3:13">
      <c r="C9829" s="100" t="s">
        <v>2893</v>
      </c>
      <c r="D9829" s="99" t="s">
        <v>5638</v>
      </c>
      <c r="E9829" s="100" t="s">
        <v>139</v>
      </c>
      <c r="F9829" s="100" t="s">
        <v>5639</v>
      </c>
      <c r="G9829" s="100" t="s">
        <v>2896</v>
      </c>
      <c r="H9829" s="100"/>
      <c r="I9829" s="101" t="s">
        <v>2897</v>
      </c>
      <c r="J9829" s="580">
        <v>1</v>
      </c>
      <c r="K9829" s="580">
        <v>0</v>
      </c>
      <c r="L9829" s="102">
        <v>25.72</v>
      </c>
      <c r="M9829" s="102">
        <v>25.72</v>
      </c>
    </row>
    <row r="9830" ht="23.85" customHeight="1" spans="3:13">
      <c r="C9830" s="100" t="s">
        <v>2893</v>
      </c>
      <c r="D9830" s="99" t="s">
        <v>5310</v>
      </c>
      <c r="E9830" s="100" t="s">
        <v>139</v>
      </c>
      <c r="F9830" s="100" t="s">
        <v>5311</v>
      </c>
      <c r="G9830" s="100" t="s">
        <v>2961</v>
      </c>
      <c r="H9830" s="100"/>
      <c r="I9830" s="101" t="s">
        <v>2897</v>
      </c>
      <c r="J9830" s="580">
        <v>1</v>
      </c>
      <c r="K9830" s="580">
        <v>0</v>
      </c>
      <c r="L9830" s="102">
        <v>1.58</v>
      </c>
      <c r="M9830" s="102">
        <v>1.58</v>
      </c>
    </row>
    <row r="9831" ht="25.5" spans="3:13">
      <c r="C9831" s="108"/>
      <c r="D9831" s="108"/>
      <c r="E9831" s="108"/>
      <c r="F9831" s="108"/>
      <c r="G9831" s="108"/>
      <c r="H9831" s="108" t="s">
        <v>2898</v>
      </c>
      <c r="I9831" s="581">
        <v>26.18</v>
      </c>
      <c r="J9831" s="108" t="s">
        <v>2899</v>
      </c>
      <c r="K9831" s="581">
        <v>0</v>
      </c>
      <c r="L9831" s="108" t="s">
        <v>2900</v>
      </c>
      <c r="M9831" s="581">
        <v>26.18</v>
      </c>
    </row>
    <row r="9832" ht="26.25" spans="3:13">
      <c r="C9832" s="108"/>
      <c r="D9832" s="108"/>
      <c r="E9832" s="108"/>
      <c r="F9832" s="108"/>
      <c r="G9832" s="108"/>
      <c r="H9832" s="108" t="s">
        <v>2901</v>
      </c>
      <c r="I9832" s="581">
        <v>9.06</v>
      </c>
      <c r="J9832" s="114"/>
      <c r="K9832" s="114" t="s">
        <v>2902</v>
      </c>
      <c r="L9832" s="108"/>
      <c r="M9832" s="581">
        <v>44.61</v>
      </c>
    </row>
    <row r="9833" ht="15" spans="3:13">
      <c r="C9833" s="571"/>
      <c r="D9833" s="571"/>
      <c r="E9833" s="571"/>
      <c r="F9833" s="571"/>
      <c r="G9833" s="571"/>
      <c r="H9833" s="571"/>
      <c r="I9833" s="571"/>
      <c r="J9833" s="571"/>
      <c r="K9833" s="571"/>
      <c r="L9833" s="571"/>
      <c r="M9833" s="571"/>
    </row>
    <row r="9834" ht="15" customHeight="1" spans="3:13">
      <c r="C9834" s="76"/>
      <c r="D9834" s="75" t="s">
        <v>63</v>
      </c>
      <c r="E9834" s="76" t="s">
        <v>64</v>
      </c>
      <c r="F9834" s="76" t="s">
        <v>65</v>
      </c>
      <c r="G9834" s="76" t="s">
        <v>2889</v>
      </c>
      <c r="H9834" s="76"/>
      <c r="I9834" s="77" t="s">
        <v>66</v>
      </c>
      <c r="J9834" s="75" t="s">
        <v>67</v>
      </c>
      <c r="K9834" s="75" t="s">
        <v>2890</v>
      </c>
      <c r="L9834" s="75" t="s">
        <v>68</v>
      </c>
      <c r="M9834" s="75" t="s">
        <v>70</v>
      </c>
    </row>
    <row r="9835" ht="23.85" customHeight="1" spans="3:13">
      <c r="C9835" s="569" t="s">
        <v>2891</v>
      </c>
      <c r="D9835" s="570" t="s">
        <v>2937</v>
      </c>
      <c r="E9835" s="569" t="s">
        <v>139</v>
      </c>
      <c r="F9835" s="569" t="s">
        <v>2938</v>
      </c>
      <c r="G9835" s="569" t="s">
        <v>2928</v>
      </c>
      <c r="H9835" s="569"/>
      <c r="I9835" s="577" t="s">
        <v>2925</v>
      </c>
      <c r="J9835" s="578">
        <v>1</v>
      </c>
      <c r="K9835" s="579"/>
      <c r="L9835" s="579">
        <v>8154.68</v>
      </c>
      <c r="M9835" s="579">
        <v>8154.68</v>
      </c>
    </row>
    <row r="9836" ht="23.85" customHeight="1" spans="3:13">
      <c r="C9836" s="79" t="s">
        <v>2921</v>
      </c>
      <c r="D9836" s="78" t="s">
        <v>5640</v>
      </c>
      <c r="E9836" s="79" t="s">
        <v>139</v>
      </c>
      <c r="F9836" s="79" t="s">
        <v>5641</v>
      </c>
      <c r="G9836" s="79" t="s">
        <v>2928</v>
      </c>
      <c r="H9836" s="79"/>
      <c r="I9836" s="80" t="s">
        <v>2925</v>
      </c>
      <c r="J9836" s="583">
        <v>1</v>
      </c>
      <c r="K9836" s="583">
        <v>0</v>
      </c>
      <c r="L9836" s="92">
        <v>119.64</v>
      </c>
      <c r="M9836" s="92">
        <v>119.64</v>
      </c>
    </row>
    <row r="9837" ht="23.85" customHeight="1" spans="3:13">
      <c r="C9837" s="100" t="s">
        <v>2893</v>
      </c>
      <c r="D9837" s="99" t="s">
        <v>5348</v>
      </c>
      <c r="E9837" s="100" t="s">
        <v>139</v>
      </c>
      <c r="F9837" s="100" t="s">
        <v>5349</v>
      </c>
      <c r="G9837" s="100" t="s">
        <v>2961</v>
      </c>
      <c r="H9837" s="100"/>
      <c r="I9837" s="101" t="s">
        <v>2925</v>
      </c>
      <c r="J9837" s="580">
        <v>1</v>
      </c>
      <c r="K9837" s="580">
        <v>0</v>
      </c>
      <c r="L9837" s="102">
        <v>15.46</v>
      </c>
      <c r="M9837" s="102">
        <v>15.46</v>
      </c>
    </row>
    <row r="9838" ht="23.85" customHeight="1" spans="3:13">
      <c r="C9838" s="100" t="s">
        <v>2893</v>
      </c>
      <c r="D9838" s="99" t="s">
        <v>5814</v>
      </c>
      <c r="E9838" s="100" t="s">
        <v>139</v>
      </c>
      <c r="F9838" s="100" t="s">
        <v>5815</v>
      </c>
      <c r="G9838" s="100" t="s">
        <v>2961</v>
      </c>
      <c r="H9838" s="100"/>
      <c r="I9838" s="101" t="s">
        <v>2925</v>
      </c>
      <c r="J9838" s="580">
        <v>1</v>
      </c>
      <c r="K9838" s="580">
        <v>0</v>
      </c>
      <c r="L9838" s="102">
        <v>15.46</v>
      </c>
      <c r="M9838" s="102">
        <v>15.46</v>
      </c>
    </row>
    <row r="9839" ht="23.85" customHeight="1" spans="3:13">
      <c r="C9839" s="100" t="s">
        <v>2893</v>
      </c>
      <c r="D9839" s="99" t="s">
        <v>5340</v>
      </c>
      <c r="E9839" s="100" t="s">
        <v>139</v>
      </c>
      <c r="F9839" s="100" t="s">
        <v>5341</v>
      </c>
      <c r="G9839" s="100" t="s">
        <v>2961</v>
      </c>
      <c r="H9839" s="100"/>
      <c r="I9839" s="101" t="s">
        <v>2925</v>
      </c>
      <c r="J9839" s="580">
        <v>1</v>
      </c>
      <c r="K9839" s="580">
        <v>0</v>
      </c>
      <c r="L9839" s="102">
        <v>270.51</v>
      </c>
      <c r="M9839" s="102">
        <v>270.51</v>
      </c>
    </row>
    <row r="9840" ht="15" customHeight="1" spans="3:13">
      <c r="C9840" s="100" t="s">
        <v>2893</v>
      </c>
      <c r="D9840" s="99" t="s">
        <v>5642</v>
      </c>
      <c r="E9840" s="100" t="s">
        <v>139</v>
      </c>
      <c r="F9840" s="100" t="s">
        <v>5643</v>
      </c>
      <c r="G9840" s="100" t="s">
        <v>2896</v>
      </c>
      <c r="H9840" s="100"/>
      <c r="I9840" s="101" t="s">
        <v>2925</v>
      </c>
      <c r="J9840" s="580">
        <v>1</v>
      </c>
      <c r="K9840" s="580">
        <v>0</v>
      </c>
      <c r="L9840" s="102">
        <v>7491.62</v>
      </c>
      <c r="M9840" s="102">
        <v>7491.62</v>
      </c>
    </row>
    <row r="9841" ht="23.85" customHeight="1" spans="3:13">
      <c r="C9841" s="100" t="s">
        <v>2893</v>
      </c>
      <c r="D9841" s="99" t="s">
        <v>5816</v>
      </c>
      <c r="E9841" s="100" t="s">
        <v>139</v>
      </c>
      <c r="F9841" s="100" t="s">
        <v>5817</v>
      </c>
      <c r="G9841" s="100" t="s">
        <v>2961</v>
      </c>
      <c r="H9841" s="100"/>
      <c r="I9841" s="101" t="s">
        <v>2925</v>
      </c>
      <c r="J9841" s="580">
        <v>1</v>
      </c>
      <c r="K9841" s="580">
        <v>0</v>
      </c>
      <c r="L9841" s="102">
        <v>241.99</v>
      </c>
      <c r="M9841" s="102">
        <v>241.99</v>
      </c>
    </row>
    <row r="9842" ht="25.5" spans="3:13">
      <c r="C9842" s="108"/>
      <c r="D9842" s="108"/>
      <c r="E9842" s="108"/>
      <c r="F9842" s="108"/>
      <c r="G9842" s="108"/>
      <c r="H9842" s="108" t="s">
        <v>2898</v>
      </c>
      <c r="I9842" s="581">
        <v>7611.26</v>
      </c>
      <c r="J9842" s="108" t="s">
        <v>2899</v>
      </c>
      <c r="K9842" s="581">
        <v>0</v>
      </c>
      <c r="L9842" s="108" t="s">
        <v>2900</v>
      </c>
      <c r="M9842" s="581">
        <v>7611.26</v>
      </c>
    </row>
    <row r="9843" ht="26.25" spans="3:13">
      <c r="C9843" s="108"/>
      <c r="D9843" s="108"/>
      <c r="E9843" s="108"/>
      <c r="F9843" s="108"/>
      <c r="G9843" s="108"/>
      <c r="H9843" s="108" t="s">
        <v>2901</v>
      </c>
      <c r="I9843" s="581">
        <v>2078.62</v>
      </c>
      <c r="J9843" s="114"/>
      <c r="K9843" s="114" t="s">
        <v>2902</v>
      </c>
      <c r="L9843" s="108"/>
      <c r="M9843" s="581">
        <v>10233.3</v>
      </c>
    </row>
    <row r="9844" ht="15" spans="3:13">
      <c r="C9844" s="571"/>
      <c r="D9844" s="571"/>
      <c r="E9844" s="571"/>
      <c r="F9844" s="571"/>
      <c r="G9844" s="571"/>
      <c r="H9844" s="571"/>
      <c r="I9844" s="571"/>
      <c r="J9844" s="571"/>
      <c r="K9844" s="571"/>
      <c r="L9844" s="571"/>
      <c r="M9844" s="571"/>
    </row>
    <row r="9845" ht="15" customHeight="1" spans="3:13">
      <c r="C9845" s="76"/>
      <c r="D9845" s="75" t="s">
        <v>63</v>
      </c>
      <c r="E9845" s="76" t="s">
        <v>64</v>
      </c>
      <c r="F9845" s="76" t="s">
        <v>65</v>
      </c>
      <c r="G9845" s="76" t="s">
        <v>2889</v>
      </c>
      <c r="H9845" s="76"/>
      <c r="I9845" s="77" t="s">
        <v>66</v>
      </c>
      <c r="J9845" s="75" t="s">
        <v>67</v>
      </c>
      <c r="K9845" s="75" t="s">
        <v>2890</v>
      </c>
      <c r="L9845" s="75" t="s">
        <v>68</v>
      </c>
      <c r="M9845" s="75" t="s">
        <v>70</v>
      </c>
    </row>
    <row r="9846" ht="23.85" customHeight="1" spans="3:13">
      <c r="C9846" s="569" t="s">
        <v>2891</v>
      </c>
      <c r="D9846" s="570" t="s">
        <v>2926</v>
      </c>
      <c r="E9846" s="569" t="s">
        <v>139</v>
      </c>
      <c r="F9846" s="569" t="s">
        <v>2927</v>
      </c>
      <c r="G9846" s="569" t="s">
        <v>2928</v>
      </c>
      <c r="H9846" s="569"/>
      <c r="I9846" s="577" t="s">
        <v>2925</v>
      </c>
      <c r="J9846" s="578">
        <v>1</v>
      </c>
      <c r="K9846" s="579"/>
      <c r="L9846" s="579">
        <v>24699.16</v>
      </c>
      <c r="M9846" s="579">
        <v>24699.16</v>
      </c>
    </row>
    <row r="9847" ht="23.85" customHeight="1" spans="3:13">
      <c r="C9847" s="79" t="s">
        <v>2921</v>
      </c>
      <c r="D9847" s="78" t="s">
        <v>5652</v>
      </c>
      <c r="E9847" s="79" t="s">
        <v>139</v>
      </c>
      <c r="F9847" s="79" t="s">
        <v>5653</v>
      </c>
      <c r="G9847" s="79" t="s">
        <v>2928</v>
      </c>
      <c r="H9847" s="79"/>
      <c r="I9847" s="80" t="s">
        <v>2925</v>
      </c>
      <c r="J9847" s="583">
        <v>1</v>
      </c>
      <c r="K9847" s="583">
        <v>0</v>
      </c>
      <c r="L9847" s="92">
        <v>266.85</v>
      </c>
      <c r="M9847" s="92">
        <v>266.85</v>
      </c>
    </row>
    <row r="9848" ht="23.85" customHeight="1" spans="3:13">
      <c r="C9848" s="100" t="s">
        <v>2893</v>
      </c>
      <c r="D9848" s="99" t="s">
        <v>5340</v>
      </c>
      <c r="E9848" s="100" t="s">
        <v>139</v>
      </c>
      <c r="F9848" s="100" t="s">
        <v>5341</v>
      </c>
      <c r="G9848" s="100" t="s">
        <v>2961</v>
      </c>
      <c r="H9848" s="100"/>
      <c r="I9848" s="101" t="s">
        <v>2925</v>
      </c>
      <c r="J9848" s="580">
        <v>1</v>
      </c>
      <c r="K9848" s="580">
        <v>0</v>
      </c>
      <c r="L9848" s="102">
        <v>270.51</v>
      </c>
      <c r="M9848" s="102">
        <v>270.51</v>
      </c>
    </row>
    <row r="9849" ht="23.85" customHeight="1" spans="3:13">
      <c r="C9849" s="100" t="s">
        <v>2893</v>
      </c>
      <c r="D9849" s="99" t="s">
        <v>5426</v>
      </c>
      <c r="E9849" s="100" t="s">
        <v>139</v>
      </c>
      <c r="F9849" s="100" t="s">
        <v>5427</v>
      </c>
      <c r="G9849" s="100" t="s">
        <v>2961</v>
      </c>
      <c r="H9849" s="100"/>
      <c r="I9849" s="101" t="s">
        <v>2925</v>
      </c>
      <c r="J9849" s="580">
        <v>1</v>
      </c>
      <c r="K9849" s="580">
        <v>0</v>
      </c>
      <c r="L9849" s="102">
        <v>146</v>
      </c>
      <c r="M9849" s="102">
        <v>146</v>
      </c>
    </row>
    <row r="9850" ht="23.85" customHeight="1" spans="3:13">
      <c r="C9850" s="100" t="s">
        <v>2893</v>
      </c>
      <c r="D9850" s="99" t="s">
        <v>5428</v>
      </c>
      <c r="E9850" s="100" t="s">
        <v>139</v>
      </c>
      <c r="F9850" s="100" t="s">
        <v>5429</v>
      </c>
      <c r="G9850" s="100" t="s">
        <v>2961</v>
      </c>
      <c r="H9850" s="100"/>
      <c r="I9850" s="101" t="s">
        <v>2925</v>
      </c>
      <c r="J9850" s="580">
        <v>1</v>
      </c>
      <c r="K9850" s="580">
        <v>0</v>
      </c>
      <c r="L9850" s="102">
        <v>2.35</v>
      </c>
      <c r="M9850" s="102">
        <v>2.35</v>
      </c>
    </row>
    <row r="9851" ht="15" customHeight="1" spans="3:13">
      <c r="C9851" s="100" t="s">
        <v>2893</v>
      </c>
      <c r="D9851" s="99" t="s">
        <v>5654</v>
      </c>
      <c r="E9851" s="100" t="s">
        <v>139</v>
      </c>
      <c r="F9851" s="100" t="s">
        <v>5655</v>
      </c>
      <c r="G9851" s="100" t="s">
        <v>2896</v>
      </c>
      <c r="H9851" s="100"/>
      <c r="I9851" s="101" t="s">
        <v>2925</v>
      </c>
      <c r="J9851" s="580">
        <v>1</v>
      </c>
      <c r="K9851" s="580">
        <v>0</v>
      </c>
      <c r="L9851" s="102">
        <v>23997.99</v>
      </c>
      <c r="M9851" s="102">
        <v>23997.99</v>
      </c>
    </row>
    <row r="9852" ht="23.85" customHeight="1" spans="3:13">
      <c r="C9852" s="100" t="s">
        <v>2893</v>
      </c>
      <c r="D9852" s="99" t="s">
        <v>5348</v>
      </c>
      <c r="E9852" s="100" t="s">
        <v>139</v>
      </c>
      <c r="F9852" s="100" t="s">
        <v>5349</v>
      </c>
      <c r="G9852" s="100" t="s">
        <v>2961</v>
      </c>
      <c r="H9852" s="100"/>
      <c r="I9852" s="101" t="s">
        <v>2925</v>
      </c>
      <c r="J9852" s="580">
        <v>1</v>
      </c>
      <c r="K9852" s="580">
        <v>0</v>
      </c>
      <c r="L9852" s="102">
        <v>15.46</v>
      </c>
      <c r="M9852" s="102">
        <v>15.46</v>
      </c>
    </row>
    <row r="9853" ht="25.5" spans="3:13">
      <c r="C9853" s="108"/>
      <c r="D9853" s="108"/>
      <c r="E9853" s="108"/>
      <c r="F9853" s="108"/>
      <c r="G9853" s="108"/>
      <c r="H9853" s="108" t="s">
        <v>2898</v>
      </c>
      <c r="I9853" s="581">
        <v>24264.84</v>
      </c>
      <c r="J9853" s="108" t="s">
        <v>2899</v>
      </c>
      <c r="K9853" s="581">
        <v>0</v>
      </c>
      <c r="L9853" s="108" t="s">
        <v>2900</v>
      </c>
      <c r="M9853" s="581">
        <v>24264.84</v>
      </c>
    </row>
    <row r="9854" ht="26.25" spans="3:13">
      <c r="C9854" s="108"/>
      <c r="D9854" s="108"/>
      <c r="E9854" s="108"/>
      <c r="F9854" s="108"/>
      <c r="G9854" s="108"/>
      <c r="H9854" s="108" t="s">
        <v>2901</v>
      </c>
      <c r="I9854" s="581">
        <v>6295.81</v>
      </c>
      <c r="J9854" s="114"/>
      <c r="K9854" s="114" t="s">
        <v>2902</v>
      </c>
      <c r="L9854" s="108"/>
      <c r="M9854" s="581">
        <v>30994.97</v>
      </c>
    </row>
    <row r="9855" ht="15" spans="3:13">
      <c r="C9855" s="571"/>
      <c r="D9855" s="571"/>
      <c r="E9855" s="571"/>
      <c r="F9855" s="571"/>
      <c r="G9855" s="571"/>
      <c r="H9855" s="571"/>
      <c r="I9855" s="571"/>
      <c r="J9855" s="571"/>
      <c r="K9855" s="571"/>
      <c r="L9855" s="571"/>
      <c r="M9855" s="571"/>
    </row>
    <row r="9856" ht="15" customHeight="1" spans="3:13">
      <c r="C9856" s="76"/>
      <c r="D9856" s="75" t="s">
        <v>63</v>
      </c>
      <c r="E9856" s="76" t="s">
        <v>64</v>
      </c>
      <c r="F9856" s="76" t="s">
        <v>65</v>
      </c>
      <c r="G9856" s="76" t="s">
        <v>2889</v>
      </c>
      <c r="H9856" s="76"/>
      <c r="I9856" s="77" t="s">
        <v>66</v>
      </c>
      <c r="J9856" s="75" t="s">
        <v>67</v>
      </c>
      <c r="K9856" s="75" t="s">
        <v>2890</v>
      </c>
      <c r="L9856" s="75" t="s">
        <v>68</v>
      </c>
      <c r="M9856" s="75" t="s">
        <v>70</v>
      </c>
    </row>
    <row r="9857" ht="35.05" customHeight="1" spans="3:13">
      <c r="C9857" s="569" t="s">
        <v>2891</v>
      </c>
      <c r="D9857" s="570" t="s">
        <v>4220</v>
      </c>
      <c r="E9857" s="569" t="s">
        <v>132</v>
      </c>
      <c r="F9857" s="569" t="s">
        <v>2932</v>
      </c>
      <c r="G9857" s="569" t="s">
        <v>2924</v>
      </c>
      <c r="H9857" s="569"/>
      <c r="I9857" s="577" t="s">
        <v>2897</v>
      </c>
      <c r="J9857" s="578">
        <v>1</v>
      </c>
      <c r="K9857" s="579"/>
      <c r="L9857" s="579">
        <v>126.78</v>
      </c>
      <c r="M9857" s="579">
        <v>126.78</v>
      </c>
    </row>
    <row r="9858" ht="23.85" customHeight="1" spans="3:13">
      <c r="C9858" s="79" t="s">
        <v>2921</v>
      </c>
      <c r="D9858" s="78" t="s">
        <v>5644</v>
      </c>
      <c r="E9858" s="79" t="s">
        <v>139</v>
      </c>
      <c r="F9858" s="79" t="s">
        <v>5645</v>
      </c>
      <c r="G9858" s="79" t="s">
        <v>2928</v>
      </c>
      <c r="H9858" s="79"/>
      <c r="I9858" s="80" t="s">
        <v>2897</v>
      </c>
      <c r="J9858" s="583">
        <v>1</v>
      </c>
      <c r="K9858" s="583">
        <v>0</v>
      </c>
      <c r="L9858" s="92">
        <v>1.81</v>
      </c>
      <c r="M9858" s="92">
        <v>1.81</v>
      </c>
    </row>
    <row r="9859" ht="23.85" customHeight="1" spans="3:13">
      <c r="C9859" s="100" t="s">
        <v>2893</v>
      </c>
      <c r="D9859" s="99" t="s">
        <v>5818</v>
      </c>
      <c r="E9859" s="100" t="s">
        <v>139</v>
      </c>
      <c r="F9859" s="100" t="s">
        <v>5819</v>
      </c>
      <c r="G9859" s="100" t="s">
        <v>2961</v>
      </c>
      <c r="H9859" s="100"/>
      <c r="I9859" s="101" t="s">
        <v>2897</v>
      </c>
      <c r="J9859" s="580">
        <v>1</v>
      </c>
      <c r="K9859" s="580">
        <v>0</v>
      </c>
      <c r="L9859" s="102">
        <v>0.01</v>
      </c>
      <c r="M9859" s="102">
        <v>0.01</v>
      </c>
    </row>
    <row r="9860" ht="15" customHeight="1" spans="3:13">
      <c r="C9860" s="100" t="s">
        <v>2893</v>
      </c>
      <c r="D9860" s="99" t="s">
        <v>5646</v>
      </c>
      <c r="E9860" s="100" t="s">
        <v>139</v>
      </c>
      <c r="F9860" s="100" t="s">
        <v>5647</v>
      </c>
      <c r="G9860" s="100" t="s">
        <v>2896</v>
      </c>
      <c r="H9860" s="100"/>
      <c r="I9860" s="101" t="s">
        <v>2897</v>
      </c>
      <c r="J9860" s="580">
        <v>1</v>
      </c>
      <c r="K9860" s="580">
        <v>0</v>
      </c>
      <c r="L9860" s="102">
        <v>122.68</v>
      </c>
      <c r="M9860" s="102">
        <v>122.68</v>
      </c>
    </row>
    <row r="9861" ht="15" customHeight="1" spans="3:13">
      <c r="C9861" s="100" t="s">
        <v>2893</v>
      </c>
      <c r="D9861" s="99" t="s">
        <v>5306</v>
      </c>
      <c r="E9861" s="100" t="s">
        <v>139</v>
      </c>
      <c r="F9861" s="100" t="s">
        <v>5307</v>
      </c>
      <c r="G9861" s="100" t="s">
        <v>2961</v>
      </c>
      <c r="H9861" s="100"/>
      <c r="I9861" s="101" t="s">
        <v>2897</v>
      </c>
      <c r="J9861" s="580">
        <v>1</v>
      </c>
      <c r="K9861" s="580">
        <v>0</v>
      </c>
      <c r="L9861" s="102">
        <v>1.43</v>
      </c>
      <c r="M9861" s="102">
        <v>1.43</v>
      </c>
    </row>
    <row r="9862" ht="23.85" customHeight="1" spans="3:13">
      <c r="C9862" s="100" t="s">
        <v>2893</v>
      </c>
      <c r="D9862" s="99" t="s">
        <v>5820</v>
      </c>
      <c r="E9862" s="100" t="s">
        <v>139</v>
      </c>
      <c r="F9862" s="100" t="s">
        <v>5821</v>
      </c>
      <c r="G9862" s="100" t="s">
        <v>2961</v>
      </c>
      <c r="H9862" s="100"/>
      <c r="I9862" s="101" t="s">
        <v>2897</v>
      </c>
      <c r="J9862" s="580">
        <v>1</v>
      </c>
      <c r="K9862" s="580">
        <v>0</v>
      </c>
      <c r="L9862" s="102">
        <v>0.77</v>
      </c>
      <c r="M9862" s="102">
        <v>0.77</v>
      </c>
    </row>
    <row r="9863" ht="15" customHeight="1" spans="3:13">
      <c r="C9863" s="100" t="s">
        <v>2893</v>
      </c>
      <c r="D9863" s="99" t="s">
        <v>5312</v>
      </c>
      <c r="E9863" s="100" t="s">
        <v>139</v>
      </c>
      <c r="F9863" s="100" t="s">
        <v>5313</v>
      </c>
      <c r="G9863" s="100" t="s">
        <v>2961</v>
      </c>
      <c r="H9863" s="100"/>
      <c r="I9863" s="101" t="s">
        <v>2897</v>
      </c>
      <c r="J9863" s="580">
        <v>1</v>
      </c>
      <c r="K9863" s="580">
        <v>0</v>
      </c>
      <c r="L9863" s="102">
        <v>0.08</v>
      </c>
      <c r="M9863" s="102">
        <v>0.08</v>
      </c>
    </row>
    <row r="9864" ht="25.5" spans="3:13">
      <c r="C9864" s="108"/>
      <c r="D9864" s="108"/>
      <c r="E9864" s="108"/>
      <c r="F9864" s="108"/>
      <c r="G9864" s="108"/>
      <c r="H9864" s="108" t="s">
        <v>2898</v>
      </c>
      <c r="I9864" s="581">
        <v>124.49</v>
      </c>
      <c r="J9864" s="108" t="s">
        <v>2899</v>
      </c>
      <c r="K9864" s="581">
        <v>0</v>
      </c>
      <c r="L9864" s="108" t="s">
        <v>2900</v>
      </c>
      <c r="M9864" s="581">
        <v>124.49</v>
      </c>
    </row>
    <row r="9865" ht="26.25" spans="3:13">
      <c r="C9865" s="108"/>
      <c r="D9865" s="108"/>
      <c r="E9865" s="108"/>
      <c r="F9865" s="108"/>
      <c r="G9865" s="108"/>
      <c r="H9865" s="108" t="s">
        <v>2901</v>
      </c>
      <c r="I9865" s="581">
        <v>32.31</v>
      </c>
      <c r="J9865" s="114"/>
      <c r="K9865" s="114" t="s">
        <v>2902</v>
      </c>
      <c r="L9865" s="108"/>
      <c r="M9865" s="581">
        <v>159.09</v>
      </c>
    </row>
    <row r="9866" ht="15" spans="3:13">
      <c r="C9866" s="571"/>
      <c r="D9866" s="571"/>
      <c r="E9866" s="571"/>
      <c r="F9866" s="571"/>
      <c r="G9866" s="571"/>
      <c r="H9866" s="571"/>
      <c r="I9866" s="571"/>
      <c r="J9866" s="571"/>
      <c r="K9866" s="571"/>
      <c r="L9866" s="571"/>
      <c r="M9866" s="571"/>
    </row>
    <row r="9867" ht="15" customHeight="1" spans="3:13">
      <c r="C9867" s="76"/>
      <c r="D9867" s="75" t="s">
        <v>63</v>
      </c>
      <c r="E9867" s="76" t="s">
        <v>64</v>
      </c>
      <c r="F9867" s="76" t="s">
        <v>65</v>
      </c>
      <c r="G9867" s="76" t="s">
        <v>2889</v>
      </c>
      <c r="H9867" s="76"/>
      <c r="I9867" s="77" t="s">
        <v>66</v>
      </c>
      <c r="J9867" s="75" t="s">
        <v>67</v>
      </c>
      <c r="K9867" s="75" t="s">
        <v>2890</v>
      </c>
      <c r="L9867" s="75" t="s">
        <v>68</v>
      </c>
      <c r="M9867" s="75" t="s">
        <v>70</v>
      </c>
    </row>
    <row r="9868" ht="35.05" customHeight="1" spans="3:13">
      <c r="C9868" s="569" t="s">
        <v>2891</v>
      </c>
      <c r="D9868" s="570" t="s">
        <v>2931</v>
      </c>
      <c r="E9868" s="569" t="s">
        <v>132</v>
      </c>
      <c r="F9868" s="569" t="s">
        <v>2932</v>
      </c>
      <c r="G9868" s="569" t="s">
        <v>2924</v>
      </c>
      <c r="H9868" s="569"/>
      <c r="I9868" s="577" t="s">
        <v>2925</v>
      </c>
      <c r="J9868" s="578">
        <v>1</v>
      </c>
      <c r="K9868" s="579"/>
      <c r="L9868" s="579">
        <v>22233.45</v>
      </c>
      <c r="M9868" s="579">
        <v>22233.45</v>
      </c>
    </row>
    <row r="9869" ht="23.85" customHeight="1" spans="3:13">
      <c r="C9869" s="79" t="s">
        <v>2921</v>
      </c>
      <c r="D9869" s="78" t="s">
        <v>5648</v>
      </c>
      <c r="E9869" s="79" t="s">
        <v>139</v>
      </c>
      <c r="F9869" s="79" t="s">
        <v>5649</v>
      </c>
      <c r="G9869" s="79" t="s">
        <v>2928</v>
      </c>
      <c r="H9869" s="79"/>
      <c r="I9869" s="80" t="s">
        <v>2925</v>
      </c>
      <c r="J9869" s="583">
        <v>1</v>
      </c>
      <c r="K9869" s="583">
        <v>0</v>
      </c>
      <c r="L9869" s="92">
        <v>239.74</v>
      </c>
      <c r="M9869" s="92">
        <v>239.74</v>
      </c>
    </row>
    <row r="9870" ht="15" customHeight="1" spans="3:13">
      <c r="C9870" s="100" t="s">
        <v>2893</v>
      </c>
      <c r="D9870" s="99" t="s">
        <v>5650</v>
      </c>
      <c r="E9870" s="100" t="s">
        <v>139</v>
      </c>
      <c r="F9870" s="100" t="s">
        <v>5651</v>
      </c>
      <c r="G9870" s="100" t="s">
        <v>2896</v>
      </c>
      <c r="H9870" s="100"/>
      <c r="I9870" s="101" t="s">
        <v>2925</v>
      </c>
      <c r="J9870" s="580">
        <v>1</v>
      </c>
      <c r="K9870" s="580">
        <v>0</v>
      </c>
      <c r="L9870" s="102">
        <v>21559.39</v>
      </c>
      <c r="M9870" s="102">
        <v>21559.39</v>
      </c>
    </row>
    <row r="9871" ht="23.85" customHeight="1" spans="3:13">
      <c r="C9871" s="100" t="s">
        <v>2893</v>
      </c>
      <c r="D9871" s="99" t="s">
        <v>5426</v>
      </c>
      <c r="E9871" s="100" t="s">
        <v>139</v>
      </c>
      <c r="F9871" s="100" t="s">
        <v>5427</v>
      </c>
      <c r="G9871" s="100" t="s">
        <v>2961</v>
      </c>
      <c r="H9871" s="100"/>
      <c r="I9871" s="101" t="s">
        <v>2925</v>
      </c>
      <c r="J9871" s="580">
        <v>1</v>
      </c>
      <c r="K9871" s="580">
        <v>0</v>
      </c>
      <c r="L9871" s="102">
        <v>146</v>
      </c>
      <c r="M9871" s="102">
        <v>146</v>
      </c>
    </row>
    <row r="9872" ht="23.85" customHeight="1" spans="3:13">
      <c r="C9872" s="100" t="s">
        <v>2893</v>
      </c>
      <c r="D9872" s="99" t="s">
        <v>5428</v>
      </c>
      <c r="E9872" s="100" t="s">
        <v>139</v>
      </c>
      <c r="F9872" s="100" t="s">
        <v>5429</v>
      </c>
      <c r="G9872" s="100" t="s">
        <v>2961</v>
      </c>
      <c r="H9872" s="100"/>
      <c r="I9872" s="101" t="s">
        <v>2925</v>
      </c>
      <c r="J9872" s="580">
        <v>1</v>
      </c>
      <c r="K9872" s="580">
        <v>0</v>
      </c>
      <c r="L9872" s="102">
        <v>2.35</v>
      </c>
      <c r="M9872" s="102">
        <v>2.35</v>
      </c>
    </row>
    <row r="9873" ht="23.85" customHeight="1" spans="3:13">
      <c r="C9873" s="100" t="s">
        <v>2893</v>
      </c>
      <c r="D9873" s="99" t="s">
        <v>5348</v>
      </c>
      <c r="E9873" s="100" t="s">
        <v>139</v>
      </c>
      <c r="F9873" s="100" t="s">
        <v>5349</v>
      </c>
      <c r="G9873" s="100" t="s">
        <v>2961</v>
      </c>
      <c r="H9873" s="100"/>
      <c r="I9873" s="101" t="s">
        <v>2925</v>
      </c>
      <c r="J9873" s="580">
        <v>1</v>
      </c>
      <c r="K9873" s="580">
        <v>0</v>
      </c>
      <c r="L9873" s="102">
        <v>15.46</v>
      </c>
      <c r="M9873" s="102">
        <v>15.46</v>
      </c>
    </row>
    <row r="9874" ht="23.85" customHeight="1" spans="3:13">
      <c r="C9874" s="100" t="s">
        <v>2893</v>
      </c>
      <c r="D9874" s="99" t="s">
        <v>5340</v>
      </c>
      <c r="E9874" s="100" t="s">
        <v>139</v>
      </c>
      <c r="F9874" s="100" t="s">
        <v>5341</v>
      </c>
      <c r="G9874" s="100" t="s">
        <v>2961</v>
      </c>
      <c r="H9874" s="100"/>
      <c r="I9874" s="101" t="s">
        <v>2925</v>
      </c>
      <c r="J9874" s="580">
        <v>1</v>
      </c>
      <c r="K9874" s="580">
        <v>0</v>
      </c>
      <c r="L9874" s="102">
        <v>270.51</v>
      </c>
      <c r="M9874" s="102">
        <v>270.51</v>
      </c>
    </row>
    <row r="9875" ht="25.5" spans="3:13">
      <c r="C9875" s="108"/>
      <c r="D9875" s="108"/>
      <c r="E9875" s="108"/>
      <c r="F9875" s="108"/>
      <c r="G9875" s="108"/>
      <c r="H9875" s="108" t="s">
        <v>2898</v>
      </c>
      <c r="I9875" s="581">
        <v>21799.13</v>
      </c>
      <c r="J9875" s="108" t="s">
        <v>2899</v>
      </c>
      <c r="K9875" s="581">
        <v>0</v>
      </c>
      <c r="L9875" s="108" t="s">
        <v>2900</v>
      </c>
      <c r="M9875" s="581">
        <v>21799.13</v>
      </c>
    </row>
    <row r="9876" ht="26.25" spans="3:13">
      <c r="C9876" s="108"/>
      <c r="D9876" s="108"/>
      <c r="E9876" s="108"/>
      <c r="F9876" s="108"/>
      <c r="G9876" s="108"/>
      <c r="H9876" s="108" t="s">
        <v>2901</v>
      </c>
      <c r="I9876" s="581">
        <v>5667.3</v>
      </c>
      <c r="J9876" s="114"/>
      <c r="K9876" s="114" t="s">
        <v>2902</v>
      </c>
      <c r="L9876" s="108"/>
      <c r="M9876" s="581">
        <v>27900.75</v>
      </c>
    </row>
    <row r="9877" ht="15" spans="3:13">
      <c r="C9877" s="571"/>
      <c r="D9877" s="571"/>
      <c r="E9877" s="571"/>
      <c r="F9877" s="571"/>
      <c r="G9877" s="571"/>
      <c r="H9877" s="571"/>
      <c r="I9877" s="571"/>
      <c r="J9877" s="571"/>
      <c r="K9877" s="571"/>
      <c r="L9877" s="571"/>
      <c r="M9877" s="571"/>
    </row>
    <row r="9878" ht="15" customHeight="1" spans="3:13">
      <c r="C9878" s="76"/>
      <c r="D9878" s="75" t="s">
        <v>63</v>
      </c>
      <c r="E9878" s="76" t="s">
        <v>64</v>
      </c>
      <c r="F9878" s="76" t="s">
        <v>65</v>
      </c>
      <c r="G9878" s="76" t="s">
        <v>2889</v>
      </c>
      <c r="H9878" s="76"/>
      <c r="I9878" s="77" t="s">
        <v>66</v>
      </c>
      <c r="J9878" s="75" t="s">
        <v>67</v>
      </c>
      <c r="K9878" s="75" t="s">
        <v>2890</v>
      </c>
      <c r="L9878" s="75" t="s">
        <v>68</v>
      </c>
      <c r="M9878" s="75" t="s">
        <v>70</v>
      </c>
    </row>
    <row r="9879" ht="35.05" customHeight="1" spans="3:13">
      <c r="C9879" s="569" t="s">
        <v>2891</v>
      </c>
      <c r="D9879" s="570" t="s">
        <v>2922</v>
      </c>
      <c r="E9879" s="569" t="s">
        <v>132</v>
      </c>
      <c r="F9879" s="569" t="s">
        <v>2923</v>
      </c>
      <c r="G9879" s="569" t="s">
        <v>2924</v>
      </c>
      <c r="H9879" s="569"/>
      <c r="I9879" s="577" t="s">
        <v>2925</v>
      </c>
      <c r="J9879" s="578">
        <v>1</v>
      </c>
      <c r="K9879" s="579"/>
      <c r="L9879" s="579">
        <v>22233.45</v>
      </c>
      <c r="M9879" s="579">
        <v>22233.45</v>
      </c>
    </row>
    <row r="9880" ht="23.85" customHeight="1" spans="3:13">
      <c r="C9880" s="79" t="s">
        <v>2921</v>
      </c>
      <c r="D9880" s="78" t="s">
        <v>5648</v>
      </c>
      <c r="E9880" s="79" t="s">
        <v>139</v>
      </c>
      <c r="F9880" s="79" t="s">
        <v>5649</v>
      </c>
      <c r="G9880" s="79" t="s">
        <v>2928</v>
      </c>
      <c r="H9880" s="79"/>
      <c r="I9880" s="80" t="s">
        <v>2925</v>
      </c>
      <c r="J9880" s="583">
        <v>1</v>
      </c>
      <c r="K9880" s="583">
        <v>0</v>
      </c>
      <c r="L9880" s="92">
        <v>239.74</v>
      </c>
      <c r="M9880" s="92">
        <v>239.74</v>
      </c>
    </row>
    <row r="9881" ht="23.85" customHeight="1" spans="3:13">
      <c r="C9881" s="100" t="s">
        <v>2893</v>
      </c>
      <c r="D9881" s="99" t="s">
        <v>5426</v>
      </c>
      <c r="E9881" s="100" t="s">
        <v>139</v>
      </c>
      <c r="F9881" s="100" t="s">
        <v>5427</v>
      </c>
      <c r="G9881" s="100" t="s">
        <v>2961</v>
      </c>
      <c r="H9881" s="100"/>
      <c r="I9881" s="101" t="s">
        <v>2925</v>
      </c>
      <c r="J9881" s="580">
        <v>1</v>
      </c>
      <c r="K9881" s="580">
        <v>0</v>
      </c>
      <c r="L9881" s="102">
        <v>146</v>
      </c>
      <c r="M9881" s="102">
        <v>146</v>
      </c>
    </row>
    <row r="9882" ht="23.85" customHeight="1" spans="3:13">
      <c r="C9882" s="100" t="s">
        <v>2893</v>
      </c>
      <c r="D9882" s="99" t="s">
        <v>5348</v>
      </c>
      <c r="E9882" s="100" t="s">
        <v>139</v>
      </c>
      <c r="F9882" s="100" t="s">
        <v>5349</v>
      </c>
      <c r="G9882" s="100" t="s">
        <v>2961</v>
      </c>
      <c r="H9882" s="100"/>
      <c r="I9882" s="101" t="s">
        <v>2925</v>
      </c>
      <c r="J9882" s="580">
        <v>1</v>
      </c>
      <c r="K9882" s="580">
        <v>0</v>
      </c>
      <c r="L9882" s="102">
        <v>15.46</v>
      </c>
      <c r="M9882" s="102">
        <v>15.46</v>
      </c>
    </row>
    <row r="9883" ht="23.85" customHeight="1" spans="3:13">
      <c r="C9883" s="100" t="s">
        <v>2893</v>
      </c>
      <c r="D9883" s="99" t="s">
        <v>5340</v>
      </c>
      <c r="E9883" s="100" t="s">
        <v>139</v>
      </c>
      <c r="F9883" s="100" t="s">
        <v>5341</v>
      </c>
      <c r="G9883" s="100" t="s">
        <v>2961</v>
      </c>
      <c r="H9883" s="100"/>
      <c r="I9883" s="101" t="s">
        <v>2925</v>
      </c>
      <c r="J9883" s="580">
        <v>1</v>
      </c>
      <c r="K9883" s="580">
        <v>0</v>
      </c>
      <c r="L9883" s="102">
        <v>270.51</v>
      </c>
      <c r="M9883" s="102">
        <v>270.51</v>
      </c>
    </row>
    <row r="9884" ht="23.85" customHeight="1" spans="3:13">
      <c r="C9884" s="100" t="s">
        <v>2893</v>
      </c>
      <c r="D9884" s="99" t="s">
        <v>5428</v>
      </c>
      <c r="E9884" s="100" t="s">
        <v>139</v>
      </c>
      <c r="F9884" s="100" t="s">
        <v>5429</v>
      </c>
      <c r="G9884" s="100" t="s">
        <v>2961</v>
      </c>
      <c r="H9884" s="100"/>
      <c r="I9884" s="101" t="s">
        <v>2925</v>
      </c>
      <c r="J9884" s="580">
        <v>1</v>
      </c>
      <c r="K9884" s="580">
        <v>0</v>
      </c>
      <c r="L9884" s="102">
        <v>2.35</v>
      </c>
      <c r="M9884" s="102">
        <v>2.35</v>
      </c>
    </row>
    <row r="9885" ht="15" customHeight="1" spans="3:13">
      <c r="C9885" s="100" t="s">
        <v>2893</v>
      </c>
      <c r="D9885" s="99" t="s">
        <v>5650</v>
      </c>
      <c r="E9885" s="100" t="s">
        <v>139</v>
      </c>
      <c r="F9885" s="100" t="s">
        <v>5651</v>
      </c>
      <c r="G9885" s="100" t="s">
        <v>2896</v>
      </c>
      <c r="H9885" s="100"/>
      <c r="I9885" s="101" t="s">
        <v>2925</v>
      </c>
      <c r="J9885" s="580">
        <v>1</v>
      </c>
      <c r="K9885" s="580">
        <v>0</v>
      </c>
      <c r="L9885" s="102">
        <v>21559.39</v>
      </c>
      <c r="M9885" s="102">
        <v>21559.39</v>
      </c>
    </row>
    <row r="9886" ht="25.5" spans="3:13">
      <c r="C9886" s="108"/>
      <c r="D9886" s="108"/>
      <c r="E9886" s="108"/>
      <c r="F9886" s="108"/>
      <c r="G9886" s="108"/>
      <c r="H9886" s="108" t="s">
        <v>2898</v>
      </c>
      <c r="I9886" s="581">
        <v>21799.13</v>
      </c>
      <c r="J9886" s="108" t="s">
        <v>2899</v>
      </c>
      <c r="K9886" s="581">
        <v>0</v>
      </c>
      <c r="L9886" s="108" t="s">
        <v>2900</v>
      </c>
      <c r="M9886" s="581">
        <v>21799.13</v>
      </c>
    </row>
    <row r="9887" ht="26.25" spans="3:13">
      <c r="C9887" s="108"/>
      <c r="D9887" s="108"/>
      <c r="E9887" s="108"/>
      <c r="F9887" s="108"/>
      <c r="G9887" s="108"/>
      <c r="H9887" s="108" t="s">
        <v>2901</v>
      </c>
      <c r="I9887" s="581">
        <v>5667.3</v>
      </c>
      <c r="J9887" s="114"/>
      <c r="K9887" s="114" t="s">
        <v>2902</v>
      </c>
      <c r="L9887" s="108"/>
      <c r="M9887" s="581">
        <v>27900.75</v>
      </c>
    </row>
    <row r="9888" ht="15" spans="3:13">
      <c r="C9888" s="571"/>
      <c r="D9888" s="571"/>
      <c r="E9888" s="571"/>
      <c r="F9888" s="571"/>
      <c r="G9888" s="571"/>
      <c r="H9888" s="571"/>
      <c r="I9888" s="571"/>
      <c r="J9888" s="571"/>
      <c r="K9888" s="571"/>
      <c r="L9888" s="571"/>
      <c r="M9888" s="571"/>
    </row>
    <row r="9889" ht="15" customHeight="1" spans="3:13">
      <c r="C9889" s="76"/>
      <c r="D9889" s="75" t="s">
        <v>63</v>
      </c>
      <c r="E9889" s="76" t="s">
        <v>64</v>
      </c>
      <c r="F9889" s="76" t="s">
        <v>65</v>
      </c>
      <c r="G9889" s="76" t="s">
        <v>2889</v>
      </c>
      <c r="H9889" s="76"/>
      <c r="I9889" s="77" t="s">
        <v>66</v>
      </c>
      <c r="J9889" s="75" t="s">
        <v>67</v>
      </c>
      <c r="K9889" s="75" t="s">
        <v>2890</v>
      </c>
      <c r="L9889" s="75" t="s">
        <v>68</v>
      </c>
      <c r="M9889" s="75" t="s">
        <v>70</v>
      </c>
    </row>
    <row r="9890" ht="23.85" customHeight="1" spans="3:13">
      <c r="C9890" s="569" t="s">
        <v>2891</v>
      </c>
      <c r="D9890" s="570" t="s">
        <v>4111</v>
      </c>
      <c r="E9890" s="569" t="s">
        <v>796</v>
      </c>
      <c r="F9890" s="569" t="s">
        <v>4112</v>
      </c>
      <c r="G9890" s="569" t="s">
        <v>4113</v>
      </c>
      <c r="H9890" s="569"/>
      <c r="I9890" s="577" t="s">
        <v>141</v>
      </c>
      <c r="J9890" s="578">
        <v>1</v>
      </c>
      <c r="K9890" s="579"/>
      <c r="L9890" s="579">
        <v>48.9</v>
      </c>
      <c r="M9890" s="579">
        <v>48.9</v>
      </c>
    </row>
    <row r="9891" ht="15" customHeight="1" spans="3:13">
      <c r="C9891" s="79" t="s">
        <v>2921</v>
      </c>
      <c r="D9891" s="78" t="s">
        <v>4326</v>
      </c>
      <c r="E9891" s="79" t="s">
        <v>796</v>
      </c>
      <c r="F9891" s="79" t="s">
        <v>4327</v>
      </c>
      <c r="G9891" s="79" t="s">
        <v>4113</v>
      </c>
      <c r="H9891" s="79"/>
      <c r="I9891" s="80" t="s">
        <v>279</v>
      </c>
      <c r="J9891" s="583">
        <v>0.01575</v>
      </c>
      <c r="K9891" s="583">
        <v>0</v>
      </c>
      <c r="L9891" s="92">
        <v>656.45</v>
      </c>
      <c r="M9891" s="92">
        <v>10.33</v>
      </c>
    </row>
    <row r="9892" ht="23.85" customHeight="1" spans="3:13">
      <c r="C9892" s="79" t="s">
        <v>2921</v>
      </c>
      <c r="D9892" s="78" t="s">
        <v>4335</v>
      </c>
      <c r="E9892" s="79" t="s">
        <v>796</v>
      </c>
      <c r="F9892" s="79" t="s">
        <v>4336</v>
      </c>
      <c r="G9892" s="79" t="s">
        <v>4113</v>
      </c>
      <c r="H9892" s="79"/>
      <c r="I9892" s="80" t="s">
        <v>141</v>
      </c>
      <c r="J9892" s="583">
        <v>1</v>
      </c>
      <c r="K9892" s="583">
        <v>0</v>
      </c>
      <c r="L9892" s="92">
        <v>14.8</v>
      </c>
      <c r="M9892" s="92">
        <v>14.8</v>
      </c>
    </row>
    <row r="9893" ht="35.05" customHeight="1" spans="3:13">
      <c r="C9893" s="100" t="s">
        <v>2893</v>
      </c>
      <c r="D9893" s="99" t="s">
        <v>3713</v>
      </c>
      <c r="E9893" s="100" t="s">
        <v>796</v>
      </c>
      <c r="F9893" s="100" t="s">
        <v>3714</v>
      </c>
      <c r="G9893" s="100" t="s">
        <v>3715</v>
      </c>
      <c r="H9893" s="100"/>
      <c r="I9893" s="101" t="s">
        <v>3716</v>
      </c>
      <c r="J9893" s="580">
        <v>23.08</v>
      </c>
      <c r="K9893" s="580">
        <v>3</v>
      </c>
      <c r="L9893" s="102">
        <v>1</v>
      </c>
      <c r="M9893" s="102">
        <v>0.69</v>
      </c>
    </row>
    <row r="9894" ht="23.85" customHeight="1" spans="3:13">
      <c r="C9894" s="100" t="s">
        <v>2893</v>
      </c>
      <c r="D9894" s="99" t="s">
        <v>5438</v>
      </c>
      <c r="E9894" s="100" t="s">
        <v>796</v>
      </c>
      <c r="F9894" s="100" t="s">
        <v>5439</v>
      </c>
      <c r="G9894" s="100" t="s">
        <v>2896</v>
      </c>
      <c r="H9894" s="100"/>
      <c r="I9894" s="101" t="s">
        <v>3707</v>
      </c>
      <c r="J9894" s="580">
        <v>0.4</v>
      </c>
      <c r="K9894" s="580">
        <v>0</v>
      </c>
      <c r="L9894" s="102">
        <v>33.83</v>
      </c>
      <c r="M9894" s="102">
        <v>13.53</v>
      </c>
    </row>
    <row r="9895" ht="15" customHeight="1" spans="3:13">
      <c r="C9895" s="100" t="s">
        <v>2893</v>
      </c>
      <c r="D9895" s="99" t="s">
        <v>3717</v>
      </c>
      <c r="E9895" s="100" t="s">
        <v>796</v>
      </c>
      <c r="F9895" s="100" t="s">
        <v>3718</v>
      </c>
      <c r="G9895" s="100" t="s">
        <v>2896</v>
      </c>
      <c r="H9895" s="100"/>
      <c r="I9895" s="101" t="s">
        <v>3707</v>
      </c>
      <c r="J9895" s="580">
        <v>0.4</v>
      </c>
      <c r="K9895" s="580">
        <v>0</v>
      </c>
      <c r="L9895" s="102">
        <v>23.89</v>
      </c>
      <c r="M9895" s="102">
        <v>9.55</v>
      </c>
    </row>
    <row r="9896" ht="25.5" spans="3:13">
      <c r="C9896" s="108"/>
      <c r="D9896" s="108"/>
      <c r="E9896" s="108"/>
      <c r="F9896" s="108"/>
      <c r="G9896" s="108"/>
      <c r="H9896" s="108" t="s">
        <v>2898</v>
      </c>
      <c r="I9896" s="581">
        <v>38.22</v>
      </c>
      <c r="J9896" s="108" t="s">
        <v>2899</v>
      </c>
      <c r="K9896" s="581">
        <v>0</v>
      </c>
      <c r="L9896" s="108" t="s">
        <v>2900</v>
      </c>
      <c r="M9896" s="581">
        <v>38.22</v>
      </c>
    </row>
    <row r="9897" ht="26.25" spans="3:13">
      <c r="C9897" s="108"/>
      <c r="D9897" s="108"/>
      <c r="E9897" s="108"/>
      <c r="F9897" s="108"/>
      <c r="G9897" s="108"/>
      <c r="H9897" s="108" t="s">
        <v>2901</v>
      </c>
      <c r="I9897" s="581">
        <v>12.46</v>
      </c>
      <c r="J9897" s="114"/>
      <c r="K9897" s="114" t="s">
        <v>2902</v>
      </c>
      <c r="L9897" s="108"/>
      <c r="M9897" s="581">
        <v>61.36</v>
      </c>
    </row>
    <row r="9898" ht="15" spans="3:13">
      <c r="C9898" s="571"/>
      <c r="D9898" s="571"/>
      <c r="E9898" s="571"/>
      <c r="F9898" s="571"/>
      <c r="G9898" s="571"/>
      <c r="H9898" s="571"/>
      <c r="I9898" s="571"/>
      <c r="J9898" s="571"/>
      <c r="K9898" s="571"/>
      <c r="L9898" s="571"/>
      <c r="M9898" s="571"/>
    </row>
    <row r="9899" ht="15" customHeight="1" spans="3:13">
      <c r="C9899" s="76"/>
      <c r="D9899" s="75" t="s">
        <v>63</v>
      </c>
      <c r="E9899" s="76" t="s">
        <v>64</v>
      </c>
      <c r="F9899" s="76" t="s">
        <v>65</v>
      </c>
      <c r="G9899" s="76" t="s">
        <v>2889</v>
      </c>
      <c r="H9899" s="76"/>
      <c r="I9899" s="77" t="s">
        <v>66</v>
      </c>
      <c r="J9899" s="75" t="s">
        <v>67</v>
      </c>
      <c r="K9899" s="75" t="s">
        <v>2890</v>
      </c>
      <c r="L9899" s="75" t="s">
        <v>68</v>
      </c>
      <c r="M9899" s="75" t="s">
        <v>70</v>
      </c>
    </row>
    <row r="9900" ht="23.85" customHeight="1" spans="3:13">
      <c r="C9900" s="569" t="s">
        <v>2891</v>
      </c>
      <c r="D9900" s="570" t="s">
        <v>4317</v>
      </c>
      <c r="E9900" s="569" t="s">
        <v>796</v>
      </c>
      <c r="F9900" s="569" t="s">
        <v>4318</v>
      </c>
      <c r="G9900" s="569" t="s">
        <v>4319</v>
      </c>
      <c r="H9900" s="569"/>
      <c r="I9900" s="577" t="s">
        <v>279</v>
      </c>
      <c r="J9900" s="578">
        <v>1</v>
      </c>
      <c r="K9900" s="579"/>
      <c r="L9900" s="579">
        <v>49.21</v>
      </c>
      <c r="M9900" s="579">
        <v>49.21</v>
      </c>
    </row>
    <row r="9901" ht="15" customHeight="1" spans="3:13">
      <c r="C9901" s="100" t="s">
        <v>2893</v>
      </c>
      <c r="D9901" s="99" t="s">
        <v>3717</v>
      </c>
      <c r="E9901" s="100" t="s">
        <v>796</v>
      </c>
      <c r="F9901" s="100" t="s">
        <v>3718</v>
      </c>
      <c r="G9901" s="100" t="s">
        <v>2896</v>
      </c>
      <c r="H9901" s="100"/>
      <c r="I9901" s="101" t="s">
        <v>3707</v>
      </c>
      <c r="J9901" s="580">
        <v>2</v>
      </c>
      <c r="K9901" s="580">
        <v>0</v>
      </c>
      <c r="L9901" s="102">
        <v>23.89</v>
      </c>
      <c r="M9901" s="102">
        <v>47.78</v>
      </c>
    </row>
    <row r="9902" ht="35.05" customHeight="1" spans="3:13">
      <c r="C9902" s="100" t="s">
        <v>2893</v>
      </c>
      <c r="D9902" s="99" t="s">
        <v>3713</v>
      </c>
      <c r="E9902" s="100" t="s">
        <v>796</v>
      </c>
      <c r="F9902" s="100" t="s">
        <v>3714</v>
      </c>
      <c r="G9902" s="100" t="s">
        <v>3715</v>
      </c>
      <c r="H9902" s="100"/>
      <c r="I9902" s="101" t="s">
        <v>3716</v>
      </c>
      <c r="J9902" s="580">
        <v>47.78</v>
      </c>
      <c r="K9902" s="580">
        <v>3</v>
      </c>
      <c r="L9902" s="102">
        <v>1</v>
      </c>
      <c r="M9902" s="102">
        <v>1.43</v>
      </c>
    </row>
    <row r="9903" ht="25.5" spans="3:13">
      <c r="C9903" s="108"/>
      <c r="D9903" s="108"/>
      <c r="E9903" s="108"/>
      <c r="F9903" s="108"/>
      <c r="G9903" s="108"/>
      <c r="H9903" s="108" t="s">
        <v>2898</v>
      </c>
      <c r="I9903" s="581">
        <v>47.78</v>
      </c>
      <c r="J9903" s="108" t="s">
        <v>2899</v>
      </c>
      <c r="K9903" s="581">
        <v>0</v>
      </c>
      <c r="L9903" s="108" t="s">
        <v>2900</v>
      </c>
      <c r="M9903" s="581">
        <v>47.78</v>
      </c>
    </row>
    <row r="9904" ht="26.25" spans="3:13">
      <c r="C9904" s="108"/>
      <c r="D9904" s="108"/>
      <c r="E9904" s="108"/>
      <c r="F9904" s="108"/>
      <c r="G9904" s="108"/>
      <c r="H9904" s="108" t="s">
        <v>2901</v>
      </c>
      <c r="I9904" s="581">
        <v>12.54</v>
      </c>
      <c r="J9904" s="114"/>
      <c r="K9904" s="114" t="s">
        <v>2902</v>
      </c>
      <c r="L9904" s="108"/>
      <c r="M9904" s="581">
        <v>61.75</v>
      </c>
    </row>
    <row r="9905" ht="15" spans="3:13">
      <c r="C9905" s="571"/>
      <c r="D9905" s="571"/>
      <c r="E9905" s="571"/>
      <c r="F9905" s="571"/>
      <c r="G9905" s="571"/>
      <c r="H9905" s="571"/>
      <c r="I9905" s="571"/>
      <c r="J9905" s="571"/>
      <c r="K9905" s="571"/>
      <c r="L9905" s="571"/>
      <c r="M9905" s="571"/>
    </row>
    <row r="9906" ht="15" customHeight="1" spans="3:13">
      <c r="C9906" s="76"/>
      <c r="D9906" s="75" t="s">
        <v>63</v>
      </c>
      <c r="E9906" s="76" t="s">
        <v>64</v>
      </c>
      <c r="F9906" s="76" t="s">
        <v>65</v>
      </c>
      <c r="G9906" s="76" t="s">
        <v>2889</v>
      </c>
      <c r="H9906" s="76"/>
      <c r="I9906" s="77" t="s">
        <v>66</v>
      </c>
      <c r="J9906" s="75" t="s">
        <v>67</v>
      </c>
      <c r="K9906" s="75" t="s">
        <v>2890</v>
      </c>
      <c r="L9906" s="75" t="s">
        <v>68</v>
      </c>
      <c r="M9906" s="75" t="s">
        <v>70</v>
      </c>
    </row>
    <row r="9907" ht="23.85" customHeight="1" spans="3:13">
      <c r="C9907" s="569" t="s">
        <v>2891</v>
      </c>
      <c r="D9907" s="570" t="s">
        <v>3431</v>
      </c>
      <c r="E9907" s="569" t="s">
        <v>139</v>
      </c>
      <c r="F9907" s="569" t="s">
        <v>3432</v>
      </c>
      <c r="G9907" s="569" t="s">
        <v>3390</v>
      </c>
      <c r="H9907" s="569"/>
      <c r="I9907" s="577" t="s">
        <v>204</v>
      </c>
      <c r="J9907" s="578">
        <v>1</v>
      </c>
      <c r="K9907" s="579"/>
      <c r="L9907" s="579">
        <v>17.44</v>
      </c>
      <c r="M9907" s="579">
        <v>17.44</v>
      </c>
    </row>
    <row r="9908" ht="23.85" customHeight="1" spans="3:13">
      <c r="C9908" s="79" t="s">
        <v>2921</v>
      </c>
      <c r="D9908" s="78" t="s">
        <v>3000</v>
      </c>
      <c r="E9908" s="79" t="s">
        <v>139</v>
      </c>
      <c r="F9908" s="79" t="s">
        <v>3001</v>
      </c>
      <c r="G9908" s="79" t="s">
        <v>2995</v>
      </c>
      <c r="H9908" s="79"/>
      <c r="I9908" s="80" t="s">
        <v>3002</v>
      </c>
      <c r="J9908" s="583">
        <v>0.007</v>
      </c>
      <c r="K9908" s="583">
        <v>0</v>
      </c>
      <c r="L9908" s="92">
        <v>41.6</v>
      </c>
      <c r="M9908" s="92">
        <v>0.29</v>
      </c>
    </row>
    <row r="9909" ht="23.85" customHeight="1" spans="3:13">
      <c r="C9909" s="79" t="s">
        <v>2921</v>
      </c>
      <c r="D9909" s="78" t="s">
        <v>3003</v>
      </c>
      <c r="E9909" s="79" t="s">
        <v>139</v>
      </c>
      <c r="F9909" s="79" t="s">
        <v>3004</v>
      </c>
      <c r="G9909" s="79" t="s">
        <v>2928</v>
      </c>
      <c r="H9909" s="79"/>
      <c r="I9909" s="80" t="s">
        <v>2897</v>
      </c>
      <c r="J9909" s="583">
        <v>0.021</v>
      </c>
      <c r="K9909" s="583">
        <v>0</v>
      </c>
      <c r="L9909" s="92">
        <v>29.91</v>
      </c>
      <c r="M9909" s="92">
        <v>0.62</v>
      </c>
    </row>
    <row r="9910" ht="23.85" customHeight="1" spans="3:13">
      <c r="C9910" s="79" t="s">
        <v>2921</v>
      </c>
      <c r="D9910" s="78" t="s">
        <v>2954</v>
      </c>
      <c r="E9910" s="79" t="s">
        <v>139</v>
      </c>
      <c r="F9910" s="79" t="s">
        <v>2955</v>
      </c>
      <c r="G9910" s="79" t="s">
        <v>2928</v>
      </c>
      <c r="H9910" s="79"/>
      <c r="I9910" s="80" t="s">
        <v>2897</v>
      </c>
      <c r="J9910" s="583">
        <v>0.091</v>
      </c>
      <c r="K9910" s="583">
        <v>0</v>
      </c>
      <c r="L9910" s="92">
        <v>37.51</v>
      </c>
      <c r="M9910" s="92">
        <v>3.41</v>
      </c>
    </row>
    <row r="9911" ht="23.85" customHeight="1" spans="3:13">
      <c r="C9911" s="79" t="s">
        <v>2921</v>
      </c>
      <c r="D9911" s="78" t="s">
        <v>2993</v>
      </c>
      <c r="E9911" s="79" t="s">
        <v>139</v>
      </c>
      <c r="F9911" s="79" t="s">
        <v>2994</v>
      </c>
      <c r="G9911" s="79" t="s">
        <v>2995</v>
      </c>
      <c r="H9911" s="79"/>
      <c r="I9911" s="80" t="s">
        <v>2996</v>
      </c>
      <c r="J9911" s="583">
        <v>0.03</v>
      </c>
      <c r="K9911" s="583">
        <v>0</v>
      </c>
      <c r="L9911" s="92">
        <v>39.98</v>
      </c>
      <c r="M9911" s="92">
        <v>1.19</v>
      </c>
    </row>
    <row r="9912" ht="23.85" customHeight="1" spans="3:13">
      <c r="C9912" s="100" t="s">
        <v>2893</v>
      </c>
      <c r="D9912" s="99" t="s">
        <v>3007</v>
      </c>
      <c r="E9912" s="100" t="s">
        <v>139</v>
      </c>
      <c r="F9912" s="100" t="s">
        <v>3008</v>
      </c>
      <c r="G9912" s="100" t="s">
        <v>2961</v>
      </c>
      <c r="H9912" s="100"/>
      <c r="I9912" s="101" t="s">
        <v>204</v>
      </c>
      <c r="J9912" s="580">
        <v>1.31</v>
      </c>
      <c r="K9912" s="580">
        <v>0</v>
      </c>
      <c r="L9912" s="102">
        <v>8.79</v>
      </c>
      <c r="M9912" s="102">
        <v>11.51</v>
      </c>
    </row>
    <row r="9913" ht="15" customHeight="1" spans="3:13">
      <c r="C9913" s="100" t="s">
        <v>2893</v>
      </c>
      <c r="D9913" s="99" t="s">
        <v>3388</v>
      </c>
      <c r="E9913" s="100" t="s">
        <v>139</v>
      </c>
      <c r="F9913" s="100" t="s">
        <v>3389</v>
      </c>
      <c r="G9913" s="100" t="s">
        <v>2961</v>
      </c>
      <c r="H9913" s="100"/>
      <c r="I9913" s="101" t="s">
        <v>393</v>
      </c>
      <c r="J9913" s="580">
        <v>0.023</v>
      </c>
      <c r="K9913" s="580">
        <v>0</v>
      </c>
      <c r="L9913" s="102">
        <v>18.38</v>
      </c>
      <c r="M9913" s="102">
        <v>0.42</v>
      </c>
    </row>
    <row r="9914" ht="25.5" spans="3:13">
      <c r="C9914" s="108"/>
      <c r="D9914" s="108"/>
      <c r="E9914" s="108"/>
      <c r="F9914" s="108"/>
      <c r="G9914" s="108"/>
      <c r="H9914" s="108" t="s">
        <v>2898</v>
      </c>
      <c r="I9914" s="581">
        <v>4.08</v>
      </c>
      <c r="J9914" s="108" t="s">
        <v>2899</v>
      </c>
      <c r="K9914" s="581">
        <v>0</v>
      </c>
      <c r="L9914" s="108" t="s">
        <v>2900</v>
      </c>
      <c r="M9914" s="581">
        <v>4.08</v>
      </c>
    </row>
    <row r="9915" ht="26.25" spans="3:13">
      <c r="C9915" s="108"/>
      <c r="D9915" s="108"/>
      <c r="E9915" s="108"/>
      <c r="F9915" s="108"/>
      <c r="G9915" s="108"/>
      <c r="H9915" s="108" t="s">
        <v>2901</v>
      </c>
      <c r="I9915" s="581">
        <v>4.44</v>
      </c>
      <c r="J9915" s="114"/>
      <c r="K9915" s="114" t="s">
        <v>2902</v>
      </c>
      <c r="L9915" s="108"/>
      <c r="M9915" s="581">
        <v>21.88</v>
      </c>
    </row>
    <row r="9916" ht="15" spans="3:13">
      <c r="C9916" s="571"/>
      <c r="D9916" s="571"/>
      <c r="E9916" s="571"/>
      <c r="F9916" s="571"/>
      <c r="G9916" s="571"/>
      <c r="H9916" s="571"/>
      <c r="I9916" s="571"/>
      <c r="J9916" s="571"/>
      <c r="K9916" s="571"/>
      <c r="L9916" s="571"/>
      <c r="M9916" s="571"/>
    </row>
    <row r="9917" ht="15" customHeight="1" spans="3:13">
      <c r="C9917" s="76"/>
      <c r="D9917" s="75" t="s">
        <v>63</v>
      </c>
      <c r="E9917" s="76" t="s">
        <v>64</v>
      </c>
      <c r="F9917" s="76" t="s">
        <v>65</v>
      </c>
      <c r="G9917" s="76" t="s">
        <v>2889</v>
      </c>
      <c r="H9917" s="76"/>
      <c r="I9917" s="77" t="s">
        <v>66</v>
      </c>
      <c r="J9917" s="75" t="s">
        <v>67</v>
      </c>
      <c r="K9917" s="75" t="s">
        <v>2890</v>
      </c>
      <c r="L9917" s="75" t="s">
        <v>68</v>
      </c>
      <c r="M9917" s="75" t="s">
        <v>70</v>
      </c>
    </row>
    <row r="9918" ht="23.85" customHeight="1" spans="3:13">
      <c r="C9918" s="569" t="s">
        <v>2891</v>
      </c>
      <c r="D9918" s="570" t="s">
        <v>3391</v>
      </c>
      <c r="E9918" s="569" t="s">
        <v>139</v>
      </c>
      <c r="F9918" s="569" t="s">
        <v>3392</v>
      </c>
      <c r="G9918" s="569" t="s">
        <v>3390</v>
      </c>
      <c r="H9918" s="569"/>
      <c r="I9918" s="577" t="s">
        <v>141</v>
      </c>
      <c r="J9918" s="578">
        <v>1</v>
      </c>
      <c r="K9918" s="579"/>
      <c r="L9918" s="579">
        <v>220.83</v>
      </c>
      <c r="M9918" s="579">
        <v>220.83</v>
      </c>
    </row>
    <row r="9919" ht="23.85" customHeight="1" spans="3:13">
      <c r="C9919" s="79" t="s">
        <v>2921</v>
      </c>
      <c r="D9919" s="78" t="s">
        <v>2993</v>
      </c>
      <c r="E9919" s="79" t="s">
        <v>139</v>
      </c>
      <c r="F9919" s="79" t="s">
        <v>2994</v>
      </c>
      <c r="G9919" s="79" t="s">
        <v>2995</v>
      </c>
      <c r="H9919" s="79"/>
      <c r="I9919" s="80" t="s">
        <v>2996</v>
      </c>
      <c r="J9919" s="583">
        <v>0.255</v>
      </c>
      <c r="K9919" s="583">
        <v>0</v>
      </c>
      <c r="L9919" s="92">
        <v>39.98</v>
      </c>
      <c r="M9919" s="92">
        <v>10.19</v>
      </c>
    </row>
    <row r="9920" ht="23.85" customHeight="1" spans="3:13">
      <c r="C9920" s="79" t="s">
        <v>2921</v>
      </c>
      <c r="D9920" s="78" t="s">
        <v>3000</v>
      </c>
      <c r="E9920" s="79" t="s">
        <v>139</v>
      </c>
      <c r="F9920" s="79" t="s">
        <v>3001</v>
      </c>
      <c r="G9920" s="79" t="s">
        <v>2995</v>
      </c>
      <c r="H9920" s="79"/>
      <c r="I9920" s="80" t="s">
        <v>3002</v>
      </c>
      <c r="J9920" s="583">
        <v>0.063</v>
      </c>
      <c r="K9920" s="583">
        <v>0</v>
      </c>
      <c r="L9920" s="92">
        <v>41.6</v>
      </c>
      <c r="M9920" s="92">
        <v>2.62</v>
      </c>
    </row>
    <row r="9921" ht="23.85" customHeight="1" spans="3:13">
      <c r="C9921" s="79" t="s">
        <v>2921</v>
      </c>
      <c r="D9921" s="78" t="s">
        <v>3003</v>
      </c>
      <c r="E9921" s="79" t="s">
        <v>139</v>
      </c>
      <c r="F9921" s="79" t="s">
        <v>3004</v>
      </c>
      <c r="G9921" s="79" t="s">
        <v>2928</v>
      </c>
      <c r="H9921" s="79"/>
      <c r="I9921" s="80" t="s">
        <v>2897</v>
      </c>
      <c r="J9921" s="583">
        <v>0.25</v>
      </c>
      <c r="K9921" s="583">
        <v>0</v>
      </c>
      <c r="L9921" s="92">
        <v>29.91</v>
      </c>
      <c r="M9921" s="92">
        <v>7.47</v>
      </c>
    </row>
    <row r="9922" ht="23.85" customHeight="1" spans="3:13">
      <c r="C9922" s="79" t="s">
        <v>2921</v>
      </c>
      <c r="D9922" s="78" t="s">
        <v>2954</v>
      </c>
      <c r="E9922" s="79" t="s">
        <v>139</v>
      </c>
      <c r="F9922" s="79" t="s">
        <v>2955</v>
      </c>
      <c r="G9922" s="79" t="s">
        <v>2928</v>
      </c>
      <c r="H9922" s="79"/>
      <c r="I9922" s="80" t="s">
        <v>2897</v>
      </c>
      <c r="J9922" s="583">
        <v>1.18</v>
      </c>
      <c r="K9922" s="583">
        <v>0</v>
      </c>
      <c r="L9922" s="92">
        <v>37.51</v>
      </c>
      <c r="M9922" s="92">
        <v>44.26</v>
      </c>
    </row>
    <row r="9923" ht="23.85" customHeight="1" spans="3:13">
      <c r="C9923" s="100" t="s">
        <v>2893</v>
      </c>
      <c r="D9923" s="99" t="s">
        <v>3334</v>
      </c>
      <c r="E9923" s="100" t="s">
        <v>139</v>
      </c>
      <c r="F9923" s="100" t="s">
        <v>3335</v>
      </c>
      <c r="G9923" s="100" t="s">
        <v>2961</v>
      </c>
      <c r="H9923" s="100"/>
      <c r="I9923" s="101" t="s">
        <v>204</v>
      </c>
      <c r="J9923" s="580">
        <v>9.237</v>
      </c>
      <c r="K9923" s="580">
        <v>0</v>
      </c>
      <c r="L9923" s="102">
        <v>3.07</v>
      </c>
      <c r="M9923" s="102">
        <v>28.35</v>
      </c>
    </row>
    <row r="9924" ht="35.05" customHeight="1" spans="3:13">
      <c r="C9924" s="100" t="s">
        <v>2893</v>
      </c>
      <c r="D9924" s="99" t="s">
        <v>3429</v>
      </c>
      <c r="E9924" s="100" t="s">
        <v>139</v>
      </c>
      <c r="F9924" s="100" t="s">
        <v>3430</v>
      </c>
      <c r="G9924" s="100" t="s">
        <v>2961</v>
      </c>
      <c r="H9924" s="100"/>
      <c r="I9924" s="101" t="s">
        <v>141</v>
      </c>
      <c r="J9924" s="580">
        <v>1.336</v>
      </c>
      <c r="K9924" s="580">
        <v>0</v>
      </c>
      <c r="L9924" s="102">
        <v>77.73</v>
      </c>
      <c r="M9924" s="102">
        <v>103.84</v>
      </c>
    </row>
    <row r="9925" ht="15" customHeight="1" spans="3:13">
      <c r="C9925" s="100" t="s">
        <v>2893</v>
      </c>
      <c r="D9925" s="99" t="s">
        <v>3388</v>
      </c>
      <c r="E9925" s="100" t="s">
        <v>139</v>
      </c>
      <c r="F9925" s="100" t="s">
        <v>3389</v>
      </c>
      <c r="G9925" s="100" t="s">
        <v>2961</v>
      </c>
      <c r="H9925" s="100"/>
      <c r="I9925" s="101" t="s">
        <v>393</v>
      </c>
      <c r="J9925" s="580">
        <v>0.208</v>
      </c>
      <c r="K9925" s="580">
        <v>0</v>
      </c>
      <c r="L9925" s="102">
        <v>18.38</v>
      </c>
      <c r="M9925" s="102">
        <v>3.82</v>
      </c>
    </row>
    <row r="9926" ht="23.85" customHeight="1" spans="3:13">
      <c r="C9926" s="100" t="s">
        <v>2893</v>
      </c>
      <c r="D9926" s="99" t="s">
        <v>3007</v>
      </c>
      <c r="E9926" s="100" t="s">
        <v>139</v>
      </c>
      <c r="F9926" s="100" t="s">
        <v>3008</v>
      </c>
      <c r="G9926" s="100" t="s">
        <v>2961</v>
      </c>
      <c r="H9926" s="100"/>
      <c r="I9926" s="101" t="s">
        <v>204</v>
      </c>
      <c r="J9926" s="580">
        <v>2.308</v>
      </c>
      <c r="K9926" s="580">
        <v>0</v>
      </c>
      <c r="L9926" s="102">
        <v>8.79</v>
      </c>
      <c r="M9926" s="102">
        <v>20.28</v>
      </c>
    </row>
    <row r="9927" ht="25.5" spans="3:13">
      <c r="C9927" s="108"/>
      <c r="D9927" s="108"/>
      <c r="E9927" s="108"/>
      <c r="F9927" s="108"/>
      <c r="G9927" s="108"/>
      <c r="H9927" s="108" t="s">
        <v>2898</v>
      </c>
      <c r="I9927" s="581">
        <v>47.57</v>
      </c>
      <c r="J9927" s="108" t="s">
        <v>2899</v>
      </c>
      <c r="K9927" s="581">
        <v>0</v>
      </c>
      <c r="L9927" s="108" t="s">
        <v>2900</v>
      </c>
      <c r="M9927" s="581">
        <v>47.57</v>
      </c>
    </row>
    <row r="9928" ht="26.25" spans="3:13">
      <c r="C9928" s="108"/>
      <c r="D9928" s="108"/>
      <c r="E9928" s="108"/>
      <c r="F9928" s="108"/>
      <c r="G9928" s="108"/>
      <c r="H9928" s="108" t="s">
        <v>2901</v>
      </c>
      <c r="I9928" s="581">
        <v>56.28</v>
      </c>
      <c r="J9928" s="114"/>
      <c r="K9928" s="114" t="s">
        <v>2902</v>
      </c>
      <c r="L9928" s="108"/>
      <c r="M9928" s="581">
        <v>277.11</v>
      </c>
    </row>
    <row r="9929" ht="15" spans="3:13">
      <c r="C9929" s="571"/>
      <c r="D9929" s="571"/>
      <c r="E9929" s="571"/>
      <c r="F9929" s="571"/>
      <c r="G9929" s="571"/>
      <c r="H9929" s="571"/>
      <c r="I9929" s="571"/>
      <c r="J9929" s="571"/>
      <c r="K9929" s="571"/>
      <c r="L9929" s="571"/>
      <c r="M9929" s="571"/>
    </row>
    <row r="9930" ht="15" customHeight="1" spans="3:13">
      <c r="C9930" s="76"/>
      <c r="D9930" s="75" t="s">
        <v>63</v>
      </c>
      <c r="E9930" s="76" t="s">
        <v>64</v>
      </c>
      <c r="F9930" s="76" t="s">
        <v>65</v>
      </c>
      <c r="G9930" s="76" t="s">
        <v>2889</v>
      </c>
      <c r="H9930" s="76"/>
      <c r="I9930" s="77" t="s">
        <v>66</v>
      </c>
      <c r="J9930" s="75" t="s">
        <v>67</v>
      </c>
      <c r="K9930" s="75" t="s">
        <v>2890</v>
      </c>
      <c r="L9930" s="75" t="s">
        <v>68</v>
      </c>
      <c r="M9930" s="75" t="s">
        <v>70</v>
      </c>
    </row>
    <row r="9931" ht="23.85" customHeight="1" spans="3:13">
      <c r="C9931" s="569" t="s">
        <v>2891</v>
      </c>
      <c r="D9931" s="570" t="s">
        <v>3401</v>
      </c>
      <c r="E9931" s="569" t="s">
        <v>139</v>
      </c>
      <c r="F9931" s="569" t="s">
        <v>3402</v>
      </c>
      <c r="G9931" s="569" t="s">
        <v>3390</v>
      </c>
      <c r="H9931" s="569"/>
      <c r="I9931" s="577" t="s">
        <v>141</v>
      </c>
      <c r="J9931" s="578">
        <v>1</v>
      </c>
      <c r="K9931" s="579"/>
      <c r="L9931" s="579">
        <v>166.54</v>
      </c>
      <c r="M9931" s="579">
        <v>166.54</v>
      </c>
    </row>
    <row r="9932" ht="23.85" customHeight="1" spans="3:13">
      <c r="C9932" s="79" t="s">
        <v>2921</v>
      </c>
      <c r="D9932" s="78" t="s">
        <v>3000</v>
      </c>
      <c r="E9932" s="79" t="s">
        <v>139</v>
      </c>
      <c r="F9932" s="79" t="s">
        <v>3001</v>
      </c>
      <c r="G9932" s="79" t="s">
        <v>2995</v>
      </c>
      <c r="H9932" s="79"/>
      <c r="I9932" s="80" t="s">
        <v>3002</v>
      </c>
      <c r="J9932" s="583">
        <v>0.05</v>
      </c>
      <c r="K9932" s="583">
        <v>0</v>
      </c>
      <c r="L9932" s="92">
        <v>41.6</v>
      </c>
      <c r="M9932" s="92">
        <v>2.08</v>
      </c>
    </row>
    <row r="9933" ht="23.85" customHeight="1" spans="3:13">
      <c r="C9933" s="79" t="s">
        <v>2921</v>
      </c>
      <c r="D9933" s="78" t="s">
        <v>3003</v>
      </c>
      <c r="E9933" s="79" t="s">
        <v>139</v>
      </c>
      <c r="F9933" s="79" t="s">
        <v>3004</v>
      </c>
      <c r="G9933" s="79" t="s">
        <v>2928</v>
      </c>
      <c r="H9933" s="79"/>
      <c r="I9933" s="80" t="s">
        <v>2897</v>
      </c>
      <c r="J9933" s="583">
        <v>0.202</v>
      </c>
      <c r="K9933" s="583">
        <v>0</v>
      </c>
      <c r="L9933" s="92">
        <v>29.91</v>
      </c>
      <c r="M9933" s="92">
        <v>6.04</v>
      </c>
    </row>
    <row r="9934" ht="23.85" customHeight="1" spans="3:13">
      <c r="C9934" s="79" t="s">
        <v>2921</v>
      </c>
      <c r="D9934" s="78" t="s">
        <v>2993</v>
      </c>
      <c r="E9934" s="79" t="s">
        <v>139</v>
      </c>
      <c r="F9934" s="79" t="s">
        <v>2994</v>
      </c>
      <c r="G9934" s="79" t="s">
        <v>2995</v>
      </c>
      <c r="H9934" s="79"/>
      <c r="I9934" s="80" t="s">
        <v>2996</v>
      </c>
      <c r="J9934" s="583">
        <v>0.237</v>
      </c>
      <c r="K9934" s="583">
        <v>0</v>
      </c>
      <c r="L9934" s="92">
        <v>39.98</v>
      </c>
      <c r="M9934" s="92">
        <v>9.47</v>
      </c>
    </row>
    <row r="9935" ht="23.85" customHeight="1" spans="3:13">
      <c r="C9935" s="79" t="s">
        <v>2921</v>
      </c>
      <c r="D9935" s="78" t="s">
        <v>2954</v>
      </c>
      <c r="E9935" s="79" t="s">
        <v>139</v>
      </c>
      <c r="F9935" s="79" t="s">
        <v>2955</v>
      </c>
      <c r="G9935" s="79" t="s">
        <v>2928</v>
      </c>
      <c r="H9935" s="79"/>
      <c r="I9935" s="80" t="s">
        <v>2897</v>
      </c>
      <c r="J9935" s="583">
        <v>0.911</v>
      </c>
      <c r="K9935" s="583">
        <v>0</v>
      </c>
      <c r="L9935" s="92">
        <v>37.51</v>
      </c>
      <c r="M9935" s="92">
        <v>34.17</v>
      </c>
    </row>
    <row r="9936" ht="23.85" customHeight="1" spans="3:13">
      <c r="C9936" s="100" t="s">
        <v>2893</v>
      </c>
      <c r="D9936" s="99" t="s">
        <v>3334</v>
      </c>
      <c r="E9936" s="100" t="s">
        <v>139</v>
      </c>
      <c r="F9936" s="100" t="s">
        <v>3335</v>
      </c>
      <c r="G9936" s="100" t="s">
        <v>2961</v>
      </c>
      <c r="H9936" s="100"/>
      <c r="I9936" s="101" t="s">
        <v>204</v>
      </c>
      <c r="J9936" s="580">
        <v>6.952</v>
      </c>
      <c r="K9936" s="580">
        <v>0</v>
      </c>
      <c r="L9936" s="102">
        <v>3.07</v>
      </c>
      <c r="M9936" s="102">
        <v>21.34</v>
      </c>
    </row>
    <row r="9937" ht="23.85" customHeight="1" spans="3:13">
      <c r="C9937" s="100" t="s">
        <v>2893</v>
      </c>
      <c r="D9937" s="99" t="s">
        <v>3007</v>
      </c>
      <c r="E9937" s="100" t="s">
        <v>139</v>
      </c>
      <c r="F9937" s="100" t="s">
        <v>3008</v>
      </c>
      <c r="G9937" s="100" t="s">
        <v>2961</v>
      </c>
      <c r="H9937" s="100"/>
      <c r="I9937" s="101" t="s">
        <v>204</v>
      </c>
      <c r="J9937" s="580">
        <v>0.166</v>
      </c>
      <c r="K9937" s="580">
        <v>0</v>
      </c>
      <c r="L9937" s="102">
        <v>8.79</v>
      </c>
      <c r="M9937" s="102">
        <v>1.45</v>
      </c>
    </row>
    <row r="9938" ht="15" customHeight="1" spans="3:13">
      <c r="C9938" s="100" t="s">
        <v>2893</v>
      </c>
      <c r="D9938" s="99" t="s">
        <v>3388</v>
      </c>
      <c r="E9938" s="100" t="s">
        <v>139</v>
      </c>
      <c r="F9938" s="100" t="s">
        <v>3389</v>
      </c>
      <c r="G9938" s="100" t="s">
        <v>2961</v>
      </c>
      <c r="H9938" s="100"/>
      <c r="I9938" s="101" t="s">
        <v>393</v>
      </c>
      <c r="J9938" s="580">
        <v>0.159</v>
      </c>
      <c r="K9938" s="580">
        <v>0</v>
      </c>
      <c r="L9938" s="102">
        <v>18.38</v>
      </c>
      <c r="M9938" s="102">
        <v>2.92</v>
      </c>
    </row>
    <row r="9939" ht="35.05" customHeight="1" spans="3:13">
      <c r="C9939" s="100" t="s">
        <v>2893</v>
      </c>
      <c r="D9939" s="99" t="s">
        <v>3429</v>
      </c>
      <c r="E9939" s="100" t="s">
        <v>139</v>
      </c>
      <c r="F9939" s="100" t="s">
        <v>3430</v>
      </c>
      <c r="G9939" s="100" t="s">
        <v>2961</v>
      </c>
      <c r="H9939" s="100"/>
      <c r="I9939" s="101" t="s">
        <v>141</v>
      </c>
      <c r="J9939" s="580">
        <v>1.146</v>
      </c>
      <c r="K9939" s="580">
        <v>0</v>
      </c>
      <c r="L9939" s="102">
        <v>77.73</v>
      </c>
      <c r="M9939" s="102">
        <v>89.07</v>
      </c>
    </row>
    <row r="9940" ht="25.5" spans="3:13">
      <c r="C9940" s="108"/>
      <c r="D9940" s="108"/>
      <c r="E9940" s="108"/>
      <c r="F9940" s="108"/>
      <c r="G9940" s="108"/>
      <c r="H9940" s="108" t="s">
        <v>2898</v>
      </c>
      <c r="I9940" s="581">
        <v>38.2</v>
      </c>
      <c r="J9940" s="108" t="s">
        <v>2899</v>
      </c>
      <c r="K9940" s="581">
        <v>0</v>
      </c>
      <c r="L9940" s="108" t="s">
        <v>2900</v>
      </c>
      <c r="M9940" s="581">
        <v>38.2</v>
      </c>
    </row>
    <row r="9941" ht="26.25" spans="3:13">
      <c r="C9941" s="108"/>
      <c r="D9941" s="108"/>
      <c r="E9941" s="108"/>
      <c r="F9941" s="108"/>
      <c r="G9941" s="108"/>
      <c r="H9941" s="108" t="s">
        <v>2901</v>
      </c>
      <c r="I9941" s="581">
        <v>42.45</v>
      </c>
      <c r="J9941" s="114"/>
      <c r="K9941" s="114" t="s">
        <v>2902</v>
      </c>
      <c r="L9941" s="108"/>
      <c r="M9941" s="581">
        <v>208.99</v>
      </c>
    </row>
    <row r="9942" ht="15" spans="3:13">
      <c r="C9942" s="571"/>
      <c r="D9942" s="571"/>
      <c r="E9942" s="571"/>
      <c r="F9942" s="571"/>
      <c r="G9942" s="571"/>
      <c r="H9942" s="571"/>
      <c r="I9942" s="571"/>
      <c r="J9942" s="571"/>
      <c r="K9942" s="571"/>
      <c r="L9942" s="571"/>
      <c r="M9942" s="571"/>
    </row>
    <row r="9943" ht="15" customHeight="1" spans="3:13">
      <c r="C9943" s="76"/>
      <c r="D9943" s="75" t="s">
        <v>63</v>
      </c>
      <c r="E9943" s="76" t="s">
        <v>64</v>
      </c>
      <c r="F9943" s="76" t="s">
        <v>65</v>
      </c>
      <c r="G9943" s="76" t="s">
        <v>2889</v>
      </c>
      <c r="H9943" s="76"/>
      <c r="I9943" s="77" t="s">
        <v>66</v>
      </c>
      <c r="J9943" s="75" t="s">
        <v>67</v>
      </c>
      <c r="K9943" s="75" t="s">
        <v>2890</v>
      </c>
      <c r="L9943" s="75" t="s">
        <v>68</v>
      </c>
      <c r="M9943" s="75" t="s">
        <v>70</v>
      </c>
    </row>
    <row r="9944" ht="35.05" customHeight="1" spans="3:13">
      <c r="C9944" s="569" t="s">
        <v>2891</v>
      </c>
      <c r="D9944" s="570" t="s">
        <v>3532</v>
      </c>
      <c r="E9944" s="569" t="s">
        <v>139</v>
      </c>
      <c r="F9944" s="569" t="s">
        <v>3533</v>
      </c>
      <c r="G9944" s="569" t="s">
        <v>3025</v>
      </c>
      <c r="H9944" s="569"/>
      <c r="I9944" s="577" t="s">
        <v>134</v>
      </c>
      <c r="J9944" s="578">
        <v>1</v>
      </c>
      <c r="K9944" s="579"/>
      <c r="L9944" s="579">
        <v>222.45</v>
      </c>
      <c r="M9944" s="579">
        <v>222.45</v>
      </c>
    </row>
    <row r="9945" ht="23.85" customHeight="1" spans="3:13">
      <c r="C9945" s="79" t="s">
        <v>2921</v>
      </c>
      <c r="D9945" s="78" t="s">
        <v>2952</v>
      </c>
      <c r="E9945" s="79" t="s">
        <v>139</v>
      </c>
      <c r="F9945" s="79" t="s">
        <v>2953</v>
      </c>
      <c r="G9945" s="79" t="s">
        <v>2928</v>
      </c>
      <c r="H9945" s="79"/>
      <c r="I9945" s="80" t="s">
        <v>2897</v>
      </c>
      <c r="J9945" s="583">
        <v>0.501</v>
      </c>
      <c r="K9945" s="583">
        <v>0</v>
      </c>
      <c r="L9945" s="92">
        <v>29.15</v>
      </c>
      <c r="M9945" s="92">
        <v>14.6</v>
      </c>
    </row>
    <row r="9946" ht="23.85" customHeight="1" spans="3:13">
      <c r="C9946" s="79" t="s">
        <v>2921</v>
      </c>
      <c r="D9946" s="78" t="s">
        <v>3026</v>
      </c>
      <c r="E9946" s="79" t="s">
        <v>139</v>
      </c>
      <c r="F9946" s="79" t="s">
        <v>3027</v>
      </c>
      <c r="G9946" s="79" t="s">
        <v>2928</v>
      </c>
      <c r="H9946" s="79"/>
      <c r="I9946" s="80" t="s">
        <v>2897</v>
      </c>
      <c r="J9946" s="583">
        <v>1.002</v>
      </c>
      <c r="K9946" s="583">
        <v>0</v>
      </c>
      <c r="L9946" s="92">
        <v>39.71</v>
      </c>
      <c r="M9946" s="92">
        <v>39.78</v>
      </c>
    </row>
    <row r="9947" ht="46.25" customHeight="1" spans="3:13">
      <c r="C9947" s="100" t="s">
        <v>2893</v>
      </c>
      <c r="D9947" s="99" t="s">
        <v>5822</v>
      </c>
      <c r="E9947" s="100" t="s">
        <v>139</v>
      </c>
      <c r="F9947" s="100" t="s">
        <v>5823</v>
      </c>
      <c r="G9947" s="100" t="s">
        <v>2961</v>
      </c>
      <c r="H9947" s="100"/>
      <c r="I9947" s="101" t="s">
        <v>1491</v>
      </c>
      <c r="J9947" s="580">
        <v>1</v>
      </c>
      <c r="K9947" s="580">
        <v>0</v>
      </c>
      <c r="L9947" s="102">
        <v>168.07</v>
      </c>
      <c r="M9947" s="102">
        <v>168.07</v>
      </c>
    </row>
    <row r="9948" ht="25.5" spans="3:13">
      <c r="C9948" s="108"/>
      <c r="D9948" s="108"/>
      <c r="E9948" s="108"/>
      <c r="F9948" s="108"/>
      <c r="G9948" s="108"/>
      <c r="H9948" s="108" t="s">
        <v>2898</v>
      </c>
      <c r="I9948" s="581">
        <v>39.58</v>
      </c>
      <c r="J9948" s="108" t="s">
        <v>2899</v>
      </c>
      <c r="K9948" s="581">
        <v>0</v>
      </c>
      <c r="L9948" s="108" t="s">
        <v>2900</v>
      </c>
      <c r="M9948" s="581">
        <v>39.58</v>
      </c>
    </row>
    <row r="9949" ht="26.25" spans="3:13">
      <c r="C9949" s="108"/>
      <c r="D9949" s="108"/>
      <c r="E9949" s="108"/>
      <c r="F9949" s="108"/>
      <c r="G9949" s="108"/>
      <c r="H9949" s="108" t="s">
        <v>2901</v>
      </c>
      <c r="I9949" s="581">
        <v>56.7</v>
      </c>
      <c r="J9949" s="114"/>
      <c r="K9949" s="114" t="s">
        <v>2902</v>
      </c>
      <c r="L9949" s="108"/>
      <c r="M9949" s="581">
        <v>279.15</v>
      </c>
    </row>
    <row r="9950" ht="15" spans="3:13">
      <c r="C9950" s="571"/>
      <c r="D9950" s="571"/>
      <c r="E9950" s="571"/>
      <c r="F9950" s="571"/>
      <c r="G9950" s="571"/>
      <c r="H9950" s="571"/>
      <c r="I9950" s="571"/>
      <c r="J9950" s="571"/>
      <c r="K9950" s="571"/>
      <c r="L9950" s="571"/>
      <c r="M9950" s="571"/>
    </row>
    <row r="9951" ht="15" customHeight="1" spans="3:13">
      <c r="C9951" s="76"/>
      <c r="D9951" s="75" t="s">
        <v>63</v>
      </c>
      <c r="E9951" s="76" t="s">
        <v>64</v>
      </c>
      <c r="F9951" s="76" t="s">
        <v>65</v>
      </c>
      <c r="G9951" s="76" t="s">
        <v>2889</v>
      </c>
      <c r="H9951" s="76"/>
      <c r="I9951" s="77" t="s">
        <v>66</v>
      </c>
      <c r="J9951" s="75" t="s">
        <v>67</v>
      </c>
      <c r="K9951" s="75" t="s">
        <v>2890</v>
      </c>
      <c r="L9951" s="75" t="s">
        <v>68</v>
      </c>
      <c r="M9951" s="75" t="s">
        <v>70</v>
      </c>
    </row>
    <row r="9952" ht="35.05" customHeight="1" spans="3:13">
      <c r="C9952" s="569" t="s">
        <v>2891</v>
      </c>
      <c r="D9952" s="570" t="s">
        <v>3537</v>
      </c>
      <c r="E9952" s="569" t="s">
        <v>139</v>
      </c>
      <c r="F9952" s="569" t="s">
        <v>3538</v>
      </c>
      <c r="G9952" s="569" t="s">
        <v>3505</v>
      </c>
      <c r="H9952" s="569"/>
      <c r="I9952" s="577" t="s">
        <v>134</v>
      </c>
      <c r="J9952" s="578">
        <v>1</v>
      </c>
      <c r="K9952" s="579"/>
      <c r="L9952" s="579">
        <v>438.05</v>
      </c>
      <c r="M9952" s="579">
        <v>438.05</v>
      </c>
    </row>
    <row r="9953" ht="23.85" customHeight="1" spans="3:13">
      <c r="C9953" s="79" t="s">
        <v>2921</v>
      </c>
      <c r="D9953" s="78" t="s">
        <v>3026</v>
      </c>
      <c r="E9953" s="79" t="s">
        <v>139</v>
      </c>
      <c r="F9953" s="79" t="s">
        <v>3027</v>
      </c>
      <c r="G9953" s="79" t="s">
        <v>2928</v>
      </c>
      <c r="H9953" s="79"/>
      <c r="I9953" s="80" t="s">
        <v>2897</v>
      </c>
      <c r="J9953" s="583">
        <v>1.8</v>
      </c>
      <c r="K9953" s="583">
        <v>0</v>
      </c>
      <c r="L9953" s="92">
        <v>39.71</v>
      </c>
      <c r="M9953" s="92">
        <v>71.47</v>
      </c>
    </row>
    <row r="9954" ht="23.85" customHeight="1" spans="3:13">
      <c r="C9954" s="79" t="s">
        <v>2921</v>
      </c>
      <c r="D9954" s="78" t="s">
        <v>3003</v>
      </c>
      <c r="E9954" s="79" t="s">
        <v>139</v>
      </c>
      <c r="F9954" s="79" t="s">
        <v>3004</v>
      </c>
      <c r="G9954" s="79" t="s">
        <v>2928</v>
      </c>
      <c r="H9954" s="79"/>
      <c r="I9954" s="80" t="s">
        <v>2897</v>
      </c>
      <c r="J9954" s="583">
        <v>1.8</v>
      </c>
      <c r="K9954" s="583">
        <v>0</v>
      </c>
      <c r="L9954" s="92">
        <v>29.91</v>
      </c>
      <c r="M9954" s="92">
        <v>53.83</v>
      </c>
    </row>
    <row r="9955" ht="46.25" customHeight="1" spans="3:13">
      <c r="C9955" s="100" t="s">
        <v>2893</v>
      </c>
      <c r="D9955" s="99" t="s">
        <v>3036</v>
      </c>
      <c r="E9955" s="100" t="s">
        <v>139</v>
      </c>
      <c r="F9955" s="100" t="s">
        <v>3037</v>
      </c>
      <c r="G9955" s="100" t="s">
        <v>2961</v>
      </c>
      <c r="H9955" s="100"/>
      <c r="I9955" s="101" t="s">
        <v>1491</v>
      </c>
      <c r="J9955" s="580">
        <v>1</v>
      </c>
      <c r="K9955" s="580">
        <v>0</v>
      </c>
      <c r="L9955" s="102">
        <v>84.95</v>
      </c>
      <c r="M9955" s="102">
        <v>84.95</v>
      </c>
    </row>
    <row r="9956" ht="46.25" customHeight="1" spans="3:13">
      <c r="C9956" s="100" t="s">
        <v>2893</v>
      </c>
      <c r="D9956" s="99" t="s">
        <v>5824</v>
      </c>
      <c r="E9956" s="100" t="s">
        <v>139</v>
      </c>
      <c r="F9956" s="100" t="s">
        <v>5825</v>
      </c>
      <c r="G9956" s="100" t="s">
        <v>2961</v>
      </c>
      <c r="H9956" s="100"/>
      <c r="I9956" s="101" t="s">
        <v>134</v>
      </c>
      <c r="J9956" s="580">
        <v>2</v>
      </c>
      <c r="K9956" s="580">
        <v>0</v>
      </c>
      <c r="L9956" s="102">
        <v>113.9</v>
      </c>
      <c r="M9956" s="102">
        <v>227.8</v>
      </c>
    </row>
    <row r="9957" ht="25.5" spans="3:13">
      <c r="C9957" s="108"/>
      <c r="D9957" s="108"/>
      <c r="E9957" s="108"/>
      <c r="F9957" s="108"/>
      <c r="G9957" s="108"/>
      <c r="H9957" s="108" t="s">
        <v>2898</v>
      </c>
      <c r="I9957" s="581">
        <v>90.02</v>
      </c>
      <c r="J9957" s="108" t="s">
        <v>2899</v>
      </c>
      <c r="K9957" s="581">
        <v>0</v>
      </c>
      <c r="L9957" s="108" t="s">
        <v>2900</v>
      </c>
      <c r="M9957" s="581">
        <v>90.02</v>
      </c>
    </row>
    <row r="9958" ht="26.25" spans="3:13">
      <c r="C9958" s="108"/>
      <c r="D9958" s="108"/>
      <c r="E9958" s="108"/>
      <c r="F9958" s="108"/>
      <c r="G9958" s="108"/>
      <c r="H9958" s="108" t="s">
        <v>2901</v>
      </c>
      <c r="I9958" s="581">
        <v>111.65</v>
      </c>
      <c r="J9958" s="114"/>
      <c r="K9958" s="114" t="s">
        <v>2902</v>
      </c>
      <c r="L9958" s="108"/>
      <c r="M9958" s="581">
        <v>549.7</v>
      </c>
    </row>
    <row r="9959" ht="15" spans="3:13">
      <c r="C9959" s="571"/>
      <c r="D9959" s="571"/>
      <c r="E9959" s="571"/>
      <c r="F9959" s="571"/>
      <c r="G9959" s="571"/>
      <c r="H9959" s="571"/>
      <c r="I9959" s="571"/>
      <c r="J9959" s="571"/>
      <c r="K9959" s="571"/>
      <c r="L9959" s="571"/>
      <c r="M9959" s="571"/>
    </row>
    <row r="9960" ht="15" customHeight="1" spans="3:13">
      <c r="C9960" s="76"/>
      <c r="D9960" s="75" t="s">
        <v>63</v>
      </c>
      <c r="E9960" s="76" t="s">
        <v>64</v>
      </c>
      <c r="F9960" s="76" t="s">
        <v>65</v>
      </c>
      <c r="G9960" s="76" t="s">
        <v>2889</v>
      </c>
      <c r="H9960" s="76"/>
      <c r="I9960" s="77" t="s">
        <v>66</v>
      </c>
      <c r="J9960" s="75" t="s">
        <v>67</v>
      </c>
      <c r="K9960" s="75" t="s">
        <v>2890</v>
      </c>
      <c r="L9960" s="75" t="s">
        <v>68</v>
      </c>
      <c r="M9960" s="75" t="s">
        <v>70</v>
      </c>
    </row>
    <row r="9961" ht="76.5" spans="3:13">
      <c r="C9961" s="569" t="s">
        <v>2891</v>
      </c>
      <c r="D9961" s="570" t="s">
        <v>3517</v>
      </c>
      <c r="E9961" s="569" t="s">
        <v>77</v>
      </c>
      <c r="F9961" s="569" t="s">
        <v>3518</v>
      </c>
      <c r="G9961" s="569">
        <v>14</v>
      </c>
      <c r="H9961" s="569"/>
      <c r="I9961" s="577" t="s">
        <v>134</v>
      </c>
      <c r="J9961" s="578">
        <v>1</v>
      </c>
      <c r="K9961" s="579"/>
      <c r="L9961" s="579">
        <v>51.48</v>
      </c>
      <c r="M9961" s="579">
        <v>51.48</v>
      </c>
    </row>
    <row r="9962" ht="35.05" customHeight="1" spans="3:13">
      <c r="C9962" s="100" t="s">
        <v>2893</v>
      </c>
      <c r="D9962" s="99" t="s">
        <v>5826</v>
      </c>
      <c r="E9962" s="100" t="s">
        <v>77</v>
      </c>
      <c r="F9962" s="100" t="s">
        <v>5827</v>
      </c>
      <c r="G9962" s="100" t="s">
        <v>2961</v>
      </c>
      <c r="H9962" s="100"/>
      <c r="I9962" s="101" t="s">
        <v>134</v>
      </c>
      <c r="J9962" s="580">
        <v>1</v>
      </c>
      <c r="K9962" s="580">
        <v>0</v>
      </c>
      <c r="L9962" s="102">
        <v>51.48</v>
      </c>
      <c r="M9962" s="102">
        <v>51.48</v>
      </c>
    </row>
    <row r="9963" ht="25.5" spans="3:13">
      <c r="C9963" s="108"/>
      <c r="D9963" s="108"/>
      <c r="E9963" s="108"/>
      <c r="F9963" s="108"/>
      <c r="G9963" s="108"/>
      <c r="H9963" s="108" t="s">
        <v>2898</v>
      </c>
      <c r="I9963" s="581">
        <v>0</v>
      </c>
      <c r="J9963" s="108" t="s">
        <v>2899</v>
      </c>
      <c r="K9963" s="581">
        <v>0</v>
      </c>
      <c r="L9963" s="108" t="s">
        <v>2900</v>
      </c>
      <c r="M9963" s="581">
        <v>0</v>
      </c>
    </row>
    <row r="9964" ht="26.25" spans="3:13">
      <c r="C9964" s="108"/>
      <c r="D9964" s="108"/>
      <c r="E9964" s="108"/>
      <c r="F9964" s="108"/>
      <c r="G9964" s="108"/>
      <c r="H9964" s="108" t="s">
        <v>2901</v>
      </c>
      <c r="I9964" s="581">
        <v>13.12</v>
      </c>
      <c r="J9964" s="114"/>
      <c r="K9964" s="114" t="s">
        <v>2902</v>
      </c>
      <c r="L9964" s="108"/>
      <c r="M9964" s="581">
        <v>64.6</v>
      </c>
    </row>
    <row r="9965" ht="15" spans="3:13">
      <c r="C9965" s="571"/>
      <c r="D9965" s="571"/>
      <c r="E9965" s="571"/>
      <c r="F9965" s="571"/>
      <c r="G9965" s="571"/>
      <c r="H9965" s="571"/>
      <c r="I9965" s="571"/>
      <c r="J9965" s="571"/>
      <c r="K9965" s="571"/>
      <c r="L9965" s="571"/>
      <c r="M9965" s="571"/>
    </row>
    <row r="9966" ht="15" customHeight="1" spans="3:13">
      <c r="C9966" s="76"/>
      <c r="D9966" s="75" t="s">
        <v>63</v>
      </c>
      <c r="E9966" s="76" t="s">
        <v>64</v>
      </c>
      <c r="F9966" s="76" t="s">
        <v>65</v>
      </c>
      <c r="G9966" s="76" t="s">
        <v>2889</v>
      </c>
      <c r="H9966" s="76"/>
      <c r="I9966" s="77" t="s">
        <v>66</v>
      </c>
      <c r="J9966" s="75" t="s">
        <v>67</v>
      </c>
      <c r="K9966" s="75" t="s">
        <v>2890</v>
      </c>
      <c r="L9966" s="75" t="s">
        <v>68</v>
      </c>
      <c r="M9966" s="75" t="s">
        <v>70</v>
      </c>
    </row>
    <row r="9967" ht="89.25" spans="3:13">
      <c r="C9967" s="569" t="s">
        <v>2891</v>
      </c>
      <c r="D9967" s="570" t="s">
        <v>3522</v>
      </c>
      <c r="E9967" s="569" t="s">
        <v>77</v>
      </c>
      <c r="F9967" s="569" t="s">
        <v>3523</v>
      </c>
      <c r="G9967" s="569">
        <v>14</v>
      </c>
      <c r="H9967" s="569"/>
      <c r="I9967" s="577" t="s">
        <v>134</v>
      </c>
      <c r="J9967" s="578">
        <v>1</v>
      </c>
      <c r="K9967" s="579"/>
      <c r="L9967" s="579">
        <v>430.43</v>
      </c>
      <c r="M9967" s="579">
        <v>430.43</v>
      </c>
    </row>
    <row r="9968" ht="23.85" customHeight="1" spans="3:13">
      <c r="C9968" s="100" t="s">
        <v>2893</v>
      </c>
      <c r="D9968" s="99" t="s">
        <v>5828</v>
      </c>
      <c r="E9968" s="100" t="s">
        <v>77</v>
      </c>
      <c r="F9968" s="100" t="s">
        <v>5829</v>
      </c>
      <c r="G9968" s="100" t="s">
        <v>2961</v>
      </c>
      <c r="H9968" s="100"/>
      <c r="I9968" s="101" t="s">
        <v>134</v>
      </c>
      <c r="J9968" s="580">
        <v>2</v>
      </c>
      <c r="K9968" s="580">
        <v>0</v>
      </c>
      <c r="L9968" s="102">
        <v>154.04</v>
      </c>
      <c r="M9968" s="102">
        <v>308.08</v>
      </c>
    </row>
    <row r="9969" ht="23.85" customHeight="1" spans="3:13">
      <c r="C9969" s="100" t="s">
        <v>2893</v>
      </c>
      <c r="D9969" s="99" t="s">
        <v>5830</v>
      </c>
      <c r="E9969" s="100" t="s">
        <v>77</v>
      </c>
      <c r="F9969" s="100" t="s">
        <v>5831</v>
      </c>
      <c r="G9969" s="100" t="s">
        <v>2961</v>
      </c>
      <c r="H9969" s="100"/>
      <c r="I9969" s="101" t="s">
        <v>134</v>
      </c>
      <c r="J9969" s="580">
        <v>6</v>
      </c>
      <c r="K9969" s="580">
        <v>0</v>
      </c>
      <c r="L9969" s="102">
        <v>10.87</v>
      </c>
      <c r="M9969" s="102">
        <v>65.22</v>
      </c>
    </row>
    <row r="9970" ht="35.05" customHeight="1" spans="3:13">
      <c r="C9970" s="100" t="s">
        <v>2893</v>
      </c>
      <c r="D9970" s="99" t="s">
        <v>5832</v>
      </c>
      <c r="E9970" s="100" t="s">
        <v>77</v>
      </c>
      <c r="F9970" s="100" t="s">
        <v>5833</v>
      </c>
      <c r="G9970" s="100" t="s">
        <v>2961</v>
      </c>
      <c r="H9970" s="100"/>
      <c r="I9970" s="101" t="s">
        <v>134</v>
      </c>
      <c r="J9970" s="580">
        <v>1</v>
      </c>
      <c r="K9970" s="580">
        <v>0</v>
      </c>
      <c r="L9970" s="102">
        <v>57.13</v>
      </c>
      <c r="M9970" s="102">
        <v>57.13</v>
      </c>
    </row>
    <row r="9971" ht="25.5" spans="3:13">
      <c r="C9971" s="108"/>
      <c r="D9971" s="108"/>
      <c r="E9971" s="108"/>
      <c r="F9971" s="108"/>
      <c r="G9971" s="108"/>
      <c r="H9971" s="108" t="s">
        <v>2898</v>
      </c>
      <c r="I9971" s="581">
        <v>0</v>
      </c>
      <c r="J9971" s="108" t="s">
        <v>2899</v>
      </c>
      <c r="K9971" s="581">
        <v>0</v>
      </c>
      <c r="L9971" s="108" t="s">
        <v>2900</v>
      </c>
      <c r="M9971" s="581">
        <v>0</v>
      </c>
    </row>
    <row r="9972" ht="26.25" spans="3:13">
      <c r="C9972" s="108"/>
      <c r="D9972" s="108"/>
      <c r="E9972" s="108"/>
      <c r="F9972" s="108"/>
      <c r="G9972" s="108"/>
      <c r="H9972" s="108" t="s">
        <v>2901</v>
      </c>
      <c r="I9972" s="581">
        <v>109.71</v>
      </c>
      <c r="J9972" s="114"/>
      <c r="K9972" s="114" t="s">
        <v>2902</v>
      </c>
      <c r="L9972" s="108"/>
      <c r="M9972" s="581">
        <v>540.14</v>
      </c>
    </row>
    <row r="9973" ht="15" spans="3:13">
      <c r="C9973" s="571"/>
      <c r="D9973" s="571"/>
      <c r="E9973" s="571"/>
      <c r="F9973" s="571"/>
      <c r="G9973" s="571"/>
      <c r="H9973" s="571"/>
      <c r="I9973" s="571"/>
      <c r="J9973" s="571"/>
      <c r="K9973" s="571"/>
      <c r="L9973" s="571"/>
      <c r="M9973" s="571"/>
    </row>
    <row r="9974" ht="15" customHeight="1" spans="3:13">
      <c r="C9974" s="76"/>
      <c r="D9974" s="75" t="s">
        <v>63</v>
      </c>
      <c r="E9974" s="76" t="s">
        <v>64</v>
      </c>
      <c r="F9974" s="76" t="s">
        <v>65</v>
      </c>
      <c r="G9974" s="76" t="s">
        <v>2889</v>
      </c>
      <c r="H9974" s="76"/>
      <c r="I9974" s="77" t="s">
        <v>66</v>
      </c>
      <c r="J9974" s="75" t="s">
        <v>67</v>
      </c>
      <c r="K9974" s="75" t="s">
        <v>2890</v>
      </c>
      <c r="L9974" s="75" t="s">
        <v>68</v>
      </c>
      <c r="M9974" s="75" t="s">
        <v>70</v>
      </c>
    </row>
    <row r="9975" ht="51" spans="3:13">
      <c r="C9975" s="569" t="s">
        <v>2891</v>
      </c>
      <c r="D9975" s="570" t="s">
        <v>5834</v>
      </c>
      <c r="E9975" s="569" t="s">
        <v>77</v>
      </c>
      <c r="F9975" s="569" t="s">
        <v>5835</v>
      </c>
      <c r="G9975" s="569">
        <v>14</v>
      </c>
      <c r="H9975" s="569"/>
      <c r="I9975" s="577" t="s">
        <v>134</v>
      </c>
      <c r="J9975" s="578">
        <v>1</v>
      </c>
      <c r="K9975" s="579"/>
      <c r="L9975" s="579">
        <v>178.04</v>
      </c>
      <c r="M9975" s="579">
        <v>178.04</v>
      </c>
    </row>
    <row r="9976" ht="15" customHeight="1" spans="3:13">
      <c r="C9976" s="100" t="s">
        <v>2893</v>
      </c>
      <c r="D9976" s="99" t="s">
        <v>5836</v>
      </c>
      <c r="E9976" s="100" t="s">
        <v>77</v>
      </c>
      <c r="F9976" s="100" t="s">
        <v>5837</v>
      </c>
      <c r="G9976" s="100" t="s">
        <v>2961</v>
      </c>
      <c r="H9976" s="100"/>
      <c r="I9976" s="101" t="s">
        <v>134</v>
      </c>
      <c r="J9976" s="580">
        <v>2</v>
      </c>
      <c r="K9976" s="580">
        <v>0</v>
      </c>
      <c r="L9976" s="102">
        <v>24.46</v>
      </c>
      <c r="M9976" s="102">
        <v>48.92</v>
      </c>
    </row>
    <row r="9977" ht="15" customHeight="1" spans="3:13">
      <c r="C9977" s="100" t="s">
        <v>2893</v>
      </c>
      <c r="D9977" s="99" t="s">
        <v>5838</v>
      </c>
      <c r="E9977" s="100" t="s">
        <v>77</v>
      </c>
      <c r="F9977" s="100" t="s">
        <v>5839</v>
      </c>
      <c r="G9977" s="100" t="s">
        <v>2961</v>
      </c>
      <c r="H9977" s="100"/>
      <c r="I9977" s="101" t="s">
        <v>134</v>
      </c>
      <c r="J9977" s="580">
        <v>4</v>
      </c>
      <c r="K9977" s="580">
        <v>0</v>
      </c>
      <c r="L9977" s="102">
        <v>32.28</v>
      </c>
      <c r="M9977" s="102">
        <v>129.12</v>
      </c>
    </row>
    <row r="9978" ht="25.5" spans="3:13">
      <c r="C9978" s="108"/>
      <c r="D9978" s="108"/>
      <c r="E9978" s="108"/>
      <c r="F9978" s="108"/>
      <c r="G9978" s="108"/>
      <c r="H9978" s="108" t="s">
        <v>2898</v>
      </c>
      <c r="I9978" s="581">
        <v>0</v>
      </c>
      <c r="J9978" s="108" t="s">
        <v>2899</v>
      </c>
      <c r="K9978" s="581">
        <v>0</v>
      </c>
      <c r="L9978" s="108" t="s">
        <v>2900</v>
      </c>
      <c r="M9978" s="581">
        <v>0</v>
      </c>
    </row>
    <row r="9979" ht="26.25" spans="3:13">
      <c r="C9979" s="108"/>
      <c r="D9979" s="108"/>
      <c r="E9979" s="108"/>
      <c r="F9979" s="108"/>
      <c r="G9979" s="108"/>
      <c r="H9979" s="108" t="s">
        <v>2901</v>
      </c>
      <c r="I9979" s="581">
        <v>45.38</v>
      </c>
      <c r="J9979" s="114"/>
      <c r="K9979" s="114" t="s">
        <v>2902</v>
      </c>
      <c r="L9979" s="108"/>
      <c r="M9979" s="581">
        <v>223.42</v>
      </c>
    </row>
    <row r="9980" ht="15" spans="3:13">
      <c r="C9980" s="571"/>
      <c r="D9980" s="571"/>
      <c r="E9980" s="571"/>
      <c r="F9980" s="571"/>
      <c r="G9980" s="571"/>
      <c r="H9980" s="571"/>
      <c r="I9980" s="571"/>
      <c r="J9980" s="571"/>
      <c r="K9980" s="571"/>
      <c r="L9980" s="571"/>
      <c r="M9980" s="571"/>
    </row>
    <row r="9981" ht="15" customHeight="1" spans="3:13">
      <c r="C9981" s="76"/>
      <c r="D9981" s="75" t="s">
        <v>63</v>
      </c>
      <c r="E9981" s="76" t="s">
        <v>64</v>
      </c>
      <c r="F9981" s="76" t="s">
        <v>65</v>
      </c>
      <c r="G9981" s="76" t="s">
        <v>2889</v>
      </c>
      <c r="H9981" s="76"/>
      <c r="I9981" s="77" t="s">
        <v>66</v>
      </c>
      <c r="J9981" s="75" t="s">
        <v>67</v>
      </c>
      <c r="K9981" s="75" t="s">
        <v>2890</v>
      </c>
      <c r="L9981" s="75" t="s">
        <v>68</v>
      </c>
      <c r="M9981" s="75" t="s">
        <v>70</v>
      </c>
    </row>
    <row r="9982" ht="35.05" customHeight="1" spans="3:13">
      <c r="C9982" s="569" t="s">
        <v>2891</v>
      </c>
      <c r="D9982" s="570" t="s">
        <v>4910</v>
      </c>
      <c r="E9982" s="569" t="s">
        <v>139</v>
      </c>
      <c r="F9982" s="569" t="s">
        <v>4911</v>
      </c>
      <c r="G9982" s="569" t="s">
        <v>3132</v>
      </c>
      <c r="H9982" s="569"/>
      <c r="I9982" s="577" t="s">
        <v>204</v>
      </c>
      <c r="J9982" s="578">
        <v>1</v>
      </c>
      <c r="K9982" s="579"/>
      <c r="L9982" s="579">
        <v>4.84</v>
      </c>
      <c r="M9982" s="579">
        <v>4.84</v>
      </c>
    </row>
    <row r="9983" ht="23.85" customHeight="1" spans="3:13">
      <c r="C9983" s="79" t="s">
        <v>2921</v>
      </c>
      <c r="D9983" s="78" t="s">
        <v>3146</v>
      </c>
      <c r="E9983" s="79" t="s">
        <v>139</v>
      </c>
      <c r="F9983" s="79" t="s">
        <v>3147</v>
      </c>
      <c r="G9983" s="79" t="s">
        <v>2928</v>
      </c>
      <c r="H9983" s="79"/>
      <c r="I9983" s="80" t="s">
        <v>2897</v>
      </c>
      <c r="J9983" s="583">
        <v>0.0129</v>
      </c>
      <c r="K9983" s="583">
        <v>0</v>
      </c>
      <c r="L9983" s="92">
        <v>29.54</v>
      </c>
      <c r="M9983" s="92">
        <v>0.38</v>
      </c>
    </row>
    <row r="9984" ht="23.85" customHeight="1" spans="3:13">
      <c r="C9984" s="79" t="s">
        <v>2921</v>
      </c>
      <c r="D9984" s="78" t="s">
        <v>3144</v>
      </c>
      <c r="E9984" s="79" t="s">
        <v>139</v>
      </c>
      <c r="F9984" s="79" t="s">
        <v>3145</v>
      </c>
      <c r="G9984" s="79" t="s">
        <v>2928</v>
      </c>
      <c r="H9984" s="79"/>
      <c r="I9984" s="80" t="s">
        <v>2897</v>
      </c>
      <c r="J9984" s="583">
        <v>0.0569</v>
      </c>
      <c r="K9984" s="583">
        <v>0</v>
      </c>
      <c r="L9984" s="92">
        <v>35.55</v>
      </c>
      <c r="M9984" s="92">
        <v>2.02</v>
      </c>
    </row>
    <row r="9985" ht="23.85" customHeight="1" spans="3:13">
      <c r="C9985" s="100" t="s">
        <v>2893</v>
      </c>
      <c r="D9985" s="99" t="s">
        <v>5840</v>
      </c>
      <c r="E9985" s="100" t="s">
        <v>139</v>
      </c>
      <c r="F9985" s="100" t="s">
        <v>5841</v>
      </c>
      <c r="G9985" s="100" t="s">
        <v>2961</v>
      </c>
      <c r="H9985" s="100"/>
      <c r="I9985" s="101" t="s">
        <v>134</v>
      </c>
      <c r="J9985" s="580">
        <v>1.3333</v>
      </c>
      <c r="K9985" s="580">
        <v>0</v>
      </c>
      <c r="L9985" s="102">
        <v>0.94</v>
      </c>
      <c r="M9985" s="102">
        <v>1.25</v>
      </c>
    </row>
    <row r="9986" ht="35.05" customHeight="1" spans="3:13">
      <c r="C9986" s="100" t="s">
        <v>2893</v>
      </c>
      <c r="D9986" s="99" t="s">
        <v>3761</v>
      </c>
      <c r="E9986" s="100" t="s">
        <v>139</v>
      </c>
      <c r="F9986" s="100" t="s">
        <v>3762</v>
      </c>
      <c r="G9986" s="100" t="s">
        <v>2961</v>
      </c>
      <c r="H9986" s="100"/>
      <c r="I9986" s="101" t="s">
        <v>134</v>
      </c>
      <c r="J9986" s="580">
        <v>1.4</v>
      </c>
      <c r="K9986" s="580">
        <v>0</v>
      </c>
      <c r="L9986" s="102">
        <v>0.85</v>
      </c>
      <c r="M9986" s="102">
        <v>1.19</v>
      </c>
    </row>
    <row r="9987" ht="25.5" spans="3:13">
      <c r="C9987" s="108"/>
      <c r="D9987" s="108"/>
      <c r="E9987" s="108"/>
      <c r="F9987" s="108"/>
      <c r="G9987" s="108"/>
      <c r="H9987" s="108" t="s">
        <v>2898</v>
      </c>
      <c r="I9987" s="581">
        <v>1.74</v>
      </c>
      <c r="J9987" s="108" t="s">
        <v>2899</v>
      </c>
      <c r="K9987" s="581">
        <v>0</v>
      </c>
      <c r="L9987" s="108" t="s">
        <v>2900</v>
      </c>
      <c r="M9987" s="581">
        <v>1.74</v>
      </c>
    </row>
    <row r="9988" ht="26.25" spans="3:13">
      <c r="C9988" s="108"/>
      <c r="D9988" s="108"/>
      <c r="E9988" s="108"/>
      <c r="F9988" s="108"/>
      <c r="G9988" s="108"/>
      <c r="H9988" s="108" t="s">
        <v>2901</v>
      </c>
      <c r="I9988" s="581">
        <v>1.23</v>
      </c>
      <c r="J9988" s="114"/>
      <c r="K9988" s="114" t="s">
        <v>2902</v>
      </c>
      <c r="L9988" s="108"/>
      <c r="M9988" s="581">
        <v>6.07</v>
      </c>
    </row>
    <row r="9989" ht="15" spans="3:13">
      <c r="C9989" s="571"/>
      <c r="D9989" s="571"/>
      <c r="E9989" s="571"/>
      <c r="F9989" s="571"/>
      <c r="G9989" s="571"/>
      <c r="H9989" s="571"/>
      <c r="I9989" s="571"/>
      <c r="J9989" s="571"/>
      <c r="K9989" s="571"/>
      <c r="L9989" s="571"/>
      <c r="M9989" s="571"/>
    </row>
    <row r="9990" ht="15" customHeight="1" spans="3:13">
      <c r="C9990" s="76"/>
      <c r="D9990" s="75" t="s">
        <v>63</v>
      </c>
      <c r="E9990" s="76" t="s">
        <v>64</v>
      </c>
      <c r="F9990" s="76" t="s">
        <v>65</v>
      </c>
      <c r="G9990" s="76" t="s">
        <v>2889</v>
      </c>
      <c r="H9990" s="76"/>
      <c r="I9990" s="77" t="s">
        <v>66</v>
      </c>
      <c r="J9990" s="75" t="s">
        <v>67</v>
      </c>
      <c r="K9990" s="75" t="s">
        <v>2890</v>
      </c>
      <c r="L9990" s="75" t="s">
        <v>68</v>
      </c>
      <c r="M9990" s="75" t="s">
        <v>70</v>
      </c>
    </row>
    <row r="9991" ht="46.25" customHeight="1" spans="3:13">
      <c r="C9991" s="569" t="s">
        <v>2891</v>
      </c>
      <c r="D9991" s="570" t="s">
        <v>3246</v>
      </c>
      <c r="E9991" s="569" t="s">
        <v>139</v>
      </c>
      <c r="F9991" s="569" t="s">
        <v>3247</v>
      </c>
      <c r="G9991" s="569" t="s">
        <v>3132</v>
      </c>
      <c r="H9991" s="569"/>
      <c r="I9991" s="577" t="s">
        <v>204</v>
      </c>
      <c r="J9991" s="578">
        <v>1</v>
      </c>
      <c r="K9991" s="579"/>
      <c r="L9991" s="579">
        <v>4.76</v>
      </c>
      <c r="M9991" s="579">
        <v>4.76</v>
      </c>
    </row>
    <row r="9992" ht="23.85" customHeight="1" spans="3:13">
      <c r="C9992" s="79" t="s">
        <v>2921</v>
      </c>
      <c r="D9992" s="78" t="s">
        <v>3144</v>
      </c>
      <c r="E9992" s="79" t="s">
        <v>139</v>
      </c>
      <c r="F9992" s="79" t="s">
        <v>3145</v>
      </c>
      <c r="G9992" s="79" t="s">
        <v>2928</v>
      </c>
      <c r="H9992" s="79"/>
      <c r="I9992" s="80" t="s">
        <v>2897</v>
      </c>
      <c r="J9992" s="583">
        <v>0.0789</v>
      </c>
      <c r="K9992" s="583">
        <v>0</v>
      </c>
      <c r="L9992" s="92">
        <v>35.55</v>
      </c>
      <c r="M9992" s="92">
        <v>2.8</v>
      </c>
    </row>
    <row r="9993" ht="23.85" customHeight="1" spans="3:13">
      <c r="C9993" s="79" t="s">
        <v>2921</v>
      </c>
      <c r="D9993" s="78" t="s">
        <v>3146</v>
      </c>
      <c r="E9993" s="79" t="s">
        <v>139</v>
      </c>
      <c r="F9993" s="79" t="s">
        <v>3147</v>
      </c>
      <c r="G9993" s="79" t="s">
        <v>2928</v>
      </c>
      <c r="H9993" s="79"/>
      <c r="I9993" s="80" t="s">
        <v>2897</v>
      </c>
      <c r="J9993" s="583">
        <v>0.0179</v>
      </c>
      <c r="K9993" s="583">
        <v>0</v>
      </c>
      <c r="L9993" s="92">
        <v>29.54</v>
      </c>
      <c r="M9993" s="92">
        <v>0.52</v>
      </c>
    </row>
    <row r="9994" ht="23.85" customHeight="1" spans="3:13">
      <c r="C9994" s="100" t="s">
        <v>2893</v>
      </c>
      <c r="D9994" s="99" t="s">
        <v>3148</v>
      </c>
      <c r="E9994" s="100" t="s">
        <v>139</v>
      </c>
      <c r="F9994" s="100" t="s">
        <v>3149</v>
      </c>
      <c r="G9994" s="100" t="s">
        <v>2961</v>
      </c>
      <c r="H9994" s="100"/>
      <c r="I9994" s="101" t="s">
        <v>134</v>
      </c>
      <c r="J9994" s="580">
        <v>0.6667</v>
      </c>
      <c r="K9994" s="580">
        <v>0</v>
      </c>
      <c r="L9994" s="102">
        <v>2.16</v>
      </c>
      <c r="M9994" s="102">
        <v>1.44</v>
      </c>
    </row>
    <row r="9995" ht="25.5" spans="3:13">
      <c r="C9995" s="108"/>
      <c r="D9995" s="108"/>
      <c r="E9995" s="108"/>
      <c r="F9995" s="108"/>
      <c r="G9995" s="108"/>
      <c r="H9995" s="108" t="s">
        <v>2898</v>
      </c>
      <c r="I9995" s="581">
        <v>2.42</v>
      </c>
      <c r="J9995" s="108" t="s">
        <v>2899</v>
      </c>
      <c r="K9995" s="581">
        <v>0</v>
      </c>
      <c r="L9995" s="108" t="s">
        <v>2900</v>
      </c>
      <c r="M9995" s="581">
        <v>2.42</v>
      </c>
    </row>
    <row r="9996" ht="26.25" spans="3:13">
      <c r="C9996" s="108"/>
      <c r="D9996" s="108"/>
      <c r="E9996" s="108"/>
      <c r="F9996" s="108"/>
      <c r="G9996" s="108"/>
      <c r="H9996" s="108" t="s">
        <v>2901</v>
      </c>
      <c r="I9996" s="581">
        <v>1.21</v>
      </c>
      <c r="J9996" s="114"/>
      <c r="K9996" s="114" t="s">
        <v>2902</v>
      </c>
      <c r="L9996" s="108"/>
      <c r="M9996" s="581">
        <v>5.97</v>
      </c>
    </row>
    <row r="9997" ht="15" spans="3:13">
      <c r="C9997" s="571"/>
      <c r="D9997" s="571"/>
      <c r="E9997" s="571"/>
      <c r="F9997" s="571"/>
      <c r="G9997" s="571"/>
      <c r="H9997" s="571"/>
      <c r="I9997" s="571"/>
      <c r="J9997" s="571"/>
      <c r="K9997" s="571"/>
      <c r="L9997" s="571"/>
      <c r="M9997" s="571"/>
    </row>
    <row r="9998" ht="15" customHeight="1" spans="3:13">
      <c r="C9998" s="76"/>
      <c r="D9998" s="75" t="s">
        <v>63</v>
      </c>
      <c r="E9998" s="76" t="s">
        <v>64</v>
      </c>
      <c r="F9998" s="76" t="s">
        <v>65</v>
      </c>
      <c r="G9998" s="76" t="s">
        <v>2889</v>
      </c>
      <c r="H9998" s="76"/>
      <c r="I9998" s="77" t="s">
        <v>66</v>
      </c>
      <c r="J9998" s="75" t="s">
        <v>67</v>
      </c>
      <c r="K9998" s="75" t="s">
        <v>2890</v>
      </c>
      <c r="L9998" s="75" t="s">
        <v>68</v>
      </c>
      <c r="M9998" s="75" t="s">
        <v>70</v>
      </c>
    </row>
    <row r="9999" ht="57.45" customHeight="1" spans="3:13">
      <c r="C9999" s="569" t="s">
        <v>2891</v>
      </c>
      <c r="D9999" s="570" t="s">
        <v>5784</v>
      </c>
      <c r="E9999" s="569" t="s">
        <v>796</v>
      </c>
      <c r="F9999" s="569" t="s">
        <v>5785</v>
      </c>
      <c r="G9999" s="569" t="s">
        <v>4116</v>
      </c>
      <c r="H9999" s="569"/>
      <c r="I9999" s="577" t="s">
        <v>141</v>
      </c>
      <c r="J9999" s="578">
        <v>1</v>
      </c>
      <c r="K9999" s="579"/>
      <c r="L9999" s="579">
        <v>131.9</v>
      </c>
      <c r="M9999" s="579">
        <v>131.9</v>
      </c>
    </row>
    <row r="10000" ht="15" customHeight="1" spans="3:13">
      <c r="C10000" s="100" t="s">
        <v>2893</v>
      </c>
      <c r="D10000" s="99" t="s">
        <v>5842</v>
      </c>
      <c r="E10000" s="100" t="s">
        <v>796</v>
      </c>
      <c r="F10000" s="100" t="s">
        <v>5843</v>
      </c>
      <c r="G10000" s="100" t="s">
        <v>2896</v>
      </c>
      <c r="H10000" s="100"/>
      <c r="I10000" s="101" t="s">
        <v>3707</v>
      </c>
      <c r="J10000" s="580">
        <v>1.2</v>
      </c>
      <c r="K10000" s="580">
        <v>0</v>
      </c>
      <c r="L10000" s="102">
        <v>30.57</v>
      </c>
      <c r="M10000" s="102">
        <v>36.68</v>
      </c>
    </row>
    <row r="10001" ht="23.85" customHeight="1" spans="3:13">
      <c r="C10001" s="100" t="s">
        <v>2893</v>
      </c>
      <c r="D10001" s="99" t="s">
        <v>4347</v>
      </c>
      <c r="E10001" s="100" t="s">
        <v>796</v>
      </c>
      <c r="F10001" s="100" t="s">
        <v>4348</v>
      </c>
      <c r="G10001" s="100" t="s">
        <v>2961</v>
      </c>
      <c r="H10001" s="100"/>
      <c r="I10001" s="101" t="s">
        <v>1508</v>
      </c>
      <c r="J10001" s="580">
        <v>0.4</v>
      </c>
      <c r="K10001" s="580">
        <v>0</v>
      </c>
      <c r="L10001" s="102">
        <v>8.18</v>
      </c>
      <c r="M10001" s="102">
        <v>3.27</v>
      </c>
    </row>
    <row r="10002" ht="23.85" customHeight="1" spans="3:13">
      <c r="C10002" s="100" t="s">
        <v>2893</v>
      </c>
      <c r="D10002" s="99" t="s">
        <v>4339</v>
      </c>
      <c r="E10002" s="100" t="s">
        <v>796</v>
      </c>
      <c r="F10002" s="100" t="s">
        <v>4340</v>
      </c>
      <c r="G10002" s="100" t="s">
        <v>2961</v>
      </c>
      <c r="H10002" s="100"/>
      <c r="I10002" s="101" t="s">
        <v>1508</v>
      </c>
      <c r="J10002" s="580">
        <v>2</v>
      </c>
      <c r="K10002" s="580">
        <v>0</v>
      </c>
      <c r="L10002" s="102">
        <v>18.89</v>
      </c>
      <c r="M10002" s="102">
        <v>37.78</v>
      </c>
    </row>
    <row r="10003" ht="15" customHeight="1" spans="3:13">
      <c r="C10003" s="100" t="s">
        <v>2893</v>
      </c>
      <c r="D10003" s="99" t="s">
        <v>3717</v>
      </c>
      <c r="E10003" s="100" t="s">
        <v>796</v>
      </c>
      <c r="F10003" s="100" t="s">
        <v>3718</v>
      </c>
      <c r="G10003" s="100" t="s">
        <v>2896</v>
      </c>
      <c r="H10003" s="100"/>
      <c r="I10003" s="101" t="s">
        <v>3707</v>
      </c>
      <c r="J10003" s="580">
        <v>1.2</v>
      </c>
      <c r="K10003" s="580">
        <v>0</v>
      </c>
      <c r="L10003" s="102">
        <v>23.89</v>
      </c>
      <c r="M10003" s="102">
        <v>28.66</v>
      </c>
    </row>
    <row r="10004" ht="23.85" customHeight="1" spans="3:13">
      <c r="C10004" s="100" t="s">
        <v>2893</v>
      </c>
      <c r="D10004" s="99" t="s">
        <v>4341</v>
      </c>
      <c r="E10004" s="100" t="s">
        <v>796</v>
      </c>
      <c r="F10004" s="100" t="s">
        <v>4342</v>
      </c>
      <c r="G10004" s="100" t="s">
        <v>2961</v>
      </c>
      <c r="H10004" s="100"/>
      <c r="I10004" s="101" t="s">
        <v>1508</v>
      </c>
      <c r="J10004" s="580">
        <v>1.5</v>
      </c>
      <c r="K10004" s="580">
        <v>0</v>
      </c>
      <c r="L10004" s="102">
        <v>14.95</v>
      </c>
      <c r="M10004" s="102">
        <v>22.42</v>
      </c>
    </row>
    <row r="10005" ht="15" customHeight="1" spans="3:13">
      <c r="C10005" s="100" t="s">
        <v>2893</v>
      </c>
      <c r="D10005" s="99" t="s">
        <v>4349</v>
      </c>
      <c r="E10005" s="100" t="s">
        <v>796</v>
      </c>
      <c r="F10005" s="100" t="s">
        <v>4350</v>
      </c>
      <c r="G10005" s="100" t="s">
        <v>2961</v>
      </c>
      <c r="H10005" s="100"/>
      <c r="I10005" s="101" t="s">
        <v>3712</v>
      </c>
      <c r="J10005" s="580">
        <v>0.1</v>
      </c>
      <c r="K10005" s="580">
        <v>0</v>
      </c>
      <c r="L10005" s="102">
        <v>11.35</v>
      </c>
      <c r="M10005" s="102">
        <v>1.13</v>
      </c>
    </row>
    <row r="10006" ht="35.05" customHeight="1" spans="3:13">
      <c r="C10006" s="100" t="s">
        <v>2893</v>
      </c>
      <c r="D10006" s="99" t="s">
        <v>3713</v>
      </c>
      <c r="E10006" s="100" t="s">
        <v>796</v>
      </c>
      <c r="F10006" s="100" t="s">
        <v>3714</v>
      </c>
      <c r="G10006" s="100" t="s">
        <v>3715</v>
      </c>
      <c r="H10006" s="100"/>
      <c r="I10006" s="101" t="s">
        <v>3716</v>
      </c>
      <c r="J10006" s="580">
        <v>65.34</v>
      </c>
      <c r="K10006" s="580">
        <v>3</v>
      </c>
      <c r="L10006" s="102">
        <v>1</v>
      </c>
      <c r="M10006" s="102">
        <v>1.96</v>
      </c>
    </row>
    <row r="10007" ht="25.5" spans="3:13">
      <c r="C10007" s="108"/>
      <c r="D10007" s="108"/>
      <c r="E10007" s="108"/>
      <c r="F10007" s="108"/>
      <c r="G10007" s="108"/>
      <c r="H10007" s="108" t="s">
        <v>2898</v>
      </c>
      <c r="I10007" s="581">
        <v>65.34</v>
      </c>
      <c r="J10007" s="108" t="s">
        <v>2899</v>
      </c>
      <c r="K10007" s="581">
        <v>0</v>
      </c>
      <c r="L10007" s="108" t="s">
        <v>2900</v>
      </c>
      <c r="M10007" s="581">
        <v>65.34</v>
      </c>
    </row>
    <row r="10008" ht="26.25" spans="3:13">
      <c r="C10008" s="108"/>
      <c r="D10008" s="108"/>
      <c r="E10008" s="108"/>
      <c r="F10008" s="108"/>
      <c r="G10008" s="108"/>
      <c r="H10008" s="108" t="s">
        <v>2901</v>
      </c>
      <c r="I10008" s="581">
        <v>33.62</v>
      </c>
      <c r="J10008" s="114"/>
      <c r="K10008" s="114" t="s">
        <v>2902</v>
      </c>
      <c r="L10008" s="108"/>
      <c r="M10008" s="581">
        <v>165.52</v>
      </c>
    </row>
    <row r="10009" ht="15" spans="3:13">
      <c r="C10009" s="571"/>
      <c r="D10009" s="571"/>
      <c r="E10009" s="571"/>
      <c r="F10009" s="571"/>
      <c r="G10009" s="571"/>
      <c r="H10009" s="571"/>
      <c r="I10009" s="571"/>
      <c r="J10009" s="571"/>
      <c r="K10009" s="571"/>
      <c r="L10009" s="571"/>
      <c r="M10009" s="571"/>
    </row>
    <row r="10010" ht="15" customHeight="1" spans="3:13">
      <c r="C10010" s="76"/>
      <c r="D10010" s="75" t="s">
        <v>63</v>
      </c>
      <c r="E10010" s="76" t="s">
        <v>64</v>
      </c>
      <c r="F10010" s="76" t="s">
        <v>65</v>
      </c>
      <c r="G10010" s="76" t="s">
        <v>2889</v>
      </c>
      <c r="H10010" s="76"/>
      <c r="I10010" s="77" t="s">
        <v>66</v>
      </c>
      <c r="J10010" s="75" t="s">
        <v>67</v>
      </c>
      <c r="K10010" s="75" t="s">
        <v>2890</v>
      </c>
      <c r="L10010" s="75" t="s">
        <v>68</v>
      </c>
      <c r="M10010" s="75" t="s">
        <v>70</v>
      </c>
    </row>
    <row r="10011" ht="23.85" customHeight="1" spans="3:13">
      <c r="C10011" s="569" t="s">
        <v>2891</v>
      </c>
      <c r="D10011" s="570" t="s">
        <v>5195</v>
      </c>
      <c r="E10011" s="569" t="s">
        <v>139</v>
      </c>
      <c r="F10011" s="569" t="s">
        <v>5196</v>
      </c>
      <c r="G10011" s="569" t="s">
        <v>2928</v>
      </c>
      <c r="H10011" s="569"/>
      <c r="I10011" s="577" t="s">
        <v>2897</v>
      </c>
      <c r="J10011" s="578">
        <v>1</v>
      </c>
      <c r="K10011" s="579"/>
      <c r="L10011" s="579">
        <v>36.01</v>
      </c>
      <c r="M10011" s="579">
        <v>36.01</v>
      </c>
    </row>
    <row r="10012" ht="23.85" customHeight="1" spans="3:13">
      <c r="C10012" s="79" t="s">
        <v>2921</v>
      </c>
      <c r="D10012" s="78" t="s">
        <v>5656</v>
      </c>
      <c r="E10012" s="79" t="s">
        <v>139</v>
      </c>
      <c r="F10012" s="79" t="s">
        <v>5657</v>
      </c>
      <c r="G10012" s="79" t="s">
        <v>2928</v>
      </c>
      <c r="H10012" s="79"/>
      <c r="I10012" s="80" t="s">
        <v>2897</v>
      </c>
      <c r="J10012" s="583">
        <v>1</v>
      </c>
      <c r="K10012" s="583">
        <v>0</v>
      </c>
      <c r="L10012" s="92">
        <v>0.29</v>
      </c>
      <c r="M10012" s="92">
        <v>0.29</v>
      </c>
    </row>
    <row r="10013" ht="15" customHeight="1" spans="3:13">
      <c r="C10013" s="100" t="s">
        <v>2893</v>
      </c>
      <c r="D10013" s="99" t="s">
        <v>5312</v>
      </c>
      <c r="E10013" s="100" t="s">
        <v>139</v>
      </c>
      <c r="F10013" s="100" t="s">
        <v>5313</v>
      </c>
      <c r="G10013" s="100" t="s">
        <v>2961</v>
      </c>
      <c r="H10013" s="100"/>
      <c r="I10013" s="101" t="s">
        <v>2897</v>
      </c>
      <c r="J10013" s="580">
        <v>1</v>
      </c>
      <c r="K10013" s="580">
        <v>0</v>
      </c>
      <c r="L10013" s="102">
        <v>0.08</v>
      </c>
      <c r="M10013" s="102">
        <v>0.08</v>
      </c>
    </row>
    <row r="10014" ht="23.85" customHeight="1" spans="3:13">
      <c r="C10014" s="100" t="s">
        <v>2893</v>
      </c>
      <c r="D10014" s="99" t="s">
        <v>5310</v>
      </c>
      <c r="E10014" s="100" t="s">
        <v>139</v>
      </c>
      <c r="F10014" s="100" t="s">
        <v>5311</v>
      </c>
      <c r="G10014" s="100" t="s">
        <v>2961</v>
      </c>
      <c r="H10014" s="100"/>
      <c r="I10014" s="101" t="s">
        <v>2897</v>
      </c>
      <c r="J10014" s="580">
        <v>1</v>
      </c>
      <c r="K10014" s="580">
        <v>0</v>
      </c>
      <c r="L10014" s="102">
        <v>1.58</v>
      </c>
      <c r="M10014" s="102">
        <v>1.58</v>
      </c>
    </row>
    <row r="10015" ht="23.85" customHeight="1" spans="3:13">
      <c r="C10015" s="100" t="s">
        <v>2893</v>
      </c>
      <c r="D10015" s="99" t="s">
        <v>5304</v>
      </c>
      <c r="E10015" s="100" t="s">
        <v>139</v>
      </c>
      <c r="F10015" s="100" t="s">
        <v>5305</v>
      </c>
      <c r="G10015" s="100" t="s">
        <v>2961</v>
      </c>
      <c r="H10015" s="100"/>
      <c r="I10015" s="101" t="s">
        <v>2897</v>
      </c>
      <c r="J10015" s="580">
        <v>1</v>
      </c>
      <c r="K10015" s="580">
        <v>0</v>
      </c>
      <c r="L10015" s="102">
        <v>1.31</v>
      </c>
      <c r="M10015" s="102">
        <v>1.31</v>
      </c>
    </row>
    <row r="10016" ht="23.85" customHeight="1" spans="3:13">
      <c r="C10016" s="100" t="s">
        <v>2893</v>
      </c>
      <c r="D10016" s="99" t="s">
        <v>5308</v>
      </c>
      <c r="E10016" s="100" t="s">
        <v>139</v>
      </c>
      <c r="F10016" s="100" t="s">
        <v>5309</v>
      </c>
      <c r="G10016" s="100" t="s">
        <v>2961</v>
      </c>
      <c r="H10016" s="100"/>
      <c r="I10016" s="101" t="s">
        <v>2897</v>
      </c>
      <c r="J10016" s="580">
        <v>1</v>
      </c>
      <c r="K10016" s="580">
        <v>0</v>
      </c>
      <c r="L10016" s="102">
        <v>4.84</v>
      </c>
      <c r="M10016" s="102">
        <v>4.84</v>
      </c>
    </row>
    <row r="10017" ht="15" customHeight="1" spans="3:13">
      <c r="C10017" s="100" t="s">
        <v>2893</v>
      </c>
      <c r="D10017" s="99" t="s">
        <v>5658</v>
      </c>
      <c r="E10017" s="100" t="s">
        <v>139</v>
      </c>
      <c r="F10017" s="100" t="s">
        <v>5659</v>
      </c>
      <c r="G10017" s="100" t="s">
        <v>2896</v>
      </c>
      <c r="H10017" s="100"/>
      <c r="I10017" s="101" t="s">
        <v>2897</v>
      </c>
      <c r="J10017" s="580">
        <v>1</v>
      </c>
      <c r="K10017" s="580">
        <v>0</v>
      </c>
      <c r="L10017" s="102">
        <v>25.7</v>
      </c>
      <c r="M10017" s="102">
        <v>25.7</v>
      </c>
    </row>
    <row r="10018" ht="23.85" customHeight="1" spans="3:13">
      <c r="C10018" s="100" t="s">
        <v>2893</v>
      </c>
      <c r="D10018" s="99" t="s">
        <v>5314</v>
      </c>
      <c r="E10018" s="100" t="s">
        <v>139</v>
      </c>
      <c r="F10018" s="100" t="s">
        <v>5315</v>
      </c>
      <c r="G10018" s="100" t="s">
        <v>2961</v>
      </c>
      <c r="H10018" s="100"/>
      <c r="I10018" s="101" t="s">
        <v>2897</v>
      </c>
      <c r="J10018" s="580">
        <v>1</v>
      </c>
      <c r="K10018" s="580">
        <v>0</v>
      </c>
      <c r="L10018" s="102">
        <v>0.78</v>
      </c>
      <c r="M10018" s="102">
        <v>0.78</v>
      </c>
    </row>
    <row r="10019" ht="15" customHeight="1" spans="3:13">
      <c r="C10019" s="100" t="s">
        <v>2893</v>
      </c>
      <c r="D10019" s="99" t="s">
        <v>5306</v>
      </c>
      <c r="E10019" s="100" t="s">
        <v>139</v>
      </c>
      <c r="F10019" s="100" t="s">
        <v>5307</v>
      </c>
      <c r="G10019" s="100" t="s">
        <v>2961</v>
      </c>
      <c r="H10019" s="100"/>
      <c r="I10019" s="101" t="s">
        <v>2897</v>
      </c>
      <c r="J10019" s="580">
        <v>1</v>
      </c>
      <c r="K10019" s="580">
        <v>0</v>
      </c>
      <c r="L10019" s="102">
        <v>1.43</v>
      </c>
      <c r="M10019" s="102">
        <v>1.43</v>
      </c>
    </row>
    <row r="10020" ht="25.5" spans="3:13">
      <c r="C10020" s="108"/>
      <c r="D10020" s="108"/>
      <c r="E10020" s="108"/>
      <c r="F10020" s="108"/>
      <c r="G10020" s="108"/>
      <c r="H10020" s="108" t="s">
        <v>2898</v>
      </c>
      <c r="I10020" s="581">
        <v>25.99</v>
      </c>
      <c r="J10020" s="108" t="s">
        <v>2899</v>
      </c>
      <c r="K10020" s="581">
        <v>0</v>
      </c>
      <c r="L10020" s="108" t="s">
        <v>2900</v>
      </c>
      <c r="M10020" s="581">
        <v>25.99</v>
      </c>
    </row>
    <row r="10021" ht="26.25" spans="3:13">
      <c r="C10021" s="108"/>
      <c r="D10021" s="108"/>
      <c r="E10021" s="108"/>
      <c r="F10021" s="108"/>
      <c r="G10021" s="108"/>
      <c r="H10021" s="108" t="s">
        <v>2901</v>
      </c>
      <c r="I10021" s="581">
        <v>9.17</v>
      </c>
      <c r="J10021" s="114"/>
      <c r="K10021" s="114" t="s">
        <v>2902</v>
      </c>
      <c r="L10021" s="108"/>
      <c r="M10021" s="581">
        <v>45.18</v>
      </c>
    </row>
    <row r="10022" ht="15" spans="3:13">
      <c r="C10022" s="571"/>
      <c r="D10022" s="571"/>
      <c r="E10022" s="571"/>
      <c r="F10022" s="571"/>
      <c r="G10022" s="571"/>
      <c r="H10022" s="571"/>
      <c r="I10022" s="571"/>
      <c r="J10022" s="571"/>
      <c r="K10022" s="571"/>
      <c r="L10022" s="571"/>
      <c r="M10022" s="571"/>
    </row>
    <row r="10023" ht="15" customHeight="1" spans="3:13">
      <c r="C10023" s="76"/>
      <c r="D10023" s="75" t="s">
        <v>63</v>
      </c>
      <c r="E10023" s="76" t="s">
        <v>64</v>
      </c>
      <c r="F10023" s="76" t="s">
        <v>65</v>
      </c>
      <c r="G10023" s="76" t="s">
        <v>2889</v>
      </c>
      <c r="H10023" s="76"/>
      <c r="I10023" s="77" t="s">
        <v>66</v>
      </c>
      <c r="J10023" s="75" t="s">
        <v>67</v>
      </c>
      <c r="K10023" s="75" t="s">
        <v>2890</v>
      </c>
      <c r="L10023" s="75" t="s">
        <v>68</v>
      </c>
      <c r="M10023" s="75" t="s">
        <v>70</v>
      </c>
    </row>
    <row r="10024" ht="35.05" customHeight="1" spans="3:13">
      <c r="C10024" s="569" t="s">
        <v>2891</v>
      </c>
      <c r="D10024" s="570" t="s">
        <v>5844</v>
      </c>
      <c r="E10024" s="569" t="s">
        <v>139</v>
      </c>
      <c r="F10024" s="569" t="s">
        <v>5845</v>
      </c>
      <c r="G10024" s="569" t="s">
        <v>3908</v>
      </c>
      <c r="H10024" s="569"/>
      <c r="I10024" s="577" t="s">
        <v>279</v>
      </c>
      <c r="J10024" s="578">
        <v>1</v>
      </c>
      <c r="K10024" s="579"/>
      <c r="L10024" s="579">
        <v>551.22</v>
      </c>
      <c r="M10024" s="579">
        <v>551.22</v>
      </c>
    </row>
    <row r="10025" ht="23.85" customHeight="1" spans="3:13">
      <c r="C10025" s="79" t="s">
        <v>2921</v>
      </c>
      <c r="D10025" s="78" t="s">
        <v>5366</v>
      </c>
      <c r="E10025" s="79" t="s">
        <v>139</v>
      </c>
      <c r="F10025" s="79" t="s">
        <v>5367</v>
      </c>
      <c r="G10025" s="79" t="s">
        <v>2928</v>
      </c>
      <c r="H10025" s="79"/>
      <c r="I10025" s="80" t="s">
        <v>2897</v>
      </c>
      <c r="J10025" s="583">
        <v>1.6069</v>
      </c>
      <c r="K10025" s="583">
        <v>0</v>
      </c>
      <c r="L10025" s="92">
        <v>32.2</v>
      </c>
      <c r="M10025" s="92">
        <v>51.74</v>
      </c>
    </row>
    <row r="10026" ht="35.05" customHeight="1" spans="3:13">
      <c r="C10026" s="79" t="s">
        <v>2921</v>
      </c>
      <c r="D10026" s="78" t="s">
        <v>5362</v>
      </c>
      <c r="E10026" s="79" t="s">
        <v>139</v>
      </c>
      <c r="F10026" s="79" t="s">
        <v>5363</v>
      </c>
      <c r="G10026" s="79" t="s">
        <v>2995</v>
      </c>
      <c r="H10026" s="79"/>
      <c r="I10026" s="80" t="s">
        <v>3002</v>
      </c>
      <c r="J10026" s="583">
        <v>1.1138</v>
      </c>
      <c r="K10026" s="583">
        <v>0</v>
      </c>
      <c r="L10026" s="92">
        <v>2.24</v>
      </c>
      <c r="M10026" s="92">
        <v>2.49</v>
      </c>
    </row>
    <row r="10027" ht="35.05" customHeight="1" spans="3:13">
      <c r="C10027" s="79" t="s">
        <v>2921</v>
      </c>
      <c r="D10027" s="78" t="s">
        <v>5364</v>
      </c>
      <c r="E10027" s="79" t="s">
        <v>139</v>
      </c>
      <c r="F10027" s="79" t="s">
        <v>5365</v>
      </c>
      <c r="G10027" s="79" t="s">
        <v>2995</v>
      </c>
      <c r="H10027" s="79"/>
      <c r="I10027" s="80" t="s">
        <v>2996</v>
      </c>
      <c r="J10027" s="583">
        <v>0.4931</v>
      </c>
      <c r="K10027" s="583">
        <v>0</v>
      </c>
      <c r="L10027" s="92">
        <v>0.43</v>
      </c>
      <c r="M10027" s="92">
        <v>0.21</v>
      </c>
    </row>
    <row r="10028" ht="23.85" customHeight="1" spans="3:13">
      <c r="C10028" s="79" t="s">
        <v>2921</v>
      </c>
      <c r="D10028" s="78" t="s">
        <v>2952</v>
      </c>
      <c r="E10028" s="79" t="s">
        <v>139</v>
      </c>
      <c r="F10028" s="79" t="s">
        <v>2953</v>
      </c>
      <c r="G10028" s="79" t="s">
        <v>2928</v>
      </c>
      <c r="H10028" s="79"/>
      <c r="I10028" s="80" t="s">
        <v>2897</v>
      </c>
      <c r="J10028" s="583">
        <v>2.5492</v>
      </c>
      <c r="K10028" s="583">
        <v>0</v>
      </c>
      <c r="L10028" s="92">
        <v>29.15</v>
      </c>
      <c r="M10028" s="92">
        <v>74.3</v>
      </c>
    </row>
    <row r="10029" ht="15" customHeight="1" spans="3:13">
      <c r="C10029" s="100" t="s">
        <v>2893</v>
      </c>
      <c r="D10029" s="99" t="s">
        <v>3021</v>
      </c>
      <c r="E10029" s="100" t="s">
        <v>139</v>
      </c>
      <c r="F10029" s="100" t="s">
        <v>3022</v>
      </c>
      <c r="G10029" s="100" t="s">
        <v>2961</v>
      </c>
      <c r="H10029" s="100"/>
      <c r="I10029" s="101" t="s">
        <v>393</v>
      </c>
      <c r="J10029" s="580">
        <v>420.1527</v>
      </c>
      <c r="K10029" s="580">
        <v>0</v>
      </c>
      <c r="L10029" s="102">
        <v>0.64</v>
      </c>
      <c r="M10029" s="102">
        <v>268.89</v>
      </c>
    </row>
    <row r="10030" ht="23.85" customHeight="1" spans="3:13">
      <c r="C10030" s="100" t="s">
        <v>2893</v>
      </c>
      <c r="D10030" s="99" t="s">
        <v>2715</v>
      </c>
      <c r="E10030" s="100" t="s">
        <v>139</v>
      </c>
      <c r="F10030" s="100" t="s">
        <v>2716</v>
      </c>
      <c r="G10030" s="100" t="s">
        <v>2961</v>
      </c>
      <c r="H10030" s="100"/>
      <c r="I10030" s="101" t="s">
        <v>279</v>
      </c>
      <c r="J10030" s="580">
        <v>0.6302</v>
      </c>
      <c r="K10030" s="580">
        <v>0</v>
      </c>
      <c r="L10030" s="102">
        <v>91.17</v>
      </c>
      <c r="M10030" s="102">
        <v>57.45</v>
      </c>
    </row>
    <row r="10031" ht="23.85" customHeight="1" spans="3:13">
      <c r="C10031" s="100" t="s">
        <v>2893</v>
      </c>
      <c r="D10031" s="99" t="s">
        <v>4570</v>
      </c>
      <c r="E10031" s="100" t="s">
        <v>139</v>
      </c>
      <c r="F10031" s="100" t="s">
        <v>4571</v>
      </c>
      <c r="G10031" s="100" t="s">
        <v>2961</v>
      </c>
      <c r="H10031" s="100"/>
      <c r="I10031" s="101" t="s">
        <v>279</v>
      </c>
      <c r="J10031" s="580">
        <v>0.5882</v>
      </c>
      <c r="K10031" s="580">
        <v>0</v>
      </c>
      <c r="L10031" s="102">
        <v>124.89</v>
      </c>
      <c r="M10031" s="102">
        <v>73.46</v>
      </c>
    </row>
    <row r="10032" ht="15" customHeight="1" spans="3:13">
      <c r="C10032" s="100" t="s">
        <v>2893</v>
      </c>
      <c r="D10032" s="99" t="s">
        <v>5360</v>
      </c>
      <c r="E10032" s="100" t="s">
        <v>139</v>
      </c>
      <c r="F10032" s="100" t="s">
        <v>5361</v>
      </c>
      <c r="G10032" s="100" t="s">
        <v>2961</v>
      </c>
      <c r="H10032" s="100"/>
      <c r="I10032" s="101" t="s">
        <v>393</v>
      </c>
      <c r="J10032" s="580">
        <v>15.1255</v>
      </c>
      <c r="K10032" s="580">
        <v>0</v>
      </c>
      <c r="L10032" s="102">
        <v>1.5</v>
      </c>
      <c r="M10032" s="102">
        <v>22.68</v>
      </c>
    </row>
    <row r="10033" ht="25.5" spans="3:13">
      <c r="C10033" s="108"/>
      <c r="D10033" s="108"/>
      <c r="E10033" s="108"/>
      <c r="F10033" s="108"/>
      <c r="G10033" s="108"/>
      <c r="H10033" s="108" t="s">
        <v>2898</v>
      </c>
      <c r="I10033" s="581">
        <v>86.54</v>
      </c>
      <c r="J10033" s="108" t="s">
        <v>2899</v>
      </c>
      <c r="K10033" s="581">
        <v>0</v>
      </c>
      <c r="L10033" s="108" t="s">
        <v>2900</v>
      </c>
      <c r="M10033" s="581">
        <v>86.54</v>
      </c>
    </row>
    <row r="10034" ht="26.25" spans="3:13">
      <c r="C10034" s="108"/>
      <c r="D10034" s="108"/>
      <c r="E10034" s="108"/>
      <c r="F10034" s="108"/>
      <c r="G10034" s="108"/>
      <c r="H10034" s="108" t="s">
        <v>2901</v>
      </c>
      <c r="I10034" s="581">
        <v>140.5</v>
      </c>
      <c r="J10034" s="114"/>
      <c r="K10034" s="114" t="s">
        <v>2902</v>
      </c>
      <c r="L10034" s="108"/>
      <c r="M10034" s="581">
        <v>691.72</v>
      </c>
    </row>
    <row r="10035" ht="15" spans="3:13">
      <c r="C10035" s="571"/>
      <c r="D10035" s="571"/>
      <c r="E10035" s="571"/>
      <c r="F10035" s="571"/>
      <c r="G10035" s="571"/>
      <c r="H10035" s="571"/>
      <c r="I10035" s="571"/>
      <c r="J10035" s="571"/>
      <c r="K10035" s="571"/>
      <c r="L10035" s="571"/>
      <c r="M10035" s="571"/>
    </row>
    <row r="10036" ht="15" customHeight="1" spans="3:13">
      <c r="C10036" s="76"/>
      <c r="D10036" s="75" t="s">
        <v>63</v>
      </c>
      <c r="E10036" s="76" t="s">
        <v>64</v>
      </c>
      <c r="F10036" s="76" t="s">
        <v>65</v>
      </c>
      <c r="G10036" s="76" t="s">
        <v>2889</v>
      </c>
      <c r="H10036" s="76"/>
      <c r="I10036" s="77" t="s">
        <v>66</v>
      </c>
      <c r="J10036" s="75" t="s">
        <v>67</v>
      </c>
      <c r="K10036" s="75" t="s">
        <v>2890</v>
      </c>
      <c r="L10036" s="75" t="s">
        <v>68</v>
      </c>
      <c r="M10036" s="75" t="s">
        <v>70</v>
      </c>
    </row>
    <row r="10037" ht="23.85" customHeight="1" spans="3:13">
      <c r="C10037" s="569" t="s">
        <v>2891</v>
      </c>
      <c r="D10037" s="570" t="s">
        <v>3914</v>
      </c>
      <c r="E10037" s="569" t="s">
        <v>139</v>
      </c>
      <c r="F10037" s="569" t="s">
        <v>3915</v>
      </c>
      <c r="G10037" s="569" t="s">
        <v>3908</v>
      </c>
      <c r="H10037" s="569"/>
      <c r="I10037" s="577" t="s">
        <v>279</v>
      </c>
      <c r="J10037" s="578">
        <v>1</v>
      </c>
      <c r="K10037" s="579"/>
      <c r="L10037" s="579">
        <v>1081.25</v>
      </c>
      <c r="M10037" s="579">
        <v>1081.25</v>
      </c>
    </row>
    <row r="10038" ht="23.85" customHeight="1" spans="3:13">
      <c r="C10038" s="79" t="s">
        <v>2921</v>
      </c>
      <c r="D10038" s="78" t="s">
        <v>2952</v>
      </c>
      <c r="E10038" s="79" t="s">
        <v>139</v>
      </c>
      <c r="F10038" s="79" t="s">
        <v>2953</v>
      </c>
      <c r="G10038" s="79" t="s">
        <v>2928</v>
      </c>
      <c r="H10038" s="79"/>
      <c r="I10038" s="80" t="s">
        <v>2897</v>
      </c>
      <c r="J10038" s="583">
        <v>4.9432</v>
      </c>
      <c r="K10038" s="583">
        <v>0</v>
      </c>
      <c r="L10038" s="92">
        <v>29.15</v>
      </c>
      <c r="M10038" s="92">
        <v>144.09</v>
      </c>
    </row>
    <row r="10039" ht="35.05" customHeight="1" spans="3:13">
      <c r="C10039" s="79" t="s">
        <v>2921</v>
      </c>
      <c r="D10039" s="78" t="s">
        <v>5844</v>
      </c>
      <c r="E10039" s="79" t="s">
        <v>139</v>
      </c>
      <c r="F10039" s="79" t="s">
        <v>5845</v>
      </c>
      <c r="G10039" s="79" t="s">
        <v>3908</v>
      </c>
      <c r="H10039" s="79"/>
      <c r="I10039" s="80" t="s">
        <v>279</v>
      </c>
      <c r="J10039" s="583">
        <v>1.203</v>
      </c>
      <c r="K10039" s="583">
        <v>0</v>
      </c>
      <c r="L10039" s="92">
        <v>551.22</v>
      </c>
      <c r="M10039" s="92">
        <v>663.11</v>
      </c>
    </row>
    <row r="10040" ht="23.85" customHeight="1" spans="3:13">
      <c r="C10040" s="79" t="s">
        <v>2921</v>
      </c>
      <c r="D10040" s="78" t="s">
        <v>3017</v>
      </c>
      <c r="E10040" s="79" t="s">
        <v>139</v>
      </c>
      <c r="F10040" s="79" t="s">
        <v>3018</v>
      </c>
      <c r="G10040" s="79" t="s">
        <v>2928</v>
      </c>
      <c r="H10040" s="79"/>
      <c r="I10040" s="80" t="s">
        <v>2897</v>
      </c>
      <c r="J10040" s="583">
        <v>7.4148</v>
      </c>
      <c r="K10040" s="583">
        <v>0</v>
      </c>
      <c r="L10040" s="92">
        <v>36.96</v>
      </c>
      <c r="M10040" s="92">
        <v>274.05</v>
      </c>
    </row>
    <row r="10041" ht="25.5" spans="3:13">
      <c r="C10041" s="108"/>
      <c r="D10041" s="108"/>
      <c r="E10041" s="108"/>
      <c r="F10041" s="108"/>
      <c r="G10041" s="108"/>
      <c r="H10041" s="108" t="s">
        <v>2898</v>
      </c>
      <c r="I10041" s="581">
        <v>398.85</v>
      </c>
      <c r="J10041" s="108" t="s">
        <v>2899</v>
      </c>
      <c r="K10041" s="581">
        <v>0</v>
      </c>
      <c r="L10041" s="108" t="s">
        <v>2900</v>
      </c>
      <c r="M10041" s="581">
        <v>398.85</v>
      </c>
    </row>
    <row r="10042" ht="26.25" spans="3:13">
      <c r="C10042" s="108"/>
      <c r="D10042" s="108"/>
      <c r="E10042" s="108"/>
      <c r="F10042" s="108"/>
      <c r="G10042" s="108"/>
      <c r="H10042" s="108" t="s">
        <v>2901</v>
      </c>
      <c r="I10042" s="581">
        <v>275.61</v>
      </c>
      <c r="J10042" s="114"/>
      <c r="K10042" s="114" t="s">
        <v>2902</v>
      </c>
      <c r="L10042" s="108"/>
      <c r="M10042" s="581">
        <v>1356.86</v>
      </c>
    </row>
    <row r="10043" ht="15" spans="3:13">
      <c r="C10043" s="571"/>
      <c r="D10043" s="571"/>
      <c r="E10043" s="571"/>
      <c r="F10043" s="571"/>
      <c r="G10043" s="571"/>
      <c r="H10043" s="571"/>
      <c r="I10043" s="571"/>
      <c r="J10043" s="571"/>
      <c r="K10043" s="571"/>
      <c r="L10043" s="571"/>
      <c r="M10043" s="571"/>
    </row>
    <row r="10044" ht="15" customHeight="1" spans="3:13">
      <c r="C10044" s="76"/>
      <c r="D10044" s="75" t="s">
        <v>63</v>
      </c>
      <c r="E10044" s="76" t="s">
        <v>64</v>
      </c>
      <c r="F10044" s="76" t="s">
        <v>65</v>
      </c>
      <c r="G10044" s="76" t="s">
        <v>2889</v>
      </c>
      <c r="H10044" s="76"/>
      <c r="I10044" s="77" t="s">
        <v>66</v>
      </c>
      <c r="J10044" s="75" t="s">
        <v>67</v>
      </c>
      <c r="K10044" s="75" t="s">
        <v>2890</v>
      </c>
      <c r="L10044" s="75" t="s">
        <v>68</v>
      </c>
      <c r="M10044" s="75" t="s">
        <v>70</v>
      </c>
    </row>
    <row r="10045" ht="15" customHeight="1" spans="3:13">
      <c r="C10045" s="569" t="s">
        <v>2891</v>
      </c>
      <c r="D10045" s="570" t="s">
        <v>3916</v>
      </c>
      <c r="E10045" s="569" t="s">
        <v>139</v>
      </c>
      <c r="F10045" s="569" t="s">
        <v>3917</v>
      </c>
      <c r="G10045" s="569" t="s">
        <v>3908</v>
      </c>
      <c r="H10045" s="569"/>
      <c r="I10045" s="577" t="s">
        <v>279</v>
      </c>
      <c r="J10045" s="578">
        <v>1</v>
      </c>
      <c r="K10045" s="579"/>
      <c r="L10045" s="579">
        <v>1131.01</v>
      </c>
      <c r="M10045" s="579">
        <v>1131.01</v>
      </c>
    </row>
    <row r="10046" ht="23.85" customHeight="1" spans="3:13">
      <c r="C10046" s="79" t="s">
        <v>2921</v>
      </c>
      <c r="D10046" s="78" t="s">
        <v>2952</v>
      </c>
      <c r="E10046" s="79" t="s">
        <v>139</v>
      </c>
      <c r="F10046" s="79" t="s">
        <v>2953</v>
      </c>
      <c r="G10046" s="79" t="s">
        <v>2928</v>
      </c>
      <c r="H10046" s="79"/>
      <c r="I10046" s="80" t="s">
        <v>2897</v>
      </c>
      <c r="J10046" s="583">
        <v>5.5315</v>
      </c>
      <c r="K10046" s="583">
        <v>0</v>
      </c>
      <c r="L10046" s="92">
        <v>29.15</v>
      </c>
      <c r="M10046" s="92">
        <v>161.24</v>
      </c>
    </row>
    <row r="10047" ht="35.05" customHeight="1" spans="3:13">
      <c r="C10047" s="79" t="s">
        <v>2921</v>
      </c>
      <c r="D10047" s="78" t="s">
        <v>5844</v>
      </c>
      <c r="E10047" s="79" t="s">
        <v>139</v>
      </c>
      <c r="F10047" s="79" t="s">
        <v>5845</v>
      </c>
      <c r="G10047" s="79" t="s">
        <v>3908</v>
      </c>
      <c r="H10047" s="79"/>
      <c r="I10047" s="80" t="s">
        <v>279</v>
      </c>
      <c r="J10047" s="583">
        <v>1.203</v>
      </c>
      <c r="K10047" s="583">
        <v>0</v>
      </c>
      <c r="L10047" s="92">
        <v>551.22</v>
      </c>
      <c r="M10047" s="92">
        <v>663.11</v>
      </c>
    </row>
    <row r="10048" ht="23.85" customHeight="1" spans="3:13">
      <c r="C10048" s="79" t="s">
        <v>2921</v>
      </c>
      <c r="D10048" s="78" t="s">
        <v>3017</v>
      </c>
      <c r="E10048" s="79" t="s">
        <v>139</v>
      </c>
      <c r="F10048" s="79" t="s">
        <v>3018</v>
      </c>
      <c r="G10048" s="79" t="s">
        <v>2928</v>
      </c>
      <c r="H10048" s="79"/>
      <c r="I10048" s="80" t="s">
        <v>2897</v>
      </c>
      <c r="J10048" s="583">
        <v>8.2973</v>
      </c>
      <c r="K10048" s="583">
        <v>0</v>
      </c>
      <c r="L10048" s="92">
        <v>36.96</v>
      </c>
      <c r="M10048" s="92">
        <v>306.66</v>
      </c>
    </row>
    <row r="10049" ht="25.5" spans="3:13">
      <c r="C10049" s="108"/>
      <c r="D10049" s="108"/>
      <c r="E10049" s="108"/>
      <c r="F10049" s="108"/>
      <c r="G10049" s="108"/>
      <c r="H10049" s="108" t="s">
        <v>2898</v>
      </c>
      <c r="I10049" s="581">
        <v>433.93</v>
      </c>
      <c r="J10049" s="108" t="s">
        <v>2899</v>
      </c>
      <c r="K10049" s="581">
        <v>0</v>
      </c>
      <c r="L10049" s="108" t="s">
        <v>2900</v>
      </c>
      <c r="M10049" s="581">
        <v>433.93</v>
      </c>
    </row>
    <row r="10050" ht="26.25" spans="3:13">
      <c r="C10050" s="108"/>
      <c r="D10050" s="108"/>
      <c r="E10050" s="108"/>
      <c r="F10050" s="108"/>
      <c r="G10050" s="108"/>
      <c r="H10050" s="108" t="s">
        <v>2901</v>
      </c>
      <c r="I10050" s="581">
        <v>288.29</v>
      </c>
      <c r="J10050" s="114"/>
      <c r="K10050" s="114" t="s">
        <v>2902</v>
      </c>
      <c r="L10050" s="108"/>
      <c r="M10050" s="581">
        <v>1419.3</v>
      </c>
    </row>
    <row r="10051" ht="15" spans="3:13">
      <c r="C10051" s="571"/>
      <c r="D10051" s="571"/>
      <c r="E10051" s="571"/>
      <c r="F10051" s="571"/>
      <c r="G10051" s="571"/>
      <c r="H10051" s="571"/>
      <c r="I10051" s="571"/>
      <c r="J10051" s="571"/>
      <c r="K10051" s="571"/>
      <c r="L10051" s="571"/>
      <c r="M10051" s="571"/>
    </row>
    <row r="10052" ht="15" customHeight="1" spans="3:13">
      <c r="C10052" s="76"/>
      <c r="D10052" s="75" t="s">
        <v>63</v>
      </c>
      <c r="E10052" s="76" t="s">
        <v>64</v>
      </c>
      <c r="F10052" s="76" t="s">
        <v>65</v>
      </c>
      <c r="G10052" s="76" t="s">
        <v>2889</v>
      </c>
      <c r="H10052" s="76"/>
      <c r="I10052" s="77" t="s">
        <v>66</v>
      </c>
      <c r="J10052" s="75" t="s">
        <v>67</v>
      </c>
      <c r="K10052" s="75" t="s">
        <v>2890</v>
      </c>
      <c r="L10052" s="75" t="s">
        <v>68</v>
      </c>
      <c r="M10052" s="75" t="s">
        <v>70</v>
      </c>
    </row>
    <row r="10053" ht="23.85" customHeight="1" spans="3:13">
      <c r="C10053" s="569" t="s">
        <v>2891</v>
      </c>
      <c r="D10053" s="570" t="s">
        <v>3088</v>
      </c>
      <c r="E10053" s="569" t="s">
        <v>139</v>
      </c>
      <c r="F10053" s="569" t="s">
        <v>3089</v>
      </c>
      <c r="G10053" s="569" t="s">
        <v>2995</v>
      </c>
      <c r="H10053" s="569"/>
      <c r="I10053" s="577" t="s">
        <v>2996</v>
      </c>
      <c r="J10053" s="578">
        <v>1</v>
      </c>
      <c r="K10053" s="579"/>
      <c r="L10053" s="579">
        <v>32.28</v>
      </c>
      <c r="M10053" s="579">
        <v>32.28</v>
      </c>
    </row>
    <row r="10054" ht="46.25" customHeight="1" spans="3:13">
      <c r="C10054" s="79" t="s">
        <v>2921</v>
      </c>
      <c r="D10054" s="78" t="s">
        <v>5846</v>
      </c>
      <c r="E10054" s="79" t="s">
        <v>139</v>
      </c>
      <c r="F10054" s="79" t="s">
        <v>5847</v>
      </c>
      <c r="G10054" s="79" t="s">
        <v>5464</v>
      </c>
      <c r="H10054" s="79"/>
      <c r="I10054" s="80" t="s">
        <v>2897</v>
      </c>
      <c r="J10054" s="583">
        <v>1</v>
      </c>
      <c r="K10054" s="583">
        <v>0</v>
      </c>
      <c r="L10054" s="92">
        <v>0.31</v>
      </c>
      <c r="M10054" s="92">
        <v>0.31</v>
      </c>
    </row>
    <row r="10055" ht="23.85" customHeight="1" spans="3:13">
      <c r="C10055" s="79" t="s">
        <v>2921</v>
      </c>
      <c r="D10055" s="78" t="s">
        <v>5848</v>
      </c>
      <c r="E10055" s="79" t="s">
        <v>139</v>
      </c>
      <c r="F10055" s="79" t="s">
        <v>5849</v>
      </c>
      <c r="G10055" s="79" t="s">
        <v>2928</v>
      </c>
      <c r="H10055" s="79"/>
      <c r="I10055" s="80" t="s">
        <v>2897</v>
      </c>
      <c r="J10055" s="583">
        <v>1</v>
      </c>
      <c r="K10055" s="583">
        <v>0</v>
      </c>
      <c r="L10055" s="92">
        <v>31.9</v>
      </c>
      <c r="M10055" s="92">
        <v>31.9</v>
      </c>
    </row>
    <row r="10056" ht="46.25" customHeight="1" spans="3:13">
      <c r="C10056" s="79" t="s">
        <v>2921</v>
      </c>
      <c r="D10056" s="78" t="s">
        <v>5850</v>
      </c>
      <c r="E10056" s="79" t="s">
        <v>139</v>
      </c>
      <c r="F10056" s="79" t="s">
        <v>5851</v>
      </c>
      <c r="G10056" s="79" t="s">
        <v>5464</v>
      </c>
      <c r="H10056" s="79"/>
      <c r="I10056" s="80" t="s">
        <v>2897</v>
      </c>
      <c r="J10056" s="583">
        <v>1</v>
      </c>
      <c r="K10056" s="583">
        <v>0</v>
      </c>
      <c r="L10056" s="92">
        <v>0.07</v>
      </c>
      <c r="M10056" s="92">
        <v>0.07</v>
      </c>
    </row>
    <row r="10057" ht="25.5" spans="3:13">
      <c r="C10057" s="108"/>
      <c r="D10057" s="108"/>
      <c r="E10057" s="108"/>
      <c r="F10057" s="108"/>
      <c r="G10057" s="108"/>
      <c r="H10057" s="108" t="s">
        <v>2898</v>
      </c>
      <c r="I10057" s="581">
        <v>23.07</v>
      </c>
      <c r="J10057" s="108" t="s">
        <v>2899</v>
      </c>
      <c r="K10057" s="581">
        <v>0</v>
      </c>
      <c r="L10057" s="108" t="s">
        <v>2900</v>
      </c>
      <c r="M10057" s="581">
        <v>23.07</v>
      </c>
    </row>
    <row r="10058" ht="26.25" spans="3:13">
      <c r="C10058" s="108"/>
      <c r="D10058" s="108"/>
      <c r="E10058" s="108"/>
      <c r="F10058" s="108"/>
      <c r="G10058" s="108"/>
      <c r="H10058" s="108" t="s">
        <v>2901</v>
      </c>
      <c r="I10058" s="581">
        <v>8.22</v>
      </c>
      <c r="J10058" s="114"/>
      <c r="K10058" s="114" t="s">
        <v>2902</v>
      </c>
      <c r="L10058" s="108"/>
      <c r="M10058" s="581">
        <v>40.5</v>
      </c>
    </row>
    <row r="10059" ht="15" spans="3:13">
      <c r="C10059" s="571"/>
      <c r="D10059" s="571"/>
      <c r="E10059" s="571"/>
      <c r="F10059" s="571"/>
      <c r="G10059" s="571"/>
      <c r="H10059" s="571"/>
      <c r="I10059" s="571"/>
      <c r="J10059" s="571"/>
      <c r="K10059" s="571"/>
      <c r="L10059" s="571"/>
      <c r="M10059" s="571"/>
    </row>
    <row r="10060" ht="15" customHeight="1" spans="3:13">
      <c r="C10060" s="76"/>
      <c r="D10060" s="75" t="s">
        <v>63</v>
      </c>
      <c r="E10060" s="76" t="s">
        <v>64</v>
      </c>
      <c r="F10060" s="76" t="s">
        <v>65</v>
      </c>
      <c r="G10060" s="76" t="s">
        <v>2889</v>
      </c>
      <c r="H10060" s="76"/>
      <c r="I10060" s="77" t="s">
        <v>66</v>
      </c>
      <c r="J10060" s="75" t="s">
        <v>67</v>
      </c>
      <c r="K10060" s="75" t="s">
        <v>2890</v>
      </c>
      <c r="L10060" s="75" t="s">
        <v>68</v>
      </c>
      <c r="M10060" s="75" t="s">
        <v>70</v>
      </c>
    </row>
    <row r="10061" ht="23.85" customHeight="1" spans="3:13">
      <c r="C10061" s="569" t="s">
        <v>2891</v>
      </c>
      <c r="D10061" s="570" t="s">
        <v>3086</v>
      </c>
      <c r="E10061" s="569" t="s">
        <v>139</v>
      </c>
      <c r="F10061" s="569" t="s">
        <v>3087</v>
      </c>
      <c r="G10061" s="569" t="s">
        <v>2995</v>
      </c>
      <c r="H10061" s="569"/>
      <c r="I10061" s="577" t="s">
        <v>3002</v>
      </c>
      <c r="J10061" s="578">
        <v>1</v>
      </c>
      <c r="K10061" s="579"/>
      <c r="L10061" s="579">
        <v>33.46</v>
      </c>
      <c r="M10061" s="579">
        <v>33.46</v>
      </c>
    </row>
    <row r="10062" ht="46.25" customHeight="1" spans="3:13">
      <c r="C10062" s="79" t="s">
        <v>2921</v>
      </c>
      <c r="D10062" s="78" t="s">
        <v>5852</v>
      </c>
      <c r="E10062" s="79" t="s">
        <v>139</v>
      </c>
      <c r="F10062" s="79" t="s">
        <v>5853</v>
      </c>
      <c r="G10062" s="79" t="s">
        <v>5464</v>
      </c>
      <c r="H10062" s="79"/>
      <c r="I10062" s="80" t="s">
        <v>2897</v>
      </c>
      <c r="J10062" s="583">
        <v>1</v>
      </c>
      <c r="K10062" s="583">
        <v>0</v>
      </c>
      <c r="L10062" s="92">
        <v>0.29</v>
      </c>
      <c r="M10062" s="92">
        <v>0.29</v>
      </c>
    </row>
    <row r="10063" ht="46.25" customHeight="1" spans="3:13">
      <c r="C10063" s="79" t="s">
        <v>2921</v>
      </c>
      <c r="D10063" s="78" t="s">
        <v>5854</v>
      </c>
      <c r="E10063" s="79" t="s">
        <v>139</v>
      </c>
      <c r="F10063" s="79" t="s">
        <v>5855</v>
      </c>
      <c r="G10063" s="79" t="s">
        <v>5464</v>
      </c>
      <c r="H10063" s="79"/>
      <c r="I10063" s="80" t="s">
        <v>2897</v>
      </c>
      <c r="J10063" s="583">
        <v>1</v>
      </c>
      <c r="K10063" s="583">
        <v>0</v>
      </c>
      <c r="L10063" s="92">
        <v>0.89</v>
      </c>
      <c r="M10063" s="92">
        <v>0.89</v>
      </c>
    </row>
    <row r="10064" ht="46.25" customHeight="1" spans="3:13">
      <c r="C10064" s="79" t="s">
        <v>2921</v>
      </c>
      <c r="D10064" s="78" t="s">
        <v>5850</v>
      </c>
      <c r="E10064" s="79" t="s">
        <v>139</v>
      </c>
      <c r="F10064" s="79" t="s">
        <v>5851</v>
      </c>
      <c r="G10064" s="79" t="s">
        <v>5464</v>
      </c>
      <c r="H10064" s="79"/>
      <c r="I10064" s="80" t="s">
        <v>2897</v>
      </c>
      <c r="J10064" s="583">
        <v>1</v>
      </c>
      <c r="K10064" s="583">
        <v>0</v>
      </c>
      <c r="L10064" s="92">
        <v>0.07</v>
      </c>
      <c r="M10064" s="92">
        <v>0.07</v>
      </c>
    </row>
    <row r="10065" ht="23.85" customHeight="1" spans="3:13">
      <c r="C10065" s="79" t="s">
        <v>2921</v>
      </c>
      <c r="D10065" s="78" t="s">
        <v>5848</v>
      </c>
      <c r="E10065" s="79" t="s">
        <v>139</v>
      </c>
      <c r="F10065" s="79" t="s">
        <v>5849</v>
      </c>
      <c r="G10065" s="79" t="s">
        <v>2928</v>
      </c>
      <c r="H10065" s="79"/>
      <c r="I10065" s="80" t="s">
        <v>2897</v>
      </c>
      <c r="J10065" s="583">
        <v>1</v>
      </c>
      <c r="K10065" s="583">
        <v>0</v>
      </c>
      <c r="L10065" s="92">
        <v>31.9</v>
      </c>
      <c r="M10065" s="92">
        <v>31.9</v>
      </c>
    </row>
    <row r="10066" ht="46.25" customHeight="1" spans="3:13">
      <c r="C10066" s="79" t="s">
        <v>2921</v>
      </c>
      <c r="D10066" s="78" t="s">
        <v>5846</v>
      </c>
      <c r="E10066" s="79" t="s">
        <v>139</v>
      </c>
      <c r="F10066" s="79" t="s">
        <v>5847</v>
      </c>
      <c r="G10066" s="79" t="s">
        <v>5464</v>
      </c>
      <c r="H10066" s="79"/>
      <c r="I10066" s="80" t="s">
        <v>2897</v>
      </c>
      <c r="J10066" s="583">
        <v>1</v>
      </c>
      <c r="K10066" s="583">
        <v>0</v>
      </c>
      <c r="L10066" s="92">
        <v>0.31</v>
      </c>
      <c r="M10066" s="92">
        <v>0.31</v>
      </c>
    </row>
    <row r="10067" ht="25.5" spans="3:13">
      <c r="C10067" s="108"/>
      <c r="D10067" s="108"/>
      <c r="E10067" s="108"/>
      <c r="F10067" s="108"/>
      <c r="G10067" s="108"/>
      <c r="H10067" s="108" t="s">
        <v>2898</v>
      </c>
      <c r="I10067" s="581">
        <v>23.07</v>
      </c>
      <c r="J10067" s="108" t="s">
        <v>2899</v>
      </c>
      <c r="K10067" s="581">
        <v>0</v>
      </c>
      <c r="L10067" s="108" t="s">
        <v>2900</v>
      </c>
      <c r="M10067" s="581">
        <v>23.07</v>
      </c>
    </row>
    <row r="10068" ht="26.25" spans="3:13">
      <c r="C10068" s="108"/>
      <c r="D10068" s="108"/>
      <c r="E10068" s="108"/>
      <c r="F10068" s="108"/>
      <c r="G10068" s="108"/>
      <c r="H10068" s="108" t="s">
        <v>2901</v>
      </c>
      <c r="I10068" s="581">
        <v>8.52</v>
      </c>
      <c r="J10068" s="114"/>
      <c r="K10068" s="114" t="s">
        <v>2902</v>
      </c>
      <c r="L10068" s="108"/>
      <c r="M10068" s="581">
        <v>41.98</v>
      </c>
    </row>
    <row r="10069" ht="15" spans="3:13">
      <c r="C10069" s="571"/>
      <c r="D10069" s="571"/>
      <c r="E10069" s="571"/>
      <c r="F10069" s="571"/>
      <c r="G10069" s="571"/>
      <c r="H10069" s="571"/>
      <c r="I10069" s="571"/>
      <c r="J10069" s="571"/>
      <c r="K10069" s="571"/>
      <c r="L10069" s="571"/>
      <c r="M10069" s="571"/>
    </row>
    <row r="10070" ht="15" customHeight="1" spans="3:13">
      <c r="C10070" s="76"/>
      <c r="D10070" s="75" t="s">
        <v>63</v>
      </c>
      <c r="E10070" s="76" t="s">
        <v>64</v>
      </c>
      <c r="F10070" s="76" t="s">
        <v>65</v>
      </c>
      <c r="G10070" s="76" t="s">
        <v>2889</v>
      </c>
      <c r="H10070" s="76"/>
      <c r="I10070" s="77" t="s">
        <v>66</v>
      </c>
      <c r="J10070" s="75" t="s">
        <v>67</v>
      </c>
      <c r="K10070" s="75" t="s">
        <v>2890</v>
      </c>
      <c r="L10070" s="75" t="s">
        <v>68</v>
      </c>
      <c r="M10070" s="75" t="s">
        <v>70</v>
      </c>
    </row>
    <row r="10071" ht="46.25" customHeight="1" spans="3:13">
      <c r="C10071" s="569" t="s">
        <v>2891</v>
      </c>
      <c r="D10071" s="570" t="s">
        <v>5846</v>
      </c>
      <c r="E10071" s="569" t="s">
        <v>139</v>
      </c>
      <c r="F10071" s="569" t="s">
        <v>5847</v>
      </c>
      <c r="G10071" s="569" t="s">
        <v>5464</v>
      </c>
      <c r="H10071" s="569"/>
      <c r="I10071" s="577" t="s">
        <v>2897</v>
      </c>
      <c r="J10071" s="578">
        <v>1</v>
      </c>
      <c r="K10071" s="579"/>
      <c r="L10071" s="579">
        <v>0.31</v>
      </c>
      <c r="M10071" s="579">
        <v>0.31</v>
      </c>
    </row>
    <row r="10072" ht="23.85" customHeight="1" spans="3:13">
      <c r="C10072" s="100" t="s">
        <v>2893</v>
      </c>
      <c r="D10072" s="99" t="s">
        <v>5856</v>
      </c>
      <c r="E10072" s="100" t="s">
        <v>139</v>
      </c>
      <c r="F10072" s="100" t="s">
        <v>5857</v>
      </c>
      <c r="G10072" s="100" t="s">
        <v>3680</v>
      </c>
      <c r="H10072" s="100"/>
      <c r="I10072" s="101" t="s">
        <v>134</v>
      </c>
      <c r="J10072" s="580">
        <v>6.4e-5</v>
      </c>
      <c r="K10072" s="580">
        <v>0</v>
      </c>
      <c r="L10072" s="102">
        <v>4919.97</v>
      </c>
      <c r="M10072" s="102">
        <v>0.31</v>
      </c>
    </row>
    <row r="10073" ht="25.5" spans="3:13">
      <c r="C10073" s="108"/>
      <c r="D10073" s="108"/>
      <c r="E10073" s="108"/>
      <c r="F10073" s="108"/>
      <c r="G10073" s="108"/>
      <c r="H10073" s="108" t="s">
        <v>2898</v>
      </c>
      <c r="I10073" s="581">
        <v>0</v>
      </c>
      <c r="J10073" s="108" t="s">
        <v>2899</v>
      </c>
      <c r="K10073" s="581">
        <v>0</v>
      </c>
      <c r="L10073" s="108" t="s">
        <v>2900</v>
      </c>
      <c r="M10073" s="581">
        <v>0</v>
      </c>
    </row>
    <row r="10074" ht="26.25" spans="3:13">
      <c r="C10074" s="108"/>
      <c r="D10074" s="108"/>
      <c r="E10074" s="108"/>
      <c r="F10074" s="108"/>
      <c r="G10074" s="108"/>
      <c r="H10074" s="108" t="s">
        <v>2901</v>
      </c>
      <c r="I10074" s="581">
        <v>0.07</v>
      </c>
      <c r="J10074" s="114"/>
      <c r="K10074" s="114" t="s">
        <v>2902</v>
      </c>
      <c r="L10074" s="108"/>
      <c r="M10074" s="581">
        <v>0.38</v>
      </c>
    </row>
    <row r="10075" ht="15" spans="3:13">
      <c r="C10075" s="571"/>
      <c r="D10075" s="571"/>
      <c r="E10075" s="571"/>
      <c r="F10075" s="571"/>
      <c r="G10075" s="571"/>
      <c r="H10075" s="571"/>
      <c r="I10075" s="571"/>
      <c r="J10075" s="571"/>
      <c r="K10075" s="571"/>
      <c r="L10075" s="571"/>
      <c r="M10075" s="571"/>
    </row>
    <row r="10076" ht="15" customHeight="1" spans="3:13">
      <c r="C10076" s="76"/>
      <c r="D10076" s="75" t="s">
        <v>63</v>
      </c>
      <c r="E10076" s="76" t="s">
        <v>64</v>
      </c>
      <c r="F10076" s="76" t="s">
        <v>65</v>
      </c>
      <c r="G10076" s="76" t="s">
        <v>2889</v>
      </c>
      <c r="H10076" s="76"/>
      <c r="I10076" s="77" t="s">
        <v>66</v>
      </c>
      <c r="J10076" s="75" t="s">
        <v>67</v>
      </c>
      <c r="K10076" s="75" t="s">
        <v>2890</v>
      </c>
      <c r="L10076" s="75" t="s">
        <v>68</v>
      </c>
      <c r="M10076" s="75" t="s">
        <v>70</v>
      </c>
    </row>
    <row r="10077" ht="46.25" customHeight="1" spans="3:13">
      <c r="C10077" s="569" t="s">
        <v>2891</v>
      </c>
      <c r="D10077" s="570" t="s">
        <v>5850</v>
      </c>
      <c r="E10077" s="569" t="s">
        <v>139</v>
      </c>
      <c r="F10077" s="569" t="s">
        <v>5851</v>
      </c>
      <c r="G10077" s="569" t="s">
        <v>5464</v>
      </c>
      <c r="H10077" s="569"/>
      <c r="I10077" s="577" t="s">
        <v>2897</v>
      </c>
      <c r="J10077" s="578">
        <v>1</v>
      </c>
      <c r="K10077" s="579"/>
      <c r="L10077" s="579">
        <v>0.07</v>
      </c>
      <c r="M10077" s="579">
        <v>0.07</v>
      </c>
    </row>
    <row r="10078" ht="23.85" customHeight="1" spans="3:13">
      <c r="C10078" s="100" t="s">
        <v>2893</v>
      </c>
      <c r="D10078" s="99" t="s">
        <v>5856</v>
      </c>
      <c r="E10078" s="100" t="s">
        <v>139</v>
      </c>
      <c r="F10078" s="100" t="s">
        <v>5857</v>
      </c>
      <c r="G10078" s="100" t="s">
        <v>3680</v>
      </c>
      <c r="H10078" s="100"/>
      <c r="I10078" s="101" t="s">
        <v>134</v>
      </c>
      <c r="J10078" s="580">
        <v>1.48e-5</v>
      </c>
      <c r="K10078" s="580">
        <v>0</v>
      </c>
      <c r="L10078" s="102">
        <v>4919.97</v>
      </c>
      <c r="M10078" s="102">
        <v>0.07</v>
      </c>
    </row>
    <row r="10079" ht="25.5" spans="3:13">
      <c r="C10079" s="108"/>
      <c r="D10079" s="108"/>
      <c r="E10079" s="108"/>
      <c r="F10079" s="108"/>
      <c r="G10079" s="108"/>
      <c r="H10079" s="108" t="s">
        <v>2898</v>
      </c>
      <c r="I10079" s="581">
        <v>0</v>
      </c>
      <c r="J10079" s="108" t="s">
        <v>2899</v>
      </c>
      <c r="K10079" s="581">
        <v>0</v>
      </c>
      <c r="L10079" s="108" t="s">
        <v>2900</v>
      </c>
      <c r="M10079" s="581">
        <v>0</v>
      </c>
    </row>
    <row r="10080" ht="26.25" spans="3:13">
      <c r="C10080" s="108"/>
      <c r="D10080" s="108"/>
      <c r="E10080" s="108"/>
      <c r="F10080" s="108"/>
      <c r="G10080" s="108"/>
      <c r="H10080" s="108" t="s">
        <v>2901</v>
      </c>
      <c r="I10080" s="581">
        <v>0.01</v>
      </c>
      <c r="J10080" s="114"/>
      <c r="K10080" s="114" t="s">
        <v>2902</v>
      </c>
      <c r="L10080" s="108"/>
      <c r="M10080" s="581">
        <v>0.08</v>
      </c>
    </row>
    <row r="10081" ht="15" spans="3:13">
      <c r="C10081" s="571"/>
      <c r="D10081" s="571"/>
      <c r="E10081" s="571"/>
      <c r="F10081" s="571"/>
      <c r="G10081" s="571"/>
      <c r="H10081" s="571"/>
      <c r="I10081" s="571"/>
      <c r="J10081" s="571"/>
      <c r="K10081" s="571"/>
      <c r="L10081" s="571"/>
      <c r="M10081" s="571"/>
    </row>
    <row r="10082" ht="15" customHeight="1" spans="3:13">
      <c r="C10082" s="76"/>
      <c r="D10082" s="75" t="s">
        <v>63</v>
      </c>
      <c r="E10082" s="76" t="s">
        <v>64</v>
      </c>
      <c r="F10082" s="76" t="s">
        <v>65</v>
      </c>
      <c r="G10082" s="76" t="s">
        <v>2889</v>
      </c>
      <c r="H10082" s="76"/>
      <c r="I10082" s="77" t="s">
        <v>66</v>
      </c>
      <c r="J10082" s="75" t="s">
        <v>67</v>
      </c>
      <c r="K10082" s="75" t="s">
        <v>2890</v>
      </c>
      <c r="L10082" s="75" t="s">
        <v>68</v>
      </c>
      <c r="M10082" s="75" t="s">
        <v>70</v>
      </c>
    </row>
    <row r="10083" ht="46.25" customHeight="1" spans="3:13">
      <c r="C10083" s="569" t="s">
        <v>2891</v>
      </c>
      <c r="D10083" s="570" t="s">
        <v>5852</v>
      </c>
      <c r="E10083" s="569" t="s">
        <v>139</v>
      </c>
      <c r="F10083" s="569" t="s">
        <v>5853</v>
      </c>
      <c r="G10083" s="569" t="s">
        <v>5464</v>
      </c>
      <c r="H10083" s="569"/>
      <c r="I10083" s="577" t="s">
        <v>2897</v>
      </c>
      <c r="J10083" s="578">
        <v>1</v>
      </c>
      <c r="K10083" s="579"/>
      <c r="L10083" s="579">
        <v>0.29</v>
      </c>
      <c r="M10083" s="579">
        <v>0.29</v>
      </c>
    </row>
    <row r="10084" ht="23.85" customHeight="1" spans="3:13">
      <c r="C10084" s="100" t="s">
        <v>2893</v>
      </c>
      <c r="D10084" s="99" t="s">
        <v>5856</v>
      </c>
      <c r="E10084" s="100" t="s">
        <v>139</v>
      </c>
      <c r="F10084" s="100" t="s">
        <v>5857</v>
      </c>
      <c r="G10084" s="100" t="s">
        <v>3680</v>
      </c>
      <c r="H10084" s="100"/>
      <c r="I10084" s="101" t="s">
        <v>134</v>
      </c>
      <c r="J10084" s="580">
        <v>6e-5</v>
      </c>
      <c r="K10084" s="580">
        <v>0</v>
      </c>
      <c r="L10084" s="102">
        <v>4919.97</v>
      </c>
      <c r="M10084" s="102">
        <v>0.29</v>
      </c>
    </row>
    <row r="10085" ht="25.5" spans="3:13">
      <c r="C10085" s="108"/>
      <c r="D10085" s="108"/>
      <c r="E10085" s="108"/>
      <c r="F10085" s="108"/>
      <c r="G10085" s="108"/>
      <c r="H10085" s="108" t="s">
        <v>2898</v>
      </c>
      <c r="I10085" s="581">
        <v>0</v>
      </c>
      <c r="J10085" s="108" t="s">
        <v>2899</v>
      </c>
      <c r="K10085" s="581">
        <v>0</v>
      </c>
      <c r="L10085" s="108" t="s">
        <v>2900</v>
      </c>
      <c r="M10085" s="581">
        <v>0</v>
      </c>
    </row>
    <row r="10086" ht="26.25" spans="3:13">
      <c r="C10086" s="108"/>
      <c r="D10086" s="108"/>
      <c r="E10086" s="108"/>
      <c r="F10086" s="108"/>
      <c r="G10086" s="108"/>
      <c r="H10086" s="108" t="s">
        <v>2901</v>
      </c>
      <c r="I10086" s="581">
        <v>0.07</v>
      </c>
      <c r="J10086" s="114"/>
      <c r="K10086" s="114" t="s">
        <v>2902</v>
      </c>
      <c r="L10086" s="108"/>
      <c r="M10086" s="581">
        <v>0.36</v>
      </c>
    </row>
    <row r="10087" ht="15" spans="3:13">
      <c r="C10087" s="571"/>
      <c r="D10087" s="571"/>
      <c r="E10087" s="571"/>
      <c r="F10087" s="571"/>
      <c r="G10087" s="571"/>
      <c r="H10087" s="571"/>
      <c r="I10087" s="571"/>
      <c r="J10087" s="571"/>
      <c r="K10087" s="571"/>
      <c r="L10087" s="571"/>
      <c r="M10087" s="571"/>
    </row>
    <row r="10088" ht="15" customHeight="1" spans="3:13">
      <c r="C10088" s="76"/>
      <c r="D10088" s="75" t="s">
        <v>63</v>
      </c>
      <c r="E10088" s="76" t="s">
        <v>64</v>
      </c>
      <c r="F10088" s="76" t="s">
        <v>65</v>
      </c>
      <c r="G10088" s="76" t="s">
        <v>2889</v>
      </c>
      <c r="H10088" s="76"/>
      <c r="I10088" s="77" t="s">
        <v>66</v>
      </c>
      <c r="J10088" s="75" t="s">
        <v>67</v>
      </c>
      <c r="K10088" s="75" t="s">
        <v>2890</v>
      </c>
      <c r="L10088" s="75" t="s">
        <v>68</v>
      </c>
      <c r="M10088" s="75" t="s">
        <v>70</v>
      </c>
    </row>
    <row r="10089" ht="46.25" customHeight="1" spans="3:13">
      <c r="C10089" s="569" t="s">
        <v>2891</v>
      </c>
      <c r="D10089" s="570" t="s">
        <v>5854</v>
      </c>
      <c r="E10089" s="569" t="s">
        <v>139</v>
      </c>
      <c r="F10089" s="569" t="s">
        <v>5855</v>
      </c>
      <c r="G10089" s="569" t="s">
        <v>5464</v>
      </c>
      <c r="H10089" s="569"/>
      <c r="I10089" s="577" t="s">
        <v>2897</v>
      </c>
      <c r="J10089" s="578">
        <v>1</v>
      </c>
      <c r="K10089" s="579"/>
      <c r="L10089" s="579">
        <v>0.89</v>
      </c>
      <c r="M10089" s="579">
        <v>0.89</v>
      </c>
    </row>
    <row r="10090" ht="15" customHeight="1" spans="3:13">
      <c r="C10090" s="100" t="s">
        <v>2893</v>
      </c>
      <c r="D10090" s="99" t="s">
        <v>5473</v>
      </c>
      <c r="E10090" s="100" t="s">
        <v>139</v>
      </c>
      <c r="F10090" s="100" t="s">
        <v>5474</v>
      </c>
      <c r="G10090" s="100" t="s">
        <v>5444</v>
      </c>
      <c r="H10090" s="100"/>
      <c r="I10090" s="101" t="s">
        <v>5228</v>
      </c>
      <c r="J10090" s="580">
        <v>0.78</v>
      </c>
      <c r="K10090" s="580">
        <v>0</v>
      </c>
      <c r="L10090" s="102">
        <v>1.15</v>
      </c>
      <c r="M10090" s="102">
        <v>0.89</v>
      </c>
    </row>
    <row r="10091" ht="25.5" spans="3:13">
      <c r="C10091" s="108"/>
      <c r="D10091" s="108"/>
      <c r="E10091" s="108"/>
      <c r="F10091" s="108"/>
      <c r="G10091" s="108"/>
      <c r="H10091" s="108" t="s">
        <v>2898</v>
      </c>
      <c r="I10091" s="581">
        <v>0</v>
      </c>
      <c r="J10091" s="108" t="s">
        <v>2899</v>
      </c>
      <c r="K10091" s="581">
        <v>0</v>
      </c>
      <c r="L10091" s="108" t="s">
        <v>2900</v>
      </c>
      <c r="M10091" s="581">
        <v>0</v>
      </c>
    </row>
    <row r="10092" ht="26.25" spans="3:13">
      <c r="C10092" s="108"/>
      <c r="D10092" s="108"/>
      <c r="E10092" s="108"/>
      <c r="F10092" s="108"/>
      <c r="G10092" s="108"/>
      <c r="H10092" s="108" t="s">
        <v>2901</v>
      </c>
      <c r="I10092" s="581">
        <v>0.22</v>
      </c>
      <c r="J10092" s="114"/>
      <c r="K10092" s="114" t="s">
        <v>2902</v>
      </c>
      <c r="L10092" s="108"/>
      <c r="M10092" s="581">
        <v>1.11</v>
      </c>
    </row>
    <row r="10093" ht="15" spans="3:13">
      <c r="C10093" s="571"/>
      <c r="D10093" s="571"/>
      <c r="E10093" s="571"/>
      <c r="F10093" s="571"/>
      <c r="G10093" s="571"/>
      <c r="H10093" s="571"/>
      <c r="I10093" s="571"/>
      <c r="J10093" s="571"/>
      <c r="K10093" s="571"/>
      <c r="L10093" s="571"/>
      <c r="M10093" s="571"/>
    </row>
    <row r="10094" ht="15" customHeight="1" spans="3:13">
      <c r="C10094" s="76"/>
      <c r="D10094" s="75" t="s">
        <v>63</v>
      </c>
      <c r="E10094" s="76" t="s">
        <v>64</v>
      </c>
      <c r="F10094" s="76" t="s">
        <v>65</v>
      </c>
      <c r="G10094" s="76" t="s">
        <v>2889</v>
      </c>
      <c r="H10094" s="76"/>
      <c r="I10094" s="77" t="s">
        <v>66</v>
      </c>
      <c r="J10094" s="75" t="s">
        <v>67</v>
      </c>
      <c r="K10094" s="75" t="s">
        <v>2890</v>
      </c>
      <c r="L10094" s="75" t="s">
        <v>68</v>
      </c>
      <c r="M10094" s="75" t="s">
        <v>70</v>
      </c>
    </row>
    <row r="10095" ht="76.5" spans="3:13">
      <c r="C10095" s="569" t="s">
        <v>2891</v>
      </c>
      <c r="D10095" s="570" t="s">
        <v>3279</v>
      </c>
      <c r="E10095" s="569" t="s">
        <v>77</v>
      </c>
      <c r="F10095" s="569" t="s">
        <v>3280</v>
      </c>
      <c r="G10095" s="569">
        <v>19</v>
      </c>
      <c r="H10095" s="569"/>
      <c r="I10095" s="577" t="s">
        <v>2897</v>
      </c>
      <c r="J10095" s="578">
        <v>1</v>
      </c>
      <c r="K10095" s="579"/>
      <c r="L10095" s="579">
        <v>53.7</v>
      </c>
      <c r="M10095" s="579">
        <v>53.7</v>
      </c>
    </row>
    <row r="10096" ht="23.85" customHeight="1" spans="3:13">
      <c r="C10096" s="100" t="s">
        <v>2893</v>
      </c>
      <c r="D10096" s="99" t="s">
        <v>3108</v>
      </c>
      <c r="E10096" s="100" t="s">
        <v>77</v>
      </c>
      <c r="F10096" s="100" t="s">
        <v>3109</v>
      </c>
      <c r="G10096" s="100" t="s">
        <v>2896</v>
      </c>
      <c r="H10096" s="100"/>
      <c r="I10096" s="101" t="s">
        <v>2897</v>
      </c>
      <c r="J10096" s="580">
        <v>2</v>
      </c>
      <c r="K10096" s="580">
        <v>0</v>
      </c>
      <c r="L10096" s="102">
        <v>19.16</v>
      </c>
      <c r="M10096" s="102">
        <v>38.32</v>
      </c>
    </row>
    <row r="10097" ht="23.85" customHeight="1" spans="3:13">
      <c r="C10097" s="100" t="s">
        <v>2893</v>
      </c>
      <c r="D10097" s="99" t="s">
        <v>5858</v>
      </c>
      <c r="E10097" s="100" t="s">
        <v>77</v>
      </c>
      <c r="F10097" s="100" t="s">
        <v>5859</v>
      </c>
      <c r="G10097" s="100" t="s">
        <v>3395</v>
      </c>
      <c r="H10097" s="100"/>
      <c r="I10097" s="101" t="s">
        <v>134</v>
      </c>
      <c r="J10097" s="580">
        <v>9.77e-5</v>
      </c>
      <c r="K10097" s="580">
        <v>0</v>
      </c>
      <c r="L10097" s="102">
        <v>157500</v>
      </c>
      <c r="M10097" s="102">
        <v>15.38</v>
      </c>
    </row>
    <row r="10098" ht="25.5" spans="3:13">
      <c r="C10098" s="108"/>
      <c r="D10098" s="108"/>
      <c r="E10098" s="108"/>
      <c r="F10098" s="108"/>
      <c r="G10098" s="108"/>
      <c r="H10098" s="108" t="s">
        <v>2898</v>
      </c>
      <c r="I10098" s="581">
        <v>38.32</v>
      </c>
      <c r="J10098" s="108" t="s">
        <v>2899</v>
      </c>
      <c r="K10098" s="581">
        <v>0</v>
      </c>
      <c r="L10098" s="108" t="s">
        <v>2900</v>
      </c>
      <c r="M10098" s="581">
        <v>38.32</v>
      </c>
    </row>
    <row r="10099" ht="26.25" spans="3:13">
      <c r="C10099" s="108"/>
      <c r="D10099" s="108"/>
      <c r="E10099" s="108"/>
      <c r="F10099" s="108"/>
      <c r="G10099" s="108"/>
      <c r="H10099" s="108" t="s">
        <v>2901</v>
      </c>
      <c r="I10099" s="581">
        <v>13.68</v>
      </c>
      <c r="J10099" s="114"/>
      <c r="K10099" s="114" t="s">
        <v>2902</v>
      </c>
      <c r="L10099" s="108"/>
      <c r="M10099" s="581">
        <v>67.38</v>
      </c>
    </row>
    <row r="10100" ht="15" spans="3:13">
      <c r="C10100" s="571"/>
      <c r="D10100" s="571"/>
      <c r="E10100" s="571"/>
      <c r="F10100" s="571"/>
      <c r="G10100" s="571"/>
      <c r="H10100" s="571"/>
      <c r="I10100" s="571"/>
      <c r="J10100" s="571"/>
      <c r="K10100" s="571"/>
      <c r="L10100" s="571"/>
      <c r="M10100" s="571"/>
    </row>
    <row r="10101" ht="15" customHeight="1" spans="3:13">
      <c r="C10101" s="76"/>
      <c r="D10101" s="75" t="s">
        <v>63</v>
      </c>
      <c r="E10101" s="76" t="s">
        <v>64</v>
      </c>
      <c r="F10101" s="76" t="s">
        <v>65</v>
      </c>
      <c r="G10101" s="76" t="s">
        <v>2889</v>
      </c>
      <c r="H10101" s="76"/>
      <c r="I10101" s="77" t="s">
        <v>66</v>
      </c>
      <c r="J10101" s="75" t="s">
        <v>67</v>
      </c>
      <c r="K10101" s="75" t="s">
        <v>2890</v>
      </c>
      <c r="L10101" s="75" t="s">
        <v>68</v>
      </c>
      <c r="M10101" s="75" t="s">
        <v>70</v>
      </c>
    </row>
    <row r="10102" ht="76.5" spans="3:13">
      <c r="C10102" s="569" t="s">
        <v>2891</v>
      </c>
      <c r="D10102" s="570" t="s">
        <v>3281</v>
      </c>
      <c r="E10102" s="569" t="s">
        <v>77</v>
      </c>
      <c r="F10102" s="569" t="s">
        <v>3280</v>
      </c>
      <c r="G10102" s="569">
        <v>19</v>
      </c>
      <c r="H10102" s="569"/>
      <c r="I10102" s="577" t="s">
        <v>2897</v>
      </c>
      <c r="J10102" s="578">
        <v>1</v>
      </c>
      <c r="K10102" s="579"/>
      <c r="L10102" s="579">
        <v>64.47</v>
      </c>
      <c r="M10102" s="579">
        <v>64.47</v>
      </c>
    </row>
    <row r="10103" ht="23.85" customHeight="1" spans="3:13">
      <c r="C10103" s="100" t="s">
        <v>2893</v>
      </c>
      <c r="D10103" s="99" t="s">
        <v>5491</v>
      </c>
      <c r="E10103" s="100" t="s">
        <v>77</v>
      </c>
      <c r="F10103" s="100" t="s">
        <v>5492</v>
      </c>
      <c r="G10103" s="100" t="s">
        <v>2961</v>
      </c>
      <c r="H10103" s="100"/>
      <c r="I10103" s="101" t="s">
        <v>3084</v>
      </c>
      <c r="J10103" s="580">
        <v>0.05</v>
      </c>
      <c r="K10103" s="580">
        <v>0</v>
      </c>
      <c r="L10103" s="102">
        <v>28.49</v>
      </c>
      <c r="M10103" s="102">
        <v>1.42</v>
      </c>
    </row>
    <row r="10104" ht="15" customHeight="1" spans="3:13">
      <c r="C10104" s="100" t="s">
        <v>2893</v>
      </c>
      <c r="D10104" s="99" t="s">
        <v>5487</v>
      </c>
      <c r="E10104" s="100" t="s">
        <v>77</v>
      </c>
      <c r="F10104" s="100" t="s">
        <v>5488</v>
      </c>
      <c r="G10104" s="100" t="s">
        <v>2961</v>
      </c>
      <c r="H10104" s="100"/>
      <c r="I10104" s="101" t="s">
        <v>393</v>
      </c>
      <c r="J10104" s="580">
        <v>0.025</v>
      </c>
      <c r="K10104" s="580">
        <v>0</v>
      </c>
      <c r="L10104" s="102">
        <v>11.39</v>
      </c>
      <c r="M10104" s="102">
        <v>0.28</v>
      </c>
    </row>
    <row r="10105" ht="23.85" customHeight="1" spans="3:13">
      <c r="C10105" s="100" t="s">
        <v>2893</v>
      </c>
      <c r="D10105" s="99" t="s">
        <v>5858</v>
      </c>
      <c r="E10105" s="100" t="s">
        <v>77</v>
      </c>
      <c r="F10105" s="100" t="s">
        <v>5859</v>
      </c>
      <c r="G10105" s="100" t="s">
        <v>3395</v>
      </c>
      <c r="H10105" s="100"/>
      <c r="I10105" s="101" t="s">
        <v>134</v>
      </c>
      <c r="J10105" s="580">
        <v>0.0001553</v>
      </c>
      <c r="K10105" s="580">
        <v>0</v>
      </c>
      <c r="L10105" s="102">
        <v>157500</v>
      </c>
      <c r="M10105" s="102">
        <v>24.45</v>
      </c>
    </row>
    <row r="10106" ht="23.85" customHeight="1" spans="3:13">
      <c r="C10106" s="100" t="s">
        <v>2893</v>
      </c>
      <c r="D10106" s="99" t="s">
        <v>3108</v>
      </c>
      <c r="E10106" s="100" t="s">
        <v>77</v>
      </c>
      <c r="F10106" s="100" t="s">
        <v>3109</v>
      </c>
      <c r="G10106" s="100" t="s">
        <v>2896</v>
      </c>
      <c r="H10106" s="100"/>
      <c r="I10106" s="101" t="s">
        <v>2897</v>
      </c>
      <c r="J10106" s="580">
        <v>2</v>
      </c>
      <c r="K10106" s="580">
        <v>0</v>
      </c>
      <c r="L10106" s="102">
        <v>19.16</v>
      </c>
      <c r="M10106" s="102">
        <v>38.32</v>
      </c>
    </row>
    <row r="10107" ht="25.5" spans="3:13">
      <c r="C10107" s="108"/>
      <c r="D10107" s="108"/>
      <c r="E10107" s="108"/>
      <c r="F10107" s="108"/>
      <c r="G10107" s="108"/>
      <c r="H10107" s="108" t="s">
        <v>2898</v>
      </c>
      <c r="I10107" s="581">
        <v>38.32</v>
      </c>
      <c r="J10107" s="108" t="s">
        <v>2899</v>
      </c>
      <c r="K10107" s="581">
        <v>0</v>
      </c>
      <c r="L10107" s="108" t="s">
        <v>2900</v>
      </c>
      <c r="M10107" s="581">
        <v>38.32</v>
      </c>
    </row>
    <row r="10108" ht="26.25" spans="3:13">
      <c r="C10108" s="108"/>
      <c r="D10108" s="108"/>
      <c r="E10108" s="108"/>
      <c r="F10108" s="108"/>
      <c r="G10108" s="108"/>
      <c r="H10108" s="108" t="s">
        <v>2901</v>
      </c>
      <c r="I10108" s="581">
        <v>16.43</v>
      </c>
      <c r="J10108" s="114"/>
      <c r="K10108" s="114" t="s">
        <v>2902</v>
      </c>
      <c r="L10108" s="108"/>
      <c r="M10108" s="581">
        <v>80.9</v>
      </c>
    </row>
    <row r="10109" ht="15" spans="3:13">
      <c r="C10109" s="571"/>
      <c r="D10109" s="571"/>
      <c r="E10109" s="571"/>
      <c r="F10109" s="571"/>
      <c r="G10109" s="571"/>
      <c r="H10109" s="571"/>
      <c r="I10109" s="571"/>
      <c r="J10109" s="571"/>
      <c r="K10109" s="571"/>
      <c r="L10109" s="571"/>
      <c r="M10109" s="571"/>
    </row>
    <row r="10110" ht="15" customHeight="1" spans="3:13">
      <c r="C10110" s="76"/>
      <c r="D10110" s="75" t="s">
        <v>63</v>
      </c>
      <c r="E10110" s="76" t="s">
        <v>64</v>
      </c>
      <c r="F10110" s="76" t="s">
        <v>65</v>
      </c>
      <c r="G10110" s="76" t="s">
        <v>2889</v>
      </c>
      <c r="H10110" s="76"/>
      <c r="I10110" s="77" t="s">
        <v>66</v>
      </c>
      <c r="J10110" s="75" t="s">
        <v>67</v>
      </c>
      <c r="K10110" s="75" t="s">
        <v>2890</v>
      </c>
      <c r="L10110" s="75" t="s">
        <v>68</v>
      </c>
      <c r="M10110" s="75" t="s">
        <v>70</v>
      </c>
    </row>
    <row r="10111" ht="46.25" customHeight="1" spans="3:13">
      <c r="C10111" s="569" t="s">
        <v>2891</v>
      </c>
      <c r="D10111" s="570" t="s">
        <v>4300</v>
      </c>
      <c r="E10111" s="569" t="s">
        <v>139</v>
      </c>
      <c r="F10111" s="569" t="s">
        <v>4301</v>
      </c>
      <c r="G10111" s="569" t="s">
        <v>2995</v>
      </c>
      <c r="H10111" s="569"/>
      <c r="I10111" s="577" t="s">
        <v>3002</v>
      </c>
      <c r="J10111" s="578">
        <v>1</v>
      </c>
      <c r="K10111" s="579"/>
      <c r="L10111" s="579">
        <v>294.62</v>
      </c>
      <c r="M10111" s="579">
        <v>294.62</v>
      </c>
    </row>
    <row r="10112" ht="46.25" customHeight="1" spans="3:13">
      <c r="C10112" s="79" t="s">
        <v>2921</v>
      </c>
      <c r="D10112" s="78" t="s">
        <v>5860</v>
      </c>
      <c r="E10112" s="79" t="s">
        <v>139</v>
      </c>
      <c r="F10112" s="79" t="s">
        <v>5861</v>
      </c>
      <c r="G10112" s="79" t="s">
        <v>5464</v>
      </c>
      <c r="H10112" s="79"/>
      <c r="I10112" s="80" t="s">
        <v>2897</v>
      </c>
      <c r="J10112" s="583">
        <v>1</v>
      </c>
      <c r="K10112" s="583">
        <v>0</v>
      </c>
      <c r="L10112" s="92">
        <v>158.58</v>
      </c>
      <c r="M10112" s="92">
        <v>158.58</v>
      </c>
    </row>
    <row r="10113" ht="23.85" customHeight="1" spans="3:13">
      <c r="C10113" s="79" t="s">
        <v>2921</v>
      </c>
      <c r="D10113" s="78" t="s">
        <v>5862</v>
      </c>
      <c r="E10113" s="79" t="s">
        <v>139</v>
      </c>
      <c r="F10113" s="79" t="s">
        <v>5863</v>
      </c>
      <c r="G10113" s="79" t="s">
        <v>2928</v>
      </c>
      <c r="H10113" s="79"/>
      <c r="I10113" s="80" t="s">
        <v>2897</v>
      </c>
      <c r="J10113" s="583">
        <v>1</v>
      </c>
      <c r="K10113" s="583">
        <v>0</v>
      </c>
      <c r="L10113" s="92">
        <v>54.34</v>
      </c>
      <c r="M10113" s="92">
        <v>54.34</v>
      </c>
    </row>
    <row r="10114" ht="46.25" customHeight="1" spans="3:13">
      <c r="C10114" s="79" t="s">
        <v>2921</v>
      </c>
      <c r="D10114" s="78" t="s">
        <v>5864</v>
      </c>
      <c r="E10114" s="79" t="s">
        <v>139</v>
      </c>
      <c r="F10114" s="79" t="s">
        <v>5865</v>
      </c>
      <c r="G10114" s="79" t="s">
        <v>5464</v>
      </c>
      <c r="H10114" s="79"/>
      <c r="I10114" s="80" t="s">
        <v>2897</v>
      </c>
      <c r="J10114" s="583">
        <v>1</v>
      </c>
      <c r="K10114" s="583">
        <v>0</v>
      </c>
      <c r="L10114" s="92">
        <v>9.44</v>
      </c>
      <c r="M10114" s="92">
        <v>9.44</v>
      </c>
    </row>
    <row r="10115" ht="46.25" customHeight="1" spans="3:13">
      <c r="C10115" s="79" t="s">
        <v>2921</v>
      </c>
      <c r="D10115" s="78" t="s">
        <v>5866</v>
      </c>
      <c r="E10115" s="79" t="s">
        <v>139</v>
      </c>
      <c r="F10115" s="79" t="s">
        <v>5867</v>
      </c>
      <c r="G10115" s="79" t="s">
        <v>5464</v>
      </c>
      <c r="H10115" s="79"/>
      <c r="I10115" s="80" t="s">
        <v>2897</v>
      </c>
      <c r="J10115" s="583">
        <v>1</v>
      </c>
      <c r="K10115" s="583">
        <v>0</v>
      </c>
      <c r="L10115" s="92">
        <v>3.81</v>
      </c>
      <c r="M10115" s="92">
        <v>3.81</v>
      </c>
    </row>
    <row r="10116" ht="46.25" customHeight="1" spans="3:13">
      <c r="C10116" s="79" t="s">
        <v>2921</v>
      </c>
      <c r="D10116" s="78" t="s">
        <v>5868</v>
      </c>
      <c r="E10116" s="79" t="s">
        <v>139</v>
      </c>
      <c r="F10116" s="79" t="s">
        <v>5869</v>
      </c>
      <c r="G10116" s="79" t="s">
        <v>5464</v>
      </c>
      <c r="H10116" s="79"/>
      <c r="I10116" s="80" t="s">
        <v>2897</v>
      </c>
      <c r="J10116" s="583">
        <v>1</v>
      </c>
      <c r="K10116" s="583">
        <v>0</v>
      </c>
      <c r="L10116" s="92">
        <v>25.03</v>
      </c>
      <c r="M10116" s="92">
        <v>25.03</v>
      </c>
    </row>
    <row r="10117" ht="46.25" customHeight="1" spans="3:13">
      <c r="C10117" s="79" t="s">
        <v>2921</v>
      </c>
      <c r="D10117" s="78" t="s">
        <v>5870</v>
      </c>
      <c r="E10117" s="79" t="s">
        <v>139</v>
      </c>
      <c r="F10117" s="79" t="s">
        <v>5871</v>
      </c>
      <c r="G10117" s="79" t="s">
        <v>5464</v>
      </c>
      <c r="H10117" s="79"/>
      <c r="I10117" s="80" t="s">
        <v>2897</v>
      </c>
      <c r="J10117" s="583">
        <v>1</v>
      </c>
      <c r="K10117" s="583">
        <v>0</v>
      </c>
      <c r="L10117" s="92">
        <v>43.42</v>
      </c>
      <c r="M10117" s="92">
        <v>43.42</v>
      </c>
    </row>
    <row r="10118" ht="25.5" spans="3:13">
      <c r="C10118" s="108"/>
      <c r="D10118" s="108"/>
      <c r="E10118" s="108"/>
      <c r="F10118" s="108"/>
      <c r="G10118" s="108"/>
      <c r="H10118" s="108" t="s">
        <v>2898</v>
      </c>
      <c r="I10118" s="581">
        <v>45.51</v>
      </c>
      <c r="J10118" s="108" t="s">
        <v>2899</v>
      </c>
      <c r="K10118" s="581">
        <v>0</v>
      </c>
      <c r="L10118" s="108" t="s">
        <v>2900</v>
      </c>
      <c r="M10118" s="581">
        <v>45.51</v>
      </c>
    </row>
    <row r="10119" ht="26.25" spans="3:13">
      <c r="C10119" s="108"/>
      <c r="D10119" s="108"/>
      <c r="E10119" s="108"/>
      <c r="F10119" s="108"/>
      <c r="G10119" s="108"/>
      <c r="H10119" s="108" t="s">
        <v>2901</v>
      </c>
      <c r="I10119" s="581">
        <v>75.09</v>
      </c>
      <c r="J10119" s="114"/>
      <c r="K10119" s="114" t="s">
        <v>2902</v>
      </c>
      <c r="L10119" s="108"/>
      <c r="M10119" s="581">
        <v>369.71</v>
      </c>
    </row>
    <row r="10120" ht="15" spans="3:13">
      <c r="C10120" s="571"/>
      <c r="D10120" s="571"/>
      <c r="E10120" s="571"/>
      <c r="F10120" s="571"/>
      <c r="G10120" s="571"/>
      <c r="H10120" s="571"/>
      <c r="I10120" s="571"/>
      <c r="J10120" s="571"/>
      <c r="K10120" s="571"/>
      <c r="L10120" s="571"/>
      <c r="M10120" s="571"/>
    </row>
    <row r="10121" ht="15" customHeight="1" spans="3:13">
      <c r="C10121" s="76"/>
      <c r="D10121" s="75" t="s">
        <v>63</v>
      </c>
      <c r="E10121" s="76" t="s">
        <v>64</v>
      </c>
      <c r="F10121" s="76" t="s">
        <v>65</v>
      </c>
      <c r="G10121" s="76" t="s">
        <v>2889</v>
      </c>
      <c r="H10121" s="76"/>
      <c r="I10121" s="77" t="s">
        <v>66</v>
      </c>
      <c r="J10121" s="75" t="s">
        <v>67</v>
      </c>
      <c r="K10121" s="75" t="s">
        <v>2890</v>
      </c>
      <c r="L10121" s="75" t="s">
        <v>68</v>
      </c>
      <c r="M10121" s="75" t="s">
        <v>70</v>
      </c>
    </row>
    <row r="10122" ht="46.25" customHeight="1" spans="3:13">
      <c r="C10122" s="569" t="s">
        <v>2891</v>
      </c>
      <c r="D10122" s="570" t="s">
        <v>5868</v>
      </c>
      <c r="E10122" s="569" t="s">
        <v>139</v>
      </c>
      <c r="F10122" s="569" t="s">
        <v>5869</v>
      </c>
      <c r="G10122" s="569" t="s">
        <v>5464</v>
      </c>
      <c r="H10122" s="569"/>
      <c r="I10122" s="577" t="s">
        <v>2897</v>
      </c>
      <c r="J10122" s="578">
        <v>1</v>
      </c>
      <c r="K10122" s="579"/>
      <c r="L10122" s="579">
        <v>25.03</v>
      </c>
      <c r="M10122" s="579">
        <v>25.03</v>
      </c>
    </row>
    <row r="10123" ht="35.05" customHeight="1" spans="3:13">
      <c r="C10123" s="100" t="s">
        <v>2893</v>
      </c>
      <c r="D10123" s="99" t="s">
        <v>5872</v>
      </c>
      <c r="E10123" s="100" t="s">
        <v>139</v>
      </c>
      <c r="F10123" s="100" t="s">
        <v>5873</v>
      </c>
      <c r="G10123" s="100" t="s">
        <v>3680</v>
      </c>
      <c r="H10123" s="100"/>
      <c r="I10123" s="101" t="s">
        <v>134</v>
      </c>
      <c r="J10123" s="580">
        <v>3.43e-5</v>
      </c>
      <c r="K10123" s="580">
        <v>0</v>
      </c>
      <c r="L10123" s="102">
        <v>565808.09</v>
      </c>
      <c r="M10123" s="102">
        <v>19.4</v>
      </c>
    </row>
    <row r="10124" ht="46.25" customHeight="1" spans="3:13">
      <c r="C10124" s="100" t="s">
        <v>2893</v>
      </c>
      <c r="D10124" s="99" t="s">
        <v>5874</v>
      </c>
      <c r="E10124" s="100" t="s">
        <v>139</v>
      </c>
      <c r="F10124" s="100" t="s">
        <v>5875</v>
      </c>
      <c r="G10124" s="100" t="s">
        <v>3680</v>
      </c>
      <c r="H10124" s="100"/>
      <c r="I10124" s="101" t="s">
        <v>134</v>
      </c>
      <c r="J10124" s="580">
        <v>5.51e-5</v>
      </c>
      <c r="K10124" s="580">
        <v>0</v>
      </c>
      <c r="L10124" s="102">
        <v>102197.26</v>
      </c>
      <c r="M10124" s="102">
        <v>5.63</v>
      </c>
    </row>
    <row r="10125" ht="25.5" spans="3:13">
      <c r="C10125" s="108"/>
      <c r="D10125" s="108"/>
      <c r="E10125" s="108"/>
      <c r="F10125" s="108"/>
      <c r="G10125" s="108"/>
      <c r="H10125" s="108" t="s">
        <v>2898</v>
      </c>
      <c r="I10125" s="581">
        <v>0</v>
      </c>
      <c r="J10125" s="108" t="s">
        <v>2899</v>
      </c>
      <c r="K10125" s="581">
        <v>0</v>
      </c>
      <c r="L10125" s="108" t="s">
        <v>2900</v>
      </c>
      <c r="M10125" s="581">
        <v>0</v>
      </c>
    </row>
    <row r="10126" ht="26.25" spans="3:13">
      <c r="C10126" s="108"/>
      <c r="D10126" s="108"/>
      <c r="E10126" s="108"/>
      <c r="F10126" s="108"/>
      <c r="G10126" s="108"/>
      <c r="H10126" s="108" t="s">
        <v>2901</v>
      </c>
      <c r="I10126" s="581">
        <v>6.38</v>
      </c>
      <c r="J10126" s="114"/>
      <c r="K10126" s="114" t="s">
        <v>2902</v>
      </c>
      <c r="L10126" s="108"/>
      <c r="M10126" s="581">
        <v>31.41</v>
      </c>
    </row>
    <row r="10127" ht="15" spans="3:13">
      <c r="C10127" s="571"/>
      <c r="D10127" s="571"/>
      <c r="E10127" s="571"/>
      <c r="F10127" s="571"/>
      <c r="G10127" s="571"/>
      <c r="H10127" s="571"/>
      <c r="I10127" s="571"/>
      <c r="J10127" s="571"/>
      <c r="K10127" s="571"/>
      <c r="L10127" s="571"/>
      <c r="M10127" s="571"/>
    </row>
    <row r="10128" ht="15" customHeight="1" spans="3:13">
      <c r="C10128" s="76"/>
      <c r="D10128" s="75" t="s">
        <v>63</v>
      </c>
      <c r="E10128" s="76" t="s">
        <v>64</v>
      </c>
      <c r="F10128" s="76" t="s">
        <v>65</v>
      </c>
      <c r="G10128" s="76" t="s">
        <v>2889</v>
      </c>
      <c r="H10128" s="76"/>
      <c r="I10128" s="77" t="s">
        <v>66</v>
      </c>
      <c r="J10128" s="75" t="s">
        <v>67</v>
      </c>
      <c r="K10128" s="75" t="s">
        <v>2890</v>
      </c>
      <c r="L10128" s="75" t="s">
        <v>68</v>
      </c>
      <c r="M10128" s="75" t="s">
        <v>70</v>
      </c>
    </row>
    <row r="10129" ht="46.25" customHeight="1" spans="3:13">
      <c r="C10129" s="569" t="s">
        <v>2891</v>
      </c>
      <c r="D10129" s="570" t="s">
        <v>5866</v>
      </c>
      <c r="E10129" s="569" t="s">
        <v>139</v>
      </c>
      <c r="F10129" s="569" t="s">
        <v>5867</v>
      </c>
      <c r="G10129" s="569" t="s">
        <v>5464</v>
      </c>
      <c r="H10129" s="569"/>
      <c r="I10129" s="577" t="s">
        <v>2897</v>
      </c>
      <c r="J10129" s="578">
        <v>1</v>
      </c>
      <c r="K10129" s="579"/>
      <c r="L10129" s="579">
        <v>3.81</v>
      </c>
      <c r="M10129" s="579">
        <v>3.81</v>
      </c>
    </row>
    <row r="10130" ht="35.05" customHeight="1" spans="3:13">
      <c r="C10130" s="100" t="s">
        <v>2893</v>
      </c>
      <c r="D10130" s="99" t="s">
        <v>5872</v>
      </c>
      <c r="E10130" s="100" t="s">
        <v>139</v>
      </c>
      <c r="F10130" s="100" t="s">
        <v>5873</v>
      </c>
      <c r="G10130" s="100" t="s">
        <v>3680</v>
      </c>
      <c r="H10130" s="100"/>
      <c r="I10130" s="101" t="s">
        <v>134</v>
      </c>
      <c r="J10130" s="580">
        <v>5.7e-6</v>
      </c>
      <c r="K10130" s="580">
        <v>0</v>
      </c>
      <c r="L10130" s="102">
        <v>565808.09</v>
      </c>
      <c r="M10130" s="102">
        <v>3.22</v>
      </c>
    </row>
    <row r="10131" ht="46.25" customHeight="1" spans="3:13">
      <c r="C10131" s="100" t="s">
        <v>2893</v>
      </c>
      <c r="D10131" s="99" t="s">
        <v>5874</v>
      </c>
      <c r="E10131" s="100" t="s">
        <v>139</v>
      </c>
      <c r="F10131" s="100" t="s">
        <v>5875</v>
      </c>
      <c r="G10131" s="100" t="s">
        <v>3680</v>
      </c>
      <c r="H10131" s="100"/>
      <c r="I10131" s="101" t="s">
        <v>134</v>
      </c>
      <c r="J10131" s="580">
        <v>5.8e-6</v>
      </c>
      <c r="K10131" s="580">
        <v>0</v>
      </c>
      <c r="L10131" s="102">
        <v>102197.26</v>
      </c>
      <c r="M10131" s="102">
        <v>0.59</v>
      </c>
    </row>
    <row r="10132" ht="25.5" spans="3:13">
      <c r="C10132" s="108"/>
      <c r="D10132" s="108"/>
      <c r="E10132" s="108"/>
      <c r="F10132" s="108"/>
      <c r="G10132" s="108"/>
      <c r="H10132" s="108" t="s">
        <v>2898</v>
      </c>
      <c r="I10132" s="581">
        <v>0</v>
      </c>
      <c r="J10132" s="108" t="s">
        <v>2899</v>
      </c>
      <c r="K10132" s="581">
        <v>0</v>
      </c>
      <c r="L10132" s="108" t="s">
        <v>2900</v>
      </c>
      <c r="M10132" s="581">
        <v>0</v>
      </c>
    </row>
    <row r="10133" ht="26.25" spans="3:13">
      <c r="C10133" s="108"/>
      <c r="D10133" s="108"/>
      <c r="E10133" s="108"/>
      <c r="F10133" s="108"/>
      <c r="G10133" s="108"/>
      <c r="H10133" s="108" t="s">
        <v>2901</v>
      </c>
      <c r="I10133" s="581">
        <v>0.97</v>
      </c>
      <c r="J10133" s="114"/>
      <c r="K10133" s="114" t="s">
        <v>2902</v>
      </c>
      <c r="L10133" s="108"/>
      <c r="M10133" s="581">
        <v>4.78</v>
      </c>
    </row>
    <row r="10134" ht="15" spans="3:13">
      <c r="C10134" s="571"/>
      <c r="D10134" s="571"/>
      <c r="E10134" s="571"/>
      <c r="F10134" s="571"/>
      <c r="G10134" s="571"/>
      <c r="H10134" s="571"/>
      <c r="I10134" s="571"/>
      <c r="J10134" s="571"/>
      <c r="K10134" s="571"/>
      <c r="L10134" s="571"/>
      <c r="M10134" s="571"/>
    </row>
    <row r="10135" ht="15" customHeight="1" spans="3:13">
      <c r="C10135" s="76"/>
      <c r="D10135" s="75" t="s">
        <v>63</v>
      </c>
      <c r="E10135" s="76" t="s">
        <v>64</v>
      </c>
      <c r="F10135" s="76" t="s">
        <v>65</v>
      </c>
      <c r="G10135" s="76" t="s">
        <v>2889</v>
      </c>
      <c r="H10135" s="76"/>
      <c r="I10135" s="77" t="s">
        <v>66</v>
      </c>
      <c r="J10135" s="75" t="s">
        <v>67</v>
      </c>
      <c r="K10135" s="75" t="s">
        <v>2890</v>
      </c>
      <c r="L10135" s="75" t="s">
        <v>68</v>
      </c>
      <c r="M10135" s="75" t="s">
        <v>70</v>
      </c>
    </row>
    <row r="10136" ht="46.25" customHeight="1" spans="3:13">
      <c r="C10136" s="569" t="s">
        <v>2891</v>
      </c>
      <c r="D10136" s="570" t="s">
        <v>5864</v>
      </c>
      <c r="E10136" s="569" t="s">
        <v>139</v>
      </c>
      <c r="F10136" s="569" t="s">
        <v>5865</v>
      </c>
      <c r="G10136" s="569" t="s">
        <v>5464</v>
      </c>
      <c r="H10136" s="569"/>
      <c r="I10136" s="577" t="s">
        <v>2897</v>
      </c>
      <c r="J10136" s="578">
        <v>1</v>
      </c>
      <c r="K10136" s="579"/>
      <c r="L10136" s="579">
        <v>9.44</v>
      </c>
      <c r="M10136" s="579">
        <v>9.44</v>
      </c>
    </row>
    <row r="10137" ht="35.05" customHeight="1" spans="3:13">
      <c r="C10137" s="100" t="s">
        <v>2893</v>
      </c>
      <c r="D10137" s="99" t="s">
        <v>5872</v>
      </c>
      <c r="E10137" s="100" t="s">
        <v>139</v>
      </c>
      <c r="F10137" s="100" t="s">
        <v>5873</v>
      </c>
      <c r="G10137" s="100" t="s">
        <v>3680</v>
      </c>
      <c r="H10137" s="100"/>
      <c r="I10137" s="101" t="s">
        <v>134</v>
      </c>
      <c r="J10137" s="580">
        <v>1.41e-5</v>
      </c>
      <c r="K10137" s="580">
        <v>0</v>
      </c>
      <c r="L10137" s="102">
        <v>565808.09</v>
      </c>
      <c r="M10137" s="102">
        <v>7.97</v>
      </c>
    </row>
    <row r="10138" ht="46.25" customHeight="1" spans="3:13">
      <c r="C10138" s="100" t="s">
        <v>2893</v>
      </c>
      <c r="D10138" s="99" t="s">
        <v>5874</v>
      </c>
      <c r="E10138" s="100" t="s">
        <v>139</v>
      </c>
      <c r="F10138" s="100" t="s">
        <v>5875</v>
      </c>
      <c r="G10138" s="100" t="s">
        <v>3680</v>
      </c>
      <c r="H10138" s="100"/>
      <c r="I10138" s="101" t="s">
        <v>134</v>
      </c>
      <c r="J10138" s="580">
        <v>1.44e-5</v>
      </c>
      <c r="K10138" s="580">
        <v>0</v>
      </c>
      <c r="L10138" s="102">
        <v>102197.26</v>
      </c>
      <c r="M10138" s="102">
        <v>1.47</v>
      </c>
    </row>
    <row r="10139" ht="25.5" spans="3:13">
      <c r="C10139" s="108"/>
      <c r="D10139" s="108"/>
      <c r="E10139" s="108"/>
      <c r="F10139" s="108"/>
      <c r="G10139" s="108"/>
      <c r="H10139" s="108" t="s">
        <v>2898</v>
      </c>
      <c r="I10139" s="581">
        <v>0</v>
      </c>
      <c r="J10139" s="108" t="s">
        <v>2899</v>
      </c>
      <c r="K10139" s="581">
        <v>0</v>
      </c>
      <c r="L10139" s="108" t="s">
        <v>2900</v>
      </c>
      <c r="M10139" s="581">
        <v>0</v>
      </c>
    </row>
    <row r="10140" ht="26.25" spans="3:13">
      <c r="C10140" s="108"/>
      <c r="D10140" s="108"/>
      <c r="E10140" s="108"/>
      <c r="F10140" s="108"/>
      <c r="G10140" s="108"/>
      <c r="H10140" s="108" t="s">
        <v>2901</v>
      </c>
      <c r="I10140" s="581">
        <v>2.4</v>
      </c>
      <c r="J10140" s="114"/>
      <c r="K10140" s="114" t="s">
        <v>2902</v>
      </c>
      <c r="L10140" s="108"/>
      <c r="M10140" s="581">
        <v>11.84</v>
      </c>
    </row>
    <row r="10141" ht="15" spans="3:13">
      <c r="C10141" s="571"/>
      <c r="D10141" s="571"/>
      <c r="E10141" s="571"/>
      <c r="F10141" s="571"/>
      <c r="G10141" s="571"/>
      <c r="H10141" s="571"/>
      <c r="I10141" s="571"/>
      <c r="J10141" s="571"/>
      <c r="K10141" s="571"/>
      <c r="L10141" s="571"/>
      <c r="M10141" s="571"/>
    </row>
    <row r="10142" ht="15" customHeight="1" spans="3:13">
      <c r="C10142" s="76"/>
      <c r="D10142" s="75" t="s">
        <v>63</v>
      </c>
      <c r="E10142" s="76" t="s">
        <v>64</v>
      </c>
      <c r="F10142" s="76" t="s">
        <v>65</v>
      </c>
      <c r="G10142" s="76" t="s">
        <v>2889</v>
      </c>
      <c r="H10142" s="76"/>
      <c r="I10142" s="77" t="s">
        <v>66</v>
      </c>
      <c r="J10142" s="75" t="s">
        <v>67</v>
      </c>
      <c r="K10142" s="75" t="s">
        <v>2890</v>
      </c>
      <c r="L10142" s="75" t="s">
        <v>68</v>
      </c>
      <c r="M10142" s="75" t="s">
        <v>70</v>
      </c>
    </row>
    <row r="10143" ht="46.25" customHeight="1" spans="3:13">
      <c r="C10143" s="569" t="s">
        <v>2891</v>
      </c>
      <c r="D10143" s="570" t="s">
        <v>5870</v>
      </c>
      <c r="E10143" s="569" t="s">
        <v>139</v>
      </c>
      <c r="F10143" s="569" t="s">
        <v>5871</v>
      </c>
      <c r="G10143" s="569" t="s">
        <v>5464</v>
      </c>
      <c r="H10143" s="569"/>
      <c r="I10143" s="577" t="s">
        <v>2897</v>
      </c>
      <c r="J10143" s="578">
        <v>1</v>
      </c>
      <c r="K10143" s="579"/>
      <c r="L10143" s="579">
        <v>43.42</v>
      </c>
      <c r="M10143" s="579">
        <v>43.42</v>
      </c>
    </row>
    <row r="10144" ht="46.25" customHeight="1" spans="3:13">
      <c r="C10144" s="100" t="s">
        <v>2893</v>
      </c>
      <c r="D10144" s="99" t="s">
        <v>5874</v>
      </c>
      <c r="E10144" s="100" t="s">
        <v>139</v>
      </c>
      <c r="F10144" s="100" t="s">
        <v>5875</v>
      </c>
      <c r="G10144" s="100" t="s">
        <v>3680</v>
      </c>
      <c r="H10144" s="100"/>
      <c r="I10144" s="101" t="s">
        <v>134</v>
      </c>
      <c r="J10144" s="580">
        <v>6.89e-5</v>
      </c>
      <c r="K10144" s="580">
        <v>0</v>
      </c>
      <c r="L10144" s="102">
        <v>102197.26</v>
      </c>
      <c r="M10144" s="102">
        <v>7.04</v>
      </c>
    </row>
    <row r="10145" ht="35.05" customHeight="1" spans="3:13">
      <c r="C10145" s="100" t="s">
        <v>2893</v>
      </c>
      <c r="D10145" s="99" t="s">
        <v>5872</v>
      </c>
      <c r="E10145" s="100" t="s">
        <v>139</v>
      </c>
      <c r="F10145" s="100" t="s">
        <v>5873</v>
      </c>
      <c r="G10145" s="100" t="s">
        <v>3680</v>
      </c>
      <c r="H10145" s="100"/>
      <c r="I10145" s="101" t="s">
        <v>134</v>
      </c>
      <c r="J10145" s="580">
        <v>6.43e-5</v>
      </c>
      <c r="K10145" s="580">
        <v>0</v>
      </c>
      <c r="L10145" s="102">
        <v>565808.09</v>
      </c>
      <c r="M10145" s="102">
        <v>36.38</v>
      </c>
    </row>
    <row r="10146" ht="25.5" spans="3:13">
      <c r="C10146" s="108"/>
      <c r="D10146" s="108"/>
      <c r="E10146" s="108"/>
      <c r="F10146" s="108"/>
      <c r="G10146" s="108"/>
      <c r="H10146" s="108" t="s">
        <v>2898</v>
      </c>
      <c r="I10146" s="581">
        <v>0</v>
      </c>
      <c r="J10146" s="108" t="s">
        <v>2899</v>
      </c>
      <c r="K10146" s="581">
        <v>0</v>
      </c>
      <c r="L10146" s="108" t="s">
        <v>2900</v>
      </c>
      <c r="M10146" s="581">
        <v>0</v>
      </c>
    </row>
    <row r="10147" ht="26.25" spans="3:13">
      <c r="C10147" s="108"/>
      <c r="D10147" s="108"/>
      <c r="E10147" s="108"/>
      <c r="F10147" s="108"/>
      <c r="G10147" s="108"/>
      <c r="H10147" s="108" t="s">
        <v>2901</v>
      </c>
      <c r="I10147" s="581">
        <v>11.06</v>
      </c>
      <c r="J10147" s="114"/>
      <c r="K10147" s="114" t="s">
        <v>2902</v>
      </c>
      <c r="L10147" s="108"/>
      <c r="M10147" s="581">
        <v>54.48</v>
      </c>
    </row>
    <row r="10148" ht="15" spans="3:13">
      <c r="C10148" s="571"/>
      <c r="D10148" s="571"/>
      <c r="E10148" s="571"/>
      <c r="F10148" s="571"/>
      <c r="G10148" s="571"/>
      <c r="H10148" s="571"/>
      <c r="I10148" s="571"/>
      <c r="J10148" s="571"/>
      <c r="K10148" s="571"/>
      <c r="L10148" s="571"/>
      <c r="M10148" s="571"/>
    </row>
    <row r="10149" ht="15" customHeight="1" spans="3:13">
      <c r="C10149" s="76"/>
      <c r="D10149" s="75" t="s">
        <v>63</v>
      </c>
      <c r="E10149" s="76" t="s">
        <v>64</v>
      </c>
      <c r="F10149" s="76" t="s">
        <v>65</v>
      </c>
      <c r="G10149" s="76" t="s">
        <v>2889</v>
      </c>
      <c r="H10149" s="76"/>
      <c r="I10149" s="77" t="s">
        <v>66</v>
      </c>
      <c r="J10149" s="75" t="s">
        <v>67</v>
      </c>
      <c r="K10149" s="75" t="s">
        <v>2890</v>
      </c>
      <c r="L10149" s="75" t="s">
        <v>68</v>
      </c>
      <c r="M10149" s="75" t="s">
        <v>70</v>
      </c>
    </row>
    <row r="10150" ht="46.25" customHeight="1" spans="3:13">
      <c r="C10150" s="569" t="s">
        <v>2891</v>
      </c>
      <c r="D10150" s="570" t="s">
        <v>5860</v>
      </c>
      <c r="E10150" s="569" t="s">
        <v>139</v>
      </c>
      <c r="F10150" s="569" t="s">
        <v>5861</v>
      </c>
      <c r="G10150" s="569" t="s">
        <v>5464</v>
      </c>
      <c r="H10150" s="569"/>
      <c r="I10150" s="577" t="s">
        <v>2897</v>
      </c>
      <c r="J10150" s="578">
        <v>1</v>
      </c>
      <c r="K10150" s="579"/>
      <c r="L10150" s="579">
        <v>158.58</v>
      </c>
      <c r="M10150" s="579">
        <v>158.58</v>
      </c>
    </row>
    <row r="10151" ht="15" customHeight="1" spans="3:13">
      <c r="C10151" s="100" t="s">
        <v>2893</v>
      </c>
      <c r="D10151" s="99" t="s">
        <v>5547</v>
      </c>
      <c r="E10151" s="100" t="s">
        <v>139</v>
      </c>
      <c r="F10151" s="100" t="s">
        <v>5548</v>
      </c>
      <c r="G10151" s="100" t="s">
        <v>2961</v>
      </c>
      <c r="H10151" s="100"/>
      <c r="I10151" s="101" t="s">
        <v>3084</v>
      </c>
      <c r="J10151" s="580">
        <v>26.43</v>
      </c>
      <c r="K10151" s="580">
        <v>0</v>
      </c>
      <c r="L10151" s="102">
        <v>6</v>
      </c>
      <c r="M10151" s="102">
        <v>158.58</v>
      </c>
    </row>
    <row r="10152" ht="25.5" spans="3:13">
      <c r="C10152" s="108"/>
      <c r="D10152" s="108"/>
      <c r="E10152" s="108"/>
      <c r="F10152" s="108"/>
      <c r="G10152" s="108"/>
      <c r="H10152" s="108" t="s">
        <v>2898</v>
      </c>
      <c r="I10152" s="581">
        <v>0</v>
      </c>
      <c r="J10152" s="108" t="s">
        <v>2899</v>
      </c>
      <c r="K10152" s="581">
        <v>0</v>
      </c>
      <c r="L10152" s="108" t="s">
        <v>2900</v>
      </c>
      <c r="M10152" s="581">
        <v>0</v>
      </c>
    </row>
    <row r="10153" ht="26.25" spans="3:13">
      <c r="C10153" s="108"/>
      <c r="D10153" s="108"/>
      <c r="E10153" s="108"/>
      <c r="F10153" s="108"/>
      <c r="G10153" s="108"/>
      <c r="H10153" s="108" t="s">
        <v>2901</v>
      </c>
      <c r="I10153" s="581">
        <v>40.42</v>
      </c>
      <c r="J10153" s="114"/>
      <c r="K10153" s="114" t="s">
        <v>2902</v>
      </c>
      <c r="L10153" s="108"/>
      <c r="M10153" s="581">
        <v>199</v>
      </c>
    </row>
    <row r="10154" ht="15" spans="3:13">
      <c r="C10154" s="571"/>
      <c r="D10154" s="571"/>
      <c r="E10154" s="571"/>
      <c r="F10154" s="571"/>
      <c r="G10154" s="571"/>
      <c r="H10154" s="571"/>
      <c r="I10154" s="571"/>
      <c r="J10154" s="571"/>
      <c r="K10154" s="571"/>
      <c r="L10154" s="571"/>
      <c r="M10154" s="571"/>
    </row>
    <row r="10155" ht="15" customHeight="1" spans="3:13">
      <c r="C10155" s="76"/>
      <c r="D10155" s="75" t="s">
        <v>63</v>
      </c>
      <c r="E10155" s="76" t="s">
        <v>64</v>
      </c>
      <c r="F10155" s="76" t="s">
        <v>65</v>
      </c>
      <c r="G10155" s="76" t="s">
        <v>2889</v>
      </c>
      <c r="H10155" s="76"/>
      <c r="I10155" s="77" t="s">
        <v>66</v>
      </c>
      <c r="J10155" s="75" t="s">
        <v>67</v>
      </c>
      <c r="K10155" s="75" t="s">
        <v>2890</v>
      </c>
      <c r="L10155" s="75" t="s">
        <v>68</v>
      </c>
      <c r="M10155" s="75" t="s">
        <v>70</v>
      </c>
    </row>
    <row r="10156" ht="46.25" customHeight="1" spans="3:13">
      <c r="C10156" s="569" t="s">
        <v>2891</v>
      </c>
      <c r="D10156" s="570" t="s">
        <v>4266</v>
      </c>
      <c r="E10156" s="569" t="s">
        <v>139</v>
      </c>
      <c r="F10156" s="569" t="s">
        <v>4267</v>
      </c>
      <c r="G10156" s="569" t="s">
        <v>2995</v>
      </c>
      <c r="H10156" s="569"/>
      <c r="I10156" s="577" t="s">
        <v>3002</v>
      </c>
      <c r="J10156" s="578">
        <v>1</v>
      </c>
      <c r="K10156" s="579"/>
      <c r="L10156" s="579">
        <v>300.61</v>
      </c>
      <c r="M10156" s="579">
        <v>300.61</v>
      </c>
    </row>
    <row r="10157" ht="46.25" customHeight="1" spans="3:13">
      <c r="C10157" s="79" t="s">
        <v>2921</v>
      </c>
      <c r="D10157" s="78" t="s">
        <v>5876</v>
      </c>
      <c r="E10157" s="79" t="s">
        <v>139</v>
      </c>
      <c r="F10157" s="79" t="s">
        <v>5877</v>
      </c>
      <c r="G10157" s="79" t="s">
        <v>5464</v>
      </c>
      <c r="H10157" s="79"/>
      <c r="I10157" s="80" t="s">
        <v>2897</v>
      </c>
      <c r="J10157" s="583">
        <v>1</v>
      </c>
      <c r="K10157" s="583">
        <v>0</v>
      </c>
      <c r="L10157" s="92">
        <v>27.32</v>
      </c>
      <c r="M10157" s="92">
        <v>27.32</v>
      </c>
    </row>
    <row r="10158" ht="46.25" customHeight="1" spans="3:13">
      <c r="C10158" s="79" t="s">
        <v>2921</v>
      </c>
      <c r="D10158" s="78" t="s">
        <v>5878</v>
      </c>
      <c r="E10158" s="79" t="s">
        <v>139</v>
      </c>
      <c r="F10158" s="79" t="s">
        <v>5879</v>
      </c>
      <c r="G10158" s="79" t="s">
        <v>5464</v>
      </c>
      <c r="H10158" s="79"/>
      <c r="I10158" s="80" t="s">
        <v>2897</v>
      </c>
      <c r="J10158" s="583">
        <v>1</v>
      </c>
      <c r="K10158" s="583">
        <v>0</v>
      </c>
      <c r="L10158" s="92">
        <v>46.28</v>
      </c>
      <c r="M10158" s="92">
        <v>46.28</v>
      </c>
    </row>
    <row r="10159" ht="23.85" customHeight="1" spans="3:13">
      <c r="C10159" s="79" t="s">
        <v>2921</v>
      </c>
      <c r="D10159" s="78" t="s">
        <v>5862</v>
      </c>
      <c r="E10159" s="79" t="s">
        <v>139</v>
      </c>
      <c r="F10159" s="79" t="s">
        <v>5863</v>
      </c>
      <c r="G10159" s="79" t="s">
        <v>2928</v>
      </c>
      <c r="H10159" s="79"/>
      <c r="I10159" s="80" t="s">
        <v>2897</v>
      </c>
      <c r="J10159" s="583">
        <v>1</v>
      </c>
      <c r="K10159" s="583">
        <v>0</v>
      </c>
      <c r="L10159" s="92">
        <v>54.34</v>
      </c>
      <c r="M10159" s="92">
        <v>54.34</v>
      </c>
    </row>
    <row r="10160" ht="46.25" customHeight="1" spans="3:13">
      <c r="C10160" s="79" t="s">
        <v>2921</v>
      </c>
      <c r="D10160" s="78" t="s">
        <v>5880</v>
      </c>
      <c r="E10160" s="79" t="s">
        <v>139</v>
      </c>
      <c r="F10160" s="79" t="s">
        <v>5881</v>
      </c>
      <c r="G10160" s="79" t="s">
        <v>5464</v>
      </c>
      <c r="H10160" s="79"/>
      <c r="I10160" s="80" t="s">
        <v>2897</v>
      </c>
      <c r="J10160" s="583">
        <v>1</v>
      </c>
      <c r="K10160" s="583">
        <v>0</v>
      </c>
      <c r="L10160" s="92">
        <v>158.58</v>
      </c>
      <c r="M10160" s="92">
        <v>158.58</v>
      </c>
    </row>
    <row r="10161" ht="46.25" customHeight="1" spans="3:13">
      <c r="C10161" s="79" t="s">
        <v>2921</v>
      </c>
      <c r="D10161" s="78" t="s">
        <v>5882</v>
      </c>
      <c r="E10161" s="79" t="s">
        <v>139</v>
      </c>
      <c r="F10161" s="79" t="s">
        <v>5883</v>
      </c>
      <c r="G10161" s="79" t="s">
        <v>5464</v>
      </c>
      <c r="H10161" s="79"/>
      <c r="I10161" s="80" t="s">
        <v>2897</v>
      </c>
      <c r="J10161" s="583">
        <v>1</v>
      </c>
      <c r="K10161" s="583">
        <v>0</v>
      </c>
      <c r="L10161" s="92">
        <v>4.05</v>
      </c>
      <c r="M10161" s="92">
        <v>4.05</v>
      </c>
    </row>
    <row r="10162" ht="46.25" customHeight="1" spans="3:13">
      <c r="C10162" s="79" t="s">
        <v>2921</v>
      </c>
      <c r="D10162" s="78" t="s">
        <v>5884</v>
      </c>
      <c r="E10162" s="79" t="s">
        <v>139</v>
      </c>
      <c r="F10162" s="79" t="s">
        <v>5885</v>
      </c>
      <c r="G10162" s="79" t="s">
        <v>5464</v>
      </c>
      <c r="H10162" s="79"/>
      <c r="I10162" s="80" t="s">
        <v>2897</v>
      </c>
      <c r="J10162" s="583">
        <v>1</v>
      </c>
      <c r="K10162" s="583">
        <v>0</v>
      </c>
      <c r="L10162" s="92">
        <v>10.04</v>
      </c>
      <c r="M10162" s="92">
        <v>10.04</v>
      </c>
    </row>
    <row r="10163" ht="25.5" spans="3:13">
      <c r="C10163" s="108"/>
      <c r="D10163" s="108"/>
      <c r="E10163" s="108"/>
      <c r="F10163" s="108"/>
      <c r="G10163" s="108"/>
      <c r="H10163" s="108" t="s">
        <v>2898</v>
      </c>
      <c r="I10163" s="581">
        <v>45.51</v>
      </c>
      <c r="J10163" s="108" t="s">
        <v>2899</v>
      </c>
      <c r="K10163" s="581">
        <v>0</v>
      </c>
      <c r="L10163" s="108" t="s">
        <v>2900</v>
      </c>
      <c r="M10163" s="581">
        <v>45.51</v>
      </c>
    </row>
    <row r="10164" ht="26.25" spans="3:13">
      <c r="C10164" s="108"/>
      <c r="D10164" s="108"/>
      <c r="E10164" s="108"/>
      <c r="F10164" s="108"/>
      <c r="G10164" s="108"/>
      <c r="H10164" s="108" t="s">
        <v>2901</v>
      </c>
      <c r="I10164" s="581">
        <v>76.62</v>
      </c>
      <c r="J10164" s="114"/>
      <c r="K10164" s="114" t="s">
        <v>2902</v>
      </c>
      <c r="L10164" s="108"/>
      <c r="M10164" s="581">
        <v>377.23</v>
      </c>
    </row>
    <row r="10165" ht="15" spans="3:13">
      <c r="C10165" s="571"/>
      <c r="D10165" s="571"/>
      <c r="E10165" s="571"/>
      <c r="F10165" s="571"/>
      <c r="G10165" s="571"/>
      <c r="H10165" s="571"/>
      <c r="I10165" s="571"/>
      <c r="J10165" s="571"/>
      <c r="K10165" s="571"/>
      <c r="L10165" s="571"/>
      <c r="M10165" s="571"/>
    </row>
    <row r="10166" ht="15" customHeight="1" spans="3:13">
      <c r="C10166" s="76"/>
      <c r="D10166" s="75" t="s">
        <v>63</v>
      </c>
      <c r="E10166" s="76" t="s">
        <v>64</v>
      </c>
      <c r="F10166" s="76" t="s">
        <v>65</v>
      </c>
      <c r="G10166" s="76" t="s">
        <v>2889</v>
      </c>
      <c r="H10166" s="76"/>
      <c r="I10166" s="77" t="s">
        <v>66</v>
      </c>
      <c r="J10166" s="75" t="s">
        <v>67</v>
      </c>
      <c r="K10166" s="75" t="s">
        <v>2890</v>
      </c>
      <c r="L10166" s="75" t="s">
        <v>68</v>
      </c>
      <c r="M10166" s="75" t="s">
        <v>70</v>
      </c>
    </row>
    <row r="10167" ht="46.25" customHeight="1" spans="3:13">
      <c r="C10167" s="569" t="s">
        <v>2891</v>
      </c>
      <c r="D10167" s="570" t="s">
        <v>5876</v>
      </c>
      <c r="E10167" s="569" t="s">
        <v>139</v>
      </c>
      <c r="F10167" s="569" t="s">
        <v>5877</v>
      </c>
      <c r="G10167" s="569" t="s">
        <v>5464</v>
      </c>
      <c r="H10167" s="569"/>
      <c r="I10167" s="577" t="s">
        <v>2897</v>
      </c>
      <c r="J10167" s="578">
        <v>1</v>
      </c>
      <c r="K10167" s="579"/>
      <c r="L10167" s="579">
        <v>27.32</v>
      </c>
      <c r="M10167" s="579">
        <v>27.32</v>
      </c>
    </row>
    <row r="10168" ht="46.25" customHeight="1" spans="3:13">
      <c r="C10168" s="100" t="s">
        <v>2893</v>
      </c>
      <c r="D10168" s="99" t="s">
        <v>5886</v>
      </c>
      <c r="E10168" s="100" t="s">
        <v>139</v>
      </c>
      <c r="F10168" s="100" t="s">
        <v>5887</v>
      </c>
      <c r="G10168" s="100" t="s">
        <v>3680</v>
      </c>
      <c r="H10168" s="100"/>
      <c r="I10168" s="101" t="s">
        <v>134</v>
      </c>
      <c r="J10168" s="580">
        <v>5.51e-5</v>
      </c>
      <c r="K10168" s="580">
        <v>0</v>
      </c>
      <c r="L10168" s="102">
        <v>143750</v>
      </c>
      <c r="M10168" s="102">
        <v>7.92</v>
      </c>
    </row>
    <row r="10169" ht="35.05" customHeight="1" spans="3:13">
      <c r="C10169" s="100" t="s">
        <v>2893</v>
      </c>
      <c r="D10169" s="99" t="s">
        <v>5872</v>
      </c>
      <c r="E10169" s="100" t="s">
        <v>139</v>
      </c>
      <c r="F10169" s="100" t="s">
        <v>5873</v>
      </c>
      <c r="G10169" s="100" t="s">
        <v>3680</v>
      </c>
      <c r="H10169" s="100"/>
      <c r="I10169" s="101" t="s">
        <v>134</v>
      </c>
      <c r="J10169" s="580">
        <v>3.43e-5</v>
      </c>
      <c r="K10169" s="580">
        <v>0</v>
      </c>
      <c r="L10169" s="102">
        <v>565808.09</v>
      </c>
      <c r="M10169" s="102">
        <v>19.4</v>
      </c>
    </row>
    <row r="10170" ht="25.5" spans="3:13">
      <c r="C10170" s="108"/>
      <c r="D10170" s="108"/>
      <c r="E10170" s="108"/>
      <c r="F10170" s="108"/>
      <c r="G10170" s="108"/>
      <c r="H10170" s="108" t="s">
        <v>2898</v>
      </c>
      <c r="I10170" s="581">
        <v>0</v>
      </c>
      <c r="J10170" s="108" t="s">
        <v>2899</v>
      </c>
      <c r="K10170" s="581">
        <v>0</v>
      </c>
      <c r="L10170" s="108" t="s">
        <v>2900</v>
      </c>
      <c r="M10170" s="581">
        <v>0</v>
      </c>
    </row>
    <row r="10171" ht="26.25" spans="3:13">
      <c r="C10171" s="108"/>
      <c r="D10171" s="108"/>
      <c r="E10171" s="108"/>
      <c r="F10171" s="108"/>
      <c r="G10171" s="108"/>
      <c r="H10171" s="108" t="s">
        <v>2901</v>
      </c>
      <c r="I10171" s="581">
        <v>6.96</v>
      </c>
      <c r="J10171" s="114"/>
      <c r="K10171" s="114" t="s">
        <v>2902</v>
      </c>
      <c r="L10171" s="108"/>
      <c r="M10171" s="581">
        <v>34.28</v>
      </c>
    </row>
    <row r="10172" ht="15" spans="3:13">
      <c r="C10172" s="571"/>
      <c r="D10172" s="571"/>
      <c r="E10172" s="571"/>
      <c r="F10172" s="571"/>
      <c r="G10172" s="571"/>
      <c r="H10172" s="571"/>
      <c r="I10172" s="571"/>
      <c r="J10172" s="571"/>
      <c r="K10172" s="571"/>
      <c r="L10172" s="571"/>
      <c r="M10172" s="571"/>
    </row>
    <row r="10173" ht="15" customHeight="1" spans="3:13">
      <c r="C10173" s="76"/>
      <c r="D10173" s="75" t="s">
        <v>63</v>
      </c>
      <c r="E10173" s="76" t="s">
        <v>64</v>
      </c>
      <c r="F10173" s="76" t="s">
        <v>65</v>
      </c>
      <c r="G10173" s="76" t="s">
        <v>2889</v>
      </c>
      <c r="H10173" s="76"/>
      <c r="I10173" s="77" t="s">
        <v>66</v>
      </c>
      <c r="J10173" s="75" t="s">
        <v>67</v>
      </c>
      <c r="K10173" s="75" t="s">
        <v>2890</v>
      </c>
      <c r="L10173" s="75" t="s">
        <v>68</v>
      </c>
      <c r="M10173" s="75" t="s">
        <v>70</v>
      </c>
    </row>
    <row r="10174" ht="46.25" customHeight="1" spans="3:13">
      <c r="C10174" s="569" t="s">
        <v>2891</v>
      </c>
      <c r="D10174" s="570" t="s">
        <v>5882</v>
      </c>
      <c r="E10174" s="569" t="s">
        <v>139</v>
      </c>
      <c r="F10174" s="569" t="s">
        <v>5883</v>
      </c>
      <c r="G10174" s="569" t="s">
        <v>5464</v>
      </c>
      <c r="H10174" s="569"/>
      <c r="I10174" s="577" t="s">
        <v>2897</v>
      </c>
      <c r="J10174" s="578">
        <v>1</v>
      </c>
      <c r="K10174" s="579"/>
      <c r="L10174" s="579">
        <v>4.05</v>
      </c>
      <c r="M10174" s="579">
        <v>4.05</v>
      </c>
    </row>
    <row r="10175" ht="46.25" customHeight="1" spans="3:13">
      <c r="C10175" s="100" t="s">
        <v>2893</v>
      </c>
      <c r="D10175" s="99" t="s">
        <v>5886</v>
      </c>
      <c r="E10175" s="100" t="s">
        <v>139</v>
      </c>
      <c r="F10175" s="100" t="s">
        <v>5887</v>
      </c>
      <c r="G10175" s="100" t="s">
        <v>3680</v>
      </c>
      <c r="H10175" s="100"/>
      <c r="I10175" s="101" t="s">
        <v>134</v>
      </c>
      <c r="J10175" s="580">
        <v>5.8e-6</v>
      </c>
      <c r="K10175" s="580">
        <v>0</v>
      </c>
      <c r="L10175" s="102">
        <v>143750</v>
      </c>
      <c r="M10175" s="102">
        <v>0.83</v>
      </c>
    </row>
    <row r="10176" ht="35.05" customHeight="1" spans="3:13">
      <c r="C10176" s="100" t="s">
        <v>2893</v>
      </c>
      <c r="D10176" s="99" t="s">
        <v>5872</v>
      </c>
      <c r="E10176" s="100" t="s">
        <v>139</v>
      </c>
      <c r="F10176" s="100" t="s">
        <v>5873</v>
      </c>
      <c r="G10176" s="100" t="s">
        <v>3680</v>
      </c>
      <c r="H10176" s="100"/>
      <c r="I10176" s="101" t="s">
        <v>134</v>
      </c>
      <c r="J10176" s="580">
        <v>5.7e-6</v>
      </c>
      <c r="K10176" s="580">
        <v>0</v>
      </c>
      <c r="L10176" s="102">
        <v>565808.09</v>
      </c>
      <c r="M10176" s="102">
        <v>3.22</v>
      </c>
    </row>
    <row r="10177" ht="25.5" spans="3:13">
      <c r="C10177" s="108"/>
      <c r="D10177" s="108"/>
      <c r="E10177" s="108"/>
      <c r="F10177" s="108"/>
      <c r="G10177" s="108"/>
      <c r="H10177" s="108" t="s">
        <v>2898</v>
      </c>
      <c r="I10177" s="581">
        <v>0</v>
      </c>
      <c r="J10177" s="108" t="s">
        <v>2899</v>
      </c>
      <c r="K10177" s="581">
        <v>0</v>
      </c>
      <c r="L10177" s="108" t="s">
        <v>2900</v>
      </c>
      <c r="M10177" s="581">
        <v>0</v>
      </c>
    </row>
    <row r="10178" ht="26.25" spans="3:13">
      <c r="C10178" s="108"/>
      <c r="D10178" s="108"/>
      <c r="E10178" s="108"/>
      <c r="F10178" s="108"/>
      <c r="G10178" s="108"/>
      <c r="H10178" s="108" t="s">
        <v>2901</v>
      </c>
      <c r="I10178" s="581">
        <v>1.03</v>
      </c>
      <c r="J10178" s="114"/>
      <c r="K10178" s="114" t="s">
        <v>2902</v>
      </c>
      <c r="L10178" s="108"/>
      <c r="M10178" s="581">
        <v>5.08</v>
      </c>
    </row>
    <row r="10179" ht="15" spans="3:13">
      <c r="C10179" s="571"/>
      <c r="D10179" s="571"/>
      <c r="E10179" s="571"/>
      <c r="F10179" s="571"/>
      <c r="G10179" s="571"/>
      <c r="H10179" s="571"/>
      <c r="I10179" s="571"/>
      <c r="J10179" s="571"/>
      <c r="K10179" s="571"/>
      <c r="L10179" s="571"/>
      <c r="M10179" s="571"/>
    </row>
    <row r="10180" ht="15" customHeight="1" spans="3:13">
      <c r="C10180" s="76"/>
      <c r="D10180" s="75" t="s">
        <v>63</v>
      </c>
      <c r="E10180" s="76" t="s">
        <v>64</v>
      </c>
      <c r="F10180" s="76" t="s">
        <v>65</v>
      </c>
      <c r="G10180" s="76" t="s">
        <v>2889</v>
      </c>
      <c r="H10180" s="76"/>
      <c r="I10180" s="77" t="s">
        <v>66</v>
      </c>
      <c r="J10180" s="75" t="s">
        <v>67</v>
      </c>
      <c r="K10180" s="75" t="s">
        <v>2890</v>
      </c>
      <c r="L10180" s="75" t="s">
        <v>68</v>
      </c>
      <c r="M10180" s="75" t="s">
        <v>70</v>
      </c>
    </row>
    <row r="10181" ht="46.25" customHeight="1" spans="3:13">
      <c r="C10181" s="569" t="s">
        <v>2891</v>
      </c>
      <c r="D10181" s="570" t="s">
        <v>5884</v>
      </c>
      <c r="E10181" s="569" t="s">
        <v>139</v>
      </c>
      <c r="F10181" s="569" t="s">
        <v>5885</v>
      </c>
      <c r="G10181" s="569" t="s">
        <v>5464</v>
      </c>
      <c r="H10181" s="569"/>
      <c r="I10181" s="577" t="s">
        <v>2897</v>
      </c>
      <c r="J10181" s="578">
        <v>1</v>
      </c>
      <c r="K10181" s="579"/>
      <c r="L10181" s="579">
        <v>10.04</v>
      </c>
      <c r="M10181" s="579">
        <v>10.04</v>
      </c>
    </row>
    <row r="10182" ht="35.05" customHeight="1" spans="3:13">
      <c r="C10182" s="100" t="s">
        <v>2893</v>
      </c>
      <c r="D10182" s="99" t="s">
        <v>5872</v>
      </c>
      <c r="E10182" s="100" t="s">
        <v>139</v>
      </c>
      <c r="F10182" s="100" t="s">
        <v>5873</v>
      </c>
      <c r="G10182" s="100" t="s">
        <v>3680</v>
      </c>
      <c r="H10182" s="100"/>
      <c r="I10182" s="101" t="s">
        <v>134</v>
      </c>
      <c r="J10182" s="580">
        <v>1.41e-5</v>
      </c>
      <c r="K10182" s="580">
        <v>0</v>
      </c>
      <c r="L10182" s="102">
        <v>565808.09</v>
      </c>
      <c r="M10182" s="102">
        <v>7.97</v>
      </c>
    </row>
    <row r="10183" ht="46.25" customHeight="1" spans="3:13">
      <c r="C10183" s="100" t="s">
        <v>2893</v>
      </c>
      <c r="D10183" s="99" t="s">
        <v>5886</v>
      </c>
      <c r="E10183" s="100" t="s">
        <v>139</v>
      </c>
      <c r="F10183" s="100" t="s">
        <v>5887</v>
      </c>
      <c r="G10183" s="100" t="s">
        <v>3680</v>
      </c>
      <c r="H10183" s="100"/>
      <c r="I10183" s="101" t="s">
        <v>134</v>
      </c>
      <c r="J10183" s="580">
        <v>1.44e-5</v>
      </c>
      <c r="K10183" s="580">
        <v>0</v>
      </c>
      <c r="L10183" s="102">
        <v>143750</v>
      </c>
      <c r="M10183" s="102">
        <v>2.07</v>
      </c>
    </row>
    <row r="10184" ht="25.5" spans="3:13">
      <c r="C10184" s="108"/>
      <c r="D10184" s="108"/>
      <c r="E10184" s="108"/>
      <c r="F10184" s="108"/>
      <c r="G10184" s="108"/>
      <c r="H10184" s="108" t="s">
        <v>2898</v>
      </c>
      <c r="I10184" s="581">
        <v>0</v>
      </c>
      <c r="J10184" s="108" t="s">
        <v>2899</v>
      </c>
      <c r="K10184" s="581">
        <v>0</v>
      </c>
      <c r="L10184" s="108" t="s">
        <v>2900</v>
      </c>
      <c r="M10184" s="581">
        <v>0</v>
      </c>
    </row>
    <row r="10185" ht="26.25" spans="3:13">
      <c r="C10185" s="108"/>
      <c r="D10185" s="108"/>
      <c r="E10185" s="108"/>
      <c r="F10185" s="108"/>
      <c r="G10185" s="108"/>
      <c r="H10185" s="108" t="s">
        <v>2901</v>
      </c>
      <c r="I10185" s="581">
        <v>2.55</v>
      </c>
      <c r="J10185" s="114"/>
      <c r="K10185" s="114" t="s">
        <v>2902</v>
      </c>
      <c r="L10185" s="108"/>
      <c r="M10185" s="581">
        <v>12.59</v>
      </c>
    </row>
    <row r="10186" ht="15" spans="3:13">
      <c r="C10186" s="571"/>
      <c r="D10186" s="571"/>
      <c r="E10186" s="571"/>
      <c r="F10186" s="571"/>
      <c r="G10186" s="571"/>
      <c r="H10186" s="571"/>
      <c r="I10186" s="571"/>
      <c r="J10186" s="571"/>
      <c r="K10186" s="571"/>
      <c r="L10186" s="571"/>
      <c r="M10186" s="571"/>
    </row>
    <row r="10187" ht="15" customHeight="1" spans="3:13">
      <c r="C10187" s="76"/>
      <c r="D10187" s="75" t="s">
        <v>63</v>
      </c>
      <c r="E10187" s="76" t="s">
        <v>64</v>
      </c>
      <c r="F10187" s="76" t="s">
        <v>65</v>
      </c>
      <c r="G10187" s="76" t="s">
        <v>2889</v>
      </c>
      <c r="H10187" s="76"/>
      <c r="I10187" s="77" t="s">
        <v>66</v>
      </c>
      <c r="J10187" s="75" t="s">
        <v>67</v>
      </c>
      <c r="K10187" s="75" t="s">
        <v>2890</v>
      </c>
      <c r="L10187" s="75" t="s">
        <v>68</v>
      </c>
      <c r="M10187" s="75" t="s">
        <v>70</v>
      </c>
    </row>
    <row r="10188" ht="46.25" customHeight="1" spans="3:13">
      <c r="C10188" s="569" t="s">
        <v>2891</v>
      </c>
      <c r="D10188" s="570" t="s">
        <v>5878</v>
      </c>
      <c r="E10188" s="569" t="s">
        <v>139</v>
      </c>
      <c r="F10188" s="569" t="s">
        <v>5879</v>
      </c>
      <c r="G10188" s="569" t="s">
        <v>5464</v>
      </c>
      <c r="H10188" s="569"/>
      <c r="I10188" s="577" t="s">
        <v>2897</v>
      </c>
      <c r="J10188" s="578">
        <v>1</v>
      </c>
      <c r="K10188" s="579"/>
      <c r="L10188" s="579">
        <v>46.28</v>
      </c>
      <c r="M10188" s="579">
        <v>46.28</v>
      </c>
    </row>
    <row r="10189" ht="35.05" customHeight="1" spans="3:13">
      <c r="C10189" s="100" t="s">
        <v>2893</v>
      </c>
      <c r="D10189" s="99" t="s">
        <v>5872</v>
      </c>
      <c r="E10189" s="100" t="s">
        <v>139</v>
      </c>
      <c r="F10189" s="100" t="s">
        <v>5873</v>
      </c>
      <c r="G10189" s="100" t="s">
        <v>3680</v>
      </c>
      <c r="H10189" s="100"/>
      <c r="I10189" s="101" t="s">
        <v>134</v>
      </c>
      <c r="J10189" s="580">
        <v>6.43e-5</v>
      </c>
      <c r="K10189" s="580">
        <v>0</v>
      </c>
      <c r="L10189" s="102">
        <v>565808.09</v>
      </c>
      <c r="M10189" s="102">
        <v>36.38</v>
      </c>
    </row>
    <row r="10190" ht="46.25" customHeight="1" spans="3:13">
      <c r="C10190" s="100" t="s">
        <v>2893</v>
      </c>
      <c r="D10190" s="99" t="s">
        <v>5886</v>
      </c>
      <c r="E10190" s="100" t="s">
        <v>139</v>
      </c>
      <c r="F10190" s="100" t="s">
        <v>5887</v>
      </c>
      <c r="G10190" s="100" t="s">
        <v>3680</v>
      </c>
      <c r="H10190" s="100"/>
      <c r="I10190" s="101" t="s">
        <v>134</v>
      </c>
      <c r="J10190" s="580">
        <v>6.89e-5</v>
      </c>
      <c r="K10190" s="580">
        <v>0</v>
      </c>
      <c r="L10190" s="102">
        <v>143750</v>
      </c>
      <c r="M10190" s="102">
        <v>9.9</v>
      </c>
    </row>
    <row r="10191" ht="25.5" spans="3:13">
      <c r="C10191" s="108"/>
      <c r="D10191" s="108"/>
      <c r="E10191" s="108"/>
      <c r="F10191" s="108"/>
      <c r="G10191" s="108"/>
      <c r="H10191" s="108" t="s">
        <v>2898</v>
      </c>
      <c r="I10191" s="581">
        <v>0</v>
      </c>
      <c r="J10191" s="108" t="s">
        <v>2899</v>
      </c>
      <c r="K10191" s="581">
        <v>0</v>
      </c>
      <c r="L10191" s="108" t="s">
        <v>2900</v>
      </c>
      <c r="M10191" s="581">
        <v>0</v>
      </c>
    </row>
    <row r="10192" ht="26.25" spans="3:13">
      <c r="C10192" s="108"/>
      <c r="D10192" s="108"/>
      <c r="E10192" s="108"/>
      <c r="F10192" s="108"/>
      <c r="G10192" s="108"/>
      <c r="H10192" s="108" t="s">
        <v>2901</v>
      </c>
      <c r="I10192" s="581">
        <v>11.79</v>
      </c>
      <c r="J10192" s="114"/>
      <c r="K10192" s="114" t="s">
        <v>2902</v>
      </c>
      <c r="L10192" s="108"/>
      <c r="M10192" s="581">
        <v>58.07</v>
      </c>
    </row>
    <row r="10193" ht="15" spans="3:13">
      <c r="C10193" s="571"/>
      <c r="D10193" s="571"/>
      <c r="E10193" s="571"/>
      <c r="F10193" s="571"/>
      <c r="G10193" s="571"/>
      <c r="H10193" s="571"/>
      <c r="I10193" s="571"/>
      <c r="J10193" s="571"/>
      <c r="K10193" s="571"/>
      <c r="L10193" s="571"/>
      <c r="M10193" s="571"/>
    </row>
    <row r="10194" ht="15" customHeight="1" spans="3:13">
      <c r="C10194" s="76"/>
      <c r="D10194" s="75" t="s">
        <v>63</v>
      </c>
      <c r="E10194" s="76" t="s">
        <v>64</v>
      </c>
      <c r="F10194" s="76" t="s">
        <v>65</v>
      </c>
      <c r="G10194" s="76" t="s">
        <v>2889</v>
      </c>
      <c r="H10194" s="76"/>
      <c r="I10194" s="77" t="s">
        <v>66</v>
      </c>
      <c r="J10194" s="75" t="s">
        <v>67</v>
      </c>
      <c r="K10194" s="75" t="s">
        <v>2890</v>
      </c>
      <c r="L10194" s="75" t="s">
        <v>68</v>
      </c>
      <c r="M10194" s="75" t="s">
        <v>70</v>
      </c>
    </row>
    <row r="10195" ht="46.25" customHeight="1" spans="3:13">
      <c r="C10195" s="569" t="s">
        <v>2891</v>
      </c>
      <c r="D10195" s="570" t="s">
        <v>5880</v>
      </c>
      <c r="E10195" s="569" t="s">
        <v>139</v>
      </c>
      <c r="F10195" s="569" t="s">
        <v>5881</v>
      </c>
      <c r="G10195" s="569" t="s">
        <v>5464</v>
      </c>
      <c r="H10195" s="569"/>
      <c r="I10195" s="577" t="s">
        <v>2897</v>
      </c>
      <c r="J10195" s="578">
        <v>1</v>
      </c>
      <c r="K10195" s="579"/>
      <c r="L10195" s="579">
        <v>158.58</v>
      </c>
      <c r="M10195" s="579">
        <v>158.58</v>
      </c>
    </row>
    <row r="10196" ht="15" customHeight="1" spans="3:13">
      <c r="C10196" s="100" t="s">
        <v>2893</v>
      </c>
      <c r="D10196" s="99" t="s">
        <v>5547</v>
      </c>
      <c r="E10196" s="100" t="s">
        <v>139</v>
      </c>
      <c r="F10196" s="100" t="s">
        <v>5548</v>
      </c>
      <c r="G10196" s="100" t="s">
        <v>2961</v>
      </c>
      <c r="H10196" s="100"/>
      <c r="I10196" s="101" t="s">
        <v>3084</v>
      </c>
      <c r="J10196" s="580">
        <v>26.43</v>
      </c>
      <c r="K10196" s="580">
        <v>0</v>
      </c>
      <c r="L10196" s="102">
        <v>6</v>
      </c>
      <c r="M10196" s="102">
        <v>158.58</v>
      </c>
    </row>
    <row r="10197" ht="25.5" spans="3:13">
      <c r="C10197" s="108"/>
      <c r="D10197" s="108"/>
      <c r="E10197" s="108"/>
      <c r="F10197" s="108"/>
      <c r="G10197" s="108"/>
      <c r="H10197" s="108" t="s">
        <v>2898</v>
      </c>
      <c r="I10197" s="581">
        <v>0</v>
      </c>
      <c r="J10197" s="108" t="s">
        <v>2899</v>
      </c>
      <c r="K10197" s="581">
        <v>0</v>
      </c>
      <c r="L10197" s="108" t="s">
        <v>2900</v>
      </c>
      <c r="M10197" s="581">
        <v>0</v>
      </c>
    </row>
    <row r="10198" ht="26.25" spans="3:13">
      <c r="C10198" s="108"/>
      <c r="D10198" s="108"/>
      <c r="E10198" s="108"/>
      <c r="F10198" s="108"/>
      <c r="G10198" s="108"/>
      <c r="H10198" s="108" t="s">
        <v>2901</v>
      </c>
      <c r="I10198" s="581">
        <v>40.42</v>
      </c>
      <c r="J10198" s="114"/>
      <c r="K10198" s="114" t="s">
        <v>2902</v>
      </c>
      <c r="L10198" s="108"/>
      <c r="M10198" s="581">
        <v>199</v>
      </c>
    </row>
    <row r="10199" ht="15" spans="3:13">
      <c r="C10199" s="571"/>
      <c r="D10199" s="571"/>
      <c r="E10199" s="571"/>
      <c r="F10199" s="571"/>
      <c r="G10199" s="571"/>
      <c r="H10199" s="571"/>
      <c r="I10199" s="571"/>
      <c r="J10199" s="571"/>
      <c r="K10199" s="571"/>
      <c r="L10199" s="571"/>
      <c r="M10199" s="571"/>
    </row>
    <row r="10200" ht="15" customHeight="1" spans="3:13">
      <c r="C10200" s="76"/>
      <c r="D10200" s="75" t="s">
        <v>63</v>
      </c>
      <c r="E10200" s="76" t="s">
        <v>64</v>
      </c>
      <c r="F10200" s="76" t="s">
        <v>65</v>
      </c>
      <c r="G10200" s="76" t="s">
        <v>2889</v>
      </c>
      <c r="H10200" s="76"/>
      <c r="I10200" s="77" t="s">
        <v>66</v>
      </c>
      <c r="J10200" s="75" t="s">
        <v>67</v>
      </c>
      <c r="K10200" s="75" t="s">
        <v>2890</v>
      </c>
      <c r="L10200" s="75" t="s">
        <v>68</v>
      </c>
      <c r="M10200" s="75" t="s">
        <v>70</v>
      </c>
    </row>
    <row r="10201" ht="23.85" customHeight="1" spans="3:13">
      <c r="C10201" s="569" t="s">
        <v>2891</v>
      </c>
      <c r="D10201" s="570" t="s">
        <v>3219</v>
      </c>
      <c r="E10201" s="569" t="s">
        <v>139</v>
      </c>
      <c r="F10201" s="569" t="s">
        <v>3220</v>
      </c>
      <c r="G10201" s="569" t="s">
        <v>3221</v>
      </c>
      <c r="H10201" s="569"/>
      <c r="I10201" s="577" t="s">
        <v>134</v>
      </c>
      <c r="J10201" s="578">
        <v>1</v>
      </c>
      <c r="K10201" s="579"/>
      <c r="L10201" s="579">
        <v>82.4</v>
      </c>
      <c r="M10201" s="579">
        <v>82.4</v>
      </c>
    </row>
    <row r="10202" ht="23.85" customHeight="1" spans="3:13">
      <c r="C10202" s="79" t="s">
        <v>2921</v>
      </c>
      <c r="D10202" s="78" t="s">
        <v>3151</v>
      </c>
      <c r="E10202" s="79" t="s">
        <v>139</v>
      </c>
      <c r="F10202" s="79" t="s">
        <v>3152</v>
      </c>
      <c r="G10202" s="79" t="s">
        <v>2928</v>
      </c>
      <c r="H10202" s="79"/>
      <c r="I10202" s="80" t="s">
        <v>2897</v>
      </c>
      <c r="J10202" s="583">
        <v>0.2484</v>
      </c>
      <c r="K10202" s="583">
        <v>0</v>
      </c>
      <c r="L10202" s="92">
        <v>36.82</v>
      </c>
      <c r="M10202" s="92">
        <v>9.14</v>
      </c>
    </row>
    <row r="10203" ht="23.85" customHeight="1" spans="3:13">
      <c r="C10203" s="79" t="s">
        <v>2921</v>
      </c>
      <c r="D10203" s="78" t="s">
        <v>3153</v>
      </c>
      <c r="E10203" s="79" t="s">
        <v>139</v>
      </c>
      <c r="F10203" s="79" t="s">
        <v>3154</v>
      </c>
      <c r="G10203" s="79" t="s">
        <v>2928</v>
      </c>
      <c r="H10203" s="79"/>
      <c r="I10203" s="80" t="s">
        <v>2897</v>
      </c>
      <c r="J10203" s="583">
        <v>0.2484</v>
      </c>
      <c r="K10203" s="583">
        <v>0</v>
      </c>
      <c r="L10203" s="92">
        <v>30.6</v>
      </c>
      <c r="M10203" s="92">
        <v>7.6</v>
      </c>
    </row>
    <row r="10204" ht="23.85" customHeight="1" spans="3:13">
      <c r="C10204" s="100" t="s">
        <v>2893</v>
      </c>
      <c r="D10204" s="99" t="s">
        <v>5888</v>
      </c>
      <c r="E10204" s="100" t="s">
        <v>139</v>
      </c>
      <c r="F10204" s="100" t="s">
        <v>5889</v>
      </c>
      <c r="G10204" s="100" t="s">
        <v>2961</v>
      </c>
      <c r="H10204" s="100"/>
      <c r="I10204" s="101" t="s">
        <v>134</v>
      </c>
      <c r="J10204" s="580">
        <v>1</v>
      </c>
      <c r="K10204" s="580">
        <v>0</v>
      </c>
      <c r="L10204" s="102">
        <v>65.66</v>
      </c>
      <c r="M10204" s="102">
        <v>65.66</v>
      </c>
    </row>
    <row r="10205" ht="25.5" spans="3:13">
      <c r="C10205" s="108"/>
      <c r="D10205" s="108"/>
      <c r="E10205" s="108"/>
      <c r="F10205" s="108"/>
      <c r="G10205" s="108"/>
      <c r="H10205" s="108" t="s">
        <v>2898</v>
      </c>
      <c r="I10205" s="581">
        <v>11.74</v>
      </c>
      <c r="J10205" s="108" t="s">
        <v>2899</v>
      </c>
      <c r="K10205" s="581">
        <v>0</v>
      </c>
      <c r="L10205" s="108" t="s">
        <v>2900</v>
      </c>
      <c r="M10205" s="581">
        <v>11.74</v>
      </c>
    </row>
    <row r="10206" ht="26.25" spans="3:13">
      <c r="C10206" s="108"/>
      <c r="D10206" s="108"/>
      <c r="E10206" s="108"/>
      <c r="F10206" s="108"/>
      <c r="G10206" s="108"/>
      <c r="H10206" s="108" t="s">
        <v>2901</v>
      </c>
      <c r="I10206" s="581">
        <v>21</v>
      </c>
      <c r="J10206" s="114"/>
      <c r="K10206" s="114" t="s">
        <v>2902</v>
      </c>
      <c r="L10206" s="108"/>
      <c r="M10206" s="581">
        <v>103.4</v>
      </c>
    </row>
    <row r="10207" ht="15" spans="3:13">
      <c r="C10207" s="571"/>
      <c r="D10207" s="571"/>
      <c r="E10207" s="571"/>
      <c r="F10207" s="571"/>
      <c r="G10207" s="571"/>
      <c r="H10207" s="571"/>
      <c r="I10207" s="571"/>
      <c r="J10207" s="571"/>
      <c r="K10207" s="571"/>
      <c r="L10207" s="571"/>
      <c r="M10207" s="571"/>
    </row>
    <row r="10208" ht="15" customHeight="1" spans="3:13">
      <c r="C10208" s="76"/>
      <c r="D10208" s="75" t="s">
        <v>63</v>
      </c>
      <c r="E10208" s="76" t="s">
        <v>64</v>
      </c>
      <c r="F10208" s="76" t="s">
        <v>65</v>
      </c>
      <c r="G10208" s="76" t="s">
        <v>2889</v>
      </c>
      <c r="H10208" s="76"/>
      <c r="I10208" s="77" t="s">
        <v>66</v>
      </c>
      <c r="J10208" s="75" t="s">
        <v>67</v>
      </c>
      <c r="K10208" s="75" t="s">
        <v>2890</v>
      </c>
      <c r="L10208" s="75" t="s">
        <v>68</v>
      </c>
      <c r="M10208" s="75" t="s">
        <v>70</v>
      </c>
    </row>
    <row r="10209" ht="23.85" customHeight="1" spans="3:13">
      <c r="C10209" s="569" t="s">
        <v>2891</v>
      </c>
      <c r="D10209" s="570" t="s">
        <v>3485</v>
      </c>
      <c r="E10209" s="569" t="s">
        <v>139</v>
      </c>
      <c r="F10209" s="569" t="s">
        <v>3486</v>
      </c>
      <c r="G10209" s="569" t="s">
        <v>2928</v>
      </c>
      <c r="H10209" s="569"/>
      <c r="I10209" s="577" t="s">
        <v>2897</v>
      </c>
      <c r="J10209" s="578">
        <v>1</v>
      </c>
      <c r="K10209" s="579"/>
      <c r="L10209" s="579">
        <v>37.08</v>
      </c>
      <c r="M10209" s="579">
        <v>37.08</v>
      </c>
    </row>
    <row r="10210" ht="23.85" customHeight="1" spans="3:13">
      <c r="C10210" s="79" t="s">
        <v>2921</v>
      </c>
      <c r="D10210" s="78" t="s">
        <v>5660</v>
      </c>
      <c r="E10210" s="79" t="s">
        <v>139</v>
      </c>
      <c r="F10210" s="79" t="s">
        <v>5661</v>
      </c>
      <c r="G10210" s="79" t="s">
        <v>2928</v>
      </c>
      <c r="H10210" s="79"/>
      <c r="I10210" s="80" t="s">
        <v>2897</v>
      </c>
      <c r="J10210" s="583">
        <v>1</v>
      </c>
      <c r="K10210" s="583">
        <v>0</v>
      </c>
      <c r="L10210" s="92">
        <v>0.56</v>
      </c>
      <c r="M10210" s="92">
        <v>0.56</v>
      </c>
    </row>
    <row r="10211" ht="23.85" customHeight="1" spans="3:13">
      <c r="C10211" s="100" t="s">
        <v>2893</v>
      </c>
      <c r="D10211" s="99" t="s">
        <v>5314</v>
      </c>
      <c r="E10211" s="100" t="s">
        <v>139</v>
      </c>
      <c r="F10211" s="100" t="s">
        <v>5315</v>
      </c>
      <c r="G10211" s="100" t="s">
        <v>2961</v>
      </c>
      <c r="H10211" s="100"/>
      <c r="I10211" s="101" t="s">
        <v>2897</v>
      </c>
      <c r="J10211" s="580">
        <v>1</v>
      </c>
      <c r="K10211" s="580">
        <v>0</v>
      </c>
      <c r="L10211" s="102">
        <v>0.78</v>
      </c>
      <c r="M10211" s="102">
        <v>0.78</v>
      </c>
    </row>
    <row r="10212" ht="15" customHeight="1" spans="3:13">
      <c r="C10212" s="100" t="s">
        <v>2893</v>
      </c>
      <c r="D10212" s="99" t="s">
        <v>5306</v>
      </c>
      <c r="E10212" s="100" t="s">
        <v>139</v>
      </c>
      <c r="F10212" s="100" t="s">
        <v>5307</v>
      </c>
      <c r="G10212" s="100" t="s">
        <v>2961</v>
      </c>
      <c r="H10212" s="100"/>
      <c r="I10212" s="101" t="s">
        <v>2897</v>
      </c>
      <c r="J10212" s="580">
        <v>1</v>
      </c>
      <c r="K10212" s="580">
        <v>0</v>
      </c>
      <c r="L10212" s="102">
        <v>1.43</v>
      </c>
      <c r="M10212" s="102">
        <v>1.43</v>
      </c>
    </row>
    <row r="10213" ht="23.85" customHeight="1" spans="3:13">
      <c r="C10213" s="100" t="s">
        <v>2893</v>
      </c>
      <c r="D10213" s="99" t="s">
        <v>5304</v>
      </c>
      <c r="E10213" s="100" t="s">
        <v>139</v>
      </c>
      <c r="F10213" s="100" t="s">
        <v>5305</v>
      </c>
      <c r="G10213" s="100" t="s">
        <v>2961</v>
      </c>
      <c r="H10213" s="100"/>
      <c r="I10213" s="101" t="s">
        <v>2897</v>
      </c>
      <c r="J10213" s="580">
        <v>1</v>
      </c>
      <c r="K10213" s="580">
        <v>0</v>
      </c>
      <c r="L10213" s="102">
        <v>1.31</v>
      </c>
      <c r="M10213" s="102">
        <v>1.31</v>
      </c>
    </row>
    <row r="10214" ht="15" customHeight="1" spans="3:13">
      <c r="C10214" s="100" t="s">
        <v>2893</v>
      </c>
      <c r="D10214" s="99" t="s">
        <v>5662</v>
      </c>
      <c r="E10214" s="100" t="s">
        <v>139</v>
      </c>
      <c r="F10214" s="100" t="s">
        <v>5663</v>
      </c>
      <c r="G10214" s="100" t="s">
        <v>2896</v>
      </c>
      <c r="H10214" s="100"/>
      <c r="I10214" s="101" t="s">
        <v>2897</v>
      </c>
      <c r="J10214" s="580">
        <v>1</v>
      </c>
      <c r="K10214" s="580">
        <v>0</v>
      </c>
      <c r="L10214" s="102">
        <v>26.5</v>
      </c>
      <c r="M10214" s="102">
        <v>26.5</v>
      </c>
    </row>
    <row r="10215" ht="15" customHeight="1" spans="3:13">
      <c r="C10215" s="100" t="s">
        <v>2893</v>
      </c>
      <c r="D10215" s="99" t="s">
        <v>5312</v>
      </c>
      <c r="E10215" s="100" t="s">
        <v>139</v>
      </c>
      <c r="F10215" s="100" t="s">
        <v>5313</v>
      </c>
      <c r="G10215" s="100" t="s">
        <v>2961</v>
      </c>
      <c r="H10215" s="100"/>
      <c r="I10215" s="101" t="s">
        <v>2897</v>
      </c>
      <c r="J10215" s="580">
        <v>1</v>
      </c>
      <c r="K10215" s="580">
        <v>0</v>
      </c>
      <c r="L10215" s="102">
        <v>0.08</v>
      </c>
      <c r="M10215" s="102">
        <v>0.08</v>
      </c>
    </row>
    <row r="10216" ht="23.85" customHeight="1" spans="3:13">
      <c r="C10216" s="100" t="s">
        <v>2893</v>
      </c>
      <c r="D10216" s="99" t="s">
        <v>5310</v>
      </c>
      <c r="E10216" s="100" t="s">
        <v>139</v>
      </c>
      <c r="F10216" s="100" t="s">
        <v>5311</v>
      </c>
      <c r="G10216" s="100" t="s">
        <v>2961</v>
      </c>
      <c r="H10216" s="100"/>
      <c r="I10216" s="101" t="s">
        <v>2897</v>
      </c>
      <c r="J10216" s="580">
        <v>1</v>
      </c>
      <c r="K10216" s="580">
        <v>0</v>
      </c>
      <c r="L10216" s="102">
        <v>1.58</v>
      </c>
      <c r="M10216" s="102">
        <v>1.58</v>
      </c>
    </row>
    <row r="10217" ht="23.85" customHeight="1" spans="3:13">
      <c r="C10217" s="100" t="s">
        <v>2893</v>
      </c>
      <c r="D10217" s="99" t="s">
        <v>5308</v>
      </c>
      <c r="E10217" s="100" t="s">
        <v>139</v>
      </c>
      <c r="F10217" s="100" t="s">
        <v>5309</v>
      </c>
      <c r="G10217" s="100" t="s">
        <v>2961</v>
      </c>
      <c r="H10217" s="100"/>
      <c r="I10217" s="101" t="s">
        <v>2897</v>
      </c>
      <c r="J10217" s="580">
        <v>1</v>
      </c>
      <c r="K10217" s="580">
        <v>0</v>
      </c>
      <c r="L10217" s="102">
        <v>4.84</v>
      </c>
      <c r="M10217" s="102">
        <v>4.84</v>
      </c>
    </row>
    <row r="10218" ht="25.5" spans="3:13">
      <c r="C10218" s="108"/>
      <c r="D10218" s="108"/>
      <c r="E10218" s="108"/>
      <c r="F10218" s="108"/>
      <c r="G10218" s="108"/>
      <c r="H10218" s="108" t="s">
        <v>2898</v>
      </c>
      <c r="I10218" s="581">
        <v>27.06</v>
      </c>
      <c r="J10218" s="108" t="s">
        <v>2899</v>
      </c>
      <c r="K10218" s="581">
        <v>0</v>
      </c>
      <c r="L10218" s="108" t="s">
        <v>2900</v>
      </c>
      <c r="M10218" s="581">
        <v>27.06</v>
      </c>
    </row>
    <row r="10219" ht="26.25" spans="3:13">
      <c r="C10219" s="108"/>
      <c r="D10219" s="108"/>
      <c r="E10219" s="108"/>
      <c r="F10219" s="108"/>
      <c r="G10219" s="108"/>
      <c r="H10219" s="108" t="s">
        <v>2901</v>
      </c>
      <c r="I10219" s="581">
        <v>9.45</v>
      </c>
      <c r="J10219" s="114"/>
      <c r="K10219" s="114" t="s">
        <v>2902</v>
      </c>
      <c r="L10219" s="108"/>
      <c r="M10219" s="581">
        <v>46.53</v>
      </c>
    </row>
    <row r="10220" ht="15" spans="3:13">
      <c r="C10220" s="571"/>
      <c r="D10220" s="571"/>
      <c r="E10220" s="571"/>
      <c r="F10220" s="571"/>
      <c r="G10220" s="571"/>
      <c r="H10220" s="571"/>
      <c r="I10220" s="571"/>
      <c r="J10220" s="571"/>
      <c r="K10220" s="571"/>
      <c r="L10220" s="571"/>
      <c r="M10220" s="571"/>
    </row>
    <row r="10221" ht="15" customHeight="1" spans="3:13">
      <c r="C10221" s="76"/>
      <c r="D10221" s="75" t="s">
        <v>63</v>
      </c>
      <c r="E10221" s="76" t="s">
        <v>64</v>
      </c>
      <c r="F10221" s="76" t="s">
        <v>65</v>
      </c>
      <c r="G10221" s="76" t="s">
        <v>2889</v>
      </c>
      <c r="H10221" s="76"/>
      <c r="I10221" s="77" t="s">
        <v>66</v>
      </c>
      <c r="J10221" s="75" t="s">
        <v>67</v>
      </c>
      <c r="K10221" s="75" t="s">
        <v>2890</v>
      </c>
      <c r="L10221" s="75" t="s">
        <v>68</v>
      </c>
      <c r="M10221" s="75" t="s">
        <v>70</v>
      </c>
    </row>
    <row r="10222" ht="76.5" spans="3:13">
      <c r="C10222" s="569" t="s">
        <v>2891</v>
      </c>
      <c r="D10222" s="570" t="s">
        <v>3363</v>
      </c>
      <c r="E10222" s="569" t="s">
        <v>77</v>
      </c>
      <c r="F10222" s="569" t="s">
        <v>3364</v>
      </c>
      <c r="G10222" s="569">
        <v>7</v>
      </c>
      <c r="H10222" s="569"/>
      <c r="I10222" s="577" t="s">
        <v>279</v>
      </c>
      <c r="J10222" s="578">
        <v>1</v>
      </c>
      <c r="K10222" s="579"/>
      <c r="L10222" s="579">
        <v>736.24</v>
      </c>
      <c r="M10222" s="579">
        <v>736.24</v>
      </c>
    </row>
    <row r="10223" ht="38.25" spans="3:13">
      <c r="C10223" s="79" t="s">
        <v>2921</v>
      </c>
      <c r="D10223" s="78" t="s">
        <v>5499</v>
      </c>
      <c r="E10223" s="79" t="s">
        <v>77</v>
      </c>
      <c r="F10223" s="79" t="s">
        <v>5494</v>
      </c>
      <c r="G10223" s="79">
        <v>19</v>
      </c>
      <c r="H10223" s="79"/>
      <c r="I10223" s="80" t="s">
        <v>2897</v>
      </c>
      <c r="J10223" s="583">
        <v>0.196</v>
      </c>
      <c r="K10223" s="583">
        <v>0</v>
      </c>
      <c r="L10223" s="92">
        <v>38.13</v>
      </c>
      <c r="M10223" s="92">
        <v>7.47</v>
      </c>
    </row>
    <row r="10224" ht="38.25" spans="3:13">
      <c r="C10224" s="79" t="s">
        <v>2921</v>
      </c>
      <c r="D10224" s="78" t="s">
        <v>5493</v>
      </c>
      <c r="E10224" s="79" t="s">
        <v>77</v>
      </c>
      <c r="F10224" s="79" t="s">
        <v>5494</v>
      </c>
      <c r="G10224" s="79">
        <v>19</v>
      </c>
      <c r="H10224" s="79"/>
      <c r="I10224" s="80" t="s">
        <v>2897</v>
      </c>
      <c r="J10224" s="583">
        <v>0.7</v>
      </c>
      <c r="K10224" s="583">
        <v>0</v>
      </c>
      <c r="L10224" s="92">
        <v>58.94</v>
      </c>
      <c r="M10224" s="92">
        <v>41.25</v>
      </c>
    </row>
    <row r="10225" ht="23.85" customHeight="1" spans="3:13">
      <c r="C10225" s="100" t="s">
        <v>2893</v>
      </c>
      <c r="D10225" s="99" t="s">
        <v>5096</v>
      </c>
      <c r="E10225" s="100" t="s">
        <v>77</v>
      </c>
      <c r="F10225" s="100" t="s">
        <v>5097</v>
      </c>
      <c r="G10225" s="100" t="s">
        <v>2961</v>
      </c>
      <c r="H10225" s="100"/>
      <c r="I10225" s="101" t="s">
        <v>279</v>
      </c>
      <c r="J10225" s="580">
        <v>0.98</v>
      </c>
      <c r="K10225" s="580">
        <v>0</v>
      </c>
      <c r="L10225" s="102">
        <v>113.75</v>
      </c>
      <c r="M10225" s="102">
        <v>111.47</v>
      </c>
    </row>
    <row r="10226" ht="23.85" customHeight="1" spans="3:13">
      <c r="C10226" s="100" t="s">
        <v>2893</v>
      </c>
      <c r="D10226" s="99" t="s">
        <v>5890</v>
      </c>
      <c r="E10226" s="100" t="s">
        <v>77</v>
      </c>
      <c r="F10226" s="100" t="s">
        <v>5891</v>
      </c>
      <c r="G10226" s="100" t="s">
        <v>2896</v>
      </c>
      <c r="H10226" s="100"/>
      <c r="I10226" s="101" t="s">
        <v>2897</v>
      </c>
      <c r="J10226" s="580">
        <v>0.7</v>
      </c>
      <c r="K10226" s="580">
        <v>3</v>
      </c>
      <c r="L10226" s="102">
        <v>29.78</v>
      </c>
      <c r="M10226" s="102">
        <v>21.47</v>
      </c>
    </row>
    <row r="10227" ht="23.85" customHeight="1" spans="3:13">
      <c r="C10227" s="100" t="s">
        <v>2893</v>
      </c>
      <c r="D10227" s="99" t="s">
        <v>5094</v>
      </c>
      <c r="E10227" s="100" t="s">
        <v>77</v>
      </c>
      <c r="F10227" s="100" t="s">
        <v>5095</v>
      </c>
      <c r="G10227" s="100" t="s">
        <v>2961</v>
      </c>
      <c r="H10227" s="100"/>
      <c r="I10227" s="101" t="s">
        <v>393</v>
      </c>
      <c r="J10227" s="580">
        <v>600</v>
      </c>
      <c r="K10227" s="580">
        <v>0</v>
      </c>
      <c r="L10227" s="102">
        <v>0.59</v>
      </c>
      <c r="M10227" s="102">
        <v>354</v>
      </c>
    </row>
    <row r="10228" ht="23.85" customHeight="1" spans="3:13">
      <c r="C10228" s="100" t="s">
        <v>2893</v>
      </c>
      <c r="D10228" s="99" t="s">
        <v>3108</v>
      </c>
      <c r="E10228" s="100" t="s">
        <v>77</v>
      </c>
      <c r="F10228" s="100" t="s">
        <v>3109</v>
      </c>
      <c r="G10228" s="100" t="s">
        <v>2896</v>
      </c>
      <c r="H10228" s="100"/>
      <c r="I10228" s="101" t="s">
        <v>2897</v>
      </c>
      <c r="J10228" s="580">
        <v>6.3</v>
      </c>
      <c r="K10228" s="580">
        <v>3</v>
      </c>
      <c r="L10228" s="102">
        <v>19.16</v>
      </c>
      <c r="M10228" s="102">
        <v>124.32</v>
      </c>
    </row>
    <row r="10229" ht="23.85" customHeight="1" spans="3:13">
      <c r="C10229" s="100" t="s">
        <v>2893</v>
      </c>
      <c r="D10229" s="99" t="s">
        <v>3589</v>
      </c>
      <c r="E10229" s="100" t="s">
        <v>77</v>
      </c>
      <c r="F10229" s="100" t="s">
        <v>3590</v>
      </c>
      <c r="G10229" s="100" t="s">
        <v>2896</v>
      </c>
      <c r="H10229" s="100"/>
      <c r="I10229" s="101" t="s">
        <v>2897</v>
      </c>
      <c r="J10229" s="580">
        <v>2.792</v>
      </c>
      <c r="K10229" s="580">
        <v>3</v>
      </c>
      <c r="L10229" s="102">
        <v>26.52</v>
      </c>
      <c r="M10229" s="102">
        <v>76.26</v>
      </c>
    </row>
    <row r="10230" ht="25.5" spans="3:13">
      <c r="C10230" s="108"/>
      <c r="D10230" s="108"/>
      <c r="E10230" s="108"/>
      <c r="F10230" s="108"/>
      <c r="G10230" s="108"/>
      <c r="H10230" s="108" t="s">
        <v>2898</v>
      </c>
      <c r="I10230" s="581">
        <v>222.05</v>
      </c>
      <c r="J10230" s="108" t="s">
        <v>2899</v>
      </c>
      <c r="K10230" s="581">
        <v>0</v>
      </c>
      <c r="L10230" s="108" t="s">
        <v>2900</v>
      </c>
      <c r="M10230" s="581">
        <v>222.05</v>
      </c>
    </row>
    <row r="10231" ht="26.25" spans="3:13">
      <c r="C10231" s="108"/>
      <c r="D10231" s="108"/>
      <c r="E10231" s="108"/>
      <c r="F10231" s="108"/>
      <c r="G10231" s="108"/>
      <c r="H10231" s="108" t="s">
        <v>2901</v>
      </c>
      <c r="I10231" s="581">
        <v>187.66</v>
      </c>
      <c r="J10231" s="114"/>
      <c r="K10231" s="114" t="s">
        <v>2902</v>
      </c>
      <c r="L10231" s="108"/>
      <c r="M10231" s="581">
        <v>923.9</v>
      </c>
    </row>
    <row r="10232" ht="15" spans="3:13">
      <c r="C10232" s="571"/>
      <c r="D10232" s="571"/>
      <c r="E10232" s="571"/>
      <c r="F10232" s="571"/>
      <c r="G10232" s="571"/>
      <c r="H10232" s="571"/>
      <c r="I10232" s="571"/>
      <c r="J10232" s="571"/>
      <c r="K10232" s="571"/>
      <c r="L10232" s="571"/>
      <c r="M10232" s="571"/>
    </row>
    <row r="10233" ht="15" customHeight="1" spans="3:13">
      <c r="C10233" s="76"/>
      <c r="D10233" s="75" t="s">
        <v>63</v>
      </c>
      <c r="E10233" s="76" t="s">
        <v>64</v>
      </c>
      <c r="F10233" s="76" t="s">
        <v>65</v>
      </c>
      <c r="G10233" s="76" t="s">
        <v>2889</v>
      </c>
      <c r="H10233" s="76"/>
      <c r="I10233" s="77" t="s">
        <v>66</v>
      </c>
      <c r="J10233" s="75" t="s">
        <v>67</v>
      </c>
      <c r="K10233" s="75" t="s">
        <v>2890</v>
      </c>
      <c r="L10233" s="75" t="s">
        <v>68</v>
      </c>
      <c r="M10233" s="75" t="s">
        <v>70</v>
      </c>
    </row>
    <row r="10234" ht="35.05" customHeight="1" spans="3:13">
      <c r="C10234" s="569" t="s">
        <v>2891</v>
      </c>
      <c r="D10234" s="570" t="s">
        <v>3175</v>
      </c>
      <c r="E10234" s="569" t="s">
        <v>139</v>
      </c>
      <c r="F10234" s="569" t="s">
        <v>3176</v>
      </c>
      <c r="G10234" s="569" t="s">
        <v>3150</v>
      </c>
      <c r="H10234" s="569"/>
      <c r="I10234" s="577" t="s">
        <v>134</v>
      </c>
      <c r="J10234" s="578">
        <v>1</v>
      </c>
      <c r="K10234" s="579"/>
      <c r="L10234" s="579">
        <v>45.48</v>
      </c>
      <c r="M10234" s="579">
        <v>45.48</v>
      </c>
    </row>
    <row r="10235" ht="23.85" customHeight="1" spans="3:13">
      <c r="C10235" s="79" t="s">
        <v>2921</v>
      </c>
      <c r="D10235" s="78" t="s">
        <v>3151</v>
      </c>
      <c r="E10235" s="79" t="s">
        <v>139</v>
      </c>
      <c r="F10235" s="79" t="s">
        <v>3152</v>
      </c>
      <c r="G10235" s="79" t="s">
        <v>2928</v>
      </c>
      <c r="H10235" s="79"/>
      <c r="I10235" s="80" t="s">
        <v>2897</v>
      </c>
      <c r="J10235" s="583">
        <v>0.486</v>
      </c>
      <c r="K10235" s="583">
        <v>0</v>
      </c>
      <c r="L10235" s="92">
        <v>36.82</v>
      </c>
      <c r="M10235" s="92">
        <v>17.89</v>
      </c>
    </row>
    <row r="10236" ht="23.85" customHeight="1" spans="3:13">
      <c r="C10236" s="79" t="s">
        <v>2921</v>
      </c>
      <c r="D10236" s="78" t="s">
        <v>3153</v>
      </c>
      <c r="E10236" s="79" t="s">
        <v>139</v>
      </c>
      <c r="F10236" s="79" t="s">
        <v>3154</v>
      </c>
      <c r="G10236" s="79" t="s">
        <v>2928</v>
      </c>
      <c r="H10236" s="79"/>
      <c r="I10236" s="80" t="s">
        <v>2897</v>
      </c>
      <c r="J10236" s="583">
        <v>0.486</v>
      </c>
      <c r="K10236" s="583">
        <v>0</v>
      </c>
      <c r="L10236" s="92">
        <v>30.6</v>
      </c>
      <c r="M10236" s="92">
        <v>14.87</v>
      </c>
    </row>
    <row r="10237" ht="15" customHeight="1" spans="3:13">
      <c r="C10237" s="100" t="s">
        <v>2893</v>
      </c>
      <c r="D10237" s="99" t="s">
        <v>5892</v>
      </c>
      <c r="E10237" s="100" t="s">
        <v>139</v>
      </c>
      <c r="F10237" s="100" t="s">
        <v>5893</v>
      </c>
      <c r="G10237" s="100" t="s">
        <v>2961</v>
      </c>
      <c r="H10237" s="100"/>
      <c r="I10237" s="101" t="s">
        <v>134</v>
      </c>
      <c r="J10237" s="580">
        <v>1</v>
      </c>
      <c r="K10237" s="580">
        <v>0</v>
      </c>
      <c r="L10237" s="102">
        <v>5.95</v>
      </c>
      <c r="M10237" s="102">
        <v>5.95</v>
      </c>
    </row>
    <row r="10238" ht="15" customHeight="1" spans="3:13">
      <c r="C10238" s="100" t="s">
        <v>2893</v>
      </c>
      <c r="D10238" s="99" t="s">
        <v>4386</v>
      </c>
      <c r="E10238" s="100" t="s">
        <v>139</v>
      </c>
      <c r="F10238" s="100" t="s">
        <v>4387</v>
      </c>
      <c r="G10238" s="100" t="s">
        <v>2961</v>
      </c>
      <c r="H10238" s="100"/>
      <c r="I10238" s="101" t="s">
        <v>134</v>
      </c>
      <c r="J10238" s="580">
        <v>1</v>
      </c>
      <c r="K10238" s="580">
        <v>0</v>
      </c>
      <c r="L10238" s="102">
        <v>6.77</v>
      </c>
      <c r="M10238" s="102">
        <v>6.77</v>
      </c>
    </row>
    <row r="10239" ht="25.5" spans="3:13">
      <c r="C10239" s="108"/>
      <c r="D10239" s="108"/>
      <c r="E10239" s="108"/>
      <c r="F10239" s="108"/>
      <c r="G10239" s="108"/>
      <c r="H10239" s="108" t="s">
        <v>2898</v>
      </c>
      <c r="I10239" s="581">
        <v>22.99</v>
      </c>
      <c r="J10239" s="108" t="s">
        <v>2899</v>
      </c>
      <c r="K10239" s="581">
        <v>0</v>
      </c>
      <c r="L10239" s="108" t="s">
        <v>2900</v>
      </c>
      <c r="M10239" s="581">
        <v>22.99</v>
      </c>
    </row>
    <row r="10240" ht="26.25" spans="3:13">
      <c r="C10240" s="108"/>
      <c r="D10240" s="108"/>
      <c r="E10240" s="108"/>
      <c r="F10240" s="108"/>
      <c r="G10240" s="108"/>
      <c r="H10240" s="108" t="s">
        <v>2901</v>
      </c>
      <c r="I10240" s="581">
        <v>11.59</v>
      </c>
      <c r="J10240" s="114"/>
      <c r="K10240" s="114" t="s">
        <v>2902</v>
      </c>
      <c r="L10240" s="108"/>
      <c r="M10240" s="581">
        <v>57.07</v>
      </c>
    </row>
    <row r="10241" ht="15" spans="3:13">
      <c r="C10241" s="571"/>
      <c r="D10241" s="571"/>
      <c r="E10241" s="571"/>
      <c r="F10241" s="571"/>
      <c r="G10241" s="571"/>
      <c r="H10241" s="571"/>
      <c r="I10241" s="571"/>
      <c r="J10241" s="571"/>
      <c r="K10241" s="571"/>
      <c r="L10241" s="571"/>
      <c r="M10241" s="571"/>
    </row>
    <row r="10242" ht="15" customHeight="1" spans="3:13">
      <c r="C10242" s="76"/>
      <c r="D10242" s="75" t="s">
        <v>63</v>
      </c>
      <c r="E10242" s="76" t="s">
        <v>64</v>
      </c>
      <c r="F10242" s="76" t="s">
        <v>65</v>
      </c>
      <c r="G10242" s="76" t="s">
        <v>2889</v>
      </c>
      <c r="H10242" s="76"/>
      <c r="I10242" s="77" t="s">
        <v>66</v>
      </c>
      <c r="J10242" s="75" t="s">
        <v>67</v>
      </c>
      <c r="K10242" s="75" t="s">
        <v>2890</v>
      </c>
      <c r="L10242" s="75" t="s">
        <v>68</v>
      </c>
      <c r="M10242" s="75" t="s">
        <v>70</v>
      </c>
    </row>
    <row r="10243" ht="35.05" customHeight="1" spans="3:13">
      <c r="C10243" s="569" t="s">
        <v>2891</v>
      </c>
      <c r="D10243" s="570" t="s">
        <v>4382</v>
      </c>
      <c r="E10243" s="569" t="s">
        <v>139</v>
      </c>
      <c r="F10243" s="569" t="s">
        <v>4383</v>
      </c>
      <c r="G10243" s="569" t="s">
        <v>3150</v>
      </c>
      <c r="H10243" s="569"/>
      <c r="I10243" s="577" t="s">
        <v>134</v>
      </c>
      <c r="J10243" s="578">
        <v>1</v>
      </c>
      <c r="K10243" s="579"/>
      <c r="L10243" s="579">
        <v>21.58</v>
      </c>
      <c r="M10243" s="579">
        <v>21.58</v>
      </c>
    </row>
    <row r="10244" ht="23.85" customHeight="1" spans="3:13">
      <c r="C10244" s="79" t="s">
        <v>2921</v>
      </c>
      <c r="D10244" s="78" t="s">
        <v>3151</v>
      </c>
      <c r="E10244" s="79" t="s">
        <v>139</v>
      </c>
      <c r="F10244" s="79" t="s">
        <v>3152</v>
      </c>
      <c r="G10244" s="79" t="s">
        <v>2928</v>
      </c>
      <c r="H10244" s="79"/>
      <c r="I10244" s="80" t="s">
        <v>2897</v>
      </c>
      <c r="J10244" s="583">
        <v>0.232</v>
      </c>
      <c r="K10244" s="583">
        <v>0</v>
      </c>
      <c r="L10244" s="92">
        <v>36.82</v>
      </c>
      <c r="M10244" s="92">
        <v>8.54</v>
      </c>
    </row>
    <row r="10245" ht="23.85" customHeight="1" spans="3:13">
      <c r="C10245" s="79" t="s">
        <v>2921</v>
      </c>
      <c r="D10245" s="78" t="s">
        <v>3153</v>
      </c>
      <c r="E10245" s="79" t="s">
        <v>139</v>
      </c>
      <c r="F10245" s="79" t="s">
        <v>3154</v>
      </c>
      <c r="G10245" s="79" t="s">
        <v>2928</v>
      </c>
      <c r="H10245" s="79"/>
      <c r="I10245" s="80" t="s">
        <v>2897</v>
      </c>
      <c r="J10245" s="583">
        <v>0.232</v>
      </c>
      <c r="K10245" s="583">
        <v>0</v>
      </c>
      <c r="L10245" s="92">
        <v>30.6</v>
      </c>
      <c r="M10245" s="92">
        <v>7.09</v>
      </c>
    </row>
    <row r="10246" ht="15" customHeight="1" spans="3:13">
      <c r="C10246" s="100" t="s">
        <v>2893</v>
      </c>
      <c r="D10246" s="99" t="s">
        <v>5892</v>
      </c>
      <c r="E10246" s="100" t="s">
        <v>139</v>
      </c>
      <c r="F10246" s="100" t="s">
        <v>5893</v>
      </c>
      <c r="G10246" s="100" t="s">
        <v>2961</v>
      </c>
      <c r="H10246" s="100"/>
      <c r="I10246" s="101" t="s">
        <v>134</v>
      </c>
      <c r="J10246" s="580">
        <v>1</v>
      </c>
      <c r="K10246" s="580">
        <v>0</v>
      </c>
      <c r="L10246" s="102">
        <v>5.95</v>
      </c>
      <c r="M10246" s="102">
        <v>5.95</v>
      </c>
    </row>
    <row r="10247" ht="25.5" spans="3:13">
      <c r="C10247" s="108"/>
      <c r="D10247" s="108"/>
      <c r="E10247" s="108"/>
      <c r="F10247" s="108"/>
      <c r="G10247" s="108"/>
      <c r="H10247" s="108" t="s">
        <v>2898</v>
      </c>
      <c r="I10247" s="581">
        <v>10.97</v>
      </c>
      <c r="J10247" s="108" t="s">
        <v>2899</v>
      </c>
      <c r="K10247" s="581">
        <v>0</v>
      </c>
      <c r="L10247" s="108" t="s">
        <v>2900</v>
      </c>
      <c r="M10247" s="581">
        <v>10.97</v>
      </c>
    </row>
    <row r="10248" ht="26.25" spans="3:13">
      <c r="C10248" s="108"/>
      <c r="D10248" s="108"/>
      <c r="E10248" s="108"/>
      <c r="F10248" s="108"/>
      <c r="G10248" s="108"/>
      <c r="H10248" s="108" t="s">
        <v>2901</v>
      </c>
      <c r="I10248" s="581">
        <v>5.5</v>
      </c>
      <c r="J10248" s="114"/>
      <c r="K10248" s="114" t="s">
        <v>2902</v>
      </c>
      <c r="L10248" s="108"/>
      <c r="M10248" s="581">
        <v>27.08</v>
      </c>
    </row>
    <row r="10249" ht="15" spans="3:13">
      <c r="C10249" s="571"/>
      <c r="D10249" s="571"/>
      <c r="E10249" s="571"/>
      <c r="F10249" s="571"/>
      <c r="G10249" s="571"/>
      <c r="H10249" s="571"/>
      <c r="I10249" s="571"/>
      <c r="J10249" s="571"/>
      <c r="K10249" s="571"/>
      <c r="L10249" s="571"/>
      <c r="M10249" s="571"/>
    </row>
    <row r="10250" ht="15" customHeight="1" spans="3:13">
      <c r="C10250" s="76"/>
      <c r="D10250" s="75" t="s">
        <v>63</v>
      </c>
      <c r="E10250" s="76" t="s">
        <v>64</v>
      </c>
      <c r="F10250" s="76" t="s">
        <v>65</v>
      </c>
      <c r="G10250" s="76" t="s">
        <v>2889</v>
      </c>
      <c r="H10250" s="76"/>
      <c r="I10250" s="77" t="s">
        <v>66</v>
      </c>
      <c r="J10250" s="75" t="s">
        <v>67</v>
      </c>
      <c r="K10250" s="75" t="s">
        <v>2890</v>
      </c>
      <c r="L10250" s="75" t="s">
        <v>68</v>
      </c>
      <c r="M10250" s="75" t="s">
        <v>70</v>
      </c>
    </row>
    <row r="10251" ht="35.05" customHeight="1" spans="3:13">
      <c r="C10251" s="569" t="s">
        <v>2891</v>
      </c>
      <c r="D10251" s="570" t="s">
        <v>4384</v>
      </c>
      <c r="E10251" s="569" t="s">
        <v>139</v>
      </c>
      <c r="F10251" s="569" t="s">
        <v>4385</v>
      </c>
      <c r="G10251" s="569" t="s">
        <v>3150</v>
      </c>
      <c r="H10251" s="569"/>
      <c r="I10251" s="577" t="s">
        <v>134</v>
      </c>
      <c r="J10251" s="578">
        <v>1</v>
      </c>
      <c r="K10251" s="579"/>
      <c r="L10251" s="579">
        <v>39</v>
      </c>
      <c r="M10251" s="579">
        <v>39</v>
      </c>
    </row>
    <row r="10252" ht="23.85" customHeight="1" spans="3:13">
      <c r="C10252" s="79" t="s">
        <v>2921</v>
      </c>
      <c r="D10252" s="78" t="s">
        <v>3153</v>
      </c>
      <c r="E10252" s="79" t="s">
        <v>139</v>
      </c>
      <c r="F10252" s="79" t="s">
        <v>3154</v>
      </c>
      <c r="G10252" s="79" t="s">
        <v>2928</v>
      </c>
      <c r="H10252" s="79"/>
      <c r="I10252" s="80" t="s">
        <v>2897</v>
      </c>
      <c r="J10252" s="583">
        <v>0.402</v>
      </c>
      <c r="K10252" s="583">
        <v>0</v>
      </c>
      <c r="L10252" s="92">
        <v>30.6</v>
      </c>
      <c r="M10252" s="92">
        <v>12.3</v>
      </c>
    </row>
    <row r="10253" ht="23.85" customHeight="1" spans="3:13">
      <c r="C10253" s="79" t="s">
        <v>2921</v>
      </c>
      <c r="D10253" s="78" t="s">
        <v>3151</v>
      </c>
      <c r="E10253" s="79" t="s">
        <v>139</v>
      </c>
      <c r="F10253" s="79" t="s">
        <v>3152</v>
      </c>
      <c r="G10253" s="79" t="s">
        <v>2928</v>
      </c>
      <c r="H10253" s="79"/>
      <c r="I10253" s="80" t="s">
        <v>2897</v>
      </c>
      <c r="J10253" s="583">
        <v>0.402</v>
      </c>
      <c r="K10253" s="583">
        <v>0</v>
      </c>
      <c r="L10253" s="92">
        <v>36.82</v>
      </c>
      <c r="M10253" s="92">
        <v>14.8</v>
      </c>
    </row>
    <row r="10254" ht="15" customHeight="1" spans="3:13">
      <c r="C10254" s="100" t="s">
        <v>2893</v>
      </c>
      <c r="D10254" s="99" t="s">
        <v>5892</v>
      </c>
      <c r="E10254" s="100" t="s">
        <v>139</v>
      </c>
      <c r="F10254" s="100" t="s">
        <v>5893</v>
      </c>
      <c r="G10254" s="100" t="s">
        <v>2961</v>
      </c>
      <c r="H10254" s="100"/>
      <c r="I10254" s="101" t="s">
        <v>134</v>
      </c>
      <c r="J10254" s="580">
        <v>2</v>
      </c>
      <c r="K10254" s="580">
        <v>0</v>
      </c>
      <c r="L10254" s="102">
        <v>5.95</v>
      </c>
      <c r="M10254" s="102">
        <v>11.9</v>
      </c>
    </row>
    <row r="10255" ht="25.5" spans="3:13">
      <c r="C10255" s="108"/>
      <c r="D10255" s="108"/>
      <c r="E10255" s="108"/>
      <c r="F10255" s="108"/>
      <c r="G10255" s="108"/>
      <c r="H10255" s="108" t="s">
        <v>2898</v>
      </c>
      <c r="I10255" s="581">
        <v>19.02</v>
      </c>
      <c r="J10255" s="108" t="s">
        <v>2899</v>
      </c>
      <c r="K10255" s="581">
        <v>0</v>
      </c>
      <c r="L10255" s="108" t="s">
        <v>2900</v>
      </c>
      <c r="M10255" s="581">
        <v>19.02</v>
      </c>
    </row>
    <row r="10256" ht="26.25" spans="3:13">
      <c r="C10256" s="108"/>
      <c r="D10256" s="108"/>
      <c r="E10256" s="108"/>
      <c r="F10256" s="108"/>
      <c r="G10256" s="108"/>
      <c r="H10256" s="108" t="s">
        <v>2901</v>
      </c>
      <c r="I10256" s="581">
        <v>9.94</v>
      </c>
      <c r="J10256" s="114"/>
      <c r="K10256" s="114" t="s">
        <v>2902</v>
      </c>
      <c r="L10256" s="108"/>
      <c r="M10256" s="581">
        <v>48.94</v>
      </c>
    </row>
    <row r="10257" ht="15" spans="3:13">
      <c r="C10257" s="571"/>
      <c r="D10257" s="571"/>
      <c r="E10257" s="571"/>
      <c r="F10257" s="571"/>
      <c r="G10257" s="571"/>
      <c r="H10257" s="571"/>
      <c r="I10257" s="571"/>
      <c r="J10257" s="571"/>
      <c r="K10257" s="571"/>
      <c r="L10257" s="571"/>
      <c r="M10257" s="571"/>
    </row>
    <row r="10258" ht="15" customHeight="1" spans="3:13">
      <c r="C10258" s="76"/>
      <c r="D10258" s="75" t="s">
        <v>63</v>
      </c>
      <c r="E10258" s="76" t="s">
        <v>64</v>
      </c>
      <c r="F10258" s="76" t="s">
        <v>65</v>
      </c>
      <c r="G10258" s="76" t="s">
        <v>2889</v>
      </c>
      <c r="H10258" s="76"/>
      <c r="I10258" s="77" t="s">
        <v>66</v>
      </c>
      <c r="J10258" s="75" t="s">
        <v>67</v>
      </c>
      <c r="K10258" s="75" t="s">
        <v>2890</v>
      </c>
      <c r="L10258" s="75" t="s">
        <v>68</v>
      </c>
      <c r="M10258" s="75" t="s">
        <v>70</v>
      </c>
    </row>
    <row r="10259" ht="23.85" customHeight="1" spans="3:13">
      <c r="C10259" s="569" t="s">
        <v>2891</v>
      </c>
      <c r="D10259" s="570" t="s">
        <v>5167</v>
      </c>
      <c r="E10259" s="569" t="s">
        <v>139</v>
      </c>
      <c r="F10259" s="569" t="s">
        <v>5168</v>
      </c>
      <c r="G10259" s="569" t="s">
        <v>2928</v>
      </c>
      <c r="H10259" s="569"/>
      <c r="I10259" s="577" t="s">
        <v>2897</v>
      </c>
      <c r="J10259" s="578">
        <v>1</v>
      </c>
      <c r="K10259" s="579"/>
      <c r="L10259" s="579">
        <v>30.3</v>
      </c>
      <c r="M10259" s="579">
        <v>30.3</v>
      </c>
    </row>
    <row r="10260" ht="23.85" customHeight="1" spans="3:13">
      <c r="C10260" s="79" t="s">
        <v>2921</v>
      </c>
      <c r="D10260" s="78" t="s">
        <v>5664</v>
      </c>
      <c r="E10260" s="79" t="s">
        <v>139</v>
      </c>
      <c r="F10260" s="79" t="s">
        <v>5665</v>
      </c>
      <c r="G10260" s="79" t="s">
        <v>2928</v>
      </c>
      <c r="H10260" s="79"/>
      <c r="I10260" s="80" t="s">
        <v>2897</v>
      </c>
      <c r="J10260" s="583">
        <v>1</v>
      </c>
      <c r="K10260" s="583">
        <v>0</v>
      </c>
      <c r="L10260" s="92">
        <v>0.1</v>
      </c>
      <c r="M10260" s="92">
        <v>0.1</v>
      </c>
    </row>
    <row r="10261" ht="15" customHeight="1" spans="3:13">
      <c r="C10261" s="100" t="s">
        <v>2893</v>
      </c>
      <c r="D10261" s="99" t="s">
        <v>5312</v>
      </c>
      <c r="E10261" s="100" t="s">
        <v>139</v>
      </c>
      <c r="F10261" s="100" t="s">
        <v>5313</v>
      </c>
      <c r="G10261" s="100" t="s">
        <v>2961</v>
      </c>
      <c r="H10261" s="100"/>
      <c r="I10261" s="101" t="s">
        <v>2897</v>
      </c>
      <c r="J10261" s="580">
        <v>1</v>
      </c>
      <c r="K10261" s="580">
        <v>0</v>
      </c>
      <c r="L10261" s="102">
        <v>0.08</v>
      </c>
      <c r="M10261" s="102">
        <v>0.08</v>
      </c>
    </row>
    <row r="10262" ht="23.85" customHeight="1" spans="3:13">
      <c r="C10262" s="100" t="s">
        <v>2893</v>
      </c>
      <c r="D10262" s="99" t="s">
        <v>5308</v>
      </c>
      <c r="E10262" s="100" t="s">
        <v>139</v>
      </c>
      <c r="F10262" s="100" t="s">
        <v>5309</v>
      </c>
      <c r="G10262" s="100" t="s">
        <v>2961</v>
      </c>
      <c r="H10262" s="100"/>
      <c r="I10262" s="101" t="s">
        <v>2897</v>
      </c>
      <c r="J10262" s="580">
        <v>1</v>
      </c>
      <c r="K10262" s="580">
        <v>0</v>
      </c>
      <c r="L10262" s="102">
        <v>4.84</v>
      </c>
      <c r="M10262" s="102">
        <v>4.84</v>
      </c>
    </row>
    <row r="10263" ht="15" customHeight="1" spans="3:13">
      <c r="C10263" s="100" t="s">
        <v>2893</v>
      </c>
      <c r="D10263" s="99" t="s">
        <v>5666</v>
      </c>
      <c r="E10263" s="100" t="s">
        <v>139</v>
      </c>
      <c r="F10263" s="100" t="s">
        <v>5667</v>
      </c>
      <c r="G10263" s="100" t="s">
        <v>2896</v>
      </c>
      <c r="H10263" s="100"/>
      <c r="I10263" s="101" t="s">
        <v>2897</v>
      </c>
      <c r="J10263" s="580">
        <v>1</v>
      </c>
      <c r="K10263" s="580">
        <v>0</v>
      </c>
      <c r="L10263" s="102">
        <v>20.18</v>
      </c>
      <c r="M10263" s="102">
        <v>20.18</v>
      </c>
    </row>
    <row r="10264" ht="23.85" customHeight="1" spans="3:13">
      <c r="C10264" s="100" t="s">
        <v>2893</v>
      </c>
      <c r="D10264" s="99" t="s">
        <v>5310</v>
      </c>
      <c r="E10264" s="100" t="s">
        <v>139</v>
      </c>
      <c r="F10264" s="100" t="s">
        <v>5311</v>
      </c>
      <c r="G10264" s="100" t="s">
        <v>2961</v>
      </c>
      <c r="H10264" s="100"/>
      <c r="I10264" s="101" t="s">
        <v>2897</v>
      </c>
      <c r="J10264" s="580">
        <v>1</v>
      </c>
      <c r="K10264" s="580">
        <v>0</v>
      </c>
      <c r="L10264" s="102">
        <v>1.58</v>
      </c>
      <c r="M10264" s="102">
        <v>1.58</v>
      </c>
    </row>
    <row r="10265" ht="23.85" customHeight="1" spans="3:13">
      <c r="C10265" s="100" t="s">
        <v>2893</v>
      </c>
      <c r="D10265" s="99" t="s">
        <v>5304</v>
      </c>
      <c r="E10265" s="100" t="s">
        <v>139</v>
      </c>
      <c r="F10265" s="100" t="s">
        <v>5305</v>
      </c>
      <c r="G10265" s="100" t="s">
        <v>2961</v>
      </c>
      <c r="H10265" s="100"/>
      <c r="I10265" s="101" t="s">
        <v>2897</v>
      </c>
      <c r="J10265" s="580">
        <v>1</v>
      </c>
      <c r="K10265" s="580">
        <v>0</v>
      </c>
      <c r="L10265" s="102">
        <v>1.31</v>
      </c>
      <c r="M10265" s="102">
        <v>1.31</v>
      </c>
    </row>
    <row r="10266" ht="23.85" customHeight="1" spans="3:13">
      <c r="C10266" s="100" t="s">
        <v>2893</v>
      </c>
      <c r="D10266" s="99" t="s">
        <v>5314</v>
      </c>
      <c r="E10266" s="100" t="s">
        <v>139</v>
      </c>
      <c r="F10266" s="100" t="s">
        <v>5315</v>
      </c>
      <c r="G10266" s="100" t="s">
        <v>2961</v>
      </c>
      <c r="H10266" s="100"/>
      <c r="I10266" s="101" t="s">
        <v>2897</v>
      </c>
      <c r="J10266" s="580">
        <v>1</v>
      </c>
      <c r="K10266" s="580">
        <v>0</v>
      </c>
      <c r="L10266" s="102">
        <v>0.78</v>
      </c>
      <c r="M10266" s="102">
        <v>0.78</v>
      </c>
    </row>
    <row r="10267" ht="15" customHeight="1" spans="3:13">
      <c r="C10267" s="100" t="s">
        <v>2893</v>
      </c>
      <c r="D10267" s="99" t="s">
        <v>5306</v>
      </c>
      <c r="E10267" s="100" t="s">
        <v>139</v>
      </c>
      <c r="F10267" s="100" t="s">
        <v>5307</v>
      </c>
      <c r="G10267" s="100" t="s">
        <v>2961</v>
      </c>
      <c r="H10267" s="100"/>
      <c r="I10267" s="101" t="s">
        <v>2897</v>
      </c>
      <c r="J10267" s="580">
        <v>1</v>
      </c>
      <c r="K10267" s="580">
        <v>0</v>
      </c>
      <c r="L10267" s="102">
        <v>1.43</v>
      </c>
      <c r="M10267" s="102">
        <v>1.43</v>
      </c>
    </row>
    <row r="10268" ht="25.5" spans="3:13">
      <c r="C10268" s="108"/>
      <c r="D10268" s="108"/>
      <c r="E10268" s="108"/>
      <c r="F10268" s="108"/>
      <c r="G10268" s="108"/>
      <c r="H10268" s="108" t="s">
        <v>2898</v>
      </c>
      <c r="I10268" s="581">
        <v>20.28</v>
      </c>
      <c r="J10268" s="108" t="s">
        <v>2899</v>
      </c>
      <c r="K10268" s="581">
        <v>0</v>
      </c>
      <c r="L10268" s="108" t="s">
        <v>2900</v>
      </c>
      <c r="M10268" s="581">
        <v>20.28</v>
      </c>
    </row>
    <row r="10269" ht="26.25" spans="3:13">
      <c r="C10269" s="108"/>
      <c r="D10269" s="108"/>
      <c r="E10269" s="108"/>
      <c r="F10269" s="108"/>
      <c r="G10269" s="108"/>
      <c r="H10269" s="108" t="s">
        <v>2901</v>
      </c>
      <c r="I10269" s="581">
        <v>7.72</v>
      </c>
      <c r="J10269" s="114"/>
      <c r="K10269" s="114" t="s">
        <v>2902</v>
      </c>
      <c r="L10269" s="108"/>
      <c r="M10269" s="581">
        <v>38.02</v>
      </c>
    </row>
    <row r="10270" ht="15" spans="3:13">
      <c r="C10270" s="571"/>
      <c r="D10270" s="571"/>
      <c r="E10270" s="571"/>
      <c r="F10270" s="571"/>
      <c r="G10270" s="571"/>
      <c r="H10270" s="571"/>
      <c r="I10270" s="571"/>
      <c r="J10270" s="571"/>
      <c r="K10270" s="571"/>
      <c r="L10270" s="571"/>
      <c r="M10270" s="571"/>
    </row>
    <row r="10271" ht="15" customHeight="1" spans="3:13">
      <c r="C10271" s="76"/>
      <c r="D10271" s="75" t="s">
        <v>63</v>
      </c>
      <c r="E10271" s="76" t="s">
        <v>64</v>
      </c>
      <c r="F10271" s="76" t="s">
        <v>65</v>
      </c>
      <c r="G10271" s="76" t="s">
        <v>2889</v>
      </c>
      <c r="H10271" s="76"/>
      <c r="I10271" s="77" t="s">
        <v>66</v>
      </c>
      <c r="J10271" s="75" t="s">
        <v>67</v>
      </c>
      <c r="K10271" s="75" t="s">
        <v>2890</v>
      </c>
      <c r="L10271" s="75" t="s">
        <v>68</v>
      </c>
      <c r="M10271" s="75" t="s">
        <v>70</v>
      </c>
    </row>
    <row r="10272" ht="35.05" customHeight="1" spans="3:13">
      <c r="C10272" s="569" t="s">
        <v>2891</v>
      </c>
      <c r="D10272" s="570" t="s">
        <v>3142</v>
      </c>
      <c r="E10272" s="569" t="s">
        <v>139</v>
      </c>
      <c r="F10272" s="569" t="s">
        <v>3143</v>
      </c>
      <c r="G10272" s="569" t="s">
        <v>3135</v>
      </c>
      <c r="H10272" s="569"/>
      <c r="I10272" s="577" t="s">
        <v>134</v>
      </c>
      <c r="J10272" s="578">
        <v>1</v>
      </c>
      <c r="K10272" s="579"/>
      <c r="L10272" s="579">
        <v>18.67</v>
      </c>
      <c r="M10272" s="579">
        <v>18.67</v>
      </c>
    </row>
    <row r="10273" ht="23.85" customHeight="1" spans="3:13">
      <c r="C10273" s="79" t="s">
        <v>2921</v>
      </c>
      <c r="D10273" s="78" t="s">
        <v>3144</v>
      </c>
      <c r="E10273" s="79" t="s">
        <v>139</v>
      </c>
      <c r="F10273" s="79" t="s">
        <v>3145</v>
      </c>
      <c r="G10273" s="79" t="s">
        <v>2928</v>
      </c>
      <c r="H10273" s="79"/>
      <c r="I10273" s="80" t="s">
        <v>2897</v>
      </c>
      <c r="J10273" s="583">
        <v>0.1416</v>
      </c>
      <c r="K10273" s="583">
        <v>0</v>
      </c>
      <c r="L10273" s="92">
        <v>35.55</v>
      </c>
      <c r="M10273" s="92">
        <v>5.03</v>
      </c>
    </row>
    <row r="10274" ht="23.85" customHeight="1" spans="3:13">
      <c r="C10274" s="79" t="s">
        <v>2921</v>
      </c>
      <c r="D10274" s="78" t="s">
        <v>3146</v>
      </c>
      <c r="E10274" s="79" t="s">
        <v>139</v>
      </c>
      <c r="F10274" s="79" t="s">
        <v>3147</v>
      </c>
      <c r="G10274" s="79" t="s">
        <v>2928</v>
      </c>
      <c r="H10274" s="79"/>
      <c r="I10274" s="80" t="s">
        <v>2897</v>
      </c>
      <c r="J10274" s="583">
        <v>0.1416</v>
      </c>
      <c r="K10274" s="583">
        <v>0</v>
      </c>
      <c r="L10274" s="92">
        <v>29.54</v>
      </c>
      <c r="M10274" s="92">
        <v>4.18</v>
      </c>
    </row>
    <row r="10275" ht="23.85" customHeight="1" spans="3:13">
      <c r="C10275" s="100" t="s">
        <v>2893</v>
      </c>
      <c r="D10275" s="99" t="s">
        <v>3616</v>
      </c>
      <c r="E10275" s="100" t="s">
        <v>139</v>
      </c>
      <c r="F10275" s="100" t="s">
        <v>3617</v>
      </c>
      <c r="G10275" s="100" t="s">
        <v>2961</v>
      </c>
      <c r="H10275" s="100"/>
      <c r="I10275" s="101" t="s">
        <v>134</v>
      </c>
      <c r="J10275" s="580">
        <v>0.007</v>
      </c>
      <c r="K10275" s="580">
        <v>0</v>
      </c>
      <c r="L10275" s="102">
        <v>82.38</v>
      </c>
      <c r="M10275" s="102">
        <v>0.57</v>
      </c>
    </row>
    <row r="10276" ht="15" customHeight="1" spans="3:13">
      <c r="C10276" s="100" t="s">
        <v>2893</v>
      </c>
      <c r="D10276" s="99" t="s">
        <v>3618</v>
      </c>
      <c r="E10276" s="100" t="s">
        <v>139</v>
      </c>
      <c r="F10276" s="100" t="s">
        <v>3619</v>
      </c>
      <c r="G10276" s="100" t="s">
        <v>2961</v>
      </c>
      <c r="H10276" s="100"/>
      <c r="I10276" s="101" t="s">
        <v>134</v>
      </c>
      <c r="J10276" s="580">
        <v>0.0059</v>
      </c>
      <c r="K10276" s="580">
        <v>0</v>
      </c>
      <c r="L10276" s="102">
        <v>72.71</v>
      </c>
      <c r="M10276" s="102">
        <v>0.42</v>
      </c>
    </row>
    <row r="10277" ht="23.85" customHeight="1" spans="3:13">
      <c r="C10277" s="100" t="s">
        <v>2893</v>
      </c>
      <c r="D10277" s="99" t="s">
        <v>5894</v>
      </c>
      <c r="E10277" s="100" t="s">
        <v>139</v>
      </c>
      <c r="F10277" s="100" t="s">
        <v>5895</v>
      </c>
      <c r="G10277" s="100" t="s">
        <v>2961</v>
      </c>
      <c r="H10277" s="100"/>
      <c r="I10277" s="101" t="s">
        <v>134</v>
      </c>
      <c r="J10277" s="580">
        <v>1</v>
      </c>
      <c r="K10277" s="580">
        <v>0</v>
      </c>
      <c r="L10277" s="102">
        <v>8.4</v>
      </c>
      <c r="M10277" s="102">
        <v>8.4</v>
      </c>
    </row>
    <row r="10278" ht="15" customHeight="1" spans="3:13">
      <c r="C10278" s="100" t="s">
        <v>2893</v>
      </c>
      <c r="D10278" s="99" t="s">
        <v>3609</v>
      </c>
      <c r="E10278" s="100" t="s">
        <v>139</v>
      </c>
      <c r="F10278" s="100" t="s">
        <v>3610</v>
      </c>
      <c r="G10278" s="100" t="s">
        <v>2961</v>
      </c>
      <c r="H10278" s="100"/>
      <c r="I10278" s="101" t="s">
        <v>134</v>
      </c>
      <c r="J10278" s="580">
        <v>0.0338</v>
      </c>
      <c r="K10278" s="580">
        <v>0</v>
      </c>
      <c r="L10278" s="102">
        <v>2.08</v>
      </c>
      <c r="M10278" s="102">
        <v>0.07</v>
      </c>
    </row>
    <row r="10279" ht="25.5" spans="3:13">
      <c r="C10279" s="108"/>
      <c r="D10279" s="108"/>
      <c r="E10279" s="108"/>
      <c r="F10279" s="108"/>
      <c r="G10279" s="108"/>
      <c r="H10279" s="108" t="s">
        <v>2898</v>
      </c>
      <c r="I10279" s="581">
        <v>6.55</v>
      </c>
      <c r="J10279" s="108" t="s">
        <v>2899</v>
      </c>
      <c r="K10279" s="581">
        <v>0</v>
      </c>
      <c r="L10279" s="108" t="s">
        <v>2900</v>
      </c>
      <c r="M10279" s="581">
        <v>6.55</v>
      </c>
    </row>
    <row r="10280" ht="26.25" spans="3:13">
      <c r="C10280" s="108"/>
      <c r="D10280" s="108"/>
      <c r="E10280" s="108"/>
      <c r="F10280" s="108"/>
      <c r="G10280" s="108"/>
      <c r="H10280" s="108" t="s">
        <v>2901</v>
      </c>
      <c r="I10280" s="581">
        <v>4.75</v>
      </c>
      <c r="J10280" s="114"/>
      <c r="K10280" s="114" t="s">
        <v>2902</v>
      </c>
      <c r="L10280" s="108"/>
      <c r="M10280" s="581">
        <v>23.42</v>
      </c>
    </row>
    <row r="10281" ht="15" spans="3:13">
      <c r="C10281" s="571"/>
      <c r="D10281" s="571"/>
      <c r="E10281" s="571"/>
      <c r="F10281" s="571"/>
      <c r="G10281" s="571"/>
      <c r="H10281" s="571"/>
      <c r="I10281" s="571"/>
      <c r="J10281" s="571"/>
      <c r="K10281" s="571"/>
      <c r="L10281" s="571"/>
      <c r="M10281" s="571"/>
    </row>
    <row r="10282" ht="15" customHeight="1" spans="3:13">
      <c r="C10282" s="76"/>
      <c r="D10282" s="75" t="s">
        <v>63</v>
      </c>
      <c r="E10282" s="76" t="s">
        <v>64</v>
      </c>
      <c r="F10282" s="76" t="s">
        <v>65</v>
      </c>
      <c r="G10282" s="76" t="s">
        <v>2889</v>
      </c>
      <c r="H10282" s="76"/>
      <c r="I10282" s="77" t="s">
        <v>66</v>
      </c>
      <c r="J10282" s="75" t="s">
        <v>67</v>
      </c>
      <c r="K10282" s="75" t="s">
        <v>2890</v>
      </c>
      <c r="L10282" s="75" t="s">
        <v>68</v>
      </c>
      <c r="M10282" s="75" t="s">
        <v>70</v>
      </c>
    </row>
    <row r="10283" ht="23.85" customHeight="1" spans="3:13">
      <c r="C10283" s="569" t="s">
        <v>2891</v>
      </c>
      <c r="D10283" s="570" t="s">
        <v>3136</v>
      </c>
      <c r="E10283" s="569" t="s">
        <v>139</v>
      </c>
      <c r="F10283" s="569" t="s">
        <v>3137</v>
      </c>
      <c r="G10283" s="569" t="s">
        <v>3135</v>
      </c>
      <c r="H10283" s="569"/>
      <c r="I10283" s="577" t="s">
        <v>134</v>
      </c>
      <c r="J10283" s="578">
        <v>1</v>
      </c>
      <c r="K10283" s="579"/>
      <c r="L10283" s="579">
        <v>11.88</v>
      </c>
      <c r="M10283" s="579">
        <v>11.88</v>
      </c>
    </row>
    <row r="10284" ht="23.85" customHeight="1" spans="3:13">
      <c r="C10284" s="79" t="s">
        <v>2921</v>
      </c>
      <c r="D10284" s="78" t="s">
        <v>3146</v>
      </c>
      <c r="E10284" s="79" t="s">
        <v>139</v>
      </c>
      <c r="F10284" s="79" t="s">
        <v>3147</v>
      </c>
      <c r="G10284" s="79" t="s">
        <v>2928</v>
      </c>
      <c r="H10284" s="79"/>
      <c r="I10284" s="80" t="s">
        <v>2897</v>
      </c>
      <c r="J10284" s="583">
        <v>0.152</v>
      </c>
      <c r="K10284" s="583">
        <v>0</v>
      </c>
      <c r="L10284" s="92">
        <v>29.54</v>
      </c>
      <c r="M10284" s="92">
        <v>4.49</v>
      </c>
    </row>
    <row r="10285" ht="23.85" customHeight="1" spans="3:13">
      <c r="C10285" s="79" t="s">
        <v>2921</v>
      </c>
      <c r="D10285" s="78" t="s">
        <v>3144</v>
      </c>
      <c r="E10285" s="79" t="s">
        <v>139</v>
      </c>
      <c r="F10285" s="79" t="s">
        <v>3145</v>
      </c>
      <c r="G10285" s="79" t="s">
        <v>2928</v>
      </c>
      <c r="H10285" s="79"/>
      <c r="I10285" s="80" t="s">
        <v>2897</v>
      </c>
      <c r="J10285" s="583">
        <v>0.152</v>
      </c>
      <c r="K10285" s="583">
        <v>0</v>
      </c>
      <c r="L10285" s="92">
        <v>35.55</v>
      </c>
      <c r="M10285" s="92">
        <v>5.4</v>
      </c>
    </row>
    <row r="10286" ht="15" customHeight="1" spans="3:13">
      <c r="C10286" s="100" t="s">
        <v>2893</v>
      </c>
      <c r="D10286" s="99" t="s">
        <v>3618</v>
      </c>
      <c r="E10286" s="100" t="s">
        <v>139</v>
      </c>
      <c r="F10286" s="100" t="s">
        <v>3619</v>
      </c>
      <c r="G10286" s="100" t="s">
        <v>2961</v>
      </c>
      <c r="H10286" s="100"/>
      <c r="I10286" s="101" t="s">
        <v>134</v>
      </c>
      <c r="J10286" s="580">
        <v>0.0071</v>
      </c>
      <c r="K10286" s="580">
        <v>0</v>
      </c>
      <c r="L10286" s="102">
        <v>72.71</v>
      </c>
      <c r="M10286" s="102">
        <v>0.51</v>
      </c>
    </row>
    <row r="10287" ht="23.85" customHeight="1" spans="3:13">
      <c r="C10287" s="100" t="s">
        <v>2893</v>
      </c>
      <c r="D10287" s="99" t="s">
        <v>3620</v>
      </c>
      <c r="E10287" s="100" t="s">
        <v>139</v>
      </c>
      <c r="F10287" s="100" t="s">
        <v>3621</v>
      </c>
      <c r="G10287" s="100" t="s">
        <v>2961</v>
      </c>
      <c r="H10287" s="100"/>
      <c r="I10287" s="101" t="s">
        <v>134</v>
      </c>
      <c r="J10287" s="580">
        <v>1</v>
      </c>
      <c r="K10287" s="580">
        <v>0</v>
      </c>
      <c r="L10287" s="102">
        <v>0.76</v>
      </c>
      <c r="M10287" s="102">
        <v>0.76</v>
      </c>
    </row>
    <row r="10288" ht="23.85" customHeight="1" spans="3:13">
      <c r="C10288" s="100" t="s">
        <v>2893</v>
      </c>
      <c r="D10288" s="99" t="s">
        <v>3616</v>
      </c>
      <c r="E10288" s="100" t="s">
        <v>139</v>
      </c>
      <c r="F10288" s="100" t="s">
        <v>3617</v>
      </c>
      <c r="G10288" s="100" t="s">
        <v>2961</v>
      </c>
      <c r="H10288" s="100"/>
      <c r="I10288" s="101" t="s">
        <v>134</v>
      </c>
      <c r="J10288" s="580">
        <v>0.008</v>
      </c>
      <c r="K10288" s="580">
        <v>0</v>
      </c>
      <c r="L10288" s="102">
        <v>82.38</v>
      </c>
      <c r="M10288" s="102">
        <v>0.65</v>
      </c>
    </row>
    <row r="10289" ht="15" customHeight="1" spans="3:13">
      <c r="C10289" s="100" t="s">
        <v>2893</v>
      </c>
      <c r="D10289" s="99" t="s">
        <v>3609</v>
      </c>
      <c r="E10289" s="100" t="s">
        <v>139</v>
      </c>
      <c r="F10289" s="100" t="s">
        <v>3610</v>
      </c>
      <c r="G10289" s="100" t="s">
        <v>2961</v>
      </c>
      <c r="H10289" s="100"/>
      <c r="I10289" s="101" t="s">
        <v>134</v>
      </c>
      <c r="J10289" s="580">
        <v>0.0338</v>
      </c>
      <c r="K10289" s="580">
        <v>0</v>
      </c>
      <c r="L10289" s="102">
        <v>2.08</v>
      </c>
      <c r="M10289" s="102">
        <v>0.07</v>
      </c>
    </row>
    <row r="10290" ht="25.5" spans="3:13">
      <c r="C10290" s="108"/>
      <c r="D10290" s="108"/>
      <c r="E10290" s="108"/>
      <c r="F10290" s="108"/>
      <c r="G10290" s="108"/>
      <c r="H10290" s="108" t="s">
        <v>2898</v>
      </c>
      <c r="I10290" s="581">
        <v>7.03</v>
      </c>
      <c r="J10290" s="108" t="s">
        <v>2899</v>
      </c>
      <c r="K10290" s="581">
        <v>0</v>
      </c>
      <c r="L10290" s="108" t="s">
        <v>2900</v>
      </c>
      <c r="M10290" s="581">
        <v>7.03</v>
      </c>
    </row>
    <row r="10291" ht="26.25" spans="3:13">
      <c r="C10291" s="108"/>
      <c r="D10291" s="108"/>
      <c r="E10291" s="108"/>
      <c r="F10291" s="108"/>
      <c r="G10291" s="108"/>
      <c r="H10291" s="108" t="s">
        <v>2901</v>
      </c>
      <c r="I10291" s="581">
        <v>3.02</v>
      </c>
      <c r="J10291" s="114"/>
      <c r="K10291" s="114" t="s">
        <v>2902</v>
      </c>
      <c r="L10291" s="108"/>
      <c r="M10291" s="581">
        <v>14.9</v>
      </c>
    </row>
    <row r="10292" ht="15" spans="3:13">
      <c r="C10292" s="571"/>
      <c r="D10292" s="571"/>
      <c r="E10292" s="571"/>
      <c r="F10292" s="571"/>
      <c r="G10292" s="571"/>
      <c r="H10292" s="571"/>
      <c r="I10292" s="571"/>
      <c r="J10292" s="571"/>
      <c r="K10292" s="571"/>
      <c r="L10292" s="571"/>
      <c r="M10292" s="571"/>
    </row>
    <row r="10293" ht="15" customHeight="1" spans="3:13">
      <c r="C10293" s="76"/>
      <c r="D10293" s="75" t="s">
        <v>63</v>
      </c>
      <c r="E10293" s="76" t="s">
        <v>64</v>
      </c>
      <c r="F10293" s="76" t="s">
        <v>65</v>
      </c>
      <c r="G10293" s="76" t="s">
        <v>2889</v>
      </c>
      <c r="H10293" s="76"/>
      <c r="I10293" s="77" t="s">
        <v>66</v>
      </c>
      <c r="J10293" s="75" t="s">
        <v>67</v>
      </c>
      <c r="K10293" s="75" t="s">
        <v>2890</v>
      </c>
      <c r="L10293" s="75" t="s">
        <v>68</v>
      </c>
      <c r="M10293" s="75" t="s">
        <v>70</v>
      </c>
    </row>
    <row r="10294" ht="46.25" customHeight="1" spans="3:13">
      <c r="C10294" s="569" t="s">
        <v>2891</v>
      </c>
      <c r="D10294" s="570" t="s">
        <v>3506</v>
      </c>
      <c r="E10294" s="569" t="s">
        <v>139</v>
      </c>
      <c r="F10294" s="569" t="s">
        <v>3507</v>
      </c>
      <c r="G10294" s="569" t="s">
        <v>3025</v>
      </c>
      <c r="H10294" s="569"/>
      <c r="I10294" s="577" t="s">
        <v>134</v>
      </c>
      <c r="J10294" s="578">
        <v>1</v>
      </c>
      <c r="K10294" s="579"/>
      <c r="L10294" s="579">
        <v>1044.24</v>
      </c>
      <c r="M10294" s="579">
        <v>1044.24</v>
      </c>
    </row>
    <row r="10295" ht="23.85" customHeight="1" spans="3:13">
      <c r="C10295" s="79" t="s">
        <v>2921</v>
      </c>
      <c r="D10295" s="78" t="s">
        <v>3026</v>
      </c>
      <c r="E10295" s="79" t="s">
        <v>139</v>
      </c>
      <c r="F10295" s="79" t="s">
        <v>3027</v>
      </c>
      <c r="G10295" s="79" t="s">
        <v>2928</v>
      </c>
      <c r="H10295" s="79"/>
      <c r="I10295" s="80" t="s">
        <v>2897</v>
      </c>
      <c r="J10295" s="583">
        <v>0.46</v>
      </c>
      <c r="K10295" s="583">
        <v>0</v>
      </c>
      <c r="L10295" s="92">
        <v>39.71</v>
      </c>
      <c r="M10295" s="92">
        <v>18.26</v>
      </c>
    </row>
    <row r="10296" ht="23.85" customHeight="1" spans="3:13">
      <c r="C10296" s="79" t="s">
        <v>2921</v>
      </c>
      <c r="D10296" s="78" t="s">
        <v>2952</v>
      </c>
      <c r="E10296" s="79" t="s">
        <v>139</v>
      </c>
      <c r="F10296" s="79" t="s">
        <v>2953</v>
      </c>
      <c r="G10296" s="79" t="s">
        <v>2928</v>
      </c>
      <c r="H10296" s="79"/>
      <c r="I10296" s="80" t="s">
        <v>2897</v>
      </c>
      <c r="J10296" s="583">
        <v>0.23</v>
      </c>
      <c r="K10296" s="583">
        <v>0</v>
      </c>
      <c r="L10296" s="92">
        <v>29.15</v>
      </c>
      <c r="M10296" s="92">
        <v>6.7</v>
      </c>
    </row>
    <row r="10297" ht="57.45" customHeight="1" spans="3:13">
      <c r="C10297" s="100" t="s">
        <v>2893</v>
      </c>
      <c r="D10297" s="99" t="s">
        <v>5896</v>
      </c>
      <c r="E10297" s="100" t="s">
        <v>139</v>
      </c>
      <c r="F10297" s="100" t="s">
        <v>5897</v>
      </c>
      <c r="G10297" s="100" t="s">
        <v>2961</v>
      </c>
      <c r="H10297" s="100"/>
      <c r="I10297" s="101" t="s">
        <v>134</v>
      </c>
      <c r="J10297" s="580">
        <v>1</v>
      </c>
      <c r="K10297" s="580">
        <v>0</v>
      </c>
      <c r="L10297" s="102">
        <v>1007.7</v>
      </c>
      <c r="M10297" s="102">
        <v>1007.7</v>
      </c>
    </row>
    <row r="10298" ht="15" customHeight="1" spans="3:13">
      <c r="C10298" s="100" t="s">
        <v>2893</v>
      </c>
      <c r="D10298" s="99" t="s">
        <v>3044</v>
      </c>
      <c r="E10298" s="100" t="s">
        <v>139</v>
      </c>
      <c r="F10298" s="100" t="s">
        <v>3045</v>
      </c>
      <c r="G10298" s="100" t="s">
        <v>2961</v>
      </c>
      <c r="H10298" s="100"/>
      <c r="I10298" s="101" t="s">
        <v>134</v>
      </c>
      <c r="J10298" s="580">
        <v>0.386</v>
      </c>
      <c r="K10298" s="580">
        <v>0</v>
      </c>
      <c r="L10298" s="102">
        <v>30</v>
      </c>
      <c r="M10298" s="102">
        <v>11.58</v>
      </c>
    </row>
    <row r="10299" ht="25.5" spans="3:13">
      <c r="C10299" s="108"/>
      <c r="D10299" s="108"/>
      <c r="E10299" s="108"/>
      <c r="F10299" s="108"/>
      <c r="G10299" s="108"/>
      <c r="H10299" s="108" t="s">
        <v>2898</v>
      </c>
      <c r="I10299" s="581">
        <v>18.17</v>
      </c>
      <c r="J10299" s="108" t="s">
        <v>2899</v>
      </c>
      <c r="K10299" s="581">
        <v>0</v>
      </c>
      <c r="L10299" s="108" t="s">
        <v>2900</v>
      </c>
      <c r="M10299" s="581">
        <v>18.17</v>
      </c>
    </row>
    <row r="10300" ht="26.25" spans="3:13">
      <c r="C10300" s="108"/>
      <c r="D10300" s="108"/>
      <c r="E10300" s="108"/>
      <c r="F10300" s="108"/>
      <c r="G10300" s="108"/>
      <c r="H10300" s="108" t="s">
        <v>2901</v>
      </c>
      <c r="I10300" s="581">
        <v>266.17</v>
      </c>
      <c r="J10300" s="114"/>
      <c r="K10300" s="114" t="s">
        <v>2902</v>
      </c>
      <c r="L10300" s="108"/>
      <c r="M10300" s="581">
        <v>1310.41</v>
      </c>
    </row>
    <row r="10301" ht="15" spans="3:13">
      <c r="C10301" s="571"/>
      <c r="D10301" s="571"/>
      <c r="E10301" s="571"/>
      <c r="F10301" s="571"/>
      <c r="G10301" s="571"/>
      <c r="H10301" s="571"/>
      <c r="I10301" s="571"/>
      <c r="J10301" s="571"/>
      <c r="K10301" s="571"/>
      <c r="L10301" s="571"/>
      <c r="M10301" s="571"/>
    </row>
    <row r="10302" ht="15" customHeight="1" spans="3:13">
      <c r="C10302" s="76"/>
      <c r="D10302" s="75" t="s">
        <v>63</v>
      </c>
      <c r="E10302" s="76" t="s">
        <v>64</v>
      </c>
      <c r="F10302" s="76" t="s">
        <v>65</v>
      </c>
      <c r="G10302" s="76" t="s">
        <v>2889</v>
      </c>
      <c r="H10302" s="76"/>
      <c r="I10302" s="77" t="s">
        <v>66</v>
      </c>
      <c r="J10302" s="75" t="s">
        <v>67</v>
      </c>
      <c r="K10302" s="75" t="s">
        <v>2890</v>
      </c>
      <c r="L10302" s="75" t="s">
        <v>68</v>
      </c>
      <c r="M10302" s="75" t="s">
        <v>70</v>
      </c>
    </row>
    <row r="10303" ht="46.25" customHeight="1" spans="3:13">
      <c r="C10303" s="569" t="s">
        <v>2891</v>
      </c>
      <c r="D10303" s="570" t="s">
        <v>3510</v>
      </c>
      <c r="E10303" s="569" t="s">
        <v>139</v>
      </c>
      <c r="F10303" s="569" t="s">
        <v>3511</v>
      </c>
      <c r="G10303" s="569" t="s">
        <v>3025</v>
      </c>
      <c r="H10303" s="569"/>
      <c r="I10303" s="577" t="s">
        <v>134</v>
      </c>
      <c r="J10303" s="578">
        <v>1</v>
      </c>
      <c r="K10303" s="579"/>
      <c r="L10303" s="579">
        <v>1080.14</v>
      </c>
      <c r="M10303" s="579">
        <v>1080.14</v>
      </c>
    </row>
    <row r="10304" ht="23.85" customHeight="1" spans="3:13">
      <c r="C10304" s="79" t="s">
        <v>2921</v>
      </c>
      <c r="D10304" s="78" t="s">
        <v>2952</v>
      </c>
      <c r="E10304" s="79" t="s">
        <v>139</v>
      </c>
      <c r="F10304" s="79" t="s">
        <v>2953</v>
      </c>
      <c r="G10304" s="79" t="s">
        <v>2928</v>
      </c>
      <c r="H10304" s="79"/>
      <c r="I10304" s="80" t="s">
        <v>2897</v>
      </c>
      <c r="J10304" s="583">
        <v>0.278</v>
      </c>
      <c r="K10304" s="583">
        <v>0</v>
      </c>
      <c r="L10304" s="92">
        <v>29.15</v>
      </c>
      <c r="M10304" s="92">
        <v>8.1</v>
      </c>
    </row>
    <row r="10305" ht="23.85" customHeight="1" spans="3:13">
      <c r="C10305" s="79" t="s">
        <v>2921</v>
      </c>
      <c r="D10305" s="78" t="s">
        <v>3026</v>
      </c>
      <c r="E10305" s="79" t="s">
        <v>139</v>
      </c>
      <c r="F10305" s="79" t="s">
        <v>3027</v>
      </c>
      <c r="G10305" s="79" t="s">
        <v>2928</v>
      </c>
      <c r="H10305" s="79"/>
      <c r="I10305" s="80" t="s">
        <v>2897</v>
      </c>
      <c r="J10305" s="583">
        <v>0.555</v>
      </c>
      <c r="K10305" s="583">
        <v>0</v>
      </c>
      <c r="L10305" s="92">
        <v>39.71</v>
      </c>
      <c r="M10305" s="92">
        <v>22.03</v>
      </c>
    </row>
    <row r="10306" ht="57.45" customHeight="1" spans="3:13">
      <c r="C10306" s="100" t="s">
        <v>2893</v>
      </c>
      <c r="D10306" s="99" t="s">
        <v>5898</v>
      </c>
      <c r="E10306" s="100" t="s">
        <v>139</v>
      </c>
      <c r="F10306" s="100" t="s">
        <v>5899</v>
      </c>
      <c r="G10306" s="100" t="s">
        <v>2961</v>
      </c>
      <c r="H10306" s="100"/>
      <c r="I10306" s="101" t="s">
        <v>134</v>
      </c>
      <c r="J10306" s="580">
        <v>1</v>
      </c>
      <c r="K10306" s="580">
        <v>0</v>
      </c>
      <c r="L10306" s="102">
        <v>1038.43</v>
      </c>
      <c r="M10306" s="102">
        <v>1038.43</v>
      </c>
    </row>
    <row r="10307" ht="15" customHeight="1" spans="3:13">
      <c r="C10307" s="100" t="s">
        <v>2893</v>
      </c>
      <c r="D10307" s="99" t="s">
        <v>3044</v>
      </c>
      <c r="E10307" s="100" t="s">
        <v>139</v>
      </c>
      <c r="F10307" s="100" t="s">
        <v>3045</v>
      </c>
      <c r="G10307" s="100" t="s">
        <v>2961</v>
      </c>
      <c r="H10307" s="100"/>
      <c r="I10307" s="101" t="s">
        <v>134</v>
      </c>
      <c r="J10307" s="580">
        <v>0.386</v>
      </c>
      <c r="K10307" s="580">
        <v>0</v>
      </c>
      <c r="L10307" s="102">
        <v>30</v>
      </c>
      <c r="M10307" s="102">
        <v>11.58</v>
      </c>
    </row>
    <row r="10308" ht="25.5" spans="3:13">
      <c r="C10308" s="108"/>
      <c r="D10308" s="108"/>
      <c r="E10308" s="108"/>
      <c r="F10308" s="108"/>
      <c r="G10308" s="108"/>
      <c r="H10308" s="108" t="s">
        <v>2898</v>
      </c>
      <c r="I10308" s="581">
        <v>21.94</v>
      </c>
      <c r="J10308" s="108" t="s">
        <v>2899</v>
      </c>
      <c r="K10308" s="581">
        <v>0</v>
      </c>
      <c r="L10308" s="108" t="s">
        <v>2900</v>
      </c>
      <c r="M10308" s="581">
        <v>21.94</v>
      </c>
    </row>
    <row r="10309" ht="26.25" spans="3:13">
      <c r="C10309" s="108"/>
      <c r="D10309" s="108"/>
      <c r="E10309" s="108"/>
      <c r="F10309" s="108"/>
      <c r="G10309" s="108"/>
      <c r="H10309" s="108" t="s">
        <v>2901</v>
      </c>
      <c r="I10309" s="581">
        <v>275.32</v>
      </c>
      <c r="J10309" s="114"/>
      <c r="K10309" s="114" t="s">
        <v>2902</v>
      </c>
      <c r="L10309" s="108"/>
      <c r="M10309" s="581">
        <v>1355.46</v>
      </c>
    </row>
    <row r="10310" ht="15" spans="3:13">
      <c r="C10310" s="571"/>
      <c r="D10310" s="571"/>
      <c r="E10310" s="571"/>
      <c r="F10310" s="571"/>
      <c r="G10310" s="571"/>
      <c r="H10310" s="571"/>
      <c r="I10310" s="571"/>
      <c r="J10310" s="571"/>
      <c r="K10310" s="571"/>
      <c r="L10310" s="571"/>
      <c r="M10310" s="571"/>
    </row>
    <row r="10311" ht="15" customHeight="1" spans="3:13">
      <c r="C10311" s="76"/>
      <c r="D10311" s="75" t="s">
        <v>63</v>
      </c>
      <c r="E10311" s="76" t="s">
        <v>64</v>
      </c>
      <c r="F10311" s="76" t="s">
        <v>65</v>
      </c>
      <c r="G10311" s="76" t="s">
        <v>2889</v>
      </c>
      <c r="H10311" s="76"/>
      <c r="I10311" s="77" t="s">
        <v>66</v>
      </c>
      <c r="J10311" s="75" t="s">
        <v>67</v>
      </c>
      <c r="K10311" s="75" t="s">
        <v>2890</v>
      </c>
      <c r="L10311" s="75" t="s">
        <v>68</v>
      </c>
      <c r="M10311" s="75" t="s">
        <v>70</v>
      </c>
    </row>
    <row r="10312" ht="35.05" customHeight="1" spans="3:13">
      <c r="C10312" s="569" t="s">
        <v>2891</v>
      </c>
      <c r="D10312" s="570" t="s">
        <v>3206</v>
      </c>
      <c r="E10312" s="569" t="s">
        <v>139</v>
      </c>
      <c r="F10312" s="569" t="s">
        <v>3207</v>
      </c>
      <c r="G10312" s="569" t="s">
        <v>3129</v>
      </c>
      <c r="H10312" s="569"/>
      <c r="I10312" s="577" t="s">
        <v>134</v>
      </c>
      <c r="J10312" s="578">
        <v>1</v>
      </c>
      <c r="K10312" s="579"/>
      <c r="L10312" s="579">
        <v>49.73</v>
      </c>
      <c r="M10312" s="579">
        <v>49.73</v>
      </c>
    </row>
    <row r="10313" ht="35.05" customHeight="1" spans="3:13">
      <c r="C10313" s="79" t="s">
        <v>2921</v>
      </c>
      <c r="D10313" s="78" t="s">
        <v>5298</v>
      </c>
      <c r="E10313" s="79" t="s">
        <v>139</v>
      </c>
      <c r="F10313" s="79" t="s">
        <v>5299</v>
      </c>
      <c r="G10313" s="79" t="s">
        <v>3135</v>
      </c>
      <c r="H10313" s="79"/>
      <c r="I10313" s="80" t="s">
        <v>134</v>
      </c>
      <c r="J10313" s="583">
        <v>2</v>
      </c>
      <c r="K10313" s="583">
        <v>0</v>
      </c>
      <c r="L10313" s="92">
        <v>8.11</v>
      </c>
      <c r="M10313" s="92">
        <v>16.22</v>
      </c>
    </row>
    <row r="10314" ht="23.85" customHeight="1" spans="3:13">
      <c r="C10314" s="79" t="s">
        <v>2921</v>
      </c>
      <c r="D10314" s="78" t="s">
        <v>5900</v>
      </c>
      <c r="E10314" s="79" t="s">
        <v>139</v>
      </c>
      <c r="F10314" s="79" t="s">
        <v>5901</v>
      </c>
      <c r="G10314" s="79" t="s">
        <v>3198</v>
      </c>
      <c r="H10314" s="79"/>
      <c r="I10314" s="80" t="s">
        <v>134</v>
      </c>
      <c r="J10314" s="583">
        <v>1</v>
      </c>
      <c r="K10314" s="583">
        <v>0</v>
      </c>
      <c r="L10314" s="92">
        <v>33.51</v>
      </c>
      <c r="M10314" s="92">
        <v>33.51</v>
      </c>
    </row>
    <row r="10315" ht="25.5" spans="3:13">
      <c r="C10315" s="108"/>
      <c r="D10315" s="108"/>
      <c r="E10315" s="108"/>
      <c r="F10315" s="108"/>
      <c r="G10315" s="108"/>
      <c r="H10315" s="108" t="s">
        <v>2898</v>
      </c>
      <c r="I10315" s="581">
        <v>13.84</v>
      </c>
      <c r="J10315" s="108" t="s">
        <v>2899</v>
      </c>
      <c r="K10315" s="581">
        <v>0</v>
      </c>
      <c r="L10315" s="108" t="s">
        <v>2900</v>
      </c>
      <c r="M10315" s="581">
        <v>13.84</v>
      </c>
    </row>
    <row r="10316" ht="26.25" spans="3:13">
      <c r="C10316" s="108"/>
      <c r="D10316" s="108"/>
      <c r="E10316" s="108"/>
      <c r="F10316" s="108"/>
      <c r="G10316" s="108"/>
      <c r="H10316" s="108" t="s">
        <v>2901</v>
      </c>
      <c r="I10316" s="581">
        <v>12.67</v>
      </c>
      <c r="J10316" s="114"/>
      <c r="K10316" s="114" t="s">
        <v>2902</v>
      </c>
      <c r="L10316" s="108"/>
      <c r="M10316" s="581">
        <v>62.4</v>
      </c>
    </row>
    <row r="10317" ht="15" spans="3:13">
      <c r="C10317" s="571"/>
      <c r="D10317" s="571"/>
      <c r="E10317" s="571"/>
      <c r="F10317" s="571"/>
      <c r="G10317" s="571"/>
      <c r="H10317" s="571"/>
      <c r="I10317" s="571"/>
      <c r="J10317" s="571"/>
      <c r="K10317" s="571"/>
      <c r="L10317" s="571"/>
      <c r="M10317" s="571"/>
    </row>
    <row r="10318" ht="15" customHeight="1" spans="3:13">
      <c r="C10318" s="76"/>
      <c r="D10318" s="75" t="s">
        <v>63</v>
      </c>
      <c r="E10318" s="76" t="s">
        <v>64</v>
      </c>
      <c r="F10318" s="76" t="s">
        <v>65</v>
      </c>
      <c r="G10318" s="76" t="s">
        <v>2889</v>
      </c>
      <c r="H10318" s="76"/>
      <c r="I10318" s="77" t="s">
        <v>66</v>
      </c>
      <c r="J10318" s="75" t="s">
        <v>67</v>
      </c>
      <c r="K10318" s="75" t="s">
        <v>2890</v>
      </c>
      <c r="L10318" s="75" t="s">
        <v>68</v>
      </c>
      <c r="M10318" s="75" t="s">
        <v>70</v>
      </c>
    </row>
    <row r="10319" ht="23.85" customHeight="1" spans="3:13">
      <c r="C10319" s="569" t="s">
        <v>2891</v>
      </c>
      <c r="D10319" s="570" t="s">
        <v>3228</v>
      </c>
      <c r="E10319" s="569" t="s">
        <v>139</v>
      </c>
      <c r="F10319" s="569" t="s">
        <v>3229</v>
      </c>
      <c r="G10319" s="569" t="s">
        <v>3230</v>
      </c>
      <c r="H10319" s="569"/>
      <c r="I10319" s="577" t="s">
        <v>141</v>
      </c>
      <c r="J10319" s="578">
        <v>1</v>
      </c>
      <c r="K10319" s="579"/>
      <c r="L10319" s="579">
        <v>38.56</v>
      </c>
      <c r="M10319" s="579">
        <v>38.56</v>
      </c>
    </row>
    <row r="10320" ht="35.05" customHeight="1" spans="3:13">
      <c r="C10320" s="79" t="s">
        <v>2921</v>
      </c>
      <c r="D10320" s="78" t="s">
        <v>3350</v>
      </c>
      <c r="E10320" s="79" t="s">
        <v>139</v>
      </c>
      <c r="F10320" s="79" t="s">
        <v>3351</v>
      </c>
      <c r="G10320" s="79" t="s">
        <v>2999</v>
      </c>
      <c r="H10320" s="79"/>
      <c r="I10320" s="80" t="s">
        <v>279</v>
      </c>
      <c r="J10320" s="583">
        <v>0.069</v>
      </c>
      <c r="K10320" s="583">
        <v>0</v>
      </c>
      <c r="L10320" s="92">
        <v>384.14</v>
      </c>
      <c r="M10320" s="92">
        <v>26.5</v>
      </c>
    </row>
    <row r="10321" ht="23.85" customHeight="1" spans="3:13">
      <c r="C10321" s="79" t="s">
        <v>2921</v>
      </c>
      <c r="D10321" s="78" t="s">
        <v>2952</v>
      </c>
      <c r="E10321" s="79" t="s">
        <v>139</v>
      </c>
      <c r="F10321" s="79" t="s">
        <v>2953</v>
      </c>
      <c r="G10321" s="79" t="s">
        <v>2928</v>
      </c>
      <c r="H10321" s="79"/>
      <c r="I10321" s="80" t="s">
        <v>2897</v>
      </c>
      <c r="J10321" s="583">
        <v>0.0919</v>
      </c>
      <c r="K10321" s="583">
        <v>0</v>
      </c>
      <c r="L10321" s="92">
        <v>29.15</v>
      </c>
      <c r="M10321" s="92">
        <v>2.67</v>
      </c>
    </row>
    <row r="10322" ht="23.85" customHeight="1" spans="3:13">
      <c r="C10322" s="79" t="s">
        <v>2921</v>
      </c>
      <c r="D10322" s="78" t="s">
        <v>3017</v>
      </c>
      <c r="E10322" s="79" t="s">
        <v>139</v>
      </c>
      <c r="F10322" s="79" t="s">
        <v>3018</v>
      </c>
      <c r="G10322" s="79" t="s">
        <v>2928</v>
      </c>
      <c r="H10322" s="79"/>
      <c r="I10322" s="80" t="s">
        <v>2897</v>
      </c>
      <c r="J10322" s="583">
        <v>0.25415</v>
      </c>
      <c r="K10322" s="583">
        <v>0</v>
      </c>
      <c r="L10322" s="92">
        <v>36.96</v>
      </c>
      <c r="M10322" s="92">
        <v>9.39</v>
      </c>
    </row>
    <row r="10323" ht="25.5" spans="3:13">
      <c r="C10323" s="108"/>
      <c r="D10323" s="108"/>
      <c r="E10323" s="108"/>
      <c r="F10323" s="108"/>
      <c r="G10323" s="108"/>
      <c r="H10323" s="108" t="s">
        <v>2898</v>
      </c>
      <c r="I10323" s="581">
        <v>13.53</v>
      </c>
      <c r="J10323" s="108" t="s">
        <v>2899</v>
      </c>
      <c r="K10323" s="581">
        <v>0</v>
      </c>
      <c r="L10323" s="108" t="s">
        <v>2900</v>
      </c>
      <c r="M10323" s="581">
        <v>13.53</v>
      </c>
    </row>
    <row r="10324" ht="26.25" spans="3:13">
      <c r="C10324" s="108"/>
      <c r="D10324" s="108"/>
      <c r="E10324" s="108"/>
      <c r="F10324" s="108"/>
      <c r="G10324" s="108"/>
      <c r="H10324" s="108" t="s">
        <v>2901</v>
      </c>
      <c r="I10324" s="581">
        <v>9.82</v>
      </c>
      <c r="J10324" s="114"/>
      <c r="K10324" s="114" t="s">
        <v>2902</v>
      </c>
      <c r="L10324" s="108"/>
      <c r="M10324" s="581">
        <v>48.38</v>
      </c>
    </row>
    <row r="10325" ht="15" spans="3:13">
      <c r="C10325" s="571"/>
      <c r="D10325" s="571"/>
      <c r="E10325" s="571"/>
      <c r="F10325" s="571"/>
      <c r="G10325" s="571"/>
      <c r="H10325" s="571"/>
      <c r="I10325" s="571"/>
      <c r="J10325" s="571"/>
      <c r="K10325" s="571"/>
      <c r="L10325" s="571"/>
      <c r="M10325" s="571"/>
    </row>
    <row r="10326" ht="15" customHeight="1" spans="3:13">
      <c r="C10326" s="76"/>
      <c r="D10326" s="75" t="s">
        <v>63</v>
      </c>
      <c r="E10326" s="76" t="s">
        <v>64</v>
      </c>
      <c r="F10326" s="76" t="s">
        <v>65</v>
      </c>
      <c r="G10326" s="76" t="s">
        <v>2889</v>
      </c>
      <c r="H10326" s="76"/>
      <c r="I10326" s="77" t="s">
        <v>66</v>
      </c>
      <c r="J10326" s="75" t="s">
        <v>67</v>
      </c>
      <c r="K10326" s="75" t="s">
        <v>2890</v>
      </c>
      <c r="L10326" s="75" t="s">
        <v>68</v>
      </c>
      <c r="M10326" s="75" t="s">
        <v>70</v>
      </c>
    </row>
    <row r="10327" ht="15" customHeight="1" spans="3:13">
      <c r="C10327" s="569" t="s">
        <v>2891</v>
      </c>
      <c r="D10327" s="570" t="s">
        <v>4450</v>
      </c>
      <c r="E10327" s="569" t="s">
        <v>149</v>
      </c>
      <c r="F10327" s="569" t="s">
        <v>4451</v>
      </c>
      <c r="G10327" s="569" t="s">
        <v>4007</v>
      </c>
      <c r="H10327" s="569"/>
      <c r="I10327" s="577" t="s">
        <v>134</v>
      </c>
      <c r="J10327" s="578">
        <v>1</v>
      </c>
      <c r="K10327" s="579"/>
      <c r="L10327" s="579">
        <v>1062.55</v>
      </c>
      <c r="M10327" s="579">
        <v>1062.55</v>
      </c>
    </row>
    <row r="10328" ht="15" customHeight="1" spans="3:13">
      <c r="C10328" s="100" t="s">
        <v>2893</v>
      </c>
      <c r="D10328" s="99" t="s">
        <v>5902</v>
      </c>
      <c r="E10328" s="100" t="s">
        <v>149</v>
      </c>
      <c r="F10328" s="100" t="s">
        <v>5903</v>
      </c>
      <c r="G10328" s="100" t="s">
        <v>2896</v>
      </c>
      <c r="H10328" s="100"/>
      <c r="I10328" s="101" t="s">
        <v>2897</v>
      </c>
      <c r="J10328" s="580">
        <v>8.504</v>
      </c>
      <c r="K10328" s="580">
        <v>0</v>
      </c>
      <c r="L10328" s="102">
        <v>124.94796</v>
      </c>
      <c r="M10328" s="102">
        <v>1062.55</v>
      </c>
    </row>
    <row r="10329" ht="25.5" spans="3:13">
      <c r="C10329" s="108"/>
      <c r="D10329" s="108"/>
      <c r="E10329" s="108"/>
      <c r="F10329" s="108"/>
      <c r="G10329" s="108"/>
      <c r="H10329" s="108" t="s">
        <v>2898</v>
      </c>
      <c r="I10329" s="581">
        <v>1062.55</v>
      </c>
      <c r="J10329" s="108" t="s">
        <v>2899</v>
      </c>
      <c r="K10329" s="581">
        <v>0</v>
      </c>
      <c r="L10329" s="108" t="s">
        <v>2900</v>
      </c>
      <c r="M10329" s="581">
        <v>1062.55</v>
      </c>
    </row>
    <row r="10330" ht="26.25" spans="3:13">
      <c r="C10330" s="108"/>
      <c r="D10330" s="108"/>
      <c r="E10330" s="108"/>
      <c r="F10330" s="108"/>
      <c r="G10330" s="108"/>
      <c r="H10330" s="108" t="s">
        <v>2901</v>
      </c>
      <c r="I10330" s="581">
        <v>270.84</v>
      </c>
      <c r="J10330" s="114"/>
      <c r="K10330" s="114" t="s">
        <v>2902</v>
      </c>
      <c r="L10330" s="108"/>
      <c r="M10330" s="581">
        <v>1333.39</v>
      </c>
    </row>
    <row r="10331" ht="15" spans="3:13">
      <c r="C10331" s="571"/>
      <c r="D10331" s="571"/>
      <c r="E10331" s="571"/>
      <c r="F10331" s="571"/>
      <c r="G10331" s="571"/>
      <c r="H10331" s="571"/>
      <c r="I10331" s="571"/>
      <c r="J10331" s="571"/>
      <c r="K10331" s="571"/>
      <c r="L10331" s="571"/>
      <c r="M10331" s="571"/>
    </row>
    <row r="10332" ht="15" customHeight="1" spans="3:13">
      <c r="C10332" s="76"/>
      <c r="D10332" s="75" t="s">
        <v>63</v>
      </c>
      <c r="E10332" s="76" t="s">
        <v>64</v>
      </c>
      <c r="F10332" s="76" t="s">
        <v>65</v>
      </c>
      <c r="G10332" s="76" t="s">
        <v>2889</v>
      </c>
      <c r="H10332" s="76"/>
      <c r="I10332" s="77" t="s">
        <v>66</v>
      </c>
      <c r="J10332" s="75" t="s">
        <v>67</v>
      </c>
      <c r="K10332" s="75" t="s">
        <v>2890</v>
      </c>
      <c r="L10332" s="75" t="s">
        <v>68</v>
      </c>
      <c r="M10332" s="75" t="s">
        <v>70</v>
      </c>
    </row>
    <row r="10333" ht="35.05" customHeight="1" spans="3:13">
      <c r="C10333" s="569" t="s">
        <v>2891</v>
      </c>
      <c r="D10333" s="570" t="s">
        <v>5786</v>
      </c>
      <c r="E10333" s="569" t="s">
        <v>796</v>
      </c>
      <c r="F10333" s="569" t="s">
        <v>5787</v>
      </c>
      <c r="G10333" s="569" t="s">
        <v>4116</v>
      </c>
      <c r="H10333" s="569"/>
      <c r="I10333" s="577" t="s">
        <v>279</v>
      </c>
      <c r="J10333" s="578">
        <v>1</v>
      </c>
      <c r="K10333" s="579"/>
      <c r="L10333" s="579">
        <v>82.11</v>
      </c>
      <c r="M10333" s="579">
        <v>82.11</v>
      </c>
    </row>
    <row r="10334" ht="46.25" customHeight="1" spans="3:13">
      <c r="C10334" s="79" t="s">
        <v>2921</v>
      </c>
      <c r="D10334" s="78" t="s">
        <v>5904</v>
      </c>
      <c r="E10334" s="79" t="s">
        <v>796</v>
      </c>
      <c r="F10334" s="79" t="s">
        <v>5905</v>
      </c>
      <c r="G10334" s="79" t="s">
        <v>3668</v>
      </c>
      <c r="H10334" s="79"/>
      <c r="I10334" s="80" t="s">
        <v>3707</v>
      </c>
      <c r="J10334" s="583">
        <v>0.6</v>
      </c>
      <c r="K10334" s="583">
        <v>0</v>
      </c>
      <c r="L10334" s="92">
        <v>2</v>
      </c>
      <c r="M10334" s="92">
        <v>1.2</v>
      </c>
    </row>
    <row r="10335" ht="35.05" customHeight="1" spans="3:13">
      <c r="C10335" s="79" t="s">
        <v>2921</v>
      </c>
      <c r="D10335" s="78" t="s">
        <v>5906</v>
      </c>
      <c r="E10335" s="79" t="s">
        <v>796</v>
      </c>
      <c r="F10335" s="79" t="s">
        <v>5907</v>
      </c>
      <c r="G10335" s="79" t="s">
        <v>3668</v>
      </c>
      <c r="H10335" s="79"/>
      <c r="I10335" s="80" t="s">
        <v>3707</v>
      </c>
      <c r="J10335" s="583">
        <v>0.4</v>
      </c>
      <c r="K10335" s="583">
        <v>0</v>
      </c>
      <c r="L10335" s="92">
        <v>0.36</v>
      </c>
      <c r="M10335" s="92">
        <v>0.14</v>
      </c>
    </row>
    <row r="10336" ht="15" customHeight="1" spans="3:13">
      <c r="C10336" s="100" t="s">
        <v>2893</v>
      </c>
      <c r="D10336" s="99" t="s">
        <v>3717</v>
      </c>
      <c r="E10336" s="100" t="s">
        <v>796</v>
      </c>
      <c r="F10336" s="100" t="s">
        <v>3718</v>
      </c>
      <c r="G10336" s="100" t="s">
        <v>2896</v>
      </c>
      <c r="H10336" s="100"/>
      <c r="I10336" s="101" t="s">
        <v>3707</v>
      </c>
      <c r="J10336" s="580">
        <v>1.2</v>
      </c>
      <c r="K10336" s="580">
        <v>0</v>
      </c>
      <c r="L10336" s="102">
        <v>23.89</v>
      </c>
      <c r="M10336" s="102">
        <v>28.66</v>
      </c>
    </row>
    <row r="10337" ht="35.05" customHeight="1" spans="3:13">
      <c r="C10337" s="100" t="s">
        <v>2893</v>
      </c>
      <c r="D10337" s="99" t="s">
        <v>3713</v>
      </c>
      <c r="E10337" s="100" t="s">
        <v>796</v>
      </c>
      <c r="F10337" s="100" t="s">
        <v>3714</v>
      </c>
      <c r="G10337" s="100" t="s">
        <v>3715</v>
      </c>
      <c r="H10337" s="100"/>
      <c r="I10337" s="101" t="s">
        <v>3716</v>
      </c>
      <c r="J10337" s="580">
        <v>78.42</v>
      </c>
      <c r="K10337" s="580">
        <v>3</v>
      </c>
      <c r="L10337" s="102">
        <v>1</v>
      </c>
      <c r="M10337" s="102">
        <v>2.35</v>
      </c>
    </row>
    <row r="10338" ht="15" customHeight="1" spans="3:13">
      <c r="C10338" s="100" t="s">
        <v>2893</v>
      </c>
      <c r="D10338" s="99" t="s">
        <v>5842</v>
      </c>
      <c r="E10338" s="100" t="s">
        <v>796</v>
      </c>
      <c r="F10338" s="100" t="s">
        <v>5843</v>
      </c>
      <c r="G10338" s="100" t="s">
        <v>2896</v>
      </c>
      <c r="H10338" s="100"/>
      <c r="I10338" s="101" t="s">
        <v>3707</v>
      </c>
      <c r="J10338" s="580">
        <v>0.3</v>
      </c>
      <c r="K10338" s="580">
        <v>0</v>
      </c>
      <c r="L10338" s="102">
        <v>30.57</v>
      </c>
      <c r="M10338" s="102">
        <v>9.17</v>
      </c>
    </row>
    <row r="10339" ht="23.85" customHeight="1" spans="3:13">
      <c r="C10339" s="100" t="s">
        <v>2893</v>
      </c>
      <c r="D10339" s="99" t="s">
        <v>5438</v>
      </c>
      <c r="E10339" s="100" t="s">
        <v>796</v>
      </c>
      <c r="F10339" s="100" t="s">
        <v>5439</v>
      </c>
      <c r="G10339" s="100" t="s">
        <v>2896</v>
      </c>
      <c r="H10339" s="100"/>
      <c r="I10339" s="101" t="s">
        <v>3707</v>
      </c>
      <c r="J10339" s="580">
        <v>1.2</v>
      </c>
      <c r="K10339" s="580">
        <v>0</v>
      </c>
      <c r="L10339" s="102">
        <v>33.83</v>
      </c>
      <c r="M10339" s="102">
        <v>40.59</v>
      </c>
    </row>
    <row r="10340" ht="25.5" spans="3:13">
      <c r="C10340" s="108"/>
      <c r="D10340" s="108"/>
      <c r="E10340" s="108"/>
      <c r="F10340" s="108"/>
      <c r="G10340" s="108"/>
      <c r="H10340" s="108" t="s">
        <v>2898</v>
      </c>
      <c r="I10340" s="581">
        <v>78.42</v>
      </c>
      <c r="J10340" s="108" t="s">
        <v>2899</v>
      </c>
      <c r="K10340" s="581">
        <v>0</v>
      </c>
      <c r="L10340" s="108" t="s">
        <v>2900</v>
      </c>
      <c r="M10340" s="581">
        <v>78.42</v>
      </c>
    </row>
    <row r="10341" ht="26.25" spans="3:13">
      <c r="C10341" s="108"/>
      <c r="D10341" s="108"/>
      <c r="E10341" s="108"/>
      <c r="F10341" s="108"/>
      <c r="G10341" s="108"/>
      <c r="H10341" s="108" t="s">
        <v>2901</v>
      </c>
      <c r="I10341" s="581">
        <v>20.92</v>
      </c>
      <c r="J10341" s="114"/>
      <c r="K10341" s="114" t="s">
        <v>2902</v>
      </c>
      <c r="L10341" s="108"/>
      <c r="M10341" s="581">
        <v>103.03</v>
      </c>
    </row>
    <row r="10342" ht="15" spans="3:13">
      <c r="C10342" s="571"/>
      <c r="D10342" s="571"/>
      <c r="E10342" s="571"/>
      <c r="F10342" s="571"/>
      <c r="G10342" s="571"/>
      <c r="H10342" s="571"/>
      <c r="I10342" s="571"/>
      <c r="J10342" s="571"/>
      <c r="K10342" s="571"/>
      <c r="L10342" s="571"/>
      <c r="M10342" s="571"/>
    </row>
    <row r="10343" ht="15" customHeight="1" spans="3:13">
      <c r="C10343" s="76"/>
      <c r="D10343" s="75" t="s">
        <v>63</v>
      </c>
      <c r="E10343" s="76" t="s">
        <v>64</v>
      </c>
      <c r="F10343" s="76" t="s">
        <v>65</v>
      </c>
      <c r="G10343" s="76" t="s">
        <v>2889</v>
      </c>
      <c r="H10343" s="76"/>
      <c r="I10343" s="77" t="s">
        <v>66</v>
      </c>
      <c r="J10343" s="75" t="s">
        <v>67</v>
      </c>
      <c r="K10343" s="75" t="s">
        <v>2890</v>
      </c>
      <c r="L10343" s="75" t="s">
        <v>68</v>
      </c>
      <c r="M10343" s="75" t="s">
        <v>70</v>
      </c>
    </row>
    <row r="10344" ht="35.05" customHeight="1" spans="3:13">
      <c r="C10344" s="569" t="s">
        <v>2891</v>
      </c>
      <c r="D10344" s="570" t="s">
        <v>4324</v>
      </c>
      <c r="E10344" s="569" t="s">
        <v>796</v>
      </c>
      <c r="F10344" s="569" t="s">
        <v>4325</v>
      </c>
      <c r="G10344" s="569" t="s">
        <v>4116</v>
      </c>
      <c r="H10344" s="569"/>
      <c r="I10344" s="577" t="s">
        <v>279</v>
      </c>
      <c r="J10344" s="578">
        <v>1</v>
      </c>
      <c r="K10344" s="579"/>
      <c r="L10344" s="579">
        <v>70.23</v>
      </c>
      <c r="M10344" s="579">
        <v>70.23</v>
      </c>
    </row>
    <row r="10345" ht="46.25" customHeight="1" spans="3:13">
      <c r="C10345" s="79" t="s">
        <v>2921</v>
      </c>
      <c r="D10345" s="78" t="s">
        <v>5904</v>
      </c>
      <c r="E10345" s="79" t="s">
        <v>796</v>
      </c>
      <c r="F10345" s="79" t="s">
        <v>5905</v>
      </c>
      <c r="G10345" s="79" t="s">
        <v>3668</v>
      </c>
      <c r="H10345" s="79"/>
      <c r="I10345" s="80" t="s">
        <v>3707</v>
      </c>
      <c r="J10345" s="583">
        <v>0.6</v>
      </c>
      <c r="K10345" s="583">
        <v>0</v>
      </c>
      <c r="L10345" s="92">
        <v>2</v>
      </c>
      <c r="M10345" s="92">
        <v>1.2</v>
      </c>
    </row>
    <row r="10346" ht="35.05" customHeight="1" spans="3:13">
      <c r="C10346" s="79" t="s">
        <v>2921</v>
      </c>
      <c r="D10346" s="78" t="s">
        <v>5906</v>
      </c>
      <c r="E10346" s="79" t="s">
        <v>796</v>
      </c>
      <c r="F10346" s="79" t="s">
        <v>5907</v>
      </c>
      <c r="G10346" s="79" t="s">
        <v>3668</v>
      </c>
      <c r="H10346" s="79"/>
      <c r="I10346" s="80" t="s">
        <v>3707</v>
      </c>
      <c r="J10346" s="583">
        <v>0.4</v>
      </c>
      <c r="K10346" s="583">
        <v>0</v>
      </c>
      <c r="L10346" s="92">
        <v>0.36</v>
      </c>
      <c r="M10346" s="92">
        <v>0.14</v>
      </c>
    </row>
    <row r="10347" ht="23.85" customHeight="1" spans="3:13">
      <c r="C10347" s="100" t="s">
        <v>2893</v>
      </c>
      <c r="D10347" s="99" t="s">
        <v>5438</v>
      </c>
      <c r="E10347" s="100" t="s">
        <v>796</v>
      </c>
      <c r="F10347" s="100" t="s">
        <v>5439</v>
      </c>
      <c r="G10347" s="100" t="s">
        <v>2896</v>
      </c>
      <c r="H10347" s="100"/>
      <c r="I10347" s="101" t="s">
        <v>3707</v>
      </c>
      <c r="J10347" s="580">
        <v>1</v>
      </c>
      <c r="K10347" s="580">
        <v>0</v>
      </c>
      <c r="L10347" s="102">
        <v>33.83</v>
      </c>
      <c r="M10347" s="102">
        <v>33.83</v>
      </c>
    </row>
    <row r="10348" ht="35.05" customHeight="1" spans="3:13">
      <c r="C10348" s="100" t="s">
        <v>2893</v>
      </c>
      <c r="D10348" s="99" t="s">
        <v>3713</v>
      </c>
      <c r="E10348" s="100" t="s">
        <v>796</v>
      </c>
      <c r="F10348" s="100" t="s">
        <v>3714</v>
      </c>
      <c r="G10348" s="100" t="s">
        <v>3715</v>
      </c>
      <c r="H10348" s="100"/>
      <c r="I10348" s="101" t="s">
        <v>3716</v>
      </c>
      <c r="J10348" s="580">
        <v>66.89</v>
      </c>
      <c r="K10348" s="580">
        <v>3</v>
      </c>
      <c r="L10348" s="102">
        <v>1</v>
      </c>
      <c r="M10348" s="102">
        <v>2</v>
      </c>
    </row>
    <row r="10349" ht="15" customHeight="1" spans="3:13">
      <c r="C10349" s="100" t="s">
        <v>2893</v>
      </c>
      <c r="D10349" s="99" t="s">
        <v>3717</v>
      </c>
      <c r="E10349" s="100" t="s">
        <v>796</v>
      </c>
      <c r="F10349" s="100" t="s">
        <v>3718</v>
      </c>
      <c r="G10349" s="100" t="s">
        <v>2896</v>
      </c>
      <c r="H10349" s="100"/>
      <c r="I10349" s="101" t="s">
        <v>3707</v>
      </c>
      <c r="J10349" s="580">
        <v>1</v>
      </c>
      <c r="K10349" s="580">
        <v>0</v>
      </c>
      <c r="L10349" s="102">
        <v>23.89</v>
      </c>
      <c r="M10349" s="102">
        <v>23.89</v>
      </c>
    </row>
    <row r="10350" ht="15" customHeight="1" spans="3:13">
      <c r="C10350" s="100" t="s">
        <v>2893</v>
      </c>
      <c r="D10350" s="99" t="s">
        <v>5842</v>
      </c>
      <c r="E10350" s="100" t="s">
        <v>796</v>
      </c>
      <c r="F10350" s="100" t="s">
        <v>5843</v>
      </c>
      <c r="G10350" s="100" t="s">
        <v>2896</v>
      </c>
      <c r="H10350" s="100"/>
      <c r="I10350" s="101" t="s">
        <v>3707</v>
      </c>
      <c r="J10350" s="580">
        <v>0.3</v>
      </c>
      <c r="K10350" s="580">
        <v>0</v>
      </c>
      <c r="L10350" s="102">
        <v>30.57</v>
      </c>
      <c r="M10350" s="102">
        <v>9.17</v>
      </c>
    </row>
    <row r="10351" ht="25.5" spans="3:13">
      <c r="C10351" s="108"/>
      <c r="D10351" s="108"/>
      <c r="E10351" s="108"/>
      <c r="F10351" s="108"/>
      <c r="G10351" s="108"/>
      <c r="H10351" s="108" t="s">
        <v>2898</v>
      </c>
      <c r="I10351" s="581">
        <v>66.89</v>
      </c>
      <c r="J10351" s="108" t="s">
        <v>2899</v>
      </c>
      <c r="K10351" s="581">
        <v>0</v>
      </c>
      <c r="L10351" s="108" t="s">
        <v>2900</v>
      </c>
      <c r="M10351" s="581">
        <v>66.89</v>
      </c>
    </row>
    <row r="10352" ht="26.25" spans="3:13">
      <c r="C10352" s="108"/>
      <c r="D10352" s="108"/>
      <c r="E10352" s="108"/>
      <c r="F10352" s="108"/>
      <c r="G10352" s="108"/>
      <c r="H10352" s="108" t="s">
        <v>2901</v>
      </c>
      <c r="I10352" s="581">
        <v>17.9</v>
      </c>
      <c r="J10352" s="114"/>
      <c r="K10352" s="114" t="s">
        <v>2902</v>
      </c>
      <c r="L10352" s="108"/>
      <c r="M10352" s="581">
        <v>88.13</v>
      </c>
    </row>
    <row r="10353" ht="15" spans="3:13">
      <c r="C10353" s="571"/>
      <c r="D10353" s="571"/>
      <c r="E10353" s="571"/>
      <c r="F10353" s="571"/>
      <c r="G10353" s="571"/>
      <c r="H10353" s="571"/>
      <c r="I10353" s="571"/>
      <c r="J10353" s="571"/>
      <c r="K10353" s="571"/>
      <c r="L10353" s="571"/>
      <c r="M10353" s="571"/>
    </row>
    <row r="10354" ht="15" customHeight="1" spans="3:13">
      <c r="C10354" s="76"/>
      <c r="D10354" s="75" t="s">
        <v>63</v>
      </c>
      <c r="E10354" s="76" t="s">
        <v>64</v>
      </c>
      <c r="F10354" s="76" t="s">
        <v>65</v>
      </c>
      <c r="G10354" s="76" t="s">
        <v>2889</v>
      </c>
      <c r="H10354" s="76"/>
      <c r="I10354" s="77" t="s">
        <v>66</v>
      </c>
      <c r="J10354" s="75" t="s">
        <v>67</v>
      </c>
      <c r="K10354" s="75" t="s">
        <v>2890</v>
      </c>
      <c r="L10354" s="75" t="s">
        <v>68</v>
      </c>
      <c r="M10354" s="75" t="s">
        <v>70</v>
      </c>
    </row>
    <row r="10355" ht="35.05" customHeight="1" spans="3:13">
      <c r="C10355" s="569" t="s">
        <v>2891</v>
      </c>
      <c r="D10355" s="570" t="s">
        <v>5082</v>
      </c>
      <c r="E10355" s="569" t="s">
        <v>139</v>
      </c>
      <c r="F10355" s="569" t="s">
        <v>5083</v>
      </c>
      <c r="G10355" s="569" t="s">
        <v>5081</v>
      </c>
      <c r="H10355" s="569"/>
      <c r="I10355" s="577" t="s">
        <v>2897</v>
      </c>
      <c r="J10355" s="578">
        <v>1</v>
      </c>
      <c r="K10355" s="579"/>
      <c r="L10355" s="579">
        <v>7.14</v>
      </c>
      <c r="M10355" s="579">
        <v>7.14</v>
      </c>
    </row>
    <row r="10356" ht="15" customHeight="1" spans="3:13">
      <c r="C10356" s="100" t="s">
        <v>2893</v>
      </c>
      <c r="D10356" s="99" t="s">
        <v>5473</v>
      </c>
      <c r="E10356" s="100" t="s">
        <v>139</v>
      </c>
      <c r="F10356" s="100" t="s">
        <v>5474</v>
      </c>
      <c r="G10356" s="100" t="s">
        <v>5444</v>
      </c>
      <c r="H10356" s="100"/>
      <c r="I10356" s="101" t="s">
        <v>5228</v>
      </c>
      <c r="J10356" s="580">
        <v>3.5</v>
      </c>
      <c r="K10356" s="580">
        <v>0</v>
      </c>
      <c r="L10356" s="102">
        <v>1.15</v>
      </c>
      <c r="M10356" s="102">
        <v>4.02</v>
      </c>
    </row>
    <row r="10357" ht="23.85" customHeight="1" spans="3:13">
      <c r="C10357" s="100" t="s">
        <v>2893</v>
      </c>
      <c r="D10357" s="99" t="s">
        <v>5908</v>
      </c>
      <c r="E10357" s="100" t="s">
        <v>139</v>
      </c>
      <c r="F10357" s="100" t="s">
        <v>5909</v>
      </c>
      <c r="G10357" s="100" t="s">
        <v>3680</v>
      </c>
      <c r="H10357" s="100"/>
      <c r="I10357" s="101" t="s">
        <v>134</v>
      </c>
      <c r="J10357" s="580">
        <v>0.0003267</v>
      </c>
      <c r="K10357" s="580">
        <v>0</v>
      </c>
      <c r="L10357" s="102">
        <v>9574.08</v>
      </c>
      <c r="M10357" s="102">
        <v>3.12</v>
      </c>
    </row>
    <row r="10358" ht="25.5" spans="3:13">
      <c r="C10358" s="108"/>
      <c r="D10358" s="108"/>
      <c r="E10358" s="108"/>
      <c r="F10358" s="108"/>
      <c r="G10358" s="108"/>
      <c r="H10358" s="108" t="s">
        <v>2898</v>
      </c>
      <c r="I10358" s="581">
        <v>0</v>
      </c>
      <c r="J10358" s="108" t="s">
        <v>2899</v>
      </c>
      <c r="K10358" s="581">
        <v>0</v>
      </c>
      <c r="L10358" s="108" t="s">
        <v>2900</v>
      </c>
      <c r="M10358" s="581">
        <v>0</v>
      </c>
    </row>
    <row r="10359" ht="26.25" spans="3:13">
      <c r="C10359" s="108"/>
      <c r="D10359" s="108"/>
      <c r="E10359" s="108"/>
      <c r="F10359" s="108"/>
      <c r="G10359" s="108"/>
      <c r="H10359" s="108" t="s">
        <v>2901</v>
      </c>
      <c r="I10359" s="581">
        <v>1.81</v>
      </c>
      <c r="J10359" s="114"/>
      <c r="K10359" s="114" t="s">
        <v>2902</v>
      </c>
      <c r="L10359" s="108"/>
      <c r="M10359" s="581">
        <v>8.95</v>
      </c>
    </row>
    <row r="10360" ht="15" spans="3:13">
      <c r="C10360" s="571"/>
      <c r="D10360" s="571"/>
      <c r="E10360" s="571"/>
      <c r="F10360" s="571"/>
      <c r="G10360" s="571"/>
      <c r="H10360" s="571"/>
      <c r="I10360" s="571"/>
      <c r="J10360" s="571"/>
      <c r="K10360" s="571"/>
      <c r="L10360" s="571"/>
      <c r="M10360" s="571"/>
    </row>
    <row r="10361" ht="15" customHeight="1" spans="3:13">
      <c r="C10361" s="76"/>
      <c r="D10361" s="75" t="s">
        <v>63</v>
      </c>
      <c r="E10361" s="76" t="s">
        <v>64</v>
      </c>
      <c r="F10361" s="76" t="s">
        <v>65</v>
      </c>
      <c r="G10361" s="76" t="s">
        <v>2889</v>
      </c>
      <c r="H10361" s="76"/>
      <c r="I10361" s="77" t="s">
        <v>66</v>
      </c>
      <c r="J10361" s="75" t="s">
        <v>67</v>
      </c>
      <c r="K10361" s="75" t="s">
        <v>2890</v>
      </c>
      <c r="L10361" s="75" t="s">
        <v>68</v>
      </c>
      <c r="M10361" s="75" t="s">
        <v>70</v>
      </c>
    </row>
    <row r="10362" ht="35.05" customHeight="1" spans="3:13">
      <c r="C10362" s="569" t="s">
        <v>2891</v>
      </c>
      <c r="D10362" s="570" t="s">
        <v>5079</v>
      </c>
      <c r="E10362" s="569" t="s">
        <v>139</v>
      </c>
      <c r="F10362" s="569" t="s">
        <v>5080</v>
      </c>
      <c r="G10362" s="569" t="s">
        <v>5081</v>
      </c>
      <c r="H10362" s="569"/>
      <c r="I10362" s="577" t="s">
        <v>2897</v>
      </c>
      <c r="J10362" s="578">
        <v>1</v>
      </c>
      <c r="K10362" s="579"/>
      <c r="L10362" s="579">
        <v>2.17</v>
      </c>
      <c r="M10362" s="579">
        <v>2.17</v>
      </c>
    </row>
    <row r="10363" ht="23.85" customHeight="1" spans="3:13">
      <c r="C10363" s="100" t="s">
        <v>2893</v>
      </c>
      <c r="D10363" s="99" t="s">
        <v>5908</v>
      </c>
      <c r="E10363" s="100" t="s">
        <v>139</v>
      </c>
      <c r="F10363" s="100" t="s">
        <v>5909</v>
      </c>
      <c r="G10363" s="100" t="s">
        <v>3680</v>
      </c>
      <c r="H10363" s="100"/>
      <c r="I10363" s="101" t="s">
        <v>134</v>
      </c>
      <c r="J10363" s="580">
        <v>0.0002267</v>
      </c>
      <c r="K10363" s="580">
        <v>0</v>
      </c>
      <c r="L10363" s="102">
        <v>9574.08</v>
      </c>
      <c r="M10363" s="102">
        <v>2.17</v>
      </c>
    </row>
    <row r="10364" ht="25.5" spans="3:13">
      <c r="C10364" s="108"/>
      <c r="D10364" s="108"/>
      <c r="E10364" s="108"/>
      <c r="F10364" s="108"/>
      <c r="G10364" s="108"/>
      <c r="H10364" s="108" t="s">
        <v>2898</v>
      </c>
      <c r="I10364" s="581">
        <v>0</v>
      </c>
      <c r="J10364" s="108" t="s">
        <v>2899</v>
      </c>
      <c r="K10364" s="581">
        <v>0</v>
      </c>
      <c r="L10364" s="108" t="s">
        <v>2900</v>
      </c>
      <c r="M10364" s="581">
        <v>0</v>
      </c>
    </row>
    <row r="10365" ht="26.25" spans="3:13">
      <c r="C10365" s="108"/>
      <c r="D10365" s="108"/>
      <c r="E10365" s="108"/>
      <c r="F10365" s="108"/>
      <c r="G10365" s="108"/>
      <c r="H10365" s="108" t="s">
        <v>2901</v>
      </c>
      <c r="I10365" s="581">
        <v>0.55</v>
      </c>
      <c r="J10365" s="114"/>
      <c r="K10365" s="114" t="s">
        <v>2902</v>
      </c>
      <c r="L10365" s="108"/>
      <c r="M10365" s="581">
        <v>2.72</v>
      </c>
    </row>
    <row r="10366" ht="15" spans="3:13">
      <c r="C10366" s="571"/>
      <c r="D10366" s="571"/>
      <c r="E10366" s="571"/>
      <c r="F10366" s="571"/>
      <c r="G10366" s="571"/>
      <c r="H10366" s="571"/>
      <c r="I10366" s="571"/>
      <c r="J10366" s="571"/>
      <c r="K10366" s="571"/>
      <c r="L10366" s="571"/>
      <c r="M10366" s="571"/>
    </row>
    <row r="10367" ht="15" customHeight="1" spans="3:13">
      <c r="C10367" s="76"/>
      <c r="D10367" s="75" t="s">
        <v>63</v>
      </c>
      <c r="E10367" s="76" t="s">
        <v>64</v>
      </c>
      <c r="F10367" s="76" t="s">
        <v>65</v>
      </c>
      <c r="G10367" s="76" t="s">
        <v>2889</v>
      </c>
      <c r="H10367" s="76"/>
      <c r="I10367" s="77" t="s">
        <v>66</v>
      </c>
      <c r="J10367" s="75" t="s">
        <v>67</v>
      </c>
      <c r="K10367" s="75" t="s">
        <v>2890</v>
      </c>
      <c r="L10367" s="75" t="s">
        <v>68</v>
      </c>
      <c r="M10367" s="75" t="s">
        <v>70</v>
      </c>
    </row>
    <row r="10368" ht="23.85" customHeight="1" spans="3:13">
      <c r="C10368" s="569" t="s">
        <v>2891</v>
      </c>
      <c r="D10368" s="570" t="s">
        <v>3480</v>
      </c>
      <c r="E10368" s="569" t="s">
        <v>139</v>
      </c>
      <c r="F10368" s="569" t="s">
        <v>3481</v>
      </c>
      <c r="G10368" s="569" t="s">
        <v>2928</v>
      </c>
      <c r="H10368" s="569"/>
      <c r="I10368" s="577" t="s">
        <v>2897</v>
      </c>
      <c r="J10368" s="578">
        <v>1</v>
      </c>
      <c r="K10368" s="579"/>
      <c r="L10368" s="579">
        <v>30.79</v>
      </c>
      <c r="M10368" s="579">
        <v>30.79</v>
      </c>
    </row>
    <row r="10369" ht="23.85" customHeight="1" spans="3:13">
      <c r="C10369" s="79" t="s">
        <v>2921</v>
      </c>
      <c r="D10369" s="78" t="s">
        <v>5668</v>
      </c>
      <c r="E10369" s="79" t="s">
        <v>139</v>
      </c>
      <c r="F10369" s="79" t="s">
        <v>5669</v>
      </c>
      <c r="G10369" s="79" t="s">
        <v>2928</v>
      </c>
      <c r="H10369" s="79"/>
      <c r="I10369" s="80" t="s">
        <v>2897</v>
      </c>
      <c r="J10369" s="583">
        <v>1</v>
      </c>
      <c r="K10369" s="583">
        <v>0</v>
      </c>
      <c r="L10369" s="92">
        <v>0.3</v>
      </c>
      <c r="M10369" s="92">
        <v>0.3</v>
      </c>
    </row>
    <row r="10370" ht="23.85" customHeight="1" spans="3:13">
      <c r="C10370" s="100" t="s">
        <v>2893</v>
      </c>
      <c r="D10370" s="99" t="s">
        <v>5310</v>
      </c>
      <c r="E10370" s="100" t="s">
        <v>139</v>
      </c>
      <c r="F10370" s="100" t="s">
        <v>5311</v>
      </c>
      <c r="G10370" s="100" t="s">
        <v>2961</v>
      </c>
      <c r="H10370" s="100"/>
      <c r="I10370" s="101" t="s">
        <v>2897</v>
      </c>
      <c r="J10370" s="580">
        <v>1</v>
      </c>
      <c r="K10370" s="580">
        <v>0</v>
      </c>
      <c r="L10370" s="102">
        <v>1.58</v>
      </c>
      <c r="M10370" s="102">
        <v>1.58</v>
      </c>
    </row>
    <row r="10371" ht="23.85" customHeight="1" spans="3:13">
      <c r="C10371" s="100" t="s">
        <v>2893</v>
      </c>
      <c r="D10371" s="99" t="s">
        <v>5308</v>
      </c>
      <c r="E10371" s="100" t="s">
        <v>139</v>
      </c>
      <c r="F10371" s="100" t="s">
        <v>5309</v>
      </c>
      <c r="G10371" s="100" t="s">
        <v>2961</v>
      </c>
      <c r="H10371" s="100"/>
      <c r="I10371" s="101" t="s">
        <v>2897</v>
      </c>
      <c r="J10371" s="580">
        <v>1</v>
      </c>
      <c r="K10371" s="580">
        <v>0</v>
      </c>
      <c r="L10371" s="102">
        <v>4.84</v>
      </c>
      <c r="M10371" s="102">
        <v>4.84</v>
      </c>
    </row>
    <row r="10372" ht="23.85" customHeight="1" spans="3:13">
      <c r="C10372" s="100" t="s">
        <v>2893</v>
      </c>
      <c r="D10372" s="99" t="s">
        <v>5304</v>
      </c>
      <c r="E10372" s="100" t="s">
        <v>139</v>
      </c>
      <c r="F10372" s="100" t="s">
        <v>5305</v>
      </c>
      <c r="G10372" s="100" t="s">
        <v>2961</v>
      </c>
      <c r="H10372" s="100"/>
      <c r="I10372" s="101" t="s">
        <v>2897</v>
      </c>
      <c r="J10372" s="580">
        <v>1</v>
      </c>
      <c r="K10372" s="580">
        <v>0</v>
      </c>
      <c r="L10372" s="102">
        <v>1.31</v>
      </c>
      <c r="M10372" s="102">
        <v>1.31</v>
      </c>
    </row>
    <row r="10373" ht="15" customHeight="1" spans="3:13">
      <c r="C10373" s="100" t="s">
        <v>2893</v>
      </c>
      <c r="D10373" s="99" t="s">
        <v>5312</v>
      </c>
      <c r="E10373" s="100" t="s">
        <v>139</v>
      </c>
      <c r="F10373" s="100" t="s">
        <v>5313</v>
      </c>
      <c r="G10373" s="100" t="s">
        <v>2961</v>
      </c>
      <c r="H10373" s="100"/>
      <c r="I10373" s="101" t="s">
        <v>2897</v>
      </c>
      <c r="J10373" s="580">
        <v>1</v>
      </c>
      <c r="K10373" s="580">
        <v>0</v>
      </c>
      <c r="L10373" s="102">
        <v>0.08</v>
      </c>
      <c r="M10373" s="102">
        <v>0.08</v>
      </c>
    </row>
    <row r="10374" ht="15" customHeight="1" spans="3:13">
      <c r="C10374" s="100" t="s">
        <v>2893</v>
      </c>
      <c r="D10374" s="99" t="s">
        <v>5306</v>
      </c>
      <c r="E10374" s="100" t="s">
        <v>139</v>
      </c>
      <c r="F10374" s="100" t="s">
        <v>5307</v>
      </c>
      <c r="G10374" s="100" t="s">
        <v>2961</v>
      </c>
      <c r="H10374" s="100"/>
      <c r="I10374" s="101" t="s">
        <v>2897</v>
      </c>
      <c r="J10374" s="580">
        <v>1</v>
      </c>
      <c r="K10374" s="580">
        <v>0</v>
      </c>
      <c r="L10374" s="102">
        <v>1.43</v>
      </c>
      <c r="M10374" s="102">
        <v>1.43</v>
      </c>
    </row>
    <row r="10375" ht="15" customHeight="1" spans="3:13">
      <c r="C10375" s="100" t="s">
        <v>2893</v>
      </c>
      <c r="D10375" s="99" t="s">
        <v>5670</v>
      </c>
      <c r="E10375" s="100" t="s">
        <v>139</v>
      </c>
      <c r="F10375" s="100" t="s">
        <v>5671</v>
      </c>
      <c r="G10375" s="100" t="s">
        <v>2896</v>
      </c>
      <c r="H10375" s="100"/>
      <c r="I10375" s="101" t="s">
        <v>2897</v>
      </c>
      <c r="J10375" s="580">
        <v>1</v>
      </c>
      <c r="K10375" s="580">
        <v>0</v>
      </c>
      <c r="L10375" s="102">
        <v>20.47</v>
      </c>
      <c r="M10375" s="102">
        <v>20.47</v>
      </c>
    </row>
    <row r="10376" ht="23.85" customHeight="1" spans="3:13">
      <c r="C10376" s="100" t="s">
        <v>2893</v>
      </c>
      <c r="D10376" s="99" t="s">
        <v>5314</v>
      </c>
      <c r="E10376" s="100" t="s">
        <v>139</v>
      </c>
      <c r="F10376" s="100" t="s">
        <v>5315</v>
      </c>
      <c r="G10376" s="100" t="s">
        <v>2961</v>
      </c>
      <c r="H10376" s="100"/>
      <c r="I10376" s="101" t="s">
        <v>2897</v>
      </c>
      <c r="J10376" s="580">
        <v>1</v>
      </c>
      <c r="K10376" s="580">
        <v>0</v>
      </c>
      <c r="L10376" s="102">
        <v>0.78</v>
      </c>
      <c r="M10376" s="102">
        <v>0.78</v>
      </c>
    </row>
    <row r="10377" ht="25.5" spans="3:13">
      <c r="C10377" s="108"/>
      <c r="D10377" s="108"/>
      <c r="E10377" s="108"/>
      <c r="F10377" s="108"/>
      <c r="G10377" s="108"/>
      <c r="H10377" s="108" t="s">
        <v>2898</v>
      </c>
      <c r="I10377" s="581">
        <v>20.77</v>
      </c>
      <c r="J10377" s="108" t="s">
        <v>2899</v>
      </c>
      <c r="K10377" s="581">
        <v>0</v>
      </c>
      <c r="L10377" s="108" t="s">
        <v>2900</v>
      </c>
      <c r="M10377" s="581">
        <v>20.77</v>
      </c>
    </row>
    <row r="10378" ht="26.25" spans="3:13">
      <c r="C10378" s="108"/>
      <c r="D10378" s="108"/>
      <c r="E10378" s="108"/>
      <c r="F10378" s="108"/>
      <c r="G10378" s="108"/>
      <c r="H10378" s="108" t="s">
        <v>2901</v>
      </c>
      <c r="I10378" s="581">
        <v>7.84</v>
      </c>
      <c r="J10378" s="114"/>
      <c r="K10378" s="114" t="s">
        <v>2902</v>
      </c>
      <c r="L10378" s="108"/>
      <c r="M10378" s="581">
        <v>38.63</v>
      </c>
    </row>
    <row r="10379" ht="15" spans="3:13">
      <c r="C10379" s="571"/>
      <c r="D10379" s="571"/>
      <c r="E10379" s="571"/>
      <c r="F10379" s="571"/>
      <c r="G10379" s="571"/>
      <c r="H10379" s="571"/>
      <c r="I10379" s="571"/>
      <c r="J10379" s="571"/>
      <c r="K10379" s="571"/>
      <c r="L10379" s="571"/>
      <c r="M10379" s="571"/>
    </row>
    <row r="10380" ht="15" customHeight="1" spans="3:13">
      <c r="C10380" s="76"/>
      <c r="D10380" s="75" t="s">
        <v>63</v>
      </c>
      <c r="E10380" s="76" t="s">
        <v>64</v>
      </c>
      <c r="F10380" s="76" t="s">
        <v>65</v>
      </c>
      <c r="G10380" s="76" t="s">
        <v>2889</v>
      </c>
      <c r="H10380" s="76"/>
      <c r="I10380" s="77" t="s">
        <v>66</v>
      </c>
      <c r="J10380" s="75" t="s">
        <v>67</v>
      </c>
      <c r="K10380" s="75" t="s">
        <v>2890</v>
      </c>
      <c r="L10380" s="75" t="s">
        <v>68</v>
      </c>
      <c r="M10380" s="75" t="s">
        <v>70</v>
      </c>
    </row>
    <row r="10381" ht="23.85" customHeight="1" spans="3:13">
      <c r="C10381" s="569" t="s">
        <v>2891</v>
      </c>
      <c r="D10381" s="570" t="s">
        <v>3251</v>
      </c>
      <c r="E10381" s="569" t="s">
        <v>139</v>
      </c>
      <c r="F10381" s="569" t="s">
        <v>3252</v>
      </c>
      <c r="G10381" s="569" t="s">
        <v>2995</v>
      </c>
      <c r="H10381" s="569"/>
      <c r="I10381" s="577" t="s">
        <v>2996</v>
      </c>
      <c r="J10381" s="578">
        <v>1</v>
      </c>
      <c r="K10381" s="579"/>
      <c r="L10381" s="579">
        <v>39.1</v>
      </c>
      <c r="M10381" s="579">
        <v>39.1</v>
      </c>
    </row>
    <row r="10382" ht="23.85" customHeight="1" spans="3:13">
      <c r="C10382" s="79" t="s">
        <v>2921</v>
      </c>
      <c r="D10382" s="78" t="s">
        <v>5910</v>
      </c>
      <c r="E10382" s="79" t="s">
        <v>139</v>
      </c>
      <c r="F10382" s="79" t="s">
        <v>5911</v>
      </c>
      <c r="G10382" s="79" t="s">
        <v>2928</v>
      </c>
      <c r="H10382" s="79"/>
      <c r="I10382" s="80" t="s">
        <v>2897</v>
      </c>
      <c r="J10382" s="583">
        <v>1</v>
      </c>
      <c r="K10382" s="583">
        <v>0</v>
      </c>
      <c r="L10382" s="92">
        <v>37.01</v>
      </c>
      <c r="M10382" s="92">
        <v>37.01</v>
      </c>
    </row>
    <row r="10383" ht="46.25" customHeight="1" spans="3:13">
      <c r="C10383" s="79" t="s">
        <v>2921</v>
      </c>
      <c r="D10383" s="78" t="s">
        <v>5912</v>
      </c>
      <c r="E10383" s="79" t="s">
        <v>139</v>
      </c>
      <c r="F10383" s="79" t="s">
        <v>5913</v>
      </c>
      <c r="G10383" s="79" t="s">
        <v>5464</v>
      </c>
      <c r="H10383" s="79"/>
      <c r="I10383" s="80" t="s">
        <v>2897</v>
      </c>
      <c r="J10383" s="583">
        <v>1</v>
      </c>
      <c r="K10383" s="583">
        <v>0</v>
      </c>
      <c r="L10383" s="92">
        <v>1.7</v>
      </c>
      <c r="M10383" s="92">
        <v>1.7</v>
      </c>
    </row>
    <row r="10384" ht="46.25" customHeight="1" spans="3:13">
      <c r="C10384" s="79" t="s">
        <v>2921</v>
      </c>
      <c r="D10384" s="78" t="s">
        <v>5914</v>
      </c>
      <c r="E10384" s="79" t="s">
        <v>139</v>
      </c>
      <c r="F10384" s="79" t="s">
        <v>5915</v>
      </c>
      <c r="G10384" s="79" t="s">
        <v>5464</v>
      </c>
      <c r="H10384" s="79"/>
      <c r="I10384" s="80" t="s">
        <v>2897</v>
      </c>
      <c r="J10384" s="583">
        <v>1</v>
      </c>
      <c r="K10384" s="583">
        <v>0</v>
      </c>
      <c r="L10384" s="92">
        <v>0.39</v>
      </c>
      <c r="M10384" s="92">
        <v>0.39</v>
      </c>
    </row>
    <row r="10385" ht="25.5" spans="3:13">
      <c r="C10385" s="108"/>
      <c r="D10385" s="108"/>
      <c r="E10385" s="108"/>
      <c r="F10385" s="108"/>
      <c r="G10385" s="108"/>
      <c r="H10385" s="108" t="s">
        <v>2898</v>
      </c>
      <c r="I10385" s="581">
        <v>28.18</v>
      </c>
      <c r="J10385" s="108" t="s">
        <v>2899</v>
      </c>
      <c r="K10385" s="581">
        <v>0</v>
      </c>
      <c r="L10385" s="108" t="s">
        <v>2900</v>
      </c>
      <c r="M10385" s="581">
        <v>28.18</v>
      </c>
    </row>
    <row r="10386" ht="26.25" spans="3:13">
      <c r="C10386" s="108"/>
      <c r="D10386" s="108"/>
      <c r="E10386" s="108"/>
      <c r="F10386" s="108"/>
      <c r="G10386" s="108"/>
      <c r="H10386" s="108" t="s">
        <v>2901</v>
      </c>
      <c r="I10386" s="581">
        <v>9.96</v>
      </c>
      <c r="J10386" s="114"/>
      <c r="K10386" s="114" t="s">
        <v>2902</v>
      </c>
      <c r="L10386" s="108"/>
      <c r="M10386" s="581">
        <v>49.06</v>
      </c>
    </row>
    <row r="10387" ht="15" spans="3:13">
      <c r="C10387" s="571"/>
      <c r="D10387" s="571"/>
      <c r="E10387" s="571"/>
      <c r="F10387" s="571"/>
      <c r="G10387" s="571"/>
      <c r="H10387" s="571"/>
      <c r="I10387" s="571"/>
      <c r="J10387" s="571"/>
      <c r="K10387" s="571"/>
      <c r="L10387" s="571"/>
      <c r="M10387" s="571"/>
    </row>
    <row r="10388" ht="15" customHeight="1" spans="3:13">
      <c r="C10388" s="76"/>
      <c r="D10388" s="75" t="s">
        <v>63</v>
      </c>
      <c r="E10388" s="76" t="s">
        <v>64</v>
      </c>
      <c r="F10388" s="76" t="s">
        <v>65</v>
      </c>
      <c r="G10388" s="76" t="s">
        <v>2889</v>
      </c>
      <c r="H10388" s="76"/>
      <c r="I10388" s="77" t="s">
        <v>66</v>
      </c>
      <c r="J10388" s="75" t="s">
        <v>67</v>
      </c>
      <c r="K10388" s="75" t="s">
        <v>2890</v>
      </c>
      <c r="L10388" s="75" t="s">
        <v>68</v>
      </c>
      <c r="M10388" s="75" t="s">
        <v>70</v>
      </c>
    </row>
    <row r="10389" ht="23.85" customHeight="1" spans="3:13">
      <c r="C10389" s="569" t="s">
        <v>2891</v>
      </c>
      <c r="D10389" s="570" t="s">
        <v>3253</v>
      </c>
      <c r="E10389" s="569" t="s">
        <v>139</v>
      </c>
      <c r="F10389" s="569" t="s">
        <v>3254</v>
      </c>
      <c r="G10389" s="569" t="s">
        <v>2995</v>
      </c>
      <c r="H10389" s="569"/>
      <c r="I10389" s="577" t="s">
        <v>3002</v>
      </c>
      <c r="J10389" s="578">
        <v>1</v>
      </c>
      <c r="K10389" s="579"/>
      <c r="L10389" s="579">
        <v>41.23</v>
      </c>
      <c r="M10389" s="579">
        <v>41.23</v>
      </c>
    </row>
    <row r="10390" ht="23.85" customHeight="1" spans="3:13">
      <c r="C10390" s="79" t="s">
        <v>2921</v>
      </c>
      <c r="D10390" s="78" t="s">
        <v>5910</v>
      </c>
      <c r="E10390" s="79" t="s">
        <v>139</v>
      </c>
      <c r="F10390" s="79" t="s">
        <v>5911</v>
      </c>
      <c r="G10390" s="79" t="s">
        <v>2928</v>
      </c>
      <c r="H10390" s="79"/>
      <c r="I10390" s="80" t="s">
        <v>2897</v>
      </c>
      <c r="J10390" s="583">
        <v>1</v>
      </c>
      <c r="K10390" s="583">
        <v>0</v>
      </c>
      <c r="L10390" s="92">
        <v>37.01</v>
      </c>
      <c r="M10390" s="92">
        <v>37.01</v>
      </c>
    </row>
    <row r="10391" ht="46.25" customHeight="1" spans="3:13">
      <c r="C10391" s="79" t="s">
        <v>2921</v>
      </c>
      <c r="D10391" s="78" t="s">
        <v>5912</v>
      </c>
      <c r="E10391" s="79" t="s">
        <v>139</v>
      </c>
      <c r="F10391" s="79" t="s">
        <v>5913</v>
      </c>
      <c r="G10391" s="79" t="s">
        <v>5464</v>
      </c>
      <c r="H10391" s="79"/>
      <c r="I10391" s="80" t="s">
        <v>2897</v>
      </c>
      <c r="J10391" s="583">
        <v>1</v>
      </c>
      <c r="K10391" s="583">
        <v>0</v>
      </c>
      <c r="L10391" s="92">
        <v>1.7</v>
      </c>
      <c r="M10391" s="92">
        <v>1.7</v>
      </c>
    </row>
    <row r="10392" ht="46.25" customHeight="1" spans="3:13">
      <c r="C10392" s="79" t="s">
        <v>2921</v>
      </c>
      <c r="D10392" s="78" t="s">
        <v>5914</v>
      </c>
      <c r="E10392" s="79" t="s">
        <v>139</v>
      </c>
      <c r="F10392" s="79" t="s">
        <v>5915</v>
      </c>
      <c r="G10392" s="79" t="s">
        <v>5464</v>
      </c>
      <c r="H10392" s="79"/>
      <c r="I10392" s="80" t="s">
        <v>2897</v>
      </c>
      <c r="J10392" s="583">
        <v>1</v>
      </c>
      <c r="K10392" s="583">
        <v>0</v>
      </c>
      <c r="L10392" s="92">
        <v>0.39</v>
      </c>
      <c r="M10392" s="92">
        <v>0.39</v>
      </c>
    </row>
    <row r="10393" ht="46.25" customHeight="1" spans="3:13">
      <c r="C10393" s="79" t="s">
        <v>2921</v>
      </c>
      <c r="D10393" s="78" t="s">
        <v>5916</v>
      </c>
      <c r="E10393" s="79" t="s">
        <v>139</v>
      </c>
      <c r="F10393" s="79" t="s">
        <v>5917</v>
      </c>
      <c r="G10393" s="79" t="s">
        <v>5464</v>
      </c>
      <c r="H10393" s="79"/>
      <c r="I10393" s="80" t="s">
        <v>2897</v>
      </c>
      <c r="J10393" s="583">
        <v>1</v>
      </c>
      <c r="K10393" s="583">
        <v>0</v>
      </c>
      <c r="L10393" s="92">
        <v>2.13</v>
      </c>
      <c r="M10393" s="92">
        <v>2.13</v>
      </c>
    </row>
    <row r="10394" ht="25.5" spans="3:13">
      <c r="C10394" s="108"/>
      <c r="D10394" s="108"/>
      <c r="E10394" s="108"/>
      <c r="F10394" s="108"/>
      <c r="G10394" s="108"/>
      <c r="H10394" s="108" t="s">
        <v>2898</v>
      </c>
      <c r="I10394" s="581">
        <v>28.18</v>
      </c>
      <c r="J10394" s="108" t="s">
        <v>2899</v>
      </c>
      <c r="K10394" s="581">
        <v>0</v>
      </c>
      <c r="L10394" s="108" t="s">
        <v>2900</v>
      </c>
      <c r="M10394" s="581">
        <v>28.18</v>
      </c>
    </row>
    <row r="10395" ht="26.25" spans="3:13">
      <c r="C10395" s="108"/>
      <c r="D10395" s="108"/>
      <c r="E10395" s="108"/>
      <c r="F10395" s="108"/>
      <c r="G10395" s="108"/>
      <c r="H10395" s="108" t="s">
        <v>2901</v>
      </c>
      <c r="I10395" s="581">
        <v>10.5</v>
      </c>
      <c r="J10395" s="114"/>
      <c r="K10395" s="114" t="s">
        <v>2902</v>
      </c>
      <c r="L10395" s="108"/>
      <c r="M10395" s="581">
        <v>51.73</v>
      </c>
    </row>
    <row r="10396" ht="15" spans="3:13">
      <c r="C10396" s="571"/>
      <c r="D10396" s="571"/>
      <c r="E10396" s="571"/>
      <c r="F10396" s="571"/>
      <c r="G10396" s="571"/>
      <c r="H10396" s="571"/>
      <c r="I10396" s="571"/>
      <c r="J10396" s="571"/>
      <c r="K10396" s="571"/>
      <c r="L10396" s="571"/>
      <c r="M10396" s="571"/>
    </row>
    <row r="10397" ht="15" customHeight="1" spans="3:13">
      <c r="C10397" s="76"/>
      <c r="D10397" s="75" t="s">
        <v>63</v>
      </c>
      <c r="E10397" s="76" t="s">
        <v>64</v>
      </c>
      <c r="F10397" s="76" t="s">
        <v>65</v>
      </c>
      <c r="G10397" s="76" t="s">
        <v>2889</v>
      </c>
      <c r="H10397" s="76"/>
      <c r="I10397" s="77" t="s">
        <v>66</v>
      </c>
      <c r="J10397" s="75" t="s">
        <v>67</v>
      </c>
      <c r="K10397" s="75" t="s">
        <v>2890</v>
      </c>
      <c r="L10397" s="75" t="s">
        <v>68</v>
      </c>
      <c r="M10397" s="75" t="s">
        <v>70</v>
      </c>
    </row>
    <row r="10398" ht="46.25" customHeight="1" spans="3:13">
      <c r="C10398" s="569" t="s">
        <v>2891</v>
      </c>
      <c r="D10398" s="570" t="s">
        <v>5912</v>
      </c>
      <c r="E10398" s="569" t="s">
        <v>139</v>
      </c>
      <c r="F10398" s="569" t="s">
        <v>5913</v>
      </c>
      <c r="G10398" s="569" t="s">
        <v>5464</v>
      </c>
      <c r="H10398" s="569"/>
      <c r="I10398" s="577" t="s">
        <v>2897</v>
      </c>
      <c r="J10398" s="578">
        <v>1</v>
      </c>
      <c r="K10398" s="579"/>
      <c r="L10398" s="579">
        <v>1.7</v>
      </c>
      <c r="M10398" s="579">
        <v>1.7</v>
      </c>
    </row>
    <row r="10399" ht="23.85" customHeight="1" spans="3:13">
      <c r="C10399" s="100" t="s">
        <v>2893</v>
      </c>
      <c r="D10399" s="99" t="s">
        <v>5918</v>
      </c>
      <c r="E10399" s="100" t="s">
        <v>139</v>
      </c>
      <c r="F10399" s="100" t="s">
        <v>5919</v>
      </c>
      <c r="G10399" s="100" t="s">
        <v>3680</v>
      </c>
      <c r="H10399" s="100"/>
      <c r="I10399" s="101" t="s">
        <v>134</v>
      </c>
      <c r="J10399" s="580">
        <v>6.4e-5</v>
      </c>
      <c r="K10399" s="580">
        <v>0</v>
      </c>
      <c r="L10399" s="102">
        <v>26672.36</v>
      </c>
      <c r="M10399" s="102">
        <v>1.7</v>
      </c>
    </row>
    <row r="10400" ht="25.5" spans="3:13">
      <c r="C10400" s="108"/>
      <c r="D10400" s="108"/>
      <c r="E10400" s="108"/>
      <c r="F10400" s="108"/>
      <c r="G10400" s="108"/>
      <c r="H10400" s="108" t="s">
        <v>2898</v>
      </c>
      <c r="I10400" s="581">
        <v>0</v>
      </c>
      <c r="J10400" s="108" t="s">
        <v>2899</v>
      </c>
      <c r="K10400" s="581">
        <v>0</v>
      </c>
      <c r="L10400" s="108" t="s">
        <v>2900</v>
      </c>
      <c r="M10400" s="581">
        <v>0</v>
      </c>
    </row>
    <row r="10401" ht="26.25" spans="3:13">
      <c r="C10401" s="108"/>
      <c r="D10401" s="108"/>
      <c r="E10401" s="108"/>
      <c r="F10401" s="108"/>
      <c r="G10401" s="108"/>
      <c r="H10401" s="108" t="s">
        <v>2901</v>
      </c>
      <c r="I10401" s="581">
        <v>0.43</v>
      </c>
      <c r="J10401" s="114"/>
      <c r="K10401" s="114" t="s">
        <v>2902</v>
      </c>
      <c r="L10401" s="108"/>
      <c r="M10401" s="581">
        <v>2.13</v>
      </c>
    </row>
    <row r="10402" ht="15" spans="3:13">
      <c r="C10402" s="571"/>
      <c r="D10402" s="571"/>
      <c r="E10402" s="571"/>
      <c r="F10402" s="571"/>
      <c r="G10402" s="571"/>
      <c r="H10402" s="571"/>
      <c r="I10402" s="571"/>
      <c r="J10402" s="571"/>
      <c r="K10402" s="571"/>
      <c r="L10402" s="571"/>
      <c r="M10402" s="571"/>
    </row>
    <row r="10403" ht="15" customHeight="1" spans="3:13">
      <c r="C10403" s="76"/>
      <c r="D10403" s="75" t="s">
        <v>63</v>
      </c>
      <c r="E10403" s="76" t="s">
        <v>64</v>
      </c>
      <c r="F10403" s="76" t="s">
        <v>65</v>
      </c>
      <c r="G10403" s="76" t="s">
        <v>2889</v>
      </c>
      <c r="H10403" s="76"/>
      <c r="I10403" s="77" t="s">
        <v>66</v>
      </c>
      <c r="J10403" s="75" t="s">
        <v>67</v>
      </c>
      <c r="K10403" s="75" t="s">
        <v>2890</v>
      </c>
      <c r="L10403" s="75" t="s">
        <v>68</v>
      </c>
      <c r="M10403" s="75" t="s">
        <v>70</v>
      </c>
    </row>
    <row r="10404" ht="46.25" customHeight="1" spans="3:13">
      <c r="C10404" s="569" t="s">
        <v>2891</v>
      </c>
      <c r="D10404" s="570" t="s">
        <v>5914</v>
      </c>
      <c r="E10404" s="569" t="s">
        <v>139</v>
      </c>
      <c r="F10404" s="569" t="s">
        <v>5915</v>
      </c>
      <c r="G10404" s="569" t="s">
        <v>5464</v>
      </c>
      <c r="H10404" s="569"/>
      <c r="I10404" s="577" t="s">
        <v>2897</v>
      </c>
      <c r="J10404" s="578">
        <v>1</v>
      </c>
      <c r="K10404" s="579"/>
      <c r="L10404" s="579">
        <v>0.39</v>
      </c>
      <c r="M10404" s="579">
        <v>0.39</v>
      </c>
    </row>
    <row r="10405" ht="23.85" customHeight="1" spans="3:13">
      <c r="C10405" s="100" t="s">
        <v>2893</v>
      </c>
      <c r="D10405" s="99" t="s">
        <v>5918</v>
      </c>
      <c r="E10405" s="100" t="s">
        <v>139</v>
      </c>
      <c r="F10405" s="100" t="s">
        <v>5919</v>
      </c>
      <c r="G10405" s="100" t="s">
        <v>3680</v>
      </c>
      <c r="H10405" s="100"/>
      <c r="I10405" s="101" t="s">
        <v>134</v>
      </c>
      <c r="J10405" s="580">
        <v>1.48e-5</v>
      </c>
      <c r="K10405" s="580">
        <v>0</v>
      </c>
      <c r="L10405" s="102">
        <v>26672.36</v>
      </c>
      <c r="M10405" s="102">
        <v>0.39</v>
      </c>
    </row>
    <row r="10406" ht="25.5" spans="3:13">
      <c r="C10406" s="108"/>
      <c r="D10406" s="108"/>
      <c r="E10406" s="108"/>
      <c r="F10406" s="108"/>
      <c r="G10406" s="108"/>
      <c r="H10406" s="108" t="s">
        <v>2898</v>
      </c>
      <c r="I10406" s="581">
        <v>0</v>
      </c>
      <c r="J10406" s="108" t="s">
        <v>2899</v>
      </c>
      <c r="K10406" s="581">
        <v>0</v>
      </c>
      <c r="L10406" s="108" t="s">
        <v>2900</v>
      </c>
      <c r="M10406" s="581">
        <v>0</v>
      </c>
    </row>
    <row r="10407" ht="26.25" spans="3:13">
      <c r="C10407" s="108"/>
      <c r="D10407" s="108"/>
      <c r="E10407" s="108"/>
      <c r="F10407" s="108"/>
      <c r="G10407" s="108"/>
      <c r="H10407" s="108" t="s">
        <v>2901</v>
      </c>
      <c r="I10407" s="581">
        <v>0.09</v>
      </c>
      <c r="J10407" s="114"/>
      <c r="K10407" s="114" t="s">
        <v>2902</v>
      </c>
      <c r="L10407" s="108"/>
      <c r="M10407" s="581">
        <v>0.48</v>
      </c>
    </row>
    <row r="10408" ht="15" spans="3:13">
      <c r="C10408" s="571"/>
      <c r="D10408" s="571"/>
      <c r="E10408" s="571"/>
      <c r="F10408" s="571"/>
      <c r="G10408" s="571"/>
      <c r="H10408" s="571"/>
      <c r="I10408" s="571"/>
      <c r="J10408" s="571"/>
      <c r="K10408" s="571"/>
      <c r="L10408" s="571"/>
      <c r="M10408" s="571"/>
    </row>
    <row r="10409" ht="15" customHeight="1" spans="3:13">
      <c r="C10409" s="76"/>
      <c r="D10409" s="75" t="s">
        <v>63</v>
      </c>
      <c r="E10409" s="76" t="s">
        <v>64</v>
      </c>
      <c r="F10409" s="76" t="s">
        <v>65</v>
      </c>
      <c r="G10409" s="76" t="s">
        <v>2889</v>
      </c>
      <c r="H10409" s="76"/>
      <c r="I10409" s="77" t="s">
        <v>66</v>
      </c>
      <c r="J10409" s="75" t="s">
        <v>67</v>
      </c>
      <c r="K10409" s="75" t="s">
        <v>2890</v>
      </c>
      <c r="L10409" s="75" t="s">
        <v>68</v>
      </c>
      <c r="M10409" s="75" t="s">
        <v>70</v>
      </c>
    </row>
    <row r="10410" ht="46.25" customHeight="1" spans="3:13">
      <c r="C10410" s="569" t="s">
        <v>2891</v>
      </c>
      <c r="D10410" s="570" t="s">
        <v>5916</v>
      </c>
      <c r="E10410" s="569" t="s">
        <v>139</v>
      </c>
      <c r="F10410" s="569" t="s">
        <v>5917</v>
      </c>
      <c r="G10410" s="569" t="s">
        <v>5464</v>
      </c>
      <c r="H10410" s="569"/>
      <c r="I10410" s="577" t="s">
        <v>2897</v>
      </c>
      <c r="J10410" s="578">
        <v>1</v>
      </c>
      <c r="K10410" s="579"/>
      <c r="L10410" s="579">
        <v>2.13</v>
      </c>
      <c r="M10410" s="579">
        <v>2.13</v>
      </c>
    </row>
    <row r="10411" ht="23.85" customHeight="1" spans="3:13">
      <c r="C10411" s="100" t="s">
        <v>2893</v>
      </c>
      <c r="D10411" s="99" t="s">
        <v>5918</v>
      </c>
      <c r="E10411" s="100" t="s">
        <v>139</v>
      </c>
      <c r="F10411" s="100" t="s">
        <v>5919</v>
      </c>
      <c r="G10411" s="100" t="s">
        <v>3680</v>
      </c>
      <c r="H10411" s="100"/>
      <c r="I10411" s="101" t="s">
        <v>134</v>
      </c>
      <c r="J10411" s="580">
        <v>8e-5</v>
      </c>
      <c r="K10411" s="580">
        <v>0</v>
      </c>
      <c r="L10411" s="102">
        <v>26672.36</v>
      </c>
      <c r="M10411" s="102">
        <v>2.13</v>
      </c>
    </row>
    <row r="10412" ht="25.5" spans="3:13">
      <c r="C10412" s="108"/>
      <c r="D10412" s="108"/>
      <c r="E10412" s="108"/>
      <c r="F10412" s="108"/>
      <c r="G10412" s="108"/>
      <c r="H10412" s="108" t="s">
        <v>2898</v>
      </c>
      <c r="I10412" s="581">
        <v>0</v>
      </c>
      <c r="J10412" s="108" t="s">
        <v>2899</v>
      </c>
      <c r="K10412" s="581">
        <v>0</v>
      </c>
      <c r="L10412" s="108" t="s">
        <v>2900</v>
      </c>
      <c r="M10412" s="581">
        <v>0</v>
      </c>
    </row>
    <row r="10413" ht="26.25" spans="3:13">
      <c r="C10413" s="108"/>
      <c r="D10413" s="108"/>
      <c r="E10413" s="108"/>
      <c r="F10413" s="108"/>
      <c r="G10413" s="108"/>
      <c r="H10413" s="108" t="s">
        <v>2901</v>
      </c>
      <c r="I10413" s="581">
        <v>0.54</v>
      </c>
      <c r="J10413" s="114"/>
      <c r="K10413" s="114" t="s">
        <v>2902</v>
      </c>
      <c r="L10413" s="108"/>
      <c r="M10413" s="581">
        <v>2.67</v>
      </c>
    </row>
    <row r="10414" ht="15" spans="3:13">
      <c r="C10414" s="571"/>
      <c r="D10414" s="571"/>
      <c r="E10414" s="571"/>
      <c r="F10414" s="571"/>
      <c r="G10414" s="571"/>
      <c r="H10414" s="571"/>
      <c r="I10414" s="571"/>
      <c r="J10414" s="571"/>
      <c r="K10414" s="571"/>
      <c r="L10414" s="571"/>
      <c r="M10414" s="571"/>
    </row>
    <row r="10415" ht="15" customHeight="1" spans="3:13">
      <c r="C10415" s="76"/>
      <c r="D10415" s="75" t="s">
        <v>63</v>
      </c>
      <c r="E10415" s="76" t="s">
        <v>64</v>
      </c>
      <c r="F10415" s="76" t="s">
        <v>65</v>
      </c>
      <c r="G10415" s="76" t="s">
        <v>2889</v>
      </c>
      <c r="H10415" s="76"/>
      <c r="I10415" s="77" t="s">
        <v>66</v>
      </c>
      <c r="J10415" s="75" t="s">
        <v>67</v>
      </c>
      <c r="K10415" s="75" t="s">
        <v>2890</v>
      </c>
      <c r="L10415" s="75" t="s">
        <v>68</v>
      </c>
      <c r="M10415" s="75" t="s">
        <v>70</v>
      </c>
    </row>
    <row r="10416" ht="23.85" customHeight="1" spans="3:13">
      <c r="C10416" s="569" t="s">
        <v>2891</v>
      </c>
      <c r="D10416" s="570" t="s">
        <v>4215</v>
      </c>
      <c r="E10416" s="569" t="s">
        <v>139</v>
      </c>
      <c r="F10416" s="569" t="s">
        <v>4216</v>
      </c>
      <c r="G10416" s="569" t="s">
        <v>2928</v>
      </c>
      <c r="H10416" s="569"/>
      <c r="I10416" s="577" t="s">
        <v>2897</v>
      </c>
      <c r="J10416" s="578">
        <v>1</v>
      </c>
      <c r="K10416" s="579"/>
      <c r="L10416" s="579">
        <v>33.34</v>
      </c>
      <c r="M10416" s="579">
        <v>33.34</v>
      </c>
    </row>
    <row r="10417" ht="23.85" customHeight="1" spans="3:13">
      <c r="C10417" s="79" t="s">
        <v>2921</v>
      </c>
      <c r="D10417" s="78" t="s">
        <v>5672</v>
      </c>
      <c r="E10417" s="79" t="s">
        <v>139</v>
      </c>
      <c r="F10417" s="79" t="s">
        <v>5673</v>
      </c>
      <c r="G10417" s="79" t="s">
        <v>2928</v>
      </c>
      <c r="H10417" s="79"/>
      <c r="I10417" s="80" t="s">
        <v>2897</v>
      </c>
      <c r="J10417" s="583">
        <v>1</v>
      </c>
      <c r="K10417" s="583">
        <v>0</v>
      </c>
      <c r="L10417" s="92">
        <v>0.62</v>
      </c>
      <c r="M10417" s="92">
        <v>0.62</v>
      </c>
    </row>
    <row r="10418" ht="23.85" customHeight="1" spans="3:13">
      <c r="C10418" s="100" t="s">
        <v>2893</v>
      </c>
      <c r="D10418" s="99" t="s">
        <v>5308</v>
      </c>
      <c r="E10418" s="100" t="s">
        <v>139</v>
      </c>
      <c r="F10418" s="100" t="s">
        <v>5309</v>
      </c>
      <c r="G10418" s="100" t="s">
        <v>2961</v>
      </c>
      <c r="H10418" s="100"/>
      <c r="I10418" s="101" t="s">
        <v>2897</v>
      </c>
      <c r="J10418" s="580">
        <v>1</v>
      </c>
      <c r="K10418" s="580">
        <v>0</v>
      </c>
      <c r="L10418" s="102">
        <v>4.84</v>
      </c>
      <c r="M10418" s="102">
        <v>4.84</v>
      </c>
    </row>
    <row r="10419" ht="15" customHeight="1" spans="3:13">
      <c r="C10419" s="100" t="s">
        <v>2893</v>
      </c>
      <c r="D10419" s="99" t="s">
        <v>5312</v>
      </c>
      <c r="E10419" s="100" t="s">
        <v>139</v>
      </c>
      <c r="F10419" s="100" t="s">
        <v>5313</v>
      </c>
      <c r="G10419" s="100" t="s">
        <v>2961</v>
      </c>
      <c r="H10419" s="100"/>
      <c r="I10419" s="101" t="s">
        <v>2897</v>
      </c>
      <c r="J10419" s="580">
        <v>1</v>
      </c>
      <c r="K10419" s="580">
        <v>0</v>
      </c>
      <c r="L10419" s="102">
        <v>0.08</v>
      </c>
      <c r="M10419" s="102">
        <v>0.08</v>
      </c>
    </row>
    <row r="10420" ht="23.85" customHeight="1" spans="3:13">
      <c r="C10420" s="100" t="s">
        <v>2893</v>
      </c>
      <c r="D10420" s="99" t="s">
        <v>5398</v>
      </c>
      <c r="E10420" s="100" t="s">
        <v>139</v>
      </c>
      <c r="F10420" s="100" t="s">
        <v>5399</v>
      </c>
      <c r="G10420" s="100" t="s">
        <v>2961</v>
      </c>
      <c r="H10420" s="100"/>
      <c r="I10420" s="101" t="s">
        <v>2897</v>
      </c>
      <c r="J10420" s="580">
        <v>1</v>
      </c>
      <c r="K10420" s="580">
        <v>0</v>
      </c>
      <c r="L10420" s="102">
        <v>1.26</v>
      </c>
      <c r="M10420" s="102">
        <v>1.26</v>
      </c>
    </row>
    <row r="10421" ht="15" customHeight="1" spans="3:13">
      <c r="C10421" s="100" t="s">
        <v>2893</v>
      </c>
      <c r="D10421" s="99" t="s">
        <v>5674</v>
      </c>
      <c r="E10421" s="100" t="s">
        <v>139</v>
      </c>
      <c r="F10421" s="100" t="s">
        <v>5675</v>
      </c>
      <c r="G10421" s="100" t="s">
        <v>2896</v>
      </c>
      <c r="H10421" s="100"/>
      <c r="I10421" s="101" t="s">
        <v>2897</v>
      </c>
      <c r="J10421" s="580">
        <v>1</v>
      </c>
      <c r="K10421" s="580">
        <v>0</v>
      </c>
      <c r="L10421" s="102">
        <v>22.67</v>
      </c>
      <c r="M10421" s="102">
        <v>22.67</v>
      </c>
    </row>
    <row r="10422" ht="23.85" customHeight="1" spans="3:13">
      <c r="C10422" s="100" t="s">
        <v>2893</v>
      </c>
      <c r="D10422" s="99" t="s">
        <v>5310</v>
      </c>
      <c r="E10422" s="100" t="s">
        <v>139</v>
      </c>
      <c r="F10422" s="100" t="s">
        <v>5311</v>
      </c>
      <c r="G10422" s="100" t="s">
        <v>2961</v>
      </c>
      <c r="H10422" s="100"/>
      <c r="I10422" s="101" t="s">
        <v>2897</v>
      </c>
      <c r="J10422" s="580">
        <v>1</v>
      </c>
      <c r="K10422" s="580">
        <v>0</v>
      </c>
      <c r="L10422" s="102">
        <v>1.58</v>
      </c>
      <c r="M10422" s="102">
        <v>1.58</v>
      </c>
    </row>
    <row r="10423" ht="15" customHeight="1" spans="3:13">
      <c r="C10423" s="100" t="s">
        <v>2893</v>
      </c>
      <c r="D10423" s="99" t="s">
        <v>5306</v>
      </c>
      <c r="E10423" s="100" t="s">
        <v>139</v>
      </c>
      <c r="F10423" s="100" t="s">
        <v>5307</v>
      </c>
      <c r="G10423" s="100" t="s">
        <v>2961</v>
      </c>
      <c r="H10423" s="100"/>
      <c r="I10423" s="101" t="s">
        <v>2897</v>
      </c>
      <c r="J10423" s="580">
        <v>1</v>
      </c>
      <c r="K10423" s="580">
        <v>0</v>
      </c>
      <c r="L10423" s="102">
        <v>1.43</v>
      </c>
      <c r="M10423" s="102">
        <v>1.43</v>
      </c>
    </row>
    <row r="10424" ht="23.85" customHeight="1" spans="3:13">
      <c r="C10424" s="100" t="s">
        <v>2893</v>
      </c>
      <c r="D10424" s="99" t="s">
        <v>5396</v>
      </c>
      <c r="E10424" s="100" t="s">
        <v>139</v>
      </c>
      <c r="F10424" s="100" t="s">
        <v>5397</v>
      </c>
      <c r="G10424" s="100" t="s">
        <v>2961</v>
      </c>
      <c r="H10424" s="100"/>
      <c r="I10424" s="101" t="s">
        <v>2897</v>
      </c>
      <c r="J10424" s="580">
        <v>1</v>
      </c>
      <c r="K10424" s="580">
        <v>0</v>
      </c>
      <c r="L10424" s="102">
        <v>0.86</v>
      </c>
      <c r="M10424" s="102">
        <v>0.86</v>
      </c>
    </row>
    <row r="10425" ht="25.5" spans="3:13">
      <c r="C10425" s="108"/>
      <c r="D10425" s="108"/>
      <c r="E10425" s="108"/>
      <c r="F10425" s="108"/>
      <c r="G10425" s="108"/>
      <c r="H10425" s="108" t="s">
        <v>2898</v>
      </c>
      <c r="I10425" s="581">
        <v>23.29</v>
      </c>
      <c r="J10425" s="108" t="s">
        <v>2899</v>
      </c>
      <c r="K10425" s="581">
        <v>0</v>
      </c>
      <c r="L10425" s="108" t="s">
        <v>2900</v>
      </c>
      <c r="M10425" s="581">
        <v>23.29</v>
      </c>
    </row>
    <row r="10426" ht="26.25" spans="3:13">
      <c r="C10426" s="108"/>
      <c r="D10426" s="108"/>
      <c r="E10426" s="108"/>
      <c r="F10426" s="108"/>
      <c r="G10426" s="108"/>
      <c r="H10426" s="108" t="s">
        <v>2901</v>
      </c>
      <c r="I10426" s="581">
        <v>8.49</v>
      </c>
      <c r="J10426" s="114"/>
      <c r="K10426" s="114" t="s">
        <v>2902</v>
      </c>
      <c r="L10426" s="108"/>
      <c r="M10426" s="581">
        <v>41.83</v>
      </c>
    </row>
    <row r="10427" ht="15" spans="3:13">
      <c r="C10427" s="571"/>
      <c r="D10427" s="571"/>
      <c r="E10427" s="571"/>
      <c r="F10427" s="571"/>
      <c r="G10427" s="571"/>
      <c r="H10427" s="571"/>
      <c r="I10427" s="571"/>
      <c r="J10427" s="571"/>
      <c r="K10427" s="571"/>
      <c r="L10427" s="571"/>
      <c r="M10427" s="571"/>
    </row>
    <row r="10428" ht="15" customHeight="1" spans="3:13">
      <c r="C10428" s="76"/>
      <c r="D10428" s="75" t="s">
        <v>63</v>
      </c>
      <c r="E10428" s="76" t="s">
        <v>64</v>
      </c>
      <c r="F10428" s="76" t="s">
        <v>65</v>
      </c>
      <c r="G10428" s="76" t="s">
        <v>2889</v>
      </c>
      <c r="H10428" s="76"/>
      <c r="I10428" s="77" t="s">
        <v>66</v>
      </c>
      <c r="J10428" s="75" t="s">
        <v>67</v>
      </c>
      <c r="K10428" s="75" t="s">
        <v>2890</v>
      </c>
      <c r="L10428" s="75" t="s">
        <v>68</v>
      </c>
      <c r="M10428" s="75" t="s">
        <v>70</v>
      </c>
    </row>
    <row r="10429" ht="15" customHeight="1" spans="3:13">
      <c r="C10429" s="569" t="s">
        <v>2891</v>
      </c>
      <c r="D10429" s="570" t="s">
        <v>4452</v>
      </c>
      <c r="E10429" s="569" t="s">
        <v>149</v>
      </c>
      <c r="F10429" s="569" t="s">
        <v>4453</v>
      </c>
      <c r="G10429" s="569" t="s">
        <v>4007</v>
      </c>
      <c r="H10429" s="569"/>
      <c r="I10429" s="577" t="s">
        <v>134</v>
      </c>
      <c r="J10429" s="578">
        <v>1</v>
      </c>
      <c r="K10429" s="579"/>
      <c r="L10429" s="579">
        <v>1066.66</v>
      </c>
      <c r="M10429" s="579">
        <v>1066.66</v>
      </c>
    </row>
    <row r="10430" ht="15" customHeight="1" spans="3:13">
      <c r="C10430" s="100" t="s">
        <v>2893</v>
      </c>
      <c r="D10430" s="99" t="s">
        <v>5920</v>
      </c>
      <c r="E10430" s="100" t="s">
        <v>149</v>
      </c>
      <c r="F10430" s="100" t="s">
        <v>5921</v>
      </c>
      <c r="G10430" s="100" t="s">
        <v>2961</v>
      </c>
      <c r="H10430" s="100"/>
      <c r="I10430" s="101" t="s">
        <v>134</v>
      </c>
      <c r="J10430" s="580">
        <v>1</v>
      </c>
      <c r="K10430" s="580">
        <v>0</v>
      </c>
      <c r="L10430" s="102">
        <v>271.47</v>
      </c>
      <c r="M10430" s="102">
        <v>271.47</v>
      </c>
    </row>
    <row r="10431" ht="15" customHeight="1" spans="3:13">
      <c r="C10431" s="100" t="s">
        <v>2893</v>
      </c>
      <c r="D10431" s="99" t="s">
        <v>5922</v>
      </c>
      <c r="E10431" s="100" t="s">
        <v>149</v>
      </c>
      <c r="F10431" s="100" t="s">
        <v>5923</v>
      </c>
      <c r="G10431" s="100" t="s">
        <v>2896</v>
      </c>
      <c r="H10431" s="100"/>
      <c r="I10431" s="101" t="s">
        <v>2897</v>
      </c>
      <c r="J10431" s="580">
        <v>6</v>
      </c>
      <c r="K10431" s="580">
        <v>0</v>
      </c>
      <c r="L10431" s="102">
        <v>132.532184</v>
      </c>
      <c r="M10431" s="102">
        <v>795.19</v>
      </c>
    </row>
    <row r="10432" ht="25.5" spans="3:13">
      <c r="C10432" s="108"/>
      <c r="D10432" s="108"/>
      <c r="E10432" s="108"/>
      <c r="F10432" s="108"/>
      <c r="G10432" s="108"/>
      <c r="H10432" s="108" t="s">
        <v>2898</v>
      </c>
      <c r="I10432" s="581">
        <v>795.19</v>
      </c>
      <c r="J10432" s="108" t="s">
        <v>2899</v>
      </c>
      <c r="K10432" s="581">
        <v>0</v>
      </c>
      <c r="L10432" s="108" t="s">
        <v>2900</v>
      </c>
      <c r="M10432" s="581">
        <v>795.19</v>
      </c>
    </row>
    <row r="10433" ht="26.25" spans="3:13">
      <c r="C10433" s="108"/>
      <c r="D10433" s="108"/>
      <c r="E10433" s="108"/>
      <c r="F10433" s="108"/>
      <c r="G10433" s="108"/>
      <c r="H10433" s="108" t="s">
        <v>2901</v>
      </c>
      <c r="I10433" s="581">
        <v>271.89</v>
      </c>
      <c r="J10433" s="114"/>
      <c r="K10433" s="114" t="s">
        <v>2902</v>
      </c>
      <c r="L10433" s="108"/>
      <c r="M10433" s="581">
        <v>1338.55</v>
      </c>
    </row>
    <row r="10434" ht="15" spans="3:13">
      <c r="C10434" s="571"/>
      <c r="D10434" s="571"/>
      <c r="E10434" s="571"/>
      <c r="F10434" s="571"/>
      <c r="G10434" s="571"/>
      <c r="H10434" s="571"/>
      <c r="I10434" s="571"/>
      <c r="J10434" s="571"/>
      <c r="K10434" s="571"/>
      <c r="L10434" s="571"/>
      <c r="M10434" s="571"/>
    </row>
    <row r="10435" ht="15" customHeight="1" spans="3:13">
      <c r="C10435" s="76"/>
      <c r="D10435" s="75" t="s">
        <v>63</v>
      </c>
      <c r="E10435" s="76" t="s">
        <v>64</v>
      </c>
      <c r="F10435" s="76" t="s">
        <v>65</v>
      </c>
      <c r="G10435" s="76" t="s">
        <v>2889</v>
      </c>
      <c r="H10435" s="76"/>
      <c r="I10435" s="77" t="s">
        <v>66</v>
      </c>
      <c r="J10435" s="75" t="s">
        <v>67</v>
      </c>
      <c r="K10435" s="75" t="s">
        <v>2890</v>
      </c>
      <c r="L10435" s="75" t="s">
        <v>68</v>
      </c>
      <c r="M10435" s="75" t="s">
        <v>70</v>
      </c>
    </row>
    <row r="10436" ht="23.85" customHeight="1" spans="3:13">
      <c r="C10436" s="569" t="s">
        <v>2891</v>
      </c>
      <c r="D10436" s="570" t="s">
        <v>2929</v>
      </c>
      <c r="E10436" s="569" t="s">
        <v>139</v>
      </c>
      <c r="F10436" s="569" t="s">
        <v>2930</v>
      </c>
      <c r="G10436" s="569" t="s">
        <v>2928</v>
      </c>
      <c r="H10436" s="569"/>
      <c r="I10436" s="577" t="s">
        <v>2925</v>
      </c>
      <c r="J10436" s="578">
        <v>1</v>
      </c>
      <c r="K10436" s="579"/>
      <c r="L10436" s="579">
        <v>11001.16</v>
      </c>
      <c r="M10436" s="579">
        <v>11001.16</v>
      </c>
    </row>
    <row r="10437" ht="23.85" customHeight="1" spans="3:13">
      <c r="C10437" s="79" t="s">
        <v>2921</v>
      </c>
      <c r="D10437" s="78" t="s">
        <v>5676</v>
      </c>
      <c r="E10437" s="79" t="s">
        <v>139</v>
      </c>
      <c r="F10437" s="79" t="s">
        <v>5677</v>
      </c>
      <c r="G10437" s="79" t="s">
        <v>2928</v>
      </c>
      <c r="H10437" s="79"/>
      <c r="I10437" s="80" t="s">
        <v>2925</v>
      </c>
      <c r="J10437" s="583">
        <v>1</v>
      </c>
      <c r="K10437" s="583">
        <v>0</v>
      </c>
      <c r="L10437" s="92">
        <v>164.38</v>
      </c>
      <c r="M10437" s="92">
        <v>164.38</v>
      </c>
    </row>
    <row r="10438" ht="23.85" customHeight="1" spans="3:13">
      <c r="C10438" s="100" t="s">
        <v>2893</v>
      </c>
      <c r="D10438" s="99" t="s">
        <v>5814</v>
      </c>
      <c r="E10438" s="100" t="s">
        <v>139</v>
      </c>
      <c r="F10438" s="100" t="s">
        <v>5815</v>
      </c>
      <c r="G10438" s="100" t="s">
        <v>2961</v>
      </c>
      <c r="H10438" s="100"/>
      <c r="I10438" s="101" t="s">
        <v>2925</v>
      </c>
      <c r="J10438" s="580">
        <v>1</v>
      </c>
      <c r="K10438" s="580">
        <v>0</v>
      </c>
      <c r="L10438" s="102">
        <v>15.46</v>
      </c>
      <c r="M10438" s="102">
        <v>15.46</v>
      </c>
    </row>
    <row r="10439" ht="15" customHeight="1" spans="3:13">
      <c r="C10439" s="100" t="s">
        <v>2893</v>
      </c>
      <c r="D10439" s="99" t="s">
        <v>5678</v>
      </c>
      <c r="E10439" s="100" t="s">
        <v>139</v>
      </c>
      <c r="F10439" s="100" t="s">
        <v>5679</v>
      </c>
      <c r="G10439" s="100" t="s">
        <v>2896</v>
      </c>
      <c r="H10439" s="100"/>
      <c r="I10439" s="101" t="s">
        <v>2925</v>
      </c>
      <c r="J10439" s="580">
        <v>1</v>
      </c>
      <c r="K10439" s="580">
        <v>0</v>
      </c>
      <c r="L10439" s="102">
        <v>10293.36</v>
      </c>
      <c r="M10439" s="102">
        <v>10293.36</v>
      </c>
    </row>
    <row r="10440" ht="23.85" customHeight="1" spans="3:13">
      <c r="C10440" s="100" t="s">
        <v>2893</v>
      </c>
      <c r="D10440" s="99" t="s">
        <v>5340</v>
      </c>
      <c r="E10440" s="100" t="s">
        <v>139</v>
      </c>
      <c r="F10440" s="100" t="s">
        <v>5341</v>
      </c>
      <c r="G10440" s="100" t="s">
        <v>2961</v>
      </c>
      <c r="H10440" s="100"/>
      <c r="I10440" s="101" t="s">
        <v>2925</v>
      </c>
      <c r="J10440" s="580">
        <v>1</v>
      </c>
      <c r="K10440" s="580">
        <v>0</v>
      </c>
      <c r="L10440" s="102">
        <v>270.51</v>
      </c>
      <c r="M10440" s="102">
        <v>270.51</v>
      </c>
    </row>
    <row r="10441" ht="23.85" customHeight="1" spans="3:13">
      <c r="C10441" s="100" t="s">
        <v>2893</v>
      </c>
      <c r="D10441" s="99" t="s">
        <v>5348</v>
      </c>
      <c r="E10441" s="100" t="s">
        <v>139</v>
      </c>
      <c r="F10441" s="100" t="s">
        <v>5349</v>
      </c>
      <c r="G10441" s="100" t="s">
        <v>2961</v>
      </c>
      <c r="H10441" s="100"/>
      <c r="I10441" s="101" t="s">
        <v>2925</v>
      </c>
      <c r="J10441" s="580">
        <v>1</v>
      </c>
      <c r="K10441" s="580">
        <v>0</v>
      </c>
      <c r="L10441" s="102">
        <v>15.46</v>
      </c>
      <c r="M10441" s="102">
        <v>15.46</v>
      </c>
    </row>
    <row r="10442" ht="23.85" customHeight="1" spans="3:13">
      <c r="C10442" s="100" t="s">
        <v>2893</v>
      </c>
      <c r="D10442" s="99" t="s">
        <v>5816</v>
      </c>
      <c r="E10442" s="100" t="s">
        <v>139</v>
      </c>
      <c r="F10442" s="100" t="s">
        <v>5817</v>
      </c>
      <c r="G10442" s="100" t="s">
        <v>2961</v>
      </c>
      <c r="H10442" s="100"/>
      <c r="I10442" s="101" t="s">
        <v>2925</v>
      </c>
      <c r="J10442" s="580">
        <v>1</v>
      </c>
      <c r="K10442" s="580">
        <v>0</v>
      </c>
      <c r="L10442" s="102">
        <v>241.99</v>
      </c>
      <c r="M10442" s="102">
        <v>241.99</v>
      </c>
    </row>
    <row r="10443" ht="25.5" spans="3:13">
      <c r="C10443" s="108"/>
      <c r="D10443" s="108"/>
      <c r="E10443" s="108"/>
      <c r="F10443" s="108"/>
      <c r="G10443" s="108"/>
      <c r="H10443" s="108" t="s">
        <v>2898</v>
      </c>
      <c r="I10443" s="581">
        <v>10457.74</v>
      </c>
      <c r="J10443" s="108" t="s">
        <v>2899</v>
      </c>
      <c r="K10443" s="581">
        <v>0</v>
      </c>
      <c r="L10443" s="108" t="s">
        <v>2900</v>
      </c>
      <c r="M10443" s="581">
        <v>10457.74</v>
      </c>
    </row>
    <row r="10444" ht="26.25" spans="3:13">
      <c r="C10444" s="108"/>
      <c r="D10444" s="108"/>
      <c r="E10444" s="108"/>
      <c r="F10444" s="108"/>
      <c r="G10444" s="108"/>
      <c r="H10444" s="108" t="s">
        <v>2901</v>
      </c>
      <c r="I10444" s="581">
        <v>2804.19</v>
      </c>
      <c r="J10444" s="114"/>
      <c r="K10444" s="114" t="s">
        <v>2902</v>
      </c>
      <c r="L10444" s="108"/>
      <c r="M10444" s="581">
        <v>13805.35</v>
      </c>
    </row>
    <row r="10445" ht="15" spans="3:13">
      <c r="C10445" s="571"/>
      <c r="D10445" s="571"/>
      <c r="E10445" s="571"/>
      <c r="F10445" s="571"/>
      <c r="G10445" s="571"/>
      <c r="H10445" s="571"/>
      <c r="I10445" s="571"/>
      <c r="J10445" s="571"/>
      <c r="K10445" s="571"/>
      <c r="L10445" s="571"/>
      <c r="M10445" s="571"/>
    </row>
    <row r="10446" ht="15" customHeight="1" spans="3:13">
      <c r="C10446" s="76"/>
      <c r="D10446" s="75" t="s">
        <v>63</v>
      </c>
      <c r="E10446" s="76" t="s">
        <v>64</v>
      </c>
      <c r="F10446" s="76" t="s">
        <v>65</v>
      </c>
      <c r="G10446" s="76" t="s">
        <v>2889</v>
      </c>
      <c r="H10446" s="76"/>
      <c r="I10446" s="77" t="s">
        <v>66</v>
      </c>
      <c r="J10446" s="75" t="s">
        <v>67</v>
      </c>
      <c r="K10446" s="75" t="s">
        <v>2890</v>
      </c>
      <c r="L10446" s="75" t="s">
        <v>68</v>
      </c>
      <c r="M10446" s="75" t="s">
        <v>70</v>
      </c>
    </row>
    <row r="10447" ht="25.5" spans="3:13">
      <c r="C10447" s="569" t="s">
        <v>2891</v>
      </c>
      <c r="D10447" s="570" t="s">
        <v>5924</v>
      </c>
      <c r="E10447" s="569" t="s">
        <v>77</v>
      </c>
      <c r="F10447" s="569" t="s">
        <v>5925</v>
      </c>
      <c r="G10447" s="569">
        <v>19</v>
      </c>
      <c r="H10447" s="569"/>
      <c r="I10447" s="577" t="s">
        <v>2897</v>
      </c>
      <c r="J10447" s="578">
        <v>1</v>
      </c>
      <c r="K10447" s="579"/>
      <c r="L10447" s="579">
        <v>59.39</v>
      </c>
      <c r="M10447" s="579">
        <v>59.39</v>
      </c>
    </row>
    <row r="10448" ht="15" customHeight="1" spans="3:13">
      <c r="C10448" s="100" t="s">
        <v>2893</v>
      </c>
      <c r="D10448" s="99" t="s">
        <v>5585</v>
      </c>
      <c r="E10448" s="100" t="s">
        <v>77</v>
      </c>
      <c r="F10448" s="100" t="s">
        <v>5586</v>
      </c>
      <c r="G10448" s="100" t="s">
        <v>2961</v>
      </c>
      <c r="H10448" s="100"/>
      <c r="I10448" s="101" t="s">
        <v>2925</v>
      </c>
      <c r="J10448" s="580">
        <v>0.002684</v>
      </c>
      <c r="K10448" s="580">
        <v>0</v>
      </c>
      <c r="L10448" s="102">
        <v>1518</v>
      </c>
      <c r="M10448" s="102">
        <v>4.07</v>
      </c>
    </row>
    <row r="10449" ht="23.85" customHeight="1" spans="3:13">
      <c r="C10449" s="100" t="s">
        <v>2893</v>
      </c>
      <c r="D10449" s="99" t="s">
        <v>5926</v>
      </c>
      <c r="E10449" s="100" t="s">
        <v>77</v>
      </c>
      <c r="F10449" s="100" t="s">
        <v>5927</v>
      </c>
      <c r="G10449" s="100" t="s">
        <v>2896</v>
      </c>
      <c r="H10449" s="100"/>
      <c r="I10449" s="101" t="s">
        <v>2897</v>
      </c>
      <c r="J10449" s="580">
        <v>1</v>
      </c>
      <c r="K10449" s="580">
        <v>0</v>
      </c>
      <c r="L10449" s="102">
        <v>29.47</v>
      </c>
      <c r="M10449" s="102">
        <v>29.47</v>
      </c>
    </row>
    <row r="10450" ht="23.85" customHeight="1" spans="3:13">
      <c r="C10450" s="100" t="s">
        <v>2893</v>
      </c>
      <c r="D10450" s="99" t="s">
        <v>5928</v>
      </c>
      <c r="E10450" s="100" t="s">
        <v>77</v>
      </c>
      <c r="F10450" s="100" t="s">
        <v>5929</v>
      </c>
      <c r="G10450" s="100" t="s">
        <v>2961</v>
      </c>
      <c r="H10450" s="100"/>
      <c r="I10450" s="101" t="s">
        <v>134</v>
      </c>
      <c r="J10450" s="580">
        <v>8e-5</v>
      </c>
      <c r="K10450" s="580">
        <v>0</v>
      </c>
      <c r="L10450" s="102">
        <v>323190.76</v>
      </c>
      <c r="M10450" s="102">
        <v>25.85</v>
      </c>
    </row>
    <row r="10451" ht="25.5" spans="3:13">
      <c r="C10451" s="108"/>
      <c r="D10451" s="108"/>
      <c r="E10451" s="108"/>
      <c r="F10451" s="108"/>
      <c r="G10451" s="108"/>
      <c r="H10451" s="108" t="s">
        <v>2898</v>
      </c>
      <c r="I10451" s="581">
        <v>29.47</v>
      </c>
      <c r="J10451" s="108" t="s">
        <v>2899</v>
      </c>
      <c r="K10451" s="581">
        <v>0</v>
      </c>
      <c r="L10451" s="108" t="s">
        <v>2900</v>
      </c>
      <c r="M10451" s="581">
        <v>29.47</v>
      </c>
    </row>
    <row r="10452" ht="26.25" spans="3:13">
      <c r="C10452" s="108"/>
      <c r="D10452" s="108"/>
      <c r="E10452" s="108"/>
      <c r="F10452" s="108"/>
      <c r="G10452" s="108"/>
      <c r="H10452" s="108" t="s">
        <v>2901</v>
      </c>
      <c r="I10452" s="581">
        <v>15.13</v>
      </c>
      <c r="J10452" s="114"/>
      <c r="K10452" s="114" t="s">
        <v>2902</v>
      </c>
      <c r="L10452" s="108"/>
      <c r="M10452" s="581">
        <v>74.52</v>
      </c>
    </row>
    <row r="10453" ht="15" spans="3:13">
      <c r="C10453" s="571"/>
      <c r="D10453" s="571"/>
      <c r="E10453" s="571"/>
      <c r="F10453" s="571"/>
      <c r="G10453" s="571"/>
      <c r="H10453" s="571"/>
      <c r="I10453" s="571"/>
      <c r="J10453" s="571"/>
      <c r="K10453" s="571"/>
      <c r="L10453" s="571"/>
      <c r="M10453" s="571"/>
    </row>
    <row r="10454" ht="15" customHeight="1" spans="3:13">
      <c r="C10454" s="76"/>
      <c r="D10454" s="75" t="s">
        <v>63</v>
      </c>
      <c r="E10454" s="76" t="s">
        <v>64</v>
      </c>
      <c r="F10454" s="76" t="s">
        <v>65</v>
      </c>
      <c r="G10454" s="76" t="s">
        <v>2889</v>
      </c>
      <c r="H10454" s="76"/>
      <c r="I10454" s="77" t="s">
        <v>66</v>
      </c>
      <c r="J10454" s="75" t="s">
        <v>67</v>
      </c>
      <c r="K10454" s="75" t="s">
        <v>2890</v>
      </c>
      <c r="L10454" s="75" t="s">
        <v>68</v>
      </c>
      <c r="M10454" s="75" t="s">
        <v>70</v>
      </c>
    </row>
    <row r="10455" ht="25.5" spans="3:13">
      <c r="C10455" s="569" t="s">
        <v>2891</v>
      </c>
      <c r="D10455" s="570" t="s">
        <v>5930</v>
      </c>
      <c r="E10455" s="569" t="s">
        <v>77</v>
      </c>
      <c r="F10455" s="569" t="s">
        <v>5931</v>
      </c>
      <c r="G10455" s="569">
        <v>19</v>
      </c>
      <c r="H10455" s="569"/>
      <c r="I10455" s="577" t="s">
        <v>2897</v>
      </c>
      <c r="J10455" s="578">
        <v>1</v>
      </c>
      <c r="K10455" s="579"/>
      <c r="L10455" s="579">
        <v>127.45</v>
      </c>
      <c r="M10455" s="579">
        <v>127.45</v>
      </c>
    </row>
    <row r="10456" ht="23.85" customHeight="1" spans="3:13">
      <c r="C10456" s="100" t="s">
        <v>2893</v>
      </c>
      <c r="D10456" s="99" t="s">
        <v>5926</v>
      </c>
      <c r="E10456" s="100" t="s">
        <v>77</v>
      </c>
      <c r="F10456" s="100" t="s">
        <v>5927</v>
      </c>
      <c r="G10456" s="100" t="s">
        <v>2896</v>
      </c>
      <c r="H10456" s="100"/>
      <c r="I10456" s="101" t="s">
        <v>2897</v>
      </c>
      <c r="J10456" s="580">
        <v>1</v>
      </c>
      <c r="K10456" s="580">
        <v>0</v>
      </c>
      <c r="L10456" s="102">
        <v>29.47</v>
      </c>
      <c r="M10456" s="102">
        <v>29.47</v>
      </c>
    </row>
    <row r="10457" ht="15" customHeight="1" spans="3:13">
      <c r="C10457" s="100" t="s">
        <v>2893</v>
      </c>
      <c r="D10457" s="99" t="s">
        <v>5527</v>
      </c>
      <c r="E10457" s="100" t="s">
        <v>77</v>
      </c>
      <c r="F10457" s="100" t="s">
        <v>5528</v>
      </c>
      <c r="G10457" s="100" t="s">
        <v>2961</v>
      </c>
      <c r="H10457" s="100"/>
      <c r="I10457" s="101" t="s">
        <v>3084</v>
      </c>
      <c r="J10457" s="580">
        <v>6.5</v>
      </c>
      <c r="K10457" s="580">
        <v>0</v>
      </c>
      <c r="L10457" s="102">
        <v>5.93</v>
      </c>
      <c r="M10457" s="102">
        <v>38.54</v>
      </c>
    </row>
    <row r="10458" ht="15" customHeight="1" spans="3:13">
      <c r="C10458" s="100" t="s">
        <v>2893</v>
      </c>
      <c r="D10458" s="99" t="s">
        <v>5487</v>
      </c>
      <c r="E10458" s="100" t="s">
        <v>77</v>
      </c>
      <c r="F10458" s="100" t="s">
        <v>5488</v>
      </c>
      <c r="G10458" s="100" t="s">
        <v>2961</v>
      </c>
      <c r="H10458" s="100"/>
      <c r="I10458" s="101" t="s">
        <v>393</v>
      </c>
      <c r="J10458" s="580">
        <v>0.053</v>
      </c>
      <c r="K10458" s="580">
        <v>0</v>
      </c>
      <c r="L10458" s="102">
        <v>11.39</v>
      </c>
      <c r="M10458" s="102">
        <v>0.6</v>
      </c>
    </row>
    <row r="10459" ht="23.85" customHeight="1" spans="3:13">
      <c r="C10459" s="100" t="s">
        <v>2893</v>
      </c>
      <c r="D10459" s="99" t="s">
        <v>5928</v>
      </c>
      <c r="E10459" s="100" t="s">
        <v>77</v>
      </c>
      <c r="F10459" s="100" t="s">
        <v>5929</v>
      </c>
      <c r="G10459" s="100" t="s">
        <v>2961</v>
      </c>
      <c r="H10459" s="100"/>
      <c r="I10459" s="101" t="s">
        <v>134</v>
      </c>
      <c r="J10459" s="580">
        <v>0.00014</v>
      </c>
      <c r="K10459" s="580">
        <v>0</v>
      </c>
      <c r="L10459" s="102">
        <v>323190.76</v>
      </c>
      <c r="M10459" s="102">
        <v>45.24</v>
      </c>
    </row>
    <row r="10460" ht="15" customHeight="1" spans="3:13">
      <c r="C10460" s="100" t="s">
        <v>2893</v>
      </c>
      <c r="D10460" s="99" t="s">
        <v>5585</v>
      </c>
      <c r="E10460" s="100" t="s">
        <v>77</v>
      </c>
      <c r="F10460" s="100" t="s">
        <v>5586</v>
      </c>
      <c r="G10460" s="100" t="s">
        <v>2961</v>
      </c>
      <c r="H10460" s="100"/>
      <c r="I10460" s="101" t="s">
        <v>2925</v>
      </c>
      <c r="J10460" s="580">
        <v>0.002684</v>
      </c>
      <c r="K10460" s="580">
        <v>0</v>
      </c>
      <c r="L10460" s="102">
        <v>1518</v>
      </c>
      <c r="M10460" s="102">
        <v>4.07</v>
      </c>
    </row>
    <row r="10461" ht="15" customHeight="1" spans="3:13">
      <c r="C10461" s="100" t="s">
        <v>2893</v>
      </c>
      <c r="D10461" s="99" t="s">
        <v>5932</v>
      </c>
      <c r="E10461" s="100" t="s">
        <v>77</v>
      </c>
      <c r="F10461" s="100" t="s">
        <v>5933</v>
      </c>
      <c r="G10461" s="100" t="s">
        <v>2961</v>
      </c>
      <c r="H10461" s="100"/>
      <c r="I10461" s="101" t="s">
        <v>134</v>
      </c>
      <c r="J10461" s="580">
        <v>0.0025</v>
      </c>
      <c r="K10461" s="580">
        <v>0</v>
      </c>
      <c r="L10461" s="102">
        <v>1508.24</v>
      </c>
      <c r="M10461" s="102">
        <v>3.77</v>
      </c>
    </row>
    <row r="10462" ht="23.85" customHeight="1" spans="3:13">
      <c r="C10462" s="100" t="s">
        <v>2893</v>
      </c>
      <c r="D10462" s="99" t="s">
        <v>5491</v>
      </c>
      <c r="E10462" s="100" t="s">
        <v>77</v>
      </c>
      <c r="F10462" s="100" t="s">
        <v>5492</v>
      </c>
      <c r="G10462" s="100" t="s">
        <v>2961</v>
      </c>
      <c r="H10462" s="100"/>
      <c r="I10462" s="101" t="s">
        <v>3084</v>
      </c>
      <c r="J10462" s="580">
        <v>0.135</v>
      </c>
      <c r="K10462" s="580">
        <v>50</v>
      </c>
      <c r="L10462" s="102">
        <v>28.49</v>
      </c>
      <c r="M10462" s="102">
        <v>5.76</v>
      </c>
    </row>
    <row r="10463" ht="25.5" spans="3:13">
      <c r="C10463" s="108"/>
      <c r="D10463" s="108"/>
      <c r="E10463" s="108"/>
      <c r="F10463" s="108"/>
      <c r="G10463" s="108"/>
      <c r="H10463" s="108" t="s">
        <v>2898</v>
      </c>
      <c r="I10463" s="581">
        <v>29.47</v>
      </c>
      <c r="J10463" s="108" t="s">
        <v>2899</v>
      </c>
      <c r="K10463" s="581">
        <v>0</v>
      </c>
      <c r="L10463" s="108" t="s">
        <v>2900</v>
      </c>
      <c r="M10463" s="581">
        <v>29.47</v>
      </c>
    </row>
    <row r="10464" ht="26.25" spans="3:13">
      <c r="C10464" s="108"/>
      <c r="D10464" s="108"/>
      <c r="E10464" s="108"/>
      <c r="F10464" s="108"/>
      <c r="G10464" s="108"/>
      <c r="H10464" s="108" t="s">
        <v>2901</v>
      </c>
      <c r="I10464" s="581">
        <v>32.48</v>
      </c>
      <c r="J10464" s="114"/>
      <c r="K10464" s="114" t="s">
        <v>2902</v>
      </c>
      <c r="L10464" s="108"/>
      <c r="M10464" s="581">
        <v>159.93</v>
      </c>
    </row>
    <row r="10465" ht="15" spans="3:13">
      <c r="C10465" s="571"/>
      <c r="D10465" s="571"/>
      <c r="E10465" s="571"/>
      <c r="F10465" s="571"/>
      <c r="G10465" s="571"/>
      <c r="H10465" s="571"/>
      <c r="I10465" s="571"/>
      <c r="J10465" s="571"/>
      <c r="K10465" s="571"/>
      <c r="L10465" s="571"/>
      <c r="M10465" s="571"/>
    </row>
    <row r="10466" ht="15" customHeight="1" spans="3:13">
      <c r="C10466" s="76"/>
      <c r="D10466" s="75" t="s">
        <v>63</v>
      </c>
      <c r="E10466" s="76" t="s">
        <v>64</v>
      </c>
      <c r="F10466" s="76" t="s">
        <v>65</v>
      </c>
      <c r="G10466" s="76" t="s">
        <v>2889</v>
      </c>
      <c r="H10466" s="76"/>
      <c r="I10466" s="77" t="s">
        <v>66</v>
      </c>
      <c r="J10466" s="75" t="s">
        <v>67</v>
      </c>
      <c r="K10466" s="75" t="s">
        <v>2890</v>
      </c>
      <c r="L10466" s="75" t="s">
        <v>68</v>
      </c>
      <c r="M10466" s="75" t="s">
        <v>70</v>
      </c>
    </row>
    <row r="10467" ht="25.5" spans="3:13">
      <c r="C10467" s="569" t="s">
        <v>2891</v>
      </c>
      <c r="D10467" s="570" t="s">
        <v>3423</v>
      </c>
      <c r="E10467" s="569" t="s">
        <v>77</v>
      </c>
      <c r="F10467" s="569" t="s">
        <v>3424</v>
      </c>
      <c r="G10467" s="569">
        <v>58</v>
      </c>
      <c r="H10467" s="569"/>
      <c r="I10467" s="577" t="s">
        <v>134</v>
      </c>
      <c r="J10467" s="578">
        <v>1</v>
      </c>
      <c r="K10467" s="579"/>
      <c r="L10467" s="579">
        <v>254.06</v>
      </c>
      <c r="M10467" s="579">
        <v>254.06</v>
      </c>
    </row>
    <row r="10468" ht="25.5" spans="3:13">
      <c r="C10468" s="79" t="s">
        <v>2921</v>
      </c>
      <c r="D10468" s="78" t="s">
        <v>5930</v>
      </c>
      <c r="E10468" s="79" t="s">
        <v>77</v>
      </c>
      <c r="F10468" s="79" t="s">
        <v>5931</v>
      </c>
      <c r="G10468" s="79">
        <v>19</v>
      </c>
      <c r="H10468" s="79"/>
      <c r="I10468" s="80" t="s">
        <v>2897</v>
      </c>
      <c r="J10468" s="583">
        <v>1.75</v>
      </c>
      <c r="K10468" s="583">
        <v>0</v>
      </c>
      <c r="L10468" s="92">
        <v>127.45</v>
      </c>
      <c r="M10468" s="92">
        <v>223.03</v>
      </c>
    </row>
    <row r="10469" ht="25.5" spans="3:13">
      <c r="C10469" s="79" t="s">
        <v>2921</v>
      </c>
      <c r="D10469" s="78" t="s">
        <v>5924</v>
      </c>
      <c r="E10469" s="79" t="s">
        <v>77</v>
      </c>
      <c r="F10469" s="79" t="s">
        <v>5925</v>
      </c>
      <c r="G10469" s="79">
        <v>19</v>
      </c>
      <c r="H10469" s="79"/>
      <c r="I10469" s="80" t="s">
        <v>2897</v>
      </c>
      <c r="J10469" s="583">
        <v>0.2125</v>
      </c>
      <c r="K10469" s="583">
        <v>0</v>
      </c>
      <c r="L10469" s="92">
        <v>59.39</v>
      </c>
      <c r="M10469" s="92">
        <v>12.62</v>
      </c>
    </row>
    <row r="10470" ht="23.85" customHeight="1" spans="3:13">
      <c r="C10470" s="100" t="s">
        <v>2893</v>
      </c>
      <c r="D10470" s="99" t="s">
        <v>5587</v>
      </c>
      <c r="E10470" s="100" t="s">
        <v>77</v>
      </c>
      <c r="F10470" s="100" t="s">
        <v>5588</v>
      </c>
      <c r="G10470" s="100" t="s">
        <v>2896</v>
      </c>
      <c r="H10470" s="100"/>
      <c r="I10470" s="101" t="s">
        <v>2897</v>
      </c>
      <c r="J10470" s="580">
        <v>0.625</v>
      </c>
      <c r="K10470" s="580">
        <v>0</v>
      </c>
      <c r="L10470" s="102">
        <v>29.47</v>
      </c>
      <c r="M10470" s="102">
        <v>18.41</v>
      </c>
    </row>
    <row r="10471" ht="25.5" spans="3:13">
      <c r="C10471" s="108"/>
      <c r="D10471" s="108"/>
      <c r="E10471" s="108"/>
      <c r="F10471" s="108"/>
      <c r="G10471" s="108"/>
      <c r="H10471" s="108" t="s">
        <v>2898</v>
      </c>
      <c r="I10471" s="581">
        <v>76.24</v>
      </c>
      <c r="J10471" s="108" t="s">
        <v>2899</v>
      </c>
      <c r="K10471" s="581">
        <v>0</v>
      </c>
      <c r="L10471" s="108" t="s">
        <v>2900</v>
      </c>
      <c r="M10471" s="581">
        <v>76.24</v>
      </c>
    </row>
    <row r="10472" ht="26.25" spans="3:13">
      <c r="C10472" s="108"/>
      <c r="D10472" s="108"/>
      <c r="E10472" s="108"/>
      <c r="F10472" s="108"/>
      <c r="G10472" s="108"/>
      <c r="H10472" s="108" t="s">
        <v>2901</v>
      </c>
      <c r="I10472" s="581">
        <v>64.75</v>
      </c>
      <c r="J10472" s="114"/>
      <c r="K10472" s="114" t="s">
        <v>2902</v>
      </c>
      <c r="L10472" s="108"/>
      <c r="M10472" s="581">
        <v>318.81</v>
      </c>
    </row>
    <row r="10473" ht="15" spans="3:13">
      <c r="C10473" s="571"/>
      <c r="D10473" s="571"/>
      <c r="E10473" s="571"/>
      <c r="F10473" s="571"/>
      <c r="G10473" s="571"/>
      <c r="H10473" s="571"/>
      <c r="I10473" s="571"/>
      <c r="J10473" s="571"/>
      <c r="K10473" s="571"/>
      <c r="L10473" s="571"/>
      <c r="M10473" s="571"/>
    </row>
    <row r="10474" ht="15" customHeight="1" spans="3:13">
      <c r="C10474" s="76"/>
      <c r="D10474" s="75" t="s">
        <v>63</v>
      </c>
      <c r="E10474" s="76" t="s">
        <v>64</v>
      </c>
      <c r="F10474" s="76" t="s">
        <v>65</v>
      </c>
      <c r="G10474" s="76" t="s">
        <v>2889</v>
      </c>
      <c r="H10474" s="76"/>
      <c r="I10474" s="77" t="s">
        <v>66</v>
      </c>
      <c r="J10474" s="75" t="s">
        <v>67</v>
      </c>
      <c r="K10474" s="75" t="s">
        <v>2890</v>
      </c>
      <c r="L10474" s="75" t="s">
        <v>68</v>
      </c>
      <c r="M10474" s="75" t="s">
        <v>70</v>
      </c>
    </row>
    <row r="10475" ht="23.85" customHeight="1" spans="3:13">
      <c r="C10475" s="569" t="s">
        <v>2891</v>
      </c>
      <c r="D10475" s="570" t="s">
        <v>4721</v>
      </c>
      <c r="E10475" s="569" t="s">
        <v>139</v>
      </c>
      <c r="F10475" s="569" t="s">
        <v>4722</v>
      </c>
      <c r="G10475" s="569" t="s">
        <v>2928</v>
      </c>
      <c r="H10475" s="569"/>
      <c r="I10475" s="577" t="s">
        <v>2897</v>
      </c>
      <c r="J10475" s="578">
        <v>1</v>
      </c>
      <c r="K10475" s="579"/>
      <c r="L10475" s="579">
        <v>47.06</v>
      </c>
      <c r="M10475" s="579">
        <v>47.06</v>
      </c>
    </row>
    <row r="10476" ht="23.85" customHeight="1" spans="3:13">
      <c r="C10476" s="79" t="s">
        <v>2921</v>
      </c>
      <c r="D10476" s="78" t="s">
        <v>5688</v>
      </c>
      <c r="E10476" s="79" t="s">
        <v>139</v>
      </c>
      <c r="F10476" s="79" t="s">
        <v>5689</v>
      </c>
      <c r="G10476" s="79" t="s">
        <v>2928</v>
      </c>
      <c r="H10476" s="79"/>
      <c r="I10476" s="80" t="s">
        <v>2897</v>
      </c>
      <c r="J10476" s="583">
        <v>1</v>
      </c>
      <c r="K10476" s="583">
        <v>0</v>
      </c>
      <c r="L10476" s="92">
        <v>0.55</v>
      </c>
      <c r="M10476" s="92">
        <v>0.55</v>
      </c>
    </row>
    <row r="10477" ht="23.85" customHeight="1" spans="3:13">
      <c r="C10477" s="100" t="s">
        <v>2893</v>
      </c>
      <c r="D10477" s="99" t="s">
        <v>5308</v>
      </c>
      <c r="E10477" s="100" t="s">
        <v>139</v>
      </c>
      <c r="F10477" s="100" t="s">
        <v>5309</v>
      </c>
      <c r="G10477" s="100" t="s">
        <v>2961</v>
      </c>
      <c r="H10477" s="100"/>
      <c r="I10477" s="101" t="s">
        <v>2897</v>
      </c>
      <c r="J10477" s="580">
        <v>1</v>
      </c>
      <c r="K10477" s="580">
        <v>0</v>
      </c>
      <c r="L10477" s="102">
        <v>4.84</v>
      </c>
      <c r="M10477" s="102">
        <v>4.84</v>
      </c>
    </row>
    <row r="10478" ht="15" customHeight="1" spans="3:13">
      <c r="C10478" s="100" t="s">
        <v>2893</v>
      </c>
      <c r="D10478" s="99" t="s">
        <v>5690</v>
      </c>
      <c r="E10478" s="100" t="s">
        <v>139</v>
      </c>
      <c r="F10478" s="100" t="s">
        <v>5691</v>
      </c>
      <c r="G10478" s="100" t="s">
        <v>2896</v>
      </c>
      <c r="H10478" s="100"/>
      <c r="I10478" s="101" t="s">
        <v>2897</v>
      </c>
      <c r="J10478" s="580">
        <v>1</v>
      </c>
      <c r="K10478" s="580">
        <v>0</v>
      </c>
      <c r="L10478" s="102">
        <v>37.68</v>
      </c>
      <c r="M10478" s="102">
        <v>37.68</v>
      </c>
    </row>
    <row r="10479" ht="15" customHeight="1" spans="3:13">
      <c r="C10479" s="100" t="s">
        <v>2893</v>
      </c>
      <c r="D10479" s="99" t="s">
        <v>5306</v>
      </c>
      <c r="E10479" s="100" t="s">
        <v>139</v>
      </c>
      <c r="F10479" s="100" t="s">
        <v>5307</v>
      </c>
      <c r="G10479" s="100" t="s">
        <v>2961</v>
      </c>
      <c r="H10479" s="100"/>
      <c r="I10479" s="101" t="s">
        <v>2897</v>
      </c>
      <c r="J10479" s="580">
        <v>1</v>
      </c>
      <c r="K10479" s="580">
        <v>0</v>
      </c>
      <c r="L10479" s="102">
        <v>1.43</v>
      </c>
      <c r="M10479" s="102">
        <v>1.43</v>
      </c>
    </row>
    <row r="10480" ht="23.85" customHeight="1" spans="3:13">
      <c r="C10480" s="100" t="s">
        <v>2893</v>
      </c>
      <c r="D10480" s="99" t="s">
        <v>5386</v>
      </c>
      <c r="E10480" s="100" t="s">
        <v>139</v>
      </c>
      <c r="F10480" s="100" t="s">
        <v>5387</v>
      </c>
      <c r="G10480" s="100" t="s">
        <v>2961</v>
      </c>
      <c r="H10480" s="100"/>
      <c r="I10480" s="101" t="s">
        <v>2897</v>
      </c>
      <c r="J10480" s="580">
        <v>1</v>
      </c>
      <c r="K10480" s="580">
        <v>0</v>
      </c>
      <c r="L10480" s="102">
        <v>0.89</v>
      </c>
      <c r="M10480" s="102">
        <v>0.89</v>
      </c>
    </row>
    <row r="10481" ht="23.85" customHeight="1" spans="3:13">
      <c r="C10481" s="100" t="s">
        <v>2893</v>
      </c>
      <c r="D10481" s="99" t="s">
        <v>5390</v>
      </c>
      <c r="E10481" s="100" t="s">
        <v>139</v>
      </c>
      <c r="F10481" s="100" t="s">
        <v>5391</v>
      </c>
      <c r="G10481" s="100" t="s">
        <v>2961</v>
      </c>
      <c r="H10481" s="100"/>
      <c r="I10481" s="101" t="s">
        <v>2897</v>
      </c>
      <c r="J10481" s="580">
        <v>1</v>
      </c>
      <c r="K10481" s="580">
        <v>0</v>
      </c>
      <c r="L10481" s="102">
        <v>0.01</v>
      </c>
      <c r="M10481" s="102">
        <v>0.01</v>
      </c>
    </row>
    <row r="10482" ht="23.85" customHeight="1" spans="3:13">
      <c r="C10482" s="100" t="s">
        <v>2893</v>
      </c>
      <c r="D10482" s="99" t="s">
        <v>5310</v>
      </c>
      <c r="E10482" s="100" t="s">
        <v>139</v>
      </c>
      <c r="F10482" s="100" t="s">
        <v>5311</v>
      </c>
      <c r="G10482" s="100" t="s">
        <v>2961</v>
      </c>
      <c r="H10482" s="100"/>
      <c r="I10482" s="101" t="s">
        <v>2897</v>
      </c>
      <c r="J10482" s="580">
        <v>1</v>
      </c>
      <c r="K10482" s="580">
        <v>0</v>
      </c>
      <c r="L10482" s="102">
        <v>1.58</v>
      </c>
      <c r="M10482" s="102">
        <v>1.58</v>
      </c>
    </row>
    <row r="10483" ht="15" customHeight="1" spans="3:13">
      <c r="C10483" s="100" t="s">
        <v>2893</v>
      </c>
      <c r="D10483" s="99" t="s">
        <v>5312</v>
      </c>
      <c r="E10483" s="100" t="s">
        <v>139</v>
      </c>
      <c r="F10483" s="100" t="s">
        <v>5313</v>
      </c>
      <c r="G10483" s="100" t="s">
        <v>2961</v>
      </c>
      <c r="H10483" s="100"/>
      <c r="I10483" s="101" t="s">
        <v>2897</v>
      </c>
      <c r="J10483" s="580">
        <v>1</v>
      </c>
      <c r="K10483" s="580">
        <v>0</v>
      </c>
      <c r="L10483" s="102">
        <v>0.08</v>
      </c>
      <c r="M10483" s="102">
        <v>0.08</v>
      </c>
    </row>
    <row r="10484" ht="25.5" spans="3:13">
      <c r="C10484" s="108"/>
      <c r="D10484" s="108"/>
      <c r="E10484" s="108"/>
      <c r="F10484" s="108"/>
      <c r="G10484" s="108"/>
      <c r="H10484" s="108" t="s">
        <v>2898</v>
      </c>
      <c r="I10484" s="581">
        <v>38.23</v>
      </c>
      <c r="J10484" s="108" t="s">
        <v>2899</v>
      </c>
      <c r="K10484" s="581">
        <v>0</v>
      </c>
      <c r="L10484" s="108" t="s">
        <v>2900</v>
      </c>
      <c r="M10484" s="581">
        <v>38.23</v>
      </c>
    </row>
    <row r="10485" ht="26.25" spans="3:13">
      <c r="C10485" s="108"/>
      <c r="D10485" s="108"/>
      <c r="E10485" s="108"/>
      <c r="F10485" s="108"/>
      <c r="G10485" s="108"/>
      <c r="H10485" s="108" t="s">
        <v>2901</v>
      </c>
      <c r="I10485" s="581">
        <v>11.99</v>
      </c>
      <c r="J10485" s="114"/>
      <c r="K10485" s="114" t="s">
        <v>2902</v>
      </c>
      <c r="L10485" s="108"/>
      <c r="M10485" s="581">
        <v>59.05</v>
      </c>
    </row>
    <row r="10486" ht="15" spans="3:13">
      <c r="C10486" s="571"/>
      <c r="D10486" s="571"/>
      <c r="E10486" s="571"/>
      <c r="F10486" s="571"/>
      <c r="G10486" s="571"/>
      <c r="H10486" s="571"/>
      <c r="I10486" s="571"/>
      <c r="J10486" s="571"/>
      <c r="K10486" s="571"/>
      <c r="L10486" s="571"/>
      <c r="M10486" s="571"/>
    </row>
    <row r="10487" ht="15" customHeight="1" spans="3:13">
      <c r="C10487" s="76"/>
      <c r="D10487" s="75" t="s">
        <v>63</v>
      </c>
      <c r="E10487" s="76" t="s">
        <v>64</v>
      </c>
      <c r="F10487" s="76" t="s">
        <v>65</v>
      </c>
      <c r="G10487" s="76" t="s">
        <v>2889</v>
      </c>
      <c r="H10487" s="76"/>
      <c r="I10487" s="77" t="s">
        <v>66</v>
      </c>
      <c r="J10487" s="75" t="s">
        <v>67</v>
      </c>
      <c r="K10487" s="75" t="s">
        <v>2890</v>
      </c>
      <c r="L10487" s="75" t="s">
        <v>68</v>
      </c>
      <c r="M10487" s="75" t="s">
        <v>70</v>
      </c>
    </row>
    <row r="10488" ht="23.85" customHeight="1" spans="3:13">
      <c r="C10488" s="569" t="s">
        <v>2891</v>
      </c>
      <c r="D10488" s="570" t="s">
        <v>4303</v>
      </c>
      <c r="E10488" s="569" t="s">
        <v>139</v>
      </c>
      <c r="F10488" s="569" t="s">
        <v>4304</v>
      </c>
      <c r="G10488" s="569" t="s">
        <v>2928</v>
      </c>
      <c r="H10488" s="569"/>
      <c r="I10488" s="577" t="s">
        <v>2897</v>
      </c>
      <c r="J10488" s="578">
        <v>1</v>
      </c>
      <c r="K10488" s="579"/>
      <c r="L10488" s="579">
        <v>35.14</v>
      </c>
      <c r="M10488" s="579">
        <v>35.14</v>
      </c>
    </row>
    <row r="10489" ht="23.85" customHeight="1" spans="3:13">
      <c r="C10489" s="79" t="s">
        <v>2921</v>
      </c>
      <c r="D10489" s="78" t="s">
        <v>5680</v>
      </c>
      <c r="E10489" s="79" t="s">
        <v>139</v>
      </c>
      <c r="F10489" s="79" t="s">
        <v>5681</v>
      </c>
      <c r="G10489" s="79" t="s">
        <v>2928</v>
      </c>
      <c r="H10489" s="79"/>
      <c r="I10489" s="80" t="s">
        <v>2897</v>
      </c>
      <c r="J10489" s="583">
        <v>1</v>
      </c>
      <c r="K10489" s="583">
        <v>0</v>
      </c>
      <c r="L10489" s="92">
        <v>0.75</v>
      </c>
      <c r="M10489" s="92">
        <v>0.75</v>
      </c>
    </row>
    <row r="10490" ht="23.85" customHeight="1" spans="3:13">
      <c r="C10490" s="100" t="s">
        <v>2893</v>
      </c>
      <c r="D10490" s="99" t="s">
        <v>5398</v>
      </c>
      <c r="E10490" s="100" t="s">
        <v>139</v>
      </c>
      <c r="F10490" s="100" t="s">
        <v>5399</v>
      </c>
      <c r="G10490" s="100" t="s">
        <v>2961</v>
      </c>
      <c r="H10490" s="100"/>
      <c r="I10490" s="101" t="s">
        <v>2897</v>
      </c>
      <c r="J10490" s="580">
        <v>1</v>
      </c>
      <c r="K10490" s="580">
        <v>0</v>
      </c>
      <c r="L10490" s="102">
        <v>1.26</v>
      </c>
      <c r="M10490" s="102">
        <v>1.26</v>
      </c>
    </row>
    <row r="10491" ht="23.85" customHeight="1" spans="3:13">
      <c r="C10491" s="100" t="s">
        <v>2893</v>
      </c>
      <c r="D10491" s="99" t="s">
        <v>5310</v>
      </c>
      <c r="E10491" s="100" t="s">
        <v>139</v>
      </c>
      <c r="F10491" s="100" t="s">
        <v>5311</v>
      </c>
      <c r="G10491" s="100" t="s">
        <v>2961</v>
      </c>
      <c r="H10491" s="100"/>
      <c r="I10491" s="101" t="s">
        <v>2897</v>
      </c>
      <c r="J10491" s="580">
        <v>1</v>
      </c>
      <c r="K10491" s="580">
        <v>0</v>
      </c>
      <c r="L10491" s="102">
        <v>1.58</v>
      </c>
      <c r="M10491" s="102">
        <v>1.58</v>
      </c>
    </row>
    <row r="10492" ht="15" customHeight="1" spans="3:13">
      <c r="C10492" s="100" t="s">
        <v>2893</v>
      </c>
      <c r="D10492" s="99" t="s">
        <v>5682</v>
      </c>
      <c r="E10492" s="100" t="s">
        <v>139</v>
      </c>
      <c r="F10492" s="100" t="s">
        <v>5683</v>
      </c>
      <c r="G10492" s="100" t="s">
        <v>2896</v>
      </c>
      <c r="H10492" s="100"/>
      <c r="I10492" s="101" t="s">
        <v>2897</v>
      </c>
      <c r="J10492" s="580">
        <v>1</v>
      </c>
      <c r="K10492" s="580">
        <v>0</v>
      </c>
      <c r="L10492" s="102">
        <v>24.34</v>
      </c>
      <c r="M10492" s="102">
        <v>24.34</v>
      </c>
    </row>
    <row r="10493" ht="15" customHeight="1" spans="3:13">
      <c r="C10493" s="100" t="s">
        <v>2893</v>
      </c>
      <c r="D10493" s="99" t="s">
        <v>5312</v>
      </c>
      <c r="E10493" s="100" t="s">
        <v>139</v>
      </c>
      <c r="F10493" s="100" t="s">
        <v>5313</v>
      </c>
      <c r="G10493" s="100" t="s">
        <v>2961</v>
      </c>
      <c r="H10493" s="100"/>
      <c r="I10493" s="101" t="s">
        <v>2897</v>
      </c>
      <c r="J10493" s="580">
        <v>1</v>
      </c>
      <c r="K10493" s="580">
        <v>0</v>
      </c>
      <c r="L10493" s="102">
        <v>0.08</v>
      </c>
      <c r="M10493" s="102">
        <v>0.08</v>
      </c>
    </row>
    <row r="10494" ht="23.85" customHeight="1" spans="3:13">
      <c r="C10494" s="100" t="s">
        <v>2893</v>
      </c>
      <c r="D10494" s="99" t="s">
        <v>5396</v>
      </c>
      <c r="E10494" s="100" t="s">
        <v>139</v>
      </c>
      <c r="F10494" s="100" t="s">
        <v>5397</v>
      </c>
      <c r="G10494" s="100" t="s">
        <v>2961</v>
      </c>
      <c r="H10494" s="100"/>
      <c r="I10494" s="101" t="s">
        <v>2897</v>
      </c>
      <c r="J10494" s="580">
        <v>1</v>
      </c>
      <c r="K10494" s="580">
        <v>0</v>
      </c>
      <c r="L10494" s="102">
        <v>0.86</v>
      </c>
      <c r="M10494" s="102">
        <v>0.86</v>
      </c>
    </row>
    <row r="10495" ht="23.85" customHeight="1" spans="3:13">
      <c r="C10495" s="100" t="s">
        <v>2893</v>
      </c>
      <c r="D10495" s="99" t="s">
        <v>5308</v>
      </c>
      <c r="E10495" s="100" t="s">
        <v>139</v>
      </c>
      <c r="F10495" s="100" t="s">
        <v>5309</v>
      </c>
      <c r="G10495" s="100" t="s">
        <v>2961</v>
      </c>
      <c r="H10495" s="100"/>
      <c r="I10495" s="101" t="s">
        <v>2897</v>
      </c>
      <c r="J10495" s="580">
        <v>1</v>
      </c>
      <c r="K10495" s="580">
        <v>0</v>
      </c>
      <c r="L10495" s="102">
        <v>4.84</v>
      </c>
      <c r="M10495" s="102">
        <v>4.84</v>
      </c>
    </row>
    <row r="10496" ht="15" customHeight="1" spans="3:13">
      <c r="C10496" s="100" t="s">
        <v>2893</v>
      </c>
      <c r="D10496" s="99" t="s">
        <v>5306</v>
      </c>
      <c r="E10496" s="100" t="s">
        <v>139</v>
      </c>
      <c r="F10496" s="100" t="s">
        <v>5307</v>
      </c>
      <c r="G10496" s="100" t="s">
        <v>2961</v>
      </c>
      <c r="H10496" s="100"/>
      <c r="I10496" s="101" t="s">
        <v>2897</v>
      </c>
      <c r="J10496" s="580">
        <v>1</v>
      </c>
      <c r="K10496" s="580">
        <v>0</v>
      </c>
      <c r="L10496" s="102">
        <v>1.43</v>
      </c>
      <c r="M10496" s="102">
        <v>1.43</v>
      </c>
    </row>
    <row r="10497" ht="25.5" spans="3:13">
      <c r="C10497" s="108"/>
      <c r="D10497" s="108"/>
      <c r="E10497" s="108"/>
      <c r="F10497" s="108"/>
      <c r="G10497" s="108"/>
      <c r="H10497" s="108" t="s">
        <v>2898</v>
      </c>
      <c r="I10497" s="581">
        <v>25.09</v>
      </c>
      <c r="J10497" s="108" t="s">
        <v>2899</v>
      </c>
      <c r="K10497" s="581">
        <v>0</v>
      </c>
      <c r="L10497" s="108" t="s">
        <v>2900</v>
      </c>
      <c r="M10497" s="581">
        <v>25.09</v>
      </c>
    </row>
    <row r="10498" ht="26.25" spans="3:13">
      <c r="C10498" s="108"/>
      <c r="D10498" s="108"/>
      <c r="E10498" s="108"/>
      <c r="F10498" s="108"/>
      <c r="G10498" s="108"/>
      <c r="H10498" s="108" t="s">
        <v>2901</v>
      </c>
      <c r="I10498" s="581">
        <v>8.95</v>
      </c>
      <c r="J10498" s="114"/>
      <c r="K10498" s="114" t="s">
        <v>2902</v>
      </c>
      <c r="L10498" s="108"/>
      <c r="M10498" s="581">
        <v>44.09</v>
      </c>
    </row>
    <row r="10499" ht="15" spans="3:13">
      <c r="C10499" s="571"/>
      <c r="D10499" s="571"/>
      <c r="E10499" s="571"/>
      <c r="F10499" s="571"/>
      <c r="G10499" s="571"/>
      <c r="H10499" s="571"/>
      <c r="I10499" s="571"/>
      <c r="J10499" s="571"/>
      <c r="K10499" s="571"/>
      <c r="L10499" s="571"/>
      <c r="M10499" s="571"/>
    </row>
    <row r="10500" ht="15" customHeight="1" spans="3:13">
      <c r="C10500" s="76"/>
      <c r="D10500" s="75" t="s">
        <v>63</v>
      </c>
      <c r="E10500" s="76" t="s">
        <v>64</v>
      </c>
      <c r="F10500" s="76" t="s">
        <v>65</v>
      </c>
      <c r="G10500" s="76" t="s">
        <v>2889</v>
      </c>
      <c r="H10500" s="76"/>
      <c r="I10500" s="77" t="s">
        <v>66</v>
      </c>
      <c r="J10500" s="75" t="s">
        <v>67</v>
      </c>
      <c r="K10500" s="75" t="s">
        <v>2890</v>
      </c>
      <c r="L10500" s="75" t="s">
        <v>68</v>
      </c>
      <c r="M10500" s="75" t="s">
        <v>70</v>
      </c>
    </row>
    <row r="10501" ht="23.85" customHeight="1" spans="3:13">
      <c r="C10501" s="569" t="s">
        <v>2891</v>
      </c>
      <c r="D10501" s="570" t="s">
        <v>3113</v>
      </c>
      <c r="E10501" s="569" t="s">
        <v>139</v>
      </c>
      <c r="F10501" s="569" t="s">
        <v>3114</v>
      </c>
      <c r="G10501" s="569" t="s">
        <v>2928</v>
      </c>
      <c r="H10501" s="569"/>
      <c r="I10501" s="577" t="s">
        <v>2897</v>
      </c>
      <c r="J10501" s="578">
        <v>1</v>
      </c>
      <c r="K10501" s="579"/>
      <c r="L10501" s="579">
        <v>39.26</v>
      </c>
      <c r="M10501" s="579">
        <v>39.26</v>
      </c>
    </row>
    <row r="10502" ht="23.85" customHeight="1" spans="3:13">
      <c r="C10502" s="79" t="s">
        <v>2921</v>
      </c>
      <c r="D10502" s="78" t="s">
        <v>5684</v>
      </c>
      <c r="E10502" s="79" t="s">
        <v>139</v>
      </c>
      <c r="F10502" s="79" t="s">
        <v>5685</v>
      </c>
      <c r="G10502" s="79" t="s">
        <v>2928</v>
      </c>
      <c r="H10502" s="79"/>
      <c r="I10502" s="80" t="s">
        <v>2897</v>
      </c>
      <c r="J10502" s="583">
        <v>1</v>
      </c>
      <c r="K10502" s="583">
        <v>0</v>
      </c>
      <c r="L10502" s="92">
        <v>0.34</v>
      </c>
      <c r="M10502" s="92">
        <v>0.34</v>
      </c>
    </row>
    <row r="10503" ht="15" customHeight="1" spans="3:13">
      <c r="C10503" s="100" t="s">
        <v>2893</v>
      </c>
      <c r="D10503" s="99" t="s">
        <v>5312</v>
      </c>
      <c r="E10503" s="100" t="s">
        <v>139</v>
      </c>
      <c r="F10503" s="100" t="s">
        <v>5313</v>
      </c>
      <c r="G10503" s="100" t="s">
        <v>2961</v>
      </c>
      <c r="H10503" s="100"/>
      <c r="I10503" s="101" t="s">
        <v>2897</v>
      </c>
      <c r="J10503" s="580">
        <v>1</v>
      </c>
      <c r="K10503" s="580">
        <v>0</v>
      </c>
      <c r="L10503" s="102">
        <v>0.08</v>
      </c>
      <c r="M10503" s="102">
        <v>0.08</v>
      </c>
    </row>
    <row r="10504" ht="23.85" customHeight="1" spans="3:13">
      <c r="C10504" s="100" t="s">
        <v>2893</v>
      </c>
      <c r="D10504" s="99" t="s">
        <v>5310</v>
      </c>
      <c r="E10504" s="100" t="s">
        <v>139</v>
      </c>
      <c r="F10504" s="100" t="s">
        <v>5311</v>
      </c>
      <c r="G10504" s="100" t="s">
        <v>2961</v>
      </c>
      <c r="H10504" s="100"/>
      <c r="I10504" s="101" t="s">
        <v>2897</v>
      </c>
      <c r="J10504" s="580">
        <v>1</v>
      </c>
      <c r="K10504" s="580">
        <v>0</v>
      </c>
      <c r="L10504" s="102">
        <v>1.58</v>
      </c>
      <c r="M10504" s="102">
        <v>1.58</v>
      </c>
    </row>
    <row r="10505" ht="15" customHeight="1" spans="3:13">
      <c r="C10505" s="100" t="s">
        <v>2893</v>
      </c>
      <c r="D10505" s="99" t="s">
        <v>5686</v>
      </c>
      <c r="E10505" s="100" t="s">
        <v>139</v>
      </c>
      <c r="F10505" s="100" t="s">
        <v>5687</v>
      </c>
      <c r="G10505" s="100" t="s">
        <v>2896</v>
      </c>
      <c r="H10505" s="100"/>
      <c r="I10505" s="101" t="s">
        <v>2897</v>
      </c>
      <c r="J10505" s="580">
        <v>1</v>
      </c>
      <c r="K10505" s="580">
        <v>0</v>
      </c>
      <c r="L10505" s="102">
        <v>30.09</v>
      </c>
      <c r="M10505" s="102">
        <v>30.09</v>
      </c>
    </row>
    <row r="10506" ht="15" customHeight="1" spans="3:13">
      <c r="C10506" s="100" t="s">
        <v>2893</v>
      </c>
      <c r="D10506" s="99" t="s">
        <v>5306</v>
      </c>
      <c r="E10506" s="100" t="s">
        <v>139</v>
      </c>
      <c r="F10506" s="100" t="s">
        <v>5307</v>
      </c>
      <c r="G10506" s="100" t="s">
        <v>2961</v>
      </c>
      <c r="H10506" s="100"/>
      <c r="I10506" s="101" t="s">
        <v>2897</v>
      </c>
      <c r="J10506" s="580">
        <v>1</v>
      </c>
      <c r="K10506" s="580">
        <v>0</v>
      </c>
      <c r="L10506" s="102">
        <v>1.43</v>
      </c>
      <c r="M10506" s="102">
        <v>1.43</v>
      </c>
    </row>
    <row r="10507" ht="23.85" customHeight="1" spans="3:13">
      <c r="C10507" s="100" t="s">
        <v>2893</v>
      </c>
      <c r="D10507" s="99" t="s">
        <v>5386</v>
      </c>
      <c r="E10507" s="100" t="s">
        <v>139</v>
      </c>
      <c r="F10507" s="100" t="s">
        <v>5387</v>
      </c>
      <c r="G10507" s="100" t="s">
        <v>2961</v>
      </c>
      <c r="H10507" s="100"/>
      <c r="I10507" s="101" t="s">
        <v>2897</v>
      </c>
      <c r="J10507" s="580">
        <v>1</v>
      </c>
      <c r="K10507" s="580">
        <v>0</v>
      </c>
      <c r="L10507" s="102">
        <v>0.89</v>
      </c>
      <c r="M10507" s="102">
        <v>0.89</v>
      </c>
    </row>
    <row r="10508" ht="23.85" customHeight="1" spans="3:13">
      <c r="C10508" s="100" t="s">
        <v>2893</v>
      </c>
      <c r="D10508" s="99" t="s">
        <v>5308</v>
      </c>
      <c r="E10508" s="100" t="s">
        <v>139</v>
      </c>
      <c r="F10508" s="100" t="s">
        <v>5309</v>
      </c>
      <c r="G10508" s="100" t="s">
        <v>2961</v>
      </c>
      <c r="H10508" s="100"/>
      <c r="I10508" s="101" t="s">
        <v>2897</v>
      </c>
      <c r="J10508" s="580">
        <v>1</v>
      </c>
      <c r="K10508" s="580">
        <v>0</v>
      </c>
      <c r="L10508" s="102">
        <v>4.84</v>
      </c>
      <c r="M10508" s="102">
        <v>4.84</v>
      </c>
    </row>
    <row r="10509" ht="23.85" customHeight="1" spans="3:13">
      <c r="C10509" s="100" t="s">
        <v>2893</v>
      </c>
      <c r="D10509" s="99" t="s">
        <v>5390</v>
      </c>
      <c r="E10509" s="100" t="s">
        <v>139</v>
      </c>
      <c r="F10509" s="100" t="s">
        <v>5391</v>
      </c>
      <c r="G10509" s="100" t="s">
        <v>2961</v>
      </c>
      <c r="H10509" s="100"/>
      <c r="I10509" s="101" t="s">
        <v>2897</v>
      </c>
      <c r="J10509" s="580">
        <v>1</v>
      </c>
      <c r="K10509" s="580">
        <v>0</v>
      </c>
      <c r="L10509" s="102">
        <v>0.01</v>
      </c>
      <c r="M10509" s="102">
        <v>0.01</v>
      </c>
    </row>
    <row r="10510" ht="25.5" spans="3:13">
      <c r="C10510" s="108"/>
      <c r="D10510" s="108"/>
      <c r="E10510" s="108"/>
      <c r="F10510" s="108"/>
      <c r="G10510" s="108"/>
      <c r="H10510" s="108" t="s">
        <v>2898</v>
      </c>
      <c r="I10510" s="581">
        <v>30.43</v>
      </c>
      <c r="J10510" s="108" t="s">
        <v>2899</v>
      </c>
      <c r="K10510" s="581">
        <v>0</v>
      </c>
      <c r="L10510" s="108" t="s">
        <v>2900</v>
      </c>
      <c r="M10510" s="581">
        <v>30.43</v>
      </c>
    </row>
    <row r="10511" ht="26.25" spans="3:13">
      <c r="C10511" s="108"/>
      <c r="D10511" s="108"/>
      <c r="E10511" s="108"/>
      <c r="F10511" s="108"/>
      <c r="G10511" s="108"/>
      <c r="H10511" s="108" t="s">
        <v>2901</v>
      </c>
      <c r="I10511" s="581">
        <v>10</v>
      </c>
      <c r="J10511" s="114"/>
      <c r="K10511" s="114" t="s">
        <v>2902</v>
      </c>
      <c r="L10511" s="108"/>
      <c r="M10511" s="581">
        <v>49.26</v>
      </c>
    </row>
    <row r="10512" ht="15" spans="3:13">
      <c r="C10512" s="571"/>
      <c r="D10512" s="571"/>
      <c r="E10512" s="571"/>
      <c r="F10512" s="571"/>
      <c r="G10512" s="571"/>
      <c r="H10512" s="571"/>
      <c r="I10512" s="571"/>
      <c r="J10512" s="571"/>
      <c r="K10512" s="571"/>
      <c r="L10512" s="571"/>
      <c r="M10512" s="571"/>
    </row>
    <row r="10513" ht="15" customHeight="1" spans="3:13">
      <c r="C10513" s="76"/>
      <c r="D10513" s="75" t="s">
        <v>63</v>
      </c>
      <c r="E10513" s="76" t="s">
        <v>64</v>
      </c>
      <c r="F10513" s="76" t="s">
        <v>65</v>
      </c>
      <c r="G10513" s="76" t="s">
        <v>2889</v>
      </c>
      <c r="H10513" s="76"/>
      <c r="I10513" s="77" t="s">
        <v>66</v>
      </c>
      <c r="J10513" s="75" t="s">
        <v>67</v>
      </c>
      <c r="K10513" s="75" t="s">
        <v>2890</v>
      </c>
      <c r="L10513" s="75" t="s">
        <v>68</v>
      </c>
      <c r="M10513" s="75" t="s">
        <v>70</v>
      </c>
    </row>
    <row r="10514" ht="23.85" customHeight="1" spans="3:13">
      <c r="C10514" s="569" t="s">
        <v>2891</v>
      </c>
      <c r="D10514" s="570" t="s">
        <v>4196</v>
      </c>
      <c r="E10514" s="569" t="s">
        <v>139</v>
      </c>
      <c r="F10514" s="569" t="s">
        <v>4197</v>
      </c>
      <c r="G10514" s="569" t="s">
        <v>2928</v>
      </c>
      <c r="H10514" s="569"/>
      <c r="I10514" s="577" t="s">
        <v>2897</v>
      </c>
      <c r="J10514" s="578">
        <v>1</v>
      </c>
      <c r="K10514" s="579"/>
      <c r="L10514" s="579">
        <v>47.1</v>
      </c>
      <c r="M10514" s="579">
        <v>47.1</v>
      </c>
    </row>
    <row r="10515" ht="23.85" customHeight="1" spans="3:13">
      <c r="C10515" s="79" t="s">
        <v>2921</v>
      </c>
      <c r="D10515" s="78" t="s">
        <v>5692</v>
      </c>
      <c r="E10515" s="79" t="s">
        <v>139</v>
      </c>
      <c r="F10515" s="79" t="s">
        <v>5693</v>
      </c>
      <c r="G10515" s="79" t="s">
        <v>2928</v>
      </c>
      <c r="H10515" s="79"/>
      <c r="I10515" s="80" t="s">
        <v>2897</v>
      </c>
      <c r="J10515" s="583">
        <v>1</v>
      </c>
      <c r="K10515" s="583">
        <v>0</v>
      </c>
      <c r="L10515" s="92">
        <v>1.1</v>
      </c>
      <c r="M10515" s="92">
        <v>1.1</v>
      </c>
    </row>
    <row r="10516" ht="23.85" customHeight="1" spans="3:13">
      <c r="C10516" s="100" t="s">
        <v>2893</v>
      </c>
      <c r="D10516" s="99" t="s">
        <v>5310</v>
      </c>
      <c r="E10516" s="100" t="s">
        <v>139</v>
      </c>
      <c r="F10516" s="100" t="s">
        <v>5311</v>
      </c>
      <c r="G10516" s="100" t="s">
        <v>2961</v>
      </c>
      <c r="H10516" s="100"/>
      <c r="I10516" s="101" t="s">
        <v>2897</v>
      </c>
      <c r="J10516" s="580">
        <v>1</v>
      </c>
      <c r="K10516" s="580">
        <v>0</v>
      </c>
      <c r="L10516" s="102">
        <v>1.58</v>
      </c>
      <c r="M10516" s="102">
        <v>1.58</v>
      </c>
    </row>
    <row r="10517" ht="23.85" customHeight="1" spans="3:13">
      <c r="C10517" s="100" t="s">
        <v>2893</v>
      </c>
      <c r="D10517" s="99" t="s">
        <v>5308</v>
      </c>
      <c r="E10517" s="100" t="s">
        <v>139</v>
      </c>
      <c r="F10517" s="100" t="s">
        <v>5309</v>
      </c>
      <c r="G10517" s="100" t="s">
        <v>2961</v>
      </c>
      <c r="H10517" s="100"/>
      <c r="I10517" s="101" t="s">
        <v>2897</v>
      </c>
      <c r="J10517" s="580">
        <v>1</v>
      </c>
      <c r="K10517" s="580">
        <v>0</v>
      </c>
      <c r="L10517" s="102">
        <v>4.84</v>
      </c>
      <c r="M10517" s="102">
        <v>4.84</v>
      </c>
    </row>
    <row r="10518" ht="23.85" customHeight="1" spans="3:13">
      <c r="C10518" s="100" t="s">
        <v>2893</v>
      </c>
      <c r="D10518" s="99" t="s">
        <v>5396</v>
      </c>
      <c r="E10518" s="100" t="s">
        <v>139</v>
      </c>
      <c r="F10518" s="100" t="s">
        <v>5397</v>
      </c>
      <c r="G10518" s="100" t="s">
        <v>2961</v>
      </c>
      <c r="H10518" s="100"/>
      <c r="I10518" s="101" t="s">
        <v>2897</v>
      </c>
      <c r="J10518" s="580">
        <v>1</v>
      </c>
      <c r="K10518" s="580">
        <v>0</v>
      </c>
      <c r="L10518" s="102">
        <v>0.86</v>
      </c>
      <c r="M10518" s="102">
        <v>0.86</v>
      </c>
    </row>
    <row r="10519" ht="15" customHeight="1" spans="3:13">
      <c r="C10519" s="100" t="s">
        <v>2893</v>
      </c>
      <c r="D10519" s="99" t="s">
        <v>5306</v>
      </c>
      <c r="E10519" s="100" t="s">
        <v>139</v>
      </c>
      <c r="F10519" s="100" t="s">
        <v>5307</v>
      </c>
      <c r="G10519" s="100" t="s">
        <v>2961</v>
      </c>
      <c r="H10519" s="100"/>
      <c r="I10519" s="101" t="s">
        <v>2897</v>
      </c>
      <c r="J10519" s="580">
        <v>1</v>
      </c>
      <c r="K10519" s="580">
        <v>0</v>
      </c>
      <c r="L10519" s="102">
        <v>1.43</v>
      </c>
      <c r="M10519" s="102">
        <v>1.43</v>
      </c>
    </row>
    <row r="10520" ht="15" customHeight="1" spans="3:13">
      <c r="C10520" s="100" t="s">
        <v>2893</v>
      </c>
      <c r="D10520" s="99" t="s">
        <v>5312</v>
      </c>
      <c r="E10520" s="100" t="s">
        <v>139</v>
      </c>
      <c r="F10520" s="100" t="s">
        <v>5313</v>
      </c>
      <c r="G10520" s="100" t="s">
        <v>2961</v>
      </c>
      <c r="H10520" s="100"/>
      <c r="I10520" s="101" t="s">
        <v>2897</v>
      </c>
      <c r="J10520" s="580">
        <v>1</v>
      </c>
      <c r="K10520" s="580">
        <v>0</v>
      </c>
      <c r="L10520" s="102">
        <v>0.08</v>
      </c>
      <c r="M10520" s="102">
        <v>0.08</v>
      </c>
    </row>
    <row r="10521" ht="15" customHeight="1" spans="3:13">
      <c r="C10521" s="100" t="s">
        <v>2893</v>
      </c>
      <c r="D10521" s="99" t="s">
        <v>5694</v>
      </c>
      <c r="E10521" s="100" t="s">
        <v>139</v>
      </c>
      <c r="F10521" s="100" t="s">
        <v>5695</v>
      </c>
      <c r="G10521" s="100" t="s">
        <v>2896</v>
      </c>
      <c r="H10521" s="100"/>
      <c r="I10521" s="101" t="s">
        <v>2897</v>
      </c>
      <c r="J10521" s="580">
        <v>1</v>
      </c>
      <c r="K10521" s="580">
        <v>0</v>
      </c>
      <c r="L10521" s="102">
        <v>35.95</v>
      </c>
      <c r="M10521" s="102">
        <v>35.95</v>
      </c>
    </row>
    <row r="10522" ht="23.85" customHeight="1" spans="3:13">
      <c r="C10522" s="100" t="s">
        <v>2893</v>
      </c>
      <c r="D10522" s="99" t="s">
        <v>5398</v>
      </c>
      <c r="E10522" s="100" t="s">
        <v>139</v>
      </c>
      <c r="F10522" s="100" t="s">
        <v>5399</v>
      </c>
      <c r="G10522" s="100" t="s">
        <v>2961</v>
      </c>
      <c r="H10522" s="100"/>
      <c r="I10522" s="101" t="s">
        <v>2897</v>
      </c>
      <c r="J10522" s="580">
        <v>1</v>
      </c>
      <c r="K10522" s="580">
        <v>0</v>
      </c>
      <c r="L10522" s="102">
        <v>1.26</v>
      </c>
      <c r="M10522" s="102">
        <v>1.26</v>
      </c>
    </row>
    <row r="10523" ht="25.5" spans="3:13">
      <c r="C10523" s="108"/>
      <c r="D10523" s="108"/>
      <c r="E10523" s="108"/>
      <c r="F10523" s="108"/>
      <c r="G10523" s="108"/>
      <c r="H10523" s="108" t="s">
        <v>2898</v>
      </c>
      <c r="I10523" s="581">
        <v>37.05</v>
      </c>
      <c r="J10523" s="108" t="s">
        <v>2899</v>
      </c>
      <c r="K10523" s="581">
        <v>0</v>
      </c>
      <c r="L10523" s="108" t="s">
        <v>2900</v>
      </c>
      <c r="M10523" s="581">
        <v>37.05</v>
      </c>
    </row>
    <row r="10524" ht="26.25" spans="3:13">
      <c r="C10524" s="108"/>
      <c r="D10524" s="108"/>
      <c r="E10524" s="108"/>
      <c r="F10524" s="108"/>
      <c r="G10524" s="108"/>
      <c r="H10524" s="108" t="s">
        <v>2901</v>
      </c>
      <c r="I10524" s="581">
        <v>12</v>
      </c>
      <c r="J10524" s="114"/>
      <c r="K10524" s="114" t="s">
        <v>2902</v>
      </c>
      <c r="L10524" s="108"/>
      <c r="M10524" s="581">
        <v>59.1</v>
      </c>
    </row>
    <row r="10525" ht="15" spans="3:13">
      <c r="C10525" s="571"/>
      <c r="D10525" s="571"/>
      <c r="E10525" s="571"/>
      <c r="F10525" s="571"/>
      <c r="G10525" s="571"/>
      <c r="H10525" s="571"/>
      <c r="I10525" s="571"/>
      <c r="J10525" s="571"/>
      <c r="K10525" s="571"/>
      <c r="L10525" s="571"/>
      <c r="M10525" s="571"/>
    </row>
    <row r="10526" ht="15" customHeight="1" spans="3:13">
      <c r="C10526" s="76"/>
      <c r="D10526" s="75" t="s">
        <v>63</v>
      </c>
      <c r="E10526" s="76" t="s">
        <v>64</v>
      </c>
      <c r="F10526" s="76" t="s">
        <v>65</v>
      </c>
      <c r="G10526" s="76" t="s">
        <v>2889</v>
      </c>
      <c r="H10526" s="76"/>
      <c r="I10526" s="77" t="s">
        <v>66</v>
      </c>
      <c r="J10526" s="75" t="s">
        <v>67</v>
      </c>
      <c r="K10526" s="75" t="s">
        <v>2890</v>
      </c>
      <c r="L10526" s="75" t="s">
        <v>68</v>
      </c>
      <c r="M10526" s="75" t="s">
        <v>70</v>
      </c>
    </row>
    <row r="10527" ht="76.5" spans="3:13">
      <c r="C10527" s="569" t="s">
        <v>2891</v>
      </c>
      <c r="D10527" s="570" t="s">
        <v>5284</v>
      </c>
      <c r="E10527" s="569" t="s">
        <v>77</v>
      </c>
      <c r="F10527" s="569" t="s">
        <v>5285</v>
      </c>
      <c r="G10527" s="569">
        <v>19</v>
      </c>
      <c r="H10527" s="569"/>
      <c r="I10527" s="577" t="s">
        <v>2897</v>
      </c>
      <c r="J10527" s="578">
        <v>1</v>
      </c>
      <c r="K10527" s="579"/>
      <c r="L10527" s="579">
        <v>0.16</v>
      </c>
      <c r="M10527" s="579">
        <v>0.16</v>
      </c>
    </row>
    <row r="10528" ht="23.85" customHeight="1" spans="3:13">
      <c r="C10528" s="100" t="s">
        <v>2893</v>
      </c>
      <c r="D10528" s="99" t="s">
        <v>5934</v>
      </c>
      <c r="E10528" s="100" t="s">
        <v>77</v>
      </c>
      <c r="F10528" s="100" t="s">
        <v>5935</v>
      </c>
      <c r="G10528" s="100" t="s">
        <v>3395</v>
      </c>
      <c r="H10528" s="100"/>
      <c r="I10528" s="101" t="s">
        <v>134</v>
      </c>
      <c r="J10528" s="580">
        <v>0.0001333</v>
      </c>
      <c r="K10528" s="580">
        <v>0</v>
      </c>
      <c r="L10528" s="102">
        <v>1260.59</v>
      </c>
      <c r="M10528" s="102">
        <v>0.16</v>
      </c>
    </row>
    <row r="10529" ht="25.5" spans="3:13">
      <c r="C10529" s="108"/>
      <c r="D10529" s="108"/>
      <c r="E10529" s="108"/>
      <c r="F10529" s="108"/>
      <c r="G10529" s="108"/>
      <c r="H10529" s="108" t="s">
        <v>2898</v>
      </c>
      <c r="I10529" s="581">
        <v>0</v>
      </c>
      <c r="J10529" s="108" t="s">
        <v>2899</v>
      </c>
      <c r="K10529" s="581">
        <v>0</v>
      </c>
      <c r="L10529" s="108" t="s">
        <v>2900</v>
      </c>
      <c r="M10529" s="581">
        <v>0</v>
      </c>
    </row>
    <row r="10530" ht="26.25" spans="3:13">
      <c r="C10530" s="108"/>
      <c r="D10530" s="108"/>
      <c r="E10530" s="108"/>
      <c r="F10530" s="108"/>
      <c r="G10530" s="108"/>
      <c r="H10530" s="108" t="s">
        <v>2901</v>
      </c>
      <c r="I10530" s="581">
        <v>0.04</v>
      </c>
      <c r="J10530" s="114"/>
      <c r="K10530" s="114" t="s">
        <v>2902</v>
      </c>
      <c r="L10530" s="108"/>
      <c r="M10530" s="581">
        <v>0.2</v>
      </c>
    </row>
    <row r="10531" ht="15" spans="3:13">
      <c r="C10531" s="571"/>
      <c r="D10531" s="571"/>
      <c r="E10531" s="571"/>
      <c r="F10531" s="571"/>
      <c r="G10531" s="571"/>
      <c r="H10531" s="571"/>
      <c r="I10531" s="571"/>
      <c r="J10531" s="571"/>
      <c r="K10531" s="571"/>
      <c r="L10531" s="571"/>
      <c r="M10531" s="571"/>
    </row>
    <row r="10532" ht="15" customHeight="1" spans="3:13">
      <c r="C10532" s="76"/>
      <c r="D10532" s="75" t="s">
        <v>63</v>
      </c>
      <c r="E10532" s="76" t="s">
        <v>64</v>
      </c>
      <c r="F10532" s="76" t="s">
        <v>65</v>
      </c>
      <c r="G10532" s="76" t="s">
        <v>2889</v>
      </c>
      <c r="H10532" s="76"/>
      <c r="I10532" s="77" t="s">
        <v>66</v>
      </c>
      <c r="J10532" s="75" t="s">
        <v>67</v>
      </c>
      <c r="K10532" s="75" t="s">
        <v>2890</v>
      </c>
      <c r="L10532" s="75" t="s">
        <v>68</v>
      </c>
      <c r="M10532" s="75" t="s">
        <v>70</v>
      </c>
    </row>
    <row r="10533" ht="76.5" spans="3:13">
      <c r="C10533" s="569" t="s">
        <v>2891</v>
      </c>
      <c r="D10533" s="570" t="s">
        <v>5286</v>
      </c>
      <c r="E10533" s="569" t="s">
        <v>77</v>
      </c>
      <c r="F10533" s="569" t="s">
        <v>5285</v>
      </c>
      <c r="G10533" s="569">
        <v>19</v>
      </c>
      <c r="H10533" s="569"/>
      <c r="I10533" s="577" t="s">
        <v>2897</v>
      </c>
      <c r="J10533" s="578">
        <v>1</v>
      </c>
      <c r="K10533" s="579"/>
      <c r="L10533" s="579">
        <v>12.63</v>
      </c>
      <c r="M10533" s="579">
        <v>12.63</v>
      </c>
    </row>
    <row r="10534" ht="23.85" customHeight="1" spans="3:13">
      <c r="C10534" s="100" t="s">
        <v>2893</v>
      </c>
      <c r="D10534" s="99" t="s">
        <v>5491</v>
      </c>
      <c r="E10534" s="100" t="s">
        <v>77</v>
      </c>
      <c r="F10534" s="100" t="s">
        <v>5492</v>
      </c>
      <c r="G10534" s="100" t="s">
        <v>2961</v>
      </c>
      <c r="H10534" s="100"/>
      <c r="I10534" s="101" t="s">
        <v>3084</v>
      </c>
      <c r="J10534" s="580">
        <v>0.012</v>
      </c>
      <c r="K10534" s="580">
        <v>0</v>
      </c>
      <c r="L10534" s="102">
        <v>28.49</v>
      </c>
      <c r="M10534" s="102">
        <v>0.34</v>
      </c>
    </row>
    <row r="10535" ht="15" customHeight="1" spans="3:13">
      <c r="C10535" s="100" t="s">
        <v>2893</v>
      </c>
      <c r="D10535" s="99" t="s">
        <v>5487</v>
      </c>
      <c r="E10535" s="100" t="s">
        <v>77</v>
      </c>
      <c r="F10535" s="100" t="s">
        <v>5488</v>
      </c>
      <c r="G10535" s="100" t="s">
        <v>2961</v>
      </c>
      <c r="H10535" s="100"/>
      <c r="I10535" s="101" t="s">
        <v>393</v>
      </c>
      <c r="J10535" s="580">
        <v>0.006</v>
      </c>
      <c r="K10535" s="580">
        <v>0</v>
      </c>
      <c r="L10535" s="102">
        <v>11.39</v>
      </c>
      <c r="M10535" s="102">
        <v>0.06</v>
      </c>
    </row>
    <row r="10536" ht="15" customHeight="1" spans="3:13">
      <c r="C10536" s="100" t="s">
        <v>2893</v>
      </c>
      <c r="D10536" s="99" t="s">
        <v>5485</v>
      </c>
      <c r="E10536" s="100" t="s">
        <v>77</v>
      </c>
      <c r="F10536" s="100" t="s">
        <v>5486</v>
      </c>
      <c r="G10536" s="100" t="s">
        <v>2961</v>
      </c>
      <c r="H10536" s="100"/>
      <c r="I10536" s="101" t="s">
        <v>3084</v>
      </c>
      <c r="J10536" s="580">
        <v>2</v>
      </c>
      <c r="K10536" s="580">
        <v>0</v>
      </c>
      <c r="L10536" s="102">
        <v>5.98</v>
      </c>
      <c r="M10536" s="102">
        <v>11.96</v>
      </c>
    </row>
    <row r="10537" ht="23.85" customHeight="1" spans="3:13">
      <c r="C10537" s="100" t="s">
        <v>2893</v>
      </c>
      <c r="D10537" s="99" t="s">
        <v>5934</v>
      </c>
      <c r="E10537" s="100" t="s">
        <v>77</v>
      </c>
      <c r="F10537" s="100" t="s">
        <v>5935</v>
      </c>
      <c r="G10537" s="100" t="s">
        <v>3395</v>
      </c>
      <c r="H10537" s="100"/>
      <c r="I10537" s="101" t="s">
        <v>134</v>
      </c>
      <c r="J10537" s="580">
        <v>0.0002166</v>
      </c>
      <c r="K10537" s="580">
        <v>0</v>
      </c>
      <c r="L10537" s="102">
        <v>1260.59</v>
      </c>
      <c r="M10537" s="102">
        <v>0.27</v>
      </c>
    </row>
    <row r="10538" ht="25.5" spans="3:13">
      <c r="C10538" s="108"/>
      <c r="D10538" s="108"/>
      <c r="E10538" s="108"/>
      <c r="F10538" s="108"/>
      <c r="G10538" s="108"/>
      <c r="H10538" s="108" t="s">
        <v>2898</v>
      </c>
      <c r="I10538" s="581">
        <v>0</v>
      </c>
      <c r="J10538" s="108" t="s">
        <v>2899</v>
      </c>
      <c r="K10538" s="581">
        <v>0</v>
      </c>
      <c r="L10538" s="108" t="s">
        <v>2900</v>
      </c>
      <c r="M10538" s="581">
        <v>0</v>
      </c>
    </row>
    <row r="10539" ht="26.25" spans="3:13">
      <c r="C10539" s="108"/>
      <c r="D10539" s="108"/>
      <c r="E10539" s="108"/>
      <c r="F10539" s="108"/>
      <c r="G10539" s="108"/>
      <c r="H10539" s="108" t="s">
        <v>2901</v>
      </c>
      <c r="I10539" s="581">
        <v>3.21</v>
      </c>
      <c r="J10539" s="114"/>
      <c r="K10539" s="114" t="s">
        <v>2902</v>
      </c>
      <c r="L10539" s="108"/>
      <c r="M10539" s="581">
        <v>15.84</v>
      </c>
    </row>
    <row r="10540" ht="15" spans="3:13">
      <c r="C10540" s="571"/>
      <c r="D10540" s="571"/>
      <c r="E10540" s="571"/>
      <c r="F10540" s="571"/>
      <c r="G10540" s="571"/>
      <c r="H10540" s="571"/>
      <c r="I10540" s="571"/>
      <c r="J10540" s="571"/>
      <c r="K10540" s="571"/>
      <c r="L10540" s="571"/>
      <c r="M10540" s="571"/>
    </row>
    <row r="10541" ht="15" customHeight="1" spans="3:13">
      <c r="C10541" s="76"/>
      <c r="D10541" s="75" t="s">
        <v>63</v>
      </c>
      <c r="E10541" s="76" t="s">
        <v>64</v>
      </c>
      <c r="F10541" s="76" t="s">
        <v>65</v>
      </c>
      <c r="G10541" s="76" t="s">
        <v>2889</v>
      </c>
      <c r="H10541" s="76"/>
      <c r="I10541" s="77" t="s">
        <v>66</v>
      </c>
      <c r="J10541" s="75" t="s">
        <v>67</v>
      </c>
      <c r="K10541" s="75" t="s">
        <v>2890</v>
      </c>
      <c r="L10541" s="75" t="s">
        <v>68</v>
      </c>
      <c r="M10541" s="75" t="s">
        <v>70</v>
      </c>
    </row>
    <row r="10542" ht="23.85" customHeight="1" spans="3:13">
      <c r="C10542" s="569" t="s">
        <v>2891</v>
      </c>
      <c r="D10542" s="570" t="s">
        <v>5533</v>
      </c>
      <c r="E10542" s="569" t="s">
        <v>139</v>
      </c>
      <c r="F10542" s="569" t="s">
        <v>5534</v>
      </c>
      <c r="G10542" s="569" t="s">
        <v>2928</v>
      </c>
      <c r="H10542" s="569"/>
      <c r="I10542" s="577" t="s">
        <v>2897</v>
      </c>
      <c r="J10542" s="578">
        <v>1</v>
      </c>
      <c r="K10542" s="579"/>
      <c r="L10542" s="579">
        <v>49.9</v>
      </c>
      <c r="M10542" s="579">
        <v>49.9</v>
      </c>
    </row>
    <row r="10543" ht="23.85" customHeight="1" spans="3:13">
      <c r="C10543" s="79" t="s">
        <v>2921</v>
      </c>
      <c r="D10543" s="78" t="s">
        <v>5696</v>
      </c>
      <c r="E10543" s="79" t="s">
        <v>139</v>
      </c>
      <c r="F10543" s="79" t="s">
        <v>5697</v>
      </c>
      <c r="G10543" s="79" t="s">
        <v>2928</v>
      </c>
      <c r="H10543" s="79"/>
      <c r="I10543" s="80" t="s">
        <v>2897</v>
      </c>
      <c r="J10543" s="583">
        <v>1</v>
      </c>
      <c r="K10543" s="583">
        <v>0</v>
      </c>
      <c r="L10543" s="92">
        <v>0.2</v>
      </c>
      <c r="M10543" s="92">
        <v>0.2</v>
      </c>
    </row>
    <row r="10544" ht="23.85" customHeight="1" spans="3:13">
      <c r="C10544" s="100" t="s">
        <v>2893</v>
      </c>
      <c r="D10544" s="99" t="s">
        <v>5386</v>
      </c>
      <c r="E10544" s="100" t="s">
        <v>139</v>
      </c>
      <c r="F10544" s="100" t="s">
        <v>5387</v>
      </c>
      <c r="G10544" s="100" t="s">
        <v>2961</v>
      </c>
      <c r="H10544" s="100"/>
      <c r="I10544" s="101" t="s">
        <v>2897</v>
      </c>
      <c r="J10544" s="580">
        <v>1</v>
      </c>
      <c r="K10544" s="580">
        <v>0</v>
      </c>
      <c r="L10544" s="102">
        <v>0.89</v>
      </c>
      <c r="M10544" s="102">
        <v>0.89</v>
      </c>
    </row>
    <row r="10545" ht="23.85" customHeight="1" spans="3:13">
      <c r="C10545" s="100" t="s">
        <v>2893</v>
      </c>
      <c r="D10545" s="99" t="s">
        <v>5308</v>
      </c>
      <c r="E10545" s="100" t="s">
        <v>139</v>
      </c>
      <c r="F10545" s="100" t="s">
        <v>5309</v>
      </c>
      <c r="G10545" s="100" t="s">
        <v>2961</v>
      </c>
      <c r="H10545" s="100"/>
      <c r="I10545" s="101" t="s">
        <v>2897</v>
      </c>
      <c r="J10545" s="580">
        <v>1</v>
      </c>
      <c r="K10545" s="580">
        <v>0</v>
      </c>
      <c r="L10545" s="102">
        <v>4.84</v>
      </c>
      <c r="M10545" s="102">
        <v>4.84</v>
      </c>
    </row>
    <row r="10546" ht="15" customHeight="1" spans="3:13">
      <c r="C10546" s="100" t="s">
        <v>2893</v>
      </c>
      <c r="D10546" s="99" t="s">
        <v>5306</v>
      </c>
      <c r="E10546" s="100" t="s">
        <v>139</v>
      </c>
      <c r="F10546" s="100" t="s">
        <v>5307</v>
      </c>
      <c r="G10546" s="100" t="s">
        <v>2961</v>
      </c>
      <c r="H10546" s="100"/>
      <c r="I10546" s="101" t="s">
        <v>2897</v>
      </c>
      <c r="J10546" s="580">
        <v>1</v>
      </c>
      <c r="K10546" s="580">
        <v>0</v>
      </c>
      <c r="L10546" s="102">
        <v>1.43</v>
      </c>
      <c r="M10546" s="102">
        <v>1.43</v>
      </c>
    </row>
    <row r="10547" ht="23.85" customHeight="1" spans="3:13">
      <c r="C10547" s="100" t="s">
        <v>2893</v>
      </c>
      <c r="D10547" s="99" t="s">
        <v>5390</v>
      </c>
      <c r="E10547" s="100" t="s">
        <v>139</v>
      </c>
      <c r="F10547" s="100" t="s">
        <v>5391</v>
      </c>
      <c r="G10547" s="100" t="s">
        <v>2961</v>
      </c>
      <c r="H10547" s="100"/>
      <c r="I10547" s="101" t="s">
        <v>2897</v>
      </c>
      <c r="J10547" s="580">
        <v>1</v>
      </c>
      <c r="K10547" s="580">
        <v>0</v>
      </c>
      <c r="L10547" s="102">
        <v>0.01</v>
      </c>
      <c r="M10547" s="102">
        <v>0.01</v>
      </c>
    </row>
    <row r="10548" ht="15" customHeight="1" spans="3:13">
      <c r="C10548" s="100" t="s">
        <v>2893</v>
      </c>
      <c r="D10548" s="99" t="s">
        <v>5698</v>
      </c>
      <c r="E10548" s="100" t="s">
        <v>139</v>
      </c>
      <c r="F10548" s="100" t="s">
        <v>5699</v>
      </c>
      <c r="G10548" s="100" t="s">
        <v>2896</v>
      </c>
      <c r="H10548" s="100"/>
      <c r="I10548" s="101" t="s">
        <v>2897</v>
      </c>
      <c r="J10548" s="580">
        <v>1</v>
      </c>
      <c r="K10548" s="580">
        <v>0</v>
      </c>
      <c r="L10548" s="102">
        <v>40.87</v>
      </c>
      <c r="M10548" s="102">
        <v>40.87</v>
      </c>
    </row>
    <row r="10549" ht="15" customHeight="1" spans="3:13">
      <c r="C10549" s="100" t="s">
        <v>2893</v>
      </c>
      <c r="D10549" s="99" t="s">
        <v>5312</v>
      </c>
      <c r="E10549" s="100" t="s">
        <v>139</v>
      </c>
      <c r="F10549" s="100" t="s">
        <v>5313</v>
      </c>
      <c r="G10549" s="100" t="s">
        <v>2961</v>
      </c>
      <c r="H10549" s="100"/>
      <c r="I10549" s="101" t="s">
        <v>2897</v>
      </c>
      <c r="J10549" s="580">
        <v>1</v>
      </c>
      <c r="K10549" s="580">
        <v>0</v>
      </c>
      <c r="L10549" s="102">
        <v>0.08</v>
      </c>
      <c r="M10549" s="102">
        <v>0.08</v>
      </c>
    </row>
    <row r="10550" ht="23.85" customHeight="1" spans="3:13">
      <c r="C10550" s="100" t="s">
        <v>2893</v>
      </c>
      <c r="D10550" s="99" t="s">
        <v>5310</v>
      </c>
      <c r="E10550" s="100" t="s">
        <v>139</v>
      </c>
      <c r="F10550" s="100" t="s">
        <v>5311</v>
      </c>
      <c r="G10550" s="100" t="s">
        <v>2961</v>
      </c>
      <c r="H10550" s="100"/>
      <c r="I10550" s="101" t="s">
        <v>2897</v>
      </c>
      <c r="J10550" s="580">
        <v>1</v>
      </c>
      <c r="K10550" s="580">
        <v>0</v>
      </c>
      <c r="L10550" s="102">
        <v>1.58</v>
      </c>
      <c r="M10550" s="102">
        <v>1.58</v>
      </c>
    </row>
    <row r="10551" ht="25.5" spans="3:13">
      <c r="C10551" s="108"/>
      <c r="D10551" s="108"/>
      <c r="E10551" s="108"/>
      <c r="F10551" s="108"/>
      <c r="G10551" s="108"/>
      <c r="H10551" s="108" t="s">
        <v>2898</v>
      </c>
      <c r="I10551" s="581">
        <v>41.07</v>
      </c>
      <c r="J10551" s="108" t="s">
        <v>2899</v>
      </c>
      <c r="K10551" s="581">
        <v>0</v>
      </c>
      <c r="L10551" s="108" t="s">
        <v>2900</v>
      </c>
      <c r="M10551" s="581">
        <v>41.07</v>
      </c>
    </row>
    <row r="10552" ht="26.25" spans="3:13">
      <c r="C10552" s="108"/>
      <c r="D10552" s="108"/>
      <c r="E10552" s="108"/>
      <c r="F10552" s="108"/>
      <c r="G10552" s="108"/>
      <c r="H10552" s="108" t="s">
        <v>2901</v>
      </c>
      <c r="I10552" s="581">
        <v>12.71</v>
      </c>
      <c r="J10552" s="114"/>
      <c r="K10552" s="114" t="s">
        <v>2902</v>
      </c>
      <c r="L10552" s="108"/>
      <c r="M10552" s="581">
        <v>62.61</v>
      </c>
    </row>
    <row r="10553" ht="15" spans="3:13">
      <c r="C10553" s="571"/>
      <c r="D10553" s="571"/>
      <c r="E10553" s="571"/>
      <c r="F10553" s="571"/>
      <c r="G10553" s="571"/>
      <c r="H10553" s="571"/>
      <c r="I10553" s="571"/>
      <c r="J10553" s="571"/>
      <c r="K10553" s="571"/>
      <c r="L10553" s="571"/>
      <c r="M10553" s="571"/>
    </row>
    <row r="10554" ht="15" customHeight="1" spans="3:13">
      <c r="C10554" s="76"/>
      <c r="D10554" s="75" t="s">
        <v>63</v>
      </c>
      <c r="E10554" s="76" t="s">
        <v>64</v>
      </c>
      <c r="F10554" s="76" t="s">
        <v>65</v>
      </c>
      <c r="G10554" s="76" t="s">
        <v>2889</v>
      </c>
      <c r="H10554" s="76"/>
      <c r="I10554" s="77" t="s">
        <v>66</v>
      </c>
      <c r="J10554" s="75" t="s">
        <v>67</v>
      </c>
      <c r="K10554" s="75" t="s">
        <v>2890</v>
      </c>
      <c r="L10554" s="75" t="s">
        <v>68</v>
      </c>
      <c r="M10554" s="75" t="s">
        <v>70</v>
      </c>
    </row>
    <row r="10555" ht="23.85" customHeight="1" spans="3:13">
      <c r="C10555" s="569" t="s">
        <v>2891</v>
      </c>
      <c r="D10555" s="570" t="s">
        <v>5862</v>
      </c>
      <c r="E10555" s="569" t="s">
        <v>139</v>
      </c>
      <c r="F10555" s="569" t="s">
        <v>5863</v>
      </c>
      <c r="G10555" s="569" t="s">
        <v>2928</v>
      </c>
      <c r="H10555" s="569"/>
      <c r="I10555" s="577" t="s">
        <v>2897</v>
      </c>
      <c r="J10555" s="578">
        <v>1</v>
      </c>
      <c r="K10555" s="579"/>
      <c r="L10555" s="579">
        <v>54.34</v>
      </c>
      <c r="M10555" s="579">
        <v>54.34</v>
      </c>
    </row>
    <row r="10556" ht="23.85" customHeight="1" spans="3:13">
      <c r="C10556" s="79" t="s">
        <v>2921</v>
      </c>
      <c r="D10556" s="78" t="s">
        <v>5700</v>
      </c>
      <c r="E10556" s="79" t="s">
        <v>139</v>
      </c>
      <c r="F10556" s="79" t="s">
        <v>5701</v>
      </c>
      <c r="G10556" s="79" t="s">
        <v>2928</v>
      </c>
      <c r="H10556" s="79"/>
      <c r="I10556" s="80" t="s">
        <v>2897</v>
      </c>
      <c r="J10556" s="583">
        <v>1</v>
      </c>
      <c r="K10556" s="583">
        <v>0</v>
      </c>
      <c r="L10556" s="92">
        <v>0.73</v>
      </c>
      <c r="M10556" s="92">
        <v>0.73</v>
      </c>
    </row>
    <row r="10557" ht="15" customHeight="1" spans="3:13">
      <c r="C10557" s="100" t="s">
        <v>2893</v>
      </c>
      <c r="D10557" s="99" t="s">
        <v>5702</v>
      </c>
      <c r="E10557" s="100" t="s">
        <v>139</v>
      </c>
      <c r="F10557" s="100" t="s">
        <v>5703</v>
      </c>
      <c r="G10557" s="100" t="s">
        <v>2896</v>
      </c>
      <c r="H10557" s="100"/>
      <c r="I10557" s="101" t="s">
        <v>2897</v>
      </c>
      <c r="J10557" s="580">
        <v>1</v>
      </c>
      <c r="K10557" s="580">
        <v>0</v>
      </c>
      <c r="L10557" s="102">
        <v>44.78</v>
      </c>
      <c r="M10557" s="102">
        <v>44.78</v>
      </c>
    </row>
    <row r="10558" ht="23.85" customHeight="1" spans="3:13">
      <c r="C10558" s="100" t="s">
        <v>2893</v>
      </c>
      <c r="D10558" s="99" t="s">
        <v>5390</v>
      </c>
      <c r="E10558" s="100" t="s">
        <v>139</v>
      </c>
      <c r="F10558" s="100" t="s">
        <v>5391</v>
      </c>
      <c r="G10558" s="100" t="s">
        <v>2961</v>
      </c>
      <c r="H10558" s="100"/>
      <c r="I10558" s="101" t="s">
        <v>2897</v>
      </c>
      <c r="J10558" s="580">
        <v>1</v>
      </c>
      <c r="K10558" s="580">
        <v>0</v>
      </c>
      <c r="L10558" s="102">
        <v>0.01</v>
      </c>
      <c r="M10558" s="102">
        <v>0.01</v>
      </c>
    </row>
    <row r="10559" ht="15" customHeight="1" spans="3:13">
      <c r="C10559" s="100" t="s">
        <v>2893</v>
      </c>
      <c r="D10559" s="99" t="s">
        <v>5312</v>
      </c>
      <c r="E10559" s="100" t="s">
        <v>139</v>
      </c>
      <c r="F10559" s="100" t="s">
        <v>5313</v>
      </c>
      <c r="G10559" s="100" t="s">
        <v>2961</v>
      </c>
      <c r="H10559" s="100"/>
      <c r="I10559" s="101" t="s">
        <v>2897</v>
      </c>
      <c r="J10559" s="580">
        <v>1</v>
      </c>
      <c r="K10559" s="580">
        <v>0</v>
      </c>
      <c r="L10559" s="102">
        <v>0.08</v>
      </c>
      <c r="M10559" s="102">
        <v>0.08</v>
      </c>
    </row>
    <row r="10560" ht="23.85" customHeight="1" spans="3:13">
      <c r="C10560" s="100" t="s">
        <v>2893</v>
      </c>
      <c r="D10560" s="99" t="s">
        <v>5386</v>
      </c>
      <c r="E10560" s="100" t="s">
        <v>139</v>
      </c>
      <c r="F10560" s="100" t="s">
        <v>5387</v>
      </c>
      <c r="G10560" s="100" t="s">
        <v>2961</v>
      </c>
      <c r="H10560" s="100"/>
      <c r="I10560" s="101" t="s">
        <v>2897</v>
      </c>
      <c r="J10560" s="580">
        <v>1</v>
      </c>
      <c r="K10560" s="580">
        <v>0</v>
      </c>
      <c r="L10560" s="102">
        <v>0.89</v>
      </c>
      <c r="M10560" s="102">
        <v>0.89</v>
      </c>
    </row>
    <row r="10561" ht="15" customHeight="1" spans="3:13">
      <c r="C10561" s="100" t="s">
        <v>2893</v>
      </c>
      <c r="D10561" s="99" t="s">
        <v>5306</v>
      </c>
      <c r="E10561" s="100" t="s">
        <v>139</v>
      </c>
      <c r="F10561" s="100" t="s">
        <v>5307</v>
      </c>
      <c r="G10561" s="100" t="s">
        <v>2961</v>
      </c>
      <c r="H10561" s="100"/>
      <c r="I10561" s="101" t="s">
        <v>2897</v>
      </c>
      <c r="J10561" s="580">
        <v>1</v>
      </c>
      <c r="K10561" s="580">
        <v>0</v>
      </c>
      <c r="L10561" s="102">
        <v>1.43</v>
      </c>
      <c r="M10561" s="102">
        <v>1.43</v>
      </c>
    </row>
    <row r="10562" ht="23.85" customHeight="1" spans="3:13">
      <c r="C10562" s="100" t="s">
        <v>2893</v>
      </c>
      <c r="D10562" s="99" t="s">
        <v>5308</v>
      </c>
      <c r="E10562" s="100" t="s">
        <v>139</v>
      </c>
      <c r="F10562" s="100" t="s">
        <v>5309</v>
      </c>
      <c r="G10562" s="100" t="s">
        <v>2961</v>
      </c>
      <c r="H10562" s="100"/>
      <c r="I10562" s="101" t="s">
        <v>2897</v>
      </c>
      <c r="J10562" s="580">
        <v>1</v>
      </c>
      <c r="K10562" s="580">
        <v>0</v>
      </c>
      <c r="L10562" s="102">
        <v>4.84</v>
      </c>
      <c r="M10562" s="102">
        <v>4.84</v>
      </c>
    </row>
    <row r="10563" ht="23.85" customHeight="1" spans="3:13">
      <c r="C10563" s="100" t="s">
        <v>2893</v>
      </c>
      <c r="D10563" s="99" t="s">
        <v>5310</v>
      </c>
      <c r="E10563" s="100" t="s">
        <v>139</v>
      </c>
      <c r="F10563" s="100" t="s">
        <v>5311</v>
      </c>
      <c r="G10563" s="100" t="s">
        <v>2961</v>
      </c>
      <c r="H10563" s="100"/>
      <c r="I10563" s="101" t="s">
        <v>2897</v>
      </c>
      <c r="J10563" s="580">
        <v>1</v>
      </c>
      <c r="K10563" s="580">
        <v>0</v>
      </c>
      <c r="L10563" s="102">
        <v>1.58</v>
      </c>
      <c r="M10563" s="102">
        <v>1.58</v>
      </c>
    </row>
    <row r="10564" ht="25.5" spans="3:13">
      <c r="C10564" s="108"/>
      <c r="D10564" s="108"/>
      <c r="E10564" s="108"/>
      <c r="F10564" s="108"/>
      <c r="G10564" s="108"/>
      <c r="H10564" s="108" t="s">
        <v>2898</v>
      </c>
      <c r="I10564" s="581">
        <v>45.51</v>
      </c>
      <c r="J10564" s="108" t="s">
        <v>2899</v>
      </c>
      <c r="K10564" s="581">
        <v>0</v>
      </c>
      <c r="L10564" s="108" t="s">
        <v>2900</v>
      </c>
      <c r="M10564" s="581">
        <v>45.51</v>
      </c>
    </row>
    <row r="10565" ht="26.25" spans="3:13">
      <c r="C10565" s="108"/>
      <c r="D10565" s="108"/>
      <c r="E10565" s="108"/>
      <c r="F10565" s="108"/>
      <c r="G10565" s="108"/>
      <c r="H10565" s="108" t="s">
        <v>2901</v>
      </c>
      <c r="I10565" s="581">
        <v>13.85</v>
      </c>
      <c r="J10565" s="114"/>
      <c r="K10565" s="114" t="s">
        <v>2902</v>
      </c>
      <c r="L10565" s="108"/>
      <c r="M10565" s="581">
        <v>68.19</v>
      </c>
    </row>
    <row r="10566" ht="15" spans="3:13">
      <c r="C10566" s="571"/>
      <c r="D10566" s="571"/>
      <c r="E10566" s="571"/>
      <c r="F10566" s="571"/>
      <c r="G10566" s="571"/>
      <c r="H10566" s="571"/>
      <c r="I10566" s="571"/>
      <c r="J10566" s="571"/>
      <c r="K10566" s="571"/>
      <c r="L10566" s="571"/>
      <c r="M10566" s="571"/>
    </row>
    <row r="10567" ht="15" customHeight="1" spans="3:13">
      <c r="C10567" s="76"/>
      <c r="D10567" s="75" t="s">
        <v>63</v>
      </c>
      <c r="E10567" s="76" t="s">
        <v>64</v>
      </c>
      <c r="F10567" s="76" t="s">
        <v>65</v>
      </c>
      <c r="G10567" s="76" t="s">
        <v>2889</v>
      </c>
      <c r="H10567" s="76"/>
      <c r="I10567" s="77" t="s">
        <v>66</v>
      </c>
      <c r="J10567" s="75" t="s">
        <v>67</v>
      </c>
      <c r="K10567" s="75" t="s">
        <v>2890</v>
      </c>
      <c r="L10567" s="75" t="s">
        <v>68</v>
      </c>
      <c r="M10567" s="75" t="s">
        <v>70</v>
      </c>
    </row>
    <row r="10568" ht="35.05" customHeight="1" spans="3:13">
      <c r="C10568" s="569" t="s">
        <v>2891</v>
      </c>
      <c r="D10568" s="570" t="s">
        <v>4114</v>
      </c>
      <c r="E10568" s="569" t="s">
        <v>796</v>
      </c>
      <c r="F10568" s="569" t="s">
        <v>4115</v>
      </c>
      <c r="G10568" s="569" t="s">
        <v>4116</v>
      </c>
      <c r="H10568" s="569"/>
      <c r="I10568" s="577" t="s">
        <v>279</v>
      </c>
      <c r="J10568" s="578">
        <v>1</v>
      </c>
      <c r="K10568" s="579"/>
      <c r="L10568" s="579">
        <v>357.45</v>
      </c>
      <c r="M10568" s="579">
        <v>357.45</v>
      </c>
    </row>
    <row r="10569" ht="15" customHeight="1" spans="3:13">
      <c r="C10569" s="100" t="s">
        <v>2893</v>
      </c>
      <c r="D10569" s="99" t="s">
        <v>5806</v>
      </c>
      <c r="E10569" s="100" t="s">
        <v>796</v>
      </c>
      <c r="F10569" s="100" t="s">
        <v>5807</v>
      </c>
      <c r="G10569" s="100" t="s">
        <v>2961</v>
      </c>
      <c r="H10569" s="100"/>
      <c r="I10569" s="101" t="s">
        <v>279</v>
      </c>
      <c r="J10569" s="580">
        <v>0.393</v>
      </c>
      <c r="K10569" s="580">
        <v>0</v>
      </c>
      <c r="L10569" s="102">
        <v>141.38</v>
      </c>
      <c r="M10569" s="102">
        <v>55.56</v>
      </c>
    </row>
    <row r="10570" ht="15" customHeight="1" spans="3:13">
      <c r="C10570" s="100" t="s">
        <v>2893</v>
      </c>
      <c r="D10570" s="99" t="s">
        <v>5445</v>
      </c>
      <c r="E10570" s="100" t="s">
        <v>796</v>
      </c>
      <c r="F10570" s="100" t="s">
        <v>5446</v>
      </c>
      <c r="G10570" s="100" t="s">
        <v>2961</v>
      </c>
      <c r="H10570" s="100"/>
      <c r="I10570" s="101" t="s">
        <v>3712</v>
      </c>
      <c r="J10570" s="580">
        <v>269</v>
      </c>
      <c r="K10570" s="580">
        <v>0</v>
      </c>
      <c r="L10570" s="102">
        <v>0.62</v>
      </c>
      <c r="M10570" s="102">
        <v>166.78</v>
      </c>
    </row>
    <row r="10571" ht="15" customHeight="1" spans="3:13">
      <c r="C10571" s="100" t="s">
        <v>2893</v>
      </c>
      <c r="D10571" s="99" t="s">
        <v>5804</v>
      </c>
      <c r="E10571" s="100" t="s">
        <v>796</v>
      </c>
      <c r="F10571" s="100" t="s">
        <v>5805</v>
      </c>
      <c r="G10571" s="100" t="s">
        <v>5444</v>
      </c>
      <c r="H10571" s="100"/>
      <c r="I10571" s="101" t="s">
        <v>279</v>
      </c>
      <c r="J10571" s="580">
        <v>0.01965</v>
      </c>
      <c r="K10571" s="580">
        <v>0</v>
      </c>
      <c r="L10571" s="102">
        <v>141.38</v>
      </c>
      <c r="M10571" s="102">
        <v>2.77</v>
      </c>
    </row>
    <row r="10572" ht="15" customHeight="1" spans="3:13">
      <c r="C10572" s="100" t="s">
        <v>2893</v>
      </c>
      <c r="D10572" s="99" t="s">
        <v>5442</v>
      </c>
      <c r="E10572" s="100" t="s">
        <v>796</v>
      </c>
      <c r="F10572" s="100" t="s">
        <v>5443</v>
      </c>
      <c r="G10572" s="100" t="s">
        <v>5444</v>
      </c>
      <c r="H10572" s="100"/>
      <c r="I10572" s="101" t="s">
        <v>3712</v>
      </c>
      <c r="J10572" s="580">
        <v>13.45</v>
      </c>
      <c r="K10572" s="580">
        <v>0</v>
      </c>
      <c r="L10572" s="102">
        <v>0.62</v>
      </c>
      <c r="M10572" s="102">
        <v>8.33</v>
      </c>
    </row>
    <row r="10573" ht="15" customHeight="1" spans="3:13">
      <c r="C10573" s="100" t="s">
        <v>2893</v>
      </c>
      <c r="D10573" s="99" t="s">
        <v>5800</v>
      </c>
      <c r="E10573" s="100" t="s">
        <v>796</v>
      </c>
      <c r="F10573" s="100" t="s">
        <v>5801</v>
      </c>
      <c r="G10573" s="100" t="s">
        <v>5444</v>
      </c>
      <c r="H10573" s="100"/>
      <c r="I10573" s="101" t="s">
        <v>279</v>
      </c>
      <c r="J10573" s="580">
        <v>0.01965</v>
      </c>
      <c r="K10573" s="580">
        <v>0</v>
      </c>
      <c r="L10573" s="102">
        <v>136.3</v>
      </c>
      <c r="M10573" s="102">
        <v>2.67</v>
      </c>
    </row>
    <row r="10574" ht="15" customHeight="1" spans="3:13">
      <c r="C10574" s="100" t="s">
        <v>2893</v>
      </c>
      <c r="D10574" s="99" t="s">
        <v>5447</v>
      </c>
      <c r="E10574" s="100" t="s">
        <v>796</v>
      </c>
      <c r="F10574" s="100" t="s">
        <v>5448</v>
      </c>
      <c r="G10574" s="100" t="s">
        <v>5444</v>
      </c>
      <c r="H10574" s="100"/>
      <c r="I10574" s="101" t="s">
        <v>279</v>
      </c>
      <c r="J10574" s="580">
        <v>0.0342</v>
      </c>
      <c r="K10574" s="580">
        <v>0</v>
      </c>
      <c r="L10574" s="102">
        <v>94.4</v>
      </c>
      <c r="M10574" s="102">
        <v>3.22</v>
      </c>
    </row>
    <row r="10575" ht="15" customHeight="1" spans="3:13">
      <c r="C10575" s="100" t="s">
        <v>2893</v>
      </c>
      <c r="D10575" s="99" t="s">
        <v>5449</v>
      </c>
      <c r="E10575" s="100" t="s">
        <v>796</v>
      </c>
      <c r="F10575" s="100" t="s">
        <v>5450</v>
      </c>
      <c r="G10575" s="100" t="s">
        <v>2961</v>
      </c>
      <c r="H10575" s="100"/>
      <c r="I10575" s="101" t="s">
        <v>279</v>
      </c>
      <c r="J10575" s="580">
        <v>0.684</v>
      </c>
      <c r="K10575" s="580">
        <v>0</v>
      </c>
      <c r="L10575" s="102">
        <v>94.4</v>
      </c>
      <c r="M10575" s="102">
        <v>64.56</v>
      </c>
    </row>
    <row r="10576" ht="15" customHeight="1" spans="3:13">
      <c r="C10576" s="100" t="s">
        <v>2893</v>
      </c>
      <c r="D10576" s="99" t="s">
        <v>5802</v>
      </c>
      <c r="E10576" s="100" t="s">
        <v>796</v>
      </c>
      <c r="F10576" s="100" t="s">
        <v>5803</v>
      </c>
      <c r="G10576" s="100" t="s">
        <v>2961</v>
      </c>
      <c r="H10576" s="100"/>
      <c r="I10576" s="101" t="s">
        <v>279</v>
      </c>
      <c r="J10576" s="580">
        <v>0.393</v>
      </c>
      <c r="K10576" s="580">
        <v>0</v>
      </c>
      <c r="L10576" s="102">
        <v>136.3</v>
      </c>
      <c r="M10576" s="102">
        <v>53.56</v>
      </c>
    </row>
    <row r="10577" ht="25.5" spans="3:13">
      <c r="C10577" s="108"/>
      <c r="D10577" s="108"/>
      <c r="E10577" s="108"/>
      <c r="F10577" s="108"/>
      <c r="G10577" s="108"/>
      <c r="H10577" s="108" t="s">
        <v>2898</v>
      </c>
      <c r="I10577" s="581">
        <v>0</v>
      </c>
      <c r="J10577" s="108" t="s">
        <v>2899</v>
      </c>
      <c r="K10577" s="581">
        <v>0</v>
      </c>
      <c r="L10577" s="108" t="s">
        <v>2900</v>
      </c>
      <c r="M10577" s="581">
        <v>0</v>
      </c>
    </row>
    <row r="10578" ht="26.25" spans="3:13">
      <c r="C10578" s="108"/>
      <c r="D10578" s="108"/>
      <c r="E10578" s="108"/>
      <c r="F10578" s="108"/>
      <c r="G10578" s="108"/>
      <c r="H10578" s="108" t="s">
        <v>2901</v>
      </c>
      <c r="I10578" s="581">
        <v>91.11</v>
      </c>
      <c r="J10578" s="114"/>
      <c r="K10578" s="114" t="s">
        <v>2902</v>
      </c>
      <c r="L10578" s="108"/>
      <c r="M10578" s="581">
        <v>448.56</v>
      </c>
    </row>
    <row r="10579" ht="15" spans="3:13">
      <c r="C10579" s="571"/>
      <c r="D10579" s="571"/>
      <c r="E10579" s="571"/>
      <c r="F10579" s="571"/>
      <c r="G10579" s="571"/>
      <c r="H10579" s="571"/>
      <c r="I10579" s="571"/>
      <c r="J10579" s="571"/>
      <c r="K10579" s="571"/>
      <c r="L10579" s="571"/>
      <c r="M10579" s="571"/>
    </row>
    <row r="10580" ht="15" customHeight="1" spans="3:13">
      <c r="C10580" s="76"/>
      <c r="D10580" s="75" t="s">
        <v>63</v>
      </c>
      <c r="E10580" s="76" t="s">
        <v>64</v>
      </c>
      <c r="F10580" s="76" t="s">
        <v>65</v>
      </c>
      <c r="G10580" s="76" t="s">
        <v>2889</v>
      </c>
      <c r="H10580" s="76"/>
      <c r="I10580" s="77" t="s">
        <v>66</v>
      </c>
      <c r="J10580" s="75" t="s">
        <v>67</v>
      </c>
      <c r="K10580" s="75" t="s">
        <v>2890</v>
      </c>
      <c r="L10580" s="75" t="s">
        <v>68</v>
      </c>
      <c r="M10580" s="75" t="s">
        <v>70</v>
      </c>
    </row>
    <row r="10581" ht="35.05" customHeight="1" spans="3:13">
      <c r="C10581" s="569" t="s">
        <v>2891</v>
      </c>
      <c r="D10581" s="570" t="s">
        <v>4320</v>
      </c>
      <c r="E10581" s="569" t="s">
        <v>796</v>
      </c>
      <c r="F10581" s="569" t="s">
        <v>4321</v>
      </c>
      <c r="G10581" s="569" t="s">
        <v>4116</v>
      </c>
      <c r="H10581" s="569"/>
      <c r="I10581" s="577" t="s">
        <v>279</v>
      </c>
      <c r="J10581" s="578">
        <v>1</v>
      </c>
      <c r="K10581" s="579"/>
      <c r="L10581" s="579">
        <v>358.54</v>
      </c>
      <c r="M10581" s="579">
        <v>358.54</v>
      </c>
    </row>
    <row r="10582" ht="15" customHeight="1" spans="3:13">
      <c r="C10582" s="100" t="s">
        <v>2893</v>
      </c>
      <c r="D10582" s="99" t="s">
        <v>5802</v>
      </c>
      <c r="E10582" s="100" t="s">
        <v>796</v>
      </c>
      <c r="F10582" s="100" t="s">
        <v>5803</v>
      </c>
      <c r="G10582" s="100" t="s">
        <v>2961</v>
      </c>
      <c r="H10582" s="100"/>
      <c r="I10582" s="101" t="s">
        <v>279</v>
      </c>
      <c r="J10582" s="580">
        <v>0.34</v>
      </c>
      <c r="K10582" s="580">
        <v>0</v>
      </c>
      <c r="L10582" s="102">
        <v>136.3</v>
      </c>
      <c r="M10582" s="102">
        <v>46.34</v>
      </c>
    </row>
    <row r="10583" ht="15" customHeight="1" spans="3:13">
      <c r="C10583" s="100" t="s">
        <v>2893</v>
      </c>
      <c r="D10583" s="99" t="s">
        <v>5445</v>
      </c>
      <c r="E10583" s="100" t="s">
        <v>796</v>
      </c>
      <c r="F10583" s="100" t="s">
        <v>5446</v>
      </c>
      <c r="G10583" s="100" t="s">
        <v>2961</v>
      </c>
      <c r="H10583" s="100"/>
      <c r="I10583" s="101" t="s">
        <v>3712</v>
      </c>
      <c r="J10583" s="580">
        <v>295</v>
      </c>
      <c r="K10583" s="580">
        <v>0</v>
      </c>
      <c r="L10583" s="102">
        <v>0.62</v>
      </c>
      <c r="M10583" s="102">
        <v>182.9</v>
      </c>
    </row>
    <row r="10584" ht="15" customHeight="1" spans="3:13">
      <c r="C10584" s="100" t="s">
        <v>2893</v>
      </c>
      <c r="D10584" s="99" t="s">
        <v>5800</v>
      </c>
      <c r="E10584" s="100" t="s">
        <v>796</v>
      </c>
      <c r="F10584" s="100" t="s">
        <v>5801</v>
      </c>
      <c r="G10584" s="100" t="s">
        <v>5444</v>
      </c>
      <c r="H10584" s="100"/>
      <c r="I10584" s="101" t="s">
        <v>279</v>
      </c>
      <c r="J10584" s="580">
        <v>0.017</v>
      </c>
      <c r="K10584" s="580">
        <v>0</v>
      </c>
      <c r="L10584" s="102">
        <v>136.3</v>
      </c>
      <c r="M10584" s="102">
        <v>2.31</v>
      </c>
    </row>
    <row r="10585" ht="15" customHeight="1" spans="3:13">
      <c r="C10585" s="100" t="s">
        <v>2893</v>
      </c>
      <c r="D10585" s="99" t="s">
        <v>5449</v>
      </c>
      <c r="E10585" s="100" t="s">
        <v>796</v>
      </c>
      <c r="F10585" s="100" t="s">
        <v>5450</v>
      </c>
      <c r="G10585" s="100" t="s">
        <v>2961</v>
      </c>
      <c r="H10585" s="100"/>
      <c r="I10585" s="101" t="s">
        <v>279</v>
      </c>
      <c r="J10585" s="580">
        <v>0.68</v>
      </c>
      <c r="K10585" s="580">
        <v>0</v>
      </c>
      <c r="L10585" s="102">
        <v>94.4</v>
      </c>
      <c r="M10585" s="102">
        <v>64.19</v>
      </c>
    </row>
    <row r="10586" ht="15" customHeight="1" spans="3:13">
      <c r="C10586" s="100" t="s">
        <v>2893</v>
      </c>
      <c r="D10586" s="99" t="s">
        <v>5447</v>
      </c>
      <c r="E10586" s="100" t="s">
        <v>796</v>
      </c>
      <c r="F10586" s="100" t="s">
        <v>5448</v>
      </c>
      <c r="G10586" s="100" t="s">
        <v>5444</v>
      </c>
      <c r="H10586" s="100"/>
      <c r="I10586" s="101" t="s">
        <v>279</v>
      </c>
      <c r="J10586" s="580">
        <v>0.034</v>
      </c>
      <c r="K10586" s="580">
        <v>0</v>
      </c>
      <c r="L10586" s="102">
        <v>94.4</v>
      </c>
      <c r="M10586" s="102">
        <v>3.2</v>
      </c>
    </row>
    <row r="10587" ht="15" customHeight="1" spans="3:13">
      <c r="C10587" s="100" t="s">
        <v>2893</v>
      </c>
      <c r="D10587" s="99" t="s">
        <v>5804</v>
      </c>
      <c r="E10587" s="100" t="s">
        <v>796</v>
      </c>
      <c r="F10587" s="100" t="s">
        <v>5805</v>
      </c>
      <c r="G10587" s="100" t="s">
        <v>5444</v>
      </c>
      <c r="H10587" s="100"/>
      <c r="I10587" s="101" t="s">
        <v>279</v>
      </c>
      <c r="J10587" s="580">
        <v>0.017</v>
      </c>
      <c r="K10587" s="580">
        <v>0</v>
      </c>
      <c r="L10587" s="102">
        <v>141.38</v>
      </c>
      <c r="M10587" s="102">
        <v>2.4</v>
      </c>
    </row>
    <row r="10588" ht="15" customHeight="1" spans="3:13">
      <c r="C10588" s="100" t="s">
        <v>2893</v>
      </c>
      <c r="D10588" s="99" t="s">
        <v>5806</v>
      </c>
      <c r="E10588" s="100" t="s">
        <v>796</v>
      </c>
      <c r="F10588" s="100" t="s">
        <v>5807</v>
      </c>
      <c r="G10588" s="100" t="s">
        <v>2961</v>
      </c>
      <c r="H10588" s="100"/>
      <c r="I10588" s="101" t="s">
        <v>279</v>
      </c>
      <c r="J10588" s="580">
        <v>0.34</v>
      </c>
      <c r="K10588" s="580">
        <v>0</v>
      </c>
      <c r="L10588" s="102">
        <v>141.38</v>
      </c>
      <c r="M10588" s="102">
        <v>48.06</v>
      </c>
    </row>
    <row r="10589" ht="15" customHeight="1" spans="3:13">
      <c r="C10589" s="100" t="s">
        <v>2893</v>
      </c>
      <c r="D10589" s="99" t="s">
        <v>5442</v>
      </c>
      <c r="E10589" s="100" t="s">
        <v>796</v>
      </c>
      <c r="F10589" s="100" t="s">
        <v>5443</v>
      </c>
      <c r="G10589" s="100" t="s">
        <v>5444</v>
      </c>
      <c r="H10589" s="100"/>
      <c r="I10589" s="101" t="s">
        <v>3712</v>
      </c>
      <c r="J10589" s="580">
        <v>14.75</v>
      </c>
      <c r="K10589" s="580">
        <v>0</v>
      </c>
      <c r="L10589" s="102">
        <v>0.62</v>
      </c>
      <c r="M10589" s="102">
        <v>9.14</v>
      </c>
    </row>
    <row r="10590" ht="25.5" spans="3:13">
      <c r="C10590" s="108"/>
      <c r="D10590" s="108"/>
      <c r="E10590" s="108"/>
      <c r="F10590" s="108"/>
      <c r="G10590" s="108"/>
      <c r="H10590" s="108" t="s">
        <v>2898</v>
      </c>
      <c r="I10590" s="581">
        <v>0</v>
      </c>
      <c r="J10590" s="108" t="s">
        <v>2899</v>
      </c>
      <c r="K10590" s="581">
        <v>0</v>
      </c>
      <c r="L10590" s="108" t="s">
        <v>2900</v>
      </c>
      <c r="M10590" s="581">
        <v>0</v>
      </c>
    </row>
    <row r="10591" ht="26.25" spans="3:13">
      <c r="C10591" s="108"/>
      <c r="D10591" s="108"/>
      <c r="E10591" s="108"/>
      <c r="F10591" s="108"/>
      <c r="G10591" s="108"/>
      <c r="H10591" s="108" t="s">
        <v>2901</v>
      </c>
      <c r="I10591" s="581">
        <v>91.39</v>
      </c>
      <c r="J10591" s="114"/>
      <c r="K10591" s="114" t="s">
        <v>2902</v>
      </c>
      <c r="L10591" s="108"/>
      <c r="M10591" s="581">
        <v>449.93</v>
      </c>
    </row>
    <row r="10592" ht="15" spans="3:13">
      <c r="C10592" s="571"/>
      <c r="D10592" s="571"/>
      <c r="E10592" s="571"/>
      <c r="F10592" s="571"/>
      <c r="G10592" s="571"/>
      <c r="H10592" s="571"/>
      <c r="I10592" s="571"/>
      <c r="J10592" s="571"/>
      <c r="K10592" s="571"/>
      <c r="L10592" s="571"/>
      <c r="M10592" s="571"/>
    </row>
    <row r="10593" ht="15" customHeight="1" spans="3:13">
      <c r="C10593" s="76"/>
      <c r="D10593" s="75" t="s">
        <v>63</v>
      </c>
      <c r="E10593" s="76" t="s">
        <v>64</v>
      </c>
      <c r="F10593" s="76" t="s">
        <v>65</v>
      </c>
      <c r="G10593" s="76" t="s">
        <v>2889</v>
      </c>
      <c r="H10593" s="76"/>
      <c r="I10593" s="77" t="s">
        <v>66</v>
      </c>
      <c r="J10593" s="75" t="s">
        <v>67</v>
      </c>
      <c r="K10593" s="75" t="s">
        <v>2890</v>
      </c>
      <c r="L10593" s="75" t="s">
        <v>68</v>
      </c>
      <c r="M10593" s="75" t="s">
        <v>70</v>
      </c>
    </row>
    <row r="10594" ht="23.85" customHeight="1" spans="3:13">
      <c r="C10594" s="569" t="s">
        <v>2891</v>
      </c>
      <c r="D10594" s="570" t="s">
        <v>5158</v>
      </c>
      <c r="E10594" s="569" t="s">
        <v>139</v>
      </c>
      <c r="F10594" s="569" t="s">
        <v>5159</v>
      </c>
      <c r="G10594" s="569" t="s">
        <v>2995</v>
      </c>
      <c r="H10594" s="569"/>
      <c r="I10594" s="577" t="s">
        <v>2996</v>
      </c>
      <c r="J10594" s="578">
        <v>1</v>
      </c>
      <c r="K10594" s="579"/>
      <c r="L10594" s="579">
        <v>5.38</v>
      </c>
      <c r="M10594" s="579">
        <v>5.38</v>
      </c>
    </row>
    <row r="10595" ht="46.25" customHeight="1" spans="3:13">
      <c r="C10595" s="79" t="s">
        <v>2921</v>
      </c>
      <c r="D10595" s="78" t="s">
        <v>5936</v>
      </c>
      <c r="E10595" s="79" t="s">
        <v>139</v>
      </c>
      <c r="F10595" s="79" t="s">
        <v>5937</v>
      </c>
      <c r="G10595" s="79" t="s">
        <v>5464</v>
      </c>
      <c r="H10595" s="79"/>
      <c r="I10595" s="80" t="s">
        <v>2897</v>
      </c>
      <c r="J10595" s="583">
        <v>1</v>
      </c>
      <c r="K10595" s="583">
        <v>0</v>
      </c>
      <c r="L10595" s="92">
        <v>4.37</v>
      </c>
      <c r="M10595" s="92">
        <v>4.37</v>
      </c>
    </row>
    <row r="10596" ht="46.25" customHeight="1" spans="3:13">
      <c r="C10596" s="79" t="s">
        <v>2921</v>
      </c>
      <c r="D10596" s="78" t="s">
        <v>5938</v>
      </c>
      <c r="E10596" s="79" t="s">
        <v>139</v>
      </c>
      <c r="F10596" s="79" t="s">
        <v>5939</v>
      </c>
      <c r="G10596" s="79" t="s">
        <v>5464</v>
      </c>
      <c r="H10596" s="79"/>
      <c r="I10596" s="80" t="s">
        <v>2897</v>
      </c>
      <c r="J10596" s="583">
        <v>1</v>
      </c>
      <c r="K10596" s="583">
        <v>0</v>
      </c>
      <c r="L10596" s="92">
        <v>1.01</v>
      </c>
      <c r="M10596" s="92">
        <v>1.01</v>
      </c>
    </row>
    <row r="10597" ht="25.5" spans="3:13">
      <c r="C10597" s="108"/>
      <c r="D10597" s="108"/>
      <c r="E10597" s="108"/>
      <c r="F10597" s="108"/>
      <c r="G10597" s="108"/>
      <c r="H10597" s="108" t="s">
        <v>2898</v>
      </c>
      <c r="I10597" s="581">
        <v>0</v>
      </c>
      <c r="J10597" s="108" t="s">
        <v>2899</v>
      </c>
      <c r="K10597" s="581">
        <v>0</v>
      </c>
      <c r="L10597" s="108" t="s">
        <v>2900</v>
      </c>
      <c r="M10597" s="581">
        <v>0</v>
      </c>
    </row>
    <row r="10598" ht="26.25" spans="3:13">
      <c r="C10598" s="108"/>
      <c r="D10598" s="108"/>
      <c r="E10598" s="108"/>
      <c r="F10598" s="108"/>
      <c r="G10598" s="108"/>
      <c r="H10598" s="108" t="s">
        <v>2901</v>
      </c>
      <c r="I10598" s="581">
        <v>1.37</v>
      </c>
      <c r="J10598" s="114"/>
      <c r="K10598" s="114" t="s">
        <v>2902</v>
      </c>
      <c r="L10598" s="108"/>
      <c r="M10598" s="581">
        <v>6.75</v>
      </c>
    </row>
    <row r="10599" ht="15" spans="3:13">
      <c r="C10599" s="571"/>
      <c r="D10599" s="571"/>
      <c r="E10599" s="571"/>
      <c r="F10599" s="571"/>
      <c r="G10599" s="571"/>
      <c r="H10599" s="571"/>
      <c r="I10599" s="571"/>
      <c r="J10599" s="571"/>
      <c r="K10599" s="571"/>
      <c r="L10599" s="571"/>
      <c r="M10599" s="571"/>
    </row>
    <row r="10600" ht="15" customHeight="1" spans="3:13">
      <c r="C10600" s="76"/>
      <c r="D10600" s="75" t="s">
        <v>63</v>
      </c>
      <c r="E10600" s="76" t="s">
        <v>64</v>
      </c>
      <c r="F10600" s="76" t="s">
        <v>65</v>
      </c>
      <c r="G10600" s="76" t="s">
        <v>2889</v>
      </c>
      <c r="H10600" s="76"/>
      <c r="I10600" s="77" t="s">
        <v>66</v>
      </c>
      <c r="J10600" s="75" t="s">
        <v>67</v>
      </c>
      <c r="K10600" s="75" t="s">
        <v>2890</v>
      </c>
      <c r="L10600" s="75" t="s">
        <v>68</v>
      </c>
      <c r="M10600" s="75" t="s">
        <v>70</v>
      </c>
    </row>
    <row r="10601" ht="23.85" customHeight="1" spans="3:13">
      <c r="C10601" s="569" t="s">
        <v>2891</v>
      </c>
      <c r="D10601" s="570" t="s">
        <v>5154</v>
      </c>
      <c r="E10601" s="569" t="s">
        <v>139</v>
      </c>
      <c r="F10601" s="569" t="s">
        <v>5155</v>
      </c>
      <c r="G10601" s="569" t="s">
        <v>2995</v>
      </c>
      <c r="H10601" s="569"/>
      <c r="I10601" s="577" t="s">
        <v>3002</v>
      </c>
      <c r="J10601" s="578">
        <v>1</v>
      </c>
      <c r="K10601" s="579"/>
      <c r="L10601" s="579">
        <v>19.47</v>
      </c>
      <c r="M10601" s="579">
        <v>19.47</v>
      </c>
    </row>
    <row r="10602" ht="46.25" customHeight="1" spans="3:13">
      <c r="C10602" s="79" t="s">
        <v>2921</v>
      </c>
      <c r="D10602" s="78" t="s">
        <v>5940</v>
      </c>
      <c r="E10602" s="79" t="s">
        <v>139</v>
      </c>
      <c r="F10602" s="79" t="s">
        <v>5941</v>
      </c>
      <c r="G10602" s="79" t="s">
        <v>5464</v>
      </c>
      <c r="H10602" s="79"/>
      <c r="I10602" s="80" t="s">
        <v>2897</v>
      </c>
      <c r="J10602" s="583">
        <v>1</v>
      </c>
      <c r="K10602" s="583">
        <v>0</v>
      </c>
      <c r="L10602" s="92">
        <v>4.79</v>
      </c>
      <c r="M10602" s="92">
        <v>4.79</v>
      </c>
    </row>
    <row r="10603" ht="46.25" customHeight="1" spans="3:13">
      <c r="C10603" s="79" t="s">
        <v>2921</v>
      </c>
      <c r="D10603" s="78" t="s">
        <v>5942</v>
      </c>
      <c r="E10603" s="79" t="s">
        <v>139</v>
      </c>
      <c r="F10603" s="79" t="s">
        <v>5943</v>
      </c>
      <c r="G10603" s="79" t="s">
        <v>5464</v>
      </c>
      <c r="H10603" s="79"/>
      <c r="I10603" s="80" t="s">
        <v>2897</v>
      </c>
      <c r="J10603" s="583">
        <v>1</v>
      </c>
      <c r="K10603" s="583">
        <v>0</v>
      </c>
      <c r="L10603" s="92">
        <v>9.3</v>
      </c>
      <c r="M10603" s="92">
        <v>9.3</v>
      </c>
    </row>
    <row r="10604" ht="46.25" customHeight="1" spans="3:13">
      <c r="C10604" s="79" t="s">
        <v>2921</v>
      </c>
      <c r="D10604" s="78" t="s">
        <v>5938</v>
      </c>
      <c r="E10604" s="79" t="s">
        <v>139</v>
      </c>
      <c r="F10604" s="79" t="s">
        <v>5939</v>
      </c>
      <c r="G10604" s="79" t="s">
        <v>5464</v>
      </c>
      <c r="H10604" s="79"/>
      <c r="I10604" s="80" t="s">
        <v>2897</v>
      </c>
      <c r="J10604" s="583">
        <v>1</v>
      </c>
      <c r="K10604" s="583">
        <v>0</v>
      </c>
      <c r="L10604" s="92">
        <v>1.01</v>
      </c>
      <c r="M10604" s="92">
        <v>1.01</v>
      </c>
    </row>
    <row r="10605" ht="46.25" customHeight="1" spans="3:13">
      <c r="C10605" s="79" t="s">
        <v>2921</v>
      </c>
      <c r="D10605" s="78" t="s">
        <v>5936</v>
      </c>
      <c r="E10605" s="79" t="s">
        <v>139</v>
      </c>
      <c r="F10605" s="79" t="s">
        <v>5937</v>
      </c>
      <c r="G10605" s="79" t="s">
        <v>5464</v>
      </c>
      <c r="H10605" s="79"/>
      <c r="I10605" s="80" t="s">
        <v>2897</v>
      </c>
      <c r="J10605" s="583">
        <v>1</v>
      </c>
      <c r="K10605" s="583">
        <v>0</v>
      </c>
      <c r="L10605" s="92">
        <v>4.37</v>
      </c>
      <c r="M10605" s="92">
        <v>4.37</v>
      </c>
    </row>
    <row r="10606" ht="25.5" spans="3:13">
      <c r="C10606" s="108"/>
      <c r="D10606" s="108"/>
      <c r="E10606" s="108"/>
      <c r="F10606" s="108"/>
      <c r="G10606" s="108"/>
      <c r="H10606" s="108" t="s">
        <v>2898</v>
      </c>
      <c r="I10606" s="581">
        <v>0</v>
      </c>
      <c r="J10606" s="108" t="s">
        <v>2899</v>
      </c>
      <c r="K10606" s="581">
        <v>0</v>
      </c>
      <c r="L10606" s="108" t="s">
        <v>2900</v>
      </c>
      <c r="M10606" s="581">
        <v>0</v>
      </c>
    </row>
    <row r="10607" ht="26.25" spans="3:13">
      <c r="C10607" s="108"/>
      <c r="D10607" s="108"/>
      <c r="E10607" s="108"/>
      <c r="F10607" s="108"/>
      <c r="G10607" s="108"/>
      <c r="H10607" s="108" t="s">
        <v>2901</v>
      </c>
      <c r="I10607" s="581">
        <v>4.96</v>
      </c>
      <c r="J10607" s="114"/>
      <c r="K10607" s="114" t="s">
        <v>2902</v>
      </c>
      <c r="L10607" s="108"/>
      <c r="M10607" s="581">
        <v>24.43</v>
      </c>
    </row>
    <row r="10608" ht="15" spans="3:13">
      <c r="C10608" s="571"/>
      <c r="D10608" s="571"/>
      <c r="E10608" s="571"/>
      <c r="F10608" s="571"/>
      <c r="G10608" s="571"/>
      <c r="H10608" s="571"/>
      <c r="I10608" s="571"/>
      <c r="J10608" s="571"/>
      <c r="K10608" s="571"/>
      <c r="L10608" s="571"/>
      <c r="M10608" s="571"/>
    </row>
    <row r="10609" ht="15" customHeight="1" spans="3:13">
      <c r="C10609" s="76"/>
      <c r="D10609" s="75" t="s">
        <v>63</v>
      </c>
      <c r="E10609" s="76" t="s">
        <v>64</v>
      </c>
      <c r="F10609" s="76" t="s">
        <v>65</v>
      </c>
      <c r="G10609" s="76" t="s">
        <v>2889</v>
      </c>
      <c r="H10609" s="76"/>
      <c r="I10609" s="77" t="s">
        <v>66</v>
      </c>
      <c r="J10609" s="75" t="s">
        <v>67</v>
      </c>
      <c r="K10609" s="75" t="s">
        <v>2890</v>
      </c>
      <c r="L10609" s="75" t="s">
        <v>68</v>
      </c>
      <c r="M10609" s="75" t="s">
        <v>70</v>
      </c>
    </row>
    <row r="10610" ht="46.25" customHeight="1" spans="3:13">
      <c r="C10610" s="569" t="s">
        <v>2891</v>
      </c>
      <c r="D10610" s="570" t="s">
        <v>5936</v>
      </c>
      <c r="E10610" s="569" t="s">
        <v>139</v>
      </c>
      <c r="F10610" s="569" t="s">
        <v>5937</v>
      </c>
      <c r="G10610" s="569" t="s">
        <v>5464</v>
      </c>
      <c r="H10610" s="569"/>
      <c r="I10610" s="577" t="s">
        <v>2897</v>
      </c>
      <c r="J10610" s="578">
        <v>1</v>
      </c>
      <c r="K10610" s="579"/>
      <c r="L10610" s="579">
        <v>4.37</v>
      </c>
      <c r="M10610" s="579">
        <v>4.37</v>
      </c>
    </row>
    <row r="10611" ht="23.85" customHeight="1" spans="3:13">
      <c r="C10611" s="100" t="s">
        <v>2893</v>
      </c>
      <c r="D10611" s="99" t="s">
        <v>5944</v>
      </c>
      <c r="E10611" s="100" t="s">
        <v>139</v>
      </c>
      <c r="F10611" s="100" t="s">
        <v>5945</v>
      </c>
      <c r="G10611" s="100" t="s">
        <v>3680</v>
      </c>
      <c r="H10611" s="100"/>
      <c r="I10611" s="101" t="s">
        <v>134</v>
      </c>
      <c r="J10611" s="580">
        <v>6.4e-5</v>
      </c>
      <c r="K10611" s="580">
        <v>0</v>
      </c>
      <c r="L10611" s="102">
        <v>68434.17</v>
      </c>
      <c r="M10611" s="102">
        <v>4.37</v>
      </c>
    </row>
    <row r="10612" ht="25.5" spans="3:13">
      <c r="C10612" s="108"/>
      <c r="D10612" s="108"/>
      <c r="E10612" s="108"/>
      <c r="F10612" s="108"/>
      <c r="G10612" s="108"/>
      <c r="H10612" s="108" t="s">
        <v>2898</v>
      </c>
      <c r="I10612" s="581">
        <v>0</v>
      </c>
      <c r="J10612" s="108" t="s">
        <v>2899</v>
      </c>
      <c r="K10612" s="581">
        <v>0</v>
      </c>
      <c r="L10612" s="108" t="s">
        <v>2900</v>
      </c>
      <c r="M10612" s="581">
        <v>0</v>
      </c>
    </row>
    <row r="10613" ht="26.25" spans="3:13">
      <c r="C10613" s="108"/>
      <c r="D10613" s="108"/>
      <c r="E10613" s="108"/>
      <c r="F10613" s="108"/>
      <c r="G10613" s="108"/>
      <c r="H10613" s="108" t="s">
        <v>2901</v>
      </c>
      <c r="I10613" s="581">
        <v>1.11</v>
      </c>
      <c r="J10613" s="114"/>
      <c r="K10613" s="114" t="s">
        <v>2902</v>
      </c>
      <c r="L10613" s="108"/>
      <c r="M10613" s="581">
        <v>5.48</v>
      </c>
    </row>
    <row r="10614" ht="15" spans="3:13">
      <c r="C10614" s="571"/>
      <c r="D10614" s="571"/>
      <c r="E10614" s="571"/>
      <c r="F10614" s="571"/>
      <c r="G10614" s="571"/>
      <c r="H10614" s="571"/>
      <c r="I10614" s="571"/>
      <c r="J10614" s="571"/>
      <c r="K10614" s="571"/>
      <c r="L10614" s="571"/>
      <c r="M10614" s="571"/>
    </row>
    <row r="10615" ht="15" customHeight="1" spans="3:13">
      <c r="C10615" s="76"/>
      <c r="D10615" s="75" t="s">
        <v>63</v>
      </c>
      <c r="E10615" s="76" t="s">
        <v>64</v>
      </c>
      <c r="F10615" s="76" t="s">
        <v>65</v>
      </c>
      <c r="G10615" s="76" t="s">
        <v>2889</v>
      </c>
      <c r="H10615" s="76"/>
      <c r="I10615" s="77" t="s">
        <v>66</v>
      </c>
      <c r="J10615" s="75" t="s">
        <v>67</v>
      </c>
      <c r="K10615" s="75" t="s">
        <v>2890</v>
      </c>
      <c r="L10615" s="75" t="s">
        <v>68</v>
      </c>
      <c r="M10615" s="75" t="s">
        <v>70</v>
      </c>
    </row>
    <row r="10616" ht="46.25" customHeight="1" spans="3:13">
      <c r="C10616" s="569" t="s">
        <v>2891</v>
      </c>
      <c r="D10616" s="570" t="s">
        <v>5938</v>
      </c>
      <c r="E10616" s="569" t="s">
        <v>139</v>
      </c>
      <c r="F10616" s="569" t="s">
        <v>5939</v>
      </c>
      <c r="G10616" s="569" t="s">
        <v>5464</v>
      </c>
      <c r="H10616" s="569"/>
      <c r="I10616" s="577" t="s">
        <v>2897</v>
      </c>
      <c r="J10616" s="578">
        <v>1</v>
      </c>
      <c r="K10616" s="579"/>
      <c r="L10616" s="579">
        <v>1.01</v>
      </c>
      <c r="M10616" s="579">
        <v>1.01</v>
      </c>
    </row>
    <row r="10617" ht="23.85" customHeight="1" spans="3:13">
      <c r="C10617" s="100" t="s">
        <v>2893</v>
      </c>
      <c r="D10617" s="99" t="s">
        <v>5944</v>
      </c>
      <c r="E10617" s="100" t="s">
        <v>139</v>
      </c>
      <c r="F10617" s="100" t="s">
        <v>5945</v>
      </c>
      <c r="G10617" s="100" t="s">
        <v>3680</v>
      </c>
      <c r="H10617" s="100"/>
      <c r="I10617" s="101" t="s">
        <v>134</v>
      </c>
      <c r="J10617" s="580">
        <v>1.48e-5</v>
      </c>
      <c r="K10617" s="580">
        <v>0</v>
      </c>
      <c r="L10617" s="102">
        <v>68434.17</v>
      </c>
      <c r="M10617" s="102">
        <v>1.01</v>
      </c>
    </row>
    <row r="10618" ht="25.5" spans="3:13">
      <c r="C10618" s="108"/>
      <c r="D10618" s="108"/>
      <c r="E10618" s="108"/>
      <c r="F10618" s="108"/>
      <c r="G10618" s="108"/>
      <c r="H10618" s="108" t="s">
        <v>2898</v>
      </c>
      <c r="I10618" s="581">
        <v>0</v>
      </c>
      <c r="J10618" s="108" t="s">
        <v>2899</v>
      </c>
      <c r="K10618" s="581">
        <v>0</v>
      </c>
      <c r="L10618" s="108" t="s">
        <v>2900</v>
      </c>
      <c r="M10618" s="581">
        <v>0</v>
      </c>
    </row>
    <row r="10619" ht="26.25" spans="3:13">
      <c r="C10619" s="108"/>
      <c r="D10619" s="108"/>
      <c r="E10619" s="108"/>
      <c r="F10619" s="108"/>
      <c r="G10619" s="108"/>
      <c r="H10619" s="108" t="s">
        <v>2901</v>
      </c>
      <c r="I10619" s="581">
        <v>0.25</v>
      </c>
      <c r="J10619" s="114"/>
      <c r="K10619" s="114" t="s">
        <v>2902</v>
      </c>
      <c r="L10619" s="108"/>
      <c r="M10619" s="581">
        <v>1.26</v>
      </c>
    </row>
    <row r="10620" ht="15" spans="3:13">
      <c r="C10620" s="571"/>
      <c r="D10620" s="571"/>
      <c r="E10620" s="571"/>
      <c r="F10620" s="571"/>
      <c r="G10620" s="571"/>
      <c r="H10620" s="571"/>
      <c r="I10620" s="571"/>
      <c r="J10620" s="571"/>
      <c r="K10620" s="571"/>
      <c r="L10620" s="571"/>
      <c r="M10620" s="571"/>
    </row>
    <row r="10621" ht="15" customHeight="1" spans="3:13">
      <c r="C10621" s="76"/>
      <c r="D10621" s="75" t="s">
        <v>63</v>
      </c>
      <c r="E10621" s="76" t="s">
        <v>64</v>
      </c>
      <c r="F10621" s="76" t="s">
        <v>65</v>
      </c>
      <c r="G10621" s="76" t="s">
        <v>2889</v>
      </c>
      <c r="H10621" s="76"/>
      <c r="I10621" s="77" t="s">
        <v>66</v>
      </c>
      <c r="J10621" s="75" t="s">
        <v>67</v>
      </c>
      <c r="K10621" s="75" t="s">
        <v>2890</v>
      </c>
      <c r="L10621" s="75" t="s">
        <v>68</v>
      </c>
      <c r="M10621" s="75" t="s">
        <v>70</v>
      </c>
    </row>
    <row r="10622" ht="46.25" customHeight="1" spans="3:13">
      <c r="C10622" s="569" t="s">
        <v>2891</v>
      </c>
      <c r="D10622" s="570" t="s">
        <v>5940</v>
      </c>
      <c r="E10622" s="569" t="s">
        <v>139</v>
      </c>
      <c r="F10622" s="569" t="s">
        <v>5941</v>
      </c>
      <c r="G10622" s="569" t="s">
        <v>5464</v>
      </c>
      <c r="H10622" s="569"/>
      <c r="I10622" s="577" t="s">
        <v>2897</v>
      </c>
      <c r="J10622" s="578">
        <v>1</v>
      </c>
      <c r="K10622" s="579"/>
      <c r="L10622" s="579">
        <v>4.79</v>
      </c>
      <c r="M10622" s="579">
        <v>4.79</v>
      </c>
    </row>
    <row r="10623" ht="23.85" customHeight="1" spans="3:13">
      <c r="C10623" s="100" t="s">
        <v>2893</v>
      </c>
      <c r="D10623" s="99" t="s">
        <v>5944</v>
      </c>
      <c r="E10623" s="100" t="s">
        <v>139</v>
      </c>
      <c r="F10623" s="100" t="s">
        <v>5945</v>
      </c>
      <c r="G10623" s="100" t="s">
        <v>3680</v>
      </c>
      <c r="H10623" s="100"/>
      <c r="I10623" s="101" t="s">
        <v>134</v>
      </c>
      <c r="J10623" s="580">
        <v>7e-5</v>
      </c>
      <c r="K10623" s="580">
        <v>0</v>
      </c>
      <c r="L10623" s="102">
        <v>68434.17</v>
      </c>
      <c r="M10623" s="102">
        <v>4.79</v>
      </c>
    </row>
    <row r="10624" ht="25.5" spans="3:13">
      <c r="C10624" s="108"/>
      <c r="D10624" s="108"/>
      <c r="E10624" s="108"/>
      <c r="F10624" s="108"/>
      <c r="G10624" s="108"/>
      <c r="H10624" s="108" t="s">
        <v>2898</v>
      </c>
      <c r="I10624" s="581">
        <v>0</v>
      </c>
      <c r="J10624" s="108" t="s">
        <v>2899</v>
      </c>
      <c r="K10624" s="581">
        <v>0</v>
      </c>
      <c r="L10624" s="108" t="s">
        <v>2900</v>
      </c>
      <c r="M10624" s="581">
        <v>0</v>
      </c>
    </row>
    <row r="10625" ht="26.25" spans="3:13">
      <c r="C10625" s="108"/>
      <c r="D10625" s="108"/>
      <c r="E10625" s="108"/>
      <c r="F10625" s="108"/>
      <c r="G10625" s="108"/>
      <c r="H10625" s="108" t="s">
        <v>2901</v>
      </c>
      <c r="I10625" s="581">
        <v>1.22</v>
      </c>
      <c r="J10625" s="114"/>
      <c r="K10625" s="114" t="s">
        <v>2902</v>
      </c>
      <c r="L10625" s="108"/>
      <c r="M10625" s="581">
        <v>6.01</v>
      </c>
    </row>
    <row r="10626" ht="15" spans="3:13">
      <c r="C10626" s="571"/>
      <c r="D10626" s="571"/>
      <c r="E10626" s="571"/>
      <c r="F10626" s="571"/>
      <c r="G10626" s="571"/>
      <c r="H10626" s="571"/>
      <c r="I10626" s="571"/>
      <c r="J10626" s="571"/>
      <c r="K10626" s="571"/>
      <c r="L10626" s="571"/>
      <c r="M10626" s="571"/>
    </row>
    <row r="10627" ht="15" customHeight="1" spans="3:13">
      <c r="C10627" s="76"/>
      <c r="D10627" s="75" t="s">
        <v>63</v>
      </c>
      <c r="E10627" s="76" t="s">
        <v>64</v>
      </c>
      <c r="F10627" s="76" t="s">
        <v>65</v>
      </c>
      <c r="G10627" s="76" t="s">
        <v>2889</v>
      </c>
      <c r="H10627" s="76"/>
      <c r="I10627" s="77" t="s">
        <v>66</v>
      </c>
      <c r="J10627" s="75" t="s">
        <v>67</v>
      </c>
      <c r="K10627" s="75" t="s">
        <v>2890</v>
      </c>
      <c r="L10627" s="75" t="s">
        <v>68</v>
      </c>
      <c r="M10627" s="75" t="s">
        <v>70</v>
      </c>
    </row>
    <row r="10628" ht="46.25" customHeight="1" spans="3:13">
      <c r="C10628" s="569" t="s">
        <v>2891</v>
      </c>
      <c r="D10628" s="570" t="s">
        <v>5942</v>
      </c>
      <c r="E10628" s="569" t="s">
        <v>139</v>
      </c>
      <c r="F10628" s="569" t="s">
        <v>5943</v>
      </c>
      <c r="G10628" s="569" t="s">
        <v>5464</v>
      </c>
      <c r="H10628" s="569"/>
      <c r="I10628" s="577" t="s">
        <v>2897</v>
      </c>
      <c r="J10628" s="578">
        <v>1</v>
      </c>
      <c r="K10628" s="579"/>
      <c r="L10628" s="579">
        <v>9.3</v>
      </c>
      <c r="M10628" s="579">
        <v>9.3</v>
      </c>
    </row>
    <row r="10629" ht="15" customHeight="1" spans="3:13">
      <c r="C10629" s="100" t="s">
        <v>2893</v>
      </c>
      <c r="D10629" s="99" t="s">
        <v>5547</v>
      </c>
      <c r="E10629" s="100" t="s">
        <v>139</v>
      </c>
      <c r="F10629" s="100" t="s">
        <v>5548</v>
      </c>
      <c r="G10629" s="100" t="s">
        <v>2961</v>
      </c>
      <c r="H10629" s="100"/>
      <c r="I10629" s="101" t="s">
        <v>3084</v>
      </c>
      <c r="J10629" s="580">
        <v>1.55</v>
      </c>
      <c r="K10629" s="580">
        <v>0</v>
      </c>
      <c r="L10629" s="102">
        <v>6</v>
      </c>
      <c r="M10629" s="102">
        <v>9.3</v>
      </c>
    </row>
    <row r="10630" ht="25.5" spans="3:13">
      <c r="C10630" s="108"/>
      <c r="D10630" s="108"/>
      <c r="E10630" s="108"/>
      <c r="F10630" s="108"/>
      <c r="G10630" s="108"/>
      <c r="H10630" s="108" t="s">
        <v>2898</v>
      </c>
      <c r="I10630" s="581">
        <v>0</v>
      </c>
      <c r="J10630" s="108" t="s">
        <v>2899</v>
      </c>
      <c r="K10630" s="581">
        <v>0</v>
      </c>
      <c r="L10630" s="108" t="s">
        <v>2900</v>
      </c>
      <c r="M10630" s="581">
        <v>0</v>
      </c>
    </row>
    <row r="10631" ht="26.25" spans="3:13">
      <c r="C10631" s="108"/>
      <c r="D10631" s="108"/>
      <c r="E10631" s="108"/>
      <c r="F10631" s="108"/>
      <c r="G10631" s="108"/>
      <c r="H10631" s="108" t="s">
        <v>2901</v>
      </c>
      <c r="I10631" s="581">
        <v>2.37</v>
      </c>
      <c r="J10631" s="114"/>
      <c r="K10631" s="114" t="s">
        <v>2902</v>
      </c>
      <c r="L10631" s="108"/>
      <c r="M10631" s="581">
        <v>11.67</v>
      </c>
    </row>
    <row r="10632" ht="15" spans="3:13">
      <c r="C10632" s="571"/>
      <c r="D10632" s="571"/>
      <c r="E10632" s="571"/>
      <c r="F10632" s="571"/>
      <c r="G10632" s="571"/>
      <c r="H10632" s="571"/>
      <c r="I10632" s="571"/>
      <c r="J10632" s="571"/>
      <c r="K10632" s="571"/>
      <c r="L10632" s="571"/>
      <c r="M10632" s="571"/>
    </row>
    <row r="10633" ht="15" customHeight="1" spans="3:13">
      <c r="C10633" s="76"/>
      <c r="D10633" s="75" t="s">
        <v>63</v>
      </c>
      <c r="E10633" s="76" t="s">
        <v>64</v>
      </c>
      <c r="F10633" s="76" t="s">
        <v>65</v>
      </c>
      <c r="G10633" s="76" t="s">
        <v>2889</v>
      </c>
      <c r="H10633" s="76"/>
      <c r="I10633" s="77" t="s">
        <v>66</v>
      </c>
      <c r="J10633" s="75" t="s">
        <v>67</v>
      </c>
      <c r="K10633" s="75" t="s">
        <v>2890</v>
      </c>
      <c r="L10633" s="75" t="s">
        <v>68</v>
      </c>
      <c r="M10633" s="75" t="s">
        <v>70</v>
      </c>
    </row>
    <row r="10634" ht="23.85" customHeight="1" spans="3:13">
      <c r="C10634" s="569" t="s">
        <v>2891</v>
      </c>
      <c r="D10634" s="570" t="s">
        <v>5366</v>
      </c>
      <c r="E10634" s="569" t="s">
        <v>139</v>
      </c>
      <c r="F10634" s="569" t="s">
        <v>5367</v>
      </c>
      <c r="G10634" s="569" t="s">
        <v>2928</v>
      </c>
      <c r="H10634" s="569"/>
      <c r="I10634" s="577" t="s">
        <v>2897</v>
      </c>
      <c r="J10634" s="578">
        <v>1</v>
      </c>
      <c r="K10634" s="579"/>
      <c r="L10634" s="579">
        <v>32.2</v>
      </c>
      <c r="M10634" s="579">
        <v>32.2</v>
      </c>
    </row>
    <row r="10635" ht="35.05" customHeight="1" spans="3:13">
      <c r="C10635" s="79" t="s">
        <v>2921</v>
      </c>
      <c r="D10635" s="78" t="s">
        <v>5704</v>
      </c>
      <c r="E10635" s="79" t="s">
        <v>139</v>
      </c>
      <c r="F10635" s="79" t="s">
        <v>5705</v>
      </c>
      <c r="G10635" s="79" t="s">
        <v>2928</v>
      </c>
      <c r="H10635" s="79"/>
      <c r="I10635" s="80" t="s">
        <v>2897</v>
      </c>
      <c r="J10635" s="583">
        <v>1</v>
      </c>
      <c r="K10635" s="583">
        <v>0</v>
      </c>
      <c r="L10635" s="92">
        <v>0.19</v>
      </c>
      <c r="M10635" s="92">
        <v>0.19</v>
      </c>
    </row>
    <row r="10636" ht="23.85" customHeight="1" spans="3:13">
      <c r="C10636" s="100" t="s">
        <v>2893</v>
      </c>
      <c r="D10636" s="99" t="s">
        <v>5386</v>
      </c>
      <c r="E10636" s="100" t="s">
        <v>139</v>
      </c>
      <c r="F10636" s="100" t="s">
        <v>5387</v>
      </c>
      <c r="G10636" s="100" t="s">
        <v>2961</v>
      </c>
      <c r="H10636" s="100"/>
      <c r="I10636" s="101" t="s">
        <v>2897</v>
      </c>
      <c r="J10636" s="580">
        <v>1</v>
      </c>
      <c r="K10636" s="580">
        <v>0</v>
      </c>
      <c r="L10636" s="102">
        <v>0.89</v>
      </c>
      <c r="M10636" s="102">
        <v>0.89</v>
      </c>
    </row>
    <row r="10637" ht="23.85" customHeight="1" spans="3:13">
      <c r="C10637" s="100" t="s">
        <v>2893</v>
      </c>
      <c r="D10637" s="99" t="s">
        <v>5310</v>
      </c>
      <c r="E10637" s="100" t="s">
        <v>139</v>
      </c>
      <c r="F10637" s="100" t="s">
        <v>5311</v>
      </c>
      <c r="G10637" s="100" t="s">
        <v>2961</v>
      </c>
      <c r="H10637" s="100"/>
      <c r="I10637" s="101" t="s">
        <v>2897</v>
      </c>
      <c r="J10637" s="580">
        <v>1</v>
      </c>
      <c r="K10637" s="580">
        <v>0</v>
      </c>
      <c r="L10637" s="102">
        <v>1.58</v>
      </c>
      <c r="M10637" s="102">
        <v>1.58</v>
      </c>
    </row>
    <row r="10638" ht="23.85" customHeight="1" spans="3:13">
      <c r="C10638" s="100" t="s">
        <v>2893</v>
      </c>
      <c r="D10638" s="99" t="s">
        <v>5308</v>
      </c>
      <c r="E10638" s="100" t="s">
        <v>139</v>
      </c>
      <c r="F10638" s="100" t="s">
        <v>5309</v>
      </c>
      <c r="G10638" s="100" t="s">
        <v>2961</v>
      </c>
      <c r="H10638" s="100"/>
      <c r="I10638" s="101" t="s">
        <v>2897</v>
      </c>
      <c r="J10638" s="580">
        <v>1</v>
      </c>
      <c r="K10638" s="580">
        <v>0</v>
      </c>
      <c r="L10638" s="102">
        <v>4.84</v>
      </c>
      <c r="M10638" s="102">
        <v>4.84</v>
      </c>
    </row>
    <row r="10639" ht="23.85" customHeight="1" spans="3:13">
      <c r="C10639" s="100" t="s">
        <v>2893</v>
      </c>
      <c r="D10639" s="99" t="s">
        <v>5390</v>
      </c>
      <c r="E10639" s="100" t="s">
        <v>139</v>
      </c>
      <c r="F10639" s="100" t="s">
        <v>5391</v>
      </c>
      <c r="G10639" s="100" t="s">
        <v>2961</v>
      </c>
      <c r="H10639" s="100"/>
      <c r="I10639" s="101" t="s">
        <v>2897</v>
      </c>
      <c r="J10639" s="580">
        <v>1</v>
      </c>
      <c r="K10639" s="580">
        <v>0</v>
      </c>
      <c r="L10639" s="102">
        <v>0.01</v>
      </c>
      <c r="M10639" s="102">
        <v>0.01</v>
      </c>
    </row>
    <row r="10640" ht="15" customHeight="1" spans="3:13">
      <c r="C10640" s="100" t="s">
        <v>2893</v>
      </c>
      <c r="D10640" s="99" t="s">
        <v>5312</v>
      </c>
      <c r="E10640" s="100" t="s">
        <v>139</v>
      </c>
      <c r="F10640" s="100" t="s">
        <v>5313</v>
      </c>
      <c r="G10640" s="100" t="s">
        <v>2961</v>
      </c>
      <c r="H10640" s="100"/>
      <c r="I10640" s="101" t="s">
        <v>2897</v>
      </c>
      <c r="J10640" s="580">
        <v>1</v>
      </c>
      <c r="K10640" s="580">
        <v>0</v>
      </c>
      <c r="L10640" s="102">
        <v>0.08</v>
      </c>
      <c r="M10640" s="102">
        <v>0.08</v>
      </c>
    </row>
    <row r="10641" ht="15" customHeight="1" spans="3:13">
      <c r="C10641" s="100" t="s">
        <v>2893</v>
      </c>
      <c r="D10641" s="99" t="s">
        <v>5306</v>
      </c>
      <c r="E10641" s="100" t="s">
        <v>139</v>
      </c>
      <c r="F10641" s="100" t="s">
        <v>5307</v>
      </c>
      <c r="G10641" s="100" t="s">
        <v>2961</v>
      </c>
      <c r="H10641" s="100"/>
      <c r="I10641" s="101" t="s">
        <v>2897</v>
      </c>
      <c r="J10641" s="580">
        <v>1</v>
      </c>
      <c r="K10641" s="580">
        <v>0</v>
      </c>
      <c r="L10641" s="102">
        <v>1.43</v>
      </c>
      <c r="M10641" s="102">
        <v>1.43</v>
      </c>
    </row>
    <row r="10642" ht="15" customHeight="1" spans="3:13">
      <c r="C10642" s="100" t="s">
        <v>2893</v>
      </c>
      <c r="D10642" s="99" t="s">
        <v>5706</v>
      </c>
      <c r="E10642" s="100" t="s">
        <v>139</v>
      </c>
      <c r="F10642" s="100" t="s">
        <v>5707</v>
      </c>
      <c r="G10642" s="100" t="s">
        <v>2896</v>
      </c>
      <c r="H10642" s="100"/>
      <c r="I10642" s="101" t="s">
        <v>2897</v>
      </c>
      <c r="J10642" s="580">
        <v>1</v>
      </c>
      <c r="K10642" s="580">
        <v>0</v>
      </c>
      <c r="L10642" s="102">
        <v>23.18</v>
      </c>
      <c r="M10642" s="102">
        <v>23.18</v>
      </c>
    </row>
    <row r="10643" ht="25.5" spans="3:13">
      <c r="C10643" s="108"/>
      <c r="D10643" s="108"/>
      <c r="E10643" s="108"/>
      <c r="F10643" s="108"/>
      <c r="G10643" s="108"/>
      <c r="H10643" s="108" t="s">
        <v>2898</v>
      </c>
      <c r="I10643" s="581">
        <v>23.37</v>
      </c>
      <c r="J10643" s="108" t="s">
        <v>2899</v>
      </c>
      <c r="K10643" s="581">
        <v>0</v>
      </c>
      <c r="L10643" s="108" t="s">
        <v>2900</v>
      </c>
      <c r="M10643" s="581">
        <v>23.37</v>
      </c>
    </row>
    <row r="10644" ht="26.25" spans="3:13">
      <c r="C10644" s="108"/>
      <c r="D10644" s="108"/>
      <c r="E10644" s="108"/>
      <c r="F10644" s="108"/>
      <c r="G10644" s="108"/>
      <c r="H10644" s="108" t="s">
        <v>2901</v>
      </c>
      <c r="I10644" s="581">
        <v>8.2</v>
      </c>
      <c r="J10644" s="114"/>
      <c r="K10644" s="114" t="s">
        <v>2902</v>
      </c>
      <c r="L10644" s="108"/>
      <c r="M10644" s="581">
        <v>40.4</v>
      </c>
    </row>
    <row r="10645" ht="15" spans="3:13">
      <c r="C10645" s="571"/>
      <c r="D10645" s="571"/>
      <c r="E10645" s="571"/>
      <c r="F10645" s="571"/>
      <c r="G10645" s="571"/>
      <c r="H10645" s="571"/>
      <c r="I10645" s="571"/>
      <c r="J10645" s="571"/>
      <c r="K10645" s="571"/>
      <c r="L10645" s="571"/>
      <c r="M10645" s="571"/>
    </row>
    <row r="10646" ht="15" customHeight="1" spans="3:13">
      <c r="C10646" s="76"/>
      <c r="D10646" s="75" t="s">
        <v>63</v>
      </c>
      <c r="E10646" s="76" t="s">
        <v>64</v>
      </c>
      <c r="F10646" s="76" t="s">
        <v>65</v>
      </c>
      <c r="G10646" s="76" t="s">
        <v>2889</v>
      </c>
      <c r="H10646" s="76"/>
      <c r="I10646" s="77" t="s">
        <v>66</v>
      </c>
      <c r="J10646" s="75" t="s">
        <v>67</v>
      </c>
      <c r="K10646" s="75" t="s">
        <v>2890</v>
      </c>
      <c r="L10646" s="75" t="s">
        <v>68</v>
      </c>
      <c r="M10646" s="75" t="s">
        <v>70</v>
      </c>
    </row>
    <row r="10647" ht="23.85" customHeight="1" spans="3:13">
      <c r="C10647" s="569" t="s">
        <v>2891</v>
      </c>
      <c r="D10647" s="570" t="s">
        <v>5946</v>
      </c>
      <c r="E10647" s="569" t="s">
        <v>139</v>
      </c>
      <c r="F10647" s="569" t="s">
        <v>5947</v>
      </c>
      <c r="G10647" s="569" t="s">
        <v>2928</v>
      </c>
      <c r="H10647" s="569"/>
      <c r="I10647" s="577" t="s">
        <v>2897</v>
      </c>
      <c r="J10647" s="578">
        <v>1</v>
      </c>
      <c r="K10647" s="579"/>
      <c r="L10647" s="579">
        <v>40.07</v>
      </c>
      <c r="M10647" s="579">
        <v>40.07</v>
      </c>
    </row>
    <row r="10648" ht="23.85" customHeight="1" spans="3:13">
      <c r="C10648" s="79" t="s">
        <v>2921</v>
      </c>
      <c r="D10648" s="78" t="s">
        <v>5708</v>
      </c>
      <c r="E10648" s="79" t="s">
        <v>139</v>
      </c>
      <c r="F10648" s="79" t="s">
        <v>5709</v>
      </c>
      <c r="G10648" s="79" t="s">
        <v>2928</v>
      </c>
      <c r="H10648" s="79"/>
      <c r="I10648" s="80" t="s">
        <v>2897</v>
      </c>
      <c r="J10648" s="583">
        <v>1</v>
      </c>
      <c r="K10648" s="583">
        <v>0</v>
      </c>
      <c r="L10648" s="92">
        <v>0.35</v>
      </c>
      <c r="M10648" s="92">
        <v>0.35</v>
      </c>
    </row>
    <row r="10649" ht="15" customHeight="1" spans="3:13">
      <c r="C10649" s="100" t="s">
        <v>2893</v>
      </c>
      <c r="D10649" s="99" t="s">
        <v>5710</v>
      </c>
      <c r="E10649" s="100" t="s">
        <v>139</v>
      </c>
      <c r="F10649" s="100" t="s">
        <v>5711</v>
      </c>
      <c r="G10649" s="100" t="s">
        <v>2896</v>
      </c>
      <c r="H10649" s="100"/>
      <c r="I10649" s="101" t="s">
        <v>2897</v>
      </c>
      <c r="J10649" s="580">
        <v>1</v>
      </c>
      <c r="K10649" s="580">
        <v>0</v>
      </c>
      <c r="L10649" s="102">
        <v>30.89</v>
      </c>
      <c r="M10649" s="102">
        <v>30.89</v>
      </c>
    </row>
    <row r="10650" ht="15" customHeight="1" spans="3:13">
      <c r="C10650" s="100" t="s">
        <v>2893</v>
      </c>
      <c r="D10650" s="99" t="s">
        <v>5312</v>
      </c>
      <c r="E10650" s="100" t="s">
        <v>139</v>
      </c>
      <c r="F10650" s="100" t="s">
        <v>5313</v>
      </c>
      <c r="G10650" s="100" t="s">
        <v>2961</v>
      </c>
      <c r="H10650" s="100"/>
      <c r="I10650" s="101" t="s">
        <v>2897</v>
      </c>
      <c r="J10650" s="580">
        <v>1</v>
      </c>
      <c r="K10650" s="580">
        <v>0</v>
      </c>
      <c r="L10650" s="102">
        <v>0.08</v>
      </c>
      <c r="M10650" s="102">
        <v>0.08</v>
      </c>
    </row>
    <row r="10651" ht="23.85" customHeight="1" spans="3:13">
      <c r="C10651" s="100" t="s">
        <v>2893</v>
      </c>
      <c r="D10651" s="99" t="s">
        <v>5308</v>
      </c>
      <c r="E10651" s="100" t="s">
        <v>139</v>
      </c>
      <c r="F10651" s="100" t="s">
        <v>5309</v>
      </c>
      <c r="G10651" s="100" t="s">
        <v>2961</v>
      </c>
      <c r="H10651" s="100"/>
      <c r="I10651" s="101" t="s">
        <v>2897</v>
      </c>
      <c r="J10651" s="580">
        <v>1</v>
      </c>
      <c r="K10651" s="580">
        <v>0</v>
      </c>
      <c r="L10651" s="102">
        <v>4.84</v>
      </c>
      <c r="M10651" s="102">
        <v>4.84</v>
      </c>
    </row>
    <row r="10652" ht="23.85" customHeight="1" spans="3:13">
      <c r="C10652" s="100" t="s">
        <v>2893</v>
      </c>
      <c r="D10652" s="99" t="s">
        <v>5310</v>
      </c>
      <c r="E10652" s="100" t="s">
        <v>139</v>
      </c>
      <c r="F10652" s="100" t="s">
        <v>5311</v>
      </c>
      <c r="G10652" s="100" t="s">
        <v>2961</v>
      </c>
      <c r="H10652" s="100"/>
      <c r="I10652" s="101" t="s">
        <v>2897</v>
      </c>
      <c r="J10652" s="580">
        <v>1</v>
      </c>
      <c r="K10652" s="580">
        <v>0</v>
      </c>
      <c r="L10652" s="102">
        <v>1.58</v>
      </c>
      <c r="M10652" s="102">
        <v>1.58</v>
      </c>
    </row>
    <row r="10653" ht="23.85" customHeight="1" spans="3:13">
      <c r="C10653" s="100" t="s">
        <v>2893</v>
      </c>
      <c r="D10653" s="99" t="s">
        <v>5390</v>
      </c>
      <c r="E10653" s="100" t="s">
        <v>139</v>
      </c>
      <c r="F10653" s="100" t="s">
        <v>5391</v>
      </c>
      <c r="G10653" s="100" t="s">
        <v>2961</v>
      </c>
      <c r="H10653" s="100"/>
      <c r="I10653" s="101" t="s">
        <v>2897</v>
      </c>
      <c r="J10653" s="580">
        <v>1</v>
      </c>
      <c r="K10653" s="580">
        <v>0</v>
      </c>
      <c r="L10653" s="102">
        <v>0.01</v>
      </c>
      <c r="M10653" s="102">
        <v>0.01</v>
      </c>
    </row>
    <row r="10654" ht="15" customHeight="1" spans="3:13">
      <c r="C10654" s="100" t="s">
        <v>2893</v>
      </c>
      <c r="D10654" s="99" t="s">
        <v>5306</v>
      </c>
      <c r="E10654" s="100" t="s">
        <v>139</v>
      </c>
      <c r="F10654" s="100" t="s">
        <v>5307</v>
      </c>
      <c r="G10654" s="100" t="s">
        <v>2961</v>
      </c>
      <c r="H10654" s="100"/>
      <c r="I10654" s="101" t="s">
        <v>2897</v>
      </c>
      <c r="J10654" s="580">
        <v>1</v>
      </c>
      <c r="K10654" s="580">
        <v>0</v>
      </c>
      <c r="L10654" s="102">
        <v>1.43</v>
      </c>
      <c r="M10654" s="102">
        <v>1.43</v>
      </c>
    </row>
    <row r="10655" ht="23.85" customHeight="1" spans="3:13">
      <c r="C10655" s="100" t="s">
        <v>2893</v>
      </c>
      <c r="D10655" s="99" t="s">
        <v>5386</v>
      </c>
      <c r="E10655" s="100" t="s">
        <v>139</v>
      </c>
      <c r="F10655" s="100" t="s">
        <v>5387</v>
      </c>
      <c r="G10655" s="100" t="s">
        <v>2961</v>
      </c>
      <c r="H10655" s="100"/>
      <c r="I10655" s="101" t="s">
        <v>2897</v>
      </c>
      <c r="J10655" s="580">
        <v>1</v>
      </c>
      <c r="K10655" s="580">
        <v>0</v>
      </c>
      <c r="L10655" s="102">
        <v>0.89</v>
      </c>
      <c r="M10655" s="102">
        <v>0.89</v>
      </c>
    </row>
    <row r="10656" ht="25.5" spans="3:13">
      <c r="C10656" s="108"/>
      <c r="D10656" s="108"/>
      <c r="E10656" s="108"/>
      <c r="F10656" s="108"/>
      <c r="G10656" s="108"/>
      <c r="H10656" s="108" t="s">
        <v>2898</v>
      </c>
      <c r="I10656" s="581">
        <v>31.24</v>
      </c>
      <c r="J10656" s="108" t="s">
        <v>2899</v>
      </c>
      <c r="K10656" s="581">
        <v>0</v>
      </c>
      <c r="L10656" s="108" t="s">
        <v>2900</v>
      </c>
      <c r="M10656" s="581">
        <v>31.24</v>
      </c>
    </row>
    <row r="10657" ht="26.25" spans="3:13">
      <c r="C10657" s="108"/>
      <c r="D10657" s="108"/>
      <c r="E10657" s="108"/>
      <c r="F10657" s="108"/>
      <c r="G10657" s="108"/>
      <c r="H10657" s="108" t="s">
        <v>2901</v>
      </c>
      <c r="I10657" s="581">
        <v>10.21</v>
      </c>
      <c r="J10657" s="114"/>
      <c r="K10657" s="114" t="s">
        <v>2902</v>
      </c>
      <c r="L10657" s="108"/>
      <c r="M10657" s="581">
        <v>50.28</v>
      </c>
    </row>
    <row r="10658" ht="15" spans="3:13">
      <c r="C10658" s="571"/>
      <c r="D10658" s="571"/>
      <c r="E10658" s="571"/>
      <c r="F10658" s="571"/>
      <c r="G10658" s="571"/>
      <c r="H10658" s="571"/>
      <c r="I10658" s="571"/>
      <c r="J10658" s="571"/>
      <c r="K10658" s="571"/>
      <c r="L10658" s="571"/>
      <c r="M10658" s="571"/>
    </row>
    <row r="10659" ht="15" customHeight="1" spans="3:13">
      <c r="C10659" s="76"/>
      <c r="D10659" s="75" t="s">
        <v>63</v>
      </c>
      <c r="E10659" s="76" t="s">
        <v>64</v>
      </c>
      <c r="F10659" s="76" t="s">
        <v>65</v>
      </c>
      <c r="G10659" s="76" t="s">
        <v>2889</v>
      </c>
      <c r="H10659" s="76"/>
      <c r="I10659" s="77" t="s">
        <v>66</v>
      </c>
      <c r="J10659" s="75" t="s">
        <v>67</v>
      </c>
      <c r="K10659" s="75" t="s">
        <v>2890</v>
      </c>
      <c r="L10659" s="75" t="s">
        <v>68</v>
      </c>
      <c r="M10659" s="75" t="s">
        <v>70</v>
      </c>
    </row>
    <row r="10660" ht="23.85" customHeight="1" spans="3:13">
      <c r="C10660" s="569" t="s">
        <v>2891</v>
      </c>
      <c r="D10660" s="570" t="s">
        <v>5848</v>
      </c>
      <c r="E10660" s="569" t="s">
        <v>139</v>
      </c>
      <c r="F10660" s="569" t="s">
        <v>5849</v>
      </c>
      <c r="G10660" s="569" t="s">
        <v>2928</v>
      </c>
      <c r="H10660" s="569"/>
      <c r="I10660" s="577" t="s">
        <v>2897</v>
      </c>
      <c r="J10660" s="578">
        <v>1</v>
      </c>
      <c r="K10660" s="579"/>
      <c r="L10660" s="579">
        <v>31.9</v>
      </c>
      <c r="M10660" s="579">
        <v>31.9</v>
      </c>
    </row>
    <row r="10661" ht="23.85" customHeight="1" spans="3:13">
      <c r="C10661" s="79" t="s">
        <v>2921</v>
      </c>
      <c r="D10661" s="78" t="s">
        <v>5712</v>
      </c>
      <c r="E10661" s="79" t="s">
        <v>139</v>
      </c>
      <c r="F10661" s="79" t="s">
        <v>5713</v>
      </c>
      <c r="G10661" s="79" t="s">
        <v>2928</v>
      </c>
      <c r="H10661" s="79"/>
      <c r="I10661" s="80" t="s">
        <v>2897</v>
      </c>
      <c r="J10661" s="583">
        <v>1</v>
      </c>
      <c r="K10661" s="583">
        <v>0</v>
      </c>
      <c r="L10661" s="92">
        <v>0.37</v>
      </c>
      <c r="M10661" s="92">
        <v>0.37</v>
      </c>
    </row>
    <row r="10662" ht="23.85" customHeight="1" spans="3:13">
      <c r="C10662" s="100" t="s">
        <v>2893</v>
      </c>
      <c r="D10662" s="99" t="s">
        <v>5386</v>
      </c>
      <c r="E10662" s="100" t="s">
        <v>139</v>
      </c>
      <c r="F10662" s="100" t="s">
        <v>5387</v>
      </c>
      <c r="G10662" s="100" t="s">
        <v>2961</v>
      </c>
      <c r="H10662" s="100"/>
      <c r="I10662" s="101" t="s">
        <v>2897</v>
      </c>
      <c r="J10662" s="580">
        <v>1</v>
      </c>
      <c r="K10662" s="580">
        <v>0</v>
      </c>
      <c r="L10662" s="102">
        <v>0.89</v>
      </c>
      <c r="M10662" s="102">
        <v>0.89</v>
      </c>
    </row>
    <row r="10663" ht="23.85" customHeight="1" spans="3:13">
      <c r="C10663" s="100" t="s">
        <v>2893</v>
      </c>
      <c r="D10663" s="99" t="s">
        <v>5310</v>
      </c>
      <c r="E10663" s="100" t="s">
        <v>139</v>
      </c>
      <c r="F10663" s="100" t="s">
        <v>5311</v>
      </c>
      <c r="G10663" s="100" t="s">
        <v>2961</v>
      </c>
      <c r="H10663" s="100"/>
      <c r="I10663" s="101" t="s">
        <v>2897</v>
      </c>
      <c r="J10663" s="580">
        <v>1</v>
      </c>
      <c r="K10663" s="580">
        <v>0</v>
      </c>
      <c r="L10663" s="102">
        <v>1.58</v>
      </c>
      <c r="M10663" s="102">
        <v>1.58</v>
      </c>
    </row>
    <row r="10664" ht="23.85" customHeight="1" spans="3:13">
      <c r="C10664" s="100" t="s">
        <v>2893</v>
      </c>
      <c r="D10664" s="99" t="s">
        <v>5308</v>
      </c>
      <c r="E10664" s="100" t="s">
        <v>139</v>
      </c>
      <c r="F10664" s="100" t="s">
        <v>5309</v>
      </c>
      <c r="G10664" s="100" t="s">
        <v>2961</v>
      </c>
      <c r="H10664" s="100"/>
      <c r="I10664" s="101" t="s">
        <v>2897</v>
      </c>
      <c r="J10664" s="580">
        <v>1</v>
      </c>
      <c r="K10664" s="580">
        <v>0</v>
      </c>
      <c r="L10664" s="102">
        <v>4.84</v>
      </c>
      <c r="M10664" s="102">
        <v>4.84</v>
      </c>
    </row>
    <row r="10665" ht="15" customHeight="1" spans="3:13">
      <c r="C10665" s="100" t="s">
        <v>2893</v>
      </c>
      <c r="D10665" s="99" t="s">
        <v>5312</v>
      </c>
      <c r="E10665" s="100" t="s">
        <v>139</v>
      </c>
      <c r="F10665" s="100" t="s">
        <v>5313</v>
      </c>
      <c r="G10665" s="100" t="s">
        <v>2961</v>
      </c>
      <c r="H10665" s="100"/>
      <c r="I10665" s="101" t="s">
        <v>2897</v>
      </c>
      <c r="J10665" s="580">
        <v>1</v>
      </c>
      <c r="K10665" s="580">
        <v>0</v>
      </c>
      <c r="L10665" s="102">
        <v>0.08</v>
      </c>
      <c r="M10665" s="102">
        <v>0.08</v>
      </c>
    </row>
    <row r="10666" ht="15" customHeight="1" spans="3:13">
      <c r="C10666" s="100" t="s">
        <v>2893</v>
      </c>
      <c r="D10666" s="99" t="s">
        <v>5714</v>
      </c>
      <c r="E10666" s="100" t="s">
        <v>139</v>
      </c>
      <c r="F10666" s="100" t="s">
        <v>5715</v>
      </c>
      <c r="G10666" s="100" t="s">
        <v>2896</v>
      </c>
      <c r="H10666" s="100"/>
      <c r="I10666" s="101" t="s">
        <v>2897</v>
      </c>
      <c r="J10666" s="580">
        <v>1</v>
      </c>
      <c r="K10666" s="580">
        <v>0</v>
      </c>
      <c r="L10666" s="102">
        <v>22.7</v>
      </c>
      <c r="M10666" s="102">
        <v>22.7</v>
      </c>
    </row>
    <row r="10667" ht="15" customHeight="1" spans="3:13">
      <c r="C10667" s="100" t="s">
        <v>2893</v>
      </c>
      <c r="D10667" s="99" t="s">
        <v>5306</v>
      </c>
      <c r="E10667" s="100" t="s">
        <v>139</v>
      </c>
      <c r="F10667" s="100" t="s">
        <v>5307</v>
      </c>
      <c r="G10667" s="100" t="s">
        <v>2961</v>
      </c>
      <c r="H10667" s="100"/>
      <c r="I10667" s="101" t="s">
        <v>2897</v>
      </c>
      <c r="J10667" s="580">
        <v>1</v>
      </c>
      <c r="K10667" s="580">
        <v>0</v>
      </c>
      <c r="L10667" s="102">
        <v>1.43</v>
      </c>
      <c r="M10667" s="102">
        <v>1.43</v>
      </c>
    </row>
    <row r="10668" ht="23.85" customHeight="1" spans="3:13">
      <c r="C10668" s="100" t="s">
        <v>2893</v>
      </c>
      <c r="D10668" s="99" t="s">
        <v>5390</v>
      </c>
      <c r="E10668" s="100" t="s">
        <v>139</v>
      </c>
      <c r="F10668" s="100" t="s">
        <v>5391</v>
      </c>
      <c r="G10668" s="100" t="s">
        <v>2961</v>
      </c>
      <c r="H10668" s="100"/>
      <c r="I10668" s="101" t="s">
        <v>2897</v>
      </c>
      <c r="J10668" s="580">
        <v>1</v>
      </c>
      <c r="K10668" s="580">
        <v>0</v>
      </c>
      <c r="L10668" s="102">
        <v>0.01</v>
      </c>
      <c r="M10668" s="102">
        <v>0.01</v>
      </c>
    </row>
    <row r="10669" ht="25.5" spans="3:13">
      <c r="C10669" s="108"/>
      <c r="D10669" s="108"/>
      <c r="E10669" s="108"/>
      <c r="F10669" s="108"/>
      <c r="G10669" s="108"/>
      <c r="H10669" s="108" t="s">
        <v>2898</v>
      </c>
      <c r="I10669" s="581">
        <v>23.07</v>
      </c>
      <c r="J10669" s="108" t="s">
        <v>2899</v>
      </c>
      <c r="K10669" s="581">
        <v>0</v>
      </c>
      <c r="L10669" s="108" t="s">
        <v>2900</v>
      </c>
      <c r="M10669" s="581">
        <v>23.07</v>
      </c>
    </row>
    <row r="10670" ht="26.25" spans="3:13">
      <c r="C10670" s="108"/>
      <c r="D10670" s="108"/>
      <c r="E10670" s="108"/>
      <c r="F10670" s="108"/>
      <c r="G10670" s="108"/>
      <c r="H10670" s="108" t="s">
        <v>2901</v>
      </c>
      <c r="I10670" s="581">
        <v>8.13</v>
      </c>
      <c r="J10670" s="114"/>
      <c r="K10670" s="114" t="s">
        <v>2902</v>
      </c>
      <c r="L10670" s="108"/>
      <c r="M10670" s="581">
        <v>40.03</v>
      </c>
    </row>
    <row r="10671" ht="15" spans="3:13">
      <c r="C10671" s="571"/>
      <c r="D10671" s="571"/>
      <c r="E10671" s="571"/>
      <c r="F10671" s="571"/>
      <c r="G10671" s="571"/>
      <c r="H10671" s="571"/>
      <c r="I10671" s="571"/>
      <c r="J10671" s="571"/>
      <c r="K10671" s="571"/>
      <c r="L10671" s="571"/>
      <c r="M10671" s="571"/>
    </row>
    <row r="10672" ht="15" customHeight="1" spans="3:13">
      <c r="C10672" s="76"/>
      <c r="D10672" s="75" t="s">
        <v>63</v>
      </c>
      <c r="E10672" s="76" t="s">
        <v>64</v>
      </c>
      <c r="F10672" s="76" t="s">
        <v>65</v>
      </c>
      <c r="G10672" s="76" t="s">
        <v>2889</v>
      </c>
      <c r="H10672" s="76"/>
      <c r="I10672" s="77" t="s">
        <v>66</v>
      </c>
      <c r="J10672" s="75" t="s">
        <v>67</v>
      </c>
      <c r="K10672" s="75" t="s">
        <v>2890</v>
      </c>
      <c r="L10672" s="75" t="s">
        <v>68</v>
      </c>
      <c r="M10672" s="75" t="s">
        <v>70</v>
      </c>
    </row>
    <row r="10673" ht="23.85" customHeight="1" spans="3:13">
      <c r="C10673" s="569" t="s">
        <v>2891</v>
      </c>
      <c r="D10673" s="570" t="s">
        <v>5910</v>
      </c>
      <c r="E10673" s="569" t="s">
        <v>139</v>
      </c>
      <c r="F10673" s="569" t="s">
        <v>5911</v>
      </c>
      <c r="G10673" s="569" t="s">
        <v>2928</v>
      </c>
      <c r="H10673" s="569"/>
      <c r="I10673" s="577" t="s">
        <v>2897</v>
      </c>
      <c r="J10673" s="578">
        <v>1</v>
      </c>
      <c r="K10673" s="579"/>
      <c r="L10673" s="579">
        <v>37.01</v>
      </c>
      <c r="M10673" s="579">
        <v>37.01</v>
      </c>
    </row>
    <row r="10674" ht="23.85" customHeight="1" spans="3:13">
      <c r="C10674" s="79" t="s">
        <v>2921</v>
      </c>
      <c r="D10674" s="78" t="s">
        <v>5716</v>
      </c>
      <c r="E10674" s="79" t="s">
        <v>139</v>
      </c>
      <c r="F10674" s="79" t="s">
        <v>5717</v>
      </c>
      <c r="G10674" s="79" t="s">
        <v>2928</v>
      </c>
      <c r="H10674" s="79"/>
      <c r="I10674" s="80" t="s">
        <v>2897</v>
      </c>
      <c r="J10674" s="583">
        <v>1</v>
      </c>
      <c r="K10674" s="583">
        <v>0</v>
      </c>
      <c r="L10674" s="92">
        <v>0.23</v>
      </c>
      <c r="M10674" s="92">
        <v>0.23</v>
      </c>
    </row>
    <row r="10675" ht="23.85" customHeight="1" spans="3:13">
      <c r="C10675" s="100" t="s">
        <v>2893</v>
      </c>
      <c r="D10675" s="99" t="s">
        <v>5308</v>
      </c>
      <c r="E10675" s="100" t="s">
        <v>139</v>
      </c>
      <c r="F10675" s="100" t="s">
        <v>5309</v>
      </c>
      <c r="G10675" s="100" t="s">
        <v>2961</v>
      </c>
      <c r="H10675" s="100"/>
      <c r="I10675" s="101" t="s">
        <v>2897</v>
      </c>
      <c r="J10675" s="580">
        <v>1</v>
      </c>
      <c r="K10675" s="580">
        <v>0</v>
      </c>
      <c r="L10675" s="102">
        <v>4.84</v>
      </c>
      <c r="M10675" s="102">
        <v>4.84</v>
      </c>
    </row>
    <row r="10676" ht="15" customHeight="1" spans="3:13">
      <c r="C10676" s="100" t="s">
        <v>2893</v>
      </c>
      <c r="D10676" s="99" t="s">
        <v>5312</v>
      </c>
      <c r="E10676" s="100" t="s">
        <v>139</v>
      </c>
      <c r="F10676" s="100" t="s">
        <v>5313</v>
      </c>
      <c r="G10676" s="100" t="s">
        <v>2961</v>
      </c>
      <c r="H10676" s="100"/>
      <c r="I10676" s="101" t="s">
        <v>2897</v>
      </c>
      <c r="J10676" s="580">
        <v>1</v>
      </c>
      <c r="K10676" s="580">
        <v>0</v>
      </c>
      <c r="L10676" s="102">
        <v>0.08</v>
      </c>
      <c r="M10676" s="102">
        <v>0.08</v>
      </c>
    </row>
    <row r="10677" ht="15" customHeight="1" spans="3:13">
      <c r="C10677" s="100" t="s">
        <v>2893</v>
      </c>
      <c r="D10677" s="99" t="s">
        <v>5718</v>
      </c>
      <c r="E10677" s="100" t="s">
        <v>139</v>
      </c>
      <c r="F10677" s="100" t="s">
        <v>5719</v>
      </c>
      <c r="G10677" s="100" t="s">
        <v>2896</v>
      </c>
      <c r="H10677" s="100"/>
      <c r="I10677" s="101" t="s">
        <v>2897</v>
      </c>
      <c r="J10677" s="580">
        <v>1</v>
      </c>
      <c r="K10677" s="580">
        <v>0</v>
      </c>
      <c r="L10677" s="102">
        <v>27.95</v>
      </c>
      <c r="M10677" s="102">
        <v>27.95</v>
      </c>
    </row>
    <row r="10678" ht="23.85" customHeight="1" spans="3:13">
      <c r="C10678" s="100" t="s">
        <v>2893</v>
      </c>
      <c r="D10678" s="99" t="s">
        <v>5390</v>
      </c>
      <c r="E10678" s="100" t="s">
        <v>139</v>
      </c>
      <c r="F10678" s="100" t="s">
        <v>5391</v>
      </c>
      <c r="G10678" s="100" t="s">
        <v>2961</v>
      </c>
      <c r="H10678" s="100"/>
      <c r="I10678" s="101" t="s">
        <v>2897</v>
      </c>
      <c r="J10678" s="580">
        <v>1</v>
      </c>
      <c r="K10678" s="580">
        <v>0</v>
      </c>
      <c r="L10678" s="102">
        <v>0.01</v>
      </c>
      <c r="M10678" s="102">
        <v>0.01</v>
      </c>
    </row>
    <row r="10679" ht="15" customHeight="1" spans="3:13">
      <c r="C10679" s="100" t="s">
        <v>2893</v>
      </c>
      <c r="D10679" s="99" t="s">
        <v>5306</v>
      </c>
      <c r="E10679" s="100" t="s">
        <v>139</v>
      </c>
      <c r="F10679" s="100" t="s">
        <v>5307</v>
      </c>
      <c r="G10679" s="100" t="s">
        <v>2961</v>
      </c>
      <c r="H10679" s="100"/>
      <c r="I10679" s="101" t="s">
        <v>2897</v>
      </c>
      <c r="J10679" s="580">
        <v>1</v>
      </c>
      <c r="K10679" s="580">
        <v>0</v>
      </c>
      <c r="L10679" s="102">
        <v>1.43</v>
      </c>
      <c r="M10679" s="102">
        <v>1.43</v>
      </c>
    </row>
    <row r="10680" ht="23.85" customHeight="1" spans="3:13">
      <c r="C10680" s="100" t="s">
        <v>2893</v>
      </c>
      <c r="D10680" s="99" t="s">
        <v>5386</v>
      </c>
      <c r="E10680" s="100" t="s">
        <v>139</v>
      </c>
      <c r="F10680" s="100" t="s">
        <v>5387</v>
      </c>
      <c r="G10680" s="100" t="s">
        <v>2961</v>
      </c>
      <c r="H10680" s="100"/>
      <c r="I10680" s="101" t="s">
        <v>2897</v>
      </c>
      <c r="J10680" s="580">
        <v>1</v>
      </c>
      <c r="K10680" s="580">
        <v>0</v>
      </c>
      <c r="L10680" s="102">
        <v>0.89</v>
      </c>
      <c r="M10680" s="102">
        <v>0.89</v>
      </c>
    </row>
    <row r="10681" ht="23.85" customHeight="1" spans="3:13">
      <c r="C10681" s="100" t="s">
        <v>2893</v>
      </c>
      <c r="D10681" s="99" t="s">
        <v>5310</v>
      </c>
      <c r="E10681" s="100" t="s">
        <v>139</v>
      </c>
      <c r="F10681" s="100" t="s">
        <v>5311</v>
      </c>
      <c r="G10681" s="100" t="s">
        <v>2961</v>
      </c>
      <c r="H10681" s="100"/>
      <c r="I10681" s="101" t="s">
        <v>2897</v>
      </c>
      <c r="J10681" s="580">
        <v>1</v>
      </c>
      <c r="K10681" s="580">
        <v>0</v>
      </c>
      <c r="L10681" s="102">
        <v>1.58</v>
      </c>
      <c r="M10681" s="102">
        <v>1.58</v>
      </c>
    </row>
    <row r="10682" ht="25.5" spans="3:13">
      <c r="C10682" s="108"/>
      <c r="D10682" s="108"/>
      <c r="E10682" s="108"/>
      <c r="F10682" s="108"/>
      <c r="G10682" s="108"/>
      <c r="H10682" s="108" t="s">
        <v>2898</v>
      </c>
      <c r="I10682" s="581">
        <v>28.18</v>
      </c>
      <c r="J10682" s="108" t="s">
        <v>2899</v>
      </c>
      <c r="K10682" s="581">
        <v>0</v>
      </c>
      <c r="L10682" s="108" t="s">
        <v>2900</v>
      </c>
      <c r="M10682" s="581">
        <v>28.18</v>
      </c>
    </row>
    <row r="10683" ht="26.25" spans="3:13">
      <c r="C10683" s="108"/>
      <c r="D10683" s="108"/>
      <c r="E10683" s="108"/>
      <c r="F10683" s="108"/>
      <c r="G10683" s="108"/>
      <c r="H10683" s="108" t="s">
        <v>2901</v>
      </c>
      <c r="I10683" s="581">
        <v>9.43</v>
      </c>
      <c r="J10683" s="114"/>
      <c r="K10683" s="114" t="s">
        <v>2902</v>
      </c>
      <c r="L10683" s="108"/>
      <c r="M10683" s="581">
        <v>46.44</v>
      </c>
    </row>
    <row r="10684" ht="15" spans="3:13">
      <c r="C10684" s="571"/>
      <c r="D10684" s="571"/>
      <c r="E10684" s="571"/>
      <c r="F10684" s="571"/>
      <c r="G10684" s="571"/>
      <c r="H10684" s="571"/>
      <c r="I10684" s="571"/>
      <c r="J10684" s="571"/>
      <c r="K10684" s="571"/>
      <c r="L10684" s="571"/>
      <c r="M10684" s="571"/>
    </row>
    <row r="10685" ht="15" customHeight="1" spans="3:13">
      <c r="C10685" s="76"/>
      <c r="D10685" s="75" t="s">
        <v>63</v>
      </c>
      <c r="E10685" s="76" t="s">
        <v>64</v>
      </c>
      <c r="F10685" s="76" t="s">
        <v>65</v>
      </c>
      <c r="G10685" s="76" t="s">
        <v>2889</v>
      </c>
      <c r="H10685" s="76"/>
      <c r="I10685" s="77" t="s">
        <v>66</v>
      </c>
      <c r="J10685" s="75" t="s">
        <v>67</v>
      </c>
      <c r="K10685" s="75" t="s">
        <v>2890</v>
      </c>
      <c r="L10685" s="75" t="s">
        <v>68</v>
      </c>
      <c r="M10685" s="75" t="s">
        <v>70</v>
      </c>
    </row>
    <row r="10686" ht="23.85" customHeight="1" spans="3:13">
      <c r="C10686" s="569" t="s">
        <v>2891</v>
      </c>
      <c r="D10686" s="570" t="s">
        <v>5557</v>
      </c>
      <c r="E10686" s="569" t="s">
        <v>139</v>
      </c>
      <c r="F10686" s="569" t="s">
        <v>5558</v>
      </c>
      <c r="G10686" s="569" t="s">
        <v>2928</v>
      </c>
      <c r="H10686" s="569"/>
      <c r="I10686" s="577" t="s">
        <v>2897</v>
      </c>
      <c r="J10686" s="578">
        <v>1</v>
      </c>
      <c r="K10686" s="579"/>
      <c r="L10686" s="579">
        <v>39.88</v>
      </c>
      <c r="M10686" s="579">
        <v>39.88</v>
      </c>
    </row>
    <row r="10687" ht="23.85" customHeight="1" spans="3:13">
      <c r="C10687" s="79" t="s">
        <v>2921</v>
      </c>
      <c r="D10687" s="78" t="s">
        <v>5720</v>
      </c>
      <c r="E10687" s="79" t="s">
        <v>139</v>
      </c>
      <c r="F10687" s="79" t="s">
        <v>5721</v>
      </c>
      <c r="G10687" s="79" t="s">
        <v>2928</v>
      </c>
      <c r="H10687" s="79"/>
      <c r="I10687" s="80" t="s">
        <v>2897</v>
      </c>
      <c r="J10687" s="583">
        <v>1</v>
      </c>
      <c r="K10687" s="583">
        <v>0</v>
      </c>
      <c r="L10687" s="92">
        <v>0.35</v>
      </c>
      <c r="M10687" s="92">
        <v>0.35</v>
      </c>
    </row>
    <row r="10688" ht="23.85" customHeight="1" spans="3:13">
      <c r="C10688" s="100" t="s">
        <v>2893</v>
      </c>
      <c r="D10688" s="99" t="s">
        <v>5308</v>
      </c>
      <c r="E10688" s="100" t="s">
        <v>139</v>
      </c>
      <c r="F10688" s="100" t="s">
        <v>5309</v>
      </c>
      <c r="G10688" s="100" t="s">
        <v>2961</v>
      </c>
      <c r="H10688" s="100"/>
      <c r="I10688" s="101" t="s">
        <v>2897</v>
      </c>
      <c r="J10688" s="580">
        <v>1</v>
      </c>
      <c r="K10688" s="580">
        <v>0</v>
      </c>
      <c r="L10688" s="102">
        <v>4.84</v>
      </c>
      <c r="M10688" s="102">
        <v>4.84</v>
      </c>
    </row>
    <row r="10689" ht="15" customHeight="1" spans="3:13">
      <c r="C10689" s="100" t="s">
        <v>2893</v>
      </c>
      <c r="D10689" s="99" t="s">
        <v>5312</v>
      </c>
      <c r="E10689" s="100" t="s">
        <v>139</v>
      </c>
      <c r="F10689" s="100" t="s">
        <v>5313</v>
      </c>
      <c r="G10689" s="100" t="s">
        <v>2961</v>
      </c>
      <c r="H10689" s="100"/>
      <c r="I10689" s="101" t="s">
        <v>2897</v>
      </c>
      <c r="J10689" s="580">
        <v>1</v>
      </c>
      <c r="K10689" s="580">
        <v>0</v>
      </c>
      <c r="L10689" s="102">
        <v>0.08</v>
      </c>
      <c r="M10689" s="102">
        <v>0.08</v>
      </c>
    </row>
    <row r="10690" ht="23.85" customHeight="1" spans="3:13">
      <c r="C10690" s="100" t="s">
        <v>2893</v>
      </c>
      <c r="D10690" s="99" t="s">
        <v>5722</v>
      </c>
      <c r="E10690" s="100" t="s">
        <v>139</v>
      </c>
      <c r="F10690" s="100" t="s">
        <v>5723</v>
      </c>
      <c r="G10690" s="100" t="s">
        <v>2896</v>
      </c>
      <c r="H10690" s="100"/>
      <c r="I10690" s="101" t="s">
        <v>2897</v>
      </c>
      <c r="J10690" s="580">
        <v>1</v>
      </c>
      <c r="K10690" s="580">
        <v>0</v>
      </c>
      <c r="L10690" s="102">
        <v>30.7</v>
      </c>
      <c r="M10690" s="102">
        <v>30.7</v>
      </c>
    </row>
    <row r="10691" ht="23.85" customHeight="1" spans="3:13">
      <c r="C10691" s="100" t="s">
        <v>2893</v>
      </c>
      <c r="D10691" s="99" t="s">
        <v>5390</v>
      </c>
      <c r="E10691" s="100" t="s">
        <v>139</v>
      </c>
      <c r="F10691" s="100" t="s">
        <v>5391</v>
      </c>
      <c r="G10691" s="100" t="s">
        <v>2961</v>
      </c>
      <c r="H10691" s="100"/>
      <c r="I10691" s="101" t="s">
        <v>2897</v>
      </c>
      <c r="J10691" s="580">
        <v>1</v>
      </c>
      <c r="K10691" s="580">
        <v>0</v>
      </c>
      <c r="L10691" s="102">
        <v>0.01</v>
      </c>
      <c r="M10691" s="102">
        <v>0.01</v>
      </c>
    </row>
    <row r="10692" ht="23.85" customHeight="1" spans="3:13">
      <c r="C10692" s="100" t="s">
        <v>2893</v>
      </c>
      <c r="D10692" s="99" t="s">
        <v>5310</v>
      </c>
      <c r="E10692" s="100" t="s">
        <v>139</v>
      </c>
      <c r="F10692" s="100" t="s">
        <v>5311</v>
      </c>
      <c r="G10692" s="100" t="s">
        <v>2961</v>
      </c>
      <c r="H10692" s="100"/>
      <c r="I10692" s="101" t="s">
        <v>2897</v>
      </c>
      <c r="J10692" s="580">
        <v>1</v>
      </c>
      <c r="K10692" s="580">
        <v>0</v>
      </c>
      <c r="L10692" s="102">
        <v>1.58</v>
      </c>
      <c r="M10692" s="102">
        <v>1.58</v>
      </c>
    </row>
    <row r="10693" ht="23.85" customHeight="1" spans="3:13">
      <c r="C10693" s="100" t="s">
        <v>2893</v>
      </c>
      <c r="D10693" s="99" t="s">
        <v>5386</v>
      </c>
      <c r="E10693" s="100" t="s">
        <v>139</v>
      </c>
      <c r="F10693" s="100" t="s">
        <v>5387</v>
      </c>
      <c r="G10693" s="100" t="s">
        <v>2961</v>
      </c>
      <c r="H10693" s="100"/>
      <c r="I10693" s="101" t="s">
        <v>2897</v>
      </c>
      <c r="J10693" s="580">
        <v>1</v>
      </c>
      <c r="K10693" s="580">
        <v>0</v>
      </c>
      <c r="L10693" s="102">
        <v>0.89</v>
      </c>
      <c r="M10693" s="102">
        <v>0.89</v>
      </c>
    </row>
    <row r="10694" ht="15" customHeight="1" spans="3:13">
      <c r="C10694" s="100" t="s">
        <v>2893</v>
      </c>
      <c r="D10694" s="99" t="s">
        <v>5306</v>
      </c>
      <c r="E10694" s="100" t="s">
        <v>139</v>
      </c>
      <c r="F10694" s="100" t="s">
        <v>5307</v>
      </c>
      <c r="G10694" s="100" t="s">
        <v>2961</v>
      </c>
      <c r="H10694" s="100"/>
      <c r="I10694" s="101" t="s">
        <v>2897</v>
      </c>
      <c r="J10694" s="580">
        <v>1</v>
      </c>
      <c r="K10694" s="580">
        <v>0</v>
      </c>
      <c r="L10694" s="102">
        <v>1.43</v>
      </c>
      <c r="M10694" s="102">
        <v>1.43</v>
      </c>
    </row>
    <row r="10695" ht="25.5" spans="3:13">
      <c r="C10695" s="108"/>
      <c r="D10695" s="108"/>
      <c r="E10695" s="108"/>
      <c r="F10695" s="108"/>
      <c r="G10695" s="108"/>
      <c r="H10695" s="108" t="s">
        <v>2898</v>
      </c>
      <c r="I10695" s="581">
        <v>31.05</v>
      </c>
      <c r="J10695" s="108" t="s">
        <v>2899</v>
      </c>
      <c r="K10695" s="581">
        <v>0</v>
      </c>
      <c r="L10695" s="108" t="s">
        <v>2900</v>
      </c>
      <c r="M10695" s="581">
        <v>31.05</v>
      </c>
    </row>
    <row r="10696" ht="26.25" spans="3:13">
      <c r="C10696" s="108"/>
      <c r="D10696" s="108"/>
      <c r="E10696" s="108"/>
      <c r="F10696" s="108"/>
      <c r="G10696" s="108"/>
      <c r="H10696" s="108" t="s">
        <v>2901</v>
      </c>
      <c r="I10696" s="581">
        <v>10.16</v>
      </c>
      <c r="J10696" s="114"/>
      <c r="K10696" s="114" t="s">
        <v>2902</v>
      </c>
      <c r="L10696" s="108"/>
      <c r="M10696" s="581">
        <v>50.04</v>
      </c>
    </row>
    <row r="10697" ht="15" spans="3:13">
      <c r="C10697" s="571"/>
      <c r="D10697" s="571"/>
      <c r="E10697" s="571"/>
      <c r="F10697" s="571"/>
      <c r="G10697" s="571"/>
      <c r="H10697" s="571"/>
      <c r="I10697" s="571"/>
      <c r="J10697" s="571"/>
      <c r="K10697" s="571"/>
      <c r="L10697" s="571"/>
      <c r="M10697" s="571"/>
    </row>
    <row r="10698" ht="15" customHeight="1" spans="3:13">
      <c r="C10698" s="76"/>
      <c r="D10698" s="75" t="s">
        <v>63</v>
      </c>
      <c r="E10698" s="76" t="s">
        <v>64</v>
      </c>
      <c r="F10698" s="76" t="s">
        <v>65</v>
      </c>
      <c r="G10698" s="76" t="s">
        <v>2889</v>
      </c>
      <c r="H10698" s="76"/>
      <c r="I10698" s="77" t="s">
        <v>66</v>
      </c>
      <c r="J10698" s="75" t="s">
        <v>67</v>
      </c>
      <c r="K10698" s="75" t="s">
        <v>2890</v>
      </c>
      <c r="L10698" s="75" t="s">
        <v>68</v>
      </c>
      <c r="M10698" s="75" t="s">
        <v>70</v>
      </c>
    </row>
    <row r="10699" ht="35.05" customHeight="1" spans="3:13">
      <c r="C10699" s="569" t="s">
        <v>2891</v>
      </c>
      <c r="D10699" s="570" t="s">
        <v>3240</v>
      </c>
      <c r="E10699" s="569" t="s">
        <v>139</v>
      </c>
      <c r="F10699" s="569" t="s">
        <v>3241</v>
      </c>
      <c r="G10699" s="569" t="s">
        <v>2992</v>
      </c>
      <c r="H10699" s="569"/>
      <c r="I10699" s="577" t="s">
        <v>141</v>
      </c>
      <c r="J10699" s="578">
        <v>1</v>
      </c>
      <c r="K10699" s="579"/>
      <c r="L10699" s="579">
        <v>162.12</v>
      </c>
      <c r="M10699" s="579">
        <v>162.12</v>
      </c>
    </row>
    <row r="10700" ht="23.85" customHeight="1" spans="3:13">
      <c r="C10700" s="79" t="s">
        <v>2921</v>
      </c>
      <c r="D10700" s="78" t="s">
        <v>3000</v>
      </c>
      <c r="E10700" s="79" t="s">
        <v>139</v>
      </c>
      <c r="F10700" s="79" t="s">
        <v>3001</v>
      </c>
      <c r="G10700" s="79" t="s">
        <v>2995</v>
      </c>
      <c r="H10700" s="79"/>
      <c r="I10700" s="80" t="s">
        <v>3002</v>
      </c>
      <c r="J10700" s="583">
        <v>0.0346</v>
      </c>
      <c r="K10700" s="583">
        <v>0</v>
      </c>
      <c r="L10700" s="92">
        <v>41.6</v>
      </c>
      <c r="M10700" s="92">
        <v>1.43</v>
      </c>
    </row>
    <row r="10701" ht="23.85" customHeight="1" spans="3:13">
      <c r="C10701" s="79" t="s">
        <v>2921</v>
      </c>
      <c r="D10701" s="78" t="s">
        <v>2997</v>
      </c>
      <c r="E10701" s="79" t="s">
        <v>139</v>
      </c>
      <c r="F10701" s="79" t="s">
        <v>2998</v>
      </c>
      <c r="G10701" s="79" t="s">
        <v>2999</v>
      </c>
      <c r="H10701" s="79"/>
      <c r="I10701" s="80" t="s">
        <v>279</v>
      </c>
      <c r="J10701" s="583">
        <v>0.0062</v>
      </c>
      <c r="K10701" s="583">
        <v>0</v>
      </c>
      <c r="L10701" s="92">
        <v>464.77</v>
      </c>
      <c r="M10701" s="92">
        <v>2.88</v>
      </c>
    </row>
    <row r="10702" ht="23.85" customHeight="1" spans="3:13">
      <c r="C10702" s="79" t="s">
        <v>2921</v>
      </c>
      <c r="D10702" s="78" t="s">
        <v>2954</v>
      </c>
      <c r="E10702" s="79" t="s">
        <v>139</v>
      </c>
      <c r="F10702" s="79" t="s">
        <v>2955</v>
      </c>
      <c r="G10702" s="79" t="s">
        <v>2928</v>
      </c>
      <c r="H10702" s="79"/>
      <c r="I10702" s="80" t="s">
        <v>2897</v>
      </c>
      <c r="J10702" s="583">
        <v>1.475</v>
      </c>
      <c r="K10702" s="583">
        <v>0</v>
      </c>
      <c r="L10702" s="92">
        <v>37.51</v>
      </c>
      <c r="M10702" s="92">
        <v>55.32</v>
      </c>
    </row>
    <row r="10703" ht="23.85" customHeight="1" spans="3:13">
      <c r="C10703" s="79" t="s">
        <v>2921</v>
      </c>
      <c r="D10703" s="78" t="s">
        <v>2993</v>
      </c>
      <c r="E10703" s="79" t="s">
        <v>139</v>
      </c>
      <c r="F10703" s="79" t="s">
        <v>2994</v>
      </c>
      <c r="G10703" s="79" t="s">
        <v>2995</v>
      </c>
      <c r="H10703" s="79"/>
      <c r="I10703" s="80" t="s">
        <v>2996</v>
      </c>
      <c r="J10703" s="583">
        <v>0.1391</v>
      </c>
      <c r="K10703" s="583">
        <v>0</v>
      </c>
      <c r="L10703" s="92">
        <v>39.98</v>
      </c>
      <c r="M10703" s="92">
        <v>5.56</v>
      </c>
    </row>
    <row r="10704" ht="23.85" customHeight="1" spans="3:13">
      <c r="C10704" s="79" t="s">
        <v>2921</v>
      </c>
      <c r="D10704" s="78" t="s">
        <v>3003</v>
      </c>
      <c r="E10704" s="79" t="s">
        <v>139</v>
      </c>
      <c r="F10704" s="79" t="s">
        <v>3004</v>
      </c>
      <c r="G10704" s="79" t="s">
        <v>2928</v>
      </c>
      <c r="H10704" s="79"/>
      <c r="I10704" s="80" t="s">
        <v>2897</v>
      </c>
      <c r="J10704" s="583">
        <v>0.995</v>
      </c>
      <c r="K10704" s="583">
        <v>0</v>
      </c>
      <c r="L10704" s="92">
        <v>29.91</v>
      </c>
      <c r="M10704" s="92">
        <v>29.76</v>
      </c>
    </row>
    <row r="10705" ht="23.85" customHeight="1" spans="3:13">
      <c r="C10705" s="100" t="s">
        <v>2893</v>
      </c>
      <c r="D10705" s="99" t="s">
        <v>3009</v>
      </c>
      <c r="E10705" s="100" t="s">
        <v>139</v>
      </c>
      <c r="F10705" s="100" t="s">
        <v>3010</v>
      </c>
      <c r="G10705" s="100" t="s">
        <v>2961</v>
      </c>
      <c r="H10705" s="100"/>
      <c r="I10705" s="101" t="s">
        <v>204</v>
      </c>
      <c r="J10705" s="580">
        <v>1.9604</v>
      </c>
      <c r="K10705" s="580">
        <v>0</v>
      </c>
      <c r="L10705" s="102">
        <v>6.27</v>
      </c>
      <c r="M10705" s="102">
        <v>12.29</v>
      </c>
    </row>
    <row r="10706" ht="15" customHeight="1" spans="3:13">
      <c r="C10706" s="100" t="s">
        <v>2893</v>
      </c>
      <c r="D10706" s="99" t="s">
        <v>3011</v>
      </c>
      <c r="E10706" s="100" t="s">
        <v>139</v>
      </c>
      <c r="F10706" s="100" t="s">
        <v>3012</v>
      </c>
      <c r="G10706" s="100" t="s">
        <v>2961</v>
      </c>
      <c r="H10706" s="100"/>
      <c r="I10706" s="101" t="s">
        <v>393</v>
      </c>
      <c r="J10706" s="580">
        <v>0.086</v>
      </c>
      <c r="K10706" s="580">
        <v>0</v>
      </c>
      <c r="L10706" s="102">
        <v>18.07</v>
      </c>
      <c r="M10706" s="102">
        <v>1.55</v>
      </c>
    </row>
    <row r="10707" ht="23.85" customHeight="1" spans="3:13">
      <c r="C10707" s="100" t="s">
        <v>2893</v>
      </c>
      <c r="D10707" s="99" t="s">
        <v>3007</v>
      </c>
      <c r="E10707" s="100" t="s">
        <v>139</v>
      </c>
      <c r="F10707" s="100" t="s">
        <v>3008</v>
      </c>
      <c r="G10707" s="100" t="s">
        <v>2961</v>
      </c>
      <c r="H10707" s="100"/>
      <c r="I10707" s="101" t="s">
        <v>204</v>
      </c>
      <c r="J10707" s="580">
        <v>2.6139</v>
      </c>
      <c r="K10707" s="580">
        <v>0</v>
      </c>
      <c r="L10707" s="102">
        <v>8.79</v>
      </c>
      <c r="M10707" s="102">
        <v>22.97</v>
      </c>
    </row>
    <row r="10708" ht="35.05" customHeight="1" spans="3:13">
      <c r="C10708" s="100" t="s">
        <v>2893</v>
      </c>
      <c r="D10708" s="99" t="s">
        <v>3023</v>
      </c>
      <c r="E10708" s="100" t="s">
        <v>139</v>
      </c>
      <c r="F10708" s="100" t="s">
        <v>3024</v>
      </c>
      <c r="G10708" s="100" t="s">
        <v>2961</v>
      </c>
      <c r="H10708" s="100"/>
      <c r="I10708" s="101" t="s">
        <v>141</v>
      </c>
      <c r="J10708" s="580">
        <v>1.050038</v>
      </c>
      <c r="K10708" s="580">
        <v>0</v>
      </c>
      <c r="L10708" s="102">
        <v>28.92</v>
      </c>
      <c r="M10708" s="102">
        <v>30.36</v>
      </c>
    </row>
    <row r="10709" ht="25.5" spans="3:13">
      <c r="C10709" s="108"/>
      <c r="D10709" s="108"/>
      <c r="E10709" s="108"/>
      <c r="F10709" s="108"/>
      <c r="G10709" s="108"/>
      <c r="H10709" s="108" t="s">
        <v>2898</v>
      </c>
      <c r="I10709" s="581">
        <v>66.99</v>
      </c>
      <c r="J10709" s="108" t="s">
        <v>2899</v>
      </c>
      <c r="K10709" s="581">
        <v>0</v>
      </c>
      <c r="L10709" s="108" t="s">
        <v>2900</v>
      </c>
      <c r="M10709" s="581">
        <v>66.99</v>
      </c>
    </row>
    <row r="10710" ht="26.25" spans="3:13">
      <c r="C10710" s="108"/>
      <c r="D10710" s="108"/>
      <c r="E10710" s="108"/>
      <c r="F10710" s="108"/>
      <c r="G10710" s="108"/>
      <c r="H10710" s="108" t="s">
        <v>2901</v>
      </c>
      <c r="I10710" s="581">
        <v>41.32</v>
      </c>
      <c r="J10710" s="114"/>
      <c r="K10710" s="114" t="s">
        <v>2902</v>
      </c>
      <c r="L10710" s="108"/>
      <c r="M10710" s="581">
        <v>203.44</v>
      </c>
    </row>
    <row r="10711" ht="15" spans="3:13">
      <c r="C10711" s="571"/>
      <c r="D10711" s="571"/>
      <c r="E10711" s="571"/>
      <c r="F10711" s="571"/>
      <c r="G10711" s="571"/>
      <c r="H10711" s="571"/>
      <c r="I10711" s="571"/>
      <c r="J10711" s="571"/>
      <c r="K10711" s="571"/>
      <c r="L10711" s="571"/>
      <c r="M10711" s="571"/>
    </row>
    <row r="10712" ht="15" customHeight="1" spans="3:13">
      <c r="C10712" s="76"/>
      <c r="D10712" s="75" t="s">
        <v>63</v>
      </c>
      <c r="E10712" s="76" t="s">
        <v>64</v>
      </c>
      <c r="F10712" s="76" t="s">
        <v>65</v>
      </c>
      <c r="G10712" s="76" t="s">
        <v>2889</v>
      </c>
      <c r="H10712" s="76"/>
      <c r="I10712" s="77" t="s">
        <v>66</v>
      </c>
      <c r="J10712" s="75" t="s">
        <v>67</v>
      </c>
      <c r="K10712" s="75" t="s">
        <v>2890</v>
      </c>
      <c r="L10712" s="75" t="s">
        <v>68</v>
      </c>
      <c r="M10712" s="75" t="s">
        <v>70</v>
      </c>
    </row>
    <row r="10713" ht="23.85" customHeight="1" spans="3:13">
      <c r="C10713" s="569" t="s">
        <v>2891</v>
      </c>
      <c r="D10713" s="570" t="s">
        <v>3224</v>
      </c>
      <c r="E10713" s="569" t="s">
        <v>139</v>
      </c>
      <c r="F10713" s="569" t="s">
        <v>3225</v>
      </c>
      <c r="G10713" s="569" t="s">
        <v>2992</v>
      </c>
      <c r="H10713" s="569"/>
      <c r="I10713" s="577" t="s">
        <v>141</v>
      </c>
      <c r="J10713" s="578">
        <v>1</v>
      </c>
      <c r="K10713" s="579"/>
      <c r="L10713" s="579">
        <v>104.96</v>
      </c>
      <c r="M10713" s="579">
        <v>104.96</v>
      </c>
    </row>
    <row r="10714" ht="23.85" customHeight="1" spans="3:13">
      <c r="C10714" s="79" t="s">
        <v>2921</v>
      </c>
      <c r="D10714" s="78" t="s">
        <v>2954</v>
      </c>
      <c r="E10714" s="79" t="s">
        <v>139</v>
      </c>
      <c r="F10714" s="79" t="s">
        <v>2955</v>
      </c>
      <c r="G10714" s="79" t="s">
        <v>2928</v>
      </c>
      <c r="H10714" s="79"/>
      <c r="I10714" s="80" t="s">
        <v>2897</v>
      </c>
      <c r="J10714" s="583">
        <v>0.816</v>
      </c>
      <c r="K10714" s="583">
        <v>0</v>
      </c>
      <c r="L10714" s="92">
        <v>37.51</v>
      </c>
      <c r="M10714" s="92">
        <v>30.6</v>
      </c>
    </row>
    <row r="10715" ht="23.85" customHeight="1" spans="3:13">
      <c r="C10715" s="79" t="s">
        <v>2921</v>
      </c>
      <c r="D10715" s="78" t="s">
        <v>2993</v>
      </c>
      <c r="E10715" s="79" t="s">
        <v>139</v>
      </c>
      <c r="F10715" s="79" t="s">
        <v>2994</v>
      </c>
      <c r="G10715" s="79" t="s">
        <v>2995</v>
      </c>
      <c r="H10715" s="79"/>
      <c r="I10715" s="80" t="s">
        <v>2996</v>
      </c>
      <c r="J10715" s="583">
        <v>0.0751</v>
      </c>
      <c r="K10715" s="583">
        <v>0</v>
      </c>
      <c r="L10715" s="92">
        <v>39.98</v>
      </c>
      <c r="M10715" s="92">
        <v>3</v>
      </c>
    </row>
    <row r="10716" ht="23.85" customHeight="1" spans="3:13">
      <c r="C10716" s="79" t="s">
        <v>2921</v>
      </c>
      <c r="D10716" s="78" t="s">
        <v>3000</v>
      </c>
      <c r="E10716" s="79" t="s">
        <v>139</v>
      </c>
      <c r="F10716" s="79" t="s">
        <v>3001</v>
      </c>
      <c r="G10716" s="79" t="s">
        <v>2995</v>
      </c>
      <c r="H10716" s="79"/>
      <c r="I10716" s="80" t="s">
        <v>3002</v>
      </c>
      <c r="J10716" s="583">
        <v>0.0187</v>
      </c>
      <c r="K10716" s="583">
        <v>0</v>
      </c>
      <c r="L10716" s="92">
        <v>41.6</v>
      </c>
      <c r="M10716" s="92">
        <v>0.77</v>
      </c>
    </row>
    <row r="10717" ht="23.85" customHeight="1" spans="3:13">
      <c r="C10717" s="79" t="s">
        <v>2921</v>
      </c>
      <c r="D10717" s="78" t="s">
        <v>3003</v>
      </c>
      <c r="E10717" s="79" t="s">
        <v>139</v>
      </c>
      <c r="F10717" s="79" t="s">
        <v>3004</v>
      </c>
      <c r="G10717" s="79" t="s">
        <v>2928</v>
      </c>
      <c r="H10717" s="79"/>
      <c r="I10717" s="80" t="s">
        <v>2897</v>
      </c>
      <c r="J10717" s="583">
        <v>0.55</v>
      </c>
      <c r="K10717" s="583">
        <v>0</v>
      </c>
      <c r="L10717" s="92">
        <v>29.91</v>
      </c>
      <c r="M10717" s="92">
        <v>16.45</v>
      </c>
    </row>
    <row r="10718" ht="23.85" customHeight="1" spans="3:13">
      <c r="C10718" s="79" t="s">
        <v>2921</v>
      </c>
      <c r="D10718" s="78" t="s">
        <v>2997</v>
      </c>
      <c r="E10718" s="79" t="s">
        <v>139</v>
      </c>
      <c r="F10718" s="79" t="s">
        <v>2998</v>
      </c>
      <c r="G10718" s="79" t="s">
        <v>2999</v>
      </c>
      <c r="H10718" s="79"/>
      <c r="I10718" s="80" t="s">
        <v>279</v>
      </c>
      <c r="J10718" s="583">
        <v>0.0029</v>
      </c>
      <c r="K10718" s="583">
        <v>0</v>
      </c>
      <c r="L10718" s="92">
        <v>464.77</v>
      </c>
      <c r="M10718" s="92">
        <v>1.34</v>
      </c>
    </row>
    <row r="10719" ht="15" customHeight="1" spans="3:13">
      <c r="C10719" s="100" t="s">
        <v>2893</v>
      </c>
      <c r="D10719" s="99" t="s">
        <v>3011</v>
      </c>
      <c r="E10719" s="100" t="s">
        <v>139</v>
      </c>
      <c r="F10719" s="100" t="s">
        <v>3012</v>
      </c>
      <c r="G10719" s="100" t="s">
        <v>2961</v>
      </c>
      <c r="H10719" s="100"/>
      <c r="I10719" s="101" t="s">
        <v>393</v>
      </c>
      <c r="J10719" s="580">
        <v>0.057</v>
      </c>
      <c r="K10719" s="580">
        <v>0</v>
      </c>
      <c r="L10719" s="102">
        <v>18.07</v>
      </c>
      <c r="M10719" s="102">
        <v>1.02</v>
      </c>
    </row>
    <row r="10720" ht="23.85" customHeight="1" spans="3:13">
      <c r="C10720" s="100" t="s">
        <v>2893</v>
      </c>
      <c r="D10720" s="99" t="s">
        <v>3007</v>
      </c>
      <c r="E10720" s="100" t="s">
        <v>139</v>
      </c>
      <c r="F10720" s="100" t="s">
        <v>3008</v>
      </c>
      <c r="G10720" s="100" t="s">
        <v>2961</v>
      </c>
      <c r="H10720" s="100"/>
      <c r="I10720" s="101" t="s">
        <v>204</v>
      </c>
      <c r="J10720" s="580">
        <v>1.2308</v>
      </c>
      <c r="K10720" s="580">
        <v>0</v>
      </c>
      <c r="L10720" s="102">
        <v>8.79</v>
      </c>
      <c r="M10720" s="102">
        <v>10.81</v>
      </c>
    </row>
    <row r="10721" ht="23.85" customHeight="1" spans="3:13">
      <c r="C10721" s="100" t="s">
        <v>2893</v>
      </c>
      <c r="D10721" s="99" t="s">
        <v>3009</v>
      </c>
      <c r="E10721" s="100" t="s">
        <v>139</v>
      </c>
      <c r="F10721" s="100" t="s">
        <v>3010</v>
      </c>
      <c r="G10721" s="100" t="s">
        <v>2961</v>
      </c>
      <c r="H10721" s="100"/>
      <c r="I10721" s="101" t="s">
        <v>204</v>
      </c>
      <c r="J10721" s="580">
        <v>1.6923</v>
      </c>
      <c r="K10721" s="580">
        <v>0</v>
      </c>
      <c r="L10721" s="102">
        <v>6.27</v>
      </c>
      <c r="M10721" s="102">
        <v>10.61</v>
      </c>
    </row>
    <row r="10722" ht="35.05" customHeight="1" spans="3:13">
      <c r="C10722" s="100" t="s">
        <v>2893</v>
      </c>
      <c r="D10722" s="99" t="s">
        <v>3023</v>
      </c>
      <c r="E10722" s="100" t="s">
        <v>139</v>
      </c>
      <c r="F10722" s="100" t="s">
        <v>3024</v>
      </c>
      <c r="G10722" s="100" t="s">
        <v>2961</v>
      </c>
      <c r="H10722" s="100"/>
      <c r="I10722" s="101" t="s">
        <v>141</v>
      </c>
      <c r="J10722" s="580">
        <v>1.050038</v>
      </c>
      <c r="K10722" s="580">
        <v>0</v>
      </c>
      <c r="L10722" s="102">
        <v>28.92</v>
      </c>
      <c r="M10722" s="102">
        <v>30.36</v>
      </c>
    </row>
    <row r="10723" ht="25.5" spans="3:13">
      <c r="C10723" s="108"/>
      <c r="D10723" s="108"/>
      <c r="E10723" s="108"/>
      <c r="F10723" s="108"/>
      <c r="G10723" s="108"/>
      <c r="H10723" s="108" t="s">
        <v>2898</v>
      </c>
      <c r="I10723" s="581">
        <v>36.93</v>
      </c>
      <c r="J10723" s="108" t="s">
        <v>2899</v>
      </c>
      <c r="K10723" s="581">
        <v>0</v>
      </c>
      <c r="L10723" s="108" t="s">
        <v>2900</v>
      </c>
      <c r="M10723" s="581">
        <v>36.93</v>
      </c>
    </row>
    <row r="10724" ht="26.25" spans="3:13">
      <c r="C10724" s="108"/>
      <c r="D10724" s="108"/>
      <c r="E10724" s="108"/>
      <c r="F10724" s="108"/>
      <c r="G10724" s="108"/>
      <c r="H10724" s="108" t="s">
        <v>2901</v>
      </c>
      <c r="I10724" s="581">
        <v>26.75</v>
      </c>
      <c r="J10724" s="114"/>
      <c r="K10724" s="114" t="s">
        <v>2902</v>
      </c>
      <c r="L10724" s="108"/>
      <c r="M10724" s="581">
        <v>131.71</v>
      </c>
    </row>
    <row r="10725" ht="15" spans="3:13">
      <c r="C10725" s="571"/>
      <c r="D10725" s="571"/>
      <c r="E10725" s="571"/>
      <c r="F10725" s="571"/>
      <c r="G10725" s="571"/>
      <c r="H10725" s="571"/>
      <c r="I10725" s="571"/>
      <c r="J10725" s="571"/>
      <c r="K10725" s="571"/>
      <c r="L10725" s="571"/>
      <c r="M10725" s="571"/>
    </row>
    <row r="10726" ht="15" customHeight="1" spans="3:13">
      <c r="C10726" s="76"/>
      <c r="D10726" s="75" t="s">
        <v>63</v>
      </c>
      <c r="E10726" s="76" t="s">
        <v>64</v>
      </c>
      <c r="F10726" s="76" t="s">
        <v>65</v>
      </c>
      <c r="G10726" s="76" t="s">
        <v>2889</v>
      </c>
      <c r="H10726" s="76"/>
      <c r="I10726" s="77" t="s">
        <v>66</v>
      </c>
      <c r="J10726" s="75" t="s">
        <v>67</v>
      </c>
      <c r="K10726" s="75" t="s">
        <v>2890</v>
      </c>
      <c r="L10726" s="75" t="s">
        <v>68</v>
      </c>
      <c r="M10726" s="75" t="s">
        <v>70</v>
      </c>
    </row>
    <row r="10727" ht="23.85" customHeight="1" spans="3:13">
      <c r="C10727" s="569" t="s">
        <v>2891</v>
      </c>
      <c r="D10727" s="570" t="s">
        <v>3017</v>
      </c>
      <c r="E10727" s="569" t="s">
        <v>139</v>
      </c>
      <c r="F10727" s="569" t="s">
        <v>3018</v>
      </c>
      <c r="G10727" s="569" t="s">
        <v>2928</v>
      </c>
      <c r="H10727" s="569"/>
      <c r="I10727" s="577" t="s">
        <v>2897</v>
      </c>
      <c r="J10727" s="578">
        <v>1</v>
      </c>
      <c r="K10727" s="579"/>
      <c r="L10727" s="579">
        <v>36.96</v>
      </c>
      <c r="M10727" s="579">
        <v>36.96</v>
      </c>
    </row>
    <row r="10728" ht="23.85" customHeight="1" spans="3:13">
      <c r="C10728" s="79" t="s">
        <v>2921</v>
      </c>
      <c r="D10728" s="78" t="s">
        <v>5724</v>
      </c>
      <c r="E10728" s="79" t="s">
        <v>139</v>
      </c>
      <c r="F10728" s="79" t="s">
        <v>5725</v>
      </c>
      <c r="G10728" s="79" t="s">
        <v>2928</v>
      </c>
      <c r="H10728" s="79"/>
      <c r="I10728" s="80" t="s">
        <v>2897</v>
      </c>
      <c r="J10728" s="583">
        <v>1</v>
      </c>
      <c r="K10728" s="583">
        <v>0</v>
      </c>
      <c r="L10728" s="92">
        <v>0.55</v>
      </c>
      <c r="M10728" s="92">
        <v>0.55</v>
      </c>
    </row>
    <row r="10729" ht="15" customHeight="1" spans="3:13">
      <c r="C10729" s="100" t="s">
        <v>2893</v>
      </c>
      <c r="D10729" s="99" t="s">
        <v>5312</v>
      </c>
      <c r="E10729" s="100" t="s">
        <v>139</v>
      </c>
      <c r="F10729" s="100" t="s">
        <v>5313</v>
      </c>
      <c r="G10729" s="100" t="s">
        <v>2961</v>
      </c>
      <c r="H10729" s="100"/>
      <c r="I10729" s="101" t="s">
        <v>2897</v>
      </c>
      <c r="J10729" s="580">
        <v>1</v>
      </c>
      <c r="K10729" s="580">
        <v>0</v>
      </c>
      <c r="L10729" s="102">
        <v>0.08</v>
      </c>
      <c r="M10729" s="102">
        <v>0.08</v>
      </c>
    </row>
    <row r="10730" ht="15" customHeight="1" spans="3:13">
      <c r="C10730" s="100" t="s">
        <v>2893</v>
      </c>
      <c r="D10730" s="99" t="s">
        <v>5306</v>
      </c>
      <c r="E10730" s="100" t="s">
        <v>139</v>
      </c>
      <c r="F10730" s="100" t="s">
        <v>5307</v>
      </c>
      <c r="G10730" s="100" t="s">
        <v>2961</v>
      </c>
      <c r="H10730" s="100"/>
      <c r="I10730" s="101" t="s">
        <v>2897</v>
      </c>
      <c r="J10730" s="580">
        <v>1</v>
      </c>
      <c r="K10730" s="580">
        <v>0</v>
      </c>
      <c r="L10730" s="102">
        <v>1.43</v>
      </c>
      <c r="M10730" s="102">
        <v>1.43</v>
      </c>
    </row>
    <row r="10731" ht="23.85" customHeight="1" spans="3:13">
      <c r="C10731" s="100" t="s">
        <v>2893</v>
      </c>
      <c r="D10731" s="99" t="s">
        <v>5304</v>
      </c>
      <c r="E10731" s="100" t="s">
        <v>139</v>
      </c>
      <c r="F10731" s="100" t="s">
        <v>5305</v>
      </c>
      <c r="G10731" s="100" t="s">
        <v>2961</v>
      </c>
      <c r="H10731" s="100"/>
      <c r="I10731" s="101" t="s">
        <v>2897</v>
      </c>
      <c r="J10731" s="580">
        <v>1</v>
      </c>
      <c r="K10731" s="580">
        <v>0</v>
      </c>
      <c r="L10731" s="102">
        <v>1.31</v>
      </c>
      <c r="M10731" s="102">
        <v>1.31</v>
      </c>
    </row>
    <row r="10732" ht="23.85" customHeight="1" spans="3:13">
      <c r="C10732" s="100" t="s">
        <v>2893</v>
      </c>
      <c r="D10732" s="99" t="s">
        <v>5308</v>
      </c>
      <c r="E10732" s="100" t="s">
        <v>139</v>
      </c>
      <c r="F10732" s="100" t="s">
        <v>5309</v>
      </c>
      <c r="G10732" s="100" t="s">
        <v>2961</v>
      </c>
      <c r="H10732" s="100"/>
      <c r="I10732" s="101" t="s">
        <v>2897</v>
      </c>
      <c r="J10732" s="580">
        <v>1</v>
      </c>
      <c r="K10732" s="580">
        <v>0</v>
      </c>
      <c r="L10732" s="102">
        <v>4.84</v>
      </c>
      <c r="M10732" s="102">
        <v>4.84</v>
      </c>
    </row>
    <row r="10733" ht="23.85" customHeight="1" spans="3:13">
      <c r="C10733" s="100" t="s">
        <v>2893</v>
      </c>
      <c r="D10733" s="99" t="s">
        <v>5310</v>
      </c>
      <c r="E10733" s="100" t="s">
        <v>139</v>
      </c>
      <c r="F10733" s="100" t="s">
        <v>5311</v>
      </c>
      <c r="G10733" s="100" t="s">
        <v>2961</v>
      </c>
      <c r="H10733" s="100"/>
      <c r="I10733" s="101" t="s">
        <v>2897</v>
      </c>
      <c r="J10733" s="580">
        <v>1</v>
      </c>
      <c r="K10733" s="580">
        <v>0</v>
      </c>
      <c r="L10733" s="102">
        <v>1.58</v>
      </c>
      <c r="M10733" s="102">
        <v>1.58</v>
      </c>
    </row>
    <row r="10734" ht="23.85" customHeight="1" spans="3:13">
      <c r="C10734" s="100" t="s">
        <v>2893</v>
      </c>
      <c r="D10734" s="99" t="s">
        <v>5314</v>
      </c>
      <c r="E10734" s="100" t="s">
        <v>139</v>
      </c>
      <c r="F10734" s="100" t="s">
        <v>5315</v>
      </c>
      <c r="G10734" s="100" t="s">
        <v>2961</v>
      </c>
      <c r="H10734" s="100"/>
      <c r="I10734" s="101" t="s">
        <v>2897</v>
      </c>
      <c r="J10734" s="580">
        <v>1</v>
      </c>
      <c r="K10734" s="580">
        <v>0</v>
      </c>
      <c r="L10734" s="102">
        <v>0.78</v>
      </c>
      <c r="M10734" s="102">
        <v>0.78</v>
      </c>
    </row>
    <row r="10735" ht="15" customHeight="1" spans="3:13">
      <c r="C10735" s="100" t="s">
        <v>2893</v>
      </c>
      <c r="D10735" s="99" t="s">
        <v>5726</v>
      </c>
      <c r="E10735" s="100" t="s">
        <v>139</v>
      </c>
      <c r="F10735" s="100" t="s">
        <v>5727</v>
      </c>
      <c r="G10735" s="100" t="s">
        <v>2896</v>
      </c>
      <c r="H10735" s="100"/>
      <c r="I10735" s="101" t="s">
        <v>2897</v>
      </c>
      <c r="J10735" s="580">
        <v>1</v>
      </c>
      <c r="K10735" s="580">
        <v>0</v>
      </c>
      <c r="L10735" s="102">
        <v>26.39</v>
      </c>
      <c r="M10735" s="102">
        <v>26.39</v>
      </c>
    </row>
    <row r="10736" ht="25.5" spans="3:13">
      <c r="C10736" s="108"/>
      <c r="D10736" s="108"/>
      <c r="E10736" s="108"/>
      <c r="F10736" s="108"/>
      <c r="G10736" s="108"/>
      <c r="H10736" s="108" t="s">
        <v>2898</v>
      </c>
      <c r="I10736" s="581">
        <v>26.94</v>
      </c>
      <c r="J10736" s="108" t="s">
        <v>2899</v>
      </c>
      <c r="K10736" s="581">
        <v>0</v>
      </c>
      <c r="L10736" s="108" t="s">
        <v>2900</v>
      </c>
      <c r="M10736" s="581">
        <v>26.94</v>
      </c>
    </row>
    <row r="10737" ht="26.25" spans="3:13">
      <c r="C10737" s="108"/>
      <c r="D10737" s="108"/>
      <c r="E10737" s="108"/>
      <c r="F10737" s="108"/>
      <c r="G10737" s="108"/>
      <c r="H10737" s="108" t="s">
        <v>2901</v>
      </c>
      <c r="I10737" s="581">
        <v>9.42</v>
      </c>
      <c r="J10737" s="114"/>
      <c r="K10737" s="114" t="s">
        <v>2902</v>
      </c>
      <c r="L10737" s="108"/>
      <c r="M10737" s="581">
        <v>46.38</v>
      </c>
    </row>
    <row r="10738" ht="15" spans="3:13">
      <c r="C10738" s="571"/>
      <c r="D10738" s="571"/>
      <c r="E10738" s="571"/>
      <c r="F10738" s="571"/>
      <c r="G10738" s="571"/>
      <c r="H10738" s="571"/>
      <c r="I10738" s="571"/>
      <c r="J10738" s="571"/>
      <c r="K10738" s="571"/>
      <c r="L10738" s="571"/>
      <c r="M10738" s="571"/>
    </row>
    <row r="10739" ht="15" customHeight="1" spans="3:13">
      <c r="C10739" s="76"/>
      <c r="D10739" s="75" t="s">
        <v>63</v>
      </c>
      <c r="E10739" s="76" t="s">
        <v>64</v>
      </c>
      <c r="F10739" s="76" t="s">
        <v>65</v>
      </c>
      <c r="G10739" s="76" t="s">
        <v>2889</v>
      </c>
      <c r="H10739" s="76"/>
      <c r="I10739" s="77" t="s">
        <v>66</v>
      </c>
      <c r="J10739" s="75" t="s">
        <v>67</v>
      </c>
      <c r="K10739" s="75" t="s">
        <v>2890</v>
      </c>
      <c r="L10739" s="75" t="s">
        <v>68</v>
      </c>
      <c r="M10739" s="75" t="s">
        <v>70</v>
      </c>
    </row>
    <row r="10740" ht="25.5" spans="3:13">
      <c r="C10740" s="569" t="s">
        <v>2891</v>
      </c>
      <c r="D10740" s="570" t="s">
        <v>5948</v>
      </c>
      <c r="E10740" s="569" t="s">
        <v>77</v>
      </c>
      <c r="F10740" s="569" t="s">
        <v>5949</v>
      </c>
      <c r="G10740" s="569">
        <v>55</v>
      </c>
      <c r="H10740" s="569"/>
      <c r="I10740" s="577" t="s">
        <v>393</v>
      </c>
      <c r="J10740" s="578">
        <v>1</v>
      </c>
      <c r="K10740" s="579"/>
      <c r="L10740" s="579">
        <v>4.67</v>
      </c>
      <c r="M10740" s="579">
        <v>4.67</v>
      </c>
    </row>
    <row r="10741" ht="23.85" customHeight="1" spans="3:13">
      <c r="C10741" s="100" t="s">
        <v>2893</v>
      </c>
      <c r="D10741" s="99" t="s">
        <v>5457</v>
      </c>
      <c r="E10741" s="100" t="s">
        <v>77</v>
      </c>
      <c r="F10741" s="100" t="s">
        <v>5458</v>
      </c>
      <c r="G10741" s="100" t="s">
        <v>2961</v>
      </c>
      <c r="H10741" s="100"/>
      <c r="I10741" s="101" t="s">
        <v>393</v>
      </c>
      <c r="J10741" s="580">
        <v>0.4596</v>
      </c>
      <c r="K10741" s="580">
        <v>0</v>
      </c>
      <c r="L10741" s="102">
        <v>10.18</v>
      </c>
      <c r="M10741" s="102">
        <v>4.67</v>
      </c>
    </row>
    <row r="10742" ht="25.5" spans="3:13">
      <c r="C10742" s="108"/>
      <c r="D10742" s="108"/>
      <c r="E10742" s="108"/>
      <c r="F10742" s="108"/>
      <c r="G10742" s="108"/>
      <c r="H10742" s="108" t="s">
        <v>2898</v>
      </c>
      <c r="I10742" s="581">
        <v>0</v>
      </c>
      <c r="J10742" s="108" t="s">
        <v>2899</v>
      </c>
      <c r="K10742" s="581">
        <v>0</v>
      </c>
      <c r="L10742" s="108" t="s">
        <v>2900</v>
      </c>
      <c r="M10742" s="581">
        <v>0</v>
      </c>
    </row>
    <row r="10743" ht="26.25" spans="3:13">
      <c r="C10743" s="108"/>
      <c r="D10743" s="108"/>
      <c r="E10743" s="108"/>
      <c r="F10743" s="108"/>
      <c r="G10743" s="108"/>
      <c r="H10743" s="108" t="s">
        <v>2901</v>
      </c>
      <c r="I10743" s="581">
        <v>1.19</v>
      </c>
      <c r="J10743" s="114"/>
      <c r="K10743" s="114" t="s">
        <v>2902</v>
      </c>
      <c r="L10743" s="108"/>
      <c r="M10743" s="581">
        <v>5.86</v>
      </c>
    </row>
    <row r="10744" ht="15" spans="3:13">
      <c r="C10744" s="571"/>
      <c r="D10744" s="571"/>
      <c r="E10744" s="571"/>
      <c r="F10744" s="571"/>
      <c r="G10744" s="571"/>
      <c r="H10744" s="571"/>
      <c r="I10744" s="571"/>
      <c r="J10744" s="571"/>
      <c r="K10744" s="571"/>
      <c r="L10744" s="571"/>
      <c r="M10744" s="571"/>
    </row>
    <row r="10745" ht="15" customHeight="1" spans="3:13">
      <c r="C10745" s="76"/>
      <c r="D10745" s="75" t="s">
        <v>63</v>
      </c>
      <c r="E10745" s="76" t="s">
        <v>64</v>
      </c>
      <c r="F10745" s="76" t="s">
        <v>65</v>
      </c>
      <c r="G10745" s="76" t="s">
        <v>2889</v>
      </c>
      <c r="H10745" s="76"/>
      <c r="I10745" s="77" t="s">
        <v>66</v>
      </c>
      <c r="J10745" s="75" t="s">
        <v>67</v>
      </c>
      <c r="K10745" s="75" t="s">
        <v>2890</v>
      </c>
      <c r="L10745" s="75" t="s">
        <v>68</v>
      </c>
      <c r="M10745" s="75" t="s">
        <v>70</v>
      </c>
    </row>
    <row r="10746" ht="25.5" spans="3:13">
      <c r="C10746" s="569" t="s">
        <v>2891</v>
      </c>
      <c r="D10746" s="570" t="s">
        <v>5950</v>
      </c>
      <c r="E10746" s="569" t="s">
        <v>77</v>
      </c>
      <c r="F10746" s="569" t="s">
        <v>5951</v>
      </c>
      <c r="G10746" s="569">
        <v>55</v>
      </c>
      <c r="H10746" s="569"/>
      <c r="I10746" s="577" t="s">
        <v>393</v>
      </c>
      <c r="J10746" s="578">
        <v>1</v>
      </c>
      <c r="K10746" s="579"/>
      <c r="L10746" s="579">
        <v>4.55</v>
      </c>
      <c r="M10746" s="579">
        <v>4.55</v>
      </c>
    </row>
    <row r="10747" ht="23.85" customHeight="1" spans="3:13">
      <c r="C10747" s="100" t="s">
        <v>2893</v>
      </c>
      <c r="D10747" s="99" t="s">
        <v>5457</v>
      </c>
      <c r="E10747" s="100" t="s">
        <v>77</v>
      </c>
      <c r="F10747" s="100" t="s">
        <v>5458</v>
      </c>
      <c r="G10747" s="100" t="s">
        <v>2961</v>
      </c>
      <c r="H10747" s="100"/>
      <c r="I10747" s="101" t="s">
        <v>393</v>
      </c>
      <c r="J10747" s="580">
        <v>0.4478</v>
      </c>
      <c r="K10747" s="580">
        <v>0</v>
      </c>
      <c r="L10747" s="102">
        <v>10.18</v>
      </c>
      <c r="M10747" s="102">
        <v>4.55</v>
      </c>
    </row>
    <row r="10748" ht="25.5" spans="3:13">
      <c r="C10748" s="108"/>
      <c r="D10748" s="108"/>
      <c r="E10748" s="108"/>
      <c r="F10748" s="108"/>
      <c r="G10748" s="108"/>
      <c r="H10748" s="108" t="s">
        <v>2898</v>
      </c>
      <c r="I10748" s="581">
        <v>0</v>
      </c>
      <c r="J10748" s="108" t="s">
        <v>2899</v>
      </c>
      <c r="K10748" s="581">
        <v>0</v>
      </c>
      <c r="L10748" s="108" t="s">
        <v>2900</v>
      </c>
      <c r="M10748" s="581">
        <v>0</v>
      </c>
    </row>
    <row r="10749" ht="26.25" spans="3:13">
      <c r="C10749" s="108"/>
      <c r="D10749" s="108"/>
      <c r="E10749" s="108"/>
      <c r="F10749" s="108"/>
      <c r="G10749" s="108"/>
      <c r="H10749" s="108" t="s">
        <v>2901</v>
      </c>
      <c r="I10749" s="581">
        <v>1.15</v>
      </c>
      <c r="J10749" s="114"/>
      <c r="K10749" s="114" t="s">
        <v>2902</v>
      </c>
      <c r="L10749" s="108"/>
      <c r="M10749" s="581">
        <v>5.7</v>
      </c>
    </row>
    <row r="10750" ht="15" spans="3:13">
      <c r="C10750" s="571"/>
      <c r="D10750" s="571"/>
      <c r="E10750" s="571"/>
      <c r="F10750" s="571"/>
      <c r="G10750" s="571"/>
      <c r="H10750" s="571"/>
      <c r="I10750" s="571"/>
      <c r="J10750" s="571"/>
      <c r="K10750" s="571"/>
      <c r="L10750" s="571"/>
      <c r="M10750" s="571"/>
    </row>
    <row r="10751" ht="15" customHeight="1" spans="3:13">
      <c r="C10751" s="76"/>
      <c r="D10751" s="75" t="s">
        <v>63</v>
      </c>
      <c r="E10751" s="76" t="s">
        <v>64</v>
      </c>
      <c r="F10751" s="76" t="s">
        <v>65</v>
      </c>
      <c r="G10751" s="76" t="s">
        <v>2889</v>
      </c>
      <c r="H10751" s="76"/>
      <c r="I10751" s="77" t="s">
        <v>66</v>
      </c>
      <c r="J10751" s="75" t="s">
        <v>67</v>
      </c>
      <c r="K10751" s="75" t="s">
        <v>2890</v>
      </c>
      <c r="L10751" s="75" t="s">
        <v>68</v>
      </c>
      <c r="M10751" s="75" t="s">
        <v>70</v>
      </c>
    </row>
    <row r="10752" ht="23.85" customHeight="1" spans="3:13">
      <c r="C10752" s="569" t="s">
        <v>2891</v>
      </c>
      <c r="D10752" s="570" t="s">
        <v>5513</v>
      </c>
      <c r="E10752" s="569" t="s">
        <v>139</v>
      </c>
      <c r="F10752" s="569" t="s">
        <v>5514</v>
      </c>
      <c r="G10752" s="569" t="s">
        <v>3911</v>
      </c>
      <c r="H10752" s="569"/>
      <c r="I10752" s="577" t="s">
        <v>279</v>
      </c>
      <c r="J10752" s="578">
        <v>1</v>
      </c>
      <c r="K10752" s="579"/>
      <c r="L10752" s="579">
        <v>3586.58</v>
      </c>
      <c r="M10752" s="579">
        <v>3586.58</v>
      </c>
    </row>
    <row r="10753" ht="23.85" customHeight="1" spans="3:13">
      <c r="C10753" s="79" t="s">
        <v>2921</v>
      </c>
      <c r="D10753" s="78" t="s">
        <v>3026</v>
      </c>
      <c r="E10753" s="79" t="s">
        <v>139</v>
      </c>
      <c r="F10753" s="79" t="s">
        <v>3027</v>
      </c>
      <c r="G10753" s="79" t="s">
        <v>2928</v>
      </c>
      <c r="H10753" s="79"/>
      <c r="I10753" s="80" t="s">
        <v>2897</v>
      </c>
      <c r="J10753" s="583">
        <v>5.96</v>
      </c>
      <c r="K10753" s="583">
        <v>0</v>
      </c>
      <c r="L10753" s="92">
        <v>39.71</v>
      </c>
      <c r="M10753" s="92">
        <v>236.67</v>
      </c>
    </row>
    <row r="10754" ht="23.85" customHeight="1" spans="3:13">
      <c r="C10754" s="79" t="s">
        <v>2921</v>
      </c>
      <c r="D10754" s="78" t="s">
        <v>5380</v>
      </c>
      <c r="E10754" s="79" t="s">
        <v>139</v>
      </c>
      <c r="F10754" s="79" t="s">
        <v>5381</v>
      </c>
      <c r="G10754" s="79" t="s">
        <v>3317</v>
      </c>
      <c r="H10754" s="79"/>
      <c r="I10754" s="80" t="s">
        <v>393</v>
      </c>
      <c r="J10754" s="583">
        <v>27.8988</v>
      </c>
      <c r="K10754" s="583">
        <v>0</v>
      </c>
      <c r="L10754" s="92">
        <v>17.86</v>
      </c>
      <c r="M10754" s="92">
        <v>498.27</v>
      </c>
    </row>
    <row r="10755" ht="23.85" customHeight="1" spans="3:13">
      <c r="C10755" s="79" t="s">
        <v>2921</v>
      </c>
      <c r="D10755" s="78" t="s">
        <v>2952</v>
      </c>
      <c r="E10755" s="79" t="s">
        <v>139</v>
      </c>
      <c r="F10755" s="79" t="s">
        <v>2953</v>
      </c>
      <c r="G10755" s="79" t="s">
        <v>2928</v>
      </c>
      <c r="H10755" s="79"/>
      <c r="I10755" s="80" t="s">
        <v>2897</v>
      </c>
      <c r="J10755" s="583">
        <v>31.3499</v>
      </c>
      <c r="K10755" s="583">
        <v>0</v>
      </c>
      <c r="L10755" s="92">
        <v>29.15</v>
      </c>
      <c r="M10755" s="92">
        <v>913.84</v>
      </c>
    </row>
    <row r="10756" ht="23.85" customHeight="1" spans="3:13">
      <c r="C10756" s="79" t="s">
        <v>2921</v>
      </c>
      <c r="D10756" s="78" t="s">
        <v>2993</v>
      </c>
      <c r="E10756" s="79" t="s">
        <v>139</v>
      </c>
      <c r="F10756" s="79" t="s">
        <v>2994</v>
      </c>
      <c r="G10756" s="79" t="s">
        <v>2995</v>
      </c>
      <c r="H10756" s="79"/>
      <c r="I10756" s="80" t="s">
        <v>2996</v>
      </c>
      <c r="J10756" s="583">
        <v>0.7043</v>
      </c>
      <c r="K10756" s="583">
        <v>0</v>
      </c>
      <c r="L10756" s="92">
        <v>39.98</v>
      </c>
      <c r="M10756" s="92">
        <v>28.15</v>
      </c>
    </row>
    <row r="10757" ht="23.85" customHeight="1" spans="3:13">
      <c r="C10757" s="79" t="s">
        <v>2921</v>
      </c>
      <c r="D10757" s="78" t="s">
        <v>3000</v>
      </c>
      <c r="E10757" s="79" t="s">
        <v>139</v>
      </c>
      <c r="F10757" s="79" t="s">
        <v>3001</v>
      </c>
      <c r="G10757" s="79" t="s">
        <v>2995</v>
      </c>
      <c r="H10757" s="79"/>
      <c r="I10757" s="80" t="s">
        <v>3002</v>
      </c>
      <c r="J10757" s="583">
        <v>0.4877</v>
      </c>
      <c r="K10757" s="583">
        <v>0</v>
      </c>
      <c r="L10757" s="92">
        <v>41.6</v>
      </c>
      <c r="M10757" s="92">
        <v>20.28</v>
      </c>
    </row>
    <row r="10758" ht="23.85" customHeight="1" spans="3:13">
      <c r="C10758" s="79" t="s">
        <v>2921</v>
      </c>
      <c r="D10758" s="78" t="s">
        <v>3017</v>
      </c>
      <c r="E10758" s="79" t="s">
        <v>139</v>
      </c>
      <c r="F10758" s="79" t="s">
        <v>3018</v>
      </c>
      <c r="G10758" s="79" t="s">
        <v>2928</v>
      </c>
      <c r="H10758" s="79"/>
      <c r="I10758" s="80" t="s">
        <v>2897</v>
      </c>
      <c r="J10758" s="583">
        <v>31.3499</v>
      </c>
      <c r="K10758" s="583">
        <v>0</v>
      </c>
      <c r="L10758" s="92">
        <v>36.96</v>
      </c>
      <c r="M10758" s="92">
        <v>1158.69</v>
      </c>
    </row>
    <row r="10759" ht="35.05" customHeight="1" spans="3:13">
      <c r="C10759" s="79" t="s">
        <v>2921</v>
      </c>
      <c r="D10759" s="78" t="s">
        <v>5604</v>
      </c>
      <c r="E10759" s="79" t="s">
        <v>139</v>
      </c>
      <c r="F10759" s="79" t="s">
        <v>5605</v>
      </c>
      <c r="G10759" s="79" t="s">
        <v>2999</v>
      </c>
      <c r="H10759" s="79"/>
      <c r="I10759" s="80" t="s">
        <v>279</v>
      </c>
      <c r="J10759" s="583">
        <v>1.2</v>
      </c>
      <c r="K10759" s="583">
        <v>0</v>
      </c>
      <c r="L10759" s="92">
        <v>466.64</v>
      </c>
      <c r="M10759" s="92">
        <v>559.96</v>
      </c>
    </row>
    <row r="10760" ht="23.85" customHeight="1" spans="3:13">
      <c r="C10760" s="79" t="s">
        <v>2921</v>
      </c>
      <c r="D10760" s="78" t="s">
        <v>3348</v>
      </c>
      <c r="E10760" s="79" t="s">
        <v>139</v>
      </c>
      <c r="F10760" s="79" t="s">
        <v>3349</v>
      </c>
      <c r="G10760" s="79" t="s">
        <v>2995</v>
      </c>
      <c r="H10760" s="79"/>
      <c r="I10760" s="80" t="s">
        <v>3002</v>
      </c>
      <c r="J10760" s="583">
        <v>6.635</v>
      </c>
      <c r="K10760" s="583">
        <v>0</v>
      </c>
      <c r="L10760" s="92">
        <v>1.45</v>
      </c>
      <c r="M10760" s="92">
        <v>9.62</v>
      </c>
    </row>
    <row r="10761" ht="23.85" customHeight="1" spans="3:13">
      <c r="C10761" s="79" t="s">
        <v>2921</v>
      </c>
      <c r="D10761" s="78" t="s">
        <v>3003</v>
      </c>
      <c r="E10761" s="79" t="s">
        <v>139</v>
      </c>
      <c r="F10761" s="79" t="s">
        <v>3004</v>
      </c>
      <c r="G10761" s="79" t="s">
        <v>2928</v>
      </c>
      <c r="H10761" s="79"/>
      <c r="I10761" s="80" t="s">
        <v>2897</v>
      </c>
      <c r="J10761" s="583">
        <v>1.192</v>
      </c>
      <c r="K10761" s="583">
        <v>0</v>
      </c>
      <c r="L10761" s="92">
        <v>29.91</v>
      </c>
      <c r="M10761" s="92">
        <v>35.65</v>
      </c>
    </row>
    <row r="10762" ht="23.85" customHeight="1" spans="3:13">
      <c r="C10762" s="79" t="s">
        <v>2921</v>
      </c>
      <c r="D10762" s="78" t="s">
        <v>3346</v>
      </c>
      <c r="E10762" s="79" t="s">
        <v>139</v>
      </c>
      <c r="F10762" s="79" t="s">
        <v>3347</v>
      </c>
      <c r="G10762" s="79" t="s">
        <v>2995</v>
      </c>
      <c r="H10762" s="79"/>
      <c r="I10762" s="80" t="s">
        <v>2996</v>
      </c>
      <c r="J10762" s="583">
        <v>18.0917</v>
      </c>
      <c r="K10762" s="583">
        <v>0</v>
      </c>
      <c r="L10762" s="92">
        <v>0.53</v>
      </c>
      <c r="M10762" s="92">
        <v>9.58</v>
      </c>
    </row>
    <row r="10763" ht="23.85" customHeight="1" spans="3:13">
      <c r="C10763" s="100" t="s">
        <v>2893</v>
      </c>
      <c r="D10763" s="99" t="s">
        <v>3342</v>
      </c>
      <c r="E10763" s="100" t="s">
        <v>139</v>
      </c>
      <c r="F10763" s="100" t="s">
        <v>3343</v>
      </c>
      <c r="G10763" s="100" t="s">
        <v>2961</v>
      </c>
      <c r="H10763" s="100"/>
      <c r="I10763" s="101" t="s">
        <v>3084</v>
      </c>
      <c r="J10763" s="580">
        <v>0.0833</v>
      </c>
      <c r="K10763" s="580">
        <v>0</v>
      </c>
      <c r="L10763" s="102">
        <v>7.97</v>
      </c>
      <c r="M10763" s="102">
        <v>0.66</v>
      </c>
    </row>
    <row r="10764" ht="35.05" customHeight="1" spans="3:13">
      <c r="C10764" s="100" t="s">
        <v>2893</v>
      </c>
      <c r="D10764" s="99" t="s">
        <v>3330</v>
      </c>
      <c r="E10764" s="100" t="s">
        <v>139</v>
      </c>
      <c r="F10764" s="100" t="s">
        <v>3331</v>
      </c>
      <c r="G10764" s="100" t="s">
        <v>2961</v>
      </c>
      <c r="H10764" s="100"/>
      <c r="I10764" s="101" t="s">
        <v>141</v>
      </c>
      <c r="J10764" s="580">
        <v>1.9404</v>
      </c>
      <c r="K10764" s="580">
        <v>0</v>
      </c>
      <c r="L10764" s="102">
        <v>45.9</v>
      </c>
      <c r="M10764" s="102">
        <v>89.06</v>
      </c>
    </row>
    <row r="10765" ht="15" customHeight="1" spans="3:13">
      <c r="C10765" s="100" t="s">
        <v>2893</v>
      </c>
      <c r="D10765" s="99" t="s">
        <v>3340</v>
      </c>
      <c r="E10765" s="100" t="s">
        <v>139</v>
      </c>
      <c r="F10765" s="100" t="s">
        <v>3341</v>
      </c>
      <c r="G10765" s="100" t="s">
        <v>2961</v>
      </c>
      <c r="H10765" s="100"/>
      <c r="I10765" s="101" t="s">
        <v>393</v>
      </c>
      <c r="J10765" s="580">
        <v>0.4365</v>
      </c>
      <c r="K10765" s="580">
        <v>0</v>
      </c>
      <c r="L10765" s="102">
        <v>20.35</v>
      </c>
      <c r="M10765" s="102">
        <v>8.88</v>
      </c>
    </row>
    <row r="10766" ht="23.85" customHeight="1" spans="3:13">
      <c r="C10766" s="100" t="s">
        <v>2893</v>
      </c>
      <c r="D10766" s="99" t="s">
        <v>3334</v>
      </c>
      <c r="E10766" s="100" t="s">
        <v>139</v>
      </c>
      <c r="F10766" s="100" t="s">
        <v>3335</v>
      </c>
      <c r="G10766" s="100" t="s">
        <v>2961</v>
      </c>
      <c r="H10766" s="100"/>
      <c r="I10766" s="101" t="s">
        <v>204</v>
      </c>
      <c r="J10766" s="580">
        <v>5.6283</v>
      </c>
      <c r="K10766" s="580">
        <v>0</v>
      </c>
      <c r="L10766" s="102">
        <v>3.07</v>
      </c>
      <c r="M10766" s="102">
        <v>17.27</v>
      </c>
    </row>
    <row r="10767" ht="25.5" spans="3:13">
      <c r="C10767" s="108"/>
      <c r="D10767" s="108"/>
      <c r="E10767" s="108"/>
      <c r="F10767" s="108"/>
      <c r="G10767" s="108"/>
      <c r="H10767" s="108" t="s">
        <v>2898</v>
      </c>
      <c r="I10767" s="581">
        <v>1928.28</v>
      </c>
      <c r="J10767" s="108" t="s">
        <v>2899</v>
      </c>
      <c r="K10767" s="581">
        <v>0</v>
      </c>
      <c r="L10767" s="108" t="s">
        <v>2900</v>
      </c>
      <c r="M10767" s="581">
        <v>1928.28</v>
      </c>
    </row>
    <row r="10768" ht="26.25" spans="3:13">
      <c r="C10768" s="108"/>
      <c r="D10768" s="108"/>
      <c r="E10768" s="108"/>
      <c r="F10768" s="108"/>
      <c r="G10768" s="108"/>
      <c r="H10768" s="108" t="s">
        <v>2901</v>
      </c>
      <c r="I10768" s="581">
        <v>914.21</v>
      </c>
      <c r="J10768" s="114"/>
      <c r="K10768" s="114" t="s">
        <v>2902</v>
      </c>
      <c r="L10768" s="108"/>
      <c r="M10768" s="581">
        <v>4500.79</v>
      </c>
    </row>
    <row r="10769" ht="15" spans="3:13">
      <c r="C10769" s="571"/>
      <c r="D10769" s="571"/>
      <c r="E10769" s="571"/>
      <c r="F10769" s="571"/>
      <c r="G10769" s="571"/>
      <c r="H10769" s="571"/>
      <c r="I10769" s="571"/>
      <c r="J10769" s="571"/>
      <c r="K10769" s="571"/>
      <c r="L10769" s="571"/>
      <c r="M10769" s="571"/>
    </row>
    <row r="10770" ht="15" customHeight="1" spans="3:13">
      <c r="C10770" s="76"/>
      <c r="D10770" s="75" t="s">
        <v>63</v>
      </c>
      <c r="E10770" s="76" t="s">
        <v>64</v>
      </c>
      <c r="F10770" s="76" t="s">
        <v>65</v>
      </c>
      <c r="G10770" s="76" t="s">
        <v>2889</v>
      </c>
      <c r="H10770" s="76"/>
      <c r="I10770" s="77" t="s">
        <v>66</v>
      </c>
      <c r="J10770" s="75" t="s">
        <v>67</v>
      </c>
      <c r="K10770" s="75" t="s">
        <v>2890</v>
      </c>
      <c r="L10770" s="75" t="s">
        <v>68</v>
      </c>
      <c r="M10770" s="75" t="s">
        <v>70</v>
      </c>
    </row>
    <row r="10771" ht="23.85" customHeight="1" spans="3:13">
      <c r="C10771" s="569" t="s">
        <v>2891</v>
      </c>
      <c r="D10771" s="570" t="s">
        <v>3909</v>
      </c>
      <c r="E10771" s="569" t="s">
        <v>139</v>
      </c>
      <c r="F10771" s="569" t="s">
        <v>3910</v>
      </c>
      <c r="G10771" s="569" t="s">
        <v>3911</v>
      </c>
      <c r="H10771" s="569"/>
      <c r="I10771" s="577" t="s">
        <v>279</v>
      </c>
      <c r="J10771" s="578">
        <v>1</v>
      </c>
      <c r="K10771" s="579"/>
      <c r="L10771" s="579">
        <v>2872.13</v>
      </c>
      <c r="M10771" s="579">
        <v>2872.13</v>
      </c>
    </row>
    <row r="10772" ht="23.85" customHeight="1" spans="3:13">
      <c r="C10772" s="79" t="s">
        <v>2921</v>
      </c>
      <c r="D10772" s="78" t="s">
        <v>2952</v>
      </c>
      <c r="E10772" s="79" t="s">
        <v>139</v>
      </c>
      <c r="F10772" s="79" t="s">
        <v>2953</v>
      </c>
      <c r="G10772" s="79" t="s">
        <v>2928</v>
      </c>
      <c r="H10772" s="79"/>
      <c r="I10772" s="80" t="s">
        <v>2897</v>
      </c>
      <c r="J10772" s="583">
        <v>22.4974</v>
      </c>
      <c r="K10772" s="583">
        <v>0</v>
      </c>
      <c r="L10772" s="92">
        <v>29.15</v>
      </c>
      <c r="M10772" s="92">
        <v>655.79</v>
      </c>
    </row>
    <row r="10773" ht="23.85" customHeight="1" spans="3:13">
      <c r="C10773" s="79" t="s">
        <v>2921</v>
      </c>
      <c r="D10773" s="78" t="s">
        <v>3000</v>
      </c>
      <c r="E10773" s="79" t="s">
        <v>139</v>
      </c>
      <c r="F10773" s="79" t="s">
        <v>3001</v>
      </c>
      <c r="G10773" s="79" t="s">
        <v>2995</v>
      </c>
      <c r="H10773" s="79"/>
      <c r="I10773" s="80" t="s">
        <v>3002</v>
      </c>
      <c r="J10773" s="583">
        <v>0.313</v>
      </c>
      <c r="K10773" s="583">
        <v>0</v>
      </c>
      <c r="L10773" s="92">
        <v>41.6</v>
      </c>
      <c r="M10773" s="92">
        <v>13.02</v>
      </c>
    </row>
    <row r="10774" ht="23.85" customHeight="1" spans="3:13">
      <c r="C10774" s="79" t="s">
        <v>2921</v>
      </c>
      <c r="D10774" s="78" t="s">
        <v>3348</v>
      </c>
      <c r="E10774" s="79" t="s">
        <v>139</v>
      </c>
      <c r="F10774" s="79" t="s">
        <v>3349</v>
      </c>
      <c r="G10774" s="79" t="s">
        <v>2995</v>
      </c>
      <c r="H10774" s="79"/>
      <c r="I10774" s="80" t="s">
        <v>3002</v>
      </c>
      <c r="J10774" s="583">
        <v>4.6865</v>
      </c>
      <c r="K10774" s="583">
        <v>0</v>
      </c>
      <c r="L10774" s="92">
        <v>1.45</v>
      </c>
      <c r="M10774" s="92">
        <v>6.79</v>
      </c>
    </row>
    <row r="10775" ht="23.85" customHeight="1" spans="3:13">
      <c r="C10775" s="79" t="s">
        <v>2921</v>
      </c>
      <c r="D10775" s="78" t="s">
        <v>3026</v>
      </c>
      <c r="E10775" s="79" t="s">
        <v>139</v>
      </c>
      <c r="F10775" s="79" t="s">
        <v>3027</v>
      </c>
      <c r="G10775" s="79" t="s">
        <v>2928</v>
      </c>
      <c r="H10775" s="79"/>
      <c r="I10775" s="80" t="s">
        <v>2897</v>
      </c>
      <c r="J10775" s="583">
        <v>3.678</v>
      </c>
      <c r="K10775" s="583">
        <v>0</v>
      </c>
      <c r="L10775" s="92">
        <v>39.71</v>
      </c>
      <c r="M10775" s="92">
        <v>146.05</v>
      </c>
    </row>
    <row r="10776" ht="23.85" customHeight="1" spans="3:13">
      <c r="C10776" s="79" t="s">
        <v>2921</v>
      </c>
      <c r="D10776" s="78" t="s">
        <v>2993</v>
      </c>
      <c r="E10776" s="79" t="s">
        <v>139</v>
      </c>
      <c r="F10776" s="79" t="s">
        <v>2994</v>
      </c>
      <c r="G10776" s="79" t="s">
        <v>2995</v>
      </c>
      <c r="H10776" s="79"/>
      <c r="I10776" s="80" t="s">
        <v>2996</v>
      </c>
      <c r="J10776" s="583">
        <v>0.4226</v>
      </c>
      <c r="K10776" s="583">
        <v>0</v>
      </c>
      <c r="L10776" s="92">
        <v>39.98</v>
      </c>
      <c r="M10776" s="92">
        <v>16.89</v>
      </c>
    </row>
    <row r="10777" ht="23.85" customHeight="1" spans="3:13">
      <c r="C10777" s="79" t="s">
        <v>2921</v>
      </c>
      <c r="D10777" s="78" t="s">
        <v>3003</v>
      </c>
      <c r="E10777" s="79" t="s">
        <v>139</v>
      </c>
      <c r="F10777" s="79" t="s">
        <v>3004</v>
      </c>
      <c r="G10777" s="79" t="s">
        <v>2928</v>
      </c>
      <c r="H10777" s="79"/>
      <c r="I10777" s="80" t="s">
        <v>2897</v>
      </c>
      <c r="J10777" s="583">
        <v>0.7356</v>
      </c>
      <c r="K10777" s="583">
        <v>0</v>
      </c>
      <c r="L10777" s="92">
        <v>29.91</v>
      </c>
      <c r="M10777" s="92">
        <v>22</v>
      </c>
    </row>
    <row r="10778" ht="23.85" customHeight="1" spans="3:13">
      <c r="C10778" s="79" t="s">
        <v>2921</v>
      </c>
      <c r="D10778" s="78" t="s">
        <v>5380</v>
      </c>
      <c r="E10778" s="79" t="s">
        <v>139</v>
      </c>
      <c r="F10778" s="79" t="s">
        <v>5381</v>
      </c>
      <c r="G10778" s="79" t="s">
        <v>3317</v>
      </c>
      <c r="H10778" s="79"/>
      <c r="I10778" s="80" t="s">
        <v>393</v>
      </c>
      <c r="J10778" s="583">
        <v>28.9369</v>
      </c>
      <c r="K10778" s="583">
        <v>0</v>
      </c>
      <c r="L10778" s="92">
        <v>17.86</v>
      </c>
      <c r="M10778" s="92">
        <v>516.81</v>
      </c>
    </row>
    <row r="10779" ht="23.85" customHeight="1" spans="3:13">
      <c r="C10779" s="79" t="s">
        <v>2921</v>
      </c>
      <c r="D10779" s="78" t="s">
        <v>3017</v>
      </c>
      <c r="E10779" s="79" t="s">
        <v>139</v>
      </c>
      <c r="F10779" s="79" t="s">
        <v>3018</v>
      </c>
      <c r="G10779" s="79" t="s">
        <v>2928</v>
      </c>
      <c r="H10779" s="79"/>
      <c r="I10779" s="80" t="s">
        <v>2897</v>
      </c>
      <c r="J10779" s="583">
        <v>22.4974</v>
      </c>
      <c r="K10779" s="583">
        <v>0</v>
      </c>
      <c r="L10779" s="92">
        <v>36.96</v>
      </c>
      <c r="M10779" s="92">
        <v>831.5</v>
      </c>
    </row>
    <row r="10780" ht="35.05" customHeight="1" spans="3:13">
      <c r="C10780" s="79" t="s">
        <v>2921</v>
      </c>
      <c r="D10780" s="78" t="s">
        <v>3344</v>
      </c>
      <c r="E10780" s="79" t="s">
        <v>139</v>
      </c>
      <c r="F10780" s="79" t="s">
        <v>3345</v>
      </c>
      <c r="G10780" s="79" t="s">
        <v>2999</v>
      </c>
      <c r="H10780" s="79"/>
      <c r="I10780" s="80" t="s">
        <v>279</v>
      </c>
      <c r="J10780" s="583">
        <v>1.2</v>
      </c>
      <c r="K10780" s="583">
        <v>0</v>
      </c>
      <c r="L10780" s="92">
        <v>480.69</v>
      </c>
      <c r="M10780" s="92">
        <v>576.82</v>
      </c>
    </row>
    <row r="10781" ht="23.85" customHeight="1" spans="3:13">
      <c r="C10781" s="79" t="s">
        <v>2921</v>
      </c>
      <c r="D10781" s="78" t="s">
        <v>3346</v>
      </c>
      <c r="E10781" s="79" t="s">
        <v>139</v>
      </c>
      <c r="F10781" s="79" t="s">
        <v>3347</v>
      </c>
      <c r="G10781" s="79" t="s">
        <v>2995</v>
      </c>
      <c r="H10781" s="79"/>
      <c r="I10781" s="80" t="s">
        <v>2996</v>
      </c>
      <c r="J10781" s="583">
        <v>12.7788</v>
      </c>
      <c r="K10781" s="583">
        <v>0</v>
      </c>
      <c r="L10781" s="92">
        <v>0.53</v>
      </c>
      <c r="M10781" s="92">
        <v>6.77</v>
      </c>
    </row>
    <row r="10782" ht="35.05" customHeight="1" spans="3:13">
      <c r="C10782" s="100" t="s">
        <v>2893</v>
      </c>
      <c r="D10782" s="99" t="s">
        <v>3330</v>
      </c>
      <c r="E10782" s="100" t="s">
        <v>139</v>
      </c>
      <c r="F10782" s="100" t="s">
        <v>3331</v>
      </c>
      <c r="G10782" s="100" t="s">
        <v>2961</v>
      </c>
      <c r="H10782" s="100"/>
      <c r="I10782" s="101" t="s">
        <v>141</v>
      </c>
      <c r="J10782" s="580">
        <v>1.3112</v>
      </c>
      <c r="K10782" s="580">
        <v>0</v>
      </c>
      <c r="L10782" s="102">
        <v>45.9</v>
      </c>
      <c r="M10782" s="102">
        <v>60.18</v>
      </c>
    </row>
    <row r="10783" ht="23.85" customHeight="1" spans="3:13">
      <c r="C10783" s="100" t="s">
        <v>2893</v>
      </c>
      <c r="D10783" s="99" t="s">
        <v>3334</v>
      </c>
      <c r="E10783" s="100" t="s">
        <v>139</v>
      </c>
      <c r="F10783" s="100" t="s">
        <v>3335</v>
      </c>
      <c r="G10783" s="100" t="s">
        <v>2961</v>
      </c>
      <c r="H10783" s="100"/>
      <c r="I10783" s="101" t="s">
        <v>204</v>
      </c>
      <c r="J10783" s="580">
        <v>4.477</v>
      </c>
      <c r="K10783" s="580">
        <v>0</v>
      </c>
      <c r="L10783" s="102">
        <v>3.07</v>
      </c>
      <c r="M10783" s="102">
        <v>13.74</v>
      </c>
    </row>
    <row r="10784" ht="23.85" customHeight="1" spans="3:13">
      <c r="C10784" s="100" t="s">
        <v>2893</v>
      </c>
      <c r="D10784" s="99" t="s">
        <v>3342</v>
      </c>
      <c r="E10784" s="100" t="s">
        <v>139</v>
      </c>
      <c r="F10784" s="100" t="s">
        <v>3343</v>
      </c>
      <c r="G10784" s="100" t="s">
        <v>2961</v>
      </c>
      <c r="H10784" s="100"/>
      <c r="I10784" s="101" t="s">
        <v>3084</v>
      </c>
      <c r="J10784" s="580">
        <v>0.0567</v>
      </c>
      <c r="K10784" s="580">
        <v>0</v>
      </c>
      <c r="L10784" s="102">
        <v>7.97</v>
      </c>
      <c r="M10784" s="102">
        <v>0.45</v>
      </c>
    </row>
    <row r="10785" ht="15" customHeight="1" spans="3:13">
      <c r="C10785" s="100" t="s">
        <v>2893</v>
      </c>
      <c r="D10785" s="99" t="s">
        <v>3340</v>
      </c>
      <c r="E10785" s="100" t="s">
        <v>139</v>
      </c>
      <c r="F10785" s="100" t="s">
        <v>3341</v>
      </c>
      <c r="G10785" s="100" t="s">
        <v>2961</v>
      </c>
      <c r="H10785" s="100"/>
      <c r="I10785" s="101" t="s">
        <v>393</v>
      </c>
      <c r="J10785" s="580">
        <v>0.2619</v>
      </c>
      <c r="K10785" s="580">
        <v>0</v>
      </c>
      <c r="L10785" s="102">
        <v>20.35</v>
      </c>
      <c r="M10785" s="102">
        <v>5.32</v>
      </c>
    </row>
    <row r="10786" ht="25.5" spans="3:13">
      <c r="C10786" s="108"/>
      <c r="D10786" s="108"/>
      <c r="E10786" s="108"/>
      <c r="F10786" s="108"/>
      <c r="G10786" s="108"/>
      <c r="H10786" s="108" t="s">
        <v>2898</v>
      </c>
      <c r="I10786" s="581">
        <v>1433.38</v>
      </c>
      <c r="J10786" s="108" t="s">
        <v>2899</v>
      </c>
      <c r="K10786" s="581">
        <v>0</v>
      </c>
      <c r="L10786" s="108" t="s">
        <v>2900</v>
      </c>
      <c r="M10786" s="581">
        <v>1433.38</v>
      </c>
    </row>
    <row r="10787" ht="26.25" spans="3:13">
      <c r="C10787" s="108"/>
      <c r="D10787" s="108"/>
      <c r="E10787" s="108"/>
      <c r="F10787" s="108"/>
      <c r="G10787" s="108"/>
      <c r="H10787" s="108" t="s">
        <v>2901</v>
      </c>
      <c r="I10787" s="581">
        <v>732.1</v>
      </c>
      <c r="J10787" s="114"/>
      <c r="K10787" s="114" t="s">
        <v>2902</v>
      </c>
      <c r="L10787" s="108"/>
      <c r="M10787" s="581">
        <v>3604.23</v>
      </c>
    </row>
    <row r="10788" ht="15" spans="3:13">
      <c r="C10788" s="571"/>
      <c r="D10788" s="571"/>
      <c r="E10788" s="571"/>
      <c r="F10788" s="571"/>
      <c r="G10788" s="571"/>
      <c r="H10788" s="571"/>
      <c r="I10788" s="571"/>
      <c r="J10788" s="571"/>
      <c r="K10788" s="571"/>
      <c r="L10788" s="571"/>
      <c r="M10788" s="571"/>
    </row>
    <row r="10789" ht="15" customHeight="1" spans="3:13">
      <c r="C10789" s="76"/>
      <c r="D10789" s="75" t="s">
        <v>63</v>
      </c>
      <c r="E10789" s="76" t="s">
        <v>64</v>
      </c>
      <c r="F10789" s="76" t="s">
        <v>65</v>
      </c>
      <c r="G10789" s="76" t="s">
        <v>2889</v>
      </c>
      <c r="H10789" s="76"/>
      <c r="I10789" s="77" t="s">
        <v>66</v>
      </c>
      <c r="J10789" s="75" t="s">
        <v>67</v>
      </c>
      <c r="K10789" s="75" t="s">
        <v>2890</v>
      </c>
      <c r="L10789" s="75" t="s">
        <v>68</v>
      </c>
      <c r="M10789" s="75" t="s">
        <v>70</v>
      </c>
    </row>
    <row r="10790" ht="23.85" customHeight="1" spans="3:13">
      <c r="C10790" s="569" t="s">
        <v>2891</v>
      </c>
      <c r="D10790" s="570" t="s">
        <v>3080</v>
      </c>
      <c r="E10790" s="569" t="s">
        <v>139</v>
      </c>
      <c r="F10790" s="569" t="s">
        <v>3081</v>
      </c>
      <c r="G10790" s="569" t="s">
        <v>2928</v>
      </c>
      <c r="H10790" s="569"/>
      <c r="I10790" s="577" t="s">
        <v>2897</v>
      </c>
      <c r="J10790" s="578">
        <v>1</v>
      </c>
      <c r="K10790" s="579"/>
      <c r="L10790" s="579">
        <v>38.02</v>
      </c>
      <c r="M10790" s="579">
        <v>38.02</v>
      </c>
    </row>
    <row r="10791" ht="23.85" customHeight="1" spans="3:13">
      <c r="C10791" s="79" t="s">
        <v>2921</v>
      </c>
      <c r="D10791" s="78" t="s">
        <v>5728</v>
      </c>
      <c r="E10791" s="79" t="s">
        <v>139</v>
      </c>
      <c r="F10791" s="79" t="s">
        <v>5729</v>
      </c>
      <c r="G10791" s="79" t="s">
        <v>2928</v>
      </c>
      <c r="H10791" s="79"/>
      <c r="I10791" s="80" t="s">
        <v>2897</v>
      </c>
      <c r="J10791" s="583">
        <v>1</v>
      </c>
      <c r="K10791" s="583">
        <v>0</v>
      </c>
      <c r="L10791" s="92">
        <v>0.38</v>
      </c>
      <c r="M10791" s="92">
        <v>0.38</v>
      </c>
    </row>
    <row r="10792" ht="15" customHeight="1" spans="3:13">
      <c r="C10792" s="100" t="s">
        <v>2893</v>
      </c>
      <c r="D10792" s="99" t="s">
        <v>5306</v>
      </c>
      <c r="E10792" s="100" t="s">
        <v>139</v>
      </c>
      <c r="F10792" s="100" t="s">
        <v>5307</v>
      </c>
      <c r="G10792" s="100" t="s">
        <v>2961</v>
      </c>
      <c r="H10792" s="100"/>
      <c r="I10792" s="101" t="s">
        <v>2897</v>
      </c>
      <c r="J10792" s="580">
        <v>1</v>
      </c>
      <c r="K10792" s="580">
        <v>0</v>
      </c>
      <c r="L10792" s="102">
        <v>1.43</v>
      </c>
      <c r="M10792" s="102">
        <v>1.43</v>
      </c>
    </row>
    <row r="10793" ht="23.85" customHeight="1" spans="3:13">
      <c r="C10793" s="100" t="s">
        <v>2893</v>
      </c>
      <c r="D10793" s="99" t="s">
        <v>5310</v>
      </c>
      <c r="E10793" s="100" t="s">
        <v>139</v>
      </c>
      <c r="F10793" s="100" t="s">
        <v>5311</v>
      </c>
      <c r="G10793" s="100" t="s">
        <v>2961</v>
      </c>
      <c r="H10793" s="100"/>
      <c r="I10793" s="101" t="s">
        <v>2897</v>
      </c>
      <c r="J10793" s="580">
        <v>1</v>
      </c>
      <c r="K10793" s="580">
        <v>0</v>
      </c>
      <c r="L10793" s="102">
        <v>1.58</v>
      </c>
      <c r="M10793" s="102">
        <v>1.58</v>
      </c>
    </row>
    <row r="10794" ht="23.85" customHeight="1" spans="3:13">
      <c r="C10794" s="100" t="s">
        <v>2893</v>
      </c>
      <c r="D10794" s="99" t="s">
        <v>5952</v>
      </c>
      <c r="E10794" s="100" t="s">
        <v>139</v>
      </c>
      <c r="F10794" s="100" t="s">
        <v>5953</v>
      </c>
      <c r="G10794" s="100" t="s">
        <v>2961</v>
      </c>
      <c r="H10794" s="100"/>
      <c r="I10794" s="101" t="s">
        <v>2897</v>
      </c>
      <c r="J10794" s="580">
        <v>1</v>
      </c>
      <c r="K10794" s="580">
        <v>0</v>
      </c>
      <c r="L10794" s="102">
        <v>2.05</v>
      </c>
      <c r="M10794" s="102">
        <v>2.05</v>
      </c>
    </row>
    <row r="10795" ht="23.85" customHeight="1" spans="3:13">
      <c r="C10795" s="100" t="s">
        <v>2893</v>
      </c>
      <c r="D10795" s="99" t="s">
        <v>5308</v>
      </c>
      <c r="E10795" s="100" t="s">
        <v>139</v>
      </c>
      <c r="F10795" s="100" t="s">
        <v>5309</v>
      </c>
      <c r="G10795" s="100" t="s">
        <v>2961</v>
      </c>
      <c r="H10795" s="100"/>
      <c r="I10795" s="101" t="s">
        <v>2897</v>
      </c>
      <c r="J10795" s="580">
        <v>1</v>
      </c>
      <c r="K10795" s="580">
        <v>0</v>
      </c>
      <c r="L10795" s="102">
        <v>4.84</v>
      </c>
      <c r="M10795" s="102">
        <v>4.84</v>
      </c>
    </row>
    <row r="10796" ht="23.85" customHeight="1" spans="3:13">
      <c r="C10796" s="100" t="s">
        <v>2893</v>
      </c>
      <c r="D10796" s="99" t="s">
        <v>5954</v>
      </c>
      <c r="E10796" s="100" t="s">
        <v>139</v>
      </c>
      <c r="F10796" s="100" t="s">
        <v>5955</v>
      </c>
      <c r="G10796" s="100" t="s">
        <v>2961</v>
      </c>
      <c r="H10796" s="100"/>
      <c r="I10796" s="101" t="s">
        <v>2897</v>
      </c>
      <c r="J10796" s="580">
        <v>1</v>
      </c>
      <c r="K10796" s="580">
        <v>0</v>
      </c>
      <c r="L10796" s="102">
        <v>1.85</v>
      </c>
      <c r="M10796" s="102">
        <v>1.85</v>
      </c>
    </row>
    <row r="10797" ht="15" customHeight="1" spans="3:13">
      <c r="C10797" s="100" t="s">
        <v>2893</v>
      </c>
      <c r="D10797" s="99" t="s">
        <v>5312</v>
      </c>
      <c r="E10797" s="100" t="s">
        <v>139</v>
      </c>
      <c r="F10797" s="100" t="s">
        <v>5313</v>
      </c>
      <c r="G10797" s="100" t="s">
        <v>2961</v>
      </c>
      <c r="H10797" s="100"/>
      <c r="I10797" s="101" t="s">
        <v>2897</v>
      </c>
      <c r="J10797" s="580">
        <v>1</v>
      </c>
      <c r="K10797" s="580">
        <v>0</v>
      </c>
      <c r="L10797" s="102">
        <v>0.08</v>
      </c>
      <c r="M10797" s="102">
        <v>0.08</v>
      </c>
    </row>
    <row r="10798" ht="15" customHeight="1" spans="3:13">
      <c r="C10798" s="100" t="s">
        <v>2893</v>
      </c>
      <c r="D10798" s="99" t="s">
        <v>5730</v>
      </c>
      <c r="E10798" s="100" t="s">
        <v>139</v>
      </c>
      <c r="F10798" s="100" t="s">
        <v>5731</v>
      </c>
      <c r="G10798" s="100" t="s">
        <v>2896</v>
      </c>
      <c r="H10798" s="100"/>
      <c r="I10798" s="101" t="s">
        <v>2897</v>
      </c>
      <c r="J10798" s="580">
        <v>1</v>
      </c>
      <c r="K10798" s="580">
        <v>0</v>
      </c>
      <c r="L10798" s="102">
        <v>25.81</v>
      </c>
      <c r="M10798" s="102">
        <v>25.81</v>
      </c>
    </row>
    <row r="10799" ht="25.5" spans="3:13">
      <c r="C10799" s="108"/>
      <c r="D10799" s="108"/>
      <c r="E10799" s="108"/>
      <c r="F10799" s="108"/>
      <c r="G10799" s="108"/>
      <c r="H10799" s="108" t="s">
        <v>2898</v>
      </c>
      <c r="I10799" s="581">
        <v>26.19</v>
      </c>
      <c r="J10799" s="108" t="s">
        <v>2899</v>
      </c>
      <c r="K10799" s="581">
        <v>0</v>
      </c>
      <c r="L10799" s="108" t="s">
        <v>2900</v>
      </c>
      <c r="M10799" s="581">
        <v>26.19</v>
      </c>
    </row>
    <row r="10800" ht="26.25" spans="3:13">
      <c r="C10800" s="108"/>
      <c r="D10800" s="108"/>
      <c r="E10800" s="108"/>
      <c r="F10800" s="108"/>
      <c r="G10800" s="108"/>
      <c r="H10800" s="108" t="s">
        <v>2901</v>
      </c>
      <c r="I10800" s="581">
        <v>9.69</v>
      </c>
      <c r="J10800" s="114"/>
      <c r="K10800" s="114" t="s">
        <v>2902</v>
      </c>
      <c r="L10800" s="108"/>
      <c r="M10800" s="581">
        <v>47.71</v>
      </c>
    </row>
    <row r="10801" ht="15" spans="3:13">
      <c r="C10801" s="571"/>
      <c r="D10801" s="571"/>
      <c r="E10801" s="571"/>
      <c r="F10801" s="571"/>
      <c r="G10801" s="571"/>
      <c r="H10801" s="571"/>
      <c r="I10801" s="571"/>
      <c r="J10801" s="571"/>
      <c r="K10801" s="571"/>
      <c r="L10801" s="571"/>
      <c r="M10801" s="571"/>
    </row>
    <row r="10802" ht="15" customHeight="1" spans="3:13">
      <c r="C10802" s="76"/>
      <c r="D10802" s="75" t="s">
        <v>63</v>
      </c>
      <c r="E10802" s="76" t="s">
        <v>64</v>
      </c>
      <c r="F10802" s="76" t="s">
        <v>65</v>
      </c>
      <c r="G10802" s="76" t="s">
        <v>2889</v>
      </c>
      <c r="H10802" s="76"/>
      <c r="I10802" s="77" t="s">
        <v>66</v>
      </c>
      <c r="J10802" s="75" t="s">
        <v>67</v>
      </c>
      <c r="K10802" s="75" t="s">
        <v>2890</v>
      </c>
      <c r="L10802" s="75" t="s">
        <v>68</v>
      </c>
      <c r="M10802" s="75" t="s">
        <v>70</v>
      </c>
    </row>
    <row r="10803" ht="15" customHeight="1" spans="3:13">
      <c r="C10803" s="569" t="s">
        <v>2891</v>
      </c>
      <c r="D10803" s="570" t="s">
        <v>2956</v>
      </c>
      <c r="E10803" s="569" t="s">
        <v>139</v>
      </c>
      <c r="F10803" s="569" t="s">
        <v>2957</v>
      </c>
      <c r="G10803" s="569" t="s">
        <v>2958</v>
      </c>
      <c r="H10803" s="569"/>
      <c r="I10803" s="577" t="s">
        <v>141</v>
      </c>
      <c r="J10803" s="578">
        <v>1</v>
      </c>
      <c r="K10803" s="579"/>
      <c r="L10803" s="579">
        <v>29.54</v>
      </c>
      <c r="M10803" s="579">
        <v>29.54</v>
      </c>
    </row>
    <row r="10804" ht="23.85" customHeight="1" spans="3:13">
      <c r="C10804" s="79" t="s">
        <v>2921</v>
      </c>
      <c r="D10804" s="78" t="s">
        <v>3080</v>
      </c>
      <c r="E10804" s="79" t="s">
        <v>139</v>
      </c>
      <c r="F10804" s="79" t="s">
        <v>3081</v>
      </c>
      <c r="G10804" s="79" t="s">
        <v>2928</v>
      </c>
      <c r="H10804" s="79"/>
      <c r="I10804" s="80" t="s">
        <v>2897</v>
      </c>
      <c r="J10804" s="583">
        <v>0.4529</v>
      </c>
      <c r="K10804" s="583">
        <v>0</v>
      </c>
      <c r="L10804" s="92">
        <v>38.02</v>
      </c>
      <c r="M10804" s="92">
        <v>17.21</v>
      </c>
    </row>
    <row r="10805" ht="15" customHeight="1" spans="3:13">
      <c r="C10805" s="100" t="s">
        <v>2893</v>
      </c>
      <c r="D10805" s="99" t="s">
        <v>5956</v>
      </c>
      <c r="E10805" s="100" t="s">
        <v>139</v>
      </c>
      <c r="F10805" s="100" t="s">
        <v>5957</v>
      </c>
      <c r="G10805" s="100" t="s">
        <v>2961</v>
      </c>
      <c r="H10805" s="100"/>
      <c r="I10805" s="101" t="s">
        <v>3084</v>
      </c>
      <c r="J10805" s="580">
        <v>0.3257</v>
      </c>
      <c r="K10805" s="580">
        <v>0</v>
      </c>
      <c r="L10805" s="102">
        <v>37.86</v>
      </c>
      <c r="M10805" s="102">
        <v>12.33</v>
      </c>
    </row>
    <row r="10806" ht="25.5" spans="3:13">
      <c r="C10806" s="108"/>
      <c r="D10806" s="108"/>
      <c r="E10806" s="108"/>
      <c r="F10806" s="108"/>
      <c r="G10806" s="108"/>
      <c r="H10806" s="108" t="s">
        <v>2898</v>
      </c>
      <c r="I10806" s="581">
        <v>11.86</v>
      </c>
      <c r="J10806" s="108" t="s">
        <v>2899</v>
      </c>
      <c r="K10806" s="581">
        <v>0</v>
      </c>
      <c r="L10806" s="108" t="s">
        <v>2900</v>
      </c>
      <c r="M10806" s="581">
        <v>11.86</v>
      </c>
    </row>
    <row r="10807" ht="26.25" spans="3:13">
      <c r="C10807" s="108"/>
      <c r="D10807" s="108"/>
      <c r="E10807" s="108"/>
      <c r="F10807" s="108"/>
      <c r="G10807" s="108"/>
      <c r="H10807" s="108" t="s">
        <v>2901</v>
      </c>
      <c r="I10807" s="581">
        <v>7.52</v>
      </c>
      <c r="J10807" s="114"/>
      <c r="K10807" s="114" t="s">
        <v>2902</v>
      </c>
      <c r="L10807" s="108"/>
      <c r="M10807" s="581">
        <v>37.06</v>
      </c>
    </row>
    <row r="10808" ht="15" spans="3:13">
      <c r="C10808" s="571"/>
      <c r="D10808" s="571"/>
      <c r="E10808" s="571"/>
      <c r="F10808" s="571"/>
      <c r="G10808" s="571"/>
      <c r="H10808" s="571"/>
      <c r="I10808" s="571"/>
      <c r="J10808" s="571"/>
      <c r="K10808" s="571"/>
      <c r="L10808" s="571"/>
      <c r="M10808" s="571"/>
    </row>
    <row r="10809" ht="15" customHeight="1" spans="3:13">
      <c r="C10809" s="76"/>
      <c r="D10809" s="75" t="s">
        <v>63</v>
      </c>
      <c r="E10809" s="76" t="s">
        <v>64</v>
      </c>
      <c r="F10809" s="76" t="s">
        <v>65</v>
      </c>
      <c r="G10809" s="76" t="s">
        <v>2889</v>
      </c>
      <c r="H10809" s="76"/>
      <c r="I10809" s="77" t="s">
        <v>66</v>
      </c>
      <c r="J10809" s="75" t="s">
        <v>67</v>
      </c>
      <c r="K10809" s="75" t="s">
        <v>2890</v>
      </c>
      <c r="L10809" s="75" t="s">
        <v>68</v>
      </c>
      <c r="M10809" s="75" t="s">
        <v>70</v>
      </c>
    </row>
    <row r="10810" ht="35.05" customHeight="1" spans="3:13">
      <c r="C10810" s="569" t="s">
        <v>2891</v>
      </c>
      <c r="D10810" s="570" t="s">
        <v>4376</v>
      </c>
      <c r="E10810" s="569" t="s">
        <v>139</v>
      </c>
      <c r="F10810" s="569" t="s">
        <v>4377</v>
      </c>
      <c r="G10810" s="569" t="s">
        <v>2995</v>
      </c>
      <c r="H10810" s="569"/>
      <c r="I10810" s="577" t="s">
        <v>2996</v>
      </c>
      <c r="J10810" s="578">
        <v>1</v>
      </c>
      <c r="K10810" s="579"/>
      <c r="L10810" s="579">
        <v>0.73</v>
      </c>
      <c r="M10810" s="579">
        <v>0.73</v>
      </c>
    </row>
    <row r="10811" ht="46.25" customHeight="1" spans="3:13">
      <c r="C10811" s="79" t="s">
        <v>2921</v>
      </c>
      <c r="D10811" s="78" t="s">
        <v>5958</v>
      </c>
      <c r="E10811" s="79" t="s">
        <v>139</v>
      </c>
      <c r="F10811" s="79" t="s">
        <v>5959</v>
      </c>
      <c r="G10811" s="79" t="s">
        <v>5464</v>
      </c>
      <c r="H10811" s="79"/>
      <c r="I10811" s="80" t="s">
        <v>2897</v>
      </c>
      <c r="J10811" s="583">
        <v>1</v>
      </c>
      <c r="K10811" s="583">
        <v>0</v>
      </c>
      <c r="L10811" s="92">
        <v>0.15</v>
      </c>
      <c r="M10811" s="92">
        <v>0.15</v>
      </c>
    </row>
    <row r="10812" ht="46.25" customHeight="1" spans="3:13">
      <c r="C10812" s="79" t="s">
        <v>2921</v>
      </c>
      <c r="D10812" s="78" t="s">
        <v>5960</v>
      </c>
      <c r="E10812" s="79" t="s">
        <v>139</v>
      </c>
      <c r="F10812" s="79" t="s">
        <v>5961</v>
      </c>
      <c r="G10812" s="79" t="s">
        <v>5464</v>
      </c>
      <c r="H10812" s="79"/>
      <c r="I10812" s="80" t="s">
        <v>2897</v>
      </c>
      <c r="J10812" s="583">
        <v>1</v>
      </c>
      <c r="K10812" s="583">
        <v>0</v>
      </c>
      <c r="L10812" s="92">
        <v>0.58</v>
      </c>
      <c r="M10812" s="92">
        <v>0.58</v>
      </c>
    </row>
    <row r="10813" ht="25.5" spans="3:13">
      <c r="C10813" s="108"/>
      <c r="D10813" s="108"/>
      <c r="E10813" s="108"/>
      <c r="F10813" s="108"/>
      <c r="G10813" s="108"/>
      <c r="H10813" s="108" t="s">
        <v>2898</v>
      </c>
      <c r="I10813" s="581">
        <v>0</v>
      </c>
      <c r="J10813" s="108" t="s">
        <v>2899</v>
      </c>
      <c r="K10813" s="581">
        <v>0</v>
      </c>
      <c r="L10813" s="108" t="s">
        <v>2900</v>
      </c>
      <c r="M10813" s="581">
        <v>0</v>
      </c>
    </row>
    <row r="10814" ht="26.25" spans="3:13">
      <c r="C10814" s="108"/>
      <c r="D10814" s="108"/>
      <c r="E10814" s="108"/>
      <c r="F10814" s="108"/>
      <c r="G10814" s="108"/>
      <c r="H10814" s="108" t="s">
        <v>2901</v>
      </c>
      <c r="I10814" s="581">
        <v>0.18</v>
      </c>
      <c r="J10814" s="114"/>
      <c r="K10814" s="114" t="s">
        <v>2902</v>
      </c>
      <c r="L10814" s="108"/>
      <c r="M10814" s="581">
        <v>0.91</v>
      </c>
    </row>
    <row r="10815" ht="15" spans="3:13">
      <c r="C10815" s="571"/>
      <c r="D10815" s="571"/>
      <c r="E10815" s="571"/>
      <c r="F10815" s="571"/>
      <c r="G10815" s="571"/>
      <c r="H10815" s="571"/>
      <c r="I10815" s="571"/>
      <c r="J10815" s="571"/>
      <c r="K10815" s="571"/>
      <c r="L10815" s="571"/>
      <c r="M10815" s="571"/>
    </row>
    <row r="10816" ht="15" customHeight="1" spans="3:13">
      <c r="C10816" s="76"/>
      <c r="D10816" s="75" t="s">
        <v>63</v>
      </c>
      <c r="E10816" s="76" t="s">
        <v>64</v>
      </c>
      <c r="F10816" s="76" t="s">
        <v>65</v>
      </c>
      <c r="G10816" s="76" t="s">
        <v>2889</v>
      </c>
      <c r="H10816" s="76"/>
      <c r="I10816" s="77" t="s">
        <v>66</v>
      </c>
      <c r="J10816" s="75" t="s">
        <v>67</v>
      </c>
      <c r="K10816" s="75" t="s">
        <v>2890</v>
      </c>
      <c r="L10816" s="75" t="s">
        <v>68</v>
      </c>
      <c r="M10816" s="75" t="s">
        <v>70</v>
      </c>
    </row>
    <row r="10817" ht="35.05" customHeight="1" spans="3:13">
      <c r="C10817" s="569" t="s">
        <v>2891</v>
      </c>
      <c r="D10817" s="570" t="s">
        <v>4071</v>
      </c>
      <c r="E10817" s="569" t="s">
        <v>139</v>
      </c>
      <c r="F10817" s="569" t="s">
        <v>4072</v>
      </c>
      <c r="G10817" s="569" t="s">
        <v>2995</v>
      </c>
      <c r="H10817" s="569"/>
      <c r="I10817" s="577" t="s">
        <v>3002</v>
      </c>
      <c r="J10817" s="578">
        <v>1</v>
      </c>
      <c r="K10817" s="579"/>
      <c r="L10817" s="579">
        <v>10.19</v>
      </c>
      <c r="M10817" s="579">
        <v>10.19</v>
      </c>
    </row>
    <row r="10818" ht="46.25" customHeight="1" spans="3:13">
      <c r="C10818" s="79" t="s">
        <v>2921</v>
      </c>
      <c r="D10818" s="78" t="s">
        <v>5962</v>
      </c>
      <c r="E10818" s="79" t="s">
        <v>139</v>
      </c>
      <c r="F10818" s="79" t="s">
        <v>5963</v>
      </c>
      <c r="G10818" s="79" t="s">
        <v>5464</v>
      </c>
      <c r="H10818" s="79"/>
      <c r="I10818" s="80" t="s">
        <v>2897</v>
      </c>
      <c r="J10818" s="583">
        <v>1</v>
      </c>
      <c r="K10818" s="583">
        <v>0</v>
      </c>
      <c r="L10818" s="92">
        <v>0.72</v>
      </c>
      <c r="M10818" s="92">
        <v>0.72</v>
      </c>
    </row>
    <row r="10819" ht="46.25" customHeight="1" spans="3:13">
      <c r="C10819" s="79" t="s">
        <v>2921</v>
      </c>
      <c r="D10819" s="78" t="s">
        <v>5960</v>
      </c>
      <c r="E10819" s="79" t="s">
        <v>139</v>
      </c>
      <c r="F10819" s="79" t="s">
        <v>5961</v>
      </c>
      <c r="G10819" s="79" t="s">
        <v>5464</v>
      </c>
      <c r="H10819" s="79"/>
      <c r="I10819" s="80" t="s">
        <v>2897</v>
      </c>
      <c r="J10819" s="583">
        <v>1</v>
      </c>
      <c r="K10819" s="583">
        <v>0</v>
      </c>
      <c r="L10819" s="92">
        <v>0.58</v>
      </c>
      <c r="M10819" s="92">
        <v>0.58</v>
      </c>
    </row>
    <row r="10820" ht="46.25" customHeight="1" spans="3:13">
      <c r="C10820" s="79" t="s">
        <v>2921</v>
      </c>
      <c r="D10820" s="78" t="s">
        <v>5964</v>
      </c>
      <c r="E10820" s="79" t="s">
        <v>139</v>
      </c>
      <c r="F10820" s="79" t="s">
        <v>5965</v>
      </c>
      <c r="G10820" s="79" t="s">
        <v>5464</v>
      </c>
      <c r="H10820" s="79"/>
      <c r="I10820" s="80" t="s">
        <v>2897</v>
      </c>
      <c r="J10820" s="583">
        <v>1</v>
      </c>
      <c r="K10820" s="583">
        <v>0</v>
      </c>
      <c r="L10820" s="92">
        <v>8.74</v>
      </c>
      <c r="M10820" s="92">
        <v>8.74</v>
      </c>
    </row>
    <row r="10821" ht="46.25" customHeight="1" spans="3:13">
      <c r="C10821" s="79" t="s">
        <v>2921</v>
      </c>
      <c r="D10821" s="78" t="s">
        <v>5958</v>
      </c>
      <c r="E10821" s="79" t="s">
        <v>139</v>
      </c>
      <c r="F10821" s="79" t="s">
        <v>5959</v>
      </c>
      <c r="G10821" s="79" t="s">
        <v>5464</v>
      </c>
      <c r="H10821" s="79"/>
      <c r="I10821" s="80" t="s">
        <v>2897</v>
      </c>
      <c r="J10821" s="583">
        <v>1</v>
      </c>
      <c r="K10821" s="583">
        <v>0</v>
      </c>
      <c r="L10821" s="92">
        <v>0.15</v>
      </c>
      <c r="M10821" s="92">
        <v>0.15</v>
      </c>
    </row>
    <row r="10822" ht="25.5" spans="3:13">
      <c r="C10822" s="108"/>
      <c r="D10822" s="108"/>
      <c r="E10822" s="108"/>
      <c r="F10822" s="108"/>
      <c r="G10822" s="108"/>
      <c r="H10822" s="108" t="s">
        <v>2898</v>
      </c>
      <c r="I10822" s="581">
        <v>0</v>
      </c>
      <c r="J10822" s="108" t="s">
        <v>2899</v>
      </c>
      <c r="K10822" s="581">
        <v>0</v>
      </c>
      <c r="L10822" s="108" t="s">
        <v>2900</v>
      </c>
      <c r="M10822" s="581">
        <v>0</v>
      </c>
    </row>
    <row r="10823" ht="26.25" spans="3:13">
      <c r="C10823" s="108"/>
      <c r="D10823" s="108"/>
      <c r="E10823" s="108"/>
      <c r="F10823" s="108"/>
      <c r="G10823" s="108"/>
      <c r="H10823" s="108" t="s">
        <v>2901</v>
      </c>
      <c r="I10823" s="581">
        <v>2.59</v>
      </c>
      <c r="J10823" s="114"/>
      <c r="K10823" s="114" t="s">
        <v>2902</v>
      </c>
      <c r="L10823" s="108"/>
      <c r="M10823" s="581">
        <v>12.78</v>
      </c>
    </row>
    <row r="10824" ht="15" spans="3:13">
      <c r="C10824" s="571"/>
      <c r="D10824" s="571"/>
      <c r="E10824" s="571"/>
      <c r="F10824" s="571"/>
      <c r="G10824" s="571"/>
      <c r="H10824" s="571"/>
      <c r="I10824" s="571"/>
      <c r="J10824" s="571"/>
      <c r="K10824" s="571"/>
      <c r="L10824" s="571"/>
      <c r="M10824" s="571"/>
    </row>
    <row r="10825" ht="15" customHeight="1" spans="3:13">
      <c r="C10825" s="76"/>
      <c r="D10825" s="75" t="s">
        <v>63</v>
      </c>
      <c r="E10825" s="76" t="s">
        <v>64</v>
      </c>
      <c r="F10825" s="76" t="s">
        <v>65</v>
      </c>
      <c r="G10825" s="76" t="s">
        <v>2889</v>
      </c>
      <c r="H10825" s="76"/>
      <c r="I10825" s="77" t="s">
        <v>66</v>
      </c>
      <c r="J10825" s="75" t="s">
        <v>67</v>
      </c>
      <c r="K10825" s="75" t="s">
        <v>2890</v>
      </c>
      <c r="L10825" s="75" t="s">
        <v>68</v>
      </c>
      <c r="M10825" s="75" t="s">
        <v>70</v>
      </c>
    </row>
    <row r="10826" ht="46.25" customHeight="1" spans="3:13">
      <c r="C10826" s="569" t="s">
        <v>2891</v>
      </c>
      <c r="D10826" s="570" t="s">
        <v>5960</v>
      </c>
      <c r="E10826" s="569" t="s">
        <v>139</v>
      </c>
      <c r="F10826" s="569" t="s">
        <v>5961</v>
      </c>
      <c r="G10826" s="569" t="s">
        <v>5464</v>
      </c>
      <c r="H10826" s="569"/>
      <c r="I10826" s="577" t="s">
        <v>2897</v>
      </c>
      <c r="J10826" s="578">
        <v>1</v>
      </c>
      <c r="K10826" s="579"/>
      <c r="L10826" s="579">
        <v>0.58</v>
      </c>
      <c r="M10826" s="579">
        <v>0.58</v>
      </c>
    </row>
    <row r="10827" ht="46.25" customHeight="1" spans="3:13">
      <c r="C10827" s="100" t="s">
        <v>2893</v>
      </c>
      <c r="D10827" s="99" t="s">
        <v>5966</v>
      </c>
      <c r="E10827" s="100" t="s">
        <v>139</v>
      </c>
      <c r="F10827" s="100" t="s">
        <v>5967</v>
      </c>
      <c r="G10827" s="100" t="s">
        <v>3680</v>
      </c>
      <c r="H10827" s="100"/>
      <c r="I10827" s="101" t="s">
        <v>134</v>
      </c>
      <c r="J10827" s="580">
        <v>5.33e-5</v>
      </c>
      <c r="K10827" s="580">
        <v>0</v>
      </c>
      <c r="L10827" s="102">
        <v>10941.06</v>
      </c>
      <c r="M10827" s="102">
        <v>0.58</v>
      </c>
    </row>
    <row r="10828" ht="25.5" spans="3:13">
      <c r="C10828" s="108"/>
      <c r="D10828" s="108"/>
      <c r="E10828" s="108"/>
      <c r="F10828" s="108"/>
      <c r="G10828" s="108"/>
      <c r="H10828" s="108" t="s">
        <v>2898</v>
      </c>
      <c r="I10828" s="581">
        <v>0</v>
      </c>
      <c r="J10828" s="108" t="s">
        <v>2899</v>
      </c>
      <c r="K10828" s="581">
        <v>0</v>
      </c>
      <c r="L10828" s="108" t="s">
        <v>2900</v>
      </c>
      <c r="M10828" s="581">
        <v>0</v>
      </c>
    </row>
    <row r="10829" ht="26.25" spans="3:13">
      <c r="C10829" s="108"/>
      <c r="D10829" s="108"/>
      <c r="E10829" s="108"/>
      <c r="F10829" s="108"/>
      <c r="G10829" s="108"/>
      <c r="H10829" s="108" t="s">
        <v>2901</v>
      </c>
      <c r="I10829" s="581">
        <v>0.14</v>
      </c>
      <c r="J10829" s="114"/>
      <c r="K10829" s="114" t="s">
        <v>2902</v>
      </c>
      <c r="L10829" s="108"/>
      <c r="M10829" s="581">
        <v>0.72</v>
      </c>
    </row>
    <row r="10830" ht="15" spans="3:13">
      <c r="C10830" s="571"/>
      <c r="D10830" s="571"/>
      <c r="E10830" s="571"/>
      <c r="F10830" s="571"/>
      <c r="G10830" s="571"/>
      <c r="H10830" s="571"/>
      <c r="I10830" s="571"/>
      <c r="J10830" s="571"/>
      <c r="K10830" s="571"/>
      <c r="L10830" s="571"/>
      <c r="M10830" s="571"/>
    </row>
    <row r="10831" ht="15" customHeight="1" spans="3:13">
      <c r="C10831" s="76"/>
      <c r="D10831" s="75" t="s">
        <v>63</v>
      </c>
      <c r="E10831" s="76" t="s">
        <v>64</v>
      </c>
      <c r="F10831" s="76" t="s">
        <v>65</v>
      </c>
      <c r="G10831" s="76" t="s">
        <v>2889</v>
      </c>
      <c r="H10831" s="76"/>
      <c r="I10831" s="77" t="s">
        <v>66</v>
      </c>
      <c r="J10831" s="75" t="s">
        <v>67</v>
      </c>
      <c r="K10831" s="75" t="s">
        <v>2890</v>
      </c>
      <c r="L10831" s="75" t="s">
        <v>68</v>
      </c>
      <c r="M10831" s="75" t="s">
        <v>70</v>
      </c>
    </row>
    <row r="10832" ht="46.25" customHeight="1" spans="3:13">
      <c r="C10832" s="569" t="s">
        <v>2891</v>
      </c>
      <c r="D10832" s="570" t="s">
        <v>5958</v>
      </c>
      <c r="E10832" s="569" t="s">
        <v>139</v>
      </c>
      <c r="F10832" s="569" t="s">
        <v>5959</v>
      </c>
      <c r="G10832" s="569" t="s">
        <v>5464</v>
      </c>
      <c r="H10832" s="569"/>
      <c r="I10832" s="577" t="s">
        <v>2897</v>
      </c>
      <c r="J10832" s="578">
        <v>1</v>
      </c>
      <c r="K10832" s="579"/>
      <c r="L10832" s="579">
        <v>0.15</v>
      </c>
      <c r="M10832" s="579">
        <v>0.15</v>
      </c>
    </row>
    <row r="10833" ht="46.25" customHeight="1" spans="3:13">
      <c r="C10833" s="100" t="s">
        <v>2893</v>
      </c>
      <c r="D10833" s="99" t="s">
        <v>5966</v>
      </c>
      <c r="E10833" s="100" t="s">
        <v>139</v>
      </c>
      <c r="F10833" s="100" t="s">
        <v>5967</v>
      </c>
      <c r="G10833" s="100" t="s">
        <v>3680</v>
      </c>
      <c r="H10833" s="100"/>
      <c r="I10833" s="101" t="s">
        <v>134</v>
      </c>
      <c r="J10833" s="580">
        <v>1.43e-5</v>
      </c>
      <c r="K10833" s="580">
        <v>0</v>
      </c>
      <c r="L10833" s="102">
        <v>10941.06</v>
      </c>
      <c r="M10833" s="102">
        <v>0.15</v>
      </c>
    </row>
    <row r="10834" ht="25.5" spans="3:13">
      <c r="C10834" s="108"/>
      <c r="D10834" s="108"/>
      <c r="E10834" s="108"/>
      <c r="F10834" s="108"/>
      <c r="G10834" s="108"/>
      <c r="H10834" s="108" t="s">
        <v>2898</v>
      </c>
      <c r="I10834" s="581">
        <v>0</v>
      </c>
      <c r="J10834" s="108" t="s">
        <v>2899</v>
      </c>
      <c r="K10834" s="581">
        <v>0</v>
      </c>
      <c r="L10834" s="108" t="s">
        <v>2900</v>
      </c>
      <c r="M10834" s="581">
        <v>0</v>
      </c>
    </row>
    <row r="10835" ht="26.25" spans="3:13">
      <c r="C10835" s="108"/>
      <c r="D10835" s="108"/>
      <c r="E10835" s="108"/>
      <c r="F10835" s="108"/>
      <c r="G10835" s="108"/>
      <c r="H10835" s="108" t="s">
        <v>2901</v>
      </c>
      <c r="I10835" s="581">
        <v>0.03</v>
      </c>
      <c r="J10835" s="114"/>
      <c r="K10835" s="114" t="s">
        <v>2902</v>
      </c>
      <c r="L10835" s="108"/>
      <c r="M10835" s="581">
        <v>0.18</v>
      </c>
    </row>
    <row r="10836" ht="15" spans="3:13">
      <c r="C10836" s="571"/>
      <c r="D10836" s="571"/>
      <c r="E10836" s="571"/>
      <c r="F10836" s="571"/>
      <c r="G10836" s="571"/>
      <c r="H10836" s="571"/>
      <c r="I10836" s="571"/>
      <c r="J10836" s="571"/>
      <c r="K10836" s="571"/>
      <c r="L10836" s="571"/>
      <c r="M10836" s="571"/>
    </row>
    <row r="10837" ht="15" customHeight="1" spans="3:13">
      <c r="C10837" s="76"/>
      <c r="D10837" s="75" t="s">
        <v>63</v>
      </c>
      <c r="E10837" s="76" t="s">
        <v>64</v>
      </c>
      <c r="F10837" s="76" t="s">
        <v>65</v>
      </c>
      <c r="G10837" s="76" t="s">
        <v>2889</v>
      </c>
      <c r="H10837" s="76"/>
      <c r="I10837" s="77" t="s">
        <v>66</v>
      </c>
      <c r="J10837" s="75" t="s">
        <v>67</v>
      </c>
      <c r="K10837" s="75" t="s">
        <v>2890</v>
      </c>
      <c r="L10837" s="75" t="s">
        <v>68</v>
      </c>
      <c r="M10837" s="75" t="s">
        <v>70</v>
      </c>
    </row>
    <row r="10838" ht="46.25" customHeight="1" spans="3:13">
      <c r="C10838" s="569" t="s">
        <v>2891</v>
      </c>
      <c r="D10838" s="570" t="s">
        <v>5962</v>
      </c>
      <c r="E10838" s="569" t="s">
        <v>139</v>
      </c>
      <c r="F10838" s="569" t="s">
        <v>5963</v>
      </c>
      <c r="G10838" s="569" t="s">
        <v>5464</v>
      </c>
      <c r="H10838" s="569"/>
      <c r="I10838" s="577" t="s">
        <v>2897</v>
      </c>
      <c r="J10838" s="578">
        <v>1</v>
      </c>
      <c r="K10838" s="579"/>
      <c r="L10838" s="579">
        <v>0.72</v>
      </c>
      <c r="M10838" s="579">
        <v>0.72</v>
      </c>
    </row>
    <row r="10839" ht="46.25" customHeight="1" spans="3:13">
      <c r="C10839" s="100" t="s">
        <v>2893</v>
      </c>
      <c r="D10839" s="99" t="s">
        <v>5966</v>
      </c>
      <c r="E10839" s="100" t="s">
        <v>139</v>
      </c>
      <c r="F10839" s="100" t="s">
        <v>5967</v>
      </c>
      <c r="G10839" s="100" t="s">
        <v>3680</v>
      </c>
      <c r="H10839" s="100"/>
      <c r="I10839" s="101" t="s">
        <v>134</v>
      </c>
      <c r="J10839" s="580">
        <v>6.67e-5</v>
      </c>
      <c r="K10839" s="580">
        <v>0</v>
      </c>
      <c r="L10839" s="102">
        <v>10941.06</v>
      </c>
      <c r="M10839" s="102">
        <v>0.72</v>
      </c>
    </row>
    <row r="10840" ht="25.5" spans="3:13">
      <c r="C10840" s="108"/>
      <c r="D10840" s="108"/>
      <c r="E10840" s="108"/>
      <c r="F10840" s="108"/>
      <c r="G10840" s="108"/>
      <c r="H10840" s="108" t="s">
        <v>2898</v>
      </c>
      <c r="I10840" s="581">
        <v>0</v>
      </c>
      <c r="J10840" s="108" t="s">
        <v>2899</v>
      </c>
      <c r="K10840" s="581">
        <v>0</v>
      </c>
      <c r="L10840" s="108" t="s">
        <v>2900</v>
      </c>
      <c r="M10840" s="581">
        <v>0</v>
      </c>
    </row>
    <row r="10841" ht="26.25" spans="3:13">
      <c r="C10841" s="108"/>
      <c r="D10841" s="108"/>
      <c r="E10841" s="108"/>
      <c r="F10841" s="108"/>
      <c r="G10841" s="108"/>
      <c r="H10841" s="108" t="s">
        <v>2901</v>
      </c>
      <c r="I10841" s="581">
        <v>0.18</v>
      </c>
      <c r="J10841" s="114"/>
      <c r="K10841" s="114" t="s">
        <v>2902</v>
      </c>
      <c r="L10841" s="108"/>
      <c r="M10841" s="581">
        <v>0.9</v>
      </c>
    </row>
    <row r="10842" ht="15" spans="3:13">
      <c r="C10842" s="571"/>
      <c r="D10842" s="571"/>
      <c r="E10842" s="571"/>
      <c r="F10842" s="571"/>
      <c r="G10842" s="571"/>
      <c r="H10842" s="571"/>
      <c r="I10842" s="571"/>
      <c r="J10842" s="571"/>
      <c r="K10842" s="571"/>
      <c r="L10842" s="571"/>
      <c r="M10842" s="571"/>
    </row>
    <row r="10843" ht="15" customHeight="1" spans="3:13">
      <c r="C10843" s="76"/>
      <c r="D10843" s="75" t="s">
        <v>63</v>
      </c>
      <c r="E10843" s="76" t="s">
        <v>64</v>
      </c>
      <c r="F10843" s="76" t="s">
        <v>65</v>
      </c>
      <c r="G10843" s="76" t="s">
        <v>2889</v>
      </c>
      <c r="H10843" s="76"/>
      <c r="I10843" s="77" t="s">
        <v>66</v>
      </c>
      <c r="J10843" s="75" t="s">
        <v>67</v>
      </c>
      <c r="K10843" s="75" t="s">
        <v>2890</v>
      </c>
      <c r="L10843" s="75" t="s">
        <v>68</v>
      </c>
      <c r="M10843" s="75" t="s">
        <v>70</v>
      </c>
    </row>
    <row r="10844" ht="46.25" customHeight="1" spans="3:13">
      <c r="C10844" s="569" t="s">
        <v>2891</v>
      </c>
      <c r="D10844" s="570" t="s">
        <v>5964</v>
      </c>
      <c r="E10844" s="569" t="s">
        <v>139</v>
      </c>
      <c r="F10844" s="569" t="s">
        <v>5965</v>
      </c>
      <c r="G10844" s="569" t="s">
        <v>5464</v>
      </c>
      <c r="H10844" s="569"/>
      <c r="I10844" s="577" t="s">
        <v>2897</v>
      </c>
      <c r="J10844" s="578">
        <v>1</v>
      </c>
      <c r="K10844" s="579"/>
      <c r="L10844" s="579">
        <v>8.74</v>
      </c>
      <c r="M10844" s="579">
        <v>8.74</v>
      </c>
    </row>
    <row r="10845" ht="15" customHeight="1" spans="3:13">
      <c r="C10845" s="100" t="s">
        <v>2893</v>
      </c>
      <c r="D10845" s="99" t="s">
        <v>5569</v>
      </c>
      <c r="E10845" s="100" t="s">
        <v>139</v>
      </c>
      <c r="F10845" s="100" t="s">
        <v>5570</v>
      </c>
      <c r="G10845" s="100" t="s">
        <v>2961</v>
      </c>
      <c r="H10845" s="100"/>
      <c r="I10845" s="101" t="s">
        <v>3084</v>
      </c>
      <c r="J10845" s="580">
        <v>1.44</v>
      </c>
      <c r="K10845" s="580">
        <v>0</v>
      </c>
      <c r="L10845" s="102">
        <v>6.07</v>
      </c>
      <c r="M10845" s="102">
        <v>8.74</v>
      </c>
    </row>
    <row r="10846" ht="25.5" spans="3:13">
      <c r="C10846" s="108"/>
      <c r="D10846" s="108"/>
      <c r="E10846" s="108"/>
      <c r="F10846" s="108"/>
      <c r="G10846" s="108"/>
      <c r="H10846" s="108" t="s">
        <v>2898</v>
      </c>
      <c r="I10846" s="581">
        <v>0</v>
      </c>
      <c r="J10846" s="108" t="s">
        <v>2899</v>
      </c>
      <c r="K10846" s="581">
        <v>0</v>
      </c>
      <c r="L10846" s="108" t="s">
        <v>2900</v>
      </c>
      <c r="M10846" s="581">
        <v>0</v>
      </c>
    </row>
    <row r="10847" ht="26.25" spans="3:13">
      <c r="C10847" s="108"/>
      <c r="D10847" s="108"/>
      <c r="E10847" s="108"/>
      <c r="F10847" s="108"/>
      <c r="G10847" s="108"/>
      <c r="H10847" s="108" t="s">
        <v>2901</v>
      </c>
      <c r="I10847" s="581">
        <v>2.22</v>
      </c>
      <c r="J10847" s="114"/>
      <c r="K10847" s="114" t="s">
        <v>2902</v>
      </c>
      <c r="L10847" s="108"/>
      <c r="M10847" s="581">
        <v>10.96</v>
      </c>
    </row>
    <row r="10848" ht="15" spans="3:13">
      <c r="C10848" s="571"/>
      <c r="D10848" s="571"/>
      <c r="E10848" s="571"/>
      <c r="F10848" s="571"/>
      <c r="G10848" s="571"/>
      <c r="H10848" s="571"/>
      <c r="I10848" s="571"/>
      <c r="J10848" s="571"/>
      <c r="K10848" s="571"/>
      <c r="L10848" s="571"/>
      <c r="M10848" s="571"/>
    </row>
    <row r="10849" ht="15" customHeight="1" spans="3:13">
      <c r="C10849" s="76"/>
      <c r="D10849" s="75" t="s">
        <v>63</v>
      </c>
      <c r="E10849" s="76" t="s">
        <v>64</v>
      </c>
      <c r="F10849" s="76" t="s">
        <v>65</v>
      </c>
      <c r="G10849" s="76" t="s">
        <v>2889</v>
      </c>
      <c r="H10849" s="76"/>
      <c r="I10849" s="77" t="s">
        <v>66</v>
      </c>
      <c r="J10849" s="75" t="s">
        <v>67</v>
      </c>
      <c r="K10849" s="75" t="s">
        <v>2890</v>
      </c>
      <c r="L10849" s="75" t="s">
        <v>68</v>
      </c>
      <c r="M10849" s="75" t="s">
        <v>70</v>
      </c>
    </row>
    <row r="10850" ht="23.85" customHeight="1" spans="3:13">
      <c r="C10850" s="569" t="s">
        <v>2891</v>
      </c>
      <c r="D10850" s="570" t="s">
        <v>5065</v>
      </c>
      <c r="E10850" s="569" t="s">
        <v>139</v>
      </c>
      <c r="F10850" s="569" t="s">
        <v>5066</v>
      </c>
      <c r="G10850" s="569" t="s">
        <v>2995</v>
      </c>
      <c r="H10850" s="569"/>
      <c r="I10850" s="577" t="s">
        <v>2996</v>
      </c>
      <c r="J10850" s="578">
        <v>1</v>
      </c>
      <c r="K10850" s="579"/>
      <c r="L10850" s="579">
        <v>0.75</v>
      </c>
      <c r="M10850" s="579">
        <v>0.75</v>
      </c>
    </row>
    <row r="10851" ht="46.25" customHeight="1" spans="3:13">
      <c r="C10851" s="79" t="s">
        <v>2921</v>
      </c>
      <c r="D10851" s="78" t="s">
        <v>5968</v>
      </c>
      <c r="E10851" s="79" t="s">
        <v>139</v>
      </c>
      <c r="F10851" s="79" t="s">
        <v>5969</v>
      </c>
      <c r="G10851" s="79" t="s">
        <v>5464</v>
      </c>
      <c r="H10851" s="79"/>
      <c r="I10851" s="80" t="s">
        <v>2897</v>
      </c>
      <c r="J10851" s="583">
        <v>1</v>
      </c>
      <c r="K10851" s="583">
        <v>0</v>
      </c>
      <c r="L10851" s="92">
        <v>0.61</v>
      </c>
      <c r="M10851" s="92">
        <v>0.61</v>
      </c>
    </row>
    <row r="10852" ht="46.25" customHeight="1" spans="3:13">
      <c r="C10852" s="79" t="s">
        <v>2921</v>
      </c>
      <c r="D10852" s="78" t="s">
        <v>5970</v>
      </c>
      <c r="E10852" s="79" t="s">
        <v>139</v>
      </c>
      <c r="F10852" s="79" t="s">
        <v>5971</v>
      </c>
      <c r="G10852" s="79" t="s">
        <v>5464</v>
      </c>
      <c r="H10852" s="79"/>
      <c r="I10852" s="80" t="s">
        <v>2897</v>
      </c>
      <c r="J10852" s="583">
        <v>1</v>
      </c>
      <c r="K10852" s="583">
        <v>0</v>
      </c>
      <c r="L10852" s="92">
        <v>0.14</v>
      </c>
      <c r="M10852" s="92">
        <v>0.14</v>
      </c>
    </row>
    <row r="10853" ht="25.5" spans="3:13">
      <c r="C10853" s="108"/>
      <c r="D10853" s="108"/>
      <c r="E10853" s="108"/>
      <c r="F10853" s="108"/>
      <c r="G10853" s="108"/>
      <c r="H10853" s="108" t="s">
        <v>2898</v>
      </c>
      <c r="I10853" s="581">
        <v>0</v>
      </c>
      <c r="J10853" s="108" t="s">
        <v>2899</v>
      </c>
      <c r="K10853" s="581">
        <v>0</v>
      </c>
      <c r="L10853" s="108" t="s">
        <v>2900</v>
      </c>
      <c r="M10853" s="581">
        <v>0</v>
      </c>
    </row>
    <row r="10854" ht="26.25" spans="3:13">
      <c r="C10854" s="108"/>
      <c r="D10854" s="108"/>
      <c r="E10854" s="108"/>
      <c r="F10854" s="108"/>
      <c r="G10854" s="108"/>
      <c r="H10854" s="108" t="s">
        <v>2901</v>
      </c>
      <c r="I10854" s="581">
        <v>0.19</v>
      </c>
      <c r="J10854" s="114"/>
      <c r="K10854" s="114" t="s">
        <v>2902</v>
      </c>
      <c r="L10854" s="108"/>
      <c r="M10854" s="581">
        <v>0.94</v>
      </c>
    </row>
    <row r="10855" ht="15" spans="3:13">
      <c r="C10855" s="571"/>
      <c r="D10855" s="571"/>
      <c r="E10855" s="571"/>
      <c r="F10855" s="571"/>
      <c r="G10855" s="571"/>
      <c r="H10855" s="571"/>
      <c r="I10855" s="571"/>
      <c r="J10855" s="571"/>
      <c r="K10855" s="571"/>
      <c r="L10855" s="571"/>
      <c r="M10855" s="571"/>
    </row>
    <row r="10856" ht="15" customHeight="1" spans="3:13">
      <c r="C10856" s="76"/>
      <c r="D10856" s="75" t="s">
        <v>63</v>
      </c>
      <c r="E10856" s="76" t="s">
        <v>64</v>
      </c>
      <c r="F10856" s="76" t="s">
        <v>65</v>
      </c>
      <c r="G10856" s="76" t="s">
        <v>2889</v>
      </c>
      <c r="H10856" s="76"/>
      <c r="I10856" s="77" t="s">
        <v>66</v>
      </c>
      <c r="J10856" s="75" t="s">
        <v>67</v>
      </c>
      <c r="K10856" s="75" t="s">
        <v>2890</v>
      </c>
      <c r="L10856" s="75" t="s">
        <v>68</v>
      </c>
      <c r="M10856" s="75" t="s">
        <v>70</v>
      </c>
    </row>
    <row r="10857" ht="23.85" customHeight="1" spans="3:13">
      <c r="C10857" s="569" t="s">
        <v>2891</v>
      </c>
      <c r="D10857" s="570" t="s">
        <v>5063</v>
      </c>
      <c r="E10857" s="569" t="s">
        <v>139</v>
      </c>
      <c r="F10857" s="569" t="s">
        <v>5064</v>
      </c>
      <c r="G10857" s="569" t="s">
        <v>2995</v>
      </c>
      <c r="H10857" s="569"/>
      <c r="I10857" s="577" t="s">
        <v>3002</v>
      </c>
      <c r="J10857" s="578">
        <v>1</v>
      </c>
      <c r="K10857" s="579"/>
      <c r="L10857" s="579">
        <v>4.14</v>
      </c>
      <c r="M10857" s="579">
        <v>4.14</v>
      </c>
    </row>
    <row r="10858" ht="46.25" customHeight="1" spans="3:13">
      <c r="C10858" s="79" t="s">
        <v>2921</v>
      </c>
      <c r="D10858" s="78" t="s">
        <v>5970</v>
      </c>
      <c r="E10858" s="79" t="s">
        <v>139</v>
      </c>
      <c r="F10858" s="79" t="s">
        <v>5971</v>
      </c>
      <c r="G10858" s="79" t="s">
        <v>5464</v>
      </c>
      <c r="H10858" s="79"/>
      <c r="I10858" s="80" t="s">
        <v>2897</v>
      </c>
      <c r="J10858" s="583">
        <v>1</v>
      </c>
      <c r="K10858" s="583">
        <v>0</v>
      </c>
      <c r="L10858" s="92">
        <v>0.14</v>
      </c>
      <c r="M10858" s="92">
        <v>0.14</v>
      </c>
    </row>
    <row r="10859" ht="46.25" customHeight="1" spans="3:13">
      <c r="C10859" s="79" t="s">
        <v>2921</v>
      </c>
      <c r="D10859" s="78" t="s">
        <v>5972</v>
      </c>
      <c r="E10859" s="79" t="s">
        <v>139</v>
      </c>
      <c r="F10859" s="79" t="s">
        <v>5973</v>
      </c>
      <c r="G10859" s="79" t="s">
        <v>5464</v>
      </c>
      <c r="H10859" s="79"/>
      <c r="I10859" s="80" t="s">
        <v>2897</v>
      </c>
      <c r="J10859" s="583">
        <v>1</v>
      </c>
      <c r="K10859" s="583">
        <v>0</v>
      </c>
      <c r="L10859" s="92">
        <v>0.47</v>
      </c>
      <c r="M10859" s="92">
        <v>0.47</v>
      </c>
    </row>
    <row r="10860" ht="46.25" customHeight="1" spans="3:13">
      <c r="C10860" s="79" t="s">
        <v>2921</v>
      </c>
      <c r="D10860" s="78" t="s">
        <v>5974</v>
      </c>
      <c r="E10860" s="79" t="s">
        <v>139</v>
      </c>
      <c r="F10860" s="79" t="s">
        <v>5975</v>
      </c>
      <c r="G10860" s="79" t="s">
        <v>5464</v>
      </c>
      <c r="H10860" s="79"/>
      <c r="I10860" s="80" t="s">
        <v>2897</v>
      </c>
      <c r="J10860" s="583">
        <v>1</v>
      </c>
      <c r="K10860" s="583">
        <v>0</v>
      </c>
      <c r="L10860" s="92">
        <v>2.92</v>
      </c>
      <c r="M10860" s="92">
        <v>2.92</v>
      </c>
    </row>
    <row r="10861" ht="46.25" customHeight="1" spans="3:13">
      <c r="C10861" s="79" t="s">
        <v>2921</v>
      </c>
      <c r="D10861" s="78" t="s">
        <v>5968</v>
      </c>
      <c r="E10861" s="79" t="s">
        <v>139</v>
      </c>
      <c r="F10861" s="79" t="s">
        <v>5969</v>
      </c>
      <c r="G10861" s="79" t="s">
        <v>5464</v>
      </c>
      <c r="H10861" s="79"/>
      <c r="I10861" s="80" t="s">
        <v>2897</v>
      </c>
      <c r="J10861" s="583">
        <v>1</v>
      </c>
      <c r="K10861" s="583">
        <v>0</v>
      </c>
      <c r="L10861" s="92">
        <v>0.61</v>
      </c>
      <c r="M10861" s="92">
        <v>0.61</v>
      </c>
    </row>
    <row r="10862" ht="25.5" spans="3:13">
      <c r="C10862" s="108"/>
      <c r="D10862" s="108"/>
      <c r="E10862" s="108"/>
      <c r="F10862" s="108"/>
      <c r="G10862" s="108"/>
      <c r="H10862" s="108" t="s">
        <v>2898</v>
      </c>
      <c r="I10862" s="581">
        <v>0</v>
      </c>
      <c r="J10862" s="108" t="s">
        <v>2899</v>
      </c>
      <c r="K10862" s="581">
        <v>0</v>
      </c>
      <c r="L10862" s="108" t="s">
        <v>2900</v>
      </c>
      <c r="M10862" s="581">
        <v>0</v>
      </c>
    </row>
    <row r="10863" ht="26.25" spans="3:13">
      <c r="C10863" s="108"/>
      <c r="D10863" s="108"/>
      <c r="E10863" s="108"/>
      <c r="F10863" s="108"/>
      <c r="G10863" s="108"/>
      <c r="H10863" s="108" t="s">
        <v>2901</v>
      </c>
      <c r="I10863" s="581">
        <v>1.05</v>
      </c>
      <c r="J10863" s="114"/>
      <c r="K10863" s="114" t="s">
        <v>2902</v>
      </c>
      <c r="L10863" s="108"/>
      <c r="M10863" s="581">
        <v>5.19</v>
      </c>
    </row>
    <row r="10864" ht="15" spans="3:13">
      <c r="C10864" s="571"/>
      <c r="D10864" s="571"/>
      <c r="E10864" s="571"/>
      <c r="F10864" s="571"/>
      <c r="G10864" s="571"/>
      <c r="H10864" s="571"/>
      <c r="I10864" s="571"/>
      <c r="J10864" s="571"/>
      <c r="K10864" s="571"/>
      <c r="L10864" s="571"/>
      <c r="M10864" s="571"/>
    </row>
    <row r="10865" ht="15" customHeight="1" spans="3:13">
      <c r="C10865" s="76"/>
      <c r="D10865" s="75" t="s">
        <v>63</v>
      </c>
      <c r="E10865" s="76" t="s">
        <v>64</v>
      </c>
      <c r="F10865" s="76" t="s">
        <v>65</v>
      </c>
      <c r="G10865" s="76" t="s">
        <v>2889</v>
      </c>
      <c r="H10865" s="76"/>
      <c r="I10865" s="77" t="s">
        <v>66</v>
      </c>
      <c r="J10865" s="75" t="s">
        <v>67</v>
      </c>
      <c r="K10865" s="75" t="s">
        <v>2890</v>
      </c>
      <c r="L10865" s="75" t="s">
        <v>68</v>
      </c>
      <c r="M10865" s="75" t="s">
        <v>70</v>
      </c>
    </row>
    <row r="10866" ht="46.25" customHeight="1" spans="3:13">
      <c r="C10866" s="569" t="s">
        <v>2891</v>
      </c>
      <c r="D10866" s="570" t="s">
        <v>5968</v>
      </c>
      <c r="E10866" s="569" t="s">
        <v>139</v>
      </c>
      <c r="F10866" s="569" t="s">
        <v>5969</v>
      </c>
      <c r="G10866" s="569" t="s">
        <v>5464</v>
      </c>
      <c r="H10866" s="569"/>
      <c r="I10866" s="577" t="s">
        <v>2897</v>
      </c>
      <c r="J10866" s="578">
        <v>1</v>
      </c>
      <c r="K10866" s="579"/>
      <c r="L10866" s="579">
        <v>0.61</v>
      </c>
      <c r="M10866" s="579">
        <v>0.61</v>
      </c>
    </row>
    <row r="10867" ht="23.85" customHeight="1" spans="3:13">
      <c r="C10867" s="100" t="s">
        <v>2893</v>
      </c>
      <c r="D10867" s="99" t="s">
        <v>5908</v>
      </c>
      <c r="E10867" s="100" t="s">
        <v>139</v>
      </c>
      <c r="F10867" s="100" t="s">
        <v>5909</v>
      </c>
      <c r="G10867" s="100" t="s">
        <v>3680</v>
      </c>
      <c r="H10867" s="100"/>
      <c r="I10867" s="101" t="s">
        <v>134</v>
      </c>
      <c r="J10867" s="580">
        <v>6.4e-5</v>
      </c>
      <c r="K10867" s="580">
        <v>0</v>
      </c>
      <c r="L10867" s="102">
        <v>9574.08</v>
      </c>
      <c r="M10867" s="102">
        <v>0.61</v>
      </c>
    </row>
    <row r="10868" ht="25.5" spans="3:13">
      <c r="C10868" s="108"/>
      <c r="D10868" s="108"/>
      <c r="E10868" s="108"/>
      <c r="F10868" s="108"/>
      <c r="G10868" s="108"/>
      <c r="H10868" s="108" t="s">
        <v>2898</v>
      </c>
      <c r="I10868" s="581">
        <v>0</v>
      </c>
      <c r="J10868" s="108" t="s">
        <v>2899</v>
      </c>
      <c r="K10868" s="581">
        <v>0</v>
      </c>
      <c r="L10868" s="108" t="s">
        <v>2900</v>
      </c>
      <c r="M10868" s="581">
        <v>0</v>
      </c>
    </row>
    <row r="10869" ht="26.25" spans="3:13">
      <c r="C10869" s="108"/>
      <c r="D10869" s="108"/>
      <c r="E10869" s="108"/>
      <c r="F10869" s="108"/>
      <c r="G10869" s="108"/>
      <c r="H10869" s="108" t="s">
        <v>2901</v>
      </c>
      <c r="I10869" s="581">
        <v>0.15</v>
      </c>
      <c r="J10869" s="114"/>
      <c r="K10869" s="114" t="s">
        <v>2902</v>
      </c>
      <c r="L10869" s="108"/>
      <c r="M10869" s="581">
        <v>0.76</v>
      </c>
    </row>
    <row r="10870" ht="15" spans="3:13">
      <c r="C10870" s="571"/>
      <c r="D10870" s="571"/>
      <c r="E10870" s="571"/>
      <c r="F10870" s="571"/>
      <c r="G10870" s="571"/>
      <c r="H10870" s="571"/>
      <c r="I10870" s="571"/>
      <c r="J10870" s="571"/>
      <c r="K10870" s="571"/>
      <c r="L10870" s="571"/>
      <c r="M10870" s="571"/>
    </row>
    <row r="10871" ht="15" customHeight="1" spans="3:13">
      <c r="C10871" s="76"/>
      <c r="D10871" s="75" t="s">
        <v>63</v>
      </c>
      <c r="E10871" s="76" t="s">
        <v>64</v>
      </c>
      <c r="F10871" s="76" t="s">
        <v>65</v>
      </c>
      <c r="G10871" s="76" t="s">
        <v>2889</v>
      </c>
      <c r="H10871" s="76"/>
      <c r="I10871" s="77" t="s">
        <v>66</v>
      </c>
      <c r="J10871" s="75" t="s">
        <v>67</v>
      </c>
      <c r="K10871" s="75" t="s">
        <v>2890</v>
      </c>
      <c r="L10871" s="75" t="s">
        <v>68</v>
      </c>
      <c r="M10871" s="75" t="s">
        <v>70</v>
      </c>
    </row>
    <row r="10872" ht="46.25" customHeight="1" spans="3:13">
      <c r="C10872" s="569" t="s">
        <v>2891</v>
      </c>
      <c r="D10872" s="570" t="s">
        <v>5970</v>
      </c>
      <c r="E10872" s="569" t="s">
        <v>139</v>
      </c>
      <c r="F10872" s="569" t="s">
        <v>5971</v>
      </c>
      <c r="G10872" s="569" t="s">
        <v>5464</v>
      </c>
      <c r="H10872" s="569"/>
      <c r="I10872" s="577" t="s">
        <v>2897</v>
      </c>
      <c r="J10872" s="578">
        <v>1</v>
      </c>
      <c r="K10872" s="579"/>
      <c r="L10872" s="579">
        <v>0.14</v>
      </c>
      <c r="M10872" s="579">
        <v>0.14</v>
      </c>
    </row>
    <row r="10873" ht="23.85" customHeight="1" spans="3:13">
      <c r="C10873" s="100" t="s">
        <v>2893</v>
      </c>
      <c r="D10873" s="99" t="s">
        <v>5908</v>
      </c>
      <c r="E10873" s="100" t="s">
        <v>139</v>
      </c>
      <c r="F10873" s="100" t="s">
        <v>5909</v>
      </c>
      <c r="G10873" s="100" t="s">
        <v>3680</v>
      </c>
      <c r="H10873" s="100"/>
      <c r="I10873" s="101" t="s">
        <v>134</v>
      </c>
      <c r="J10873" s="580">
        <v>1.48e-5</v>
      </c>
      <c r="K10873" s="580">
        <v>0</v>
      </c>
      <c r="L10873" s="102">
        <v>9574.08</v>
      </c>
      <c r="M10873" s="102">
        <v>0.14</v>
      </c>
    </row>
    <row r="10874" ht="25.5" spans="3:13">
      <c r="C10874" s="108"/>
      <c r="D10874" s="108"/>
      <c r="E10874" s="108"/>
      <c r="F10874" s="108"/>
      <c r="G10874" s="108"/>
      <c r="H10874" s="108" t="s">
        <v>2898</v>
      </c>
      <c r="I10874" s="581">
        <v>0</v>
      </c>
      <c r="J10874" s="108" t="s">
        <v>2899</v>
      </c>
      <c r="K10874" s="581">
        <v>0</v>
      </c>
      <c r="L10874" s="108" t="s">
        <v>2900</v>
      </c>
      <c r="M10874" s="581">
        <v>0</v>
      </c>
    </row>
    <row r="10875" ht="26.25" spans="3:13">
      <c r="C10875" s="108"/>
      <c r="D10875" s="108"/>
      <c r="E10875" s="108"/>
      <c r="F10875" s="108"/>
      <c r="G10875" s="108"/>
      <c r="H10875" s="108" t="s">
        <v>2901</v>
      </c>
      <c r="I10875" s="581">
        <v>0.03</v>
      </c>
      <c r="J10875" s="114"/>
      <c r="K10875" s="114" t="s">
        <v>2902</v>
      </c>
      <c r="L10875" s="108"/>
      <c r="M10875" s="581">
        <v>0.17</v>
      </c>
    </row>
    <row r="10876" ht="15" spans="3:13">
      <c r="C10876" s="571"/>
      <c r="D10876" s="571"/>
      <c r="E10876" s="571"/>
      <c r="F10876" s="571"/>
      <c r="G10876" s="571"/>
      <c r="H10876" s="571"/>
      <c r="I10876" s="571"/>
      <c r="J10876" s="571"/>
      <c r="K10876" s="571"/>
      <c r="L10876" s="571"/>
      <c r="M10876" s="571"/>
    </row>
    <row r="10877" ht="15" customHeight="1" spans="3:13">
      <c r="C10877" s="76"/>
      <c r="D10877" s="75" t="s">
        <v>63</v>
      </c>
      <c r="E10877" s="76" t="s">
        <v>64</v>
      </c>
      <c r="F10877" s="76" t="s">
        <v>65</v>
      </c>
      <c r="G10877" s="76" t="s">
        <v>2889</v>
      </c>
      <c r="H10877" s="76"/>
      <c r="I10877" s="77" t="s">
        <v>66</v>
      </c>
      <c r="J10877" s="75" t="s">
        <v>67</v>
      </c>
      <c r="K10877" s="75" t="s">
        <v>2890</v>
      </c>
      <c r="L10877" s="75" t="s">
        <v>68</v>
      </c>
      <c r="M10877" s="75" t="s">
        <v>70</v>
      </c>
    </row>
    <row r="10878" ht="46.25" customHeight="1" spans="3:13">
      <c r="C10878" s="569" t="s">
        <v>2891</v>
      </c>
      <c r="D10878" s="570" t="s">
        <v>5972</v>
      </c>
      <c r="E10878" s="569" t="s">
        <v>139</v>
      </c>
      <c r="F10878" s="569" t="s">
        <v>5973</v>
      </c>
      <c r="G10878" s="569" t="s">
        <v>5464</v>
      </c>
      <c r="H10878" s="569"/>
      <c r="I10878" s="577" t="s">
        <v>2897</v>
      </c>
      <c r="J10878" s="578">
        <v>1</v>
      </c>
      <c r="K10878" s="579"/>
      <c r="L10878" s="579">
        <v>0.47</v>
      </c>
      <c r="M10878" s="579">
        <v>0.47</v>
      </c>
    </row>
    <row r="10879" ht="23.85" customHeight="1" spans="3:13">
      <c r="C10879" s="100" t="s">
        <v>2893</v>
      </c>
      <c r="D10879" s="99" t="s">
        <v>5908</v>
      </c>
      <c r="E10879" s="100" t="s">
        <v>139</v>
      </c>
      <c r="F10879" s="100" t="s">
        <v>5909</v>
      </c>
      <c r="G10879" s="100" t="s">
        <v>3680</v>
      </c>
      <c r="H10879" s="100"/>
      <c r="I10879" s="101" t="s">
        <v>134</v>
      </c>
      <c r="J10879" s="580">
        <v>5e-5</v>
      </c>
      <c r="K10879" s="580">
        <v>0</v>
      </c>
      <c r="L10879" s="102">
        <v>9574.08</v>
      </c>
      <c r="M10879" s="102">
        <v>0.47</v>
      </c>
    </row>
    <row r="10880" ht="25.5" spans="3:13">
      <c r="C10880" s="108"/>
      <c r="D10880" s="108"/>
      <c r="E10880" s="108"/>
      <c r="F10880" s="108"/>
      <c r="G10880" s="108"/>
      <c r="H10880" s="108" t="s">
        <v>2898</v>
      </c>
      <c r="I10880" s="581">
        <v>0</v>
      </c>
      <c r="J10880" s="108" t="s">
        <v>2899</v>
      </c>
      <c r="K10880" s="581">
        <v>0</v>
      </c>
      <c r="L10880" s="108" t="s">
        <v>2900</v>
      </c>
      <c r="M10880" s="581">
        <v>0</v>
      </c>
    </row>
    <row r="10881" ht="26.25" spans="3:13">
      <c r="C10881" s="108"/>
      <c r="D10881" s="108"/>
      <c r="E10881" s="108"/>
      <c r="F10881" s="108"/>
      <c r="G10881" s="108"/>
      <c r="H10881" s="108" t="s">
        <v>2901</v>
      </c>
      <c r="I10881" s="581">
        <v>0.11</v>
      </c>
      <c r="J10881" s="114"/>
      <c r="K10881" s="114" t="s">
        <v>2902</v>
      </c>
      <c r="L10881" s="108"/>
      <c r="M10881" s="581">
        <v>0.58</v>
      </c>
    </row>
    <row r="10882" ht="15" spans="3:13">
      <c r="C10882" s="571"/>
      <c r="D10882" s="571"/>
      <c r="E10882" s="571"/>
      <c r="F10882" s="571"/>
      <c r="G10882" s="571"/>
      <c r="H10882" s="571"/>
      <c r="I10882" s="571"/>
      <c r="J10882" s="571"/>
      <c r="K10882" s="571"/>
      <c r="L10882" s="571"/>
      <c r="M10882" s="571"/>
    </row>
    <row r="10883" ht="15" customHeight="1" spans="3:13">
      <c r="C10883" s="76"/>
      <c r="D10883" s="75" t="s">
        <v>63</v>
      </c>
      <c r="E10883" s="76" t="s">
        <v>64</v>
      </c>
      <c r="F10883" s="76" t="s">
        <v>65</v>
      </c>
      <c r="G10883" s="76" t="s">
        <v>2889</v>
      </c>
      <c r="H10883" s="76"/>
      <c r="I10883" s="77" t="s">
        <v>66</v>
      </c>
      <c r="J10883" s="75" t="s">
        <v>67</v>
      </c>
      <c r="K10883" s="75" t="s">
        <v>2890</v>
      </c>
      <c r="L10883" s="75" t="s">
        <v>68</v>
      </c>
      <c r="M10883" s="75" t="s">
        <v>70</v>
      </c>
    </row>
    <row r="10884" ht="46.25" customHeight="1" spans="3:13">
      <c r="C10884" s="569" t="s">
        <v>2891</v>
      </c>
      <c r="D10884" s="570" t="s">
        <v>5974</v>
      </c>
      <c r="E10884" s="569" t="s">
        <v>139</v>
      </c>
      <c r="F10884" s="569" t="s">
        <v>5975</v>
      </c>
      <c r="G10884" s="569" t="s">
        <v>5464</v>
      </c>
      <c r="H10884" s="569"/>
      <c r="I10884" s="577" t="s">
        <v>2897</v>
      </c>
      <c r="J10884" s="578">
        <v>1</v>
      </c>
      <c r="K10884" s="579"/>
      <c r="L10884" s="579">
        <v>2.92</v>
      </c>
      <c r="M10884" s="579">
        <v>2.92</v>
      </c>
    </row>
    <row r="10885" ht="15" customHeight="1" spans="3:13">
      <c r="C10885" s="100" t="s">
        <v>2893</v>
      </c>
      <c r="D10885" s="99" t="s">
        <v>5473</v>
      </c>
      <c r="E10885" s="100" t="s">
        <v>139</v>
      </c>
      <c r="F10885" s="100" t="s">
        <v>5474</v>
      </c>
      <c r="G10885" s="100" t="s">
        <v>5444</v>
      </c>
      <c r="H10885" s="100"/>
      <c r="I10885" s="101" t="s">
        <v>5228</v>
      </c>
      <c r="J10885" s="580">
        <v>2.54</v>
      </c>
      <c r="K10885" s="580">
        <v>0</v>
      </c>
      <c r="L10885" s="102">
        <v>1.15</v>
      </c>
      <c r="M10885" s="102">
        <v>2.92</v>
      </c>
    </row>
    <row r="10886" ht="25.5" spans="3:13">
      <c r="C10886" s="108"/>
      <c r="D10886" s="108"/>
      <c r="E10886" s="108"/>
      <c r="F10886" s="108"/>
      <c r="G10886" s="108"/>
      <c r="H10886" s="108" t="s">
        <v>2898</v>
      </c>
      <c r="I10886" s="581">
        <v>0</v>
      </c>
      <c r="J10886" s="108" t="s">
        <v>2899</v>
      </c>
      <c r="K10886" s="581">
        <v>0</v>
      </c>
      <c r="L10886" s="108" t="s">
        <v>2900</v>
      </c>
      <c r="M10886" s="581">
        <v>0</v>
      </c>
    </row>
    <row r="10887" ht="26.25" spans="3:13">
      <c r="C10887" s="108"/>
      <c r="D10887" s="108"/>
      <c r="E10887" s="108"/>
      <c r="F10887" s="108"/>
      <c r="G10887" s="108"/>
      <c r="H10887" s="108" t="s">
        <v>2901</v>
      </c>
      <c r="I10887" s="581">
        <v>0.74</v>
      </c>
      <c r="J10887" s="114"/>
      <c r="K10887" s="114" t="s">
        <v>2902</v>
      </c>
      <c r="L10887" s="108"/>
      <c r="M10887" s="581">
        <v>3.66</v>
      </c>
    </row>
    <row r="10888" ht="15" spans="3:13">
      <c r="C10888" s="571"/>
      <c r="D10888" s="571"/>
      <c r="E10888" s="571"/>
      <c r="F10888" s="571"/>
      <c r="G10888" s="571"/>
      <c r="H10888" s="571"/>
      <c r="I10888" s="571"/>
      <c r="J10888" s="571"/>
      <c r="K10888" s="571"/>
      <c r="L10888" s="571"/>
      <c r="M10888" s="571"/>
    </row>
    <row r="10889" ht="15" customHeight="1" spans="3:13">
      <c r="C10889" s="76"/>
      <c r="D10889" s="75" t="s">
        <v>63</v>
      </c>
      <c r="E10889" s="76" t="s">
        <v>64</v>
      </c>
      <c r="F10889" s="76" t="s">
        <v>65</v>
      </c>
      <c r="G10889" s="76" t="s">
        <v>2889</v>
      </c>
      <c r="H10889" s="76"/>
      <c r="I10889" s="77" t="s">
        <v>66</v>
      </c>
      <c r="J10889" s="75" t="s">
        <v>67</v>
      </c>
      <c r="K10889" s="75" t="s">
        <v>2890</v>
      </c>
      <c r="L10889" s="75" t="s">
        <v>68</v>
      </c>
      <c r="M10889" s="75" t="s">
        <v>70</v>
      </c>
    </row>
    <row r="10890" ht="51" spans="3:13">
      <c r="C10890" s="569" t="s">
        <v>2891</v>
      </c>
      <c r="D10890" s="570" t="s">
        <v>3549</v>
      </c>
      <c r="E10890" s="569" t="s">
        <v>77</v>
      </c>
      <c r="F10890" s="569" t="s">
        <v>3550</v>
      </c>
      <c r="G10890" s="569">
        <v>14</v>
      </c>
      <c r="H10890" s="569"/>
      <c r="I10890" s="577" t="s">
        <v>141</v>
      </c>
      <c r="J10890" s="578">
        <v>1</v>
      </c>
      <c r="K10890" s="579"/>
      <c r="L10890" s="579">
        <v>1565.02</v>
      </c>
      <c r="M10890" s="579">
        <v>1565.02</v>
      </c>
    </row>
    <row r="10891" ht="23.85" customHeight="1" spans="3:13">
      <c r="C10891" s="100" t="s">
        <v>2893</v>
      </c>
      <c r="D10891" s="99" t="s">
        <v>3108</v>
      </c>
      <c r="E10891" s="100" t="s">
        <v>77</v>
      </c>
      <c r="F10891" s="100" t="s">
        <v>3109</v>
      </c>
      <c r="G10891" s="100" t="s">
        <v>2896</v>
      </c>
      <c r="H10891" s="100"/>
      <c r="I10891" s="101" t="s">
        <v>2897</v>
      </c>
      <c r="J10891" s="580">
        <v>3</v>
      </c>
      <c r="K10891" s="580">
        <v>18.45</v>
      </c>
      <c r="L10891" s="102">
        <v>19.16</v>
      </c>
      <c r="M10891" s="102">
        <v>68.08</v>
      </c>
    </row>
    <row r="10892" ht="15" customHeight="1" spans="3:13">
      <c r="C10892" s="100" t="s">
        <v>2893</v>
      </c>
      <c r="D10892" s="99" t="s">
        <v>3606</v>
      </c>
      <c r="E10892" s="100" t="s">
        <v>77</v>
      </c>
      <c r="F10892" s="100" t="s">
        <v>3607</v>
      </c>
      <c r="G10892" s="100" t="s">
        <v>2961</v>
      </c>
      <c r="H10892" s="100"/>
      <c r="I10892" s="101" t="s">
        <v>393</v>
      </c>
      <c r="J10892" s="580">
        <v>25</v>
      </c>
      <c r="K10892" s="580">
        <v>59.85</v>
      </c>
      <c r="L10892" s="102">
        <v>34.92</v>
      </c>
      <c r="M10892" s="102">
        <v>1395.49</v>
      </c>
    </row>
    <row r="10893" ht="23.85" customHeight="1" spans="3:13">
      <c r="C10893" s="100" t="s">
        <v>2893</v>
      </c>
      <c r="D10893" s="99" t="s">
        <v>3586</v>
      </c>
      <c r="E10893" s="100" t="s">
        <v>77</v>
      </c>
      <c r="F10893" s="100" t="s">
        <v>3587</v>
      </c>
      <c r="G10893" s="100" t="s">
        <v>2896</v>
      </c>
      <c r="H10893" s="100"/>
      <c r="I10893" s="101" t="s">
        <v>2897</v>
      </c>
      <c r="J10893" s="580">
        <v>3</v>
      </c>
      <c r="K10893" s="580">
        <v>18.45</v>
      </c>
      <c r="L10893" s="102">
        <v>28.55</v>
      </c>
      <c r="M10893" s="102">
        <v>101.45</v>
      </c>
    </row>
    <row r="10894" ht="25.5" spans="3:13">
      <c r="C10894" s="108"/>
      <c r="D10894" s="108"/>
      <c r="E10894" s="108"/>
      <c r="F10894" s="108"/>
      <c r="G10894" s="108"/>
      <c r="H10894" s="108" t="s">
        <v>2898</v>
      </c>
      <c r="I10894" s="581">
        <v>169.53</v>
      </c>
      <c r="J10894" s="108" t="s">
        <v>2899</v>
      </c>
      <c r="K10894" s="581">
        <v>0</v>
      </c>
      <c r="L10894" s="108" t="s">
        <v>2900</v>
      </c>
      <c r="M10894" s="581">
        <v>169.53</v>
      </c>
    </row>
    <row r="10895" ht="26.25" spans="3:13">
      <c r="C10895" s="108"/>
      <c r="D10895" s="108"/>
      <c r="E10895" s="108"/>
      <c r="F10895" s="108"/>
      <c r="G10895" s="108"/>
      <c r="H10895" s="108" t="s">
        <v>2901</v>
      </c>
      <c r="I10895" s="581">
        <v>398.92</v>
      </c>
      <c r="J10895" s="114"/>
      <c r="K10895" s="114" t="s">
        <v>2902</v>
      </c>
      <c r="L10895" s="108"/>
      <c r="M10895" s="581">
        <v>1963.94</v>
      </c>
    </row>
    <row r="10896" ht="15" spans="3:13">
      <c r="C10896" s="571"/>
      <c r="D10896" s="571"/>
      <c r="E10896" s="571"/>
      <c r="F10896" s="571"/>
      <c r="G10896" s="571"/>
      <c r="H10896" s="571"/>
      <c r="I10896" s="571"/>
      <c r="J10896" s="571"/>
      <c r="K10896" s="571"/>
      <c r="L10896" s="571"/>
      <c r="M10896" s="571"/>
    </row>
    <row r="10897" ht="15" customHeight="1" spans="3:13">
      <c r="C10897" s="76"/>
      <c r="D10897" s="75" t="s">
        <v>63</v>
      </c>
      <c r="E10897" s="76" t="s">
        <v>64</v>
      </c>
      <c r="F10897" s="76" t="s">
        <v>65</v>
      </c>
      <c r="G10897" s="76" t="s">
        <v>2889</v>
      </c>
      <c r="H10897" s="76"/>
      <c r="I10897" s="77" t="s">
        <v>66</v>
      </c>
      <c r="J10897" s="75" t="s">
        <v>67</v>
      </c>
      <c r="K10897" s="75" t="s">
        <v>2890</v>
      </c>
      <c r="L10897" s="75" t="s">
        <v>68</v>
      </c>
      <c r="M10897" s="75" t="s">
        <v>70</v>
      </c>
    </row>
    <row r="10898" ht="76.5" spans="3:13">
      <c r="C10898" s="569" t="s">
        <v>2891</v>
      </c>
      <c r="D10898" s="570" t="s">
        <v>3528</v>
      </c>
      <c r="E10898" s="569" t="s">
        <v>77</v>
      </c>
      <c r="F10898" s="569" t="s">
        <v>3529</v>
      </c>
      <c r="G10898" s="569">
        <v>14</v>
      </c>
      <c r="H10898" s="569"/>
      <c r="I10898" s="577" t="s">
        <v>141</v>
      </c>
      <c r="J10898" s="578">
        <v>1</v>
      </c>
      <c r="K10898" s="579"/>
      <c r="L10898" s="579">
        <v>1453.38</v>
      </c>
      <c r="M10898" s="579">
        <v>1453.38</v>
      </c>
    </row>
    <row r="10899" ht="23.85" customHeight="1" spans="3:13">
      <c r="C10899" s="100" t="s">
        <v>2893</v>
      </c>
      <c r="D10899" s="99" t="s">
        <v>3108</v>
      </c>
      <c r="E10899" s="100" t="s">
        <v>77</v>
      </c>
      <c r="F10899" s="100" t="s">
        <v>3109</v>
      </c>
      <c r="G10899" s="100" t="s">
        <v>2896</v>
      </c>
      <c r="H10899" s="100"/>
      <c r="I10899" s="101" t="s">
        <v>2897</v>
      </c>
      <c r="J10899" s="580">
        <v>3</v>
      </c>
      <c r="K10899" s="580">
        <v>18.45</v>
      </c>
      <c r="L10899" s="102">
        <v>19.16</v>
      </c>
      <c r="M10899" s="102">
        <v>68.08</v>
      </c>
    </row>
    <row r="10900" ht="15" customHeight="1" spans="3:13">
      <c r="C10900" s="100" t="s">
        <v>2893</v>
      </c>
      <c r="D10900" s="99" t="s">
        <v>3606</v>
      </c>
      <c r="E10900" s="100" t="s">
        <v>77</v>
      </c>
      <c r="F10900" s="100" t="s">
        <v>3607</v>
      </c>
      <c r="G10900" s="100" t="s">
        <v>2961</v>
      </c>
      <c r="H10900" s="100"/>
      <c r="I10900" s="101" t="s">
        <v>393</v>
      </c>
      <c r="J10900" s="580">
        <v>23</v>
      </c>
      <c r="K10900" s="580">
        <v>59.85</v>
      </c>
      <c r="L10900" s="102">
        <v>34.92</v>
      </c>
      <c r="M10900" s="102">
        <v>1283.85</v>
      </c>
    </row>
    <row r="10901" ht="23.85" customHeight="1" spans="3:13">
      <c r="C10901" s="100" t="s">
        <v>2893</v>
      </c>
      <c r="D10901" s="99" t="s">
        <v>3586</v>
      </c>
      <c r="E10901" s="100" t="s">
        <v>77</v>
      </c>
      <c r="F10901" s="100" t="s">
        <v>3587</v>
      </c>
      <c r="G10901" s="100" t="s">
        <v>2896</v>
      </c>
      <c r="H10901" s="100"/>
      <c r="I10901" s="101" t="s">
        <v>2897</v>
      </c>
      <c r="J10901" s="580">
        <v>3</v>
      </c>
      <c r="K10901" s="580">
        <v>18.45</v>
      </c>
      <c r="L10901" s="102">
        <v>28.55</v>
      </c>
      <c r="M10901" s="102">
        <v>101.45</v>
      </c>
    </row>
    <row r="10902" ht="25.5" spans="3:13">
      <c r="C10902" s="108"/>
      <c r="D10902" s="108"/>
      <c r="E10902" s="108"/>
      <c r="F10902" s="108"/>
      <c r="G10902" s="108"/>
      <c r="H10902" s="108" t="s">
        <v>2898</v>
      </c>
      <c r="I10902" s="581">
        <v>169.53</v>
      </c>
      <c r="J10902" s="108" t="s">
        <v>2899</v>
      </c>
      <c r="K10902" s="581">
        <v>0</v>
      </c>
      <c r="L10902" s="108" t="s">
        <v>2900</v>
      </c>
      <c r="M10902" s="581">
        <v>169.53</v>
      </c>
    </row>
    <row r="10903" ht="26.25" spans="3:13">
      <c r="C10903" s="108"/>
      <c r="D10903" s="108"/>
      <c r="E10903" s="108"/>
      <c r="F10903" s="108"/>
      <c r="G10903" s="108"/>
      <c r="H10903" s="108" t="s">
        <v>2901</v>
      </c>
      <c r="I10903" s="581">
        <v>370.46</v>
      </c>
      <c r="J10903" s="114"/>
      <c r="K10903" s="114" t="s">
        <v>2902</v>
      </c>
      <c r="L10903" s="108"/>
      <c r="M10903" s="581">
        <v>1823.84</v>
      </c>
    </row>
    <row r="10904" ht="15" spans="3:13">
      <c r="C10904" s="571"/>
      <c r="D10904" s="571"/>
      <c r="E10904" s="571"/>
      <c r="F10904" s="571"/>
      <c r="G10904" s="571"/>
      <c r="H10904" s="571"/>
      <c r="I10904" s="571"/>
      <c r="J10904" s="571"/>
      <c r="K10904" s="571"/>
      <c r="L10904" s="571"/>
      <c r="M10904" s="571"/>
    </row>
    <row r="10905" ht="15" customHeight="1" spans="3:13">
      <c r="C10905" s="76"/>
      <c r="D10905" s="75" t="s">
        <v>63</v>
      </c>
      <c r="E10905" s="76" t="s">
        <v>64</v>
      </c>
      <c r="F10905" s="76" t="s">
        <v>65</v>
      </c>
      <c r="G10905" s="76" t="s">
        <v>2889</v>
      </c>
      <c r="H10905" s="76"/>
      <c r="I10905" s="77" t="s">
        <v>66</v>
      </c>
      <c r="J10905" s="75" t="s">
        <v>67</v>
      </c>
      <c r="K10905" s="75" t="s">
        <v>2890</v>
      </c>
      <c r="L10905" s="75" t="s">
        <v>68</v>
      </c>
      <c r="M10905" s="75" t="s">
        <v>70</v>
      </c>
    </row>
    <row r="10906" ht="51" spans="3:13">
      <c r="C10906" s="569" t="s">
        <v>2891</v>
      </c>
      <c r="D10906" s="570" t="s">
        <v>3519</v>
      </c>
      <c r="E10906" s="569" t="s">
        <v>77</v>
      </c>
      <c r="F10906" s="569" t="s">
        <v>3520</v>
      </c>
      <c r="G10906" s="569">
        <v>14</v>
      </c>
      <c r="H10906" s="569"/>
      <c r="I10906" s="577" t="s">
        <v>141</v>
      </c>
      <c r="J10906" s="578">
        <v>1</v>
      </c>
      <c r="K10906" s="579"/>
      <c r="L10906" s="579">
        <v>1565.02</v>
      </c>
      <c r="M10906" s="579">
        <v>1565.02</v>
      </c>
    </row>
    <row r="10907" ht="15" customHeight="1" spans="3:13">
      <c r="C10907" s="100" t="s">
        <v>2893</v>
      </c>
      <c r="D10907" s="99" t="s">
        <v>3606</v>
      </c>
      <c r="E10907" s="100" t="s">
        <v>77</v>
      </c>
      <c r="F10907" s="100" t="s">
        <v>3607</v>
      </c>
      <c r="G10907" s="100" t="s">
        <v>2961</v>
      </c>
      <c r="H10907" s="100"/>
      <c r="I10907" s="101" t="s">
        <v>393</v>
      </c>
      <c r="J10907" s="580">
        <v>25</v>
      </c>
      <c r="K10907" s="580">
        <v>59.85</v>
      </c>
      <c r="L10907" s="102">
        <v>34.92</v>
      </c>
      <c r="M10907" s="102">
        <v>1395.49</v>
      </c>
    </row>
    <row r="10908" ht="23.85" customHeight="1" spans="3:13">
      <c r="C10908" s="100" t="s">
        <v>2893</v>
      </c>
      <c r="D10908" s="99" t="s">
        <v>3108</v>
      </c>
      <c r="E10908" s="100" t="s">
        <v>77</v>
      </c>
      <c r="F10908" s="100" t="s">
        <v>3109</v>
      </c>
      <c r="G10908" s="100" t="s">
        <v>2896</v>
      </c>
      <c r="H10908" s="100"/>
      <c r="I10908" s="101" t="s">
        <v>2897</v>
      </c>
      <c r="J10908" s="580">
        <v>3</v>
      </c>
      <c r="K10908" s="580">
        <v>18.45</v>
      </c>
      <c r="L10908" s="102">
        <v>19.16</v>
      </c>
      <c r="M10908" s="102">
        <v>68.08</v>
      </c>
    </row>
    <row r="10909" ht="23.85" customHeight="1" spans="3:13">
      <c r="C10909" s="100" t="s">
        <v>2893</v>
      </c>
      <c r="D10909" s="99" t="s">
        <v>3586</v>
      </c>
      <c r="E10909" s="100" t="s">
        <v>77</v>
      </c>
      <c r="F10909" s="100" t="s">
        <v>3587</v>
      </c>
      <c r="G10909" s="100" t="s">
        <v>2896</v>
      </c>
      <c r="H10909" s="100"/>
      <c r="I10909" s="101" t="s">
        <v>2897</v>
      </c>
      <c r="J10909" s="580">
        <v>3</v>
      </c>
      <c r="K10909" s="580">
        <v>18.45</v>
      </c>
      <c r="L10909" s="102">
        <v>28.55</v>
      </c>
      <c r="M10909" s="102">
        <v>101.45</v>
      </c>
    </row>
    <row r="10910" ht="25.5" spans="3:13">
      <c r="C10910" s="108"/>
      <c r="D10910" s="108"/>
      <c r="E10910" s="108"/>
      <c r="F10910" s="108"/>
      <c r="G10910" s="108"/>
      <c r="H10910" s="108" t="s">
        <v>2898</v>
      </c>
      <c r="I10910" s="581">
        <v>169.53</v>
      </c>
      <c r="J10910" s="108" t="s">
        <v>2899</v>
      </c>
      <c r="K10910" s="581">
        <v>0</v>
      </c>
      <c r="L10910" s="108" t="s">
        <v>2900</v>
      </c>
      <c r="M10910" s="581">
        <v>169.53</v>
      </c>
    </row>
    <row r="10911" ht="26.25" spans="3:13">
      <c r="C10911" s="108"/>
      <c r="D10911" s="108"/>
      <c r="E10911" s="108"/>
      <c r="F10911" s="108"/>
      <c r="G10911" s="108"/>
      <c r="H10911" s="108" t="s">
        <v>2901</v>
      </c>
      <c r="I10911" s="581">
        <v>398.92</v>
      </c>
      <c r="J10911" s="114"/>
      <c r="K10911" s="114" t="s">
        <v>2902</v>
      </c>
      <c r="L10911" s="108"/>
      <c r="M10911" s="581">
        <v>1963.94</v>
      </c>
    </row>
    <row r="10912" ht="15" spans="3:13">
      <c r="C10912" s="571"/>
      <c r="D10912" s="571"/>
      <c r="E10912" s="571"/>
      <c r="F10912" s="571"/>
      <c r="G10912" s="571"/>
      <c r="H10912" s="571"/>
      <c r="I10912" s="571"/>
      <c r="J10912" s="571"/>
      <c r="K10912" s="571"/>
      <c r="L10912" s="571"/>
      <c r="M10912" s="571"/>
    </row>
    <row r="10913" ht="15" customHeight="1" spans="3:13">
      <c r="C10913" s="76"/>
      <c r="D10913" s="75" t="s">
        <v>63</v>
      </c>
      <c r="E10913" s="76" t="s">
        <v>64</v>
      </c>
      <c r="F10913" s="76" t="s">
        <v>65</v>
      </c>
      <c r="G10913" s="76" t="s">
        <v>2889</v>
      </c>
      <c r="H10913" s="76"/>
      <c r="I10913" s="77" t="s">
        <v>66</v>
      </c>
      <c r="J10913" s="75" t="s">
        <v>67</v>
      </c>
      <c r="K10913" s="75" t="s">
        <v>2890</v>
      </c>
      <c r="L10913" s="75" t="s">
        <v>68</v>
      </c>
      <c r="M10913" s="75" t="s">
        <v>70</v>
      </c>
    </row>
    <row r="10914" ht="76.5" spans="3:13">
      <c r="C10914" s="569" t="s">
        <v>2891</v>
      </c>
      <c r="D10914" s="570" t="s">
        <v>3541</v>
      </c>
      <c r="E10914" s="569" t="s">
        <v>77</v>
      </c>
      <c r="F10914" s="569" t="s">
        <v>3542</v>
      </c>
      <c r="G10914" s="569">
        <v>14</v>
      </c>
      <c r="H10914" s="569"/>
      <c r="I10914" s="577" t="s">
        <v>141</v>
      </c>
      <c r="J10914" s="578">
        <v>1</v>
      </c>
      <c r="K10914" s="579"/>
      <c r="L10914" s="579">
        <v>1524.86</v>
      </c>
      <c r="M10914" s="579">
        <v>1524.86</v>
      </c>
    </row>
    <row r="10915" ht="23.85" customHeight="1" spans="3:13">
      <c r="C10915" s="100" t="s">
        <v>2893</v>
      </c>
      <c r="D10915" s="99" t="s">
        <v>3586</v>
      </c>
      <c r="E10915" s="100" t="s">
        <v>77</v>
      </c>
      <c r="F10915" s="100" t="s">
        <v>3587</v>
      </c>
      <c r="G10915" s="100" t="s">
        <v>2896</v>
      </c>
      <c r="H10915" s="100"/>
      <c r="I10915" s="101" t="s">
        <v>2897</v>
      </c>
      <c r="J10915" s="580">
        <v>3</v>
      </c>
      <c r="K10915" s="580">
        <v>18.45</v>
      </c>
      <c r="L10915" s="102">
        <v>28.55</v>
      </c>
      <c r="M10915" s="102">
        <v>101.45</v>
      </c>
    </row>
    <row r="10916" ht="23.85" customHeight="1" spans="3:13">
      <c r="C10916" s="100" t="s">
        <v>2893</v>
      </c>
      <c r="D10916" s="99" t="s">
        <v>3108</v>
      </c>
      <c r="E10916" s="100" t="s">
        <v>77</v>
      </c>
      <c r="F10916" s="100" t="s">
        <v>3109</v>
      </c>
      <c r="G10916" s="100" t="s">
        <v>2896</v>
      </c>
      <c r="H10916" s="100"/>
      <c r="I10916" s="101" t="s">
        <v>2897</v>
      </c>
      <c r="J10916" s="580">
        <v>3</v>
      </c>
      <c r="K10916" s="580">
        <v>18.45</v>
      </c>
      <c r="L10916" s="102">
        <v>19.16</v>
      </c>
      <c r="M10916" s="102">
        <v>68.08</v>
      </c>
    </row>
    <row r="10917" ht="15" customHeight="1" spans="3:13">
      <c r="C10917" s="100" t="s">
        <v>2893</v>
      </c>
      <c r="D10917" s="99" t="s">
        <v>3606</v>
      </c>
      <c r="E10917" s="100" t="s">
        <v>77</v>
      </c>
      <c r="F10917" s="100" t="s">
        <v>3607</v>
      </c>
      <c r="G10917" s="100" t="s">
        <v>2961</v>
      </c>
      <c r="H10917" s="100"/>
      <c r="I10917" s="101" t="s">
        <v>393</v>
      </c>
      <c r="J10917" s="580">
        <v>25</v>
      </c>
      <c r="K10917" s="580">
        <v>55.25</v>
      </c>
      <c r="L10917" s="102">
        <v>34.92</v>
      </c>
      <c r="M10917" s="102">
        <v>1355.33</v>
      </c>
    </row>
    <row r="10918" ht="25.5" spans="3:13">
      <c r="C10918" s="108"/>
      <c r="D10918" s="108"/>
      <c r="E10918" s="108"/>
      <c r="F10918" s="108"/>
      <c r="G10918" s="108"/>
      <c r="H10918" s="108" t="s">
        <v>2898</v>
      </c>
      <c r="I10918" s="581">
        <v>169.53</v>
      </c>
      <c r="J10918" s="108" t="s">
        <v>2899</v>
      </c>
      <c r="K10918" s="581">
        <v>0</v>
      </c>
      <c r="L10918" s="108" t="s">
        <v>2900</v>
      </c>
      <c r="M10918" s="581">
        <v>169.53</v>
      </c>
    </row>
    <row r="10919" ht="26.25" spans="3:13">
      <c r="C10919" s="108"/>
      <c r="D10919" s="108"/>
      <c r="E10919" s="108"/>
      <c r="F10919" s="108"/>
      <c r="G10919" s="108"/>
      <c r="H10919" s="108" t="s">
        <v>2901</v>
      </c>
      <c r="I10919" s="581">
        <v>388.68</v>
      </c>
      <c r="J10919" s="114"/>
      <c r="K10919" s="114" t="s">
        <v>2902</v>
      </c>
      <c r="L10919" s="108"/>
      <c r="M10919" s="581">
        <v>1913.54</v>
      </c>
    </row>
    <row r="10920" ht="15" spans="3:13">
      <c r="C10920" s="571"/>
      <c r="D10920" s="571"/>
      <c r="E10920" s="571"/>
      <c r="F10920" s="571"/>
      <c r="G10920" s="571"/>
      <c r="H10920" s="571"/>
      <c r="I10920" s="571"/>
      <c r="J10920" s="571"/>
      <c r="K10920" s="571"/>
      <c r="L10920" s="571"/>
      <c r="M10920" s="571"/>
    </row>
    <row r="10921" ht="15" customHeight="1" spans="3:13">
      <c r="C10921" s="76"/>
      <c r="D10921" s="75" t="s">
        <v>63</v>
      </c>
      <c r="E10921" s="76" t="s">
        <v>64</v>
      </c>
      <c r="F10921" s="76" t="s">
        <v>65</v>
      </c>
      <c r="G10921" s="76" t="s">
        <v>2889</v>
      </c>
      <c r="H10921" s="76"/>
      <c r="I10921" s="77" t="s">
        <v>66</v>
      </c>
      <c r="J10921" s="75" t="s">
        <v>67</v>
      </c>
      <c r="K10921" s="75" t="s">
        <v>2890</v>
      </c>
      <c r="L10921" s="75" t="s">
        <v>68</v>
      </c>
      <c r="M10921" s="75" t="s">
        <v>70</v>
      </c>
    </row>
    <row r="10922" ht="35.05" customHeight="1" spans="3:13">
      <c r="C10922" s="569" t="s">
        <v>2891</v>
      </c>
      <c r="D10922" s="570" t="s">
        <v>3526</v>
      </c>
      <c r="E10922" s="569" t="s">
        <v>132</v>
      </c>
      <c r="F10922" s="569" t="s">
        <v>3527</v>
      </c>
      <c r="G10922" s="569" t="s">
        <v>3505</v>
      </c>
      <c r="H10922" s="569"/>
      <c r="I10922" s="577" t="s">
        <v>134</v>
      </c>
      <c r="J10922" s="578">
        <v>1</v>
      </c>
      <c r="K10922" s="579"/>
      <c r="L10922" s="579">
        <v>2066.32</v>
      </c>
      <c r="M10922" s="579">
        <v>2066.32</v>
      </c>
    </row>
    <row r="10923" ht="23.85" customHeight="1" spans="3:13">
      <c r="C10923" s="79" t="s">
        <v>2921</v>
      </c>
      <c r="D10923" s="78" t="s">
        <v>3056</v>
      </c>
      <c r="E10923" s="79" t="s">
        <v>139</v>
      </c>
      <c r="F10923" s="79" t="s">
        <v>3057</v>
      </c>
      <c r="G10923" s="79" t="s">
        <v>2928</v>
      </c>
      <c r="H10923" s="79"/>
      <c r="I10923" s="80" t="s">
        <v>2897</v>
      </c>
      <c r="J10923" s="583">
        <v>2.93</v>
      </c>
      <c r="K10923" s="583">
        <v>0</v>
      </c>
      <c r="L10923" s="92">
        <v>33.17</v>
      </c>
      <c r="M10923" s="92">
        <v>97.18</v>
      </c>
    </row>
    <row r="10924" ht="23.85" customHeight="1" spans="3:13">
      <c r="C10924" s="79" t="s">
        <v>2921</v>
      </c>
      <c r="D10924" s="78" t="s">
        <v>2952</v>
      </c>
      <c r="E10924" s="79" t="s">
        <v>139</v>
      </c>
      <c r="F10924" s="79" t="s">
        <v>2953</v>
      </c>
      <c r="G10924" s="79" t="s">
        <v>2928</v>
      </c>
      <c r="H10924" s="79"/>
      <c r="I10924" s="80" t="s">
        <v>2897</v>
      </c>
      <c r="J10924" s="583">
        <v>2.84</v>
      </c>
      <c r="K10924" s="583">
        <v>0</v>
      </c>
      <c r="L10924" s="92">
        <v>29.15</v>
      </c>
      <c r="M10924" s="92">
        <v>82.78</v>
      </c>
    </row>
    <row r="10925" ht="23.85" customHeight="1" spans="3:13">
      <c r="C10925" s="100" t="s">
        <v>2893</v>
      </c>
      <c r="D10925" s="99" t="s">
        <v>5976</v>
      </c>
      <c r="E10925" s="100" t="s">
        <v>139</v>
      </c>
      <c r="F10925" s="100" t="s">
        <v>5977</v>
      </c>
      <c r="G10925" s="100" t="s">
        <v>2961</v>
      </c>
      <c r="H10925" s="100"/>
      <c r="I10925" s="101" t="s">
        <v>141</v>
      </c>
      <c r="J10925" s="580">
        <v>2.88</v>
      </c>
      <c r="K10925" s="580">
        <v>0</v>
      </c>
      <c r="L10925" s="102">
        <v>587</v>
      </c>
      <c r="M10925" s="102">
        <v>1690.56</v>
      </c>
    </row>
    <row r="10926" ht="46.25" customHeight="1" spans="3:13">
      <c r="C10926" s="100" t="s">
        <v>2893</v>
      </c>
      <c r="D10926" s="99" t="s">
        <v>5978</v>
      </c>
      <c r="E10926" s="100" t="s">
        <v>139</v>
      </c>
      <c r="F10926" s="100" t="s">
        <v>5979</v>
      </c>
      <c r="G10926" s="100" t="s">
        <v>2961</v>
      </c>
      <c r="H10926" s="100"/>
      <c r="I10926" s="101" t="s">
        <v>1491</v>
      </c>
      <c r="J10926" s="580">
        <v>1</v>
      </c>
      <c r="K10926" s="580">
        <v>0</v>
      </c>
      <c r="L10926" s="102">
        <v>195.8</v>
      </c>
      <c r="M10926" s="102">
        <v>195.8</v>
      </c>
    </row>
    <row r="10927" ht="25.5" spans="3:13">
      <c r="C10927" s="108"/>
      <c r="D10927" s="108"/>
      <c r="E10927" s="108"/>
      <c r="F10927" s="108"/>
      <c r="G10927" s="108"/>
      <c r="H10927" s="108" t="s">
        <v>2898</v>
      </c>
      <c r="I10927" s="581">
        <v>122.4</v>
      </c>
      <c r="J10927" s="108" t="s">
        <v>2899</v>
      </c>
      <c r="K10927" s="581">
        <v>0</v>
      </c>
      <c r="L10927" s="108" t="s">
        <v>2900</v>
      </c>
      <c r="M10927" s="581">
        <v>122.4</v>
      </c>
    </row>
    <row r="10928" ht="26.25" spans="3:13">
      <c r="C10928" s="108"/>
      <c r="D10928" s="108"/>
      <c r="E10928" s="108"/>
      <c r="F10928" s="108"/>
      <c r="G10928" s="108"/>
      <c r="H10928" s="108" t="s">
        <v>2901</v>
      </c>
      <c r="I10928" s="581">
        <v>526.7</v>
      </c>
      <c r="J10928" s="114"/>
      <c r="K10928" s="114" t="s">
        <v>2902</v>
      </c>
      <c r="L10928" s="108"/>
      <c r="M10928" s="581">
        <v>2593.02</v>
      </c>
    </row>
    <row r="10929" ht="15" spans="3:13">
      <c r="C10929" s="571"/>
      <c r="D10929" s="571"/>
      <c r="E10929" s="571"/>
      <c r="F10929" s="571"/>
      <c r="G10929" s="571"/>
      <c r="H10929" s="571"/>
      <c r="I10929" s="571"/>
      <c r="J10929" s="571"/>
      <c r="K10929" s="571"/>
      <c r="L10929" s="571"/>
      <c r="M10929" s="571"/>
    </row>
    <row r="10930" ht="15" customHeight="1" spans="3:13">
      <c r="C10930" s="76"/>
      <c r="D10930" s="75" t="s">
        <v>63</v>
      </c>
      <c r="E10930" s="76" t="s">
        <v>64</v>
      </c>
      <c r="F10930" s="76" t="s">
        <v>65</v>
      </c>
      <c r="G10930" s="76" t="s">
        <v>2889</v>
      </c>
      <c r="H10930" s="76"/>
      <c r="I10930" s="77" t="s">
        <v>66</v>
      </c>
      <c r="J10930" s="75" t="s">
        <v>67</v>
      </c>
      <c r="K10930" s="75" t="s">
        <v>2890</v>
      </c>
      <c r="L10930" s="75" t="s">
        <v>68</v>
      </c>
      <c r="M10930" s="75" t="s">
        <v>70</v>
      </c>
    </row>
    <row r="10931" ht="23.85" customHeight="1" spans="3:13">
      <c r="C10931" s="569" t="s">
        <v>2891</v>
      </c>
      <c r="D10931" s="570" t="s">
        <v>3926</v>
      </c>
      <c r="E10931" s="569" t="s">
        <v>139</v>
      </c>
      <c r="F10931" s="569" t="s">
        <v>3927</v>
      </c>
      <c r="G10931" s="569" t="s">
        <v>3928</v>
      </c>
      <c r="H10931" s="569"/>
      <c r="I10931" s="577" t="s">
        <v>141</v>
      </c>
      <c r="J10931" s="578">
        <v>1</v>
      </c>
      <c r="K10931" s="579"/>
      <c r="L10931" s="579">
        <v>4.21</v>
      </c>
      <c r="M10931" s="579">
        <v>4.21</v>
      </c>
    </row>
    <row r="10932" ht="23.85" customHeight="1" spans="3:13">
      <c r="C10932" s="79" t="s">
        <v>2921</v>
      </c>
      <c r="D10932" s="78" t="s">
        <v>2952</v>
      </c>
      <c r="E10932" s="79" t="s">
        <v>139</v>
      </c>
      <c r="F10932" s="79" t="s">
        <v>2953</v>
      </c>
      <c r="G10932" s="79" t="s">
        <v>2928</v>
      </c>
      <c r="H10932" s="79"/>
      <c r="I10932" s="80" t="s">
        <v>2897</v>
      </c>
      <c r="J10932" s="583">
        <v>0.076</v>
      </c>
      <c r="K10932" s="583">
        <v>0</v>
      </c>
      <c r="L10932" s="92">
        <v>29.15</v>
      </c>
      <c r="M10932" s="92">
        <v>2.21</v>
      </c>
    </row>
    <row r="10933" ht="23.85" customHeight="1" spans="3:13">
      <c r="C10933" s="79" t="s">
        <v>2921</v>
      </c>
      <c r="D10933" s="78" t="s">
        <v>3306</v>
      </c>
      <c r="E10933" s="79" t="s">
        <v>139</v>
      </c>
      <c r="F10933" s="79" t="s">
        <v>3307</v>
      </c>
      <c r="G10933" s="79" t="s">
        <v>2995</v>
      </c>
      <c r="H10933" s="79"/>
      <c r="I10933" s="80" t="s">
        <v>3002</v>
      </c>
      <c r="J10933" s="583">
        <v>0.0016</v>
      </c>
      <c r="K10933" s="583">
        <v>0</v>
      </c>
      <c r="L10933" s="92">
        <v>48.29</v>
      </c>
      <c r="M10933" s="92">
        <v>0.07</v>
      </c>
    </row>
    <row r="10934" ht="23.85" customHeight="1" spans="3:13">
      <c r="C10934" s="79" t="s">
        <v>2921</v>
      </c>
      <c r="D10934" s="78" t="s">
        <v>3017</v>
      </c>
      <c r="E10934" s="79" t="s">
        <v>139</v>
      </c>
      <c r="F10934" s="79" t="s">
        <v>3018</v>
      </c>
      <c r="G10934" s="79" t="s">
        <v>2928</v>
      </c>
      <c r="H10934" s="79"/>
      <c r="I10934" s="80" t="s">
        <v>2897</v>
      </c>
      <c r="J10934" s="583">
        <v>0.0507</v>
      </c>
      <c r="K10934" s="583">
        <v>0</v>
      </c>
      <c r="L10934" s="92">
        <v>36.96</v>
      </c>
      <c r="M10934" s="92">
        <v>1.87</v>
      </c>
    </row>
    <row r="10935" ht="23.85" customHeight="1" spans="3:13">
      <c r="C10935" s="79" t="s">
        <v>2921</v>
      </c>
      <c r="D10935" s="78" t="s">
        <v>4568</v>
      </c>
      <c r="E10935" s="79" t="s">
        <v>139</v>
      </c>
      <c r="F10935" s="79" t="s">
        <v>4569</v>
      </c>
      <c r="G10935" s="79" t="s">
        <v>2995</v>
      </c>
      <c r="H10935" s="79"/>
      <c r="I10935" s="80" t="s">
        <v>2996</v>
      </c>
      <c r="J10935" s="583">
        <v>0.0016</v>
      </c>
      <c r="K10935" s="583">
        <v>0</v>
      </c>
      <c r="L10935" s="92">
        <v>40.97</v>
      </c>
      <c r="M10935" s="92">
        <v>0.06</v>
      </c>
    </row>
    <row r="10936" ht="25.5" spans="3:13">
      <c r="C10936" s="108"/>
      <c r="D10936" s="108"/>
      <c r="E10936" s="108"/>
      <c r="F10936" s="108"/>
      <c r="G10936" s="108"/>
      <c r="H10936" s="108" t="s">
        <v>2898</v>
      </c>
      <c r="I10936" s="581">
        <v>2.9</v>
      </c>
      <c r="J10936" s="108" t="s">
        <v>2899</v>
      </c>
      <c r="K10936" s="581">
        <v>0</v>
      </c>
      <c r="L10936" s="108" t="s">
        <v>2900</v>
      </c>
      <c r="M10936" s="581">
        <v>2.9</v>
      </c>
    </row>
    <row r="10937" ht="26.25" spans="3:13">
      <c r="C10937" s="108"/>
      <c r="D10937" s="108"/>
      <c r="E10937" s="108"/>
      <c r="F10937" s="108"/>
      <c r="G10937" s="108"/>
      <c r="H10937" s="108" t="s">
        <v>2901</v>
      </c>
      <c r="I10937" s="581">
        <v>1.07</v>
      </c>
      <c r="J10937" s="114"/>
      <c r="K10937" s="114" t="s">
        <v>2902</v>
      </c>
      <c r="L10937" s="108"/>
      <c r="M10937" s="581">
        <v>5.28</v>
      </c>
    </row>
    <row r="10938" ht="15" spans="3:13">
      <c r="C10938" s="571"/>
      <c r="D10938" s="571"/>
      <c r="E10938" s="571"/>
      <c r="F10938" s="571"/>
      <c r="G10938" s="571"/>
      <c r="H10938" s="571"/>
      <c r="I10938" s="571"/>
      <c r="J10938" s="571"/>
      <c r="K10938" s="571"/>
      <c r="L10938" s="571"/>
      <c r="M10938" s="571"/>
    </row>
    <row r="10939" ht="15" customHeight="1" spans="3:13">
      <c r="C10939" s="76"/>
      <c r="D10939" s="75" t="s">
        <v>63</v>
      </c>
      <c r="E10939" s="76" t="s">
        <v>64</v>
      </c>
      <c r="F10939" s="76" t="s">
        <v>65</v>
      </c>
      <c r="G10939" s="76" t="s">
        <v>2889</v>
      </c>
      <c r="H10939" s="76"/>
      <c r="I10939" s="77" t="s">
        <v>66</v>
      </c>
      <c r="J10939" s="75" t="s">
        <v>67</v>
      </c>
      <c r="K10939" s="75" t="s">
        <v>2890</v>
      </c>
      <c r="L10939" s="75" t="s">
        <v>68</v>
      </c>
      <c r="M10939" s="75" t="s">
        <v>70</v>
      </c>
    </row>
    <row r="10940" ht="23.85" customHeight="1" spans="3:13">
      <c r="C10940" s="569" t="s">
        <v>2891</v>
      </c>
      <c r="D10940" s="570" t="s">
        <v>4457</v>
      </c>
      <c r="E10940" s="569" t="s">
        <v>139</v>
      </c>
      <c r="F10940" s="569" t="s">
        <v>4458</v>
      </c>
      <c r="G10940" s="569" t="s">
        <v>3928</v>
      </c>
      <c r="H10940" s="569"/>
      <c r="I10940" s="577" t="s">
        <v>279</v>
      </c>
      <c r="J10940" s="578">
        <v>1</v>
      </c>
      <c r="K10940" s="579"/>
      <c r="L10940" s="579">
        <v>268.3</v>
      </c>
      <c r="M10940" s="579">
        <v>268.3</v>
      </c>
    </row>
    <row r="10941" ht="23.85" customHeight="1" spans="3:13">
      <c r="C10941" s="79" t="s">
        <v>2921</v>
      </c>
      <c r="D10941" s="78" t="s">
        <v>4568</v>
      </c>
      <c r="E10941" s="79" t="s">
        <v>139</v>
      </c>
      <c r="F10941" s="79" t="s">
        <v>4569</v>
      </c>
      <c r="G10941" s="79" t="s">
        <v>2995</v>
      </c>
      <c r="H10941" s="79"/>
      <c r="I10941" s="80" t="s">
        <v>2996</v>
      </c>
      <c r="J10941" s="583">
        <v>0.0666</v>
      </c>
      <c r="K10941" s="583">
        <v>0</v>
      </c>
      <c r="L10941" s="92">
        <v>40.97</v>
      </c>
      <c r="M10941" s="92">
        <v>2.72</v>
      </c>
    </row>
    <row r="10942" ht="23.85" customHeight="1" spans="3:13">
      <c r="C10942" s="79" t="s">
        <v>2921</v>
      </c>
      <c r="D10942" s="78" t="s">
        <v>2952</v>
      </c>
      <c r="E10942" s="79" t="s">
        <v>139</v>
      </c>
      <c r="F10942" s="79" t="s">
        <v>2953</v>
      </c>
      <c r="G10942" s="79" t="s">
        <v>2928</v>
      </c>
      <c r="H10942" s="79"/>
      <c r="I10942" s="80" t="s">
        <v>2897</v>
      </c>
      <c r="J10942" s="583">
        <v>3.0329</v>
      </c>
      <c r="K10942" s="583">
        <v>0</v>
      </c>
      <c r="L10942" s="92">
        <v>29.15</v>
      </c>
      <c r="M10942" s="92">
        <v>88.4</v>
      </c>
    </row>
    <row r="10943" ht="23.85" customHeight="1" spans="3:13">
      <c r="C10943" s="79" t="s">
        <v>2921</v>
      </c>
      <c r="D10943" s="78" t="s">
        <v>3017</v>
      </c>
      <c r="E10943" s="79" t="s">
        <v>139</v>
      </c>
      <c r="F10943" s="79" t="s">
        <v>3018</v>
      </c>
      <c r="G10943" s="79" t="s">
        <v>2928</v>
      </c>
      <c r="H10943" s="79"/>
      <c r="I10943" s="80" t="s">
        <v>2897</v>
      </c>
      <c r="J10943" s="583">
        <v>2.0219</v>
      </c>
      <c r="K10943" s="583">
        <v>0</v>
      </c>
      <c r="L10943" s="92">
        <v>36.96</v>
      </c>
      <c r="M10943" s="92">
        <v>74.72</v>
      </c>
    </row>
    <row r="10944" ht="23.85" customHeight="1" spans="3:13">
      <c r="C10944" s="79" t="s">
        <v>2921</v>
      </c>
      <c r="D10944" s="78" t="s">
        <v>3306</v>
      </c>
      <c r="E10944" s="79" t="s">
        <v>139</v>
      </c>
      <c r="F10944" s="79" t="s">
        <v>3307</v>
      </c>
      <c r="G10944" s="79" t="s">
        <v>2995</v>
      </c>
      <c r="H10944" s="79"/>
      <c r="I10944" s="80" t="s">
        <v>3002</v>
      </c>
      <c r="J10944" s="583">
        <v>0.0718</v>
      </c>
      <c r="K10944" s="583">
        <v>0</v>
      </c>
      <c r="L10944" s="92">
        <v>48.29</v>
      </c>
      <c r="M10944" s="92">
        <v>3.46</v>
      </c>
    </row>
    <row r="10945" ht="23.85" customHeight="1" spans="3:13">
      <c r="C10945" s="100" t="s">
        <v>2893</v>
      </c>
      <c r="D10945" s="99" t="s">
        <v>5148</v>
      </c>
      <c r="E10945" s="100" t="s">
        <v>139</v>
      </c>
      <c r="F10945" s="100" t="s">
        <v>5149</v>
      </c>
      <c r="G10945" s="100" t="s">
        <v>2961</v>
      </c>
      <c r="H10945" s="100"/>
      <c r="I10945" s="101" t="s">
        <v>279</v>
      </c>
      <c r="J10945" s="580">
        <v>1.1</v>
      </c>
      <c r="K10945" s="580">
        <v>0</v>
      </c>
      <c r="L10945" s="102">
        <v>90</v>
      </c>
      <c r="M10945" s="102">
        <v>99</v>
      </c>
    </row>
    <row r="10946" ht="25.5" spans="3:13">
      <c r="C10946" s="108"/>
      <c r="D10946" s="108"/>
      <c r="E10946" s="108"/>
      <c r="F10946" s="108"/>
      <c r="G10946" s="108"/>
      <c r="H10946" s="108" t="s">
        <v>2898</v>
      </c>
      <c r="I10946" s="581">
        <v>117.03</v>
      </c>
      <c r="J10946" s="108" t="s">
        <v>2899</v>
      </c>
      <c r="K10946" s="581">
        <v>0</v>
      </c>
      <c r="L10946" s="108" t="s">
        <v>2900</v>
      </c>
      <c r="M10946" s="581">
        <v>117.03</v>
      </c>
    </row>
    <row r="10947" ht="26.25" spans="3:13">
      <c r="C10947" s="108"/>
      <c r="D10947" s="108"/>
      <c r="E10947" s="108"/>
      <c r="F10947" s="108"/>
      <c r="G10947" s="108"/>
      <c r="H10947" s="108" t="s">
        <v>2901</v>
      </c>
      <c r="I10947" s="581">
        <v>68.38</v>
      </c>
      <c r="J10947" s="114"/>
      <c r="K10947" s="114" t="s">
        <v>2902</v>
      </c>
      <c r="L10947" s="108"/>
      <c r="M10947" s="581">
        <v>336.68</v>
      </c>
    </row>
    <row r="10948" ht="15" spans="3:13">
      <c r="C10948" s="571"/>
      <c r="D10948" s="571"/>
      <c r="E10948" s="571"/>
      <c r="F10948" s="571"/>
      <c r="G10948" s="571"/>
      <c r="H10948" s="571"/>
      <c r="I10948" s="571"/>
      <c r="J10948" s="571"/>
      <c r="K10948" s="571"/>
      <c r="L10948" s="571"/>
      <c r="M10948" s="571"/>
    </row>
    <row r="10949" ht="15" customHeight="1" spans="3:13">
      <c r="C10949" s="76"/>
      <c r="D10949" s="75" t="s">
        <v>63</v>
      </c>
      <c r="E10949" s="76" t="s">
        <v>64</v>
      </c>
      <c r="F10949" s="76" t="s">
        <v>65</v>
      </c>
      <c r="G10949" s="76" t="s">
        <v>2889</v>
      </c>
      <c r="H10949" s="76"/>
      <c r="I10949" s="77" t="s">
        <v>66</v>
      </c>
      <c r="J10949" s="75" t="s">
        <v>67</v>
      </c>
      <c r="K10949" s="75" t="s">
        <v>2890</v>
      </c>
      <c r="L10949" s="75" t="s">
        <v>68</v>
      </c>
      <c r="M10949" s="75" t="s">
        <v>70</v>
      </c>
    </row>
    <row r="10950" ht="35.05" customHeight="1" spans="3:13">
      <c r="C10950" s="569" t="s">
        <v>2891</v>
      </c>
      <c r="D10950" s="570" t="s">
        <v>3524</v>
      </c>
      <c r="E10950" s="569" t="s">
        <v>132</v>
      </c>
      <c r="F10950" s="569" t="s">
        <v>3525</v>
      </c>
      <c r="G10950" s="569" t="s">
        <v>3505</v>
      </c>
      <c r="H10950" s="569"/>
      <c r="I10950" s="577" t="s">
        <v>141</v>
      </c>
      <c r="J10950" s="578">
        <v>1</v>
      </c>
      <c r="K10950" s="579"/>
      <c r="L10950" s="579">
        <v>965.99</v>
      </c>
      <c r="M10950" s="579">
        <v>965.99</v>
      </c>
    </row>
    <row r="10951" ht="23.85" customHeight="1" spans="3:13">
      <c r="C10951" s="79" t="s">
        <v>2921</v>
      </c>
      <c r="D10951" s="78" t="s">
        <v>2952</v>
      </c>
      <c r="E10951" s="79" t="s">
        <v>139</v>
      </c>
      <c r="F10951" s="79" t="s">
        <v>2953</v>
      </c>
      <c r="G10951" s="79" t="s">
        <v>2928</v>
      </c>
      <c r="H10951" s="79"/>
      <c r="I10951" s="80" t="s">
        <v>2897</v>
      </c>
      <c r="J10951" s="583">
        <v>3.5</v>
      </c>
      <c r="K10951" s="583">
        <v>0</v>
      </c>
      <c r="L10951" s="92">
        <v>29.15</v>
      </c>
      <c r="M10951" s="92">
        <v>102.02</v>
      </c>
    </row>
    <row r="10952" ht="51" spans="3:13">
      <c r="C10952" s="79" t="s">
        <v>2921</v>
      </c>
      <c r="D10952" s="78" t="s">
        <v>5834</v>
      </c>
      <c r="E10952" s="79" t="s">
        <v>77</v>
      </c>
      <c r="F10952" s="79" t="s">
        <v>5835</v>
      </c>
      <c r="G10952" s="79">
        <v>14</v>
      </c>
      <c r="H10952" s="79"/>
      <c r="I10952" s="80" t="s">
        <v>134</v>
      </c>
      <c r="J10952" s="583">
        <v>1</v>
      </c>
      <c r="K10952" s="583">
        <v>0</v>
      </c>
      <c r="L10952" s="92">
        <v>178.04</v>
      </c>
      <c r="M10952" s="92">
        <v>178.04</v>
      </c>
    </row>
    <row r="10953" ht="23.85" customHeight="1" spans="3:13">
      <c r="C10953" s="79" t="s">
        <v>2921</v>
      </c>
      <c r="D10953" s="78" t="s">
        <v>3056</v>
      </c>
      <c r="E10953" s="79" t="s">
        <v>139</v>
      </c>
      <c r="F10953" s="79" t="s">
        <v>3057</v>
      </c>
      <c r="G10953" s="79" t="s">
        <v>2928</v>
      </c>
      <c r="H10953" s="79"/>
      <c r="I10953" s="80" t="s">
        <v>2897</v>
      </c>
      <c r="J10953" s="583">
        <v>3.5</v>
      </c>
      <c r="K10953" s="583">
        <v>0</v>
      </c>
      <c r="L10953" s="92">
        <v>33.17</v>
      </c>
      <c r="M10953" s="92">
        <v>116.09</v>
      </c>
    </row>
    <row r="10954" ht="15" customHeight="1" spans="3:13">
      <c r="C10954" s="100" t="s">
        <v>2893</v>
      </c>
      <c r="D10954" s="99" t="s">
        <v>5980</v>
      </c>
      <c r="E10954" s="100" t="s">
        <v>139</v>
      </c>
      <c r="F10954" s="100" t="s">
        <v>5981</v>
      </c>
      <c r="G10954" s="100" t="s">
        <v>2961</v>
      </c>
      <c r="H10954" s="100"/>
      <c r="I10954" s="101" t="s">
        <v>141</v>
      </c>
      <c r="J10954" s="580">
        <v>1.05</v>
      </c>
      <c r="K10954" s="580">
        <v>0</v>
      </c>
      <c r="L10954" s="102">
        <v>542.71</v>
      </c>
      <c r="M10954" s="102">
        <v>569.84</v>
      </c>
    </row>
    <row r="10955" ht="25.5" spans="3:13">
      <c r="C10955" s="108"/>
      <c r="D10955" s="108"/>
      <c r="E10955" s="108"/>
      <c r="F10955" s="108"/>
      <c r="G10955" s="108"/>
      <c r="H10955" s="108" t="s">
        <v>2898</v>
      </c>
      <c r="I10955" s="581">
        <v>148.29</v>
      </c>
      <c r="J10955" s="108" t="s">
        <v>2899</v>
      </c>
      <c r="K10955" s="581">
        <v>0</v>
      </c>
      <c r="L10955" s="108" t="s">
        <v>2900</v>
      </c>
      <c r="M10955" s="581">
        <v>148.29</v>
      </c>
    </row>
    <row r="10956" ht="26.25" spans="3:13">
      <c r="C10956" s="108"/>
      <c r="D10956" s="108"/>
      <c r="E10956" s="108"/>
      <c r="F10956" s="108"/>
      <c r="G10956" s="108"/>
      <c r="H10956" s="108" t="s">
        <v>2901</v>
      </c>
      <c r="I10956" s="581">
        <v>246.23</v>
      </c>
      <c r="J10956" s="114"/>
      <c r="K10956" s="114" t="s">
        <v>2902</v>
      </c>
      <c r="L10956" s="108"/>
      <c r="M10956" s="581">
        <v>1212.22</v>
      </c>
    </row>
    <row r="10957" ht="15" spans="3:13">
      <c r="C10957" s="571"/>
      <c r="D10957" s="571"/>
      <c r="E10957" s="571"/>
      <c r="F10957" s="571"/>
      <c r="G10957" s="571"/>
      <c r="H10957" s="571"/>
      <c r="I10957" s="571"/>
      <c r="J10957" s="571"/>
      <c r="K10957" s="571"/>
      <c r="L10957" s="571"/>
      <c r="M10957" s="571"/>
    </row>
    <row r="10958" ht="15" customHeight="1" spans="3:13">
      <c r="C10958" s="76"/>
      <c r="D10958" s="75" t="s">
        <v>63</v>
      </c>
      <c r="E10958" s="76" t="s">
        <v>64</v>
      </c>
      <c r="F10958" s="76" t="s">
        <v>65</v>
      </c>
      <c r="G10958" s="76" t="s">
        <v>2889</v>
      </c>
      <c r="H10958" s="76"/>
      <c r="I10958" s="77" t="s">
        <v>66</v>
      </c>
      <c r="J10958" s="75" t="s">
        <v>67</v>
      </c>
      <c r="K10958" s="75" t="s">
        <v>2890</v>
      </c>
      <c r="L10958" s="75" t="s">
        <v>68</v>
      </c>
      <c r="M10958" s="75" t="s">
        <v>70</v>
      </c>
    </row>
    <row r="10959" ht="35.05" customHeight="1" spans="3:13">
      <c r="C10959" s="569" t="s">
        <v>2891</v>
      </c>
      <c r="D10959" s="570" t="s">
        <v>4105</v>
      </c>
      <c r="E10959" s="569" t="s">
        <v>796</v>
      </c>
      <c r="F10959" s="569" t="s">
        <v>4106</v>
      </c>
      <c r="G10959" s="569" t="s">
        <v>4107</v>
      </c>
      <c r="H10959" s="569"/>
      <c r="I10959" s="577" t="s">
        <v>141</v>
      </c>
      <c r="J10959" s="578">
        <v>1</v>
      </c>
      <c r="K10959" s="579"/>
      <c r="L10959" s="579">
        <v>11.89</v>
      </c>
      <c r="M10959" s="579">
        <v>11.89</v>
      </c>
    </row>
    <row r="10960" ht="35.05" customHeight="1" spans="3:13">
      <c r="C10960" s="100" t="s">
        <v>2893</v>
      </c>
      <c r="D10960" s="99" t="s">
        <v>3713</v>
      </c>
      <c r="E10960" s="100" t="s">
        <v>796</v>
      </c>
      <c r="F10960" s="100" t="s">
        <v>3714</v>
      </c>
      <c r="G10960" s="100" t="s">
        <v>3715</v>
      </c>
      <c r="H10960" s="100"/>
      <c r="I10960" s="101" t="s">
        <v>3716</v>
      </c>
      <c r="J10960" s="580">
        <v>9.14</v>
      </c>
      <c r="K10960" s="580">
        <v>3</v>
      </c>
      <c r="L10960" s="102">
        <v>1</v>
      </c>
      <c r="M10960" s="102">
        <v>0.27</v>
      </c>
    </row>
    <row r="10961" ht="15" customHeight="1" spans="3:13">
      <c r="C10961" s="100" t="s">
        <v>2893</v>
      </c>
      <c r="D10961" s="99" t="s">
        <v>5982</v>
      </c>
      <c r="E10961" s="100" t="s">
        <v>796</v>
      </c>
      <c r="F10961" s="100" t="s">
        <v>5983</v>
      </c>
      <c r="G10961" s="100" t="s">
        <v>2961</v>
      </c>
      <c r="H10961" s="100"/>
      <c r="I10961" s="101" t="s">
        <v>3712</v>
      </c>
      <c r="J10961" s="580">
        <v>0.22</v>
      </c>
      <c r="K10961" s="580">
        <v>0</v>
      </c>
      <c r="L10961" s="102">
        <v>11.31</v>
      </c>
      <c r="M10961" s="102">
        <v>2.48</v>
      </c>
    </row>
    <row r="10962" ht="15" customHeight="1" spans="3:13">
      <c r="C10962" s="100" t="s">
        <v>2893</v>
      </c>
      <c r="D10962" s="99" t="s">
        <v>3717</v>
      </c>
      <c r="E10962" s="100" t="s">
        <v>796</v>
      </c>
      <c r="F10962" s="100" t="s">
        <v>3718</v>
      </c>
      <c r="G10962" s="100" t="s">
        <v>2896</v>
      </c>
      <c r="H10962" s="100"/>
      <c r="I10962" s="101" t="s">
        <v>3707</v>
      </c>
      <c r="J10962" s="580">
        <v>0.1</v>
      </c>
      <c r="K10962" s="580">
        <v>0</v>
      </c>
      <c r="L10962" s="102">
        <v>23.89</v>
      </c>
      <c r="M10962" s="102">
        <v>2.38</v>
      </c>
    </row>
    <row r="10963" ht="23.85" customHeight="1" spans="3:13">
      <c r="C10963" s="100" t="s">
        <v>2893</v>
      </c>
      <c r="D10963" s="99" t="s">
        <v>5438</v>
      </c>
      <c r="E10963" s="100" t="s">
        <v>796</v>
      </c>
      <c r="F10963" s="100" t="s">
        <v>5439</v>
      </c>
      <c r="G10963" s="100" t="s">
        <v>2896</v>
      </c>
      <c r="H10963" s="100"/>
      <c r="I10963" s="101" t="s">
        <v>3707</v>
      </c>
      <c r="J10963" s="580">
        <v>0.2</v>
      </c>
      <c r="K10963" s="580">
        <v>0</v>
      </c>
      <c r="L10963" s="102">
        <v>33.83</v>
      </c>
      <c r="M10963" s="102">
        <v>6.76</v>
      </c>
    </row>
    <row r="10964" ht="25.5" spans="3:13">
      <c r="C10964" s="108"/>
      <c r="D10964" s="108"/>
      <c r="E10964" s="108"/>
      <c r="F10964" s="108"/>
      <c r="G10964" s="108"/>
      <c r="H10964" s="108" t="s">
        <v>2898</v>
      </c>
      <c r="I10964" s="581">
        <v>9.14</v>
      </c>
      <c r="J10964" s="108" t="s">
        <v>2899</v>
      </c>
      <c r="K10964" s="581">
        <v>0</v>
      </c>
      <c r="L10964" s="108" t="s">
        <v>2900</v>
      </c>
      <c r="M10964" s="581">
        <v>9.14</v>
      </c>
    </row>
    <row r="10965" ht="26.25" spans="3:13">
      <c r="C10965" s="108"/>
      <c r="D10965" s="108"/>
      <c r="E10965" s="108"/>
      <c r="F10965" s="108"/>
      <c r="G10965" s="108"/>
      <c r="H10965" s="108" t="s">
        <v>2901</v>
      </c>
      <c r="I10965" s="581">
        <v>3.03</v>
      </c>
      <c r="J10965" s="114"/>
      <c r="K10965" s="114" t="s">
        <v>2902</v>
      </c>
      <c r="L10965" s="108"/>
      <c r="M10965" s="581">
        <v>14.92</v>
      </c>
    </row>
    <row r="10966" ht="15" spans="3:13">
      <c r="C10966" s="571"/>
      <c r="D10966" s="571"/>
      <c r="E10966" s="571"/>
      <c r="F10966" s="571"/>
      <c r="G10966" s="571"/>
      <c r="H10966" s="571"/>
      <c r="I10966" s="571"/>
      <c r="J10966" s="571"/>
      <c r="K10966" s="571"/>
      <c r="L10966" s="571"/>
      <c r="M10966" s="571"/>
    </row>
    <row r="10967" ht="15" customHeight="1" spans="3:13">
      <c r="C10967" s="76"/>
      <c r="D10967" s="75" t="s">
        <v>63</v>
      </c>
      <c r="E10967" s="76" t="s">
        <v>64</v>
      </c>
      <c r="F10967" s="76" t="s">
        <v>65</v>
      </c>
      <c r="G10967" s="76" t="s">
        <v>2889</v>
      </c>
      <c r="H10967" s="76"/>
      <c r="I10967" s="77" t="s">
        <v>66</v>
      </c>
      <c r="J10967" s="75" t="s">
        <v>67</v>
      </c>
      <c r="K10967" s="75" t="s">
        <v>2890</v>
      </c>
      <c r="L10967" s="75" t="s">
        <v>68</v>
      </c>
      <c r="M10967" s="75" t="s">
        <v>70</v>
      </c>
    </row>
    <row r="10968" ht="23.85" customHeight="1" spans="3:13">
      <c r="C10968" s="569" t="s">
        <v>2891</v>
      </c>
      <c r="D10968" s="570" t="s">
        <v>4333</v>
      </c>
      <c r="E10968" s="569" t="s">
        <v>796</v>
      </c>
      <c r="F10968" s="569" t="s">
        <v>4334</v>
      </c>
      <c r="G10968" s="569" t="s">
        <v>4116</v>
      </c>
      <c r="H10968" s="569"/>
      <c r="I10968" s="577" t="s">
        <v>279</v>
      </c>
      <c r="J10968" s="578">
        <v>1</v>
      </c>
      <c r="K10968" s="579"/>
      <c r="L10968" s="579">
        <v>89.12</v>
      </c>
      <c r="M10968" s="579">
        <v>89.12</v>
      </c>
    </row>
    <row r="10969" ht="35.05" customHeight="1" spans="3:13">
      <c r="C10969" s="79" t="s">
        <v>2921</v>
      </c>
      <c r="D10969" s="78" t="s">
        <v>5500</v>
      </c>
      <c r="E10969" s="79" t="s">
        <v>796</v>
      </c>
      <c r="F10969" s="79" t="s">
        <v>5501</v>
      </c>
      <c r="G10969" s="79" t="s">
        <v>3668</v>
      </c>
      <c r="H10969" s="79"/>
      <c r="I10969" s="80" t="s">
        <v>3707</v>
      </c>
      <c r="J10969" s="583">
        <v>0.2857</v>
      </c>
      <c r="K10969" s="583">
        <v>0</v>
      </c>
      <c r="L10969" s="92">
        <v>16.72</v>
      </c>
      <c r="M10969" s="92">
        <v>4.77</v>
      </c>
    </row>
    <row r="10970" ht="35.05" customHeight="1" spans="3:13">
      <c r="C10970" s="100" t="s">
        <v>2893</v>
      </c>
      <c r="D10970" s="99" t="s">
        <v>3713</v>
      </c>
      <c r="E10970" s="100" t="s">
        <v>796</v>
      </c>
      <c r="F10970" s="100" t="s">
        <v>3714</v>
      </c>
      <c r="G10970" s="100" t="s">
        <v>3715</v>
      </c>
      <c r="H10970" s="100"/>
      <c r="I10970" s="101" t="s">
        <v>3716</v>
      </c>
      <c r="J10970" s="580">
        <v>81.9</v>
      </c>
      <c r="K10970" s="580">
        <v>3</v>
      </c>
      <c r="L10970" s="102">
        <v>1</v>
      </c>
      <c r="M10970" s="102">
        <v>2.45</v>
      </c>
    </row>
    <row r="10971" ht="15" customHeight="1" spans="3:13">
      <c r="C10971" s="100" t="s">
        <v>2893</v>
      </c>
      <c r="D10971" s="99" t="s">
        <v>3717</v>
      </c>
      <c r="E10971" s="100" t="s">
        <v>796</v>
      </c>
      <c r="F10971" s="100" t="s">
        <v>3718</v>
      </c>
      <c r="G10971" s="100" t="s">
        <v>2896</v>
      </c>
      <c r="H10971" s="100"/>
      <c r="I10971" s="101" t="s">
        <v>3707</v>
      </c>
      <c r="J10971" s="580">
        <v>3.4286</v>
      </c>
      <c r="K10971" s="580">
        <v>0</v>
      </c>
      <c r="L10971" s="102">
        <v>23.89</v>
      </c>
      <c r="M10971" s="102">
        <v>81.9</v>
      </c>
    </row>
    <row r="10972" ht="25.5" spans="3:13">
      <c r="C10972" s="108"/>
      <c r="D10972" s="108"/>
      <c r="E10972" s="108"/>
      <c r="F10972" s="108"/>
      <c r="G10972" s="108"/>
      <c r="H10972" s="108" t="s">
        <v>2898</v>
      </c>
      <c r="I10972" s="581">
        <v>81.9</v>
      </c>
      <c r="J10972" s="108" t="s">
        <v>2899</v>
      </c>
      <c r="K10972" s="581">
        <v>0</v>
      </c>
      <c r="L10972" s="108" t="s">
        <v>2900</v>
      </c>
      <c r="M10972" s="581">
        <v>81.9</v>
      </c>
    </row>
    <row r="10973" ht="26.25" spans="3:13">
      <c r="C10973" s="108"/>
      <c r="D10973" s="108"/>
      <c r="E10973" s="108"/>
      <c r="F10973" s="108"/>
      <c r="G10973" s="108"/>
      <c r="H10973" s="108" t="s">
        <v>2901</v>
      </c>
      <c r="I10973" s="581">
        <v>22.71</v>
      </c>
      <c r="J10973" s="114"/>
      <c r="K10973" s="114" t="s">
        <v>2902</v>
      </c>
      <c r="L10973" s="108"/>
      <c r="M10973" s="581">
        <v>111.83</v>
      </c>
    </row>
    <row r="10974" ht="15" spans="3:13">
      <c r="C10974" s="571"/>
      <c r="D10974" s="571"/>
      <c r="E10974" s="571"/>
      <c r="F10974" s="571"/>
      <c r="G10974" s="571"/>
      <c r="H10974" s="571"/>
      <c r="I10974" s="571"/>
      <c r="J10974" s="571"/>
      <c r="K10974" s="571"/>
      <c r="L10974" s="571"/>
      <c r="M10974" s="571"/>
    </row>
    <row r="10975" ht="15" customHeight="1" spans="3:13">
      <c r="C10975" s="76"/>
      <c r="D10975" s="75" t="s">
        <v>63</v>
      </c>
      <c r="E10975" s="76" t="s">
        <v>64</v>
      </c>
      <c r="F10975" s="76" t="s">
        <v>65</v>
      </c>
      <c r="G10975" s="76" t="s">
        <v>2889</v>
      </c>
      <c r="H10975" s="76"/>
      <c r="I10975" s="77" t="s">
        <v>66</v>
      </c>
      <c r="J10975" s="75" t="s">
        <v>67</v>
      </c>
      <c r="K10975" s="75" t="s">
        <v>2890</v>
      </c>
      <c r="L10975" s="75" t="s">
        <v>68</v>
      </c>
      <c r="M10975" s="75" t="s">
        <v>70</v>
      </c>
    </row>
    <row r="10976" ht="35.05" customHeight="1" spans="3:13">
      <c r="C10976" s="569" t="s">
        <v>2891</v>
      </c>
      <c r="D10976" s="570" t="s">
        <v>3226</v>
      </c>
      <c r="E10976" s="569" t="s">
        <v>139</v>
      </c>
      <c r="F10976" s="569" t="s">
        <v>3227</v>
      </c>
      <c r="G10976" s="569" t="s">
        <v>3181</v>
      </c>
      <c r="H10976" s="569"/>
      <c r="I10976" s="577" t="s">
        <v>134</v>
      </c>
      <c r="J10976" s="578">
        <v>1</v>
      </c>
      <c r="K10976" s="579"/>
      <c r="L10976" s="579">
        <v>142.65</v>
      </c>
      <c r="M10976" s="579">
        <v>142.65</v>
      </c>
    </row>
    <row r="10977" ht="23.85" customHeight="1" spans="3:13">
      <c r="C10977" s="79" t="s">
        <v>2921</v>
      </c>
      <c r="D10977" s="78" t="s">
        <v>3151</v>
      </c>
      <c r="E10977" s="79" t="s">
        <v>139</v>
      </c>
      <c r="F10977" s="79" t="s">
        <v>3152</v>
      </c>
      <c r="G10977" s="79" t="s">
        <v>2928</v>
      </c>
      <c r="H10977" s="79"/>
      <c r="I10977" s="80" t="s">
        <v>2897</v>
      </c>
      <c r="J10977" s="583">
        <v>0.855</v>
      </c>
      <c r="K10977" s="583">
        <v>0</v>
      </c>
      <c r="L10977" s="92">
        <v>36.82</v>
      </c>
      <c r="M10977" s="92">
        <v>31.48</v>
      </c>
    </row>
    <row r="10978" ht="35.05" customHeight="1" spans="3:13">
      <c r="C10978" s="79" t="s">
        <v>2921</v>
      </c>
      <c r="D10978" s="78" t="s">
        <v>3182</v>
      </c>
      <c r="E10978" s="79" t="s">
        <v>139</v>
      </c>
      <c r="F10978" s="79" t="s">
        <v>3183</v>
      </c>
      <c r="G10978" s="79" t="s">
        <v>3016</v>
      </c>
      <c r="H10978" s="79"/>
      <c r="I10978" s="80" t="s">
        <v>279</v>
      </c>
      <c r="J10978" s="583">
        <v>0.0044</v>
      </c>
      <c r="K10978" s="583">
        <v>0</v>
      </c>
      <c r="L10978" s="92">
        <v>773.95</v>
      </c>
      <c r="M10978" s="92">
        <v>3.4</v>
      </c>
    </row>
    <row r="10979" ht="23.85" customHeight="1" spans="3:13">
      <c r="C10979" s="79" t="s">
        <v>2921</v>
      </c>
      <c r="D10979" s="78" t="s">
        <v>3153</v>
      </c>
      <c r="E10979" s="79" t="s">
        <v>139</v>
      </c>
      <c r="F10979" s="79" t="s">
        <v>3154</v>
      </c>
      <c r="G10979" s="79" t="s">
        <v>2928</v>
      </c>
      <c r="H10979" s="79"/>
      <c r="I10979" s="80" t="s">
        <v>2897</v>
      </c>
      <c r="J10979" s="583">
        <v>0.855</v>
      </c>
      <c r="K10979" s="583">
        <v>0</v>
      </c>
      <c r="L10979" s="92">
        <v>30.6</v>
      </c>
      <c r="M10979" s="92">
        <v>26.16</v>
      </c>
    </row>
    <row r="10980" ht="23.85" customHeight="1" spans="3:13">
      <c r="C10980" s="100" t="s">
        <v>2893</v>
      </c>
      <c r="D10980" s="99" t="s">
        <v>5984</v>
      </c>
      <c r="E10980" s="100" t="s">
        <v>139</v>
      </c>
      <c r="F10980" s="100" t="s">
        <v>5985</v>
      </c>
      <c r="G10980" s="100" t="s">
        <v>2961</v>
      </c>
      <c r="H10980" s="100"/>
      <c r="I10980" s="101" t="s">
        <v>134</v>
      </c>
      <c r="J10980" s="580">
        <v>1</v>
      </c>
      <c r="K10980" s="580">
        <v>0</v>
      </c>
      <c r="L10980" s="102">
        <v>81.61</v>
      </c>
      <c r="M10980" s="102">
        <v>81.61</v>
      </c>
    </row>
    <row r="10981" ht="25.5" spans="3:13">
      <c r="C10981" s="108"/>
      <c r="D10981" s="108"/>
      <c r="E10981" s="108"/>
      <c r="F10981" s="108"/>
      <c r="G10981" s="108"/>
      <c r="H10981" s="108" t="s">
        <v>2898</v>
      </c>
      <c r="I10981" s="581">
        <v>41.39</v>
      </c>
      <c r="J10981" s="108" t="s">
        <v>2899</v>
      </c>
      <c r="K10981" s="581">
        <v>0</v>
      </c>
      <c r="L10981" s="108" t="s">
        <v>2900</v>
      </c>
      <c r="M10981" s="581">
        <v>41.39</v>
      </c>
    </row>
    <row r="10982" ht="26.25" spans="3:13">
      <c r="C10982" s="108"/>
      <c r="D10982" s="108"/>
      <c r="E10982" s="108"/>
      <c r="F10982" s="108"/>
      <c r="G10982" s="108"/>
      <c r="H10982" s="108" t="s">
        <v>2901</v>
      </c>
      <c r="I10982" s="581">
        <v>36.36</v>
      </c>
      <c r="J10982" s="114"/>
      <c r="K10982" s="114" t="s">
        <v>2902</v>
      </c>
      <c r="L10982" s="108"/>
      <c r="M10982" s="581">
        <v>179.01</v>
      </c>
    </row>
    <row r="10983" ht="15" spans="3:13">
      <c r="C10983" s="571"/>
      <c r="D10983" s="571"/>
      <c r="E10983" s="571"/>
      <c r="F10983" s="571"/>
      <c r="G10983" s="571"/>
      <c r="H10983" s="571"/>
      <c r="I10983" s="571"/>
      <c r="J10983" s="571"/>
      <c r="K10983" s="571"/>
      <c r="L10983" s="571"/>
      <c r="M10983" s="571"/>
    </row>
    <row r="10984" ht="15" customHeight="1" spans="3:13">
      <c r="C10984" s="76"/>
      <c r="D10984" s="75" t="s">
        <v>63</v>
      </c>
      <c r="E10984" s="76" t="s">
        <v>64</v>
      </c>
      <c r="F10984" s="76" t="s">
        <v>65</v>
      </c>
      <c r="G10984" s="76" t="s">
        <v>2889</v>
      </c>
      <c r="H10984" s="76"/>
      <c r="I10984" s="77" t="s">
        <v>66</v>
      </c>
      <c r="J10984" s="75" t="s">
        <v>67</v>
      </c>
      <c r="K10984" s="75" t="s">
        <v>2890</v>
      </c>
      <c r="L10984" s="75" t="s">
        <v>68</v>
      </c>
      <c r="M10984" s="75" t="s">
        <v>70</v>
      </c>
    </row>
    <row r="10985" ht="35.05" customHeight="1" spans="3:13">
      <c r="C10985" s="569" t="s">
        <v>2891</v>
      </c>
      <c r="D10985" s="570" t="s">
        <v>3130</v>
      </c>
      <c r="E10985" s="569" t="s">
        <v>139</v>
      </c>
      <c r="F10985" s="569" t="s">
        <v>3131</v>
      </c>
      <c r="G10985" s="569" t="s">
        <v>3132</v>
      </c>
      <c r="H10985" s="569"/>
      <c r="I10985" s="577" t="s">
        <v>204</v>
      </c>
      <c r="J10985" s="578">
        <v>1</v>
      </c>
      <c r="K10985" s="579"/>
      <c r="L10985" s="579">
        <v>10.28</v>
      </c>
      <c r="M10985" s="579">
        <v>10.28</v>
      </c>
    </row>
    <row r="10986" ht="23.85" customHeight="1" spans="3:13">
      <c r="C10986" s="79" t="s">
        <v>2921</v>
      </c>
      <c r="D10986" s="78" t="s">
        <v>3146</v>
      </c>
      <c r="E10986" s="79" t="s">
        <v>139</v>
      </c>
      <c r="F10986" s="79" t="s">
        <v>3147</v>
      </c>
      <c r="G10986" s="79" t="s">
        <v>2928</v>
      </c>
      <c r="H10986" s="79"/>
      <c r="I10986" s="80" t="s">
        <v>2897</v>
      </c>
      <c r="J10986" s="583">
        <v>0.066</v>
      </c>
      <c r="K10986" s="583">
        <v>0</v>
      </c>
      <c r="L10986" s="92">
        <v>29.54</v>
      </c>
      <c r="M10986" s="92">
        <v>1.94</v>
      </c>
    </row>
    <row r="10987" ht="23.85" customHeight="1" spans="3:13">
      <c r="C10987" s="79" t="s">
        <v>2921</v>
      </c>
      <c r="D10987" s="78" t="s">
        <v>3144</v>
      </c>
      <c r="E10987" s="79" t="s">
        <v>139</v>
      </c>
      <c r="F10987" s="79" t="s">
        <v>3145</v>
      </c>
      <c r="G10987" s="79" t="s">
        <v>2928</v>
      </c>
      <c r="H10987" s="79"/>
      <c r="I10987" s="80" t="s">
        <v>2897</v>
      </c>
      <c r="J10987" s="583">
        <v>0.2348</v>
      </c>
      <c r="K10987" s="583">
        <v>0</v>
      </c>
      <c r="L10987" s="92">
        <v>35.55</v>
      </c>
      <c r="M10987" s="92">
        <v>8.34</v>
      </c>
    </row>
    <row r="10988" ht="25.5" spans="3:13">
      <c r="C10988" s="108"/>
      <c r="D10988" s="108"/>
      <c r="E10988" s="108"/>
      <c r="F10988" s="108"/>
      <c r="G10988" s="108"/>
      <c r="H10988" s="108" t="s">
        <v>2898</v>
      </c>
      <c r="I10988" s="581">
        <v>7.47</v>
      </c>
      <c r="J10988" s="108" t="s">
        <v>2899</v>
      </c>
      <c r="K10988" s="581">
        <v>0</v>
      </c>
      <c r="L10988" s="108" t="s">
        <v>2900</v>
      </c>
      <c r="M10988" s="581">
        <v>7.47</v>
      </c>
    </row>
    <row r="10989" ht="26.25" spans="3:13">
      <c r="C10989" s="108"/>
      <c r="D10989" s="108"/>
      <c r="E10989" s="108"/>
      <c r="F10989" s="108"/>
      <c r="G10989" s="108"/>
      <c r="H10989" s="108" t="s">
        <v>2901</v>
      </c>
      <c r="I10989" s="581">
        <v>2.62</v>
      </c>
      <c r="J10989" s="114"/>
      <c r="K10989" s="114" t="s">
        <v>2902</v>
      </c>
      <c r="L10989" s="108"/>
      <c r="M10989" s="581">
        <v>12.9</v>
      </c>
    </row>
    <row r="10990" ht="15" spans="3:13">
      <c r="C10990" s="571"/>
      <c r="D10990" s="571"/>
      <c r="E10990" s="571"/>
      <c r="F10990" s="571"/>
      <c r="G10990" s="571"/>
      <c r="H10990" s="571"/>
      <c r="I10990" s="571"/>
      <c r="J10990" s="571"/>
      <c r="K10990" s="571"/>
      <c r="L10990" s="571"/>
      <c r="M10990" s="571"/>
    </row>
    <row r="10991" ht="15" customHeight="1" spans="3:13">
      <c r="C10991" s="76"/>
      <c r="D10991" s="75" t="s">
        <v>63</v>
      </c>
      <c r="E10991" s="76" t="s">
        <v>64</v>
      </c>
      <c r="F10991" s="76" t="s">
        <v>65</v>
      </c>
      <c r="G10991" s="76" t="s">
        <v>2889</v>
      </c>
      <c r="H10991" s="76"/>
      <c r="I10991" s="77" t="s">
        <v>66</v>
      </c>
      <c r="J10991" s="75" t="s">
        <v>67</v>
      </c>
      <c r="K10991" s="75" t="s">
        <v>2890</v>
      </c>
      <c r="L10991" s="75" t="s">
        <v>68</v>
      </c>
      <c r="M10991" s="75" t="s">
        <v>70</v>
      </c>
    </row>
    <row r="10992" ht="23.85" customHeight="1" spans="3:13">
      <c r="C10992" s="569" t="s">
        <v>2891</v>
      </c>
      <c r="D10992" s="570" t="s">
        <v>5900</v>
      </c>
      <c r="E10992" s="569" t="s">
        <v>139</v>
      </c>
      <c r="F10992" s="569" t="s">
        <v>5901</v>
      </c>
      <c r="G10992" s="569" t="s">
        <v>3198</v>
      </c>
      <c r="H10992" s="569"/>
      <c r="I10992" s="577" t="s">
        <v>134</v>
      </c>
      <c r="J10992" s="578">
        <v>1</v>
      </c>
      <c r="K10992" s="579"/>
      <c r="L10992" s="579">
        <v>33.51</v>
      </c>
      <c r="M10992" s="579">
        <v>33.51</v>
      </c>
    </row>
    <row r="10993" ht="23.85" customHeight="1" spans="3:13">
      <c r="C10993" s="79" t="s">
        <v>2921</v>
      </c>
      <c r="D10993" s="78" t="s">
        <v>3146</v>
      </c>
      <c r="E10993" s="79" t="s">
        <v>139</v>
      </c>
      <c r="F10993" s="79" t="s">
        <v>3147</v>
      </c>
      <c r="G10993" s="79" t="s">
        <v>2928</v>
      </c>
      <c r="H10993" s="79"/>
      <c r="I10993" s="80" t="s">
        <v>2897</v>
      </c>
      <c r="J10993" s="583">
        <v>0.1102</v>
      </c>
      <c r="K10993" s="583">
        <v>0</v>
      </c>
      <c r="L10993" s="92">
        <v>29.54</v>
      </c>
      <c r="M10993" s="92">
        <v>3.25</v>
      </c>
    </row>
    <row r="10994" ht="23.85" customHeight="1" spans="3:13">
      <c r="C10994" s="79" t="s">
        <v>2921</v>
      </c>
      <c r="D10994" s="78" t="s">
        <v>3144</v>
      </c>
      <c r="E10994" s="79" t="s">
        <v>139</v>
      </c>
      <c r="F10994" s="79" t="s">
        <v>3145</v>
      </c>
      <c r="G10994" s="79" t="s">
        <v>2928</v>
      </c>
      <c r="H10994" s="79"/>
      <c r="I10994" s="80" t="s">
        <v>2897</v>
      </c>
      <c r="J10994" s="583">
        <v>0.1102</v>
      </c>
      <c r="K10994" s="583">
        <v>0</v>
      </c>
      <c r="L10994" s="92">
        <v>35.55</v>
      </c>
      <c r="M10994" s="92">
        <v>3.91</v>
      </c>
    </row>
    <row r="10995" ht="15" customHeight="1" spans="3:13">
      <c r="C10995" s="100" t="s">
        <v>2893</v>
      </c>
      <c r="D10995" s="99" t="s">
        <v>3643</v>
      </c>
      <c r="E10995" s="100" t="s">
        <v>139</v>
      </c>
      <c r="F10995" s="100" t="s">
        <v>3644</v>
      </c>
      <c r="G10995" s="100" t="s">
        <v>2961</v>
      </c>
      <c r="H10995" s="100"/>
      <c r="I10995" s="101" t="s">
        <v>134</v>
      </c>
      <c r="J10995" s="580">
        <v>0.0106</v>
      </c>
      <c r="K10995" s="580">
        <v>0</v>
      </c>
      <c r="L10995" s="102">
        <v>13.46</v>
      </c>
      <c r="M10995" s="102">
        <v>0.14</v>
      </c>
    </row>
    <row r="10996" ht="15" customHeight="1" spans="3:13">
      <c r="C10996" s="100" t="s">
        <v>2893</v>
      </c>
      <c r="D10996" s="99" t="s">
        <v>5986</v>
      </c>
      <c r="E10996" s="100" t="s">
        <v>139</v>
      </c>
      <c r="F10996" s="100" t="s">
        <v>5987</v>
      </c>
      <c r="G10996" s="100" t="s">
        <v>2961</v>
      </c>
      <c r="H10996" s="100"/>
      <c r="I10996" s="101" t="s">
        <v>134</v>
      </c>
      <c r="J10996" s="580">
        <v>1</v>
      </c>
      <c r="K10996" s="580">
        <v>0</v>
      </c>
      <c r="L10996" s="102">
        <v>26.21</v>
      </c>
      <c r="M10996" s="102">
        <v>26.21</v>
      </c>
    </row>
    <row r="10997" ht="25.5" spans="3:13">
      <c r="C10997" s="108"/>
      <c r="D10997" s="108"/>
      <c r="E10997" s="108"/>
      <c r="F10997" s="108"/>
      <c r="G10997" s="108"/>
      <c r="H10997" s="108" t="s">
        <v>2898</v>
      </c>
      <c r="I10997" s="581">
        <v>5.1</v>
      </c>
      <c r="J10997" s="108" t="s">
        <v>2899</v>
      </c>
      <c r="K10997" s="581">
        <v>0</v>
      </c>
      <c r="L10997" s="108" t="s">
        <v>2900</v>
      </c>
      <c r="M10997" s="581">
        <v>5.1</v>
      </c>
    </row>
    <row r="10998" ht="26.25" spans="3:13">
      <c r="C10998" s="108"/>
      <c r="D10998" s="108"/>
      <c r="E10998" s="108"/>
      <c r="F10998" s="108"/>
      <c r="G10998" s="108"/>
      <c r="H10998" s="108" t="s">
        <v>2901</v>
      </c>
      <c r="I10998" s="581">
        <v>8.54</v>
      </c>
      <c r="J10998" s="114"/>
      <c r="K10998" s="114" t="s">
        <v>2902</v>
      </c>
      <c r="L10998" s="108"/>
      <c r="M10998" s="581">
        <v>42.05</v>
      </c>
    </row>
    <row r="10999" ht="15" spans="3:13">
      <c r="C10999" s="571"/>
      <c r="D10999" s="571"/>
      <c r="E10999" s="571"/>
      <c r="F10999" s="571"/>
      <c r="G10999" s="571"/>
      <c r="H10999" s="571"/>
      <c r="I10999" s="571"/>
      <c r="J10999" s="571"/>
      <c r="K10999" s="571"/>
      <c r="L10999" s="571"/>
      <c r="M10999" s="571"/>
    </row>
    <row r="11000" ht="15" customHeight="1" spans="3:13">
      <c r="C11000" s="76"/>
      <c r="D11000" s="75" t="s">
        <v>63</v>
      </c>
      <c r="E11000" s="76" t="s">
        <v>64</v>
      </c>
      <c r="F11000" s="76" t="s">
        <v>65</v>
      </c>
      <c r="G11000" s="76" t="s">
        <v>2889</v>
      </c>
      <c r="H11000" s="76"/>
      <c r="I11000" s="77" t="s">
        <v>66</v>
      </c>
      <c r="J11000" s="75" t="s">
        <v>67</v>
      </c>
      <c r="K11000" s="75" t="s">
        <v>2890</v>
      </c>
      <c r="L11000" s="75" t="s">
        <v>68</v>
      </c>
      <c r="M11000" s="75" t="s">
        <v>70</v>
      </c>
    </row>
    <row r="11001" ht="46.25" customHeight="1" spans="3:13">
      <c r="C11001" s="569" t="s">
        <v>2891</v>
      </c>
      <c r="D11001" s="570" t="s">
        <v>3912</v>
      </c>
      <c r="E11001" s="569" t="s">
        <v>139</v>
      </c>
      <c r="F11001" s="569" t="s">
        <v>3913</v>
      </c>
      <c r="G11001" s="569" t="s">
        <v>2995</v>
      </c>
      <c r="H11001" s="569"/>
      <c r="I11001" s="577" t="s">
        <v>2996</v>
      </c>
      <c r="J11001" s="578">
        <v>1</v>
      </c>
      <c r="K11001" s="579"/>
      <c r="L11001" s="579">
        <v>74.56</v>
      </c>
      <c r="M11001" s="579">
        <v>74.56</v>
      </c>
    </row>
    <row r="11002" ht="46.25" customHeight="1" spans="3:13">
      <c r="C11002" s="79" t="s">
        <v>2921</v>
      </c>
      <c r="D11002" s="78" t="s">
        <v>5988</v>
      </c>
      <c r="E11002" s="79" t="s">
        <v>139</v>
      </c>
      <c r="F11002" s="79" t="s">
        <v>5989</v>
      </c>
      <c r="G11002" s="79" t="s">
        <v>5464</v>
      </c>
      <c r="H11002" s="79"/>
      <c r="I11002" s="80" t="s">
        <v>2897</v>
      </c>
      <c r="J11002" s="583">
        <v>1</v>
      </c>
      <c r="K11002" s="583">
        <v>0</v>
      </c>
      <c r="L11002" s="92">
        <v>7.21</v>
      </c>
      <c r="M11002" s="92">
        <v>7.21</v>
      </c>
    </row>
    <row r="11003" ht="23.85" customHeight="1" spans="3:13">
      <c r="C11003" s="79" t="s">
        <v>2921</v>
      </c>
      <c r="D11003" s="78" t="s">
        <v>5946</v>
      </c>
      <c r="E11003" s="79" t="s">
        <v>139</v>
      </c>
      <c r="F11003" s="79" t="s">
        <v>5947</v>
      </c>
      <c r="G11003" s="79" t="s">
        <v>2928</v>
      </c>
      <c r="H11003" s="79"/>
      <c r="I11003" s="80" t="s">
        <v>2897</v>
      </c>
      <c r="J11003" s="583">
        <v>1</v>
      </c>
      <c r="K11003" s="583">
        <v>0</v>
      </c>
      <c r="L11003" s="92">
        <v>40.07</v>
      </c>
      <c r="M11003" s="92">
        <v>40.07</v>
      </c>
    </row>
    <row r="11004" ht="46.25" customHeight="1" spans="3:13">
      <c r="C11004" s="79" t="s">
        <v>2921</v>
      </c>
      <c r="D11004" s="78" t="s">
        <v>5990</v>
      </c>
      <c r="E11004" s="79" t="s">
        <v>139</v>
      </c>
      <c r="F11004" s="79" t="s">
        <v>5991</v>
      </c>
      <c r="G11004" s="79" t="s">
        <v>5464</v>
      </c>
      <c r="H11004" s="79"/>
      <c r="I11004" s="80" t="s">
        <v>2897</v>
      </c>
      <c r="J11004" s="583">
        <v>1</v>
      </c>
      <c r="K11004" s="583">
        <v>0</v>
      </c>
      <c r="L11004" s="92">
        <v>27.28</v>
      </c>
      <c r="M11004" s="92">
        <v>27.28</v>
      </c>
    </row>
    <row r="11005" ht="25.5" spans="3:13">
      <c r="C11005" s="108"/>
      <c r="D11005" s="108"/>
      <c r="E11005" s="108"/>
      <c r="F11005" s="108"/>
      <c r="G11005" s="108"/>
      <c r="H11005" s="108" t="s">
        <v>2898</v>
      </c>
      <c r="I11005" s="581">
        <v>31.24</v>
      </c>
      <c r="J11005" s="108" t="s">
        <v>2899</v>
      </c>
      <c r="K11005" s="581">
        <v>0</v>
      </c>
      <c r="L11005" s="108" t="s">
        <v>2900</v>
      </c>
      <c r="M11005" s="581">
        <v>31.24</v>
      </c>
    </row>
    <row r="11006" ht="26.25" spans="3:13">
      <c r="C11006" s="108"/>
      <c r="D11006" s="108"/>
      <c r="E11006" s="108"/>
      <c r="F11006" s="108"/>
      <c r="G11006" s="108"/>
      <c r="H11006" s="108" t="s">
        <v>2901</v>
      </c>
      <c r="I11006" s="581">
        <v>19</v>
      </c>
      <c r="J11006" s="114"/>
      <c r="K11006" s="114" t="s">
        <v>2902</v>
      </c>
      <c r="L11006" s="108"/>
      <c r="M11006" s="581">
        <v>93.56</v>
      </c>
    </row>
    <row r="11007" ht="15" spans="3:13">
      <c r="C11007" s="571"/>
      <c r="D11007" s="571"/>
      <c r="E11007" s="571"/>
      <c r="F11007" s="571"/>
      <c r="G11007" s="571"/>
      <c r="H11007" s="571"/>
      <c r="I11007" s="571"/>
      <c r="J11007" s="571"/>
      <c r="K11007" s="571"/>
      <c r="L11007" s="571"/>
      <c r="M11007" s="571"/>
    </row>
    <row r="11008" ht="15" customHeight="1" spans="3:13">
      <c r="C11008" s="76"/>
      <c r="D11008" s="75" t="s">
        <v>63</v>
      </c>
      <c r="E11008" s="76" t="s">
        <v>64</v>
      </c>
      <c r="F11008" s="76" t="s">
        <v>65</v>
      </c>
      <c r="G11008" s="76" t="s">
        <v>2889</v>
      </c>
      <c r="H11008" s="76"/>
      <c r="I11008" s="77" t="s">
        <v>66</v>
      </c>
      <c r="J11008" s="75" t="s">
        <v>67</v>
      </c>
      <c r="K11008" s="75" t="s">
        <v>2890</v>
      </c>
      <c r="L11008" s="75" t="s">
        <v>68</v>
      </c>
      <c r="M11008" s="75" t="s">
        <v>70</v>
      </c>
    </row>
    <row r="11009" ht="46.25" customHeight="1" spans="3:13">
      <c r="C11009" s="569" t="s">
        <v>2891</v>
      </c>
      <c r="D11009" s="570" t="s">
        <v>3924</v>
      </c>
      <c r="E11009" s="569" t="s">
        <v>139</v>
      </c>
      <c r="F11009" s="569" t="s">
        <v>3925</v>
      </c>
      <c r="G11009" s="569" t="s">
        <v>2995</v>
      </c>
      <c r="H11009" s="569"/>
      <c r="I11009" s="577" t="s">
        <v>3002</v>
      </c>
      <c r="J11009" s="578">
        <v>1</v>
      </c>
      <c r="K11009" s="579"/>
      <c r="L11009" s="579">
        <v>159.84</v>
      </c>
      <c r="M11009" s="579">
        <v>159.84</v>
      </c>
    </row>
    <row r="11010" ht="46.25" customHeight="1" spans="3:13">
      <c r="C11010" s="79" t="s">
        <v>2921</v>
      </c>
      <c r="D11010" s="78" t="s">
        <v>5990</v>
      </c>
      <c r="E11010" s="79" t="s">
        <v>139</v>
      </c>
      <c r="F11010" s="79" t="s">
        <v>5991</v>
      </c>
      <c r="G11010" s="79" t="s">
        <v>5464</v>
      </c>
      <c r="H11010" s="79"/>
      <c r="I11010" s="80" t="s">
        <v>2897</v>
      </c>
      <c r="J11010" s="583">
        <v>1</v>
      </c>
      <c r="K11010" s="583">
        <v>0</v>
      </c>
      <c r="L11010" s="92">
        <v>27.28</v>
      </c>
      <c r="M11010" s="92">
        <v>27.28</v>
      </c>
    </row>
    <row r="11011" ht="46.25" customHeight="1" spans="3:13">
      <c r="C11011" s="79" t="s">
        <v>2921</v>
      </c>
      <c r="D11011" s="78" t="s">
        <v>5988</v>
      </c>
      <c r="E11011" s="79" t="s">
        <v>139</v>
      </c>
      <c r="F11011" s="79" t="s">
        <v>5989</v>
      </c>
      <c r="G11011" s="79" t="s">
        <v>5464</v>
      </c>
      <c r="H11011" s="79"/>
      <c r="I11011" s="80" t="s">
        <v>2897</v>
      </c>
      <c r="J11011" s="583">
        <v>1</v>
      </c>
      <c r="K11011" s="583">
        <v>0</v>
      </c>
      <c r="L11011" s="92">
        <v>7.21</v>
      </c>
      <c r="M11011" s="92">
        <v>7.21</v>
      </c>
    </row>
    <row r="11012" ht="23.85" customHeight="1" spans="3:13">
      <c r="C11012" s="79" t="s">
        <v>2921</v>
      </c>
      <c r="D11012" s="78" t="s">
        <v>5946</v>
      </c>
      <c r="E11012" s="79" t="s">
        <v>139</v>
      </c>
      <c r="F11012" s="79" t="s">
        <v>5947</v>
      </c>
      <c r="G11012" s="79" t="s">
        <v>2928</v>
      </c>
      <c r="H11012" s="79"/>
      <c r="I11012" s="80" t="s">
        <v>2897</v>
      </c>
      <c r="J11012" s="583">
        <v>1</v>
      </c>
      <c r="K11012" s="583">
        <v>0</v>
      </c>
      <c r="L11012" s="92">
        <v>40.07</v>
      </c>
      <c r="M11012" s="92">
        <v>40.07</v>
      </c>
    </row>
    <row r="11013" ht="57.45" customHeight="1" spans="3:13">
      <c r="C11013" s="79" t="s">
        <v>2921</v>
      </c>
      <c r="D11013" s="78" t="s">
        <v>5992</v>
      </c>
      <c r="E11013" s="79" t="s">
        <v>139</v>
      </c>
      <c r="F11013" s="79" t="s">
        <v>5993</v>
      </c>
      <c r="G11013" s="79" t="s">
        <v>5464</v>
      </c>
      <c r="H11013" s="79"/>
      <c r="I11013" s="80" t="s">
        <v>2897</v>
      </c>
      <c r="J11013" s="583">
        <v>1</v>
      </c>
      <c r="K11013" s="583">
        <v>0</v>
      </c>
      <c r="L11013" s="92">
        <v>51.18</v>
      </c>
      <c r="M11013" s="92">
        <v>51.18</v>
      </c>
    </row>
    <row r="11014" ht="46.25" customHeight="1" spans="3:13">
      <c r="C11014" s="79" t="s">
        <v>2921</v>
      </c>
      <c r="D11014" s="78" t="s">
        <v>5994</v>
      </c>
      <c r="E11014" s="79" t="s">
        <v>139</v>
      </c>
      <c r="F11014" s="79" t="s">
        <v>5995</v>
      </c>
      <c r="G11014" s="79" t="s">
        <v>5464</v>
      </c>
      <c r="H11014" s="79"/>
      <c r="I11014" s="80" t="s">
        <v>2897</v>
      </c>
      <c r="J11014" s="583">
        <v>1</v>
      </c>
      <c r="K11014" s="583">
        <v>0</v>
      </c>
      <c r="L11014" s="92">
        <v>34.1</v>
      </c>
      <c r="M11014" s="92">
        <v>34.1</v>
      </c>
    </row>
    <row r="11015" ht="25.5" spans="3:13">
      <c r="C11015" s="108"/>
      <c r="D11015" s="108"/>
      <c r="E11015" s="108"/>
      <c r="F11015" s="108"/>
      <c r="G11015" s="108"/>
      <c r="H11015" s="108" t="s">
        <v>2898</v>
      </c>
      <c r="I11015" s="581">
        <v>31.24</v>
      </c>
      <c r="J11015" s="108" t="s">
        <v>2899</v>
      </c>
      <c r="K11015" s="581">
        <v>0</v>
      </c>
      <c r="L11015" s="108" t="s">
        <v>2900</v>
      </c>
      <c r="M11015" s="581">
        <v>31.24</v>
      </c>
    </row>
    <row r="11016" ht="26.25" spans="3:13">
      <c r="C11016" s="108"/>
      <c r="D11016" s="108"/>
      <c r="E11016" s="108"/>
      <c r="F11016" s="108"/>
      <c r="G11016" s="108"/>
      <c r="H11016" s="108" t="s">
        <v>2901</v>
      </c>
      <c r="I11016" s="581">
        <v>40.74</v>
      </c>
      <c r="J11016" s="114"/>
      <c r="K11016" s="114" t="s">
        <v>2902</v>
      </c>
      <c r="L11016" s="108"/>
      <c r="M11016" s="581">
        <v>200.58</v>
      </c>
    </row>
    <row r="11017" ht="15" spans="3:13">
      <c r="C11017" s="571"/>
      <c r="D11017" s="571"/>
      <c r="E11017" s="571"/>
      <c r="F11017" s="571"/>
      <c r="G11017" s="571"/>
      <c r="H11017" s="571"/>
      <c r="I11017" s="571"/>
      <c r="J11017" s="571"/>
      <c r="K11017" s="571"/>
      <c r="L11017" s="571"/>
      <c r="M11017" s="571"/>
    </row>
    <row r="11018" ht="15" customHeight="1" spans="3:13">
      <c r="C11018" s="76"/>
      <c r="D11018" s="75" t="s">
        <v>63</v>
      </c>
      <c r="E11018" s="76" t="s">
        <v>64</v>
      </c>
      <c r="F11018" s="76" t="s">
        <v>65</v>
      </c>
      <c r="G11018" s="76" t="s">
        <v>2889</v>
      </c>
      <c r="H11018" s="76"/>
      <c r="I11018" s="77" t="s">
        <v>66</v>
      </c>
      <c r="J11018" s="75" t="s">
        <v>67</v>
      </c>
      <c r="K11018" s="75" t="s">
        <v>2890</v>
      </c>
      <c r="L11018" s="75" t="s">
        <v>68</v>
      </c>
      <c r="M11018" s="75" t="s">
        <v>70</v>
      </c>
    </row>
    <row r="11019" ht="46.25" customHeight="1" spans="3:13">
      <c r="C11019" s="569" t="s">
        <v>2891</v>
      </c>
      <c r="D11019" s="570" t="s">
        <v>5990</v>
      </c>
      <c r="E11019" s="569" t="s">
        <v>139</v>
      </c>
      <c r="F11019" s="569" t="s">
        <v>5991</v>
      </c>
      <c r="G11019" s="569" t="s">
        <v>5464</v>
      </c>
      <c r="H11019" s="569"/>
      <c r="I11019" s="577" t="s">
        <v>2897</v>
      </c>
      <c r="J11019" s="578">
        <v>1</v>
      </c>
      <c r="K11019" s="579"/>
      <c r="L11019" s="579">
        <v>27.28</v>
      </c>
      <c r="M11019" s="579">
        <v>27.28</v>
      </c>
    </row>
    <row r="11020" ht="46.25" customHeight="1" spans="3:13">
      <c r="C11020" s="100" t="s">
        <v>2893</v>
      </c>
      <c r="D11020" s="99" t="s">
        <v>5996</v>
      </c>
      <c r="E11020" s="100" t="s">
        <v>139</v>
      </c>
      <c r="F11020" s="100" t="s">
        <v>5997</v>
      </c>
      <c r="G11020" s="100" t="s">
        <v>3680</v>
      </c>
      <c r="H11020" s="100"/>
      <c r="I11020" s="101" t="s">
        <v>134</v>
      </c>
      <c r="J11020" s="580">
        <v>5.6e-5</v>
      </c>
      <c r="K11020" s="580">
        <v>0</v>
      </c>
      <c r="L11020" s="102">
        <v>487195.09</v>
      </c>
      <c r="M11020" s="102">
        <v>27.28</v>
      </c>
    </row>
    <row r="11021" ht="25.5" spans="3:13">
      <c r="C11021" s="108"/>
      <c r="D11021" s="108"/>
      <c r="E11021" s="108"/>
      <c r="F11021" s="108"/>
      <c r="G11021" s="108"/>
      <c r="H11021" s="108" t="s">
        <v>2898</v>
      </c>
      <c r="I11021" s="581">
        <v>0</v>
      </c>
      <c r="J11021" s="108" t="s">
        <v>2899</v>
      </c>
      <c r="K11021" s="581">
        <v>0</v>
      </c>
      <c r="L11021" s="108" t="s">
        <v>2900</v>
      </c>
      <c r="M11021" s="581">
        <v>0</v>
      </c>
    </row>
    <row r="11022" ht="26.25" spans="3:13">
      <c r="C11022" s="108"/>
      <c r="D11022" s="108"/>
      <c r="E11022" s="108"/>
      <c r="F11022" s="108"/>
      <c r="G11022" s="108"/>
      <c r="H11022" s="108" t="s">
        <v>2901</v>
      </c>
      <c r="I11022" s="581">
        <v>6.95</v>
      </c>
      <c r="J11022" s="114"/>
      <c r="K11022" s="114" t="s">
        <v>2902</v>
      </c>
      <c r="L11022" s="108"/>
      <c r="M11022" s="581">
        <v>34.23</v>
      </c>
    </row>
    <row r="11023" ht="15" spans="3:13">
      <c r="C11023" s="571"/>
      <c r="D11023" s="571"/>
      <c r="E11023" s="571"/>
      <c r="F11023" s="571"/>
      <c r="G11023" s="571"/>
      <c r="H11023" s="571"/>
      <c r="I11023" s="571"/>
      <c r="J11023" s="571"/>
      <c r="K11023" s="571"/>
      <c r="L11023" s="571"/>
      <c r="M11023" s="571"/>
    </row>
    <row r="11024" ht="15" customHeight="1" spans="3:13">
      <c r="C11024" s="76"/>
      <c r="D11024" s="75" t="s">
        <v>63</v>
      </c>
      <c r="E11024" s="76" t="s">
        <v>64</v>
      </c>
      <c r="F11024" s="76" t="s">
        <v>65</v>
      </c>
      <c r="G11024" s="76" t="s">
        <v>2889</v>
      </c>
      <c r="H11024" s="76"/>
      <c r="I11024" s="77" t="s">
        <v>66</v>
      </c>
      <c r="J11024" s="75" t="s">
        <v>67</v>
      </c>
      <c r="K11024" s="75" t="s">
        <v>2890</v>
      </c>
      <c r="L11024" s="75" t="s">
        <v>68</v>
      </c>
      <c r="M11024" s="75" t="s">
        <v>70</v>
      </c>
    </row>
    <row r="11025" ht="46.25" customHeight="1" spans="3:13">
      <c r="C11025" s="569" t="s">
        <v>2891</v>
      </c>
      <c r="D11025" s="570" t="s">
        <v>5988</v>
      </c>
      <c r="E11025" s="569" t="s">
        <v>139</v>
      </c>
      <c r="F11025" s="569" t="s">
        <v>5989</v>
      </c>
      <c r="G11025" s="569" t="s">
        <v>5464</v>
      </c>
      <c r="H11025" s="569"/>
      <c r="I11025" s="577" t="s">
        <v>2897</v>
      </c>
      <c r="J11025" s="578">
        <v>1</v>
      </c>
      <c r="K11025" s="579"/>
      <c r="L11025" s="579">
        <v>7.21</v>
      </c>
      <c r="M11025" s="579">
        <v>7.21</v>
      </c>
    </row>
    <row r="11026" ht="46.25" customHeight="1" spans="3:13">
      <c r="C11026" s="100" t="s">
        <v>2893</v>
      </c>
      <c r="D11026" s="99" t="s">
        <v>5996</v>
      </c>
      <c r="E11026" s="100" t="s">
        <v>139</v>
      </c>
      <c r="F11026" s="100" t="s">
        <v>5997</v>
      </c>
      <c r="G11026" s="100" t="s">
        <v>3680</v>
      </c>
      <c r="H11026" s="100"/>
      <c r="I11026" s="101" t="s">
        <v>134</v>
      </c>
      <c r="J11026" s="580">
        <v>1.48e-5</v>
      </c>
      <c r="K11026" s="580">
        <v>0</v>
      </c>
      <c r="L11026" s="102">
        <v>487195.09</v>
      </c>
      <c r="M11026" s="102">
        <v>7.21</v>
      </c>
    </row>
    <row r="11027" ht="25.5" spans="3:13">
      <c r="C11027" s="108"/>
      <c r="D11027" s="108"/>
      <c r="E11027" s="108"/>
      <c r="F11027" s="108"/>
      <c r="G11027" s="108"/>
      <c r="H11027" s="108" t="s">
        <v>2898</v>
      </c>
      <c r="I11027" s="581">
        <v>0</v>
      </c>
      <c r="J11027" s="108" t="s">
        <v>2899</v>
      </c>
      <c r="K11027" s="581">
        <v>0</v>
      </c>
      <c r="L11027" s="108" t="s">
        <v>2900</v>
      </c>
      <c r="M11027" s="581">
        <v>0</v>
      </c>
    </row>
    <row r="11028" ht="26.25" spans="3:13">
      <c r="C11028" s="108"/>
      <c r="D11028" s="108"/>
      <c r="E11028" s="108"/>
      <c r="F11028" s="108"/>
      <c r="G11028" s="108"/>
      <c r="H11028" s="108" t="s">
        <v>2901</v>
      </c>
      <c r="I11028" s="581">
        <v>1.83</v>
      </c>
      <c r="J11028" s="114"/>
      <c r="K11028" s="114" t="s">
        <v>2902</v>
      </c>
      <c r="L11028" s="108"/>
      <c r="M11028" s="581">
        <v>9.04</v>
      </c>
    </row>
    <row r="11029" ht="15" spans="3:13">
      <c r="C11029" s="571"/>
      <c r="D11029" s="571"/>
      <c r="E11029" s="571"/>
      <c r="F11029" s="571"/>
      <c r="G11029" s="571"/>
      <c r="H11029" s="571"/>
      <c r="I11029" s="571"/>
      <c r="J11029" s="571"/>
      <c r="K11029" s="571"/>
      <c r="L11029" s="571"/>
      <c r="M11029" s="571"/>
    </row>
    <row r="11030" ht="15" customHeight="1" spans="3:13">
      <c r="C11030" s="76"/>
      <c r="D11030" s="75" t="s">
        <v>63</v>
      </c>
      <c r="E11030" s="76" t="s">
        <v>64</v>
      </c>
      <c r="F11030" s="76" t="s">
        <v>65</v>
      </c>
      <c r="G11030" s="76" t="s">
        <v>2889</v>
      </c>
      <c r="H11030" s="76"/>
      <c r="I11030" s="77" t="s">
        <v>66</v>
      </c>
      <c r="J11030" s="75" t="s">
        <v>67</v>
      </c>
      <c r="K11030" s="75" t="s">
        <v>2890</v>
      </c>
      <c r="L11030" s="75" t="s">
        <v>68</v>
      </c>
      <c r="M11030" s="75" t="s">
        <v>70</v>
      </c>
    </row>
    <row r="11031" ht="46.25" customHeight="1" spans="3:13">
      <c r="C11031" s="569" t="s">
        <v>2891</v>
      </c>
      <c r="D11031" s="570" t="s">
        <v>5994</v>
      </c>
      <c r="E11031" s="569" t="s">
        <v>139</v>
      </c>
      <c r="F11031" s="569" t="s">
        <v>5995</v>
      </c>
      <c r="G11031" s="569" t="s">
        <v>5464</v>
      </c>
      <c r="H11031" s="569"/>
      <c r="I11031" s="577" t="s">
        <v>2897</v>
      </c>
      <c r="J11031" s="578">
        <v>1</v>
      </c>
      <c r="K11031" s="579"/>
      <c r="L11031" s="579">
        <v>34.1</v>
      </c>
      <c r="M11031" s="579">
        <v>34.1</v>
      </c>
    </row>
    <row r="11032" ht="46.25" customHeight="1" spans="3:13">
      <c r="C11032" s="100" t="s">
        <v>2893</v>
      </c>
      <c r="D11032" s="99" t="s">
        <v>5996</v>
      </c>
      <c r="E11032" s="100" t="s">
        <v>139</v>
      </c>
      <c r="F11032" s="100" t="s">
        <v>5997</v>
      </c>
      <c r="G11032" s="100" t="s">
        <v>3680</v>
      </c>
      <c r="H11032" s="100"/>
      <c r="I11032" s="101" t="s">
        <v>134</v>
      </c>
      <c r="J11032" s="580">
        <v>7e-5</v>
      </c>
      <c r="K11032" s="580">
        <v>0</v>
      </c>
      <c r="L11032" s="102">
        <v>487195.09</v>
      </c>
      <c r="M11032" s="102">
        <v>34.1</v>
      </c>
    </row>
    <row r="11033" ht="25.5" spans="3:13">
      <c r="C11033" s="108"/>
      <c r="D11033" s="108"/>
      <c r="E11033" s="108"/>
      <c r="F11033" s="108"/>
      <c r="G11033" s="108"/>
      <c r="H11033" s="108" t="s">
        <v>2898</v>
      </c>
      <c r="I11033" s="581">
        <v>0</v>
      </c>
      <c r="J11033" s="108" t="s">
        <v>2899</v>
      </c>
      <c r="K11033" s="581">
        <v>0</v>
      </c>
      <c r="L11033" s="108" t="s">
        <v>2900</v>
      </c>
      <c r="M11033" s="581">
        <v>0</v>
      </c>
    </row>
    <row r="11034" ht="26.25" spans="3:13">
      <c r="C11034" s="108"/>
      <c r="D11034" s="108"/>
      <c r="E11034" s="108"/>
      <c r="F11034" s="108"/>
      <c r="G11034" s="108"/>
      <c r="H11034" s="108" t="s">
        <v>2901</v>
      </c>
      <c r="I11034" s="581">
        <v>8.69</v>
      </c>
      <c r="J11034" s="114"/>
      <c r="K11034" s="114" t="s">
        <v>2902</v>
      </c>
      <c r="L11034" s="108"/>
      <c r="M11034" s="581">
        <v>42.79</v>
      </c>
    </row>
    <row r="11035" ht="15" spans="3:13">
      <c r="C11035" s="571"/>
      <c r="D11035" s="571"/>
      <c r="E11035" s="571"/>
      <c r="F11035" s="571"/>
      <c r="G11035" s="571"/>
      <c r="H11035" s="571"/>
      <c r="I11035" s="571"/>
      <c r="J11035" s="571"/>
      <c r="K11035" s="571"/>
      <c r="L11035" s="571"/>
      <c r="M11035" s="571"/>
    </row>
    <row r="11036" ht="15" customHeight="1" spans="3:13">
      <c r="C11036" s="76"/>
      <c r="D11036" s="75" t="s">
        <v>63</v>
      </c>
      <c r="E11036" s="76" t="s">
        <v>64</v>
      </c>
      <c r="F11036" s="76" t="s">
        <v>65</v>
      </c>
      <c r="G11036" s="76" t="s">
        <v>2889</v>
      </c>
      <c r="H11036" s="76"/>
      <c r="I11036" s="77" t="s">
        <v>66</v>
      </c>
      <c r="J11036" s="75" t="s">
        <v>67</v>
      </c>
      <c r="K11036" s="75" t="s">
        <v>2890</v>
      </c>
      <c r="L11036" s="75" t="s">
        <v>68</v>
      </c>
      <c r="M11036" s="75" t="s">
        <v>70</v>
      </c>
    </row>
    <row r="11037" ht="57.45" customHeight="1" spans="3:13">
      <c r="C11037" s="569" t="s">
        <v>2891</v>
      </c>
      <c r="D11037" s="570" t="s">
        <v>5992</v>
      </c>
      <c r="E11037" s="569" t="s">
        <v>139</v>
      </c>
      <c r="F11037" s="569" t="s">
        <v>5993</v>
      </c>
      <c r="G11037" s="569" t="s">
        <v>5464</v>
      </c>
      <c r="H11037" s="569"/>
      <c r="I11037" s="577" t="s">
        <v>2897</v>
      </c>
      <c r="J11037" s="578">
        <v>1</v>
      </c>
      <c r="K11037" s="579"/>
      <c r="L11037" s="579">
        <v>51.18</v>
      </c>
      <c r="M11037" s="579">
        <v>51.18</v>
      </c>
    </row>
    <row r="11038" ht="15" customHeight="1" spans="3:13">
      <c r="C11038" s="100" t="s">
        <v>2893</v>
      </c>
      <c r="D11038" s="99" t="s">
        <v>5547</v>
      </c>
      <c r="E11038" s="100" t="s">
        <v>139</v>
      </c>
      <c r="F11038" s="100" t="s">
        <v>5548</v>
      </c>
      <c r="G11038" s="100" t="s">
        <v>2961</v>
      </c>
      <c r="H11038" s="100"/>
      <c r="I11038" s="101" t="s">
        <v>3084</v>
      </c>
      <c r="J11038" s="580">
        <v>8.53</v>
      </c>
      <c r="K11038" s="580">
        <v>0</v>
      </c>
      <c r="L11038" s="102">
        <v>6</v>
      </c>
      <c r="M11038" s="102">
        <v>51.18</v>
      </c>
    </row>
    <row r="11039" ht="25.5" spans="3:13">
      <c r="C11039" s="108"/>
      <c r="D11039" s="108"/>
      <c r="E11039" s="108"/>
      <c r="F11039" s="108"/>
      <c r="G11039" s="108"/>
      <c r="H11039" s="108" t="s">
        <v>2898</v>
      </c>
      <c r="I11039" s="581">
        <v>0</v>
      </c>
      <c r="J11039" s="108" t="s">
        <v>2899</v>
      </c>
      <c r="K11039" s="581">
        <v>0</v>
      </c>
      <c r="L11039" s="108" t="s">
        <v>2900</v>
      </c>
      <c r="M11039" s="581">
        <v>0</v>
      </c>
    </row>
    <row r="11040" ht="26.25" spans="3:13">
      <c r="C11040" s="108"/>
      <c r="D11040" s="108"/>
      <c r="E11040" s="108"/>
      <c r="F11040" s="108"/>
      <c r="G11040" s="108"/>
      <c r="H11040" s="108" t="s">
        <v>2901</v>
      </c>
      <c r="I11040" s="581">
        <v>13.04</v>
      </c>
      <c r="J11040" s="114"/>
      <c r="K11040" s="114" t="s">
        <v>2902</v>
      </c>
      <c r="L11040" s="108"/>
      <c r="M11040" s="581">
        <v>64.22</v>
      </c>
    </row>
    <row r="11041" ht="15" spans="3:13">
      <c r="C11041" s="571"/>
      <c r="D11041" s="571"/>
      <c r="E11041" s="571"/>
      <c r="F11041" s="571"/>
      <c r="G11041" s="571"/>
      <c r="H11041" s="571"/>
      <c r="I11041" s="571"/>
      <c r="J11041" s="571"/>
      <c r="K11041" s="571"/>
      <c r="L11041" s="571"/>
      <c r="M11041" s="571"/>
    </row>
    <row r="11042" ht="15" customHeight="1" spans="3:13">
      <c r="C11042" s="76"/>
      <c r="D11042" s="75" t="s">
        <v>63</v>
      </c>
      <c r="E11042" s="76" t="s">
        <v>64</v>
      </c>
      <c r="F11042" s="76" t="s">
        <v>65</v>
      </c>
      <c r="G11042" s="76" t="s">
        <v>2889</v>
      </c>
      <c r="H11042" s="76"/>
      <c r="I11042" s="77" t="s">
        <v>66</v>
      </c>
      <c r="J11042" s="75" t="s">
        <v>67</v>
      </c>
      <c r="K11042" s="75" t="s">
        <v>2890</v>
      </c>
      <c r="L11042" s="75" t="s">
        <v>68</v>
      </c>
      <c r="M11042" s="75" t="s">
        <v>70</v>
      </c>
    </row>
    <row r="11043" ht="23.85" customHeight="1" spans="3:13">
      <c r="C11043" s="569" t="s">
        <v>2891</v>
      </c>
      <c r="D11043" s="570" t="s">
        <v>4330</v>
      </c>
      <c r="E11043" s="569" t="s">
        <v>796</v>
      </c>
      <c r="F11043" s="569" t="s">
        <v>4331</v>
      </c>
      <c r="G11043" s="569" t="s">
        <v>4319</v>
      </c>
      <c r="H11043" s="569"/>
      <c r="I11043" s="577" t="s">
        <v>279</v>
      </c>
      <c r="J11043" s="578">
        <v>1</v>
      </c>
      <c r="K11043" s="579"/>
      <c r="L11043" s="579">
        <v>51.66</v>
      </c>
      <c r="M11043" s="579">
        <v>51.66</v>
      </c>
    </row>
    <row r="11044" ht="35.05" customHeight="1" spans="3:13">
      <c r="C11044" s="100" t="s">
        <v>2893</v>
      </c>
      <c r="D11044" s="99" t="s">
        <v>3713</v>
      </c>
      <c r="E11044" s="100" t="s">
        <v>796</v>
      </c>
      <c r="F11044" s="100" t="s">
        <v>3714</v>
      </c>
      <c r="G11044" s="100" t="s">
        <v>3715</v>
      </c>
      <c r="H11044" s="100"/>
      <c r="I11044" s="101" t="s">
        <v>3716</v>
      </c>
      <c r="J11044" s="580">
        <v>50.16</v>
      </c>
      <c r="K11044" s="580">
        <v>3</v>
      </c>
      <c r="L11044" s="102">
        <v>1</v>
      </c>
      <c r="M11044" s="102">
        <v>1.5</v>
      </c>
    </row>
    <row r="11045" ht="15" customHeight="1" spans="3:13">
      <c r="C11045" s="100" t="s">
        <v>2893</v>
      </c>
      <c r="D11045" s="99" t="s">
        <v>3717</v>
      </c>
      <c r="E11045" s="100" t="s">
        <v>796</v>
      </c>
      <c r="F11045" s="100" t="s">
        <v>3718</v>
      </c>
      <c r="G11045" s="100" t="s">
        <v>2896</v>
      </c>
      <c r="H11045" s="100"/>
      <c r="I11045" s="101" t="s">
        <v>3707</v>
      </c>
      <c r="J11045" s="580">
        <v>2.1</v>
      </c>
      <c r="K11045" s="580">
        <v>0</v>
      </c>
      <c r="L11045" s="102">
        <v>23.89</v>
      </c>
      <c r="M11045" s="102">
        <v>50.16</v>
      </c>
    </row>
    <row r="11046" ht="25.5" spans="3:13">
      <c r="C11046" s="108"/>
      <c r="D11046" s="108"/>
      <c r="E11046" s="108"/>
      <c r="F11046" s="108"/>
      <c r="G11046" s="108"/>
      <c r="H11046" s="108" t="s">
        <v>2898</v>
      </c>
      <c r="I11046" s="581">
        <v>50.16</v>
      </c>
      <c r="J11046" s="108" t="s">
        <v>2899</v>
      </c>
      <c r="K11046" s="581">
        <v>0</v>
      </c>
      <c r="L11046" s="108" t="s">
        <v>2900</v>
      </c>
      <c r="M11046" s="581">
        <v>50.16</v>
      </c>
    </row>
    <row r="11047" ht="26.25" spans="3:13">
      <c r="C11047" s="108"/>
      <c r="D11047" s="108"/>
      <c r="E11047" s="108"/>
      <c r="F11047" s="108"/>
      <c r="G11047" s="108"/>
      <c r="H11047" s="108" t="s">
        <v>2901</v>
      </c>
      <c r="I11047" s="581">
        <v>13.16</v>
      </c>
      <c r="J11047" s="114"/>
      <c r="K11047" s="114" t="s">
        <v>2902</v>
      </c>
      <c r="L11047" s="108"/>
      <c r="M11047" s="581">
        <v>64.82</v>
      </c>
    </row>
    <row r="11048" ht="15" spans="3:13">
      <c r="C11048" s="571"/>
      <c r="D11048" s="571"/>
      <c r="E11048" s="571"/>
      <c r="F11048" s="571"/>
      <c r="G11048" s="571"/>
      <c r="H11048" s="571"/>
      <c r="I11048" s="571"/>
      <c r="J11048" s="571"/>
      <c r="K11048" s="571"/>
      <c r="L11048" s="571"/>
      <c r="M11048" s="571"/>
    </row>
    <row r="11049" ht="15" customHeight="1" spans="3:13">
      <c r="C11049" s="76"/>
      <c r="D11049" s="75" t="s">
        <v>63</v>
      </c>
      <c r="E11049" s="76" t="s">
        <v>64</v>
      </c>
      <c r="F11049" s="76" t="s">
        <v>65</v>
      </c>
      <c r="G11049" s="76" t="s">
        <v>2889</v>
      </c>
      <c r="H11049" s="76"/>
      <c r="I11049" s="77" t="s">
        <v>66</v>
      </c>
      <c r="J11049" s="75" t="s">
        <v>67</v>
      </c>
      <c r="K11049" s="75" t="s">
        <v>2890</v>
      </c>
      <c r="L11049" s="75" t="s">
        <v>68</v>
      </c>
      <c r="M11049" s="75" t="s">
        <v>70</v>
      </c>
    </row>
    <row r="11050" ht="23.85" customHeight="1" spans="3:13">
      <c r="C11050" s="569" t="s">
        <v>2891</v>
      </c>
      <c r="D11050" s="570" t="s">
        <v>2993</v>
      </c>
      <c r="E11050" s="569" t="s">
        <v>139</v>
      </c>
      <c r="F11050" s="569" t="s">
        <v>2994</v>
      </c>
      <c r="G11050" s="569" t="s">
        <v>2995</v>
      </c>
      <c r="H11050" s="569"/>
      <c r="I11050" s="577" t="s">
        <v>2996</v>
      </c>
      <c r="J11050" s="578">
        <v>1</v>
      </c>
      <c r="K11050" s="579"/>
      <c r="L11050" s="579">
        <v>39.98</v>
      </c>
      <c r="M11050" s="579">
        <v>39.98</v>
      </c>
    </row>
    <row r="11051" ht="23.85" customHeight="1" spans="3:13">
      <c r="C11051" s="79" t="s">
        <v>2921</v>
      </c>
      <c r="D11051" s="78" t="s">
        <v>5557</v>
      </c>
      <c r="E11051" s="79" t="s">
        <v>139</v>
      </c>
      <c r="F11051" s="79" t="s">
        <v>5558</v>
      </c>
      <c r="G11051" s="79" t="s">
        <v>2928</v>
      </c>
      <c r="H11051" s="79"/>
      <c r="I11051" s="80" t="s">
        <v>2897</v>
      </c>
      <c r="J11051" s="583">
        <v>1</v>
      </c>
      <c r="K11051" s="583">
        <v>0</v>
      </c>
      <c r="L11051" s="92">
        <v>39.88</v>
      </c>
      <c r="M11051" s="92">
        <v>39.88</v>
      </c>
    </row>
    <row r="11052" ht="46.25" customHeight="1" spans="3:13">
      <c r="C11052" s="79" t="s">
        <v>2921</v>
      </c>
      <c r="D11052" s="78" t="s">
        <v>5998</v>
      </c>
      <c r="E11052" s="79" t="s">
        <v>139</v>
      </c>
      <c r="F11052" s="79" t="s">
        <v>5999</v>
      </c>
      <c r="G11052" s="79" t="s">
        <v>5464</v>
      </c>
      <c r="H11052" s="79"/>
      <c r="I11052" s="80" t="s">
        <v>2897</v>
      </c>
      <c r="J11052" s="583">
        <v>1</v>
      </c>
      <c r="K11052" s="583">
        <v>0</v>
      </c>
      <c r="L11052" s="92">
        <v>0.09</v>
      </c>
      <c r="M11052" s="92">
        <v>0.09</v>
      </c>
    </row>
    <row r="11053" ht="46.25" customHeight="1" spans="3:13">
      <c r="C11053" s="79" t="s">
        <v>2921</v>
      </c>
      <c r="D11053" s="78" t="s">
        <v>6000</v>
      </c>
      <c r="E11053" s="79" t="s">
        <v>139</v>
      </c>
      <c r="F11053" s="79" t="s">
        <v>6001</v>
      </c>
      <c r="G11053" s="79" t="s">
        <v>5464</v>
      </c>
      <c r="H11053" s="79"/>
      <c r="I11053" s="80" t="s">
        <v>2897</v>
      </c>
      <c r="J11053" s="583">
        <v>1</v>
      </c>
      <c r="K11053" s="583">
        <v>0</v>
      </c>
      <c r="L11053" s="92">
        <v>0.01</v>
      </c>
      <c r="M11053" s="92">
        <v>0.01</v>
      </c>
    </row>
    <row r="11054" ht="25.5" spans="3:13">
      <c r="C11054" s="108"/>
      <c r="D11054" s="108"/>
      <c r="E11054" s="108"/>
      <c r="F11054" s="108"/>
      <c r="G11054" s="108"/>
      <c r="H11054" s="108" t="s">
        <v>2898</v>
      </c>
      <c r="I11054" s="581">
        <v>31.05</v>
      </c>
      <c r="J11054" s="108" t="s">
        <v>2899</v>
      </c>
      <c r="K11054" s="581">
        <v>0</v>
      </c>
      <c r="L11054" s="108" t="s">
        <v>2900</v>
      </c>
      <c r="M11054" s="581">
        <v>31.05</v>
      </c>
    </row>
    <row r="11055" ht="26.25" spans="3:13">
      <c r="C11055" s="108"/>
      <c r="D11055" s="108"/>
      <c r="E11055" s="108"/>
      <c r="F11055" s="108"/>
      <c r="G11055" s="108"/>
      <c r="H11055" s="108" t="s">
        <v>2901</v>
      </c>
      <c r="I11055" s="581">
        <v>10.19</v>
      </c>
      <c r="J11055" s="114"/>
      <c r="K11055" s="114" t="s">
        <v>2902</v>
      </c>
      <c r="L11055" s="108"/>
      <c r="M11055" s="581">
        <v>50.17</v>
      </c>
    </row>
    <row r="11056" ht="15" spans="3:13">
      <c r="C11056" s="571"/>
      <c r="D11056" s="571"/>
      <c r="E11056" s="571"/>
      <c r="F11056" s="571"/>
      <c r="G11056" s="571"/>
      <c r="H11056" s="571"/>
      <c r="I11056" s="571"/>
      <c r="J11056" s="571"/>
      <c r="K11056" s="571"/>
      <c r="L11056" s="571"/>
      <c r="M11056" s="571"/>
    </row>
    <row r="11057" ht="15" customHeight="1" spans="3:13">
      <c r="C11057" s="76"/>
      <c r="D11057" s="75" t="s">
        <v>63</v>
      </c>
      <c r="E11057" s="76" t="s">
        <v>64</v>
      </c>
      <c r="F11057" s="76" t="s">
        <v>65</v>
      </c>
      <c r="G11057" s="76" t="s">
        <v>2889</v>
      </c>
      <c r="H11057" s="76"/>
      <c r="I11057" s="77" t="s">
        <v>66</v>
      </c>
      <c r="J11057" s="75" t="s">
        <v>67</v>
      </c>
      <c r="K11057" s="75" t="s">
        <v>2890</v>
      </c>
      <c r="L11057" s="75" t="s">
        <v>68</v>
      </c>
      <c r="M11057" s="75" t="s">
        <v>70</v>
      </c>
    </row>
    <row r="11058" ht="23.85" customHeight="1" spans="3:13">
      <c r="C11058" s="569" t="s">
        <v>2891</v>
      </c>
      <c r="D11058" s="570" t="s">
        <v>3000</v>
      </c>
      <c r="E11058" s="569" t="s">
        <v>139</v>
      </c>
      <c r="F11058" s="569" t="s">
        <v>3001</v>
      </c>
      <c r="G11058" s="569" t="s">
        <v>2995</v>
      </c>
      <c r="H11058" s="569"/>
      <c r="I11058" s="577" t="s">
        <v>3002</v>
      </c>
      <c r="J11058" s="578">
        <v>1</v>
      </c>
      <c r="K11058" s="579"/>
      <c r="L11058" s="579">
        <v>41.6</v>
      </c>
      <c r="M11058" s="579">
        <v>41.6</v>
      </c>
    </row>
    <row r="11059" ht="46.25" customHeight="1" spans="3:13">
      <c r="C11059" s="79" t="s">
        <v>2921</v>
      </c>
      <c r="D11059" s="78" t="s">
        <v>6002</v>
      </c>
      <c r="E11059" s="79" t="s">
        <v>139</v>
      </c>
      <c r="F11059" s="79" t="s">
        <v>6003</v>
      </c>
      <c r="G11059" s="79" t="s">
        <v>5464</v>
      </c>
      <c r="H11059" s="79"/>
      <c r="I11059" s="80" t="s">
        <v>2897</v>
      </c>
      <c r="J11059" s="583">
        <v>1</v>
      </c>
      <c r="K11059" s="583">
        <v>0</v>
      </c>
      <c r="L11059" s="92">
        <v>0.06</v>
      </c>
      <c r="M11059" s="92">
        <v>0.06</v>
      </c>
    </row>
    <row r="11060" ht="46.25" customHeight="1" spans="3:13">
      <c r="C11060" s="79" t="s">
        <v>2921</v>
      </c>
      <c r="D11060" s="78" t="s">
        <v>6000</v>
      </c>
      <c r="E11060" s="79" t="s">
        <v>139</v>
      </c>
      <c r="F11060" s="79" t="s">
        <v>6001</v>
      </c>
      <c r="G11060" s="79" t="s">
        <v>5464</v>
      </c>
      <c r="H11060" s="79"/>
      <c r="I11060" s="80" t="s">
        <v>2897</v>
      </c>
      <c r="J11060" s="583">
        <v>1</v>
      </c>
      <c r="K11060" s="583">
        <v>0</v>
      </c>
      <c r="L11060" s="92">
        <v>0.01</v>
      </c>
      <c r="M11060" s="92">
        <v>0.01</v>
      </c>
    </row>
    <row r="11061" ht="46.25" customHeight="1" spans="3:13">
      <c r="C11061" s="79" t="s">
        <v>2921</v>
      </c>
      <c r="D11061" s="78" t="s">
        <v>6004</v>
      </c>
      <c r="E11061" s="79" t="s">
        <v>139</v>
      </c>
      <c r="F11061" s="79" t="s">
        <v>6005</v>
      </c>
      <c r="G11061" s="79" t="s">
        <v>5464</v>
      </c>
      <c r="H11061" s="79"/>
      <c r="I11061" s="80" t="s">
        <v>2897</v>
      </c>
      <c r="J11061" s="583">
        <v>1</v>
      </c>
      <c r="K11061" s="583">
        <v>0</v>
      </c>
      <c r="L11061" s="92">
        <v>1.56</v>
      </c>
      <c r="M11061" s="92">
        <v>1.56</v>
      </c>
    </row>
    <row r="11062" ht="46.25" customHeight="1" spans="3:13">
      <c r="C11062" s="79" t="s">
        <v>2921</v>
      </c>
      <c r="D11062" s="78" t="s">
        <v>5998</v>
      </c>
      <c r="E11062" s="79" t="s">
        <v>139</v>
      </c>
      <c r="F11062" s="79" t="s">
        <v>5999</v>
      </c>
      <c r="G11062" s="79" t="s">
        <v>5464</v>
      </c>
      <c r="H11062" s="79"/>
      <c r="I11062" s="80" t="s">
        <v>2897</v>
      </c>
      <c r="J11062" s="583">
        <v>1</v>
      </c>
      <c r="K11062" s="583">
        <v>0</v>
      </c>
      <c r="L11062" s="92">
        <v>0.09</v>
      </c>
      <c r="M11062" s="92">
        <v>0.09</v>
      </c>
    </row>
    <row r="11063" ht="23.85" customHeight="1" spans="3:13">
      <c r="C11063" s="79" t="s">
        <v>2921</v>
      </c>
      <c r="D11063" s="78" t="s">
        <v>5557</v>
      </c>
      <c r="E11063" s="79" t="s">
        <v>139</v>
      </c>
      <c r="F11063" s="79" t="s">
        <v>5558</v>
      </c>
      <c r="G11063" s="79" t="s">
        <v>2928</v>
      </c>
      <c r="H11063" s="79"/>
      <c r="I11063" s="80" t="s">
        <v>2897</v>
      </c>
      <c r="J11063" s="583">
        <v>1</v>
      </c>
      <c r="K11063" s="583">
        <v>0</v>
      </c>
      <c r="L11063" s="92">
        <v>39.88</v>
      </c>
      <c r="M11063" s="92">
        <v>39.88</v>
      </c>
    </row>
    <row r="11064" ht="25.5" spans="3:13">
      <c r="C11064" s="108"/>
      <c r="D11064" s="108"/>
      <c r="E11064" s="108"/>
      <c r="F11064" s="108"/>
      <c r="G11064" s="108"/>
      <c r="H11064" s="108" t="s">
        <v>2898</v>
      </c>
      <c r="I11064" s="581">
        <v>31.05</v>
      </c>
      <c r="J11064" s="108" t="s">
        <v>2899</v>
      </c>
      <c r="K11064" s="581">
        <v>0</v>
      </c>
      <c r="L11064" s="108" t="s">
        <v>2900</v>
      </c>
      <c r="M11064" s="581">
        <v>31.05</v>
      </c>
    </row>
    <row r="11065" ht="26.25" spans="3:13">
      <c r="C11065" s="108"/>
      <c r="D11065" s="108"/>
      <c r="E11065" s="108"/>
      <c r="F11065" s="108"/>
      <c r="G11065" s="108"/>
      <c r="H11065" s="108" t="s">
        <v>2901</v>
      </c>
      <c r="I11065" s="581">
        <v>10.6</v>
      </c>
      <c r="J11065" s="114"/>
      <c r="K11065" s="114" t="s">
        <v>2902</v>
      </c>
      <c r="L11065" s="108"/>
      <c r="M11065" s="581">
        <v>52.2</v>
      </c>
    </row>
    <row r="11066" ht="15" spans="3:13">
      <c r="C11066" s="571"/>
      <c r="D11066" s="571"/>
      <c r="E11066" s="571"/>
      <c r="F11066" s="571"/>
      <c r="G11066" s="571"/>
      <c r="H11066" s="571"/>
      <c r="I11066" s="571"/>
      <c r="J11066" s="571"/>
      <c r="K11066" s="571"/>
      <c r="L11066" s="571"/>
      <c r="M11066" s="571"/>
    </row>
    <row r="11067" ht="15" customHeight="1" spans="3:13">
      <c r="C11067" s="76"/>
      <c r="D11067" s="75" t="s">
        <v>63</v>
      </c>
      <c r="E11067" s="76" t="s">
        <v>64</v>
      </c>
      <c r="F11067" s="76" t="s">
        <v>65</v>
      </c>
      <c r="G11067" s="76" t="s">
        <v>2889</v>
      </c>
      <c r="H11067" s="76"/>
      <c r="I11067" s="77" t="s">
        <v>66</v>
      </c>
      <c r="J11067" s="75" t="s">
        <v>67</v>
      </c>
      <c r="K11067" s="75" t="s">
        <v>2890</v>
      </c>
      <c r="L11067" s="75" t="s">
        <v>68</v>
      </c>
      <c r="M11067" s="75" t="s">
        <v>70</v>
      </c>
    </row>
    <row r="11068" ht="46.25" customHeight="1" spans="3:13">
      <c r="C11068" s="569" t="s">
        <v>2891</v>
      </c>
      <c r="D11068" s="570" t="s">
        <v>5998</v>
      </c>
      <c r="E11068" s="569" t="s">
        <v>139</v>
      </c>
      <c r="F11068" s="569" t="s">
        <v>5999</v>
      </c>
      <c r="G11068" s="569" t="s">
        <v>5464</v>
      </c>
      <c r="H11068" s="569"/>
      <c r="I11068" s="577" t="s">
        <v>2897</v>
      </c>
      <c r="J11068" s="578">
        <v>1</v>
      </c>
      <c r="K11068" s="579"/>
      <c r="L11068" s="579">
        <v>0.09</v>
      </c>
      <c r="M11068" s="579">
        <v>0.09</v>
      </c>
    </row>
    <row r="11069" ht="23.85" customHeight="1" spans="3:13">
      <c r="C11069" s="100" t="s">
        <v>2893</v>
      </c>
      <c r="D11069" s="99" t="s">
        <v>6006</v>
      </c>
      <c r="E11069" s="100" t="s">
        <v>139</v>
      </c>
      <c r="F11069" s="100" t="s">
        <v>6007</v>
      </c>
      <c r="G11069" s="100" t="s">
        <v>3680</v>
      </c>
      <c r="H11069" s="100"/>
      <c r="I11069" s="101" t="s">
        <v>134</v>
      </c>
      <c r="J11069" s="580">
        <v>7.2e-5</v>
      </c>
      <c r="K11069" s="580">
        <v>0</v>
      </c>
      <c r="L11069" s="102">
        <v>1330.99</v>
      </c>
      <c r="M11069" s="102">
        <v>0.09</v>
      </c>
    </row>
    <row r="11070" ht="25.5" spans="3:13">
      <c r="C11070" s="108"/>
      <c r="D11070" s="108"/>
      <c r="E11070" s="108"/>
      <c r="F11070" s="108"/>
      <c r="G11070" s="108"/>
      <c r="H11070" s="108" t="s">
        <v>2898</v>
      </c>
      <c r="I11070" s="581">
        <v>0</v>
      </c>
      <c r="J11070" s="108" t="s">
        <v>2899</v>
      </c>
      <c r="K11070" s="581">
        <v>0</v>
      </c>
      <c r="L11070" s="108" t="s">
        <v>2900</v>
      </c>
      <c r="M11070" s="581">
        <v>0</v>
      </c>
    </row>
    <row r="11071" ht="26.25" spans="3:13">
      <c r="C11071" s="108"/>
      <c r="D11071" s="108"/>
      <c r="E11071" s="108"/>
      <c r="F11071" s="108"/>
      <c r="G11071" s="108"/>
      <c r="H11071" s="108" t="s">
        <v>2901</v>
      </c>
      <c r="I11071" s="581">
        <v>0.02</v>
      </c>
      <c r="J11071" s="114"/>
      <c r="K11071" s="114" t="s">
        <v>2902</v>
      </c>
      <c r="L11071" s="108"/>
      <c r="M11071" s="581">
        <v>0.11</v>
      </c>
    </row>
    <row r="11072" ht="15" spans="3:13">
      <c r="C11072" s="571"/>
      <c r="D11072" s="571"/>
      <c r="E11072" s="571"/>
      <c r="F11072" s="571"/>
      <c r="G11072" s="571"/>
      <c r="H11072" s="571"/>
      <c r="I11072" s="571"/>
      <c r="J11072" s="571"/>
      <c r="K11072" s="571"/>
      <c r="L11072" s="571"/>
      <c r="M11072" s="571"/>
    </row>
    <row r="11073" ht="15" customHeight="1" spans="3:13">
      <c r="C11073" s="76"/>
      <c r="D11073" s="75" t="s">
        <v>63</v>
      </c>
      <c r="E11073" s="76" t="s">
        <v>64</v>
      </c>
      <c r="F11073" s="76" t="s">
        <v>65</v>
      </c>
      <c r="G11073" s="76" t="s">
        <v>2889</v>
      </c>
      <c r="H11073" s="76"/>
      <c r="I11073" s="77" t="s">
        <v>66</v>
      </c>
      <c r="J11073" s="75" t="s">
        <v>67</v>
      </c>
      <c r="K11073" s="75" t="s">
        <v>2890</v>
      </c>
      <c r="L11073" s="75" t="s">
        <v>68</v>
      </c>
      <c r="M11073" s="75" t="s">
        <v>70</v>
      </c>
    </row>
    <row r="11074" ht="46.25" customHeight="1" spans="3:13">
      <c r="C11074" s="569" t="s">
        <v>2891</v>
      </c>
      <c r="D11074" s="570" t="s">
        <v>6000</v>
      </c>
      <c r="E11074" s="569" t="s">
        <v>139</v>
      </c>
      <c r="F11074" s="569" t="s">
        <v>6001</v>
      </c>
      <c r="G11074" s="569" t="s">
        <v>5464</v>
      </c>
      <c r="H11074" s="569"/>
      <c r="I11074" s="577" t="s">
        <v>2897</v>
      </c>
      <c r="J11074" s="578">
        <v>1</v>
      </c>
      <c r="K11074" s="579"/>
      <c r="L11074" s="579">
        <v>0.01</v>
      </c>
      <c r="M11074" s="579">
        <v>0.01</v>
      </c>
    </row>
    <row r="11075" ht="23.85" customHeight="1" spans="3:13">
      <c r="C11075" s="100" t="s">
        <v>2893</v>
      </c>
      <c r="D11075" s="99" t="s">
        <v>6006</v>
      </c>
      <c r="E11075" s="100" t="s">
        <v>139</v>
      </c>
      <c r="F11075" s="100" t="s">
        <v>6007</v>
      </c>
      <c r="G11075" s="100" t="s">
        <v>3680</v>
      </c>
      <c r="H11075" s="100"/>
      <c r="I11075" s="101" t="s">
        <v>134</v>
      </c>
      <c r="J11075" s="580">
        <v>1.48e-5</v>
      </c>
      <c r="K11075" s="580">
        <v>0</v>
      </c>
      <c r="L11075" s="102">
        <v>1330.99</v>
      </c>
      <c r="M11075" s="102">
        <v>0.01</v>
      </c>
    </row>
    <row r="11076" ht="25.5" spans="3:13">
      <c r="C11076" s="108"/>
      <c r="D11076" s="108"/>
      <c r="E11076" s="108"/>
      <c r="F11076" s="108"/>
      <c r="G11076" s="108"/>
      <c r="H11076" s="108" t="s">
        <v>2898</v>
      </c>
      <c r="I11076" s="581">
        <v>0</v>
      </c>
      <c r="J11076" s="108" t="s">
        <v>2899</v>
      </c>
      <c r="K11076" s="581">
        <v>0</v>
      </c>
      <c r="L11076" s="108" t="s">
        <v>2900</v>
      </c>
      <c r="M11076" s="581">
        <v>0</v>
      </c>
    </row>
    <row r="11077" ht="26.25" spans="3:13">
      <c r="C11077" s="108"/>
      <c r="D11077" s="108"/>
      <c r="E11077" s="108"/>
      <c r="F11077" s="108"/>
      <c r="G11077" s="108"/>
      <c r="H11077" s="108" t="s">
        <v>2901</v>
      </c>
      <c r="I11077" s="581">
        <v>0</v>
      </c>
      <c r="J11077" s="114"/>
      <c r="K11077" s="114" t="s">
        <v>2902</v>
      </c>
      <c r="L11077" s="108"/>
      <c r="M11077" s="581">
        <v>0.01</v>
      </c>
    </row>
    <row r="11078" ht="15" spans="3:13">
      <c r="C11078" s="571"/>
      <c r="D11078" s="571"/>
      <c r="E11078" s="571"/>
      <c r="F11078" s="571"/>
      <c r="G11078" s="571"/>
      <c r="H11078" s="571"/>
      <c r="I11078" s="571"/>
      <c r="J11078" s="571"/>
      <c r="K11078" s="571"/>
      <c r="L11078" s="571"/>
      <c r="M11078" s="571"/>
    </row>
    <row r="11079" ht="15" customHeight="1" spans="3:13">
      <c r="C11079" s="76"/>
      <c r="D11079" s="75" t="s">
        <v>63</v>
      </c>
      <c r="E11079" s="76" t="s">
        <v>64</v>
      </c>
      <c r="F11079" s="76" t="s">
        <v>65</v>
      </c>
      <c r="G11079" s="76" t="s">
        <v>2889</v>
      </c>
      <c r="H11079" s="76"/>
      <c r="I11079" s="77" t="s">
        <v>66</v>
      </c>
      <c r="J11079" s="75" t="s">
        <v>67</v>
      </c>
      <c r="K11079" s="75" t="s">
        <v>2890</v>
      </c>
      <c r="L11079" s="75" t="s">
        <v>68</v>
      </c>
      <c r="M11079" s="75" t="s">
        <v>70</v>
      </c>
    </row>
    <row r="11080" ht="46.25" customHeight="1" spans="3:13">
      <c r="C11080" s="569" t="s">
        <v>2891</v>
      </c>
      <c r="D11080" s="570" t="s">
        <v>6002</v>
      </c>
      <c r="E11080" s="569" t="s">
        <v>139</v>
      </c>
      <c r="F11080" s="569" t="s">
        <v>6003</v>
      </c>
      <c r="G11080" s="569" t="s">
        <v>5464</v>
      </c>
      <c r="H11080" s="569"/>
      <c r="I11080" s="577" t="s">
        <v>2897</v>
      </c>
      <c r="J11080" s="578">
        <v>1</v>
      </c>
      <c r="K11080" s="579"/>
      <c r="L11080" s="579">
        <v>0.06</v>
      </c>
      <c r="M11080" s="579">
        <v>0.06</v>
      </c>
    </row>
    <row r="11081" ht="23.85" customHeight="1" spans="3:13">
      <c r="C11081" s="100" t="s">
        <v>2893</v>
      </c>
      <c r="D11081" s="99" t="s">
        <v>6006</v>
      </c>
      <c r="E11081" s="100" t="s">
        <v>139</v>
      </c>
      <c r="F11081" s="100" t="s">
        <v>6007</v>
      </c>
      <c r="G11081" s="100" t="s">
        <v>3680</v>
      </c>
      <c r="H11081" s="100"/>
      <c r="I11081" s="101" t="s">
        <v>134</v>
      </c>
      <c r="J11081" s="580">
        <v>5e-5</v>
      </c>
      <c r="K11081" s="580">
        <v>0</v>
      </c>
      <c r="L11081" s="102">
        <v>1330.99</v>
      </c>
      <c r="M11081" s="102">
        <v>0.06</v>
      </c>
    </row>
    <row r="11082" ht="25.5" spans="3:13">
      <c r="C11082" s="108"/>
      <c r="D11082" s="108"/>
      <c r="E11082" s="108"/>
      <c r="F11082" s="108"/>
      <c r="G11082" s="108"/>
      <c r="H11082" s="108" t="s">
        <v>2898</v>
      </c>
      <c r="I11082" s="581">
        <v>0</v>
      </c>
      <c r="J11082" s="108" t="s">
        <v>2899</v>
      </c>
      <c r="K11082" s="581">
        <v>0</v>
      </c>
      <c r="L11082" s="108" t="s">
        <v>2900</v>
      </c>
      <c r="M11082" s="581">
        <v>0</v>
      </c>
    </row>
    <row r="11083" ht="26.25" spans="3:13">
      <c r="C11083" s="108"/>
      <c r="D11083" s="108"/>
      <c r="E11083" s="108"/>
      <c r="F11083" s="108"/>
      <c r="G11083" s="108"/>
      <c r="H11083" s="108" t="s">
        <v>2901</v>
      </c>
      <c r="I11083" s="581">
        <v>0.01</v>
      </c>
      <c r="J11083" s="114"/>
      <c r="K11083" s="114" t="s">
        <v>2902</v>
      </c>
      <c r="L11083" s="108"/>
      <c r="M11083" s="581">
        <v>0.07</v>
      </c>
    </row>
    <row r="11084" ht="15" spans="3:13">
      <c r="C11084" s="571"/>
      <c r="D11084" s="571"/>
      <c r="E11084" s="571"/>
      <c r="F11084" s="571"/>
      <c r="G11084" s="571"/>
      <c r="H11084" s="571"/>
      <c r="I11084" s="571"/>
      <c r="J11084" s="571"/>
      <c r="K11084" s="571"/>
      <c r="L11084" s="571"/>
      <c r="M11084" s="571"/>
    </row>
    <row r="11085" ht="15" customHeight="1" spans="3:13">
      <c r="C11085" s="76"/>
      <c r="D11085" s="75" t="s">
        <v>63</v>
      </c>
      <c r="E11085" s="76" t="s">
        <v>64</v>
      </c>
      <c r="F11085" s="76" t="s">
        <v>65</v>
      </c>
      <c r="G11085" s="76" t="s">
        <v>2889</v>
      </c>
      <c r="H11085" s="76"/>
      <c r="I11085" s="77" t="s">
        <v>66</v>
      </c>
      <c r="J11085" s="75" t="s">
        <v>67</v>
      </c>
      <c r="K11085" s="75" t="s">
        <v>2890</v>
      </c>
      <c r="L11085" s="75" t="s">
        <v>68</v>
      </c>
      <c r="M11085" s="75" t="s">
        <v>70</v>
      </c>
    </row>
    <row r="11086" ht="46.25" customHeight="1" spans="3:13">
      <c r="C11086" s="569" t="s">
        <v>2891</v>
      </c>
      <c r="D11086" s="570" t="s">
        <v>6004</v>
      </c>
      <c r="E11086" s="569" t="s">
        <v>139</v>
      </c>
      <c r="F11086" s="569" t="s">
        <v>6005</v>
      </c>
      <c r="G11086" s="569" t="s">
        <v>5464</v>
      </c>
      <c r="H11086" s="569"/>
      <c r="I11086" s="577" t="s">
        <v>2897</v>
      </c>
      <c r="J11086" s="578">
        <v>1</v>
      </c>
      <c r="K11086" s="579"/>
      <c r="L11086" s="579">
        <v>1.56</v>
      </c>
      <c r="M11086" s="579">
        <v>1.56</v>
      </c>
    </row>
    <row r="11087" ht="15" customHeight="1" spans="3:13">
      <c r="C11087" s="100" t="s">
        <v>2893</v>
      </c>
      <c r="D11087" s="99" t="s">
        <v>5473</v>
      </c>
      <c r="E11087" s="100" t="s">
        <v>139</v>
      </c>
      <c r="F11087" s="100" t="s">
        <v>5474</v>
      </c>
      <c r="G11087" s="100" t="s">
        <v>5444</v>
      </c>
      <c r="H11087" s="100"/>
      <c r="I11087" s="101" t="s">
        <v>5228</v>
      </c>
      <c r="J11087" s="580">
        <v>1.36</v>
      </c>
      <c r="K11087" s="580">
        <v>0</v>
      </c>
      <c r="L11087" s="102">
        <v>1.15</v>
      </c>
      <c r="M11087" s="102">
        <v>1.56</v>
      </c>
    </row>
    <row r="11088" ht="25.5" spans="3:13">
      <c r="C11088" s="108"/>
      <c r="D11088" s="108"/>
      <c r="E11088" s="108"/>
      <c r="F11088" s="108"/>
      <c r="G11088" s="108"/>
      <c r="H11088" s="108" t="s">
        <v>2898</v>
      </c>
      <c r="I11088" s="581">
        <v>0</v>
      </c>
      <c r="J11088" s="108" t="s">
        <v>2899</v>
      </c>
      <c r="K11088" s="581">
        <v>0</v>
      </c>
      <c r="L11088" s="108" t="s">
        <v>2900</v>
      </c>
      <c r="M11088" s="581">
        <v>0</v>
      </c>
    </row>
    <row r="11089" ht="26.25" spans="3:13">
      <c r="C11089" s="108"/>
      <c r="D11089" s="108"/>
      <c r="E11089" s="108"/>
      <c r="F11089" s="108"/>
      <c r="G11089" s="108"/>
      <c r="H11089" s="108" t="s">
        <v>2901</v>
      </c>
      <c r="I11089" s="581">
        <v>0.39</v>
      </c>
      <c r="J11089" s="114"/>
      <c r="K11089" s="114" t="s">
        <v>2902</v>
      </c>
      <c r="L11089" s="108"/>
      <c r="M11089" s="581">
        <v>1.95</v>
      </c>
    </row>
    <row r="11090" ht="15" spans="3:13">
      <c r="C11090" s="571"/>
      <c r="D11090" s="571"/>
      <c r="E11090" s="571"/>
      <c r="F11090" s="571"/>
      <c r="G11090" s="571"/>
      <c r="H11090" s="571"/>
      <c r="I11090" s="571"/>
      <c r="J11090" s="571"/>
      <c r="K11090" s="571"/>
      <c r="L11090" s="571"/>
      <c r="M11090" s="571"/>
    </row>
    <row r="11091" ht="15" customHeight="1" spans="3:13">
      <c r="C11091" s="76"/>
      <c r="D11091" s="75" t="s">
        <v>63</v>
      </c>
      <c r="E11091" s="76" t="s">
        <v>64</v>
      </c>
      <c r="F11091" s="76" t="s">
        <v>65</v>
      </c>
      <c r="G11091" s="76" t="s">
        <v>2889</v>
      </c>
      <c r="H11091" s="76"/>
      <c r="I11091" s="77" t="s">
        <v>66</v>
      </c>
      <c r="J11091" s="75" t="s">
        <v>67</v>
      </c>
      <c r="K11091" s="75" t="s">
        <v>2890</v>
      </c>
      <c r="L11091" s="75" t="s">
        <v>68</v>
      </c>
      <c r="M11091" s="75" t="s">
        <v>70</v>
      </c>
    </row>
    <row r="11092" ht="23.85" customHeight="1" spans="3:13">
      <c r="C11092" s="569" t="s">
        <v>2891</v>
      </c>
      <c r="D11092" s="570" t="s">
        <v>3545</v>
      </c>
      <c r="E11092" s="569" t="s">
        <v>139</v>
      </c>
      <c r="F11092" s="569" t="s">
        <v>3546</v>
      </c>
      <c r="G11092" s="569" t="s">
        <v>2928</v>
      </c>
      <c r="H11092" s="569"/>
      <c r="I11092" s="577" t="s">
        <v>2897</v>
      </c>
      <c r="J11092" s="578">
        <v>1</v>
      </c>
      <c r="K11092" s="579"/>
      <c r="L11092" s="579">
        <v>36.71</v>
      </c>
      <c r="M11092" s="579">
        <v>36.71</v>
      </c>
    </row>
    <row r="11093" ht="23.85" customHeight="1" spans="3:13">
      <c r="C11093" s="79" t="s">
        <v>2921</v>
      </c>
      <c r="D11093" s="78" t="s">
        <v>5732</v>
      </c>
      <c r="E11093" s="79" t="s">
        <v>139</v>
      </c>
      <c r="F11093" s="79" t="s">
        <v>5733</v>
      </c>
      <c r="G11093" s="79" t="s">
        <v>2928</v>
      </c>
      <c r="H11093" s="79"/>
      <c r="I11093" s="80" t="s">
        <v>2897</v>
      </c>
      <c r="J11093" s="583">
        <v>1</v>
      </c>
      <c r="K11093" s="583">
        <v>0</v>
      </c>
      <c r="L11093" s="92">
        <v>0.3</v>
      </c>
      <c r="M11093" s="92">
        <v>0.3</v>
      </c>
    </row>
    <row r="11094" ht="23.85" customHeight="1" spans="3:13">
      <c r="C11094" s="100" t="s">
        <v>2893</v>
      </c>
      <c r="D11094" s="99" t="s">
        <v>5308</v>
      </c>
      <c r="E11094" s="100" t="s">
        <v>139</v>
      </c>
      <c r="F11094" s="100" t="s">
        <v>5309</v>
      </c>
      <c r="G11094" s="100" t="s">
        <v>2961</v>
      </c>
      <c r="H11094" s="100"/>
      <c r="I11094" s="101" t="s">
        <v>2897</v>
      </c>
      <c r="J11094" s="580">
        <v>1</v>
      </c>
      <c r="K11094" s="580">
        <v>0</v>
      </c>
      <c r="L11094" s="102">
        <v>4.84</v>
      </c>
      <c r="M11094" s="102">
        <v>4.84</v>
      </c>
    </row>
    <row r="11095" ht="23.85" customHeight="1" spans="3:13">
      <c r="C11095" s="100" t="s">
        <v>2893</v>
      </c>
      <c r="D11095" s="99" t="s">
        <v>5314</v>
      </c>
      <c r="E11095" s="100" t="s">
        <v>139</v>
      </c>
      <c r="F11095" s="100" t="s">
        <v>5315</v>
      </c>
      <c r="G11095" s="100" t="s">
        <v>2961</v>
      </c>
      <c r="H11095" s="100"/>
      <c r="I11095" s="101" t="s">
        <v>2897</v>
      </c>
      <c r="J11095" s="580">
        <v>1</v>
      </c>
      <c r="K11095" s="580">
        <v>0</v>
      </c>
      <c r="L11095" s="102">
        <v>0.78</v>
      </c>
      <c r="M11095" s="102">
        <v>0.78</v>
      </c>
    </row>
    <row r="11096" ht="15" customHeight="1" spans="3:13">
      <c r="C11096" s="100" t="s">
        <v>2893</v>
      </c>
      <c r="D11096" s="99" t="s">
        <v>5734</v>
      </c>
      <c r="E11096" s="100" t="s">
        <v>139</v>
      </c>
      <c r="F11096" s="100" t="s">
        <v>5735</v>
      </c>
      <c r="G11096" s="100" t="s">
        <v>2896</v>
      </c>
      <c r="H11096" s="100"/>
      <c r="I11096" s="101" t="s">
        <v>2897</v>
      </c>
      <c r="J11096" s="580">
        <v>1</v>
      </c>
      <c r="K11096" s="580">
        <v>0</v>
      </c>
      <c r="L11096" s="102">
        <v>26.39</v>
      </c>
      <c r="M11096" s="102">
        <v>26.39</v>
      </c>
    </row>
    <row r="11097" ht="23.85" customHeight="1" spans="3:13">
      <c r="C11097" s="100" t="s">
        <v>2893</v>
      </c>
      <c r="D11097" s="99" t="s">
        <v>5310</v>
      </c>
      <c r="E11097" s="100" t="s">
        <v>139</v>
      </c>
      <c r="F11097" s="100" t="s">
        <v>5311</v>
      </c>
      <c r="G11097" s="100" t="s">
        <v>2961</v>
      </c>
      <c r="H11097" s="100"/>
      <c r="I11097" s="101" t="s">
        <v>2897</v>
      </c>
      <c r="J11097" s="580">
        <v>1</v>
      </c>
      <c r="K11097" s="580">
        <v>0</v>
      </c>
      <c r="L11097" s="102">
        <v>1.58</v>
      </c>
      <c r="M11097" s="102">
        <v>1.58</v>
      </c>
    </row>
    <row r="11098" ht="15" customHeight="1" spans="3:13">
      <c r="C11098" s="100" t="s">
        <v>2893</v>
      </c>
      <c r="D11098" s="99" t="s">
        <v>5306</v>
      </c>
      <c r="E11098" s="100" t="s">
        <v>139</v>
      </c>
      <c r="F11098" s="100" t="s">
        <v>5307</v>
      </c>
      <c r="G11098" s="100" t="s">
        <v>2961</v>
      </c>
      <c r="H11098" s="100"/>
      <c r="I11098" s="101" t="s">
        <v>2897</v>
      </c>
      <c r="J11098" s="580">
        <v>1</v>
      </c>
      <c r="K11098" s="580">
        <v>0</v>
      </c>
      <c r="L11098" s="102">
        <v>1.43</v>
      </c>
      <c r="M11098" s="102">
        <v>1.43</v>
      </c>
    </row>
    <row r="11099" ht="15" customHeight="1" spans="3:13">
      <c r="C11099" s="100" t="s">
        <v>2893</v>
      </c>
      <c r="D11099" s="99" t="s">
        <v>5312</v>
      </c>
      <c r="E11099" s="100" t="s">
        <v>139</v>
      </c>
      <c r="F11099" s="100" t="s">
        <v>5313</v>
      </c>
      <c r="G11099" s="100" t="s">
        <v>2961</v>
      </c>
      <c r="H11099" s="100"/>
      <c r="I11099" s="101" t="s">
        <v>2897</v>
      </c>
      <c r="J11099" s="580">
        <v>1</v>
      </c>
      <c r="K11099" s="580">
        <v>0</v>
      </c>
      <c r="L11099" s="102">
        <v>0.08</v>
      </c>
      <c r="M11099" s="102">
        <v>0.08</v>
      </c>
    </row>
    <row r="11100" ht="23.85" customHeight="1" spans="3:13">
      <c r="C11100" s="100" t="s">
        <v>2893</v>
      </c>
      <c r="D11100" s="99" t="s">
        <v>5304</v>
      </c>
      <c r="E11100" s="100" t="s">
        <v>139</v>
      </c>
      <c r="F11100" s="100" t="s">
        <v>5305</v>
      </c>
      <c r="G11100" s="100" t="s">
        <v>2961</v>
      </c>
      <c r="H11100" s="100"/>
      <c r="I11100" s="101" t="s">
        <v>2897</v>
      </c>
      <c r="J11100" s="580">
        <v>1</v>
      </c>
      <c r="K11100" s="580">
        <v>0</v>
      </c>
      <c r="L11100" s="102">
        <v>1.31</v>
      </c>
      <c r="M11100" s="102">
        <v>1.31</v>
      </c>
    </row>
    <row r="11101" ht="25.5" spans="3:13">
      <c r="C11101" s="108"/>
      <c r="D11101" s="108"/>
      <c r="E11101" s="108"/>
      <c r="F11101" s="108"/>
      <c r="G11101" s="108"/>
      <c r="H11101" s="108" t="s">
        <v>2898</v>
      </c>
      <c r="I11101" s="581">
        <v>26.69</v>
      </c>
      <c r="J11101" s="108" t="s">
        <v>2899</v>
      </c>
      <c r="K11101" s="581">
        <v>0</v>
      </c>
      <c r="L11101" s="108" t="s">
        <v>2900</v>
      </c>
      <c r="M11101" s="581">
        <v>26.69</v>
      </c>
    </row>
    <row r="11102" ht="26.25" spans="3:13">
      <c r="C11102" s="108"/>
      <c r="D11102" s="108"/>
      <c r="E11102" s="108"/>
      <c r="F11102" s="108"/>
      <c r="G11102" s="108"/>
      <c r="H11102" s="108" t="s">
        <v>2901</v>
      </c>
      <c r="I11102" s="581">
        <v>9.35</v>
      </c>
      <c r="J11102" s="114"/>
      <c r="K11102" s="114" t="s">
        <v>2902</v>
      </c>
      <c r="L11102" s="108"/>
      <c r="M11102" s="581">
        <v>46.06</v>
      </c>
    </row>
    <row r="11103" ht="15" spans="3:13">
      <c r="C11103" s="571"/>
      <c r="D11103" s="571"/>
      <c r="E11103" s="571"/>
      <c r="F11103" s="571"/>
      <c r="G11103" s="571"/>
      <c r="H11103" s="571"/>
      <c r="I11103" s="571"/>
      <c r="J11103" s="571"/>
      <c r="K11103" s="571"/>
      <c r="L11103" s="571"/>
      <c r="M11103" s="571"/>
    </row>
    <row r="11104" ht="15" customHeight="1" spans="3:13">
      <c r="C11104" s="76"/>
      <c r="D11104" s="75" t="s">
        <v>63</v>
      </c>
      <c r="E11104" s="76" t="s">
        <v>64</v>
      </c>
      <c r="F11104" s="76" t="s">
        <v>65</v>
      </c>
      <c r="G11104" s="76" t="s">
        <v>2889</v>
      </c>
      <c r="H11104" s="76"/>
      <c r="I11104" s="77" t="s">
        <v>66</v>
      </c>
      <c r="J11104" s="75" t="s">
        <v>67</v>
      </c>
      <c r="K11104" s="75" t="s">
        <v>2890</v>
      </c>
      <c r="L11104" s="75" t="s">
        <v>68</v>
      </c>
      <c r="M11104" s="75" t="s">
        <v>70</v>
      </c>
    </row>
    <row r="11105" ht="23.85" customHeight="1" spans="3:13">
      <c r="C11105" s="569" t="s">
        <v>2891</v>
      </c>
      <c r="D11105" s="570" t="s">
        <v>2952</v>
      </c>
      <c r="E11105" s="569" t="s">
        <v>139</v>
      </c>
      <c r="F11105" s="569" t="s">
        <v>2953</v>
      </c>
      <c r="G11105" s="569" t="s">
        <v>2928</v>
      </c>
      <c r="H11105" s="569"/>
      <c r="I11105" s="577" t="s">
        <v>2897</v>
      </c>
      <c r="J11105" s="578">
        <v>1</v>
      </c>
      <c r="K11105" s="579"/>
      <c r="L11105" s="579">
        <v>29.15</v>
      </c>
      <c r="M11105" s="579">
        <v>29.15</v>
      </c>
    </row>
    <row r="11106" ht="23.85" customHeight="1" spans="3:13">
      <c r="C11106" s="79" t="s">
        <v>2921</v>
      </c>
      <c r="D11106" s="78" t="s">
        <v>5736</v>
      </c>
      <c r="E11106" s="79" t="s">
        <v>139</v>
      </c>
      <c r="F11106" s="79" t="s">
        <v>5737</v>
      </c>
      <c r="G11106" s="79" t="s">
        <v>2928</v>
      </c>
      <c r="H11106" s="79"/>
      <c r="I11106" s="80" t="s">
        <v>2897</v>
      </c>
      <c r="J11106" s="583">
        <v>1</v>
      </c>
      <c r="K11106" s="583">
        <v>0</v>
      </c>
      <c r="L11106" s="92">
        <v>0.39</v>
      </c>
      <c r="M11106" s="92">
        <v>0.39</v>
      </c>
    </row>
    <row r="11107" ht="15" customHeight="1" spans="3:13">
      <c r="C11107" s="100" t="s">
        <v>2893</v>
      </c>
      <c r="D11107" s="99" t="s">
        <v>5312</v>
      </c>
      <c r="E11107" s="100" t="s">
        <v>139</v>
      </c>
      <c r="F11107" s="100" t="s">
        <v>5313</v>
      </c>
      <c r="G11107" s="100" t="s">
        <v>2961</v>
      </c>
      <c r="H11107" s="100"/>
      <c r="I11107" s="101" t="s">
        <v>2897</v>
      </c>
      <c r="J11107" s="580">
        <v>1</v>
      </c>
      <c r="K11107" s="580">
        <v>0</v>
      </c>
      <c r="L11107" s="102">
        <v>0.08</v>
      </c>
      <c r="M11107" s="102">
        <v>0.08</v>
      </c>
    </row>
    <row r="11108" ht="23.85" customHeight="1" spans="3:13">
      <c r="C11108" s="100" t="s">
        <v>2893</v>
      </c>
      <c r="D11108" s="99" t="s">
        <v>5334</v>
      </c>
      <c r="E11108" s="100" t="s">
        <v>139</v>
      </c>
      <c r="F11108" s="100" t="s">
        <v>5335</v>
      </c>
      <c r="G11108" s="100" t="s">
        <v>2961</v>
      </c>
      <c r="H11108" s="100"/>
      <c r="I11108" s="101" t="s">
        <v>2897</v>
      </c>
      <c r="J11108" s="580">
        <v>1</v>
      </c>
      <c r="K11108" s="580">
        <v>0</v>
      </c>
      <c r="L11108" s="102">
        <v>0.61</v>
      </c>
      <c r="M11108" s="102">
        <v>0.61</v>
      </c>
    </row>
    <row r="11109" ht="23.85" customHeight="1" spans="3:13">
      <c r="C11109" s="100" t="s">
        <v>2893</v>
      </c>
      <c r="D11109" s="99" t="s">
        <v>5332</v>
      </c>
      <c r="E11109" s="100" t="s">
        <v>139</v>
      </c>
      <c r="F11109" s="100" t="s">
        <v>5333</v>
      </c>
      <c r="G11109" s="100" t="s">
        <v>2961</v>
      </c>
      <c r="H11109" s="100"/>
      <c r="I11109" s="101" t="s">
        <v>2897</v>
      </c>
      <c r="J11109" s="580">
        <v>1</v>
      </c>
      <c r="K11109" s="580">
        <v>0</v>
      </c>
      <c r="L11109" s="102">
        <v>1.39</v>
      </c>
      <c r="M11109" s="102">
        <v>1.39</v>
      </c>
    </row>
    <row r="11110" ht="23.85" customHeight="1" spans="3:13">
      <c r="C11110" s="100" t="s">
        <v>2893</v>
      </c>
      <c r="D11110" s="99" t="s">
        <v>5310</v>
      </c>
      <c r="E11110" s="100" t="s">
        <v>139</v>
      </c>
      <c r="F11110" s="100" t="s">
        <v>5311</v>
      </c>
      <c r="G11110" s="100" t="s">
        <v>2961</v>
      </c>
      <c r="H11110" s="100"/>
      <c r="I11110" s="101" t="s">
        <v>2897</v>
      </c>
      <c r="J11110" s="580">
        <v>1</v>
      </c>
      <c r="K11110" s="580">
        <v>0</v>
      </c>
      <c r="L11110" s="102">
        <v>1.58</v>
      </c>
      <c r="M11110" s="102">
        <v>1.58</v>
      </c>
    </row>
    <row r="11111" ht="15" customHeight="1" spans="3:13">
      <c r="C11111" s="100" t="s">
        <v>2893</v>
      </c>
      <c r="D11111" s="99" t="s">
        <v>5306</v>
      </c>
      <c r="E11111" s="100" t="s">
        <v>139</v>
      </c>
      <c r="F11111" s="100" t="s">
        <v>5307</v>
      </c>
      <c r="G11111" s="100" t="s">
        <v>2961</v>
      </c>
      <c r="H11111" s="100"/>
      <c r="I11111" s="101" t="s">
        <v>2897</v>
      </c>
      <c r="J11111" s="580">
        <v>1</v>
      </c>
      <c r="K11111" s="580">
        <v>0</v>
      </c>
      <c r="L11111" s="102">
        <v>1.43</v>
      </c>
      <c r="M11111" s="102">
        <v>1.43</v>
      </c>
    </row>
    <row r="11112" ht="23.85" customHeight="1" spans="3:13">
      <c r="C11112" s="100" t="s">
        <v>2893</v>
      </c>
      <c r="D11112" s="99" t="s">
        <v>5308</v>
      </c>
      <c r="E11112" s="100" t="s">
        <v>139</v>
      </c>
      <c r="F11112" s="100" t="s">
        <v>5309</v>
      </c>
      <c r="G11112" s="100" t="s">
        <v>2961</v>
      </c>
      <c r="H11112" s="100"/>
      <c r="I11112" s="101" t="s">
        <v>2897</v>
      </c>
      <c r="J11112" s="580">
        <v>1</v>
      </c>
      <c r="K11112" s="580">
        <v>0</v>
      </c>
      <c r="L11112" s="102">
        <v>4.84</v>
      </c>
      <c r="M11112" s="102">
        <v>4.84</v>
      </c>
    </row>
    <row r="11113" ht="15" customHeight="1" spans="3:13">
      <c r="C11113" s="100" t="s">
        <v>2893</v>
      </c>
      <c r="D11113" s="99" t="s">
        <v>5738</v>
      </c>
      <c r="E11113" s="100" t="s">
        <v>139</v>
      </c>
      <c r="F11113" s="100" t="s">
        <v>5739</v>
      </c>
      <c r="G11113" s="100" t="s">
        <v>2896</v>
      </c>
      <c r="H11113" s="100"/>
      <c r="I11113" s="101" t="s">
        <v>2897</v>
      </c>
      <c r="J11113" s="580">
        <v>1</v>
      </c>
      <c r="K11113" s="580">
        <v>0</v>
      </c>
      <c r="L11113" s="102">
        <v>18.83</v>
      </c>
      <c r="M11113" s="102">
        <v>18.83</v>
      </c>
    </row>
    <row r="11114" ht="25.5" spans="3:13">
      <c r="C11114" s="108"/>
      <c r="D11114" s="108"/>
      <c r="E11114" s="108"/>
      <c r="F11114" s="108"/>
      <c r="G11114" s="108"/>
      <c r="H11114" s="108" t="s">
        <v>2898</v>
      </c>
      <c r="I11114" s="581">
        <v>19.22</v>
      </c>
      <c r="J11114" s="108" t="s">
        <v>2899</v>
      </c>
      <c r="K11114" s="581">
        <v>0</v>
      </c>
      <c r="L11114" s="108" t="s">
        <v>2900</v>
      </c>
      <c r="M11114" s="581">
        <v>19.22</v>
      </c>
    </row>
    <row r="11115" ht="26.25" spans="3:13">
      <c r="C11115" s="108"/>
      <c r="D11115" s="108"/>
      <c r="E11115" s="108"/>
      <c r="F11115" s="108"/>
      <c r="G11115" s="108"/>
      <c r="H11115" s="108" t="s">
        <v>2901</v>
      </c>
      <c r="I11115" s="581">
        <v>7.43</v>
      </c>
      <c r="J11115" s="114"/>
      <c r="K11115" s="114" t="s">
        <v>2902</v>
      </c>
      <c r="L11115" s="108"/>
      <c r="M11115" s="581">
        <v>36.58</v>
      </c>
    </row>
    <row r="11116" ht="15" spans="3:13">
      <c r="C11116" s="571"/>
      <c r="D11116" s="571"/>
      <c r="E11116" s="571"/>
      <c r="F11116" s="571"/>
      <c r="G11116" s="571"/>
      <c r="H11116" s="571"/>
      <c r="I11116" s="571"/>
      <c r="J11116" s="571"/>
      <c r="K11116" s="571"/>
      <c r="L11116" s="571"/>
      <c r="M11116" s="571"/>
    </row>
    <row r="11117" ht="15" customHeight="1" spans="3:13">
      <c r="C11117" s="76"/>
      <c r="D11117" s="75" t="s">
        <v>63</v>
      </c>
      <c r="E11117" s="76" t="s">
        <v>64</v>
      </c>
      <c r="F11117" s="76" t="s">
        <v>65</v>
      </c>
      <c r="G11117" s="76" t="s">
        <v>2889</v>
      </c>
      <c r="H11117" s="76"/>
      <c r="I11117" s="77" t="s">
        <v>66</v>
      </c>
      <c r="J11117" s="75" t="s">
        <v>67</v>
      </c>
      <c r="K11117" s="75" t="s">
        <v>2890</v>
      </c>
      <c r="L11117" s="75" t="s">
        <v>68</v>
      </c>
      <c r="M11117" s="75" t="s">
        <v>70</v>
      </c>
    </row>
    <row r="11118" ht="23.85" customHeight="1" spans="3:13">
      <c r="C11118" s="569" t="s">
        <v>2891</v>
      </c>
      <c r="D11118" s="570" t="s">
        <v>2933</v>
      </c>
      <c r="E11118" s="569" t="s">
        <v>139</v>
      </c>
      <c r="F11118" s="569" t="s">
        <v>2934</v>
      </c>
      <c r="G11118" s="569" t="s">
        <v>2928</v>
      </c>
      <c r="H11118" s="569"/>
      <c r="I11118" s="577" t="s">
        <v>2925</v>
      </c>
      <c r="J11118" s="578">
        <v>1</v>
      </c>
      <c r="K11118" s="579"/>
      <c r="L11118" s="579">
        <v>5237.32</v>
      </c>
      <c r="M11118" s="579">
        <v>5237.32</v>
      </c>
    </row>
    <row r="11119" ht="23.85" customHeight="1" spans="3:13">
      <c r="C11119" s="79" t="s">
        <v>2921</v>
      </c>
      <c r="D11119" s="78" t="s">
        <v>5740</v>
      </c>
      <c r="E11119" s="79" t="s">
        <v>139</v>
      </c>
      <c r="F11119" s="79" t="s">
        <v>5741</v>
      </c>
      <c r="G11119" s="79" t="s">
        <v>2928</v>
      </c>
      <c r="H11119" s="79"/>
      <c r="I11119" s="80" t="s">
        <v>2925</v>
      </c>
      <c r="J11119" s="583">
        <v>1</v>
      </c>
      <c r="K11119" s="583">
        <v>0</v>
      </c>
      <c r="L11119" s="92">
        <v>52.85</v>
      </c>
      <c r="M11119" s="92">
        <v>52.85</v>
      </c>
    </row>
    <row r="11120" ht="23.85" customHeight="1" spans="3:13">
      <c r="C11120" s="100" t="s">
        <v>2893</v>
      </c>
      <c r="D11120" s="99" t="s">
        <v>6008</v>
      </c>
      <c r="E11120" s="100" t="s">
        <v>139</v>
      </c>
      <c r="F11120" s="100" t="s">
        <v>6009</v>
      </c>
      <c r="G11120" s="100" t="s">
        <v>2961</v>
      </c>
      <c r="H11120" s="100"/>
      <c r="I11120" s="101" t="s">
        <v>2925</v>
      </c>
      <c r="J11120" s="580">
        <v>1</v>
      </c>
      <c r="K11120" s="580">
        <v>0</v>
      </c>
      <c r="L11120" s="102">
        <v>114.77</v>
      </c>
      <c r="M11120" s="102">
        <v>114.77</v>
      </c>
    </row>
    <row r="11121" ht="23.85" customHeight="1" spans="3:13">
      <c r="C11121" s="100" t="s">
        <v>2893</v>
      </c>
      <c r="D11121" s="99" t="s">
        <v>6010</v>
      </c>
      <c r="E11121" s="100" t="s">
        <v>139</v>
      </c>
      <c r="F11121" s="100" t="s">
        <v>6011</v>
      </c>
      <c r="G11121" s="100" t="s">
        <v>2961</v>
      </c>
      <c r="H11121" s="100"/>
      <c r="I11121" s="101" t="s">
        <v>2925</v>
      </c>
      <c r="J11121" s="580">
        <v>1</v>
      </c>
      <c r="K11121" s="580">
        <v>0</v>
      </c>
      <c r="L11121" s="102">
        <v>261.93</v>
      </c>
      <c r="M11121" s="102">
        <v>261.93</v>
      </c>
    </row>
    <row r="11122" ht="23.85" customHeight="1" spans="3:13">
      <c r="C11122" s="100" t="s">
        <v>2893</v>
      </c>
      <c r="D11122" s="99" t="s">
        <v>6012</v>
      </c>
      <c r="E11122" s="100" t="s">
        <v>139</v>
      </c>
      <c r="F11122" s="100" t="s">
        <v>6013</v>
      </c>
      <c r="G11122" s="100" t="s">
        <v>2961</v>
      </c>
      <c r="H11122" s="100"/>
      <c r="I11122" s="101" t="s">
        <v>2925</v>
      </c>
      <c r="J11122" s="580">
        <v>1</v>
      </c>
      <c r="K11122" s="580">
        <v>0</v>
      </c>
      <c r="L11122" s="102">
        <v>298.71</v>
      </c>
      <c r="M11122" s="102">
        <v>298.71</v>
      </c>
    </row>
    <row r="11123" ht="23.85" customHeight="1" spans="3:13">
      <c r="C11123" s="100" t="s">
        <v>2893</v>
      </c>
      <c r="D11123" s="99" t="s">
        <v>6014</v>
      </c>
      <c r="E11123" s="100" t="s">
        <v>139</v>
      </c>
      <c r="F11123" s="100" t="s">
        <v>6015</v>
      </c>
      <c r="G11123" s="100" t="s">
        <v>2961</v>
      </c>
      <c r="H11123" s="100"/>
      <c r="I11123" s="101" t="s">
        <v>2925</v>
      </c>
      <c r="J11123" s="580">
        <v>1</v>
      </c>
      <c r="K11123" s="580">
        <v>0</v>
      </c>
      <c r="L11123" s="102">
        <v>913.23</v>
      </c>
      <c r="M11123" s="102">
        <v>913.23</v>
      </c>
    </row>
    <row r="11124" ht="23.85" customHeight="1" spans="3:13">
      <c r="C11124" s="100" t="s">
        <v>2893</v>
      </c>
      <c r="D11124" s="99" t="s">
        <v>5340</v>
      </c>
      <c r="E11124" s="100" t="s">
        <v>139</v>
      </c>
      <c r="F11124" s="100" t="s">
        <v>5341</v>
      </c>
      <c r="G11124" s="100" t="s">
        <v>2961</v>
      </c>
      <c r="H11124" s="100"/>
      <c r="I11124" s="101" t="s">
        <v>2925</v>
      </c>
      <c r="J11124" s="580">
        <v>1</v>
      </c>
      <c r="K11124" s="580">
        <v>0</v>
      </c>
      <c r="L11124" s="102">
        <v>270.51</v>
      </c>
      <c r="M11124" s="102">
        <v>270.51</v>
      </c>
    </row>
    <row r="11125" ht="23.85" customHeight="1" spans="3:13">
      <c r="C11125" s="100" t="s">
        <v>2893</v>
      </c>
      <c r="D11125" s="99" t="s">
        <v>5348</v>
      </c>
      <c r="E11125" s="100" t="s">
        <v>139</v>
      </c>
      <c r="F11125" s="100" t="s">
        <v>5349</v>
      </c>
      <c r="G11125" s="100" t="s">
        <v>2961</v>
      </c>
      <c r="H11125" s="100"/>
      <c r="I11125" s="101" t="s">
        <v>2925</v>
      </c>
      <c r="J11125" s="580">
        <v>1</v>
      </c>
      <c r="K11125" s="580">
        <v>0</v>
      </c>
      <c r="L11125" s="102">
        <v>15.46</v>
      </c>
      <c r="M11125" s="102">
        <v>15.46</v>
      </c>
    </row>
    <row r="11126" ht="15" customHeight="1" spans="3:13">
      <c r="C11126" s="100" t="s">
        <v>2893</v>
      </c>
      <c r="D11126" s="99" t="s">
        <v>5742</v>
      </c>
      <c r="E11126" s="100" t="s">
        <v>139</v>
      </c>
      <c r="F11126" s="100" t="s">
        <v>5743</v>
      </c>
      <c r="G11126" s="100" t="s">
        <v>2896</v>
      </c>
      <c r="H11126" s="100"/>
      <c r="I11126" s="101" t="s">
        <v>2925</v>
      </c>
      <c r="J11126" s="580">
        <v>1</v>
      </c>
      <c r="K11126" s="580">
        <v>0</v>
      </c>
      <c r="L11126" s="102">
        <v>3309.86</v>
      </c>
      <c r="M11126" s="102">
        <v>3309.86</v>
      </c>
    </row>
    <row r="11127" ht="25.5" spans="3:13">
      <c r="C11127" s="108"/>
      <c r="D11127" s="108"/>
      <c r="E11127" s="108"/>
      <c r="F11127" s="108"/>
      <c r="G11127" s="108"/>
      <c r="H11127" s="108" t="s">
        <v>2898</v>
      </c>
      <c r="I11127" s="581">
        <v>3362.71</v>
      </c>
      <c r="J11127" s="108" t="s">
        <v>2899</v>
      </c>
      <c r="K11127" s="581">
        <v>0</v>
      </c>
      <c r="L11127" s="108" t="s">
        <v>2900</v>
      </c>
      <c r="M11127" s="581">
        <v>3362.71</v>
      </c>
    </row>
    <row r="11128" ht="26.25" spans="3:13">
      <c r="C11128" s="108"/>
      <c r="D11128" s="108"/>
      <c r="E11128" s="108"/>
      <c r="F11128" s="108"/>
      <c r="G11128" s="108"/>
      <c r="H11128" s="108" t="s">
        <v>2901</v>
      </c>
      <c r="I11128" s="581">
        <v>1334.99</v>
      </c>
      <c r="J11128" s="114"/>
      <c r="K11128" s="114" t="s">
        <v>2902</v>
      </c>
      <c r="L11128" s="108"/>
      <c r="M11128" s="581">
        <v>6572.31</v>
      </c>
    </row>
    <row r="11129" ht="15" spans="3:13">
      <c r="C11129" s="571"/>
      <c r="D11129" s="571"/>
      <c r="E11129" s="571"/>
      <c r="F11129" s="571"/>
      <c r="G11129" s="571"/>
      <c r="H11129" s="571"/>
      <c r="I11129" s="571"/>
      <c r="J11129" s="571"/>
      <c r="K11129" s="571"/>
      <c r="L11129" s="571"/>
      <c r="M11129" s="571"/>
    </row>
    <row r="11130" ht="15" customHeight="1" spans="3:13">
      <c r="C11130" s="76"/>
      <c r="D11130" s="75" t="s">
        <v>63</v>
      </c>
      <c r="E11130" s="76" t="s">
        <v>64</v>
      </c>
      <c r="F11130" s="76" t="s">
        <v>65</v>
      </c>
      <c r="G11130" s="76" t="s">
        <v>2889</v>
      </c>
      <c r="H11130" s="76"/>
      <c r="I11130" s="77" t="s">
        <v>66</v>
      </c>
      <c r="J11130" s="75" t="s">
        <v>67</v>
      </c>
      <c r="K11130" s="75" t="s">
        <v>2890</v>
      </c>
      <c r="L11130" s="75" t="s">
        <v>68</v>
      </c>
      <c r="M11130" s="75" t="s">
        <v>70</v>
      </c>
    </row>
    <row r="11131" spans="3:13">
      <c r="C11131" s="569" t="s">
        <v>2891</v>
      </c>
      <c r="D11131" s="570" t="s">
        <v>2947</v>
      </c>
      <c r="E11131" s="569" t="s">
        <v>77</v>
      </c>
      <c r="F11131" s="569" t="s">
        <v>2948</v>
      </c>
      <c r="G11131" s="569">
        <v>5</v>
      </c>
      <c r="H11131" s="569"/>
      <c r="I11131" s="577" t="s">
        <v>2925</v>
      </c>
      <c r="J11131" s="578">
        <v>1</v>
      </c>
      <c r="K11131" s="579"/>
      <c r="L11131" s="579">
        <v>16668.83</v>
      </c>
      <c r="M11131" s="579">
        <v>16668.83</v>
      </c>
    </row>
    <row r="11132" ht="23.85" customHeight="1" spans="3:13">
      <c r="C11132" s="100" t="s">
        <v>2893</v>
      </c>
      <c r="D11132" s="99" t="s">
        <v>6016</v>
      </c>
      <c r="E11132" s="100" t="s">
        <v>77</v>
      </c>
      <c r="F11132" s="100" t="s">
        <v>6017</v>
      </c>
      <c r="G11132" s="100" t="s">
        <v>2896</v>
      </c>
      <c r="H11132" s="100"/>
      <c r="I11132" s="101" t="s">
        <v>2897</v>
      </c>
      <c r="J11132" s="580">
        <v>825.19</v>
      </c>
      <c r="K11132" s="580">
        <v>0</v>
      </c>
      <c r="L11132" s="102">
        <v>20.2</v>
      </c>
      <c r="M11132" s="102">
        <v>16668.83</v>
      </c>
    </row>
    <row r="11133" ht="25.5" spans="3:13">
      <c r="C11133" s="108"/>
      <c r="D11133" s="108"/>
      <c r="E11133" s="108"/>
      <c r="F11133" s="108"/>
      <c r="G11133" s="108"/>
      <c r="H11133" s="108" t="s">
        <v>2898</v>
      </c>
      <c r="I11133" s="581">
        <v>16668.83</v>
      </c>
      <c r="J11133" s="108" t="s">
        <v>2899</v>
      </c>
      <c r="K11133" s="581">
        <v>0</v>
      </c>
      <c r="L11133" s="108" t="s">
        <v>2900</v>
      </c>
      <c r="M11133" s="581">
        <v>16668.83</v>
      </c>
    </row>
    <row r="11134" ht="26.25" spans="3:13">
      <c r="C11134" s="108"/>
      <c r="D11134" s="108"/>
      <c r="E11134" s="108"/>
      <c r="F11134" s="108"/>
      <c r="G11134" s="108"/>
      <c r="H11134" s="108" t="s">
        <v>2901</v>
      </c>
      <c r="I11134" s="581">
        <v>4248.88</v>
      </c>
      <c r="J11134" s="114"/>
      <c r="K11134" s="114" t="s">
        <v>2902</v>
      </c>
      <c r="L11134" s="108"/>
      <c r="M11134" s="581">
        <v>20917.71</v>
      </c>
    </row>
    <row r="11135" ht="15" spans="3:13">
      <c r="C11135" s="571"/>
      <c r="D11135" s="571"/>
      <c r="E11135" s="571"/>
      <c r="F11135" s="571"/>
      <c r="G11135" s="571"/>
      <c r="H11135" s="571"/>
      <c r="I11135" s="571"/>
      <c r="J11135" s="571"/>
      <c r="K11135" s="571"/>
      <c r="L11135" s="571"/>
      <c r="M11135" s="571"/>
    </row>
    <row r="11136" ht="15" customHeight="1" spans="3:13">
      <c r="C11136" s="76"/>
      <c r="D11136" s="75" t="s">
        <v>63</v>
      </c>
      <c r="E11136" s="76" t="s">
        <v>64</v>
      </c>
      <c r="F11136" s="76" t="s">
        <v>65</v>
      </c>
      <c r="G11136" s="76" t="s">
        <v>2889</v>
      </c>
      <c r="H11136" s="76"/>
      <c r="I11136" s="77" t="s">
        <v>66</v>
      </c>
      <c r="J11136" s="75" t="s">
        <v>67</v>
      </c>
      <c r="K11136" s="75" t="s">
        <v>2890</v>
      </c>
      <c r="L11136" s="75" t="s">
        <v>68</v>
      </c>
      <c r="M11136" s="75" t="s">
        <v>70</v>
      </c>
    </row>
    <row r="11137" ht="23.85" customHeight="1" spans="3:13">
      <c r="C11137" s="569" t="s">
        <v>2891</v>
      </c>
      <c r="D11137" s="570" t="s">
        <v>3634</v>
      </c>
      <c r="E11137" s="569" t="s">
        <v>139</v>
      </c>
      <c r="F11137" s="569" t="s">
        <v>3635</v>
      </c>
      <c r="G11137" s="569" t="s">
        <v>2928</v>
      </c>
      <c r="H11137" s="569"/>
      <c r="I11137" s="577" t="s">
        <v>2897</v>
      </c>
      <c r="J11137" s="578">
        <v>1</v>
      </c>
      <c r="K11137" s="579"/>
      <c r="L11137" s="579">
        <v>44.92</v>
      </c>
      <c r="M11137" s="579">
        <v>44.92</v>
      </c>
    </row>
    <row r="11138" ht="23.85" customHeight="1" spans="3:13">
      <c r="C11138" s="79" t="s">
        <v>2921</v>
      </c>
      <c r="D11138" s="78" t="s">
        <v>5744</v>
      </c>
      <c r="E11138" s="79" t="s">
        <v>139</v>
      </c>
      <c r="F11138" s="79" t="s">
        <v>5745</v>
      </c>
      <c r="G11138" s="79" t="s">
        <v>2928</v>
      </c>
      <c r="H11138" s="79"/>
      <c r="I11138" s="80" t="s">
        <v>2897</v>
      </c>
      <c r="J11138" s="583">
        <v>1</v>
      </c>
      <c r="K11138" s="583">
        <v>0</v>
      </c>
      <c r="L11138" s="92">
        <v>0.38</v>
      </c>
      <c r="M11138" s="92">
        <v>0.38</v>
      </c>
    </row>
    <row r="11139" ht="15" customHeight="1" spans="3:13">
      <c r="C11139" s="100" t="s">
        <v>2893</v>
      </c>
      <c r="D11139" s="99" t="s">
        <v>5312</v>
      </c>
      <c r="E11139" s="100" t="s">
        <v>139</v>
      </c>
      <c r="F11139" s="100" t="s">
        <v>5313</v>
      </c>
      <c r="G11139" s="100" t="s">
        <v>2961</v>
      </c>
      <c r="H11139" s="100"/>
      <c r="I11139" s="101" t="s">
        <v>2897</v>
      </c>
      <c r="J11139" s="580">
        <v>1</v>
      </c>
      <c r="K11139" s="580">
        <v>0</v>
      </c>
      <c r="L11139" s="102">
        <v>0.08</v>
      </c>
      <c r="M11139" s="102">
        <v>0.08</v>
      </c>
    </row>
    <row r="11140" ht="23.85" customHeight="1" spans="3:13">
      <c r="C11140" s="100" t="s">
        <v>2893</v>
      </c>
      <c r="D11140" s="99" t="s">
        <v>6018</v>
      </c>
      <c r="E11140" s="100" t="s">
        <v>139</v>
      </c>
      <c r="F11140" s="100" t="s">
        <v>6019</v>
      </c>
      <c r="G11140" s="100" t="s">
        <v>2961</v>
      </c>
      <c r="H11140" s="100"/>
      <c r="I11140" s="101" t="s">
        <v>2897</v>
      </c>
      <c r="J11140" s="580">
        <v>1</v>
      </c>
      <c r="K11140" s="580">
        <v>0</v>
      </c>
      <c r="L11140" s="102">
        <v>1.21</v>
      </c>
      <c r="M11140" s="102">
        <v>1.21</v>
      </c>
    </row>
    <row r="11141" ht="23.85" customHeight="1" spans="3:13">
      <c r="C11141" s="100" t="s">
        <v>2893</v>
      </c>
      <c r="D11141" s="99" t="s">
        <v>5308</v>
      </c>
      <c r="E11141" s="100" t="s">
        <v>139</v>
      </c>
      <c r="F11141" s="100" t="s">
        <v>5309</v>
      </c>
      <c r="G11141" s="100" t="s">
        <v>2961</v>
      </c>
      <c r="H11141" s="100"/>
      <c r="I11141" s="101" t="s">
        <v>2897</v>
      </c>
      <c r="J11141" s="580">
        <v>1</v>
      </c>
      <c r="K11141" s="580">
        <v>0</v>
      </c>
      <c r="L11141" s="102">
        <v>4.84</v>
      </c>
      <c r="M11141" s="102">
        <v>4.84</v>
      </c>
    </row>
    <row r="11142" ht="15" customHeight="1" spans="3:13">
      <c r="C11142" s="100" t="s">
        <v>2893</v>
      </c>
      <c r="D11142" s="99" t="s">
        <v>5306</v>
      </c>
      <c r="E11142" s="100" t="s">
        <v>139</v>
      </c>
      <c r="F11142" s="100" t="s">
        <v>5307</v>
      </c>
      <c r="G11142" s="100" t="s">
        <v>2961</v>
      </c>
      <c r="H11142" s="100"/>
      <c r="I11142" s="101" t="s">
        <v>2897</v>
      </c>
      <c r="J11142" s="580">
        <v>1</v>
      </c>
      <c r="K11142" s="580">
        <v>0</v>
      </c>
      <c r="L11142" s="102">
        <v>1.43</v>
      </c>
      <c r="M11142" s="102">
        <v>1.43</v>
      </c>
    </row>
    <row r="11143" ht="23.85" customHeight="1" spans="3:13">
      <c r="C11143" s="100" t="s">
        <v>2893</v>
      </c>
      <c r="D11143" s="99" t="s">
        <v>6020</v>
      </c>
      <c r="E11143" s="100" t="s">
        <v>139</v>
      </c>
      <c r="F11143" s="100" t="s">
        <v>6021</v>
      </c>
      <c r="G11143" s="100" t="s">
        <v>2961</v>
      </c>
      <c r="H11143" s="100"/>
      <c r="I11143" s="101" t="s">
        <v>2897</v>
      </c>
      <c r="J11143" s="580">
        <v>1</v>
      </c>
      <c r="K11143" s="580">
        <v>0</v>
      </c>
      <c r="L11143" s="102">
        <v>1.82</v>
      </c>
      <c r="M11143" s="102">
        <v>1.82</v>
      </c>
    </row>
    <row r="11144" ht="15" customHeight="1" spans="3:13">
      <c r="C11144" s="100" t="s">
        <v>2893</v>
      </c>
      <c r="D11144" s="99" t="s">
        <v>5746</v>
      </c>
      <c r="E11144" s="100" t="s">
        <v>139</v>
      </c>
      <c r="F11144" s="100" t="s">
        <v>5747</v>
      </c>
      <c r="G11144" s="100" t="s">
        <v>2896</v>
      </c>
      <c r="H11144" s="100"/>
      <c r="I11144" s="101" t="s">
        <v>2897</v>
      </c>
      <c r="J11144" s="580">
        <v>1</v>
      </c>
      <c r="K11144" s="580">
        <v>0</v>
      </c>
      <c r="L11144" s="102">
        <v>33.58</v>
      </c>
      <c r="M11144" s="102">
        <v>33.58</v>
      </c>
    </row>
    <row r="11145" ht="23.85" customHeight="1" spans="3:13">
      <c r="C11145" s="100" t="s">
        <v>2893</v>
      </c>
      <c r="D11145" s="99" t="s">
        <v>5310</v>
      </c>
      <c r="E11145" s="100" t="s">
        <v>139</v>
      </c>
      <c r="F11145" s="100" t="s">
        <v>5311</v>
      </c>
      <c r="G11145" s="100" t="s">
        <v>2961</v>
      </c>
      <c r="H11145" s="100"/>
      <c r="I11145" s="101" t="s">
        <v>2897</v>
      </c>
      <c r="J11145" s="580">
        <v>1</v>
      </c>
      <c r="K11145" s="580">
        <v>0</v>
      </c>
      <c r="L11145" s="102">
        <v>1.58</v>
      </c>
      <c r="M11145" s="102">
        <v>1.58</v>
      </c>
    </row>
    <row r="11146" ht="25.5" spans="3:13">
      <c r="C11146" s="108"/>
      <c r="D11146" s="108"/>
      <c r="E11146" s="108"/>
      <c r="F11146" s="108"/>
      <c r="G11146" s="108"/>
      <c r="H11146" s="108" t="s">
        <v>2898</v>
      </c>
      <c r="I11146" s="581">
        <v>33.96</v>
      </c>
      <c r="J11146" s="108" t="s">
        <v>2899</v>
      </c>
      <c r="K11146" s="581">
        <v>0</v>
      </c>
      <c r="L11146" s="108" t="s">
        <v>2900</v>
      </c>
      <c r="M11146" s="581">
        <v>33.96</v>
      </c>
    </row>
    <row r="11147" ht="26.25" spans="3:13">
      <c r="C11147" s="108"/>
      <c r="D11147" s="108"/>
      <c r="E11147" s="108"/>
      <c r="F11147" s="108"/>
      <c r="G11147" s="108"/>
      <c r="H11147" s="108" t="s">
        <v>2901</v>
      </c>
      <c r="I11147" s="581">
        <v>11.45</v>
      </c>
      <c r="J11147" s="114"/>
      <c r="K11147" s="114" t="s">
        <v>2902</v>
      </c>
      <c r="L11147" s="108"/>
      <c r="M11147" s="581">
        <v>56.37</v>
      </c>
    </row>
    <row r="11148" ht="15" spans="3:13">
      <c r="C11148" s="571"/>
      <c r="D11148" s="571"/>
      <c r="E11148" s="571"/>
      <c r="F11148" s="571"/>
      <c r="G11148" s="571"/>
      <c r="H11148" s="571"/>
      <c r="I11148" s="571"/>
      <c r="J11148" s="571"/>
      <c r="K11148" s="571"/>
      <c r="L11148" s="571"/>
      <c r="M11148" s="571"/>
    </row>
    <row r="11149" ht="15" customHeight="1" spans="3:13">
      <c r="C11149" s="76"/>
      <c r="D11149" s="75" t="s">
        <v>63</v>
      </c>
      <c r="E11149" s="76" t="s">
        <v>64</v>
      </c>
      <c r="F11149" s="76" t="s">
        <v>65</v>
      </c>
      <c r="G11149" s="76" t="s">
        <v>2889</v>
      </c>
      <c r="H11149" s="76"/>
      <c r="I11149" s="77" t="s">
        <v>66</v>
      </c>
      <c r="J11149" s="75" t="s">
        <v>67</v>
      </c>
      <c r="K11149" s="75" t="s">
        <v>2890</v>
      </c>
      <c r="L11149" s="75" t="s">
        <v>68</v>
      </c>
      <c r="M11149" s="75" t="s">
        <v>70</v>
      </c>
    </row>
    <row r="11150" ht="23.85" customHeight="1" spans="3:13">
      <c r="C11150" s="569" t="s">
        <v>2891</v>
      </c>
      <c r="D11150" s="570" t="s">
        <v>4439</v>
      </c>
      <c r="E11150" s="569" t="s">
        <v>139</v>
      </c>
      <c r="F11150" s="569" t="s">
        <v>4440</v>
      </c>
      <c r="G11150" s="569" t="s">
        <v>3221</v>
      </c>
      <c r="H11150" s="569"/>
      <c r="I11150" s="577" t="s">
        <v>134</v>
      </c>
      <c r="J11150" s="578">
        <v>1</v>
      </c>
      <c r="K11150" s="579"/>
      <c r="L11150" s="579">
        <v>30.28</v>
      </c>
      <c r="M11150" s="579">
        <v>30.28</v>
      </c>
    </row>
    <row r="11151" ht="23.85" customHeight="1" spans="3:13">
      <c r="C11151" s="79" t="s">
        <v>2921</v>
      </c>
      <c r="D11151" s="78" t="s">
        <v>3153</v>
      </c>
      <c r="E11151" s="79" t="s">
        <v>139</v>
      </c>
      <c r="F11151" s="79" t="s">
        <v>3154</v>
      </c>
      <c r="G11151" s="79" t="s">
        <v>2928</v>
      </c>
      <c r="H11151" s="79"/>
      <c r="I11151" s="80" t="s">
        <v>2897</v>
      </c>
      <c r="J11151" s="583">
        <v>0.3106</v>
      </c>
      <c r="K11151" s="583">
        <v>0</v>
      </c>
      <c r="L11151" s="92">
        <v>30.6</v>
      </c>
      <c r="M11151" s="92">
        <v>9.5</v>
      </c>
    </row>
    <row r="11152" ht="23.85" customHeight="1" spans="3:13">
      <c r="C11152" s="79" t="s">
        <v>2921</v>
      </c>
      <c r="D11152" s="78" t="s">
        <v>3151</v>
      </c>
      <c r="E11152" s="79" t="s">
        <v>139</v>
      </c>
      <c r="F11152" s="79" t="s">
        <v>3152</v>
      </c>
      <c r="G11152" s="79" t="s">
        <v>2928</v>
      </c>
      <c r="H11152" s="79"/>
      <c r="I11152" s="80" t="s">
        <v>2897</v>
      </c>
      <c r="J11152" s="583">
        <v>0.3106</v>
      </c>
      <c r="K11152" s="583">
        <v>0</v>
      </c>
      <c r="L11152" s="92">
        <v>36.82</v>
      </c>
      <c r="M11152" s="92">
        <v>11.43</v>
      </c>
    </row>
    <row r="11153" ht="23.85" customHeight="1" spans="3:13">
      <c r="C11153" s="100" t="s">
        <v>2893</v>
      </c>
      <c r="D11153" s="99" t="s">
        <v>6022</v>
      </c>
      <c r="E11153" s="100" t="s">
        <v>139</v>
      </c>
      <c r="F11153" s="100" t="s">
        <v>6023</v>
      </c>
      <c r="G11153" s="100" t="s">
        <v>2961</v>
      </c>
      <c r="H11153" s="100"/>
      <c r="I11153" s="101" t="s">
        <v>134</v>
      </c>
      <c r="J11153" s="580">
        <v>1</v>
      </c>
      <c r="K11153" s="580">
        <v>0</v>
      </c>
      <c r="L11153" s="102">
        <v>7.14</v>
      </c>
      <c r="M11153" s="102">
        <v>7.14</v>
      </c>
    </row>
    <row r="11154" ht="35.05" customHeight="1" spans="3:13">
      <c r="C11154" s="100" t="s">
        <v>2893</v>
      </c>
      <c r="D11154" s="99" t="s">
        <v>3672</v>
      </c>
      <c r="E11154" s="100" t="s">
        <v>139</v>
      </c>
      <c r="F11154" s="100" t="s">
        <v>3673</v>
      </c>
      <c r="G11154" s="100" t="s">
        <v>2961</v>
      </c>
      <c r="H11154" s="100"/>
      <c r="I11154" s="101" t="s">
        <v>134</v>
      </c>
      <c r="J11154" s="580">
        <v>1</v>
      </c>
      <c r="K11154" s="580">
        <v>0</v>
      </c>
      <c r="L11154" s="102">
        <v>1.42</v>
      </c>
      <c r="M11154" s="102">
        <v>1.42</v>
      </c>
    </row>
    <row r="11155" ht="23.85" customHeight="1" spans="3:13">
      <c r="C11155" s="100" t="s">
        <v>2893</v>
      </c>
      <c r="D11155" s="99" t="s">
        <v>3863</v>
      </c>
      <c r="E11155" s="100" t="s">
        <v>139</v>
      </c>
      <c r="F11155" s="100" t="s">
        <v>3864</v>
      </c>
      <c r="G11155" s="100" t="s">
        <v>2961</v>
      </c>
      <c r="H11155" s="100"/>
      <c r="I11155" s="101" t="s">
        <v>134</v>
      </c>
      <c r="J11155" s="580">
        <v>1</v>
      </c>
      <c r="K11155" s="580">
        <v>0</v>
      </c>
      <c r="L11155" s="102">
        <v>0.79</v>
      </c>
      <c r="M11155" s="102">
        <v>0.79</v>
      </c>
    </row>
    <row r="11156" ht="25.5" spans="3:13">
      <c r="C11156" s="108"/>
      <c r="D11156" s="108"/>
      <c r="E11156" s="108"/>
      <c r="F11156" s="108"/>
      <c r="G11156" s="108"/>
      <c r="H11156" s="108" t="s">
        <v>2898</v>
      </c>
      <c r="I11156" s="581">
        <v>14.69</v>
      </c>
      <c r="J11156" s="108" t="s">
        <v>2899</v>
      </c>
      <c r="K11156" s="581">
        <v>0</v>
      </c>
      <c r="L11156" s="108" t="s">
        <v>2900</v>
      </c>
      <c r="M11156" s="581">
        <v>14.69</v>
      </c>
    </row>
    <row r="11157" ht="26.25" spans="3:13">
      <c r="C11157" s="108"/>
      <c r="D11157" s="108"/>
      <c r="E11157" s="108"/>
      <c r="F11157" s="108"/>
      <c r="G11157" s="108"/>
      <c r="H11157" s="108" t="s">
        <v>2901</v>
      </c>
      <c r="I11157" s="581">
        <v>7.71</v>
      </c>
      <c r="J11157" s="114"/>
      <c r="K11157" s="114" t="s">
        <v>2902</v>
      </c>
      <c r="L11157" s="108"/>
      <c r="M11157" s="581">
        <v>37.99</v>
      </c>
    </row>
    <row r="11158" ht="15" spans="3:13">
      <c r="C11158" s="571"/>
      <c r="D11158" s="571"/>
      <c r="E11158" s="571"/>
      <c r="F11158" s="571"/>
      <c r="G11158" s="571"/>
      <c r="H11158" s="571"/>
      <c r="I11158" s="571"/>
      <c r="J11158" s="571"/>
      <c r="K11158" s="571"/>
      <c r="L11158" s="571"/>
      <c r="M11158" s="571"/>
    </row>
    <row r="11159" ht="15" customHeight="1" spans="3:13">
      <c r="C11159" s="76"/>
      <c r="D11159" s="75" t="s">
        <v>63</v>
      </c>
      <c r="E11159" s="76" t="s">
        <v>64</v>
      </c>
      <c r="F11159" s="76" t="s">
        <v>65</v>
      </c>
      <c r="G11159" s="76" t="s">
        <v>2889</v>
      </c>
      <c r="H11159" s="76"/>
      <c r="I11159" s="77" t="s">
        <v>66</v>
      </c>
      <c r="J11159" s="75" t="s">
        <v>67</v>
      </c>
      <c r="K11159" s="75" t="s">
        <v>2890</v>
      </c>
      <c r="L11159" s="75" t="s">
        <v>68</v>
      </c>
      <c r="M11159" s="75" t="s">
        <v>70</v>
      </c>
    </row>
    <row r="11160" ht="35.05" customHeight="1" spans="3:13">
      <c r="C11160" s="569" t="s">
        <v>2891</v>
      </c>
      <c r="D11160" s="570" t="s">
        <v>3171</v>
      </c>
      <c r="E11160" s="569" t="s">
        <v>139</v>
      </c>
      <c r="F11160" s="569" t="s">
        <v>3172</v>
      </c>
      <c r="G11160" s="569" t="s">
        <v>3150</v>
      </c>
      <c r="H11160" s="569"/>
      <c r="I11160" s="577" t="s">
        <v>134</v>
      </c>
      <c r="J11160" s="578">
        <v>1</v>
      </c>
      <c r="K11160" s="579"/>
      <c r="L11160" s="579">
        <v>12.45</v>
      </c>
      <c r="M11160" s="579">
        <v>12.45</v>
      </c>
    </row>
    <row r="11161" ht="23.85" customHeight="1" spans="3:13">
      <c r="C11161" s="79" t="s">
        <v>2921</v>
      </c>
      <c r="D11161" s="78" t="s">
        <v>3151</v>
      </c>
      <c r="E11161" s="79" t="s">
        <v>139</v>
      </c>
      <c r="F11161" s="79" t="s">
        <v>3152</v>
      </c>
      <c r="G11161" s="79" t="s">
        <v>2928</v>
      </c>
      <c r="H11161" s="79"/>
      <c r="I11161" s="80" t="s">
        <v>2897</v>
      </c>
      <c r="J11161" s="583">
        <v>0.128</v>
      </c>
      <c r="K11161" s="583">
        <v>0</v>
      </c>
      <c r="L11161" s="92">
        <v>36.82</v>
      </c>
      <c r="M11161" s="92">
        <v>4.71</v>
      </c>
    </row>
    <row r="11162" ht="23.85" customHeight="1" spans="3:13">
      <c r="C11162" s="79" t="s">
        <v>2921</v>
      </c>
      <c r="D11162" s="78" t="s">
        <v>3153</v>
      </c>
      <c r="E11162" s="79" t="s">
        <v>139</v>
      </c>
      <c r="F11162" s="79" t="s">
        <v>3154</v>
      </c>
      <c r="G11162" s="79" t="s">
        <v>2928</v>
      </c>
      <c r="H11162" s="79"/>
      <c r="I11162" s="80" t="s">
        <v>2897</v>
      </c>
      <c r="J11162" s="583">
        <v>0.128</v>
      </c>
      <c r="K11162" s="583">
        <v>0</v>
      </c>
      <c r="L11162" s="92">
        <v>30.6</v>
      </c>
      <c r="M11162" s="92">
        <v>3.91</v>
      </c>
    </row>
    <row r="11163" ht="23.85" customHeight="1" spans="3:13">
      <c r="C11163" s="100" t="s">
        <v>2893</v>
      </c>
      <c r="D11163" s="99" t="s">
        <v>6024</v>
      </c>
      <c r="E11163" s="100" t="s">
        <v>139</v>
      </c>
      <c r="F11163" s="100" t="s">
        <v>6025</v>
      </c>
      <c r="G11163" s="100" t="s">
        <v>2961</v>
      </c>
      <c r="H11163" s="100"/>
      <c r="I11163" s="101" t="s">
        <v>134</v>
      </c>
      <c r="J11163" s="580">
        <v>1</v>
      </c>
      <c r="K11163" s="580">
        <v>0</v>
      </c>
      <c r="L11163" s="102">
        <v>2.52</v>
      </c>
      <c r="M11163" s="102">
        <v>2.52</v>
      </c>
    </row>
    <row r="11164" ht="35.05" customHeight="1" spans="3:13">
      <c r="C11164" s="100" t="s">
        <v>2893</v>
      </c>
      <c r="D11164" s="99" t="s">
        <v>6026</v>
      </c>
      <c r="E11164" s="100" t="s">
        <v>139</v>
      </c>
      <c r="F11164" s="100" t="s">
        <v>6027</v>
      </c>
      <c r="G11164" s="100" t="s">
        <v>2961</v>
      </c>
      <c r="H11164" s="100"/>
      <c r="I11164" s="101" t="s">
        <v>134</v>
      </c>
      <c r="J11164" s="580">
        <v>1</v>
      </c>
      <c r="K11164" s="580">
        <v>0</v>
      </c>
      <c r="L11164" s="102">
        <v>1.31</v>
      </c>
      <c r="M11164" s="102">
        <v>1.31</v>
      </c>
    </row>
    <row r="11165" ht="25.5" spans="3:13">
      <c r="C11165" s="108"/>
      <c r="D11165" s="108"/>
      <c r="E11165" s="108"/>
      <c r="F11165" s="108"/>
      <c r="G11165" s="108"/>
      <c r="H11165" s="108" t="s">
        <v>2898</v>
      </c>
      <c r="I11165" s="581">
        <v>6.05</v>
      </c>
      <c r="J11165" s="108" t="s">
        <v>2899</v>
      </c>
      <c r="K11165" s="581">
        <v>0</v>
      </c>
      <c r="L11165" s="108" t="s">
        <v>2900</v>
      </c>
      <c r="M11165" s="581">
        <v>6.05</v>
      </c>
    </row>
    <row r="11166" ht="26.25" spans="3:13">
      <c r="C11166" s="108"/>
      <c r="D11166" s="108"/>
      <c r="E11166" s="108"/>
      <c r="F11166" s="108"/>
      <c r="G11166" s="108"/>
      <c r="H11166" s="108" t="s">
        <v>2901</v>
      </c>
      <c r="I11166" s="581">
        <v>3.17</v>
      </c>
      <c r="J11166" s="114"/>
      <c r="K11166" s="114" t="s">
        <v>2902</v>
      </c>
      <c r="L11166" s="108"/>
      <c r="M11166" s="581">
        <v>15.62</v>
      </c>
    </row>
    <row r="11167" ht="15" spans="3:13">
      <c r="C11167" s="571"/>
      <c r="D11167" s="571"/>
      <c r="E11167" s="571"/>
      <c r="F11167" s="571"/>
      <c r="G11167" s="571"/>
      <c r="H11167" s="571"/>
      <c r="I11167" s="571"/>
      <c r="J11167" s="571"/>
      <c r="K11167" s="571"/>
      <c r="L11167" s="571"/>
      <c r="M11167" s="571"/>
    </row>
    <row r="11168" ht="15" customHeight="1" spans="3:13">
      <c r="C11168" s="76"/>
      <c r="D11168" s="75" t="s">
        <v>63</v>
      </c>
      <c r="E11168" s="76" t="s">
        <v>64</v>
      </c>
      <c r="F11168" s="76" t="s">
        <v>65</v>
      </c>
      <c r="G11168" s="76" t="s">
        <v>2889</v>
      </c>
      <c r="H11168" s="76"/>
      <c r="I11168" s="77" t="s">
        <v>66</v>
      </c>
      <c r="J11168" s="75" t="s">
        <v>67</v>
      </c>
      <c r="K11168" s="75" t="s">
        <v>2890</v>
      </c>
      <c r="L11168" s="75" t="s">
        <v>68</v>
      </c>
      <c r="M11168" s="75" t="s">
        <v>70</v>
      </c>
    </row>
    <row r="11169" ht="15" customHeight="1" spans="3:13">
      <c r="C11169" s="569" t="s">
        <v>2891</v>
      </c>
      <c r="D11169" s="570" t="s">
        <v>3508</v>
      </c>
      <c r="E11169" s="569" t="s">
        <v>139</v>
      </c>
      <c r="F11169" s="569" t="s">
        <v>3509</v>
      </c>
      <c r="G11169" s="569" t="s">
        <v>3025</v>
      </c>
      <c r="H11169" s="569"/>
      <c r="I11169" s="577" t="s">
        <v>134</v>
      </c>
      <c r="J11169" s="578">
        <v>1</v>
      </c>
      <c r="K11169" s="579"/>
      <c r="L11169" s="579">
        <v>99.75</v>
      </c>
      <c r="M11169" s="579">
        <v>99.75</v>
      </c>
    </row>
    <row r="11170" ht="23.85" customHeight="1" spans="3:13">
      <c r="C11170" s="79" t="s">
        <v>2921</v>
      </c>
      <c r="D11170" s="78" t="s">
        <v>3026</v>
      </c>
      <c r="E11170" s="79" t="s">
        <v>139</v>
      </c>
      <c r="F11170" s="79" t="s">
        <v>3027</v>
      </c>
      <c r="G11170" s="79" t="s">
        <v>2928</v>
      </c>
      <c r="H11170" s="79"/>
      <c r="I11170" s="80" t="s">
        <v>2897</v>
      </c>
      <c r="J11170" s="583">
        <v>0.914</v>
      </c>
      <c r="K11170" s="583">
        <v>0</v>
      </c>
      <c r="L11170" s="92">
        <v>39.71</v>
      </c>
      <c r="M11170" s="92">
        <v>36.29</v>
      </c>
    </row>
    <row r="11171" ht="23.85" customHeight="1" spans="3:13">
      <c r="C11171" s="79" t="s">
        <v>2921</v>
      </c>
      <c r="D11171" s="78" t="s">
        <v>2952</v>
      </c>
      <c r="E11171" s="79" t="s">
        <v>139</v>
      </c>
      <c r="F11171" s="79" t="s">
        <v>2953</v>
      </c>
      <c r="G11171" s="79" t="s">
        <v>2928</v>
      </c>
      <c r="H11171" s="79"/>
      <c r="I11171" s="80" t="s">
        <v>2897</v>
      </c>
      <c r="J11171" s="583">
        <v>0.457</v>
      </c>
      <c r="K11171" s="583">
        <v>0</v>
      </c>
      <c r="L11171" s="92">
        <v>29.15</v>
      </c>
      <c r="M11171" s="92">
        <v>13.32</v>
      </c>
    </row>
    <row r="11172" ht="23.85" customHeight="1" spans="3:13">
      <c r="C11172" s="100" t="s">
        <v>2893</v>
      </c>
      <c r="D11172" s="99" t="s">
        <v>6028</v>
      </c>
      <c r="E11172" s="100" t="s">
        <v>139</v>
      </c>
      <c r="F11172" s="100" t="s">
        <v>6029</v>
      </c>
      <c r="G11172" s="100" t="s">
        <v>2961</v>
      </c>
      <c r="H11172" s="100"/>
      <c r="I11172" s="101" t="s">
        <v>134</v>
      </c>
      <c r="J11172" s="580">
        <v>1</v>
      </c>
      <c r="K11172" s="580">
        <v>0</v>
      </c>
      <c r="L11172" s="102">
        <v>50.14</v>
      </c>
      <c r="M11172" s="102">
        <v>50.14</v>
      </c>
    </row>
    <row r="11173" ht="25.5" spans="3:13">
      <c r="C11173" s="108"/>
      <c r="D11173" s="108"/>
      <c r="E11173" s="108"/>
      <c r="F11173" s="108"/>
      <c r="G11173" s="108"/>
      <c r="H11173" s="108" t="s">
        <v>2898</v>
      </c>
      <c r="I11173" s="581">
        <v>36.11</v>
      </c>
      <c r="J11173" s="108" t="s">
        <v>2899</v>
      </c>
      <c r="K11173" s="581">
        <v>0</v>
      </c>
      <c r="L11173" s="108" t="s">
        <v>2900</v>
      </c>
      <c r="M11173" s="581">
        <v>36.11</v>
      </c>
    </row>
    <row r="11174" ht="26.25" spans="3:13">
      <c r="C11174" s="108"/>
      <c r="D11174" s="108"/>
      <c r="E11174" s="108"/>
      <c r="F11174" s="108"/>
      <c r="G11174" s="108"/>
      <c r="H11174" s="108" t="s">
        <v>2901</v>
      </c>
      <c r="I11174" s="581">
        <v>25.42</v>
      </c>
      <c r="J11174" s="114"/>
      <c r="K11174" s="114" t="s">
        <v>2902</v>
      </c>
      <c r="L11174" s="108"/>
      <c r="M11174" s="581">
        <v>125.17</v>
      </c>
    </row>
    <row r="11175" ht="15" spans="3:13">
      <c r="C11175" s="571"/>
      <c r="D11175" s="571"/>
      <c r="E11175" s="571"/>
      <c r="F11175" s="571"/>
      <c r="G11175" s="571"/>
      <c r="H11175" s="571"/>
      <c r="I11175" s="571"/>
      <c r="J11175" s="571"/>
      <c r="K11175" s="571"/>
      <c r="L11175" s="571"/>
      <c r="M11175" s="571"/>
    </row>
    <row r="11176" ht="15" customHeight="1" spans="3:13">
      <c r="C11176" s="76"/>
      <c r="D11176" s="75" t="s">
        <v>63</v>
      </c>
      <c r="E11176" s="76" t="s">
        <v>64</v>
      </c>
      <c r="F11176" s="76" t="s">
        <v>65</v>
      </c>
      <c r="G11176" s="76" t="s">
        <v>2889</v>
      </c>
      <c r="H11176" s="76"/>
      <c r="I11176" s="77" t="s">
        <v>66</v>
      </c>
      <c r="J11176" s="75" t="s">
        <v>67</v>
      </c>
      <c r="K11176" s="75" t="s">
        <v>2890</v>
      </c>
      <c r="L11176" s="75" t="s">
        <v>68</v>
      </c>
      <c r="M11176" s="75" t="s">
        <v>70</v>
      </c>
    </row>
    <row r="11177" ht="23.85" customHeight="1" spans="3:13">
      <c r="C11177" s="569" t="s">
        <v>2891</v>
      </c>
      <c r="D11177" s="570" t="s">
        <v>3138</v>
      </c>
      <c r="E11177" s="569" t="s">
        <v>139</v>
      </c>
      <c r="F11177" s="569" t="s">
        <v>3139</v>
      </c>
      <c r="G11177" s="569" t="s">
        <v>3135</v>
      </c>
      <c r="H11177" s="569"/>
      <c r="I11177" s="577" t="s">
        <v>134</v>
      </c>
      <c r="J11177" s="578">
        <v>1</v>
      </c>
      <c r="K11177" s="579"/>
      <c r="L11177" s="579">
        <v>16.28</v>
      </c>
      <c r="M11177" s="579">
        <v>16.28</v>
      </c>
    </row>
    <row r="11178" ht="23.85" customHeight="1" spans="3:13">
      <c r="C11178" s="79" t="s">
        <v>2921</v>
      </c>
      <c r="D11178" s="78" t="s">
        <v>3144</v>
      </c>
      <c r="E11178" s="79" t="s">
        <v>139</v>
      </c>
      <c r="F11178" s="79" t="s">
        <v>3145</v>
      </c>
      <c r="G11178" s="79" t="s">
        <v>2928</v>
      </c>
      <c r="H11178" s="79"/>
      <c r="I11178" s="80" t="s">
        <v>2897</v>
      </c>
      <c r="J11178" s="583">
        <v>0.2026</v>
      </c>
      <c r="K11178" s="583">
        <v>0</v>
      </c>
      <c r="L11178" s="92">
        <v>35.55</v>
      </c>
      <c r="M11178" s="92">
        <v>7.2</v>
      </c>
    </row>
    <row r="11179" ht="23.85" customHeight="1" spans="3:13">
      <c r="C11179" s="79" t="s">
        <v>2921</v>
      </c>
      <c r="D11179" s="78" t="s">
        <v>3146</v>
      </c>
      <c r="E11179" s="79" t="s">
        <v>139</v>
      </c>
      <c r="F11179" s="79" t="s">
        <v>3147</v>
      </c>
      <c r="G11179" s="79" t="s">
        <v>2928</v>
      </c>
      <c r="H11179" s="79"/>
      <c r="I11179" s="80" t="s">
        <v>2897</v>
      </c>
      <c r="J11179" s="583">
        <v>0.2026</v>
      </c>
      <c r="K11179" s="583">
        <v>0</v>
      </c>
      <c r="L11179" s="92">
        <v>29.54</v>
      </c>
      <c r="M11179" s="92">
        <v>5.98</v>
      </c>
    </row>
    <row r="11180" ht="23.85" customHeight="1" spans="3:13">
      <c r="C11180" s="100" t="s">
        <v>2893</v>
      </c>
      <c r="D11180" s="99" t="s">
        <v>3616</v>
      </c>
      <c r="E11180" s="100" t="s">
        <v>139</v>
      </c>
      <c r="F11180" s="100" t="s">
        <v>3617</v>
      </c>
      <c r="G11180" s="100" t="s">
        <v>2961</v>
      </c>
      <c r="H11180" s="100"/>
      <c r="I11180" s="101" t="s">
        <v>134</v>
      </c>
      <c r="J11180" s="580">
        <v>0.012</v>
      </c>
      <c r="K11180" s="580">
        <v>0</v>
      </c>
      <c r="L11180" s="102">
        <v>82.38</v>
      </c>
      <c r="M11180" s="102">
        <v>0.98</v>
      </c>
    </row>
    <row r="11181" ht="23.85" customHeight="1" spans="3:13">
      <c r="C11181" s="100" t="s">
        <v>2893</v>
      </c>
      <c r="D11181" s="99" t="s">
        <v>6030</v>
      </c>
      <c r="E11181" s="100" t="s">
        <v>139</v>
      </c>
      <c r="F11181" s="100" t="s">
        <v>6031</v>
      </c>
      <c r="G11181" s="100" t="s">
        <v>2961</v>
      </c>
      <c r="H11181" s="100"/>
      <c r="I11181" s="101" t="s">
        <v>134</v>
      </c>
      <c r="J11181" s="580">
        <v>1</v>
      </c>
      <c r="K11181" s="580">
        <v>0</v>
      </c>
      <c r="L11181" s="102">
        <v>1.25</v>
      </c>
      <c r="M11181" s="102">
        <v>1.25</v>
      </c>
    </row>
    <row r="11182" ht="15" customHeight="1" spans="3:13">
      <c r="C11182" s="100" t="s">
        <v>2893</v>
      </c>
      <c r="D11182" s="99" t="s">
        <v>3609</v>
      </c>
      <c r="E11182" s="100" t="s">
        <v>139</v>
      </c>
      <c r="F11182" s="100" t="s">
        <v>3610</v>
      </c>
      <c r="G11182" s="100" t="s">
        <v>2961</v>
      </c>
      <c r="H11182" s="100"/>
      <c r="I11182" s="101" t="s">
        <v>134</v>
      </c>
      <c r="J11182" s="580">
        <v>0.0507</v>
      </c>
      <c r="K11182" s="580">
        <v>0</v>
      </c>
      <c r="L11182" s="102">
        <v>2.08</v>
      </c>
      <c r="M11182" s="102">
        <v>0.1</v>
      </c>
    </row>
    <row r="11183" ht="15" customHeight="1" spans="3:13">
      <c r="C11183" s="100" t="s">
        <v>2893</v>
      </c>
      <c r="D11183" s="99" t="s">
        <v>3618</v>
      </c>
      <c r="E11183" s="100" t="s">
        <v>139</v>
      </c>
      <c r="F11183" s="100" t="s">
        <v>3619</v>
      </c>
      <c r="G11183" s="100" t="s">
        <v>2961</v>
      </c>
      <c r="H11183" s="100"/>
      <c r="I11183" s="101" t="s">
        <v>134</v>
      </c>
      <c r="J11183" s="580">
        <v>0.0106</v>
      </c>
      <c r="K11183" s="580">
        <v>0</v>
      </c>
      <c r="L11183" s="102">
        <v>72.71</v>
      </c>
      <c r="M11183" s="102">
        <v>0.77</v>
      </c>
    </row>
    <row r="11184" ht="25.5" spans="3:13">
      <c r="C11184" s="108"/>
      <c r="D11184" s="108"/>
      <c r="E11184" s="108"/>
      <c r="F11184" s="108"/>
      <c r="G11184" s="108"/>
      <c r="H11184" s="108" t="s">
        <v>2898</v>
      </c>
      <c r="I11184" s="581">
        <v>9.38</v>
      </c>
      <c r="J11184" s="108" t="s">
        <v>2899</v>
      </c>
      <c r="K11184" s="581">
        <v>0</v>
      </c>
      <c r="L11184" s="108" t="s">
        <v>2900</v>
      </c>
      <c r="M11184" s="581">
        <v>9.38</v>
      </c>
    </row>
    <row r="11185" ht="26.25" spans="3:13">
      <c r="C11185" s="108"/>
      <c r="D11185" s="108"/>
      <c r="E11185" s="108"/>
      <c r="F11185" s="108"/>
      <c r="G11185" s="108"/>
      <c r="H11185" s="108" t="s">
        <v>2901</v>
      </c>
      <c r="I11185" s="581">
        <v>4.14</v>
      </c>
      <c r="J11185" s="114"/>
      <c r="K11185" s="114" t="s">
        <v>2902</v>
      </c>
      <c r="L11185" s="108"/>
      <c r="M11185" s="581">
        <v>20.42</v>
      </c>
    </row>
    <row r="11186" ht="15" spans="3:13">
      <c r="C11186" s="571"/>
      <c r="D11186" s="571"/>
      <c r="E11186" s="571"/>
      <c r="F11186" s="571"/>
      <c r="G11186" s="571"/>
      <c r="H11186" s="571"/>
      <c r="I11186" s="571"/>
      <c r="J11186" s="571"/>
      <c r="K11186" s="571"/>
      <c r="L11186" s="571"/>
      <c r="M11186" s="571"/>
    </row>
    <row r="11187" ht="15" customHeight="1" spans="3:13">
      <c r="C11187" s="76"/>
      <c r="D11187" s="75" t="s">
        <v>63</v>
      </c>
      <c r="E11187" s="76" t="s">
        <v>64</v>
      </c>
      <c r="F11187" s="76" t="s">
        <v>65</v>
      </c>
      <c r="G11187" s="76" t="s">
        <v>2889</v>
      </c>
      <c r="H11187" s="76"/>
      <c r="I11187" s="77" t="s">
        <v>66</v>
      </c>
      <c r="J11187" s="75" t="s">
        <v>67</v>
      </c>
      <c r="K11187" s="75" t="s">
        <v>2890</v>
      </c>
      <c r="L11187" s="75" t="s">
        <v>68</v>
      </c>
      <c r="M11187" s="75" t="s">
        <v>70</v>
      </c>
    </row>
    <row r="11188" ht="15" customHeight="1" spans="3:13">
      <c r="C11188" s="569" t="s">
        <v>2891</v>
      </c>
      <c r="D11188" s="570" t="s">
        <v>2969</v>
      </c>
      <c r="E11188" s="569" t="s">
        <v>139</v>
      </c>
      <c r="F11188" s="569" t="s">
        <v>2970</v>
      </c>
      <c r="G11188" s="569" t="s">
        <v>2924</v>
      </c>
      <c r="H11188" s="569"/>
      <c r="I11188" s="577" t="s">
        <v>2925</v>
      </c>
      <c r="J11188" s="578">
        <v>1</v>
      </c>
      <c r="K11188" s="579"/>
      <c r="L11188" s="579">
        <v>3923.03</v>
      </c>
      <c r="M11188" s="579">
        <v>3923.03</v>
      </c>
    </row>
    <row r="11189" ht="23.85" customHeight="1" spans="3:13">
      <c r="C11189" s="79" t="s">
        <v>2921</v>
      </c>
      <c r="D11189" s="78" t="s">
        <v>5748</v>
      </c>
      <c r="E11189" s="79" t="s">
        <v>139</v>
      </c>
      <c r="F11189" s="79" t="s">
        <v>5749</v>
      </c>
      <c r="G11189" s="79" t="s">
        <v>2924</v>
      </c>
      <c r="H11189" s="79"/>
      <c r="I11189" s="80" t="s">
        <v>2925</v>
      </c>
      <c r="J11189" s="583">
        <v>1</v>
      </c>
      <c r="K11189" s="583">
        <v>0</v>
      </c>
      <c r="L11189" s="92">
        <v>46.38</v>
      </c>
      <c r="M11189" s="92">
        <v>46.38</v>
      </c>
    </row>
    <row r="11190" ht="23.85" customHeight="1" spans="3:13">
      <c r="C11190" s="100" t="s">
        <v>2893</v>
      </c>
      <c r="D11190" s="99" t="s">
        <v>5348</v>
      </c>
      <c r="E11190" s="100" t="s">
        <v>139</v>
      </c>
      <c r="F11190" s="100" t="s">
        <v>5349</v>
      </c>
      <c r="G11190" s="100" t="s">
        <v>2961</v>
      </c>
      <c r="H11190" s="100"/>
      <c r="I11190" s="101" t="s">
        <v>2925</v>
      </c>
      <c r="J11190" s="580">
        <v>1</v>
      </c>
      <c r="K11190" s="580">
        <v>0</v>
      </c>
      <c r="L11190" s="102">
        <v>15.46</v>
      </c>
      <c r="M11190" s="102">
        <v>15.46</v>
      </c>
    </row>
    <row r="11191" ht="23.85" customHeight="1" spans="3:13">
      <c r="C11191" s="100" t="s">
        <v>2893</v>
      </c>
      <c r="D11191" s="99" t="s">
        <v>5340</v>
      </c>
      <c r="E11191" s="100" t="s">
        <v>139</v>
      </c>
      <c r="F11191" s="100" t="s">
        <v>5341</v>
      </c>
      <c r="G11191" s="100" t="s">
        <v>2961</v>
      </c>
      <c r="H11191" s="100"/>
      <c r="I11191" s="101" t="s">
        <v>2925</v>
      </c>
      <c r="J11191" s="580">
        <v>1</v>
      </c>
      <c r="K11191" s="580">
        <v>0</v>
      </c>
      <c r="L11191" s="102">
        <v>270.51</v>
      </c>
      <c r="M11191" s="102">
        <v>270.51</v>
      </c>
    </row>
    <row r="11192" ht="23.85" customHeight="1" spans="3:13">
      <c r="C11192" s="100" t="s">
        <v>2893</v>
      </c>
      <c r="D11192" s="99" t="s">
        <v>5346</v>
      </c>
      <c r="E11192" s="100" t="s">
        <v>139</v>
      </c>
      <c r="F11192" s="100" t="s">
        <v>5347</v>
      </c>
      <c r="G11192" s="100" t="s">
        <v>2961</v>
      </c>
      <c r="H11192" s="100"/>
      <c r="I11192" s="101" t="s">
        <v>2925</v>
      </c>
      <c r="J11192" s="580">
        <v>1</v>
      </c>
      <c r="K11192" s="580">
        <v>0</v>
      </c>
      <c r="L11192" s="102">
        <v>153.54</v>
      </c>
      <c r="M11192" s="102">
        <v>153.54</v>
      </c>
    </row>
    <row r="11193" ht="15" customHeight="1" spans="3:13">
      <c r="C11193" s="100" t="s">
        <v>2893</v>
      </c>
      <c r="D11193" s="99" t="s">
        <v>5750</v>
      </c>
      <c r="E11193" s="100" t="s">
        <v>139</v>
      </c>
      <c r="F11193" s="100" t="s">
        <v>5751</v>
      </c>
      <c r="G11193" s="100" t="s">
        <v>2896</v>
      </c>
      <c r="H11193" s="100"/>
      <c r="I11193" s="101" t="s">
        <v>2925</v>
      </c>
      <c r="J11193" s="580">
        <v>1</v>
      </c>
      <c r="K11193" s="580">
        <v>0</v>
      </c>
      <c r="L11193" s="102">
        <v>3426</v>
      </c>
      <c r="M11193" s="102">
        <v>3426</v>
      </c>
    </row>
    <row r="11194" ht="23.85" customHeight="1" spans="3:13">
      <c r="C11194" s="100" t="s">
        <v>2893</v>
      </c>
      <c r="D11194" s="99" t="s">
        <v>5344</v>
      </c>
      <c r="E11194" s="100" t="s">
        <v>139</v>
      </c>
      <c r="F11194" s="100" t="s">
        <v>5345</v>
      </c>
      <c r="G11194" s="100" t="s">
        <v>2961</v>
      </c>
      <c r="H11194" s="100"/>
      <c r="I11194" s="101" t="s">
        <v>2925</v>
      </c>
      <c r="J11194" s="580">
        <v>1</v>
      </c>
      <c r="K11194" s="580">
        <v>0</v>
      </c>
      <c r="L11194" s="102">
        <v>11.14</v>
      </c>
      <c r="M11194" s="102">
        <v>11.14</v>
      </c>
    </row>
    <row r="11195" ht="25.5" spans="3:13">
      <c r="C11195" s="108"/>
      <c r="D11195" s="108"/>
      <c r="E11195" s="108"/>
      <c r="F11195" s="108"/>
      <c r="G11195" s="108"/>
      <c r="H11195" s="108" t="s">
        <v>2898</v>
      </c>
      <c r="I11195" s="581">
        <v>3472.38</v>
      </c>
      <c r="J11195" s="108" t="s">
        <v>2899</v>
      </c>
      <c r="K11195" s="581">
        <v>0</v>
      </c>
      <c r="L11195" s="108" t="s">
        <v>2900</v>
      </c>
      <c r="M11195" s="581">
        <v>3472.38</v>
      </c>
    </row>
    <row r="11196" ht="26.25" spans="3:13">
      <c r="C11196" s="108"/>
      <c r="D11196" s="108"/>
      <c r="E11196" s="108"/>
      <c r="F11196" s="108"/>
      <c r="G11196" s="108"/>
      <c r="H11196" s="108" t="s">
        <v>2901</v>
      </c>
      <c r="I11196" s="581">
        <v>999.98</v>
      </c>
      <c r="J11196" s="114"/>
      <c r="K11196" s="114" t="s">
        <v>2902</v>
      </c>
      <c r="L11196" s="108"/>
      <c r="M11196" s="581">
        <v>4923.01</v>
      </c>
    </row>
    <row r="11197" ht="15" spans="3:13">
      <c r="C11197" s="571"/>
      <c r="D11197" s="571"/>
      <c r="E11197" s="571"/>
      <c r="F11197" s="571"/>
      <c r="G11197" s="571"/>
      <c r="H11197" s="571"/>
      <c r="I11197" s="571"/>
      <c r="J11197" s="571"/>
      <c r="K11197" s="571"/>
      <c r="L11197" s="571"/>
      <c r="M11197" s="571"/>
    </row>
    <row r="11198" ht="15" customHeight="1" spans="3:13">
      <c r="C11198" s="76"/>
      <c r="D11198" s="75" t="s">
        <v>63</v>
      </c>
      <c r="E11198" s="76" t="s">
        <v>64</v>
      </c>
      <c r="F11198" s="76" t="s">
        <v>65</v>
      </c>
      <c r="G11198" s="76" t="s">
        <v>2889</v>
      </c>
      <c r="H11198" s="76"/>
      <c r="I11198" s="77" t="s">
        <v>66</v>
      </c>
      <c r="J11198" s="75" t="s">
        <v>67</v>
      </c>
      <c r="K11198" s="75" t="s">
        <v>2890</v>
      </c>
      <c r="L11198" s="75" t="s">
        <v>68</v>
      </c>
      <c r="M11198" s="75" t="s">
        <v>70</v>
      </c>
    </row>
    <row r="11199" ht="23.85" customHeight="1" spans="3:13">
      <c r="C11199" s="569" t="s">
        <v>2891</v>
      </c>
      <c r="D11199" s="570" t="s">
        <v>3095</v>
      </c>
      <c r="E11199" s="569" t="s">
        <v>139</v>
      </c>
      <c r="F11199" s="569" t="s">
        <v>3096</v>
      </c>
      <c r="G11199" s="569" t="s">
        <v>2928</v>
      </c>
      <c r="H11199" s="569"/>
      <c r="I11199" s="577" t="s">
        <v>2897</v>
      </c>
      <c r="J11199" s="578">
        <v>1</v>
      </c>
      <c r="K11199" s="579"/>
      <c r="L11199" s="579">
        <v>37.16</v>
      </c>
      <c r="M11199" s="579">
        <v>37.16</v>
      </c>
    </row>
    <row r="11200" ht="23.85" customHeight="1" spans="3:13">
      <c r="C11200" s="79" t="s">
        <v>2921</v>
      </c>
      <c r="D11200" s="78" t="s">
        <v>5752</v>
      </c>
      <c r="E11200" s="79" t="s">
        <v>139</v>
      </c>
      <c r="F11200" s="79" t="s">
        <v>5753</v>
      </c>
      <c r="G11200" s="79" t="s">
        <v>2928</v>
      </c>
      <c r="H11200" s="79"/>
      <c r="I11200" s="80" t="s">
        <v>2897</v>
      </c>
      <c r="J11200" s="583">
        <v>1</v>
      </c>
      <c r="K11200" s="583">
        <v>0</v>
      </c>
      <c r="L11200" s="92">
        <v>0.31</v>
      </c>
      <c r="M11200" s="92">
        <v>0.31</v>
      </c>
    </row>
    <row r="11201" ht="23.85" customHeight="1" spans="3:13">
      <c r="C11201" s="100" t="s">
        <v>2893</v>
      </c>
      <c r="D11201" s="99" t="s">
        <v>5310</v>
      </c>
      <c r="E11201" s="100" t="s">
        <v>139</v>
      </c>
      <c r="F11201" s="100" t="s">
        <v>5311</v>
      </c>
      <c r="G11201" s="100" t="s">
        <v>2961</v>
      </c>
      <c r="H11201" s="100"/>
      <c r="I11201" s="101" t="s">
        <v>2897</v>
      </c>
      <c r="J11201" s="580">
        <v>1</v>
      </c>
      <c r="K11201" s="580">
        <v>0</v>
      </c>
      <c r="L11201" s="102">
        <v>1.58</v>
      </c>
      <c r="M11201" s="102">
        <v>1.58</v>
      </c>
    </row>
    <row r="11202" ht="23.85" customHeight="1" spans="3:13">
      <c r="C11202" s="100" t="s">
        <v>2893</v>
      </c>
      <c r="D11202" s="99" t="s">
        <v>5324</v>
      </c>
      <c r="E11202" s="100" t="s">
        <v>139</v>
      </c>
      <c r="F11202" s="100" t="s">
        <v>5325</v>
      </c>
      <c r="G11202" s="100" t="s">
        <v>2961</v>
      </c>
      <c r="H11202" s="100"/>
      <c r="I11202" s="101" t="s">
        <v>2897</v>
      </c>
      <c r="J11202" s="580">
        <v>1</v>
      </c>
      <c r="K11202" s="580">
        <v>0</v>
      </c>
      <c r="L11202" s="102">
        <v>0.44</v>
      </c>
      <c r="M11202" s="102">
        <v>0.44</v>
      </c>
    </row>
    <row r="11203" ht="15" customHeight="1" spans="3:13">
      <c r="C11203" s="100" t="s">
        <v>2893</v>
      </c>
      <c r="D11203" s="99" t="s">
        <v>5306</v>
      </c>
      <c r="E11203" s="100" t="s">
        <v>139</v>
      </c>
      <c r="F11203" s="100" t="s">
        <v>5307</v>
      </c>
      <c r="G11203" s="100" t="s">
        <v>2961</v>
      </c>
      <c r="H11203" s="100"/>
      <c r="I11203" s="101" t="s">
        <v>2897</v>
      </c>
      <c r="J11203" s="580">
        <v>1</v>
      </c>
      <c r="K11203" s="580">
        <v>0</v>
      </c>
      <c r="L11203" s="102">
        <v>1.43</v>
      </c>
      <c r="M11203" s="102">
        <v>1.43</v>
      </c>
    </row>
    <row r="11204" ht="15" customHeight="1" spans="3:13">
      <c r="C11204" s="100" t="s">
        <v>2893</v>
      </c>
      <c r="D11204" s="99" t="s">
        <v>5754</v>
      </c>
      <c r="E11204" s="100" t="s">
        <v>139</v>
      </c>
      <c r="F11204" s="100" t="s">
        <v>5755</v>
      </c>
      <c r="G11204" s="100" t="s">
        <v>2896</v>
      </c>
      <c r="H11204" s="100"/>
      <c r="I11204" s="101" t="s">
        <v>2897</v>
      </c>
      <c r="J11204" s="580">
        <v>1</v>
      </c>
      <c r="K11204" s="580">
        <v>0</v>
      </c>
      <c r="L11204" s="102">
        <v>27.05</v>
      </c>
      <c r="M11204" s="102">
        <v>27.05</v>
      </c>
    </row>
    <row r="11205" ht="23.85" customHeight="1" spans="3:13">
      <c r="C11205" s="100" t="s">
        <v>2893</v>
      </c>
      <c r="D11205" s="99" t="s">
        <v>5322</v>
      </c>
      <c r="E11205" s="100" t="s">
        <v>139</v>
      </c>
      <c r="F11205" s="100" t="s">
        <v>5323</v>
      </c>
      <c r="G11205" s="100" t="s">
        <v>2961</v>
      </c>
      <c r="H11205" s="100"/>
      <c r="I11205" s="101" t="s">
        <v>2897</v>
      </c>
      <c r="J11205" s="580">
        <v>1</v>
      </c>
      <c r="K11205" s="580">
        <v>0</v>
      </c>
      <c r="L11205" s="102">
        <v>1.43</v>
      </c>
      <c r="M11205" s="102">
        <v>1.43</v>
      </c>
    </row>
    <row r="11206" ht="23.85" customHeight="1" spans="3:13">
      <c r="C11206" s="100" t="s">
        <v>2893</v>
      </c>
      <c r="D11206" s="99" t="s">
        <v>5308</v>
      </c>
      <c r="E11206" s="100" t="s">
        <v>139</v>
      </c>
      <c r="F11206" s="100" t="s">
        <v>5309</v>
      </c>
      <c r="G11206" s="100" t="s">
        <v>2961</v>
      </c>
      <c r="H11206" s="100"/>
      <c r="I11206" s="101" t="s">
        <v>2897</v>
      </c>
      <c r="J11206" s="580">
        <v>1</v>
      </c>
      <c r="K11206" s="580">
        <v>0</v>
      </c>
      <c r="L11206" s="102">
        <v>4.84</v>
      </c>
      <c r="M11206" s="102">
        <v>4.84</v>
      </c>
    </row>
    <row r="11207" ht="15" customHeight="1" spans="3:13">
      <c r="C11207" s="100" t="s">
        <v>2893</v>
      </c>
      <c r="D11207" s="99" t="s">
        <v>5312</v>
      </c>
      <c r="E11207" s="100" t="s">
        <v>139</v>
      </c>
      <c r="F11207" s="100" t="s">
        <v>5313</v>
      </c>
      <c r="G11207" s="100" t="s">
        <v>2961</v>
      </c>
      <c r="H11207" s="100"/>
      <c r="I11207" s="101" t="s">
        <v>2897</v>
      </c>
      <c r="J11207" s="580">
        <v>1</v>
      </c>
      <c r="K11207" s="580">
        <v>0</v>
      </c>
      <c r="L11207" s="102">
        <v>0.08</v>
      </c>
      <c r="M11207" s="102">
        <v>0.08</v>
      </c>
    </row>
    <row r="11208" ht="25.5" spans="3:13">
      <c r="C11208" s="108"/>
      <c r="D11208" s="108"/>
      <c r="E11208" s="108"/>
      <c r="F11208" s="108"/>
      <c r="G11208" s="108"/>
      <c r="H11208" s="108" t="s">
        <v>2898</v>
      </c>
      <c r="I11208" s="581">
        <v>27.36</v>
      </c>
      <c r="J11208" s="108" t="s">
        <v>2899</v>
      </c>
      <c r="K11208" s="581">
        <v>0</v>
      </c>
      <c r="L11208" s="108" t="s">
        <v>2900</v>
      </c>
      <c r="M11208" s="581">
        <v>27.36</v>
      </c>
    </row>
    <row r="11209" ht="26.25" spans="3:13">
      <c r="C11209" s="108"/>
      <c r="D11209" s="108"/>
      <c r="E11209" s="108"/>
      <c r="F11209" s="108"/>
      <c r="G11209" s="108"/>
      <c r="H11209" s="108" t="s">
        <v>2901</v>
      </c>
      <c r="I11209" s="581">
        <v>9.47</v>
      </c>
      <c r="J11209" s="114"/>
      <c r="K11209" s="114" t="s">
        <v>2902</v>
      </c>
      <c r="L11209" s="108"/>
      <c r="M11209" s="581">
        <v>46.63</v>
      </c>
    </row>
    <row r="11210" ht="15" spans="3:13">
      <c r="C11210" s="571"/>
      <c r="D11210" s="571"/>
      <c r="E11210" s="571"/>
      <c r="F11210" s="571"/>
      <c r="G11210" s="571"/>
      <c r="H11210" s="571"/>
      <c r="I11210" s="571"/>
      <c r="J11210" s="571"/>
      <c r="K11210" s="571"/>
      <c r="L11210" s="571"/>
      <c r="M11210" s="571"/>
    </row>
    <row r="11211" ht="15" customHeight="1" spans="3:13">
      <c r="C11211" s="76"/>
      <c r="D11211" s="75" t="s">
        <v>63</v>
      </c>
      <c r="E11211" s="76" t="s">
        <v>64</v>
      </c>
      <c r="F11211" s="76" t="s">
        <v>65</v>
      </c>
      <c r="G11211" s="76" t="s">
        <v>2889</v>
      </c>
      <c r="H11211" s="76"/>
      <c r="I11211" s="77" t="s">
        <v>66</v>
      </c>
      <c r="J11211" s="75" t="s">
        <v>67</v>
      </c>
      <c r="K11211" s="75" t="s">
        <v>2890</v>
      </c>
      <c r="L11211" s="75" t="s">
        <v>68</v>
      </c>
      <c r="M11211" s="75" t="s">
        <v>70</v>
      </c>
    </row>
    <row r="11212" ht="35.05" customHeight="1" spans="3:13">
      <c r="C11212" s="569" t="s">
        <v>2891</v>
      </c>
      <c r="D11212" s="570" t="s">
        <v>3169</v>
      </c>
      <c r="E11212" s="569" t="s">
        <v>139</v>
      </c>
      <c r="F11212" s="569" t="s">
        <v>3170</v>
      </c>
      <c r="G11212" s="569" t="s">
        <v>3150</v>
      </c>
      <c r="H11212" s="569"/>
      <c r="I11212" s="577" t="s">
        <v>134</v>
      </c>
      <c r="J11212" s="578">
        <v>1</v>
      </c>
      <c r="K11212" s="579"/>
      <c r="L11212" s="579">
        <v>23.08</v>
      </c>
      <c r="M11212" s="579">
        <v>23.08</v>
      </c>
    </row>
    <row r="11213" ht="23.85" customHeight="1" spans="3:13">
      <c r="C11213" s="79" t="s">
        <v>2921</v>
      </c>
      <c r="D11213" s="78" t="s">
        <v>3153</v>
      </c>
      <c r="E11213" s="79" t="s">
        <v>139</v>
      </c>
      <c r="F11213" s="79" t="s">
        <v>3154</v>
      </c>
      <c r="G11213" s="79" t="s">
        <v>2928</v>
      </c>
      <c r="H11213" s="79"/>
      <c r="I11213" s="80" t="s">
        <v>2897</v>
      </c>
      <c r="J11213" s="583">
        <v>0.242</v>
      </c>
      <c r="K11213" s="583">
        <v>0</v>
      </c>
      <c r="L11213" s="92">
        <v>30.6</v>
      </c>
      <c r="M11213" s="92">
        <v>7.4</v>
      </c>
    </row>
    <row r="11214" ht="23.85" customHeight="1" spans="3:13">
      <c r="C11214" s="79" t="s">
        <v>2921</v>
      </c>
      <c r="D11214" s="78" t="s">
        <v>3151</v>
      </c>
      <c r="E11214" s="79" t="s">
        <v>139</v>
      </c>
      <c r="F11214" s="79" t="s">
        <v>3152</v>
      </c>
      <c r="G11214" s="79" t="s">
        <v>2928</v>
      </c>
      <c r="H11214" s="79"/>
      <c r="I11214" s="80" t="s">
        <v>2897</v>
      </c>
      <c r="J11214" s="583">
        <v>0.242</v>
      </c>
      <c r="K11214" s="583">
        <v>0</v>
      </c>
      <c r="L11214" s="92">
        <v>36.82</v>
      </c>
      <c r="M11214" s="92">
        <v>8.91</v>
      </c>
    </row>
    <row r="11215" ht="15" customHeight="1" spans="3:13">
      <c r="C11215" s="100" t="s">
        <v>2893</v>
      </c>
      <c r="D11215" s="99" t="s">
        <v>4386</v>
      </c>
      <c r="E11215" s="100" t="s">
        <v>139</v>
      </c>
      <c r="F11215" s="100" t="s">
        <v>4387</v>
      </c>
      <c r="G11215" s="100" t="s">
        <v>2961</v>
      </c>
      <c r="H11215" s="100"/>
      <c r="I11215" s="101" t="s">
        <v>134</v>
      </c>
      <c r="J11215" s="580">
        <v>1</v>
      </c>
      <c r="K11215" s="580">
        <v>0</v>
      </c>
      <c r="L11215" s="102">
        <v>6.77</v>
      </c>
      <c r="M11215" s="102">
        <v>6.77</v>
      </c>
    </row>
    <row r="11216" ht="25.5" spans="3:13">
      <c r="C11216" s="108"/>
      <c r="D11216" s="108"/>
      <c r="E11216" s="108"/>
      <c r="F11216" s="108"/>
      <c r="G11216" s="108"/>
      <c r="H11216" s="108" t="s">
        <v>2898</v>
      </c>
      <c r="I11216" s="581">
        <v>11.44</v>
      </c>
      <c r="J11216" s="108" t="s">
        <v>2899</v>
      </c>
      <c r="K11216" s="581">
        <v>0</v>
      </c>
      <c r="L11216" s="108" t="s">
        <v>2900</v>
      </c>
      <c r="M11216" s="581">
        <v>11.44</v>
      </c>
    </row>
    <row r="11217" ht="26.25" spans="3:13">
      <c r="C11217" s="108"/>
      <c r="D11217" s="108"/>
      <c r="E11217" s="108"/>
      <c r="F11217" s="108"/>
      <c r="G11217" s="108"/>
      <c r="H11217" s="108" t="s">
        <v>2901</v>
      </c>
      <c r="I11217" s="581">
        <v>5.88</v>
      </c>
      <c r="J11217" s="114"/>
      <c r="K11217" s="114" t="s">
        <v>2902</v>
      </c>
      <c r="L11217" s="108"/>
      <c r="M11217" s="581">
        <v>28.96</v>
      </c>
    </row>
    <row r="11218" ht="15" spans="3:13">
      <c r="C11218" s="571"/>
      <c r="D11218" s="571"/>
      <c r="E11218" s="571"/>
      <c r="F11218" s="571"/>
      <c r="G11218" s="571"/>
      <c r="H11218" s="571"/>
      <c r="I11218" s="571"/>
      <c r="J11218" s="571"/>
      <c r="K11218" s="571"/>
      <c r="L11218" s="571"/>
      <c r="M11218" s="571"/>
    </row>
    <row r="11219" ht="15" customHeight="1" spans="3:13">
      <c r="C11219" s="76"/>
      <c r="D11219" s="75" t="s">
        <v>63</v>
      </c>
      <c r="E11219" s="76" t="s">
        <v>64</v>
      </c>
      <c r="F11219" s="76" t="s">
        <v>65</v>
      </c>
      <c r="G11219" s="76" t="s">
        <v>2889</v>
      </c>
      <c r="H11219" s="76"/>
      <c r="I11219" s="77" t="s">
        <v>66</v>
      </c>
      <c r="J11219" s="75" t="s">
        <v>67</v>
      </c>
      <c r="K11219" s="75" t="s">
        <v>2890</v>
      </c>
      <c r="L11219" s="75" t="s">
        <v>68</v>
      </c>
      <c r="M11219" s="75" t="s">
        <v>70</v>
      </c>
    </row>
    <row r="11220" ht="35.05" customHeight="1" spans="3:13">
      <c r="C11220" s="569" t="s">
        <v>2891</v>
      </c>
      <c r="D11220" s="570" t="s">
        <v>3210</v>
      </c>
      <c r="E11220" s="569" t="s">
        <v>139</v>
      </c>
      <c r="F11220" s="569" t="s">
        <v>3211</v>
      </c>
      <c r="G11220" s="569" t="s">
        <v>3150</v>
      </c>
      <c r="H11220" s="569"/>
      <c r="I11220" s="577" t="s">
        <v>134</v>
      </c>
      <c r="J11220" s="578">
        <v>1</v>
      </c>
      <c r="K11220" s="579"/>
      <c r="L11220" s="579">
        <v>37.42</v>
      </c>
      <c r="M11220" s="579">
        <v>37.42</v>
      </c>
    </row>
    <row r="11221" ht="35.05" customHeight="1" spans="3:13">
      <c r="C11221" s="79" t="s">
        <v>2921</v>
      </c>
      <c r="D11221" s="78" t="s">
        <v>3171</v>
      </c>
      <c r="E11221" s="79" t="s">
        <v>139</v>
      </c>
      <c r="F11221" s="79" t="s">
        <v>3172</v>
      </c>
      <c r="G11221" s="79" t="s">
        <v>3150</v>
      </c>
      <c r="H11221" s="79"/>
      <c r="I11221" s="80" t="s">
        <v>134</v>
      </c>
      <c r="J11221" s="583">
        <v>1</v>
      </c>
      <c r="K11221" s="583">
        <v>0</v>
      </c>
      <c r="L11221" s="92">
        <v>12.45</v>
      </c>
      <c r="M11221" s="92">
        <v>12.45</v>
      </c>
    </row>
    <row r="11222" ht="35.05" customHeight="1" spans="3:13">
      <c r="C11222" s="79" t="s">
        <v>2921</v>
      </c>
      <c r="D11222" s="78" t="s">
        <v>6032</v>
      </c>
      <c r="E11222" s="79" t="s">
        <v>139</v>
      </c>
      <c r="F11222" s="79" t="s">
        <v>6033</v>
      </c>
      <c r="G11222" s="79" t="s">
        <v>3150</v>
      </c>
      <c r="H11222" s="79"/>
      <c r="I11222" s="80" t="s">
        <v>134</v>
      </c>
      <c r="J11222" s="583">
        <v>1</v>
      </c>
      <c r="K11222" s="583">
        <v>0</v>
      </c>
      <c r="L11222" s="92">
        <v>24.97</v>
      </c>
      <c r="M11222" s="92">
        <v>24.97</v>
      </c>
    </row>
    <row r="11223" ht="25.5" spans="3:13">
      <c r="C11223" s="108"/>
      <c r="D11223" s="108"/>
      <c r="E11223" s="108"/>
      <c r="F11223" s="108"/>
      <c r="G11223" s="108"/>
      <c r="H11223" s="108" t="s">
        <v>2898</v>
      </c>
      <c r="I11223" s="581">
        <v>17.49</v>
      </c>
      <c r="J11223" s="108" t="s">
        <v>2899</v>
      </c>
      <c r="K11223" s="581">
        <v>0</v>
      </c>
      <c r="L11223" s="108" t="s">
        <v>2900</v>
      </c>
      <c r="M11223" s="581">
        <v>17.49</v>
      </c>
    </row>
    <row r="11224" ht="26.25" spans="3:13">
      <c r="C11224" s="108"/>
      <c r="D11224" s="108"/>
      <c r="E11224" s="108"/>
      <c r="F11224" s="108"/>
      <c r="G11224" s="108"/>
      <c r="H11224" s="108" t="s">
        <v>2901</v>
      </c>
      <c r="I11224" s="581">
        <v>9.53</v>
      </c>
      <c r="J11224" s="114"/>
      <c r="K11224" s="114" t="s">
        <v>2902</v>
      </c>
      <c r="L11224" s="108"/>
      <c r="M11224" s="581">
        <v>46.95</v>
      </c>
    </row>
    <row r="11225" ht="15" spans="3:13">
      <c r="C11225" s="571"/>
      <c r="D11225" s="571"/>
      <c r="E11225" s="571"/>
      <c r="F11225" s="571"/>
      <c r="G11225" s="571"/>
      <c r="H11225" s="571"/>
      <c r="I11225" s="571"/>
      <c r="J11225" s="571"/>
      <c r="K11225" s="571"/>
      <c r="L11225" s="571"/>
      <c r="M11225" s="571"/>
    </row>
    <row r="11226" ht="15" customHeight="1" spans="3:13">
      <c r="C11226" s="76"/>
      <c r="D11226" s="75" t="s">
        <v>63</v>
      </c>
      <c r="E11226" s="76" t="s">
        <v>64</v>
      </c>
      <c r="F11226" s="76" t="s">
        <v>65</v>
      </c>
      <c r="G11226" s="76" t="s">
        <v>2889</v>
      </c>
      <c r="H11226" s="76"/>
      <c r="I11226" s="77" t="s">
        <v>66</v>
      </c>
      <c r="J11226" s="75" t="s">
        <v>67</v>
      </c>
      <c r="K11226" s="75" t="s">
        <v>2890</v>
      </c>
      <c r="L11226" s="75" t="s">
        <v>68</v>
      </c>
      <c r="M11226" s="75" t="s">
        <v>70</v>
      </c>
    </row>
    <row r="11227" ht="35.05" customHeight="1" spans="3:13">
      <c r="C11227" s="569" t="s">
        <v>2891</v>
      </c>
      <c r="D11227" s="570" t="s">
        <v>6032</v>
      </c>
      <c r="E11227" s="569" t="s">
        <v>139</v>
      </c>
      <c r="F11227" s="569" t="s">
        <v>6033</v>
      </c>
      <c r="G11227" s="569" t="s">
        <v>3150</v>
      </c>
      <c r="H11227" s="569"/>
      <c r="I11227" s="577" t="s">
        <v>134</v>
      </c>
      <c r="J11227" s="578">
        <v>1</v>
      </c>
      <c r="K11227" s="579"/>
      <c r="L11227" s="579">
        <v>24.97</v>
      </c>
      <c r="M11227" s="579">
        <v>24.97</v>
      </c>
    </row>
    <row r="11228" ht="23.85" customHeight="1" spans="3:13">
      <c r="C11228" s="79" t="s">
        <v>2921</v>
      </c>
      <c r="D11228" s="78" t="s">
        <v>3151</v>
      </c>
      <c r="E11228" s="79" t="s">
        <v>139</v>
      </c>
      <c r="F11228" s="79" t="s">
        <v>3152</v>
      </c>
      <c r="G11228" s="79" t="s">
        <v>2928</v>
      </c>
      <c r="H11228" s="79"/>
      <c r="I11228" s="80" t="s">
        <v>2897</v>
      </c>
      <c r="J11228" s="583">
        <v>0.242</v>
      </c>
      <c r="K11228" s="583">
        <v>0</v>
      </c>
      <c r="L11228" s="92">
        <v>36.82</v>
      </c>
      <c r="M11228" s="92">
        <v>8.91</v>
      </c>
    </row>
    <row r="11229" ht="23.85" customHeight="1" spans="3:13">
      <c r="C11229" s="79" t="s">
        <v>2921</v>
      </c>
      <c r="D11229" s="78" t="s">
        <v>3153</v>
      </c>
      <c r="E11229" s="79" t="s">
        <v>139</v>
      </c>
      <c r="F11229" s="79" t="s">
        <v>3154</v>
      </c>
      <c r="G11229" s="79" t="s">
        <v>2928</v>
      </c>
      <c r="H11229" s="79"/>
      <c r="I11229" s="80" t="s">
        <v>2897</v>
      </c>
      <c r="J11229" s="583">
        <v>0.242</v>
      </c>
      <c r="K11229" s="583">
        <v>0</v>
      </c>
      <c r="L11229" s="92">
        <v>30.6</v>
      </c>
      <c r="M11229" s="92">
        <v>7.4</v>
      </c>
    </row>
    <row r="11230" ht="15" customHeight="1" spans="3:13">
      <c r="C11230" s="100" t="s">
        <v>2893</v>
      </c>
      <c r="D11230" s="99" t="s">
        <v>6034</v>
      </c>
      <c r="E11230" s="100" t="s">
        <v>139</v>
      </c>
      <c r="F11230" s="100" t="s">
        <v>6035</v>
      </c>
      <c r="G11230" s="100" t="s">
        <v>2961</v>
      </c>
      <c r="H11230" s="100"/>
      <c r="I11230" s="101" t="s">
        <v>134</v>
      </c>
      <c r="J11230" s="580">
        <v>1</v>
      </c>
      <c r="K11230" s="580">
        <v>0</v>
      </c>
      <c r="L11230" s="102">
        <v>8.66</v>
      </c>
      <c r="M11230" s="102">
        <v>8.66</v>
      </c>
    </row>
    <row r="11231" ht="25.5" spans="3:13">
      <c r="C11231" s="108"/>
      <c r="D11231" s="108"/>
      <c r="E11231" s="108"/>
      <c r="F11231" s="108"/>
      <c r="G11231" s="108"/>
      <c r="H11231" s="108" t="s">
        <v>2898</v>
      </c>
      <c r="I11231" s="581">
        <v>11.44</v>
      </c>
      <c r="J11231" s="108" t="s">
        <v>2899</v>
      </c>
      <c r="K11231" s="581">
        <v>0</v>
      </c>
      <c r="L11231" s="108" t="s">
        <v>2900</v>
      </c>
      <c r="M11231" s="581">
        <v>11.44</v>
      </c>
    </row>
    <row r="11232" ht="26.25" spans="3:13">
      <c r="C11232" s="108"/>
      <c r="D11232" s="108"/>
      <c r="E11232" s="108"/>
      <c r="F11232" s="108"/>
      <c r="G11232" s="108"/>
      <c r="H11232" s="108" t="s">
        <v>2901</v>
      </c>
      <c r="I11232" s="581">
        <v>6.36</v>
      </c>
      <c r="J11232" s="114"/>
      <c r="K11232" s="114" t="s">
        <v>2902</v>
      </c>
      <c r="L11232" s="108"/>
      <c r="M11232" s="581">
        <v>31.33</v>
      </c>
    </row>
    <row r="11233" ht="15" spans="3:13">
      <c r="C11233" s="571"/>
      <c r="D11233" s="571"/>
      <c r="E11233" s="571"/>
      <c r="F11233" s="571"/>
      <c r="G11233" s="571"/>
      <c r="H11233" s="571"/>
      <c r="I11233" s="571"/>
      <c r="J11233" s="571"/>
      <c r="K11233" s="571"/>
      <c r="L11233" s="571"/>
      <c r="M11233" s="571"/>
    </row>
    <row r="11234" ht="15" customHeight="1" spans="3:13">
      <c r="C11234" s="76"/>
      <c r="D11234" s="75" t="s">
        <v>63</v>
      </c>
      <c r="E11234" s="76" t="s">
        <v>64</v>
      </c>
      <c r="F11234" s="76" t="s">
        <v>65</v>
      </c>
      <c r="G11234" s="76" t="s">
        <v>2889</v>
      </c>
      <c r="H11234" s="76"/>
      <c r="I11234" s="77" t="s">
        <v>66</v>
      </c>
      <c r="J11234" s="75" t="s">
        <v>67</v>
      </c>
      <c r="K11234" s="75" t="s">
        <v>2890</v>
      </c>
      <c r="L11234" s="75" t="s">
        <v>68</v>
      </c>
      <c r="M11234" s="75" t="s">
        <v>70</v>
      </c>
    </row>
    <row r="11235" ht="35.05" customHeight="1" spans="3:13">
      <c r="C11235" s="569" t="s">
        <v>2891</v>
      </c>
      <c r="D11235" s="570" t="s">
        <v>3173</v>
      </c>
      <c r="E11235" s="569" t="s">
        <v>139</v>
      </c>
      <c r="F11235" s="569" t="s">
        <v>3174</v>
      </c>
      <c r="G11235" s="569" t="s">
        <v>3150</v>
      </c>
      <c r="H11235" s="569"/>
      <c r="I11235" s="577" t="s">
        <v>134</v>
      </c>
      <c r="J11235" s="578">
        <v>1</v>
      </c>
      <c r="K11235" s="579"/>
      <c r="L11235" s="579">
        <v>41.92</v>
      </c>
      <c r="M11235" s="579">
        <v>41.92</v>
      </c>
    </row>
    <row r="11236" ht="23.85" customHeight="1" spans="3:13">
      <c r="C11236" s="79" t="s">
        <v>2921</v>
      </c>
      <c r="D11236" s="78" t="s">
        <v>3153</v>
      </c>
      <c r="E11236" s="79" t="s">
        <v>139</v>
      </c>
      <c r="F11236" s="79" t="s">
        <v>3154</v>
      </c>
      <c r="G11236" s="79" t="s">
        <v>2928</v>
      </c>
      <c r="H11236" s="79"/>
      <c r="I11236" s="80" t="s">
        <v>2897</v>
      </c>
      <c r="J11236" s="583">
        <v>0.421</v>
      </c>
      <c r="K11236" s="583">
        <v>0</v>
      </c>
      <c r="L11236" s="92">
        <v>30.6</v>
      </c>
      <c r="M11236" s="92">
        <v>12.88</v>
      </c>
    </row>
    <row r="11237" ht="23.85" customHeight="1" spans="3:13">
      <c r="C11237" s="79" t="s">
        <v>2921</v>
      </c>
      <c r="D11237" s="78" t="s">
        <v>3151</v>
      </c>
      <c r="E11237" s="79" t="s">
        <v>139</v>
      </c>
      <c r="F11237" s="79" t="s">
        <v>3152</v>
      </c>
      <c r="G11237" s="79" t="s">
        <v>2928</v>
      </c>
      <c r="H11237" s="79"/>
      <c r="I11237" s="80" t="s">
        <v>2897</v>
      </c>
      <c r="J11237" s="583">
        <v>0.421</v>
      </c>
      <c r="K11237" s="583">
        <v>0</v>
      </c>
      <c r="L11237" s="92">
        <v>36.82</v>
      </c>
      <c r="M11237" s="92">
        <v>15.5</v>
      </c>
    </row>
    <row r="11238" ht="15" customHeight="1" spans="3:13">
      <c r="C11238" s="100" t="s">
        <v>2893</v>
      </c>
      <c r="D11238" s="99" t="s">
        <v>4386</v>
      </c>
      <c r="E11238" s="100" t="s">
        <v>139</v>
      </c>
      <c r="F11238" s="100" t="s">
        <v>4387</v>
      </c>
      <c r="G11238" s="100" t="s">
        <v>2961</v>
      </c>
      <c r="H11238" s="100"/>
      <c r="I11238" s="101" t="s">
        <v>134</v>
      </c>
      <c r="J11238" s="580">
        <v>2</v>
      </c>
      <c r="K11238" s="580">
        <v>0</v>
      </c>
      <c r="L11238" s="102">
        <v>6.77</v>
      </c>
      <c r="M11238" s="102">
        <v>13.54</v>
      </c>
    </row>
    <row r="11239" ht="25.5" spans="3:13">
      <c r="C11239" s="108"/>
      <c r="D11239" s="108"/>
      <c r="E11239" s="108"/>
      <c r="F11239" s="108"/>
      <c r="G11239" s="108"/>
      <c r="H11239" s="108" t="s">
        <v>2898</v>
      </c>
      <c r="I11239" s="581">
        <v>19.92</v>
      </c>
      <c r="J11239" s="108" t="s">
        <v>2899</v>
      </c>
      <c r="K11239" s="581">
        <v>0</v>
      </c>
      <c r="L11239" s="108" t="s">
        <v>2900</v>
      </c>
      <c r="M11239" s="581">
        <v>19.92</v>
      </c>
    </row>
    <row r="11240" ht="26.25" spans="3:13">
      <c r="C11240" s="108"/>
      <c r="D11240" s="108"/>
      <c r="E11240" s="108"/>
      <c r="F11240" s="108"/>
      <c r="G11240" s="108"/>
      <c r="H11240" s="108" t="s">
        <v>2901</v>
      </c>
      <c r="I11240" s="581">
        <v>10.68</v>
      </c>
      <c r="J11240" s="114"/>
      <c r="K11240" s="114" t="s">
        <v>2902</v>
      </c>
      <c r="L11240" s="108"/>
      <c r="M11240" s="581">
        <v>52.6</v>
      </c>
    </row>
    <row r="11241" ht="15" spans="3:13">
      <c r="C11241" s="571"/>
      <c r="D11241" s="571"/>
      <c r="E11241" s="571"/>
      <c r="F11241" s="571"/>
      <c r="G11241" s="571"/>
      <c r="H11241" s="571"/>
      <c r="I11241" s="571"/>
      <c r="J11241" s="571"/>
      <c r="K11241" s="571"/>
      <c r="L11241" s="571"/>
      <c r="M11241" s="571"/>
    </row>
    <row r="11242" ht="15" customHeight="1" spans="3:13">
      <c r="C11242" s="76"/>
      <c r="D11242" s="75" t="s">
        <v>63</v>
      </c>
      <c r="E11242" s="76" t="s">
        <v>64</v>
      </c>
      <c r="F11242" s="76" t="s">
        <v>65</v>
      </c>
      <c r="G11242" s="76" t="s">
        <v>2889</v>
      </c>
      <c r="H11242" s="76"/>
      <c r="I11242" s="77" t="s">
        <v>66</v>
      </c>
      <c r="J11242" s="75" t="s">
        <v>67</v>
      </c>
      <c r="K11242" s="75" t="s">
        <v>2890</v>
      </c>
      <c r="L11242" s="75" t="s">
        <v>68</v>
      </c>
      <c r="M11242" s="75" t="s">
        <v>70</v>
      </c>
    </row>
    <row r="11243" ht="35.05" customHeight="1" spans="3:13">
      <c r="C11243" s="569" t="s">
        <v>2891</v>
      </c>
      <c r="D11243" s="570" t="s">
        <v>4388</v>
      </c>
      <c r="E11243" s="569" t="s">
        <v>139</v>
      </c>
      <c r="F11243" s="569" t="s">
        <v>4389</v>
      </c>
      <c r="G11243" s="569" t="s">
        <v>3150</v>
      </c>
      <c r="H11243" s="569"/>
      <c r="I11243" s="577" t="s">
        <v>134</v>
      </c>
      <c r="J11243" s="578">
        <v>1</v>
      </c>
      <c r="K11243" s="579"/>
      <c r="L11243" s="579">
        <v>30.03</v>
      </c>
      <c r="M11243" s="579">
        <v>30.03</v>
      </c>
    </row>
    <row r="11244" ht="23.85" customHeight="1" spans="3:13">
      <c r="C11244" s="79" t="s">
        <v>2921</v>
      </c>
      <c r="D11244" s="78" t="s">
        <v>3151</v>
      </c>
      <c r="E11244" s="79" t="s">
        <v>139</v>
      </c>
      <c r="F11244" s="79" t="s">
        <v>3152</v>
      </c>
      <c r="G11244" s="79" t="s">
        <v>2928</v>
      </c>
      <c r="H11244" s="79"/>
      <c r="I11244" s="80" t="s">
        <v>2897</v>
      </c>
      <c r="J11244" s="583">
        <v>0.317</v>
      </c>
      <c r="K11244" s="583">
        <v>0</v>
      </c>
      <c r="L11244" s="92">
        <v>36.82</v>
      </c>
      <c r="M11244" s="92">
        <v>11.67</v>
      </c>
    </row>
    <row r="11245" ht="23.85" customHeight="1" spans="3:13">
      <c r="C11245" s="79" t="s">
        <v>2921</v>
      </c>
      <c r="D11245" s="78" t="s">
        <v>3153</v>
      </c>
      <c r="E11245" s="79" t="s">
        <v>139</v>
      </c>
      <c r="F11245" s="79" t="s">
        <v>3154</v>
      </c>
      <c r="G11245" s="79" t="s">
        <v>2928</v>
      </c>
      <c r="H11245" s="79"/>
      <c r="I11245" s="80" t="s">
        <v>2897</v>
      </c>
      <c r="J11245" s="583">
        <v>0.317</v>
      </c>
      <c r="K11245" s="583">
        <v>0</v>
      </c>
      <c r="L11245" s="92">
        <v>30.6</v>
      </c>
      <c r="M11245" s="92">
        <v>9.7</v>
      </c>
    </row>
    <row r="11246" ht="15" customHeight="1" spans="3:13">
      <c r="C11246" s="100" t="s">
        <v>2893</v>
      </c>
      <c r="D11246" s="99" t="s">
        <v>6034</v>
      </c>
      <c r="E11246" s="100" t="s">
        <v>139</v>
      </c>
      <c r="F11246" s="100" t="s">
        <v>6035</v>
      </c>
      <c r="G11246" s="100" t="s">
        <v>2961</v>
      </c>
      <c r="H11246" s="100"/>
      <c r="I11246" s="101" t="s">
        <v>134</v>
      </c>
      <c r="J11246" s="580">
        <v>1</v>
      </c>
      <c r="K11246" s="580">
        <v>0</v>
      </c>
      <c r="L11246" s="102">
        <v>8.66</v>
      </c>
      <c r="M11246" s="102">
        <v>8.66</v>
      </c>
    </row>
    <row r="11247" ht="25.5" spans="3:13">
      <c r="C11247" s="108"/>
      <c r="D11247" s="108"/>
      <c r="E11247" s="108"/>
      <c r="F11247" s="108"/>
      <c r="G11247" s="108"/>
      <c r="H11247" s="108" t="s">
        <v>2898</v>
      </c>
      <c r="I11247" s="581">
        <v>14.99</v>
      </c>
      <c r="J11247" s="108" t="s">
        <v>2899</v>
      </c>
      <c r="K11247" s="581">
        <v>0</v>
      </c>
      <c r="L11247" s="108" t="s">
        <v>2900</v>
      </c>
      <c r="M11247" s="581">
        <v>14.99</v>
      </c>
    </row>
    <row r="11248" ht="26.25" spans="3:13">
      <c r="C11248" s="108"/>
      <c r="D11248" s="108"/>
      <c r="E11248" s="108"/>
      <c r="F11248" s="108"/>
      <c r="G11248" s="108"/>
      <c r="H11248" s="108" t="s">
        <v>2901</v>
      </c>
      <c r="I11248" s="581">
        <v>7.65</v>
      </c>
      <c r="J11248" s="114"/>
      <c r="K11248" s="114" t="s">
        <v>2902</v>
      </c>
      <c r="L11248" s="108"/>
      <c r="M11248" s="581">
        <v>37.68</v>
      </c>
    </row>
    <row r="11249" ht="15" spans="3:13">
      <c r="C11249" s="571"/>
      <c r="D11249" s="571"/>
      <c r="E11249" s="571"/>
      <c r="F11249" s="571"/>
      <c r="G11249" s="571"/>
      <c r="H11249" s="571"/>
      <c r="I11249" s="571"/>
      <c r="J11249" s="571"/>
      <c r="K11249" s="571"/>
      <c r="L11249" s="571"/>
      <c r="M11249" s="571"/>
    </row>
    <row r="11250" ht="15" customHeight="1" spans="3:13">
      <c r="C11250" s="76"/>
      <c r="D11250" s="75" t="s">
        <v>63</v>
      </c>
      <c r="E11250" s="76" t="s">
        <v>64</v>
      </c>
      <c r="F11250" s="76" t="s">
        <v>65</v>
      </c>
      <c r="G11250" s="76" t="s">
        <v>2889</v>
      </c>
      <c r="H11250" s="76"/>
      <c r="I11250" s="77" t="s">
        <v>66</v>
      </c>
      <c r="J11250" s="75" t="s">
        <v>67</v>
      </c>
      <c r="K11250" s="75" t="s">
        <v>2890</v>
      </c>
      <c r="L11250" s="75" t="s">
        <v>68</v>
      </c>
      <c r="M11250" s="75" t="s">
        <v>70</v>
      </c>
    </row>
    <row r="11251" ht="23.85" customHeight="1" spans="3:13">
      <c r="C11251" s="569" t="s">
        <v>2891</v>
      </c>
      <c r="D11251" s="570" t="s">
        <v>2949</v>
      </c>
      <c r="E11251" s="569" t="s">
        <v>139</v>
      </c>
      <c r="F11251" s="569" t="s">
        <v>2950</v>
      </c>
      <c r="G11251" s="569" t="s">
        <v>2928</v>
      </c>
      <c r="H11251" s="569"/>
      <c r="I11251" s="577" t="s">
        <v>2925</v>
      </c>
      <c r="J11251" s="578">
        <v>1</v>
      </c>
      <c r="K11251" s="579"/>
      <c r="L11251" s="579">
        <v>4798</v>
      </c>
      <c r="M11251" s="579">
        <v>4798</v>
      </c>
    </row>
    <row r="11252" ht="23.85" customHeight="1" spans="3:13">
      <c r="C11252" s="79" t="s">
        <v>2921</v>
      </c>
      <c r="D11252" s="78" t="s">
        <v>5760</v>
      </c>
      <c r="E11252" s="79" t="s">
        <v>139</v>
      </c>
      <c r="F11252" s="79" t="s">
        <v>5761</v>
      </c>
      <c r="G11252" s="79" t="s">
        <v>2928</v>
      </c>
      <c r="H11252" s="79"/>
      <c r="I11252" s="80" t="s">
        <v>2925</v>
      </c>
      <c r="J11252" s="583">
        <v>1</v>
      </c>
      <c r="K11252" s="583">
        <v>0</v>
      </c>
      <c r="L11252" s="92">
        <v>27.14</v>
      </c>
      <c r="M11252" s="92">
        <v>27.14</v>
      </c>
    </row>
    <row r="11253" ht="23.85" customHeight="1" spans="3:13">
      <c r="C11253" s="100" t="s">
        <v>2893</v>
      </c>
      <c r="D11253" s="99" t="s">
        <v>5422</v>
      </c>
      <c r="E11253" s="100" t="s">
        <v>139</v>
      </c>
      <c r="F11253" s="100" t="s">
        <v>5423</v>
      </c>
      <c r="G11253" s="100" t="s">
        <v>2961</v>
      </c>
      <c r="H11253" s="100"/>
      <c r="I11253" s="101" t="s">
        <v>2925</v>
      </c>
      <c r="J11253" s="580">
        <v>1</v>
      </c>
      <c r="K11253" s="580">
        <v>0</v>
      </c>
      <c r="L11253" s="102">
        <v>9.89</v>
      </c>
      <c r="M11253" s="102">
        <v>9.89</v>
      </c>
    </row>
    <row r="11254" ht="23.85" customHeight="1" spans="3:13">
      <c r="C11254" s="100" t="s">
        <v>2893</v>
      </c>
      <c r="D11254" s="99" t="s">
        <v>5340</v>
      </c>
      <c r="E11254" s="100" t="s">
        <v>139</v>
      </c>
      <c r="F11254" s="100" t="s">
        <v>5341</v>
      </c>
      <c r="G11254" s="100" t="s">
        <v>2961</v>
      </c>
      <c r="H11254" s="100"/>
      <c r="I11254" s="101" t="s">
        <v>2925</v>
      </c>
      <c r="J11254" s="580">
        <v>1</v>
      </c>
      <c r="K11254" s="580">
        <v>0</v>
      </c>
      <c r="L11254" s="102">
        <v>270.51</v>
      </c>
      <c r="M11254" s="102">
        <v>270.51</v>
      </c>
    </row>
    <row r="11255" ht="23.85" customHeight="1" spans="3:13">
      <c r="C11255" s="100" t="s">
        <v>2893</v>
      </c>
      <c r="D11255" s="99" t="s">
        <v>5420</v>
      </c>
      <c r="E11255" s="100" t="s">
        <v>139</v>
      </c>
      <c r="F11255" s="100" t="s">
        <v>5421</v>
      </c>
      <c r="G11255" s="100" t="s">
        <v>2961</v>
      </c>
      <c r="H11255" s="100"/>
      <c r="I11255" s="101" t="s">
        <v>2925</v>
      </c>
      <c r="J11255" s="580">
        <v>1</v>
      </c>
      <c r="K11255" s="580">
        <v>0</v>
      </c>
      <c r="L11255" s="102">
        <v>138.98</v>
      </c>
      <c r="M11255" s="102">
        <v>138.98</v>
      </c>
    </row>
    <row r="11256" ht="23.85" customHeight="1" spans="3:13">
      <c r="C11256" s="100" t="s">
        <v>2893</v>
      </c>
      <c r="D11256" s="99" t="s">
        <v>5348</v>
      </c>
      <c r="E11256" s="100" t="s">
        <v>139</v>
      </c>
      <c r="F11256" s="100" t="s">
        <v>5349</v>
      </c>
      <c r="G11256" s="100" t="s">
        <v>2961</v>
      </c>
      <c r="H11256" s="100"/>
      <c r="I11256" s="101" t="s">
        <v>2925</v>
      </c>
      <c r="J11256" s="580">
        <v>1</v>
      </c>
      <c r="K11256" s="580">
        <v>0</v>
      </c>
      <c r="L11256" s="102">
        <v>15.46</v>
      </c>
      <c r="M11256" s="102">
        <v>15.46</v>
      </c>
    </row>
    <row r="11257" ht="15" customHeight="1" spans="3:13">
      <c r="C11257" s="100" t="s">
        <v>2893</v>
      </c>
      <c r="D11257" s="99" t="s">
        <v>5762</v>
      </c>
      <c r="E11257" s="100" t="s">
        <v>139</v>
      </c>
      <c r="F11257" s="100" t="s">
        <v>5763</v>
      </c>
      <c r="G11257" s="100" t="s">
        <v>2896</v>
      </c>
      <c r="H11257" s="100"/>
      <c r="I11257" s="101" t="s">
        <v>2925</v>
      </c>
      <c r="J11257" s="580">
        <v>1</v>
      </c>
      <c r="K11257" s="580">
        <v>0</v>
      </c>
      <c r="L11257" s="102">
        <v>4336.02</v>
      </c>
      <c r="M11257" s="102">
        <v>4336.02</v>
      </c>
    </row>
    <row r="11258" ht="25.5" spans="3:13">
      <c r="C11258" s="108"/>
      <c r="D11258" s="108"/>
      <c r="E11258" s="108"/>
      <c r="F11258" s="108"/>
      <c r="G11258" s="108"/>
      <c r="H11258" s="108" t="s">
        <v>2898</v>
      </c>
      <c r="I11258" s="581">
        <v>4363.16</v>
      </c>
      <c r="J11258" s="108" t="s">
        <v>2899</v>
      </c>
      <c r="K11258" s="581">
        <v>0</v>
      </c>
      <c r="L11258" s="108" t="s">
        <v>2900</v>
      </c>
      <c r="M11258" s="581">
        <v>4363.16</v>
      </c>
    </row>
    <row r="11259" ht="26.25" spans="3:13">
      <c r="C11259" s="108"/>
      <c r="D11259" s="108"/>
      <c r="E11259" s="108"/>
      <c r="F11259" s="108"/>
      <c r="G11259" s="108"/>
      <c r="H11259" s="108" t="s">
        <v>2901</v>
      </c>
      <c r="I11259" s="581">
        <v>1223.01</v>
      </c>
      <c r="J11259" s="114"/>
      <c r="K11259" s="114" t="s">
        <v>2902</v>
      </c>
      <c r="L11259" s="108"/>
      <c r="M11259" s="581">
        <v>6021.01</v>
      </c>
    </row>
    <row r="11260" ht="15" spans="3:13">
      <c r="C11260" s="571"/>
      <c r="D11260" s="571"/>
      <c r="E11260" s="571"/>
      <c r="F11260" s="571"/>
      <c r="G11260" s="571"/>
      <c r="H11260" s="571"/>
      <c r="I11260" s="571"/>
      <c r="J11260" s="571"/>
      <c r="K11260" s="571"/>
      <c r="L11260" s="571"/>
      <c r="M11260" s="571"/>
    </row>
    <row r="11261" ht="15" customHeight="1" spans="3:13">
      <c r="C11261" s="76"/>
      <c r="D11261" s="75" t="s">
        <v>63</v>
      </c>
      <c r="E11261" s="76" t="s">
        <v>64</v>
      </c>
      <c r="F11261" s="76" t="s">
        <v>65</v>
      </c>
      <c r="G11261" s="76" t="s">
        <v>2889</v>
      </c>
      <c r="H11261" s="76"/>
      <c r="I11261" s="77" t="s">
        <v>66</v>
      </c>
      <c r="J11261" s="75" t="s">
        <v>67</v>
      </c>
      <c r="K11261" s="75" t="s">
        <v>2890</v>
      </c>
      <c r="L11261" s="75" t="s">
        <v>68</v>
      </c>
      <c r="M11261" s="75" t="s">
        <v>70</v>
      </c>
    </row>
    <row r="11262" ht="23.85" customHeight="1" spans="3:13">
      <c r="C11262" s="569" t="s">
        <v>2891</v>
      </c>
      <c r="D11262" s="570" t="s">
        <v>4332</v>
      </c>
      <c r="E11262" s="569" t="s">
        <v>139</v>
      </c>
      <c r="F11262" s="569" t="s">
        <v>2950</v>
      </c>
      <c r="G11262" s="569" t="s">
        <v>2928</v>
      </c>
      <c r="H11262" s="569"/>
      <c r="I11262" s="577" t="s">
        <v>2897</v>
      </c>
      <c r="J11262" s="578">
        <v>1</v>
      </c>
      <c r="K11262" s="579"/>
      <c r="L11262" s="579">
        <v>27.17</v>
      </c>
      <c r="M11262" s="579">
        <v>27.17</v>
      </c>
    </row>
    <row r="11263" ht="23.85" customHeight="1" spans="3:13">
      <c r="C11263" s="79" t="s">
        <v>2921</v>
      </c>
      <c r="D11263" s="78" t="s">
        <v>5756</v>
      </c>
      <c r="E11263" s="79" t="s">
        <v>139</v>
      </c>
      <c r="F11263" s="79" t="s">
        <v>5757</v>
      </c>
      <c r="G11263" s="79" t="s">
        <v>2928</v>
      </c>
      <c r="H11263" s="79"/>
      <c r="I11263" s="80" t="s">
        <v>2897</v>
      </c>
      <c r="J11263" s="583">
        <v>1</v>
      </c>
      <c r="K11263" s="583">
        <v>0</v>
      </c>
      <c r="L11263" s="92">
        <v>0.2</v>
      </c>
      <c r="M11263" s="92">
        <v>0.2</v>
      </c>
    </row>
    <row r="11264" ht="15" customHeight="1" spans="3:13">
      <c r="C11264" s="100" t="s">
        <v>2893</v>
      </c>
      <c r="D11264" s="99" t="s">
        <v>5758</v>
      </c>
      <c r="E11264" s="100" t="s">
        <v>139</v>
      </c>
      <c r="F11264" s="100" t="s">
        <v>5759</v>
      </c>
      <c r="G11264" s="100" t="s">
        <v>2896</v>
      </c>
      <c r="H11264" s="100"/>
      <c r="I11264" s="101" t="s">
        <v>2897</v>
      </c>
      <c r="J11264" s="580">
        <v>1</v>
      </c>
      <c r="K11264" s="580">
        <v>0</v>
      </c>
      <c r="L11264" s="102">
        <v>24.67</v>
      </c>
      <c r="M11264" s="102">
        <v>24.67</v>
      </c>
    </row>
    <row r="11265" ht="15" customHeight="1" spans="3:13">
      <c r="C11265" s="100" t="s">
        <v>2893</v>
      </c>
      <c r="D11265" s="99" t="s">
        <v>5312</v>
      </c>
      <c r="E11265" s="100" t="s">
        <v>139</v>
      </c>
      <c r="F11265" s="100" t="s">
        <v>5313</v>
      </c>
      <c r="G11265" s="100" t="s">
        <v>2961</v>
      </c>
      <c r="H11265" s="100"/>
      <c r="I11265" s="101" t="s">
        <v>2897</v>
      </c>
      <c r="J11265" s="580">
        <v>1</v>
      </c>
      <c r="K11265" s="580">
        <v>0</v>
      </c>
      <c r="L11265" s="102">
        <v>0.08</v>
      </c>
      <c r="M11265" s="102">
        <v>0.08</v>
      </c>
    </row>
    <row r="11266" ht="15" customHeight="1" spans="3:13">
      <c r="C11266" s="100" t="s">
        <v>2893</v>
      </c>
      <c r="D11266" s="99" t="s">
        <v>5306</v>
      </c>
      <c r="E11266" s="100" t="s">
        <v>139</v>
      </c>
      <c r="F11266" s="100" t="s">
        <v>5307</v>
      </c>
      <c r="G11266" s="100" t="s">
        <v>2961</v>
      </c>
      <c r="H11266" s="100"/>
      <c r="I11266" s="101" t="s">
        <v>2897</v>
      </c>
      <c r="J11266" s="580">
        <v>1</v>
      </c>
      <c r="K11266" s="580">
        <v>0</v>
      </c>
      <c r="L11266" s="102">
        <v>1.43</v>
      </c>
      <c r="M11266" s="102">
        <v>1.43</v>
      </c>
    </row>
    <row r="11267" ht="23.85" customHeight="1" spans="3:13">
      <c r="C11267" s="100" t="s">
        <v>2893</v>
      </c>
      <c r="D11267" s="99" t="s">
        <v>6036</v>
      </c>
      <c r="E11267" s="100" t="s">
        <v>139</v>
      </c>
      <c r="F11267" s="100" t="s">
        <v>6037</v>
      </c>
      <c r="G11267" s="100" t="s">
        <v>2961</v>
      </c>
      <c r="H11267" s="100"/>
      <c r="I11267" s="101" t="s">
        <v>2897</v>
      </c>
      <c r="J11267" s="580">
        <v>1</v>
      </c>
      <c r="K11267" s="580">
        <v>0</v>
      </c>
      <c r="L11267" s="102">
        <v>0.05</v>
      </c>
      <c r="M11267" s="102">
        <v>0.05</v>
      </c>
    </row>
    <row r="11268" ht="23.85" customHeight="1" spans="3:13">
      <c r="C11268" s="100" t="s">
        <v>2893</v>
      </c>
      <c r="D11268" s="99" t="s">
        <v>6038</v>
      </c>
      <c r="E11268" s="100" t="s">
        <v>139</v>
      </c>
      <c r="F11268" s="100" t="s">
        <v>6039</v>
      </c>
      <c r="G11268" s="100" t="s">
        <v>2961</v>
      </c>
      <c r="H11268" s="100"/>
      <c r="I11268" s="101" t="s">
        <v>2897</v>
      </c>
      <c r="J11268" s="580">
        <v>1</v>
      </c>
      <c r="K11268" s="580">
        <v>0</v>
      </c>
      <c r="L11268" s="102">
        <v>0.74</v>
      </c>
      <c r="M11268" s="102">
        <v>0.74</v>
      </c>
    </row>
    <row r="11269" ht="25.5" spans="3:13">
      <c r="C11269" s="108"/>
      <c r="D11269" s="108"/>
      <c r="E11269" s="108"/>
      <c r="F11269" s="108"/>
      <c r="G11269" s="108"/>
      <c r="H11269" s="108" t="s">
        <v>2898</v>
      </c>
      <c r="I11269" s="581">
        <v>24.87</v>
      </c>
      <c r="J11269" s="108" t="s">
        <v>2899</v>
      </c>
      <c r="K11269" s="581">
        <v>0</v>
      </c>
      <c r="L11269" s="108" t="s">
        <v>2900</v>
      </c>
      <c r="M11269" s="581">
        <v>24.87</v>
      </c>
    </row>
    <row r="11270" ht="26.25" spans="3:13">
      <c r="C11270" s="108"/>
      <c r="D11270" s="108"/>
      <c r="E11270" s="108"/>
      <c r="F11270" s="108"/>
      <c r="G11270" s="108"/>
      <c r="H11270" s="108" t="s">
        <v>2901</v>
      </c>
      <c r="I11270" s="581">
        <v>6.92</v>
      </c>
      <c r="J11270" s="114"/>
      <c r="K11270" s="114" t="s">
        <v>2902</v>
      </c>
      <c r="L11270" s="108"/>
      <c r="M11270" s="581">
        <v>34.09</v>
      </c>
    </row>
    <row r="11271" ht="15" spans="3:13">
      <c r="C11271" s="571"/>
      <c r="D11271" s="571"/>
      <c r="E11271" s="571"/>
      <c r="F11271" s="571"/>
      <c r="G11271" s="571"/>
      <c r="H11271" s="571"/>
      <c r="I11271" s="571"/>
      <c r="J11271" s="571"/>
      <c r="K11271" s="571"/>
      <c r="L11271" s="571"/>
      <c r="M11271" s="571"/>
    </row>
    <row r="11272" ht="15" customHeight="1" spans="3:13">
      <c r="C11272" s="76"/>
      <c r="D11272" s="75" t="s">
        <v>63</v>
      </c>
      <c r="E11272" s="76" t="s">
        <v>64</v>
      </c>
      <c r="F11272" s="76" t="s">
        <v>65</v>
      </c>
      <c r="G11272" s="76" t="s">
        <v>2889</v>
      </c>
      <c r="H11272" s="76"/>
      <c r="I11272" s="77" t="s">
        <v>66</v>
      </c>
      <c r="J11272" s="75" t="s">
        <v>67</v>
      </c>
      <c r="K11272" s="75" t="s">
        <v>2890</v>
      </c>
      <c r="L11272" s="75" t="s">
        <v>68</v>
      </c>
      <c r="M11272" s="75" t="s">
        <v>70</v>
      </c>
    </row>
    <row r="11273" ht="23.85" customHeight="1" spans="3:13">
      <c r="C11273" s="569" t="s">
        <v>2891</v>
      </c>
      <c r="D11273" s="570" t="s">
        <v>3196</v>
      </c>
      <c r="E11273" s="569" t="s">
        <v>139</v>
      </c>
      <c r="F11273" s="569" t="s">
        <v>3197</v>
      </c>
      <c r="G11273" s="569" t="s">
        <v>3198</v>
      </c>
      <c r="H11273" s="569"/>
      <c r="I11273" s="577" t="s">
        <v>134</v>
      </c>
      <c r="J11273" s="578">
        <v>1</v>
      </c>
      <c r="K11273" s="579"/>
      <c r="L11273" s="579">
        <v>72.76</v>
      </c>
      <c r="M11273" s="579">
        <v>72.76</v>
      </c>
    </row>
    <row r="11274" ht="23.85" customHeight="1" spans="3:13">
      <c r="C11274" s="79" t="s">
        <v>2921</v>
      </c>
      <c r="D11274" s="78" t="s">
        <v>3144</v>
      </c>
      <c r="E11274" s="79" t="s">
        <v>139</v>
      </c>
      <c r="F11274" s="79" t="s">
        <v>3145</v>
      </c>
      <c r="G11274" s="79" t="s">
        <v>2928</v>
      </c>
      <c r="H11274" s="79"/>
      <c r="I11274" s="80" t="s">
        <v>2897</v>
      </c>
      <c r="J11274" s="583">
        <v>0.1904</v>
      </c>
      <c r="K11274" s="583">
        <v>0</v>
      </c>
      <c r="L11274" s="92">
        <v>35.55</v>
      </c>
      <c r="M11274" s="92">
        <v>6.76</v>
      </c>
    </row>
    <row r="11275" ht="23.85" customHeight="1" spans="3:13">
      <c r="C11275" s="79" t="s">
        <v>2921</v>
      </c>
      <c r="D11275" s="78" t="s">
        <v>3146</v>
      </c>
      <c r="E11275" s="79" t="s">
        <v>139</v>
      </c>
      <c r="F11275" s="79" t="s">
        <v>3147</v>
      </c>
      <c r="G11275" s="79" t="s">
        <v>2928</v>
      </c>
      <c r="H11275" s="79"/>
      <c r="I11275" s="80" t="s">
        <v>2897</v>
      </c>
      <c r="J11275" s="583">
        <v>0.1904</v>
      </c>
      <c r="K11275" s="583">
        <v>0</v>
      </c>
      <c r="L11275" s="92">
        <v>29.54</v>
      </c>
      <c r="M11275" s="92">
        <v>5.62</v>
      </c>
    </row>
    <row r="11276" ht="15" customHeight="1" spans="3:13">
      <c r="C11276" s="100" t="s">
        <v>2893</v>
      </c>
      <c r="D11276" s="99" t="s">
        <v>3643</v>
      </c>
      <c r="E11276" s="100" t="s">
        <v>139</v>
      </c>
      <c r="F11276" s="100" t="s">
        <v>3644</v>
      </c>
      <c r="G11276" s="100" t="s">
        <v>2961</v>
      </c>
      <c r="H11276" s="100"/>
      <c r="I11276" s="101" t="s">
        <v>134</v>
      </c>
      <c r="J11276" s="580">
        <v>0.0053</v>
      </c>
      <c r="K11276" s="580">
        <v>0</v>
      </c>
      <c r="L11276" s="102">
        <v>13.46</v>
      </c>
      <c r="M11276" s="102">
        <v>0.07</v>
      </c>
    </row>
    <row r="11277" ht="23.85" customHeight="1" spans="3:13">
      <c r="C11277" s="100" t="s">
        <v>2893</v>
      </c>
      <c r="D11277" s="99" t="s">
        <v>6040</v>
      </c>
      <c r="E11277" s="100" t="s">
        <v>139</v>
      </c>
      <c r="F11277" s="100" t="s">
        <v>6041</v>
      </c>
      <c r="G11277" s="100" t="s">
        <v>2961</v>
      </c>
      <c r="H11277" s="100"/>
      <c r="I11277" s="101" t="s">
        <v>134</v>
      </c>
      <c r="J11277" s="580">
        <v>1</v>
      </c>
      <c r="K11277" s="580">
        <v>0</v>
      </c>
      <c r="L11277" s="102">
        <v>60.31</v>
      </c>
      <c r="M11277" s="102">
        <v>60.31</v>
      </c>
    </row>
    <row r="11278" ht="25.5" spans="3:13">
      <c r="C11278" s="108"/>
      <c r="D11278" s="108"/>
      <c r="E11278" s="108"/>
      <c r="F11278" s="108"/>
      <c r="G11278" s="108"/>
      <c r="H11278" s="108" t="s">
        <v>2898</v>
      </c>
      <c r="I11278" s="581">
        <v>8.82</v>
      </c>
      <c r="J11278" s="108" t="s">
        <v>2899</v>
      </c>
      <c r="K11278" s="581">
        <v>0</v>
      </c>
      <c r="L11278" s="108" t="s">
        <v>2900</v>
      </c>
      <c r="M11278" s="581">
        <v>8.82</v>
      </c>
    </row>
    <row r="11279" ht="26.25" spans="3:13">
      <c r="C11279" s="108"/>
      <c r="D11279" s="108"/>
      <c r="E11279" s="108"/>
      <c r="F11279" s="108"/>
      <c r="G11279" s="108"/>
      <c r="H11279" s="108" t="s">
        <v>2901</v>
      </c>
      <c r="I11279" s="581">
        <v>18.54</v>
      </c>
      <c r="J11279" s="114"/>
      <c r="K11279" s="114" t="s">
        <v>2902</v>
      </c>
      <c r="L11279" s="108"/>
      <c r="M11279" s="581">
        <v>91.3</v>
      </c>
    </row>
    <row r="11280" ht="15" spans="3:13">
      <c r="C11280" s="571"/>
      <c r="D11280" s="571"/>
      <c r="E11280" s="571"/>
      <c r="F11280" s="571"/>
      <c r="G11280" s="571"/>
      <c r="H11280" s="571"/>
      <c r="I11280" s="571"/>
      <c r="J11280" s="571"/>
      <c r="K11280" s="571"/>
      <c r="L11280" s="571"/>
      <c r="M11280" s="571"/>
    </row>
    <row r="11281" ht="15" customHeight="1" spans="3:13">
      <c r="C11281" s="76"/>
      <c r="D11281" s="75" t="s">
        <v>63</v>
      </c>
      <c r="E11281" s="76" t="s">
        <v>64</v>
      </c>
      <c r="F11281" s="76" t="s">
        <v>65</v>
      </c>
      <c r="G11281" s="76" t="s">
        <v>2889</v>
      </c>
      <c r="H11281" s="76"/>
      <c r="I11281" s="77" t="s">
        <v>66</v>
      </c>
      <c r="J11281" s="75" t="s">
        <v>67</v>
      </c>
      <c r="K11281" s="75" t="s">
        <v>2890</v>
      </c>
      <c r="L11281" s="75" t="s">
        <v>68</v>
      </c>
      <c r="M11281" s="75" t="s">
        <v>70</v>
      </c>
    </row>
    <row r="11282" ht="23.85" customHeight="1" spans="3:13">
      <c r="C11282" s="569" t="s">
        <v>2891</v>
      </c>
      <c r="D11282" s="570" t="s">
        <v>5280</v>
      </c>
      <c r="E11282" s="569" t="s">
        <v>139</v>
      </c>
      <c r="F11282" s="569" t="s">
        <v>5281</v>
      </c>
      <c r="G11282" s="569" t="s">
        <v>2995</v>
      </c>
      <c r="H11282" s="569"/>
      <c r="I11282" s="577" t="s">
        <v>2996</v>
      </c>
      <c r="J11282" s="578">
        <v>1</v>
      </c>
      <c r="K11282" s="579"/>
      <c r="L11282" s="579">
        <v>88.25</v>
      </c>
      <c r="M11282" s="579">
        <v>88.25</v>
      </c>
    </row>
    <row r="11283" ht="23.85" customHeight="1" spans="3:13">
      <c r="C11283" s="79" t="s">
        <v>2921</v>
      </c>
      <c r="D11283" s="78" t="s">
        <v>6042</v>
      </c>
      <c r="E11283" s="79" t="s">
        <v>139</v>
      </c>
      <c r="F11283" s="79" t="s">
        <v>6043</v>
      </c>
      <c r="G11283" s="79" t="s">
        <v>2928</v>
      </c>
      <c r="H11283" s="79"/>
      <c r="I11283" s="80" t="s">
        <v>2897</v>
      </c>
      <c r="J11283" s="583">
        <v>1</v>
      </c>
      <c r="K11283" s="583">
        <v>0</v>
      </c>
      <c r="L11283" s="92">
        <v>39.88</v>
      </c>
      <c r="M11283" s="92">
        <v>39.88</v>
      </c>
    </row>
    <row r="11284" ht="46.25" customHeight="1" spans="3:13">
      <c r="C11284" s="79" t="s">
        <v>2921</v>
      </c>
      <c r="D11284" s="78" t="s">
        <v>6044</v>
      </c>
      <c r="E11284" s="79" t="s">
        <v>139</v>
      </c>
      <c r="F11284" s="79" t="s">
        <v>6045</v>
      </c>
      <c r="G11284" s="79" t="s">
        <v>5464</v>
      </c>
      <c r="H11284" s="79"/>
      <c r="I11284" s="80" t="s">
        <v>2897</v>
      </c>
      <c r="J11284" s="583">
        <v>1</v>
      </c>
      <c r="K11284" s="583">
        <v>0</v>
      </c>
      <c r="L11284" s="92">
        <v>33.58</v>
      </c>
      <c r="M11284" s="92">
        <v>33.58</v>
      </c>
    </row>
    <row r="11285" ht="46.25" customHeight="1" spans="3:13">
      <c r="C11285" s="79" t="s">
        <v>2921</v>
      </c>
      <c r="D11285" s="78" t="s">
        <v>6046</v>
      </c>
      <c r="E11285" s="79" t="s">
        <v>139</v>
      </c>
      <c r="F11285" s="79" t="s">
        <v>6047</v>
      </c>
      <c r="G11285" s="79" t="s">
        <v>5464</v>
      </c>
      <c r="H11285" s="79"/>
      <c r="I11285" s="80" t="s">
        <v>2897</v>
      </c>
      <c r="J11285" s="583">
        <v>1</v>
      </c>
      <c r="K11285" s="583">
        <v>0</v>
      </c>
      <c r="L11285" s="92">
        <v>14.79</v>
      </c>
      <c r="M11285" s="92">
        <v>14.79</v>
      </c>
    </row>
    <row r="11286" ht="25.5" spans="3:13">
      <c r="C11286" s="108"/>
      <c r="D11286" s="108"/>
      <c r="E11286" s="108"/>
      <c r="F11286" s="108"/>
      <c r="G11286" s="108"/>
      <c r="H11286" s="108" t="s">
        <v>2898</v>
      </c>
      <c r="I11286" s="581">
        <v>31.05</v>
      </c>
      <c r="J11286" s="108" t="s">
        <v>2899</v>
      </c>
      <c r="K11286" s="581">
        <v>0</v>
      </c>
      <c r="L11286" s="108" t="s">
        <v>2900</v>
      </c>
      <c r="M11286" s="581">
        <v>31.05</v>
      </c>
    </row>
    <row r="11287" ht="26.25" spans="3:13">
      <c r="C11287" s="108"/>
      <c r="D11287" s="108"/>
      <c r="E11287" s="108"/>
      <c r="F11287" s="108"/>
      <c r="G11287" s="108"/>
      <c r="H11287" s="108" t="s">
        <v>2901</v>
      </c>
      <c r="I11287" s="581">
        <v>22.49</v>
      </c>
      <c r="J11287" s="114"/>
      <c r="K11287" s="114" t="s">
        <v>2902</v>
      </c>
      <c r="L11287" s="108"/>
      <c r="M11287" s="581">
        <v>110.74</v>
      </c>
    </row>
    <row r="11288" ht="15" spans="3:13">
      <c r="C11288" s="571"/>
      <c r="D11288" s="571"/>
      <c r="E11288" s="571"/>
      <c r="F11288" s="571"/>
      <c r="G11288" s="571"/>
      <c r="H11288" s="571"/>
      <c r="I11288" s="571"/>
      <c r="J11288" s="571"/>
      <c r="K11288" s="571"/>
      <c r="L11288" s="571"/>
      <c r="M11288" s="571"/>
    </row>
    <row r="11289" ht="15" customHeight="1" spans="3:13">
      <c r="C11289" s="76"/>
      <c r="D11289" s="75" t="s">
        <v>63</v>
      </c>
      <c r="E11289" s="76" t="s">
        <v>64</v>
      </c>
      <c r="F11289" s="76" t="s">
        <v>65</v>
      </c>
      <c r="G11289" s="76" t="s">
        <v>2889</v>
      </c>
      <c r="H11289" s="76"/>
      <c r="I11289" s="77" t="s">
        <v>66</v>
      </c>
      <c r="J11289" s="75" t="s">
        <v>67</v>
      </c>
      <c r="K11289" s="75" t="s">
        <v>2890</v>
      </c>
      <c r="L11289" s="75" t="s">
        <v>68</v>
      </c>
      <c r="M11289" s="75" t="s">
        <v>70</v>
      </c>
    </row>
    <row r="11290" ht="23.85" customHeight="1" spans="3:13">
      <c r="C11290" s="569" t="s">
        <v>2891</v>
      </c>
      <c r="D11290" s="570" t="s">
        <v>5278</v>
      </c>
      <c r="E11290" s="569" t="s">
        <v>139</v>
      </c>
      <c r="F11290" s="569" t="s">
        <v>5279</v>
      </c>
      <c r="G11290" s="569" t="s">
        <v>2995</v>
      </c>
      <c r="H11290" s="569"/>
      <c r="I11290" s="577" t="s">
        <v>3002</v>
      </c>
      <c r="J11290" s="578">
        <v>1</v>
      </c>
      <c r="K11290" s="579"/>
      <c r="L11290" s="579">
        <v>210.93</v>
      </c>
      <c r="M11290" s="579">
        <v>210.93</v>
      </c>
    </row>
    <row r="11291" ht="46.25" customHeight="1" spans="3:13">
      <c r="C11291" s="79" t="s">
        <v>2921</v>
      </c>
      <c r="D11291" s="78" t="s">
        <v>6046</v>
      </c>
      <c r="E11291" s="79" t="s">
        <v>139</v>
      </c>
      <c r="F11291" s="79" t="s">
        <v>6047</v>
      </c>
      <c r="G11291" s="79" t="s">
        <v>5464</v>
      </c>
      <c r="H11291" s="79"/>
      <c r="I11291" s="80" t="s">
        <v>2897</v>
      </c>
      <c r="J11291" s="583">
        <v>1</v>
      </c>
      <c r="K11291" s="583">
        <v>0</v>
      </c>
      <c r="L11291" s="92">
        <v>14.79</v>
      </c>
      <c r="M11291" s="92">
        <v>14.79</v>
      </c>
    </row>
    <row r="11292" ht="46.25" customHeight="1" spans="3:13">
      <c r="C11292" s="79" t="s">
        <v>2921</v>
      </c>
      <c r="D11292" s="78" t="s">
        <v>6048</v>
      </c>
      <c r="E11292" s="79" t="s">
        <v>139</v>
      </c>
      <c r="F11292" s="79" t="s">
        <v>6049</v>
      </c>
      <c r="G11292" s="79" t="s">
        <v>5464</v>
      </c>
      <c r="H11292" s="79"/>
      <c r="I11292" s="80" t="s">
        <v>2897</v>
      </c>
      <c r="J11292" s="583">
        <v>1</v>
      </c>
      <c r="K11292" s="583">
        <v>0</v>
      </c>
      <c r="L11292" s="92">
        <v>62.64</v>
      </c>
      <c r="M11292" s="92">
        <v>62.64</v>
      </c>
    </row>
    <row r="11293" ht="46.25" customHeight="1" spans="3:13">
      <c r="C11293" s="79" t="s">
        <v>2921</v>
      </c>
      <c r="D11293" s="78" t="s">
        <v>6044</v>
      </c>
      <c r="E11293" s="79" t="s">
        <v>139</v>
      </c>
      <c r="F11293" s="79" t="s">
        <v>6045</v>
      </c>
      <c r="G11293" s="79" t="s">
        <v>5464</v>
      </c>
      <c r="H11293" s="79"/>
      <c r="I11293" s="80" t="s">
        <v>2897</v>
      </c>
      <c r="J11293" s="583">
        <v>1</v>
      </c>
      <c r="K11293" s="583">
        <v>0</v>
      </c>
      <c r="L11293" s="92">
        <v>33.58</v>
      </c>
      <c r="M11293" s="92">
        <v>33.58</v>
      </c>
    </row>
    <row r="11294" ht="46.25" customHeight="1" spans="3:13">
      <c r="C11294" s="79" t="s">
        <v>2921</v>
      </c>
      <c r="D11294" s="78" t="s">
        <v>6050</v>
      </c>
      <c r="E11294" s="79" t="s">
        <v>139</v>
      </c>
      <c r="F11294" s="79" t="s">
        <v>6051</v>
      </c>
      <c r="G11294" s="79" t="s">
        <v>5464</v>
      </c>
      <c r="H11294" s="79"/>
      <c r="I11294" s="80" t="s">
        <v>2897</v>
      </c>
      <c r="J11294" s="583">
        <v>1</v>
      </c>
      <c r="K11294" s="583">
        <v>0</v>
      </c>
      <c r="L11294" s="92">
        <v>60.04</v>
      </c>
      <c r="M11294" s="92">
        <v>60.04</v>
      </c>
    </row>
    <row r="11295" ht="23.85" customHeight="1" spans="3:13">
      <c r="C11295" s="79" t="s">
        <v>2921</v>
      </c>
      <c r="D11295" s="78" t="s">
        <v>6042</v>
      </c>
      <c r="E11295" s="79" t="s">
        <v>139</v>
      </c>
      <c r="F11295" s="79" t="s">
        <v>6043</v>
      </c>
      <c r="G11295" s="79" t="s">
        <v>2928</v>
      </c>
      <c r="H11295" s="79"/>
      <c r="I11295" s="80" t="s">
        <v>2897</v>
      </c>
      <c r="J11295" s="583">
        <v>1</v>
      </c>
      <c r="K11295" s="583">
        <v>0</v>
      </c>
      <c r="L11295" s="92">
        <v>39.88</v>
      </c>
      <c r="M11295" s="92">
        <v>39.88</v>
      </c>
    </row>
    <row r="11296" ht="25.5" spans="3:13">
      <c r="C11296" s="108"/>
      <c r="D11296" s="108"/>
      <c r="E11296" s="108"/>
      <c r="F11296" s="108"/>
      <c r="G11296" s="108"/>
      <c r="H11296" s="108" t="s">
        <v>2898</v>
      </c>
      <c r="I11296" s="581">
        <v>31.05</v>
      </c>
      <c r="J11296" s="108" t="s">
        <v>2899</v>
      </c>
      <c r="K11296" s="581">
        <v>0</v>
      </c>
      <c r="L11296" s="108" t="s">
        <v>2900</v>
      </c>
      <c r="M11296" s="581">
        <v>31.05</v>
      </c>
    </row>
    <row r="11297" ht="26.25" spans="3:13">
      <c r="C11297" s="108"/>
      <c r="D11297" s="108"/>
      <c r="E11297" s="108"/>
      <c r="F11297" s="108"/>
      <c r="G11297" s="108"/>
      <c r="H11297" s="108" t="s">
        <v>2901</v>
      </c>
      <c r="I11297" s="581">
        <v>53.76</v>
      </c>
      <c r="J11297" s="114"/>
      <c r="K11297" s="114" t="s">
        <v>2902</v>
      </c>
      <c r="L11297" s="108"/>
      <c r="M11297" s="581">
        <v>264.69</v>
      </c>
    </row>
    <row r="11298" ht="15" spans="3:13">
      <c r="C11298" s="571"/>
      <c r="D11298" s="571"/>
      <c r="E11298" s="571"/>
      <c r="F11298" s="571"/>
      <c r="G11298" s="571"/>
      <c r="H11298" s="571"/>
      <c r="I11298" s="571"/>
      <c r="J11298" s="571"/>
      <c r="K11298" s="571"/>
      <c r="L11298" s="571"/>
      <c r="M11298" s="571"/>
    </row>
    <row r="11299" ht="15" customHeight="1" spans="3:13">
      <c r="C11299" s="76"/>
      <c r="D11299" s="75" t="s">
        <v>63</v>
      </c>
      <c r="E11299" s="76" t="s">
        <v>64</v>
      </c>
      <c r="F11299" s="76" t="s">
        <v>65</v>
      </c>
      <c r="G11299" s="76" t="s">
        <v>2889</v>
      </c>
      <c r="H11299" s="76"/>
      <c r="I11299" s="77" t="s">
        <v>66</v>
      </c>
      <c r="J11299" s="75" t="s">
        <v>67</v>
      </c>
      <c r="K11299" s="75" t="s">
        <v>2890</v>
      </c>
      <c r="L11299" s="75" t="s">
        <v>68</v>
      </c>
      <c r="M11299" s="75" t="s">
        <v>70</v>
      </c>
    </row>
    <row r="11300" ht="46.25" customHeight="1" spans="3:13">
      <c r="C11300" s="569" t="s">
        <v>2891</v>
      </c>
      <c r="D11300" s="570" t="s">
        <v>6044</v>
      </c>
      <c r="E11300" s="569" t="s">
        <v>139</v>
      </c>
      <c r="F11300" s="569" t="s">
        <v>6045</v>
      </c>
      <c r="G11300" s="569" t="s">
        <v>5464</v>
      </c>
      <c r="H11300" s="569"/>
      <c r="I11300" s="577" t="s">
        <v>2897</v>
      </c>
      <c r="J11300" s="578">
        <v>1</v>
      </c>
      <c r="K11300" s="579"/>
      <c r="L11300" s="579">
        <v>33.58</v>
      </c>
      <c r="M11300" s="579">
        <v>33.58</v>
      </c>
    </row>
    <row r="11301" ht="23.85" customHeight="1" spans="3:13">
      <c r="C11301" s="100" t="s">
        <v>2893</v>
      </c>
      <c r="D11301" s="99" t="s">
        <v>6052</v>
      </c>
      <c r="E11301" s="100" t="s">
        <v>139</v>
      </c>
      <c r="F11301" s="100" t="s">
        <v>6053</v>
      </c>
      <c r="G11301" s="100" t="s">
        <v>3680</v>
      </c>
      <c r="H11301" s="100"/>
      <c r="I11301" s="101" t="s">
        <v>134</v>
      </c>
      <c r="J11301" s="580">
        <v>3.11e-5</v>
      </c>
      <c r="K11301" s="580">
        <v>0</v>
      </c>
      <c r="L11301" s="102">
        <v>1079918</v>
      </c>
      <c r="M11301" s="102">
        <v>33.58</v>
      </c>
    </row>
    <row r="11302" ht="25.5" spans="3:13">
      <c r="C11302" s="108"/>
      <c r="D11302" s="108"/>
      <c r="E11302" s="108"/>
      <c r="F11302" s="108"/>
      <c r="G11302" s="108"/>
      <c r="H11302" s="108" t="s">
        <v>2898</v>
      </c>
      <c r="I11302" s="581">
        <v>0</v>
      </c>
      <c r="J11302" s="108" t="s">
        <v>2899</v>
      </c>
      <c r="K11302" s="581">
        <v>0</v>
      </c>
      <c r="L11302" s="108" t="s">
        <v>2900</v>
      </c>
      <c r="M11302" s="581">
        <v>0</v>
      </c>
    </row>
    <row r="11303" ht="26.25" spans="3:13">
      <c r="C11303" s="108"/>
      <c r="D11303" s="108"/>
      <c r="E11303" s="108"/>
      <c r="F11303" s="108"/>
      <c r="G11303" s="108"/>
      <c r="H11303" s="108" t="s">
        <v>2901</v>
      </c>
      <c r="I11303" s="581">
        <v>8.55</v>
      </c>
      <c r="J11303" s="114"/>
      <c r="K11303" s="114" t="s">
        <v>2902</v>
      </c>
      <c r="L11303" s="108"/>
      <c r="M11303" s="581">
        <v>42.13</v>
      </c>
    </row>
    <row r="11304" ht="15" spans="3:13">
      <c r="C11304" s="571"/>
      <c r="D11304" s="571"/>
      <c r="E11304" s="571"/>
      <c r="F11304" s="571"/>
      <c r="G11304" s="571"/>
      <c r="H11304" s="571"/>
      <c r="I11304" s="571"/>
      <c r="J11304" s="571"/>
      <c r="K11304" s="571"/>
      <c r="L11304" s="571"/>
      <c r="M11304" s="571"/>
    </row>
    <row r="11305" ht="15" customHeight="1" spans="3:13">
      <c r="C11305" s="76"/>
      <c r="D11305" s="75" t="s">
        <v>63</v>
      </c>
      <c r="E11305" s="76" t="s">
        <v>64</v>
      </c>
      <c r="F11305" s="76" t="s">
        <v>65</v>
      </c>
      <c r="G11305" s="76" t="s">
        <v>2889</v>
      </c>
      <c r="H11305" s="76"/>
      <c r="I11305" s="77" t="s">
        <v>66</v>
      </c>
      <c r="J11305" s="75" t="s">
        <v>67</v>
      </c>
      <c r="K11305" s="75" t="s">
        <v>2890</v>
      </c>
      <c r="L11305" s="75" t="s">
        <v>68</v>
      </c>
      <c r="M11305" s="75" t="s">
        <v>70</v>
      </c>
    </row>
    <row r="11306" ht="46.25" customHeight="1" spans="3:13">
      <c r="C11306" s="569" t="s">
        <v>2891</v>
      </c>
      <c r="D11306" s="570" t="s">
        <v>6046</v>
      </c>
      <c r="E11306" s="569" t="s">
        <v>139</v>
      </c>
      <c r="F11306" s="569" t="s">
        <v>6047</v>
      </c>
      <c r="G11306" s="569" t="s">
        <v>5464</v>
      </c>
      <c r="H11306" s="569"/>
      <c r="I11306" s="577" t="s">
        <v>2897</v>
      </c>
      <c r="J11306" s="578">
        <v>1</v>
      </c>
      <c r="K11306" s="579"/>
      <c r="L11306" s="579">
        <v>14.79</v>
      </c>
      <c r="M11306" s="579">
        <v>14.79</v>
      </c>
    </row>
    <row r="11307" ht="23.85" customHeight="1" spans="3:13">
      <c r="C11307" s="100" t="s">
        <v>2893</v>
      </c>
      <c r="D11307" s="99" t="s">
        <v>6052</v>
      </c>
      <c r="E11307" s="100" t="s">
        <v>139</v>
      </c>
      <c r="F11307" s="100" t="s">
        <v>6053</v>
      </c>
      <c r="G11307" s="100" t="s">
        <v>3680</v>
      </c>
      <c r="H11307" s="100"/>
      <c r="I11307" s="101" t="s">
        <v>134</v>
      </c>
      <c r="J11307" s="580">
        <v>1.37e-5</v>
      </c>
      <c r="K11307" s="580">
        <v>0</v>
      </c>
      <c r="L11307" s="102">
        <v>1079918</v>
      </c>
      <c r="M11307" s="102">
        <v>14.79</v>
      </c>
    </row>
    <row r="11308" ht="25.5" spans="3:13">
      <c r="C11308" s="108"/>
      <c r="D11308" s="108"/>
      <c r="E11308" s="108"/>
      <c r="F11308" s="108"/>
      <c r="G11308" s="108"/>
      <c r="H11308" s="108" t="s">
        <v>2898</v>
      </c>
      <c r="I11308" s="581">
        <v>0</v>
      </c>
      <c r="J11308" s="108" t="s">
        <v>2899</v>
      </c>
      <c r="K11308" s="581">
        <v>0</v>
      </c>
      <c r="L11308" s="108" t="s">
        <v>2900</v>
      </c>
      <c r="M11308" s="581">
        <v>0</v>
      </c>
    </row>
    <row r="11309" ht="26.25" spans="3:13">
      <c r="C11309" s="108"/>
      <c r="D11309" s="108"/>
      <c r="E11309" s="108"/>
      <c r="F11309" s="108"/>
      <c r="G11309" s="108"/>
      <c r="H11309" s="108" t="s">
        <v>2901</v>
      </c>
      <c r="I11309" s="581">
        <v>3.76</v>
      </c>
      <c r="J11309" s="114"/>
      <c r="K11309" s="114" t="s">
        <v>2902</v>
      </c>
      <c r="L11309" s="108"/>
      <c r="M11309" s="581">
        <v>18.55</v>
      </c>
    </row>
    <row r="11310" ht="15" spans="3:13">
      <c r="C11310" s="571"/>
      <c r="D11310" s="571"/>
      <c r="E11310" s="571"/>
      <c r="F11310" s="571"/>
      <c r="G11310" s="571"/>
      <c r="H11310" s="571"/>
      <c r="I11310" s="571"/>
      <c r="J11310" s="571"/>
      <c r="K11310" s="571"/>
      <c r="L11310" s="571"/>
      <c r="M11310" s="571"/>
    </row>
    <row r="11311" ht="15" customHeight="1" spans="3:13">
      <c r="C11311" s="76"/>
      <c r="D11311" s="75" t="s">
        <v>63</v>
      </c>
      <c r="E11311" s="76" t="s">
        <v>64</v>
      </c>
      <c r="F11311" s="76" t="s">
        <v>65</v>
      </c>
      <c r="G11311" s="76" t="s">
        <v>2889</v>
      </c>
      <c r="H11311" s="76"/>
      <c r="I11311" s="77" t="s">
        <v>66</v>
      </c>
      <c r="J11311" s="75" t="s">
        <v>67</v>
      </c>
      <c r="K11311" s="75" t="s">
        <v>2890</v>
      </c>
      <c r="L11311" s="75" t="s">
        <v>68</v>
      </c>
      <c r="M11311" s="75" t="s">
        <v>70</v>
      </c>
    </row>
    <row r="11312" ht="46.25" customHeight="1" spans="3:13">
      <c r="C11312" s="569" t="s">
        <v>2891</v>
      </c>
      <c r="D11312" s="570" t="s">
        <v>6050</v>
      </c>
      <c r="E11312" s="569" t="s">
        <v>139</v>
      </c>
      <c r="F11312" s="569" t="s">
        <v>6051</v>
      </c>
      <c r="G11312" s="569" t="s">
        <v>5464</v>
      </c>
      <c r="H11312" s="569"/>
      <c r="I11312" s="577" t="s">
        <v>2897</v>
      </c>
      <c r="J11312" s="578">
        <v>1</v>
      </c>
      <c r="K11312" s="579"/>
      <c r="L11312" s="579">
        <v>60.04</v>
      </c>
      <c r="M11312" s="579">
        <v>60.04</v>
      </c>
    </row>
    <row r="11313" ht="23.85" customHeight="1" spans="3:13">
      <c r="C11313" s="100" t="s">
        <v>2893</v>
      </c>
      <c r="D11313" s="99" t="s">
        <v>6052</v>
      </c>
      <c r="E11313" s="100" t="s">
        <v>139</v>
      </c>
      <c r="F11313" s="100" t="s">
        <v>6053</v>
      </c>
      <c r="G11313" s="100" t="s">
        <v>3680</v>
      </c>
      <c r="H11313" s="100"/>
      <c r="I11313" s="101" t="s">
        <v>134</v>
      </c>
      <c r="J11313" s="580">
        <v>5.56e-5</v>
      </c>
      <c r="K11313" s="580">
        <v>0</v>
      </c>
      <c r="L11313" s="102">
        <v>1079918</v>
      </c>
      <c r="M11313" s="102">
        <v>60.04</v>
      </c>
    </row>
    <row r="11314" ht="25.5" spans="3:13">
      <c r="C11314" s="108"/>
      <c r="D11314" s="108"/>
      <c r="E11314" s="108"/>
      <c r="F11314" s="108"/>
      <c r="G11314" s="108"/>
      <c r="H11314" s="108" t="s">
        <v>2898</v>
      </c>
      <c r="I11314" s="581">
        <v>0</v>
      </c>
      <c r="J11314" s="108" t="s">
        <v>2899</v>
      </c>
      <c r="K11314" s="581">
        <v>0</v>
      </c>
      <c r="L11314" s="108" t="s">
        <v>2900</v>
      </c>
      <c r="M11314" s="581">
        <v>0</v>
      </c>
    </row>
    <row r="11315" ht="26.25" spans="3:13">
      <c r="C11315" s="108"/>
      <c r="D11315" s="108"/>
      <c r="E11315" s="108"/>
      <c r="F11315" s="108"/>
      <c r="G11315" s="108"/>
      <c r="H11315" s="108" t="s">
        <v>2901</v>
      </c>
      <c r="I11315" s="581">
        <v>15.3</v>
      </c>
      <c r="J11315" s="114"/>
      <c r="K11315" s="114" t="s">
        <v>2902</v>
      </c>
      <c r="L11315" s="108"/>
      <c r="M11315" s="581">
        <v>75.34</v>
      </c>
    </row>
    <row r="11316" ht="15" spans="3:13">
      <c r="C11316" s="571"/>
      <c r="D11316" s="571"/>
      <c r="E11316" s="571"/>
      <c r="F11316" s="571"/>
      <c r="G11316" s="571"/>
      <c r="H11316" s="571"/>
      <c r="I11316" s="571"/>
      <c r="J11316" s="571"/>
      <c r="K11316" s="571"/>
      <c r="L11316" s="571"/>
      <c r="M11316" s="571"/>
    </row>
    <row r="11317" ht="15" customHeight="1" spans="3:13">
      <c r="C11317" s="76"/>
      <c r="D11317" s="75" t="s">
        <v>63</v>
      </c>
      <c r="E11317" s="76" t="s">
        <v>64</v>
      </c>
      <c r="F11317" s="76" t="s">
        <v>65</v>
      </c>
      <c r="G11317" s="76" t="s">
        <v>2889</v>
      </c>
      <c r="H11317" s="76"/>
      <c r="I11317" s="77" t="s">
        <v>66</v>
      </c>
      <c r="J11317" s="75" t="s">
        <v>67</v>
      </c>
      <c r="K11317" s="75" t="s">
        <v>2890</v>
      </c>
      <c r="L11317" s="75" t="s">
        <v>68</v>
      </c>
      <c r="M11317" s="75" t="s">
        <v>70</v>
      </c>
    </row>
    <row r="11318" ht="46.25" customHeight="1" spans="3:13">
      <c r="C11318" s="569" t="s">
        <v>2891</v>
      </c>
      <c r="D11318" s="570" t="s">
        <v>6048</v>
      </c>
      <c r="E11318" s="569" t="s">
        <v>139</v>
      </c>
      <c r="F11318" s="569" t="s">
        <v>6049</v>
      </c>
      <c r="G11318" s="569" t="s">
        <v>5464</v>
      </c>
      <c r="H11318" s="569"/>
      <c r="I11318" s="577" t="s">
        <v>2897</v>
      </c>
      <c r="J11318" s="578">
        <v>1</v>
      </c>
      <c r="K11318" s="579"/>
      <c r="L11318" s="579">
        <v>62.64</v>
      </c>
      <c r="M11318" s="579">
        <v>62.64</v>
      </c>
    </row>
    <row r="11319" ht="15" customHeight="1" spans="3:13">
      <c r="C11319" s="100" t="s">
        <v>2893</v>
      </c>
      <c r="D11319" s="99" t="s">
        <v>5547</v>
      </c>
      <c r="E11319" s="100" t="s">
        <v>139</v>
      </c>
      <c r="F11319" s="100" t="s">
        <v>5548</v>
      </c>
      <c r="G11319" s="100" t="s">
        <v>2961</v>
      </c>
      <c r="H11319" s="100"/>
      <c r="I11319" s="101" t="s">
        <v>3084</v>
      </c>
      <c r="J11319" s="580">
        <v>10.44</v>
      </c>
      <c r="K11319" s="580">
        <v>0</v>
      </c>
      <c r="L11319" s="102">
        <v>6</v>
      </c>
      <c r="M11319" s="102">
        <v>62.64</v>
      </c>
    </row>
    <row r="11320" ht="25.5" spans="3:13">
      <c r="C11320" s="108"/>
      <c r="D11320" s="108"/>
      <c r="E11320" s="108"/>
      <c r="F11320" s="108"/>
      <c r="G11320" s="108"/>
      <c r="H11320" s="108" t="s">
        <v>2898</v>
      </c>
      <c r="I11320" s="581">
        <v>0</v>
      </c>
      <c r="J11320" s="108" t="s">
        <v>2899</v>
      </c>
      <c r="K11320" s="581">
        <v>0</v>
      </c>
      <c r="L11320" s="108" t="s">
        <v>2900</v>
      </c>
      <c r="M11320" s="581">
        <v>0</v>
      </c>
    </row>
    <row r="11321" ht="26.25" spans="3:13">
      <c r="C11321" s="108"/>
      <c r="D11321" s="108"/>
      <c r="E11321" s="108"/>
      <c r="F11321" s="108"/>
      <c r="G11321" s="108"/>
      <c r="H11321" s="108" t="s">
        <v>2901</v>
      </c>
      <c r="I11321" s="581">
        <v>15.96</v>
      </c>
      <c r="J11321" s="114"/>
      <c r="K11321" s="114" t="s">
        <v>2902</v>
      </c>
      <c r="L11321" s="108"/>
      <c r="M11321" s="581">
        <v>78.6</v>
      </c>
    </row>
    <row r="11322" ht="15" spans="3:13">
      <c r="C11322" s="571"/>
      <c r="D11322" s="571"/>
      <c r="E11322" s="571"/>
      <c r="F11322" s="571"/>
      <c r="G11322" s="571"/>
      <c r="H11322" s="571"/>
      <c r="I11322" s="571"/>
      <c r="J11322" s="571"/>
      <c r="K11322" s="571"/>
      <c r="L11322" s="571"/>
      <c r="M11322" s="571"/>
    </row>
    <row r="11323" ht="15" customHeight="1" spans="3:13">
      <c r="C11323" s="76"/>
      <c r="D11323" s="75" t="s">
        <v>63</v>
      </c>
      <c r="E11323" s="76" t="s">
        <v>64</v>
      </c>
      <c r="F11323" s="76" t="s">
        <v>65</v>
      </c>
      <c r="G11323" s="76" t="s">
        <v>2889</v>
      </c>
      <c r="H11323" s="76"/>
      <c r="I11323" s="77" t="s">
        <v>66</v>
      </c>
      <c r="J11323" s="75" t="s">
        <v>67</v>
      </c>
      <c r="K11323" s="75" t="s">
        <v>2890</v>
      </c>
      <c r="L11323" s="75" t="s">
        <v>68</v>
      </c>
      <c r="M11323" s="75" t="s">
        <v>70</v>
      </c>
    </row>
    <row r="11324" ht="23.85" customHeight="1" spans="3:13">
      <c r="C11324" s="569" t="s">
        <v>2891</v>
      </c>
      <c r="D11324" s="570" t="s">
        <v>6042</v>
      </c>
      <c r="E11324" s="569" t="s">
        <v>139</v>
      </c>
      <c r="F11324" s="569" t="s">
        <v>6043</v>
      </c>
      <c r="G11324" s="569" t="s">
        <v>2928</v>
      </c>
      <c r="H11324" s="569"/>
      <c r="I11324" s="577" t="s">
        <v>2897</v>
      </c>
      <c r="J11324" s="578">
        <v>1</v>
      </c>
      <c r="K11324" s="579"/>
      <c r="L11324" s="579">
        <v>39.88</v>
      </c>
      <c r="M11324" s="579">
        <v>39.88</v>
      </c>
    </row>
    <row r="11325" ht="23.85" customHeight="1" spans="3:13">
      <c r="C11325" s="79" t="s">
        <v>2921</v>
      </c>
      <c r="D11325" s="78" t="s">
        <v>5764</v>
      </c>
      <c r="E11325" s="79" t="s">
        <v>139</v>
      </c>
      <c r="F11325" s="79" t="s">
        <v>5765</v>
      </c>
      <c r="G11325" s="79" t="s">
        <v>2928</v>
      </c>
      <c r="H11325" s="79"/>
      <c r="I11325" s="80" t="s">
        <v>2897</v>
      </c>
      <c r="J11325" s="583">
        <v>1</v>
      </c>
      <c r="K11325" s="583">
        <v>0</v>
      </c>
      <c r="L11325" s="92">
        <v>0.35</v>
      </c>
      <c r="M11325" s="92">
        <v>0.35</v>
      </c>
    </row>
    <row r="11326" ht="23.85" customHeight="1" spans="3:13">
      <c r="C11326" s="100" t="s">
        <v>2893</v>
      </c>
      <c r="D11326" s="99" t="s">
        <v>5390</v>
      </c>
      <c r="E11326" s="100" t="s">
        <v>139</v>
      </c>
      <c r="F11326" s="100" t="s">
        <v>5391</v>
      </c>
      <c r="G11326" s="100" t="s">
        <v>2961</v>
      </c>
      <c r="H11326" s="100"/>
      <c r="I11326" s="101" t="s">
        <v>2897</v>
      </c>
      <c r="J11326" s="580">
        <v>1</v>
      </c>
      <c r="K11326" s="580">
        <v>0</v>
      </c>
      <c r="L11326" s="102">
        <v>0.01</v>
      </c>
      <c r="M11326" s="102">
        <v>0.01</v>
      </c>
    </row>
    <row r="11327" ht="23.85" customHeight="1" spans="3:13">
      <c r="C11327" s="100" t="s">
        <v>2893</v>
      </c>
      <c r="D11327" s="99" t="s">
        <v>5722</v>
      </c>
      <c r="E11327" s="100" t="s">
        <v>139</v>
      </c>
      <c r="F11327" s="100" t="s">
        <v>5723</v>
      </c>
      <c r="G11327" s="100" t="s">
        <v>2896</v>
      </c>
      <c r="H11327" s="100"/>
      <c r="I11327" s="101" t="s">
        <v>2897</v>
      </c>
      <c r="J11327" s="580">
        <v>1</v>
      </c>
      <c r="K11327" s="580">
        <v>0</v>
      </c>
      <c r="L11327" s="102">
        <v>30.7</v>
      </c>
      <c r="M11327" s="102">
        <v>30.7</v>
      </c>
    </row>
    <row r="11328" ht="23.85" customHeight="1" spans="3:13">
      <c r="C11328" s="100" t="s">
        <v>2893</v>
      </c>
      <c r="D11328" s="99" t="s">
        <v>5308</v>
      </c>
      <c r="E11328" s="100" t="s">
        <v>139</v>
      </c>
      <c r="F11328" s="100" t="s">
        <v>5309</v>
      </c>
      <c r="G11328" s="100" t="s">
        <v>2961</v>
      </c>
      <c r="H11328" s="100"/>
      <c r="I11328" s="101" t="s">
        <v>2897</v>
      </c>
      <c r="J11328" s="580">
        <v>1</v>
      </c>
      <c r="K11328" s="580">
        <v>0</v>
      </c>
      <c r="L11328" s="102">
        <v>4.84</v>
      </c>
      <c r="M11328" s="102">
        <v>4.84</v>
      </c>
    </row>
    <row r="11329" ht="15" customHeight="1" spans="3:13">
      <c r="C11329" s="100" t="s">
        <v>2893</v>
      </c>
      <c r="D11329" s="99" t="s">
        <v>5306</v>
      </c>
      <c r="E11329" s="100" t="s">
        <v>139</v>
      </c>
      <c r="F11329" s="100" t="s">
        <v>5307</v>
      </c>
      <c r="G11329" s="100" t="s">
        <v>2961</v>
      </c>
      <c r="H11329" s="100"/>
      <c r="I11329" s="101" t="s">
        <v>2897</v>
      </c>
      <c r="J11329" s="580">
        <v>1</v>
      </c>
      <c r="K11329" s="580">
        <v>0</v>
      </c>
      <c r="L11329" s="102">
        <v>1.43</v>
      </c>
      <c r="M11329" s="102">
        <v>1.43</v>
      </c>
    </row>
    <row r="11330" ht="23.85" customHeight="1" spans="3:13">
      <c r="C11330" s="100" t="s">
        <v>2893</v>
      </c>
      <c r="D11330" s="99" t="s">
        <v>5386</v>
      </c>
      <c r="E11330" s="100" t="s">
        <v>139</v>
      </c>
      <c r="F11330" s="100" t="s">
        <v>5387</v>
      </c>
      <c r="G11330" s="100" t="s">
        <v>2961</v>
      </c>
      <c r="H11330" s="100"/>
      <c r="I11330" s="101" t="s">
        <v>2897</v>
      </c>
      <c r="J11330" s="580">
        <v>1</v>
      </c>
      <c r="K11330" s="580">
        <v>0</v>
      </c>
      <c r="L11330" s="102">
        <v>0.89</v>
      </c>
      <c r="M11330" s="102">
        <v>0.89</v>
      </c>
    </row>
    <row r="11331" ht="15" customHeight="1" spans="3:13">
      <c r="C11331" s="100" t="s">
        <v>2893</v>
      </c>
      <c r="D11331" s="99" t="s">
        <v>5312</v>
      </c>
      <c r="E11331" s="100" t="s">
        <v>139</v>
      </c>
      <c r="F11331" s="100" t="s">
        <v>5313</v>
      </c>
      <c r="G11331" s="100" t="s">
        <v>2961</v>
      </c>
      <c r="H11331" s="100"/>
      <c r="I11331" s="101" t="s">
        <v>2897</v>
      </c>
      <c r="J11331" s="580">
        <v>1</v>
      </c>
      <c r="K11331" s="580">
        <v>0</v>
      </c>
      <c r="L11331" s="102">
        <v>0.08</v>
      </c>
      <c r="M11331" s="102">
        <v>0.08</v>
      </c>
    </row>
    <row r="11332" ht="23.85" customHeight="1" spans="3:13">
      <c r="C11332" s="100" t="s">
        <v>2893</v>
      </c>
      <c r="D11332" s="99" t="s">
        <v>5310</v>
      </c>
      <c r="E11332" s="100" t="s">
        <v>139</v>
      </c>
      <c r="F11332" s="100" t="s">
        <v>5311</v>
      </c>
      <c r="G11332" s="100" t="s">
        <v>2961</v>
      </c>
      <c r="H11332" s="100"/>
      <c r="I11332" s="101" t="s">
        <v>2897</v>
      </c>
      <c r="J11332" s="580">
        <v>1</v>
      </c>
      <c r="K11332" s="580">
        <v>0</v>
      </c>
      <c r="L11332" s="102">
        <v>1.58</v>
      </c>
      <c r="M11332" s="102">
        <v>1.58</v>
      </c>
    </row>
    <row r="11333" ht="25.5" spans="3:13">
      <c r="C11333" s="108"/>
      <c r="D11333" s="108"/>
      <c r="E11333" s="108"/>
      <c r="F11333" s="108"/>
      <c r="G11333" s="108"/>
      <c r="H11333" s="108" t="s">
        <v>2898</v>
      </c>
      <c r="I11333" s="581">
        <v>31.05</v>
      </c>
      <c r="J11333" s="108" t="s">
        <v>2899</v>
      </c>
      <c r="K11333" s="581">
        <v>0</v>
      </c>
      <c r="L11333" s="108" t="s">
        <v>2900</v>
      </c>
      <c r="M11333" s="581">
        <v>31.05</v>
      </c>
    </row>
    <row r="11334" ht="26.25" spans="3:13">
      <c r="C11334" s="108"/>
      <c r="D11334" s="108"/>
      <c r="E11334" s="108"/>
      <c r="F11334" s="108"/>
      <c r="G11334" s="108"/>
      <c r="H11334" s="108" t="s">
        <v>2901</v>
      </c>
      <c r="I11334" s="581">
        <v>10.16</v>
      </c>
      <c r="J11334" s="114"/>
      <c r="K11334" s="114" t="s">
        <v>2902</v>
      </c>
      <c r="L11334" s="108"/>
      <c r="M11334" s="581">
        <v>50.04</v>
      </c>
    </row>
    <row r="11335" ht="15" spans="3:13">
      <c r="C11335" s="571"/>
      <c r="D11335" s="571"/>
      <c r="E11335" s="571"/>
      <c r="F11335" s="571"/>
      <c r="G11335" s="571"/>
      <c r="H11335" s="571"/>
      <c r="I11335" s="571"/>
      <c r="J11335" s="571"/>
      <c r="K11335" s="571"/>
      <c r="L11335" s="571"/>
      <c r="M11335" s="571"/>
    </row>
    <row r="11336" ht="15" customHeight="1" spans="3:13">
      <c r="C11336" s="76"/>
      <c r="D11336" s="75" t="s">
        <v>63</v>
      </c>
      <c r="E11336" s="76" t="s">
        <v>64</v>
      </c>
      <c r="F11336" s="76" t="s">
        <v>65</v>
      </c>
      <c r="G11336" s="76" t="s">
        <v>2889</v>
      </c>
      <c r="H11336" s="76"/>
      <c r="I11336" s="77" t="s">
        <v>66</v>
      </c>
      <c r="J11336" s="75" t="s">
        <v>67</v>
      </c>
      <c r="K11336" s="75" t="s">
        <v>2890</v>
      </c>
      <c r="L11336" s="75" t="s">
        <v>68</v>
      </c>
      <c r="M11336" s="75" t="s">
        <v>70</v>
      </c>
    </row>
    <row r="11337" ht="35.05" customHeight="1" spans="3:13">
      <c r="C11337" s="569" t="s">
        <v>2891</v>
      </c>
      <c r="D11337" s="570" t="s">
        <v>4927</v>
      </c>
      <c r="E11337" s="569" t="s">
        <v>132</v>
      </c>
      <c r="F11337" s="569" t="s">
        <v>4928</v>
      </c>
      <c r="G11337" s="569" t="s">
        <v>3129</v>
      </c>
      <c r="H11337" s="569"/>
      <c r="I11337" s="577" t="s">
        <v>204</v>
      </c>
      <c r="J11337" s="578">
        <v>1</v>
      </c>
      <c r="K11337" s="579"/>
      <c r="L11337" s="579">
        <v>128.09</v>
      </c>
      <c r="M11337" s="579">
        <v>128.09</v>
      </c>
    </row>
    <row r="11338" ht="23.85" customHeight="1" spans="3:13">
      <c r="C11338" s="79" t="s">
        <v>2921</v>
      </c>
      <c r="D11338" s="78" t="s">
        <v>3144</v>
      </c>
      <c r="E11338" s="79" t="s">
        <v>139</v>
      </c>
      <c r="F11338" s="79" t="s">
        <v>3145</v>
      </c>
      <c r="G11338" s="79" t="s">
        <v>2928</v>
      </c>
      <c r="H11338" s="79"/>
      <c r="I11338" s="80" t="s">
        <v>2897</v>
      </c>
      <c r="J11338" s="583">
        <v>0.075</v>
      </c>
      <c r="K11338" s="583">
        <v>0</v>
      </c>
      <c r="L11338" s="92">
        <v>35.55</v>
      </c>
      <c r="M11338" s="92">
        <v>2.66</v>
      </c>
    </row>
    <row r="11339" ht="23.85" customHeight="1" spans="3:13">
      <c r="C11339" s="79" t="s">
        <v>2921</v>
      </c>
      <c r="D11339" s="78" t="s">
        <v>3146</v>
      </c>
      <c r="E11339" s="79" t="s">
        <v>139</v>
      </c>
      <c r="F11339" s="79" t="s">
        <v>3147</v>
      </c>
      <c r="G11339" s="79" t="s">
        <v>2928</v>
      </c>
      <c r="H11339" s="79"/>
      <c r="I11339" s="80" t="s">
        <v>2897</v>
      </c>
      <c r="J11339" s="583">
        <v>0.075</v>
      </c>
      <c r="K11339" s="583">
        <v>0</v>
      </c>
      <c r="L11339" s="92">
        <v>29.54</v>
      </c>
      <c r="M11339" s="92">
        <v>2.21</v>
      </c>
    </row>
    <row r="11340" ht="46.25" customHeight="1" spans="3:13">
      <c r="C11340" s="100" t="s">
        <v>2893</v>
      </c>
      <c r="D11340" s="99" t="s">
        <v>6054</v>
      </c>
      <c r="E11340" s="100" t="s">
        <v>139</v>
      </c>
      <c r="F11340" s="100" t="s">
        <v>6055</v>
      </c>
      <c r="G11340" s="100" t="s">
        <v>2961</v>
      </c>
      <c r="H11340" s="100"/>
      <c r="I11340" s="101" t="s">
        <v>204</v>
      </c>
      <c r="J11340" s="580">
        <v>1.0211</v>
      </c>
      <c r="K11340" s="580">
        <v>0</v>
      </c>
      <c r="L11340" s="102">
        <v>67.2</v>
      </c>
      <c r="M11340" s="102">
        <v>68.61</v>
      </c>
    </row>
    <row r="11341" ht="23.85" customHeight="1" spans="3:13">
      <c r="C11341" s="100" t="s">
        <v>2893</v>
      </c>
      <c r="D11341" s="99" t="s">
        <v>6056</v>
      </c>
      <c r="E11341" s="100" t="s">
        <v>139</v>
      </c>
      <c r="F11341" s="100" t="s">
        <v>6057</v>
      </c>
      <c r="G11341" s="100" t="s">
        <v>2961</v>
      </c>
      <c r="H11341" s="100"/>
      <c r="I11341" s="101" t="s">
        <v>204</v>
      </c>
      <c r="J11341" s="580">
        <v>1.0211</v>
      </c>
      <c r="K11341" s="580">
        <v>0</v>
      </c>
      <c r="L11341" s="102">
        <v>53.49</v>
      </c>
      <c r="M11341" s="102">
        <v>54.61</v>
      </c>
    </row>
    <row r="11342" ht="25.5" spans="3:13">
      <c r="C11342" s="108"/>
      <c r="D11342" s="108"/>
      <c r="E11342" s="108"/>
      <c r="F11342" s="108"/>
      <c r="G11342" s="108"/>
      <c r="H11342" s="108" t="s">
        <v>2898</v>
      </c>
      <c r="I11342" s="581">
        <v>3.47</v>
      </c>
      <c r="J11342" s="108" t="s">
        <v>2899</v>
      </c>
      <c r="K11342" s="581">
        <v>0</v>
      </c>
      <c r="L11342" s="108" t="s">
        <v>2900</v>
      </c>
      <c r="M11342" s="581">
        <v>3.47</v>
      </c>
    </row>
    <row r="11343" ht="26.25" spans="3:13">
      <c r="C11343" s="108"/>
      <c r="D11343" s="108"/>
      <c r="E11343" s="108"/>
      <c r="F11343" s="108"/>
      <c r="G11343" s="108"/>
      <c r="H11343" s="108" t="s">
        <v>2901</v>
      </c>
      <c r="I11343" s="581">
        <v>32.65</v>
      </c>
      <c r="J11343" s="114"/>
      <c r="K11343" s="114" t="s">
        <v>2902</v>
      </c>
      <c r="L11343" s="108"/>
      <c r="M11343" s="581">
        <v>160.74</v>
      </c>
    </row>
    <row r="11344" ht="15" spans="3:13">
      <c r="C11344" s="571"/>
      <c r="D11344" s="571"/>
      <c r="E11344" s="571"/>
      <c r="F11344" s="571"/>
      <c r="G11344" s="571"/>
      <c r="H11344" s="571"/>
      <c r="I11344" s="571"/>
      <c r="J11344" s="571"/>
      <c r="K11344" s="571"/>
      <c r="L11344" s="571"/>
      <c r="M11344" s="571"/>
    </row>
    <row r="11345" ht="15" customHeight="1" spans="3:13">
      <c r="C11345" s="76"/>
      <c r="D11345" s="75" t="s">
        <v>63</v>
      </c>
      <c r="E11345" s="76" t="s">
        <v>64</v>
      </c>
      <c r="F11345" s="76" t="s">
        <v>65</v>
      </c>
      <c r="G11345" s="76" t="s">
        <v>2889</v>
      </c>
      <c r="H11345" s="76"/>
      <c r="I11345" s="77" t="s">
        <v>66</v>
      </c>
      <c r="J11345" s="75" t="s">
        <v>67</v>
      </c>
      <c r="K11345" s="75" t="s">
        <v>2890</v>
      </c>
      <c r="L11345" s="75" t="s">
        <v>68</v>
      </c>
      <c r="M11345" s="75" t="s">
        <v>70</v>
      </c>
    </row>
    <row r="11346" ht="35.05" customHeight="1" spans="3:13">
      <c r="C11346" s="569" t="s">
        <v>2891</v>
      </c>
      <c r="D11346" s="570" t="s">
        <v>4925</v>
      </c>
      <c r="E11346" s="569" t="s">
        <v>132</v>
      </c>
      <c r="F11346" s="569" t="s">
        <v>4926</v>
      </c>
      <c r="G11346" s="569" t="s">
        <v>3129</v>
      </c>
      <c r="H11346" s="569"/>
      <c r="I11346" s="577" t="s">
        <v>204</v>
      </c>
      <c r="J11346" s="578">
        <v>1</v>
      </c>
      <c r="K11346" s="579"/>
      <c r="L11346" s="579">
        <v>128.09</v>
      </c>
      <c r="M11346" s="579">
        <v>128.09</v>
      </c>
    </row>
    <row r="11347" ht="23.85" customHeight="1" spans="3:13">
      <c r="C11347" s="79" t="s">
        <v>2921</v>
      </c>
      <c r="D11347" s="78" t="s">
        <v>3146</v>
      </c>
      <c r="E11347" s="79" t="s">
        <v>139</v>
      </c>
      <c r="F11347" s="79" t="s">
        <v>3147</v>
      </c>
      <c r="G11347" s="79" t="s">
        <v>2928</v>
      </c>
      <c r="H11347" s="79"/>
      <c r="I11347" s="80" t="s">
        <v>2897</v>
      </c>
      <c r="J11347" s="583">
        <v>0.075</v>
      </c>
      <c r="K11347" s="583">
        <v>0</v>
      </c>
      <c r="L11347" s="92">
        <v>29.54</v>
      </c>
      <c r="M11347" s="92">
        <v>2.21</v>
      </c>
    </row>
    <row r="11348" ht="23.85" customHeight="1" spans="3:13">
      <c r="C11348" s="79" t="s">
        <v>2921</v>
      </c>
      <c r="D11348" s="78" t="s">
        <v>3144</v>
      </c>
      <c r="E11348" s="79" t="s">
        <v>139</v>
      </c>
      <c r="F11348" s="79" t="s">
        <v>3145</v>
      </c>
      <c r="G11348" s="79" t="s">
        <v>2928</v>
      </c>
      <c r="H11348" s="79"/>
      <c r="I11348" s="80" t="s">
        <v>2897</v>
      </c>
      <c r="J11348" s="583">
        <v>0.075</v>
      </c>
      <c r="K11348" s="583">
        <v>0</v>
      </c>
      <c r="L11348" s="92">
        <v>35.55</v>
      </c>
      <c r="M11348" s="92">
        <v>2.66</v>
      </c>
    </row>
    <row r="11349" ht="23.85" customHeight="1" spans="3:13">
      <c r="C11349" s="100" t="s">
        <v>2893</v>
      </c>
      <c r="D11349" s="99" t="s">
        <v>6056</v>
      </c>
      <c r="E11349" s="100" t="s">
        <v>139</v>
      </c>
      <c r="F11349" s="100" t="s">
        <v>6057</v>
      </c>
      <c r="G11349" s="100" t="s">
        <v>2961</v>
      </c>
      <c r="H11349" s="100"/>
      <c r="I11349" s="101" t="s">
        <v>204</v>
      </c>
      <c r="J11349" s="580">
        <v>1.0211</v>
      </c>
      <c r="K11349" s="580">
        <v>0</v>
      </c>
      <c r="L11349" s="102">
        <v>53.49</v>
      </c>
      <c r="M11349" s="102">
        <v>54.61</v>
      </c>
    </row>
    <row r="11350" ht="46.25" customHeight="1" spans="3:13">
      <c r="C11350" s="100" t="s">
        <v>2893</v>
      </c>
      <c r="D11350" s="99" t="s">
        <v>6054</v>
      </c>
      <c r="E11350" s="100" t="s">
        <v>139</v>
      </c>
      <c r="F11350" s="100" t="s">
        <v>6055</v>
      </c>
      <c r="G11350" s="100" t="s">
        <v>2961</v>
      </c>
      <c r="H11350" s="100"/>
      <c r="I11350" s="101" t="s">
        <v>204</v>
      </c>
      <c r="J11350" s="580">
        <v>1.0211</v>
      </c>
      <c r="K11350" s="580">
        <v>0</v>
      </c>
      <c r="L11350" s="102">
        <v>67.2</v>
      </c>
      <c r="M11350" s="102">
        <v>68.61</v>
      </c>
    </row>
    <row r="11351" ht="25.5" spans="3:13">
      <c r="C11351" s="108"/>
      <c r="D11351" s="108"/>
      <c r="E11351" s="108"/>
      <c r="F11351" s="108"/>
      <c r="G11351" s="108"/>
      <c r="H11351" s="108" t="s">
        <v>2898</v>
      </c>
      <c r="I11351" s="581">
        <v>3.47</v>
      </c>
      <c r="J11351" s="108" t="s">
        <v>2899</v>
      </c>
      <c r="K11351" s="581">
        <v>0</v>
      </c>
      <c r="L11351" s="108" t="s">
        <v>2900</v>
      </c>
      <c r="M11351" s="581">
        <v>3.47</v>
      </c>
    </row>
    <row r="11352" ht="26.25" spans="3:13">
      <c r="C11352" s="108"/>
      <c r="D11352" s="108"/>
      <c r="E11352" s="108"/>
      <c r="F11352" s="108"/>
      <c r="G11352" s="108"/>
      <c r="H11352" s="108" t="s">
        <v>2901</v>
      </c>
      <c r="I11352" s="581">
        <v>32.65</v>
      </c>
      <c r="J11352" s="114"/>
      <c r="K11352" s="114" t="s">
        <v>2902</v>
      </c>
      <c r="L11352" s="108"/>
      <c r="M11352" s="581">
        <v>160.74</v>
      </c>
    </row>
    <row r="11353" ht="15" spans="3:13">
      <c r="C11353" s="571"/>
      <c r="D11353" s="571"/>
      <c r="E11353" s="571"/>
      <c r="F11353" s="571"/>
      <c r="G11353" s="571"/>
      <c r="H11353" s="571"/>
      <c r="I11353" s="571"/>
      <c r="J11353" s="571"/>
      <c r="K11353" s="571"/>
      <c r="L11353" s="571"/>
      <c r="M11353" s="571"/>
    </row>
    <row r="11354" ht="15" customHeight="1" spans="3:13">
      <c r="C11354" s="76"/>
      <c r="D11354" s="75" t="s">
        <v>63</v>
      </c>
      <c r="E11354" s="76" t="s">
        <v>64</v>
      </c>
      <c r="F11354" s="76" t="s">
        <v>65</v>
      </c>
      <c r="G11354" s="76" t="s">
        <v>2889</v>
      </c>
      <c r="H11354" s="76"/>
      <c r="I11354" s="77" t="s">
        <v>66</v>
      </c>
      <c r="J11354" s="75" t="s">
        <v>67</v>
      </c>
      <c r="K11354" s="75" t="s">
        <v>2890</v>
      </c>
      <c r="L11354" s="75" t="s">
        <v>68</v>
      </c>
      <c r="M11354" s="75" t="s">
        <v>70</v>
      </c>
    </row>
    <row r="11355" ht="35.05" customHeight="1" spans="3:13">
      <c r="C11355" s="569" t="s">
        <v>2891</v>
      </c>
      <c r="D11355" s="570" t="s">
        <v>4918</v>
      </c>
      <c r="E11355" s="569" t="s">
        <v>139</v>
      </c>
      <c r="F11355" s="569" t="s">
        <v>4919</v>
      </c>
      <c r="G11355" s="569" t="s">
        <v>3129</v>
      </c>
      <c r="H11355" s="569"/>
      <c r="I11355" s="577" t="s">
        <v>204</v>
      </c>
      <c r="J11355" s="578">
        <v>1</v>
      </c>
      <c r="K11355" s="579"/>
      <c r="L11355" s="579">
        <v>60.46</v>
      </c>
      <c r="M11355" s="579">
        <v>60.46</v>
      </c>
    </row>
    <row r="11356" ht="23.85" customHeight="1" spans="3:13">
      <c r="C11356" s="79" t="s">
        <v>2921</v>
      </c>
      <c r="D11356" s="78" t="s">
        <v>4215</v>
      </c>
      <c r="E11356" s="79" t="s">
        <v>139</v>
      </c>
      <c r="F11356" s="79" t="s">
        <v>4216</v>
      </c>
      <c r="G11356" s="79" t="s">
        <v>2928</v>
      </c>
      <c r="H11356" s="79"/>
      <c r="I11356" s="80" t="s">
        <v>2897</v>
      </c>
      <c r="J11356" s="583">
        <v>0.062728</v>
      </c>
      <c r="K11356" s="583">
        <v>0</v>
      </c>
      <c r="L11356" s="92">
        <v>33.34</v>
      </c>
      <c r="M11356" s="92">
        <v>2.09</v>
      </c>
    </row>
    <row r="11357" ht="23.85" customHeight="1" spans="3:13">
      <c r="C11357" s="79" t="s">
        <v>2921</v>
      </c>
      <c r="D11357" s="78" t="s">
        <v>3487</v>
      </c>
      <c r="E11357" s="79" t="s">
        <v>139</v>
      </c>
      <c r="F11357" s="79" t="s">
        <v>3488</v>
      </c>
      <c r="G11357" s="79" t="s">
        <v>2928</v>
      </c>
      <c r="H11357" s="79"/>
      <c r="I11357" s="80" t="s">
        <v>2897</v>
      </c>
      <c r="J11357" s="583">
        <v>0.062728</v>
      </c>
      <c r="K11357" s="583">
        <v>0</v>
      </c>
      <c r="L11357" s="92">
        <v>30.31</v>
      </c>
      <c r="M11357" s="92">
        <v>1.9</v>
      </c>
    </row>
    <row r="11358" ht="23.85" customHeight="1" spans="3:13">
      <c r="C11358" s="100" t="s">
        <v>2893</v>
      </c>
      <c r="D11358" s="99" t="s">
        <v>6058</v>
      </c>
      <c r="E11358" s="100" t="s">
        <v>139</v>
      </c>
      <c r="F11358" s="100" t="s">
        <v>6059</v>
      </c>
      <c r="G11358" s="100" t="s">
        <v>2961</v>
      </c>
      <c r="H11358" s="100"/>
      <c r="I11358" s="101" t="s">
        <v>204</v>
      </c>
      <c r="J11358" s="580">
        <v>1.022727</v>
      </c>
      <c r="K11358" s="580">
        <v>0</v>
      </c>
      <c r="L11358" s="102">
        <v>43</v>
      </c>
      <c r="M11358" s="102">
        <v>43.97</v>
      </c>
    </row>
    <row r="11359" ht="46.25" customHeight="1" spans="3:13">
      <c r="C11359" s="100" t="s">
        <v>2893</v>
      </c>
      <c r="D11359" s="99" t="s">
        <v>6060</v>
      </c>
      <c r="E11359" s="100" t="s">
        <v>139</v>
      </c>
      <c r="F11359" s="100" t="s">
        <v>6061</v>
      </c>
      <c r="G11359" s="100" t="s">
        <v>2961</v>
      </c>
      <c r="H11359" s="100"/>
      <c r="I11359" s="101" t="s">
        <v>204</v>
      </c>
      <c r="J11359" s="580">
        <v>1.022727</v>
      </c>
      <c r="K11359" s="580">
        <v>0</v>
      </c>
      <c r="L11359" s="102">
        <v>12.23</v>
      </c>
      <c r="M11359" s="102">
        <v>12.5</v>
      </c>
    </row>
    <row r="11360" ht="25.5" spans="3:13">
      <c r="C11360" s="108"/>
      <c r="D11360" s="108"/>
      <c r="E11360" s="108"/>
      <c r="F11360" s="108"/>
      <c r="G11360" s="108"/>
      <c r="H11360" s="108" t="s">
        <v>2898</v>
      </c>
      <c r="I11360" s="581">
        <v>2.73</v>
      </c>
      <c r="J11360" s="108" t="s">
        <v>2899</v>
      </c>
      <c r="K11360" s="581">
        <v>0</v>
      </c>
      <c r="L11360" s="108" t="s">
        <v>2900</v>
      </c>
      <c r="M11360" s="581">
        <v>2.73</v>
      </c>
    </row>
    <row r="11361" ht="26.25" spans="3:13">
      <c r="C11361" s="108"/>
      <c r="D11361" s="108"/>
      <c r="E11361" s="108"/>
      <c r="F11361" s="108"/>
      <c r="G11361" s="108"/>
      <c r="H11361" s="108" t="s">
        <v>2901</v>
      </c>
      <c r="I11361" s="581">
        <v>15.41</v>
      </c>
      <c r="J11361" s="114"/>
      <c r="K11361" s="114" t="s">
        <v>2902</v>
      </c>
      <c r="L11361" s="108"/>
      <c r="M11361" s="581">
        <v>75.87</v>
      </c>
    </row>
    <row r="11362" ht="15" spans="3:13">
      <c r="C11362" s="571"/>
      <c r="D11362" s="571"/>
      <c r="E11362" s="571"/>
      <c r="F11362" s="571"/>
      <c r="G11362" s="571"/>
      <c r="H11362" s="571"/>
      <c r="I11362" s="571"/>
      <c r="J11362" s="571"/>
      <c r="K11362" s="571"/>
      <c r="L11362" s="571"/>
      <c r="M11362" s="571"/>
    </row>
    <row r="11363" ht="15" customHeight="1" spans="3:13">
      <c r="C11363" s="76"/>
      <c r="D11363" s="75" t="s">
        <v>63</v>
      </c>
      <c r="E11363" s="76" t="s">
        <v>64</v>
      </c>
      <c r="F11363" s="76" t="s">
        <v>65</v>
      </c>
      <c r="G11363" s="76" t="s">
        <v>2889</v>
      </c>
      <c r="H11363" s="76"/>
      <c r="I11363" s="77" t="s">
        <v>66</v>
      </c>
      <c r="J11363" s="75" t="s">
        <v>67</v>
      </c>
      <c r="K11363" s="75" t="s">
        <v>2890</v>
      </c>
      <c r="L11363" s="75" t="s">
        <v>68</v>
      </c>
      <c r="M11363" s="75" t="s">
        <v>70</v>
      </c>
    </row>
    <row r="11364" ht="35.05" customHeight="1" spans="3:13">
      <c r="C11364" s="569" t="s">
        <v>2891</v>
      </c>
      <c r="D11364" s="570" t="s">
        <v>4912</v>
      </c>
      <c r="E11364" s="569" t="s">
        <v>139</v>
      </c>
      <c r="F11364" s="569" t="s">
        <v>4913</v>
      </c>
      <c r="G11364" s="569" t="s">
        <v>3129</v>
      </c>
      <c r="H11364" s="569"/>
      <c r="I11364" s="577" t="s">
        <v>204</v>
      </c>
      <c r="J11364" s="578">
        <v>1</v>
      </c>
      <c r="K11364" s="579"/>
      <c r="L11364" s="579">
        <v>28.41</v>
      </c>
      <c r="M11364" s="579">
        <v>28.41</v>
      </c>
    </row>
    <row r="11365" ht="23.85" customHeight="1" spans="3:13">
      <c r="C11365" s="79" t="s">
        <v>2921</v>
      </c>
      <c r="D11365" s="78" t="s">
        <v>3487</v>
      </c>
      <c r="E11365" s="79" t="s">
        <v>139</v>
      </c>
      <c r="F11365" s="79" t="s">
        <v>3488</v>
      </c>
      <c r="G11365" s="79" t="s">
        <v>2928</v>
      </c>
      <c r="H11365" s="79"/>
      <c r="I11365" s="80" t="s">
        <v>2897</v>
      </c>
      <c r="J11365" s="583">
        <v>0.044526</v>
      </c>
      <c r="K11365" s="583">
        <v>0</v>
      </c>
      <c r="L11365" s="92">
        <v>30.31</v>
      </c>
      <c r="M11365" s="92">
        <v>1.34</v>
      </c>
    </row>
    <row r="11366" ht="23.85" customHeight="1" spans="3:13">
      <c r="C11366" s="79" t="s">
        <v>2921</v>
      </c>
      <c r="D11366" s="78" t="s">
        <v>4215</v>
      </c>
      <c r="E11366" s="79" t="s">
        <v>139</v>
      </c>
      <c r="F11366" s="79" t="s">
        <v>4216</v>
      </c>
      <c r="G11366" s="79" t="s">
        <v>2928</v>
      </c>
      <c r="H11366" s="79"/>
      <c r="I11366" s="80" t="s">
        <v>2897</v>
      </c>
      <c r="J11366" s="583">
        <v>0.044526</v>
      </c>
      <c r="K11366" s="583">
        <v>0</v>
      </c>
      <c r="L11366" s="92">
        <v>33.34</v>
      </c>
      <c r="M11366" s="92">
        <v>1.48</v>
      </c>
    </row>
    <row r="11367" ht="23.85" customHeight="1" spans="3:13">
      <c r="C11367" s="100" t="s">
        <v>2893</v>
      </c>
      <c r="D11367" s="99" t="s">
        <v>6062</v>
      </c>
      <c r="E11367" s="100" t="s">
        <v>139</v>
      </c>
      <c r="F11367" s="100" t="s">
        <v>6063</v>
      </c>
      <c r="G11367" s="100" t="s">
        <v>2961</v>
      </c>
      <c r="H11367" s="100"/>
      <c r="I11367" s="101" t="s">
        <v>204</v>
      </c>
      <c r="J11367" s="580">
        <v>1.022727</v>
      </c>
      <c r="K11367" s="580">
        <v>0</v>
      </c>
      <c r="L11367" s="102">
        <v>20.61</v>
      </c>
      <c r="M11367" s="102">
        <v>21.07</v>
      </c>
    </row>
    <row r="11368" ht="46.25" customHeight="1" spans="3:13">
      <c r="C11368" s="100" t="s">
        <v>2893</v>
      </c>
      <c r="D11368" s="99" t="s">
        <v>6064</v>
      </c>
      <c r="E11368" s="100" t="s">
        <v>139</v>
      </c>
      <c r="F11368" s="100" t="s">
        <v>6065</v>
      </c>
      <c r="G11368" s="100" t="s">
        <v>2961</v>
      </c>
      <c r="H11368" s="100"/>
      <c r="I11368" s="101" t="s">
        <v>204</v>
      </c>
      <c r="J11368" s="580">
        <v>1.022727</v>
      </c>
      <c r="K11368" s="580">
        <v>0</v>
      </c>
      <c r="L11368" s="102">
        <v>4.42</v>
      </c>
      <c r="M11368" s="102">
        <v>4.52</v>
      </c>
    </row>
    <row r="11369" ht="25.5" spans="3:13">
      <c r="C11369" s="108"/>
      <c r="D11369" s="108"/>
      <c r="E11369" s="108"/>
      <c r="F11369" s="108"/>
      <c r="G11369" s="108"/>
      <c r="H11369" s="108" t="s">
        <v>2898</v>
      </c>
      <c r="I11369" s="581">
        <v>1.93</v>
      </c>
      <c r="J11369" s="108" t="s">
        <v>2899</v>
      </c>
      <c r="K11369" s="581">
        <v>0</v>
      </c>
      <c r="L11369" s="108" t="s">
        <v>2900</v>
      </c>
      <c r="M11369" s="581">
        <v>1.93</v>
      </c>
    </row>
    <row r="11370" ht="26.25" spans="3:13">
      <c r="C11370" s="108"/>
      <c r="D11370" s="108"/>
      <c r="E11370" s="108"/>
      <c r="F11370" s="108"/>
      <c r="G11370" s="108"/>
      <c r="H11370" s="108" t="s">
        <v>2901</v>
      </c>
      <c r="I11370" s="581">
        <v>7.24</v>
      </c>
      <c r="J11370" s="114"/>
      <c r="K11370" s="114" t="s">
        <v>2902</v>
      </c>
      <c r="L11370" s="108"/>
      <c r="M11370" s="581">
        <v>35.65</v>
      </c>
    </row>
    <row r="11371" ht="15" spans="3:13">
      <c r="C11371" s="571"/>
      <c r="D11371" s="571"/>
      <c r="E11371" s="571"/>
      <c r="F11371" s="571"/>
      <c r="G11371" s="571"/>
      <c r="H11371" s="571"/>
      <c r="I11371" s="571"/>
      <c r="J11371" s="571"/>
      <c r="K11371" s="571"/>
      <c r="L11371" s="571"/>
      <c r="M11371" s="571"/>
    </row>
    <row r="11372" ht="15" customHeight="1" spans="3:13">
      <c r="C11372" s="76"/>
      <c r="D11372" s="75" t="s">
        <v>63</v>
      </c>
      <c r="E11372" s="76" t="s">
        <v>64</v>
      </c>
      <c r="F11372" s="76" t="s">
        <v>65</v>
      </c>
      <c r="G11372" s="76" t="s">
        <v>2889</v>
      </c>
      <c r="H11372" s="76"/>
      <c r="I11372" s="77" t="s">
        <v>66</v>
      </c>
      <c r="J11372" s="75" t="s">
        <v>67</v>
      </c>
      <c r="K11372" s="75" t="s">
        <v>2890</v>
      </c>
      <c r="L11372" s="75" t="s">
        <v>68</v>
      </c>
      <c r="M11372" s="75" t="s">
        <v>70</v>
      </c>
    </row>
    <row r="11373" ht="35.05" customHeight="1" spans="3:13">
      <c r="C11373" s="569" t="s">
        <v>2891</v>
      </c>
      <c r="D11373" s="570" t="s">
        <v>4915</v>
      </c>
      <c r="E11373" s="569" t="s">
        <v>139</v>
      </c>
      <c r="F11373" s="569" t="s">
        <v>4916</v>
      </c>
      <c r="G11373" s="569" t="s">
        <v>3129</v>
      </c>
      <c r="H11373" s="569"/>
      <c r="I11373" s="577" t="s">
        <v>204</v>
      </c>
      <c r="J11373" s="578">
        <v>1</v>
      </c>
      <c r="K11373" s="579"/>
      <c r="L11373" s="579">
        <v>47.2</v>
      </c>
      <c r="M11373" s="579">
        <v>47.2</v>
      </c>
    </row>
    <row r="11374" ht="23.85" customHeight="1" spans="3:13">
      <c r="C11374" s="79" t="s">
        <v>2921</v>
      </c>
      <c r="D11374" s="78" t="s">
        <v>4215</v>
      </c>
      <c r="E11374" s="79" t="s">
        <v>139</v>
      </c>
      <c r="F11374" s="79" t="s">
        <v>4216</v>
      </c>
      <c r="G11374" s="79" t="s">
        <v>2928</v>
      </c>
      <c r="H11374" s="79"/>
      <c r="I11374" s="80" t="s">
        <v>2897</v>
      </c>
      <c r="J11374" s="583">
        <v>0.053612</v>
      </c>
      <c r="K11374" s="583">
        <v>0</v>
      </c>
      <c r="L11374" s="92">
        <v>33.34</v>
      </c>
      <c r="M11374" s="92">
        <v>1.78</v>
      </c>
    </row>
    <row r="11375" ht="23.85" customHeight="1" spans="3:13">
      <c r="C11375" s="79" t="s">
        <v>2921</v>
      </c>
      <c r="D11375" s="78" t="s">
        <v>3487</v>
      </c>
      <c r="E11375" s="79" t="s">
        <v>139</v>
      </c>
      <c r="F11375" s="79" t="s">
        <v>3488</v>
      </c>
      <c r="G11375" s="79" t="s">
        <v>2928</v>
      </c>
      <c r="H11375" s="79"/>
      <c r="I11375" s="80" t="s">
        <v>2897</v>
      </c>
      <c r="J11375" s="583">
        <v>0.053612</v>
      </c>
      <c r="K11375" s="583">
        <v>0</v>
      </c>
      <c r="L11375" s="92">
        <v>30.31</v>
      </c>
      <c r="M11375" s="92">
        <v>1.62</v>
      </c>
    </row>
    <row r="11376" ht="23.85" customHeight="1" spans="3:13">
      <c r="C11376" s="100" t="s">
        <v>2893</v>
      </c>
      <c r="D11376" s="99" t="s">
        <v>6066</v>
      </c>
      <c r="E11376" s="100" t="s">
        <v>139</v>
      </c>
      <c r="F11376" s="100" t="s">
        <v>6067</v>
      </c>
      <c r="G11376" s="100" t="s">
        <v>2961</v>
      </c>
      <c r="H11376" s="100"/>
      <c r="I11376" s="101" t="s">
        <v>204</v>
      </c>
      <c r="J11376" s="580">
        <v>1.022727</v>
      </c>
      <c r="K11376" s="580">
        <v>0</v>
      </c>
      <c r="L11376" s="102">
        <v>31.7</v>
      </c>
      <c r="M11376" s="102">
        <v>32.42</v>
      </c>
    </row>
    <row r="11377" ht="46.25" customHeight="1" spans="3:13">
      <c r="C11377" s="100" t="s">
        <v>2893</v>
      </c>
      <c r="D11377" s="99" t="s">
        <v>6068</v>
      </c>
      <c r="E11377" s="100" t="s">
        <v>139</v>
      </c>
      <c r="F11377" s="100" t="s">
        <v>6069</v>
      </c>
      <c r="G11377" s="100" t="s">
        <v>2961</v>
      </c>
      <c r="H11377" s="100"/>
      <c r="I11377" s="101" t="s">
        <v>204</v>
      </c>
      <c r="J11377" s="580">
        <v>1.022727</v>
      </c>
      <c r="K11377" s="580">
        <v>0</v>
      </c>
      <c r="L11377" s="102">
        <v>11.13</v>
      </c>
      <c r="M11377" s="102">
        <v>11.38</v>
      </c>
    </row>
    <row r="11378" ht="25.5" spans="3:13">
      <c r="C11378" s="108"/>
      <c r="D11378" s="108"/>
      <c r="E11378" s="108"/>
      <c r="F11378" s="108"/>
      <c r="G11378" s="108"/>
      <c r="H11378" s="108" t="s">
        <v>2898</v>
      </c>
      <c r="I11378" s="581">
        <v>2.33</v>
      </c>
      <c r="J11378" s="108" t="s">
        <v>2899</v>
      </c>
      <c r="K11378" s="581">
        <v>0</v>
      </c>
      <c r="L11378" s="108" t="s">
        <v>2900</v>
      </c>
      <c r="M11378" s="581">
        <v>2.33</v>
      </c>
    </row>
    <row r="11379" ht="26.25" spans="3:13">
      <c r="C11379" s="108"/>
      <c r="D11379" s="108"/>
      <c r="E11379" s="108"/>
      <c r="F11379" s="108"/>
      <c r="G11379" s="108"/>
      <c r="H11379" s="108" t="s">
        <v>2901</v>
      </c>
      <c r="I11379" s="581">
        <v>12.03</v>
      </c>
      <c r="J11379" s="114"/>
      <c r="K11379" s="114" t="s">
        <v>2902</v>
      </c>
      <c r="L11379" s="108"/>
      <c r="M11379" s="581">
        <v>59.23</v>
      </c>
    </row>
    <row r="11380" ht="15" spans="3:13">
      <c r="C11380" s="571"/>
      <c r="D11380" s="571"/>
      <c r="E11380" s="571"/>
      <c r="F11380" s="571"/>
      <c r="G11380" s="571"/>
      <c r="H11380" s="571"/>
      <c r="I11380" s="571"/>
      <c r="J11380" s="571"/>
      <c r="K11380" s="571"/>
      <c r="L11380" s="571"/>
      <c r="M11380" s="571"/>
    </row>
    <row r="11381" ht="15" customHeight="1" spans="3:13">
      <c r="C11381" s="76"/>
      <c r="D11381" s="75" t="s">
        <v>63</v>
      </c>
      <c r="E11381" s="76" t="s">
        <v>64</v>
      </c>
      <c r="F11381" s="76" t="s">
        <v>65</v>
      </c>
      <c r="G11381" s="76" t="s">
        <v>2889</v>
      </c>
      <c r="H11381" s="76"/>
      <c r="I11381" s="77" t="s">
        <v>66</v>
      </c>
      <c r="J11381" s="75" t="s">
        <v>67</v>
      </c>
      <c r="K11381" s="75" t="s">
        <v>2890</v>
      </c>
      <c r="L11381" s="75" t="s">
        <v>68</v>
      </c>
      <c r="M11381" s="75" t="s">
        <v>70</v>
      </c>
    </row>
    <row r="11382" ht="35.05" customHeight="1" spans="3:13">
      <c r="C11382" s="569" t="s">
        <v>2891</v>
      </c>
      <c r="D11382" s="570" t="s">
        <v>4921</v>
      </c>
      <c r="E11382" s="569" t="s">
        <v>139</v>
      </c>
      <c r="F11382" s="569" t="s">
        <v>4922</v>
      </c>
      <c r="G11382" s="569" t="s">
        <v>3129</v>
      </c>
      <c r="H11382" s="569"/>
      <c r="I11382" s="577" t="s">
        <v>204</v>
      </c>
      <c r="J11382" s="578">
        <v>1</v>
      </c>
      <c r="K11382" s="579"/>
      <c r="L11382" s="579">
        <v>74.21</v>
      </c>
      <c r="M11382" s="579">
        <v>74.21</v>
      </c>
    </row>
    <row r="11383" ht="23.85" customHeight="1" spans="3:13">
      <c r="C11383" s="79" t="s">
        <v>2921</v>
      </c>
      <c r="D11383" s="78" t="s">
        <v>3487</v>
      </c>
      <c r="E11383" s="79" t="s">
        <v>139</v>
      </c>
      <c r="F11383" s="79" t="s">
        <v>3488</v>
      </c>
      <c r="G11383" s="79" t="s">
        <v>2928</v>
      </c>
      <c r="H11383" s="79"/>
      <c r="I11383" s="80" t="s">
        <v>2897</v>
      </c>
      <c r="J11383" s="583">
        <v>0.071814</v>
      </c>
      <c r="K11383" s="583">
        <v>0</v>
      </c>
      <c r="L11383" s="92">
        <v>30.31</v>
      </c>
      <c r="M11383" s="92">
        <v>2.17</v>
      </c>
    </row>
    <row r="11384" ht="23.85" customHeight="1" spans="3:13">
      <c r="C11384" s="79" t="s">
        <v>2921</v>
      </c>
      <c r="D11384" s="78" t="s">
        <v>4215</v>
      </c>
      <c r="E11384" s="79" t="s">
        <v>139</v>
      </c>
      <c r="F11384" s="79" t="s">
        <v>4216</v>
      </c>
      <c r="G11384" s="79" t="s">
        <v>2928</v>
      </c>
      <c r="H11384" s="79"/>
      <c r="I11384" s="80" t="s">
        <v>2897</v>
      </c>
      <c r="J11384" s="583">
        <v>0.071814</v>
      </c>
      <c r="K11384" s="583">
        <v>0</v>
      </c>
      <c r="L11384" s="92">
        <v>33.34</v>
      </c>
      <c r="M11384" s="92">
        <v>2.39</v>
      </c>
    </row>
    <row r="11385" ht="23.85" customHeight="1" spans="3:13">
      <c r="C11385" s="100" t="s">
        <v>2893</v>
      </c>
      <c r="D11385" s="99" t="s">
        <v>6056</v>
      </c>
      <c r="E11385" s="100" t="s">
        <v>139</v>
      </c>
      <c r="F11385" s="100" t="s">
        <v>6057</v>
      </c>
      <c r="G11385" s="100" t="s">
        <v>2961</v>
      </c>
      <c r="H11385" s="100"/>
      <c r="I11385" s="101" t="s">
        <v>204</v>
      </c>
      <c r="J11385" s="580">
        <v>1.022727</v>
      </c>
      <c r="K11385" s="580">
        <v>0</v>
      </c>
      <c r="L11385" s="102">
        <v>53.49</v>
      </c>
      <c r="M11385" s="102">
        <v>54.7</v>
      </c>
    </row>
    <row r="11386" ht="46.25" customHeight="1" spans="3:13">
      <c r="C11386" s="100" t="s">
        <v>2893</v>
      </c>
      <c r="D11386" s="99" t="s">
        <v>6070</v>
      </c>
      <c r="E11386" s="100" t="s">
        <v>139</v>
      </c>
      <c r="F11386" s="100" t="s">
        <v>6071</v>
      </c>
      <c r="G11386" s="100" t="s">
        <v>2961</v>
      </c>
      <c r="H11386" s="100"/>
      <c r="I11386" s="101" t="s">
        <v>204</v>
      </c>
      <c r="J11386" s="580">
        <v>1.022727</v>
      </c>
      <c r="K11386" s="580">
        <v>0</v>
      </c>
      <c r="L11386" s="102">
        <v>14.62</v>
      </c>
      <c r="M11386" s="102">
        <v>14.95</v>
      </c>
    </row>
    <row r="11387" ht="25.5" spans="3:13">
      <c r="C11387" s="108"/>
      <c r="D11387" s="108"/>
      <c r="E11387" s="108"/>
      <c r="F11387" s="108"/>
      <c r="G11387" s="108"/>
      <c r="H11387" s="108" t="s">
        <v>2898</v>
      </c>
      <c r="I11387" s="581">
        <v>3.13</v>
      </c>
      <c r="J11387" s="108" t="s">
        <v>2899</v>
      </c>
      <c r="K11387" s="581">
        <v>0</v>
      </c>
      <c r="L11387" s="108" t="s">
        <v>2900</v>
      </c>
      <c r="M11387" s="581">
        <v>3.13</v>
      </c>
    </row>
    <row r="11388" ht="26.25" spans="3:13">
      <c r="C11388" s="108"/>
      <c r="D11388" s="108"/>
      <c r="E11388" s="108"/>
      <c r="F11388" s="108"/>
      <c r="G11388" s="108"/>
      <c r="H11388" s="108" t="s">
        <v>2901</v>
      </c>
      <c r="I11388" s="581">
        <v>18.91</v>
      </c>
      <c r="J11388" s="114"/>
      <c r="K11388" s="114" t="s">
        <v>2902</v>
      </c>
      <c r="L11388" s="108"/>
      <c r="M11388" s="581">
        <v>93.12</v>
      </c>
    </row>
    <row r="11389" ht="15" spans="3:13">
      <c r="C11389" s="571"/>
      <c r="D11389" s="571"/>
      <c r="E11389" s="571"/>
      <c r="F11389" s="571"/>
      <c r="G11389" s="571"/>
      <c r="H11389" s="571"/>
      <c r="I11389" s="571"/>
      <c r="J11389" s="571"/>
      <c r="K11389" s="571"/>
      <c r="L11389" s="571"/>
      <c r="M11389" s="571"/>
    </row>
    <row r="11390" ht="15" customHeight="1" spans="3:13">
      <c r="C11390" s="76"/>
      <c r="D11390" s="75" t="s">
        <v>63</v>
      </c>
      <c r="E11390" s="76" t="s">
        <v>64</v>
      </c>
      <c r="F11390" s="76" t="s">
        <v>65</v>
      </c>
      <c r="G11390" s="76" t="s">
        <v>2889</v>
      </c>
      <c r="H11390" s="76"/>
      <c r="I11390" s="77" t="s">
        <v>66</v>
      </c>
      <c r="J11390" s="75" t="s">
        <v>67</v>
      </c>
      <c r="K11390" s="75" t="s">
        <v>2890</v>
      </c>
      <c r="L11390" s="75" t="s">
        <v>68</v>
      </c>
      <c r="M11390" s="75" t="s">
        <v>70</v>
      </c>
    </row>
    <row r="11391" ht="35.05" customHeight="1" spans="3:13">
      <c r="C11391" s="569" t="s">
        <v>2891</v>
      </c>
      <c r="D11391" s="570" t="s">
        <v>4923</v>
      </c>
      <c r="E11391" s="569" t="s">
        <v>132</v>
      </c>
      <c r="F11391" s="569" t="s">
        <v>4924</v>
      </c>
      <c r="G11391" s="569" t="s">
        <v>3129</v>
      </c>
      <c r="H11391" s="569"/>
      <c r="I11391" s="577" t="s">
        <v>204</v>
      </c>
      <c r="J11391" s="578">
        <v>1</v>
      </c>
      <c r="K11391" s="579"/>
      <c r="L11391" s="579">
        <v>109.06</v>
      </c>
      <c r="M11391" s="579">
        <v>109.06</v>
      </c>
    </row>
    <row r="11392" ht="23.85" customHeight="1" spans="3:13">
      <c r="C11392" s="79" t="s">
        <v>2921</v>
      </c>
      <c r="D11392" s="78" t="s">
        <v>3146</v>
      </c>
      <c r="E11392" s="79" t="s">
        <v>139</v>
      </c>
      <c r="F11392" s="79" t="s">
        <v>3147</v>
      </c>
      <c r="G11392" s="79" t="s">
        <v>2928</v>
      </c>
      <c r="H11392" s="79"/>
      <c r="I11392" s="80" t="s">
        <v>2897</v>
      </c>
      <c r="J11392" s="583">
        <v>0.075</v>
      </c>
      <c r="K11392" s="583">
        <v>0</v>
      </c>
      <c r="L11392" s="92">
        <v>29.54</v>
      </c>
      <c r="M11392" s="92">
        <v>2.21</v>
      </c>
    </row>
    <row r="11393" ht="23.85" customHeight="1" spans="3:13">
      <c r="C11393" s="79" t="s">
        <v>2921</v>
      </c>
      <c r="D11393" s="78" t="s">
        <v>3144</v>
      </c>
      <c r="E11393" s="79" t="s">
        <v>139</v>
      </c>
      <c r="F11393" s="79" t="s">
        <v>3145</v>
      </c>
      <c r="G11393" s="79" t="s">
        <v>2928</v>
      </c>
      <c r="H11393" s="79"/>
      <c r="I11393" s="80" t="s">
        <v>2897</v>
      </c>
      <c r="J11393" s="583">
        <v>0.075</v>
      </c>
      <c r="K11393" s="583">
        <v>0</v>
      </c>
      <c r="L11393" s="92">
        <v>35.55</v>
      </c>
      <c r="M11393" s="92">
        <v>2.66</v>
      </c>
    </row>
    <row r="11394" ht="46.25" customHeight="1" spans="3:13">
      <c r="C11394" s="100" t="s">
        <v>2893</v>
      </c>
      <c r="D11394" s="99" t="s">
        <v>6072</v>
      </c>
      <c r="E11394" s="100" t="s">
        <v>139</v>
      </c>
      <c r="F11394" s="100" t="s">
        <v>6073</v>
      </c>
      <c r="G11394" s="100" t="s">
        <v>2961</v>
      </c>
      <c r="H11394" s="100"/>
      <c r="I11394" s="101" t="s">
        <v>204</v>
      </c>
      <c r="J11394" s="580">
        <v>1.0211</v>
      </c>
      <c r="K11394" s="580">
        <v>0</v>
      </c>
      <c r="L11394" s="102">
        <v>48.56</v>
      </c>
      <c r="M11394" s="102">
        <v>49.58</v>
      </c>
    </row>
    <row r="11395" ht="23.85" customHeight="1" spans="3:13">
      <c r="C11395" s="100" t="s">
        <v>2893</v>
      </c>
      <c r="D11395" s="99" t="s">
        <v>6056</v>
      </c>
      <c r="E11395" s="100" t="s">
        <v>139</v>
      </c>
      <c r="F11395" s="100" t="s">
        <v>6057</v>
      </c>
      <c r="G11395" s="100" t="s">
        <v>2961</v>
      </c>
      <c r="H11395" s="100"/>
      <c r="I11395" s="101" t="s">
        <v>204</v>
      </c>
      <c r="J11395" s="580">
        <v>1.0211</v>
      </c>
      <c r="K11395" s="580">
        <v>0</v>
      </c>
      <c r="L11395" s="102">
        <v>53.49</v>
      </c>
      <c r="M11395" s="102">
        <v>54.61</v>
      </c>
    </row>
    <row r="11396" ht="25.5" spans="3:13">
      <c r="C11396" s="108"/>
      <c r="D11396" s="108"/>
      <c r="E11396" s="108"/>
      <c r="F11396" s="108"/>
      <c r="G11396" s="108"/>
      <c r="H11396" s="108" t="s">
        <v>2898</v>
      </c>
      <c r="I11396" s="581">
        <v>3.47</v>
      </c>
      <c r="J11396" s="108" t="s">
        <v>2899</v>
      </c>
      <c r="K11396" s="581">
        <v>0</v>
      </c>
      <c r="L11396" s="108" t="s">
        <v>2900</v>
      </c>
      <c r="M11396" s="581">
        <v>3.47</v>
      </c>
    </row>
    <row r="11397" ht="26.25" spans="3:13">
      <c r="C11397" s="108"/>
      <c r="D11397" s="108"/>
      <c r="E11397" s="108"/>
      <c r="F11397" s="108"/>
      <c r="G11397" s="108"/>
      <c r="H11397" s="108" t="s">
        <v>2901</v>
      </c>
      <c r="I11397" s="581">
        <v>27.79</v>
      </c>
      <c r="J11397" s="114"/>
      <c r="K11397" s="114" t="s">
        <v>2902</v>
      </c>
      <c r="L11397" s="108"/>
      <c r="M11397" s="581">
        <v>136.85</v>
      </c>
    </row>
    <row r="11398" ht="15" spans="3:13">
      <c r="C11398" s="571"/>
      <c r="D11398" s="571"/>
      <c r="E11398" s="571"/>
      <c r="F11398" s="571"/>
      <c r="G11398" s="571"/>
      <c r="H11398" s="571"/>
      <c r="I11398" s="571"/>
      <c r="J11398" s="571"/>
      <c r="K11398" s="571"/>
      <c r="L11398" s="571"/>
      <c r="M11398" s="571"/>
    </row>
    <row r="11399" ht="15" customHeight="1" spans="3:13">
      <c r="C11399" s="76"/>
      <c r="D11399" s="75" t="s">
        <v>63</v>
      </c>
      <c r="E11399" s="76" t="s">
        <v>64</v>
      </c>
      <c r="F11399" s="76" t="s">
        <v>65</v>
      </c>
      <c r="G11399" s="76" t="s">
        <v>2889</v>
      </c>
      <c r="H11399" s="76"/>
      <c r="I11399" s="77" t="s">
        <v>66</v>
      </c>
      <c r="J11399" s="75" t="s">
        <v>67</v>
      </c>
      <c r="K11399" s="75" t="s">
        <v>2890</v>
      </c>
      <c r="L11399" s="75" t="s">
        <v>68</v>
      </c>
      <c r="M11399" s="75" t="s">
        <v>70</v>
      </c>
    </row>
    <row r="11400" ht="23.85" customHeight="1" spans="3:13">
      <c r="C11400" s="569" t="s">
        <v>2891</v>
      </c>
      <c r="D11400" s="570" t="s">
        <v>3133</v>
      </c>
      <c r="E11400" s="569" t="s">
        <v>139</v>
      </c>
      <c r="F11400" s="569" t="s">
        <v>3134</v>
      </c>
      <c r="G11400" s="569" t="s">
        <v>3135</v>
      </c>
      <c r="H11400" s="569"/>
      <c r="I11400" s="577" t="s">
        <v>204</v>
      </c>
      <c r="J11400" s="578">
        <v>1</v>
      </c>
      <c r="K11400" s="579"/>
      <c r="L11400" s="579">
        <v>29.44</v>
      </c>
      <c r="M11400" s="579">
        <v>29.44</v>
      </c>
    </row>
    <row r="11401" ht="23.85" customHeight="1" spans="3:13">
      <c r="C11401" s="79" t="s">
        <v>2921</v>
      </c>
      <c r="D11401" s="78" t="s">
        <v>3144</v>
      </c>
      <c r="E11401" s="79" t="s">
        <v>139</v>
      </c>
      <c r="F11401" s="79" t="s">
        <v>3145</v>
      </c>
      <c r="G11401" s="79" t="s">
        <v>2928</v>
      </c>
      <c r="H11401" s="79"/>
      <c r="I11401" s="80" t="s">
        <v>2897</v>
      </c>
      <c r="J11401" s="583">
        <v>0.38</v>
      </c>
      <c r="K11401" s="583">
        <v>0</v>
      </c>
      <c r="L11401" s="92">
        <v>35.55</v>
      </c>
      <c r="M11401" s="92">
        <v>13.5</v>
      </c>
    </row>
    <row r="11402" ht="23.85" customHeight="1" spans="3:13">
      <c r="C11402" s="79" t="s">
        <v>2921</v>
      </c>
      <c r="D11402" s="78" t="s">
        <v>3146</v>
      </c>
      <c r="E11402" s="79" t="s">
        <v>139</v>
      </c>
      <c r="F11402" s="79" t="s">
        <v>3147</v>
      </c>
      <c r="G11402" s="79" t="s">
        <v>2928</v>
      </c>
      <c r="H11402" s="79"/>
      <c r="I11402" s="80" t="s">
        <v>2897</v>
      </c>
      <c r="J11402" s="583">
        <v>0.38</v>
      </c>
      <c r="K11402" s="583">
        <v>0</v>
      </c>
      <c r="L11402" s="92">
        <v>29.54</v>
      </c>
      <c r="M11402" s="92">
        <v>11.22</v>
      </c>
    </row>
    <row r="11403" ht="15" customHeight="1" spans="3:13">
      <c r="C11403" s="100" t="s">
        <v>2893</v>
      </c>
      <c r="D11403" s="99" t="s">
        <v>3609</v>
      </c>
      <c r="E11403" s="100" t="s">
        <v>139</v>
      </c>
      <c r="F11403" s="100" t="s">
        <v>3610</v>
      </c>
      <c r="G11403" s="100" t="s">
        <v>2961</v>
      </c>
      <c r="H11403" s="100"/>
      <c r="I11403" s="101" t="s">
        <v>134</v>
      </c>
      <c r="J11403" s="580">
        <v>0.0886</v>
      </c>
      <c r="K11403" s="580">
        <v>0</v>
      </c>
      <c r="L11403" s="102">
        <v>2.08</v>
      </c>
      <c r="M11403" s="102">
        <v>0.18</v>
      </c>
    </row>
    <row r="11404" ht="15" customHeight="1" spans="3:13">
      <c r="C11404" s="100" t="s">
        <v>2893</v>
      </c>
      <c r="D11404" s="99" t="s">
        <v>3611</v>
      </c>
      <c r="E11404" s="100" t="s">
        <v>139</v>
      </c>
      <c r="F11404" s="100" t="s">
        <v>3612</v>
      </c>
      <c r="G11404" s="100" t="s">
        <v>2961</v>
      </c>
      <c r="H11404" s="100"/>
      <c r="I11404" s="101" t="s">
        <v>204</v>
      </c>
      <c r="J11404" s="580">
        <v>1.0493</v>
      </c>
      <c r="K11404" s="580">
        <v>0</v>
      </c>
      <c r="L11404" s="102">
        <v>4.33</v>
      </c>
      <c r="M11404" s="102">
        <v>4.54</v>
      </c>
    </row>
    <row r="11405" ht="25.5" spans="3:13">
      <c r="C11405" s="108"/>
      <c r="D11405" s="108"/>
      <c r="E11405" s="108"/>
      <c r="F11405" s="108"/>
      <c r="G11405" s="108"/>
      <c r="H11405" s="108" t="s">
        <v>2898</v>
      </c>
      <c r="I11405" s="581">
        <v>17.6</v>
      </c>
      <c r="J11405" s="108" t="s">
        <v>2899</v>
      </c>
      <c r="K11405" s="581">
        <v>0</v>
      </c>
      <c r="L11405" s="108" t="s">
        <v>2900</v>
      </c>
      <c r="M11405" s="581">
        <v>17.6</v>
      </c>
    </row>
    <row r="11406" ht="26.25" spans="3:13">
      <c r="C11406" s="108"/>
      <c r="D11406" s="108"/>
      <c r="E11406" s="108"/>
      <c r="F11406" s="108"/>
      <c r="G11406" s="108"/>
      <c r="H11406" s="108" t="s">
        <v>2901</v>
      </c>
      <c r="I11406" s="581">
        <v>7.5</v>
      </c>
      <c r="J11406" s="114"/>
      <c r="K11406" s="114" t="s">
        <v>2902</v>
      </c>
      <c r="L11406" s="108"/>
      <c r="M11406" s="581">
        <v>36.94</v>
      </c>
    </row>
    <row r="11407" ht="15" spans="3:13">
      <c r="C11407" s="571"/>
      <c r="D11407" s="571"/>
      <c r="E11407" s="571"/>
      <c r="F11407" s="571"/>
      <c r="G11407" s="571"/>
      <c r="H11407" s="571"/>
      <c r="I11407" s="571"/>
      <c r="J11407" s="571"/>
      <c r="K11407" s="571"/>
      <c r="L11407" s="571"/>
      <c r="M11407" s="571"/>
    </row>
    <row r="11408" ht="15" customHeight="1" spans="3:13">
      <c r="C11408" s="76"/>
      <c r="D11408" s="75" t="s">
        <v>63</v>
      </c>
      <c r="E11408" s="76" t="s">
        <v>64</v>
      </c>
      <c r="F11408" s="76" t="s">
        <v>65</v>
      </c>
      <c r="G11408" s="76" t="s">
        <v>2889</v>
      </c>
      <c r="H11408" s="76"/>
      <c r="I11408" s="77" t="s">
        <v>66</v>
      </c>
      <c r="J11408" s="75" t="s">
        <v>67</v>
      </c>
      <c r="K11408" s="75" t="s">
        <v>2890</v>
      </c>
      <c r="L11408" s="75" t="s">
        <v>68</v>
      </c>
      <c r="M11408" s="75" t="s">
        <v>70</v>
      </c>
    </row>
    <row r="11409" ht="35.05" customHeight="1" spans="3:13">
      <c r="C11409" s="569" t="s">
        <v>2891</v>
      </c>
      <c r="D11409" s="570" t="s">
        <v>3204</v>
      </c>
      <c r="E11409" s="569" t="s">
        <v>139</v>
      </c>
      <c r="F11409" s="569" t="s">
        <v>3205</v>
      </c>
      <c r="G11409" s="569" t="s">
        <v>3201</v>
      </c>
      <c r="H11409" s="569"/>
      <c r="I11409" s="577" t="s">
        <v>204</v>
      </c>
      <c r="J11409" s="578">
        <v>1</v>
      </c>
      <c r="K11409" s="579"/>
      <c r="L11409" s="579">
        <v>7.55</v>
      </c>
      <c r="M11409" s="579">
        <v>7.55</v>
      </c>
    </row>
    <row r="11410" ht="23.85" customHeight="1" spans="3:13">
      <c r="C11410" s="79" t="s">
        <v>2921</v>
      </c>
      <c r="D11410" s="78" t="s">
        <v>3144</v>
      </c>
      <c r="E11410" s="79" t="s">
        <v>139</v>
      </c>
      <c r="F11410" s="79" t="s">
        <v>3145</v>
      </c>
      <c r="G11410" s="79" t="s">
        <v>2928</v>
      </c>
      <c r="H11410" s="79"/>
      <c r="I11410" s="80" t="s">
        <v>2897</v>
      </c>
      <c r="J11410" s="583">
        <v>0.0463</v>
      </c>
      <c r="K11410" s="583">
        <v>0</v>
      </c>
      <c r="L11410" s="92">
        <v>35.55</v>
      </c>
      <c r="M11410" s="92">
        <v>1.64</v>
      </c>
    </row>
    <row r="11411" ht="23.85" customHeight="1" spans="3:13">
      <c r="C11411" s="79" t="s">
        <v>2921</v>
      </c>
      <c r="D11411" s="78" t="s">
        <v>3146</v>
      </c>
      <c r="E11411" s="79" t="s">
        <v>139</v>
      </c>
      <c r="F11411" s="79" t="s">
        <v>3147</v>
      </c>
      <c r="G11411" s="79" t="s">
        <v>2928</v>
      </c>
      <c r="H11411" s="79"/>
      <c r="I11411" s="80" t="s">
        <v>2897</v>
      </c>
      <c r="J11411" s="583">
        <v>0.0463</v>
      </c>
      <c r="K11411" s="583">
        <v>0</v>
      </c>
      <c r="L11411" s="92">
        <v>29.54</v>
      </c>
      <c r="M11411" s="92">
        <v>1.36</v>
      </c>
    </row>
    <row r="11412" ht="15" customHeight="1" spans="3:13">
      <c r="C11412" s="100" t="s">
        <v>2893</v>
      </c>
      <c r="D11412" s="99" t="s">
        <v>3611</v>
      </c>
      <c r="E11412" s="100" t="s">
        <v>139</v>
      </c>
      <c r="F11412" s="100" t="s">
        <v>3612</v>
      </c>
      <c r="G11412" s="100" t="s">
        <v>2961</v>
      </c>
      <c r="H11412" s="100"/>
      <c r="I11412" s="101" t="s">
        <v>204</v>
      </c>
      <c r="J11412" s="580">
        <v>1.0493</v>
      </c>
      <c r="K11412" s="580">
        <v>0</v>
      </c>
      <c r="L11412" s="102">
        <v>4.33</v>
      </c>
      <c r="M11412" s="102">
        <v>4.54</v>
      </c>
    </row>
    <row r="11413" ht="15" customHeight="1" spans="3:13">
      <c r="C11413" s="100" t="s">
        <v>2893</v>
      </c>
      <c r="D11413" s="99" t="s">
        <v>3609</v>
      </c>
      <c r="E11413" s="100" t="s">
        <v>139</v>
      </c>
      <c r="F11413" s="100" t="s">
        <v>3610</v>
      </c>
      <c r="G11413" s="100" t="s">
        <v>2961</v>
      </c>
      <c r="H11413" s="100"/>
      <c r="I11413" s="101" t="s">
        <v>134</v>
      </c>
      <c r="J11413" s="580">
        <v>0.0051</v>
      </c>
      <c r="K11413" s="580">
        <v>0</v>
      </c>
      <c r="L11413" s="102">
        <v>2.08</v>
      </c>
      <c r="M11413" s="102">
        <v>0.01</v>
      </c>
    </row>
    <row r="11414" ht="25.5" spans="3:13">
      <c r="C11414" s="108"/>
      <c r="D11414" s="108"/>
      <c r="E11414" s="108"/>
      <c r="F11414" s="108"/>
      <c r="G11414" s="108"/>
      <c r="H11414" s="108" t="s">
        <v>2898</v>
      </c>
      <c r="I11414" s="581">
        <v>2.14</v>
      </c>
      <c r="J11414" s="108" t="s">
        <v>2899</v>
      </c>
      <c r="K11414" s="581">
        <v>0</v>
      </c>
      <c r="L11414" s="108" t="s">
        <v>2900</v>
      </c>
      <c r="M11414" s="581">
        <v>2.14</v>
      </c>
    </row>
    <row r="11415" ht="26.25" spans="3:13">
      <c r="C11415" s="108"/>
      <c r="D11415" s="108"/>
      <c r="E11415" s="108"/>
      <c r="F11415" s="108"/>
      <c r="G11415" s="108"/>
      <c r="H11415" s="108" t="s">
        <v>2901</v>
      </c>
      <c r="I11415" s="581">
        <v>1.92</v>
      </c>
      <c r="J11415" s="114"/>
      <c r="K11415" s="114" t="s">
        <v>2902</v>
      </c>
      <c r="L11415" s="108"/>
      <c r="M11415" s="581">
        <v>9.47</v>
      </c>
    </row>
    <row r="11416" ht="15" spans="3:13">
      <c r="C11416" s="571"/>
      <c r="D11416" s="571"/>
      <c r="E11416" s="571"/>
      <c r="F11416" s="571"/>
      <c r="G11416" s="571"/>
      <c r="H11416" s="571"/>
      <c r="I11416" s="571"/>
      <c r="J11416" s="571"/>
      <c r="K11416" s="571"/>
      <c r="L11416" s="571"/>
      <c r="M11416" s="571"/>
    </row>
    <row r="11417" ht="15" customHeight="1" spans="3:13">
      <c r="C11417" s="76"/>
      <c r="D11417" s="75" t="s">
        <v>63</v>
      </c>
      <c r="E11417" s="76" t="s">
        <v>64</v>
      </c>
      <c r="F11417" s="76" t="s">
        <v>65</v>
      </c>
      <c r="G11417" s="76" t="s">
        <v>2889</v>
      </c>
      <c r="H11417" s="76"/>
      <c r="I11417" s="77" t="s">
        <v>66</v>
      </c>
      <c r="J11417" s="75" t="s">
        <v>67</v>
      </c>
      <c r="K11417" s="75" t="s">
        <v>2890</v>
      </c>
      <c r="L11417" s="75" t="s">
        <v>68</v>
      </c>
      <c r="M11417" s="75" t="s">
        <v>70</v>
      </c>
    </row>
    <row r="11418" ht="23.85" customHeight="1" spans="3:13">
      <c r="C11418" s="569" t="s">
        <v>2891</v>
      </c>
      <c r="D11418" s="570" t="s">
        <v>2935</v>
      </c>
      <c r="E11418" s="569" t="s">
        <v>139</v>
      </c>
      <c r="F11418" s="569" t="s">
        <v>2936</v>
      </c>
      <c r="G11418" s="569" t="s">
        <v>2928</v>
      </c>
      <c r="H11418" s="569"/>
      <c r="I11418" s="577" t="s">
        <v>2925</v>
      </c>
      <c r="J11418" s="578">
        <v>1</v>
      </c>
      <c r="K11418" s="579"/>
      <c r="L11418" s="579">
        <v>7782.88</v>
      </c>
      <c r="M11418" s="579">
        <v>7782.88</v>
      </c>
    </row>
    <row r="11419" ht="23.85" customHeight="1" spans="3:13">
      <c r="C11419" s="79" t="s">
        <v>2921</v>
      </c>
      <c r="D11419" s="78" t="s">
        <v>5766</v>
      </c>
      <c r="E11419" s="79" t="s">
        <v>139</v>
      </c>
      <c r="F11419" s="79" t="s">
        <v>5767</v>
      </c>
      <c r="G11419" s="79" t="s">
        <v>2928</v>
      </c>
      <c r="H11419" s="79"/>
      <c r="I11419" s="80" t="s">
        <v>2925</v>
      </c>
      <c r="J11419" s="583">
        <v>1</v>
      </c>
      <c r="K11419" s="583">
        <v>0</v>
      </c>
      <c r="L11419" s="92">
        <v>97.95</v>
      </c>
      <c r="M11419" s="92">
        <v>97.95</v>
      </c>
    </row>
    <row r="11420" ht="23.85" customHeight="1" spans="3:13">
      <c r="C11420" s="100" t="s">
        <v>2893</v>
      </c>
      <c r="D11420" s="99" t="s">
        <v>5344</v>
      </c>
      <c r="E11420" s="100" t="s">
        <v>139</v>
      </c>
      <c r="F11420" s="100" t="s">
        <v>5345</v>
      </c>
      <c r="G11420" s="100" t="s">
        <v>2961</v>
      </c>
      <c r="H11420" s="100"/>
      <c r="I11420" s="101" t="s">
        <v>2925</v>
      </c>
      <c r="J11420" s="580">
        <v>1</v>
      </c>
      <c r="K11420" s="580">
        <v>0</v>
      </c>
      <c r="L11420" s="102">
        <v>11.14</v>
      </c>
      <c r="M11420" s="102">
        <v>11.14</v>
      </c>
    </row>
    <row r="11421" ht="23.85" customHeight="1" spans="3:13">
      <c r="C11421" s="100" t="s">
        <v>2893</v>
      </c>
      <c r="D11421" s="99" t="s">
        <v>5348</v>
      </c>
      <c r="E11421" s="100" t="s">
        <v>139</v>
      </c>
      <c r="F11421" s="100" t="s">
        <v>5349</v>
      </c>
      <c r="G11421" s="100" t="s">
        <v>2961</v>
      </c>
      <c r="H11421" s="100"/>
      <c r="I11421" s="101" t="s">
        <v>2925</v>
      </c>
      <c r="J11421" s="580">
        <v>1</v>
      </c>
      <c r="K11421" s="580">
        <v>0</v>
      </c>
      <c r="L11421" s="102">
        <v>15.46</v>
      </c>
      <c r="M11421" s="102">
        <v>15.46</v>
      </c>
    </row>
    <row r="11422" ht="15" customHeight="1" spans="3:13">
      <c r="C11422" s="100" t="s">
        <v>2893</v>
      </c>
      <c r="D11422" s="99" t="s">
        <v>5768</v>
      </c>
      <c r="E11422" s="100" t="s">
        <v>139</v>
      </c>
      <c r="F11422" s="100" t="s">
        <v>5769</v>
      </c>
      <c r="G11422" s="100" t="s">
        <v>2896</v>
      </c>
      <c r="H11422" s="100"/>
      <c r="I11422" s="101" t="s">
        <v>2925</v>
      </c>
      <c r="J11422" s="580">
        <v>1</v>
      </c>
      <c r="K11422" s="580">
        <v>0</v>
      </c>
      <c r="L11422" s="102">
        <v>7234.28</v>
      </c>
      <c r="M11422" s="102">
        <v>7234.28</v>
      </c>
    </row>
    <row r="11423" ht="23.85" customHeight="1" spans="3:13">
      <c r="C11423" s="100" t="s">
        <v>2893</v>
      </c>
      <c r="D11423" s="99" t="s">
        <v>5340</v>
      </c>
      <c r="E11423" s="100" t="s">
        <v>139</v>
      </c>
      <c r="F11423" s="100" t="s">
        <v>5341</v>
      </c>
      <c r="G11423" s="100" t="s">
        <v>2961</v>
      </c>
      <c r="H11423" s="100"/>
      <c r="I11423" s="101" t="s">
        <v>2925</v>
      </c>
      <c r="J11423" s="580">
        <v>1</v>
      </c>
      <c r="K11423" s="580">
        <v>0</v>
      </c>
      <c r="L11423" s="102">
        <v>270.51</v>
      </c>
      <c r="M11423" s="102">
        <v>270.51</v>
      </c>
    </row>
    <row r="11424" ht="23.85" customHeight="1" spans="3:13">
      <c r="C11424" s="100" t="s">
        <v>2893</v>
      </c>
      <c r="D11424" s="99" t="s">
        <v>5346</v>
      </c>
      <c r="E11424" s="100" t="s">
        <v>139</v>
      </c>
      <c r="F11424" s="100" t="s">
        <v>5347</v>
      </c>
      <c r="G11424" s="100" t="s">
        <v>2961</v>
      </c>
      <c r="H11424" s="100"/>
      <c r="I11424" s="101" t="s">
        <v>2925</v>
      </c>
      <c r="J11424" s="580">
        <v>1</v>
      </c>
      <c r="K11424" s="580">
        <v>0</v>
      </c>
      <c r="L11424" s="102">
        <v>153.54</v>
      </c>
      <c r="M11424" s="102">
        <v>153.54</v>
      </c>
    </row>
    <row r="11425" ht="25.5" spans="3:13">
      <c r="C11425" s="108"/>
      <c r="D11425" s="108"/>
      <c r="E11425" s="108"/>
      <c r="F11425" s="108"/>
      <c r="G11425" s="108"/>
      <c r="H11425" s="108" t="s">
        <v>2898</v>
      </c>
      <c r="I11425" s="581">
        <v>7332.23</v>
      </c>
      <c r="J11425" s="108" t="s">
        <v>2899</v>
      </c>
      <c r="K11425" s="581">
        <v>0</v>
      </c>
      <c r="L11425" s="108" t="s">
        <v>2900</v>
      </c>
      <c r="M11425" s="581">
        <v>7332.23</v>
      </c>
    </row>
    <row r="11426" ht="26.25" spans="3:13">
      <c r="C11426" s="108"/>
      <c r="D11426" s="108"/>
      <c r="E11426" s="108"/>
      <c r="F11426" s="108"/>
      <c r="G11426" s="108"/>
      <c r="H11426" s="108" t="s">
        <v>2901</v>
      </c>
      <c r="I11426" s="581">
        <v>1983.85</v>
      </c>
      <c r="J11426" s="114"/>
      <c r="K11426" s="114" t="s">
        <v>2902</v>
      </c>
      <c r="L11426" s="108"/>
      <c r="M11426" s="581">
        <v>9766.73</v>
      </c>
    </row>
    <row r="11427" ht="15" spans="3:13">
      <c r="C11427" s="571"/>
      <c r="D11427" s="571"/>
      <c r="E11427" s="571"/>
      <c r="F11427" s="571"/>
      <c r="G11427" s="571"/>
      <c r="H11427" s="571"/>
      <c r="I11427" s="571"/>
      <c r="J11427" s="571"/>
      <c r="K11427" s="571"/>
      <c r="L11427" s="571"/>
      <c r="M11427" s="571"/>
    </row>
    <row r="11428" ht="15" customHeight="1" spans="3:13">
      <c r="C11428" s="76"/>
      <c r="D11428" s="75" t="s">
        <v>63</v>
      </c>
      <c r="E11428" s="76" t="s">
        <v>64</v>
      </c>
      <c r="F11428" s="76" t="s">
        <v>65</v>
      </c>
      <c r="G11428" s="76" t="s">
        <v>2889</v>
      </c>
      <c r="H11428" s="76"/>
      <c r="I11428" s="77" t="s">
        <v>66</v>
      </c>
      <c r="J11428" s="75" t="s">
        <v>67</v>
      </c>
      <c r="K11428" s="75" t="s">
        <v>2890</v>
      </c>
      <c r="L11428" s="75" t="s">
        <v>68</v>
      </c>
      <c r="M11428" s="75" t="s">
        <v>70</v>
      </c>
    </row>
    <row r="11429" ht="35.05" customHeight="1" spans="3:13">
      <c r="C11429" s="569" t="s">
        <v>2891</v>
      </c>
      <c r="D11429" s="570" t="s">
        <v>3199</v>
      </c>
      <c r="E11429" s="569" t="s">
        <v>139</v>
      </c>
      <c r="F11429" s="569" t="s">
        <v>3200</v>
      </c>
      <c r="G11429" s="569" t="s">
        <v>3201</v>
      </c>
      <c r="H11429" s="569"/>
      <c r="I11429" s="577" t="s">
        <v>134</v>
      </c>
      <c r="J11429" s="578">
        <v>1</v>
      </c>
      <c r="K11429" s="579"/>
      <c r="L11429" s="579">
        <v>7.99</v>
      </c>
      <c r="M11429" s="579">
        <v>7.99</v>
      </c>
    </row>
    <row r="11430" ht="23.85" customHeight="1" spans="3:13">
      <c r="C11430" s="79" t="s">
        <v>2921</v>
      </c>
      <c r="D11430" s="78" t="s">
        <v>3146</v>
      </c>
      <c r="E11430" s="79" t="s">
        <v>139</v>
      </c>
      <c r="F11430" s="79" t="s">
        <v>3147</v>
      </c>
      <c r="G11430" s="79" t="s">
        <v>2928</v>
      </c>
      <c r="H11430" s="79"/>
      <c r="I11430" s="80" t="s">
        <v>2897</v>
      </c>
      <c r="J11430" s="583">
        <v>0.0767</v>
      </c>
      <c r="K11430" s="583">
        <v>0</v>
      </c>
      <c r="L11430" s="92">
        <v>29.54</v>
      </c>
      <c r="M11430" s="92">
        <v>2.26</v>
      </c>
    </row>
    <row r="11431" ht="23.85" customHeight="1" spans="3:13">
      <c r="C11431" s="79" t="s">
        <v>2921</v>
      </c>
      <c r="D11431" s="78" t="s">
        <v>3144</v>
      </c>
      <c r="E11431" s="79" t="s">
        <v>139</v>
      </c>
      <c r="F11431" s="79" t="s">
        <v>3145</v>
      </c>
      <c r="G11431" s="79" t="s">
        <v>2928</v>
      </c>
      <c r="H11431" s="79"/>
      <c r="I11431" s="80" t="s">
        <v>2897</v>
      </c>
      <c r="J11431" s="583">
        <v>0.0767</v>
      </c>
      <c r="K11431" s="583">
        <v>0</v>
      </c>
      <c r="L11431" s="92">
        <v>35.55</v>
      </c>
      <c r="M11431" s="92">
        <v>2.72</v>
      </c>
    </row>
    <row r="11432" ht="23.85" customHeight="1" spans="3:13">
      <c r="C11432" s="100" t="s">
        <v>2893</v>
      </c>
      <c r="D11432" s="99" t="s">
        <v>3616</v>
      </c>
      <c r="E11432" s="100" t="s">
        <v>139</v>
      </c>
      <c r="F11432" s="100" t="s">
        <v>3617</v>
      </c>
      <c r="G11432" s="100" t="s">
        <v>2961</v>
      </c>
      <c r="H11432" s="100"/>
      <c r="I11432" s="101" t="s">
        <v>134</v>
      </c>
      <c r="J11432" s="580">
        <v>0.012</v>
      </c>
      <c r="K11432" s="580">
        <v>0</v>
      </c>
      <c r="L11432" s="102">
        <v>82.38</v>
      </c>
      <c r="M11432" s="102">
        <v>0.98</v>
      </c>
    </row>
    <row r="11433" ht="23.85" customHeight="1" spans="3:13">
      <c r="C11433" s="100" t="s">
        <v>2893</v>
      </c>
      <c r="D11433" s="99" t="s">
        <v>6030</v>
      </c>
      <c r="E11433" s="100" t="s">
        <v>139</v>
      </c>
      <c r="F11433" s="100" t="s">
        <v>6031</v>
      </c>
      <c r="G11433" s="100" t="s">
        <v>2961</v>
      </c>
      <c r="H11433" s="100"/>
      <c r="I11433" s="101" t="s">
        <v>134</v>
      </c>
      <c r="J11433" s="580">
        <v>1</v>
      </c>
      <c r="K11433" s="580">
        <v>0</v>
      </c>
      <c r="L11433" s="102">
        <v>1.25</v>
      </c>
      <c r="M11433" s="102">
        <v>1.25</v>
      </c>
    </row>
    <row r="11434" ht="15" customHeight="1" spans="3:13">
      <c r="C11434" s="100" t="s">
        <v>2893</v>
      </c>
      <c r="D11434" s="99" t="s">
        <v>3609</v>
      </c>
      <c r="E11434" s="100" t="s">
        <v>139</v>
      </c>
      <c r="F11434" s="100" t="s">
        <v>3610</v>
      </c>
      <c r="G11434" s="100" t="s">
        <v>2961</v>
      </c>
      <c r="H11434" s="100"/>
      <c r="I11434" s="101" t="s">
        <v>134</v>
      </c>
      <c r="J11434" s="580">
        <v>0.0096</v>
      </c>
      <c r="K11434" s="580">
        <v>0</v>
      </c>
      <c r="L11434" s="102">
        <v>2.08</v>
      </c>
      <c r="M11434" s="102">
        <v>0.01</v>
      </c>
    </row>
    <row r="11435" ht="15" customHeight="1" spans="3:13">
      <c r="C11435" s="100" t="s">
        <v>2893</v>
      </c>
      <c r="D11435" s="99" t="s">
        <v>3618</v>
      </c>
      <c r="E11435" s="100" t="s">
        <v>139</v>
      </c>
      <c r="F11435" s="100" t="s">
        <v>3619</v>
      </c>
      <c r="G11435" s="100" t="s">
        <v>2961</v>
      </c>
      <c r="H11435" s="100"/>
      <c r="I11435" s="101" t="s">
        <v>134</v>
      </c>
      <c r="J11435" s="580">
        <v>0.0106</v>
      </c>
      <c r="K11435" s="580">
        <v>0</v>
      </c>
      <c r="L11435" s="102">
        <v>72.71</v>
      </c>
      <c r="M11435" s="102">
        <v>0.77</v>
      </c>
    </row>
    <row r="11436" ht="25.5" spans="3:13">
      <c r="C11436" s="108"/>
      <c r="D11436" s="108"/>
      <c r="E11436" s="108"/>
      <c r="F11436" s="108"/>
      <c r="G11436" s="108"/>
      <c r="H11436" s="108" t="s">
        <v>2898</v>
      </c>
      <c r="I11436" s="581">
        <v>3.54</v>
      </c>
      <c r="J11436" s="108" t="s">
        <v>2899</v>
      </c>
      <c r="K11436" s="581">
        <v>0</v>
      </c>
      <c r="L11436" s="108" t="s">
        <v>2900</v>
      </c>
      <c r="M11436" s="581">
        <v>3.54</v>
      </c>
    </row>
    <row r="11437" ht="26.25" spans="3:13">
      <c r="C11437" s="108"/>
      <c r="D11437" s="108"/>
      <c r="E11437" s="108"/>
      <c r="F11437" s="108"/>
      <c r="G11437" s="108"/>
      <c r="H11437" s="108" t="s">
        <v>2901</v>
      </c>
      <c r="I11437" s="581">
        <v>2.03</v>
      </c>
      <c r="J11437" s="114"/>
      <c r="K11437" s="114" t="s">
        <v>2902</v>
      </c>
      <c r="L11437" s="108"/>
      <c r="M11437" s="581">
        <v>10.02</v>
      </c>
    </row>
    <row r="11438" ht="15" spans="3:13">
      <c r="C11438" s="571"/>
      <c r="D11438" s="571"/>
      <c r="E11438" s="571"/>
      <c r="F11438" s="571"/>
      <c r="G11438" s="571"/>
      <c r="H11438" s="571"/>
      <c r="I11438" s="571"/>
      <c r="J11438" s="571"/>
      <c r="K11438" s="571"/>
      <c r="L11438" s="571"/>
      <c r="M11438" s="571"/>
    </row>
    <row r="11439" ht="15" customHeight="1" spans="3:13">
      <c r="C11439" s="76"/>
      <c r="D11439" s="75" t="s">
        <v>63</v>
      </c>
      <c r="E11439" s="76" t="s">
        <v>64</v>
      </c>
      <c r="F11439" s="76" t="s">
        <v>65</v>
      </c>
      <c r="G11439" s="76" t="s">
        <v>2889</v>
      </c>
      <c r="H11439" s="76"/>
      <c r="I11439" s="77" t="s">
        <v>66</v>
      </c>
      <c r="J11439" s="75" t="s">
        <v>67</v>
      </c>
      <c r="K11439" s="75" t="s">
        <v>2890</v>
      </c>
      <c r="L11439" s="75" t="s">
        <v>68</v>
      </c>
      <c r="M11439" s="75" t="s">
        <v>70</v>
      </c>
    </row>
    <row r="11440" spans="3:13">
      <c r="C11440" s="569" t="s">
        <v>2891</v>
      </c>
      <c r="D11440" s="570" t="s">
        <v>5581</v>
      </c>
      <c r="E11440" s="569" t="s">
        <v>77</v>
      </c>
      <c r="F11440" s="569" t="s">
        <v>5582</v>
      </c>
      <c r="G11440" s="569">
        <v>55</v>
      </c>
      <c r="H11440" s="569"/>
      <c r="I11440" s="577" t="s">
        <v>134</v>
      </c>
      <c r="J11440" s="578">
        <v>1</v>
      </c>
      <c r="K11440" s="579"/>
      <c r="L11440" s="579">
        <v>1246.86</v>
      </c>
      <c r="M11440" s="579">
        <v>1246.86</v>
      </c>
    </row>
    <row r="11441" ht="25.5" spans="3:13">
      <c r="C11441" s="79" t="s">
        <v>2921</v>
      </c>
      <c r="D11441" s="78" t="s">
        <v>5950</v>
      </c>
      <c r="E11441" s="79" t="s">
        <v>77</v>
      </c>
      <c r="F11441" s="79" t="s">
        <v>5951</v>
      </c>
      <c r="G11441" s="79">
        <v>55</v>
      </c>
      <c r="H11441" s="79"/>
      <c r="I11441" s="80" t="s">
        <v>393</v>
      </c>
      <c r="J11441" s="583">
        <v>13.28</v>
      </c>
      <c r="K11441" s="583">
        <v>0</v>
      </c>
      <c r="L11441" s="92">
        <v>4.55</v>
      </c>
      <c r="M11441" s="92">
        <v>60.42</v>
      </c>
    </row>
    <row r="11442" ht="25.5" spans="3:13">
      <c r="C11442" s="79" t="s">
        <v>2921</v>
      </c>
      <c r="D11442" s="78" t="s">
        <v>5455</v>
      </c>
      <c r="E11442" s="79" t="s">
        <v>77</v>
      </c>
      <c r="F11442" s="79" t="s">
        <v>5456</v>
      </c>
      <c r="G11442" s="79">
        <v>55</v>
      </c>
      <c r="H11442" s="79"/>
      <c r="I11442" s="80" t="s">
        <v>393</v>
      </c>
      <c r="J11442" s="583">
        <v>6</v>
      </c>
      <c r="K11442" s="583">
        <v>0</v>
      </c>
      <c r="L11442" s="92">
        <v>4.22</v>
      </c>
      <c r="M11442" s="92">
        <v>25.32</v>
      </c>
    </row>
    <row r="11443" ht="25.5" spans="3:13">
      <c r="C11443" s="79" t="s">
        <v>2921</v>
      </c>
      <c r="D11443" s="78" t="s">
        <v>5948</v>
      </c>
      <c r="E11443" s="79" t="s">
        <v>77</v>
      </c>
      <c r="F11443" s="79" t="s">
        <v>5949</v>
      </c>
      <c r="G11443" s="79">
        <v>55</v>
      </c>
      <c r="H11443" s="79"/>
      <c r="I11443" s="80" t="s">
        <v>393</v>
      </c>
      <c r="J11443" s="583">
        <v>6</v>
      </c>
      <c r="K11443" s="583">
        <v>0</v>
      </c>
      <c r="L11443" s="92">
        <v>4.67</v>
      </c>
      <c r="M11443" s="92">
        <v>28.02</v>
      </c>
    </row>
    <row r="11444" ht="15" customHeight="1" spans="3:13">
      <c r="C11444" s="100" t="s">
        <v>2893</v>
      </c>
      <c r="D11444" s="99" t="s">
        <v>6074</v>
      </c>
      <c r="E11444" s="100" t="s">
        <v>77</v>
      </c>
      <c r="F11444" s="100" t="s">
        <v>6075</v>
      </c>
      <c r="G11444" s="100" t="s">
        <v>2961</v>
      </c>
      <c r="H11444" s="100"/>
      <c r="I11444" s="101" t="s">
        <v>393</v>
      </c>
      <c r="J11444" s="580">
        <v>0.5</v>
      </c>
      <c r="K11444" s="580">
        <v>0</v>
      </c>
      <c r="L11444" s="102">
        <v>93.16</v>
      </c>
      <c r="M11444" s="102">
        <v>46.58</v>
      </c>
    </row>
    <row r="11445" ht="35.05" customHeight="1" spans="3:13">
      <c r="C11445" s="100" t="s">
        <v>2893</v>
      </c>
      <c r="D11445" s="99" t="s">
        <v>6076</v>
      </c>
      <c r="E11445" s="100" t="s">
        <v>77</v>
      </c>
      <c r="F11445" s="100" t="s">
        <v>6077</v>
      </c>
      <c r="G11445" s="100" t="s">
        <v>2961</v>
      </c>
      <c r="H11445" s="100"/>
      <c r="I11445" s="101" t="s">
        <v>393</v>
      </c>
      <c r="J11445" s="580">
        <v>23.68</v>
      </c>
      <c r="K11445" s="580">
        <v>0</v>
      </c>
      <c r="L11445" s="102">
        <v>3.51</v>
      </c>
      <c r="M11445" s="102">
        <v>83.11</v>
      </c>
    </row>
    <row r="11446" ht="15" customHeight="1" spans="3:13">
      <c r="C11446" s="100" t="s">
        <v>2893</v>
      </c>
      <c r="D11446" s="99" t="s">
        <v>6078</v>
      </c>
      <c r="E11446" s="100" t="s">
        <v>77</v>
      </c>
      <c r="F11446" s="100" t="s">
        <v>6079</v>
      </c>
      <c r="G11446" s="100" t="s">
        <v>2961</v>
      </c>
      <c r="H11446" s="100"/>
      <c r="I11446" s="101" t="s">
        <v>393</v>
      </c>
      <c r="J11446" s="580">
        <v>0.7</v>
      </c>
      <c r="K11446" s="580">
        <v>0</v>
      </c>
      <c r="L11446" s="102">
        <v>133.63</v>
      </c>
      <c r="M11446" s="102">
        <v>93.54</v>
      </c>
    </row>
    <row r="11447" ht="23.85" customHeight="1" spans="3:13">
      <c r="C11447" s="100" t="s">
        <v>2893</v>
      </c>
      <c r="D11447" s="99" t="s">
        <v>6080</v>
      </c>
      <c r="E11447" s="100" t="s">
        <v>77</v>
      </c>
      <c r="F11447" s="100" t="s">
        <v>6081</v>
      </c>
      <c r="G11447" s="100" t="s">
        <v>2961</v>
      </c>
      <c r="H11447" s="100"/>
      <c r="I11447" s="101" t="s">
        <v>393</v>
      </c>
      <c r="J11447" s="580">
        <v>2.75</v>
      </c>
      <c r="K11447" s="580">
        <v>0</v>
      </c>
      <c r="L11447" s="102">
        <v>91.82</v>
      </c>
      <c r="M11447" s="102">
        <v>252.5</v>
      </c>
    </row>
    <row r="11448" ht="15" customHeight="1" spans="3:13">
      <c r="C11448" s="100" t="s">
        <v>2893</v>
      </c>
      <c r="D11448" s="99" t="s">
        <v>6082</v>
      </c>
      <c r="E11448" s="100" t="s">
        <v>77</v>
      </c>
      <c r="F11448" s="100" t="s">
        <v>6083</v>
      </c>
      <c r="G11448" s="100" t="s">
        <v>2961</v>
      </c>
      <c r="H11448" s="100"/>
      <c r="I11448" s="101" t="s">
        <v>393</v>
      </c>
      <c r="J11448" s="580">
        <v>0.77</v>
      </c>
      <c r="K11448" s="580">
        <v>0</v>
      </c>
      <c r="L11448" s="102">
        <v>30.8</v>
      </c>
      <c r="M11448" s="102">
        <v>23.71</v>
      </c>
    </row>
    <row r="11449" ht="15" customHeight="1" spans="3:13">
      <c r="C11449" s="100" t="s">
        <v>2893</v>
      </c>
      <c r="D11449" s="99" t="s">
        <v>6084</v>
      </c>
      <c r="E11449" s="100" t="s">
        <v>77</v>
      </c>
      <c r="F11449" s="100" t="s">
        <v>6085</v>
      </c>
      <c r="G11449" s="100" t="s">
        <v>2961</v>
      </c>
      <c r="H11449" s="100"/>
      <c r="I11449" s="101" t="s">
        <v>393</v>
      </c>
      <c r="J11449" s="580">
        <v>0.7</v>
      </c>
      <c r="K11449" s="580">
        <v>0</v>
      </c>
      <c r="L11449" s="102">
        <v>133.63</v>
      </c>
      <c r="M11449" s="102">
        <v>93.54</v>
      </c>
    </row>
    <row r="11450" ht="23.85" customHeight="1" spans="3:13">
      <c r="C11450" s="100" t="s">
        <v>2893</v>
      </c>
      <c r="D11450" s="99" t="s">
        <v>6086</v>
      </c>
      <c r="E11450" s="100" t="s">
        <v>77</v>
      </c>
      <c r="F11450" s="100" t="s">
        <v>6087</v>
      </c>
      <c r="G11450" s="100" t="s">
        <v>2961</v>
      </c>
      <c r="H11450" s="100"/>
      <c r="I11450" s="101" t="s">
        <v>393</v>
      </c>
      <c r="J11450" s="580">
        <v>10.13</v>
      </c>
      <c r="K11450" s="580">
        <v>0</v>
      </c>
      <c r="L11450" s="102">
        <v>8.52</v>
      </c>
      <c r="M11450" s="102">
        <v>86.3</v>
      </c>
    </row>
    <row r="11451" ht="15" customHeight="1" spans="3:13">
      <c r="C11451" s="100" t="s">
        <v>2893</v>
      </c>
      <c r="D11451" s="99" t="s">
        <v>6088</v>
      </c>
      <c r="E11451" s="100" t="s">
        <v>77</v>
      </c>
      <c r="F11451" s="100" t="s">
        <v>6089</v>
      </c>
      <c r="G11451" s="100" t="s">
        <v>2961</v>
      </c>
      <c r="H11451" s="100"/>
      <c r="I11451" s="101" t="s">
        <v>393</v>
      </c>
      <c r="J11451" s="580">
        <v>0.5</v>
      </c>
      <c r="K11451" s="580">
        <v>0</v>
      </c>
      <c r="L11451" s="102">
        <v>324.4</v>
      </c>
      <c r="M11451" s="102">
        <v>162.2</v>
      </c>
    </row>
    <row r="11452" ht="35.05" customHeight="1" spans="3:13">
      <c r="C11452" s="100" t="s">
        <v>2893</v>
      </c>
      <c r="D11452" s="99" t="s">
        <v>6090</v>
      </c>
      <c r="E11452" s="100" t="s">
        <v>77</v>
      </c>
      <c r="F11452" s="100" t="s">
        <v>6091</v>
      </c>
      <c r="G11452" s="100" t="s">
        <v>2961</v>
      </c>
      <c r="H11452" s="100"/>
      <c r="I11452" s="101" t="s">
        <v>393</v>
      </c>
      <c r="J11452" s="580">
        <v>15.3</v>
      </c>
      <c r="K11452" s="580">
        <v>0</v>
      </c>
      <c r="L11452" s="102">
        <v>7.19</v>
      </c>
      <c r="M11452" s="102">
        <v>110</v>
      </c>
    </row>
    <row r="11453" ht="23.85" customHeight="1" spans="3:13">
      <c r="C11453" s="100" t="s">
        <v>2893</v>
      </c>
      <c r="D11453" s="99" t="s">
        <v>6092</v>
      </c>
      <c r="E11453" s="100" t="s">
        <v>77</v>
      </c>
      <c r="F11453" s="100" t="s">
        <v>6093</v>
      </c>
      <c r="G11453" s="100" t="s">
        <v>2961</v>
      </c>
      <c r="H11453" s="100"/>
      <c r="I11453" s="101" t="s">
        <v>393</v>
      </c>
      <c r="J11453" s="580">
        <v>10.13</v>
      </c>
      <c r="K11453" s="580">
        <v>0</v>
      </c>
      <c r="L11453" s="102">
        <v>8.72</v>
      </c>
      <c r="M11453" s="102">
        <v>88.33</v>
      </c>
    </row>
    <row r="11454" ht="23.85" customHeight="1" spans="3:13">
      <c r="C11454" s="100" t="s">
        <v>2893</v>
      </c>
      <c r="D11454" s="99" t="s">
        <v>3887</v>
      </c>
      <c r="E11454" s="100" t="s">
        <v>77</v>
      </c>
      <c r="F11454" s="100" t="s">
        <v>3888</v>
      </c>
      <c r="G11454" s="100" t="s">
        <v>2961</v>
      </c>
      <c r="H11454" s="100"/>
      <c r="I11454" s="101" t="s">
        <v>393</v>
      </c>
      <c r="J11454" s="580">
        <v>10.13</v>
      </c>
      <c r="K11454" s="580">
        <v>0</v>
      </c>
      <c r="L11454" s="102">
        <v>9.21</v>
      </c>
      <c r="M11454" s="102">
        <v>93.29</v>
      </c>
    </row>
    <row r="11455" ht="25.5" spans="3:13">
      <c r="C11455" s="108"/>
      <c r="D11455" s="108"/>
      <c r="E11455" s="108"/>
      <c r="F11455" s="108"/>
      <c r="G11455" s="108"/>
      <c r="H11455" s="108" t="s">
        <v>2898</v>
      </c>
      <c r="I11455" s="581">
        <v>0</v>
      </c>
      <c r="J11455" s="108" t="s">
        <v>2899</v>
      </c>
      <c r="K11455" s="581">
        <v>0</v>
      </c>
      <c r="L11455" s="108" t="s">
        <v>2900</v>
      </c>
      <c r="M11455" s="581">
        <v>0</v>
      </c>
    </row>
    <row r="11456" ht="26.25" spans="3:13">
      <c r="C11456" s="108"/>
      <c r="D11456" s="108"/>
      <c r="E11456" s="108"/>
      <c r="F11456" s="108"/>
      <c r="G11456" s="108"/>
      <c r="H11456" s="108" t="s">
        <v>2901</v>
      </c>
      <c r="I11456" s="581">
        <v>317.82</v>
      </c>
      <c r="J11456" s="114"/>
      <c r="K11456" s="114" t="s">
        <v>2902</v>
      </c>
      <c r="L11456" s="108"/>
      <c r="M11456" s="581">
        <v>1564.68</v>
      </c>
    </row>
    <row r="11457" ht="15" spans="3:13">
      <c r="C11457" s="571"/>
      <c r="D11457" s="571"/>
      <c r="E11457" s="571"/>
      <c r="F11457" s="571"/>
      <c r="G11457" s="571"/>
      <c r="H11457" s="571"/>
      <c r="I11457" s="571"/>
      <c r="J11457" s="571"/>
      <c r="K11457" s="571"/>
      <c r="L11457" s="571"/>
      <c r="M11457" s="571"/>
    </row>
    <row r="11458" ht="15" customHeight="1" spans="3:13">
      <c r="C11458" s="76"/>
      <c r="D11458" s="75" t="s">
        <v>63</v>
      </c>
      <c r="E11458" s="76" t="s">
        <v>64</v>
      </c>
      <c r="F11458" s="76" t="s">
        <v>65</v>
      </c>
      <c r="G11458" s="76" t="s">
        <v>2889</v>
      </c>
      <c r="H11458" s="76"/>
      <c r="I11458" s="77" t="s">
        <v>66</v>
      </c>
      <c r="J11458" s="75" t="s">
        <v>67</v>
      </c>
      <c r="K11458" s="75" t="s">
        <v>2890</v>
      </c>
      <c r="L11458" s="75" t="s">
        <v>68</v>
      </c>
      <c r="M11458" s="75" t="s">
        <v>70</v>
      </c>
    </row>
    <row r="11459" ht="35.05" customHeight="1" spans="3:13">
      <c r="C11459" s="569" t="s">
        <v>2891</v>
      </c>
      <c r="D11459" s="570" t="s">
        <v>3804</v>
      </c>
      <c r="E11459" s="569" t="s">
        <v>139</v>
      </c>
      <c r="F11459" s="569" t="s">
        <v>3805</v>
      </c>
      <c r="G11459" s="569" t="s">
        <v>3516</v>
      </c>
      <c r="H11459" s="569"/>
      <c r="I11459" s="577" t="s">
        <v>134</v>
      </c>
      <c r="J11459" s="578">
        <v>1</v>
      </c>
      <c r="K11459" s="579"/>
      <c r="L11459" s="579">
        <v>833.2</v>
      </c>
      <c r="M11459" s="579">
        <v>833.2</v>
      </c>
    </row>
    <row r="11460" ht="23.85" customHeight="1" spans="3:13">
      <c r="C11460" s="79" t="s">
        <v>2921</v>
      </c>
      <c r="D11460" s="78" t="s">
        <v>3144</v>
      </c>
      <c r="E11460" s="79" t="s">
        <v>139</v>
      </c>
      <c r="F11460" s="79" t="s">
        <v>3145</v>
      </c>
      <c r="G11460" s="79" t="s">
        <v>2928</v>
      </c>
      <c r="H11460" s="79"/>
      <c r="I11460" s="80" t="s">
        <v>2897</v>
      </c>
      <c r="J11460" s="583">
        <v>1.154</v>
      </c>
      <c r="K11460" s="583">
        <v>0</v>
      </c>
      <c r="L11460" s="92">
        <v>35.55</v>
      </c>
      <c r="M11460" s="92">
        <v>41.02</v>
      </c>
    </row>
    <row r="11461" ht="23.85" customHeight="1" spans="3:13">
      <c r="C11461" s="79" t="s">
        <v>2921</v>
      </c>
      <c r="D11461" s="78" t="s">
        <v>2952</v>
      </c>
      <c r="E11461" s="79" t="s">
        <v>139</v>
      </c>
      <c r="F11461" s="79" t="s">
        <v>2953</v>
      </c>
      <c r="G11461" s="79" t="s">
        <v>2928</v>
      </c>
      <c r="H11461" s="79"/>
      <c r="I11461" s="80" t="s">
        <v>2897</v>
      </c>
      <c r="J11461" s="583">
        <v>0.5565</v>
      </c>
      <c r="K11461" s="583">
        <v>0</v>
      </c>
      <c r="L11461" s="92">
        <v>29.15</v>
      </c>
      <c r="M11461" s="92">
        <v>16.22</v>
      </c>
    </row>
    <row r="11462" ht="35.05" customHeight="1" spans="3:13">
      <c r="C11462" s="100" t="s">
        <v>2893</v>
      </c>
      <c r="D11462" s="99" t="s">
        <v>6094</v>
      </c>
      <c r="E11462" s="100" t="s">
        <v>139</v>
      </c>
      <c r="F11462" s="100" t="s">
        <v>6095</v>
      </c>
      <c r="G11462" s="100" t="s">
        <v>2961</v>
      </c>
      <c r="H11462" s="100"/>
      <c r="I11462" s="101" t="s">
        <v>134</v>
      </c>
      <c r="J11462" s="580">
        <v>2</v>
      </c>
      <c r="K11462" s="580">
        <v>0</v>
      </c>
      <c r="L11462" s="102">
        <v>30.13</v>
      </c>
      <c r="M11462" s="102">
        <v>60.26</v>
      </c>
    </row>
    <row r="11463" ht="23.85" customHeight="1" spans="3:13">
      <c r="C11463" s="100" t="s">
        <v>2893</v>
      </c>
      <c r="D11463" s="99" t="s">
        <v>6096</v>
      </c>
      <c r="E11463" s="100" t="s">
        <v>139</v>
      </c>
      <c r="F11463" s="100" t="s">
        <v>6097</v>
      </c>
      <c r="G11463" s="100" t="s">
        <v>2961</v>
      </c>
      <c r="H11463" s="100"/>
      <c r="I11463" s="101" t="s">
        <v>134</v>
      </c>
      <c r="J11463" s="580">
        <v>1</v>
      </c>
      <c r="K11463" s="580">
        <v>0</v>
      </c>
      <c r="L11463" s="102">
        <v>692.12</v>
      </c>
      <c r="M11463" s="102">
        <v>692.12</v>
      </c>
    </row>
    <row r="11464" ht="23.85" customHeight="1" spans="3:13">
      <c r="C11464" s="100" t="s">
        <v>2893</v>
      </c>
      <c r="D11464" s="99" t="s">
        <v>6098</v>
      </c>
      <c r="E11464" s="100" t="s">
        <v>139</v>
      </c>
      <c r="F11464" s="100" t="s">
        <v>6099</v>
      </c>
      <c r="G11464" s="100" t="s">
        <v>2961</v>
      </c>
      <c r="H11464" s="100"/>
      <c r="I11464" s="101" t="s">
        <v>134</v>
      </c>
      <c r="J11464" s="580">
        <v>1</v>
      </c>
      <c r="K11464" s="580">
        <v>0</v>
      </c>
      <c r="L11464" s="102">
        <v>15.41</v>
      </c>
      <c r="M11464" s="102">
        <v>15.41</v>
      </c>
    </row>
    <row r="11465" ht="15" customHeight="1" spans="3:13">
      <c r="C11465" s="100" t="s">
        <v>2893</v>
      </c>
      <c r="D11465" s="99" t="s">
        <v>3861</v>
      </c>
      <c r="E11465" s="100" t="s">
        <v>139</v>
      </c>
      <c r="F11465" s="100" t="s">
        <v>3862</v>
      </c>
      <c r="G11465" s="100" t="s">
        <v>2961</v>
      </c>
      <c r="H11465" s="100"/>
      <c r="I11465" s="101" t="s">
        <v>393</v>
      </c>
      <c r="J11465" s="580">
        <v>0.0881</v>
      </c>
      <c r="K11465" s="580">
        <v>0</v>
      </c>
      <c r="L11465" s="102">
        <v>92.75</v>
      </c>
      <c r="M11465" s="102">
        <v>8.17</v>
      </c>
    </row>
    <row r="11466" ht="25.5" spans="3:13">
      <c r="C11466" s="108"/>
      <c r="D11466" s="108"/>
      <c r="E11466" s="108"/>
      <c r="F11466" s="108"/>
      <c r="G11466" s="108"/>
      <c r="H11466" s="108" t="s">
        <v>2898</v>
      </c>
      <c r="I11466" s="581">
        <v>40.9</v>
      </c>
      <c r="J11466" s="108" t="s">
        <v>2899</v>
      </c>
      <c r="K11466" s="581">
        <v>0</v>
      </c>
      <c r="L11466" s="108" t="s">
        <v>2900</v>
      </c>
      <c r="M11466" s="581">
        <v>40.9</v>
      </c>
    </row>
    <row r="11467" ht="26.25" spans="3:13">
      <c r="C11467" s="108"/>
      <c r="D11467" s="108"/>
      <c r="E11467" s="108"/>
      <c r="F11467" s="108"/>
      <c r="G11467" s="108"/>
      <c r="H11467" s="108" t="s">
        <v>2901</v>
      </c>
      <c r="I11467" s="581">
        <v>212.38</v>
      </c>
      <c r="J11467" s="114"/>
      <c r="K11467" s="114" t="s">
        <v>2902</v>
      </c>
      <c r="L11467" s="108"/>
      <c r="M11467" s="581">
        <v>1045.58</v>
      </c>
    </row>
    <row r="11468" ht="15" spans="3:13">
      <c r="C11468" s="571"/>
      <c r="D11468" s="571"/>
      <c r="E11468" s="571"/>
      <c r="F11468" s="571"/>
      <c r="G11468" s="571"/>
      <c r="H11468" s="571"/>
      <c r="I11468" s="571"/>
      <c r="J11468" s="571"/>
      <c r="K11468" s="571"/>
      <c r="L11468" s="571"/>
      <c r="M11468" s="571"/>
    </row>
    <row r="11469" ht="15" customHeight="1" spans="3:13">
      <c r="C11469" s="76"/>
      <c r="D11469" s="75" t="s">
        <v>63</v>
      </c>
      <c r="E11469" s="76" t="s">
        <v>64</v>
      </c>
      <c r="F11469" s="76" t="s">
        <v>65</v>
      </c>
      <c r="G11469" s="76" t="s">
        <v>2889</v>
      </c>
      <c r="H11469" s="76"/>
      <c r="I11469" s="77" t="s">
        <v>66</v>
      </c>
      <c r="J11469" s="75" t="s">
        <v>67</v>
      </c>
      <c r="K11469" s="75" t="s">
        <v>2890</v>
      </c>
      <c r="L11469" s="75" t="s">
        <v>68</v>
      </c>
      <c r="M11469" s="75" t="s">
        <v>70</v>
      </c>
    </row>
    <row r="11470" ht="23.85" customHeight="1" spans="3:13">
      <c r="C11470" s="569" t="s">
        <v>2891</v>
      </c>
      <c r="D11470" s="570" t="s">
        <v>3346</v>
      </c>
      <c r="E11470" s="569" t="s">
        <v>139</v>
      </c>
      <c r="F11470" s="569" t="s">
        <v>3347</v>
      </c>
      <c r="G11470" s="569" t="s">
        <v>2995</v>
      </c>
      <c r="H11470" s="569"/>
      <c r="I11470" s="577" t="s">
        <v>2996</v>
      </c>
      <c r="J11470" s="578">
        <v>1</v>
      </c>
      <c r="K11470" s="579"/>
      <c r="L11470" s="579">
        <v>0.53</v>
      </c>
      <c r="M11470" s="579">
        <v>0.53</v>
      </c>
    </row>
    <row r="11471" ht="46.25" customHeight="1" spans="3:13">
      <c r="C11471" s="79" t="s">
        <v>2921</v>
      </c>
      <c r="D11471" s="78" t="s">
        <v>6100</v>
      </c>
      <c r="E11471" s="79" t="s">
        <v>139</v>
      </c>
      <c r="F11471" s="79" t="s">
        <v>6101</v>
      </c>
      <c r="G11471" s="79" t="s">
        <v>5464</v>
      </c>
      <c r="H11471" s="79"/>
      <c r="I11471" s="80" t="s">
        <v>2897</v>
      </c>
      <c r="J11471" s="583">
        <v>1</v>
      </c>
      <c r="K11471" s="583">
        <v>0</v>
      </c>
      <c r="L11471" s="92">
        <v>0.43</v>
      </c>
      <c r="M11471" s="92">
        <v>0.43</v>
      </c>
    </row>
    <row r="11472" ht="46.25" customHeight="1" spans="3:13">
      <c r="C11472" s="79" t="s">
        <v>2921</v>
      </c>
      <c r="D11472" s="78" t="s">
        <v>6102</v>
      </c>
      <c r="E11472" s="79" t="s">
        <v>139</v>
      </c>
      <c r="F11472" s="79" t="s">
        <v>6103</v>
      </c>
      <c r="G11472" s="79" t="s">
        <v>5464</v>
      </c>
      <c r="H11472" s="79"/>
      <c r="I11472" s="80" t="s">
        <v>2897</v>
      </c>
      <c r="J11472" s="583">
        <v>1</v>
      </c>
      <c r="K11472" s="583">
        <v>0</v>
      </c>
      <c r="L11472" s="92">
        <v>0.1</v>
      </c>
      <c r="M11472" s="92">
        <v>0.1</v>
      </c>
    </row>
    <row r="11473" ht="25.5" spans="3:13">
      <c r="C11473" s="108"/>
      <c r="D11473" s="108"/>
      <c r="E11473" s="108"/>
      <c r="F11473" s="108"/>
      <c r="G11473" s="108"/>
      <c r="H11473" s="108" t="s">
        <v>2898</v>
      </c>
      <c r="I11473" s="581">
        <v>0</v>
      </c>
      <c r="J11473" s="108" t="s">
        <v>2899</v>
      </c>
      <c r="K11473" s="581">
        <v>0</v>
      </c>
      <c r="L11473" s="108" t="s">
        <v>2900</v>
      </c>
      <c r="M11473" s="581">
        <v>0</v>
      </c>
    </row>
    <row r="11474" ht="26.25" spans="3:13">
      <c r="C11474" s="108"/>
      <c r="D11474" s="108"/>
      <c r="E11474" s="108"/>
      <c r="F11474" s="108"/>
      <c r="G11474" s="108"/>
      <c r="H11474" s="108" t="s">
        <v>2901</v>
      </c>
      <c r="I11474" s="581">
        <v>0.13</v>
      </c>
      <c r="J11474" s="114"/>
      <c r="K11474" s="114" t="s">
        <v>2902</v>
      </c>
      <c r="L11474" s="108"/>
      <c r="M11474" s="581">
        <v>0.66</v>
      </c>
    </row>
    <row r="11475" ht="15" spans="3:13">
      <c r="C11475" s="571"/>
      <c r="D11475" s="571"/>
      <c r="E11475" s="571"/>
      <c r="F11475" s="571"/>
      <c r="G11475" s="571"/>
      <c r="H11475" s="571"/>
      <c r="I11475" s="571"/>
      <c r="J11475" s="571"/>
      <c r="K11475" s="571"/>
      <c r="L11475" s="571"/>
      <c r="M11475" s="571"/>
    </row>
    <row r="11476" ht="15" customHeight="1" spans="3:13">
      <c r="C11476" s="76"/>
      <c r="D11476" s="75" t="s">
        <v>63</v>
      </c>
      <c r="E11476" s="76" t="s">
        <v>64</v>
      </c>
      <c r="F11476" s="76" t="s">
        <v>65</v>
      </c>
      <c r="G11476" s="76" t="s">
        <v>2889</v>
      </c>
      <c r="H11476" s="76"/>
      <c r="I11476" s="77" t="s">
        <v>66</v>
      </c>
      <c r="J11476" s="75" t="s">
        <v>67</v>
      </c>
      <c r="K11476" s="75" t="s">
        <v>2890</v>
      </c>
      <c r="L11476" s="75" t="s">
        <v>68</v>
      </c>
      <c r="M11476" s="75" t="s">
        <v>70</v>
      </c>
    </row>
    <row r="11477" ht="23.85" customHeight="1" spans="3:13">
      <c r="C11477" s="569" t="s">
        <v>2891</v>
      </c>
      <c r="D11477" s="570" t="s">
        <v>3348</v>
      </c>
      <c r="E11477" s="569" t="s">
        <v>139</v>
      </c>
      <c r="F11477" s="569" t="s">
        <v>3349</v>
      </c>
      <c r="G11477" s="569" t="s">
        <v>2995</v>
      </c>
      <c r="H11477" s="569"/>
      <c r="I11477" s="577" t="s">
        <v>3002</v>
      </c>
      <c r="J11477" s="578">
        <v>1</v>
      </c>
      <c r="K11477" s="579"/>
      <c r="L11477" s="579">
        <v>1.45</v>
      </c>
      <c r="M11477" s="579">
        <v>1.45</v>
      </c>
    </row>
    <row r="11478" ht="46.25" customHeight="1" spans="3:13">
      <c r="C11478" s="79" t="s">
        <v>2921</v>
      </c>
      <c r="D11478" s="78" t="s">
        <v>6100</v>
      </c>
      <c r="E11478" s="79" t="s">
        <v>139</v>
      </c>
      <c r="F11478" s="79" t="s">
        <v>6101</v>
      </c>
      <c r="G11478" s="79" t="s">
        <v>5464</v>
      </c>
      <c r="H11478" s="79"/>
      <c r="I11478" s="80" t="s">
        <v>2897</v>
      </c>
      <c r="J11478" s="583">
        <v>1</v>
      </c>
      <c r="K11478" s="583">
        <v>0</v>
      </c>
      <c r="L11478" s="92">
        <v>0.43</v>
      </c>
      <c r="M11478" s="92">
        <v>0.43</v>
      </c>
    </row>
    <row r="11479" ht="46.25" customHeight="1" spans="3:13">
      <c r="C11479" s="79" t="s">
        <v>2921</v>
      </c>
      <c r="D11479" s="78" t="s">
        <v>6104</v>
      </c>
      <c r="E11479" s="79" t="s">
        <v>139</v>
      </c>
      <c r="F11479" s="79" t="s">
        <v>6105</v>
      </c>
      <c r="G11479" s="79" t="s">
        <v>5464</v>
      </c>
      <c r="H11479" s="79"/>
      <c r="I11479" s="80" t="s">
        <v>2897</v>
      </c>
      <c r="J11479" s="583">
        <v>1</v>
      </c>
      <c r="K11479" s="583">
        <v>0</v>
      </c>
      <c r="L11479" s="92">
        <v>0.33</v>
      </c>
      <c r="M11479" s="92">
        <v>0.33</v>
      </c>
    </row>
    <row r="11480" ht="46.25" customHeight="1" spans="3:13">
      <c r="C11480" s="79" t="s">
        <v>2921</v>
      </c>
      <c r="D11480" s="78" t="s">
        <v>6102</v>
      </c>
      <c r="E11480" s="79" t="s">
        <v>139</v>
      </c>
      <c r="F11480" s="79" t="s">
        <v>6103</v>
      </c>
      <c r="G11480" s="79" t="s">
        <v>5464</v>
      </c>
      <c r="H11480" s="79"/>
      <c r="I11480" s="80" t="s">
        <v>2897</v>
      </c>
      <c r="J11480" s="583">
        <v>1</v>
      </c>
      <c r="K11480" s="583">
        <v>0</v>
      </c>
      <c r="L11480" s="92">
        <v>0.1</v>
      </c>
      <c r="M11480" s="92">
        <v>0.1</v>
      </c>
    </row>
    <row r="11481" ht="46.25" customHeight="1" spans="3:13">
      <c r="C11481" s="79" t="s">
        <v>2921</v>
      </c>
      <c r="D11481" s="78" t="s">
        <v>6106</v>
      </c>
      <c r="E11481" s="79" t="s">
        <v>139</v>
      </c>
      <c r="F11481" s="79" t="s">
        <v>6107</v>
      </c>
      <c r="G11481" s="79" t="s">
        <v>5464</v>
      </c>
      <c r="H11481" s="79"/>
      <c r="I11481" s="80" t="s">
        <v>2897</v>
      </c>
      <c r="J11481" s="583">
        <v>1</v>
      </c>
      <c r="K11481" s="583">
        <v>0</v>
      </c>
      <c r="L11481" s="92">
        <v>0.59</v>
      </c>
      <c r="M11481" s="92">
        <v>0.59</v>
      </c>
    </row>
    <row r="11482" ht="25.5" spans="3:13">
      <c r="C11482" s="108"/>
      <c r="D11482" s="108"/>
      <c r="E11482" s="108"/>
      <c r="F11482" s="108"/>
      <c r="G11482" s="108"/>
      <c r="H11482" s="108" t="s">
        <v>2898</v>
      </c>
      <c r="I11482" s="581">
        <v>0</v>
      </c>
      <c r="J11482" s="108" t="s">
        <v>2899</v>
      </c>
      <c r="K11482" s="581">
        <v>0</v>
      </c>
      <c r="L11482" s="108" t="s">
        <v>2900</v>
      </c>
      <c r="M11482" s="581">
        <v>0</v>
      </c>
    </row>
    <row r="11483" ht="26.25" spans="3:13">
      <c r="C11483" s="108"/>
      <c r="D11483" s="108"/>
      <c r="E11483" s="108"/>
      <c r="F11483" s="108"/>
      <c r="G11483" s="108"/>
      <c r="H11483" s="108" t="s">
        <v>2901</v>
      </c>
      <c r="I11483" s="581">
        <v>0.36</v>
      </c>
      <c r="J11483" s="114"/>
      <c r="K11483" s="114" t="s">
        <v>2902</v>
      </c>
      <c r="L11483" s="108"/>
      <c r="M11483" s="581">
        <v>1.81</v>
      </c>
    </row>
    <row r="11484" ht="15" spans="3:13">
      <c r="C11484" s="571"/>
      <c r="D11484" s="571"/>
      <c r="E11484" s="571"/>
      <c r="F11484" s="571"/>
      <c r="G11484" s="571"/>
      <c r="H11484" s="571"/>
      <c r="I11484" s="571"/>
      <c r="J11484" s="571"/>
      <c r="K11484" s="571"/>
      <c r="L11484" s="571"/>
      <c r="M11484" s="571"/>
    </row>
    <row r="11485" ht="15" customHeight="1" spans="3:13">
      <c r="C11485" s="76"/>
      <c r="D11485" s="75" t="s">
        <v>63</v>
      </c>
      <c r="E11485" s="76" t="s">
        <v>64</v>
      </c>
      <c r="F11485" s="76" t="s">
        <v>65</v>
      </c>
      <c r="G11485" s="76" t="s">
        <v>2889</v>
      </c>
      <c r="H11485" s="76"/>
      <c r="I11485" s="77" t="s">
        <v>66</v>
      </c>
      <c r="J11485" s="75" t="s">
        <v>67</v>
      </c>
      <c r="K11485" s="75" t="s">
        <v>2890</v>
      </c>
      <c r="L11485" s="75" t="s">
        <v>68</v>
      </c>
      <c r="M11485" s="75" t="s">
        <v>70</v>
      </c>
    </row>
    <row r="11486" ht="46.25" customHeight="1" spans="3:13">
      <c r="C11486" s="569" t="s">
        <v>2891</v>
      </c>
      <c r="D11486" s="570" t="s">
        <v>6100</v>
      </c>
      <c r="E11486" s="569" t="s">
        <v>139</v>
      </c>
      <c r="F11486" s="569" t="s">
        <v>6101</v>
      </c>
      <c r="G11486" s="569" t="s">
        <v>5464</v>
      </c>
      <c r="H11486" s="569"/>
      <c r="I11486" s="577" t="s">
        <v>2897</v>
      </c>
      <c r="J11486" s="578">
        <v>1</v>
      </c>
      <c r="K11486" s="579"/>
      <c r="L11486" s="579">
        <v>0.43</v>
      </c>
      <c r="M11486" s="579">
        <v>0.43</v>
      </c>
    </row>
    <row r="11487" ht="23.85" customHeight="1" spans="3:13">
      <c r="C11487" s="100" t="s">
        <v>2893</v>
      </c>
      <c r="D11487" s="99" t="s">
        <v>6108</v>
      </c>
      <c r="E11487" s="100" t="s">
        <v>139</v>
      </c>
      <c r="F11487" s="100" t="s">
        <v>6109</v>
      </c>
      <c r="G11487" s="100" t="s">
        <v>3680</v>
      </c>
      <c r="H11487" s="100"/>
      <c r="I11487" s="101" t="s">
        <v>134</v>
      </c>
      <c r="J11487" s="580">
        <v>0.000128</v>
      </c>
      <c r="K11487" s="580">
        <v>0</v>
      </c>
      <c r="L11487" s="102">
        <v>3390.99</v>
      </c>
      <c r="M11487" s="102">
        <v>0.43</v>
      </c>
    </row>
    <row r="11488" ht="25.5" spans="3:13">
      <c r="C11488" s="108"/>
      <c r="D11488" s="108"/>
      <c r="E11488" s="108"/>
      <c r="F11488" s="108"/>
      <c r="G11488" s="108"/>
      <c r="H11488" s="108" t="s">
        <v>2898</v>
      </c>
      <c r="I11488" s="581">
        <v>0</v>
      </c>
      <c r="J11488" s="108" t="s">
        <v>2899</v>
      </c>
      <c r="K11488" s="581">
        <v>0</v>
      </c>
      <c r="L11488" s="108" t="s">
        <v>2900</v>
      </c>
      <c r="M11488" s="581">
        <v>0</v>
      </c>
    </row>
    <row r="11489" ht="26.25" spans="3:13">
      <c r="C11489" s="108"/>
      <c r="D11489" s="108"/>
      <c r="E11489" s="108"/>
      <c r="F11489" s="108"/>
      <c r="G11489" s="108"/>
      <c r="H11489" s="108" t="s">
        <v>2901</v>
      </c>
      <c r="I11489" s="581">
        <v>0.1</v>
      </c>
      <c r="J11489" s="114"/>
      <c r="K11489" s="114" t="s">
        <v>2902</v>
      </c>
      <c r="L11489" s="108"/>
      <c r="M11489" s="581">
        <v>0.53</v>
      </c>
    </row>
    <row r="11490" ht="15" spans="3:13">
      <c r="C11490" s="571"/>
      <c r="D11490" s="571"/>
      <c r="E11490" s="571"/>
      <c r="F11490" s="571"/>
      <c r="G11490" s="571"/>
      <c r="H11490" s="571"/>
      <c r="I11490" s="571"/>
      <c r="J11490" s="571"/>
      <c r="K11490" s="571"/>
      <c r="L11490" s="571"/>
      <c r="M11490" s="571"/>
    </row>
    <row r="11491" ht="15" customHeight="1" spans="3:13">
      <c r="C11491" s="76"/>
      <c r="D11491" s="75" t="s">
        <v>63</v>
      </c>
      <c r="E11491" s="76" t="s">
        <v>64</v>
      </c>
      <c r="F11491" s="76" t="s">
        <v>65</v>
      </c>
      <c r="G11491" s="76" t="s">
        <v>2889</v>
      </c>
      <c r="H11491" s="76"/>
      <c r="I11491" s="77" t="s">
        <v>66</v>
      </c>
      <c r="J11491" s="75" t="s">
        <v>67</v>
      </c>
      <c r="K11491" s="75" t="s">
        <v>2890</v>
      </c>
      <c r="L11491" s="75" t="s">
        <v>68</v>
      </c>
      <c r="M11491" s="75" t="s">
        <v>70</v>
      </c>
    </row>
    <row r="11492" ht="46.25" customHeight="1" spans="3:13">
      <c r="C11492" s="569" t="s">
        <v>2891</v>
      </c>
      <c r="D11492" s="570" t="s">
        <v>6102</v>
      </c>
      <c r="E11492" s="569" t="s">
        <v>139</v>
      </c>
      <c r="F11492" s="569" t="s">
        <v>6103</v>
      </c>
      <c r="G11492" s="569" t="s">
        <v>5464</v>
      </c>
      <c r="H11492" s="569"/>
      <c r="I11492" s="577" t="s">
        <v>2897</v>
      </c>
      <c r="J11492" s="578">
        <v>1</v>
      </c>
      <c r="K11492" s="579"/>
      <c r="L11492" s="579">
        <v>0.1</v>
      </c>
      <c r="M11492" s="579">
        <v>0.1</v>
      </c>
    </row>
    <row r="11493" ht="23.85" customHeight="1" spans="3:13">
      <c r="C11493" s="100" t="s">
        <v>2893</v>
      </c>
      <c r="D11493" s="99" t="s">
        <v>6108</v>
      </c>
      <c r="E11493" s="100" t="s">
        <v>139</v>
      </c>
      <c r="F11493" s="100" t="s">
        <v>6109</v>
      </c>
      <c r="G11493" s="100" t="s">
        <v>3680</v>
      </c>
      <c r="H11493" s="100"/>
      <c r="I11493" s="101" t="s">
        <v>134</v>
      </c>
      <c r="J11493" s="580">
        <v>2.96e-5</v>
      </c>
      <c r="K11493" s="580">
        <v>0</v>
      </c>
      <c r="L11493" s="102">
        <v>3390.99</v>
      </c>
      <c r="M11493" s="102">
        <v>0.1</v>
      </c>
    </row>
    <row r="11494" ht="25.5" spans="3:13">
      <c r="C11494" s="108"/>
      <c r="D11494" s="108"/>
      <c r="E11494" s="108"/>
      <c r="F11494" s="108"/>
      <c r="G11494" s="108"/>
      <c r="H11494" s="108" t="s">
        <v>2898</v>
      </c>
      <c r="I11494" s="581">
        <v>0</v>
      </c>
      <c r="J11494" s="108" t="s">
        <v>2899</v>
      </c>
      <c r="K11494" s="581">
        <v>0</v>
      </c>
      <c r="L11494" s="108" t="s">
        <v>2900</v>
      </c>
      <c r="M11494" s="581">
        <v>0</v>
      </c>
    </row>
    <row r="11495" ht="26.25" spans="3:13">
      <c r="C11495" s="108"/>
      <c r="D11495" s="108"/>
      <c r="E11495" s="108"/>
      <c r="F11495" s="108"/>
      <c r="G11495" s="108"/>
      <c r="H11495" s="108" t="s">
        <v>2901</v>
      </c>
      <c r="I11495" s="581">
        <v>0.02</v>
      </c>
      <c r="J11495" s="114"/>
      <c r="K11495" s="114" t="s">
        <v>2902</v>
      </c>
      <c r="L11495" s="108"/>
      <c r="M11495" s="581">
        <v>0.12</v>
      </c>
    </row>
    <row r="11496" ht="15" spans="3:13">
      <c r="C11496" s="571"/>
      <c r="D11496" s="571"/>
      <c r="E11496" s="571"/>
      <c r="F11496" s="571"/>
      <c r="G11496" s="571"/>
      <c r="H11496" s="571"/>
      <c r="I11496" s="571"/>
      <c r="J11496" s="571"/>
      <c r="K11496" s="571"/>
      <c r="L11496" s="571"/>
      <c r="M11496" s="571"/>
    </row>
    <row r="11497" ht="15" customHeight="1" spans="3:13">
      <c r="C11497" s="76"/>
      <c r="D11497" s="75" t="s">
        <v>63</v>
      </c>
      <c r="E11497" s="76" t="s">
        <v>64</v>
      </c>
      <c r="F11497" s="76" t="s">
        <v>65</v>
      </c>
      <c r="G11497" s="76" t="s">
        <v>2889</v>
      </c>
      <c r="H11497" s="76"/>
      <c r="I11497" s="77" t="s">
        <v>66</v>
      </c>
      <c r="J11497" s="75" t="s">
        <v>67</v>
      </c>
      <c r="K11497" s="75" t="s">
        <v>2890</v>
      </c>
      <c r="L11497" s="75" t="s">
        <v>68</v>
      </c>
      <c r="M11497" s="75" t="s">
        <v>70</v>
      </c>
    </row>
    <row r="11498" ht="46.25" customHeight="1" spans="3:13">
      <c r="C11498" s="569" t="s">
        <v>2891</v>
      </c>
      <c r="D11498" s="570" t="s">
        <v>6104</v>
      </c>
      <c r="E11498" s="569" t="s">
        <v>139</v>
      </c>
      <c r="F11498" s="569" t="s">
        <v>6105</v>
      </c>
      <c r="G11498" s="569" t="s">
        <v>5464</v>
      </c>
      <c r="H11498" s="569"/>
      <c r="I11498" s="577" t="s">
        <v>2897</v>
      </c>
      <c r="J11498" s="578">
        <v>1</v>
      </c>
      <c r="K11498" s="579"/>
      <c r="L11498" s="579">
        <v>0.33</v>
      </c>
      <c r="M11498" s="579">
        <v>0.33</v>
      </c>
    </row>
    <row r="11499" ht="23.85" customHeight="1" spans="3:13">
      <c r="C11499" s="100" t="s">
        <v>2893</v>
      </c>
      <c r="D11499" s="99" t="s">
        <v>6108</v>
      </c>
      <c r="E11499" s="100" t="s">
        <v>139</v>
      </c>
      <c r="F11499" s="100" t="s">
        <v>6109</v>
      </c>
      <c r="G11499" s="100" t="s">
        <v>3680</v>
      </c>
      <c r="H11499" s="100"/>
      <c r="I11499" s="101" t="s">
        <v>134</v>
      </c>
      <c r="J11499" s="580">
        <v>0.0001</v>
      </c>
      <c r="K11499" s="580">
        <v>0</v>
      </c>
      <c r="L11499" s="102">
        <v>3390.99</v>
      </c>
      <c r="M11499" s="102">
        <v>0.33</v>
      </c>
    </row>
    <row r="11500" ht="25.5" spans="3:13">
      <c r="C11500" s="108"/>
      <c r="D11500" s="108"/>
      <c r="E11500" s="108"/>
      <c r="F11500" s="108"/>
      <c r="G11500" s="108"/>
      <c r="H11500" s="108" t="s">
        <v>2898</v>
      </c>
      <c r="I11500" s="581">
        <v>0</v>
      </c>
      <c r="J11500" s="108" t="s">
        <v>2899</v>
      </c>
      <c r="K11500" s="581">
        <v>0</v>
      </c>
      <c r="L11500" s="108" t="s">
        <v>2900</v>
      </c>
      <c r="M11500" s="581">
        <v>0</v>
      </c>
    </row>
    <row r="11501" ht="26.25" spans="3:13">
      <c r="C11501" s="108"/>
      <c r="D11501" s="108"/>
      <c r="E11501" s="108"/>
      <c r="F11501" s="108"/>
      <c r="G11501" s="108"/>
      <c r="H11501" s="108" t="s">
        <v>2901</v>
      </c>
      <c r="I11501" s="581">
        <v>0.08</v>
      </c>
      <c r="J11501" s="114"/>
      <c r="K11501" s="114" t="s">
        <v>2902</v>
      </c>
      <c r="L11501" s="108"/>
      <c r="M11501" s="581">
        <v>0.41</v>
      </c>
    </row>
    <row r="11502" ht="15" spans="3:13">
      <c r="C11502" s="571"/>
      <c r="D11502" s="571"/>
      <c r="E11502" s="571"/>
      <c r="F11502" s="571"/>
      <c r="G11502" s="571"/>
      <c r="H11502" s="571"/>
      <c r="I11502" s="571"/>
      <c r="J11502" s="571"/>
      <c r="K11502" s="571"/>
      <c r="L11502" s="571"/>
      <c r="M11502" s="571"/>
    </row>
    <row r="11503" ht="15" customHeight="1" spans="3:13">
      <c r="C11503" s="76"/>
      <c r="D11503" s="75" t="s">
        <v>63</v>
      </c>
      <c r="E11503" s="76" t="s">
        <v>64</v>
      </c>
      <c r="F11503" s="76" t="s">
        <v>65</v>
      </c>
      <c r="G11503" s="76" t="s">
        <v>2889</v>
      </c>
      <c r="H11503" s="76"/>
      <c r="I11503" s="77" t="s">
        <v>66</v>
      </c>
      <c r="J11503" s="75" t="s">
        <v>67</v>
      </c>
      <c r="K11503" s="75" t="s">
        <v>2890</v>
      </c>
      <c r="L11503" s="75" t="s">
        <v>68</v>
      </c>
      <c r="M11503" s="75" t="s">
        <v>70</v>
      </c>
    </row>
    <row r="11504" ht="46.25" customHeight="1" spans="3:13">
      <c r="C11504" s="569" t="s">
        <v>2891</v>
      </c>
      <c r="D11504" s="570" t="s">
        <v>6106</v>
      </c>
      <c r="E11504" s="569" t="s">
        <v>139</v>
      </c>
      <c r="F11504" s="569" t="s">
        <v>6107</v>
      </c>
      <c r="G11504" s="569" t="s">
        <v>5464</v>
      </c>
      <c r="H11504" s="569"/>
      <c r="I11504" s="577" t="s">
        <v>2897</v>
      </c>
      <c r="J11504" s="578">
        <v>1</v>
      </c>
      <c r="K11504" s="579"/>
      <c r="L11504" s="579">
        <v>0.59</v>
      </c>
      <c r="M11504" s="579">
        <v>0.59</v>
      </c>
    </row>
    <row r="11505" ht="15" customHeight="1" spans="3:13">
      <c r="C11505" s="100" t="s">
        <v>2893</v>
      </c>
      <c r="D11505" s="99" t="s">
        <v>5473</v>
      </c>
      <c r="E11505" s="100" t="s">
        <v>139</v>
      </c>
      <c r="F11505" s="100" t="s">
        <v>5474</v>
      </c>
      <c r="G11505" s="100" t="s">
        <v>5444</v>
      </c>
      <c r="H11505" s="100"/>
      <c r="I11505" s="101" t="s">
        <v>5228</v>
      </c>
      <c r="J11505" s="580">
        <v>0.52</v>
      </c>
      <c r="K11505" s="580">
        <v>0</v>
      </c>
      <c r="L11505" s="102">
        <v>1.15</v>
      </c>
      <c r="M11505" s="102">
        <v>0.59</v>
      </c>
    </row>
    <row r="11506" ht="25.5" spans="3:13">
      <c r="C11506" s="108"/>
      <c r="D11506" s="108"/>
      <c r="E11506" s="108"/>
      <c r="F11506" s="108"/>
      <c r="G11506" s="108"/>
      <c r="H11506" s="108" t="s">
        <v>2898</v>
      </c>
      <c r="I11506" s="581">
        <v>0</v>
      </c>
      <c r="J11506" s="108" t="s">
        <v>2899</v>
      </c>
      <c r="K11506" s="581">
        <v>0</v>
      </c>
      <c r="L11506" s="108" t="s">
        <v>2900</v>
      </c>
      <c r="M11506" s="581">
        <v>0</v>
      </c>
    </row>
    <row r="11507" ht="26.25" spans="3:13">
      <c r="C11507" s="108"/>
      <c r="D11507" s="108"/>
      <c r="E11507" s="108"/>
      <c r="F11507" s="108"/>
      <c r="G11507" s="108"/>
      <c r="H11507" s="108" t="s">
        <v>2901</v>
      </c>
      <c r="I11507" s="581">
        <v>0.15</v>
      </c>
      <c r="J11507" s="114"/>
      <c r="K11507" s="114" t="s">
        <v>2902</v>
      </c>
      <c r="L11507" s="108"/>
      <c r="M11507" s="581">
        <v>0.74</v>
      </c>
    </row>
    <row r="11508" ht="15" spans="3:13">
      <c r="C11508" s="571"/>
      <c r="D11508" s="571"/>
      <c r="E11508" s="571"/>
      <c r="F11508" s="571"/>
      <c r="G11508" s="571"/>
      <c r="H11508" s="571"/>
      <c r="I11508" s="571"/>
      <c r="J11508" s="571"/>
      <c r="K11508" s="571"/>
      <c r="L11508" s="571"/>
      <c r="M11508" s="571"/>
    </row>
    <row r="11509" ht="15" customHeight="1" spans="3:13">
      <c r="C11509" s="76"/>
      <c r="D11509" s="75" t="s">
        <v>63</v>
      </c>
      <c r="E11509" s="76" t="s">
        <v>64</v>
      </c>
      <c r="F11509" s="76" t="s">
        <v>65</v>
      </c>
      <c r="G11509" s="76" t="s">
        <v>2889</v>
      </c>
      <c r="H11509" s="76"/>
      <c r="I11509" s="77" t="s">
        <v>66</v>
      </c>
      <c r="J11509" s="75" t="s">
        <v>67</v>
      </c>
      <c r="K11509" s="75" t="s">
        <v>2890</v>
      </c>
      <c r="L11509" s="75" t="s">
        <v>68</v>
      </c>
      <c r="M11509" s="75" t="s">
        <v>70</v>
      </c>
    </row>
    <row r="11510" ht="23.85" customHeight="1" spans="3:13">
      <c r="C11510" s="569" t="s">
        <v>2891</v>
      </c>
      <c r="D11510" s="570" t="s">
        <v>3056</v>
      </c>
      <c r="E11510" s="569" t="s">
        <v>139</v>
      </c>
      <c r="F11510" s="569" t="s">
        <v>3057</v>
      </c>
      <c r="G11510" s="569" t="s">
        <v>2928</v>
      </c>
      <c r="H11510" s="569"/>
      <c r="I11510" s="577" t="s">
        <v>2897</v>
      </c>
      <c r="J11510" s="578">
        <v>1</v>
      </c>
      <c r="K11510" s="579"/>
      <c r="L11510" s="579">
        <v>33.17</v>
      </c>
      <c r="M11510" s="579">
        <v>33.17</v>
      </c>
    </row>
    <row r="11511" ht="23.85" customHeight="1" spans="3:13">
      <c r="C11511" s="79" t="s">
        <v>2921</v>
      </c>
      <c r="D11511" s="78" t="s">
        <v>5770</v>
      </c>
      <c r="E11511" s="79" t="s">
        <v>139</v>
      </c>
      <c r="F11511" s="79" t="s">
        <v>5771</v>
      </c>
      <c r="G11511" s="79" t="s">
        <v>2928</v>
      </c>
      <c r="H11511" s="79"/>
      <c r="I11511" s="80" t="s">
        <v>2897</v>
      </c>
      <c r="J11511" s="583">
        <v>1</v>
      </c>
      <c r="K11511" s="583">
        <v>0</v>
      </c>
      <c r="L11511" s="92">
        <v>0.33</v>
      </c>
      <c r="M11511" s="92">
        <v>0.33</v>
      </c>
    </row>
    <row r="11512" ht="15" customHeight="1" spans="3:13">
      <c r="C11512" s="100" t="s">
        <v>2893</v>
      </c>
      <c r="D11512" s="99" t="s">
        <v>5772</v>
      </c>
      <c r="E11512" s="100" t="s">
        <v>139</v>
      </c>
      <c r="F11512" s="100" t="s">
        <v>5773</v>
      </c>
      <c r="G11512" s="100" t="s">
        <v>2896</v>
      </c>
      <c r="H11512" s="100"/>
      <c r="I11512" s="101" t="s">
        <v>2897</v>
      </c>
      <c r="J11512" s="580">
        <v>1</v>
      </c>
      <c r="K11512" s="580">
        <v>0</v>
      </c>
      <c r="L11512" s="102">
        <v>22.82</v>
      </c>
      <c r="M11512" s="102">
        <v>22.82</v>
      </c>
    </row>
    <row r="11513" ht="15" customHeight="1" spans="3:13">
      <c r="C11513" s="100" t="s">
        <v>2893</v>
      </c>
      <c r="D11513" s="99" t="s">
        <v>5306</v>
      </c>
      <c r="E11513" s="100" t="s">
        <v>139</v>
      </c>
      <c r="F11513" s="100" t="s">
        <v>5307</v>
      </c>
      <c r="G11513" s="100" t="s">
        <v>2961</v>
      </c>
      <c r="H11513" s="100"/>
      <c r="I11513" s="101" t="s">
        <v>2897</v>
      </c>
      <c r="J11513" s="580">
        <v>1</v>
      </c>
      <c r="K11513" s="580">
        <v>0</v>
      </c>
      <c r="L11513" s="102">
        <v>1.43</v>
      </c>
      <c r="M11513" s="102">
        <v>1.43</v>
      </c>
    </row>
    <row r="11514" ht="23.85" customHeight="1" spans="3:13">
      <c r="C11514" s="100" t="s">
        <v>2893</v>
      </c>
      <c r="D11514" s="99" t="s">
        <v>5314</v>
      </c>
      <c r="E11514" s="100" t="s">
        <v>139</v>
      </c>
      <c r="F11514" s="100" t="s">
        <v>5315</v>
      </c>
      <c r="G11514" s="100" t="s">
        <v>2961</v>
      </c>
      <c r="H11514" s="100"/>
      <c r="I11514" s="101" t="s">
        <v>2897</v>
      </c>
      <c r="J11514" s="580">
        <v>1</v>
      </c>
      <c r="K11514" s="580">
        <v>0</v>
      </c>
      <c r="L11514" s="102">
        <v>0.78</v>
      </c>
      <c r="M11514" s="102">
        <v>0.78</v>
      </c>
    </row>
    <row r="11515" ht="23.85" customHeight="1" spans="3:13">
      <c r="C11515" s="100" t="s">
        <v>2893</v>
      </c>
      <c r="D11515" s="99" t="s">
        <v>5304</v>
      </c>
      <c r="E11515" s="100" t="s">
        <v>139</v>
      </c>
      <c r="F11515" s="100" t="s">
        <v>5305</v>
      </c>
      <c r="G11515" s="100" t="s">
        <v>2961</v>
      </c>
      <c r="H11515" s="100"/>
      <c r="I11515" s="101" t="s">
        <v>2897</v>
      </c>
      <c r="J11515" s="580">
        <v>1</v>
      </c>
      <c r="K11515" s="580">
        <v>0</v>
      </c>
      <c r="L11515" s="102">
        <v>1.31</v>
      </c>
      <c r="M11515" s="102">
        <v>1.31</v>
      </c>
    </row>
    <row r="11516" ht="23.85" customHeight="1" spans="3:13">
      <c r="C11516" s="100" t="s">
        <v>2893</v>
      </c>
      <c r="D11516" s="99" t="s">
        <v>5308</v>
      </c>
      <c r="E11516" s="100" t="s">
        <v>139</v>
      </c>
      <c r="F11516" s="100" t="s">
        <v>5309</v>
      </c>
      <c r="G11516" s="100" t="s">
        <v>2961</v>
      </c>
      <c r="H11516" s="100"/>
      <c r="I11516" s="101" t="s">
        <v>2897</v>
      </c>
      <c r="J11516" s="580">
        <v>1</v>
      </c>
      <c r="K11516" s="580">
        <v>0</v>
      </c>
      <c r="L11516" s="102">
        <v>4.84</v>
      </c>
      <c r="M11516" s="102">
        <v>4.84</v>
      </c>
    </row>
    <row r="11517" ht="15" customHeight="1" spans="3:13">
      <c r="C11517" s="100" t="s">
        <v>2893</v>
      </c>
      <c r="D11517" s="99" t="s">
        <v>5312</v>
      </c>
      <c r="E11517" s="100" t="s">
        <v>139</v>
      </c>
      <c r="F11517" s="100" t="s">
        <v>5313</v>
      </c>
      <c r="G11517" s="100" t="s">
        <v>2961</v>
      </c>
      <c r="H11517" s="100"/>
      <c r="I11517" s="101" t="s">
        <v>2897</v>
      </c>
      <c r="J11517" s="580">
        <v>1</v>
      </c>
      <c r="K11517" s="580">
        <v>0</v>
      </c>
      <c r="L11517" s="102">
        <v>0.08</v>
      </c>
      <c r="M11517" s="102">
        <v>0.08</v>
      </c>
    </row>
    <row r="11518" ht="23.85" customHeight="1" spans="3:13">
      <c r="C11518" s="100" t="s">
        <v>2893</v>
      </c>
      <c r="D11518" s="99" t="s">
        <v>5310</v>
      </c>
      <c r="E11518" s="100" t="s">
        <v>139</v>
      </c>
      <c r="F11518" s="100" t="s">
        <v>5311</v>
      </c>
      <c r="G11518" s="100" t="s">
        <v>2961</v>
      </c>
      <c r="H11518" s="100"/>
      <c r="I11518" s="101" t="s">
        <v>2897</v>
      </c>
      <c r="J11518" s="580">
        <v>1</v>
      </c>
      <c r="K11518" s="580">
        <v>0</v>
      </c>
      <c r="L11518" s="102">
        <v>1.58</v>
      </c>
      <c r="M11518" s="102">
        <v>1.58</v>
      </c>
    </row>
    <row r="11519" ht="25.5" spans="3:13">
      <c r="C11519" s="108"/>
      <c r="D11519" s="108"/>
      <c r="E11519" s="108"/>
      <c r="F11519" s="108"/>
      <c r="G11519" s="108"/>
      <c r="H11519" s="108" t="s">
        <v>2898</v>
      </c>
      <c r="I11519" s="581">
        <v>23.15</v>
      </c>
      <c r="J11519" s="108" t="s">
        <v>2899</v>
      </c>
      <c r="K11519" s="581">
        <v>0</v>
      </c>
      <c r="L11519" s="108" t="s">
        <v>2900</v>
      </c>
      <c r="M11519" s="581">
        <v>23.15</v>
      </c>
    </row>
    <row r="11520" ht="26.25" spans="3:13">
      <c r="C11520" s="108"/>
      <c r="D11520" s="108"/>
      <c r="E11520" s="108"/>
      <c r="F11520" s="108"/>
      <c r="G11520" s="108"/>
      <c r="H11520" s="108" t="s">
        <v>2901</v>
      </c>
      <c r="I11520" s="581">
        <v>8.45</v>
      </c>
      <c r="J11520" s="114"/>
      <c r="K11520" s="114" t="s">
        <v>2902</v>
      </c>
      <c r="L11520" s="108"/>
      <c r="M11520" s="581">
        <v>41.62</v>
      </c>
    </row>
    <row r="11521" ht="15" spans="3:13">
      <c r="C11521" s="571"/>
      <c r="D11521" s="571"/>
      <c r="E11521" s="571"/>
      <c r="F11521" s="571"/>
      <c r="G11521" s="571"/>
      <c r="H11521" s="571"/>
      <c r="I11521" s="571"/>
      <c r="J11521" s="571"/>
      <c r="K11521" s="571"/>
      <c r="L11521" s="571"/>
      <c r="M11521" s="571"/>
    </row>
    <row r="11522" ht="15" customHeight="1" spans="3:13">
      <c r="C11522" s="76"/>
      <c r="D11522" s="75" t="s">
        <v>63</v>
      </c>
      <c r="E11522" s="76" t="s">
        <v>64</v>
      </c>
      <c r="F11522" s="76" t="s">
        <v>65</v>
      </c>
      <c r="G11522" s="76" t="s">
        <v>2889</v>
      </c>
      <c r="H11522" s="76"/>
      <c r="I11522" s="77" t="s">
        <v>66</v>
      </c>
      <c r="J11522" s="75" t="s">
        <v>67</v>
      </c>
      <c r="K11522" s="75" t="s">
        <v>2890</v>
      </c>
      <c r="L11522" s="75" t="s">
        <v>68</v>
      </c>
      <c r="M11522" s="75" t="s">
        <v>70</v>
      </c>
    </row>
    <row r="11523" ht="25.5" spans="3:13">
      <c r="C11523" s="569" t="s">
        <v>2891</v>
      </c>
      <c r="D11523" s="570" t="s">
        <v>3530</v>
      </c>
      <c r="E11523" s="569" t="s">
        <v>77</v>
      </c>
      <c r="F11523" s="569" t="s">
        <v>3531</v>
      </c>
      <c r="G11523" s="569">
        <v>14</v>
      </c>
      <c r="H11523" s="569"/>
      <c r="I11523" s="577" t="s">
        <v>141</v>
      </c>
      <c r="J11523" s="578">
        <v>1</v>
      </c>
      <c r="K11523" s="579"/>
      <c r="L11523" s="579">
        <v>339.9</v>
      </c>
      <c r="M11523" s="579">
        <v>339.9</v>
      </c>
    </row>
    <row r="11524" ht="15" customHeight="1" spans="3:13">
      <c r="C11524" s="100" t="s">
        <v>2893</v>
      </c>
      <c r="D11524" s="99" t="s">
        <v>6110</v>
      </c>
      <c r="E11524" s="100" t="s">
        <v>77</v>
      </c>
      <c r="F11524" s="100" t="s">
        <v>6111</v>
      </c>
      <c r="G11524" s="100" t="s">
        <v>2961</v>
      </c>
      <c r="H11524" s="100"/>
      <c r="I11524" s="101" t="s">
        <v>141</v>
      </c>
      <c r="J11524" s="580">
        <v>1</v>
      </c>
      <c r="K11524" s="580">
        <v>0</v>
      </c>
      <c r="L11524" s="102">
        <v>339.9</v>
      </c>
      <c r="M11524" s="102">
        <v>339.9</v>
      </c>
    </row>
    <row r="11525" ht="25.5" spans="3:13">
      <c r="C11525" s="108"/>
      <c r="D11525" s="108"/>
      <c r="E11525" s="108"/>
      <c r="F11525" s="108"/>
      <c r="G11525" s="108"/>
      <c r="H11525" s="108" t="s">
        <v>2898</v>
      </c>
      <c r="I11525" s="581">
        <v>0</v>
      </c>
      <c r="J11525" s="108" t="s">
        <v>2899</v>
      </c>
      <c r="K11525" s="581">
        <v>0</v>
      </c>
      <c r="L11525" s="108" t="s">
        <v>2900</v>
      </c>
      <c r="M11525" s="581">
        <v>0</v>
      </c>
    </row>
    <row r="11526" ht="26.25" spans="3:13">
      <c r="C11526" s="108"/>
      <c r="D11526" s="108"/>
      <c r="E11526" s="108"/>
      <c r="F11526" s="108"/>
      <c r="G11526" s="108"/>
      <c r="H11526" s="108" t="s">
        <v>2901</v>
      </c>
      <c r="I11526" s="581">
        <v>86.64</v>
      </c>
      <c r="J11526" s="114"/>
      <c r="K11526" s="114" t="s">
        <v>2902</v>
      </c>
      <c r="L11526" s="108"/>
      <c r="M11526" s="581">
        <v>426.54</v>
      </c>
    </row>
    <row r="11527" ht="15" spans="3:13">
      <c r="C11527" s="571"/>
      <c r="D11527" s="571"/>
      <c r="E11527" s="571"/>
      <c r="F11527" s="571"/>
      <c r="G11527" s="571"/>
      <c r="H11527" s="571"/>
      <c r="I11527" s="571"/>
      <c r="J11527" s="571"/>
      <c r="K11527" s="571"/>
      <c r="L11527" s="571"/>
      <c r="M11527" s="571"/>
    </row>
    <row r="11528" ht="15" customHeight="1" spans="3:13">
      <c r="C11528" s="76"/>
      <c r="D11528" s="75" t="s">
        <v>63</v>
      </c>
      <c r="E11528" s="76" t="s">
        <v>64</v>
      </c>
      <c r="F11528" s="76" t="s">
        <v>65</v>
      </c>
      <c r="G11528" s="76" t="s">
        <v>2889</v>
      </c>
      <c r="H11528" s="76"/>
      <c r="I11528" s="77" t="s">
        <v>66</v>
      </c>
      <c r="J11528" s="75" t="s">
        <v>67</v>
      </c>
      <c r="K11528" s="75" t="s">
        <v>2890</v>
      </c>
      <c r="L11528" s="75" t="s">
        <v>68</v>
      </c>
      <c r="M11528" s="75" t="s">
        <v>70</v>
      </c>
    </row>
    <row r="11529" ht="25.5" spans="3:13">
      <c r="C11529" s="569" t="s">
        <v>2891</v>
      </c>
      <c r="D11529" s="570" t="s">
        <v>3536</v>
      </c>
      <c r="E11529" s="569" t="s">
        <v>77</v>
      </c>
      <c r="F11529" s="569" t="s">
        <v>3531</v>
      </c>
      <c r="G11529" s="569">
        <v>14</v>
      </c>
      <c r="H11529" s="569"/>
      <c r="I11529" s="577" t="s">
        <v>141</v>
      </c>
      <c r="J11529" s="578">
        <v>1</v>
      </c>
      <c r="K11529" s="579"/>
      <c r="L11529" s="579">
        <v>339.9</v>
      </c>
      <c r="M11529" s="579">
        <v>339.9</v>
      </c>
    </row>
    <row r="11530" ht="15" customHeight="1" spans="3:13">
      <c r="C11530" s="100" t="s">
        <v>2893</v>
      </c>
      <c r="D11530" s="99" t="s">
        <v>6110</v>
      </c>
      <c r="E11530" s="100" t="s">
        <v>77</v>
      </c>
      <c r="F11530" s="100" t="s">
        <v>6111</v>
      </c>
      <c r="G11530" s="100" t="s">
        <v>2961</v>
      </c>
      <c r="H11530" s="100"/>
      <c r="I11530" s="101" t="s">
        <v>141</v>
      </c>
      <c r="J11530" s="580">
        <v>1</v>
      </c>
      <c r="K11530" s="580">
        <v>0</v>
      </c>
      <c r="L11530" s="102">
        <v>339.9</v>
      </c>
      <c r="M11530" s="102">
        <v>339.9</v>
      </c>
    </row>
    <row r="11531" ht="25.5" spans="3:13">
      <c r="C11531" s="108"/>
      <c r="D11531" s="108"/>
      <c r="E11531" s="108"/>
      <c r="F11531" s="108"/>
      <c r="G11531" s="108"/>
      <c r="H11531" s="108" t="s">
        <v>2898</v>
      </c>
      <c r="I11531" s="581">
        <v>0</v>
      </c>
      <c r="J11531" s="108" t="s">
        <v>2899</v>
      </c>
      <c r="K11531" s="581">
        <v>0</v>
      </c>
      <c r="L11531" s="108" t="s">
        <v>2900</v>
      </c>
      <c r="M11531" s="581">
        <v>0</v>
      </c>
    </row>
    <row r="11532" ht="26.25" spans="3:13">
      <c r="C11532" s="108"/>
      <c r="D11532" s="108"/>
      <c r="E11532" s="108"/>
      <c r="F11532" s="108"/>
      <c r="G11532" s="108"/>
      <c r="H11532" s="108" t="s">
        <v>2901</v>
      </c>
      <c r="I11532" s="581">
        <v>86.64</v>
      </c>
      <c r="J11532" s="114"/>
      <c r="K11532" s="114" t="s">
        <v>2902</v>
      </c>
      <c r="L11532" s="108"/>
      <c r="M11532" s="581">
        <v>426.54</v>
      </c>
    </row>
    <row r="11533" ht="15" spans="3:13">
      <c r="C11533" s="571"/>
      <c r="D11533" s="571"/>
      <c r="E11533" s="571"/>
      <c r="F11533" s="571"/>
      <c r="G11533" s="571"/>
      <c r="H11533" s="571"/>
      <c r="I11533" s="571"/>
      <c r="J11533" s="571"/>
      <c r="K11533" s="571"/>
      <c r="L11533" s="571"/>
      <c r="M11533" s="571"/>
    </row>
    <row r="11534" ht="15" customHeight="1" spans="3:13">
      <c r="C11534" s="76"/>
      <c r="D11534" s="75" t="s">
        <v>63</v>
      </c>
      <c r="E11534" s="76" t="s">
        <v>64</v>
      </c>
      <c r="F11534" s="76" t="s">
        <v>65</v>
      </c>
      <c r="G11534" s="76" t="s">
        <v>2889</v>
      </c>
      <c r="H11534" s="76"/>
      <c r="I11534" s="77" t="s">
        <v>66</v>
      </c>
      <c r="J11534" s="75" t="s">
        <v>67</v>
      </c>
      <c r="K11534" s="75" t="s">
        <v>2890</v>
      </c>
      <c r="L11534" s="75" t="s">
        <v>68</v>
      </c>
      <c r="M11534" s="75" t="s">
        <v>70</v>
      </c>
    </row>
    <row r="11535" ht="35.05" customHeight="1" spans="3:13">
      <c r="C11535" s="569" t="s">
        <v>2891</v>
      </c>
      <c r="D11535" s="570" t="s">
        <v>5906</v>
      </c>
      <c r="E11535" s="569" t="s">
        <v>796</v>
      </c>
      <c r="F11535" s="569" t="s">
        <v>5907</v>
      </c>
      <c r="G11535" s="569" t="s">
        <v>3668</v>
      </c>
      <c r="H11535" s="569"/>
      <c r="I11535" s="577" t="s">
        <v>3707</v>
      </c>
      <c r="J11535" s="578">
        <v>1</v>
      </c>
      <c r="K11535" s="579"/>
      <c r="L11535" s="579">
        <v>0.36</v>
      </c>
      <c r="M11535" s="579">
        <v>0.36</v>
      </c>
    </row>
    <row r="11536" ht="23.85" customHeight="1" spans="3:13">
      <c r="C11536" s="100" t="s">
        <v>2893</v>
      </c>
      <c r="D11536" s="99" t="s">
        <v>6112</v>
      </c>
      <c r="E11536" s="100" t="s">
        <v>796</v>
      </c>
      <c r="F11536" s="100" t="s">
        <v>6113</v>
      </c>
      <c r="G11536" s="100" t="s">
        <v>3395</v>
      </c>
      <c r="H11536" s="100"/>
      <c r="I11536" s="101" t="s">
        <v>334</v>
      </c>
      <c r="J11536" s="580">
        <v>0.0002</v>
      </c>
      <c r="K11536" s="580">
        <v>0</v>
      </c>
      <c r="L11536" s="102">
        <v>1830</v>
      </c>
      <c r="M11536" s="102">
        <v>0.36</v>
      </c>
    </row>
    <row r="11537" ht="25.5" spans="3:13">
      <c r="C11537" s="108"/>
      <c r="D11537" s="108"/>
      <c r="E11537" s="108"/>
      <c r="F11537" s="108"/>
      <c r="G11537" s="108"/>
      <c r="H11537" s="108" t="s">
        <v>2898</v>
      </c>
      <c r="I11537" s="581">
        <v>0</v>
      </c>
      <c r="J11537" s="108" t="s">
        <v>2899</v>
      </c>
      <c r="K11537" s="581">
        <v>0</v>
      </c>
      <c r="L11537" s="108" t="s">
        <v>2900</v>
      </c>
      <c r="M11537" s="581">
        <v>0</v>
      </c>
    </row>
    <row r="11538" ht="26.25" spans="3:13">
      <c r="C11538" s="108"/>
      <c r="D11538" s="108"/>
      <c r="E11538" s="108"/>
      <c r="F11538" s="108"/>
      <c r="G11538" s="108"/>
      <c r="H11538" s="108" t="s">
        <v>2901</v>
      </c>
      <c r="I11538" s="581">
        <v>0.09</v>
      </c>
      <c r="J11538" s="114"/>
      <c r="K11538" s="114" t="s">
        <v>2902</v>
      </c>
      <c r="L11538" s="108"/>
      <c r="M11538" s="581">
        <v>0.45</v>
      </c>
    </row>
    <row r="11539" ht="15" spans="3:13">
      <c r="C11539" s="571"/>
      <c r="D11539" s="571"/>
      <c r="E11539" s="571"/>
      <c r="F11539" s="571"/>
      <c r="G11539" s="571"/>
      <c r="H11539" s="571"/>
      <c r="I11539" s="571"/>
      <c r="J11539" s="571"/>
      <c r="K11539" s="571"/>
      <c r="L11539" s="571"/>
      <c r="M11539" s="571"/>
    </row>
    <row r="11540" ht="15" customHeight="1" spans="3:13">
      <c r="C11540" s="76"/>
      <c r="D11540" s="75" t="s">
        <v>63</v>
      </c>
      <c r="E11540" s="76" t="s">
        <v>64</v>
      </c>
      <c r="F11540" s="76" t="s">
        <v>65</v>
      </c>
      <c r="G11540" s="76" t="s">
        <v>2889</v>
      </c>
      <c r="H11540" s="76"/>
      <c r="I11540" s="77" t="s">
        <v>66</v>
      </c>
      <c r="J11540" s="75" t="s">
        <v>67</v>
      </c>
      <c r="K11540" s="75" t="s">
        <v>2890</v>
      </c>
      <c r="L11540" s="75" t="s">
        <v>68</v>
      </c>
      <c r="M11540" s="75" t="s">
        <v>70</v>
      </c>
    </row>
    <row r="11541" ht="46.25" customHeight="1" spans="3:13">
      <c r="C11541" s="569" t="s">
        <v>2891</v>
      </c>
      <c r="D11541" s="570" t="s">
        <v>5904</v>
      </c>
      <c r="E11541" s="569" t="s">
        <v>796</v>
      </c>
      <c r="F11541" s="569" t="s">
        <v>5905</v>
      </c>
      <c r="G11541" s="569" t="s">
        <v>3668</v>
      </c>
      <c r="H11541" s="569"/>
      <c r="I11541" s="577" t="s">
        <v>3707</v>
      </c>
      <c r="J11541" s="578">
        <v>1</v>
      </c>
      <c r="K11541" s="579"/>
      <c r="L11541" s="579">
        <v>2</v>
      </c>
      <c r="M11541" s="579">
        <v>2</v>
      </c>
    </row>
    <row r="11542" ht="23.85" customHeight="1" spans="3:13">
      <c r="C11542" s="100" t="s">
        <v>2893</v>
      </c>
      <c r="D11542" s="99" t="s">
        <v>6112</v>
      </c>
      <c r="E11542" s="100" t="s">
        <v>796</v>
      </c>
      <c r="F11542" s="100" t="s">
        <v>6113</v>
      </c>
      <c r="G11542" s="100" t="s">
        <v>3395</v>
      </c>
      <c r="H11542" s="100"/>
      <c r="I11542" s="101" t="s">
        <v>334</v>
      </c>
      <c r="J11542" s="580">
        <v>0.0002</v>
      </c>
      <c r="K11542" s="580">
        <v>0</v>
      </c>
      <c r="L11542" s="102">
        <v>1830</v>
      </c>
      <c r="M11542" s="102">
        <v>0.36</v>
      </c>
    </row>
    <row r="11543" ht="35.05" customHeight="1" spans="3:13">
      <c r="C11543" s="100" t="s">
        <v>2893</v>
      </c>
      <c r="D11543" s="99" t="s">
        <v>6114</v>
      </c>
      <c r="E11543" s="100" t="s">
        <v>796</v>
      </c>
      <c r="F11543" s="100" t="s">
        <v>6115</v>
      </c>
      <c r="G11543" s="100" t="s">
        <v>3395</v>
      </c>
      <c r="H11543" s="100"/>
      <c r="I11543" s="101" t="s">
        <v>5506</v>
      </c>
      <c r="J11543" s="580">
        <v>1.472</v>
      </c>
      <c r="K11543" s="580">
        <v>0</v>
      </c>
      <c r="L11543" s="102">
        <v>1.12</v>
      </c>
      <c r="M11543" s="102">
        <v>1.64</v>
      </c>
    </row>
    <row r="11544" ht="35.05" customHeight="1" spans="3:13">
      <c r="C11544" s="100" t="s">
        <v>2893</v>
      </c>
      <c r="D11544" s="99" t="s">
        <v>6116</v>
      </c>
      <c r="E11544" s="100" t="s">
        <v>796</v>
      </c>
      <c r="F11544" s="100" t="s">
        <v>6117</v>
      </c>
      <c r="G11544" s="100" t="s">
        <v>3395</v>
      </c>
      <c r="H11544" s="100"/>
      <c r="I11544" s="101" t="s">
        <v>334</v>
      </c>
      <c r="J11544" s="580">
        <v>1e-6</v>
      </c>
      <c r="K11544" s="580">
        <v>0</v>
      </c>
      <c r="L11544" s="102">
        <v>1830</v>
      </c>
      <c r="M11544" s="102">
        <v>0</v>
      </c>
    </row>
    <row r="11545" ht="25.5" spans="3:13">
      <c r="C11545" s="108"/>
      <c r="D11545" s="108"/>
      <c r="E11545" s="108"/>
      <c r="F11545" s="108"/>
      <c r="G11545" s="108"/>
      <c r="H11545" s="108" t="s">
        <v>2898</v>
      </c>
      <c r="I11545" s="581">
        <v>0</v>
      </c>
      <c r="J11545" s="108" t="s">
        <v>2899</v>
      </c>
      <c r="K11545" s="581">
        <v>0</v>
      </c>
      <c r="L11545" s="108" t="s">
        <v>2900</v>
      </c>
      <c r="M11545" s="581">
        <v>0</v>
      </c>
    </row>
    <row r="11546" ht="26.25" spans="3:13">
      <c r="C11546" s="108"/>
      <c r="D11546" s="108"/>
      <c r="E11546" s="108"/>
      <c r="F11546" s="108"/>
      <c r="G11546" s="108"/>
      <c r="H11546" s="108" t="s">
        <v>2901</v>
      </c>
      <c r="I11546" s="581">
        <v>0.5</v>
      </c>
      <c r="J11546" s="114"/>
      <c r="K11546" s="114" t="s">
        <v>2902</v>
      </c>
      <c r="L11546" s="108"/>
      <c r="M11546" s="581">
        <v>2.5</v>
      </c>
    </row>
    <row r="11547" ht="15" spans="3:13">
      <c r="C11547" s="571"/>
      <c r="D11547" s="571"/>
      <c r="E11547" s="571"/>
      <c r="F11547" s="571"/>
      <c r="G11547" s="571"/>
      <c r="H11547" s="571"/>
      <c r="I11547" s="571"/>
      <c r="J11547" s="571"/>
      <c r="K11547" s="571"/>
      <c r="L11547" s="571"/>
      <c r="M11547" s="571"/>
    </row>
    <row r="11548" spans="3:12">
      <c r="C11548" s="107"/>
      <c r="D11548" s="107"/>
      <c r="E11548" s="107"/>
      <c r="F11548" s="107"/>
      <c r="G11548" s="107"/>
      <c r="H11548" s="107"/>
      <c r="I11548" s="107"/>
      <c r="J11548" s="107"/>
      <c r="K11548" s="107"/>
      <c r="L11548" s="107"/>
    </row>
    <row r="11549" ht="15" customHeight="1" spans="3:12">
      <c r="C11549" s="109"/>
      <c r="D11549" s="109"/>
      <c r="E11549" s="109"/>
      <c r="F11549" s="110"/>
      <c r="G11549" s="111"/>
      <c r="H11549" s="115" t="s">
        <v>2880</v>
      </c>
      <c r="I11549" s="115"/>
      <c r="J11549" s="116">
        <v>19963738.7</v>
      </c>
      <c r="K11549" s="116"/>
      <c r="L11549" s="116"/>
    </row>
    <row r="11550" ht="15" customHeight="1" spans="3:12">
      <c r="C11550" s="109"/>
      <c r="D11550" s="109"/>
      <c r="E11550" s="109"/>
      <c r="F11550" s="110"/>
      <c r="G11550" s="111"/>
      <c r="H11550" s="115" t="s">
        <v>2881</v>
      </c>
      <c r="I11550" s="115"/>
      <c r="J11550" s="116">
        <v>4628600.9</v>
      </c>
      <c r="K11550" s="116"/>
      <c r="L11550" s="116"/>
    </row>
    <row r="11551" ht="15" customHeight="1" spans="3:12">
      <c r="C11551" s="109"/>
      <c r="D11551" s="109"/>
      <c r="E11551" s="109"/>
      <c r="F11551" s="110"/>
      <c r="G11551" s="111"/>
      <c r="H11551" s="115" t="s">
        <v>2882</v>
      </c>
      <c r="I11551" s="115"/>
      <c r="J11551" s="116">
        <v>24592339.6</v>
      </c>
      <c r="K11551" s="116"/>
      <c r="L11551" s="116"/>
    </row>
    <row r="11552" spans="3:12">
      <c r="C11552" s="112"/>
      <c r="D11552" s="112"/>
      <c r="E11552" s="112"/>
      <c r="F11552" s="112"/>
      <c r="G11552" s="112"/>
      <c r="H11552" s="112"/>
      <c r="I11552" s="112"/>
      <c r="J11552" s="112"/>
      <c r="K11552" s="112"/>
      <c r="L11552" s="112"/>
    </row>
    <row r="11553" ht="35.05" customHeight="1" spans="3:12">
      <c r="C11553" s="113" t="s">
        <v>2885</v>
      </c>
      <c r="D11553" s="113"/>
      <c r="E11553" s="113"/>
      <c r="F11553" s="113"/>
      <c r="G11553" s="113"/>
      <c r="H11553" s="113"/>
      <c r="I11553" s="113"/>
      <c r="J11553" s="113"/>
      <c r="K11553" s="113"/>
      <c r="L11553" s="113"/>
    </row>
  </sheetData>
  <autoFilter xmlns:etc="http://www.wps.cn/officeDocument/2017/etCustomData" ref="A7:O6540" etc:filterBottomFollowUsedRange="0">
    <extLst/>
  </autoFilter>
  <mergeCells count="8937">
    <mergeCell ref="G1:H1"/>
    <mergeCell ref="I1:J1"/>
    <mergeCell ref="K1:L1"/>
    <mergeCell ref="C2:M2"/>
    <mergeCell ref="C3:F3"/>
    <mergeCell ref="H3:J3"/>
    <mergeCell ref="K3:M3"/>
    <mergeCell ref="C4:F4"/>
    <mergeCell ref="H4:J4"/>
    <mergeCell ref="K4:M4"/>
    <mergeCell ref="C5:F5"/>
    <mergeCell ref="L5:M5"/>
    <mergeCell ref="C6:F6"/>
    <mergeCell ref="L6:M6"/>
    <mergeCell ref="C7:M7"/>
    <mergeCell ref="C8:M8"/>
    <mergeCell ref="G9:H9"/>
    <mergeCell ref="G10:H10"/>
    <mergeCell ref="G11:H11"/>
    <mergeCell ref="J13:K13"/>
    <mergeCell ref="G15:H15"/>
    <mergeCell ref="G16:H16"/>
    <mergeCell ref="G17:H17"/>
    <mergeCell ref="J19:K19"/>
    <mergeCell ref="G21:H21"/>
    <mergeCell ref="G22:H22"/>
    <mergeCell ref="G23:H23"/>
    <mergeCell ref="J25:K25"/>
    <mergeCell ref="G27:H27"/>
    <mergeCell ref="G28:H28"/>
    <mergeCell ref="G29:H29"/>
    <mergeCell ref="J31:K31"/>
    <mergeCell ref="G33:H33"/>
    <mergeCell ref="G34:H34"/>
    <mergeCell ref="G35:H35"/>
    <mergeCell ref="J37:K37"/>
    <mergeCell ref="G39:H39"/>
    <mergeCell ref="G40:H40"/>
    <mergeCell ref="G41:H41"/>
    <mergeCell ref="J43:K43"/>
    <mergeCell ref="G45:H45"/>
    <mergeCell ref="G46:H46"/>
    <mergeCell ref="G47:H47"/>
    <mergeCell ref="J49:K49"/>
    <mergeCell ref="G51:H51"/>
    <mergeCell ref="G52:H52"/>
    <mergeCell ref="G53:H53"/>
    <mergeCell ref="J55:K55"/>
    <mergeCell ref="G57:H57"/>
    <mergeCell ref="G58:H58"/>
    <mergeCell ref="G59:H59"/>
    <mergeCell ref="J61:K61"/>
    <mergeCell ref="G63:H63"/>
    <mergeCell ref="G64:H64"/>
    <mergeCell ref="G65:H65"/>
    <mergeCell ref="J67:K67"/>
    <mergeCell ref="G69:H69"/>
    <mergeCell ref="G70:H70"/>
    <mergeCell ref="G71:H71"/>
    <mergeCell ref="J73:K73"/>
    <mergeCell ref="G75:H75"/>
    <mergeCell ref="G76:H76"/>
    <mergeCell ref="G77:H77"/>
    <mergeCell ref="J79:K79"/>
    <mergeCell ref="G81:H81"/>
    <mergeCell ref="G82:H82"/>
    <mergeCell ref="G83:H83"/>
    <mergeCell ref="J85:K85"/>
    <mergeCell ref="G87:H87"/>
    <mergeCell ref="G88:H88"/>
    <mergeCell ref="G89:H89"/>
    <mergeCell ref="J91:K91"/>
    <mergeCell ref="G93:H93"/>
    <mergeCell ref="G94:H94"/>
    <mergeCell ref="G95:H95"/>
    <mergeCell ref="J97:K97"/>
    <mergeCell ref="G99:H99"/>
    <mergeCell ref="G100:H100"/>
    <mergeCell ref="G101:H101"/>
    <mergeCell ref="J103:K103"/>
    <mergeCell ref="G105:H105"/>
    <mergeCell ref="G106:H106"/>
    <mergeCell ref="G107:H107"/>
    <mergeCell ref="J109:K109"/>
    <mergeCell ref="G111:H111"/>
    <mergeCell ref="G112:H112"/>
    <mergeCell ref="G113:H113"/>
    <mergeCell ref="J115:K115"/>
    <mergeCell ref="G117:H117"/>
    <mergeCell ref="G118:H118"/>
    <mergeCell ref="G119:H119"/>
    <mergeCell ref="G120:H120"/>
    <mergeCell ref="G121:H121"/>
    <mergeCell ref="G122:H122"/>
    <mergeCell ref="G123:H123"/>
    <mergeCell ref="G124:H124"/>
    <mergeCell ref="G125:H125"/>
    <mergeCell ref="G126:H126"/>
    <mergeCell ref="G127:H127"/>
    <mergeCell ref="G128:H128"/>
    <mergeCell ref="G129:H129"/>
    <mergeCell ref="G130:H130"/>
    <mergeCell ref="G131:H131"/>
    <mergeCell ref="J133:K133"/>
    <mergeCell ref="G135:H135"/>
    <mergeCell ref="G136:H136"/>
    <mergeCell ref="G137:H137"/>
    <mergeCell ref="G138:H138"/>
    <mergeCell ref="G139:H139"/>
    <mergeCell ref="G140:H140"/>
    <mergeCell ref="G141:H141"/>
    <mergeCell ref="G142:H142"/>
    <mergeCell ref="G143:H143"/>
    <mergeCell ref="J145:K145"/>
    <mergeCell ref="G147:H147"/>
    <mergeCell ref="G148:H148"/>
    <mergeCell ref="G149:H149"/>
    <mergeCell ref="G150:H150"/>
    <mergeCell ref="J152:K152"/>
    <mergeCell ref="C153:L153"/>
    <mergeCell ref="C154:L154"/>
    <mergeCell ref="G156:H156"/>
    <mergeCell ref="G157:H157"/>
    <mergeCell ref="G158:H158"/>
    <mergeCell ref="G159:H159"/>
    <mergeCell ref="G160:H160"/>
    <mergeCell ref="G161:H161"/>
    <mergeCell ref="G162:H162"/>
    <mergeCell ref="G163:H163"/>
    <mergeCell ref="G164:H164"/>
    <mergeCell ref="G165:H165"/>
    <mergeCell ref="G166:H166"/>
    <mergeCell ref="J168:K168"/>
    <mergeCell ref="G170:H170"/>
    <mergeCell ref="G171:H171"/>
    <mergeCell ref="G172:H172"/>
    <mergeCell ref="G173:H173"/>
    <mergeCell ref="G174:H174"/>
    <mergeCell ref="G175:H175"/>
    <mergeCell ref="G176:H176"/>
    <mergeCell ref="G177:H177"/>
    <mergeCell ref="G178:H178"/>
    <mergeCell ref="G179:H179"/>
    <mergeCell ref="G180:H180"/>
    <mergeCell ref="J182:K182"/>
    <mergeCell ref="G184:H184"/>
    <mergeCell ref="G185:H185"/>
    <mergeCell ref="G186:H186"/>
    <mergeCell ref="G187:H187"/>
    <mergeCell ref="G188:H188"/>
    <mergeCell ref="G189:H189"/>
    <mergeCell ref="G190:H190"/>
    <mergeCell ref="J192:K192"/>
    <mergeCell ref="G194:H194"/>
    <mergeCell ref="G195:H195"/>
    <mergeCell ref="G196:H196"/>
    <mergeCell ref="G197:H197"/>
    <mergeCell ref="G198:H198"/>
    <mergeCell ref="G199:H199"/>
    <mergeCell ref="G200:H200"/>
    <mergeCell ref="G201:H201"/>
    <mergeCell ref="G202:H202"/>
    <mergeCell ref="G203:H203"/>
    <mergeCell ref="G204:H204"/>
    <mergeCell ref="J206:K206"/>
    <mergeCell ref="G208:H208"/>
    <mergeCell ref="G209:H209"/>
    <mergeCell ref="G210:H210"/>
    <mergeCell ref="G211:H211"/>
    <mergeCell ref="G212:H212"/>
    <mergeCell ref="G213:H213"/>
    <mergeCell ref="G214:H214"/>
    <mergeCell ref="J216:K216"/>
    <mergeCell ref="G218:H218"/>
    <mergeCell ref="G219:H219"/>
    <mergeCell ref="G220:H220"/>
    <mergeCell ref="G221:H221"/>
    <mergeCell ref="G222:H222"/>
    <mergeCell ref="G223:H223"/>
    <mergeCell ref="G224:H224"/>
    <mergeCell ref="J226:K226"/>
    <mergeCell ref="G228:H228"/>
    <mergeCell ref="G229:H229"/>
    <mergeCell ref="G230:H230"/>
    <mergeCell ref="G231:H231"/>
    <mergeCell ref="G232:H232"/>
    <mergeCell ref="J234:K234"/>
    <mergeCell ref="G236:H236"/>
    <mergeCell ref="G237:H237"/>
    <mergeCell ref="G238:H238"/>
    <mergeCell ref="G239:H239"/>
    <mergeCell ref="G240:H240"/>
    <mergeCell ref="J242:K242"/>
    <mergeCell ref="G244:H244"/>
    <mergeCell ref="G245:H245"/>
    <mergeCell ref="G246:H246"/>
    <mergeCell ref="G247:H247"/>
    <mergeCell ref="G248:H248"/>
    <mergeCell ref="G249:H249"/>
    <mergeCell ref="G250:H250"/>
    <mergeCell ref="G251:H251"/>
    <mergeCell ref="G252:H252"/>
    <mergeCell ref="J254:K254"/>
    <mergeCell ref="G256:H256"/>
    <mergeCell ref="G257:H257"/>
    <mergeCell ref="G258:H258"/>
    <mergeCell ref="G259:H259"/>
    <mergeCell ref="G260:H260"/>
    <mergeCell ref="G261:H261"/>
    <mergeCell ref="G262:H262"/>
    <mergeCell ref="G263:H263"/>
    <mergeCell ref="G264:H264"/>
    <mergeCell ref="J266:K266"/>
    <mergeCell ref="G268:H268"/>
    <mergeCell ref="G269:H269"/>
    <mergeCell ref="G270:H270"/>
    <mergeCell ref="G271:H271"/>
    <mergeCell ref="G272:H272"/>
    <mergeCell ref="G273:H273"/>
    <mergeCell ref="G274:H274"/>
    <mergeCell ref="J276:K276"/>
    <mergeCell ref="G278:H278"/>
    <mergeCell ref="G279:H279"/>
    <mergeCell ref="G280:H280"/>
    <mergeCell ref="G281:H281"/>
    <mergeCell ref="G282:H282"/>
    <mergeCell ref="G283:H283"/>
    <mergeCell ref="G284:H284"/>
    <mergeCell ref="G285:H285"/>
    <mergeCell ref="J287:K287"/>
    <mergeCell ref="G289:H289"/>
    <mergeCell ref="G290:H290"/>
    <mergeCell ref="G291:H291"/>
    <mergeCell ref="G292:H292"/>
    <mergeCell ref="G293:H293"/>
    <mergeCell ref="J295:K295"/>
    <mergeCell ref="G297:H297"/>
    <mergeCell ref="G298:H298"/>
    <mergeCell ref="G299:H299"/>
    <mergeCell ref="G300:H300"/>
    <mergeCell ref="G301:H301"/>
    <mergeCell ref="J303:K303"/>
    <mergeCell ref="G305:H305"/>
    <mergeCell ref="G306:H306"/>
    <mergeCell ref="G307:H307"/>
    <mergeCell ref="G308:H308"/>
    <mergeCell ref="G309:H309"/>
    <mergeCell ref="J311:K311"/>
    <mergeCell ref="G313:H313"/>
    <mergeCell ref="G314:H314"/>
    <mergeCell ref="G315:H315"/>
    <mergeCell ref="G316:H316"/>
    <mergeCell ref="G317:H317"/>
    <mergeCell ref="G318:H318"/>
    <mergeCell ref="G319:H319"/>
    <mergeCell ref="G320:H320"/>
    <mergeCell ref="J322:K322"/>
    <mergeCell ref="G324:H324"/>
    <mergeCell ref="G325:H325"/>
    <mergeCell ref="G326:H326"/>
    <mergeCell ref="G327:H327"/>
    <mergeCell ref="G328:H328"/>
    <mergeCell ref="G329:H329"/>
    <mergeCell ref="G330:H330"/>
    <mergeCell ref="G331:H331"/>
    <mergeCell ref="G332:H332"/>
    <mergeCell ref="J334:K334"/>
    <mergeCell ref="G336:H336"/>
    <mergeCell ref="G337:H337"/>
    <mergeCell ref="G338:H338"/>
    <mergeCell ref="G339:H339"/>
    <mergeCell ref="G340:H340"/>
    <mergeCell ref="G341:H341"/>
    <mergeCell ref="J343:K343"/>
    <mergeCell ref="G345:H345"/>
    <mergeCell ref="G346:H346"/>
    <mergeCell ref="G347:H347"/>
    <mergeCell ref="G348:H348"/>
    <mergeCell ref="G349:H349"/>
    <mergeCell ref="G350:H350"/>
    <mergeCell ref="G351:H351"/>
    <mergeCell ref="G352:H352"/>
    <mergeCell ref="G353:H353"/>
    <mergeCell ref="G354:H354"/>
    <mergeCell ref="J356:K356"/>
    <mergeCell ref="G358:H358"/>
    <mergeCell ref="G359:H359"/>
    <mergeCell ref="G360:H360"/>
    <mergeCell ref="G361:H361"/>
    <mergeCell ref="G362:H362"/>
    <mergeCell ref="G363:H363"/>
    <mergeCell ref="G364:H364"/>
    <mergeCell ref="G365:H365"/>
    <mergeCell ref="J367:K367"/>
    <mergeCell ref="G369:H369"/>
    <mergeCell ref="G370:H370"/>
    <mergeCell ref="G371:H371"/>
    <mergeCell ref="G372:H372"/>
    <mergeCell ref="G373:H373"/>
    <mergeCell ref="J375:K375"/>
    <mergeCell ref="G377:H377"/>
    <mergeCell ref="G378:H378"/>
    <mergeCell ref="G379:H379"/>
    <mergeCell ref="G380:H380"/>
    <mergeCell ref="G381:H381"/>
    <mergeCell ref="J383:K383"/>
    <mergeCell ref="G385:H385"/>
    <mergeCell ref="G386:H386"/>
    <mergeCell ref="G387:H387"/>
    <mergeCell ref="G388:H388"/>
    <mergeCell ref="G389:H389"/>
    <mergeCell ref="J391:K391"/>
    <mergeCell ref="G393:H393"/>
    <mergeCell ref="G394:H394"/>
    <mergeCell ref="G395:H395"/>
    <mergeCell ref="G396:H396"/>
    <mergeCell ref="G397:H397"/>
    <mergeCell ref="J399:K399"/>
    <mergeCell ref="G401:H401"/>
    <mergeCell ref="G402:H402"/>
    <mergeCell ref="G403:H403"/>
    <mergeCell ref="G404:H404"/>
    <mergeCell ref="G405:H405"/>
    <mergeCell ref="J407:K407"/>
    <mergeCell ref="G409:H409"/>
    <mergeCell ref="G410:H410"/>
    <mergeCell ref="G411:H411"/>
    <mergeCell ref="G412:H412"/>
    <mergeCell ref="G413:H413"/>
    <mergeCell ref="G414:H414"/>
    <mergeCell ref="J416:K416"/>
    <mergeCell ref="G418:H418"/>
    <mergeCell ref="G419:H419"/>
    <mergeCell ref="G420:H420"/>
    <mergeCell ref="G421:H421"/>
    <mergeCell ref="G422:H422"/>
    <mergeCell ref="G423:H423"/>
    <mergeCell ref="J425:K425"/>
    <mergeCell ref="G427:H427"/>
    <mergeCell ref="G428:H428"/>
    <mergeCell ref="G429:H429"/>
    <mergeCell ref="G430:H430"/>
    <mergeCell ref="G431:H431"/>
    <mergeCell ref="G432:H432"/>
    <mergeCell ref="J434:K434"/>
    <mergeCell ref="G436:H436"/>
    <mergeCell ref="G437:H437"/>
    <mergeCell ref="G438:H438"/>
    <mergeCell ref="G439:H439"/>
    <mergeCell ref="G440:H440"/>
    <mergeCell ref="G441:H441"/>
    <mergeCell ref="J443:K443"/>
    <mergeCell ref="G445:H445"/>
    <mergeCell ref="G446:H446"/>
    <mergeCell ref="G447:H447"/>
    <mergeCell ref="G448:H448"/>
    <mergeCell ref="J450:K450"/>
    <mergeCell ref="G452:H452"/>
    <mergeCell ref="G453:H453"/>
    <mergeCell ref="G454:H454"/>
    <mergeCell ref="G455:H455"/>
    <mergeCell ref="J457:K457"/>
    <mergeCell ref="G459:H459"/>
    <mergeCell ref="G460:H460"/>
    <mergeCell ref="G461:H461"/>
    <mergeCell ref="G462:H462"/>
    <mergeCell ref="J464:K464"/>
    <mergeCell ref="G466:H466"/>
    <mergeCell ref="G467:H467"/>
    <mergeCell ref="G468:H468"/>
    <mergeCell ref="G469:H469"/>
    <mergeCell ref="G470:H470"/>
    <mergeCell ref="J472:K472"/>
    <mergeCell ref="G474:H474"/>
    <mergeCell ref="G475:H475"/>
    <mergeCell ref="G476:H476"/>
    <mergeCell ref="G477:H477"/>
    <mergeCell ref="G478:H478"/>
    <mergeCell ref="G479:H479"/>
    <mergeCell ref="J481:K481"/>
    <mergeCell ref="G483:H483"/>
    <mergeCell ref="G484:H484"/>
    <mergeCell ref="G485:H485"/>
    <mergeCell ref="G486:H486"/>
    <mergeCell ref="G487:H487"/>
    <mergeCell ref="G488:H488"/>
    <mergeCell ref="J490:K490"/>
    <mergeCell ref="G492:H492"/>
    <mergeCell ref="G493:H493"/>
    <mergeCell ref="G494:H494"/>
    <mergeCell ref="G495:H495"/>
    <mergeCell ref="G496:H496"/>
    <mergeCell ref="G497:H497"/>
    <mergeCell ref="J499:K499"/>
    <mergeCell ref="G501:H501"/>
    <mergeCell ref="G502:H502"/>
    <mergeCell ref="G503:H503"/>
    <mergeCell ref="G504:H504"/>
    <mergeCell ref="G505:H505"/>
    <mergeCell ref="G506:H506"/>
    <mergeCell ref="G507:H507"/>
    <mergeCell ref="G508:H508"/>
    <mergeCell ref="G509:H509"/>
    <mergeCell ref="J511:K511"/>
    <mergeCell ref="G513:H513"/>
    <mergeCell ref="G514:H514"/>
    <mergeCell ref="G515:H515"/>
    <mergeCell ref="G516:H516"/>
    <mergeCell ref="G517:H517"/>
    <mergeCell ref="G518:H518"/>
    <mergeCell ref="G519:H519"/>
    <mergeCell ref="G520:H520"/>
    <mergeCell ref="G521:H521"/>
    <mergeCell ref="G522:H522"/>
    <mergeCell ref="G523:H523"/>
    <mergeCell ref="G524:H524"/>
    <mergeCell ref="G525:H525"/>
    <mergeCell ref="G526:H526"/>
    <mergeCell ref="G527:H527"/>
    <mergeCell ref="G528:H528"/>
    <mergeCell ref="G529:H529"/>
    <mergeCell ref="G530:H530"/>
    <mergeCell ref="G531:H531"/>
    <mergeCell ref="G532:H532"/>
    <mergeCell ref="G533:H533"/>
    <mergeCell ref="G534:H534"/>
    <mergeCell ref="G535:H535"/>
    <mergeCell ref="G536:H536"/>
    <mergeCell ref="G537:H537"/>
    <mergeCell ref="G538:H538"/>
    <mergeCell ref="G539:H539"/>
    <mergeCell ref="J541:K541"/>
    <mergeCell ref="G543:H543"/>
    <mergeCell ref="G544:H544"/>
    <mergeCell ref="G545:H545"/>
    <mergeCell ref="G546:H546"/>
    <mergeCell ref="G547:H547"/>
    <mergeCell ref="G548:H548"/>
    <mergeCell ref="G549:H549"/>
    <mergeCell ref="G550:H550"/>
    <mergeCell ref="G551:H551"/>
    <mergeCell ref="G552:H552"/>
    <mergeCell ref="G553:H553"/>
    <mergeCell ref="G554:H554"/>
    <mergeCell ref="G555:H555"/>
    <mergeCell ref="G556:H556"/>
    <mergeCell ref="G557:H557"/>
    <mergeCell ref="G558:H558"/>
    <mergeCell ref="G559:H559"/>
    <mergeCell ref="G560:H560"/>
    <mergeCell ref="G561:H561"/>
    <mergeCell ref="G562:H562"/>
    <mergeCell ref="G563:H563"/>
    <mergeCell ref="G564:H564"/>
    <mergeCell ref="G565:H565"/>
    <mergeCell ref="G566:H566"/>
    <mergeCell ref="G567:H567"/>
    <mergeCell ref="G568:H568"/>
    <mergeCell ref="G569:H569"/>
    <mergeCell ref="J571:K571"/>
    <mergeCell ref="G573:H573"/>
    <mergeCell ref="G574:H574"/>
    <mergeCell ref="G575:H575"/>
    <mergeCell ref="G576:H576"/>
    <mergeCell ref="J578:K578"/>
    <mergeCell ref="G580:H580"/>
    <mergeCell ref="G581:H581"/>
    <mergeCell ref="G582:H582"/>
    <mergeCell ref="G583:H583"/>
    <mergeCell ref="G584:H584"/>
    <mergeCell ref="G585:H585"/>
    <mergeCell ref="G586:H586"/>
    <mergeCell ref="G587:H587"/>
    <mergeCell ref="J589:K589"/>
    <mergeCell ref="G591:H591"/>
    <mergeCell ref="G592:H592"/>
    <mergeCell ref="G593:H593"/>
    <mergeCell ref="G594:H594"/>
    <mergeCell ref="J596:K596"/>
    <mergeCell ref="G598:H598"/>
    <mergeCell ref="G599:H599"/>
    <mergeCell ref="G600:H600"/>
    <mergeCell ref="G601:H601"/>
    <mergeCell ref="J603:K603"/>
    <mergeCell ref="G605:H605"/>
    <mergeCell ref="G606:H606"/>
    <mergeCell ref="G607:H607"/>
    <mergeCell ref="J609:K609"/>
    <mergeCell ref="G611:H611"/>
    <mergeCell ref="G612:H612"/>
    <mergeCell ref="G613:H613"/>
    <mergeCell ref="G614:H614"/>
    <mergeCell ref="J616:K616"/>
    <mergeCell ref="G618:H618"/>
    <mergeCell ref="G619:H619"/>
    <mergeCell ref="G620:H620"/>
    <mergeCell ref="G621:H621"/>
    <mergeCell ref="J623:K623"/>
    <mergeCell ref="G625:H625"/>
    <mergeCell ref="G626:H626"/>
    <mergeCell ref="G627:H627"/>
    <mergeCell ref="G628:H628"/>
    <mergeCell ref="J630:K630"/>
    <mergeCell ref="G632:H632"/>
    <mergeCell ref="G633:H633"/>
    <mergeCell ref="G634:H634"/>
    <mergeCell ref="G635:H635"/>
    <mergeCell ref="J637:K637"/>
    <mergeCell ref="G639:H639"/>
    <mergeCell ref="G640:H640"/>
    <mergeCell ref="G641:H641"/>
    <mergeCell ref="G642:H642"/>
    <mergeCell ref="J644:K644"/>
    <mergeCell ref="G646:H646"/>
    <mergeCell ref="G647:H647"/>
    <mergeCell ref="G648:H648"/>
    <mergeCell ref="G649:H649"/>
    <mergeCell ref="J651:K651"/>
    <mergeCell ref="G653:H653"/>
    <mergeCell ref="G654:H654"/>
    <mergeCell ref="G655:H655"/>
    <mergeCell ref="G656:H656"/>
    <mergeCell ref="J658:K658"/>
    <mergeCell ref="G660:H660"/>
    <mergeCell ref="G661:H661"/>
    <mergeCell ref="G662:H662"/>
    <mergeCell ref="G663:H663"/>
    <mergeCell ref="J665:K665"/>
    <mergeCell ref="G667:H667"/>
    <mergeCell ref="G668:H668"/>
    <mergeCell ref="G669:H669"/>
    <mergeCell ref="G670:H670"/>
    <mergeCell ref="J672:K672"/>
    <mergeCell ref="G674:H674"/>
    <mergeCell ref="G675:H675"/>
    <mergeCell ref="G676:H676"/>
    <mergeCell ref="G677:H677"/>
    <mergeCell ref="J679:K679"/>
    <mergeCell ref="G681:H681"/>
    <mergeCell ref="G682:H682"/>
    <mergeCell ref="G683:H683"/>
    <mergeCell ref="G684:H684"/>
    <mergeCell ref="J686:K686"/>
    <mergeCell ref="G688:H688"/>
    <mergeCell ref="G689:H689"/>
    <mergeCell ref="G690:H690"/>
    <mergeCell ref="G691:H691"/>
    <mergeCell ref="J693:K693"/>
    <mergeCell ref="G695:H695"/>
    <mergeCell ref="G696:H696"/>
    <mergeCell ref="G697:H697"/>
    <mergeCell ref="G698:H698"/>
    <mergeCell ref="J700:K700"/>
    <mergeCell ref="G702:H702"/>
    <mergeCell ref="G703:H703"/>
    <mergeCell ref="G704:H704"/>
    <mergeCell ref="G705:H705"/>
    <mergeCell ref="J707:K707"/>
    <mergeCell ref="G709:H709"/>
    <mergeCell ref="G710:H710"/>
    <mergeCell ref="G711:H711"/>
    <mergeCell ref="J713:K713"/>
    <mergeCell ref="G715:H715"/>
    <mergeCell ref="G716:H716"/>
    <mergeCell ref="G717:H717"/>
    <mergeCell ref="G718:H718"/>
    <mergeCell ref="J720:K720"/>
    <mergeCell ref="G722:H722"/>
    <mergeCell ref="G723:H723"/>
    <mergeCell ref="G724:H724"/>
    <mergeCell ref="J726:K726"/>
    <mergeCell ref="G728:H728"/>
    <mergeCell ref="G729:H729"/>
    <mergeCell ref="G730:H730"/>
    <mergeCell ref="G731:H731"/>
    <mergeCell ref="J733:K733"/>
    <mergeCell ref="G735:H735"/>
    <mergeCell ref="G736:H736"/>
    <mergeCell ref="G737:H737"/>
    <mergeCell ref="J739:K739"/>
    <mergeCell ref="G741:H741"/>
    <mergeCell ref="G742:H742"/>
    <mergeCell ref="G743:H743"/>
    <mergeCell ref="J745:K745"/>
    <mergeCell ref="G747:H747"/>
    <mergeCell ref="G748:H748"/>
    <mergeCell ref="G749:H749"/>
    <mergeCell ref="J751:K751"/>
    <mergeCell ref="G753:H753"/>
    <mergeCell ref="G754:H754"/>
    <mergeCell ref="G755:H755"/>
    <mergeCell ref="J757:K757"/>
    <mergeCell ref="G759:H759"/>
    <mergeCell ref="G760:H760"/>
    <mergeCell ref="G761:H761"/>
    <mergeCell ref="G762:H762"/>
    <mergeCell ref="G763:H763"/>
    <mergeCell ref="G764:H764"/>
    <mergeCell ref="G765:H765"/>
    <mergeCell ref="J767:K767"/>
    <mergeCell ref="G769:H769"/>
    <mergeCell ref="G770:H770"/>
    <mergeCell ref="G771:H771"/>
    <mergeCell ref="J773:K773"/>
    <mergeCell ref="G775:H775"/>
    <mergeCell ref="G776:H776"/>
    <mergeCell ref="G777:H777"/>
    <mergeCell ref="G778:H778"/>
    <mergeCell ref="G779:H779"/>
    <mergeCell ref="G780:H780"/>
    <mergeCell ref="G781:H781"/>
    <mergeCell ref="G782:H782"/>
    <mergeCell ref="G783:H783"/>
    <mergeCell ref="G784:H784"/>
    <mergeCell ref="G785:H785"/>
    <mergeCell ref="G786:H786"/>
    <mergeCell ref="G787:H787"/>
    <mergeCell ref="J789:K789"/>
    <mergeCell ref="G791:H791"/>
    <mergeCell ref="G792:H792"/>
    <mergeCell ref="G793:H793"/>
    <mergeCell ref="J795:K795"/>
    <mergeCell ref="G797:H797"/>
    <mergeCell ref="G798:H798"/>
    <mergeCell ref="G799:H799"/>
    <mergeCell ref="G800:H800"/>
    <mergeCell ref="G801:H801"/>
    <mergeCell ref="G802:H802"/>
    <mergeCell ref="J804:K804"/>
    <mergeCell ref="G806:H806"/>
    <mergeCell ref="G807:H807"/>
    <mergeCell ref="G808:H808"/>
    <mergeCell ref="J810:K810"/>
    <mergeCell ref="G812:H812"/>
    <mergeCell ref="G813:H813"/>
    <mergeCell ref="G814:H814"/>
    <mergeCell ref="G815:H815"/>
    <mergeCell ref="G816:H816"/>
    <mergeCell ref="G817:H817"/>
    <mergeCell ref="J819:K819"/>
    <mergeCell ref="G821:H821"/>
    <mergeCell ref="G822:H822"/>
    <mergeCell ref="G823:H823"/>
    <mergeCell ref="J825:K825"/>
    <mergeCell ref="G827:H827"/>
    <mergeCell ref="G828:H828"/>
    <mergeCell ref="G829:H829"/>
    <mergeCell ref="G830:H830"/>
    <mergeCell ref="G831:H831"/>
    <mergeCell ref="G832:H832"/>
    <mergeCell ref="J834:K834"/>
    <mergeCell ref="G836:H836"/>
    <mergeCell ref="G837:H837"/>
    <mergeCell ref="G838:H838"/>
    <mergeCell ref="G839:H839"/>
    <mergeCell ref="G840:H840"/>
    <mergeCell ref="G841:H841"/>
    <mergeCell ref="G842:H842"/>
    <mergeCell ref="J844:K844"/>
    <mergeCell ref="G846:H846"/>
    <mergeCell ref="G847:H847"/>
    <mergeCell ref="G848:H848"/>
    <mergeCell ref="G849:H849"/>
    <mergeCell ref="G850:H850"/>
    <mergeCell ref="G851:H851"/>
    <mergeCell ref="G852:H852"/>
    <mergeCell ref="J854:K854"/>
    <mergeCell ref="G856:H856"/>
    <mergeCell ref="G857:H857"/>
    <mergeCell ref="G858:H858"/>
    <mergeCell ref="G859:H859"/>
    <mergeCell ref="G860:H860"/>
    <mergeCell ref="G861:H861"/>
    <mergeCell ref="G862:H862"/>
    <mergeCell ref="J864:K864"/>
    <mergeCell ref="G866:H866"/>
    <mergeCell ref="G867:H867"/>
    <mergeCell ref="G868:H868"/>
    <mergeCell ref="G869:H869"/>
    <mergeCell ref="G870:H870"/>
    <mergeCell ref="G871:H871"/>
    <mergeCell ref="G872:H872"/>
    <mergeCell ref="J874:K874"/>
    <mergeCell ref="G876:H876"/>
    <mergeCell ref="G877:H877"/>
    <mergeCell ref="G878:H878"/>
    <mergeCell ref="G879:H879"/>
    <mergeCell ref="G880:H880"/>
    <mergeCell ref="G881:H881"/>
    <mergeCell ref="G882:H882"/>
    <mergeCell ref="J884:K884"/>
    <mergeCell ref="G886:H886"/>
    <mergeCell ref="G887:H887"/>
    <mergeCell ref="G888:H888"/>
    <mergeCell ref="G889:H889"/>
    <mergeCell ref="G890:H890"/>
    <mergeCell ref="G891:H891"/>
    <mergeCell ref="G892:H892"/>
    <mergeCell ref="G893:H893"/>
    <mergeCell ref="G894:H894"/>
    <mergeCell ref="G895:H895"/>
    <mergeCell ref="G896:H896"/>
    <mergeCell ref="G897:H897"/>
    <mergeCell ref="G898:H898"/>
    <mergeCell ref="G899:H899"/>
    <mergeCell ref="J901:K901"/>
    <mergeCell ref="G903:H903"/>
    <mergeCell ref="G904:H904"/>
    <mergeCell ref="G905:H905"/>
    <mergeCell ref="G906:H906"/>
    <mergeCell ref="G907:H907"/>
    <mergeCell ref="G908:H908"/>
    <mergeCell ref="G909:H909"/>
    <mergeCell ref="J911:K911"/>
    <mergeCell ref="G913:H913"/>
    <mergeCell ref="G914:H914"/>
    <mergeCell ref="G915:H915"/>
    <mergeCell ref="G916:H916"/>
    <mergeCell ref="G917:H917"/>
    <mergeCell ref="J919:K919"/>
    <mergeCell ref="G921:H921"/>
    <mergeCell ref="G922:H922"/>
    <mergeCell ref="G923:H923"/>
    <mergeCell ref="G924:H924"/>
    <mergeCell ref="J926:K926"/>
    <mergeCell ref="G928:H928"/>
    <mergeCell ref="G929:H929"/>
    <mergeCell ref="G930:H930"/>
    <mergeCell ref="G931:H931"/>
    <mergeCell ref="J933:K933"/>
    <mergeCell ref="G935:H935"/>
    <mergeCell ref="G936:H936"/>
    <mergeCell ref="G937:H937"/>
    <mergeCell ref="G938:H938"/>
    <mergeCell ref="G939:H939"/>
    <mergeCell ref="G940:H940"/>
    <mergeCell ref="G941:H941"/>
    <mergeCell ref="G942:H942"/>
    <mergeCell ref="J944:K944"/>
    <mergeCell ref="G946:H946"/>
    <mergeCell ref="G947:H947"/>
    <mergeCell ref="G948:H948"/>
    <mergeCell ref="G949:H949"/>
    <mergeCell ref="G950:H950"/>
    <mergeCell ref="G951:H951"/>
    <mergeCell ref="G952:H952"/>
    <mergeCell ref="J954:K954"/>
    <mergeCell ref="G956:H956"/>
    <mergeCell ref="G957:H957"/>
    <mergeCell ref="G958:H958"/>
    <mergeCell ref="G959:H959"/>
    <mergeCell ref="G960:H960"/>
    <mergeCell ref="G961:H961"/>
    <mergeCell ref="G962:H962"/>
    <mergeCell ref="J964:K964"/>
    <mergeCell ref="G966:H966"/>
    <mergeCell ref="G967:H967"/>
    <mergeCell ref="G968:H968"/>
    <mergeCell ref="G969:H969"/>
    <mergeCell ref="G970:H970"/>
    <mergeCell ref="J972:K972"/>
    <mergeCell ref="G974:H974"/>
    <mergeCell ref="G975:H975"/>
    <mergeCell ref="G976:H976"/>
    <mergeCell ref="G977:H977"/>
    <mergeCell ref="G978:H978"/>
    <mergeCell ref="J980:K980"/>
    <mergeCell ref="G982:H982"/>
    <mergeCell ref="G983:H983"/>
    <mergeCell ref="G984:H984"/>
    <mergeCell ref="G985:H985"/>
    <mergeCell ref="G986:H986"/>
    <mergeCell ref="G987:H987"/>
    <mergeCell ref="G988:H988"/>
    <mergeCell ref="J990:K990"/>
    <mergeCell ref="G992:H992"/>
    <mergeCell ref="G993:H993"/>
    <mergeCell ref="G994:H994"/>
    <mergeCell ref="G995:H995"/>
    <mergeCell ref="G996:H996"/>
    <mergeCell ref="G997:H997"/>
    <mergeCell ref="G998:H998"/>
    <mergeCell ref="J1000:K1000"/>
    <mergeCell ref="G1002:H1002"/>
    <mergeCell ref="G1003:H1003"/>
    <mergeCell ref="G1004:H1004"/>
    <mergeCell ref="G1005:H1005"/>
    <mergeCell ref="G1006:H1006"/>
    <mergeCell ref="G1007:H1007"/>
    <mergeCell ref="G1008:H1008"/>
    <mergeCell ref="J1010:K1010"/>
    <mergeCell ref="G1012:H1012"/>
    <mergeCell ref="G1013:H1013"/>
    <mergeCell ref="G1014:H1014"/>
    <mergeCell ref="G1015:H1015"/>
    <mergeCell ref="G1016:H1016"/>
    <mergeCell ref="G1017:H1017"/>
    <mergeCell ref="G1018:H1018"/>
    <mergeCell ref="J1020:K1020"/>
    <mergeCell ref="G1022:H1022"/>
    <mergeCell ref="G1023:H1023"/>
    <mergeCell ref="G1024:H1024"/>
    <mergeCell ref="G1025:H1025"/>
    <mergeCell ref="G1026:H1026"/>
    <mergeCell ref="G1027:H1027"/>
    <mergeCell ref="G1028:H1028"/>
    <mergeCell ref="J1030:K1030"/>
    <mergeCell ref="G1032:H1032"/>
    <mergeCell ref="G1033:H1033"/>
    <mergeCell ref="G1034:H1034"/>
    <mergeCell ref="G1035:H1035"/>
    <mergeCell ref="G1036:H1036"/>
    <mergeCell ref="G1037:H1037"/>
    <mergeCell ref="J1039:K1039"/>
    <mergeCell ref="G1041:H1041"/>
    <mergeCell ref="G1042:H1042"/>
    <mergeCell ref="G1043:H1043"/>
    <mergeCell ref="G1044:H1044"/>
    <mergeCell ref="G1045:H1045"/>
    <mergeCell ref="J1047:K1047"/>
    <mergeCell ref="G1049:H1049"/>
    <mergeCell ref="G1050:H1050"/>
    <mergeCell ref="G1051:H1051"/>
    <mergeCell ref="G1052:H1052"/>
    <mergeCell ref="G1053:H1053"/>
    <mergeCell ref="G1054:H1054"/>
    <mergeCell ref="G1055:H1055"/>
    <mergeCell ref="J1057:K1057"/>
    <mergeCell ref="G1059:H1059"/>
    <mergeCell ref="G1060:H1060"/>
    <mergeCell ref="G1061:H1061"/>
    <mergeCell ref="G1062:H1062"/>
    <mergeCell ref="G1063:H1063"/>
    <mergeCell ref="G1064:H1064"/>
    <mergeCell ref="G1065:H1065"/>
    <mergeCell ref="J1067:K1067"/>
    <mergeCell ref="G1069:H1069"/>
    <mergeCell ref="G1070:H1070"/>
    <mergeCell ref="G1071:H1071"/>
    <mergeCell ref="G1072:H1072"/>
    <mergeCell ref="G1073:H1073"/>
    <mergeCell ref="G1074:H1074"/>
    <mergeCell ref="G1075:H1075"/>
    <mergeCell ref="J1077:K1077"/>
    <mergeCell ref="G1079:H1079"/>
    <mergeCell ref="G1080:H1080"/>
    <mergeCell ref="G1081:H1081"/>
    <mergeCell ref="G1082:H1082"/>
    <mergeCell ref="G1083:H1083"/>
    <mergeCell ref="G1084:H1084"/>
    <mergeCell ref="G1085:H1085"/>
    <mergeCell ref="J1087:K1087"/>
    <mergeCell ref="G1089:H1089"/>
    <mergeCell ref="G1090:H1090"/>
    <mergeCell ref="G1091:H1091"/>
    <mergeCell ref="G1092:H1092"/>
    <mergeCell ref="G1093:H1093"/>
    <mergeCell ref="G1094:H1094"/>
    <mergeCell ref="G1095:H1095"/>
    <mergeCell ref="G1096:H1096"/>
    <mergeCell ref="G1097:H1097"/>
    <mergeCell ref="G1098:H1098"/>
    <mergeCell ref="G1099:H1099"/>
    <mergeCell ref="G1100:H1100"/>
    <mergeCell ref="J1102:K1102"/>
    <mergeCell ref="G1104:H1104"/>
    <mergeCell ref="G1105:H1105"/>
    <mergeCell ref="G1106:H1106"/>
    <mergeCell ref="G1107:H1107"/>
    <mergeCell ref="G1108:H1108"/>
    <mergeCell ref="G1109:H1109"/>
    <mergeCell ref="G1110:H1110"/>
    <mergeCell ref="G1111:H1111"/>
    <mergeCell ref="G1112:H1112"/>
    <mergeCell ref="G1113:H1113"/>
    <mergeCell ref="G1114:H1114"/>
    <mergeCell ref="G1115:H1115"/>
    <mergeCell ref="J1117:K1117"/>
    <mergeCell ref="G1119:H1119"/>
    <mergeCell ref="G1120:H1120"/>
    <mergeCell ref="G1121:H1121"/>
    <mergeCell ref="G1122:H1122"/>
    <mergeCell ref="G1123:H1123"/>
    <mergeCell ref="G1124:H1124"/>
    <mergeCell ref="G1125:H1125"/>
    <mergeCell ref="G1126:H1126"/>
    <mergeCell ref="G1127:H1127"/>
    <mergeCell ref="J1129:K1129"/>
    <mergeCell ref="G1131:H1131"/>
    <mergeCell ref="G1132:H1132"/>
    <mergeCell ref="G1133:H1133"/>
    <mergeCell ref="G1134:H1134"/>
    <mergeCell ref="G1135:H1135"/>
    <mergeCell ref="G1136:H1136"/>
    <mergeCell ref="G1137:H1137"/>
    <mergeCell ref="J1139:K1139"/>
    <mergeCell ref="G1141:H1141"/>
    <mergeCell ref="G1142:H1142"/>
    <mergeCell ref="G1143:H1143"/>
    <mergeCell ref="G1144:H1144"/>
    <mergeCell ref="G1145:H1145"/>
    <mergeCell ref="G1146:H1146"/>
    <mergeCell ref="G1147:H1147"/>
    <mergeCell ref="J1149:K1149"/>
    <mergeCell ref="G1151:H1151"/>
    <mergeCell ref="G1152:H1152"/>
    <mergeCell ref="G1153:H1153"/>
    <mergeCell ref="G1154:H1154"/>
    <mergeCell ref="G1155:H1155"/>
    <mergeCell ref="J1157:K1157"/>
    <mergeCell ref="G1159:H1159"/>
    <mergeCell ref="G1160:H1160"/>
    <mergeCell ref="G1161:H1161"/>
    <mergeCell ref="G1162:H1162"/>
    <mergeCell ref="G1163:H1163"/>
    <mergeCell ref="J1165:K1165"/>
    <mergeCell ref="G1167:H1167"/>
    <mergeCell ref="G1168:H1168"/>
    <mergeCell ref="G1169:H1169"/>
    <mergeCell ref="G1170:H1170"/>
    <mergeCell ref="G1171:H1171"/>
    <mergeCell ref="G1172:H1172"/>
    <mergeCell ref="G1173:H1173"/>
    <mergeCell ref="J1175:K1175"/>
    <mergeCell ref="G1177:H1177"/>
    <mergeCell ref="G1178:H1178"/>
    <mergeCell ref="G1179:H1179"/>
    <mergeCell ref="G1180:H1180"/>
    <mergeCell ref="G1181:H1181"/>
    <mergeCell ref="G1182:H1182"/>
    <mergeCell ref="G1183:H1183"/>
    <mergeCell ref="J1185:K1185"/>
    <mergeCell ref="G1187:H1187"/>
    <mergeCell ref="G1188:H1188"/>
    <mergeCell ref="G1189:H1189"/>
    <mergeCell ref="G1190:H1190"/>
    <mergeCell ref="G1191:H1191"/>
    <mergeCell ref="G1192:H1192"/>
    <mergeCell ref="G1193:H1193"/>
    <mergeCell ref="J1195:K1195"/>
    <mergeCell ref="G1197:H1197"/>
    <mergeCell ref="G1198:H1198"/>
    <mergeCell ref="G1199:H1199"/>
    <mergeCell ref="G1200:H1200"/>
    <mergeCell ref="G1201:H1201"/>
    <mergeCell ref="G1202:H1202"/>
    <mergeCell ref="G1203:H1203"/>
    <mergeCell ref="J1205:K1205"/>
    <mergeCell ref="G1207:H1207"/>
    <mergeCell ref="G1208:H1208"/>
    <mergeCell ref="G1209:H1209"/>
    <mergeCell ref="G1210:H1210"/>
    <mergeCell ref="G1211:H1211"/>
    <mergeCell ref="G1212:H1212"/>
    <mergeCell ref="G1213:H1213"/>
    <mergeCell ref="J1215:K1215"/>
    <mergeCell ref="G1217:H1217"/>
    <mergeCell ref="G1218:H1218"/>
    <mergeCell ref="G1219:H1219"/>
    <mergeCell ref="G1220:H1220"/>
    <mergeCell ref="G1221:H1221"/>
    <mergeCell ref="G1222:H1222"/>
    <mergeCell ref="J1224:K1224"/>
    <mergeCell ref="G1226:H1226"/>
    <mergeCell ref="G1227:H1227"/>
    <mergeCell ref="G1228:H1228"/>
    <mergeCell ref="G1229:H1229"/>
    <mergeCell ref="G1230:H1230"/>
    <mergeCell ref="J1232:K1232"/>
    <mergeCell ref="G1234:H1234"/>
    <mergeCell ref="G1235:H1235"/>
    <mergeCell ref="G1236:H1236"/>
    <mergeCell ref="G1237:H1237"/>
    <mergeCell ref="G1238:H1238"/>
    <mergeCell ref="G1239:H1239"/>
    <mergeCell ref="G1240:H1240"/>
    <mergeCell ref="J1242:K1242"/>
    <mergeCell ref="G1244:H1244"/>
    <mergeCell ref="G1245:H1245"/>
    <mergeCell ref="G1246:H1246"/>
    <mergeCell ref="G1247:H1247"/>
    <mergeCell ref="G1248:H1248"/>
    <mergeCell ref="G1249:H1249"/>
    <mergeCell ref="G1250:H1250"/>
    <mergeCell ref="G1251:H1251"/>
    <mergeCell ref="G1252:H1252"/>
    <mergeCell ref="G1253:H1253"/>
    <mergeCell ref="G1254:H1254"/>
    <mergeCell ref="G1255:H1255"/>
    <mergeCell ref="J1257:K1257"/>
    <mergeCell ref="G1259:H1259"/>
    <mergeCell ref="G1260:H1260"/>
    <mergeCell ref="G1261:H1261"/>
    <mergeCell ref="G1262:H1262"/>
    <mergeCell ref="G1263:H1263"/>
    <mergeCell ref="G1264:H1264"/>
    <mergeCell ref="G1265:H1265"/>
    <mergeCell ref="G1266:H1266"/>
    <mergeCell ref="G1267:H1267"/>
    <mergeCell ref="G1268:H1268"/>
    <mergeCell ref="G1269:H1269"/>
    <mergeCell ref="G1270:H1270"/>
    <mergeCell ref="J1272:K1272"/>
    <mergeCell ref="G1274:H1274"/>
    <mergeCell ref="G1275:H1275"/>
    <mergeCell ref="G1276:H1276"/>
    <mergeCell ref="G1277:H1277"/>
    <mergeCell ref="G1278:H1278"/>
    <mergeCell ref="G1279:H1279"/>
    <mergeCell ref="G1280:H1280"/>
    <mergeCell ref="J1282:K1282"/>
    <mergeCell ref="G1284:H1284"/>
    <mergeCell ref="G1285:H1285"/>
    <mergeCell ref="G1286:H1286"/>
    <mergeCell ref="G1287:H1287"/>
    <mergeCell ref="G1288:H1288"/>
    <mergeCell ref="G1289:H1289"/>
    <mergeCell ref="G1290:H1290"/>
    <mergeCell ref="J1292:K1292"/>
    <mergeCell ref="G1294:H1294"/>
    <mergeCell ref="G1295:H1295"/>
    <mergeCell ref="G1296:H1296"/>
    <mergeCell ref="G1297:H1297"/>
    <mergeCell ref="G1298:H1298"/>
    <mergeCell ref="G1299:H1299"/>
    <mergeCell ref="G1300:H1300"/>
    <mergeCell ref="J1302:K1302"/>
    <mergeCell ref="G1304:H1304"/>
    <mergeCell ref="G1305:H1305"/>
    <mergeCell ref="G1306:H1306"/>
    <mergeCell ref="G1307:H1307"/>
    <mergeCell ref="G1308:H1308"/>
    <mergeCell ref="G1309:H1309"/>
    <mergeCell ref="G1310:H1310"/>
    <mergeCell ref="J1312:K1312"/>
    <mergeCell ref="G1314:H1314"/>
    <mergeCell ref="G1315:H1315"/>
    <mergeCell ref="G1316:H1316"/>
    <mergeCell ref="G1317:H1317"/>
    <mergeCell ref="G1318:H1318"/>
    <mergeCell ref="G1319:H1319"/>
    <mergeCell ref="G1320:H1320"/>
    <mergeCell ref="J1322:K1322"/>
    <mergeCell ref="G1324:H1324"/>
    <mergeCell ref="G1325:H1325"/>
    <mergeCell ref="G1326:H1326"/>
    <mergeCell ref="G1327:H1327"/>
    <mergeCell ref="G1328:H1328"/>
    <mergeCell ref="G1329:H1329"/>
    <mergeCell ref="G1330:H1330"/>
    <mergeCell ref="J1332:K1332"/>
    <mergeCell ref="G1334:H1334"/>
    <mergeCell ref="G1335:H1335"/>
    <mergeCell ref="G1336:H1336"/>
    <mergeCell ref="G1337:H1337"/>
    <mergeCell ref="G1338:H1338"/>
    <mergeCell ref="G1339:H1339"/>
    <mergeCell ref="G1340:H1340"/>
    <mergeCell ref="J1342:K1342"/>
    <mergeCell ref="G1344:H1344"/>
    <mergeCell ref="G1345:H1345"/>
    <mergeCell ref="G1346:H1346"/>
    <mergeCell ref="G1347:H1347"/>
    <mergeCell ref="G1348:H1348"/>
    <mergeCell ref="G1349:H1349"/>
    <mergeCell ref="G1350:H1350"/>
    <mergeCell ref="G1351:H1351"/>
    <mergeCell ref="G1352:H1352"/>
    <mergeCell ref="G1353:H1353"/>
    <mergeCell ref="J1355:K1355"/>
    <mergeCell ref="G1357:H1357"/>
    <mergeCell ref="G1358:H1358"/>
    <mergeCell ref="G1359:H1359"/>
    <mergeCell ref="G1360:H1360"/>
    <mergeCell ref="G1361:H1361"/>
    <mergeCell ref="G1362:H1362"/>
    <mergeCell ref="G1363:H1363"/>
    <mergeCell ref="G1364:H1364"/>
    <mergeCell ref="G1365:H1365"/>
    <mergeCell ref="G1366:H1366"/>
    <mergeCell ref="G1367:H1367"/>
    <mergeCell ref="G1368:H1368"/>
    <mergeCell ref="J1370:K1370"/>
    <mergeCell ref="G1372:H1372"/>
    <mergeCell ref="G1373:H1373"/>
    <mergeCell ref="G1374:H1374"/>
    <mergeCell ref="G1375:H1375"/>
    <mergeCell ref="G1376:H1376"/>
    <mergeCell ref="G1377:H1377"/>
    <mergeCell ref="G1378:H1378"/>
    <mergeCell ref="G1379:H1379"/>
    <mergeCell ref="J1381:K1381"/>
    <mergeCell ref="G1383:H1383"/>
    <mergeCell ref="G1384:H1384"/>
    <mergeCell ref="G1385:H1385"/>
    <mergeCell ref="G1386:H1386"/>
    <mergeCell ref="G1387:H1387"/>
    <mergeCell ref="G1388:H1388"/>
    <mergeCell ref="G1389:H1389"/>
    <mergeCell ref="J1391:K1391"/>
    <mergeCell ref="G1393:H1393"/>
    <mergeCell ref="G1394:H1394"/>
    <mergeCell ref="G1395:H1395"/>
    <mergeCell ref="G1396:H1396"/>
    <mergeCell ref="G1397:H1397"/>
    <mergeCell ref="G1398:H1398"/>
    <mergeCell ref="G1399:H1399"/>
    <mergeCell ref="J1401:K1401"/>
    <mergeCell ref="G1403:H1403"/>
    <mergeCell ref="G1404:H1404"/>
    <mergeCell ref="G1405:H1405"/>
    <mergeCell ref="G1406:H1406"/>
    <mergeCell ref="J1408:K1408"/>
    <mergeCell ref="G1410:H1410"/>
    <mergeCell ref="G1411:H1411"/>
    <mergeCell ref="G1412:H1412"/>
    <mergeCell ref="G1413:H1413"/>
    <mergeCell ref="G1414:H1414"/>
    <mergeCell ref="G1415:H1415"/>
    <mergeCell ref="G1416:H1416"/>
    <mergeCell ref="J1418:K1418"/>
    <mergeCell ref="G1420:H1420"/>
    <mergeCell ref="G1421:H1421"/>
    <mergeCell ref="G1422:H1422"/>
    <mergeCell ref="G1423:H1423"/>
    <mergeCell ref="G1424:H1424"/>
    <mergeCell ref="G1425:H1425"/>
    <mergeCell ref="G1426:H1426"/>
    <mergeCell ref="J1428:K1428"/>
    <mergeCell ref="G1430:H1430"/>
    <mergeCell ref="G1431:H1431"/>
    <mergeCell ref="G1432:H1432"/>
    <mergeCell ref="G1433:H1433"/>
    <mergeCell ref="G1434:H1434"/>
    <mergeCell ref="G1435:H1435"/>
    <mergeCell ref="G1436:H1436"/>
    <mergeCell ref="J1438:K1438"/>
    <mergeCell ref="G1440:H1440"/>
    <mergeCell ref="G1441:H1441"/>
    <mergeCell ref="G1442:H1442"/>
    <mergeCell ref="G1443:H1443"/>
    <mergeCell ref="G1444:H1444"/>
    <mergeCell ref="G1445:H1445"/>
    <mergeCell ref="G1446:H1446"/>
    <mergeCell ref="G1447:H1447"/>
    <mergeCell ref="J1449:K1449"/>
    <mergeCell ref="G1451:H1451"/>
    <mergeCell ref="G1452:H1452"/>
    <mergeCell ref="G1453:H1453"/>
    <mergeCell ref="G1454:H1454"/>
    <mergeCell ref="G1455:H1455"/>
    <mergeCell ref="G1456:H1456"/>
    <mergeCell ref="G1457:H1457"/>
    <mergeCell ref="G1458:H1458"/>
    <mergeCell ref="J1460:K1460"/>
    <mergeCell ref="G1462:H1462"/>
    <mergeCell ref="G1463:H1463"/>
    <mergeCell ref="G1464:H1464"/>
    <mergeCell ref="G1465:H1465"/>
    <mergeCell ref="G1466:H1466"/>
    <mergeCell ref="G1467:H1467"/>
    <mergeCell ref="G1468:H1468"/>
    <mergeCell ref="J1470:K1470"/>
    <mergeCell ref="G1472:H1472"/>
    <mergeCell ref="G1473:H1473"/>
    <mergeCell ref="G1474:H1474"/>
    <mergeCell ref="G1475:H1475"/>
    <mergeCell ref="G1476:H1476"/>
    <mergeCell ref="G1477:H1477"/>
    <mergeCell ref="G1478:H1478"/>
    <mergeCell ref="J1480:K1480"/>
    <mergeCell ref="G1482:H1482"/>
    <mergeCell ref="G1483:H1483"/>
    <mergeCell ref="G1484:H1484"/>
    <mergeCell ref="G1485:H1485"/>
    <mergeCell ref="G1486:H1486"/>
    <mergeCell ref="G1487:H1487"/>
    <mergeCell ref="G1488:H1488"/>
    <mergeCell ref="J1490:K1490"/>
    <mergeCell ref="G1492:H1492"/>
    <mergeCell ref="G1493:H1493"/>
    <mergeCell ref="G1494:H1494"/>
    <mergeCell ref="G1495:H1495"/>
    <mergeCell ref="G1496:H1496"/>
    <mergeCell ref="G1497:H1497"/>
    <mergeCell ref="G1498:H1498"/>
    <mergeCell ref="J1500:K1500"/>
    <mergeCell ref="G1502:H1502"/>
    <mergeCell ref="G1503:H1503"/>
    <mergeCell ref="G1504:H1504"/>
    <mergeCell ref="G1505:H1505"/>
    <mergeCell ref="G1506:H1506"/>
    <mergeCell ref="G1507:H1507"/>
    <mergeCell ref="G1508:H1508"/>
    <mergeCell ref="J1510:K1510"/>
    <mergeCell ref="G1512:H1512"/>
    <mergeCell ref="G1513:H1513"/>
    <mergeCell ref="G1514:H1514"/>
    <mergeCell ref="G1515:H1515"/>
    <mergeCell ref="G1516:H1516"/>
    <mergeCell ref="G1517:H1517"/>
    <mergeCell ref="G1518:H1518"/>
    <mergeCell ref="G1519:H1519"/>
    <mergeCell ref="G1520:H1520"/>
    <mergeCell ref="G1521:H1521"/>
    <mergeCell ref="J1523:K1523"/>
    <mergeCell ref="G1525:H1525"/>
    <mergeCell ref="G1526:H1526"/>
    <mergeCell ref="G1527:H1527"/>
    <mergeCell ref="G1528:H1528"/>
    <mergeCell ref="G1529:H1529"/>
    <mergeCell ref="G1530:H1530"/>
    <mergeCell ref="G1531:H1531"/>
    <mergeCell ref="G1532:H1532"/>
    <mergeCell ref="G1533:H1533"/>
    <mergeCell ref="G1534:H1534"/>
    <mergeCell ref="J1536:K1536"/>
    <mergeCell ref="G1538:H1538"/>
    <mergeCell ref="G1539:H1539"/>
    <mergeCell ref="G1540:H1540"/>
    <mergeCell ref="G1541:H1541"/>
    <mergeCell ref="G1542:H1542"/>
    <mergeCell ref="G1543:H1543"/>
    <mergeCell ref="G1544:H1544"/>
    <mergeCell ref="J1546:K1546"/>
    <mergeCell ref="G1548:H1548"/>
    <mergeCell ref="G1549:H1549"/>
    <mergeCell ref="G1550:H1550"/>
    <mergeCell ref="G1551:H1551"/>
    <mergeCell ref="G1552:H1552"/>
    <mergeCell ref="G1553:H1553"/>
    <mergeCell ref="G1554:H1554"/>
    <mergeCell ref="J1556:K1556"/>
    <mergeCell ref="G1558:H1558"/>
    <mergeCell ref="G1559:H1559"/>
    <mergeCell ref="G1560:H1560"/>
    <mergeCell ref="G1561:H1561"/>
    <mergeCell ref="G1562:H1562"/>
    <mergeCell ref="G1563:H1563"/>
    <mergeCell ref="G1564:H1564"/>
    <mergeCell ref="G1565:H1565"/>
    <mergeCell ref="J1567:K1567"/>
    <mergeCell ref="G1569:H1569"/>
    <mergeCell ref="G1570:H1570"/>
    <mergeCell ref="G1571:H1571"/>
    <mergeCell ref="G1572:H1572"/>
    <mergeCell ref="G1573:H1573"/>
    <mergeCell ref="G1574:H1574"/>
    <mergeCell ref="G1575:H1575"/>
    <mergeCell ref="G1576:H1576"/>
    <mergeCell ref="J1578:K1578"/>
    <mergeCell ref="G1580:H1580"/>
    <mergeCell ref="G1581:H1581"/>
    <mergeCell ref="G1582:H1582"/>
    <mergeCell ref="G1583:H1583"/>
    <mergeCell ref="G1584:H1584"/>
    <mergeCell ref="G1585:H1585"/>
    <mergeCell ref="G1586:H1586"/>
    <mergeCell ref="J1588:K1588"/>
    <mergeCell ref="G1590:H1590"/>
    <mergeCell ref="G1591:H1591"/>
    <mergeCell ref="G1592:H1592"/>
    <mergeCell ref="G1593:H1593"/>
    <mergeCell ref="G1594:H1594"/>
    <mergeCell ref="G1595:H1595"/>
    <mergeCell ref="G1596:H1596"/>
    <mergeCell ref="J1598:K1598"/>
    <mergeCell ref="G1600:H1600"/>
    <mergeCell ref="G1601:H1601"/>
    <mergeCell ref="G1602:H1602"/>
    <mergeCell ref="G1603:H1603"/>
    <mergeCell ref="G1604:H1604"/>
    <mergeCell ref="G1605:H1605"/>
    <mergeCell ref="G1606:H1606"/>
    <mergeCell ref="J1608:K1608"/>
    <mergeCell ref="G1610:H1610"/>
    <mergeCell ref="G1611:H1611"/>
    <mergeCell ref="G1612:H1612"/>
    <mergeCell ref="G1613:H1613"/>
    <mergeCell ref="G1614:H1614"/>
    <mergeCell ref="G1615:H1615"/>
    <mergeCell ref="G1616:H1616"/>
    <mergeCell ref="J1618:K1618"/>
    <mergeCell ref="G1620:H1620"/>
    <mergeCell ref="G1621:H1621"/>
    <mergeCell ref="G1622:H1622"/>
    <mergeCell ref="G1623:H1623"/>
    <mergeCell ref="G1624:H1624"/>
    <mergeCell ref="G1625:H1625"/>
    <mergeCell ref="G1626:H1626"/>
    <mergeCell ref="G1627:H1627"/>
    <mergeCell ref="G1628:H1628"/>
    <mergeCell ref="G1629:H1629"/>
    <mergeCell ref="J1631:K1631"/>
    <mergeCell ref="G1633:H1633"/>
    <mergeCell ref="G1634:H1634"/>
    <mergeCell ref="G1635:H1635"/>
    <mergeCell ref="G1636:H1636"/>
    <mergeCell ref="G1637:H1637"/>
    <mergeCell ref="G1638:H1638"/>
    <mergeCell ref="G1639:H1639"/>
    <mergeCell ref="G1640:H1640"/>
    <mergeCell ref="G1641:H1641"/>
    <mergeCell ref="G1642:H1642"/>
    <mergeCell ref="J1644:K1644"/>
    <mergeCell ref="G1646:H1646"/>
    <mergeCell ref="G1647:H1647"/>
    <mergeCell ref="G1648:H1648"/>
    <mergeCell ref="G1649:H1649"/>
    <mergeCell ref="G1650:H1650"/>
    <mergeCell ref="G1651:H1651"/>
    <mergeCell ref="G1652:H1652"/>
    <mergeCell ref="J1654:K1654"/>
    <mergeCell ref="G1656:H1656"/>
    <mergeCell ref="G1657:H1657"/>
    <mergeCell ref="G1658:H1658"/>
    <mergeCell ref="G1659:H1659"/>
    <mergeCell ref="G1660:H1660"/>
    <mergeCell ref="G1661:H1661"/>
    <mergeCell ref="G1662:H1662"/>
    <mergeCell ref="J1664:K1664"/>
    <mergeCell ref="G1666:H1666"/>
    <mergeCell ref="G1667:H1667"/>
    <mergeCell ref="G1668:H1668"/>
    <mergeCell ref="G1669:H1669"/>
    <mergeCell ref="G1670:H1670"/>
    <mergeCell ref="G1671:H1671"/>
    <mergeCell ref="G1672:H1672"/>
    <mergeCell ref="G1673:H1673"/>
    <mergeCell ref="J1675:K1675"/>
    <mergeCell ref="G1677:H1677"/>
    <mergeCell ref="G1678:H1678"/>
    <mergeCell ref="G1679:H1679"/>
    <mergeCell ref="G1680:H1680"/>
    <mergeCell ref="G1681:H1681"/>
    <mergeCell ref="G1682:H1682"/>
    <mergeCell ref="G1683:H1683"/>
    <mergeCell ref="G1684:H1684"/>
    <mergeCell ref="G1685:H1685"/>
    <mergeCell ref="G1686:H1686"/>
    <mergeCell ref="G1687:H1687"/>
    <mergeCell ref="G1688:H1688"/>
    <mergeCell ref="G1689:H1689"/>
    <mergeCell ref="J1691:K1691"/>
    <mergeCell ref="G1693:H1693"/>
    <mergeCell ref="G1694:H1694"/>
    <mergeCell ref="G1695:H1695"/>
    <mergeCell ref="G1696:H1696"/>
    <mergeCell ref="G1697:H1697"/>
    <mergeCell ref="G1698:H1698"/>
    <mergeCell ref="J1700:K1700"/>
    <mergeCell ref="G1702:H1702"/>
    <mergeCell ref="G1703:H1703"/>
    <mergeCell ref="G1704:H1704"/>
    <mergeCell ref="G1705:H1705"/>
    <mergeCell ref="G1706:H1706"/>
    <mergeCell ref="G1707:H1707"/>
    <mergeCell ref="G1708:H1708"/>
    <mergeCell ref="G1709:H1709"/>
    <mergeCell ref="J1711:K1711"/>
    <mergeCell ref="G1713:H1713"/>
    <mergeCell ref="G1714:H1714"/>
    <mergeCell ref="G1715:H1715"/>
    <mergeCell ref="G1716:H1716"/>
    <mergeCell ref="G1717:H1717"/>
    <mergeCell ref="G1718:H1718"/>
    <mergeCell ref="G1719:H1719"/>
    <mergeCell ref="G1720:H1720"/>
    <mergeCell ref="J1722:K1722"/>
    <mergeCell ref="G1724:H1724"/>
    <mergeCell ref="G1725:H1725"/>
    <mergeCell ref="G1726:H1726"/>
    <mergeCell ref="G1727:H1727"/>
    <mergeCell ref="G1728:H1728"/>
    <mergeCell ref="J1730:K1730"/>
    <mergeCell ref="G1732:H1732"/>
    <mergeCell ref="G1733:H1733"/>
    <mergeCell ref="G1734:H1734"/>
    <mergeCell ref="G1735:H1735"/>
    <mergeCell ref="G1736:H1736"/>
    <mergeCell ref="J1738:K1738"/>
    <mergeCell ref="G1740:H1740"/>
    <mergeCell ref="G1741:H1741"/>
    <mergeCell ref="G1742:H1742"/>
    <mergeCell ref="G1743:H1743"/>
    <mergeCell ref="G1744:H1744"/>
    <mergeCell ref="G1745:H1745"/>
    <mergeCell ref="G1746:H1746"/>
    <mergeCell ref="G1747:H1747"/>
    <mergeCell ref="J1749:K1749"/>
    <mergeCell ref="G1751:H1751"/>
    <mergeCell ref="G1752:H1752"/>
    <mergeCell ref="G1753:H1753"/>
    <mergeCell ref="G1754:H1754"/>
    <mergeCell ref="G1755:H1755"/>
    <mergeCell ref="G1756:H1756"/>
    <mergeCell ref="G1757:H1757"/>
    <mergeCell ref="G1758:H1758"/>
    <mergeCell ref="J1760:K1760"/>
    <mergeCell ref="G1762:H1762"/>
    <mergeCell ref="G1763:H1763"/>
    <mergeCell ref="G1764:H1764"/>
    <mergeCell ref="G1765:H1765"/>
    <mergeCell ref="G1766:H1766"/>
    <mergeCell ref="G1767:H1767"/>
    <mergeCell ref="J1769:K1769"/>
    <mergeCell ref="G1771:H1771"/>
    <mergeCell ref="G1772:H1772"/>
    <mergeCell ref="G1773:H1773"/>
    <mergeCell ref="G1774:H1774"/>
    <mergeCell ref="G1775:H1775"/>
    <mergeCell ref="J1777:K1777"/>
    <mergeCell ref="G1779:H1779"/>
    <mergeCell ref="G1780:H1780"/>
    <mergeCell ref="G1781:H1781"/>
    <mergeCell ref="G1782:H1782"/>
    <mergeCell ref="G1783:H1783"/>
    <mergeCell ref="J1785:K1785"/>
    <mergeCell ref="G1787:H1787"/>
    <mergeCell ref="G1788:H1788"/>
    <mergeCell ref="G1789:H1789"/>
    <mergeCell ref="G1790:H1790"/>
    <mergeCell ref="G1791:H1791"/>
    <mergeCell ref="J1793:K1793"/>
    <mergeCell ref="G1795:H1795"/>
    <mergeCell ref="G1796:H1796"/>
    <mergeCell ref="G1797:H1797"/>
    <mergeCell ref="G1798:H1798"/>
    <mergeCell ref="G1799:H1799"/>
    <mergeCell ref="J1801:K1801"/>
    <mergeCell ref="G1803:H1803"/>
    <mergeCell ref="G1804:H1804"/>
    <mergeCell ref="G1805:H1805"/>
    <mergeCell ref="G1806:H1806"/>
    <mergeCell ref="J1808:K1808"/>
    <mergeCell ref="G1810:H1810"/>
    <mergeCell ref="G1811:H1811"/>
    <mergeCell ref="G1812:H1812"/>
    <mergeCell ref="G1813:H1813"/>
    <mergeCell ref="G1814:H1814"/>
    <mergeCell ref="G1815:H1815"/>
    <mergeCell ref="J1817:K1817"/>
    <mergeCell ref="G1819:H1819"/>
    <mergeCell ref="G1820:H1820"/>
    <mergeCell ref="G1821:H1821"/>
    <mergeCell ref="G1822:H1822"/>
    <mergeCell ref="J1824:K1824"/>
    <mergeCell ref="G1826:H1826"/>
    <mergeCell ref="G1827:H1827"/>
    <mergeCell ref="G1828:H1828"/>
    <mergeCell ref="G1829:H1829"/>
    <mergeCell ref="G1830:H1830"/>
    <mergeCell ref="G1831:H1831"/>
    <mergeCell ref="G1832:H1832"/>
    <mergeCell ref="G1833:H1833"/>
    <mergeCell ref="J1835:K1835"/>
    <mergeCell ref="G1837:H1837"/>
    <mergeCell ref="G1838:H1838"/>
    <mergeCell ref="G1839:H1839"/>
    <mergeCell ref="G1840:H1840"/>
    <mergeCell ref="J1842:K1842"/>
    <mergeCell ref="G1844:H1844"/>
    <mergeCell ref="G1845:H1845"/>
    <mergeCell ref="G1846:H1846"/>
    <mergeCell ref="G1847:H1847"/>
    <mergeCell ref="J1849:K1849"/>
    <mergeCell ref="G1851:H1851"/>
    <mergeCell ref="G1852:H1852"/>
    <mergeCell ref="G1853:H1853"/>
    <mergeCell ref="G1854:H1854"/>
    <mergeCell ref="J1856:K1856"/>
    <mergeCell ref="G1858:H1858"/>
    <mergeCell ref="G1859:H1859"/>
    <mergeCell ref="G1860:H1860"/>
    <mergeCell ref="G1861:H1861"/>
    <mergeCell ref="G1862:H1862"/>
    <mergeCell ref="G1863:H1863"/>
    <mergeCell ref="J1865:K1865"/>
    <mergeCell ref="G1867:H1867"/>
    <mergeCell ref="G1868:H1868"/>
    <mergeCell ref="G1869:H1869"/>
    <mergeCell ref="G1870:H1870"/>
    <mergeCell ref="G1871:H1871"/>
    <mergeCell ref="G1872:H1872"/>
    <mergeCell ref="J1874:K1874"/>
    <mergeCell ref="G1876:H1876"/>
    <mergeCell ref="G1877:H1877"/>
    <mergeCell ref="G1878:H1878"/>
    <mergeCell ref="G1879:H1879"/>
    <mergeCell ref="G1880:H1880"/>
    <mergeCell ref="G1881:H1881"/>
    <mergeCell ref="J1883:K1883"/>
    <mergeCell ref="G1885:H1885"/>
    <mergeCell ref="G1886:H1886"/>
    <mergeCell ref="G1887:H1887"/>
    <mergeCell ref="G1888:H1888"/>
    <mergeCell ref="J1890:K1890"/>
    <mergeCell ref="G1892:H1892"/>
    <mergeCell ref="G1893:H1893"/>
    <mergeCell ref="G1894:H1894"/>
    <mergeCell ref="G1895:H1895"/>
    <mergeCell ref="G1896:H1896"/>
    <mergeCell ref="J1898:K1898"/>
    <mergeCell ref="G1900:H1900"/>
    <mergeCell ref="G1901:H1901"/>
    <mergeCell ref="G1902:H1902"/>
    <mergeCell ref="G1903:H1903"/>
    <mergeCell ref="G1904:H1904"/>
    <mergeCell ref="G1905:H1905"/>
    <mergeCell ref="J1907:K1907"/>
    <mergeCell ref="G1909:H1909"/>
    <mergeCell ref="G1910:H1910"/>
    <mergeCell ref="G1911:H1911"/>
    <mergeCell ref="G1912:H1912"/>
    <mergeCell ref="G1913:H1913"/>
    <mergeCell ref="G1914:H1914"/>
    <mergeCell ref="J1916:K1916"/>
    <mergeCell ref="G1918:H1918"/>
    <mergeCell ref="G1919:H1919"/>
    <mergeCell ref="G1920:H1920"/>
    <mergeCell ref="G1921:H1921"/>
    <mergeCell ref="G1922:H1922"/>
    <mergeCell ref="G1923:H1923"/>
    <mergeCell ref="J1925:K1925"/>
    <mergeCell ref="G1927:H1927"/>
    <mergeCell ref="G1928:H1928"/>
    <mergeCell ref="G1929:H1929"/>
    <mergeCell ref="G1930:H1930"/>
    <mergeCell ref="J1932:K1932"/>
    <mergeCell ref="G1934:H1934"/>
    <mergeCell ref="G1935:H1935"/>
    <mergeCell ref="G1936:H1936"/>
    <mergeCell ref="G1937:H1937"/>
    <mergeCell ref="G1938:H1938"/>
    <mergeCell ref="J1940:K1940"/>
    <mergeCell ref="G1942:H1942"/>
    <mergeCell ref="G1943:H1943"/>
    <mergeCell ref="G1944:H1944"/>
    <mergeCell ref="G1945:H1945"/>
    <mergeCell ref="G1946:H1946"/>
    <mergeCell ref="J1948:K1948"/>
    <mergeCell ref="G1950:H1950"/>
    <mergeCell ref="G1951:H1951"/>
    <mergeCell ref="G1952:H1952"/>
    <mergeCell ref="G1953:H1953"/>
    <mergeCell ref="G1954:H1954"/>
    <mergeCell ref="G1955:H1955"/>
    <mergeCell ref="G1956:H1956"/>
    <mergeCell ref="J1958:K1958"/>
    <mergeCell ref="G1960:H1960"/>
    <mergeCell ref="G1961:H1961"/>
    <mergeCell ref="G1962:H1962"/>
    <mergeCell ref="G1963:H1963"/>
    <mergeCell ref="J1965:K1965"/>
    <mergeCell ref="G1967:H1967"/>
    <mergeCell ref="G1968:H1968"/>
    <mergeCell ref="G1969:H1969"/>
    <mergeCell ref="G1970:H1970"/>
    <mergeCell ref="G1971:H1971"/>
    <mergeCell ref="G1972:H1972"/>
    <mergeCell ref="J1974:K1974"/>
    <mergeCell ref="G1976:H1976"/>
    <mergeCell ref="G1977:H1977"/>
    <mergeCell ref="G1978:H1978"/>
    <mergeCell ref="G1979:H1979"/>
    <mergeCell ref="J1981:K1981"/>
    <mergeCell ref="G1983:H1983"/>
    <mergeCell ref="G1984:H1984"/>
    <mergeCell ref="G1985:H1985"/>
    <mergeCell ref="G1986:H1986"/>
    <mergeCell ref="G1987:H1987"/>
    <mergeCell ref="J1989:K1989"/>
    <mergeCell ref="G1991:H1991"/>
    <mergeCell ref="G1992:H1992"/>
    <mergeCell ref="G1993:H1993"/>
    <mergeCell ref="G1994:H1994"/>
    <mergeCell ref="G1995:H1995"/>
    <mergeCell ref="G1996:H1996"/>
    <mergeCell ref="J1998:K1998"/>
    <mergeCell ref="G2000:H2000"/>
    <mergeCell ref="G2001:H2001"/>
    <mergeCell ref="G2002:H2002"/>
    <mergeCell ref="G2003:H2003"/>
    <mergeCell ref="G2004:H2004"/>
    <mergeCell ref="J2006:K2006"/>
    <mergeCell ref="G2008:H2008"/>
    <mergeCell ref="G2009:H2009"/>
    <mergeCell ref="G2010:H2010"/>
    <mergeCell ref="G2011:H2011"/>
    <mergeCell ref="G2012:H2012"/>
    <mergeCell ref="G2013:H2013"/>
    <mergeCell ref="G2014:H2014"/>
    <mergeCell ref="J2016:K2016"/>
    <mergeCell ref="G2018:H2018"/>
    <mergeCell ref="G2019:H2019"/>
    <mergeCell ref="G2020:H2020"/>
    <mergeCell ref="G2021:H2021"/>
    <mergeCell ref="G2022:H2022"/>
    <mergeCell ref="J2024:K2024"/>
    <mergeCell ref="G2026:H2026"/>
    <mergeCell ref="G2027:H2027"/>
    <mergeCell ref="G2028:H2028"/>
    <mergeCell ref="G2029:H2029"/>
    <mergeCell ref="G2030:H2030"/>
    <mergeCell ref="G2031:H2031"/>
    <mergeCell ref="G2032:H2032"/>
    <mergeCell ref="G2033:H2033"/>
    <mergeCell ref="G2034:H2034"/>
    <mergeCell ref="G2035:H2035"/>
    <mergeCell ref="J2037:K2037"/>
    <mergeCell ref="G2039:H2039"/>
    <mergeCell ref="G2040:H2040"/>
    <mergeCell ref="G2041:H2041"/>
    <mergeCell ref="G2042:H2042"/>
    <mergeCell ref="G2043:H2043"/>
    <mergeCell ref="G2044:H2044"/>
    <mergeCell ref="J2046:K2046"/>
    <mergeCell ref="G2048:H2048"/>
    <mergeCell ref="G2049:H2049"/>
    <mergeCell ref="G2050:H2050"/>
    <mergeCell ref="G2051:H2051"/>
    <mergeCell ref="G2052:H2052"/>
    <mergeCell ref="G2053:H2053"/>
    <mergeCell ref="J2055:K2055"/>
    <mergeCell ref="G2057:H2057"/>
    <mergeCell ref="G2058:H2058"/>
    <mergeCell ref="G2059:H2059"/>
    <mergeCell ref="G2060:H2060"/>
    <mergeCell ref="G2061:H2061"/>
    <mergeCell ref="J2063:K2063"/>
    <mergeCell ref="G2065:H2065"/>
    <mergeCell ref="G2066:H2066"/>
    <mergeCell ref="G2067:H2067"/>
    <mergeCell ref="G2068:H2068"/>
    <mergeCell ref="G2069:H2069"/>
    <mergeCell ref="G2070:H2070"/>
    <mergeCell ref="J2072:K2072"/>
    <mergeCell ref="G2074:H2074"/>
    <mergeCell ref="G2075:H2075"/>
    <mergeCell ref="G2076:H2076"/>
    <mergeCell ref="G2077:H2077"/>
    <mergeCell ref="J2079:K2079"/>
    <mergeCell ref="G2081:H2081"/>
    <mergeCell ref="G2082:H2082"/>
    <mergeCell ref="G2083:H2083"/>
    <mergeCell ref="G2084:H2084"/>
    <mergeCell ref="G2085:H2085"/>
    <mergeCell ref="G2086:H2086"/>
    <mergeCell ref="G2087:H2087"/>
    <mergeCell ref="G2088:H2088"/>
    <mergeCell ref="J2090:K2090"/>
    <mergeCell ref="G2092:H2092"/>
    <mergeCell ref="G2093:H2093"/>
    <mergeCell ref="G2094:H2094"/>
    <mergeCell ref="G2095:H2095"/>
    <mergeCell ref="G2096:H2096"/>
    <mergeCell ref="J2098:K2098"/>
    <mergeCell ref="G2100:H2100"/>
    <mergeCell ref="G2101:H2101"/>
    <mergeCell ref="G2102:H2102"/>
    <mergeCell ref="G2103:H2103"/>
    <mergeCell ref="G2104:H2104"/>
    <mergeCell ref="J2106:K2106"/>
    <mergeCell ref="G2108:H2108"/>
    <mergeCell ref="G2109:H2109"/>
    <mergeCell ref="G2110:H2110"/>
    <mergeCell ref="G2111:H2111"/>
    <mergeCell ref="G2112:H2112"/>
    <mergeCell ref="G2113:H2113"/>
    <mergeCell ref="J2115:K2115"/>
    <mergeCell ref="G2117:H2117"/>
    <mergeCell ref="G2118:H2118"/>
    <mergeCell ref="G2119:H2119"/>
    <mergeCell ref="G2120:H2120"/>
    <mergeCell ref="G2121:H2121"/>
    <mergeCell ref="G2122:H2122"/>
    <mergeCell ref="J2124:K2124"/>
    <mergeCell ref="G2126:H2126"/>
    <mergeCell ref="G2127:H2127"/>
    <mergeCell ref="G2128:H2128"/>
    <mergeCell ref="G2129:H2129"/>
    <mergeCell ref="G2130:H2130"/>
    <mergeCell ref="G2131:H2131"/>
    <mergeCell ref="G2132:H2132"/>
    <mergeCell ref="G2133:H2133"/>
    <mergeCell ref="J2135:K2135"/>
    <mergeCell ref="G2137:H2137"/>
    <mergeCell ref="G2138:H2138"/>
    <mergeCell ref="G2139:H2139"/>
    <mergeCell ref="G2140:H2140"/>
    <mergeCell ref="G2141:H2141"/>
    <mergeCell ref="G2142:H2142"/>
    <mergeCell ref="G2143:H2143"/>
    <mergeCell ref="G2144:H2144"/>
    <mergeCell ref="J2146:K2146"/>
    <mergeCell ref="G2148:H2148"/>
    <mergeCell ref="G2149:H2149"/>
    <mergeCell ref="G2150:H2150"/>
    <mergeCell ref="G2151:H2151"/>
    <mergeCell ref="G2152:H2152"/>
    <mergeCell ref="G2153:H2153"/>
    <mergeCell ref="G2154:H2154"/>
    <mergeCell ref="G2155:H2155"/>
    <mergeCell ref="J2157:K2157"/>
    <mergeCell ref="G2159:H2159"/>
    <mergeCell ref="G2160:H2160"/>
    <mergeCell ref="G2161:H2161"/>
    <mergeCell ref="G2162:H2162"/>
    <mergeCell ref="G2163:H2163"/>
    <mergeCell ref="J2165:K2165"/>
    <mergeCell ref="G2167:H2167"/>
    <mergeCell ref="G2168:H2168"/>
    <mergeCell ref="G2169:H2169"/>
    <mergeCell ref="G2170:H2170"/>
    <mergeCell ref="G2171:H2171"/>
    <mergeCell ref="J2173:K2173"/>
    <mergeCell ref="G2175:H2175"/>
    <mergeCell ref="G2176:H2176"/>
    <mergeCell ref="G2177:H2177"/>
    <mergeCell ref="G2178:H2178"/>
    <mergeCell ref="G2179:H2179"/>
    <mergeCell ref="G2180:H2180"/>
    <mergeCell ref="J2182:K2182"/>
    <mergeCell ref="G2184:H2184"/>
    <mergeCell ref="G2185:H2185"/>
    <mergeCell ref="G2186:H2186"/>
    <mergeCell ref="G2187:H2187"/>
    <mergeCell ref="G2188:H2188"/>
    <mergeCell ref="G2189:H2189"/>
    <mergeCell ref="G2190:H2190"/>
    <mergeCell ref="J2192:K2192"/>
    <mergeCell ref="G2194:H2194"/>
    <mergeCell ref="G2195:H2195"/>
    <mergeCell ref="G2196:H2196"/>
    <mergeCell ref="G2197:H2197"/>
    <mergeCell ref="G2198:H2198"/>
    <mergeCell ref="G2199:H2199"/>
    <mergeCell ref="G2200:H2200"/>
    <mergeCell ref="J2202:K2202"/>
    <mergeCell ref="G2204:H2204"/>
    <mergeCell ref="G2205:H2205"/>
    <mergeCell ref="G2206:H2206"/>
    <mergeCell ref="G2207:H2207"/>
    <mergeCell ref="G2208:H2208"/>
    <mergeCell ref="G2209:H2209"/>
    <mergeCell ref="G2210:H2210"/>
    <mergeCell ref="J2212:K2212"/>
    <mergeCell ref="G2214:H2214"/>
    <mergeCell ref="G2215:H2215"/>
    <mergeCell ref="G2216:H2216"/>
    <mergeCell ref="G2217:H2217"/>
    <mergeCell ref="G2218:H2218"/>
    <mergeCell ref="G2219:H2219"/>
    <mergeCell ref="G2220:H2220"/>
    <mergeCell ref="J2222:K2222"/>
    <mergeCell ref="G2224:H2224"/>
    <mergeCell ref="G2225:H2225"/>
    <mergeCell ref="G2226:H2226"/>
    <mergeCell ref="G2227:H2227"/>
    <mergeCell ref="G2228:H2228"/>
    <mergeCell ref="G2229:H2229"/>
    <mergeCell ref="G2230:H2230"/>
    <mergeCell ref="J2232:K2232"/>
    <mergeCell ref="G2234:H2234"/>
    <mergeCell ref="G2235:H2235"/>
    <mergeCell ref="G2236:H2236"/>
    <mergeCell ref="G2237:H2237"/>
    <mergeCell ref="G2238:H2238"/>
    <mergeCell ref="G2239:H2239"/>
    <mergeCell ref="G2240:H2240"/>
    <mergeCell ref="J2242:K2242"/>
    <mergeCell ref="G2244:H2244"/>
    <mergeCell ref="G2245:H2245"/>
    <mergeCell ref="G2246:H2246"/>
    <mergeCell ref="G2247:H2247"/>
    <mergeCell ref="G2248:H2248"/>
    <mergeCell ref="G2249:H2249"/>
    <mergeCell ref="G2250:H2250"/>
    <mergeCell ref="J2252:K2252"/>
    <mergeCell ref="G2254:H2254"/>
    <mergeCell ref="G2255:H2255"/>
    <mergeCell ref="G2256:H2256"/>
    <mergeCell ref="G2257:H2257"/>
    <mergeCell ref="G2258:H2258"/>
    <mergeCell ref="G2259:H2259"/>
    <mergeCell ref="J2261:K2261"/>
    <mergeCell ref="G2263:H2263"/>
    <mergeCell ref="G2264:H2264"/>
    <mergeCell ref="G2265:H2265"/>
    <mergeCell ref="G2266:H2266"/>
    <mergeCell ref="G2267:H2267"/>
    <mergeCell ref="G2268:H2268"/>
    <mergeCell ref="J2270:K2270"/>
    <mergeCell ref="G2272:H2272"/>
    <mergeCell ref="G2273:H2273"/>
    <mergeCell ref="G2274:H2274"/>
    <mergeCell ref="G2275:H2275"/>
    <mergeCell ref="G2276:H2276"/>
    <mergeCell ref="G2277:H2277"/>
    <mergeCell ref="J2279:K2279"/>
    <mergeCell ref="G2281:H2281"/>
    <mergeCell ref="G2282:H2282"/>
    <mergeCell ref="G2283:H2283"/>
    <mergeCell ref="J2285:K2285"/>
    <mergeCell ref="G2287:H2287"/>
    <mergeCell ref="G2288:H2288"/>
    <mergeCell ref="G2289:H2289"/>
    <mergeCell ref="G2290:H2290"/>
    <mergeCell ref="G2291:H2291"/>
    <mergeCell ref="G2292:H2292"/>
    <mergeCell ref="G2293:H2293"/>
    <mergeCell ref="G2294:H2294"/>
    <mergeCell ref="G2295:H2295"/>
    <mergeCell ref="G2296:H2296"/>
    <mergeCell ref="J2298:K2298"/>
    <mergeCell ref="G2300:H2300"/>
    <mergeCell ref="G2301:H2301"/>
    <mergeCell ref="G2302:H2302"/>
    <mergeCell ref="G2303:H2303"/>
    <mergeCell ref="G2304:H2304"/>
    <mergeCell ref="J2306:K2306"/>
    <mergeCell ref="G2308:H2308"/>
    <mergeCell ref="G2309:H2309"/>
    <mergeCell ref="G2310:H2310"/>
    <mergeCell ref="G2311:H2311"/>
    <mergeCell ref="G2312:H2312"/>
    <mergeCell ref="G2313:H2313"/>
    <mergeCell ref="G2314:H2314"/>
    <mergeCell ref="G2315:H2315"/>
    <mergeCell ref="G2316:H2316"/>
    <mergeCell ref="G2317:H2317"/>
    <mergeCell ref="G2318:H2318"/>
    <mergeCell ref="G2319:H2319"/>
    <mergeCell ref="J2321:K2321"/>
    <mergeCell ref="G2323:H2323"/>
    <mergeCell ref="G2324:H2324"/>
    <mergeCell ref="G2325:H2325"/>
    <mergeCell ref="G2326:H2326"/>
    <mergeCell ref="G2327:H2327"/>
    <mergeCell ref="G2328:H2328"/>
    <mergeCell ref="G2329:H2329"/>
    <mergeCell ref="J2331:K2331"/>
    <mergeCell ref="G2333:H2333"/>
    <mergeCell ref="G2334:H2334"/>
    <mergeCell ref="G2335:H2335"/>
    <mergeCell ref="G2336:H2336"/>
    <mergeCell ref="G2337:H2337"/>
    <mergeCell ref="G2338:H2338"/>
    <mergeCell ref="G2339:H2339"/>
    <mergeCell ref="J2341:K2341"/>
    <mergeCell ref="G2343:H2343"/>
    <mergeCell ref="G2344:H2344"/>
    <mergeCell ref="G2345:H2345"/>
    <mergeCell ref="G2346:H2346"/>
    <mergeCell ref="G2347:H2347"/>
    <mergeCell ref="G2348:H2348"/>
    <mergeCell ref="G2349:H2349"/>
    <mergeCell ref="J2351:K2351"/>
    <mergeCell ref="G2353:H2353"/>
    <mergeCell ref="G2354:H2354"/>
    <mergeCell ref="G2355:H2355"/>
    <mergeCell ref="G2356:H2356"/>
    <mergeCell ref="G2357:H2357"/>
    <mergeCell ref="G2358:H2358"/>
    <mergeCell ref="J2360:K2360"/>
    <mergeCell ref="G2362:H2362"/>
    <mergeCell ref="G2363:H2363"/>
    <mergeCell ref="G2364:H2364"/>
    <mergeCell ref="G2365:H2365"/>
    <mergeCell ref="G2366:H2366"/>
    <mergeCell ref="G2367:H2367"/>
    <mergeCell ref="J2369:K2369"/>
    <mergeCell ref="G2371:H2371"/>
    <mergeCell ref="G2372:H2372"/>
    <mergeCell ref="G2373:H2373"/>
    <mergeCell ref="G2374:H2374"/>
    <mergeCell ref="G2375:H2375"/>
    <mergeCell ref="J2377:K2377"/>
    <mergeCell ref="G2379:H2379"/>
    <mergeCell ref="G2380:H2380"/>
    <mergeCell ref="G2381:H2381"/>
    <mergeCell ref="G2382:H2382"/>
    <mergeCell ref="G2383:H2383"/>
    <mergeCell ref="J2385:K2385"/>
    <mergeCell ref="G2387:H2387"/>
    <mergeCell ref="G2388:H2388"/>
    <mergeCell ref="G2389:H2389"/>
    <mergeCell ref="G2390:H2390"/>
    <mergeCell ref="G2391:H2391"/>
    <mergeCell ref="J2393:K2393"/>
    <mergeCell ref="G2395:H2395"/>
    <mergeCell ref="G2396:H2396"/>
    <mergeCell ref="G2397:H2397"/>
    <mergeCell ref="G2398:H2398"/>
    <mergeCell ref="G2399:H2399"/>
    <mergeCell ref="G2400:H2400"/>
    <mergeCell ref="J2402:K2402"/>
    <mergeCell ref="G2404:H2404"/>
    <mergeCell ref="G2405:H2405"/>
    <mergeCell ref="G2406:H2406"/>
    <mergeCell ref="J2408:K2408"/>
    <mergeCell ref="G2410:H2410"/>
    <mergeCell ref="G2411:H2411"/>
    <mergeCell ref="G2412:H2412"/>
    <mergeCell ref="G2413:H2413"/>
    <mergeCell ref="G2414:H2414"/>
    <mergeCell ref="G2415:H2415"/>
    <mergeCell ref="G2416:H2416"/>
    <mergeCell ref="G2417:H2417"/>
    <mergeCell ref="G2418:H2418"/>
    <mergeCell ref="G2419:H2419"/>
    <mergeCell ref="J2421:K2421"/>
    <mergeCell ref="G2423:H2423"/>
    <mergeCell ref="G2424:H2424"/>
    <mergeCell ref="G2425:H2425"/>
    <mergeCell ref="G2426:H2426"/>
    <mergeCell ref="G2427:H2427"/>
    <mergeCell ref="G2428:H2428"/>
    <mergeCell ref="J2430:K2430"/>
    <mergeCell ref="G2432:H2432"/>
    <mergeCell ref="G2433:H2433"/>
    <mergeCell ref="G2434:H2434"/>
    <mergeCell ref="G2435:H2435"/>
    <mergeCell ref="G2436:H2436"/>
    <mergeCell ref="G2437:H2437"/>
    <mergeCell ref="J2439:K2439"/>
    <mergeCell ref="G2441:H2441"/>
    <mergeCell ref="G2442:H2442"/>
    <mergeCell ref="G2443:H2443"/>
    <mergeCell ref="G2444:H2444"/>
    <mergeCell ref="G2445:H2445"/>
    <mergeCell ref="G2446:H2446"/>
    <mergeCell ref="J2448:K2448"/>
    <mergeCell ref="G2450:H2450"/>
    <mergeCell ref="G2451:H2451"/>
    <mergeCell ref="G2452:H2452"/>
    <mergeCell ref="G2453:H2453"/>
    <mergeCell ref="G2454:H2454"/>
    <mergeCell ref="G2455:H2455"/>
    <mergeCell ref="J2457:K2457"/>
    <mergeCell ref="G2459:H2459"/>
    <mergeCell ref="G2460:H2460"/>
    <mergeCell ref="G2461:H2461"/>
    <mergeCell ref="G2462:H2462"/>
    <mergeCell ref="G2463:H2463"/>
    <mergeCell ref="J2465:K2465"/>
    <mergeCell ref="G2467:H2467"/>
    <mergeCell ref="G2468:H2468"/>
    <mergeCell ref="G2469:H2469"/>
    <mergeCell ref="G2470:H2470"/>
    <mergeCell ref="G2471:H2471"/>
    <mergeCell ref="J2473:K2473"/>
    <mergeCell ref="G2475:H2475"/>
    <mergeCell ref="G2476:H2476"/>
    <mergeCell ref="G2477:H2477"/>
    <mergeCell ref="G2478:H2478"/>
    <mergeCell ref="G2479:H2479"/>
    <mergeCell ref="G2480:H2480"/>
    <mergeCell ref="G2481:H2481"/>
    <mergeCell ref="J2483:K2483"/>
    <mergeCell ref="G2485:H2485"/>
    <mergeCell ref="G2486:H2486"/>
    <mergeCell ref="G2487:H2487"/>
    <mergeCell ref="J2489:K2489"/>
    <mergeCell ref="G2491:H2491"/>
    <mergeCell ref="G2492:H2492"/>
    <mergeCell ref="G2493:H2493"/>
    <mergeCell ref="G2494:H2494"/>
    <mergeCell ref="G2495:H2495"/>
    <mergeCell ref="G2496:H2496"/>
    <mergeCell ref="J2498:K2498"/>
    <mergeCell ref="G2500:H2500"/>
    <mergeCell ref="G2501:H2501"/>
    <mergeCell ref="G2502:H2502"/>
    <mergeCell ref="G2503:H2503"/>
    <mergeCell ref="G2504:H2504"/>
    <mergeCell ref="J2506:K2506"/>
    <mergeCell ref="G2508:H2508"/>
    <mergeCell ref="G2509:H2509"/>
    <mergeCell ref="G2510:H2510"/>
    <mergeCell ref="G2511:H2511"/>
    <mergeCell ref="G2512:H2512"/>
    <mergeCell ref="J2514:K2514"/>
    <mergeCell ref="G2516:H2516"/>
    <mergeCell ref="G2517:H2517"/>
    <mergeCell ref="G2518:H2518"/>
    <mergeCell ref="G2519:H2519"/>
    <mergeCell ref="G2520:H2520"/>
    <mergeCell ref="J2522:K2522"/>
    <mergeCell ref="G2524:H2524"/>
    <mergeCell ref="G2525:H2525"/>
    <mergeCell ref="G2526:H2526"/>
    <mergeCell ref="G2527:H2527"/>
    <mergeCell ref="G2528:H2528"/>
    <mergeCell ref="J2530:K2530"/>
    <mergeCell ref="G2532:H2532"/>
    <mergeCell ref="G2533:H2533"/>
    <mergeCell ref="G2534:H2534"/>
    <mergeCell ref="G2535:H2535"/>
    <mergeCell ref="G2536:H2536"/>
    <mergeCell ref="G2537:H2537"/>
    <mergeCell ref="G2538:H2538"/>
    <mergeCell ref="G2539:H2539"/>
    <mergeCell ref="G2540:H2540"/>
    <mergeCell ref="G2541:H2541"/>
    <mergeCell ref="G2542:H2542"/>
    <mergeCell ref="J2544:K2544"/>
    <mergeCell ref="G2546:H2546"/>
    <mergeCell ref="G2547:H2547"/>
    <mergeCell ref="G2548:H2548"/>
    <mergeCell ref="G2549:H2549"/>
    <mergeCell ref="J2551:K2551"/>
    <mergeCell ref="G2553:H2553"/>
    <mergeCell ref="G2554:H2554"/>
    <mergeCell ref="G2555:H2555"/>
    <mergeCell ref="G2556:H2556"/>
    <mergeCell ref="J2558:K2558"/>
    <mergeCell ref="G2560:H2560"/>
    <mergeCell ref="G2561:H2561"/>
    <mergeCell ref="G2562:H2562"/>
    <mergeCell ref="G2563:H2563"/>
    <mergeCell ref="G2564:H2564"/>
    <mergeCell ref="J2566:K2566"/>
    <mergeCell ref="G2568:H2568"/>
    <mergeCell ref="G2569:H2569"/>
    <mergeCell ref="G2570:H2570"/>
    <mergeCell ref="G2571:H2571"/>
    <mergeCell ref="G2572:H2572"/>
    <mergeCell ref="G2573:H2573"/>
    <mergeCell ref="J2575:K2575"/>
    <mergeCell ref="G2577:H2577"/>
    <mergeCell ref="G2578:H2578"/>
    <mergeCell ref="G2579:H2579"/>
    <mergeCell ref="G2580:H2580"/>
    <mergeCell ref="G2581:H2581"/>
    <mergeCell ref="G2582:H2582"/>
    <mergeCell ref="J2584:K2584"/>
    <mergeCell ref="G2586:H2586"/>
    <mergeCell ref="G2587:H2587"/>
    <mergeCell ref="G2588:H2588"/>
    <mergeCell ref="G2589:H2589"/>
    <mergeCell ref="G2590:H2590"/>
    <mergeCell ref="G2591:H2591"/>
    <mergeCell ref="J2593:K2593"/>
    <mergeCell ref="G2595:H2595"/>
    <mergeCell ref="G2596:H2596"/>
    <mergeCell ref="G2597:H2597"/>
    <mergeCell ref="G2598:H2598"/>
    <mergeCell ref="G2599:H2599"/>
    <mergeCell ref="J2601:K2601"/>
    <mergeCell ref="G2603:H2603"/>
    <mergeCell ref="G2604:H2604"/>
    <mergeCell ref="G2605:H2605"/>
    <mergeCell ref="G2606:H2606"/>
    <mergeCell ref="G2607:H2607"/>
    <mergeCell ref="G2608:H2608"/>
    <mergeCell ref="J2610:K2610"/>
    <mergeCell ref="G2612:H2612"/>
    <mergeCell ref="G2613:H2613"/>
    <mergeCell ref="G2614:H2614"/>
    <mergeCell ref="G2615:H2615"/>
    <mergeCell ref="G2616:H2616"/>
    <mergeCell ref="G2617:H2617"/>
    <mergeCell ref="J2619:K2619"/>
    <mergeCell ref="G2621:H2621"/>
    <mergeCell ref="G2622:H2622"/>
    <mergeCell ref="G2623:H2623"/>
    <mergeCell ref="G2624:H2624"/>
    <mergeCell ref="G2625:H2625"/>
    <mergeCell ref="G2626:H2626"/>
    <mergeCell ref="J2628:K2628"/>
    <mergeCell ref="G2630:H2630"/>
    <mergeCell ref="G2631:H2631"/>
    <mergeCell ref="G2632:H2632"/>
    <mergeCell ref="G2633:H2633"/>
    <mergeCell ref="G2634:H2634"/>
    <mergeCell ref="G2635:H2635"/>
    <mergeCell ref="G2636:H2636"/>
    <mergeCell ref="G2637:H2637"/>
    <mergeCell ref="J2639:K2639"/>
    <mergeCell ref="G2641:H2641"/>
    <mergeCell ref="G2642:H2642"/>
    <mergeCell ref="G2643:H2643"/>
    <mergeCell ref="G2644:H2644"/>
    <mergeCell ref="J2646:K2646"/>
    <mergeCell ref="G2648:H2648"/>
    <mergeCell ref="G2649:H2649"/>
    <mergeCell ref="G2650:H2650"/>
    <mergeCell ref="G2651:H2651"/>
    <mergeCell ref="G2652:H2652"/>
    <mergeCell ref="J2654:K2654"/>
    <mergeCell ref="G2656:H2656"/>
    <mergeCell ref="G2657:H2657"/>
    <mergeCell ref="G2658:H2658"/>
    <mergeCell ref="G2659:H2659"/>
    <mergeCell ref="G2660:H2660"/>
    <mergeCell ref="G2661:H2661"/>
    <mergeCell ref="G2662:H2662"/>
    <mergeCell ref="J2664:K2664"/>
    <mergeCell ref="G2666:H2666"/>
    <mergeCell ref="G2667:H2667"/>
    <mergeCell ref="G2668:H2668"/>
    <mergeCell ref="G2669:H2669"/>
    <mergeCell ref="G2670:H2670"/>
    <mergeCell ref="G2671:H2671"/>
    <mergeCell ref="G2672:H2672"/>
    <mergeCell ref="J2674:K2674"/>
    <mergeCell ref="G2676:H2676"/>
    <mergeCell ref="G2677:H2677"/>
    <mergeCell ref="G2678:H2678"/>
    <mergeCell ref="G2679:H2679"/>
    <mergeCell ref="G2680:H2680"/>
    <mergeCell ref="G2681:H2681"/>
    <mergeCell ref="J2683:K2683"/>
    <mergeCell ref="G2685:H2685"/>
    <mergeCell ref="G2686:H2686"/>
    <mergeCell ref="G2687:H2687"/>
    <mergeCell ref="G2688:H2688"/>
    <mergeCell ref="G2689:H2689"/>
    <mergeCell ref="G2690:H2690"/>
    <mergeCell ref="G2691:H2691"/>
    <mergeCell ref="G2692:H2692"/>
    <mergeCell ref="G2693:H2693"/>
    <mergeCell ref="J2695:K2695"/>
    <mergeCell ref="G2697:H2697"/>
    <mergeCell ref="G2698:H2698"/>
    <mergeCell ref="G2699:H2699"/>
    <mergeCell ref="G2700:H2700"/>
    <mergeCell ref="G2701:H2701"/>
    <mergeCell ref="G2702:H2702"/>
    <mergeCell ref="J2704:K2704"/>
    <mergeCell ref="G2706:H2706"/>
    <mergeCell ref="G2707:H2707"/>
    <mergeCell ref="G2708:H2708"/>
    <mergeCell ref="G2709:H2709"/>
    <mergeCell ref="G2710:H2710"/>
    <mergeCell ref="G2711:H2711"/>
    <mergeCell ref="J2713:K2713"/>
    <mergeCell ref="G2715:H2715"/>
    <mergeCell ref="G2716:H2716"/>
    <mergeCell ref="G2717:H2717"/>
    <mergeCell ref="G2718:H2718"/>
    <mergeCell ref="G2719:H2719"/>
    <mergeCell ref="G2720:H2720"/>
    <mergeCell ref="J2722:K2722"/>
    <mergeCell ref="G2724:H2724"/>
    <mergeCell ref="G2725:H2725"/>
    <mergeCell ref="G2726:H2726"/>
    <mergeCell ref="G2727:H2727"/>
    <mergeCell ref="G2728:H2728"/>
    <mergeCell ref="J2730:K2730"/>
    <mergeCell ref="G2732:H2732"/>
    <mergeCell ref="G2733:H2733"/>
    <mergeCell ref="G2734:H2734"/>
    <mergeCell ref="G2735:H2735"/>
    <mergeCell ref="G2736:H2736"/>
    <mergeCell ref="G2737:H2737"/>
    <mergeCell ref="G2738:H2738"/>
    <mergeCell ref="G2739:H2739"/>
    <mergeCell ref="G2740:H2740"/>
    <mergeCell ref="J2742:K2742"/>
    <mergeCell ref="G2744:H2744"/>
    <mergeCell ref="G2745:H2745"/>
    <mergeCell ref="G2746:H2746"/>
    <mergeCell ref="G2747:H2747"/>
    <mergeCell ref="G2748:H2748"/>
    <mergeCell ref="G2749:H2749"/>
    <mergeCell ref="J2751:K2751"/>
    <mergeCell ref="G2753:H2753"/>
    <mergeCell ref="G2754:H2754"/>
    <mergeCell ref="G2755:H2755"/>
    <mergeCell ref="G2756:H2756"/>
    <mergeCell ref="G2757:H2757"/>
    <mergeCell ref="G2758:H2758"/>
    <mergeCell ref="J2760:K2760"/>
    <mergeCell ref="G2762:H2762"/>
    <mergeCell ref="G2763:H2763"/>
    <mergeCell ref="G2764:H2764"/>
    <mergeCell ref="G2765:H2765"/>
    <mergeCell ref="G2766:H2766"/>
    <mergeCell ref="G2767:H2767"/>
    <mergeCell ref="J2769:K2769"/>
    <mergeCell ref="G2771:H2771"/>
    <mergeCell ref="G2772:H2772"/>
    <mergeCell ref="G2773:H2773"/>
    <mergeCell ref="G2774:H2774"/>
    <mergeCell ref="G2775:H2775"/>
    <mergeCell ref="G2776:H2776"/>
    <mergeCell ref="J2778:K2778"/>
    <mergeCell ref="G2780:H2780"/>
    <mergeCell ref="G2781:H2781"/>
    <mergeCell ref="G2782:H2782"/>
    <mergeCell ref="G2783:H2783"/>
    <mergeCell ref="G2784:H2784"/>
    <mergeCell ref="G2785:H2785"/>
    <mergeCell ref="J2787:K2787"/>
    <mergeCell ref="G2789:H2789"/>
    <mergeCell ref="G2790:H2790"/>
    <mergeCell ref="G2791:H2791"/>
    <mergeCell ref="G2792:H2792"/>
    <mergeCell ref="G2793:H2793"/>
    <mergeCell ref="G2794:H2794"/>
    <mergeCell ref="G2795:H2795"/>
    <mergeCell ref="G2796:H2796"/>
    <mergeCell ref="G2797:H2797"/>
    <mergeCell ref="G2798:H2798"/>
    <mergeCell ref="G2799:H2799"/>
    <mergeCell ref="G2800:H2800"/>
    <mergeCell ref="G2801:H2801"/>
    <mergeCell ref="J2803:K2803"/>
    <mergeCell ref="G2805:H2805"/>
    <mergeCell ref="G2806:H2806"/>
    <mergeCell ref="G2807:H2807"/>
    <mergeCell ref="G2808:H2808"/>
    <mergeCell ref="G2809:H2809"/>
    <mergeCell ref="G2810:H2810"/>
    <mergeCell ref="J2812:K2812"/>
    <mergeCell ref="G2814:H2814"/>
    <mergeCell ref="G2815:H2815"/>
    <mergeCell ref="G2816:H2816"/>
    <mergeCell ref="G2817:H2817"/>
    <mergeCell ref="G2818:H2818"/>
    <mergeCell ref="G2819:H2819"/>
    <mergeCell ref="J2821:K2821"/>
    <mergeCell ref="G2823:H2823"/>
    <mergeCell ref="G2824:H2824"/>
    <mergeCell ref="G2825:H2825"/>
    <mergeCell ref="G2826:H2826"/>
    <mergeCell ref="G2827:H2827"/>
    <mergeCell ref="G2828:H2828"/>
    <mergeCell ref="G2829:H2829"/>
    <mergeCell ref="G2830:H2830"/>
    <mergeCell ref="G2831:H2831"/>
    <mergeCell ref="G2832:H2832"/>
    <mergeCell ref="G2833:H2833"/>
    <mergeCell ref="G2834:H2834"/>
    <mergeCell ref="G2835:H2835"/>
    <mergeCell ref="G2836:H2836"/>
    <mergeCell ref="G2837:H2837"/>
    <mergeCell ref="G2838:H2838"/>
    <mergeCell ref="G2839:H2839"/>
    <mergeCell ref="G2840:H2840"/>
    <mergeCell ref="G2841:H2841"/>
    <mergeCell ref="G2842:H2842"/>
    <mergeCell ref="G2843:H2843"/>
    <mergeCell ref="G2844:H2844"/>
    <mergeCell ref="G2845:H2845"/>
    <mergeCell ref="G2846:H2846"/>
    <mergeCell ref="J2848:K2848"/>
    <mergeCell ref="G2850:H2850"/>
    <mergeCell ref="G2851:H2851"/>
    <mergeCell ref="G2852:H2852"/>
    <mergeCell ref="G2853:H2853"/>
    <mergeCell ref="J2855:K2855"/>
    <mergeCell ref="G2857:H2857"/>
    <mergeCell ref="G2858:H2858"/>
    <mergeCell ref="G2859:H2859"/>
    <mergeCell ref="G2860:H2860"/>
    <mergeCell ref="J2862:K2862"/>
    <mergeCell ref="G2864:H2864"/>
    <mergeCell ref="G2865:H2865"/>
    <mergeCell ref="G2866:H2866"/>
    <mergeCell ref="G2867:H2867"/>
    <mergeCell ref="J2869:K2869"/>
    <mergeCell ref="G2871:H2871"/>
    <mergeCell ref="G2872:H2872"/>
    <mergeCell ref="G2873:H2873"/>
    <mergeCell ref="G2874:H2874"/>
    <mergeCell ref="G2875:H2875"/>
    <mergeCell ref="G2876:H2876"/>
    <mergeCell ref="G2877:H2877"/>
    <mergeCell ref="G2878:H2878"/>
    <mergeCell ref="G2879:H2879"/>
    <mergeCell ref="G2880:H2880"/>
    <mergeCell ref="J2882:K2882"/>
    <mergeCell ref="G2884:H2884"/>
    <mergeCell ref="G2885:H2885"/>
    <mergeCell ref="G2886:H2886"/>
    <mergeCell ref="G2887:H2887"/>
    <mergeCell ref="G2888:H2888"/>
    <mergeCell ref="G2889:H2889"/>
    <mergeCell ref="G2890:H2890"/>
    <mergeCell ref="G2891:H2891"/>
    <mergeCell ref="G2892:H2892"/>
    <mergeCell ref="G2893:H2893"/>
    <mergeCell ref="J2895:K2895"/>
    <mergeCell ref="G2897:H2897"/>
    <mergeCell ref="G2898:H2898"/>
    <mergeCell ref="G2899:H2899"/>
    <mergeCell ref="G2900:H2900"/>
    <mergeCell ref="G2901:H2901"/>
    <mergeCell ref="G2902:H2902"/>
    <mergeCell ref="G2903:H2903"/>
    <mergeCell ref="G2904:H2904"/>
    <mergeCell ref="G2905:H2905"/>
    <mergeCell ref="G2906:H2906"/>
    <mergeCell ref="J2908:K2908"/>
    <mergeCell ref="G2910:H2910"/>
    <mergeCell ref="G2911:H2911"/>
    <mergeCell ref="G2912:H2912"/>
    <mergeCell ref="G2913:H2913"/>
    <mergeCell ref="G2914:H2914"/>
    <mergeCell ref="J2916:K2916"/>
    <mergeCell ref="G2918:H2918"/>
    <mergeCell ref="G2919:H2919"/>
    <mergeCell ref="G2920:H2920"/>
    <mergeCell ref="G2921:H2921"/>
    <mergeCell ref="G2922:H2922"/>
    <mergeCell ref="J2924:K2924"/>
    <mergeCell ref="G2926:H2926"/>
    <mergeCell ref="G2927:H2927"/>
    <mergeCell ref="G2928:H2928"/>
    <mergeCell ref="G2929:H2929"/>
    <mergeCell ref="G2930:H2930"/>
    <mergeCell ref="J2932:K2932"/>
    <mergeCell ref="G2934:H2934"/>
    <mergeCell ref="G2935:H2935"/>
    <mergeCell ref="G2936:H2936"/>
    <mergeCell ref="G2937:H2937"/>
    <mergeCell ref="G2938:H2938"/>
    <mergeCell ref="J2940:K2940"/>
    <mergeCell ref="G2942:H2942"/>
    <mergeCell ref="G2943:H2943"/>
    <mergeCell ref="G2944:H2944"/>
    <mergeCell ref="G2945:H2945"/>
    <mergeCell ref="G2946:H2946"/>
    <mergeCell ref="J2948:K2948"/>
    <mergeCell ref="G2950:H2950"/>
    <mergeCell ref="G2951:H2951"/>
    <mergeCell ref="G2952:H2952"/>
    <mergeCell ref="G2953:H2953"/>
    <mergeCell ref="G2954:H2954"/>
    <mergeCell ref="J2956:K2956"/>
    <mergeCell ref="G2958:H2958"/>
    <mergeCell ref="G2959:H2959"/>
    <mergeCell ref="G2960:H2960"/>
    <mergeCell ref="G2961:H2961"/>
    <mergeCell ref="G2962:H2962"/>
    <mergeCell ref="G2963:H2963"/>
    <mergeCell ref="G2964:H2964"/>
    <mergeCell ref="G2965:H2965"/>
    <mergeCell ref="G2966:H2966"/>
    <mergeCell ref="J2968:K2968"/>
    <mergeCell ref="G2970:H2970"/>
    <mergeCell ref="G2971:H2971"/>
    <mergeCell ref="G2972:H2972"/>
    <mergeCell ref="G2973:H2973"/>
    <mergeCell ref="G2974:H2974"/>
    <mergeCell ref="J2976:K2976"/>
    <mergeCell ref="G2978:H2978"/>
    <mergeCell ref="G2979:H2979"/>
    <mergeCell ref="G2980:H2980"/>
    <mergeCell ref="G2981:H2981"/>
    <mergeCell ref="G2982:H2982"/>
    <mergeCell ref="J2984:K2984"/>
    <mergeCell ref="G2986:H2986"/>
    <mergeCell ref="G2987:H2987"/>
    <mergeCell ref="G2988:H2988"/>
    <mergeCell ref="G2989:H2989"/>
    <mergeCell ref="G2990:H2990"/>
    <mergeCell ref="J2992:K2992"/>
    <mergeCell ref="G2994:H2994"/>
    <mergeCell ref="G2995:H2995"/>
    <mergeCell ref="G2996:H2996"/>
    <mergeCell ref="G2997:H2997"/>
    <mergeCell ref="G2998:H2998"/>
    <mergeCell ref="J3000:K3000"/>
    <mergeCell ref="G3002:H3002"/>
    <mergeCell ref="G3003:H3003"/>
    <mergeCell ref="G3004:H3004"/>
    <mergeCell ref="G3005:H3005"/>
    <mergeCell ref="G3006:H3006"/>
    <mergeCell ref="J3008:K3008"/>
    <mergeCell ref="G3010:H3010"/>
    <mergeCell ref="G3011:H3011"/>
    <mergeCell ref="G3012:H3012"/>
    <mergeCell ref="G3013:H3013"/>
    <mergeCell ref="G3014:H3014"/>
    <mergeCell ref="J3016:K3016"/>
    <mergeCell ref="G3018:H3018"/>
    <mergeCell ref="G3019:H3019"/>
    <mergeCell ref="G3020:H3020"/>
    <mergeCell ref="G3021:H3021"/>
    <mergeCell ref="G3022:H3022"/>
    <mergeCell ref="J3024:K3024"/>
    <mergeCell ref="G3026:H3026"/>
    <mergeCell ref="G3027:H3027"/>
    <mergeCell ref="G3028:H3028"/>
    <mergeCell ref="G3029:H3029"/>
    <mergeCell ref="J3031:K3031"/>
    <mergeCell ref="G3033:H3033"/>
    <mergeCell ref="G3034:H3034"/>
    <mergeCell ref="G3035:H3035"/>
    <mergeCell ref="G3036:H3036"/>
    <mergeCell ref="G3037:H3037"/>
    <mergeCell ref="J3039:K3039"/>
    <mergeCell ref="G3041:H3041"/>
    <mergeCell ref="G3042:H3042"/>
    <mergeCell ref="G3043:H3043"/>
    <mergeCell ref="G3044:H3044"/>
    <mergeCell ref="G3045:H3045"/>
    <mergeCell ref="J3047:K3047"/>
    <mergeCell ref="G3049:H3049"/>
    <mergeCell ref="G3050:H3050"/>
    <mergeCell ref="G3051:H3051"/>
    <mergeCell ref="G3052:H3052"/>
    <mergeCell ref="G3053:H3053"/>
    <mergeCell ref="J3055:K3055"/>
    <mergeCell ref="G3057:H3057"/>
    <mergeCell ref="G3058:H3058"/>
    <mergeCell ref="G3059:H3059"/>
    <mergeCell ref="G3060:H3060"/>
    <mergeCell ref="G3061:H3061"/>
    <mergeCell ref="G3062:H3062"/>
    <mergeCell ref="G3063:H3063"/>
    <mergeCell ref="G3064:H3064"/>
    <mergeCell ref="G3065:H3065"/>
    <mergeCell ref="G3066:H3066"/>
    <mergeCell ref="J3068:K3068"/>
    <mergeCell ref="G3070:H3070"/>
    <mergeCell ref="G3071:H3071"/>
    <mergeCell ref="G3072:H3072"/>
    <mergeCell ref="G3073:H3073"/>
    <mergeCell ref="G3074:H3074"/>
    <mergeCell ref="G3075:H3075"/>
    <mergeCell ref="J3077:K3077"/>
    <mergeCell ref="G3079:H3079"/>
    <mergeCell ref="G3080:H3080"/>
    <mergeCell ref="G3081:H3081"/>
    <mergeCell ref="G3082:H3082"/>
    <mergeCell ref="J3084:K3084"/>
    <mergeCell ref="G3086:H3086"/>
    <mergeCell ref="G3087:H3087"/>
    <mergeCell ref="G3088:H3088"/>
    <mergeCell ref="G3089:H3089"/>
    <mergeCell ref="J3091:K3091"/>
    <mergeCell ref="G3093:H3093"/>
    <mergeCell ref="G3094:H3094"/>
    <mergeCell ref="G3095:H3095"/>
    <mergeCell ref="G3096:H3096"/>
    <mergeCell ref="G3097:H3097"/>
    <mergeCell ref="J3099:K3099"/>
    <mergeCell ref="G3101:H3101"/>
    <mergeCell ref="G3102:H3102"/>
    <mergeCell ref="G3103:H3103"/>
    <mergeCell ref="G3104:H3104"/>
    <mergeCell ref="G3105:H3105"/>
    <mergeCell ref="J3107:K3107"/>
    <mergeCell ref="G3109:H3109"/>
    <mergeCell ref="G3110:H3110"/>
    <mergeCell ref="G3111:H3111"/>
    <mergeCell ref="G3112:H3112"/>
    <mergeCell ref="G3113:H3113"/>
    <mergeCell ref="J3115:K3115"/>
    <mergeCell ref="G3117:H3117"/>
    <mergeCell ref="G3118:H3118"/>
    <mergeCell ref="G3119:H3119"/>
    <mergeCell ref="G3120:H3120"/>
    <mergeCell ref="G3121:H3121"/>
    <mergeCell ref="J3123:K3123"/>
    <mergeCell ref="G3125:H3125"/>
    <mergeCell ref="G3126:H3126"/>
    <mergeCell ref="G3127:H3127"/>
    <mergeCell ref="G3128:H3128"/>
    <mergeCell ref="G3129:H3129"/>
    <mergeCell ref="J3131:K3131"/>
    <mergeCell ref="G3133:H3133"/>
    <mergeCell ref="G3134:H3134"/>
    <mergeCell ref="G3135:H3135"/>
    <mergeCell ref="G3136:H3136"/>
    <mergeCell ref="G3137:H3137"/>
    <mergeCell ref="J3139:K3139"/>
    <mergeCell ref="G3141:H3141"/>
    <mergeCell ref="G3142:H3142"/>
    <mergeCell ref="G3143:H3143"/>
    <mergeCell ref="G3144:H3144"/>
    <mergeCell ref="G3145:H3145"/>
    <mergeCell ref="J3147:K3147"/>
    <mergeCell ref="G3149:H3149"/>
    <mergeCell ref="G3150:H3150"/>
    <mergeCell ref="G3151:H3151"/>
    <mergeCell ref="G3152:H3152"/>
    <mergeCell ref="J3154:K3154"/>
    <mergeCell ref="G3156:H3156"/>
    <mergeCell ref="G3157:H3157"/>
    <mergeCell ref="G3158:H3158"/>
    <mergeCell ref="G3159:H3159"/>
    <mergeCell ref="J3161:K3161"/>
    <mergeCell ref="G3163:H3163"/>
    <mergeCell ref="G3164:H3164"/>
    <mergeCell ref="G3165:H3165"/>
    <mergeCell ref="G3166:H3166"/>
    <mergeCell ref="G3167:H3167"/>
    <mergeCell ref="G3168:H3168"/>
    <mergeCell ref="J3170:K3170"/>
    <mergeCell ref="G3172:H3172"/>
    <mergeCell ref="G3173:H3173"/>
    <mergeCell ref="G3174:H3174"/>
    <mergeCell ref="G3175:H3175"/>
    <mergeCell ref="G3176:H3176"/>
    <mergeCell ref="G3177:H3177"/>
    <mergeCell ref="J3179:K3179"/>
    <mergeCell ref="G3181:H3181"/>
    <mergeCell ref="G3182:H3182"/>
    <mergeCell ref="G3183:H3183"/>
    <mergeCell ref="G3184:H3184"/>
    <mergeCell ref="G3185:H3185"/>
    <mergeCell ref="G3186:H3186"/>
    <mergeCell ref="J3188:K3188"/>
    <mergeCell ref="G3190:H3190"/>
    <mergeCell ref="G3191:H3191"/>
    <mergeCell ref="G3192:H3192"/>
    <mergeCell ref="G3193:H3193"/>
    <mergeCell ref="G3194:H3194"/>
    <mergeCell ref="G3195:H3195"/>
    <mergeCell ref="J3197:K3197"/>
    <mergeCell ref="G3199:H3199"/>
    <mergeCell ref="G3200:H3200"/>
    <mergeCell ref="G3201:H3201"/>
    <mergeCell ref="G3202:H3202"/>
    <mergeCell ref="G3203:H3203"/>
    <mergeCell ref="J3205:K3205"/>
    <mergeCell ref="G3207:H3207"/>
    <mergeCell ref="G3208:H3208"/>
    <mergeCell ref="G3209:H3209"/>
    <mergeCell ref="G3210:H3210"/>
    <mergeCell ref="G3211:H3211"/>
    <mergeCell ref="J3213:K3213"/>
    <mergeCell ref="G3215:H3215"/>
    <mergeCell ref="G3216:H3216"/>
    <mergeCell ref="G3217:H3217"/>
    <mergeCell ref="G3218:H3218"/>
    <mergeCell ref="G3219:H3219"/>
    <mergeCell ref="G3220:H3220"/>
    <mergeCell ref="J3222:K3222"/>
    <mergeCell ref="G3224:H3224"/>
    <mergeCell ref="G3225:H3225"/>
    <mergeCell ref="G3226:H3226"/>
    <mergeCell ref="G3227:H3227"/>
    <mergeCell ref="G3228:H3228"/>
    <mergeCell ref="J3230:K3230"/>
    <mergeCell ref="G3232:H3232"/>
    <mergeCell ref="G3233:H3233"/>
    <mergeCell ref="G3234:H3234"/>
    <mergeCell ref="G3235:H3235"/>
    <mergeCell ref="G3236:H3236"/>
    <mergeCell ref="J3238:K3238"/>
    <mergeCell ref="G3240:H3240"/>
    <mergeCell ref="G3241:H3241"/>
    <mergeCell ref="G3242:H3242"/>
    <mergeCell ref="G3243:H3243"/>
    <mergeCell ref="G3244:H3244"/>
    <mergeCell ref="J3246:K3246"/>
    <mergeCell ref="G3248:H3248"/>
    <mergeCell ref="G3249:H3249"/>
    <mergeCell ref="G3250:H3250"/>
    <mergeCell ref="G3251:H3251"/>
    <mergeCell ref="G3252:H3252"/>
    <mergeCell ref="J3254:K3254"/>
    <mergeCell ref="G3256:H3256"/>
    <mergeCell ref="G3257:H3257"/>
    <mergeCell ref="G3258:H3258"/>
    <mergeCell ref="G3259:H3259"/>
    <mergeCell ref="G3260:H3260"/>
    <mergeCell ref="J3262:K3262"/>
    <mergeCell ref="G3264:H3264"/>
    <mergeCell ref="G3265:H3265"/>
    <mergeCell ref="G3266:H3266"/>
    <mergeCell ref="G3267:H3267"/>
    <mergeCell ref="G3268:H3268"/>
    <mergeCell ref="G3269:H3269"/>
    <mergeCell ref="G3270:H3270"/>
    <mergeCell ref="J3272:K3272"/>
    <mergeCell ref="G3274:H3274"/>
    <mergeCell ref="G3275:H3275"/>
    <mergeCell ref="G3276:H3276"/>
    <mergeCell ref="J3278:K3278"/>
    <mergeCell ref="G3280:H3280"/>
    <mergeCell ref="G3281:H3281"/>
    <mergeCell ref="G3282:H3282"/>
    <mergeCell ref="G3283:H3283"/>
    <mergeCell ref="G3284:H3284"/>
    <mergeCell ref="G3285:H3285"/>
    <mergeCell ref="J3287:K3287"/>
    <mergeCell ref="G3289:H3289"/>
    <mergeCell ref="G3290:H3290"/>
    <mergeCell ref="G3291:H3291"/>
    <mergeCell ref="G3292:H3292"/>
    <mergeCell ref="G3293:H3293"/>
    <mergeCell ref="J3295:K3295"/>
    <mergeCell ref="G3297:H3297"/>
    <mergeCell ref="G3298:H3298"/>
    <mergeCell ref="G3299:H3299"/>
    <mergeCell ref="G3300:H3300"/>
    <mergeCell ref="G3301:H3301"/>
    <mergeCell ref="J3303:K3303"/>
    <mergeCell ref="G3305:H3305"/>
    <mergeCell ref="G3306:H3306"/>
    <mergeCell ref="G3307:H3307"/>
    <mergeCell ref="G3308:H3308"/>
    <mergeCell ref="G3309:H3309"/>
    <mergeCell ref="G3310:H3310"/>
    <mergeCell ref="G3311:H3311"/>
    <mergeCell ref="G3312:H3312"/>
    <mergeCell ref="J3314:K3314"/>
    <mergeCell ref="G3316:H3316"/>
    <mergeCell ref="G3317:H3317"/>
    <mergeCell ref="G3318:H3318"/>
    <mergeCell ref="G3319:H3319"/>
    <mergeCell ref="G3320:H3320"/>
    <mergeCell ref="J3322:K3322"/>
    <mergeCell ref="G3324:H3324"/>
    <mergeCell ref="G3325:H3325"/>
    <mergeCell ref="G3326:H3326"/>
    <mergeCell ref="G3327:H3327"/>
    <mergeCell ref="G3328:H3328"/>
    <mergeCell ref="G3329:H3329"/>
    <mergeCell ref="J3331:K3331"/>
    <mergeCell ref="G3333:H3333"/>
    <mergeCell ref="G3334:H3334"/>
    <mergeCell ref="G3335:H3335"/>
    <mergeCell ref="G3336:H3336"/>
    <mergeCell ref="G3337:H3337"/>
    <mergeCell ref="G3338:H3338"/>
    <mergeCell ref="G3339:H3339"/>
    <mergeCell ref="J3341:K3341"/>
    <mergeCell ref="G3343:H3343"/>
    <mergeCell ref="G3344:H3344"/>
    <mergeCell ref="G3345:H3345"/>
    <mergeCell ref="G3346:H3346"/>
    <mergeCell ref="G3347:H3347"/>
    <mergeCell ref="G3348:H3348"/>
    <mergeCell ref="G3349:H3349"/>
    <mergeCell ref="J3351:K3351"/>
    <mergeCell ref="G3353:H3353"/>
    <mergeCell ref="G3354:H3354"/>
    <mergeCell ref="G3355:H3355"/>
    <mergeCell ref="G3356:H3356"/>
    <mergeCell ref="G3357:H3357"/>
    <mergeCell ref="G3358:H3358"/>
    <mergeCell ref="G3359:H3359"/>
    <mergeCell ref="G3360:H3360"/>
    <mergeCell ref="G3361:H3361"/>
    <mergeCell ref="G3362:H3362"/>
    <mergeCell ref="G3363:H3363"/>
    <mergeCell ref="G3364:H3364"/>
    <mergeCell ref="G3365:H3365"/>
    <mergeCell ref="G3366:H3366"/>
    <mergeCell ref="G3367:H3367"/>
    <mergeCell ref="G3368:H3368"/>
    <mergeCell ref="G3369:H3369"/>
    <mergeCell ref="G3370:H3370"/>
    <mergeCell ref="G3371:H3371"/>
    <mergeCell ref="G3372:H3372"/>
    <mergeCell ref="G3373:H3373"/>
    <mergeCell ref="J3375:K3375"/>
    <mergeCell ref="G3377:H3377"/>
    <mergeCell ref="G3378:H3378"/>
    <mergeCell ref="G3379:H3379"/>
    <mergeCell ref="G3380:H3380"/>
    <mergeCell ref="G3381:H3381"/>
    <mergeCell ref="G3382:H3382"/>
    <mergeCell ref="J3384:K3384"/>
    <mergeCell ref="G3386:H3386"/>
    <mergeCell ref="G3387:H3387"/>
    <mergeCell ref="G3388:H3388"/>
    <mergeCell ref="G3389:H3389"/>
    <mergeCell ref="G3390:H3390"/>
    <mergeCell ref="G3391:H3391"/>
    <mergeCell ref="J3393:K3393"/>
    <mergeCell ref="G3395:H3395"/>
    <mergeCell ref="G3396:H3396"/>
    <mergeCell ref="G3397:H3397"/>
    <mergeCell ref="G3398:H3398"/>
    <mergeCell ref="G3399:H3399"/>
    <mergeCell ref="G3400:H3400"/>
    <mergeCell ref="J3402:K3402"/>
    <mergeCell ref="G3404:H3404"/>
    <mergeCell ref="G3405:H3405"/>
    <mergeCell ref="G3406:H3406"/>
    <mergeCell ref="G3407:H3407"/>
    <mergeCell ref="G3408:H3408"/>
    <mergeCell ref="G3409:H3409"/>
    <mergeCell ref="J3411:K3411"/>
    <mergeCell ref="G3413:H3413"/>
    <mergeCell ref="G3414:H3414"/>
    <mergeCell ref="G3415:H3415"/>
    <mergeCell ref="G3416:H3416"/>
    <mergeCell ref="G3417:H3417"/>
    <mergeCell ref="G3418:H3418"/>
    <mergeCell ref="J3420:K3420"/>
    <mergeCell ref="G3422:H3422"/>
    <mergeCell ref="G3423:H3423"/>
    <mergeCell ref="G3424:H3424"/>
    <mergeCell ref="G3425:H3425"/>
    <mergeCell ref="G3426:H3426"/>
    <mergeCell ref="G3427:H3427"/>
    <mergeCell ref="J3429:K3429"/>
    <mergeCell ref="G3431:H3431"/>
    <mergeCell ref="G3432:H3432"/>
    <mergeCell ref="G3433:H3433"/>
    <mergeCell ref="G3434:H3434"/>
    <mergeCell ref="G3435:H3435"/>
    <mergeCell ref="G3436:H3436"/>
    <mergeCell ref="J3438:K3438"/>
    <mergeCell ref="G3440:H3440"/>
    <mergeCell ref="G3441:H3441"/>
    <mergeCell ref="G3442:H3442"/>
    <mergeCell ref="G3443:H3443"/>
    <mergeCell ref="G3444:H3444"/>
    <mergeCell ref="G3445:H3445"/>
    <mergeCell ref="J3447:K3447"/>
    <mergeCell ref="G3449:H3449"/>
    <mergeCell ref="G3450:H3450"/>
    <mergeCell ref="G3451:H3451"/>
    <mergeCell ref="G3452:H3452"/>
    <mergeCell ref="G3453:H3453"/>
    <mergeCell ref="G3454:H3454"/>
    <mergeCell ref="J3456:K3456"/>
    <mergeCell ref="G3458:H3458"/>
    <mergeCell ref="G3459:H3459"/>
    <mergeCell ref="G3460:H3460"/>
    <mergeCell ref="G3461:H3461"/>
    <mergeCell ref="G3462:H3462"/>
    <mergeCell ref="G3463:H3463"/>
    <mergeCell ref="J3465:K3465"/>
    <mergeCell ref="G3467:H3467"/>
    <mergeCell ref="G3468:H3468"/>
    <mergeCell ref="G3469:H3469"/>
    <mergeCell ref="G3470:H3470"/>
    <mergeCell ref="G3471:H3471"/>
    <mergeCell ref="G3472:H3472"/>
    <mergeCell ref="J3474:K3474"/>
    <mergeCell ref="G3476:H3476"/>
    <mergeCell ref="G3477:H3477"/>
    <mergeCell ref="G3478:H3478"/>
    <mergeCell ref="G3479:H3479"/>
    <mergeCell ref="G3480:H3480"/>
    <mergeCell ref="G3481:H3481"/>
    <mergeCell ref="J3483:K3483"/>
    <mergeCell ref="G3485:H3485"/>
    <mergeCell ref="G3486:H3486"/>
    <mergeCell ref="G3487:H3487"/>
    <mergeCell ref="G3488:H3488"/>
    <mergeCell ref="G3489:H3489"/>
    <mergeCell ref="G3490:H3490"/>
    <mergeCell ref="J3492:K3492"/>
    <mergeCell ref="G3494:H3494"/>
    <mergeCell ref="G3495:H3495"/>
    <mergeCell ref="G3496:H3496"/>
    <mergeCell ref="G3497:H3497"/>
    <mergeCell ref="G3498:H3498"/>
    <mergeCell ref="G3499:H3499"/>
    <mergeCell ref="J3501:K3501"/>
    <mergeCell ref="G3503:H3503"/>
    <mergeCell ref="G3504:H3504"/>
    <mergeCell ref="G3505:H3505"/>
    <mergeCell ref="G3506:H3506"/>
    <mergeCell ref="G3507:H3507"/>
    <mergeCell ref="J3509:K3509"/>
    <mergeCell ref="G3511:H3511"/>
    <mergeCell ref="G3512:H3512"/>
    <mergeCell ref="G3513:H3513"/>
    <mergeCell ref="G3514:H3514"/>
    <mergeCell ref="G3515:H3515"/>
    <mergeCell ref="G3516:H3516"/>
    <mergeCell ref="G3517:H3517"/>
    <mergeCell ref="G3518:H3518"/>
    <mergeCell ref="G3519:H3519"/>
    <mergeCell ref="G3520:H3520"/>
    <mergeCell ref="G3521:H3521"/>
    <mergeCell ref="J3523:K3523"/>
    <mergeCell ref="G3525:H3525"/>
    <mergeCell ref="G3526:H3526"/>
    <mergeCell ref="G3527:H3527"/>
    <mergeCell ref="G3528:H3528"/>
    <mergeCell ref="G3529:H3529"/>
    <mergeCell ref="J3531:K3531"/>
    <mergeCell ref="G3533:H3533"/>
    <mergeCell ref="G3534:H3534"/>
    <mergeCell ref="G3535:H3535"/>
    <mergeCell ref="G3536:H3536"/>
    <mergeCell ref="G3537:H3537"/>
    <mergeCell ref="J3539:K3539"/>
    <mergeCell ref="G3541:H3541"/>
    <mergeCell ref="G3542:H3542"/>
    <mergeCell ref="G3543:H3543"/>
    <mergeCell ref="G3544:H3544"/>
    <mergeCell ref="G3545:H3545"/>
    <mergeCell ref="J3547:K3547"/>
    <mergeCell ref="G3549:H3549"/>
    <mergeCell ref="G3550:H3550"/>
    <mergeCell ref="G3551:H3551"/>
    <mergeCell ref="G3552:H3552"/>
    <mergeCell ref="G3553:H3553"/>
    <mergeCell ref="J3555:K3555"/>
    <mergeCell ref="G3557:H3557"/>
    <mergeCell ref="G3558:H3558"/>
    <mergeCell ref="G3559:H3559"/>
    <mergeCell ref="G3560:H3560"/>
    <mergeCell ref="G3561:H3561"/>
    <mergeCell ref="J3563:K3563"/>
    <mergeCell ref="G3565:H3565"/>
    <mergeCell ref="G3566:H3566"/>
    <mergeCell ref="G3567:H3567"/>
    <mergeCell ref="G3568:H3568"/>
    <mergeCell ref="G3569:H3569"/>
    <mergeCell ref="J3571:K3571"/>
    <mergeCell ref="G3573:H3573"/>
    <mergeCell ref="G3574:H3574"/>
    <mergeCell ref="G3575:H3575"/>
    <mergeCell ref="G3576:H3576"/>
    <mergeCell ref="G3577:H3577"/>
    <mergeCell ref="J3579:K3579"/>
    <mergeCell ref="G3581:H3581"/>
    <mergeCell ref="G3582:H3582"/>
    <mergeCell ref="G3583:H3583"/>
    <mergeCell ref="G3584:H3584"/>
    <mergeCell ref="G3585:H3585"/>
    <mergeCell ref="G3586:H3586"/>
    <mergeCell ref="J3588:K3588"/>
    <mergeCell ref="G3590:H3590"/>
    <mergeCell ref="G3591:H3591"/>
    <mergeCell ref="G3592:H3592"/>
    <mergeCell ref="G3593:H3593"/>
    <mergeCell ref="G3594:H3594"/>
    <mergeCell ref="G3595:H3595"/>
    <mergeCell ref="J3597:K3597"/>
    <mergeCell ref="G3599:H3599"/>
    <mergeCell ref="G3600:H3600"/>
    <mergeCell ref="G3601:H3601"/>
    <mergeCell ref="G3602:H3602"/>
    <mergeCell ref="G3603:H3603"/>
    <mergeCell ref="G3604:H3604"/>
    <mergeCell ref="J3606:K3606"/>
    <mergeCell ref="G3608:H3608"/>
    <mergeCell ref="G3609:H3609"/>
    <mergeCell ref="G3610:H3610"/>
    <mergeCell ref="G3611:H3611"/>
    <mergeCell ref="G3612:H3612"/>
    <mergeCell ref="G3613:H3613"/>
    <mergeCell ref="J3615:K3615"/>
    <mergeCell ref="G3617:H3617"/>
    <mergeCell ref="G3618:H3618"/>
    <mergeCell ref="G3619:H3619"/>
    <mergeCell ref="G3620:H3620"/>
    <mergeCell ref="G3621:H3621"/>
    <mergeCell ref="G3622:H3622"/>
    <mergeCell ref="J3624:K3624"/>
    <mergeCell ref="G3626:H3626"/>
    <mergeCell ref="G3627:H3627"/>
    <mergeCell ref="G3628:H3628"/>
    <mergeCell ref="G3629:H3629"/>
    <mergeCell ref="G3630:H3630"/>
    <mergeCell ref="G3631:H3631"/>
    <mergeCell ref="J3633:K3633"/>
    <mergeCell ref="G3635:H3635"/>
    <mergeCell ref="G3636:H3636"/>
    <mergeCell ref="G3637:H3637"/>
    <mergeCell ref="G3638:H3638"/>
    <mergeCell ref="G3639:H3639"/>
    <mergeCell ref="J3641:K3641"/>
    <mergeCell ref="G3643:H3643"/>
    <mergeCell ref="G3644:H3644"/>
    <mergeCell ref="G3645:H3645"/>
    <mergeCell ref="G3646:H3646"/>
    <mergeCell ref="G3647:H3647"/>
    <mergeCell ref="J3649:K3649"/>
    <mergeCell ref="G3651:H3651"/>
    <mergeCell ref="G3652:H3652"/>
    <mergeCell ref="G3653:H3653"/>
    <mergeCell ref="G3654:H3654"/>
    <mergeCell ref="G3655:H3655"/>
    <mergeCell ref="G3656:H3656"/>
    <mergeCell ref="G3657:H3657"/>
    <mergeCell ref="J3659:K3659"/>
    <mergeCell ref="G3661:H3661"/>
    <mergeCell ref="G3662:H3662"/>
    <mergeCell ref="G3663:H3663"/>
    <mergeCell ref="J3665:K3665"/>
    <mergeCell ref="G3667:H3667"/>
    <mergeCell ref="G3668:H3668"/>
    <mergeCell ref="G3669:H3669"/>
    <mergeCell ref="G3670:H3670"/>
    <mergeCell ref="G3671:H3671"/>
    <mergeCell ref="J3673:K3673"/>
    <mergeCell ref="G3675:H3675"/>
    <mergeCell ref="G3676:H3676"/>
    <mergeCell ref="G3677:H3677"/>
    <mergeCell ref="G3678:H3678"/>
    <mergeCell ref="G3679:H3679"/>
    <mergeCell ref="J3681:K3681"/>
    <mergeCell ref="G3683:H3683"/>
    <mergeCell ref="G3684:H3684"/>
    <mergeCell ref="G3685:H3685"/>
    <mergeCell ref="G3686:H3686"/>
    <mergeCell ref="G3687:H3687"/>
    <mergeCell ref="J3689:K3689"/>
    <mergeCell ref="G3691:H3691"/>
    <mergeCell ref="G3692:H3692"/>
    <mergeCell ref="G3693:H3693"/>
    <mergeCell ref="G3694:H3694"/>
    <mergeCell ref="G3695:H3695"/>
    <mergeCell ref="G3696:H3696"/>
    <mergeCell ref="G3697:H3697"/>
    <mergeCell ref="G3698:H3698"/>
    <mergeCell ref="J3700:K3700"/>
    <mergeCell ref="G3702:H3702"/>
    <mergeCell ref="G3703:H3703"/>
    <mergeCell ref="G3704:H3704"/>
    <mergeCell ref="G3705:H3705"/>
    <mergeCell ref="G3706:H3706"/>
    <mergeCell ref="G3707:H3707"/>
    <mergeCell ref="G3708:H3708"/>
    <mergeCell ref="G3709:H3709"/>
    <mergeCell ref="G3710:H3710"/>
    <mergeCell ref="G3711:H3711"/>
    <mergeCell ref="G3712:H3712"/>
    <mergeCell ref="G3713:H3713"/>
    <mergeCell ref="G3714:H3714"/>
    <mergeCell ref="G3715:H3715"/>
    <mergeCell ref="G3716:H3716"/>
    <mergeCell ref="G3717:H3717"/>
    <mergeCell ref="G3718:H3718"/>
    <mergeCell ref="G3719:H3719"/>
    <mergeCell ref="G3720:H3720"/>
    <mergeCell ref="G3721:H3721"/>
    <mergeCell ref="G3722:H3722"/>
    <mergeCell ref="G3723:H3723"/>
    <mergeCell ref="J3725:K3725"/>
    <mergeCell ref="G3727:H3727"/>
    <mergeCell ref="G3728:H3728"/>
    <mergeCell ref="G3729:H3729"/>
    <mergeCell ref="G3730:H3730"/>
    <mergeCell ref="G3731:H3731"/>
    <mergeCell ref="J3733:K3733"/>
    <mergeCell ref="G3735:H3735"/>
    <mergeCell ref="G3736:H3736"/>
    <mergeCell ref="G3737:H3737"/>
    <mergeCell ref="G3738:H3738"/>
    <mergeCell ref="G3739:H3739"/>
    <mergeCell ref="J3741:K3741"/>
    <mergeCell ref="G3743:H3743"/>
    <mergeCell ref="G3744:H3744"/>
    <mergeCell ref="G3745:H3745"/>
    <mergeCell ref="G3746:H3746"/>
    <mergeCell ref="G3747:H3747"/>
    <mergeCell ref="J3749:K3749"/>
    <mergeCell ref="G3751:H3751"/>
    <mergeCell ref="G3752:H3752"/>
    <mergeCell ref="G3753:H3753"/>
    <mergeCell ref="G3754:H3754"/>
    <mergeCell ref="G3755:H3755"/>
    <mergeCell ref="J3757:K3757"/>
    <mergeCell ref="G3759:H3759"/>
    <mergeCell ref="G3760:H3760"/>
    <mergeCell ref="G3761:H3761"/>
    <mergeCell ref="G3762:H3762"/>
    <mergeCell ref="G3763:H3763"/>
    <mergeCell ref="J3765:K3765"/>
    <mergeCell ref="G3767:H3767"/>
    <mergeCell ref="G3768:H3768"/>
    <mergeCell ref="G3769:H3769"/>
    <mergeCell ref="G3770:H3770"/>
    <mergeCell ref="G3771:H3771"/>
    <mergeCell ref="J3773:K3773"/>
    <mergeCell ref="G3775:H3775"/>
    <mergeCell ref="G3776:H3776"/>
    <mergeCell ref="G3777:H3777"/>
    <mergeCell ref="G3778:H3778"/>
    <mergeCell ref="G3779:H3779"/>
    <mergeCell ref="G3780:H3780"/>
    <mergeCell ref="J3782:K3782"/>
    <mergeCell ref="G3784:H3784"/>
    <mergeCell ref="G3785:H3785"/>
    <mergeCell ref="G3786:H3786"/>
    <mergeCell ref="G3787:H3787"/>
    <mergeCell ref="G3788:H3788"/>
    <mergeCell ref="G3789:H3789"/>
    <mergeCell ref="J3791:K3791"/>
    <mergeCell ref="G3793:H3793"/>
    <mergeCell ref="G3794:H3794"/>
    <mergeCell ref="G3795:H3795"/>
    <mergeCell ref="G3796:H3796"/>
    <mergeCell ref="G3797:H3797"/>
    <mergeCell ref="G3798:H3798"/>
    <mergeCell ref="J3800:K3800"/>
    <mergeCell ref="G3802:H3802"/>
    <mergeCell ref="G3803:H3803"/>
    <mergeCell ref="G3804:H3804"/>
    <mergeCell ref="G3805:H3805"/>
    <mergeCell ref="G3806:H3806"/>
    <mergeCell ref="G3807:H3807"/>
    <mergeCell ref="J3809:K3809"/>
    <mergeCell ref="G3811:H3811"/>
    <mergeCell ref="G3812:H3812"/>
    <mergeCell ref="G3813:H3813"/>
    <mergeCell ref="G3814:H3814"/>
    <mergeCell ref="G3815:H3815"/>
    <mergeCell ref="G3816:H3816"/>
    <mergeCell ref="J3818:K3818"/>
    <mergeCell ref="G3820:H3820"/>
    <mergeCell ref="G3821:H3821"/>
    <mergeCell ref="G3822:H3822"/>
    <mergeCell ref="G3823:H3823"/>
    <mergeCell ref="G3824:H3824"/>
    <mergeCell ref="J3826:K3826"/>
    <mergeCell ref="G3828:H3828"/>
    <mergeCell ref="G3829:H3829"/>
    <mergeCell ref="G3830:H3830"/>
    <mergeCell ref="G3831:H3831"/>
    <mergeCell ref="G3832:H3832"/>
    <mergeCell ref="J3834:K3834"/>
    <mergeCell ref="G3836:H3836"/>
    <mergeCell ref="G3837:H3837"/>
    <mergeCell ref="G3838:H3838"/>
    <mergeCell ref="G3839:H3839"/>
    <mergeCell ref="G3840:H3840"/>
    <mergeCell ref="J3842:K3842"/>
    <mergeCell ref="G3844:H3844"/>
    <mergeCell ref="G3845:H3845"/>
    <mergeCell ref="G3846:H3846"/>
    <mergeCell ref="G3847:H3847"/>
    <mergeCell ref="G3848:H3848"/>
    <mergeCell ref="J3850:K3850"/>
    <mergeCell ref="G3852:H3852"/>
    <mergeCell ref="G3853:H3853"/>
    <mergeCell ref="G3854:H3854"/>
    <mergeCell ref="G3855:H3855"/>
    <mergeCell ref="G3856:H3856"/>
    <mergeCell ref="J3858:K3858"/>
    <mergeCell ref="G3860:H3860"/>
    <mergeCell ref="G3861:H3861"/>
    <mergeCell ref="G3862:H3862"/>
    <mergeCell ref="G3863:H3863"/>
    <mergeCell ref="G3864:H3864"/>
    <mergeCell ref="J3866:K3866"/>
    <mergeCell ref="G3868:H3868"/>
    <mergeCell ref="G3869:H3869"/>
    <mergeCell ref="G3870:H3870"/>
    <mergeCell ref="G3871:H3871"/>
    <mergeCell ref="G3872:H3872"/>
    <mergeCell ref="J3874:K3874"/>
    <mergeCell ref="G3876:H3876"/>
    <mergeCell ref="G3877:H3877"/>
    <mergeCell ref="G3878:H3878"/>
    <mergeCell ref="G3879:H3879"/>
    <mergeCell ref="G3880:H3880"/>
    <mergeCell ref="J3882:K3882"/>
    <mergeCell ref="G3884:H3884"/>
    <mergeCell ref="G3885:H3885"/>
    <mergeCell ref="G3886:H3886"/>
    <mergeCell ref="G3887:H3887"/>
    <mergeCell ref="G3888:H3888"/>
    <mergeCell ref="J3890:K3890"/>
    <mergeCell ref="G3892:H3892"/>
    <mergeCell ref="G3893:H3893"/>
    <mergeCell ref="G3894:H3894"/>
    <mergeCell ref="G3895:H3895"/>
    <mergeCell ref="G3896:H3896"/>
    <mergeCell ref="J3898:K3898"/>
    <mergeCell ref="G3900:H3900"/>
    <mergeCell ref="G3901:H3901"/>
    <mergeCell ref="G3902:H3902"/>
    <mergeCell ref="G3903:H3903"/>
    <mergeCell ref="G3904:H3904"/>
    <mergeCell ref="G3905:H3905"/>
    <mergeCell ref="J3907:K3907"/>
    <mergeCell ref="G3909:H3909"/>
    <mergeCell ref="G3910:H3910"/>
    <mergeCell ref="G3911:H3911"/>
    <mergeCell ref="G3912:H3912"/>
    <mergeCell ref="G3913:H3913"/>
    <mergeCell ref="J3915:K3915"/>
    <mergeCell ref="G3917:H3917"/>
    <mergeCell ref="G3918:H3918"/>
    <mergeCell ref="G3919:H3919"/>
    <mergeCell ref="G3920:H3920"/>
    <mergeCell ref="G3921:H3921"/>
    <mergeCell ref="G3922:H3922"/>
    <mergeCell ref="J3924:K3924"/>
    <mergeCell ref="G3926:H3926"/>
    <mergeCell ref="G3927:H3927"/>
    <mergeCell ref="G3928:H3928"/>
    <mergeCell ref="G3929:H3929"/>
    <mergeCell ref="G3930:H3930"/>
    <mergeCell ref="J3932:K3932"/>
    <mergeCell ref="G3934:H3934"/>
    <mergeCell ref="G3935:H3935"/>
    <mergeCell ref="G3936:H3936"/>
    <mergeCell ref="G3937:H3937"/>
    <mergeCell ref="G3938:H3938"/>
    <mergeCell ref="J3940:K3940"/>
    <mergeCell ref="G3942:H3942"/>
    <mergeCell ref="G3943:H3943"/>
    <mergeCell ref="G3944:H3944"/>
    <mergeCell ref="G3945:H3945"/>
    <mergeCell ref="G3946:H3946"/>
    <mergeCell ref="J3948:K3948"/>
    <mergeCell ref="G3950:H3950"/>
    <mergeCell ref="G3951:H3951"/>
    <mergeCell ref="G3952:H3952"/>
    <mergeCell ref="G3953:H3953"/>
    <mergeCell ref="G3954:H3954"/>
    <mergeCell ref="J3956:K3956"/>
    <mergeCell ref="G3958:H3958"/>
    <mergeCell ref="G3959:H3959"/>
    <mergeCell ref="G3960:H3960"/>
    <mergeCell ref="G3961:H3961"/>
    <mergeCell ref="G3962:H3962"/>
    <mergeCell ref="J3964:K3964"/>
    <mergeCell ref="G3966:H3966"/>
    <mergeCell ref="G3967:H3967"/>
    <mergeCell ref="G3968:H3968"/>
    <mergeCell ref="G3969:H3969"/>
    <mergeCell ref="G3970:H3970"/>
    <mergeCell ref="J3972:K3972"/>
    <mergeCell ref="G3974:H3974"/>
    <mergeCell ref="G3975:H3975"/>
    <mergeCell ref="G3976:H3976"/>
    <mergeCell ref="G3977:H3977"/>
    <mergeCell ref="G3978:H3978"/>
    <mergeCell ref="J3980:K3980"/>
    <mergeCell ref="G3982:H3982"/>
    <mergeCell ref="G3983:H3983"/>
    <mergeCell ref="G3984:H3984"/>
    <mergeCell ref="G3985:H3985"/>
    <mergeCell ref="G3986:H3986"/>
    <mergeCell ref="J3988:K3988"/>
    <mergeCell ref="G3990:H3990"/>
    <mergeCell ref="G3991:H3991"/>
    <mergeCell ref="G3992:H3992"/>
    <mergeCell ref="G3993:H3993"/>
    <mergeCell ref="G3994:H3994"/>
    <mergeCell ref="J3996:K3996"/>
    <mergeCell ref="G3998:H3998"/>
    <mergeCell ref="G3999:H3999"/>
    <mergeCell ref="G4000:H4000"/>
    <mergeCell ref="G4001:H4001"/>
    <mergeCell ref="G4002:H4002"/>
    <mergeCell ref="J4004:K4004"/>
    <mergeCell ref="G4006:H4006"/>
    <mergeCell ref="G4007:H4007"/>
    <mergeCell ref="G4008:H4008"/>
    <mergeCell ref="G4009:H4009"/>
    <mergeCell ref="G4010:H4010"/>
    <mergeCell ref="J4012:K4012"/>
    <mergeCell ref="G4014:H4014"/>
    <mergeCell ref="G4015:H4015"/>
    <mergeCell ref="G4016:H4016"/>
    <mergeCell ref="G4017:H4017"/>
    <mergeCell ref="G4018:H4018"/>
    <mergeCell ref="J4020:K4020"/>
    <mergeCell ref="G4022:H4022"/>
    <mergeCell ref="G4023:H4023"/>
    <mergeCell ref="G4024:H4024"/>
    <mergeCell ref="G4025:H4025"/>
    <mergeCell ref="G4026:H4026"/>
    <mergeCell ref="J4028:K4028"/>
    <mergeCell ref="G4030:H4030"/>
    <mergeCell ref="G4031:H4031"/>
    <mergeCell ref="G4032:H4032"/>
    <mergeCell ref="G4033:H4033"/>
    <mergeCell ref="G4034:H4034"/>
    <mergeCell ref="J4036:K4036"/>
    <mergeCell ref="G4038:H4038"/>
    <mergeCell ref="G4039:H4039"/>
    <mergeCell ref="G4040:H4040"/>
    <mergeCell ref="G4041:H4041"/>
    <mergeCell ref="G4042:H4042"/>
    <mergeCell ref="J4044:K4044"/>
    <mergeCell ref="G4046:H4046"/>
    <mergeCell ref="G4047:H4047"/>
    <mergeCell ref="G4048:H4048"/>
    <mergeCell ref="G4049:H4049"/>
    <mergeCell ref="G4050:H4050"/>
    <mergeCell ref="J4052:K4052"/>
    <mergeCell ref="G4054:H4054"/>
    <mergeCell ref="G4055:H4055"/>
    <mergeCell ref="G4056:H4056"/>
    <mergeCell ref="G4057:H4057"/>
    <mergeCell ref="G4058:H4058"/>
    <mergeCell ref="J4060:K4060"/>
    <mergeCell ref="G4062:H4062"/>
    <mergeCell ref="G4063:H4063"/>
    <mergeCell ref="G4064:H4064"/>
    <mergeCell ref="G4065:H4065"/>
    <mergeCell ref="G4066:H4066"/>
    <mergeCell ref="J4068:K4068"/>
    <mergeCell ref="G4070:H4070"/>
    <mergeCell ref="G4071:H4071"/>
    <mergeCell ref="G4072:H4072"/>
    <mergeCell ref="G4073:H4073"/>
    <mergeCell ref="G4074:H4074"/>
    <mergeCell ref="J4076:K4076"/>
    <mergeCell ref="G4078:H4078"/>
    <mergeCell ref="G4079:H4079"/>
    <mergeCell ref="G4080:H4080"/>
    <mergeCell ref="G4081:H4081"/>
    <mergeCell ref="G4082:H4082"/>
    <mergeCell ref="J4084:K4084"/>
    <mergeCell ref="G4086:H4086"/>
    <mergeCell ref="G4087:H4087"/>
    <mergeCell ref="G4088:H4088"/>
    <mergeCell ref="G4089:H4089"/>
    <mergeCell ref="G4090:H4090"/>
    <mergeCell ref="J4092:K4092"/>
    <mergeCell ref="G4094:H4094"/>
    <mergeCell ref="G4095:H4095"/>
    <mergeCell ref="G4096:H4096"/>
    <mergeCell ref="G4097:H4097"/>
    <mergeCell ref="G4098:H4098"/>
    <mergeCell ref="J4100:K4100"/>
    <mergeCell ref="G4102:H4102"/>
    <mergeCell ref="G4103:H4103"/>
    <mergeCell ref="G4104:H4104"/>
    <mergeCell ref="J4106:K4106"/>
    <mergeCell ref="G4108:H4108"/>
    <mergeCell ref="G4109:H4109"/>
    <mergeCell ref="G4110:H4110"/>
    <mergeCell ref="G4111:H4111"/>
    <mergeCell ref="G4112:H4112"/>
    <mergeCell ref="G4113:H4113"/>
    <mergeCell ref="J4115:K4115"/>
    <mergeCell ref="G4117:H4117"/>
    <mergeCell ref="G4118:H4118"/>
    <mergeCell ref="G4119:H4119"/>
    <mergeCell ref="G4120:H4120"/>
    <mergeCell ref="G4121:H4121"/>
    <mergeCell ref="J4123:K4123"/>
    <mergeCell ref="G4125:H4125"/>
    <mergeCell ref="G4126:H4126"/>
    <mergeCell ref="G4127:H4127"/>
    <mergeCell ref="J4129:K4129"/>
    <mergeCell ref="G4131:H4131"/>
    <mergeCell ref="G4132:H4132"/>
    <mergeCell ref="G4133:H4133"/>
    <mergeCell ref="G4134:H4134"/>
    <mergeCell ref="G4135:H4135"/>
    <mergeCell ref="G4136:H4136"/>
    <mergeCell ref="J4138:K4138"/>
    <mergeCell ref="G4140:H4140"/>
    <mergeCell ref="G4141:H4141"/>
    <mergeCell ref="G4142:H4142"/>
    <mergeCell ref="G4143:H4143"/>
    <mergeCell ref="G4144:H4144"/>
    <mergeCell ref="J4146:K4146"/>
    <mergeCell ref="G4148:H4148"/>
    <mergeCell ref="G4149:H4149"/>
    <mergeCell ref="G4150:H4150"/>
    <mergeCell ref="G4151:H4151"/>
    <mergeCell ref="G4152:H4152"/>
    <mergeCell ref="G4153:H4153"/>
    <mergeCell ref="J4155:K4155"/>
    <mergeCell ref="G4157:H4157"/>
    <mergeCell ref="G4158:H4158"/>
    <mergeCell ref="G4159:H4159"/>
    <mergeCell ref="G4160:H4160"/>
    <mergeCell ref="G4161:H4161"/>
    <mergeCell ref="J4163:K4163"/>
    <mergeCell ref="G4165:H4165"/>
    <mergeCell ref="G4166:H4166"/>
    <mergeCell ref="G4167:H4167"/>
    <mergeCell ref="G4168:H4168"/>
    <mergeCell ref="G4169:H4169"/>
    <mergeCell ref="J4171:K4171"/>
    <mergeCell ref="G4173:H4173"/>
    <mergeCell ref="G4174:H4174"/>
    <mergeCell ref="G4175:H4175"/>
    <mergeCell ref="G4176:H4176"/>
    <mergeCell ref="G4177:H4177"/>
    <mergeCell ref="J4179:K4179"/>
    <mergeCell ref="G4181:H4181"/>
    <mergeCell ref="G4182:H4182"/>
    <mergeCell ref="G4183:H4183"/>
    <mergeCell ref="G4184:H4184"/>
    <mergeCell ref="G4185:H4185"/>
    <mergeCell ref="J4187:K4187"/>
    <mergeCell ref="G4189:H4189"/>
    <mergeCell ref="G4190:H4190"/>
    <mergeCell ref="G4191:H4191"/>
    <mergeCell ref="G4192:H4192"/>
    <mergeCell ref="G4193:H4193"/>
    <mergeCell ref="J4195:K4195"/>
    <mergeCell ref="G4197:H4197"/>
    <mergeCell ref="G4198:H4198"/>
    <mergeCell ref="G4199:H4199"/>
    <mergeCell ref="G4200:H4200"/>
    <mergeCell ref="G4201:H4201"/>
    <mergeCell ref="J4203:K4203"/>
    <mergeCell ref="G4205:H4205"/>
    <mergeCell ref="G4206:H4206"/>
    <mergeCell ref="G4207:H4207"/>
    <mergeCell ref="G4208:H4208"/>
    <mergeCell ref="G4209:H4209"/>
    <mergeCell ref="J4211:K4211"/>
    <mergeCell ref="G4213:H4213"/>
    <mergeCell ref="G4214:H4214"/>
    <mergeCell ref="G4215:H4215"/>
    <mergeCell ref="G4216:H4216"/>
    <mergeCell ref="G4217:H4217"/>
    <mergeCell ref="J4219:K4219"/>
    <mergeCell ref="G4221:H4221"/>
    <mergeCell ref="G4222:H4222"/>
    <mergeCell ref="G4223:H4223"/>
    <mergeCell ref="G4224:H4224"/>
    <mergeCell ref="G4225:H4225"/>
    <mergeCell ref="J4227:K4227"/>
    <mergeCell ref="G4229:H4229"/>
    <mergeCell ref="G4230:H4230"/>
    <mergeCell ref="G4231:H4231"/>
    <mergeCell ref="J4233:K4233"/>
    <mergeCell ref="G4235:H4235"/>
    <mergeCell ref="G4236:H4236"/>
    <mergeCell ref="G4237:H4237"/>
    <mergeCell ref="G4238:H4238"/>
    <mergeCell ref="G4239:H4239"/>
    <mergeCell ref="G4240:H4240"/>
    <mergeCell ref="J4242:K4242"/>
    <mergeCell ref="G4244:H4244"/>
    <mergeCell ref="G4245:H4245"/>
    <mergeCell ref="G4246:H4246"/>
    <mergeCell ref="J4248:K4248"/>
    <mergeCell ref="G4250:H4250"/>
    <mergeCell ref="G4251:H4251"/>
    <mergeCell ref="G4252:H4252"/>
    <mergeCell ref="G4253:H4253"/>
    <mergeCell ref="G4254:H4254"/>
    <mergeCell ref="G4255:H4255"/>
    <mergeCell ref="J4257:K4257"/>
    <mergeCell ref="G4259:H4259"/>
    <mergeCell ref="G4260:H4260"/>
    <mergeCell ref="G4261:H4261"/>
    <mergeCell ref="J4263:K4263"/>
    <mergeCell ref="G4265:H4265"/>
    <mergeCell ref="G4266:H4266"/>
    <mergeCell ref="G4267:H4267"/>
    <mergeCell ref="G4268:H4268"/>
    <mergeCell ref="G4269:H4269"/>
    <mergeCell ref="G4270:H4270"/>
    <mergeCell ref="G4271:H4271"/>
    <mergeCell ref="J4273:K4273"/>
    <mergeCell ref="G4275:H4275"/>
    <mergeCell ref="G4276:H4276"/>
    <mergeCell ref="G4277:H4277"/>
    <mergeCell ref="G4278:H4278"/>
    <mergeCell ref="G4279:H4279"/>
    <mergeCell ref="J4281:K4281"/>
    <mergeCell ref="G4283:H4283"/>
    <mergeCell ref="G4284:H4284"/>
    <mergeCell ref="G4285:H4285"/>
    <mergeCell ref="G4286:H4286"/>
    <mergeCell ref="G4287:H4287"/>
    <mergeCell ref="G4288:H4288"/>
    <mergeCell ref="G4289:H4289"/>
    <mergeCell ref="G4290:H4290"/>
    <mergeCell ref="G4291:H4291"/>
    <mergeCell ref="G4292:H4292"/>
    <mergeCell ref="G4293:H4293"/>
    <mergeCell ref="G4294:H4294"/>
    <mergeCell ref="G4295:H4295"/>
    <mergeCell ref="G4296:H4296"/>
    <mergeCell ref="G4297:H4297"/>
    <mergeCell ref="G4298:H4298"/>
    <mergeCell ref="G4299:H4299"/>
    <mergeCell ref="G4300:H4300"/>
    <mergeCell ref="G4301:H4301"/>
    <mergeCell ref="G4302:H4302"/>
    <mergeCell ref="G4303:H4303"/>
    <mergeCell ref="G4304:H4304"/>
    <mergeCell ref="G4305:H4305"/>
    <mergeCell ref="G4306:H4306"/>
    <mergeCell ref="G4307:H4307"/>
    <mergeCell ref="G4308:H4308"/>
    <mergeCell ref="J4310:K4310"/>
    <mergeCell ref="G4312:H4312"/>
    <mergeCell ref="G4313:H4313"/>
    <mergeCell ref="G4314:H4314"/>
    <mergeCell ref="G4315:H4315"/>
    <mergeCell ref="G4316:H4316"/>
    <mergeCell ref="G4317:H4317"/>
    <mergeCell ref="J4319:K4319"/>
    <mergeCell ref="G4321:H4321"/>
    <mergeCell ref="G4322:H4322"/>
    <mergeCell ref="G4323:H4323"/>
    <mergeCell ref="G4324:H4324"/>
    <mergeCell ref="G4325:H4325"/>
    <mergeCell ref="J4327:K4327"/>
    <mergeCell ref="G4329:H4329"/>
    <mergeCell ref="G4330:H4330"/>
    <mergeCell ref="G4331:H4331"/>
    <mergeCell ref="G4332:H4332"/>
    <mergeCell ref="G4333:H4333"/>
    <mergeCell ref="J4335:K4335"/>
    <mergeCell ref="G4337:H4337"/>
    <mergeCell ref="G4338:H4338"/>
    <mergeCell ref="G4339:H4339"/>
    <mergeCell ref="G4340:H4340"/>
    <mergeCell ref="G4341:H4341"/>
    <mergeCell ref="J4343:K4343"/>
    <mergeCell ref="G4345:H4345"/>
    <mergeCell ref="G4346:H4346"/>
    <mergeCell ref="G4347:H4347"/>
    <mergeCell ref="G4348:H4348"/>
    <mergeCell ref="G4349:H4349"/>
    <mergeCell ref="G4350:H4350"/>
    <mergeCell ref="G4351:H4351"/>
    <mergeCell ref="G4352:H4352"/>
    <mergeCell ref="J4354:K4354"/>
    <mergeCell ref="G4356:H4356"/>
    <mergeCell ref="G4357:H4357"/>
    <mergeCell ref="G4358:H4358"/>
    <mergeCell ref="G4359:H4359"/>
    <mergeCell ref="G4360:H4360"/>
    <mergeCell ref="J4362:K4362"/>
    <mergeCell ref="G4364:H4364"/>
    <mergeCell ref="G4365:H4365"/>
    <mergeCell ref="G4366:H4366"/>
    <mergeCell ref="G4367:H4367"/>
    <mergeCell ref="G4368:H4368"/>
    <mergeCell ref="J4370:K4370"/>
    <mergeCell ref="G4372:H4372"/>
    <mergeCell ref="G4373:H4373"/>
    <mergeCell ref="G4374:H4374"/>
    <mergeCell ref="G4375:H4375"/>
    <mergeCell ref="G4376:H4376"/>
    <mergeCell ref="J4378:K4378"/>
    <mergeCell ref="G4380:H4380"/>
    <mergeCell ref="G4381:H4381"/>
    <mergeCell ref="G4382:H4382"/>
    <mergeCell ref="G4383:H4383"/>
    <mergeCell ref="G4384:H4384"/>
    <mergeCell ref="J4386:K4386"/>
    <mergeCell ref="G4388:H4388"/>
    <mergeCell ref="G4389:H4389"/>
    <mergeCell ref="G4390:H4390"/>
    <mergeCell ref="G4391:H4391"/>
    <mergeCell ref="G4392:H4392"/>
    <mergeCell ref="G4393:H4393"/>
    <mergeCell ref="G4394:H4394"/>
    <mergeCell ref="J4396:K4396"/>
    <mergeCell ref="G4398:H4398"/>
    <mergeCell ref="G4399:H4399"/>
    <mergeCell ref="G4400:H4400"/>
    <mergeCell ref="J4402:K4402"/>
    <mergeCell ref="G4404:H4404"/>
    <mergeCell ref="G4405:H4405"/>
    <mergeCell ref="G4406:H4406"/>
    <mergeCell ref="G4407:H4407"/>
    <mergeCell ref="G4408:H4408"/>
    <mergeCell ref="J4410:K4410"/>
    <mergeCell ref="G4412:H4412"/>
    <mergeCell ref="G4413:H4413"/>
    <mergeCell ref="G4414:H4414"/>
    <mergeCell ref="G4415:H4415"/>
    <mergeCell ref="G4416:H4416"/>
    <mergeCell ref="G4417:H4417"/>
    <mergeCell ref="J4419:K4419"/>
    <mergeCell ref="G4421:H4421"/>
    <mergeCell ref="G4422:H4422"/>
    <mergeCell ref="G4423:H4423"/>
    <mergeCell ref="G4424:H4424"/>
    <mergeCell ref="G4425:H4425"/>
    <mergeCell ref="G4426:H4426"/>
    <mergeCell ref="J4428:K4428"/>
    <mergeCell ref="G4430:H4430"/>
    <mergeCell ref="G4431:H4431"/>
    <mergeCell ref="G4432:H4432"/>
    <mergeCell ref="G4433:H4433"/>
    <mergeCell ref="G4434:H4434"/>
    <mergeCell ref="G4435:H4435"/>
    <mergeCell ref="J4437:K4437"/>
    <mergeCell ref="G4439:H4439"/>
    <mergeCell ref="G4440:H4440"/>
    <mergeCell ref="G4441:H4441"/>
    <mergeCell ref="G4442:H4442"/>
    <mergeCell ref="G4443:H4443"/>
    <mergeCell ref="G4444:H4444"/>
    <mergeCell ref="J4446:K4446"/>
    <mergeCell ref="G4448:H4448"/>
    <mergeCell ref="G4449:H4449"/>
    <mergeCell ref="G4450:H4450"/>
    <mergeCell ref="G4451:H4451"/>
    <mergeCell ref="G4452:H4452"/>
    <mergeCell ref="G4453:H4453"/>
    <mergeCell ref="J4455:K4455"/>
    <mergeCell ref="G4457:H4457"/>
    <mergeCell ref="G4458:H4458"/>
    <mergeCell ref="G4459:H4459"/>
    <mergeCell ref="J4461:K4461"/>
    <mergeCell ref="G4463:H4463"/>
    <mergeCell ref="G4464:H4464"/>
    <mergeCell ref="G4465:H4465"/>
    <mergeCell ref="G4466:H4466"/>
    <mergeCell ref="G4467:H4467"/>
    <mergeCell ref="G4468:H4468"/>
    <mergeCell ref="G4469:H4469"/>
    <mergeCell ref="J4471:K4471"/>
    <mergeCell ref="G4473:H4473"/>
    <mergeCell ref="G4474:H4474"/>
    <mergeCell ref="G4475:H4475"/>
    <mergeCell ref="G4476:H4476"/>
    <mergeCell ref="G4477:H4477"/>
    <mergeCell ref="J4479:K4479"/>
    <mergeCell ref="G4481:H4481"/>
    <mergeCell ref="G4482:H4482"/>
    <mergeCell ref="G4483:H4483"/>
    <mergeCell ref="G4484:H4484"/>
    <mergeCell ref="G4485:H4485"/>
    <mergeCell ref="G4486:H4486"/>
    <mergeCell ref="G4487:H4487"/>
    <mergeCell ref="G4488:H4488"/>
    <mergeCell ref="J4490:K4490"/>
    <mergeCell ref="G4492:H4492"/>
    <mergeCell ref="G4493:H4493"/>
    <mergeCell ref="G4494:H4494"/>
    <mergeCell ref="G4495:H4495"/>
    <mergeCell ref="G4496:H4496"/>
    <mergeCell ref="G4497:H4497"/>
    <mergeCell ref="G4498:H4498"/>
    <mergeCell ref="G4499:H4499"/>
    <mergeCell ref="G4500:H4500"/>
    <mergeCell ref="G4501:H4501"/>
    <mergeCell ref="G4502:H4502"/>
    <mergeCell ref="G4503:H4503"/>
    <mergeCell ref="G4504:H4504"/>
    <mergeCell ref="G4505:H4505"/>
    <mergeCell ref="G4506:H4506"/>
    <mergeCell ref="G4507:H4507"/>
    <mergeCell ref="G4508:H4508"/>
    <mergeCell ref="G4509:H4509"/>
    <mergeCell ref="G4510:H4510"/>
    <mergeCell ref="G4511:H4511"/>
    <mergeCell ref="G4512:H4512"/>
    <mergeCell ref="J4514:K4514"/>
    <mergeCell ref="G4516:H4516"/>
    <mergeCell ref="G4517:H4517"/>
    <mergeCell ref="G4518:H4518"/>
    <mergeCell ref="G4519:H4519"/>
    <mergeCell ref="G4520:H4520"/>
    <mergeCell ref="G4521:H4521"/>
    <mergeCell ref="J4523:K4523"/>
    <mergeCell ref="G4525:H4525"/>
    <mergeCell ref="G4526:H4526"/>
    <mergeCell ref="G4527:H4527"/>
    <mergeCell ref="G4528:H4528"/>
    <mergeCell ref="G4529:H4529"/>
    <mergeCell ref="G4530:H4530"/>
    <mergeCell ref="J4532:K4532"/>
    <mergeCell ref="G4534:H4534"/>
    <mergeCell ref="G4535:H4535"/>
    <mergeCell ref="G4536:H4536"/>
    <mergeCell ref="G4537:H4537"/>
    <mergeCell ref="G4538:H4538"/>
    <mergeCell ref="G4539:H4539"/>
    <mergeCell ref="G4540:H4540"/>
    <mergeCell ref="J4542:K4542"/>
    <mergeCell ref="G4544:H4544"/>
    <mergeCell ref="G4545:H4545"/>
    <mergeCell ref="G4546:H4546"/>
    <mergeCell ref="G4547:H4547"/>
    <mergeCell ref="G4548:H4548"/>
    <mergeCell ref="J4550:K4550"/>
    <mergeCell ref="G4552:H4552"/>
    <mergeCell ref="G4553:H4553"/>
    <mergeCell ref="G4554:H4554"/>
    <mergeCell ref="G4555:H4555"/>
    <mergeCell ref="G4556:H4556"/>
    <mergeCell ref="J4558:K4558"/>
    <mergeCell ref="G4560:H4560"/>
    <mergeCell ref="G4561:H4561"/>
    <mergeCell ref="G4562:H4562"/>
    <mergeCell ref="G4563:H4563"/>
    <mergeCell ref="J4565:K4565"/>
    <mergeCell ref="G4567:H4567"/>
    <mergeCell ref="G4568:H4568"/>
    <mergeCell ref="G4569:H4569"/>
    <mergeCell ref="G4570:H4570"/>
    <mergeCell ref="J4572:K4572"/>
    <mergeCell ref="G4574:H4574"/>
    <mergeCell ref="G4575:H4575"/>
    <mergeCell ref="G4576:H4576"/>
    <mergeCell ref="G4577:H4577"/>
    <mergeCell ref="J4579:K4579"/>
    <mergeCell ref="G4581:H4581"/>
    <mergeCell ref="G4582:H4582"/>
    <mergeCell ref="G4583:H4583"/>
    <mergeCell ref="G4584:H4584"/>
    <mergeCell ref="G4585:H4585"/>
    <mergeCell ref="J4587:K4587"/>
    <mergeCell ref="G4589:H4589"/>
    <mergeCell ref="G4590:H4590"/>
    <mergeCell ref="G4591:H4591"/>
    <mergeCell ref="G4592:H4592"/>
    <mergeCell ref="J4594:K4594"/>
    <mergeCell ref="G4596:H4596"/>
    <mergeCell ref="G4597:H4597"/>
    <mergeCell ref="G4598:H4598"/>
    <mergeCell ref="G4599:H4599"/>
    <mergeCell ref="G4600:H4600"/>
    <mergeCell ref="J4602:K4602"/>
    <mergeCell ref="G4604:H4604"/>
    <mergeCell ref="G4605:H4605"/>
    <mergeCell ref="G4606:H4606"/>
    <mergeCell ref="G4607:H4607"/>
    <mergeCell ref="G4608:H4608"/>
    <mergeCell ref="G4609:H4609"/>
    <mergeCell ref="J4611:K4611"/>
    <mergeCell ref="G4613:H4613"/>
    <mergeCell ref="G4614:H4614"/>
    <mergeCell ref="G4615:H4615"/>
    <mergeCell ref="G4616:H4616"/>
    <mergeCell ref="J4618:K4618"/>
    <mergeCell ref="G4620:H4620"/>
    <mergeCell ref="G4621:H4621"/>
    <mergeCell ref="G4622:H4622"/>
    <mergeCell ref="G4623:H4623"/>
    <mergeCell ref="G4624:H4624"/>
    <mergeCell ref="G4625:H4625"/>
    <mergeCell ref="J4627:K4627"/>
    <mergeCell ref="G4629:H4629"/>
    <mergeCell ref="G4630:H4630"/>
    <mergeCell ref="G4631:H4631"/>
    <mergeCell ref="G4632:H4632"/>
    <mergeCell ref="G4633:H4633"/>
    <mergeCell ref="G4634:H4634"/>
    <mergeCell ref="J4636:K4636"/>
    <mergeCell ref="G4638:H4638"/>
    <mergeCell ref="G4639:H4639"/>
    <mergeCell ref="G4640:H4640"/>
    <mergeCell ref="G4641:H4641"/>
    <mergeCell ref="G4642:H4642"/>
    <mergeCell ref="G4643:H4643"/>
    <mergeCell ref="J4645:K4645"/>
    <mergeCell ref="G4647:H4647"/>
    <mergeCell ref="G4648:H4648"/>
    <mergeCell ref="G4649:H4649"/>
    <mergeCell ref="G4650:H4650"/>
    <mergeCell ref="G4651:H4651"/>
    <mergeCell ref="G4652:H4652"/>
    <mergeCell ref="G4653:H4653"/>
    <mergeCell ref="J4655:K4655"/>
    <mergeCell ref="G4657:H4657"/>
    <mergeCell ref="G4658:H4658"/>
    <mergeCell ref="G4659:H4659"/>
    <mergeCell ref="G4660:H4660"/>
    <mergeCell ref="G4661:H4661"/>
    <mergeCell ref="G4662:H4662"/>
    <mergeCell ref="J4664:K4664"/>
    <mergeCell ref="G4666:H4666"/>
    <mergeCell ref="G4667:H4667"/>
    <mergeCell ref="G4668:H4668"/>
    <mergeCell ref="G4669:H4669"/>
    <mergeCell ref="G4670:H4670"/>
    <mergeCell ref="G4671:H4671"/>
    <mergeCell ref="J4673:K4673"/>
    <mergeCell ref="G4675:H4675"/>
    <mergeCell ref="G4676:H4676"/>
    <mergeCell ref="G4677:H4677"/>
    <mergeCell ref="G4678:H4678"/>
    <mergeCell ref="G4679:H4679"/>
    <mergeCell ref="J4681:K4681"/>
    <mergeCell ref="G4683:H4683"/>
    <mergeCell ref="G4684:H4684"/>
    <mergeCell ref="G4685:H4685"/>
    <mergeCell ref="G4686:H4686"/>
    <mergeCell ref="G4687:H4687"/>
    <mergeCell ref="J4689:K4689"/>
    <mergeCell ref="G4691:H4691"/>
    <mergeCell ref="G4692:H4692"/>
    <mergeCell ref="G4693:H4693"/>
    <mergeCell ref="G4694:H4694"/>
    <mergeCell ref="G4695:H4695"/>
    <mergeCell ref="J4697:K4697"/>
    <mergeCell ref="G4699:H4699"/>
    <mergeCell ref="G4700:H4700"/>
    <mergeCell ref="G4701:H4701"/>
    <mergeCell ref="G4702:H4702"/>
    <mergeCell ref="G4703:H4703"/>
    <mergeCell ref="J4705:K4705"/>
    <mergeCell ref="G4707:H4707"/>
    <mergeCell ref="G4708:H4708"/>
    <mergeCell ref="G4709:H4709"/>
    <mergeCell ref="G4710:H4710"/>
    <mergeCell ref="J4712:K4712"/>
    <mergeCell ref="G4714:H4714"/>
    <mergeCell ref="G4715:H4715"/>
    <mergeCell ref="G4716:H4716"/>
    <mergeCell ref="G4717:H4717"/>
    <mergeCell ref="G4718:H4718"/>
    <mergeCell ref="J4720:K4720"/>
    <mergeCell ref="G4722:H4722"/>
    <mergeCell ref="G4723:H4723"/>
    <mergeCell ref="G4724:H4724"/>
    <mergeCell ref="G4725:H4725"/>
    <mergeCell ref="G4726:H4726"/>
    <mergeCell ref="J4728:K4728"/>
    <mergeCell ref="G4730:H4730"/>
    <mergeCell ref="G4731:H4731"/>
    <mergeCell ref="G4732:H4732"/>
    <mergeCell ref="G4733:H4733"/>
    <mergeCell ref="G4734:H4734"/>
    <mergeCell ref="G4735:H4735"/>
    <mergeCell ref="G4736:H4736"/>
    <mergeCell ref="G4737:H4737"/>
    <mergeCell ref="G4738:H4738"/>
    <mergeCell ref="J4740:K4740"/>
    <mergeCell ref="G4742:H4742"/>
    <mergeCell ref="G4743:H4743"/>
    <mergeCell ref="G4744:H4744"/>
    <mergeCell ref="G4745:H4745"/>
    <mergeCell ref="G4746:H4746"/>
    <mergeCell ref="G4747:H4747"/>
    <mergeCell ref="G4748:H4748"/>
    <mergeCell ref="G4749:H4749"/>
    <mergeCell ref="G4750:H4750"/>
    <mergeCell ref="J4752:K4752"/>
    <mergeCell ref="G4754:H4754"/>
    <mergeCell ref="G4755:H4755"/>
    <mergeCell ref="G4756:H4756"/>
    <mergeCell ref="G4757:H4757"/>
    <mergeCell ref="J4759:K4759"/>
    <mergeCell ref="G4761:H4761"/>
    <mergeCell ref="G4762:H4762"/>
    <mergeCell ref="G4763:H4763"/>
    <mergeCell ref="G4764:H4764"/>
    <mergeCell ref="G4765:H4765"/>
    <mergeCell ref="G4766:H4766"/>
    <mergeCell ref="J4768:K4768"/>
    <mergeCell ref="G4770:H4770"/>
    <mergeCell ref="G4771:H4771"/>
    <mergeCell ref="G4772:H4772"/>
    <mergeCell ref="G4773:H4773"/>
    <mergeCell ref="G4774:H4774"/>
    <mergeCell ref="J4776:K4776"/>
    <mergeCell ref="G4778:H4778"/>
    <mergeCell ref="G4779:H4779"/>
    <mergeCell ref="G4780:H4780"/>
    <mergeCell ref="G4781:H4781"/>
    <mergeCell ref="G4782:H4782"/>
    <mergeCell ref="G4783:H4783"/>
    <mergeCell ref="G4784:H4784"/>
    <mergeCell ref="G4785:H4785"/>
    <mergeCell ref="J4787:K4787"/>
    <mergeCell ref="G4789:H4789"/>
    <mergeCell ref="G4790:H4790"/>
    <mergeCell ref="G4791:H4791"/>
    <mergeCell ref="G4792:H4792"/>
    <mergeCell ref="G4793:H4793"/>
    <mergeCell ref="G4794:H4794"/>
    <mergeCell ref="J4796:K4796"/>
    <mergeCell ref="G4798:H4798"/>
    <mergeCell ref="G4799:H4799"/>
    <mergeCell ref="G4800:H4800"/>
    <mergeCell ref="G4801:H4801"/>
    <mergeCell ref="G4802:H4802"/>
    <mergeCell ref="J4804:K4804"/>
    <mergeCell ref="G4806:H4806"/>
    <mergeCell ref="G4807:H4807"/>
    <mergeCell ref="G4808:H4808"/>
    <mergeCell ref="G4809:H4809"/>
    <mergeCell ref="G4810:H4810"/>
    <mergeCell ref="J4812:K4812"/>
    <mergeCell ref="G4814:H4814"/>
    <mergeCell ref="G4815:H4815"/>
    <mergeCell ref="G4816:H4816"/>
    <mergeCell ref="G4817:H4817"/>
    <mergeCell ref="G4818:H4818"/>
    <mergeCell ref="G4819:H4819"/>
    <mergeCell ref="G4820:H4820"/>
    <mergeCell ref="J4822:K4822"/>
    <mergeCell ref="G4824:H4824"/>
    <mergeCell ref="G4825:H4825"/>
    <mergeCell ref="G4826:H4826"/>
    <mergeCell ref="G4827:H4827"/>
    <mergeCell ref="J4829:K4829"/>
    <mergeCell ref="G4831:H4831"/>
    <mergeCell ref="G4832:H4832"/>
    <mergeCell ref="G4833:H4833"/>
    <mergeCell ref="G4834:H4834"/>
    <mergeCell ref="G4835:H4835"/>
    <mergeCell ref="J4837:K4837"/>
    <mergeCell ref="G4839:H4839"/>
    <mergeCell ref="G4840:H4840"/>
    <mergeCell ref="G4841:H4841"/>
    <mergeCell ref="G4842:H4842"/>
    <mergeCell ref="G4843:H4843"/>
    <mergeCell ref="J4845:K4845"/>
    <mergeCell ref="G4847:H4847"/>
    <mergeCell ref="G4848:H4848"/>
    <mergeCell ref="G4849:H4849"/>
    <mergeCell ref="G4850:H4850"/>
    <mergeCell ref="G4851:H4851"/>
    <mergeCell ref="G4852:H4852"/>
    <mergeCell ref="J4854:K4854"/>
    <mergeCell ref="G4856:H4856"/>
    <mergeCell ref="G4857:H4857"/>
    <mergeCell ref="G4858:H4858"/>
    <mergeCell ref="G4859:H4859"/>
    <mergeCell ref="G4860:H4860"/>
    <mergeCell ref="J4862:K4862"/>
    <mergeCell ref="G4864:H4864"/>
    <mergeCell ref="G4865:H4865"/>
    <mergeCell ref="G4866:H4866"/>
    <mergeCell ref="G4867:H4867"/>
    <mergeCell ref="G4868:H4868"/>
    <mergeCell ref="J4870:K4870"/>
    <mergeCell ref="G4872:H4872"/>
    <mergeCell ref="G4873:H4873"/>
    <mergeCell ref="G4874:H4874"/>
    <mergeCell ref="G4875:H4875"/>
    <mergeCell ref="G4876:H4876"/>
    <mergeCell ref="J4878:K4878"/>
    <mergeCell ref="G4880:H4880"/>
    <mergeCell ref="G4881:H4881"/>
    <mergeCell ref="G4882:H4882"/>
    <mergeCell ref="G4883:H4883"/>
    <mergeCell ref="G4884:H4884"/>
    <mergeCell ref="G4885:H4885"/>
    <mergeCell ref="G4886:H4886"/>
    <mergeCell ref="G4887:H4887"/>
    <mergeCell ref="J4889:K4889"/>
    <mergeCell ref="G4891:H4891"/>
    <mergeCell ref="G4892:H4892"/>
    <mergeCell ref="G4893:H4893"/>
    <mergeCell ref="G4894:H4894"/>
    <mergeCell ref="G4895:H4895"/>
    <mergeCell ref="J4897:K4897"/>
    <mergeCell ref="G4899:H4899"/>
    <mergeCell ref="G4900:H4900"/>
    <mergeCell ref="G4901:H4901"/>
    <mergeCell ref="J4903:K4903"/>
    <mergeCell ref="G4905:H4905"/>
    <mergeCell ref="G4906:H4906"/>
    <mergeCell ref="G4907:H4907"/>
    <mergeCell ref="G4908:H4908"/>
    <mergeCell ref="J4910:K4910"/>
    <mergeCell ref="G4912:H4912"/>
    <mergeCell ref="G4913:H4913"/>
    <mergeCell ref="G4914:H4914"/>
    <mergeCell ref="G4915:H4915"/>
    <mergeCell ref="G4916:H4916"/>
    <mergeCell ref="G4917:H4917"/>
    <mergeCell ref="G4918:H4918"/>
    <mergeCell ref="G4919:H4919"/>
    <mergeCell ref="G4920:H4920"/>
    <mergeCell ref="G4921:H4921"/>
    <mergeCell ref="G4922:H4922"/>
    <mergeCell ref="J4924:K4924"/>
    <mergeCell ref="G4926:H4926"/>
    <mergeCell ref="G4927:H4927"/>
    <mergeCell ref="G4928:H4928"/>
    <mergeCell ref="G4929:H4929"/>
    <mergeCell ref="G4930:H4930"/>
    <mergeCell ref="G4931:H4931"/>
    <mergeCell ref="G4932:H4932"/>
    <mergeCell ref="G4933:H4933"/>
    <mergeCell ref="G4934:H4934"/>
    <mergeCell ref="G4935:H4935"/>
    <mergeCell ref="G4936:H4936"/>
    <mergeCell ref="J4938:K4938"/>
    <mergeCell ref="G4940:H4940"/>
    <mergeCell ref="G4941:H4941"/>
    <mergeCell ref="G4942:H4942"/>
    <mergeCell ref="G4943:H4943"/>
    <mergeCell ref="G4944:H4944"/>
    <mergeCell ref="G4945:H4945"/>
    <mergeCell ref="G4946:H4946"/>
    <mergeCell ref="G4947:H4947"/>
    <mergeCell ref="G4948:H4948"/>
    <mergeCell ref="G4949:H4949"/>
    <mergeCell ref="G4950:H4950"/>
    <mergeCell ref="J4952:K4952"/>
    <mergeCell ref="G4954:H4954"/>
    <mergeCell ref="G4955:H4955"/>
    <mergeCell ref="G4956:H4956"/>
    <mergeCell ref="G4957:H4957"/>
    <mergeCell ref="J4959:K4959"/>
    <mergeCell ref="G4961:H4961"/>
    <mergeCell ref="G4962:H4962"/>
    <mergeCell ref="G4963:H4963"/>
    <mergeCell ref="G4964:H4964"/>
    <mergeCell ref="G4965:H4965"/>
    <mergeCell ref="G4966:H4966"/>
    <mergeCell ref="G4967:H4967"/>
    <mergeCell ref="G4968:H4968"/>
    <mergeCell ref="G4969:H4969"/>
    <mergeCell ref="G4970:H4970"/>
    <mergeCell ref="J4972:K4972"/>
    <mergeCell ref="G4974:H4974"/>
    <mergeCell ref="G4975:H4975"/>
    <mergeCell ref="G4976:H4976"/>
    <mergeCell ref="G4977:H4977"/>
    <mergeCell ref="G4978:H4978"/>
    <mergeCell ref="J4980:K4980"/>
    <mergeCell ref="G4982:H4982"/>
    <mergeCell ref="G4983:H4983"/>
    <mergeCell ref="G4984:H4984"/>
    <mergeCell ref="G4985:H4985"/>
    <mergeCell ref="G4986:H4986"/>
    <mergeCell ref="J4988:K4988"/>
    <mergeCell ref="G4990:H4990"/>
    <mergeCell ref="G4991:H4991"/>
    <mergeCell ref="G4992:H4992"/>
    <mergeCell ref="G4993:H4993"/>
    <mergeCell ref="G4994:H4994"/>
    <mergeCell ref="J4996:K4996"/>
    <mergeCell ref="G4998:H4998"/>
    <mergeCell ref="G4999:H4999"/>
    <mergeCell ref="G5000:H5000"/>
    <mergeCell ref="G5001:H5001"/>
    <mergeCell ref="G5002:H5002"/>
    <mergeCell ref="J5004:K5004"/>
    <mergeCell ref="G5006:H5006"/>
    <mergeCell ref="G5007:H5007"/>
    <mergeCell ref="G5008:H5008"/>
    <mergeCell ref="G5009:H5009"/>
    <mergeCell ref="G5010:H5010"/>
    <mergeCell ref="J5012:K5012"/>
    <mergeCell ref="G5014:H5014"/>
    <mergeCell ref="G5015:H5015"/>
    <mergeCell ref="G5016:H5016"/>
    <mergeCell ref="G5017:H5017"/>
    <mergeCell ref="G5018:H5018"/>
    <mergeCell ref="J5020:K5020"/>
    <mergeCell ref="G5022:H5022"/>
    <mergeCell ref="G5023:H5023"/>
    <mergeCell ref="G5024:H5024"/>
    <mergeCell ref="G5025:H5025"/>
    <mergeCell ref="G5026:H5026"/>
    <mergeCell ref="J5028:K5028"/>
    <mergeCell ref="G5030:H5030"/>
    <mergeCell ref="G5031:H5031"/>
    <mergeCell ref="G5032:H5032"/>
    <mergeCell ref="G5033:H5033"/>
    <mergeCell ref="G5034:H5034"/>
    <mergeCell ref="J5036:K5036"/>
    <mergeCell ref="G5038:H5038"/>
    <mergeCell ref="G5039:H5039"/>
    <mergeCell ref="G5040:H5040"/>
    <mergeCell ref="G5041:H5041"/>
    <mergeCell ref="G5042:H5042"/>
    <mergeCell ref="J5044:K5044"/>
    <mergeCell ref="G5046:H5046"/>
    <mergeCell ref="G5047:H5047"/>
    <mergeCell ref="G5048:H5048"/>
    <mergeCell ref="G5049:H5049"/>
    <mergeCell ref="G5050:H5050"/>
    <mergeCell ref="J5052:K5052"/>
    <mergeCell ref="G5054:H5054"/>
    <mergeCell ref="G5055:H5055"/>
    <mergeCell ref="G5056:H5056"/>
    <mergeCell ref="G5057:H5057"/>
    <mergeCell ref="G5058:H5058"/>
    <mergeCell ref="J5060:K5060"/>
    <mergeCell ref="G5062:H5062"/>
    <mergeCell ref="G5063:H5063"/>
    <mergeCell ref="G5064:H5064"/>
    <mergeCell ref="G5065:H5065"/>
    <mergeCell ref="G5066:H5066"/>
    <mergeCell ref="G5067:H5067"/>
    <mergeCell ref="J5069:K5069"/>
    <mergeCell ref="G5071:H5071"/>
    <mergeCell ref="G5072:H5072"/>
    <mergeCell ref="G5073:H5073"/>
    <mergeCell ref="G5074:H5074"/>
    <mergeCell ref="G5075:H5075"/>
    <mergeCell ref="G5076:H5076"/>
    <mergeCell ref="J5078:K5078"/>
    <mergeCell ref="G5080:H5080"/>
    <mergeCell ref="G5081:H5081"/>
    <mergeCell ref="G5082:H5082"/>
    <mergeCell ref="G5083:H5083"/>
    <mergeCell ref="G5084:H5084"/>
    <mergeCell ref="J5086:K5086"/>
    <mergeCell ref="G5088:H5088"/>
    <mergeCell ref="G5089:H5089"/>
    <mergeCell ref="G5090:H5090"/>
    <mergeCell ref="G5091:H5091"/>
    <mergeCell ref="G5092:H5092"/>
    <mergeCell ref="G5093:H5093"/>
    <mergeCell ref="G5094:H5094"/>
    <mergeCell ref="J5096:K5096"/>
    <mergeCell ref="G5098:H5098"/>
    <mergeCell ref="G5099:H5099"/>
    <mergeCell ref="G5100:H5100"/>
    <mergeCell ref="J5102:K5102"/>
    <mergeCell ref="G5104:H5104"/>
    <mergeCell ref="G5105:H5105"/>
    <mergeCell ref="G5106:H5106"/>
    <mergeCell ref="G5107:H5107"/>
    <mergeCell ref="G5108:H5108"/>
    <mergeCell ref="J5110:K5110"/>
    <mergeCell ref="G5112:H5112"/>
    <mergeCell ref="G5113:H5113"/>
    <mergeCell ref="G5114:H5114"/>
    <mergeCell ref="G5115:H5115"/>
    <mergeCell ref="G5116:H5116"/>
    <mergeCell ref="J5118:K5118"/>
    <mergeCell ref="G5120:H5120"/>
    <mergeCell ref="G5121:H5121"/>
    <mergeCell ref="G5122:H5122"/>
    <mergeCell ref="G5123:H5123"/>
    <mergeCell ref="G5124:H5124"/>
    <mergeCell ref="J5126:K5126"/>
    <mergeCell ref="G5128:H5128"/>
    <mergeCell ref="G5129:H5129"/>
    <mergeCell ref="G5130:H5130"/>
    <mergeCell ref="G5131:H5131"/>
    <mergeCell ref="G5132:H5132"/>
    <mergeCell ref="J5134:K5134"/>
    <mergeCell ref="G5136:H5136"/>
    <mergeCell ref="G5137:H5137"/>
    <mergeCell ref="G5138:H5138"/>
    <mergeCell ref="G5139:H5139"/>
    <mergeCell ref="G5140:H5140"/>
    <mergeCell ref="G5141:H5141"/>
    <mergeCell ref="J5143:K5143"/>
    <mergeCell ref="G5145:H5145"/>
    <mergeCell ref="G5146:H5146"/>
    <mergeCell ref="G5147:H5147"/>
    <mergeCell ref="G5148:H5148"/>
    <mergeCell ref="J5150:K5150"/>
    <mergeCell ref="G5152:H5152"/>
    <mergeCell ref="G5153:H5153"/>
    <mergeCell ref="G5154:H5154"/>
    <mergeCell ref="G5155:H5155"/>
    <mergeCell ref="G5156:H5156"/>
    <mergeCell ref="J5158:K5158"/>
    <mergeCell ref="G5160:H5160"/>
    <mergeCell ref="G5161:H5161"/>
    <mergeCell ref="G5162:H5162"/>
    <mergeCell ref="G5163:H5163"/>
    <mergeCell ref="J5165:K5165"/>
    <mergeCell ref="G5167:H5167"/>
    <mergeCell ref="G5168:H5168"/>
    <mergeCell ref="G5169:H5169"/>
    <mergeCell ref="G5170:H5170"/>
    <mergeCell ref="G5171:H5171"/>
    <mergeCell ref="J5173:K5173"/>
    <mergeCell ref="G5175:H5175"/>
    <mergeCell ref="G5176:H5176"/>
    <mergeCell ref="G5177:H5177"/>
    <mergeCell ref="G5178:H5178"/>
    <mergeCell ref="G5179:H5179"/>
    <mergeCell ref="J5181:K5181"/>
    <mergeCell ref="G5183:H5183"/>
    <mergeCell ref="G5184:H5184"/>
    <mergeCell ref="G5185:H5185"/>
    <mergeCell ref="G5186:H5186"/>
    <mergeCell ref="G5187:H5187"/>
    <mergeCell ref="J5189:K5189"/>
    <mergeCell ref="G5191:H5191"/>
    <mergeCell ref="G5192:H5192"/>
    <mergeCell ref="G5193:H5193"/>
    <mergeCell ref="G5194:H5194"/>
    <mergeCell ref="G5195:H5195"/>
    <mergeCell ref="J5197:K5197"/>
    <mergeCell ref="G5199:H5199"/>
    <mergeCell ref="G5200:H5200"/>
    <mergeCell ref="G5201:H5201"/>
    <mergeCell ref="G5202:H5202"/>
    <mergeCell ref="G5203:H5203"/>
    <mergeCell ref="G5204:H5204"/>
    <mergeCell ref="G5205:H5205"/>
    <mergeCell ref="G5206:H5206"/>
    <mergeCell ref="J5208:K5208"/>
    <mergeCell ref="G5210:H5210"/>
    <mergeCell ref="G5211:H5211"/>
    <mergeCell ref="G5212:H5212"/>
    <mergeCell ref="G5213:H5213"/>
    <mergeCell ref="G5214:H5214"/>
    <mergeCell ref="J5216:K5216"/>
    <mergeCell ref="G5218:H5218"/>
    <mergeCell ref="G5219:H5219"/>
    <mergeCell ref="G5220:H5220"/>
    <mergeCell ref="G5221:H5221"/>
    <mergeCell ref="G5222:H5222"/>
    <mergeCell ref="J5224:K5224"/>
    <mergeCell ref="G5226:H5226"/>
    <mergeCell ref="G5227:H5227"/>
    <mergeCell ref="G5228:H5228"/>
    <mergeCell ref="G5229:H5229"/>
    <mergeCell ref="G5230:H5230"/>
    <mergeCell ref="G5231:H5231"/>
    <mergeCell ref="G5232:H5232"/>
    <mergeCell ref="J5234:K5234"/>
    <mergeCell ref="G5236:H5236"/>
    <mergeCell ref="G5237:H5237"/>
    <mergeCell ref="G5238:H5238"/>
    <mergeCell ref="G5239:H5239"/>
    <mergeCell ref="G5240:H5240"/>
    <mergeCell ref="G5241:H5241"/>
    <mergeCell ref="G5242:H5242"/>
    <mergeCell ref="G5243:H5243"/>
    <mergeCell ref="J5245:K5245"/>
    <mergeCell ref="G5247:H5247"/>
    <mergeCell ref="G5248:H5248"/>
    <mergeCell ref="G5249:H5249"/>
    <mergeCell ref="G5250:H5250"/>
    <mergeCell ref="G5251:H5251"/>
    <mergeCell ref="G5252:H5252"/>
    <mergeCell ref="G5253:H5253"/>
    <mergeCell ref="G5254:H5254"/>
    <mergeCell ref="G5255:H5255"/>
    <mergeCell ref="G5256:H5256"/>
    <mergeCell ref="G5257:H5257"/>
    <mergeCell ref="G5258:H5258"/>
    <mergeCell ref="G5259:H5259"/>
    <mergeCell ref="G5260:H5260"/>
    <mergeCell ref="G5261:H5261"/>
    <mergeCell ref="G5262:H5262"/>
    <mergeCell ref="G5263:H5263"/>
    <mergeCell ref="G5264:H5264"/>
    <mergeCell ref="G5265:H5265"/>
    <mergeCell ref="G5266:H5266"/>
    <mergeCell ref="G5267:H5267"/>
    <mergeCell ref="G5268:H5268"/>
    <mergeCell ref="J5270:K5270"/>
    <mergeCell ref="G5272:H5272"/>
    <mergeCell ref="G5273:H5273"/>
    <mergeCell ref="G5274:H5274"/>
    <mergeCell ref="G5275:H5275"/>
    <mergeCell ref="J5277:K5277"/>
    <mergeCell ref="G5279:H5279"/>
    <mergeCell ref="G5280:H5280"/>
    <mergeCell ref="G5281:H5281"/>
    <mergeCell ref="G5282:H5282"/>
    <mergeCell ref="G5283:H5283"/>
    <mergeCell ref="J5285:K5285"/>
    <mergeCell ref="G5287:H5287"/>
    <mergeCell ref="G5288:H5288"/>
    <mergeCell ref="G5289:H5289"/>
    <mergeCell ref="G5290:H5290"/>
    <mergeCell ref="G5291:H5291"/>
    <mergeCell ref="J5293:K5293"/>
    <mergeCell ref="G5295:H5295"/>
    <mergeCell ref="G5296:H5296"/>
    <mergeCell ref="G5297:H5297"/>
    <mergeCell ref="G5298:H5298"/>
    <mergeCell ref="G5299:H5299"/>
    <mergeCell ref="J5301:K5301"/>
    <mergeCell ref="G5303:H5303"/>
    <mergeCell ref="G5304:H5304"/>
    <mergeCell ref="G5305:H5305"/>
    <mergeCell ref="G5306:H5306"/>
    <mergeCell ref="G5307:H5307"/>
    <mergeCell ref="J5309:K5309"/>
    <mergeCell ref="G5311:H5311"/>
    <mergeCell ref="G5312:H5312"/>
    <mergeCell ref="G5313:H5313"/>
    <mergeCell ref="G5314:H5314"/>
    <mergeCell ref="G5315:H5315"/>
    <mergeCell ref="G5316:H5316"/>
    <mergeCell ref="J5318:K5318"/>
    <mergeCell ref="G5320:H5320"/>
    <mergeCell ref="G5321:H5321"/>
    <mergeCell ref="G5322:H5322"/>
    <mergeCell ref="G5323:H5323"/>
    <mergeCell ref="G5324:H5324"/>
    <mergeCell ref="G5325:H5325"/>
    <mergeCell ref="J5327:K5327"/>
    <mergeCell ref="G5329:H5329"/>
    <mergeCell ref="G5330:H5330"/>
    <mergeCell ref="G5331:H5331"/>
    <mergeCell ref="G5332:H5332"/>
    <mergeCell ref="G5333:H5333"/>
    <mergeCell ref="G5334:H5334"/>
    <mergeCell ref="J5336:K5336"/>
    <mergeCell ref="G5338:H5338"/>
    <mergeCell ref="G5339:H5339"/>
    <mergeCell ref="G5340:H5340"/>
    <mergeCell ref="G5341:H5341"/>
    <mergeCell ref="G5342:H5342"/>
    <mergeCell ref="G5343:H5343"/>
    <mergeCell ref="J5345:K5345"/>
    <mergeCell ref="G5347:H5347"/>
    <mergeCell ref="G5348:H5348"/>
    <mergeCell ref="G5349:H5349"/>
    <mergeCell ref="G5350:H5350"/>
    <mergeCell ref="G5351:H5351"/>
    <mergeCell ref="G5352:H5352"/>
    <mergeCell ref="J5354:K5354"/>
    <mergeCell ref="G5356:H5356"/>
    <mergeCell ref="G5357:H5357"/>
    <mergeCell ref="G5358:H5358"/>
    <mergeCell ref="G5359:H5359"/>
    <mergeCell ref="G5360:H5360"/>
    <mergeCell ref="J5362:K5362"/>
    <mergeCell ref="G5364:H5364"/>
    <mergeCell ref="G5365:H5365"/>
    <mergeCell ref="G5366:H5366"/>
    <mergeCell ref="G5367:H5367"/>
    <mergeCell ref="G5368:H5368"/>
    <mergeCell ref="J5370:K5370"/>
    <mergeCell ref="G5372:H5372"/>
    <mergeCell ref="G5373:H5373"/>
    <mergeCell ref="G5374:H5374"/>
    <mergeCell ref="G5375:H5375"/>
    <mergeCell ref="G5376:H5376"/>
    <mergeCell ref="G5377:H5377"/>
    <mergeCell ref="G5378:H5378"/>
    <mergeCell ref="J5380:K5380"/>
    <mergeCell ref="G5382:H5382"/>
    <mergeCell ref="G5383:H5383"/>
    <mergeCell ref="G5384:H5384"/>
    <mergeCell ref="J5386:K5386"/>
    <mergeCell ref="G5388:H5388"/>
    <mergeCell ref="G5389:H5389"/>
    <mergeCell ref="G5390:H5390"/>
    <mergeCell ref="G5391:H5391"/>
    <mergeCell ref="G5392:H5392"/>
    <mergeCell ref="J5394:K5394"/>
    <mergeCell ref="G5396:H5396"/>
    <mergeCell ref="G5397:H5397"/>
    <mergeCell ref="G5398:H5398"/>
    <mergeCell ref="G5399:H5399"/>
    <mergeCell ref="G5400:H5400"/>
    <mergeCell ref="J5402:K5402"/>
    <mergeCell ref="G5404:H5404"/>
    <mergeCell ref="G5405:H5405"/>
    <mergeCell ref="G5406:H5406"/>
    <mergeCell ref="G5407:H5407"/>
    <mergeCell ref="G5408:H5408"/>
    <mergeCell ref="J5410:K5410"/>
    <mergeCell ref="G5412:H5412"/>
    <mergeCell ref="G5413:H5413"/>
    <mergeCell ref="G5414:H5414"/>
    <mergeCell ref="G5415:H5415"/>
    <mergeCell ref="G5416:H5416"/>
    <mergeCell ref="J5418:K5418"/>
    <mergeCell ref="G5420:H5420"/>
    <mergeCell ref="G5421:H5421"/>
    <mergeCell ref="G5422:H5422"/>
    <mergeCell ref="G5423:H5423"/>
    <mergeCell ref="J5425:K5425"/>
    <mergeCell ref="G5427:H5427"/>
    <mergeCell ref="G5428:H5428"/>
    <mergeCell ref="G5429:H5429"/>
    <mergeCell ref="G5430:H5430"/>
    <mergeCell ref="G5431:H5431"/>
    <mergeCell ref="J5433:K5433"/>
    <mergeCell ref="G5435:H5435"/>
    <mergeCell ref="G5436:H5436"/>
    <mergeCell ref="G5437:H5437"/>
    <mergeCell ref="G5438:H5438"/>
    <mergeCell ref="G5439:H5439"/>
    <mergeCell ref="J5441:K5441"/>
    <mergeCell ref="G5443:H5443"/>
    <mergeCell ref="G5444:H5444"/>
    <mergeCell ref="G5445:H5445"/>
    <mergeCell ref="G5446:H5446"/>
    <mergeCell ref="G5447:H5447"/>
    <mergeCell ref="J5449:K5449"/>
    <mergeCell ref="G5451:H5451"/>
    <mergeCell ref="G5452:H5452"/>
    <mergeCell ref="G5453:H5453"/>
    <mergeCell ref="G5454:H5454"/>
    <mergeCell ref="G5455:H5455"/>
    <mergeCell ref="J5457:K5457"/>
    <mergeCell ref="G5459:H5459"/>
    <mergeCell ref="G5460:H5460"/>
    <mergeCell ref="G5461:H5461"/>
    <mergeCell ref="G5462:H5462"/>
    <mergeCell ref="G5463:H5463"/>
    <mergeCell ref="J5465:K5465"/>
    <mergeCell ref="G5467:H5467"/>
    <mergeCell ref="G5468:H5468"/>
    <mergeCell ref="G5469:H5469"/>
    <mergeCell ref="G5470:H5470"/>
    <mergeCell ref="G5471:H5471"/>
    <mergeCell ref="J5473:K5473"/>
    <mergeCell ref="G5475:H5475"/>
    <mergeCell ref="G5476:H5476"/>
    <mergeCell ref="G5477:H5477"/>
    <mergeCell ref="G5478:H5478"/>
    <mergeCell ref="G5479:H5479"/>
    <mergeCell ref="J5481:K5481"/>
    <mergeCell ref="G5483:H5483"/>
    <mergeCell ref="G5484:H5484"/>
    <mergeCell ref="G5485:H5485"/>
    <mergeCell ref="G5486:H5486"/>
    <mergeCell ref="G5487:H5487"/>
    <mergeCell ref="J5489:K5489"/>
    <mergeCell ref="G5491:H5491"/>
    <mergeCell ref="G5492:H5492"/>
    <mergeCell ref="G5493:H5493"/>
    <mergeCell ref="G5494:H5494"/>
    <mergeCell ref="G5495:H5495"/>
    <mergeCell ref="J5497:K5497"/>
    <mergeCell ref="G5499:H5499"/>
    <mergeCell ref="G5500:H5500"/>
    <mergeCell ref="G5501:H5501"/>
    <mergeCell ref="G5502:H5502"/>
    <mergeCell ref="G5503:H5503"/>
    <mergeCell ref="G5504:H5504"/>
    <mergeCell ref="G5505:H5505"/>
    <mergeCell ref="G5506:H5506"/>
    <mergeCell ref="J5508:K5508"/>
    <mergeCell ref="G5510:H5510"/>
    <mergeCell ref="G5511:H5511"/>
    <mergeCell ref="G5512:H5512"/>
    <mergeCell ref="G5513:H5513"/>
    <mergeCell ref="G5514:H5514"/>
    <mergeCell ref="G5515:H5515"/>
    <mergeCell ref="G5516:H5516"/>
    <mergeCell ref="G5517:H5517"/>
    <mergeCell ref="G5518:H5518"/>
    <mergeCell ref="G5519:H5519"/>
    <mergeCell ref="G5520:H5520"/>
    <mergeCell ref="G5521:H5521"/>
    <mergeCell ref="G5522:H5522"/>
    <mergeCell ref="G5523:H5523"/>
    <mergeCell ref="G5524:H5524"/>
    <mergeCell ref="G5525:H5525"/>
    <mergeCell ref="G5526:H5526"/>
    <mergeCell ref="G5527:H5527"/>
    <mergeCell ref="G5528:H5528"/>
    <mergeCell ref="G5529:H5529"/>
    <mergeCell ref="G5530:H5530"/>
    <mergeCell ref="G5531:H5531"/>
    <mergeCell ref="J5533:K5533"/>
    <mergeCell ref="G5535:H5535"/>
    <mergeCell ref="G5536:H5536"/>
    <mergeCell ref="G5537:H5537"/>
    <mergeCell ref="G5538:H5538"/>
    <mergeCell ref="G5539:H5539"/>
    <mergeCell ref="G5540:H5540"/>
    <mergeCell ref="G5541:H5541"/>
    <mergeCell ref="J5543:K5543"/>
    <mergeCell ref="G5545:H5545"/>
    <mergeCell ref="G5546:H5546"/>
    <mergeCell ref="G5547:H5547"/>
    <mergeCell ref="G5548:H5548"/>
    <mergeCell ref="G5549:H5549"/>
    <mergeCell ref="J5551:K5551"/>
    <mergeCell ref="G5553:H5553"/>
    <mergeCell ref="G5554:H5554"/>
    <mergeCell ref="G5555:H5555"/>
    <mergeCell ref="G5556:H5556"/>
    <mergeCell ref="J5558:K5558"/>
    <mergeCell ref="G5560:H5560"/>
    <mergeCell ref="G5561:H5561"/>
    <mergeCell ref="G5562:H5562"/>
    <mergeCell ref="G5563:H5563"/>
    <mergeCell ref="G5564:H5564"/>
    <mergeCell ref="J5566:K5566"/>
    <mergeCell ref="G5568:H5568"/>
    <mergeCell ref="G5569:H5569"/>
    <mergeCell ref="G5570:H5570"/>
    <mergeCell ref="G5571:H5571"/>
    <mergeCell ref="G5572:H5572"/>
    <mergeCell ref="G5573:H5573"/>
    <mergeCell ref="G5574:H5574"/>
    <mergeCell ref="J5576:K5576"/>
    <mergeCell ref="G5578:H5578"/>
    <mergeCell ref="G5579:H5579"/>
    <mergeCell ref="G5580:H5580"/>
    <mergeCell ref="G5581:H5581"/>
    <mergeCell ref="G5582:H5582"/>
    <mergeCell ref="G5583:H5583"/>
    <mergeCell ref="G5584:H5584"/>
    <mergeCell ref="J5586:K5586"/>
    <mergeCell ref="G5588:H5588"/>
    <mergeCell ref="G5589:H5589"/>
    <mergeCell ref="G5590:H5590"/>
    <mergeCell ref="G5591:H5591"/>
    <mergeCell ref="G5592:H5592"/>
    <mergeCell ref="G5593:H5593"/>
    <mergeCell ref="G5594:H5594"/>
    <mergeCell ref="J5596:K5596"/>
    <mergeCell ref="G5598:H5598"/>
    <mergeCell ref="G5599:H5599"/>
    <mergeCell ref="G5600:H5600"/>
    <mergeCell ref="G5601:H5601"/>
    <mergeCell ref="G5602:H5602"/>
    <mergeCell ref="G5603:H5603"/>
    <mergeCell ref="G5604:H5604"/>
    <mergeCell ref="J5606:K5606"/>
    <mergeCell ref="G5608:H5608"/>
    <mergeCell ref="G5609:H5609"/>
    <mergeCell ref="G5610:H5610"/>
    <mergeCell ref="G5611:H5611"/>
    <mergeCell ref="G5612:H5612"/>
    <mergeCell ref="G5613:H5613"/>
    <mergeCell ref="G5614:H5614"/>
    <mergeCell ref="J5616:K5616"/>
    <mergeCell ref="G5618:H5618"/>
    <mergeCell ref="G5619:H5619"/>
    <mergeCell ref="G5620:H5620"/>
    <mergeCell ref="G5621:H5621"/>
    <mergeCell ref="G5622:H5622"/>
    <mergeCell ref="G5623:H5623"/>
    <mergeCell ref="G5624:H5624"/>
    <mergeCell ref="J5626:K5626"/>
    <mergeCell ref="G5628:H5628"/>
    <mergeCell ref="G5629:H5629"/>
    <mergeCell ref="G5630:H5630"/>
    <mergeCell ref="G5631:H5631"/>
    <mergeCell ref="G5632:H5632"/>
    <mergeCell ref="G5633:H5633"/>
    <mergeCell ref="G5634:H5634"/>
    <mergeCell ref="J5636:K5636"/>
    <mergeCell ref="G5638:H5638"/>
    <mergeCell ref="G5639:H5639"/>
    <mergeCell ref="G5640:H5640"/>
    <mergeCell ref="G5641:H5641"/>
    <mergeCell ref="G5642:H5642"/>
    <mergeCell ref="G5643:H5643"/>
    <mergeCell ref="J5645:K5645"/>
    <mergeCell ref="G5647:H5647"/>
    <mergeCell ref="G5648:H5648"/>
    <mergeCell ref="G5649:H5649"/>
    <mergeCell ref="G5650:H5650"/>
    <mergeCell ref="G5651:H5651"/>
    <mergeCell ref="G5652:H5652"/>
    <mergeCell ref="J5654:K5654"/>
    <mergeCell ref="G5656:H5656"/>
    <mergeCell ref="G5657:H5657"/>
    <mergeCell ref="G5658:H5658"/>
    <mergeCell ref="G5659:H5659"/>
    <mergeCell ref="G5660:H5660"/>
    <mergeCell ref="J5662:K5662"/>
    <mergeCell ref="G5664:H5664"/>
    <mergeCell ref="G5665:H5665"/>
    <mergeCell ref="G5666:H5666"/>
    <mergeCell ref="G5667:H5667"/>
    <mergeCell ref="G5668:H5668"/>
    <mergeCell ref="G5669:H5669"/>
    <mergeCell ref="G5670:H5670"/>
    <mergeCell ref="G5671:H5671"/>
    <mergeCell ref="G5672:H5672"/>
    <mergeCell ref="G5673:H5673"/>
    <mergeCell ref="G5674:H5674"/>
    <mergeCell ref="J5676:K5676"/>
    <mergeCell ref="G5678:H5678"/>
    <mergeCell ref="G5679:H5679"/>
    <mergeCell ref="G5680:H5680"/>
    <mergeCell ref="G5681:H5681"/>
    <mergeCell ref="G5682:H5682"/>
    <mergeCell ref="G5683:H5683"/>
    <mergeCell ref="J5685:K5685"/>
    <mergeCell ref="G5687:H5687"/>
    <mergeCell ref="G5688:H5688"/>
    <mergeCell ref="G5689:H5689"/>
    <mergeCell ref="G5690:H5690"/>
    <mergeCell ref="G5691:H5691"/>
    <mergeCell ref="G5692:H5692"/>
    <mergeCell ref="G5693:H5693"/>
    <mergeCell ref="G5694:H5694"/>
    <mergeCell ref="J5696:K5696"/>
    <mergeCell ref="G5698:H5698"/>
    <mergeCell ref="G5699:H5699"/>
    <mergeCell ref="G5700:H5700"/>
    <mergeCell ref="G5701:H5701"/>
    <mergeCell ref="G5702:H5702"/>
    <mergeCell ref="G5703:H5703"/>
    <mergeCell ref="G5704:H5704"/>
    <mergeCell ref="G5705:H5705"/>
    <mergeCell ref="J5707:K5707"/>
    <mergeCell ref="G5709:H5709"/>
    <mergeCell ref="G5710:H5710"/>
    <mergeCell ref="G5711:H5711"/>
    <mergeCell ref="G5712:H5712"/>
    <mergeCell ref="G5713:H5713"/>
    <mergeCell ref="G5714:H5714"/>
    <mergeCell ref="G5715:H5715"/>
    <mergeCell ref="G5716:H5716"/>
    <mergeCell ref="J5718:K5718"/>
    <mergeCell ref="G5720:H5720"/>
    <mergeCell ref="G5721:H5721"/>
    <mergeCell ref="G5722:H5722"/>
    <mergeCell ref="G5723:H5723"/>
    <mergeCell ref="G5724:H5724"/>
    <mergeCell ref="G5725:H5725"/>
    <mergeCell ref="G5726:H5726"/>
    <mergeCell ref="G5727:H5727"/>
    <mergeCell ref="J5729:K5729"/>
    <mergeCell ref="G5731:H5731"/>
    <mergeCell ref="G5732:H5732"/>
    <mergeCell ref="G5733:H5733"/>
    <mergeCell ref="G5734:H5734"/>
    <mergeCell ref="G5735:H5735"/>
    <mergeCell ref="G5736:H5736"/>
    <mergeCell ref="G5737:H5737"/>
    <mergeCell ref="G5738:H5738"/>
    <mergeCell ref="J5740:K5740"/>
    <mergeCell ref="G5742:H5742"/>
    <mergeCell ref="G5743:H5743"/>
    <mergeCell ref="G5744:H5744"/>
    <mergeCell ref="G5745:H5745"/>
    <mergeCell ref="G5746:H5746"/>
    <mergeCell ref="G5747:H5747"/>
    <mergeCell ref="G5748:H5748"/>
    <mergeCell ref="G5749:H5749"/>
    <mergeCell ref="J5751:K5751"/>
    <mergeCell ref="G5753:H5753"/>
    <mergeCell ref="G5754:H5754"/>
    <mergeCell ref="G5755:H5755"/>
    <mergeCell ref="G5756:H5756"/>
    <mergeCell ref="G5757:H5757"/>
    <mergeCell ref="G5758:H5758"/>
    <mergeCell ref="G5759:H5759"/>
    <mergeCell ref="G5760:H5760"/>
    <mergeCell ref="J5762:K5762"/>
    <mergeCell ref="G5764:H5764"/>
    <mergeCell ref="G5765:H5765"/>
    <mergeCell ref="G5766:H5766"/>
    <mergeCell ref="G5767:H5767"/>
    <mergeCell ref="G5768:H5768"/>
    <mergeCell ref="G5769:H5769"/>
    <mergeCell ref="G5770:H5770"/>
    <mergeCell ref="G5771:H5771"/>
    <mergeCell ref="J5773:K5773"/>
    <mergeCell ref="G5775:H5775"/>
    <mergeCell ref="G5776:H5776"/>
    <mergeCell ref="G5777:H5777"/>
    <mergeCell ref="G5778:H5778"/>
    <mergeCell ref="G5779:H5779"/>
    <mergeCell ref="G5780:H5780"/>
    <mergeCell ref="J5782:K5782"/>
    <mergeCell ref="G5784:H5784"/>
    <mergeCell ref="G5785:H5785"/>
    <mergeCell ref="G5786:H5786"/>
    <mergeCell ref="G5787:H5787"/>
    <mergeCell ref="J5789:K5789"/>
    <mergeCell ref="G5791:H5791"/>
    <mergeCell ref="G5792:H5792"/>
    <mergeCell ref="G5793:H5793"/>
    <mergeCell ref="G5794:H5794"/>
    <mergeCell ref="J5796:K5796"/>
    <mergeCell ref="G5798:H5798"/>
    <mergeCell ref="G5799:H5799"/>
    <mergeCell ref="G5800:H5800"/>
    <mergeCell ref="G5801:H5801"/>
    <mergeCell ref="G5802:H5802"/>
    <mergeCell ref="G5803:H5803"/>
    <mergeCell ref="J5805:K5805"/>
    <mergeCell ref="G5807:H5807"/>
    <mergeCell ref="G5808:H5808"/>
    <mergeCell ref="G5809:H5809"/>
    <mergeCell ref="J5811:K5811"/>
    <mergeCell ref="G5813:H5813"/>
    <mergeCell ref="G5814:H5814"/>
    <mergeCell ref="G5815:H5815"/>
    <mergeCell ref="G5816:H5816"/>
    <mergeCell ref="G5817:H5817"/>
    <mergeCell ref="G5818:H5818"/>
    <mergeCell ref="J5820:K5820"/>
    <mergeCell ref="G5822:H5822"/>
    <mergeCell ref="G5823:H5823"/>
    <mergeCell ref="G5824:H5824"/>
    <mergeCell ref="J5826:K5826"/>
    <mergeCell ref="G5828:H5828"/>
    <mergeCell ref="G5829:H5829"/>
    <mergeCell ref="G5830:H5830"/>
    <mergeCell ref="G5831:H5831"/>
    <mergeCell ref="G5832:H5832"/>
    <mergeCell ref="J5834:K5834"/>
    <mergeCell ref="G5836:H5836"/>
    <mergeCell ref="G5837:H5837"/>
    <mergeCell ref="G5838:H5838"/>
    <mergeCell ref="G5839:H5839"/>
    <mergeCell ref="G5840:H5840"/>
    <mergeCell ref="J5842:K5842"/>
    <mergeCell ref="G5844:H5844"/>
    <mergeCell ref="G5845:H5845"/>
    <mergeCell ref="G5846:H5846"/>
    <mergeCell ref="G5847:H5847"/>
    <mergeCell ref="G5848:H5848"/>
    <mergeCell ref="J5850:K5850"/>
    <mergeCell ref="G5852:H5852"/>
    <mergeCell ref="G5853:H5853"/>
    <mergeCell ref="G5854:H5854"/>
    <mergeCell ref="G5855:H5855"/>
    <mergeCell ref="G5856:H5856"/>
    <mergeCell ref="G5857:H5857"/>
    <mergeCell ref="G5858:H5858"/>
    <mergeCell ref="J5860:K5860"/>
    <mergeCell ref="G5862:H5862"/>
    <mergeCell ref="G5863:H5863"/>
    <mergeCell ref="G5864:H5864"/>
    <mergeCell ref="G5865:H5865"/>
    <mergeCell ref="G5866:H5866"/>
    <mergeCell ref="G5867:H5867"/>
    <mergeCell ref="J5869:K5869"/>
    <mergeCell ref="G5871:H5871"/>
    <mergeCell ref="G5872:H5872"/>
    <mergeCell ref="G5873:H5873"/>
    <mergeCell ref="G5874:H5874"/>
    <mergeCell ref="G5875:H5875"/>
    <mergeCell ref="G5876:H5876"/>
    <mergeCell ref="J5878:K5878"/>
    <mergeCell ref="G5880:H5880"/>
    <mergeCell ref="G5881:H5881"/>
    <mergeCell ref="G5882:H5882"/>
    <mergeCell ref="G5883:H5883"/>
    <mergeCell ref="G5884:H5884"/>
    <mergeCell ref="J5886:K5886"/>
    <mergeCell ref="G5888:H5888"/>
    <mergeCell ref="G5889:H5889"/>
    <mergeCell ref="G5890:H5890"/>
    <mergeCell ref="G5891:H5891"/>
    <mergeCell ref="G5892:H5892"/>
    <mergeCell ref="J5894:K5894"/>
    <mergeCell ref="G5896:H5896"/>
    <mergeCell ref="G5897:H5897"/>
    <mergeCell ref="G5898:H5898"/>
    <mergeCell ref="G5899:H5899"/>
    <mergeCell ref="G5900:H5900"/>
    <mergeCell ref="J5902:K5902"/>
    <mergeCell ref="G5904:H5904"/>
    <mergeCell ref="G5905:H5905"/>
    <mergeCell ref="G5906:H5906"/>
    <mergeCell ref="G5907:H5907"/>
    <mergeCell ref="G5908:H5908"/>
    <mergeCell ref="J5910:K5910"/>
    <mergeCell ref="G5912:H5912"/>
    <mergeCell ref="G5913:H5913"/>
    <mergeCell ref="G5914:H5914"/>
    <mergeCell ref="G5915:H5915"/>
    <mergeCell ref="G5916:H5916"/>
    <mergeCell ref="J5918:K5918"/>
    <mergeCell ref="G5920:H5920"/>
    <mergeCell ref="G5921:H5921"/>
    <mergeCell ref="G5922:H5922"/>
    <mergeCell ref="G5923:H5923"/>
    <mergeCell ref="G5924:H5924"/>
    <mergeCell ref="J5926:K5926"/>
    <mergeCell ref="G5928:H5928"/>
    <mergeCell ref="G5929:H5929"/>
    <mergeCell ref="G5930:H5930"/>
    <mergeCell ref="G5931:H5931"/>
    <mergeCell ref="G5932:H5932"/>
    <mergeCell ref="J5934:K5934"/>
    <mergeCell ref="G5936:H5936"/>
    <mergeCell ref="G5937:H5937"/>
    <mergeCell ref="G5938:H5938"/>
    <mergeCell ref="G5939:H5939"/>
    <mergeCell ref="G5940:H5940"/>
    <mergeCell ref="J5942:K5942"/>
    <mergeCell ref="G5944:H5944"/>
    <mergeCell ref="G5945:H5945"/>
    <mergeCell ref="G5946:H5946"/>
    <mergeCell ref="G5947:H5947"/>
    <mergeCell ref="G5948:H5948"/>
    <mergeCell ref="G5949:H5949"/>
    <mergeCell ref="J5951:K5951"/>
    <mergeCell ref="G5953:H5953"/>
    <mergeCell ref="G5954:H5954"/>
    <mergeCell ref="G5955:H5955"/>
    <mergeCell ref="G5956:H5956"/>
    <mergeCell ref="G5957:H5957"/>
    <mergeCell ref="G5958:H5958"/>
    <mergeCell ref="J5960:K5960"/>
    <mergeCell ref="G5962:H5962"/>
    <mergeCell ref="G5963:H5963"/>
    <mergeCell ref="G5964:H5964"/>
    <mergeCell ref="G5965:H5965"/>
    <mergeCell ref="G5966:H5966"/>
    <mergeCell ref="G5967:H5967"/>
    <mergeCell ref="J5969:K5969"/>
    <mergeCell ref="G5971:H5971"/>
    <mergeCell ref="G5972:H5972"/>
    <mergeCell ref="G5973:H5973"/>
    <mergeCell ref="G5974:H5974"/>
    <mergeCell ref="G5975:H5975"/>
    <mergeCell ref="G5976:H5976"/>
    <mergeCell ref="J5978:K5978"/>
    <mergeCell ref="G5980:H5980"/>
    <mergeCell ref="G5981:H5981"/>
    <mergeCell ref="G5982:H5982"/>
    <mergeCell ref="G5983:H5983"/>
    <mergeCell ref="G5984:H5984"/>
    <mergeCell ref="G5985:H5985"/>
    <mergeCell ref="J5987:K5987"/>
    <mergeCell ref="G5989:H5989"/>
    <mergeCell ref="G5990:H5990"/>
    <mergeCell ref="G5991:H5991"/>
    <mergeCell ref="G5992:H5992"/>
    <mergeCell ref="G5993:H5993"/>
    <mergeCell ref="G5994:H5994"/>
    <mergeCell ref="G5995:H5995"/>
    <mergeCell ref="J5997:K5997"/>
    <mergeCell ref="G5999:H5999"/>
    <mergeCell ref="G6000:H6000"/>
    <mergeCell ref="G6001:H6001"/>
    <mergeCell ref="G6002:H6002"/>
    <mergeCell ref="G6003:H6003"/>
    <mergeCell ref="G6004:H6004"/>
    <mergeCell ref="G6005:H6005"/>
    <mergeCell ref="J6007:K6007"/>
    <mergeCell ref="G6009:H6009"/>
    <mergeCell ref="G6010:H6010"/>
    <mergeCell ref="G6011:H6011"/>
    <mergeCell ref="G6012:H6012"/>
    <mergeCell ref="G6013:H6013"/>
    <mergeCell ref="G6014:H6014"/>
    <mergeCell ref="G6015:H6015"/>
    <mergeCell ref="J6017:K6017"/>
    <mergeCell ref="G6019:H6019"/>
    <mergeCell ref="G6020:H6020"/>
    <mergeCell ref="G6021:H6021"/>
    <mergeCell ref="G6022:H6022"/>
    <mergeCell ref="G6023:H6023"/>
    <mergeCell ref="G6024:H6024"/>
    <mergeCell ref="G6025:H6025"/>
    <mergeCell ref="J6027:K6027"/>
    <mergeCell ref="G6029:H6029"/>
    <mergeCell ref="G6030:H6030"/>
    <mergeCell ref="G6031:H6031"/>
    <mergeCell ref="G6032:H6032"/>
    <mergeCell ref="G6033:H6033"/>
    <mergeCell ref="G6034:H6034"/>
    <mergeCell ref="G6035:H6035"/>
    <mergeCell ref="J6037:K6037"/>
    <mergeCell ref="G6039:H6039"/>
    <mergeCell ref="G6040:H6040"/>
    <mergeCell ref="G6041:H6041"/>
    <mergeCell ref="G6042:H6042"/>
    <mergeCell ref="G6043:H6043"/>
    <mergeCell ref="G6044:H6044"/>
    <mergeCell ref="G6045:H6045"/>
    <mergeCell ref="J6047:K6047"/>
    <mergeCell ref="G6049:H6049"/>
    <mergeCell ref="G6050:H6050"/>
    <mergeCell ref="G6051:H6051"/>
    <mergeCell ref="G6052:H6052"/>
    <mergeCell ref="G6053:H6053"/>
    <mergeCell ref="G6054:H6054"/>
    <mergeCell ref="G6055:H6055"/>
    <mergeCell ref="J6057:K6057"/>
    <mergeCell ref="G6059:H6059"/>
    <mergeCell ref="G6060:H6060"/>
    <mergeCell ref="G6061:H6061"/>
    <mergeCell ref="G6062:H6062"/>
    <mergeCell ref="G6063:H6063"/>
    <mergeCell ref="G6064:H6064"/>
    <mergeCell ref="J6066:K6066"/>
    <mergeCell ref="G6068:H6068"/>
    <mergeCell ref="G6069:H6069"/>
    <mergeCell ref="G6070:H6070"/>
    <mergeCell ref="G6071:H6071"/>
    <mergeCell ref="G6072:H6072"/>
    <mergeCell ref="G6073:H6073"/>
    <mergeCell ref="J6075:K6075"/>
    <mergeCell ref="G6077:H6077"/>
    <mergeCell ref="G6078:H6078"/>
    <mergeCell ref="G6079:H6079"/>
    <mergeCell ref="G6080:H6080"/>
    <mergeCell ref="G6081:H6081"/>
    <mergeCell ref="J6083:K6083"/>
    <mergeCell ref="G6085:H6085"/>
    <mergeCell ref="G6086:H6086"/>
    <mergeCell ref="G6087:H6087"/>
    <mergeCell ref="G6088:H6088"/>
    <mergeCell ref="G6089:H6089"/>
    <mergeCell ref="G6090:H6090"/>
    <mergeCell ref="J6092:K6092"/>
    <mergeCell ref="G6094:H6094"/>
    <mergeCell ref="G6095:H6095"/>
    <mergeCell ref="G6096:H6096"/>
    <mergeCell ref="G6097:H6097"/>
    <mergeCell ref="J6099:K6099"/>
    <mergeCell ref="G6101:H6101"/>
    <mergeCell ref="G6102:H6102"/>
    <mergeCell ref="G6103:H6103"/>
    <mergeCell ref="G6104:H6104"/>
    <mergeCell ref="J6106:K6106"/>
    <mergeCell ref="G6108:H6108"/>
    <mergeCell ref="G6109:H6109"/>
    <mergeCell ref="G6110:H6110"/>
    <mergeCell ref="G6111:H6111"/>
    <mergeCell ref="J6113:K6113"/>
    <mergeCell ref="G6115:H6115"/>
    <mergeCell ref="G6116:H6116"/>
    <mergeCell ref="G6117:H6117"/>
    <mergeCell ref="G6118:H6118"/>
    <mergeCell ref="J6120:K6120"/>
    <mergeCell ref="G6122:H6122"/>
    <mergeCell ref="G6123:H6123"/>
    <mergeCell ref="G6124:H6124"/>
    <mergeCell ref="G6125:H6125"/>
    <mergeCell ref="J6127:K6127"/>
    <mergeCell ref="G6129:H6129"/>
    <mergeCell ref="G6130:H6130"/>
    <mergeCell ref="G6131:H6131"/>
    <mergeCell ref="G6132:H6132"/>
    <mergeCell ref="J6134:K6134"/>
    <mergeCell ref="G6136:H6136"/>
    <mergeCell ref="G6137:H6137"/>
    <mergeCell ref="G6138:H6138"/>
    <mergeCell ref="G6139:H6139"/>
    <mergeCell ref="J6141:K6141"/>
    <mergeCell ref="G6143:H6143"/>
    <mergeCell ref="G6144:H6144"/>
    <mergeCell ref="G6145:H6145"/>
    <mergeCell ref="G6146:H6146"/>
    <mergeCell ref="G6147:H6147"/>
    <mergeCell ref="G6148:H6148"/>
    <mergeCell ref="G6149:H6149"/>
    <mergeCell ref="J6151:K6151"/>
    <mergeCell ref="G6153:H6153"/>
    <mergeCell ref="G6154:H6154"/>
    <mergeCell ref="G6155:H6155"/>
    <mergeCell ref="G6156:H6156"/>
    <mergeCell ref="G6157:H6157"/>
    <mergeCell ref="G6158:H6158"/>
    <mergeCell ref="G6159:H6159"/>
    <mergeCell ref="J6161:K6161"/>
    <mergeCell ref="G6163:H6163"/>
    <mergeCell ref="G6164:H6164"/>
    <mergeCell ref="G6165:H6165"/>
    <mergeCell ref="G6166:H6166"/>
    <mergeCell ref="G6167:H6167"/>
    <mergeCell ref="G6168:H6168"/>
    <mergeCell ref="G6169:H6169"/>
    <mergeCell ref="J6171:K6171"/>
    <mergeCell ref="G6173:H6173"/>
    <mergeCell ref="G6174:H6174"/>
    <mergeCell ref="G6175:H6175"/>
    <mergeCell ref="G6176:H6176"/>
    <mergeCell ref="G6177:H6177"/>
    <mergeCell ref="J6179:K6179"/>
    <mergeCell ref="G6181:H6181"/>
    <mergeCell ref="G6182:H6182"/>
    <mergeCell ref="G6183:H6183"/>
    <mergeCell ref="G6184:H6184"/>
    <mergeCell ref="G6185:H6185"/>
    <mergeCell ref="J6187:K6187"/>
    <mergeCell ref="G6189:H6189"/>
    <mergeCell ref="G6190:H6190"/>
    <mergeCell ref="G6191:H6191"/>
    <mergeCell ref="G6192:H6192"/>
    <mergeCell ref="J6194:K6194"/>
    <mergeCell ref="G6196:H6196"/>
    <mergeCell ref="G6197:H6197"/>
    <mergeCell ref="G6198:H6198"/>
    <mergeCell ref="G6199:H6199"/>
    <mergeCell ref="J6201:K6201"/>
    <mergeCell ref="G6203:H6203"/>
    <mergeCell ref="G6204:H6204"/>
    <mergeCell ref="G6205:H6205"/>
    <mergeCell ref="G6206:H6206"/>
    <mergeCell ref="J6208:K6208"/>
    <mergeCell ref="G6210:H6210"/>
    <mergeCell ref="G6211:H6211"/>
    <mergeCell ref="G6212:H6212"/>
    <mergeCell ref="G6213:H6213"/>
    <mergeCell ref="J6215:K6215"/>
    <mergeCell ref="G6217:H6217"/>
    <mergeCell ref="G6218:H6218"/>
    <mergeCell ref="G6219:H6219"/>
    <mergeCell ref="G6220:H6220"/>
    <mergeCell ref="G6221:H6221"/>
    <mergeCell ref="J6223:K6223"/>
    <mergeCell ref="G6225:H6225"/>
    <mergeCell ref="G6226:H6226"/>
    <mergeCell ref="G6227:H6227"/>
    <mergeCell ref="G6228:H6228"/>
    <mergeCell ref="G6229:H6229"/>
    <mergeCell ref="J6231:K6231"/>
    <mergeCell ref="G6233:H6233"/>
    <mergeCell ref="G6234:H6234"/>
    <mergeCell ref="G6235:H6235"/>
    <mergeCell ref="G6236:H6236"/>
    <mergeCell ref="G6237:H6237"/>
    <mergeCell ref="J6239:K6239"/>
    <mergeCell ref="G6241:H6241"/>
    <mergeCell ref="G6242:H6242"/>
    <mergeCell ref="G6243:H6243"/>
    <mergeCell ref="G6244:H6244"/>
    <mergeCell ref="G6245:H6245"/>
    <mergeCell ref="J6247:K6247"/>
    <mergeCell ref="G6249:H6249"/>
    <mergeCell ref="G6250:H6250"/>
    <mergeCell ref="G6251:H6251"/>
    <mergeCell ref="G6252:H6252"/>
    <mergeCell ref="G6253:H6253"/>
    <mergeCell ref="J6255:K6255"/>
    <mergeCell ref="G6257:H6257"/>
    <mergeCell ref="G6258:H6258"/>
    <mergeCell ref="G6259:H6259"/>
    <mergeCell ref="G6260:H6260"/>
    <mergeCell ref="G6261:H6261"/>
    <mergeCell ref="J6263:K6263"/>
    <mergeCell ref="G6265:H6265"/>
    <mergeCell ref="G6266:H6266"/>
    <mergeCell ref="G6267:H6267"/>
    <mergeCell ref="G6268:H6268"/>
    <mergeCell ref="G6269:H6269"/>
    <mergeCell ref="J6271:K6271"/>
    <mergeCell ref="G6273:H6273"/>
    <mergeCell ref="G6274:H6274"/>
    <mergeCell ref="G6275:H6275"/>
    <mergeCell ref="J6277:K6277"/>
    <mergeCell ref="G6279:H6279"/>
    <mergeCell ref="G6280:H6280"/>
    <mergeCell ref="G6281:H6281"/>
    <mergeCell ref="G6282:H6282"/>
    <mergeCell ref="J6284:K6284"/>
    <mergeCell ref="G6286:H6286"/>
    <mergeCell ref="G6287:H6287"/>
    <mergeCell ref="G6288:H6288"/>
    <mergeCell ref="J6290:K6290"/>
    <mergeCell ref="G6292:H6292"/>
    <mergeCell ref="G6293:H6293"/>
    <mergeCell ref="G6294:H6294"/>
    <mergeCell ref="G6295:H6295"/>
    <mergeCell ref="J6297:K6297"/>
    <mergeCell ref="G6299:H6299"/>
    <mergeCell ref="G6300:H6300"/>
    <mergeCell ref="G6301:H6301"/>
    <mergeCell ref="J6303:K6303"/>
    <mergeCell ref="G6305:H6305"/>
    <mergeCell ref="G6306:H6306"/>
    <mergeCell ref="G6307:H6307"/>
    <mergeCell ref="G6308:H6308"/>
    <mergeCell ref="J6310:K6310"/>
    <mergeCell ref="G6312:H6312"/>
    <mergeCell ref="G6313:H6313"/>
    <mergeCell ref="G6314:H6314"/>
    <mergeCell ref="J6316:K6316"/>
    <mergeCell ref="G6318:H6318"/>
    <mergeCell ref="G6319:H6319"/>
    <mergeCell ref="G6320:H6320"/>
    <mergeCell ref="G6321:H6321"/>
    <mergeCell ref="J6323:K6323"/>
    <mergeCell ref="G6325:H6325"/>
    <mergeCell ref="G6326:H6326"/>
    <mergeCell ref="G6327:H6327"/>
    <mergeCell ref="J6329:K6329"/>
    <mergeCell ref="G6331:H6331"/>
    <mergeCell ref="G6332:H6332"/>
    <mergeCell ref="G6333:H6333"/>
    <mergeCell ref="G6334:H6334"/>
    <mergeCell ref="G6335:H6335"/>
    <mergeCell ref="G6336:H6336"/>
    <mergeCell ref="G6337:H6337"/>
    <mergeCell ref="G6338:H6338"/>
    <mergeCell ref="G6339:H6339"/>
    <mergeCell ref="G6340:H6340"/>
    <mergeCell ref="J6342:K6342"/>
    <mergeCell ref="G6344:H6344"/>
    <mergeCell ref="G6345:H6345"/>
    <mergeCell ref="G6346:H6346"/>
    <mergeCell ref="J6348:K6348"/>
    <mergeCell ref="G6350:H6350"/>
    <mergeCell ref="G6351:H6351"/>
    <mergeCell ref="G6352:H6352"/>
    <mergeCell ref="G6353:H6353"/>
    <mergeCell ref="G6354:H6354"/>
    <mergeCell ref="J6356:K6356"/>
    <mergeCell ref="G6358:H6358"/>
    <mergeCell ref="G6359:H6359"/>
    <mergeCell ref="G6360:H6360"/>
    <mergeCell ref="J6362:K6362"/>
    <mergeCell ref="G6364:H6364"/>
    <mergeCell ref="G6365:H6365"/>
    <mergeCell ref="G6366:H6366"/>
    <mergeCell ref="G6367:H6367"/>
    <mergeCell ref="G6368:H6368"/>
    <mergeCell ref="G6369:H6369"/>
    <mergeCell ref="G6370:H6370"/>
    <mergeCell ref="G6371:H6371"/>
    <mergeCell ref="G6372:H6372"/>
    <mergeCell ref="J6374:K6374"/>
    <mergeCell ref="G6376:H6376"/>
    <mergeCell ref="G6377:H6377"/>
    <mergeCell ref="G6378:H6378"/>
    <mergeCell ref="J6380:K6380"/>
    <mergeCell ref="G6382:H6382"/>
    <mergeCell ref="G6383:H6383"/>
    <mergeCell ref="G6384:H6384"/>
    <mergeCell ref="G6385:H6385"/>
    <mergeCell ref="G6386:H6386"/>
    <mergeCell ref="G6387:H6387"/>
    <mergeCell ref="G6388:H6388"/>
    <mergeCell ref="G6389:H6389"/>
    <mergeCell ref="G6390:H6390"/>
    <mergeCell ref="J6392:K6392"/>
    <mergeCell ref="G6394:H6394"/>
    <mergeCell ref="G6395:H6395"/>
    <mergeCell ref="G6396:H6396"/>
    <mergeCell ref="G6397:H6397"/>
    <mergeCell ref="G6398:H6398"/>
    <mergeCell ref="J6400:K6400"/>
    <mergeCell ref="G6402:H6402"/>
    <mergeCell ref="G6403:H6403"/>
    <mergeCell ref="G6404:H6404"/>
    <mergeCell ref="G6405:H6405"/>
    <mergeCell ref="G6406:H6406"/>
    <mergeCell ref="J6408:K6408"/>
    <mergeCell ref="G6410:H6410"/>
    <mergeCell ref="G6411:H6411"/>
    <mergeCell ref="G6412:H6412"/>
    <mergeCell ref="G6413:H6413"/>
    <mergeCell ref="J6415:K6415"/>
    <mergeCell ref="G6417:H6417"/>
    <mergeCell ref="G6418:H6418"/>
    <mergeCell ref="G6419:H6419"/>
    <mergeCell ref="G6420:H6420"/>
    <mergeCell ref="J6422:K6422"/>
    <mergeCell ref="G6424:H6424"/>
    <mergeCell ref="G6425:H6425"/>
    <mergeCell ref="G6426:H6426"/>
    <mergeCell ref="G6427:H6427"/>
    <mergeCell ref="J6429:K6429"/>
    <mergeCell ref="G6431:H6431"/>
    <mergeCell ref="G6432:H6432"/>
    <mergeCell ref="G6433:H6433"/>
    <mergeCell ref="G6434:H6434"/>
    <mergeCell ref="G6435:H6435"/>
    <mergeCell ref="J6437:K6437"/>
    <mergeCell ref="G6439:H6439"/>
    <mergeCell ref="G6440:H6440"/>
    <mergeCell ref="G6441:H6441"/>
    <mergeCell ref="G6442:H6442"/>
    <mergeCell ref="G6443:H6443"/>
    <mergeCell ref="J6445:K6445"/>
    <mergeCell ref="G6447:H6447"/>
    <mergeCell ref="G6448:H6448"/>
    <mergeCell ref="G6449:H6449"/>
    <mergeCell ref="G6450:H6450"/>
    <mergeCell ref="G6451:H6451"/>
    <mergeCell ref="J6453:K6453"/>
    <mergeCell ref="G6455:H6455"/>
    <mergeCell ref="G6456:H6456"/>
    <mergeCell ref="G6457:H6457"/>
    <mergeCell ref="G6458:H6458"/>
    <mergeCell ref="G6459:H6459"/>
    <mergeCell ref="J6461:K6461"/>
    <mergeCell ref="G6463:H6463"/>
    <mergeCell ref="G6464:H6464"/>
    <mergeCell ref="G6465:H6465"/>
    <mergeCell ref="G6466:H6466"/>
    <mergeCell ref="G6467:H6467"/>
    <mergeCell ref="J6469:K6469"/>
    <mergeCell ref="G6471:H6471"/>
    <mergeCell ref="G6472:H6472"/>
    <mergeCell ref="G6473:H6473"/>
    <mergeCell ref="G6474:H6474"/>
    <mergeCell ref="G6475:H6475"/>
    <mergeCell ref="J6477:K6477"/>
    <mergeCell ref="G6479:H6479"/>
    <mergeCell ref="G6480:H6480"/>
    <mergeCell ref="G6481:H6481"/>
    <mergeCell ref="G6482:H6482"/>
    <mergeCell ref="G6483:H6483"/>
    <mergeCell ref="J6485:K6485"/>
    <mergeCell ref="G6487:H6487"/>
    <mergeCell ref="G6488:H6488"/>
    <mergeCell ref="G6489:H6489"/>
    <mergeCell ref="G6490:H6490"/>
    <mergeCell ref="G6491:H6491"/>
    <mergeCell ref="J6493:K6493"/>
    <mergeCell ref="G6495:H6495"/>
    <mergeCell ref="G6496:H6496"/>
    <mergeCell ref="G6497:H6497"/>
    <mergeCell ref="G6498:H6498"/>
    <mergeCell ref="G6499:H6499"/>
    <mergeCell ref="J6501:K6501"/>
    <mergeCell ref="G6503:H6503"/>
    <mergeCell ref="G6504:H6504"/>
    <mergeCell ref="G6505:H6505"/>
    <mergeCell ref="G6506:H6506"/>
    <mergeCell ref="G6507:H6507"/>
    <mergeCell ref="J6509:K6509"/>
    <mergeCell ref="G6511:H6511"/>
    <mergeCell ref="G6512:H6512"/>
    <mergeCell ref="G6513:H6513"/>
    <mergeCell ref="G6514:H6514"/>
    <mergeCell ref="G6515:H6515"/>
    <mergeCell ref="J6517:K6517"/>
    <mergeCell ref="G6519:H6519"/>
    <mergeCell ref="G6520:H6520"/>
    <mergeCell ref="G6521:H6521"/>
    <mergeCell ref="G6522:H6522"/>
    <mergeCell ref="G6523:H6523"/>
    <mergeCell ref="J6525:K6525"/>
    <mergeCell ref="G6527:H6527"/>
    <mergeCell ref="G6528:H6528"/>
    <mergeCell ref="G6529:H6529"/>
    <mergeCell ref="G6530:H6530"/>
    <mergeCell ref="G6531:H6531"/>
    <mergeCell ref="J6533:K6533"/>
    <mergeCell ref="G6535:H6535"/>
    <mergeCell ref="G6536:H6536"/>
    <mergeCell ref="G6537:H6537"/>
    <mergeCell ref="G6538:H6538"/>
    <mergeCell ref="J6540:K6540"/>
    <mergeCell ref="G6542:H6542"/>
    <mergeCell ref="G6543:H6543"/>
    <mergeCell ref="G6544:H6544"/>
    <mergeCell ref="G6545:H6545"/>
    <mergeCell ref="J6547:K6547"/>
    <mergeCell ref="G6549:H6549"/>
    <mergeCell ref="G6550:H6550"/>
    <mergeCell ref="G6551:H6551"/>
    <mergeCell ref="G6552:H6552"/>
    <mergeCell ref="J6554:K6554"/>
    <mergeCell ref="G6556:H6556"/>
    <mergeCell ref="G6557:H6557"/>
    <mergeCell ref="G6558:H6558"/>
    <mergeCell ref="G6559:H6559"/>
    <mergeCell ref="G6560:H6560"/>
    <mergeCell ref="J6562:K6562"/>
    <mergeCell ref="G6564:H6564"/>
    <mergeCell ref="G6565:H6565"/>
    <mergeCell ref="G6566:H6566"/>
    <mergeCell ref="G6567:H6567"/>
    <mergeCell ref="G6568:H6568"/>
    <mergeCell ref="J6570:K6570"/>
    <mergeCell ref="G6572:H6572"/>
    <mergeCell ref="G6573:H6573"/>
    <mergeCell ref="G6574:H6574"/>
    <mergeCell ref="G6575:H6575"/>
    <mergeCell ref="G6576:H6576"/>
    <mergeCell ref="J6578:K6578"/>
    <mergeCell ref="G6580:H6580"/>
    <mergeCell ref="G6581:H6581"/>
    <mergeCell ref="G6582:H6582"/>
    <mergeCell ref="G6583:H6583"/>
    <mergeCell ref="G6584:H6584"/>
    <mergeCell ref="J6586:K6586"/>
    <mergeCell ref="G6588:H6588"/>
    <mergeCell ref="G6589:H6589"/>
    <mergeCell ref="G6590:H6590"/>
    <mergeCell ref="G6591:H6591"/>
    <mergeCell ref="G6592:H6592"/>
    <mergeCell ref="J6594:K6594"/>
    <mergeCell ref="G6596:H6596"/>
    <mergeCell ref="G6597:H6597"/>
    <mergeCell ref="G6598:H6598"/>
    <mergeCell ref="G6599:H6599"/>
    <mergeCell ref="G6600:H6600"/>
    <mergeCell ref="J6602:K6602"/>
    <mergeCell ref="G6604:H6604"/>
    <mergeCell ref="G6605:H6605"/>
    <mergeCell ref="G6606:H6606"/>
    <mergeCell ref="G6607:H6607"/>
    <mergeCell ref="G6608:H6608"/>
    <mergeCell ref="J6610:K6610"/>
    <mergeCell ref="G6612:H6612"/>
    <mergeCell ref="G6613:H6613"/>
    <mergeCell ref="G6614:H6614"/>
    <mergeCell ref="G6615:H6615"/>
    <mergeCell ref="G6616:H6616"/>
    <mergeCell ref="J6618:K6618"/>
    <mergeCell ref="G6620:H6620"/>
    <mergeCell ref="G6621:H6621"/>
    <mergeCell ref="G6622:H6622"/>
    <mergeCell ref="G6623:H6623"/>
    <mergeCell ref="G6624:H6624"/>
    <mergeCell ref="J6626:K6626"/>
    <mergeCell ref="G6628:H6628"/>
    <mergeCell ref="G6629:H6629"/>
    <mergeCell ref="G6630:H6630"/>
    <mergeCell ref="G6631:H6631"/>
    <mergeCell ref="G6632:H6632"/>
    <mergeCell ref="J6634:K6634"/>
    <mergeCell ref="G6636:H6636"/>
    <mergeCell ref="G6637:H6637"/>
    <mergeCell ref="G6638:H6638"/>
    <mergeCell ref="G6639:H6639"/>
    <mergeCell ref="G6640:H6640"/>
    <mergeCell ref="J6642:K6642"/>
    <mergeCell ref="G6644:H6644"/>
    <mergeCell ref="G6645:H6645"/>
    <mergeCell ref="G6646:H6646"/>
    <mergeCell ref="G6647:H6647"/>
    <mergeCell ref="G6648:H6648"/>
    <mergeCell ref="J6650:K6650"/>
    <mergeCell ref="G6652:H6652"/>
    <mergeCell ref="G6653:H6653"/>
    <mergeCell ref="G6654:H6654"/>
    <mergeCell ref="G6655:H6655"/>
    <mergeCell ref="G6656:H6656"/>
    <mergeCell ref="J6658:K6658"/>
    <mergeCell ref="G6660:H6660"/>
    <mergeCell ref="G6661:H6661"/>
    <mergeCell ref="G6662:H6662"/>
    <mergeCell ref="G6663:H6663"/>
    <mergeCell ref="G6664:H6664"/>
    <mergeCell ref="J6666:K6666"/>
    <mergeCell ref="G6668:H6668"/>
    <mergeCell ref="G6669:H6669"/>
    <mergeCell ref="G6670:H6670"/>
    <mergeCell ref="G6671:H6671"/>
    <mergeCell ref="G6672:H6672"/>
    <mergeCell ref="J6674:K6674"/>
    <mergeCell ref="G6676:H6676"/>
    <mergeCell ref="G6677:H6677"/>
    <mergeCell ref="G6678:H6678"/>
    <mergeCell ref="G6679:H6679"/>
    <mergeCell ref="G6680:H6680"/>
    <mergeCell ref="J6682:K6682"/>
    <mergeCell ref="G6684:H6684"/>
    <mergeCell ref="G6685:H6685"/>
    <mergeCell ref="G6686:H6686"/>
    <mergeCell ref="G6687:H6687"/>
    <mergeCell ref="G6688:H6688"/>
    <mergeCell ref="J6690:K6690"/>
    <mergeCell ref="G6692:H6692"/>
    <mergeCell ref="G6693:H6693"/>
    <mergeCell ref="G6694:H6694"/>
    <mergeCell ref="G6695:H6695"/>
    <mergeCell ref="G6696:H6696"/>
    <mergeCell ref="J6698:K6698"/>
    <mergeCell ref="G6700:H6700"/>
    <mergeCell ref="G6701:H6701"/>
    <mergeCell ref="G6702:H6702"/>
    <mergeCell ref="G6703:H6703"/>
    <mergeCell ref="G6704:H6704"/>
    <mergeCell ref="J6706:K6706"/>
    <mergeCell ref="G6708:H6708"/>
    <mergeCell ref="G6709:H6709"/>
    <mergeCell ref="G6710:H6710"/>
    <mergeCell ref="G6711:H6711"/>
    <mergeCell ref="G6712:H6712"/>
    <mergeCell ref="J6714:K6714"/>
    <mergeCell ref="G6716:H6716"/>
    <mergeCell ref="G6717:H6717"/>
    <mergeCell ref="G6718:H6718"/>
    <mergeCell ref="G6719:H6719"/>
    <mergeCell ref="G6720:H6720"/>
    <mergeCell ref="J6722:K6722"/>
    <mergeCell ref="G6724:H6724"/>
    <mergeCell ref="G6725:H6725"/>
    <mergeCell ref="G6726:H6726"/>
    <mergeCell ref="G6727:H6727"/>
    <mergeCell ref="G6728:H6728"/>
    <mergeCell ref="J6730:K6730"/>
    <mergeCell ref="G6732:H6732"/>
    <mergeCell ref="G6733:H6733"/>
    <mergeCell ref="G6734:H6734"/>
    <mergeCell ref="G6735:H6735"/>
    <mergeCell ref="G6736:H6736"/>
    <mergeCell ref="J6738:K6738"/>
    <mergeCell ref="G6740:H6740"/>
    <mergeCell ref="G6741:H6741"/>
    <mergeCell ref="G6742:H6742"/>
    <mergeCell ref="G6743:H6743"/>
    <mergeCell ref="G6744:H6744"/>
    <mergeCell ref="J6746:K6746"/>
    <mergeCell ref="G6748:H6748"/>
    <mergeCell ref="G6749:H6749"/>
    <mergeCell ref="G6750:H6750"/>
    <mergeCell ref="G6751:H6751"/>
    <mergeCell ref="G6752:H6752"/>
    <mergeCell ref="J6754:K6754"/>
    <mergeCell ref="G6756:H6756"/>
    <mergeCell ref="G6757:H6757"/>
    <mergeCell ref="G6758:H6758"/>
    <mergeCell ref="G6759:H6759"/>
    <mergeCell ref="G6760:H6760"/>
    <mergeCell ref="J6762:K6762"/>
    <mergeCell ref="G6764:H6764"/>
    <mergeCell ref="G6765:H6765"/>
    <mergeCell ref="G6766:H6766"/>
    <mergeCell ref="G6767:H6767"/>
    <mergeCell ref="G6768:H6768"/>
    <mergeCell ref="J6770:K6770"/>
    <mergeCell ref="G6772:H6772"/>
    <mergeCell ref="G6773:H6773"/>
    <mergeCell ref="G6774:H6774"/>
    <mergeCell ref="G6775:H6775"/>
    <mergeCell ref="G6776:H6776"/>
    <mergeCell ref="J6778:K6778"/>
    <mergeCell ref="G6780:H6780"/>
    <mergeCell ref="G6781:H6781"/>
    <mergeCell ref="G6782:H6782"/>
    <mergeCell ref="G6783:H6783"/>
    <mergeCell ref="G6784:H6784"/>
    <mergeCell ref="J6786:K6786"/>
    <mergeCell ref="G6788:H6788"/>
    <mergeCell ref="G6789:H6789"/>
    <mergeCell ref="G6790:H6790"/>
    <mergeCell ref="G6791:H6791"/>
    <mergeCell ref="G6792:H6792"/>
    <mergeCell ref="J6794:K6794"/>
    <mergeCell ref="G6796:H6796"/>
    <mergeCell ref="G6797:H6797"/>
    <mergeCell ref="G6798:H6798"/>
    <mergeCell ref="G6799:H6799"/>
    <mergeCell ref="G6800:H6800"/>
    <mergeCell ref="J6802:K6802"/>
    <mergeCell ref="G6804:H6804"/>
    <mergeCell ref="G6805:H6805"/>
    <mergeCell ref="G6806:H6806"/>
    <mergeCell ref="G6807:H6807"/>
    <mergeCell ref="J6809:K6809"/>
    <mergeCell ref="G6811:H6811"/>
    <mergeCell ref="G6812:H6812"/>
    <mergeCell ref="G6813:H6813"/>
    <mergeCell ref="G6814:H6814"/>
    <mergeCell ref="J6816:K6816"/>
    <mergeCell ref="G6818:H6818"/>
    <mergeCell ref="G6819:H6819"/>
    <mergeCell ref="G6820:H6820"/>
    <mergeCell ref="G6821:H6821"/>
    <mergeCell ref="J6823:K6823"/>
    <mergeCell ref="G6825:H6825"/>
    <mergeCell ref="G6826:H6826"/>
    <mergeCell ref="G6827:H6827"/>
    <mergeCell ref="G6828:H6828"/>
    <mergeCell ref="J6830:K6830"/>
    <mergeCell ref="G6832:H6832"/>
    <mergeCell ref="G6833:H6833"/>
    <mergeCell ref="G6834:H6834"/>
    <mergeCell ref="G6835:H6835"/>
    <mergeCell ref="G6836:H6836"/>
    <mergeCell ref="G6837:H6837"/>
    <mergeCell ref="J6839:K6839"/>
    <mergeCell ref="G6841:H6841"/>
    <mergeCell ref="G6842:H6842"/>
    <mergeCell ref="G6843:H6843"/>
    <mergeCell ref="G6844:H6844"/>
    <mergeCell ref="G6845:H6845"/>
    <mergeCell ref="G6846:H6846"/>
    <mergeCell ref="J6848:K6848"/>
    <mergeCell ref="G6850:H6850"/>
    <mergeCell ref="G6851:H6851"/>
    <mergeCell ref="G6852:H6852"/>
    <mergeCell ref="G6853:H6853"/>
    <mergeCell ref="G6854:H6854"/>
    <mergeCell ref="G6855:H6855"/>
    <mergeCell ref="J6857:K6857"/>
    <mergeCell ref="G6859:H6859"/>
    <mergeCell ref="G6860:H6860"/>
    <mergeCell ref="G6861:H6861"/>
    <mergeCell ref="G6862:H6862"/>
    <mergeCell ref="G6863:H6863"/>
    <mergeCell ref="G6864:H6864"/>
    <mergeCell ref="J6866:K6866"/>
    <mergeCell ref="G6868:H6868"/>
    <mergeCell ref="G6869:H6869"/>
    <mergeCell ref="G6870:H6870"/>
    <mergeCell ref="G6871:H6871"/>
    <mergeCell ref="G6872:H6872"/>
    <mergeCell ref="G6873:H6873"/>
    <mergeCell ref="J6875:K6875"/>
    <mergeCell ref="G6877:H6877"/>
    <mergeCell ref="G6878:H6878"/>
    <mergeCell ref="G6879:H6879"/>
    <mergeCell ref="G6880:H6880"/>
    <mergeCell ref="G6881:H6881"/>
    <mergeCell ref="G6882:H6882"/>
    <mergeCell ref="J6884:K6884"/>
    <mergeCell ref="G6886:H6886"/>
    <mergeCell ref="G6887:H6887"/>
    <mergeCell ref="G6888:H6888"/>
    <mergeCell ref="G6889:H6889"/>
    <mergeCell ref="J6891:K6891"/>
    <mergeCell ref="G6893:H6893"/>
    <mergeCell ref="G6894:H6894"/>
    <mergeCell ref="G6895:H6895"/>
    <mergeCell ref="G6896:H6896"/>
    <mergeCell ref="J6898:K6898"/>
    <mergeCell ref="G6900:H6900"/>
    <mergeCell ref="G6901:H6901"/>
    <mergeCell ref="G6902:H6902"/>
    <mergeCell ref="G6903:H6903"/>
    <mergeCell ref="J6905:K6905"/>
    <mergeCell ref="G6907:H6907"/>
    <mergeCell ref="G6908:H6908"/>
    <mergeCell ref="G6909:H6909"/>
    <mergeCell ref="G6910:H6910"/>
    <mergeCell ref="J6912:K6912"/>
    <mergeCell ref="G6914:H6914"/>
    <mergeCell ref="G6915:H6915"/>
    <mergeCell ref="G6916:H6916"/>
    <mergeCell ref="G6917:H6917"/>
    <mergeCell ref="G6918:H6918"/>
    <mergeCell ref="G6919:H6919"/>
    <mergeCell ref="J6921:K6921"/>
    <mergeCell ref="G6923:H6923"/>
    <mergeCell ref="G6924:H6924"/>
    <mergeCell ref="G6925:H6925"/>
    <mergeCell ref="G6926:H6926"/>
    <mergeCell ref="G6927:H6927"/>
    <mergeCell ref="J6929:K6929"/>
    <mergeCell ref="G6931:H6931"/>
    <mergeCell ref="G6932:H6932"/>
    <mergeCell ref="G6933:H6933"/>
    <mergeCell ref="G6934:H6934"/>
    <mergeCell ref="G6935:H6935"/>
    <mergeCell ref="J6937:K6937"/>
    <mergeCell ref="G6939:H6939"/>
    <mergeCell ref="G6940:H6940"/>
    <mergeCell ref="G6941:H6941"/>
    <mergeCell ref="G6942:H6942"/>
    <mergeCell ref="G6943:H6943"/>
    <mergeCell ref="G6944:H6944"/>
    <mergeCell ref="J6946:K6946"/>
    <mergeCell ref="G6948:H6948"/>
    <mergeCell ref="G6949:H6949"/>
    <mergeCell ref="G6950:H6950"/>
    <mergeCell ref="G6951:H6951"/>
    <mergeCell ref="G6952:H6952"/>
    <mergeCell ref="G6953:H6953"/>
    <mergeCell ref="J6955:K6955"/>
    <mergeCell ref="G6957:H6957"/>
    <mergeCell ref="G6958:H6958"/>
    <mergeCell ref="G6959:H6959"/>
    <mergeCell ref="G6960:H6960"/>
    <mergeCell ref="G6961:H6961"/>
    <mergeCell ref="G6962:H6962"/>
    <mergeCell ref="J6964:K6964"/>
    <mergeCell ref="G6966:H6966"/>
    <mergeCell ref="G6967:H6967"/>
    <mergeCell ref="G6968:H6968"/>
    <mergeCell ref="G6969:H6969"/>
    <mergeCell ref="G6970:H6970"/>
    <mergeCell ref="J6972:K6972"/>
    <mergeCell ref="G6974:H6974"/>
    <mergeCell ref="G6975:H6975"/>
    <mergeCell ref="G6976:H6976"/>
    <mergeCell ref="G6977:H6977"/>
    <mergeCell ref="G6978:H6978"/>
    <mergeCell ref="J6980:K6980"/>
    <mergeCell ref="G6982:H6982"/>
    <mergeCell ref="G6983:H6983"/>
    <mergeCell ref="G6984:H6984"/>
    <mergeCell ref="G6985:H6985"/>
    <mergeCell ref="G6986:H6986"/>
    <mergeCell ref="J6988:K6988"/>
    <mergeCell ref="G6990:H6990"/>
    <mergeCell ref="G6991:H6991"/>
    <mergeCell ref="G6992:H6992"/>
    <mergeCell ref="G6993:H6993"/>
    <mergeCell ref="G6994:H6994"/>
    <mergeCell ref="J6996:K6996"/>
    <mergeCell ref="G6998:H6998"/>
    <mergeCell ref="G6999:H6999"/>
    <mergeCell ref="G7000:H7000"/>
    <mergeCell ref="G7001:H7001"/>
    <mergeCell ref="G7002:H7002"/>
    <mergeCell ref="J7004:K7004"/>
    <mergeCell ref="G7006:H7006"/>
    <mergeCell ref="G7007:H7007"/>
    <mergeCell ref="G7008:H7008"/>
    <mergeCell ref="G7009:H7009"/>
    <mergeCell ref="G7010:H7010"/>
    <mergeCell ref="J7012:K7012"/>
    <mergeCell ref="G7014:H7014"/>
    <mergeCell ref="G7015:H7015"/>
    <mergeCell ref="G7016:H7016"/>
    <mergeCell ref="G7017:H7017"/>
    <mergeCell ref="G7018:H7018"/>
    <mergeCell ref="J7020:K7020"/>
    <mergeCell ref="G7022:H7022"/>
    <mergeCell ref="G7023:H7023"/>
    <mergeCell ref="G7024:H7024"/>
    <mergeCell ref="G7025:H7025"/>
    <mergeCell ref="G7026:H7026"/>
    <mergeCell ref="J7028:K7028"/>
    <mergeCell ref="G7030:H7030"/>
    <mergeCell ref="G7031:H7031"/>
    <mergeCell ref="G7032:H7032"/>
    <mergeCell ref="G7033:H7033"/>
    <mergeCell ref="G7034:H7034"/>
    <mergeCell ref="J7036:K7036"/>
    <mergeCell ref="G7038:H7038"/>
    <mergeCell ref="G7039:H7039"/>
    <mergeCell ref="G7040:H7040"/>
    <mergeCell ref="G7041:H7041"/>
    <mergeCell ref="G7042:H7042"/>
    <mergeCell ref="J7044:K7044"/>
    <mergeCell ref="G7046:H7046"/>
    <mergeCell ref="G7047:H7047"/>
    <mergeCell ref="G7048:H7048"/>
    <mergeCell ref="G7049:H7049"/>
    <mergeCell ref="J7051:K7051"/>
    <mergeCell ref="G7053:H7053"/>
    <mergeCell ref="G7054:H7054"/>
    <mergeCell ref="G7055:H7055"/>
    <mergeCell ref="G7056:H7056"/>
    <mergeCell ref="J7058:K7058"/>
    <mergeCell ref="G7060:H7060"/>
    <mergeCell ref="G7061:H7061"/>
    <mergeCell ref="G7062:H7062"/>
    <mergeCell ref="G7063:H7063"/>
    <mergeCell ref="J7065:K7065"/>
    <mergeCell ref="G7067:H7067"/>
    <mergeCell ref="G7068:H7068"/>
    <mergeCell ref="G7069:H7069"/>
    <mergeCell ref="G7070:H7070"/>
    <mergeCell ref="J7072:K7072"/>
    <mergeCell ref="G7074:H7074"/>
    <mergeCell ref="G7075:H7075"/>
    <mergeCell ref="G7076:H7076"/>
    <mergeCell ref="G7077:H7077"/>
    <mergeCell ref="G7078:H7078"/>
    <mergeCell ref="J7080:K7080"/>
    <mergeCell ref="G7082:H7082"/>
    <mergeCell ref="G7083:H7083"/>
    <mergeCell ref="G7084:H7084"/>
    <mergeCell ref="G7085:H7085"/>
    <mergeCell ref="G7086:H7086"/>
    <mergeCell ref="J7088:K7088"/>
    <mergeCell ref="G7090:H7090"/>
    <mergeCell ref="G7091:H7091"/>
    <mergeCell ref="G7092:H7092"/>
    <mergeCell ref="G7093:H7093"/>
    <mergeCell ref="G7094:H7094"/>
    <mergeCell ref="J7096:K7096"/>
    <mergeCell ref="G7098:H7098"/>
    <mergeCell ref="G7099:H7099"/>
    <mergeCell ref="G7100:H7100"/>
    <mergeCell ref="G7101:H7101"/>
    <mergeCell ref="G7102:H7102"/>
    <mergeCell ref="J7104:K7104"/>
    <mergeCell ref="G7106:H7106"/>
    <mergeCell ref="G7107:H7107"/>
    <mergeCell ref="G7108:H7108"/>
    <mergeCell ref="G7109:H7109"/>
    <mergeCell ref="J7111:K7111"/>
    <mergeCell ref="G7113:H7113"/>
    <mergeCell ref="G7114:H7114"/>
    <mergeCell ref="G7115:H7115"/>
    <mergeCell ref="G7116:H7116"/>
    <mergeCell ref="J7118:K7118"/>
    <mergeCell ref="G7120:H7120"/>
    <mergeCell ref="G7121:H7121"/>
    <mergeCell ref="G7122:H7122"/>
    <mergeCell ref="G7123:H7123"/>
    <mergeCell ref="J7125:K7125"/>
    <mergeCell ref="G7127:H7127"/>
    <mergeCell ref="G7128:H7128"/>
    <mergeCell ref="G7129:H7129"/>
    <mergeCell ref="G7130:H7130"/>
    <mergeCell ref="J7132:K7132"/>
    <mergeCell ref="G7134:H7134"/>
    <mergeCell ref="G7135:H7135"/>
    <mergeCell ref="G7136:H7136"/>
    <mergeCell ref="G7137:H7137"/>
    <mergeCell ref="J7139:K7139"/>
    <mergeCell ref="G7141:H7141"/>
    <mergeCell ref="G7142:H7142"/>
    <mergeCell ref="G7143:H7143"/>
    <mergeCell ref="G7144:H7144"/>
    <mergeCell ref="J7146:K7146"/>
    <mergeCell ref="G7148:H7148"/>
    <mergeCell ref="G7149:H7149"/>
    <mergeCell ref="G7150:H7150"/>
    <mergeCell ref="G7151:H7151"/>
    <mergeCell ref="J7153:K7153"/>
    <mergeCell ref="G7155:H7155"/>
    <mergeCell ref="G7156:H7156"/>
    <mergeCell ref="G7157:H7157"/>
    <mergeCell ref="G7158:H7158"/>
    <mergeCell ref="G7159:H7159"/>
    <mergeCell ref="J7161:K7161"/>
    <mergeCell ref="G7163:H7163"/>
    <mergeCell ref="G7164:H7164"/>
    <mergeCell ref="G7165:H7165"/>
    <mergeCell ref="G7166:H7166"/>
    <mergeCell ref="G7167:H7167"/>
    <mergeCell ref="G7168:H7168"/>
    <mergeCell ref="J7170:K7170"/>
    <mergeCell ref="G7172:H7172"/>
    <mergeCell ref="G7173:H7173"/>
    <mergeCell ref="G7174:H7174"/>
    <mergeCell ref="G7175:H7175"/>
    <mergeCell ref="G7176:H7176"/>
    <mergeCell ref="G7177:H7177"/>
    <mergeCell ref="J7179:K7179"/>
    <mergeCell ref="G7181:H7181"/>
    <mergeCell ref="G7182:H7182"/>
    <mergeCell ref="G7183:H7183"/>
    <mergeCell ref="G7184:H7184"/>
    <mergeCell ref="G7185:H7185"/>
    <mergeCell ref="G7186:H7186"/>
    <mergeCell ref="J7188:K7188"/>
    <mergeCell ref="G7190:H7190"/>
    <mergeCell ref="G7191:H7191"/>
    <mergeCell ref="G7192:H7192"/>
    <mergeCell ref="G7193:H7193"/>
    <mergeCell ref="J7195:K7195"/>
    <mergeCell ref="G7197:H7197"/>
    <mergeCell ref="G7198:H7198"/>
    <mergeCell ref="G7199:H7199"/>
    <mergeCell ref="G7200:H7200"/>
    <mergeCell ref="J7202:K7202"/>
    <mergeCell ref="G7204:H7204"/>
    <mergeCell ref="G7205:H7205"/>
    <mergeCell ref="G7206:H7206"/>
    <mergeCell ref="G7207:H7207"/>
    <mergeCell ref="G7208:H7208"/>
    <mergeCell ref="G7209:H7209"/>
    <mergeCell ref="J7211:K7211"/>
    <mergeCell ref="G7213:H7213"/>
    <mergeCell ref="G7214:H7214"/>
    <mergeCell ref="G7215:H7215"/>
    <mergeCell ref="G7216:H7216"/>
    <mergeCell ref="G7217:H7217"/>
    <mergeCell ref="G7218:H7218"/>
    <mergeCell ref="J7220:K7220"/>
    <mergeCell ref="G7222:H7222"/>
    <mergeCell ref="G7223:H7223"/>
    <mergeCell ref="G7224:H7224"/>
    <mergeCell ref="G7225:H7225"/>
    <mergeCell ref="G7226:H7226"/>
    <mergeCell ref="J7228:K7228"/>
    <mergeCell ref="G7230:H7230"/>
    <mergeCell ref="G7231:H7231"/>
    <mergeCell ref="G7232:H7232"/>
    <mergeCell ref="G7233:H7233"/>
    <mergeCell ref="G7234:H7234"/>
    <mergeCell ref="J7236:K7236"/>
    <mergeCell ref="G7238:H7238"/>
    <mergeCell ref="G7239:H7239"/>
    <mergeCell ref="G7240:H7240"/>
    <mergeCell ref="G7241:H7241"/>
    <mergeCell ref="G7242:H7242"/>
    <mergeCell ref="G7243:H7243"/>
    <mergeCell ref="G7244:H7244"/>
    <mergeCell ref="G7245:H7245"/>
    <mergeCell ref="J7247:K7247"/>
    <mergeCell ref="G7249:H7249"/>
    <mergeCell ref="G7250:H7250"/>
    <mergeCell ref="G7251:H7251"/>
    <mergeCell ref="G7252:H7252"/>
    <mergeCell ref="G7253:H7253"/>
    <mergeCell ref="G7254:H7254"/>
    <mergeCell ref="G7255:H7255"/>
    <mergeCell ref="G7256:H7256"/>
    <mergeCell ref="J7258:K7258"/>
    <mergeCell ref="G7260:H7260"/>
    <mergeCell ref="G7261:H7261"/>
    <mergeCell ref="G7262:H7262"/>
    <mergeCell ref="G7263:H7263"/>
    <mergeCell ref="G7264:H7264"/>
    <mergeCell ref="G7265:H7265"/>
    <mergeCell ref="J7267:K7267"/>
    <mergeCell ref="G7269:H7269"/>
    <mergeCell ref="G7270:H7270"/>
    <mergeCell ref="G7271:H7271"/>
    <mergeCell ref="G7272:H7272"/>
    <mergeCell ref="G7273:H7273"/>
    <mergeCell ref="G7274:H7274"/>
    <mergeCell ref="J7276:K7276"/>
    <mergeCell ref="G7278:H7278"/>
    <mergeCell ref="G7279:H7279"/>
    <mergeCell ref="G7280:H7280"/>
    <mergeCell ref="G7281:H7281"/>
    <mergeCell ref="G7282:H7282"/>
    <mergeCell ref="G7283:H7283"/>
    <mergeCell ref="J7285:K7285"/>
    <mergeCell ref="G7287:H7287"/>
    <mergeCell ref="G7288:H7288"/>
    <mergeCell ref="G7289:H7289"/>
    <mergeCell ref="G7290:H7290"/>
    <mergeCell ref="G7291:H7291"/>
    <mergeCell ref="G7292:H7292"/>
    <mergeCell ref="J7294:K7294"/>
    <mergeCell ref="G7296:H7296"/>
    <mergeCell ref="G7297:H7297"/>
    <mergeCell ref="G7298:H7298"/>
    <mergeCell ref="G7299:H7299"/>
    <mergeCell ref="G7300:H7300"/>
    <mergeCell ref="J7302:K7302"/>
    <mergeCell ref="G7304:H7304"/>
    <mergeCell ref="G7305:H7305"/>
    <mergeCell ref="G7306:H7306"/>
    <mergeCell ref="G7307:H7307"/>
    <mergeCell ref="G7308:H7308"/>
    <mergeCell ref="J7310:K7310"/>
    <mergeCell ref="G7312:H7312"/>
    <mergeCell ref="G7313:H7313"/>
    <mergeCell ref="G7314:H7314"/>
    <mergeCell ref="G7315:H7315"/>
    <mergeCell ref="J7317:K7317"/>
    <mergeCell ref="G7319:H7319"/>
    <mergeCell ref="G7320:H7320"/>
    <mergeCell ref="G7321:H7321"/>
    <mergeCell ref="J7323:K7323"/>
    <mergeCell ref="G7325:H7325"/>
    <mergeCell ref="G7326:H7326"/>
    <mergeCell ref="G7327:H7327"/>
    <mergeCell ref="G7328:H7328"/>
    <mergeCell ref="G7329:H7329"/>
    <mergeCell ref="J7331:K7331"/>
    <mergeCell ref="G7333:H7333"/>
    <mergeCell ref="G7334:H7334"/>
    <mergeCell ref="G7335:H7335"/>
    <mergeCell ref="G7336:H7336"/>
    <mergeCell ref="G7337:H7337"/>
    <mergeCell ref="J7339:K7339"/>
    <mergeCell ref="G7341:H7341"/>
    <mergeCell ref="G7342:H7342"/>
    <mergeCell ref="G7343:H7343"/>
    <mergeCell ref="G7344:H7344"/>
    <mergeCell ref="G7345:H7345"/>
    <mergeCell ref="J7347:K7347"/>
    <mergeCell ref="G7349:H7349"/>
    <mergeCell ref="G7350:H7350"/>
    <mergeCell ref="G7351:H7351"/>
    <mergeCell ref="G7352:H7352"/>
    <mergeCell ref="G7353:H7353"/>
    <mergeCell ref="J7355:K7355"/>
    <mergeCell ref="G7357:H7357"/>
    <mergeCell ref="G7358:H7358"/>
    <mergeCell ref="G7359:H7359"/>
    <mergeCell ref="G7360:H7360"/>
    <mergeCell ref="G7361:H7361"/>
    <mergeCell ref="J7363:K7363"/>
    <mergeCell ref="G7365:H7365"/>
    <mergeCell ref="G7366:H7366"/>
    <mergeCell ref="G7367:H7367"/>
    <mergeCell ref="G7368:H7368"/>
    <mergeCell ref="G7369:H7369"/>
    <mergeCell ref="G7370:H7370"/>
    <mergeCell ref="J7372:K7372"/>
    <mergeCell ref="G7374:H7374"/>
    <mergeCell ref="G7375:H7375"/>
    <mergeCell ref="G7376:H7376"/>
    <mergeCell ref="G7377:H7377"/>
    <mergeCell ref="G7378:H7378"/>
    <mergeCell ref="G7379:H7379"/>
    <mergeCell ref="J7381:K7381"/>
    <mergeCell ref="G7383:H7383"/>
    <mergeCell ref="G7384:H7384"/>
    <mergeCell ref="G7385:H7385"/>
    <mergeCell ref="G7386:H7386"/>
    <mergeCell ref="G7387:H7387"/>
    <mergeCell ref="G7388:H7388"/>
    <mergeCell ref="J7390:K7390"/>
    <mergeCell ref="G7392:H7392"/>
    <mergeCell ref="G7393:H7393"/>
    <mergeCell ref="G7394:H7394"/>
    <mergeCell ref="G7395:H7395"/>
    <mergeCell ref="G7396:H7396"/>
    <mergeCell ref="G7397:H7397"/>
    <mergeCell ref="J7399:K7399"/>
    <mergeCell ref="G7401:H7401"/>
    <mergeCell ref="G7402:H7402"/>
    <mergeCell ref="G7403:H7403"/>
    <mergeCell ref="G7404:H7404"/>
    <mergeCell ref="G7405:H7405"/>
    <mergeCell ref="G7406:H7406"/>
    <mergeCell ref="G7407:H7407"/>
    <mergeCell ref="G7408:H7408"/>
    <mergeCell ref="J7410:K7410"/>
    <mergeCell ref="G7412:H7412"/>
    <mergeCell ref="G7413:H7413"/>
    <mergeCell ref="G7414:H7414"/>
    <mergeCell ref="G7415:H7415"/>
    <mergeCell ref="G7416:H7416"/>
    <mergeCell ref="G7417:H7417"/>
    <mergeCell ref="J7419:K7419"/>
    <mergeCell ref="G7421:H7421"/>
    <mergeCell ref="G7422:H7422"/>
    <mergeCell ref="G7423:H7423"/>
    <mergeCell ref="G7424:H7424"/>
    <mergeCell ref="G7425:H7425"/>
    <mergeCell ref="G7426:H7426"/>
    <mergeCell ref="J7428:K7428"/>
    <mergeCell ref="G7430:H7430"/>
    <mergeCell ref="G7431:H7431"/>
    <mergeCell ref="G7432:H7432"/>
    <mergeCell ref="G7433:H7433"/>
    <mergeCell ref="G7434:H7434"/>
    <mergeCell ref="G7435:H7435"/>
    <mergeCell ref="J7437:K7437"/>
    <mergeCell ref="G7439:H7439"/>
    <mergeCell ref="G7440:H7440"/>
    <mergeCell ref="G7441:H7441"/>
    <mergeCell ref="G7442:H7442"/>
    <mergeCell ref="G7443:H7443"/>
    <mergeCell ref="J7445:K7445"/>
    <mergeCell ref="G7447:H7447"/>
    <mergeCell ref="G7448:H7448"/>
    <mergeCell ref="G7449:H7449"/>
    <mergeCell ref="G7450:H7450"/>
    <mergeCell ref="G7451:H7451"/>
    <mergeCell ref="G7452:H7452"/>
    <mergeCell ref="J7454:K7454"/>
    <mergeCell ref="G7456:H7456"/>
    <mergeCell ref="G7457:H7457"/>
    <mergeCell ref="G7458:H7458"/>
    <mergeCell ref="G7459:H7459"/>
    <mergeCell ref="G7460:H7460"/>
    <mergeCell ref="G7461:H7461"/>
    <mergeCell ref="J7463:K7463"/>
    <mergeCell ref="G7465:H7465"/>
    <mergeCell ref="G7466:H7466"/>
    <mergeCell ref="G7467:H7467"/>
    <mergeCell ref="G7468:H7468"/>
    <mergeCell ref="G7469:H7469"/>
    <mergeCell ref="G7470:H7470"/>
    <mergeCell ref="J7472:K7472"/>
    <mergeCell ref="G7474:H7474"/>
    <mergeCell ref="G7475:H7475"/>
    <mergeCell ref="G7476:H7476"/>
    <mergeCell ref="G7477:H7477"/>
    <mergeCell ref="G7478:H7478"/>
    <mergeCell ref="G7479:H7479"/>
    <mergeCell ref="J7481:K7481"/>
    <mergeCell ref="G7483:H7483"/>
    <mergeCell ref="G7484:H7484"/>
    <mergeCell ref="G7485:H7485"/>
    <mergeCell ref="G7486:H7486"/>
    <mergeCell ref="G7487:H7487"/>
    <mergeCell ref="G7488:H7488"/>
    <mergeCell ref="J7490:K7490"/>
    <mergeCell ref="G7492:H7492"/>
    <mergeCell ref="G7493:H7493"/>
    <mergeCell ref="G7494:H7494"/>
    <mergeCell ref="G7495:H7495"/>
    <mergeCell ref="G7496:H7496"/>
    <mergeCell ref="G7497:H7497"/>
    <mergeCell ref="J7499:K7499"/>
    <mergeCell ref="G7501:H7501"/>
    <mergeCell ref="G7502:H7502"/>
    <mergeCell ref="G7503:H7503"/>
    <mergeCell ref="G7504:H7504"/>
    <mergeCell ref="G7505:H7505"/>
    <mergeCell ref="G7506:H7506"/>
    <mergeCell ref="J7508:K7508"/>
    <mergeCell ref="G7510:H7510"/>
    <mergeCell ref="G7511:H7511"/>
    <mergeCell ref="G7512:H7512"/>
    <mergeCell ref="G7513:H7513"/>
    <mergeCell ref="G7514:H7514"/>
    <mergeCell ref="G7515:H7515"/>
    <mergeCell ref="J7517:K7517"/>
    <mergeCell ref="G7519:H7519"/>
    <mergeCell ref="G7520:H7520"/>
    <mergeCell ref="G7521:H7521"/>
    <mergeCell ref="G7522:H7522"/>
    <mergeCell ref="G7523:H7523"/>
    <mergeCell ref="G7524:H7524"/>
    <mergeCell ref="J7526:K7526"/>
    <mergeCell ref="G7528:H7528"/>
    <mergeCell ref="G7529:H7529"/>
    <mergeCell ref="G7530:H7530"/>
    <mergeCell ref="G7531:H7531"/>
    <mergeCell ref="G7532:H7532"/>
    <mergeCell ref="J7534:K7534"/>
    <mergeCell ref="G7536:H7536"/>
    <mergeCell ref="G7537:H7537"/>
    <mergeCell ref="G7538:H7538"/>
    <mergeCell ref="G7539:H7539"/>
    <mergeCell ref="G7540:H7540"/>
    <mergeCell ref="J7542:K7542"/>
    <mergeCell ref="G7544:H7544"/>
    <mergeCell ref="G7545:H7545"/>
    <mergeCell ref="G7546:H7546"/>
    <mergeCell ref="G7547:H7547"/>
    <mergeCell ref="G7548:H7548"/>
    <mergeCell ref="J7550:K7550"/>
    <mergeCell ref="G7552:H7552"/>
    <mergeCell ref="G7553:H7553"/>
    <mergeCell ref="G7554:H7554"/>
    <mergeCell ref="G7555:H7555"/>
    <mergeCell ref="G7556:H7556"/>
    <mergeCell ref="J7558:K7558"/>
    <mergeCell ref="G7560:H7560"/>
    <mergeCell ref="G7561:H7561"/>
    <mergeCell ref="G7562:H7562"/>
    <mergeCell ref="G7563:H7563"/>
    <mergeCell ref="G7564:H7564"/>
    <mergeCell ref="J7566:K7566"/>
    <mergeCell ref="G7568:H7568"/>
    <mergeCell ref="G7569:H7569"/>
    <mergeCell ref="G7570:H7570"/>
    <mergeCell ref="G7571:H7571"/>
    <mergeCell ref="G7572:H7572"/>
    <mergeCell ref="J7574:K7574"/>
    <mergeCell ref="G7576:H7576"/>
    <mergeCell ref="G7577:H7577"/>
    <mergeCell ref="G7578:H7578"/>
    <mergeCell ref="G7579:H7579"/>
    <mergeCell ref="G7580:H7580"/>
    <mergeCell ref="J7582:K7582"/>
    <mergeCell ref="G7584:H7584"/>
    <mergeCell ref="G7585:H7585"/>
    <mergeCell ref="G7586:H7586"/>
    <mergeCell ref="G7587:H7587"/>
    <mergeCell ref="G7588:H7588"/>
    <mergeCell ref="J7590:K7590"/>
    <mergeCell ref="G7592:H7592"/>
    <mergeCell ref="G7593:H7593"/>
    <mergeCell ref="G7594:H7594"/>
    <mergeCell ref="G7595:H7595"/>
    <mergeCell ref="G7596:H7596"/>
    <mergeCell ref="J7598:K7598"/>
    <mergeCell ref="G7600:H7600"/>
    <mergeCell ref="G7601:H7601"/>
    <mergeCell ref="G7602:H7602"/>
    <mergeCell ref="G7603:H7603"/>
    <mergeCell ref="G7604:H7604"/>
    <mergeCell ref="J7606:K7606"/>
    <mergeCell ref="G7608:H7608"/>
    <mergeCell ref="G7609:H7609"/>
    <mergeCell ref="G7610:H7610"/>
    <mergeCell ref="G7611:H7611"/>
    <mergeCell ref="G7612:H7612"/>
    <mergeCell ref="G7613:H7613"/>
    <mergeCell ref="J7615:K7615"/>
    <mergeCell ref="G7617:H7617"/>
    <mergeCell ref="G7618:H7618"/>
    <mergeCell ref="G7619:H7619"/>
    <mergeCell ref="G7620:H7620"/>
    <mergeCell ref="G7621:H7621"/>
    <mergeCell ref="G7622:H7622"/>
    <mergeCell ref="J7624:K7624"/>
    <mergeCell ref="G7626:H7626"/>
    <mergeCell ref="G7627:H7627"/>
    <mergeCell ref="G7628:H7628"/>
    <mergeCell ref="G7629:H7629"/>
    <mergeCell ref="G7630:H7630"/>
    <mergeCell ref="G7631:H7631"/>
    <mergeCell ref="J7633:K7633"/>
    <mergeCell ref="G7635:H7635"/>
    <mergeCell ref="G7636:H7636"/>
    <mergeCell ref="G7637:H7637"/>
    <mergeCell ref="G7638:H7638"/>
    <mergeCell ref="G7639:H7639"/>
    <mergeCell ref="J7641:K7641"/>
    <mergeCell ref="G7643:H7643"/>
    <mergeCell ref="G7644:H7644"/>
    <mergeCell ref="G7645:H7645"/>
    <mergeCell ref="J7647:K7647"/>
    <mergeCell ref="G7649:H7649"/>
    <mergeCell ref="G7650:H7650"/>
    <mergeCell ref="G7651:H7651"/>
    <mergeCell ref="J7653:K7653"/>
    <mergeCell ref="G7655:H7655"/>
    <mergeCell ref="G7656:H7656"/>
    <mergeCell ref="G7657:H7657"/>
    <mergeCell ref="G7658:H7658"/>
    <mergeCell ref="G7659:H7659"/>
    <mergeCell ref="G7660:H7660"/>
    <mergeCell ref="J7662:K7662"/>
    <mergeCell ref="G7664:H7664"/>
    <mergeCell ref="G7665:H7665"/>
    <mergeCell ref="G7666:H7666"/>
    <mergeCell ref="G7667:H7667"/>
    <mergeCell ref="G7668:H7668"/>
    <mergeCell ref="J7670:K7670"/>
    <mergeCell ref="G7672:H7672"/>
    <mergeCell ref="G7673:H7673"/>
    <mergeCell ref="G7674:H7674"/>
    <mergeCell ref="G7675:H7675"/>
    <mergeCell ref="J7677:K7677"/>
    <mergeCell ref="G7679:H7679"/>
    <mergeCell ref="G7680:H7680"/>
    <mergeCell ref="G7681:H7681"/>
    <mergeCell ref="G7682:H7682"/>
    <mergeCell ref="G7683:H7683"/>
    <mergeCell ref="G7684:H7684"/>
    <mergeCell ref="G7685:H7685"/>
    <mergeCell ref="J7687:K7687"/>
    <mergeCell ref="G7689:H7689"/>
    <mergeCell ref="G7690:H7690"/>
    <mergeCell ref="G7691:H7691"/>
    <mergeCell ref="G7692:H7692"/>
    <mergeCell ref="G7693:H7693"/>
    <mergeCell ref="G7694:H7694"/>
    <mergeCell ref="G7695:H7695"/>
    <mergeCell ref="G7696:H7696"/>
    <mergeCell ref="G7697:H7697"/>
    <mergeCell ref="G7698:H7698"/>
    <mergeCell ref="G7699:H7699"/>
    <mergeCell ref="G7700:H7700"/>
    <mergeCell ref="G7701:H7701"/>
    <mergeCell ref="J7703:K7703"/>
    <mergeCell ref="G7705:H7705"/>
    <mergeCell ref="G7706:H7706"/>
    <mergeCell ref="G7707:H7707"/>
    <mergeCell ref="G7708:H7708"/>
    <mergeCell ref="G7709:H7709"/>
    <mergeCell ref="G7710:H7710"/>
    <mergeCell ref="G7711:H7711"/>
    <mergeCell ref="G7712:H7712"/>
    <mergeCell ref="G7713:H7713"/>
    <mergeCell ref="G7714:H7714"/>
    <mergeCell ref="J7716:K7716"/>
    <mergeCell ref="G7718:H7718"/>
    <mergeCell ref="G7719:H7719"/>
    <mergeCell ref="G7720:H7720"/>
    <mergeCell ref="G7721:H7721"/>
    <mergeCell ref="G7722:H7722"/>
    <mergeCell ref="J7724:K7724"/>
    <mergeCell ref="G7726:H7726"/>
    <mergeCell ref="G7727:H7727"/>
    <mergeCell ref="G7728:H7728"/>
    <mergeCell ref="G7729:H7729"/>
    <mergeCell ref="G7730:H7730"/>
    <mergeCell ref="G7731:H7731"/>
    <mergeCell ref="J7733:K7733"/>
    <mergeCell ref="G7735:H7735"/>
    <mergeCell ref="G7736:H7736"/>
    <mergeCell ref="G7737:H7737"/>
    <mergeCell ref="G7738:H7738"/>
    <mergeCell ref="G7739:H7739"/>
    <mergeCell ref="G7740:H7740"/>
    <mergeCell ref="J7742:K7742"/>
    <mergeCell ref="G7744:H7744"/>
    <mergeCell ref="G7745:H7745"/>
    <mergeCell ref="G7746:H7746"/>
    <mergeCell ref="G7747:H7747"/>
    <mergeCell ref="G7748:H7748"/>
    <mergeCell ref="G7749:H7749"/>
    <mergeCell ref="G7750:H7750"/>
    <mergeCell ref="J7752:K7752"/>
    <mergeCell ref="G7754:H7754"/>
    <mergeCell ref="G7755:H7755"/>
    <mergeCell ref="G7756:H7756"/>
    <mergeCell ref="G7757:H7757"/>
    <mergeCell ref="G7758:H7758"/>
    <mergeCell ref="G7759:H7759"/>
    <mergeCell ref="G7760:H7760"/>
    <mergeCell ref="J7762:K7762"/>
    <mergeCell ref="G7764:H7764"/>
    <mergeCell ref="G7765:H7765"/>
    <mergeCell ref="G7766:H7766"/>
    <mergeCell ref="G7767:H7767"/>
    <mergeCell ref="G7768:H7768"/>
    <mergeCell ref="G7769:H7769"/>
    <mergeCell ref="G7770:H7770"/>
    <mergeCell ref="J7772:K7772"/>
    <mergeCell ref="G7774:H7774"/>
    <mergeCell ref="G7775:H7775"/>
    <mergeCell ref="G7776:H7776"/>
    <mergeCell ref="G7777:H7777"/>
    <mergeCell ref="G7778:H7778"/>
    <mergeCell ref="G7779:H7779"/>
    <mergeCell ref="G7780:H7780"/>
    <mergeCell ref="J7782:K7782"/>
    <mergeCell ref="G7784:H7784"/>
    <mergeCell ref="G7785:H7785"/>
    <mergeCell ref="G7786:H7786"/>
    <mergeCell ref="G7787:H7787"/>
    <mergeCell ref="G7788:H7788"/>
    <mergeCell ref="G7789:H7789"/>
    <mergeCell ref="G7790:H7790"/>
    <mergeCell ref="J7792:K7792"/>
    <mergeCell ref="G7794:H7794"/>
    <mergeCell ref="G7795:H7795"/>
    <mergeCell ref="G7796:H7796"/>
    <mergeCell ref="G7797:H7797"/>
    <mergeCell ref="G7798:H7798"/>
    <mergeCell ref="G7799:H7799"/>
    <mergeCell ref="G7800:H7800"/>
    <mergeCell ref="J7802:K7802"/>
    <mergeCell ref="G7804:H7804"/>
    <mergeCell ref="G7805:H7805"/>
    <mergeCell ref="G7806:H7806"/>
    <mergeCell ref="G7807:H7807"/>
    <mergeCell ref="G7808:H7808"/>
    <mergeCell ref="G7809:H7809"/>
    <mergeCell ref="J7811:K7811"/>
    <mergeCell ref="G7813:H7813"/>
    <mergeCell ref="G7814:H7814"/>
    <mergeCell ref="G7815:H7815"/>
    <mergeCell ref="G7816:H7816"/>
    <mergeCell ref="G7817:H7817"/>
    <mergeCell ref="J7819:K7819"/>
    <mergeCell ref="G7821:H7821"/>
    <mergeCell ref="G7822:H7822"/>
    <mergeCell ref="G7823:H7823"/>
    <mergeCell ref="G7824:H7824"/>
    <mergeCell ref="G7825:H7825"/>
    <mergeCell ref="G7826:H7826"/>
    <mergeCell ref="G7827:H7827"/>
    <mergeCell ref="G7828:H7828"/>
    <mergeCell ref="G7829:H7829"/>
    <mergeCell ref="G7830:H7830"/>
    <mergeCell ref="G7831:H7831"/>
    <mergeCell ref="J7833:K7833"/>
    <mergeCell ref="G7835:H7835"/>
    <mergeCell ref="G7836:H7836"/>
    <mergeCell ref="G7837:H7837"/>
    <mergeCell ref="G7838:H7838"/>
    <mergeCell ref="G7839:H7839"/>
    <mergeCell ref="G7840:H7840"/>
    <mergeCell ref="G7841:H7841"/>
    <mergeCell ref="G7842:H7842"/>
    <mergeCell ref="G7843:H7843"/>
    <mergeCell ref="G7844:H7844"/>
    <mergeCell ref="J7846:K7846"/>
    <mergeCell ref="G7848:H7848"/>
    <mergeCell ref="G7849:H7849"/>
    <mergeCell ref="G7850:H7850"/>
    <mergeCell ref="G7851:H7851"/>
    <mergeCell ref="G7852:H7852"/>
    <mergeCell ref="G7853:H7853"/>
    <mergeCell ref="G7854:H7854"/>
    <mergeCell ref="G7855:H7855"/>
    <mergeCell ref="G7856:H7856"/>
    <mergeCell ref="G7857:H7857"/>
    <mergeCell ref="G7858:H7858"/>
    <mergeCell ref="J7860:K7860"/>
    <mergeCell ref="G7862:H7862"/>
    <mergeCell ref="G7863:H7863"/>
    <mergeCell ref="G7864:H7864"/>
    <mergeCell ref="G7865:H7865"/>
    <mergeCell ref="G7866:H7866"/>
    <mergeCell ref="J7868:K7868"/>
    <mergeCell ref="G7870:H7870"/>
    <mergeCell ref="G7871:H7871"/>
    <mergeCell ref="G7872:H7872"/>
    <mergeCell ref="G7873:H7873"/>
    <mergeCell ref="G7874:H7874"/>
    <mergeCell ref="J7876:K7876"/>
    <mergeCell ref="G7878:H7878"/>
    <mergeCell ref="G7879:H7879"/>
    <mergeCell ref="G7880:H7880"/>
    <mergeCell ref="G7881:H7881"/>
    <mergeCell ref="G7882:H7882"/>
    <mergeCell ref="J7884:K7884"/>
    <mergeCell ref="G7886:H7886"/>
    <mergeCell ref="G7887:H7887"/>
    <mergeCell ref="G7888:H7888"/>
    <mergeCell ref="G7889:H7889"/>
    <mergeCell ref="G7890:H7890"/>
    <mergeCell ref="G7891:H7891"/>
    <mergeCell ref="J7893:K7893"/>
    <mergeCell ref="G7895:H7895"/>
    <mergeCell ref="G7896:H7896"/>
    <mergeCell ref="G7897:H7897"/>
    <mergeCell ref="G7898:H7898"/>
    <mergeCell ref="G7899:H7899"/>
    <mergeCell ref="J7901:K7901"/>
    <mergeCell ref="G7903:H7903"/>
    <mergeCell ref="G7904:H7904"/>
    <mergeCell ref="G7905:H7905"/>
    <mergeCell ref="G7906:H7906"/>
    <mergeCell ref="G7907:H7907"/>
    <mergeCell ref="J7909:K7909"/>
    <mergeCell ref="G7911:H7911"/>
    <mergeCell ref="G7912:H7912"/>
    <mergeCell ref="G7913:H7913"/>
    <mergeCell ref="G7914:H7914"/>
    <mergeCell ref="G7915:H7915"/>
    <mergeCell ref="G7916:H7916"/>
    <mergeCell ref="J7918:K7918"/>
    <mergeCell ref="G7920:H7920"/>
    <mergeCell ref="G7921:H7921"/>
    <mergeCell ref="G7922:H7922"/>
    <mergeCell ref="G7923:H7923"/>
    <mergeCell ref="G7924:H7924"/>
    <mergeCell ref="J7926:K7926"/>
    <mergeCell ref="G7928:H7928"/>
    <mergeCell ref="G7929:H7929"/>
    <mergeCell ref="G7930:H7930"/>
    <mergeCell ref="G7931:H7931"/>
    <mergeCell ref="G7932:H7932"/>
    <mergeCell ref="J7934:K7934"/>
    <mergeCell ref="G7936:H7936"/>
    <mergeCell ref="G7937:H7937"/>
    <mergeCell ref="G7938:H7938"/>
    <mergeCell ref="G7939:H7939"/>
    <mergeCell ref="G7940:H7940"/>
    <mergeCell ref="J7942:K7942"/>
    <mergeCell ref="G7944:H7944"/>
    <mergeCell ref="G7945:H7945"/>
    <mergeCell ref="G7946:H7946"/>
    <mergeCell ref="G7947:H7947"/>
    <mergeCell ref="G7948:H7948"/>
    <mergeCell ref="J7950:K7950"/>
    <mergeCell ref="G7952:H7952"/>
    <mergeCell ref="G7953:H7953"/>
    <mergeCell ref="G7954:H7954"/>
    <mergeCell ref="G7955:H7955"/>
    <mergeCell ref="G7956:H7956"/>
    <mergeCell ref="G7957:H7957"/>
    <mergeCell ref="J7959:K7959"/>
    <mergeCell ref="G7961:H7961"/>
    <mergeCell ref="G7962:H7962"/>
    <mergeCell ref="G7963:H7963"/>
    <mergeCell ref="G7964:H7964"/>
    <mergeCell ref="G7965:H7965"/>
    <mergeCell ref="J7967:K7967"/>
    <mergeCell ref="G7969:H7969"/>
    <mergeCell ref="G7970:H7970"/>
    <mergeCell ref="G7971:H7971"/>
    <mergeCell ref="G7972:H7972"/>
    <mergeCell ref="G7973:H7973"/>
    <mergeCell ref="G7974:H7974"/>
    <mergeCell ref="G7975:H7975"/>
    <mergeCell ref="G7976:H7976"/>
    <mergeCell ref="J7978:K7978"/>
    <mergeCell ref="G7980:H7980"/>
    <mergeCell ref="G7981:H7981"/>
    <mergeCell ref="G7982:H7982"/>
    <mergeCell ref="J7984:K7984"/>
    <mergeCell ref="G7986:H7986"/>
    <mergeCell ref="G7987:H7987"/>
    <mergeCell ref="G7988:H7988"/>
    <mergeCell ref="J7990:K7990"/>
    <mergeCell ref="G7992:H7992"/>
    <mergeCell ref="G7993:H7993"/>
    <mergeCell ref="G7994:H7994"/>
    <mergeCell ref="G7995:H7995"/>
    <mergeCell ref="G7996:H7996"/>
    <mergeCell ref="G7997:H7997"/>
    <mergeCell ref="G7998:H7998"/>
    <mergeCell ref="G7999:H7999"/>
    <mergeCell ref="G8000:H8000"/>
    <mergeCell ref="G8001:H8001"/>
    <mergeCell ref="J8003:K8003"/>
    <mergeCell ref="G8005:H8005"/>
    <mergeCell ref="G8006:H8006"/>
    <mergeCell ref="G8007:H8007"/>
    <mergeCell ref="G8008:H8008"/>
    <mergeCell ref="G8009:H8009"/>
    <mergeCell ref="J8011:K8011"/>
    <mergeCell ref="G8013:H8013"/>
    <mergeCell ref="G8014:H8014"/>
    <mergeCell ref="G8015:H8015"/>
    <mergeCell ref="G8016:H8016"/>
    <mergeCell ref="G8017:H8017"/>
    <mergeCell ref="G8018:H8018"/>
    <mergeCell ref="G8019:H8019"/>
    <mergeCell ref="G8020:H8020"/>
    <mergeCell ref="G8021:H8021"/>
    <mergeCell ref="J8023:K8023"/>
    <mergeCell ref="G8025:H8025"/>
    <mergeCell ref="G8026:H8026"/>
    <mergeCell ref="G8027:H8027"/>
    <mergeCell ref="G8028:H8028"/>
    <mergeCell ref="J8030:K8030"/>
    <mergeCell ref="G8032:H8032"/>
    <mergeCell ref="G8033:H8033"/>
    <mergeCell ref="G8034:H8034"/>
    <mergeCell ref="G8035:H8035"/>
    <mergeCell ref="G8036:H8036"/>
    <mergeCell ref="G8037:H8037"/>
    <mergeCell ref="G8038:H8038"/>
    <mergeCell ref="G8039:H8039"/>
    <mergeCell ref="G8040:H8040"/>
    <mergeCell ref="G8041:H8041"/>
    <mergeCell ref="G8042:H8042"/>
    <mergeCell ref="G8043:H8043"/>
    <mergeCell ref="J8045:K8045"/>
    <mergeCell ref="G8047:H8047"/>
    <mergeCell ref="G8048:H8048"/>
    <mergeCell ref="G8049:H8049"/>
    <mergeCell ref="G8050:H8050"/>
    <mergeCell ref="G8051:H8051"/>
    <mergeCell ref="G8052:H8052"/>
    <mergeCell ref="G8053:H8053"/>
    <mergeCell ref="G8054:H8054"/>
    <mergeCell ref="G8055:H8055"/>
    <mergeCell ref="J8057:K8057"/>
    <mergeCell ref="G8059:H8059"/>
    <mergeCell ref="G8060:H8060"/>
    <mergeCell ref="G8061:H8061"/>
    <mergeCell ref="G8062:H8062"/>
    <mergeCell ref="J8064:K8064"/>
    <mergeCell ref="G8066:H8066"/>
    <mergeCell ref="G8067:H8067"/>
    <mergeCell ref="G8068:H8068"/>
    <mergeCell ref="J8070:K8070"/>
    <mergeCell ref="G8072:H8072"/>
    <mergeCell ref="G8073:H8073"/>
    <mergeCell ref="G8074:H8074"/>
    <mergeCell ref="J8076:K8076"/>
    <mergeCell ref="G8078:H8078"/>
    <mergeCell ref="G8079:H8079"/>
    <mergeCell ref="G8080:H8080"/>
    <mergeCell ref="G8081:H8081"/>
    <mergeCell ref="G8082:H8082"/>
    <mergeCell ref="G8083:H8083"/>
    <mergeCell ref="G8084:H8084"/>
    <mergeCell ref="G8085:H8085"/>
    <mergeCell ref="J8087:K8087"/>
    <mergeCell ref="G8089:H8089"/>
    <mergeCell ref="G8090:H8090"/>
    <mergeCell ref="G8091:H8091"/>
    <mergeCell ref="G8092:H8092"/>
    <mergeCell ref="G8093:H8093"/>
    <mergeCell ref="G8094:H8094"/>
    <mergeCell ref="G8095:H8095"/>
    <mergeCell ref="J8097:K8097"/>
    <mergeCell ref="G8099:H8099"/>
    <mergeCell ref="G8100:H8100"/>
    <mergeCell ref="G8101:H8101"/>
    <mergeCell ref="G8102:H8102"/>
    <mergeCell ref="G8103:H8103"/>
    <mergeCell ref="G8104:H8104"/>
    <mergeCell ref="G8105:H8105"/>
    <mergeCell ref="J8107:K8107"/>
    <mergeCell ref="G8109:H8109"/>
    <mergeCell ref="G8110:H8110"/>
    <mergeCell ref="G8111:H8111"/>
    <mergeCell ref="G8112:H8112"/>
    <mergeCell ref="G8113:H8113"/>
    <mergeCell ref="G8114:H8114"/>
    <mergeCell ref="G8115:H8115"/>
    <mergeCell ref="J8117:K8117"/>
    <mergeCell ref="G8119:H8119"/>
    <mergeCell ref="G8120:H8120"/>
    <mergeCell ref="G8121:H8121"/>
    <mergeCell ref="G8122:H8122"/>
    <mergeCell ref="G8123:H8123"/>
    <mergeCell ref="G8124:H8124"/>
    <mergeCell ref="G8125:H8125"/>
    <mergeCell ref="J8127:K8127"/>
    <mergeCell ref="G8129:H8129"/>
    <mergeCell ref="G8130:H8130"/>
    <mergeCell ref="G8131:H8131"/>
    <mergeCell ref="G8132:H8132"/>
    <mergeCell ref="G8133:H8133"/>
    <mergeCell ref="G8134:H8134"/>
    <mergeCell ref="G8135:H8135"/>
    <mergeCell ref="J8137:K8137"/>
    <mergeCell ref="G8139:H8139"/>
    <mergeCell ref="G8140:H8140"/>
    <mergeCell ref="G8141:H8141"/>
    <mergeCell ref="G8142:H8142"/>
    <mergeCell ref="G8143:H8143"/>
    <mergeCell ref="G8144:H8144"/>
    <mergeCell ref="G8145:H8145"/>
    <mergeCell ref="J8147:K8147"/>
    <mergeCell ref="G8149:H8149"/>
    <mergeCell ref="G8150:H8150"/>
    <mergeCell ref="G8151:H8151"/>
    <mergeCell ref="G8152:H8152"/>
    <mergeCell ref="G8153:H8153"/>
    <mergeCell ref="G8154:H8154"/>
    <mergeCell ref="J8156:K8156"/>
    <mergeCell ref="G8158:H8158"/>
    <mergeCell ref="G8159:H8159"/>
    <mergeCell ref="G8160:H8160"/>
    <mergeCell ref="G8161:H8161"/>
    <mergeCell ref="G8162:H8162"/>
    <mergeCell ref="G8163:H8163"/>
    <mergeCell ref="G8164:H8164"/>
    <mergeCell ref="J8166:K8166"/>
    <mergeCell ref="G8168:H8168"/>
    <mergeCell ref="G8169:H8169"/>
    <mergeCell ref="G8170:H8170"/>
    <mergeCell ref="G8171:H8171"/>
    <mergeCell ref="G8172:H8172"/>
    <mergeCell ref="G8173:H8173"/>
    <mergeCell ref="G8174:H8174"/>
    <mergeCell ref="G8175:H8175"/>
    <mergeCell ref="J8177:K8177"/>
    <mergeCell ref="G8179:H8179"/>
    <mergeCell ref="G8180:H8180"/>
    <mergeCell ref="G8181:H8181"/>
    <mergeCell ref="G8182:H8182"/>
    <mergeCell ref="G8183:H8183"/>
    <mergeCell ref="G8184:H8184"/>
    <mergeCell ref="J8186:K8186"/>
    <mergeCell ref="G8188:H8188"/>
    <mergeCell ref="G8189:H8189"/>
    <mergeCell ref="G8190:H8190"/>
    <mergeCell ref="G8191:H8191"/>
    <mergeCell ref="G8192:H8192"/>
    <mergeCell ref="J8194:K8194"/>
    <mergeCell ref="G8196:H8196"/>
    <mergeCell ref="G8197:H8197"/>
    <mergeCell ref="G8198:H8198"/>
    <mergeCell ref="G8199:H8199"/>
    <mergeCell ref="G8200:H8200"/>
    <mergeCell ref="J8202:K8202"/>
    <mergeCell ref="G8204:H8204"/>
    <mergeCell ref="G8205:H8205"/>
    <mergeCell ref="G8206:H8206"/>
    <mergeCell ref="G8207:H8207"/>
    <mergeCell ref="G8208:H8208"/>
    <mergeCell ref="G8209:H8209"/>
    <mergeCell ref="J8211:K8211"/>
    <mergeCell ref="G8213:H8213"/>
    <mergeCell ref="G8214:H8214"/>
    <mergeCell ref="G8215:H8215"/>
    <mergeCell ref="G8216:H8216"/>
    <mergeCell ref="G8217:H8217"/>
    <mergeCell ref="G8218:H8218"/>
    <mergeCell ref="G8219:H8219"/>
    <mergeCell ref="G8220:H8220"/>
    <mergeCell ref="G8221:H8221"/>
    <mergeCell ref="J8223:K8223"/>
    <mergeCell ref="G8225:H8225"/>
    <mergeCell ref="G8226:H8226"/>
    <mergeCell ref="G8227:H8227"/>
    <mergeCell ref="G8228:H8228"/>
    <mergeCell ref="J8230:K8230"/>
    <mergeCell ref="G8232:H8232"/>
    <mergeCell ref="G8233:H8233"/>
    <mergeCell ref="G8234:H8234"/>
    <mergeCell ref="G8235:H8235"/>
    <mergeCell ref="G8236:H8236"/>
    <mergeCell ref="G8237:H8237"/>
    <mergeCell ref="J8239:K8239"/>
    <mergeCell ref="G8241:H8241"/>
    <mergeCell ref="G8242:H8242"/>
    <mergeCell ref="G8243:H8243"/>
    <mergeCell ref="G8244:H8244"/>
    <mergeCell ref="J8246:K8246"/>
    <mergeCell ref="G8248:H8248"/>
    <mergeCell ref="G8249:H8249"/>
    <mergeCell ref="G8250:H8250"/>
    <mergeCell ref="G8251:H8251"/>
    <mergeCell ref="J8253:K8253"/>
    <mergeCell ref="G8255:H8255"/>
    <mergeCell ref="G8256:H8256"/>
    <mergeCell ref="G8257:H8257"/>
    <mergeCell ref="G8258:H8258"/>
    <mergeCell ref="J8260:K8260"/>
    <mergeCell ref="G8262:H8262"/>
    <mergeCell ref="G8263:H8263"/>
    <mergeCell ref="G8264:H8264"/>
    <mergeCell ref="G8265:H8265"/>
    <mergeCell ref="J8267:K8267"/>
    <mergeCell ref="G8269:H8269"/>
    <mergeCell ref="G8270:H8270"/>
    <mergeCell ref="G8271:H8271"/>
    <mergeCell ref="G8272:H8272"/>
    <mergeCell ref="G8273:H8273"/>
    <mergeCell ref="G8274:H8274"/>
    <mergeCell ref="G8275:H8275"/>
    <mergeCell ref="G8276:H8276"/>
    <mergeCell ref="J8278:K8278"/>
    <mergeCell ref="G8280:H8280"/>
    <mergeCell ref="G8281:H8281"/>
    <mergeCell ref="G8282:H8282"/>
    <mergeCell ref="G8283:H8283"/>
    <mergeCell ref="G8284:H8284"/>
    <mergeCell ref="J8286:K8286"/>
    <mergeCell ref="G8288:H8288"/>
    <mergeCell ref="G8289:H8289"/>
    <mergeCell ref="G8290:H8290"/>
    <mergeCell ref="J8292:K8292"/>
    <mergeCell ref="G8294:H8294"/>
    <mergeCell ref="G8295:H8295"/>
    <mergeCell ref="G8296:H8296"/>
    <mergeCell ref="G8297:H8297"/>
    <mergeCell ref="G8298:H8298"/>
    <mergeCell ref="G8299:H8299"/>
    <mergeCell ref="G8300:H8300"/>
    <mergeCell ref="G8301:H8301"/>
    <mergeCell ref="G8302:H8302"/>
    <mergeCell ref="J8304:K8304"/>
    <mergeCell ref="G8306:H8306"/>
    <mergeCell ref="G8307:H8307"/>
    <mergeCell ref="G8308:H8308"/>
    <mergeCell ref="G8309:H8309"/>
    <mergeCell ref="J8311:K8311"/>
    <mergeCell ref="C8313:M8313"/>
    <mergeCell ref="G8314:H8314"/>
    <mergeCell ref="G8315:H8315"/>
    <mergeCell ref="G8316:H8316"/>
    <mergeCell ref="G8317:H8317"/>
    <mergeCell ref="G8318:H8318"/>
    <mergeCell ref="G8319:H8319"/>
    <mergeCell ref="G8320:H8320"/>
    <mergeCell ref="J8322:K8322"/>
    <mergeCell ref="G8324:H8324"/>
    <mergeCell ref="G8325:H8325"/>
    <mergeCell ref="G8326:H8326"/>
    <mergeCell ref="G8327:H8327"/>
    <mergeCell ref="G8328:H8328"/>
    <mergeCell ref="G8329:H8329"/>
    <mergeCell ref="G8330:H8330"/>
    <mergeCell ref="G8331:H8331"/>
    <mergeCell ref="J8333:K8333"/>
    <mergeCell ref="G8335:H8335"/>
    <mergeCell ref="G8336:H8336"/>
    <mergeCell ref="G8337:H8337"/>
    <mergeCell ref="G8338:H8338"/>
    <mergeCell ref="G8339:H8339"/>
    <mergeCell ref="G8340:H8340"/>
    <mergeCell ref="G8341:H8341"/>
    <mergeCell ref="G8342:H8342"/>
    <mergeCell ref="G8343:H8343"/>
    <mergeCell ref="G8344:H8344"/>
    <mergeCell ref="J8346:K8346"/>
    <mergeCell ref="G8348:H8348"/>
    <mergeCell ref="G8349:H8349"/>
    <mergeCell ref="G8350:H8350"/>
    <mergeCell ref="G8351:H8351"/>
    <mergeCell ref="G8352:H8352"/>
    <mergeCell ref="G8353:H8353"/>
    <mergeCell ref="G8354:H8354"/>
    <mergeCell ref="G8355:H8355"/>
    <mergeCell ref="G8356:H8356"/>
    <mergeCell ref="G8357:H8357"/>
    <mergeCell ref="J8359:K8359"/>
    <mergeCell ref="G8361:H8361"/>
    <mergeCell ref="G8362:H8362"/>
    <mergeCell ref="G8363:H8363"/>
    <mergeCell ref="G8364:H8364"/>
    <mergeCell ref="G8365:H8365"/>
    <mergeCell ref="G8366:H8366"/>
    <mergeCell ref="G8367:H8367"/>
    <mergeCell ref="G8368:H8368"/>
    <mergeCell ref="G8369:H8369"/>
    <mergeCell ref="G8370:H8370"/>
    <mergeCell ref="J8372:K8372"/>
    <mergeCell ref="G8374:H8374"/>
    <mergeCell ref="G8375:H8375"/>
    <mergeCell ref="G8376:H8376"/>
    <mergeCell ref="G8377:H8377"/>
    <mergeCell ref="G8378:H8378"/>
    <mergeCell ref="G8379:H8379"/>
    <mergeCell ref="G8380:H8380"/>
    <mergeCell ref="G8381:H8381"/>
    <mergeCell ref="G8382:H8382"/>
    <mergeCell ref="G8383:H8383"/>
    <mergeCell ref="J8385:K8385"/>
    <mergeCell ref="G8387:H8387"/>
    <mergeCell ref="G8388:H8388"/>
    <mergeCell ref="G8389:H8389"/>
    <mergeCell ref="G8390:H8390"/>
    <mergeCell ref="G8391:H8391"/>
    <mergeCell ref="G8392:H8392"/>
    <mergeCell ref="G8393:H8393"/>
    <mergeCell ref="G8394:H8394"/>
    <mergeCell ref="J8396:K8396"/>
    <mergeCell ref="G8398:H8398"/>
    <mergeCell ref="G8399:H8399"/>
    <mergeCell ref="G8400:H8400"/>
    <mergeCell ref="G8401:H8401"/>
    <mergeCell ref="G8402:H8402"/>
    <mergeCell ref="G8403:H8403"/>
    <mergeCell ref="G8404:H8404"/>
    <mergeCell ref="G8405:H8405"/>
    <mergeCell ref="J8407:K8407"/>
    <mergeCell ref="G8409:H8409"/>
    <mergeCell ref="G8410:H8410"/>
    <mergeCell ref="G8411:H8411"/>
    <mergeCell ref="G8412:H8412"/>
    <mergeCell ref="G8413:H8413"/>
    <mergeCell ref="G8414:H8414"/>
    <mergeCell ref="G8415:H8415"/>
    <mergeCell ref="G8416:H8416"/>
    <mergeCell ref="J8418:K8418"/>
    <mergeCell ref="G8420:H8420"/>
    <mergeCell ref="G8421:H8421"/>
    <mergeCell ref="G8422:H8422"/>
    <mergeCell ref="G8423:H8423"/>
    <mergeCell ref="J8425:K8425"/>
    <mergeCell ref="G8427:H8427"/>
    <mergeCell ref="G8428:H8428"/>
    <mergeCell ref="G8429:H8429"/>
    <mergeCell ref="G8430:H8430"/>
    <mergeCell ref="G8431:H8431"/>
    <mergeCell ref="G8432:H8432"/>
    <mergeCell ref="J8434:K8434"/>
    <mergeCell ref="G8436:H8436"/>
    <mergeCell ref="G8437:H8437"/>
    <mergeCell ref="G8438:H8438"/>
    <mergeCell ref="G8439:H8439"/>
    <mergeCell ref="G8440:H8440"/>
    <mergeCell ref="G8441:H8441"/>
    <mergeCell ref="J8443:K8443"/>
    <mergeCell ref="G8445:H8445"/>
    <mergeCell ref="G8446:H8446"/>
    <mergeCell ref="G8447:H8447"/>
    <mergeCell ref="G8448:H8448"/>
    <mergeCell ref="G8449:H8449"/>
    <mergeCell ref="G8450:H8450"/>
    <mergeCell ref="J8452:K8452"/>
    <mergeCell ref="G8454:H8454"/>
    <mergeCell ref="G8455:H8455"/>
    <mergeCell ref="G8456:H8456"/>
    <mergeCell ref="G8457:H8457"/>
    <mergeCell ref="G8458:H8458"/>
    <mergeCell ref="G8459:H8459"/>
    <mergeCell ref="G8460:H8460"/>
    <mergeCell ref="G8461:H8461"/>
    <mergeCell ref="J8463:K8463"/>
    <mergeCell ref="G8465:H8465"/>
    <mergeCell ref="G8466:H8466"/>
    <mergeCell ref="G8467:H8467"/>
    <mergeCell ref="G8468:H8468"/>
    <mergeCell ref="G8469:H8469"/>
    <mergeCell ref="J8471:K8471"/>
    <mergeCell ref="G8473:H8473"/>
    <mergeCell ref="G8474:H8474"/>
    <mergeCell ref="G8475:H8475"/>
    <mergeCell ref="G8476:H8476"/>
    <mergeCell ref="G8477:H8477"/>
    <mergeCell ref="G8478:H8478"/>
    <mergeCell ref="G8479:H8479"/>
    <mergeCell ref="J8481:K8481"/>
    <mergeCell ref="G8483:H8483"/>
    <mergeCell ref="G8484:H8484"/>
    <mergeCell ref="G8485:H8485"/>
    <mergeCell ref="G8486:H8486"/>
    <mergeCell ref="G8487:H8487"/>
    <mergeCell ref="G8488:H8488"/>
    <mergeCell ref="G8489:H8489"/>
    <mergeCell ref="G8490:H8490"/>
    <mergeCell ref="J8492:K8492"/>
    <mergeCell ref="G8494:H8494"/>
    <mergeCell ref="G8495:H8495"/>
    <mergeCell ref="G8496:H8496"/>
    <mergeCell ref="G8497:H8497"/>
    <mergeCell ref="G8498:H8498"/>
    <mergeCell ref="G8499:H8499"/>
    <mergeCell ref="G8500:H8500"/>
    <mergeCell ref="J8502:K8502"/>
    <mergeCell ref="G8504:H8504"/>
    <mergeCell ref="G8505:H8505"/>
    <mergeCell ref="G8506:H8506"/>
    <mergeCell ref="G8507:H8507"/>
    <mergeCell ref="G8508:H8508"/>
    <mergeCell ref="J8510:K8510"/>
    <mergeCell ref="G8512:H8512"/>
    <mergeCell ref="G8513:H8513"/>
    <mergeCell ref="G8514:H8514"/>
    <mergeCell ref="G8515:H8515"/>
    <mergeCell ref="G8516:H8516"/>
    <mergeCell ref="G8517:H8517"/>
    <mergeCell ref="G8518:H8518"/>
    <mergeCell ref="J8520:K8520"/>
    <mergeCell ref="G8522:H8522"/>
    <mergeCell ref="G8523:H8523"/>
    <mergeCell ref="G8524:H8524"/>
    <mergeCell ref="G8525:H8525"/>
    <mergeCell ref="G8526:H8526"/>
    <mergeCell ref="G8527:H8527"/>
    <mergeCell ref="G8528:H8528"/>
    <mergeCell ref="J8530:K8530"/>
    <mergeCell ref="G8532:H8532"/>
    <mergeCell ref="G8533:H8533"/>
    <mergeCell ref="G8534:H8534"/>
    <mergeCell ref="G8535:H8535"/>
    <mergeCell ref="G8536:H8536"/>
    <mergeCell ref="J8538:K8538"/>
    <mergeCell ref="G8540:H8540"/>
    <mergeCell ref="G8541:H8541"/>
    <mergeCell ref="G8542:H8542"/>
    <mergeCell ref="G8543:H8543"/>
    <mergeCell ref="G8544:H8544"/>
    <mergeCell ref="G8545:H8545"/>
    <mergeCell ref="G8546:H8546"/>
    <mergeCell ref="G8547:H8547"/>
    <mergeCell ref="J8549:K8549"/>
    <mergeCell ref="G8551:H8551"/>
    <mergeCell ref="G8552:H8552"/>
    <mergeCell ref="G8553:H8553"/>
    <mergeCell ref="G8554:H8554"/>
    <mergeCell ref="G8555:H8555"/>
    <mergeCell ref="G8556:H8556"/>
    <mergeCell ref="G8557:H8557"/>
    <mergeCell ref="G8558:H8558"/>
    <mergeCell ref="G8559:H8559"/>
    <mergeCell ref="G8560:H8560"/>
    <mergeCell ref="J8562:K8562"/>
    <mergeCell ref="G8564:H8564"/>
    <mergeCell ref="G8565:H8565"/>
    <mergeCell ref="G8566:H8566"/>
    <mergeCell ref="G8567:H8567"/>
    <mergeCell ref="G8568:H8568"/>
    <mergeCell ref="J8570:K8570"/>
    <mergeCell ref="G8572:H8572"/>
    <mergeCell ref="G8573:H8573"/>
    <mergeCell ref="G8574:H8574"/>
    <mergeCell ref="G8575:H8575"/>
    <mergeCell ref="G8576:H8576"/>
    <mergeCell ref="G8577:H8577"/>
    <mergeCell ref="G8578:H8578"/>
    <mergeCell ref="J8580:K8580"/>
    <mergeCell ref="G8582:H8582"/>
    <mergeCell ref="G8583:H8583"/>
    <mergeCell ref="G8584:H8584"/>
    <mergeCell ref="G8585:H8585"/>
    <mergeCell ref="G8586:H8586"/>
    <mergeCell ref="J8588:K8588"/>
    <mergeCell ref="G8590:H8590"/>
    <mergeCell ref="G8591:H8591"/>
    <mergeCell ref="G8592:H8592"/>
    <mergeCell ref="G8593:H8593"/>
    <mergeCell ref="G8594:H8594"/>
    <mergeCell ref="G8595:H8595"/>
    <mergeCell ref="G8596:H8596"/>
    <mergeCell ref="G8597:H8597"/>
    <mergeCell ref="G8598:H8598"/>
    <mergeCell ref="G8599:H8599"/>
    <mergeCell ref="J8601:K8601"/>
    <mergeCell ref="G8603:H8603"/>
    <mergeCell ref="G8604:H8604"/>
    <mergeCell ref="G8605:H8605"/>
    <mergeCell ref="G8606:H8606"/>
    <mergeCell ref="G8607:H8607"/>
    <mergeCell ref="G8608:H8608"/>
    <mergeCell ref="G8609:H8609"/>
    <mergeCell ref="G8610:H8610"/>
    <mergeCell ref="G8611:H8611"/>
    <mergeCell ref="G8612:H8612"/>
    <mergeCell ref="J8614:K8614"/>
    <mergeCell ref="G8616:H8616"/>
    <mergeCell ref="G8617:H8617"/>
    <mergeCell ref="G8618:H8618"/>
    <mergeCell ref="G8619:H8619"/>
    <mergeCell ref="G8620:H8620"/>
    <mergeCell ref="G8621:H8621"/>
    <mergeCell ref="G8622:H8622"/>
    <mergeCell ref="G8623:H8623"/>
    <mergeCell ref="G8624:H8624"/>
    <mergeCell ref="G8625:H8625"/>
    <mergeCell ref="J8627:K8627"/>
    <mergeCell ref="G8629:H8629"/>
    <mergeCell ref="G8630:H8630"/>
    <mergeCell ref="G8631:H8631"/>
    <mergeCell ref="G8632:H8632"/>
    <mergeCell ref="G8633:H8633"/>
    <mergeCell ref="G8634:H8634"/>
    <mergeCell ref="G8635:H8635"/>
    <mergeCell ref="G8636:H8636"/>
    <mergeCell ref="G8637:H8637"/>
    <mergeCell ref="G8638:H8638"/>
    <mergeCell ref="J8640:K8640"/>
    <mergeCell ref="G8642:H8642"/>
    <mergeCell ref="G8643:H8643"/>
    <mergeCell ref="G8644:H8644"/>
    <mergeCell ref="G8645:H8645"/>
    <mergeCell ref="G8646:H8646"/>
    <mergeCell ref="G8647:H8647"/>
    <mergeCell ref="G8648:H8648"/>
    <mergeCell ref="G8649:H8649"/>
    <mergeCell ref="G8650:H8650"/>
    <mergeCell ref="G8651:H8651"/>
    <mergeCell ref="J8653:K8653"/>
    <mergeCell ref="G8655:H8655"/>
    <mergeCell ref="G8656:H8656"/>
    <mergeCell ref="G8657:H8657"/>
    <mergeCell ref="G8658:H8658"/>
    <mergeCell ref="G8659:H8659"/>
    <mergeCell ref="G8660:H8660"/>
    <mergeCell ref="G8661:H8661"/>
    <mergeCell ref="G8662:H8662"/>
    <mergeCell ref="J8664:K8664"/>
    <mergeCell ref="G8666:H8666"/>
    <mergeCell ref="G8667:H8667"/>
    <mergeCell ref="G8668:H8668"/>
    <mergeCell ref="G8669:H8669"/>
    <mergeCell ref="G8670:H8670"/>
    <mergeCell ref="G8671:H8671"/>
    <mergeCell ref="G8672:H8672"/>
    <mergeCell ref="G8673:H8673"/>
    <mergeCell ref="J8675:K8675"/>
    <mergeCell ref="G8677:H8677"/>
    <mergeCell ref="G8678:H8678"/>
    <mergeCell ref="G8679:H8679"/>
    <mergeCell ref="G8680:H8680"/>
    <mergeCell ref="G8681:H8681"/>
    <mergeCell ref="G8682:H8682"/>
    <mergeCell ref="G8683:H8683"/>
    <mergeCell ref="G8684:H8684"/>
    <mergeCell ref="G8685:H8685"/>
    <mergeCell ref="G8686:H8686"/>
    <mergeCell ref="J8688:K8688"/>
    <mergeCell ref="G8690:H8690"/>
    <mergeCell ref="G8691:H8691"/>
    <mergeCell ref="G8692:H8692"/>
    <mergeCell ref="G8693:H8693"/>
    <mergeCell ref="G8694:H8694"/>
    <mergeCell ref="G8695:H8695"/>
    <mergeCell ref="G8696:H8696"/>
    <mergeCell ref="J8698:K8698"/>
    <mergeCell ref="G8700:H8700"/>
    <mergeCell ref="G8701:H8701"/>
    <mergeCell ref="G8702:H8702"/>
    <mergeCell ref="G8703:H8703"/>
    <mergeCell ref="G8704:H8704"/>
    <mergeCell ref="G8705:H8705"/>
    <mergeCell ref="G8706:H8706"/>
    <mergeCell ref="G8707:H8707"/>
    <mergeCell ref="J8709:K8709"/>
    <mergeCell ref="G8711:H8711"/>
    <mergeCell ref="G8712:H8712"/>
    <mergeCell ref="G8713:H8713"/>
    <mergeCell ref="G8714:H8714"/>
    <mergeCell ref="G8715:H8715"/>
    <mergeCell ref="G8716:H8716"/>
    <mergeCell ref="G8717:H8717"/>
    <mergeCell ref="G8718:H8718"/>
    <mergeCell ref="J8720:K8720"/>
    <mergeCell ref="G8722:H8722"/>
    <mergeCell ref="G8723:H8723"/>
    <mergeCell ref="G8724:H8724"/>
    <mergeCell ref="G8725:H8725"/>
    <mergeCell ref="G8726:H8726"/>
    <mergeCell ref="G8727:H8727"/>
    <mergeCell ref="G8728:H8728"/>
    <mergeCell ref="J8730:K8730"/>
    <mergeCell ref="G8732:H8732"/>
    <mergeCell ref="G8733:H8733"/>
    <mergeCell ref="G8734:H8734"/>
    <mergeCell ref="J8736:K8736"/>
    <mergeCell ref="G8738:H8738"/>
    <mergeCell ref="G8739:H8739"/>
    <mergeCell ref="G8740:H8740"/>
    <mergeCell ref="G8741:H8741"/>
    <mergeCell ref="G8742:H8742"/>
    <mergeCell ref="G8743:H8743"/>
    <mergeCell ref="J8745:K8745"/>
    <mergeCell ref="G8747:H8747"/>
    <mergeCell ref="G8748:H8748"/>
    <mergeCell ref="G8749:H8749"/>
    <mergeCell ref="G8750:H8750"/>
    <mergeCell ref="J8752:K8752"/>
    <mergeCell ref="G8754:H8754"/>
    <mergeCell ref="G8755:H8755"/>
    <mergeCell ref="G8756:H8756"/>
    <mergeCell ref="G8757:H8757"/>
    <mergeCell ref="G8758:H8758"/>
    <mergeCell ref="G8759:H8759"/>
    <mergeCell ref="J8761:K8761"/>
    <mergeCell ref="G8763:H8763"/>
    <mergeCell ref="G8764:H8764"/>
    <mergeCell ref="G8765:H8765"/>
    <mergeCell ref="J8767:K8767"/>
    <mergeCell ref="G8769:H8769"/>
    <mergeCell ref="G8770:H8770"/>
    <mergeCell ref="G8771:H8771"/>
    <mergeCell ref="J8773:K8773"/>
    <mergeCell ref="G8775:H8775"/>
    <mergeCell ref="G8776:H8776"/>
    <mergeCell ref="G8777:H8777"/>
    <mergeCell ref="J8779:K8779"/>
    <mergeCell ref="G8781:H8781"/>
    <mergeCell ref="G8782:H8782"/>
    <mergeCell ref="G8783:H8783"/>
    <mergeCell ref="J8785:K8785"/>
    <mergeCell ref="G8787:H8787"/>
    <mergeCell ref="G8788:H8788"/>
    <mergeCell ref="G8789:H8789"/>
    <mergeCell ref="G8790:H8790"/>
    <mergeCell ref="J8792:K8792"/>
    <mergeCell ref="G8794:H8794"/>
    <mergeCell ref="G8795:H8795"/>
    <mergeCell ref="G8796:H8796"/>
    <mergeCell ref="G8797:H8797"/>
    <mergeCell ref="G8798:H8798"/>
    <mergeCell ref="G8799:H8799"/>
    <mergeCell ref="J8801:K8801"/>
    <mergeCell ref="G8803:H8803"/>
    <mergeCell ref="G8804:H8804"/>
    <mergeCell ref="G8805:H8805"/>
    <mergeCell ref="J8807:K8807"/>
    <mergeCell ref="G8809:H8809"/>
    <mergeCell ref="G8810:H8810"/>
    <mergeCell ref="G8811:H8811"/>
    <mergeCell ref="J8813:K8813"/>
    <mergeCell ref="G8815:H8815"/>
    <mergeCell ref="G8816:H8816"/>
    <mergeCell ref="G8817:H8817"/>
    <mergeCell ref="J8819:K8819"/>
    <mergeCell ref="G8821:H8821"/>
    <mergeCell ref="G8822:H8822"/>
    <mergeCell ref="G8823:H8823"/>
    <mergeCell ref="J8825:K8825"/>
    <mergeCell ref="G8827:H8827"/>
    <mergeCell ref="G8828:H8828"/>
    <mergeCell ref="G8829:H8829"/>
    <mergeCell ref="G8830:H8830"/>
    <mergeCell ref="G8831:H8831"/>
    <mergeCell ref="G8832:H8832"/>
    <mergeCell ref="J8834:K8834"/>
    <mergeCell ref="G8836:H8836"/>
    <mergeCell ref="G8837:H8837"/>
    <mergeCell ref="G8838:H8838"/>
    <mergeCell ref="J8840:K8840"/>
    <mergeCell ref="G8842:H8842"/>
    <mergeCell ref="G8843:H8843"/>
    <mergeCell ref="G8844:H8844"/>
    <mergeCell ref="G8845:H8845"/>
    <mergeCell ref="J8847:K8847"/>
    <mergeCell ref="G8849:H8849"/>
    <mergeCell ref="G8850:H8850"/>
    <mergeCell ref="G8851:H8851"/>
    <mergeCell ref="J8853:K8853"/>
    <mergeCell ref="G8855:H8855"/>
    <mergeCell ref="G8856:H8856"/>
    <mergeCell ref="G8857:H8857"/>
    <mergeCell ref="G8858:H8858"/>
    <mergeCell ref="J8860:K8860"/>
    <mergeCell ref="G8862:H8862"/>
    <mergeCell ref="G8863:H8863"/>
    <mergeCell ref="G8864:H8864"/>
    <mergeCell ref="G8865:H8865"/>
    <mergeCell ref="G8866:H8866"/>
    <mergeCell ref="G8867:H8867"/>
    <mergeCell ref="J8869:K8869"/>
    <mergeCell ref="G8871:H8871"/>
    <mergeCell ref="G8872:H8872"/>
    <mergeCell ref="G8873:H8873"/>
    <mergeCell ref="G8874:H8874"/>
    <mergeCell ref="G8875:H8875"/>
    <mergeCell ref="G8876:H8876"/>
    <mergeCell ref="J8878:K8878"/>
    <mergeCell ref="G8880:H8880"/>
    <mergeCell ref="G8881:H8881"/>
    <mergeCell ref="G8882:H8882"/>
    <mergeCell ref="J8884:K8884"/>
    <mergeCell ref="G8886:H8886"/>
    <mergeCell ref="G8887:H8887"/>
    <mergeCell ref="G8888:H8888"/>
    <mergeCell ref="G8889:H8889"/>
    <mergeCell ref="G8890:H8890"/>
    <mergeCell ref="G8891:H8891"/>
    <mergeCell ref="G8892:H8892"/>
    <mergeCell ref="G8893:H8893"/>
    <mergeCell ref="G8894:H8894"/>
    <mergeCell ref="J8896:K8896"/>
    <mergeCell ref="G8898:H8898"/>
    <mergeCell ref="G8899:H8899"/>
    <mergeCell ref="G8900:H8900"/>
    <mergeCell ref="G8901:H8901"/>
    <mergeCell ref="G8902:H8902"/>
    <mergeCell ref="G8903:H8903"/>
    <mergeCell ref="G8904:H8904"/>
    <mergeCell ref="G8905:H8905"/>
    <mergeCell ref="G8906:H8906"/>
    <mergeCell ref="G8907:H8907"/>
    <mergeCell ref="J8909:K8909"/>
    <mergeCell ref="G8911:H8911"/>
    <mergeCell ref="G8912:H8912"/>
    <mergeCell ref="G8913:H8913"/>
    <mergeCell ref="G8914:H8914"/>
    <mergeCell ref="G8915:H8915"/>
    <mergeCell ref="G8916:H8916"/>
    <mergeCell ref="G8917:H8917"/>
    <mergeCell ref="G8918:H8918"/>
    <mergeCell ref="J8920:K8920"/>
    <mergeCell ref="G8922:H8922"/>
    <mergeCell ref="G8923:H8923"/>
    <mergeCell ref="G8924:H8924"/>
    <mergeCell ref="G8925:H8925"/>
    <mergeCell ref="J8927:K8927"/>
    <mergeCell ref="G8929:H8929"/>
    <mergeCell ref="G8930:H8930"/>
    <mergeCell ref="G8931:H8931"/>
    <mergeCell ref="G8932:H8932"/>
    <mergeCell ref="J8934:K8934"/>
    <mergeCell ref="G8936:H8936"/>
    <mergeCell ref="G8937:H8937"/>
    <mergeCell ref="G8938:H8938"/>
    <mergeCell ref="G8939:H8939"/>
    <mergeCell ref="G8940:H8940"/>
    <mergeCell ref="G8941:H8941"/>
    <mergeCell ref="G8942:H8942"/>
    <mergeCell ref="J8944:K8944"/>
    <mergeCell ref="G8946:H8946"/>
    <mergeCell ref="G8947:H8947"/>
    <mergeCell ref="G8948:H8948"/>
    <mergeCell ref="G8949:H8949"/>
    <mergeCell ref="G8950:H8950"/>
    <mergeCell ref="G8951:H8951"/>
    <mergeCell ref="J8953:K8953"/>
    <mergeCell ref="G8955:H8955"/>
    <mergeCell ref="G8956:H8956"/>
    <mergeCell ref="G8957:H8957"/>
    <mergeCell ref="G8958:H8958"/>
    <mergeCell ref="G8959:H8959"/>
    <mergeCell ref="G8960:H8960"/>
    <mergeCell ref="G8961:H8961"/>
    <mergeCell ref="G8962:H8962"/>
    <mergeCell ref="J8964:K8964"/>
    <mergeCell ref="G8966:H8966"/>
    <mergeCell ref="G8967:H8967"/>
    <mergeCell ref="G8968:H8968"/>
    <mergeCell ref="G8969:H8969"/>
    <mergeCell ref="J8971:K8971"/>
    <mergeCell ref="G8973:H8973"/>
    <mergeCell ref="G8974:H8974"/>
    <mergeCell ref="G8975:H8975"/>
    <mergeCell ref="G8976:H8976"/>
    <mergeCell ref="J8978:K8978"/>
    <mergeCell ref="G8980:H8980"/>
    <mergeCell ref="G8981:H8981"/>
    <mergeCell ref="G8982:H8982"/>
    <mergeCell ref="G8983:H8983"/>
    <mergeCell ref="J8985:K8985"/>
    <mergeCell ref="G8987:H8987"/>
    <mergeCell ref="G8988:H8988"/>
    <mergeCell ref="G8989:H8989"/>
    <mergeCell ref="G8990:H8990"/>
    <mergeCell ref="J8992:K8992"/>
    <mergeCell ref="G8994:H8994"/>
    <mergeCell ref="G8995:H8995"/>
    <mergeCell ref="G8996:H8996"/>
    <mergeCell ref="J8998:K8998"/>
    <mergeCell ref="G9000:H9000"/>
    <mergeCell ref="G9001:H9001"/>
    <mergeCell ref="G9002:H9002"/>
    <mergeCell ref="G9003:H9003"/>
    <mergeCell ref="G9004:H9004"/>
    <mergeCell ref="G9005:H9005"/>
    <mergeCell ref="G9006:H9006"/>
    <mergeCell ref="G9007:H9007"/>
    <mergeCell ref="G9008:H9008"/>
    <mergeCell ref="G9009:H9009"/>
    <mergeCell ref="J9011:K9011"/>
    <mergeCell ref="G9013:H9013"/>
    <mergeCell ref="G9014:H9014"/>
    <mergeCell ref="G9015:H9015"/>
    <mergeCell ref="G9016:H9016"/>
    <mergeCell ref="G9017:H9017"/>
    <mergeCell ref="G9018:H9018"/>
    <mergeCell ref="G9019:H9019"/>
    <mergeCell ref="G9020:H9020"/>
    <mergeCell ref="G9021:H9021"/>
    <mergeCell ref="G9022:H9022"/>
    <mergeCell ref="J9024:K9024"/>
    <mergeCell ref="G9026:H9026"/>
    <mergeCell ref="G9027:H9027"/>
    <mergeCell ref="G9028:H9028"/>
    <mergeCell ref="G9029:H9029"/>
    <mergeCell ref="G9030:H9030"/>
    <mergeCell ref="J9032:K9032"/>
    <mergeCell ref="G9034:H9034"/>
    <mergeCell ref="G9035:H9035"/>
    <mergeCell ref="G9036:H9036"/>
    <mergeCell ref="G9037:H9037"/>
    <mergeCell ref="G9038:H9038"/>
    <mergeCell ref="J9040:K9040"/>
    <mergeCell ref="G9042:H9042"/>
    <mergeCell ref="G9043:H9043"/>
    <mergeCell ref="G9044:H9044"/>
    <mergeCell ref="G9045:H9045"/>
    <mergeCell ref="G9046:H9046"/>
    <mergeCell ref="G9047:H9047"/>
    <mergeCell ref="G9048:H9048"/>
    <mergeCell ref="J9050:K9050"/>
    <mergeCell ref="G9052:H9052"/>
    <mergeCell ref="G9053:H9053"/>
    <mergeCell ref="G9054:H9054"/>
    <mergeCell ref="J9056:K9056"/>
    <mergeCell ref="G9058:H9058"/>
    <mergeCell ref="G9059:H9059"/>
    <mergeCell ref="G9060:H9060"/>
    <mergeCell ref="J9062:K9062"/>
    <mergeCell ref="G9064:H9064"/>
    <mergeCell ref="G9065:H9065"/>
    <mergeCell ref="G9066:H9066"/>
    <mergeCell ref="J9068:K9068"/>
    <mergeCell ref="G9070:H9070"/>
    <mergeCell ref="G9071:H9071"/>
    <mergeCell ref="G9072:H9072"/>
    <mergeCell ref="J9074:K9074"/>
    <mergeCell ref="G9076:H9076"/>
    <mergeCell ref="G9077:H9077"/>
    <mergeCell ref="G9078:H9078"/>
    <mergeCell ref="G9079:H9079"/>
    <mergeCell ref="J9081:K9081"/>
    <mergeCell ref="G9083:H9083"/>
    <mergeCell ref="G9084:H9084"/>
    <mergeCell ref="G9085:H9085"/>
    <mergeCell ref="G9086:H9086"/>
    <mergeCell ref="G9087:H9087"/>
    <mergeCell ref="G9088:H9088"/>
    <mergeCell ref="J9090:K9090"/>
    <mergeCell ref="G9092:H9092"/>
    <mergeCell ref="G9093:H9093"/>
    <mergeCell ref="G9094:H9094"/>
    <mergeCell ref="J9096:K9096"/>
    <mergeCell ref="G9098:H9098"/>
    <mergeCell ref="G9099:H9099"/>
    <mergeCell ref="G9100:H9100"/>
    <mergeCell ref="J9102:K9102"/>
    <mergeCell ref="G9104:H9104"/>
    <mergeCell ref="G9105:H9105"/>
    <mergeCell ref="G9106:H9106"/>
    <mergeCell ref="J9108:K9108"/>
    <mergeCell ref="G9110:H9110"/>
    <mergeCell ref="G9111:H9111"/>
    <mergeCell ref="G9112:H9112"/>
    <mergeCell ref="J9114:K9114"/>
    <mergeCell ref="G9116:H9116"/>
    <mergeCell ref="G9117:H9117"/>
    <mergeCell ref="G9118:H9118"/>
    <mergeCell ref="G9119:H9119"/>
    <mergeCell ref="G9120:H9120"/>
    <mergeCell ref="G9121:H9121"/>
    <mergeCell ref="J9123:K9123"/>
    <mergeCell ref="G9125:H9125"/>
    <mergeCell ref="G9126:H9126"/>
    <mergeCell ref="G9127:H9127"/>
    <mergeCell ref="G9128:H9128"/>
    <mergeCell ref="J9130:K9130"/>
    <mergeCell ref="G9132:H9132"/>
    <mergeCell ref="G9133:H9133"/>
    <mergeCell ref="G9134:H9134"/>
    <mergeCell ref="G9135:H9135"/>
    <mergeCell ref="G9136:H9136"/>
    <mergeCell ref="G9137:H9137"/>
    <mergeCell ref="J9139:K9139"/>
    <mergeCell ref="G9141:H9141"/>
    <mergeCell ref="G9142:H9142"/>
    <mergeCell ref="G9143:H9143"/>
    <mergeCell ref="J9145:K9145"/>
    <mergeCell ref="G9147:H9147"/>
    <mergeCell ref="G9148:H9148"/>
    <mergeCell ref="G9149:H9149"/>
    <mergeCell ref="J9151:K9151"/>
    <mergeCell ref="G9153:H9153"/>
    <mergeCell ref="G9154:H9154"/>
    <mergeCell ref="G9155:H9155"/>
    <mergeCell ref="J9157:K9157"/>
    <mergeCell ref="G9159:H9159"/>
    <mergeCell ref="G9160:H9160"/>
    <mergeCell ref="G9161:H9161"/>
    <mergeCell ref="J9163:K9163"/>
    <mergeCell ref="G9165:H9165"/>
    <mergeCell ref="G9166:H9166"/>
    <mergeCell ref="G9167:H9167"/>
    <mergeCell ref="G9168:H9168"/>
    <mergeCell ref="G9169:H9169"/>
    <mergeCell ref="J9171:K9171"/>
    <mergeCell ref="G9173:H9173"/>
    <mergeCell ref="G9174:H9174"/>
    <mergeCell ref="G9175:H9175"/>
    <mergeCell ref="G9176:H9176"/>
    <mergeCell ref="G9177:H9177"/>
    <mergeCell ref="G9178:H9178"/>
    <mergeCell ref="J9180:K9180"/>
    <mergeCell ref="G9182:H9182"/>
    <mergeCell ref="G9183:H9183"/>
    <mergeCell ref="G9184:H9184"/>
    <mergeCell ref="G9185:H9185"/>
    <mergeCell ref="G9186:H9186"/>
    <mergeCell ref="G9187:H9187"/>
    <mergeCell ref="G9188:H9188"/>
    <mergeCell ref="G9189:H9189"/>
    <mergeCell ref="G9190:H9190"/>
    <mergeCell ref="J9192:K9192"/>
    <mergeCell ref="G9194:H9194"/>
    <mergeCell ref="G9195:H9195"/>
    <mergeCell ref="G9196:H9196"/>
    <mergeCell ref="G9197:H9197"/>
    <mergeCell ref="G9198:H9198"/>
    <mergeCell ref="G9199:H9199"/>
    <mergeCell ref="G9200:H9200"/>
    <mergeCell ref="G9201:H9201"/>
    <mergeCell ref="G9202:H9202"/>
    <mergeCell ref="J9204:K9204"/>
    <mergeCell ref="G9206:H9206"/>
    <mergeCell ref="G9207:H9207"/>
    <mergeCell ref="G9208:H9208"/>
    <mergeCell ref="G9209:H9209"/>
    <mergeCell ref="G9210:H9210"/>
    <mergeCell ref="G9211:H9211"/>
    <mergeCell ref="G9212:H9212"/>
    <mergeCell ref="G9213:H9213"/>
    <mergeCell ref="G9214:H9214"/>
    <mergeCell ref="J9216:K9216"/>
    <mergeCell ref="G9218:H9218"/>
    <mergeCell ref="G9219:H9219"/>
    <mergeCell ref="G9220:H9220"/>
    <mergeCell ref="G9221:H9221"/>
    <mergeCell ref="G9222:H9222"/>
    <mergeCell ref="G9223:H9223"/>
    <mergeCell ref="J9225:K9225"/>
    <mergeCell ref="G9227:H9227"/>
    <mergeCell ref="G9228:H9228"/>
    <mergeCell ref="G9229:H9229"/>
    <mergeCell ref="G9230:H9230"/>
    <mergeCell ref="G9231:H9231"/>
    <mergeCell ref="G9232:H9232"/>
    <mergeCell ref="G9233:H9233"/>
    <mergeCell ref="G9234:H9234"/>
    <mergeCell ref="G9235:H9235"/>
    <mergeCell ref="J9237:K9237"/>
    <mergeCell ref="G9239:H9239"/>
    <mergeCell ref="G9240:H9240"/>
    <mergeCell ref="G9241:H9241"/>
    <mergeCell ref="G9242:H9242"/>
    <mergeCell ref="G9243:H9243"/>
    <mergeCell ref="G9244:H9244"/>
    <mergeCell ref="J9246:K9246"/>
    <mergeCell ref="G9248:H9248"/>
    <mergeCell ref="G9249:H9249"/>
    <mergeCell ref="G9250:H9250"/>
    <mergeCell ref="G9251:H9251"/>
    <mergeCell ref="J9253:K9253"/>
    <mergeCell ref="G9255:H9255"/>
    <mergeCell ref="G9256:H9256"/>
    <mergeCell ref="G9257:H9257"/>
    <mergeCell ref="G9258:H9258"/>
    <mergeCell ref="G9259:H9259"/>
    <mergeCell ref="G9260:H9260"/>
    <mergeCell ref="J9262:K9262"/>
    <mergeCell ref="G9264:H9264"/>
    <mergeCell ref="G9265:H9265"/>
    <mergeCell ref="G9266:H9266"/>
    <mergeCell ref="G9267:H9267"/>
    <mergeCell ref="J9269:K9269"/>
    <mergeCell ref="G9271:H9271"/>
    <mergeCell ref="G9272:H9272"/>
    <mergeCell ref="G9273:H9273"/>
    <mergeCell ref="J9275:K9275"/>
    <mergeCell ref="G9277:H9277"/>
    <mergeCell ref="G9278:H9278"/>
    <mergeCell ref="G9279:H9279"/>
    <mergeCell ref="G9280:H9280"/>
    <mergeCell ref="J9282:K9282"/>
    <mergeCell ref="G9284:H9284"/>
    <mergeCell ref="G9285:H9285"/>
    <mergeCell ref="G9286:H9286"/>
    <mergeCell ref="J9288:K9288"/>
    <mergeCell ref="G9290:H9290"/>
    <mergeCell ref="G9291:H9291"/>
    <mergeCell ref="G9292:H9292"/>
    <mergeCell ref="G9293:H9293"/>
    <mergeCell ref="G9294:H9294"/>
    <mergeCell ref="J9296:K9296"/>
    <mergeCell ref="G9298:H9298"/>
    <mergeCell ref="G9299:H9299"/>
    <mergeCell ref="G9300:H9300"/>
    <mergeCell ref="G9301:H9301"/>
    <mergeCell ref="G9302:H9302"/>
    <mergeCell ref="J9304:K9304"/>
    <mergeCell ref="G9306:H9306"/>
    <mergeCell ref="G9307:H9307"/>
    <mergeCell ref="G9308:H9308"/>
    <mergeCell ref="G9309:H9309"/>
    <mergeCell ref="J9311:K9311"/>
    <mergeCell ref="G9313:H9313"/>
    <mergeCell ref="G9314:H9314"/>
    <mergeCell ref="G9315:H9315"/>
    <mergeCell ref="G9316:H9316"/>
    <mergeCell ref="G9317:H9317"/>
    <mergeCell ref="J9319:K9319"/>
    <mergeCell ref="G9321:H9321"/>
    <mergeCell ref="G9322:H9322"/>
    <mergeCell ref="G9323:H9323"/>
    <mergeCell ref="G9324:H9324"/>
    <mergeCell ref="G9325:H9325"/>
    <mergeCell ref="J9327:K9327"/>
    <mergeCell ref="G9329:H9329"/>
    <mergeCell ref="G9330:H9330"/>
    <mergeCell ref="G9331:H9331"/>
    <mergeCell ref="G9332:H9332"/>
    <mergeCell ref="G9333:H9333"/>
    <mergeCell ref="J9335:K9335"/>
    <mergeCell ref="G9337:H9337"/>
    <mergeCell ref="G9338:H9338"/>
    <mergeCell ref="G9339:H9339"/>
    <mergeCell ref="G9340:H9340"/>
    <mergeCell ref="G9341:H9341"/>
    <mergeCell ref="J9343:K9343"/>
    <mergeCell ref="G9345:H9345"/>
    <mergeCell ref="G9346:H9346"/>
    <mergeCell ref="G9347:H9347"/>
    <mergeCell ref="G9348:H9348"/>
    <mergeCell ref="J9350:K9350"/>
    <mergeCell ref="G9352:H9352"/>
    <mergeCell ref="G9353:H9353"/>
    <mergeCell ref="G9354:H9354"/>
    <mergeCell ref="G9355:H9355"/>
    <mergeCell ref="J9357:K9357"/>
    <mergeCell ref="G9359:H9359"/>
    <mergeCell ref="G9360:H9360"/>
    <mergeCell ref="G9361:H9361"/>
    <mergeCell ref="J9363:K9363"/>
    <mergeCell ref="G9365:H9365"/>
    <mergeCell ref="G9366:H9366"/>
    <mergeCell ref="G9367:H9367"/>
    <mergeCell ref="J9369:K9369"/>
    <mergeCell ref="G9371:H9371"/>
    <mergeCell ref="G9372:H9372"/>
    <mergeCell ref="G9373:H9373"/>
    <mergeCell ref="J9375:K9375"/>
    <mergeCell ref="G9377:H9377"/>
    <mergeCell ref="G9378:H9378"/>
    <mergeCell ref="G9379:H9379"/>
    <mergeCell ref="J9381:K9381"/>
    <mergeCell ref="G9383:H9383"/>
    <mergeCell ref="G9384:H9384"/>
    <mergeCell ref="G9385:H9385"/>
    <mergeCell ref="J9387:K9387"/>
    <mergeCell ref="G9389:H9389"/>
    <mergeCell ref="G9390:H9390"/>
    <mergeCell ref="G9391:H9391"/>
    <mergeCell ref="J9393:K9393"/>
    <mergeCell ref="G9395:H9395"/>
    <mergeCell ref="G9396:H9396"/>
    <mergeCell ref="G9397:H9397"/>
    <mergeCell ref="J9399:K9399"/>
    <mergeCell ref="G9401:H9401"/>
    <mergeCell ref="G9402:H9402"/>
    <mergeCell ref="G9403:H9403"/>
    <mergeCell ref="J9405:K9405"/>
    <mergeCell ref="G9407:H9407"/>
    <mergeCell ref="G9408:H9408"/>
    <mergeCell ref="G9409:H9409"/>
    <mergeCell ref="J9411:K9411"/>
    <mergeCell ref="G9413:H9413"/>
    <mergeCell ref="G9414:H9414"/>
    <mergeCell ref="G9415:H9415"/>
    <mergeCell ref="J9417:K9417"/>
    <mergeCell ref="G9419:H9419"/>
    <mergeCell ref="G9420:H9420"/>
    <mergeCell ref="G9421:H9421"/>
    <mergeCell ref="J9423:K9423"/>
    <mergeCell ref="G9425:H9425"/>
    <mergeCell ref="G9426:H9426"/>
    <mergeCell ref="G9427:H9427"/>
    <mergeCell ref="J9429:K9429"/>
    <mergeCell ref="G9431:H9431"/>
    <mergeCell ref="G9432:H9432"/>
    <mergeCell ref="G9433:H9433"/>
    <mergeCell ref="J9435:K9435"/>
    <mergeCell ref="G9437:H9437"/>
    <mergeCell ref="G9438:H9438"/>
    <mergeCell ref="G9439:H9439"/>
    <mergeCell ref="J9441:K9441"/>
    <mergeCell ref="G9443:H9443"/>
    <mergeCell ref="G9444:H9444"/>
    <mergeCell ref="G9445:H9445"/>
    <mergeCell ref="J9447:K9447"/>
    <mergeCell ref="G9449:H9449"/>
    <mergeCell ref="G9450:H9450"/>
    <mergeCell ref="G9451:H9451"/>
    <mergeCell ref="J9453:K9453"/>
    <mergeCell ref="G9455:H9455"/>
    <mergeCell ref="G9456:H9456"/>
    <mergeCell ref="G9457:H9457"/>
    <mergeCell ref="J9459:K9459"/>
    <mergeCell ref="G9461:H9461"/>
    <mergeCell ref="G9462:H9462"/>
    <mergeCell ref="G9463:H9463"/>
    <mergeCell ref="J9465:K9465"/>
    <mergeCell ref="G9467:H9467"/>
    <mergeCell ref="G9468:H9468"/>
    <mergeCell ref="G9469:H9469"/>
    <mergeCell ref="J9471:K9471"/>
    <mergeCell ref="G9473:H9473"/>
    <mergeCell ref="G9474:H9474"/>
    <mergeCell ref="G9475:H9475"/>
    <mergeCell ref="J9477:K9477"/>
    <mergeCell ref="G9479:H9479"/>
    <mergeCell ref="G9480:H9480"/>
    <mergeCell ref="G9481:H9481"/>
    <mergeCell ref="J9483:K9483"/>
    <mergeCell ref="G9485:H9485"/>
    <mergeCell ref="G9486:H9486"/>
    <mergeCell ref="G9487:H9487"/>
    <mergeCell ref="J9489:K9489"/>
    <mergeCell ref="G9491:H9491"/>
    <mergeCell ref="G9492:H9492"/>
    <mergeCell ref="G9493:H9493"/>
    <mergeCell ref="J9495:K9495"/>
    <mergeCell ref="G9497:H9497"/>
    <mergeCell ref="G9498:H9498"/>
    <mergeCell ref="G9499:H9499"/>
    <mergeCell ref="J9501:K9501"/>
    <mergeCell ref="G9503:H9503"/>
    <mergeCell ref="G9504:H9504"/>
    <mergeCell ref="G9505:H9505"/>
    <mergeCell ref="J9507:K9507"/>
    <mergeCell ref="G9509:H9509"/>
    <mergeCell ref="G9510:H9510"/>
    <mergeCell ref="G9511:H9511"/>
    <mergeCell ref="J9513:K9513"/>
    <mergeCell ref="G9515:H9515"/>
    <mergeCell ref="G9516:H9516"/>
    <mergeCell ref="G9517:H9517"/>
    <mergeCell ref="J9519:K9519"/>
    <mergeCell ref="G9521:H9521"/>
    <mergeCell ref="G9522:H9522"/>
    <mergeCell ref="G9523:H9523"/>
    <mergeCell ref="J9525:K9525"/>
    <mergeCell ref="G9527:H9527"/>
    <mergeCell ref="G9528:H9528"/>
    <mergeCell ref="G9529:H9529"/>
    <mergeCell ref="J9531:K9531"/>
    <mergeCell ref="G9533:H9533"/>
    <mergeCell ref="G9534:H9534"/>
    <mergeCell ref="G9535:H9535"/>
    <mergeCell ref="J9537:K9537"/>
    <mergeCell ref="G9539:H9539"/>
    <mergeCell ref="G9540:H9540"/>
    <mergeCell ref="G9541:H9541"/>
    <mergeCell ref="J9543:K9543"/>
    <mergeCell ref="G9545:H9545"/>
    <mergeCell ref="G9546:H9546"/>
    <mergeCell ref="G9547:H9547"/>
    <mergeCell ref="J9549:K9549"/>
    <mergeCell ref="G9551:H9551"/>
    <mergeCell ref="G9552:H9552"/>
    <mergeCell ref="G9553:H9553"/>
    <mergeCell ref="J9555:K9555"/>
    <mergeCell ref="G9557:H9557"/>
    <mergeCell ref="G9558:H9558"/>
    <mergeCell ref="G9559:H9559"/>
    <mergeCell ref="J9561:K9561"/>
    <mergeCell ref="G9563:H9563"/>
    <mergeCell ref="G9564:H9564"/>
    <mergeCell ref="G9565:H9565"/>
    <mergeCell ref="J9567:K9567"/>
    <mergeCell ref="G9569:H9569"/>
    <mergeCell ref="G9570:H9570"/>
    <mergeCell ref="G9571:H9571"/>
    <mergeCell ref="J9573:K9573"/>
    <mergeCell ref="G9575:H9575"/>
    <mergeCell ref="G9576:H9576"/>
    <mergeCell ref="G9577:H9577"/>
    <mergeCell ref="J9579:K9579"/>
    <mergeCell ref="G9581:H9581"/>
    <mergeCell ref="G9582:H9582"/>
    <mergeCell ref="G9583:H9583"/>
    <mergeCell ref="J9585:K9585"/>
    <mergeCell ref="G9587:H9587"/>
    <mergeCell ref="G9588:H9588"/>
    <mergeCell ref="G9589:H9589"/>
    <mergeCell ref="J9591:K9591"/>
    <mergeCell ref="G9593:H9593"/>
    <mergeCell ref="G9594:H9594"/>
    <mergeCell ref="G9595:H9595"/>
    <mergeCell ref="J9597:K9597"/>
    <mergeCell ref="G9599:H9599"/>
    <mergeCell ref="G9600:H9600"/>
    <mergeCell ref="G9601:H9601"/>
    <mergeCell ref="J9603:K9603"/>
    <mergeCell ref="G9605:H9605"/>
    <mergeCell ref="G9606:H9606"/>
    <mergeCell ref="G9607:H9607"/>
    <mergeCell ref="J9609:K9609"/>
    <mergeCell ref="G9611:H9611"/>
    <mergeCell ref="G9612:H9612"/>
    <mergeCell ref="G9613:H9613"/>
    <mergeCell ref="J9615:K9615"/>
    <mergeCell ref="G9617:H9617"/>
    <mergeCell ref="G9618:H9618"/>
    <mergeCell ref="G9619:H9619"/>
    <mergeCell ref="J9621:K9621"/>
    <mergeCell ref="G9623:H9623"/>
    <mergeCell ref="G9624:H9624"/>
    <mergeCell ref="G9625:H9625"/>
    <mergeCell ref="J9627:K9627"/>
    <mergeCell ref="G9629:H9629"/>
    <mergeCell ref="G9630:H9630"/>
    <mergeCell ref="G9631:H9631"/>
    <mergeCell ref="J9633:K9633"/>
    <mergeCell ref="G9635:H9635"/>
    <mergeCell ref="G9636:H9636"/>
    <mergeCell ref="G9637:H9637"/>
    <mergeCell ref="J9639:K9639"/>
    <mergeCell ref="G9641:H9641"/>
    <mergeCell ref="G9642:H9642"/>
    <mergeCell ref="G9643:H9643"/>
    <mergeCell ref="J9645:K9645"/>
    <mergeCell ref="G9647:H9647"/>
    <mergeCell ref="G9648:H9648"/>
    <mergeCell ref="G9649:H9649"/>
    <mergeCell ref="J9651:K9651"/>
    <mergeCell ref="G9653:H9653"/>
    <mergeCell ref="G9654:H9654"/>
    <mergeCell ref="G9655:H9655"/>
    <mergeCell ref="J9657:K9657"/>
    <mergeCell ref="G9659:H9659"/>
    <mergeCell ref="G9660:H9660"/>
    <mergeCell ref="G9661:H9661"/>
    <mergeCell ref="J9663:K9663"/>
    <mergeCell ref="G9665:H9665"/>
    <mergeCell ref="G9666:H9666"/>
    <mergeCell ref="G9667:H9667"/>
    <mergeCell ref="J9669:K9669"/>
    <mergeCell ref="G9671:H9671"/>
    <mergeCell ref="G9672:H9672"/>
    <mergeCell ref="G9673:H9673"/>
    <mergeCell ref="J9675:K9675"/>
    <mergeCell ref="G9677:H9677"/>
    <mergeCell ref="G9678:H9678"/>
    <mergeCell ref="G9679:H9679"/>
    <mergeCell ref="J9681:K9681"/>
    <mergeCell ref="G9683:H9683"/>
    <mergeCell ref="G9684:H9684"/>
    <mergeCell ref="G9685:H9685"/>
    <mergeCell ref="J9687:K9687"/>
    <mergeCell ref="G9689:H9689"/>
    <mergeCell ref="G9690:H9690"/>
    <mergeCell ref="G9691:H9691"/>
    <mergeCell ref="G9692:H9692"/>
    <mergeCell ref="G9693:H9693"/>
    <mergeCell ref="G9694:H9694"/>
    <mergeCell ref="G9695:H9695"/>
    <mergeCell ref="G9696:H9696"/>
    <mergeCell ref="G9697:H9697"/>
    <mergeCell ref="J9699:K9699"/>
    <mergeCell ref="G9701:H9701"/>
    <mergeCell ref="G9702:H9702"/>
    <mergeCell ref="G9703:H9703"/>
    <mergeCell ref="G9704:H9704"/>
    <mergeCell ref="G9705:H9705"/>
    <mergeCell ref="G9706:H9706"/>
    <mergeCell ref="G9707:H9707"/>
    <mergeCell ref="G9708:H9708"/>
    <mergeCell ref="J9710:K9710"/>
    <mergeCell ref="G9712:H9712"/>
    <mergeCell ref="G9713:H9713"/>
    <mergeCell ref="G9714:H9714"/>
    <mergeCell ref="G9715:H9715"/>
    <mergeCell ref="G9716:H9716"/>
    <mergeCell ref="G9717:H9717"/>
    <mergeCell ref="J9719:K9719"/>
    <mergeCell ref="G9721:H9721"/>
    <mergeCell ref="G9722:H9722"/>
    <mergeCell ref="G9723:H9723"/>
    <mergeCell ref="G9724:H9724"/>
    <mergeCell ref="G9725:H9725"/>
    <mergeCell ref="G9726:H9726"/>
    <mergeCell ref="G9727:H9727"/>
    <mergeCell ref="G9728:H9728"/>
    <mergeCell ref="G9729:H9729"/>
    <mergeCell ref="G9730:H9730"/>
    <mergeCell ref="G9731:H9731"/>
    <mergeCell ref="G9732:H9732"/>
    <mergeCell ref="G9733:H9733"/>
    <mergeCell ref="G9734:H9734"/>
    <mergeCell ref="G9735:H9735"/>
    <mergeCell ref="G9736:H9736"/>
    <mergeCell ref="G9737:H9737"/>
    <mergeCell ref="J9739:K9739"/>
    <mergeCell ref="G9741:H9741"/>
    <mergeCell ref="G9742:H9742"/>
    <mergeCell ref="G9743:H9743"/>
    <mergeCell ref="G9744:H9744"/>
    <mergeCell ref="G9745:H9745"/>
    <mergeCell ref="G9746:H9746"/>
    <mergeCell ref="G9747:H9747"/>
    <mergeCell ref="G9748:H9748"/>
    <mergeCell ref="G9749:H9749"/>
    <mergeCell ref="G9750:H9750"/>
    <mergeCell ref="J9752:K9752"/>
    <mergeCell ref="G9754:H9754"/>
    <mergeCell ref="G9755:H9755"/>
    <mergeCell ref="G9756:H9756"/>
    <mergeCell ref="G9757:H9757"/>
    <mergeCell ref="G9758:H9758"/>
    <mergeCell ref="J9760:K9760"/>
    <mergeCell ref="G9762:H9762"/>
    <mergeCell ref="G9763:H9763"/>
    <mergeCell ref="G9764:H9764"/>
    <mergeCell ref="G9765:H9765"/>
    <mergeCell ref="G9766:H9766"/>
    <mergeCell ref="J9768:K9768"/>
    <mergeCell ref="G9770:H9770"/>
    <mergeCell ref="G9771:H9771"/>
    <mergeCell ref="G9772:H9772"/>
    <mergeCell ref="G9773:H9773"/>
    <mergeCell ref="G9774:H9774"/>
    <mergeCell ref="G9775:H9775"/>
    <mergeCell ref="J9777:K9777"/>
    <mergeCell ref="G9779:H9779"/>
    <mergeCell ref="G9780:H9780"/>
    <mergeCell ref="G9781:H9781"/>
    <mergeCell ref="G9782:H9782"/>
    <mergeCell ref="G9783:H9783"/>
    <mergeCell ref="G9784:H9784"/>
    <mergeCell ref="G9785:H9785"/>
    <mergeCell ref="G9786:H9786"/>
    <mergeCell ref="G9787:H9787"/>
    <mergeCell ref="G9788:H9788"/>
    <mergeCell ref="J9790:K9790"/>
    <mergeCell ref="G9792:H9792"/>
    <mergeCell ref="G9793:H9793"/>
    <mergeCell ref="G9794:H9794"/>
    <mergeCell ref="G9795:H9795"/>
    <mergeCell ref="G9796:H9796"/>
    <mergeCell ref="J9798:K9798"/>
    <mergeCell ref="G9800:H9800"/>
    <mergeCell ref="G9801:H9801"/>
    <mergeCell ref="G9802:H9802"/>
    <mergeCell ref="G9803:H9803"/>
    <mergeCell ref="G9804:H9804"/>
    <mergeCell ref="J9806:K9806"/>
    <mergeCell ref="G9808:H9808"/>
    <mergeCell ref="G9809:H9809"/>
    <mergeCell ref="G9810:H9810"/>
    <mergeCell ref="G9811:H9811"/>
    <mergeCell ref="G9812:H9812"/>
    <mergeCell ref="G9813:H9813"/>
    <mergeCell ref="G9814:H9814"/>
    <mergeCell ref="G9815:H9815"/>
    <mergeCell ref="G9816:H9816"/>
    <mergeCell ref="G9817:H9817"/>
    <mergeCell ref="J9819:K9819"/>
    <mergeCell ref="G9821:H9821"/>
    <mergeCell ref="G9822:H9822"/>
    <mergeCell ref="G9823:H9823"/>
    <mergeCell ref="G9824:H9824"/>
    <mergeCell ref="G9825:H9825"/>
    <mergeCell ref="G9826:H9826"/>
    <mergeCell ref="G9827:H9827"/>
    <mergeCell ref="G9828:H9828"/>
    <mergeCell ref="G9829:H9829"/>
    <mergeCell ref="G9830:H9830"/>
    <mergeCell ref="J9832:K9832"/>
    <mergeCell ref="G9834:H9834"/>
    <mergeCell ref="G9835:H9835"/>
    <mergeCell ref="G9836:H9836"/>
    <mergeCell ref="G9837:H9837"/>
    <mergeCell ref="G9838:H9838"/>
    <mergeCell ref="G9839:H9839"/>
    <mergeCell ref="G9840:H9840"/>
    <mergeCell ref="G9841:H9841"/>
    <mergeCell ref="J9843:K9843"/>
    <mergeCell ref="G9845:H9845"/>
    <mergeCell ref="G9846:H9846"/>
    <mergeCell ref="G9847:H9847"/>
    <mergeCell ref="G9848:H9848"/>
    <mergeCell ref="G9849:H9849"/>
    <mergeCell ref="G9850:H9850"/>
    <mergeCell ref="G9851:H9851"/>
    <mergeCell ref="G9852:H9852"/>
    <mergeCell ref="J9854:K9854"/>
    <mergeCell ref="G9856:H9856"/>
    <mergeCell ref="G9857:H9857"/>
    <mergeCell ref="G9858:H9858"/>
    <mergeCell ref="G9859:H9859"/>
    <mergeCell ref="G9860:H9860"/>
    <mergeCell ref="G9861:H9861"/>
    <mergeCell ref="G9862:H9862"/>
    <mergeCell ref="G9863:H9863"/>
    <mergeCell ref="J9865:K9865"/>
    <mergeCell ref="G9867:H9867"/>
    <mergeCell ref="G9868:H9868"/>
    <mergeCell ref="G9869:H9869"/>
    <mergeCell ref="G9870:H9870"/>
    <mergeCell ref="G9871:H9871"/>
    <mergeCell ref="G9872:H9872"/>
    <mergeCell ref="G9873:H9873"/>
    <mergeCell ref="G9874:H9874"/>
    <mergeCell ref="J9876:K9876"/>
    <mergeCell ref="G9878:H9878"/>
    <mergeCell ref="G9879:H9879"/>
    <mergeCell ref="G9880:H9880"/>
    <mergeCell ref="G9881:H9881"/>
    <mergeCell ref="G9882:H9882"/>
    <mergeCell ref="G9883:H9883"/>
    <mergeCell ref="G9884:H9884"/>
    <mergeCell ref="G9885:H9885"/>
    <mergeCell ref="J9887:K9887"/>
    <mergeCell ref="G9889:H9889"/>
    <mergeCell ref="G9890:H9890"/>
    <mergeCell ref="G9891:H9891"/>
    <mergeCell ref="G9892:H9892"/>
    <mergeCell ref="G9893:H9893"/>
    <mergeCell ref="G9894:H9894"/>
    <mergeCell ref="G9895:H9895"/>
    <mergeCell ref="J9897:K9897"/>
    <mergeCell ref="G9899:H9899"/>
    <mergeCell ref="G9900:H9900"/>
    <mergeCell ref="G9901:H9901"/>
    <mergeCell ref="G9902:H9902"/>
    <mergeCell ref="J9904:K9904"/>
    <mergeCell ref="G9906:H9906"/>
    <mergeCell ref="G9907:H9907"/>
    <mergeCell ref="G9908:H9908"/>
    <mergeCell ref="G9909:H9909"/>
    <mergeCell ref="G9910:H9910"/>
    <mergeCell ref="G9911:H9911"/>
    <mergeCell ref="G9912:H9912"/>
    <mergeCell ref="G9913:H9913"/>
    <mergeCell ref="J9915:K9915"/>
    <mergeCell ref="G9917:H9917"/>
    <mergeCell ref="G9918:H9918"/>
    <mergeCell ref="G9919:H9919"/>
    <mergeCell ref="G9920:H9920"/>
    <mergeCell ref="G9921:H9921"/>
    <mergeCell ref="G9922:H9922"/>
    <mergeCell ref="G9923:H9923"/>
    <mergeCell ref="G9924:H9924"/>
    <mergeCell ref="G9925:H9925"/>
    <mergeCell ref="G9926:H9926"/>
    <mergeCell ref="J9928:K9928"/>
    <mergeCell ref="G9930:H9930"/>
    <mergeCell ref="G9931:H9931"/>
    <mergeCell ref="G9932:H9932"/>
    <mergeCell ref="G9933:H9933"/>
    <mergeCell ref="G9934:H9934"/>
    <mergeCell ref="G9935:H9935"/>
    <mergeCell ref="G9936:H9936"/>
    <mergeCell ref="G9937:H9937"/>
    <mergeCell ref="G9938:H9938"/>
    <mergeCell ref="G9939:H9939"/>
    <mergeCell ref="J9941:K9941"/>
    <mergeCell ref="G9943:H9943"/>
    <mergeCell ref="G9944:H9944"/>
    <mergeCell ref="G9945:H9945"/>
    <mergeCell ref="G9946:H9946"/>
    <mergeCell ref="G9947:H9947"/>
    <mergeCell ref="J9949:K9949"/>
    <mergeCell ref="G9951:H9951"/>
    <mergeCell ref="G9952:H9952"/>
    <mergeCell ref="G9953:H9953"/>
    <mergeCell ref="G9954:H9954"/>
    <mergeCell ref="G9955:H9955"/>
    <mergeCell ref="G9956:H9956"/>
    <mergeCell ref="J9958:K9958"/>
    <mergeCell ref="G9960:H9960"/>
    <mergeCell ref="G9961:H9961"/>
    <mergeCell ref="G9962:H9962"/>
    <mergeCell ref="J9964:K9964"/>
    <mergeCell ref="G9966:H9966"/>
    <mergeCell ref="G9967:H9967"/>
    <mergeCell ref="G9968:H9968"/>
    <mergeCell ref="G9969:H9969"/>
    <mergeCell ref="G9970:H9970"/>
    <mergeCell ref="J9972:K9972"/>
    <mergeCell ref="G9974:H9974"/>
    <mergeCell ref="G9975:H9975"/>
    <mergeCell ref="G9976:H9976"/>
    <mergeCell ref="G9977:H9977"/>
    <mergeCell ref="J9979:K9979"/>
    <mergeCell ref="G9981:H9981"/>
    <mergeCell ref="G9982:H9982"/>
    <mergeCell ref="G9983:H9983"/>
    <mergeCell ref="G9984:H9984"/>
    <mergeCell ref="G9985:H9985"/>
    <mergeCell ref="G9986:H9986"/>
    <mergeCell ref="J9988:K9988"/>
    <mergeCell ref="G9990:H9990"/>
    <mergeCell ref="G9991:H9991"/>
    <mergeCell ref="G9992:H9992"/>
    <mergeCell ref="G9993:H9993"/>
    <mergeCell ref="G9994:H9994"/>
    <mergeCell ref="J9996:K9996"/>
    <mergeCell ref="G9998:H9998"/>
    <mergeCell ref="G9999:H9999"/>
    <mergeCell ref="G10000:H10000"/>
    <mergeCell ref="G10001:H10001"/>
    <mergeCell ref="G10002:H10002"/>
    <mergeCell ref="G10003:H10003"/>
    <mergeCell ref="G10004:H10004"/>
    <mergeCell ref="G10005:H10005"/>
    <mergeCell ref="G10006:H10006"/>
    <mergeCell ref="J10008:K10008"/>
    <mergeCell ref="G10010:H10010"/>
    <mergeCell ref="G10011:H10011"/>
    <mergeCell ref="G10012:H10012"/>
    <mergeCell ref="G10013:H10013"/>
    <mergeCell ref="G10014:H10014"/>
    <mergeCell ref="G10015:H10015"/>
    <mergeCell ref="G10016:H10016"/>
    <mergeCell ref="G10017:H10017"/>
    <mergeCell ref="G10018:H10018"/>
    <mergeCell ref="G10019:H10019"/>
    <mergeCell ref="J10021:K10021"/>
    <mergeCell ref="G10023:H10023"/>
    <mergeCell ref="G10024:H10024"/>
    <mergeCell ref="G10025:H10025"/>
    <mergeCell ref="G10026:H10026"/>
    <mergeCell ref="G10027:H10027"/>
    <mergeCell ref="G10028:H10028"/>
    <mergeCell ref="G10029:H10029"/>
    <mergeCell ref="G10030:H10030"/>
    <mergeCell ref="G10031:H10031"/>
    <mergeCell ref="G10032:H10032"/>
    <mergeCell ref="J10034:K10034"/>
    <mergeCell ref="G10036:H10036"/>
    <mergeCell ref="G10037:H10037"/>
    <mergeCell ref="G10038:H10038"/>
    <mergeCell ref="G10039:H10039"/>
    <mergeCell ref="G10040:H10040"/>
    <mergeCell ref="J10042:K10042"/>
    <mergeCell ref="G10044:H10044"/>
    <mergeCell ref="G10045:H10045"/>
    <mergeCell ref="G10046:H10046"/>
    <mergeCell ref="G10047:H10047"/>
    <mergeCell ref="G10048:H10048"/>
    <mergeCell ref="J10050:K10050"/>
    <mergeCell ref="G10052:H10052"/>
    <mergeCell ref="G10053:H10053"/>
    <mergeCell ref="G10054:H10054"/>
    <mergeCell ref="G10055:H10055"/>
    <mergeCell ref="G10056:H10056"/>
    <mergeCell ref="J10058:K10058"/>
    <mergeCell ref="G10060:H10060"/>
    <mergeCell ref="G10061:H10061"/>
    <mergeCell ref="G10062:H10062"/>
    <mergeCell ref="G10063:H10063"/>
    <mergeCell ref="G10064:H10064"/>
    <mergeCell ref="G10065:H10065"/>
    <mergeCell ref="G10066:H10066"/>
    <mergeCell ref="J10068:K10068"/>
    <mergeCell ref="G10070:H10070"/>
    <mergeCell ref="G10071:H10071"/>
    <mergeCell ref="G10072:H10072"/>
    <mergeCell ref="J10074:K10074"/>
    <mergeCell ref="G10076:H10076"/>
    <mergeCell ref="G10077:H10077"/>
    <mergeCell ref="G10078:H10078"/>
    <mergeCell ref="J10080:K10080"/>
    <mergeCell ref="G10082:H10082"/>
    <mergeCell ref="G10083:H10083"/>
    <mergeCell ref="G10084:H10084"/>
    <mergeCell ref="J10086:K10086"/>
    <mergeCell ref="G10088:H10088"/>
    <mergeCell ref="G10089:H10089"/>
    <mergeCell ref="G10090:H10090"/>
    <mergeCell ref="J10092:K10092"/>
    <mergeCell ref="G10094:H10094"/>
    <mergeCell ref="G10095:H10095"/>
    <mergeCell ref="G10096:H10096"/>
    <mergeCell ref="G10097:H10097"/>
    <mergeCell ref="J10099:K10099"/>
    <mergeCell ref="G10101:H10101"/>
    <mergeCell ref="G10102:H10102"/>
    <mergeCell ref="G10103:H10103"/>
    <mergeCell ref="G10104:H10104"/>
    <mergeCell ref="G10105:H10105"/>
    <mergeCell ref="G10106:H10106"/>
    <mergeCell ref="J10108:K10108"/>
    <mergeCell ref="G10110:H10110"/>
    <mergeCell ref="G10111:H10111"/>
    <mergeCell ref="G10112:H10112"/>
    <mergeCell ref="G10113:H10113"/>
    <mergeCell ref="G10114:H10114"/>
    <mergeCell ref="G10115:H10115"/>
    <mergeCell ref="G10116:H10116"/>
    <mergeCell ref="G10117:H10117"/>
    <mergeCell ref="J10119:K10119"/>
    <mergeCell ref="G10121:H10121"/>
    <mergeCell ref="G10122:H10122"/>
    <mergeCell ref="G10123:H10123"/>
    <mergeCell ref="G10124:H10124"/>
    <mergeCell ref="J10126:K10126"/>
    <mergeCell ref="G10128:H10128"/>
    <mergeCell ref="G10129:H10129"/>
    <mergeCell ref="G10130:H10130"/>
    <mergeCell ref="G10131:H10131"/>
    <mergeCell ref="J10133:K10133"/>
    <mergeCell ref="G10135:H10135"/>
    <mergeCell ref="G10136:H10136"/>
    <mergeCell ref="G10137:H10137"/>
    <mergeCell ref="G10138:H10138"/>
    <mergeCell ref="J10140:K10140"/>
    <mergeCell ref="G10142:H10142"/>
    <mergeCell ref="G10143:H10143"/>
    <mergeCell ref="G10144:H10144"/>
    <mergeCell ref="G10145:H10145"/>
    <mergeCell ref="J10147:K10147"/>
    <mergeCell ref="G10149:H10149"/>
    <mergeCell ref="G10150:H10150"/>
    <mergeCell ref="G10151:H10151"/>
    <mergeCell ref="J10153:K10153"/>
    <mergeCell ref="G10155:H10155"/>
    <mergeCell ref="G10156:H10156"/>
    <mergeCell ref="G10157:H10157"/>
    <mergeCell ref="G10158:H10158"/>
    <mergeCell ref="G10159:H10159"/>
    <mergeCell ref="G10160:H10160"/>
    <mergeCell ref="G10161:H10161"/>
    <mergeCell ref="G10162:H10162"/>
    <mergeCell ref="J10164:K10164"/>
    <mergeCell ref="G10166:H10166"/>
    <mergeCell ref="G10167:H10167"/>
    <mergeCell ref="G10168:H10168"/>
    <mergeCell ref="G10169:H10169"/>
    <mergeCell ref="J10171:K10171"/>
    <mergeCell ref="G10173:H10173"/>
    <mergeCell ref="G10174:H10174"/>
    <mergeCell ref="G10175:H10175"/>
    <mergeCell ref="G10176:H10176"/>
    <mergeCell ref="J10178:K10178"/>
    <mergeCell ref="G10180:H10180"/>
    <mergeCell ref="G10181:H10181"/>
    <mergeCell ref="G10182:H10182"/>
    <mergeCell ref="G10183:H10183"/>
    <mergeCell ref="J10185:K10185"/>
    <mergeCell ref="G10187:H10187"/>
    <mergeCell ref="G10188:H10188"/>
    <mergeCell ref="G10189:H10189"/>
    <mergeCell ref="G10190:H10190"/>
    <mergeCell ref="J10192:K10192"/>
    <mergeCell ref="G10194:H10194"/>
    <mergeCell ref="G10195:H10195"/>
    <mergeCell ref="G10196:H10196"/>
    <mergeCell ref="J10198:K10198"/>
    <mergeCell ref="G10200:H10200"/>
    <mergeCell ref="G10201:H10201"/>
    <mergeCell ref="G10202:H10202"/>
    <mergeCell ref="G10203:H10203"/>
    <mergeCell ref="G10204:H10204"/>
    <mergeCell ref="J10206:K10206"/>
    <mergeCell ref="G10208:H10208"/>
    <mergeCell ref="G10209:H10209"/>
    <mergeCell ref="G10210:H10210"/>
    <mergeCell ref="G10211:H10211"/>
    <mergeCell ref="G10212:H10212"/>
    <mergeCell ref="G10213:H10213"/>
    <mergeCell ref="G10214:H10214"/>
    <mergeCell ref="G10215:H10215"/>
    <mergeCell ref="G10216:H10216"/>
    <mergeCell ref="G10217:H10217"/>
    <mergeCell ref="J10219:K10219"/>
    <mergeCell ref="G10221:H10221"/>
    <mergeCell ref="G10222:H10222"/>
    <mergeCell ref="G10223:H10223"/>
    <mergeCell ref="G10224:H10224"/>
    <mergeCell ref="G10225:H10225"/>
    <mergeCell ref="G10226:H10226"/>
    <mergeCell ref="G10227:H10227"/>
    <mergeCell ref="G10228:H10228"/>
    <mergeCell ref="G10229:H10229"/>
    <mergeCell ref="J10231:K10231"/>
    <mergeCell ref="G10233:H10233"/>
    <mergeCell ref="G10234:H10234"/>
    <mergeCell ref="G10235:H10235"/>
    <mergeCell ref="G10236:H10236"/>
    <mergeCell ref="G10237:H10237"/>
    <mergeCell ref="G10238:H10238"/>
    <mergeCell ref="J10240:K10240"/>
    <mergeCell ref="G10242:H10242"/>
    <mergeCell ref="G10243:H10243"/>
    <mergeCell ref="G10244:H10244"/>
    <mergeCell ref="G10245:H10245"/>
    <mergeCell ref="G10246:H10246"/>
    <mergeCell ref="J10248:K10248"/>
    <mergeCell ref="G10250:H10250"/>
    <mergeCell ref="G10251:H10251"/>
    <mergeCell ref="G10252:H10252"/>
    <mergeCell ref="G10253:H10253"/>
    <mergeCell ref="G10254:H10254"/>
    <mergeCell ref="J10256:K10256"/>
    <mergeCell ref="G10258:H10258"/>
    <mergeCell ref="G10259:H10259"/>
    <mergeCell ref="G10260:H10260"/>
    <mergeCell ref="G10261:H10261"/>
    <mergeCell ref="G10262:H10262"/>
    <mergeCell ref="G10263:H10263"/>
    <mergeCell ref="G10264:H10264"/>
    <mergeCell ref="G10265:H10265"/>
    <mergeCell ref="G10266:H10266"/>
    <mergeCell ref="G10267:H10267"/>
    <mergeCell ref="J10269:K10269"/>
    <mergeCell ref="G10271:H10271"/>
    <mergeCell ref="G10272:H10272"/>
    <mergeCell ref="G10273:H10273"/>
    <mergeCell ref="G10274:H10274"/>
    <mergeCell ref="G10275:H10275"/>
    <mergeCell ref="G10276:H10276"/>
    <mergeCell ref="G10277:H10277"/>
    <mergeCell ref="G10278:H10278"/>
    <mergeCell ref="J10280:K10280"/>
    <mergeCell ref="G10282:H10282"/>
    <mergeCell ref="G10283:H10283"/>
    <mergeCell ref="G10284:H10284"/>
    <mergeCell ref="G10285:H10285"/>
    <mergeCell ref="G10286:H10286"/>
    <mergeCell ref="G10287:H10287"/>
    <mergeCell ref="G10288:H10288"/>
    <mergeCell ref="G10289:H10289"/>
    <mergeCell ref="J10291:K10291"/>
    <mergeCell ref="G10293:H10293"/>
    <mergeCell ref="G10294:H10294"/>
    <mergeCell ref="G10295:H10295"/>
    <mergeCell ref="G10296:H10296"/>
    <mergeCell ref="G10297:H10297"/>
    <mergeCell ref="G10298:H10298"/>
    <mergeCell ref="J10300:K10300"/>
    <mergeCell ref="G10302:H10302"/>
    <mergeCell ref="G10303:H10303"/>
    <mergeCell ref="G10304:H10304"/>
    <mergeCell ref="G10305:H10305"/>
    <mergeCell ref="G10306:H10306"/>
    <mergeCell ref="G10307:H10307"/>
    <mergeCell ref="J10309:K10309"/>
    <mergeCell ref="G10311:H10311"/>
    <mergeCell ref="G10312:H10312"/>
    <mergeCell ref="G10313:H10313"/>
    <mergeCell ref="G10314:H10314"/>
    <mergeCell ref="J10316:K10316"/>
    <mergeCell ref="G10318:H10318"/>
    <mergeCell ref="G10319:H10319"/>
    <mergeCell ref="G10320:H10320"/>
    <mergeCell ref="G10321:H10321"/>
    <mergeCell ref="G10322:H10322"/>
    <mergeCell ref="J10324:K10324"/>
    <mergeCell ref="G10326:H10326"/>
    <mergeCell ref="G10327:H10327"/>
    <mergeCell ref="G10328:H10328"/>
    <mergeCell ref="J10330:K10330"/>
    <mergeCell ref="G10332:H10332"/>
    <mergeCell ref="G10333:H10333"/>
    <mergeCell ref="G10334:H10334"/>
    <mergeCell ref="G10335:H10335"/>
    <mergeCell ref="G10336:H10336"/>
    <mergeCell ref="G10337:H10337"/>
    <mergeCell ref="G10338:H10338"/>
    <mergeCell ref="G10339:H10339"/>
    <mergeCell ref="J10341:K10341"/>
    <mergeCell ref="G10343:H10343"/>
    <mergeCell ref="G10344:H10344"/>
    <mergeCell ref="G10345:H10345"/>
    <mergeCell ref="G10346:H10346"/>
    <mergeCell ref="G10347:H10347"/>
    <mergeCell ref="G10348:H10348"/>
    <mergeCell ref="G10349:H10349"/>
    <mergeCell ref="G10350:H10350"/>
    <mergeCell ref="J10352:K10352"/>
    <mergeCell ref="G10354:H10354"/>
    <mergeCell ref="G10355:H10355"/>
    <mergeCell ref="G10356:H10356"/>
    <mergeCell ref="G10357:H10357"/>
    <mergeCell ref="J10359:K10359"/>
    <mergeCell ref="G10361:H10361"/>
    <mergeCell ref="G10362:H10362"/>
    <mergeCell ref="G10363:H10363"/>
    <mergeCell ref="J10365:K10365"/>
    <mergeCell ref="G10367:H10367"/>
    <mergeCell ref="G10368:H10368"/>
    <mergeCell ref="G10369:H10369"/>
    <mergeCell ref="G10370:H10370"/>
    <mergeCell ref="G10371:H10371"/>
    <mergeCell ref="G10372:H10372"/>
    <mergeCell ref="G10373:H10373"/>
    <mergeCell ref="G10374:H10374"/>
    <mergeCell ref="G10375:H10375"/>
    <mergeCell ref="G10376:H10376"/>
    <mergeCell ref="J10378:K10378"/>
    <mergeCell ref="G10380:H10380"/>
    <mergeCell ref="G10381:H10381"/>
    <mergeCell ref="G10382:H10382"/>
    <mergeCell ref="G10383:H10383"/>
    <mergeCell ref="G10384:H10384"/>
    <mergeCell ref="J10386:K10386"/>
    <mergeCell ref="G10388:H10388"/>
    <mergeCell ref="G10389:H10389"/>
    <mergeCell ref="G10390:H10390"/>
    <mergeCell ref="G10391:H10391"/>
    <mergeCell ref="G10392:H10392"/>
    <mergeCell ref="G10393:H10393"/>
    <mergeCell ref="J10395:K10395"/>
    <mergeCell ref="G10397:H10397"/>
    <mergeCell ref="G10398:H10398"/>
    <mergeCell ref="G10399:H10399"/>
    <mergeCell ref="J10401:K10401"/>
    <mergeCell ref="G10403:H10403"/>
    <mergeCell ref="G10404:H10404"/>
    <mergeCell ref="G10405:H10405"/>
    <mergeCell ref="J10407:K10407"/>
    <mergeCell ref="G10409:H10409"/>
    <mergeCell ref="G10410:H10410"/>
    <mergeCell ref="G10411:H10411"/>
    <mergeCell ref="J10413:K10413"/>
    <mergeCell ref="G10415:H10415"/>
    <mergeCell ref="G10416:H10416"/>
    <mergeCell ref="G10417:H10417"/>
    <mergeCell ref="G10418:H10418"/>
    <mergeCell ref="G10419:H10419"/>
    <mergeCell ref="G10420:H10420"/>
    <mergeCell ref="G10421:H10421"/>
    <mergeCell ref="G10422:H10422"/>
    <mergeCell ref="G10423:H10423"/>
    <mergeCell ref="G10424:H10424"/>
    <mergeCell ref="J10426:K10426"/>
    <mergeCell ref="G10428:H10428"/>
    <mergeCell ref="G10429:H10429"/>
    <mergeCell ref="G10430:H10430"/>
    <mergeCell ref="G10431:H10431"/>
    <mergeCell ref="J10433:K10433"/>
    <mergeCell ref="G10435:H10435"/>
    <mergeCell ref="G10436:H10436"/>
    <mergeCell ref="G10437:H10437"/>
    <mergeCell ref="G10438:H10438"/>
    <mergeCell ref="G10439:H10439"/>
    <mergeCell ref="G10440:H10440"/>
    <mergeCell ref="G10441:H10441"/>
    <mergeCell ref="G10442:H10442"/>
    <mergeCell ref="J10444:K10444"/>
    <mergeCell ref="G10446:H10446"/>
    <mergeCell ref="G10447:H10447"/>
    <mergeCell ref="G10448:H10448"/>
    <mergeCell ref="G10449:H10449"/>
    <mergeCell ref="G10450:H10450"/>
    <mergeCell ref="J10452:K10452"/>
    <mergeCell ref="G10454:H10454"/>
    <mergeCell ref="G10455:H10455"/>
    <mergeCell ref="G10456:H10456"/>
    <mergeCell ref="G10457:H10457"/>
    <mergeCell ref="G10458:H10458"/>
    <mergeCell ref="G10459:H10459"/>
    <mergeCell ref="G10460:H10460"/>
    <mergeCell ref="G10461:H10461"/>
    <mergeCell ref="G10462:H10462"/>
    <mergeCell ref="J10464:K10464"/>
    <mergeCell ref="G10466:H10466"/>
    <mergeCell ref="G10467:H10467"/>
    <mergeCell ref="G10468:H10468"/>
    <mergeCell ref="G10469:H10469"/>
    <mergeCell ref="G10470:H10470"/>
    <mergeCell ref="J10472:K10472"/>
    <mergeCell ref="G10474:H10474"/>
    <mergeCell ref="G10475:H10475"/>
    <mergeCell ref="G10476:H10476"/>
    <mergeCell ref="G10477:H10477"/>
    <mergeCell ref="G10478:H10478"/>
    <mergeCell ref="G10479:H10479"/>
    <mergeCell ref="G10480:H10480"/>
    <mergeCell ref="G10481:H10481"/>
    <mergeCell ref="G10482:H10482"/>
    <mergeCell ref="G10483:H10483"/>
    <mergeCell ref="J10485:K10485"/>
    <mergeCell ref="G10487:H10487"/>
    <mergeCell ref="G10488:H10488"/>
    <mergeCell ref="G10489:H10489"/>
    <mergeCell ref="G10490:H10490"/>
    <mergeCell ref="G10491:H10491"/>
    <mergeCell ref="G10492:H10492"/>
    <mergeCell ref="G10493:H10493"/>
    <mergeCell ref="G10494:H10494"/>
    <mergeCell ref="G10495:H10495"/>
    <mergeCell ref="G10496:H10496"/>
    <mergeCell ref="J10498:K10498"/>
    <mergeCell ref="G10500:H10500"/>
    <mergeCell ref="G10501:H10501"/>
    <mergeCell ref="G10502:H10502"/>
    <mergeCell ref="G10503:H10503"/>
    <mergeCell ref="G10504:H10504"/>
    <mergeCell ref="G10505:H10505"/>
    <mergeCell ref="G10506:H10506"/>
    <mergeCell ref="G10507:H10507"/>
    <mergeCell ref="G10508:H10508"/>
    <mergeCell ref="G10509:H10509"/>
    <mergeCell ref="J10511:K10511"/>
    <mergeCell ref="G10513:H10513"/>
    <mergeCell ref="G10514:H10514"/>
    <mergeCell ref="G10515:H10515"/>
    <mergeCell ref="G10516:H10516"/>
    <mergeCell ref="G10517:H10517"/>
    <mergeCell ref="G10518:H10518"/>
    <mergeCell ref="G10519:H10519"/>
    <mergeCell ref="G10520:H10520"/>
    <mergeCell ref="G10521:H10521"/>
    <mergeCell ref="G10522:H10522"/>
    <mergeCell ref="J10524:K10524"/>
    <mergeCell ref="G10526:H10526"/>
    <mergeCell ref="G10527:H10527"/>
    <mergeCell ref="G10528:H10528"/>
    <mergeCell ref="J10530:K10530"/>
    <mergeCell ref="G10532:H10532"/>
    <mergeCell ref="G10533:H10533"/>
    <mergeCell ref="G10534:H10534"/>
    <mergeCell ref="G10535:H10535"/>
    <mergeCell ref="G10536:H10536"/>
    <mergeCell ref="G10537:H10537"/>
    <mergeCell ref="J10539:K10539"/>
    <mergeCell ref="G10541:H10541"/>
    <mergeCell ref="G10542:H10542"/>
    <mergeCell ref="G10543:H10543"/>
    <mergeCell ref="G10544:H10544"/>
    <mergeCell ref="G10545:H10545"/>
    <mergeCell ref="G10546:H10546"/>
    <mergeCell ref="G10547:H10547"/>
    <mergeCell ref="G10548:H10548"/>
    <mergeCell ref="G10549:H10549"/>
    <mergeCell ref="G10550:H10550"/>
    <mergeCell ref="J10552:K10552"/>
    <mergeCell ref="G10554:H10554"/>
    <mergeCell ref="G10555:H10555"/>
    <mergeCell ref="G10556:H10556"/>
    <mergeCell ref="G10557:H10557"/>
    <mergeCell ref="G10558:H10558"/>
    <mergeCell ref="G10559:H10559"/>
    <mergeCell ref="G10560:H10560"/>
    <mergeCell ref="G10561:H10561"/>
    <mergeCell ref="G10562:H10562"/>
    <mergeCell ref="G10563:H10563"/>
    <mergeCell ref="J10565:K10565"/>
    <mergeCell ref="G10567:H10567"/>
    <mergeCell ref="G10568:H10568"/>
    <mergeCell ref="G10569:H10569"/>
    <mergeCell ref="G10570:H10570"/>
    <mergeCell ref="G10571:H10571"/>
    <mergeCell ref="G10572:H10572"/>
    <mergeCell ref="G10573:H10573"/>
    <mergeCell ref="G10574:H10574"/>
    <mergeCell ref="G10575:H10575"/>
    <mergeCell ref="G10576:H10576"/>
    <mergeCell ref="J10578:K10578"/>
    <mergeCell ref="G10580:H10580"/>
    <mergeCell ref="G10581:H10581"/>
    <mergeCell ref="G10582:H10582"/>
    <mergeCell ref="G10583:H10583"/>
    <mergeCell ref="G10584:H10584"/>
    <mergeCell ref="G10585:H10585"/>
    <mergeCell ref="G10586:H10586"/>
    <mergeCell ref="G10587:H10587"/>
    <mergeCell ref="G10588:H10588"/>
    <mergeCell ref="G10589:H10589"/>
    <mergeCell ref="J10591:K10591"/>
    <mergeCell ref="G10593:H10593"/>
    <mergeCell ref="G10594:H10594"/>
    <mergeCell ref="G10595:H10595"/>
    <mergeCell ref="G10596:H10596"/>
    <mergeCell ref="J10598:K10598"/>
    <mergeCell ref="G10600:H10600"/>
    <mergeCell ref="G10601:H10601"/>
    <mergeCell ref="G10602:H10602"/>
    <mergeCell ref="G10603:H10603"/>
    <mergeCell ref="G10604:H10604"/>
    <mergeCell ref="G10605:H10605"/>
    <mergeCell ref="J10607:K10607"/>
    <mergeCell ref="G10609:H10609"/>
    <mergeCell ref="G10610:H10610"/>
    <mergeCell ref="G10611:H10611"/>
    <mergeCell ref="J10613:K10613"/>
    <mergeCell ref="G10615:H10615"/>
    <mergeCell ref="G10616:H10616"/>
    <mergeCell ref="G10617:H10617"/>
    <mergeCell ref="J10619:K10619"/>
    <mergeCell ref="G10621:H10621"/>
    <mergeCell ref="G10622:H10622"/>
    <mergeCell ref="G10623:H10623"/>
    <mergeCell ref="J10625:K10625"/>
    <mergeCell ref="G10627:H10627"/>
    <mergeCell ref="G10628:H10628"/>
    <mergeCell ref="G10629:H10629"/>
    <mergeCell ref="J10631:K10631"/>
    <mergeCell ref="G10633:H10633"/>
    <mergeCell ref="G10634:H10634"/>
    <mergeCell ref="G10635:H10635"/>
    <mergeCell ref="G10636:H10636"/>
    <mergeCell ref="G10637:H10637"/>
    <mergeCell ref="G10638:H10638"/>
    <mergeCell ref="G10639:H10639"/>
    <mergeCell ref="G10640:H10640"/>
    <mergeCell ref="G10641:H10641"/>
    <mergeCell ref="G10642:H10642"/>
    <mergeCell ref="J10644:K10644"/>
    <mergeCell ref="G10646:H10646"/>
    <mergeCell ref="G10647:H10647"/>
    <mergeCell ref="G10648:H10648"/>
    <mergeCell ref="G10649:H10649"/>
    <mergeCell ref="G10650:H10650"/>
    <mergeCell ref="G10651:H10651"/>
    <mergeCell ref="G10652:H10652"/>
    <mergeCell ref="G10653:H10653"/>
    <mergeCell ref="G10654:H10654"/>
    <mergeCell ref="G10655:H10655"/>
    <mergeCell ref="J10657:K10657"/>
    <mergeCell ref="G10659:H10659"/>
    <mergeCell ref="G10660:H10660"/>
    <mergeCell ref="G10661:H10661"/>
    <mergeCell ref="G10662:H10662"/>
    <mergeCell ref="G10663:H10663"/>
    <mergeCell ref="G10664:H10664"/>
    <mergeCell ref="G10665:H10665"/>
    <mergeCell ref="G10666:H10666"/>
    <mergeCell ref="G10667:H10667"/>
    <mergeCell ref="G10668:H10668"/>
    <mergeCell ref="J10670:K10670"/>
    <mergeCell ref="G10672:H10672"/>
    <mergeCell ref="G10673:H10673"/>
    <mergeCell ref="G10674:H10674"/>
    <mergeCell ref="G10675:H10675"/>
    <mergeCell ref="G10676:H10676"/>
    <mergeCell ref="G10677:H10677"/>
    <mergeCell ref="G10678:H10678"/>
    <mergeCell ref="G10679:H10679"/>
    <mergeCell ref="G10680:H10680"/>
    <mergeCell ref="G10681:H10681"/>
    <mergeCell ref="J10683:K10683"/>
    <mergeCell ref="G10685:H10685"/>
    <mergeCell ref="G10686:H10686"/>
    <mergeCell ref="G10687:H10687"/>
    <mergeCell ref="G10688:H10688"/>
    <mergeCell ref="G10689:H10689"/>
    <mergeCell ref="G10690:H10690"/>
    <mergeCell ref="G10691:H10691"/>
    <mergeCell ref="G10692:H10692"/>
    <mergeCell ref="G10693:H10693"/>
    <mergeCell ref="G10694:H10694"/>
    <mergeCell ref="J10696:K10696"/>
    <mergeCell ref="G10698:H10698"/>
    <mergeCell ref="G10699:H10699"/>
    <mergeCell ref="G10700:H10700"/>
    <mergeCell ref="G10701:H10701"/>
    <mergeCell ref="G10702:H10702"/>
    <mergeCell ref="G10703:H10703"/>
    <mergeCell ref="G10704:H10704"/>
    <mergeCell ref="G10705:H10705"/>
    <mergeCell ref="G10706:H10706"/>
    <mergeCell ref="G10707:H10707"/>
    <mergeCell ref="G10708:H10708"/>
    <mergeCell ref="J10710:K10710"/>
    <mergeCell ref="G10712:H10712"/>
    <mergeCell ref="G10713:H10713"/>
    <mergeCell ref="G10714:H10714"/>
    <mergeCell ref="G10715:H10715"/>
    <mergeCell ref="G10716:H10716"/>
    <mergeCell ref="G10717:H10717"/>
    <mergeCell ref="G10718:H10718"/>
    <mergeCell ref="G10719:H10719"/>
    <mergeCell ref="G10720:H10720"/>
    <mergeCell ref="G10721:H10721"/>
    <mergeCell ref="G10722:H10722"/>
    <mergeCell ref="J10724:K10724"/>
    <mergeCell ref="G10726:H10726"/>
    <mergeCell ref="G10727:H10727"/>
    <mergeCell ref="G10728:H10728"/>
    <mergeCell ref="G10729:H10729"/>
    <mergeCell ref="G10730:H10730"/>
    <mergeCell ref="G10731:H10731"/>
    <mergeCell ref="G10732:H10732"/>
    <mergeCell ref="G10733:H10733"/>
    <mergeCell ref="G10734:H10734"/>
    <mergeCell ref="G10735:H10735"/>
    <mergeCell ref="J10737:K10737"/>
    <mergeCell ref="G10739:H10739"/>
    <mergeCell ref="G10740:H10740"/>
    <mergeCell ref="G10741:H10741"/>
    <mergeCell ref="J10743:K10743"/>
    <mergeCell ref="G10745:H10745"/>
    <mergeCell ref="G10746:H10746"/>
    <mergeCell ref="G10747:H10747"/>
    <mergeCell ref="J10749:K10749"/>
    <mergeCell ref="G10751:H10751"/>
    <mergeCell ref="G10752:H10752"/>
    <mergeCell ref="G10753:H10753"/>
    <mergeCell ref="G10754:H10754"/>
    <mergeCell ref="G10755:H10755"/>
    <mergeCell ref="G10756:H10756"/>
    <mergeCell ref="G10757:H10757"/>
    <mergeCell ref="G10758:H10758"/>
    <mergeCell ref="G10759:H10759"/>
    <mergeCell ref="G10760:H10760"/>
    <mergeCell ref="G10761:H10761"/>
    <mergeCell ref="G10762:H10762"/>
    <mergeCell ref="G10763:H10763"/>
    <mergeCell ref="G10764:H10764"/>
    <mergeCell ref="G10765:H10765"/>
    <mergeCell ref="G10766:H10766"/>
    <mergeCell ref="J10768:K10768"/>
    <mergeCell ref="G10770:H10770"/>
    <mergeCell ref="G10771:H10771"/>
    <mergeCell ref="G10772:H10772"/>
    <mergeCell ref="G10773:H10773"/>
    <mergeCell ref="G10774:H10774"/>
    <mergeCell ref="G10775:H10775"/>
    <mergeCell ref="G10776:H10776"/>
    <mergeCell ref="G10777:H10777"/>
    <mergeCell ref="G10778:H10778"/>
    <mergeCell ref="G10779:H10779"/>
    <mergeCell ref="G10780:H10780"/>
    <mergeCell ref="G10781:H10781"/>
    <mergeCell ref="G10782:H10782"/>
    <mergeCell ref="G10783:H10783"/>
    <mergeCell ref="G10784:H10784"/>
    <mergeCell ref="G10785:H10785"/>
    <mergeCell ref="J10787:K10787"/>
    <mergeCell ref="G10789:H10789"/>
    <mergeCell ref="G10790:H10790"/>
    <mergeCell ref="G10791:H10791"/>
    <mergeCell ref="G10792:H10792"/>
    <mergeCell ref="G10793:H10793"/>
    <mergeCell ref="G10794:H10794"/>
    <mergeCell ref="G10795:H10795"/>
    <mergeCell ref="G10796:H10796"/>
    <mergeCell ref="G10797:H10797"/>
    <mergeCell ref="G10798:H10798"/>
    <mergeCell ref="J10800:K10800"/>
    <mergeCell ref="G10802:H10802"/>
    <mergeCell ref="G10803:H10803"/>
    <mergeCell ref="G10804:H10804"/>
    <mergeCell ref="G10805:H10805"/>
    <mergeCell ref="J10807:K10807"/>
    <mergeCell ref="G10809:H10809"/>
    <mergeCell ref="G10810:H10810"/>
    <mergeCell ref="G10811:H10811"/>
    <mergeCell ref="G10812:H10812"/>
    <mergeCell ref="J10814:K10814"/>
    <mergeCell ref="G10816:H10816"/>
    <mergeCell ref="G10817:H10817"/>
    <mergeCell ref="G10818:H10818"/>
    <mergeCell ref="G10819:H10819"/>
    <mergeCell ref="G10820:H10820"/>
    <mergeCell ref="G10821:H10821"/>
    <mergeCell ref="J10823:K10823"/>
    <mergeCell ref="G10825:H10825"/>
    <mergeCell ref="G10826:H10826"/>
    <mergeCell ref="G10827:H10827"/>
    <mergeCell ref="J10829:K10829"/>
    <mergeCell ref="G10831:H10831"/>
    <mergeCell ref="G10832:H10832"/>
    <mergeCell ref="G10833:H10833"/>
    <mergeCell ref="J10835:K10835"/>
    <mergeCell ref="G10837:H10837"/>
    <mergeCell ref="G10838:H10838"/>
    <mergeCell ref="G10839:H10839"/>
    <mergeCell ref="J10841:K10841"/>
    <mergeCell ref="G10843:H10843"/>
    <mergeCell ref="G10844:H10844"/>
    <mergeCell ref="G10845:H10845"/>
    <mergeCell ref="J10847:K10847"/>
    <mergeCell ref="G10849:H10849"/>
    <mergeCell ref="G10850:H10850"/>
    <mergeCell ref="G10851:H10851"/>
    <mergeCell ref="G10852:H10852"/>
    <mergeCell ref="J10854:K10854"/>
    <mergeCell ref="G10856:H10856"/>
    <mergeCell ref="G10857:H10857"/>
    <mergeCell ref="G10858:H10858"/>
    <mergeCell ref="G10859:H10859"/>
    <mergeCell ref="G10860:H10860"/>
    <mergeCell ref="G10861:H10861"/>
    <mergeCell ref="J10863:K10863"/>
    <mergeCell ref="G10865:H10865"/>
    <mergeCell ref="G10866:H10866"/>
    <mergeCell ref="G10867:H10867"/>
    <mergeCell ref="J10869:K10869"/>
    <mergeCell ref="G10871:H10871"/>
    <mergeCell ref="G10872:H10872"/>
    <mergeCell ref="G10873:H10873"/>
    <mergeCell ref="J10875:K10875"/>
    <mergeCell ref="G10877:H10877"/>
    <mergeCell ref="G10878:H10878"/>
    <mergeCell ref="G10879:H10879"/>
    <mergeCell ref="J10881:K10881"/>
    <mergeCell ref="G10883:H10883"/>
    <mergeCell ref="G10884:H10884"/>
    <mergeCell ref="G10885:H10885"/>
    <mergeCell ref="J10887:K10887"/>
    <mergeCell ref="G10889:H10889"/>
    <mergeCell ref="G10890:H10890"/>
    <mergeCell ref="G10891:H10891"/>
    <mergeCell ref="G10892:H10892"/>
    <mergeCell ref="G10893:H10893"/>
    <mergeCell ref="J10895:K10895"/>
    <mergeCell ref="G10897:H10897"/>
    <mergeCell ref="G10898:H10898"/>
    <mergeCell ref="G10899:H10899"/>
    <mergeCell ref="G10900:H10900"/>
    <mergeCell ref="G10901:H10901"/>
    <mergeCell ref="J10903:K10903"/>
    <mergeCell ref="G10905:H10905"/>
    <mergeCell ref="G10906:H10906"/>
    <mergeCell ref="G10907:H10907"/>
    <mergeCell ref="G10908:H10908"/>
    <mergeCell ref="G10909:H10909"/>
    <mergeCell ref="J10911:K10911"/>
    <mergeCell ref="G10913:H10913"/>
    <mergeCell ref="G10914:H10914"/>
    <mergeCell ref="G10915:H10915"/>
    <mergeCell ref="G10916:H10916"/>
    <mergeCell ref="G10917:H10917"/>
    <mergeCell ref="J10919:K10919"/>
    <mergeCell ref="G10921:H10921"/>
    <mergeCell ref="G10922:H10922"/>
    <mergeCell ref="G10923:H10923"/>
    <mergeCell ref="G10924:H10924"/>
    <mergeCell ref="G10925:H10925"/>
    <mergeCell ref="G10926:H10926"/>
    <mergeCell ref="J10928:K10928"/>
    <mergeCell ref="G10930:H10930"/>
    <mergeCell ref="G10931:H10931"/>
    <mergeCell ref="G10932:H10932"/>
    <mergeCell ref="G10933:H10933"/>
    <mergeCell ref="G10934:H10934"/>
    <mergeCell ref="G10935:H10935"/>
    <mergeCell ref="J10937:K10937"/>
    <mergeCell ref="G10939:H10939"/>
    <mergeCell ref="G10940:H10940"/>
    <mergeCell ref="G10941:H10941"/>
    <mergeCell ref="G10942:H10942"/>
    <mergeCell ref="G10943:H10943"/>
    <mergeCell ref="G10944:H10944"/>
    <mergeCell ref="G10945:H10945"/>
    <mergeCell ref="J10947:K10947"/>
    <mergeCell ref="G10949:H10949"/>
    <mergeCell ref="G10950:H10950"/>
    <mergeCell ref="G10951:H10951"/>
    <mergeCell ref="G10952:H10952"/>
    <mergeCell ref="G10953:H10953"/>
    <mergeCell ref="G10954:H10954"/>
    <mergeCell ref="J10956:K10956"/>
    <mergeCell ref="G10958:H10958"/>
    <mergeCell ref="G10959:H10959"/>
    <mergeCell ref="G10960:H10960"/>
    <mergeCell ref="G10961:H10961"/>
    <mergeCell ref="G10962:H10962"/>
    <mergeCell ref="G10963:H10963"/>
    <mergeCell ref="J10965:K10965"/>
    <mergeCell ref="G10967:H10967"/>
    <mergeCell ref="G10968:H10968"/>
    <mergeCell ref="G10969:H10969"/>
    <mergeCell ref="G10970:H10970"/>
    <mergeCell ref="G10971:H10971"/>
    <mergeCell ref="J10973:K10973"/>
    <mergeCell ref="G10975:H10975"/>
    <mergeCell ref="G10976:H10976"/>
    <mergeCell ref="G10977:H10977"/>
    <mergeCell ref="G10978:H10978"/>
    <mergeCell ref="G10979:H10979"/>
    <mergeCell ref="G10980:H10980"/>
    <mergeCell ref="J10982:K10982"/>
    <mergeCell ref="G10984:H10984"/>
    <mergeCell ref="G10985:H10985"/>
    <mergeCell ref="G10986:H10986"/>
    <mergeCell ref="G10987:H10987"/>
    <mergeCell ref="J10989:K10989"/>
    <mergeCell ref="G10991:H10991"/>
    <mergeCell ref="G10992:H10992"/>
    <mergeCell ref="G10993:H10993"/>
    <mergeCell ref="G10994:H10994"/>
    <mergeCell ref="G10995:H10995"/>
    <mergeCell ref="G10996:H10996"/>
    <mergeCell ref="J10998:K10998"/>
    <mergeCell ref="G11000:H11000"/>
    <mergeCell ref="G11001:H11001"/>
    <mergeCell ref="G11002:H11002"/>
    <mergeCell ref="G11003:H11003"/>
    <mergeCell ref="G11004:H11004"/>
    <mergeCell ref="J11006:K11006"/>
    <mergeCell ref="G11008:H11008"/>
    <mergeCell ref="G11009:H11009"/>
    <mergeCell ref="G11010:H11010"/>
    <mergeCell ref="G11011:H11011"/>
    <mergeCell ref="G11012:H11012"/>
    <mergeCell ref="G11013:H11013"/>
    <mergeCell ref="G11014:H11014"/>
    <mergeCell ref="J11016:K11016"/>
    <mergeCell ref="G11018:H11018"/>
    <mergeCell ref="G11019:H11019"/>
    <mergeCell ref="G11020:H11020"/>
    <mergeCell ref="J11022:K11022"/>
    <mergeCell ref="G11024:H11024"/>
    <mergeCell ref="G11025:H11025"/>
    <mergeCell ref="G11026:H11026"/>
    <mergeCell ref="J11028:K11028"/>
    <mergeCell ref="G11030:H11030"/>
    <mergeCell ref="G11031:H11031"/>
    <mergeCell ref="G11032:H11032"/>
    <mergeCell ref="J11034:K11034"/>
    <mergeCell ref="G11036:H11036"/>
    <mergeCell ref="G11037:H11037"/>
    <mergeCell ref="G11038:H11038"/>
    <mergeCell ref="J11040:K11040"/>
    <mergeCell ref="G11042:H11042"/>
    <mergeCell ref="G11043:H11043"/>
    <mergeCell ref="G11044:H11044"/>
    <mergeCell ref="G11045:H11045"/>
    <mergeCell ref="J11047:K11047"/>
    <mergeCell ref="G11049:H11049"/>
    <mergeCell ref="G11050:H11050"/>
    <mergeCell ref="G11051:H11051"/>
    <mergeCell ref="G11052:H11052"/>
    <mergeCell ref="G11053:H11053"/>
    <mergeCell ref="J11055:K11055"/>
    <mergeCell ref="G11057:H11057"/>
    <mergeCell ref="G11058:H11058"/>
    <mergeCell ref="G11059:H11059"/>
    <mergeCell ref="G11060:H11060"/>
    <mergeCell ref="G11061:H11061"/>
    <mergeCell ref="G11062:H11062"/>
    <mergeCell ref="G11063:H11063"/>
    <mergeCell ref="J11065:K11065"/>
    <mergeCell ref="G11067:H11067"/>
    <mergeCell ref="G11068:H11068"/>
    <mergeCell ref="G11069:H11069"/>
    <mergeCell ref="J11071:K11071"/>
    <mergeCell ref="G11073:H11073"/>
    <mergeCell ref="G11074:H11074"/>
    <mergeCell ref="G11075:H11075"/>
    <mergeCell ref="J11077:K11077"/>
    <mergeCell ref="G11079:H11079"/>
    <mergeCell ref="G11080:H11080"/>
    <mergeCell ref="G11081:H11081"/>
    <mergeCell ref="J11083:K11083"/>
    <mergeCell ref="G11085:H11085"/>
    <mergeCell ref="G11086:H11086"/>
    <mergeCell ref="G11087:H11087"/>
    <mergeCell ref="J11089:K11089"/>
    <mergeCell ref="G11091:H11091"/>
    <mergeCell ref="G11092:H11092"/>
    <mergeCell ref="G11093:H11093"/>
    <mergeCell ref="G11094:H11094"/>
    <mergeCell ref="G11095:H11095"/>
    <mergeCell ref="G11096:H11096"/>
    <mergeCell ref="G11097:H11097"/>
    <mergeCell ref="G11098:H11098"/>
    <mergeCell ref="G11099:H11099"/>
    <mergeCell ref="G11100:H11100"/>
    <mergeCell ref="J11102:K11102"/>
    <mergeCell ref="G11104:H11104"/>
    <mergeCell ref="G11105:H11105"/>
    <mergeCell ref="G11106:H11106"/>
    <mergeCell ref="G11107:H11107"/>
    <mergeCell ref="G11108:H11108"/>
    <mergeCell ref="G11109:H11109"/>
    <mergeCell ref="G11110:H11110"/>
    <mergeCell ref="G11111:H11111"/>
    <mergeCell ref="G11112:H11112"/>
    <mergeCell ref="G11113:H11113"/>
    <mergeCell ref="J11115:K11115"/>
    <mergeCell ref="G11117:H11117"/>
    <mergeCell ref="G11118:H11118"/>
    <mergeCell ref="G11119:H11119"/>
    <mergeCell ref="G11120:H11120"/>
    <mergeCell ref="G11121:H11121"/>
    <mergeCell ref="G11122:H11122"/>
    <mergeCell ref="G11123:H11123"/>
    <mergeCell ref="G11124:H11124"/>
    <mergeCell ref="G11125:H11125"/>
    <mergeCell ref="G11126:H11126"/>
    <mergeCell ref="J11128:K11128"/>
    <mergeCell ref="G11130:H11130"/>
    <mergeCell ref="G11131:H11131"/>
    <mergeCell ref="G11132:H11132"/>
    <mergeCell ref="J11134:K11134"/>
    <mergeCell ref="G11136:H11136"/>
    <mergeCell ref="G11137:H11137"/>
    <mergeCell ref="G11138:H11138"/>
    <mergeCell ref="G11139:H11139"/>
    <mergeCell ref="G11140:H11140"/>
    <mergeCell ref="G11141:H11141"/>
    <mergeCell ref="G11142:H11142"/>
    <mergeCell ref="G11143:H11143"/>
    <mergeCell ref="G11144:H11144"/>
    <mergeCell ref="G11145:H11145"/>
    <mergeCell ref="J11147:K11147"/>
    <mergeCell ref="G11149:H11149"/>
    <mergeCell ref="G11150:H11150"/>
    <mergeCell ref="G11151:H11151"/>
    <mergeCell ref="G11152:H11152"/>
    <mergeCell ref="G11153:H11153"/>
    <mergeCell ref="G11154:H11154"/>
    <mergeCell ref="G11155:H11155"/>
    <mergeCell ref="J11157:K11157"/>
    <mergeCell ref="G11159:H11159"/>
    <mergeCell ref="G11160:H11160"/>
    <mergeCell ref="G11161:H11161"/>
    <mergeCell ref="G11162:H11162"/>
    <mergeCell ref="G11163:H11163"/>
    <mergeCell ref="G11164:H11164"/>
    <mergeCell ref="J11166:K11166"/>
    <mergeCell ref="G11168:H11168"/>
    <mergeCell ref="G11169:H11169"/>
    <mergeCell ref="G11170:H11170"/>
    <mergeCell ref="G11171:H11171"/>
    <mergeCell ref="G11172:H11172"/>
    <mergeCell ref="J11174:K11174"/>
    <mergeCell ref="G11176:H11176"/>
    <mergeCell ref="G11177:H11177"/>
    <mergeCell ref="G11178:H11178"/>
    <mergeCell ref="G11179:H11179"/>
    <mergeCell ref="G11180:H11180"/>
    <mergeCell ref="G11181:H11181"/>
    <mergeCell ref="G11182:H11182"/>
    <mergeCell ref="G11183:H11183"/>
    <mergeCell ref="J11185:K11185"/>
    <mergeCell ref="G11187:H11187"/>
    <mergeCell ref="G11188:H11188"/>
    <mergeCell ref="G11189:H11189"/>
    <mergeCell ref="G11190:H11190"/>
    <mergeCell ref="G11191:H11191"/>
    <mergeCell ref="G11192:H11192"/>
    <mergeCell ref="G11193:H11193"/>
    <mergeCell ref="G11194:H11194"/>
    <mergeCell ref="J11196:K11196"/>
    <mergeCell ref="G11198:H11198"/>
    <mergeCell ref="G11199:H11199"/>
    <mergeCell ref="G11200:H11200"/>
    <mergeCell ref="G11201:H11201"/>
    <mergeCell ref="G11202:H11202"/>
    <mergeCell ref="G11203:H11203"/>
    <mergeCell ref="G11204:H11204"/>
    <mergeCell ref="G11205:H11205"/>
    <mergeCell ref="G11206:H11206"/>
    <mergeCell ref="G11207:H11207"/>
    <mergeCell ref="J11209:K11209"/>
    <mergeCell ref="G11211:H11211"/>
    <mergeCell ref="G11212:H11212"/>
    <mergeCell ref="G11213:H11213"/>
    <mergeCell ref="G11214:H11214"/>
    <mergeCell ref="G11215:H11215"/>
    <mergeCell ref="J11217:K11217"/>
    <mergeCell ref="G11219:H11219"/>
    <mergeCell ref="G11220:H11220"/>
    <mergeCell ref="G11221:H11221"/>
    <mergeCell ref="G11222:H11222"/>
    <mergeCell ref="J11224:K11224"/>
    <mergeCell ref="G11226:H11226"/>
    <mergeCell ref="G11227:H11227"/>
    <mergeCell ref="G11228:H11228"/>
    <mergeCell ref="G11229:H11229"/>
    <mergeCell ref="G11230:H11230"/>
    <mergeCell ref="J11232:K11232"/>
    <mergeCell ref="G11234:H11234"/>
    <mergeCell ref="G11235:H11235"/>
    <mergeCell ref="G11236:H11236"/>
    <mergeCell ref="G11237:H11237"/>
    <mergeCell ref="G11238:H11238"/>
    <mergeCell ref="J11240:K11240"/>
    <mergeCell ref="G11242:H11242"/>
    <mergeCell ref="G11243:H11243"/>
    <mergeCell ref="G11244:H11244"/>
    <mergeCell ref="G11245:H11245"/>
    <mergeCell ref="G11246:H11246"/>
    <mergeCell ref="J11248:K11248"/>
    <mergeCell ref="G11250:H11250"/>
    <mergeCell ref="G11251:H11251"/>
    <mergeCell ref="G11252:H11252"/>
    <mergeCell ref="G11253:H11253"/>
    <mergeCell ref="G11254:H11254"/>
    <mergeCell ref="G11255:H11255"/>
    <mergeCell ref="G11256:H11256"/>
    <mergeCell ref="G11257:H11257"/>
    <mergeCell ref="J11259:K11259"/>
    <mergeCell ref="G11261:H11261"/>
    <mergeCell ref="G11262:H11262"/>
    <mergeCell ref="G11263:H11263"/>
    <mergeCell ref="G11264:H11264"/>
    <mergeCell ref="G11265:H11265"/>
    <mergeCell ref="G11266:H11266"/>
    <mergeCell ref="G11267:H11267"/>
    <mergeCell ref="G11268:H11268"/>
    <mergeCell ref="J11270:K11270"/>
    <mergeCell ref="G11272:H11272"/>
    <mergeCell ref="G11273:H11273"/>
    <mergeCell ref="G11274:H11274"/>
    <mergeCell ref="G11275:H11275"/>
    <mergeCell ref="G11276:H11276"/>
    <mergeCell ref="G11277:H11277"/>
    <mergeCell ref="J11279:K11279"/>
    <mergeCell ref="G11281:H11281"/>
    <mergeCell ref="G11282:H11282"/>
    <mergeCell ref="G11283:H11283"/>
    <mergeCell ref="G11284:H11284"/>
    <mergeCell ref="G11285:H11285"/>
    <mergeCell ref="J11287:K11287"/>
    <mergeCell ref="G11289:H11289"/>
    <mergeCell ref="G11290:H11290"/>
    <mergeCell ref="G11291:H11291"/>
    <mergeCell ref="G11292:H11292"/>
    <mergeCell ref="G11293:H11293"/>
    <mergeCell ref="G11294:H11294"/>
    <mergeCell ref="G11295:H11295"/>
    <mergeCell ref="J11297:K11297"/>
    <mergeCell ref="G11299:H11299"/>
    <mergeCell ref="G11300:H11300"/>
    <mergeCell ref="G11301:H11301"/>
    <mergeCell ref="J11303:K11303"/>
    <mergeCell ref="G11305:H11305"/>
    <mergeCell ref="G11306:H11306"/>
    <mergeCell ref="G11307:H11307"/>
    <mergeCell ref="J11309:K11309"/>
    <mergeCell ref="G11311:H11311"/>
    <mergeCell ref="G11312:H11312"/>
    <mergeCell ref="G11313:H11313"/>
    <mergeCell ref="J11315:K11315"/>
    <mergeCell ref="G11317:H11317"/>
    <mergeCell ref="G11318:H11318"/>
    <mergeCell ref="G11319:H11319"/>
    <mergeCell ref="J11321:K11321"/>
    <mergeCell ref="G11323:H11323"/>
    <mergeCell ref="G11324:H11324"/>
    <mergeCell ref="G11325:H11325"/>
    <mergeCell ref="G11326:H11326"/>
    <mergeCell ref="G11327:H11327"/>
    <mergeCell ref="G11328:H11328"/>
    <mergeCell ref="G11329:H11329"/>
    <mergeCell ref="G11330:H11330"/>
    <mergeCell ref="G11331:H11331"/>
    <mergeCell ref="G11332:H11332"/>
    <mergeCell ref="J11334:K11334"/>
    <mergeCell ref="G11336:H11336"/>
    <mergeCell ref="G11337:H11337"/>
    <mergeCell ref="G11338:H11338"/>
    <mergeCell ref="G11339:H11339"/>
    <mergeCell ref="G11340:H11340"/>
    <mergeCell ref="G11341:H11341"/>
    <mergeCell ref="J11343:K11343"/>
    <mergeCell ref="G11345:H11345"/>
    <mergeCell ref="G11346:H11346"/>
    <mergeCell ref="G11347:H11347"/>
    <mergeCell ref="G11348:H11348"/>
    <mergeCell ref="G11349:H11349"/>
    <mergeCell ref="G11350:H11350"/>
    <mergeCell ref="J11352:K11352"/>
    <mergeCell ref="G11354:H11354"/>
    <mergeCell ref="G11355:H11355"/>
    <mergeCell ref="G11356:H11356"/>
    <mergeCell ref="G11357:H11357"/>
    <mergeCell ref="G11358:H11358"/>
    <mergeCell ref="G11359:H11359"/>
    <mergeCell ref="J11361:K11361"/>
    <mergeCell ref="G11363:H11363"/>
    <mergeCell ref="G11364:H11364"/>
    <mergeCell ref="G11365:H11365"/>
    <mergeCell ref="G11366:H11366"/>
    <mergeCell ref="G11367:H11367"/>
    <mergeCell ref="G11368:H11368"/>
    <mergeCell ref="J11370:K11370"/>
    <mergeCell ref="G11372:H11372"/>
    <mergeCell ref="G11373:H11373"/>
    <mergeCell ref="G11374:H11374"/>
    <mergeCell ref="G11375:H11375"/>
    <mergeCell ref="G11376:H11376"/>
    <mergeCell ref="G11377:H11377"/>
    <mergeCell ref="J11379:K11379"/>
    <mergeCell ref="G11381:H11381"/>
    <mergeCell ref="G11382:H11382"/>
    <mergeCell ref="G11383:H11383"/>
    <mergeCell ref="G11384:H11384"/>
    <mergeCell ref="G11385:H11385"/>
    <mergeCell ref="G11386:H11386"/>
    <mergeCell ref="J11388:K11388"/>
    <mergeCell ref="G11390:H11390"/>
    <mergeCell ref="G11391:H11391"/>
    <mergeCell ref="G11392:H11392"/>
    <mergeCell ref="G11393:H11393"/>
    <mergeCell ref="G11394:H11394"/>
    <mergeCell ref="G11395:H11395"/>
    <mergeCell ref="J11397:K11397"/>
    <mergeCell ref="G11399:H11399"/>
    <mergeCell ref="G11400:H11400"/>
    <mergeCell ref="G11401:H11401"/>
    <mergeCell ref="G11402:H11402"/>
    <mergeCell ref="G11403:H11403"/>
    <mergeCell ref="G11404:H11404"/>
    <mergeCell ref="J11406:K11406"/>
    <mergeCell ref="G11408:H11408"/>
    <mergeCell ref="G11409:H11409"/>
    <mergeCell ref="G11410:H11410"/>
    <mergeCell ref="G11411:H11411"/>
    <mergeCell ref="G11412:H11412"/>
    <mergeCell ref="G11413:H11413"/>
    <mergeCell ref="J11415:K11415"/>
    <mergeCell ref="G11417:H11417"/>
    <mergeCell ref="G11418:H11418"/>
    <mergeCell ref="G11419:H11419"/>
    <mergeCell ref="G11420:H11420"/>
    <mergeCell ref="G11421:H11421"/>
    <mergeCell ref="G11422:H11422"/>
    <mergeCell ref="G11423:H11423"/>
    <mergeCell ref="G11424:H11424"/>
    <mergeCell ref="J11426:K11426"/>
    <mergeCell ref="G11428:H11428"/>
    <mergeCell ref="G11429:H11429"/>
    <mergeCell ref="G11430:H11430"/>
    <mergeCell ref="G11431:H11431"/>
    <mergeCell ref="G11432:H11432"/>
    <mergeCell ref="G11433:H11433"/>
    <mergeCell ref="G11434:H11434"/>
    <mergeCell ref="G11435:H11435"/>
    <mergeCell ref="J11437:K11437"/>
    <mergeCell ref="G11439:H11439"/>
    <mergeCell ref="G11440:H11440"/>
    <mergeCell ref="G11441:H11441"/>
    <mergeCell ref="G11442:H11442"/>
    <mergeCell ref="G11443:H11443"/>
    <mergeCell ref="G11444:H11444"/>
    <mergeCell ref="G11445:H11445"/>
    <mergeCell ref="G11446:H11446"/>
    <mergeCell ref="G11447:H11447"/>
    <mergeCell ref="G11448:H11448"/>
    <mergeCell ref="G11449:H11449"/>
    <mergeCell ref="G11450:H11450"/>
    <mergeCell ref="G11451:H11451"/>
    <mergeCell ref="G11452:H11452"/>
    <mergeCell ref="G11453:H11453"/>
    <mergeCell ref="G11454:H11454"/>
    <mergeCell ref="J11456:K11456"/>
    <mergeCell ref="G11458:H11458"/>
    <mergeCell ref="G11459:H11459"/>
    <mergeCell ref="G11460:H11460"/>
    <mergeCell ref="G11461:H11461"/>
    <mergeCell ref="G11462:H11462"/>
    <mergeCell ref="G11463:H11463"/>
    <mergeCell ref="G11464:H11464"/>
    <mergeCell ref="G11465:H11465"/>
    <mergeCell ref="J11467:K11467"/>
    <mergeCell ref="G11469:H11469"/>
    <mergeCell ref="G11470:H11470"/>
    <mergeCell ref="G11471:H11471"/>
    <mergeCell ref="G11472:H11472"/>
    <mergeCell ref="J11474:K11474"/>
    <mergeCell ref="G11476:H11476"/>
    <mergeCell ref="G11477:H11477"/>
    <mergeCell ref="G11478:H11478"/>
    <mergeCell ref="G11479:H11479"/>
    <mergeCell ref="G11480:H11480"/>
    <mergeCell ref="G11481:H11481"/>
    <mergeCell ref="J11483:K11483"/>
    <mergeCell ref="G11485:H11485"/>
    <mergeCell ref="G11486:H11486"/>
    <mergeCell ref="G11487:H11487"/>
    <mergeCell ref="J11489:K11489"/>
    <mergeCell ref="G11491:H11491"/>
    <mergeCell ref="G11492:H11492"/>
    <mergeCell ref="G11493:H11493"/>
    <mergeCell ref="J11495:K11495"/>
    <mergeCell ref="G11497:H11497"/>
    <mergeCell ref="G11498:H11498"/>
    <mergeCell ref="G11499:H11499"/>
    <mergeCell ref="J11501:K11501"/>
    <mergeCell ref="G11503:H11503"/>
    <mergeCell ref="G11504:H11504"/>
    <mergeCell ref="G11505:H11505"/>
    <mergeCell ref="J11507:K11507"/>
    <mergeCell ref="G11509:H11509"/>
    <mergeCell ref="G11510:H11510"/>
    <mergeCell ref="G11511:H11511"/>
    <mergeCell ref="G11512:H11512"/>
    <mergeCell ref="G11513:H11513"/>
    <mergeCell ref="G11514:H11514"/>
    <mergeCell ref="G11515:H11515"/>
    <mergeCell ref="G11516:H11516"/>
    <mergeCell ref="G11517:H11517"/>
    <mergeCell ref="G11518:H11518"/>
    <mergeCell ref="J11520:K11520"/>
    <mergeCell ref="G11522:H11522"/>
    <mergeCell ref="G11523:H11523"/>
    <mergeCell ref="G11524:H11524"/>
    <mergeCell ref="J11526:K11526"/>
    <mergeCell ref="G11528:H11528"/>
    <mergeCell ref="G11529:H11529"/>
    <mergeCell ref="G11530:H11530"/>
    <mergeCell ref="J11532:K11532"/>
    <mergeCell ref="G11534:H11534"/>
    <mergeCell ref="G11535:H11535"/>
    <mergeCell ref="G11536:H11536"/>
    <mergeCell ref="J11538:K11538"/>
    <mergeCell ref="G11540:H11540"/>
    <mergeCell ref="G11541:H11541"/>
    <mergeCell ref="G11542:H11542"/>
    <mergeCell ref="G11543:H11543"/>
    <mergeCell ref="G11544:H11544"/>
    <mergeCell ref="J11546:K11546"/>
    <mergeCell ref="C11549:E11549"/>
    <mergeCell ref="H11549:I11549"/>
    <mergeCell ref="J11549:L11549"/>
    <mergeCell ref="C11550:E11550"/>
    <mergeCell ref="H11550:I11550"/>
    <mergeCell ref="J11550:L11550"/>
    <mergeCell ref="C11551:E11551"/>
    <mergeCell ref="H11551:I11551"/>
    <mergeCell ref="J11551:L11551"/>
    <mergeCell ref="C11553:L11553"/>
  </mergeCells>
  <printOptions horizontalCentered="1"/>
  <pageMargins left="0.511805555555556" right="0.511805555555556" top="0.511805555555556" bottom="0.7875" header="0" footer="0.511811023622047"/>
  <pageSetup paperSize="9" fitToHeight="0" orientation="landscape" horizontalDpi="300" verticalDpi="300"/>
  <headerFooter>
    <oddHeader>&amp;L </oddHeader>
  </headerFooter>
  <drawing r:id="rId1"/>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Z1067"/>
  <sheetViews>
    <sheetView zoomScale="50" zoomScaleNormal="50" topLeftCell="F1" workbookViewId="0">
      <selection activeCell="C6" sqref="C6:F6"/>
    </sheetView>
  </sheetViews>
  <sheetFormatPr defaultColWidth="12.625" defaultRowHeight="14.25"/>
  <cols>
    <col min="1" max="2" width="6.75" style="1" customWidth="1"/>
    <col min="3" max="3" width="8.61666666666667" style="1" customWidth="1"/>
    <col min="4" max="4" width="20.5" style="1" customWidth="1"/>
    <col min="5" max="5" width="8.75" style="1" customWidth="1"/>
    <col min="6" max="6" width="60" style="1" customWidth="1"/>
    <col min="7" max="8" width="9.86666666666667" style="1" customWidth="1"/>
    <col min="9" max="9" width="11.8833333333333" style="1" customWidth="1"/>
    <col min="10" max="11" width="13" style="1" customWidth="1"/>
    <col min="12" max="12" width="12.3666666666667" style="1" customWidth="1"/>
    <col min="13" max="13" width="11.1166666666667" style="1" customWidth="1"/>
    <col min="14" max="17" width="11.8833333333333" style="1" customWidth="1"/>
    <col min="18" max="18" width="15" style="1" customWidth="1"/>
    <col min="19" max="20" width="11.8833333333333" style="1" customWidth="1"/>
    <col min="21" max="21" width="26.75" style="1" customWidth="1"/>
    <col min="22" max="22" width="9" style="1" customWidth="1"/>
    <col min="23" max="23" width="28.8833333333333" style="1" customWidth="1"/>
    <col min="24" max="26" width="8.61666666666667" style="1" customWidth="1"/>
  </cols>
  <sheetData>
    <row r="1" ht="127.5" customHeight="1" spans="1:26">
      <c r="A1" s="422"/>
      <c r="B1" s="423"/>
      <c r="C1" s="6"/>
      <c r="D1" s="424"/>
      <c r="E1" s="6"/>
      <c r="F1" s="6"/>
      <c r="G1" s="6"/>
      <c r="H1" s="6"/>
      <c r="I1" s="447"/>
      <c r="J1" s="43"/>
      <c r="K1" s="43"/>
      <c r="L1" s="6"/>
      <c r="M1" s="6"/>
      <c r="N1" s="6"/>
      <c r="O1" s="6"/>
      <c r="P1" s="6"/>
      <c r="Q1" s="6"/>
      <c r="R1" s="6"/>
      <c r="S1" s="6"/>
      <c r="T1" s="6"/>
      <c r="U1" s="6"/>
      <c r="V1" s="422"/>
      <c r="W1" s="422"/>
      <c r="X1" s="422"/>
      <c r="Y1" s="422"/>
      <c r="Z1" s="422"/>
    </row>
    <row r="2" ht="19.5" customHeight="1" spans="1:26">
      <c r="A2" s="422"/>
      <c r="B2" s="423"/>
      <c r="C2" s="425" t="s">
        <v>6118</v>
      </c>
      <c r="D2" s="425"/>
      <c r="E2" s="425"/>
      <c r="F2" s="425"/>
      <c r="G2" s="425"/>
      <c r="H2" s="425"/>
      <c r="I2" s="425"/>
      <c r="J2" s="425"/>
      <c r="K2" s="425"/>
      <c r="L2" s="425"/>
      <c r="M2" s="425"/>
      <c r="N2" s="6"/>
      <c r="O2" s="6"/>
      <c r="P2" s="6"/>
      <c r="Q2" s="6"/>
      <c r="R2" s="6"/>
      <c r="S2" s="6"/>
      <c r="T2" s="6"/>
      <c r="U2" s="6"/>
      <c r="V2" s="422"/>
      <c r="W2" s="422"/>
      <c r="X2" s="422"/>
      <c r="Y2" s="422"/>
      <c r="Z2" s="422"/>
    </row>
    <row r="3" ht="19.5" customHeight="1" spans="1:26">
      <c r="A3" s="422"/>
      <c r="B3" s="423"/>
      <c r="C3" s="426" t="s">
        <v>1</v>
      </c>
      <c r="D3" s="426"/>
      <c r="E3" s="426"/>
      <c r="F3" s="426"/>
      <c r="G3" s="427" t="s">
        <v>2</v>
      </c>
      <c r="H3" s="427"/>
      <c r="I3" s="427"/>
      <c r="J3" s="448" t="s">
        <v>3</v>
      </c>
      <c r="K3" s="448"/>
      <c r="L3" s="448"/>
      <c r="M3" s="448"/>
      <c r="N3" s="6"/>
      <c r="O3" s="6"/>
      <c r="P3" s="6"/>
      <c r="Q3" s="6"/>
      <c r="R3" s="6"/>
      <c r="S3" s="6"/>
      <c r="T3" s="6"/>
      <c r="U3" s="6"/>
      <c r="V3" s="422"/>
      <c r="W3" s="422"/>
      <c r="X3" s="422"/>
      <c r="Y3" s="422"/>
      <c r="Z3" s="422"/>
    </row>
    <row r="4" ht="19.5" customHeight="1" spans="1:26">
      <c r="A4" s="422"/>
      <c r="B4" s="423"/>
      <c r="C4" s="428" t="s">
        <v>4</v>
      </c>
      <c r="D4" s="428"/>
      <c r="E4" s="428"/>
      <c r="F4" s="428"/>
      <c r="G4" s="429" t="str">
        <f>RESUMO!E14</f>
        <v>PROCESSO: 23069.180351/2025-62</v>
      </c>
      <c r="H4" s="429"/>
      <c r="I4" s="429"/>
      <c r="J4" s="449" t="s">
        <v>6</v>
      </c>
      <c r="K4" s="449"/>
      <c r="L4" s="449"/>
      <c r="M4" s="449"/>
      <c r="N4" s="6"/>
      <c r="O4" s="6"/>
      <c r="P4" s="6"/>
      <c r="Q4" s="6"/>
      <c r="R4" s="6"/>
      <c r="S4" s="6"/>
      <c r="T4" s="6"/>
      <c r="U4" s="6"/>
      <c r="V4" s="422"/>
      <c r="W4" s="422"/>
      <c r="X4" s="422"/>
      <c r="Y4" s="422"/>
      <c r="Z4" s="422"/>
    </row>
    <row r="5" ht="19.5" customHeight="1" spans="1:26">
      <c r="A5" s="422"/>
      <c r="B5" s="423"/>
      <c r="C5" s="428" t="s">
        <v>7</v>
      </c>
      <c r="D5" s="428"/>
      <c r="E5" s="428"/>
      <c r="F5" s="428"/>
      <c r="G5" s="430" t="s">
        <v>8</v>
      </c>
      <c r="H5" s="431" t="s">
        <v>9</v>
      </c>
      <c r="I5" s="431" t="s">
        <v>10</v>
      </c>
      <c r="J5" s="431" t="s">
        <v>11</v>
      </c>
      <c r="K5" s="450"/>
      <c r="L5" s="451" t="s">
        <v>12</v>
      </c>
      <c r="M5" s="451"/>
      <c r="N5" s="6"/>
      <c r="O5" s="6"/>
      <c r="P5" s="6"/>
      <c r="Q5" s="6"/>
      <c r="R5" s="6"/>
      <c r="S5" s="6"/>
      <c r="T5" s="6"/>
      <c r="U5" s="6"/>
      <c r="V5" s="422"/>
      <c r="W5" s="422"/>
      <c r="X5" s="422"/>
      <c r="Y5" s="422"/>
      <c r="Z5" s="422"/>
    </row>
    <row r="6" ht="45" customHeight="1" spans="1:26">
      <c r="A6" s="422"/>
      <c r="B6" s="423"/>
      <c r="C6" s="432" t="str">
        <f>RESUMO!A16</f>
        <v>BASE DE DADOS: SINAPI - 07/2025 - Rio de Janeiro; SBC - 07/2025 - Rio de Janeiro; EMOP - 07/2025 - Rio de Janeiro; SCO - 07/2025 - Rio de Janeiro - DESONERADO</v>
      </c>
      <c r="D6" s="432"/>
      <c r="E6" s="432"/>
      <c r="F6" s="432"/>
      <c r="G6" s="433">
        <f>BDI!$D$66</f>
        <v>0.2549</v>
      </c>
      <c r="H6" s="434">
        <f>BDI_DIF.!D67</f>
        <v>0.1612</v>
      </c>
      <c r="I6" s="452" t="s">
        <v>6119</v>
      </c>
      <c r="J6" s="453">
        <v>45689</v>
      </c>
      <c r="K6" s="454"/>
      <c r="L6" s="455" t="str">
        <f>RESUMO!I16</f>
        <v>R21</v>
      </c>
      <c r="M6" s="455"/>
      <c r="N6" s="456" t="s">
        <v>6120</v>
      </c>
      <c r="O6" s="456"/>
      <c r="P6" s="456"/>
      <c r="Q6" s="456"/>
      <c r="R6" s="456"/>
      <c r="S6" s="456"/>
      <c r="T6" s="456"/>
      <c r="U6" s="456"/>
      <c r="V6" s="422"/>
      <c r="W6" s="422"/>
      <c r="X6" s="422"/>
      <c r="Y6" s="422"/>
      <c r="Z6" s="422"/>
    </row>
    <row r="7" ht="30" customHeight="1" spans="1:26">
      <c r="A7" s="422"/>
      <c r="B7" s="423"/>
      <c r="C7" s="435" t="s">
        <v>62</v>
      </c>
      <c r="D7" s="436" t="s">
        <v>63</v>
      </c>
      <c r="E7" s="437" t="s">
        <v>64</v>
      </c>
      <c r="F7" s="431" t="s">
        <v>65</v>
      </c>
      <c r="G7" s="431" t="s">
        <v>66</v>
      </c>
      <c r="H7" s="437" t="s">
        <v>67</v>
      </c>
      <c r="I7" s="437" t="s">
        <v>68</v>
      </c>
      <c r="J7" s="437" t="s">
        <v>69</v>
      </c>
      <c r="K7" s="437" t="s">
        <v>2880</v>
      </c>
      <c r="L7" s="437" t="s">
        <v>70</v>
      </c>
      <c r="M7" s="457" t="s">
        <v>71</v>
      </c>
      <c r="N7" s="6"/>
      <c r="O7" s="6"/>
      <c r="P7" s="6"/>
      <c r="Q7" s="6"/>
      <c r="R7" s="6"/>
      <c r="S7" s="6"/>
      <c r="T7" s="6"/>
      <c r="U7" s="476"/>
      <c r="V7" s="422"/>
      <c r="W7" s="422"/>
      <c r="X7" s="422"/>
      <c r="Y7" s="422"/>
      <c r="Z7" s="422"/>
    </row>
    <row r="8" ht="12.75" customHeight="1" spans="1:26">
      <c r="A8" s="422"/>
      <c r="B8" s="423" t="str">
        <f>C8</f>
        <v> 1 </v>
      </c>
      <c r="C8" s="438" t="s">
        <v>18</v>
      </c>
      <c r="D8" s="439" t="s">
        <v>74</v>
      </c>
      <c r="E8" s="438"/>
      <c r="F8" s="438" t="s">
        <v>19</v>
      </c>
      <c r="G8" s="439"/>
      <c r="H8" s="440"/>
      <c r="I8" s="440"/>
      <c r="J8" s="440"/>
      <c r="K8" s="440">
        <f>SUM(K9:K26)</f>
        <v>102935.99</v>
      </c>
      <c r="L8" s="440">
        <f>SUM(L9:L26)</f>
        <v>128905.04</v>
      </c>
      <c r="M8" s="458" t="e">
        <f t="shared" ref="M8:M71" si="0">K8/$L$1062</f>
        <v>#N/A</v>
      </c>
      <c r="N8" s="459" t="s">
        <v>6121</v>
      </c>
      <c r="O8" s="460" t="s">
        <v>6122</v>
      </c>
      <c r="P8" s="460" t="s">
        <v>6123</v>
      </c>
      <c r="Q8" s="460" t="s">
        <v>6124</v>
      </c>
      <c r="R8" s="460" t="s">
        <v>6125</v>
      </c>
      <c r="S8" s="460" t="s">
        <v>6126</v>
      </c>
      <c r="T8" s="460"/>
      <c r="U8" s="477"/>
      <c r="V8" s="422"/>
      <c r="W8" s="422"/>
      <c r="X8" s="422"/>
      <c r="Y8" s="422"/>
      <c r="Z8" s="422"/>
    </row>
    <row r="9" ht="57.75" customHeight="1" spans="1:26">
      <c r="A9" s="422" t="str">
        <f t="shared" ref="A9:A26" si="1">B9</f>
        <v> 1 </v>
      </c>
      <c r="B9" s="423" t="str">
        <f t="shared" ref="B9:B26" si="2">B8</f>
        <v> 1 </v>
      </c>
      <c r="C9" s="441" t="s">
        <v>75</v>
      </c>
      <c r="D9" s="442" t="s">
        <v>76</v>
      </c>
      <c r="E9" s="441" t="s">
        <v>77</v>
      </c>
      <c r="F9" s="441" t="s">
        <v>78</v>
      </c>
      <c r="G9" s="442" t="s">
        <v>141</v>
      </c>
      <c r="H9" s="443">
        <v>500</v>
      </c>
      <c r="I9" s="443">
        <f>VLOOKUP(D9,'Orçamento Analitico'!D:L,9,FALSE())</f>
        <v>12.95</v>
      </c>
      <c r="J9" s="443">
        <f t="shared" ref="J9:J26" si="3">ROUNDDOWN(I9*(1+$G$6),2)</f>
        <v>16.25</v>
      </c>
      <c r="K9" s="443">
        <f t="shared" ref="K9:K26" si="4">ROUNDDOWN(H9*I9,2)</f>
        <v>6475</v>
      </c>
      <c r="L9" s="443">
        <f t="shared" ref="L9:L26" si="5">ROUNDDOWN(H9*J9,2)</f>
        <v>8125</v>
      </c>
      <c r="M9" s="461" t="e">
        <f t="shared" si="0"/>
        <v>#N/A</v>
      </c>
      <c r="N9" s="462"/>
      <c r="O9" s="463"/>
      <c r="P9" s="463"/>
      <c r="Q9" s="463"/>
      <c r="R9" s="463"/>
      <c r="S9" s="463"/>
      <c r="T9" s="463"/>
      <c r="U9" s="478"/>
      <c r="V9" s="422"/>
      <c r="W9" s="422"/>
      <c r="X9" s="422"/>
      <c r="Y9" s="422"/>
      <c r="Z9" s="422"/>
    </row>
    <row r="10" ht="57.75" customHeight="1" spans="1:26">
      <c r="A10" s="422" t="str">
        <f t="shared" si="1"/>
        <v> 1 </v>
      </c>
      <c r="B10" s="423" t="str">
        <f t="shared" si="2"/>
        <v> 1 </v>
      </c>
      <c r="C10" s="441" t="s">
        <v>79</v>
      </c>
      <c r="D10" s="442" t="s">
        <v>80</v>
      </c>
      <c r="E10" s="441" t="s">
        <v>77</v>
      </c>
      <c r="F10" s="441" t="s">
        <v>81</v>
      </c>
      <c r="G10" s="442" t="s">
        <v>141</v>
      </c>
      <c r="H10" s="443">
        <v>2500</v>
      </c>
      <c r="I10" s="443">
        <f>VLOOKUP(D10,'Orçamento Analitico'!D:L,9,FALSE())</f>
        <v>9.4</v>
      </c>
      <c r="J10" s="443">
        <f t="shared" si="3"/>
        <v>11.79</v>
      </c>
      <c r="K10" s="443">
        <f t="shared" si="4"/>
        <v>23500</v>
      </c>
      <c r="L10" s="443">
        <f t="shared" si="5"/>
        <v>29475</v>
      </c>
      <c r="M10" s="461" t="e">
        <f t="shared" si="0"/>
        <v>#N/A</v>
      </c>
      <c r="N10" s="462"/>
      <c r="O10" s="463"/>
      <c r="P10" s="463"/>
      <c r="Q10" s="463"/>
      <c r="R10" s="463"/>
      <c r="S10" s="463"/>
      <c r="T10" s="463"/>
      <c r="U10" s="478"/>
      <c r="V10" s="422"/>
      <c r="W10" s="422"/>
      <c r="X10" s="422"/>
      <c r="Y10" s="422"/>
      <c r="Z10" s="422"/>
    </row>
    <row r="11" ht="57.75" customHeight="1" spans="1:26">
      <c r="A11" s="422" t="str">
        <f t="shared" si="1"/>
        <v> 1 </v>
      </c>
      <c r="B11" s="423" t="str">
        <f t="shared" si="2"/>
        <v> 1 </v>
      </c>
      <c r="C11" s="441" t="s">
        <v>82</v>
      </c>
      <c r="D11" s="442" t="s">
        <v>83</v>
      </c>
      <c r="E11" s="441" t="s">
        <v>77</v>
      </c>
      <c r="F11" s="441" t="s">
        <v>84</v>
      </c>
      <c r="G11" s="442" t="s">
        <v>141</v>
      </c>
      <c r="H11" s="443">
        <f>SUM(N11:S11)-SUM(H9:H10)</f>
        <v>5503.41</v>
      </c>
      <c r="I11" s="443">
        <f>VLOOKUP(D11,'Orçamento Analitico'!D:L,9,FALSE())</f>
        <v>7.55</v>
      </c>
      <c r="J11" s="443">
        <f t="shared" si="3"/>
        <v>9.47</v>
      </c>
      <c r="K11" s="443">
        <f t="shared" si="4"/>
        <v>41550.74</v>
      </c>
      <c r="L11" s="443">
        <f t="shared" si="5"/>
        <v>52117.29</v>
      </c>
      <c r="M11" s="461" t="e">
        <f t="shared" si="0"/>
        <v>#N/A</v>
      </c>
      <c r="N11" s="462">
        <v>1612.63</v>
      </c>
      <c r="O11" s="463">
        <v>679.12</v>
      </c>
      <c r="P11" s="463">
        <v>237.1</v>
      </c>
      <c r="Q11" s="463">
        <v>3052.77</v>
      </c>
      <c r="R11" s="463">
        <v>2164.21</v>
      </c>
      <c r="S11" s="463">
        <v>757.58</v>
      </c>
      <c r="T11" s="463"/>
      <c r="U11" s="478"/>
      <c r="V11" s="422"/>
      <c r="W11" s="422"/>
      <c r="X11" s="422"/>
      <c r="Y11" s="422"/>
      <c r="Z11" s="422"/>
    </row>
    <row r="12" ht="57.75" customHeight="1" spans="1:26">
      <c r="A12" s="422" t="str">
        <f t="shared" si="1"/>
        <v> 1 </v>
      </c>
      <c r="B12" s="423" t="str">
        <f t="shared" si="2"/>
        <v> 1 </v>
      </c>
      <c r="C12" s="441" t="s">
        <v>85</v>
      </c>
      <c r="D12" s="442" t="s">
        <v>86</v>
      </c>
      <c r="E12" s="441" t="s">
        <v>77</v>
      </c>
      <c r="F12" s="441" t="s">
        <v>87</v>
      </c>
      <c r="G12" s="442" t="s">
        <v>141</v>
      </c>
      <c r="H12" s="443">
        <v>500</v>
      </c>
      <c r="I12" s="443">
        <f>VLOOKUP(D12,'Orçamento Analitico'!D:L,9,FALSE())</f>
        <v>1.88</v>
      </c>
      <c r="J12" s="443">
        <f t="shared" si="3"/>
        <v>2.35</v>
      </c>
      <c r="K12" s="443">
        <f t="shared" si="4"/>
        <v>940</v>
      </c>
      <c r="L12" s="443">
        <f t="shared" si="5"/>
        <v>1175</v>
      </c>
      <c r="M12" s="461" t="e">
        <f t="shared" si="0"/>
        <v>#N/A</v>
      </c>
      <c r="N12" s="462"/>
      <c r="O12" s="463"/>
      <c r="P12" s="463"/>
      <c r="Q12" s="463"/>
      <c r="R12" s="463"/>
      <c r="S12" s="463"/>
      <c r="T12" s="463"/>
      <c r="U12" s="478"/>
      <c r="V12" s="422"/>
      <c r="W12" s="422"/>
      <c r="X12" s="422"/>
      <c r="Y12" s="422"/>
      <c r="Z12" s="422"/>
    </row>
    <row r="13" ht="47.25" customHeight="1" spans="1:26">
      <c r="A13" s="422" t="str">
        <f t="shared" si="1"/>
        <v> 1 </v>
      </c>
      <c r="B13" s="423" t="str">
        <f t="shared" si="2"/>
        <v> 1 </v>
      </c>
      <c r="C13" s="441" t="s">
        <v>88</v>
      </c>
      <c r="D13" s="442" t="s">
        <v>89</v>
      </c>
      <c r="E13" s="441" t="s">
        <v>77</v>
      </c>
      <c r="F13" s="441" t="s">
        <v>90</v>
      </c>
      <c r="G13" s="442" t="s">
        <v>141</v>
      </c>
      <c r="H13" s="443">
        <v>2500</v>
      </c>
      <c r="I13" s="443">
        <f>VLOOKUP(D13,'Orçamento Analitico'!D:L,9,FALSE())</f>
        <v>1.57</v>
      </c>
      <c r="J13" s="443">
        <f t="shared" si="3"/>
        <v>1.97</v>
      </c>
      <c r="K13" s="443">
        <f t="shared" si="4"/>
        <v>3925</v>
      </c>
      <c r="L13" s="443">
        <f t="shared" si="5"/>
        <v>4925</v>
      </c>
      <c r="M13" s="461" t="e">
        <f t="shared" si="0"/>
        <v>#N/A</v>
      </c>
      <c r="N13" s="462"/>
      <c r="O13" s="463"/>
      <c r="P13" s="463"/>
      <c r="Q13" s="463"/>
      <c r="R13" s="463"/>
      <c r="S13" s="463"/>
      <c r="T13" s="463"/>
      <c r="U13" s="478"/>
      <c r="V13" s="422"/>
      <c r="W13" s="422"/>
      <c r="X13" s="422"/>
      <c r="Y13" s="422"/>
      <c r="Z13" s="422"/>
    </row>
    <row r="14" ht="47.25" customHeight="1" spans="1:26">
      <c r="A14" s="422" t="str">
        <f t="shared" si="1"/>
        <v> 1 </v>
      </c>
      <c r="B14" s="423" t="str">
        <f t="shared" si="2"/>
        <v> 1 </v>
      </c>
      <c r="C14" s="441" t="s">
        <v>91</v>
      </c>
      <c r="D14" s="442" t="s">
        <v>92</v>
      </c>
      <c r="E14" s="441" t="s">
        <v>77</v>
      </c>
      <c r="F14" s="441" t="s">
        <v>93</v>
      </c>
      <c r="G14" s="442" t="s">
        <v>141</v>
      </c>
      <c r="H14" s="443">
        <f>SUM(N14:S14)-SUM(H12:H13)</f>
        <v>5503.41</v>
      </c>
      <c r="I14" s="443">
        <f>VLOOKUP(D14,'Orçamento Analitico'!D:L,9,FALSE())</f>
        <v>0.93</v>
      </c>
      <c r="J14" s="443">
        <f t="shared" si="3"/>
        <v>1.16</v>
      </c>
      <c r="K14" s="443">
        <f t="shared" si="4"/>
        <v>5118.17</v>
      </c>
      <c r="L14" s="443">
        <f t="shared" si="5"/>
        <v>6383.95</v>
      </c>
      <c r="M14" s="461" t="e">
        <f t="shared" si="0"/>
        <v>#N/A</v>
      </c>
      <c r="N14" s="462">
        <f>N11</f>
        <v>1612.63</v>
      </c>
      <c r="O14" s="463">
        <f>O11</f>
        <v>679.12</v>
      </c>
      <c r="P14" s="463">
        <f>P11</f>
        <v>237.1</v>
      </c>
      <c r="Q14" s="463">
        <v>3052.77</v>
      </c>
      <c r="R14" s="463">
        <v>2164.21</v>
      </c>
      <c r="S14" s="463">
        <v>757.58</v>
      </c>
      <c r="T14" s="463"/>
      <c r="U14" s="478"/>
      <c r="V14" s="422"/>
      <c r="W14" s="422"/>
      <c r="X14" s="422"/>
      <c r="Y14" s="422"/>
      <c r="Z14" s="422"/>
    </row>
    <row r="15" ht="47.25" customHeight="1" spans="1:26">
      <c r="A15" s="422" t="str">
        <f t="shared" si="1"/>
        <v> 1 </v>
      </c>
      <c r="B15" s="423" t="str">
        <f t="shared" si="2"/>
        <v> 1 </v>
      </c>
      <c r="C15" s="441" t="s">
        <v>94</v>
      </c>
      <c r="D15" s="442" t="s">
        <v>95</v>
      </c>
      <c r="E15" s="441" t="s">
        <v>77</v>
      </c>
      <c r="F15" s="441" t="s">
        <v>96</v>
      </c>
      <c r="G15" s="442" t="s">
        <v>141</v>
      </c>
      <c r="H15" s="443">
        <v>500</v>
      </c>
      <c r="I15" s="443">
        <f>VLOOKUP(D15,'Orçamento Analitico'!D:L,9,FALSE())</f>
        <v>0.62</v>
      </c>
      <c r="J15" s="443">
        <f t="shared" si="3"/>
        <v>0.77</v>
      </c>
      <c r="K15" s="443">
        <f t="shared" si="4"/>
        <v>310</v>
      </c>
      <c r="L15" s="443">
        <f t="shared" si="5"/>
        <v>385</v>
      </c>
      <c r="M15" s="461" t="e">
        <f t="shared" si="0"/>
        <v>#N/A</v>
      </c>
      <c r="N15" s="462"/>
      <c r="O15" s="463"/>
      <c r="P15" s="463"/>
      <c r="Q15" s="463"/>
      <c r="R15" s="463"/>
      <c r="S15" s="463"/>
      <c r="T15" s="463"/>
      <c r="U15" s="478"/>
      <c r="V15" s="422"/>
      <c r="W15" s="422"/>
      <c r="X15" s="422"/>
      <c r="Y15" s="422"/>
      <c r="Z15" s="422"/>
    </row>
    <row r="16" ht="47.25" customHeight="1" spans="1:26">
      <c r="A16" s="422" t="str">
        <f t="shared" si="1"/>
        <v> 1 </v>
      </c>
      <c r="B16" s="423" t="str">
        <f t="shared" si="2"/>
        <v> 1 </v>
      </c>
      <c r="C16" s="441" t="s">
        <v>97</v>
      </c>
      <c r="D16" s="442" t="s">
        <v>98</v>
      </c>
      <c r="E16" s="441" t="s">
        <v>77</v>
      </c>
      <c r="F16" s="441" t="s">
        <v>99</v>
      </c>
      <c r="G16" s="442" t="s">
        <v>141</v>
      </c>
      <c r="H16" s="443">
        <v>2500</v>
      </c>
      <c r="I16" s="443">
        <f>VLOOKUP(D16,'Orçamento Analitico'!D:L,9,FALSE())</f>
        <v>0.44</v>
      </c>
      <c r="J16" s="443">
        <f t="shared" si="3"/>
        <v>0.55</v>
      </c>
      <c r="K16" s="443">
        <f t="shared" si="4"/>
        <v>1100</v>
      </c>
      <c r="L16" s="443">
        <f t="shared" si="5"/>
        <v>1375</v>
      </c>
      <c r="M16" s="461" t="e">
        <f t="shared" si="0"/>
        <v>#N/A</v>
      </c>
      <c r="N16" s="462"/>
      <c r="O16" s="463"/>
      <c r="P16" s="463"/>
      <c r="Q16" s="463"/>
      <c r="R16" s="463"/>
      <c r="S16" s="463"/>
      <c r="T16" s="463"/>
      <c r="U16" s="478"/>
      <c r="V16" s="422"/>
      <c r="W16" s="422"/>
      <c r="X16" s="422"/>
      <c r="Y16" s="422"/>
      <c r="Z16" s="422"/>
    </row>
    <row r="17" ht="47.25" customHeight="1" spans="1:26">
      <c r="A17" s="422" t="str">
        <f t="shared" si="1"/>
        <v> 1 </v>
      </c>
      <c r="B17" s="423" t="str">
        <f t="shared" si="2"/>
        <v> 1 </v>
      </c>
      <c r="C17" s="441" t="s">
        <v>100</v>
      </c>
      <c r="D17" s="442" t="s">
        <v>101</v>
      </c>
      <c r="E17" s="441" t="s">
        <v>77</v>
      </c>
      <c r="F17" s="441" t="s">
        <v>102</v>
      </c>
      <c r="G17" s="442" t="s">
        <v>141</v>
      </c>
      <c r="H17" s="443">
        <f>SUM(N17:S17)-SUM(H15:H16)</f>
        <v>5503.41</v>
      </c>
      <c r="I17" s="443">
        <f>VLOOKUP(D17,'Orçamento Analitico'!D:L,9,FALSE())</f>
        <v>0.25</v>
      </c>
      <c r="J17" s="443">
        <f t="shared" si="3"/>
        <v>0.31</v>
      </c>
      <c r="K17" s="443">
        <f t="shared" si="4"/>
        <v>1375.85</v>
      </c>
      <c r="L17" s="443">
        <f t="shared" si="5"/>
        <v>1706.05</v>
      </c>
      <c r="M17" s="461" t="e">
        <f t="shared" si="0"/>
        <v>#N/A</v>
      </c>
      <c r="N17" s="462">
        <f>N14</f>
        <v>1612.63</v>
      </c>
      <c r="O17" s="463">
        <f>O14</f>
        <v>679.12</v>
      </c>
      <c r="P17" s="463">
        <f>P14</f>
        <v>237.1</v>
      </c>
      <c r="Q17" s="463">
        <v>3052.77</v>
      </c>
      <c r="R17" s="463">
        <v>2164.21</v>
      </c>
      <c r="S17" s="463">
        <v>757.58</v>
      </c>
      <c r="T17" s="463"/>
      <c r="U17" s="478"/>
      <c r="V17" s="422"/>
      <c r="W17" s="422"/>
      <c r="X17" s="422"/>
      <c r="Y17" s="422"/>
      <c r="Z17" s="422"/>
    </row>
    <row r="18" ht="47.25" customHeight="1" spans="1:26">
      <c r="A18" s="422" t="str">
        <f t="shared" si="1"/>
        <v> 1 </v>
      </c>
      <c r="B18" s="423" t="str">
        <f t="shared" si="2"/>
        <v> 1 </v>
      </c>
      <c r="C18" s="441" t="s">
        <v>103</v>
      </c>
      <c r="D18" s="442" t="s">
        <v>104</v>
      </c>
      <c r="E18" s="441" t="s">
        <v>77</v>
      </c>
      <c r="F18" s="441" t="s">
        <v>105</v>
      </c>
      <c r="G18" s="442" t="s">
        <v>141</v>
      </c>
      <c r="H18" s="443">
        <v>500</v>
      </c>
      <c r="I18" s="443">
        <f>VLOOKUP(D18,'Orçamento Analitico'!D:L,9,FALSE())</f>
        <v>0.93</v>
      </c>
      <c r="J18" s="443">
        <f t="shared" si="3"/>
        <v>1.16</v>
      </c>
      <c r="K18" s="443">
        <f t="shared" si="4"/>
        <v>465</v>
      </c>
      <c r="L18" s="443">
        <f t="shared" si="5"/>
        <v>580</v>
      </c>
      <c r="M18" s="461" t="e">
        <f t="shared" si="0"/>
        <v>#N/A</v>
      </c>
      <c r="N18" s="462"/>
      <c r="O18" s="463"/>
      <c r="P18" s="463"/>
      <c r="Q18" s="463"/>
      <c r="R18" s="463"/>
      <c r="S18" s="463"/>
      <c r="T18" s="463"/>
      <c r="U18" s="478"/>
      <c r="V18" s="422"/>
      <c r="W18" s="422"/>
      <c r="X18" s="422"/>
      <c r="Y18" s="422"/>
      <c r="Z18" s="422"/>
    </row>
    <row r="19" ht="47.25" customHeight="1" spans="1:26">
      <c r="A19" s="422" t="str">
        <f t="shared" si="1"/>
        <v> 1 </v>
      </c>
      <c r="B19" s="423" t="str">
        <f t="shared" si="2"/>
        <v> 1 </v>
      </c>
      <c r="C19" s="441" t="s">
        <v>106</v>
      </c>
      <c r="D19" s="442" t="s">
        <v>107</v>
      </c>
      <c r="E19" s="441" t="s">
        <v>77</v>
      </c>
      <c r="F19" s="441" t="s">
        <v>108</v>
      </c>
      <c r="G19" s="442" t="s">
        <v>141</v>
      </c>
      <c r="H19" s="443">
        <v>2500</v>
      </c>
      <c r="I19" s="443">
        <f>VLOOKUP(D19,'Orçamento Analitico'!D:L,9,FALSE())</f>
        <v>0.51</v>
      </c>
      <c r="J19" s="443">
        <f t="shared" si="3"/>
        <v>0.63</v>
      </c>
      <c r="K19" s="443">
        <f t="shared" si="4"/>
        <v>1275</v>
      </c>
      <c r="L19" s="443">
        <f t="shared" si="5"/>
        <v>1575</v>
      </c>
      <c r="M19" s="461" t="e">
        <f t="shared" si="0"/>
        <v>#N/A</v>
      </c>
      <c r="N19" s="462"/>
      <c r="O19" s="463"/>
      <c r="P19" s="463"/>
      <c r="Q19" s="463"/>
      <c r="R19" s="463"/>
      <c r="S19" s="463"/>
      <c r="T19" s="463"/>
      <c r="U19" s="478"/>
      <c r="V19" s="422"/>
      <c r="W19" s="422"/>
      <c r="X19" s="422"/>
      <c r="Y19" s="422"/>
      <c r="Z19" s="422"/>
    </row>
    <row r="20" ht="47.25" customHeight="1" spans="1:26">
      <c r="A20" s="422" t="str">
        <f t="shared" si="1"/>
        <v> 1 </v>
      </c>
      <c r="B20" s="423" t="str">
        <f t="shared" si="2"/>
        <v> 1 </v>
      </c>
      <c r="C20" s="441" t="s">
        <v>109</v>
      </c>
      <c r="D20" s="442" t="s">
        <v>110</v>
      </c>
      <c r="E20" s="441" t="s">
        <v>77</v>
      </c>
      <c r="F20" s="441" t="s">
        <v>111</v>
      </c>
      <c r="G20" s="442" t="s">
        <v>141</v>
      </c>
      <c r="H20" s="443">
        <f>SUM(N20:S20)-SUM(H18:H19)</f>
        <v>5503.41</v>
      </c>
      <c r="I20" s="443">
        <f>VLOOKUP(D20,'Orçamento Analitico'!D:L,9,FALSE())</f>
        <v>0.25</v>
      </c>
      <c r="J20" s="443">
        <f t="shared" si="3"/>
        <v>0.31</v>
      </c>
      <c r="K20" s="443">
        <f t="shared" si="4"/>
        <v>1375.85</v>
      </c>
      <c r="L20" s="443">
        <f t="shared" si="5"/>
        <v>1706.05</v>
      </c>
      <c r="M20" s="461" t="e">
        <f t="shared" si="0"/>
        <v>#N/A</v>
      </c>
      <c r="N20" s="462">
        <f>N17</f>
        <v>1612.63</v>
      </c>
      <c r="O20" s="463">
        <f>O17</f>
        <v>679.12</v>
      </c>
      <c r="P20" s="463">
        <f>P17</f>
        <v>237.1</v>
      </c>
      <c r="Q20" s="463">
        <v>3052.77</v>
      </c>
      <c r="R20" s="463">
        <v>2164.21</v>
      </c>
      <c r="S20" s="463">
        <v>757.58</v>
      </c>
      <c r="T20" s="463"/>
      <c r="U20" s="478"/>
      <c r="V20" s="422"/>
      <c r="W20" s="422"/>
      <c r="X20" s="422"/>
      <c r="Y20" s="422"/>
      <c r="Z20" s="422"/>
    </row>
    <row r="21" ht="47.25" customHeight="1" spans="1:26">
      <c r="A21" s="422" t="str">
        <f t="shared" si="1"/>
        <v> 1 </v>
      </c>
      <c r="B21" s="423" t="str">
        <f t="shared" si="2"/>
        <v> 1 </v>
      </c>
      <c r="C21" s="441" t="s">
        <v>112</v>
      </c>
      <c r="D21" s="442" t="s">
        <v>113</v>
      </c>
      <c r="E21" s="441" t="s">
        <v>77</v>
      </c>
      <c r="F21" s="441" t="s">
        <v>114</v>
      </c>
      <c r="G21" s="442" t="s">
        <v>141</v>
      </c>
      <c r="H21" s="443">
        <v>500</v>
      </c>
      <c r="I21" s="443">
        <f>VLOOKUP(D21,'Orçamento Analitico'!D:L,9,FALSE())</f>
        <v>1.57</v>
      </c>
      <c r="J21" s="443">
        <f t="shared" si="3"/>
        <v>1.97</v>
      </c>
      <c r="K21" s="443">
        <f t="shared" si="4"/>
        <v>785</v>
      </c>
      <c r="L21" s="443">
        <f t="shared" si="5"/>
        <v>985</v>
      </c>
      <c r="M21" s="461" t="e">
        <f t="shared" si="0"/>
        <v>#N/A</v>
      </c>
      <c r="N21" s="462"/>
      <c r="O21" s="463"/>
      <c r="P21" s="463"/>
      <c r="Q21" s="463"/>
      <c r="R21" s="463"/>
      <c r="S21" s="463"/>
      <c r="T21" s="463"/>
      <c r="U21" s="478"/>
      <c r="V21" s="422"/>
      <c r="W21" s="422"/>
      <c r="X21" s="422"/>
      <c r="Y21" s="422"/>
      <c r="Z21" s="422"/>
    </row>
    <row r="22" ht="47.25" customHeight="1" spans="1:26">
      <c r="A22" s="422" t="str">
        <f t="shared" si="1"/>
        <v> 1 </v>
      </c>
      <c r="B22" s="423" t="str">
        <f t="shared" si="2"/>
        <v> 1 </v>
      </c>
      <c r="C22" s="441" t="s">
        <v>115</v>
      </c>
      <c r="D22" s="442" t="s">
        <v>116</v>
      </c>
      <c r="E22" s="441" t="s">
        <v>77</v>
      </c>
      <c r="F22" s="441" t="s">
        <v>117</v>
      </c>
      <c r="G22" s="442" t="s">
        <v>141</v>
      </c>
      <c r="H22" s="443">
        <v>2500</v>
      </c>
      <c r="I22" s="443">
        <f>VLOOKUP(D22,'Orçamento Analitico'!D:L,9,FALSE())</f>
        <v>0.93</v>
      </c>
      <c r="J22" s="443">
        <f t="shared" si="3"/>
        <v>1.16</v>
      </c>
      <c r="K22" s="443">
        <f t="shared" si="4"/>
        <v>2325</v>
      </c>
      <c r="L22" s="443">
        <f t="shared" si="5"/>
        <v>2900</v>
      </c>
      <c r="M22" s="461" t="e">
        <f t="shared" si="0"/>
        <v>#N/A</v>
      </c>
      <c r="N22" s="462"/>
      <c r="O22" s="463"/>
      <c r="P22" s="463"/>
      <c r="Q22" s="463"/>
      <c r="R22" s="463"/>
      <c r="S22" s="463"/>
      <c r="T22" s="463"/>
      <c r="U22" s="478"/>
      <c r="V22" s="422"/>
      <c r="W22" s="422"/>
      <c r="X22" s="422"/>
      <c r="Y22" s="422"/>
      <c r="Z22" s="422"/>
    </row>
    <row r="23" ht="47.25" customHeight="1" spans="1:26">
      <c r="A23" s="422" t="str">
        <f t="shared" si="1"/>
        <v> 1 </v>
      </c>
      <c r="B23" s="423" t="str">
        <f t="shared" si="2"/>
        <v> 1 </v>
      </c>
      <c r="C23" s="441" t="s">
        <v>118</v>
      </c>
      <c r="D23" s="442" t="s">
        <v>119</v>
      </c>
      <c r="E23" s="441" t="s">
        <v>77</v>
      </c>
      <c r="F23" s="441" t="s">
        <v>120</v>
      </c>
      <c r="G23" s="442" t="s">
        <v>141</v>
      </c>
      <c r="H23" s="443">
        <f>SUM(N23:S23)-SUM(H21:H22)</f>
        <v>5503.41</v>
      </c>
      <c r="I23" s="443">
        <f>VLOOKUP(D23,'Orçamento Analitico'!D:L,9,FALSE())</f>
        <v>0.86</v>
      </c>
      <c r="J23" s="443">
        <f t="shared" si="3"/>
        <v>1.07</v>
      </c>
      <c r="K23" s="443">
        <f t="shared" si="4"/>
        <v>4732.93</v>
      </c>
      <c r="L23" s="443">
        <f t="shared" si="5"/>
        <v>5888.64</v>
      </c>
      <c r="M23" s="461" t="e">
        <f t="shared" si="0"/>
        <v>#N/A</v>
      </c>
      <c r="N23" s="462">
        <f>N20</f>
        <v>1612.63</v>
      </c>
      <c r="O23" s="463">
        <f>O20</f>
        <v>679.12</v>
      </c>
      <c r="P23" s="463">
        <f>P20</f>
        <v>237.1</v>
      </c>
      <c r="Q23" s="463">
        <v>3052.77</v>
      </c>
      <c r="R23" s="463">
        <v>2164.21</v>
      </c>
      <c r="S23" s="463">
        <v>757.58</v>
      </c>
      <c r="T23" s="463"/>
      <c r="U23" s="478"/>
      <c r="V23" s="422"/>
      <c r="W23" s="422"/>
      <c r="X23" s="422"/>
      <c r="Y23" s="422"/>
      <c r="Z23" s="422"/>
    </row>
    <row r="24" ht="47.25" customHeight="1" spans="1:26">
      <c r="A24" s="422" t="str">
        <f t="shared" si="1"/>
        <v> 1 </v>
      </c>
      <c r="B24" s="423" t="str">
        <f t="shared" si="2"/>
        <v> 1 </v>
      </c>
      <c r="C24" s="441" t="s">
        <v>121</v>
      </c>
      <c r="D24" s="442" t="s">
        <v>122</v>
      </c>
      <c r="E24" s="441" t="s">
        <v>77</v>
      </c>
      <c r="F24" s="441" t="s">
        <v>123</v>
      </c>
      <c r="G24" s="442" t="s">
        <v>141</v>
      </c>
      <c r="H24" s="443">
        <v>500</v>
      </c>
      <c r="I24" s="443">
        <f>VLOOKUP(D24,'Orçamento Analitico'!D:L,9,FALSE())</f>
        <v>1.44</v>
      </c>
      <c r="J24" s="443">
        <f t="shared" si="3"/>
        <v>1.8</v>
      </c>
      <c r="K24" s="443">
        <f t="shared" si="4"/>
        <v>720</v>
      </c>
      <c r="L24" s="443">
        <f t="shared" si="5"/>
        <v>900</v>
      </c>
      <c r="M24" s="461" t="e">
        <f t="shared" si="0"/>
        <v>#N/A</v>
      </c>
      <c r="N24" s="462"/>
      <c r="O24" s="463"/>
      <c r="P24" s="463"/>
      <c r="Q24" s="463"/>
      <c r="R24" s="463"/>
      <c r="S24" s="463"/>
      <c r="T24" s="463"/>
      <c r="U24" s="478"/>
      <c r="V24" s="422"/>
      <c r="W24" s="422"/>
      <c r="X24" s="422"/>
      <c r="Y24" s="422"/>
      <c r="Z24" s="422"/>
    </row>
    <row r="25" ht="47.25" customHeight="1" spans="1:26">
      <c r="A25" s="422" t="str">
        <f t="shared" si="1"/>
        <v> 1 </v>
      </c>
      <c r="B25" s="423" t="str">
        <f t="shared" si="2"/>
        <v> 1 </v>
      </c>
      <c r="C25" s="441" t="s">
        <v>124</v>
      </c>
      <c r="D25" s="442" t="s">
        <v>125</v>
      </c>
      <c r="E25" s="441" t="s">
        <v>77</v>
      </c>
      <c r="F25" s="441" t="s">
        <v>126</v>
      </c>
      <c r="G25" s="442" t="s">
        <v>141</v>
      </c>
      <c r="H25" s="443">
        <v>2500</v>
      </c>
      <c r="I25" s="443">
        <f>VLOOKUP(D25,'Orçamento Analitico'!D:L,9,FALSE())</f>
        <v>1.2</v>
      </c>
      <c r="J25" s="443">
        <f t="shared" si="3"/>
        <v>1.5</v>
      </c>
      <c r="K25" s="443">
        <f t="shared" si="4"/>
        <v>3000</v>
      </c>
      <c r="L25" s="443">
        <f t="shared" si="5"/>
        <v>3750</v>
      </c>
      <c r="M25" s="461" t="e">
        <f t="shared" si="0"/>
        <v>#N/A</v>
      </c>
      <c r="N25" s="462"/>
      <c r="O25" s="463"/>
      <c r="P25" s="463"/>
      <c r="Q25" s="463"/>
      <c r="R25" s="463"/>
      <c r="S25" s="463"/>
      <c r="T25" s="463"/>
      <c r="U25" s="478"/>
      <c r="V25" s="422"/>
      <c r="W25" s="422"/>
      <c r="X25" s="422"/>
      <c r="Y25" s="422"/>
      <c r="Z25" s="422"/>
    </row>
    <row r="26" ht="47.25" customHeight="1" spans="1:26">
      <c r="A26" s="422" t="str">
        <f t="shared" si="1"/>
        <v> 1 </v>
      </c>
      <c r="B26" s="423" t="str">
        <f t="shared" si="2"/>
        <v> 1 </v>
      </c>
      <c r="C26" s="441" t="s">
        <v>127</v>
      </c>
      <c r="D26" s="442" t="s">
        <v>128</v>
      </c>
      <c r="E26" s="441" t="s">
        <v>77</v>
      </c>
      <c r="F26" s="441" t="s">
        <v>129</v>
      </c>
      <c r="G26" s="442" t="s">
        <v>141</v>
      </c>
      <c r="H26" s="443">
        <f>SUM(N26:S26)-SUM(H24:H25)</f>
        <v>5503.41</v>
      </c>
      <c r="I26" s="443">
        <f>VLOOKUP(D26,'Orçamento Analitico'!D:L,9,FALSE())</f>
        <v>0.72</v>
      </c>
      <c r="J26" s="443">
        <f t="shared" si="3"/>
        <v>0.9</v>
      </c>
      <c r="K26" s="443">
        <f t="shared" si="4"/>
        <v>3962.45</v>
      </c>
      <c r="L26" s="443">
        <f t="shared" si="5"/>
        <v>4953.06</v>
      </c>
      <c r="M26" s="461" t="e">
        <f t="shared" si="0"/>
        <v>#N/A</v>
      </c>
      <c r="N26" s="462">
        <f>N23</f>
        <v>1612.63</v>
      </c>
      <c r="O26" s="463">
        <f>O23</f>
        <v>679.12</v>
      </c>
      <c r="P26" s="463">
        <f>P23</f>
        <v>237.1</v>
      </c>
      <c r="Q26" s="463">
        <v>3052.77</v>
      </c>
      <c r="R26" s="463">
        <v>2164.21</v>
      </c>
      <c r="S26" s="463">
        <v>757.58</v>
      </c>
      <c r="T26" s="463"/>
      <c r="U26" s="478"/>
      <c r="V26" s="422"/>
      <c r="W26" s="422"/>
      <c r="X26" s="422"/>
      <c r="Y26" s="422"/>
      <c r="Z26" s="422"/>
    </row>
    <row r="27" ht="12.75" customHeight="1" spans="1:26">
      <c r="A27" s="422"/>
      <c r="B27" s="423" t="str">
        <f>C27</f>
        <v> 2 </v>
      </c>
      <c r="C27" s="438" t="s">
        <v>20</v>
      </c>
      <c r="D27" s="439" t="s">
        <v>74</v>
      </c>
      <c r="E27" s="438"/>
      <c r="F27" s="438" t="s">
        <v>21</v>
      </c>
      <c r="G27" s="439"/>
      <c r="H27" s="440"/>
      <c r="I27" s="440"/>
      <c r="J27" s="440"/>
      <c r="K27" s="440">
        <f>SUM(K28)</f>
        <v>1439486.86</v>
      </c>
      <c r="L27" s="440">
        <f>SUM(L28)</f>
        <v>1806412.06</v>
      </c>
      <c r="M27" s="458" t="e">
        <f t="shared" si="0"/>
        <v>#N/A</v>
      </c>
      <c r="N27" s="464"/>
      <c r="O27" s="465"/>
      <c r="P27" s="465"/>
      <c r="Q27" s="465"/>
      <c r="R27" s="465"/>
      <c r="S27" s="465"/>
      <c r="T27" s="465"/>
      <c r="U27" s="479"/>
      <c r="V27" s="422"/>
      <c r="W27" s="422"/>
      <c r="X27" s="422"/>
      <c r="Y27" s="422"/>
      <c r="Z27" s="422"/>
    </row>
    <row r="28" ht="12.75" customHeight="1" spans="1:26">
      <c r="A28" s="422" t="str">
        <f>B28</f>
        <v> 2 </v>
      </c>
      <c r="B28" s="423" t="str">
        <f>B27</f>
        <v> 2 </v>
      </c>
      <c r="C28" s="441" t="s">
        <v>130</v>
      </c>
      <c r="D28" s="442" t="s">
        <v>131</v>
      </c>
      <c r="E28" s="441" t="s">
        <v>132</v>
      </c>
      <c r="F28" s="441" t="s">
        <v>133</v>
      </c>
      <c r="G28" s="442" t="s">
        <v>134</v>
      </c>
      <c r="H28" s="443">
        <f>SUM(N28:S28)</f>
        <v>1</v>
      </c>
      <c r="I28" s="443">
        <f>VLOOKUP(D28,'Orçamento Analitico'!D:L,9,FALSE())</f>
        <v>1439486.86</v>
      </c>
      <c r="J28" s="443">
        <f>ROUNDDOWN(I28*(1+$G$6),2)</f>
        <v>1806412.06</v>
      </c>
      <c r="K28" s="443">
        <f>ROUNDDOWN(H28*I28,2)</f>
        <v>1439486.86</v>
      </c>
      <c r="L28" s="443">
        <f>ROUNDDOWN(H28*J28,2)</f>
        <v>1806412.06</v>
      </c>
      <c r="M28" s="461" t="e">
        <f t="shared" si="0"/>
        <v>#N/A</v>
      </c>
      <c r="N28" s="464">
        <v>1</v>
      </c>
      <c r="O28" s="465"/>
      <c r="P28" s="465"/>
      <c r="Q28" s="465"/>
      <c r="R28" s="465"/>
      <c r="S28" s="465"/>
      <c r="T28" s="465"/>
      <c r="U28" s="479"/>
      <c r="V28" s="422"/>
      <c r="W28" s="422"/>
      <c r="X28" s="422"/>
      <c r="Y28" s="422"/>
      <c r="Z28" s="422"/>
    </row>
    <row r="29" ht="12.75" customHeight="1" spans="1:26">
      <c r="A29" s="422"/>
      <c r="B29" s="423"/>
      <c r="C29" s="438" t="s">
        <v>22</v>
      </c>
      <c r="D29" s="439" t="s">
        <v>74</v>
      </c>
      <c r="E29" s="438"/>
      <c r="F29" s="438" t="s">
        <v>23</v>
      </c>
      <c r="G29" s="439"/>
      <c r="H29" s="440"/>
      <c r="I29" s="440"/>
      <c r="J29" s="440"/>
      <c r="K29" s="440">
        <f>SUM(K30,K32,K35,K73,K99,K106,K108)</f>
        <v>317513.28</v>
      </c>
      <c r="L29" s="440">
        <f>SUM(L30,L32,L35,L73,L99,L106,L108)</f>
        <v>398355.06</v>
      </c>
      <c r="M29" s="458" t="e">
        <f t="shared" si="0"/>
        <v>#N/A</v>
      </c>
      <c r="N29" s="464"/>
      <c r="O29" s="465"/>
      <c r="P29" s="465"/>
      <c r="Q29" s="465"/>
      <c r="R29" s="465"/>
      <c r="S29" s="465"/>
      <c r="T29" s="465"/>
      <c r="U29" s="479"/>
      <c r="V29" s="422"/>
      <c r="W29" s="422"/>
      <c r="X29" s="422"/>
      <c r="Y29" s="422"/>
      <c r="Z29" s="422"/>
    </row>
    <row r="30" ht="12.75" customHeight="1" spans="1:26">
      <c r="A30" s="422"/>
      <c r="B30" s="423" t="str">
        <f>C30</f>
        <v> 3.1 </v>
      </c>
      <c r="C30" s="444" t="s">
        <v>135</v>
      </c>
      <c r="D30" s="445" t="s">
        <v>74</v>
      </c>
      <c r="E30" s="444"/>
      <c r="F30" s="444" t="s">
        <v>6127</v>
      </c>
      <c r="G30" s="445"/>
      <c r="H30" s="446"/>
      <c r="I30" s="446"/>
      <c r="J30" s="466"/>
      <c r="K30" s="466">
        <f>SUMIF(A:A,B30,K:K)</f>
        <v>1500.28</v>
      </c>
      <c r="L30" s="466">
        <f>SUMIF(A:A,C30,L:L)</f>
        <v>1882.69</v>
      </c>
      <c r="M30" s="467" t="e">
        <f t="shared" si="0"/>
        <v>#N/A</v>
      </c>
      <c r="N30" s="464"/>
      <c r="O30" s="465"/>
      <c r="P30" s="465"/>
      <c r="Q30" s="465"/>
      <c r="R30" s="465"/>
      <c r="S30" s="465"/>
      <c r="T30" s="465"/>
      <c r="U30" s="479"/>
      <c r="V30" s="422"/>
      <c r="W30" s="422"/>
      <c r="X30" s="422"/>
      <c r="Y30" s="422"/>
      <c r="Z30" s="422"/>
    </row>
    <row r="31" ht="40.5" customHeight="1" spans="1:26">
      <c r="A31" s="422" t="str">
        <f>B31</f>
        <v> 3.1 </v>
      </c>
      <c r="B31" s="423" t="str">
        <f>B30</f>
        <v> 3.1 </v>
      </c>
      <c r="C31" s="441" t="s">
        <v>137</v>
      </c>
      <c r="D31" s="442" t="s">
        <v>138</v>
      </c>
      <c r="E31" s="441" t="s">
        <v>139</v>
      </c>
      <c r="F31" s="441" t="s">
        <v>140</v>
      </c>
      <c r="G31" s="442" t="s">
        <v>141</v>
      </c>
      <c r="H31" s="443">
        <f>SUM(N31:S31)</f>
        <v>3.15</v>
      </c>
      <c r="I31" s="443">
        <f>VLOOKUP(D31,'Orçamento Analitico'!D:L,9,FALSE())</f>
        <v>476.28</v>
      </c>
      <c r="J31" s="443">
        <f>ROUNDDOWN(I31*(1+$G$6),2)</f>
        <v>597.68</v>
      </c>
      <c r="K31" s="443">
        <f>ROUNDDOWN(H31*I31,2)</f>
        <v>1500.28</v>
      </c>
      <c r="L31" s="443">
        <f>ROUNDDOWN(H31*J31,2)</f>
        <v>1882.69</v>
      </c>
      <c r="M31" s="461" t="e">
        <f t="shared" si="0"/>
        <v>#N/A</v>
      </c>
      <c r="N31" s="464">
        <v>3.15</v>
      </c>
      <c r="O31" s="465"/>
      <c r="P31" s="465"/>
      <c r="Q31" s="465"/>
      <c r="R31" s="465"/>
      <c r="S31" s="465"/>
      <c r="T31" s="465"/>
      <c r="U31" s="479"/>
      <c r="V31" s="422"/>
      <c r="W31" s="422"/>
      <c r="X31" s="422"/>
      <c r="Y31" s="422"/>
      <c r="Z31" s="422"/>
    </row>
    <row r="32" ht="12.75" customHeight="1" spans="1:26">
      <c r="A32" s="422"/>
      <c r="B32" s="423" t="str">
        <f>C32</f>
        <v> 3.2 </v>
      </c>
      <c r="C32" s="444" t="s">
        <v>145</v>
      </c>
      <c r="D32" s="445" t="s">
        <v>74</v>
      </c>
      <c r="E32" s="444"/>
      <c r="F32" s="444" t="s">
        <v>146</v>
      </c>
      <c r="G32" s="445"/>
      <c r="H32" s="446"/>
      <c r="I32" s="446"/>
      <c r="J32" s="466"/>
      <c r="K32" s="466">
        <f>SUMIF(A:A,B32,K:K)</f>
        <v>23554.66</v>
      </c>
      <c r="L32" s="466">
        <f>SUMIF(A:A,C32,L:L)</f>
        <v>29557.93</v>
      </c>
      <c r="M32" s="467" t="e">
        <f t="shared" si="0"/>
        <v>#N/A</v>
      </c>
      <c r="N32" s="464"/>
      <c r="O32" s="465"/>
      <c r="P32" s="465"/>
      <c r="Q32" s="465"/>
      <c r="R32" s="465"/>
      <c r="S32" s="465"/>
      <c r="T32" s="465"/>
      <c r="U32" s="479"/>
      <c r="V32" s="422"/>
      <c r="W32" s="422"/>
      <c r="X32" s="422"/>
      <c r="Y32" s="422"/>
      <c r="Z32" s="422"/>
    </row>
    <row r="33" ht="18.75" customHeight="1" spans="1:26">
      <c r="A33" s="422" t="str">
        <f>B33</f>
        <v> 3.2 </v>
      </c>
      <c r="B33" s="423" t="str">
        <f>B32</f>
        <v> 3.2 </v>
      </c>
      <c r="C33" s="441" t="s">
        <v>147</v>
      </c>
      <c r="D33" s="442" t="s">
        <v>148</v>
      </c>
      <c r="E33" s="441" t="s">
        <v>149</v>
      </c>
      <c r="F33" s="441" t="s">
        <v>150</v>
      </c>
      <c r="G33" s="442" t="s">
        <v>134</v>
      </c>
      <c r="H33" s="443">
        <v>1</v>
      </c>
      <c r="I33" s="443">
        <f>VLOOKUP(D33,'Orçamento Analitico'!D:L,9,FALSE())</f>
        <v>6216.46</v>
      </c>
      <c r="J33" s="443">
        <f>ROUNDDOWN(I33*(1+$G$6),2)</f>
        <v>7801.03</v>
      </c>
      <c r="K33" s="443">
        <f>ROUNDDOWN(H33*I33,2)</f>
        <v>6216.46</v>
      </c>
      <c r="L33" s="443">
        <f>ROUNDDOWN(H33*J33,2)</f>
        <v>7801.03</v>
      </c>
      <c r="M33" s="461" t="e">
        <f t="shared" si="0"/>
        <v>#N/A</v>
      </c>
      <c r="N33" s="464"/>
      <c r="O33" s="465"/>
      <c r="P33" s="465"/>
      <c r="Q33" s="465"/>
      <c r="R33" s="465"/>
      <c r="S33" s="465"/>
      <c r="T33" s="465"/>
      <c r="U33" s="479"/>
      <c r="V33" s="422"/>
      <c r="W33" s="422"/>
      <c r="X33" s="422"/>
      <c r="Y33" s="422"/>
      <c r="Z33" s="422"/>
    </row>
    <row r="34" ht="18.75" customHeight="1" spans="1:26">
      <c r="A34" s="422" t="str">
        <f>B34</f>
        <v> 3.2 </v>
      </c>
      <c r="B34" s="423" t="str">
        <f>B33</f>
        <v> 3.2 </v>
      </c>
      <c r="C34" s="441" t="s">
        <v>151</v>
      </c>
      <c r="D34" s="442" t="s">
        <v>152</v>
      </c>
      <c r="E34" s="441" t="s">
        <v>139</v>
      </c>
      <c r="F34" s="441" t="s">
        <v>153</v>
      </c>
      <c r="G34" s="442" t="s">
        <v>141</v>
      </c>
      <c r="H34" s="443">
        <f>R34</f>
        <v>165</v>
      </c>
      <c r="I34" s="443">
        <f>VLOOKUP(D34,'Orçamento Analitico'!D:L,9,FALSE())</f>
        <v>105.08</v>
      </c>
      <c r="J34" s="443">
        <f>ROUNDDOWN(I34*(1+$G$6),2)</f>
        <v>131.86</v>
      </c>
      <c r="K34" s="443">
        <f>ROUNDDOWN(H34*I34,2)</f>
        <v>17338.2</v>
      </c>
      <c r="L34" s="443">
        <f>ROUNDDOWN(H34*J34,2)</f>
        <v>21756.9</v>
      </c>
      <c r="M34" s="461" t="e">
        <f t="shared" si="0"/>
        <v>#N/A</v>
      </c>
      <c r="N34" s="468">
        <f>250*0.3</f>
        <v>75</v>
      </c>
      <c r="O34" s="469" t="s">
        <v>6128</v>
      </c>
      <c r="P34" s="469">
        <v>2.2</v>
      </c>
      <c r="Q34" s="469" t="s">
        <v>6129</v>
      </c>
      <c r="R34" s="469">
        <f>ROUND(N34*P34,2)</f>
        <v>165</v>
      </c>
      <c r="S34" s="480" t="s">
        <v>6130</v>
      </c>
      <c r="T34" s="481"/>
      <c r="U34" s="482"/>
      <c r="V34" s="422"/>
      <c r="W34" s="422"/>
      <c r="X34" s="422"/>
      <c r="Y34" s="422"/>
      <c r="Z34" s="422"/>
    </row>
    <row r="35" ht="12.75" customHeight="1" spans="1:26">
      <c r="A35" s="422"/>
      <c r="B35" s="423" t="str">
        <f>C35</f>
        <v> 3.3 </v>
      </c>
      <c r="C35" s="444" t="s">
        <v>154</v>
      </c>
      <c r="D35" s="445" t="s">
        <v>74</v>
      </c>
      <c r="E35" s="444"/>
      <c r="F35" s="444" t="s">
        <v>155</v>
      </c>
      <c r="G35" s="445"/>
      <c r="H35" s="446"/>
      <c r="I35" s="446"/>
      <c r="J35" s="466"/>
      <c r="K35" s="466">
        <f>SUMIF(A:A,B35,K:K)</f>
        <v>89745.72</v>
      </c>
      <c r="L35" s="466">
        <f>SUMIF(A:A,C35,L:L)</f>
        <v>112611.56</v>
      </c>
      <c r="M35" s="467" t="e">
        <f t="shared" si="0"/>
        <v>#N/A</v>
      </c>
      <c r="N35" s="470" t="s">
        <v>6131</v>
      </c>
      <c r="O35" s="460"/>
      <c r="P35" s="460"/>
      <c r="Q35" s="460"/>
      <c r="R35" s="460"/>
      <c r="S35" s="460"/>
      <c r="T35" s="460"/>
      <c r="U35" s="477"/>
      <c r="V35" s="422"/>
      <c r="W35" s="422"/>
      <c r="X35" s="422"/>
      <c r="Y35" s="422"/>
      <c r="Z35" s="422"/>
    </row>
    <row r="36" ht="57.75" customHeight="1" spans="1:26">
      <c r="A36" s="422" t="str">
        <f t="shared" ref="A36:A72" si="6">B36</f>
        <v> 3.3 </v>
      </c>
      <c r="B36" s="423" t="str">
        <f t="shared" ref="B36:B72" si="7">B35</f>
        <v> 3.3 </v>
      </c>
      <c r="C36" s="441" t="s">
        <v>156</v>
      </c>
      <c r="D36" s="442" t="s">
        <v>157</v>
      </c>
      <c r="E36" s="441" t="s">
        <v>139</v>
      </c>
      <c r="F36" s="441" t="s">
        <v>158</v>
      </c>
      <c r="G36" s="442" t="s">
        <v>141</v>
      </c>
      <c r="H36" s="443">
        <f>R36</f>
        <v>24</v>
      </c>
      <c r="I36" s="443">
        <f>VLOOKUP(D36,'Orçamento Analitico'!D:L,9,FALSE())</f>
        <v>40.28</v>
      </c>
      <c r="J36" s="443">
        <f t="shared" ref="J36:J72" si="8">ROUNDDOWN(I36*(1+$G$6),2)</f>
        <v>50.54</v>
      </c>
      <c r="K36" s="443">
        <f t="shared" ref="K36:K72" si="9">ROUNDDOWN(H36*I36,2)</f>
        <v>966.72</v>
      </c>
      <c r="L36" s="443">
        <f t="shared" ref="L36:L72" si="10">ROUNDDOWN(H36*J36,2)</f>
        <v>1212.96</v>
      </c>
      <c r="M36" s="461" t="e">
        <f t="shared" si="0"/>
        <v>#N/A</v>
      </c>
      <c r="N36" s="471">
        <v>20</v>
      </c>
      <c r="O36" s="472" t="s">
        <v>6128</v>
      </c>
      <c r="P36" s="472">
        <v>1.2</v>
      </c>
      <c r="Q36" s="472" t="s">
        <v>6129</v>
      </c>
      <c r="R36" s="472">
        <f>ROUNDDOWN(N36*P36,2)</f>
        <v>24</v>
      </c>
      <c r="S36" s="472"/>
      <c r="T36" s="483" t="s">
        <v>6132</v>
      </c>
      <c r="U36" s="484"/>
      <c r="V36" s="422"/>
      <c r="W36" s="422"/>
      <c r="X36" s="422"/>
      <c r="Y36" s="422"/>
      <c r="Z36" s="422"/>
    </row>
    <row r="37" ht="57.75" customHeight="1" spans="1:26">
      <c r="A37" s="422" t="str">
        <f t="shared" si="6"/>
        <v> 3.3 </v>
      </c>
      <c r="B37" s="423" t="str">
        <f t="shared" si="7"/>
        <v> 3.3 </v>
      </c>
      <c r="C37" s="441" t="s">
        <v>159</v>
      </c>
      <c r="D37" s="442" t="s">
        <v>160</v>
      </c>
      <c r="E37" s="441" t="s">
        <v>139</v>
      </c>
      <c r="F37" s="441" t="s">
        <v>161</v>
      </c>
      <c r="G37" s="442" t="s">
        <v>141</v>
      </c>
      <c r="H37" s="443">
        <f>R37</f>
        <v>90</v>
      </c>
      <c r="I37" s="443">
        <f>VLOOKUP(D37,'Orçamento Analitico'!D:L,9,FALSE())</f>
        <v>124.74</v>
      </c>
      <c r="J37" s="443">
        <f t="shared" si="8"/>
        <v>156.53</v>
      </c>
      <c r="K37" s="443">
        <f t="shared" si="9"/>
        <v>11226.6</v>
      </c>
      <c r="L37" s="443">
        <f t="shared" si="10"/>
        <v>14087.7</v>
      </c>
      <c r="M37" s="461" t="e">
        <f t="shared" si="0"/>
        <v>#N/A</v>
      </c>
      <c r="N37" s="473">
        <v>30</v>
      </c>
      <c r="O37" s="474" t="s">
        <v>6128</v>
      </c>
      <c r="P37" s="474">
        <v>3</v>
      </c>
      <c r="Q37" s="474" t="s">
        <v>6129</v>
      </c>
      <c r="R37" s="474">
        <f>ROUNDDOWN(N37*P37,2)</f>
        <v>90</v>
      </c>
      <c r="S37" s="474"/>
      <c r="T37" s="465"/>
      <c r="U37" s="479"/>
      <c r="V37" s="422"/>
      <c r="W37" s="422"/>
      <c r="X37" s="422"/>
      <c r="Y37" s="422"/>
      <c r="Z37" s="422"/>
    </row>
    <row r="38" ht="57.75" customHeight="1" spans="1:26">
      <c r="A38" s="422" t="str">
        <f t="shared" si="6"/>
        <v> 3.3 </v>
      </c>
      <c r="B38" s="423" t="str">
        <f t="shared" si="7"/>
        <v> 3.3 </v>
      </c>
      <c r="C38" s="441" t="s">
        <v>162</v>
      </c>
      <c r="D38" s="442" t="s">
        <v>163</v>
      </c>
      <c r="E38" s="441" t="s">
        <v>139</v>
      </c>
      <c r="F38" s="441" t="s">
        <v>164</v>
      </c>
      <c r="G38" s="442" t="s">
        <v>134</v>
      </c>
      <c r="H38" s="443">
        <f>SUM(N38:U38)</f>
        <v>4</v>
      </c>
      <c r="I38" s="443">
        <f>VLOOKUP(D38,'Orçamento Analitico'!D:L,9,FALSE())</f>
        <v>420.39</v>
      </c>
      <c r="J38" s="443">
        <f t="shared" si="8"/>
        <v>527.54</v>
      </c>
      <c r="K38" s="443">
        <f t="shared" si="9"/>
        <v>1681.56</v>
      </c>
      <c r="L38" s="443">
        <f t="shared" si="10"/>
        <v>2110.16</v>
      </c>
      <c r="M38" s="461" t="e">
        <f t="shared" si="0"/>
        <v>#N/A</v>
      </c>
      <c r="N38" s="464">
        <v>4</v>
      </c>
      <c r="O38" s="465"/>
      <c r="P38" s="465"/>
      <c r="Q38" s="465"/>
      <c r="R38" s="465"/>
      <c r="S38" s="465"/>
      <c r="T38" s="465"/>
      <c r="U38" s="479"/>
      <c r="V38" s="485">
        <f>0.6*2.1</f>
        <v>1.26</v>
      </c>
      <c r="W38" s="422"/>
      <c r="X38" s="422"/>
      <c r="Y38" s="422"/>
      <c r="Z38" s="422"/>
    </row>
    <row r="39" ht="57.75" customHeight="1" spans="1:26">
      <c r="A39" s="422" t="str">
        <f t="shared" si="6"/>
        <v> 3.3 </v>
      </c>
      <c r="B39" s="423" t="str">
        <f t="shared" si="7"/>
        <v> 3.3 </v>
      </c>
      <c r="C39" s="441" t="s">
        <v>165</v>
      </c>
      <c r="D39" s="442" t="s">
        <v>166</v>
      </c>
      <c r="E39" s="441" t="s">
        <v>139</v>
      </c>
      <c r="F39" s="441" t="s">
        <v>167</v>
      </c>
      <c r="G39" s="442" t="s">
        <v>134</v>
      </c>
      <c r="H39" s="443">
        <f>SUM(N39:U39)</f>
        <v>6</v>
      </c>
      <c r="I39" s="443">
        <f>VLOOKUP(D39,'Orçamento Analitico'!D:L,9,FALSE())</f>
        <v>460.96</v>
      </c>
      <c r="J39" s="443">
        <f t="shared" si="8"/>
        <v>578.45</v>
      </c>
      <c r="K39" s="443">
        <f t="shared" si="9"/>
        <v>2765.76</v>
      </c>
      <c r="L39" s="443">
        <f t="shared" si="10"/>
        <v>3470.7</v>
      </c>
      <c r="M39" s="461" t="e">
        <f t="shared" si="0"/>
        <v>#N/A</v>
      </c>
      <c r="N39" s="464">
        <v>6</v>
      </c>
      <c r="O39" s="465"/>
      <c r="P39" s="465"/>
      <c r="Q39" s="465"/>
      <c r="R39" s="465"/>
      <c r="S39" s="465"/>
      <c r="T39" s="465"/>
      <c r="U39" s="479"/>
      <c r="V39" s="485">
        <f>0.8*2.1</f>
        <v>1.68</v>
      </c>
      <c r="W39" s="422"/>
      <c r="X39" s="422"/>
      <c r="Y39" s="422"/>
      <c r="Z39" s="422"/>
    </row>
    <row r="40" ht="57.75" customHeight="1" spans="1:26">
      <c r="A40" s="422" t="str">
        <f t="shared" si="6"/>
        <v> 3.3 </v>
      </c>
      <c r="B40" s="423" t="str">
        <f t="shared" si="7"/>
        <v> 3.3 </v>
      </c>
      <c r="C40" s="441" t="s">
        <v>168</v>
      </c>
      <c r="D40" s="442" t="s">
        <v>169</v>
      </c>
      <c r="E40" s="441" t="s">
        <v>139</v>
      </c>
      <c r="F40" s="441" t="s">
        <v>170</v>
      </c>
      <c r="G40" s="442" t="s">
        <v>134</v>
      </c>
      <c r="H40" s="443">
        <f>SUM(N40:U40)</f>
        <v>6</v>
      </c>
      <c r="I40" s="443">
        <f>VLOOKUP(D40,'Orçamento Analitico'!D:L,9,FALSE())</f>
        <v>139.33</v>
      </c>
      <c r="J40" s="443">
        <f t="shared" si="8"/>
        <v>174.84</v>
      </c>
      <c r="K40" s="443">
        <f t="shared" si="9"/>
        <v>835.98</v>
      </c>
      <c r="L40" s="443">
        <f t="shared" si="10"/>
        <v>1049.04</v>
      </c>
      <c r="M40" s="461" t="e">
        <f t="shared" si="0"/>
        <v>#N/A</v>
      </c>
      <c r="N40" s="464">
        <f>N39</f>
        <v>6</v>
      </c>
      <c r="O40" s="465"/>
      <c r="P40" s="465"/>
      <c r="Q40" s="465"/>
      <c r="R40" s="465"/>
      <c r="S40" s="465"/>
      <c r="T40" s="465"/>
      <c r="U40" s="479"/>
      <c r="V40" s="422"/>
      <c r="W40" s="422"/>
      <c r="X40" s="422"/>
      <c r="Y40" s="422"/>
      <c r="Z40" s="422"/>
    </row>
    <row r="41" ht="57.75" customHeight="1" spans="1:26">
      <c r="A41" s="422" t="str">
        <f t="shared" si="6"/>
        <v> 3.3 </v>
      </c>
      <c r="B41" s="423" t="str">
        <f t="shared" si="7"/>
        <v> 3.3 </v>
      </c>
      <c r="C41" s="441" t="s">
        <v>171</v>
      </c>
      <c r="D41" s="442" t="s">
        <v>172</v>
      </c>
      <c r="E41" s="441" t="s">
        <v>139</v>
      </c>
      <c r="F41" s="441" t="s">
        <v>173</v>
      </c>
      <c r="G41" s="442" t="s">
        <v>134</v>
      </c>
      <c r="H41" s="443">
        <f>SUM(N41:U41)</f>
        <v>4</v>
      </c>
      <c r="I41" s="443">
        <f>VLOOKUP(D41,'Orçamento Analitico'!D:L,9,FALSE())</f>
        <v>136.75</v>
      </c>
      <c r="J41" s="443">
        <f t="shared" si="8"/>
        <v>171.6</v>
      </c>
      <c r="K41" s="443">
        <f t="shared" si="9"/>
        <v>547</v>
      </c>
      <c r="L41" s="443">
        <f t="shared" si="10"/>
        <v>686.4</v>
      </c>
      <c r="M41" s="461" t="e">
        <f t="shared" si="0"/>
        <v>#N/A</v>
      </c>
      <c r="N41" s="464">
        <f>N38</f>
        <v>4</v>
      </c>
      <c r="O41" s="474"/>
      <c r="P41" s="474"/>
      <c r="Q41" s="474"/>
      <c r="R41" s="474"/>
      <c r="S41" s="474"/>
      <c r="T41" s="474"/>
      <c r="U41" s="479"/>
      <c r="V41" s="422"/>
      <c r="W41" s="422"/>
      <c r="X41" s="422"/>
      <c r="Y41" s="422"/>
      <c r="Z41" s="422"/>
    </row>
    <row r="42" ht="57.75" customHeight="1" spans="1:26">
      <c r="A42" s="422" t="str">
        <f t="shared" si="6"/>
        <v> 3.3 </v>
      </c>
      <c r="B42" s="423" t="str">
        <f t="shared" si="7"/>
        <v> 3.3 </v>
      </c>
      <c r="C42" s="441" t="s">
        <v>174</v>
      </c>
      <c r="D42" s="442" t="s">
        <v>175</v>
      </c>
      <c r="E42" s="441" t="s">
        <v>139</v>
      </c>
      <c r="F42" s="441" t="s">
        <v>176</v>
      </c>
      <c r="G42" s="442" t="s">
        <v>141</v>
      </c>
      <c r="H42" s="443">
        <f>T42</f>
        <v>4</v>
      </c>
      <c r="I42" s="443">
        <f>VLOOKUP(D42,'Orçamento Analitico'!D:L,9,FALSE())</f>
        <v>631.07</v>
      </c>
      <c r="J42" s="443">
        <f t="shared" si="8"/>
        <v>791.92</v>
      </c>
      <c r="K42" s="443">
        <f t="shared" si="9"/>
        <v>2524.28</v>
      </c>
      <c r="L42" s="443">
        <f t="shared" si="10"/>
        <v>3167.68</v>
      </c>
      <c r="M42" s="461" t="e">
        <f t="shared" si="0"/>
        <v>#N/A</v>
      </c>
      <c r="N42" s="475">
        <v>4</v>
      </c>
      <c r="O42" s="474" t="s">
        <v>6128</v>
      </c>
      <c r="P42" s="474">
        <v>1</v>
      </c>
      <c r="Q42" s="474" t="s">
        <v>6128</v>
      </c>
      <c r="R42" s="474">
        <v>1</v>
      </c>
      <c r="S42" s="474" t="s">
        <v>6129</v>
      </c>
      <c r="T42" s="474">
        <f>ROUNDDOWN(N42*P42*R42,2)</f>
        <v>4</v>
      </c>
      <c r="U42" s="479"/>
      <c r="V42" s="422"/>
      <c r="W42" s="422"/>
      <c r="X42" s="422"/>
      <c r="Y42" s="422"/>
      <c r="Z42" s="422"/>
    </row>
    <row r="43" ht="57.75" customHeight="1" spans="1:26">
      <c r="A43" s="422" t="str">
        <f t="shared" si="6"/>
        <v> 3.3 </v>
      </c>
      <c r="B43" s="423" t="str">
        <f t="shared" si="7"/>
        <v> 3.3 </v>
      </c>
      <c r="C43" s="441" t="s">
        <v>177</v>
      </c>
      <c r="D43" s="442" t="s">
        <v>178</v>
      </c>
      <c r="E43" s="441" t="s">
        <v>139</v>
      </c>
      <c r="F43" s="441" t="s">
        <v>179</v>
      </c>
      <c r="G43" s="442" t="s">
        <v>141</v>
      </c>
      <c r="H43" s="443">
        <f>T43</f>
        <v>2.16</v>
      </c>
      <c r="I43" s="443">
        <f>VLOOKUP(D43,'Orçamento Analitico'!D:L,9,FALSE())</f>
        <v>1250.46</v>
      </c>
      <c r="J43" s="443">
        <f t="shared" si="8"/>
        <v>1569.2</v>
      </c>
      <c r="K43" s="443">
        <f t="shared" si="9"/>
        <v>2700.99</v>
      </c>
      <c r="L43" s="443">
        <f t="shared" si="10"/>
        <v>3389.47</v>
      </c>
      <c r="M43" s="461" t="e">
        <f t="shared" si="0"/>
        <v>#N/A</v>
      </c>
      <c r="N43" s="475">
        <v>6</v>
      </c>
      <c r="O43" s="474" t="s">
        <v>6128</v>
      </c>
      <c r="P43" s="474">
        <v>0.6</v>
      </c>
      <c r="Q43" s="474" t="s">
        <v>6128</v>
      </c>
      <c r="R43" s="474">
        <v>0.6</v>
      </c>
      <c r="S43" s="474" t="s">
        <v>6129</v>
      </c>
      <c r="T43" s="474">
        <f>ROUNDDOWN(N43*P43*R43,2)</f>
        <v>2.16</v>
      </c>
      <c r="U43" s="479"/>
      <c r="V43" s="422"/>
      <c r="W43" s="422"/>
      <c r="X43" s="422"/>
      <c r="Y43" s="422"/>
      <c r="Z43" s="422"/>
    </row>
    <row r="44" ht="57.75" customHeight="1" spans="1:26">
      <c r="A44" s="422" t="str">
        <f t="shared" si="6"/>
        <v> 3.3 </v>
      </c>
      <c r="B44" s="423" t="str">
        <f t="shared" si="7"/>
        <v> 3.3 </v>
      </c>
      <c r="C44" s="441" t="s">
        <v>180</v>
      </c>
      <c r="D44" s="442" t="s">
        <v>181</v>
      </c>
      <c r="E44" s="441" t="s">
        <v>139</v>
      </c>
      <c r="F44" s="441" t="s">
        <v>182</v>
      </c>
      <c r="G44" s="442" t="s">
        <v>141</v>
      </c>
      <c r="H44" s="443">
        <f>SUM(N44:U44)</f>
        <v>6.16</v>
      </c>
      <c r="I44" s="443">
        <f>VLOOKUP(D44,'Orçamento Analitico'!D:L,9,FALSE())</f>
        <v>202.75</v>
      </c>
      <c r="J44" s="443">
        <f t="shared" si="8"/>
        <v>254.43</v>
      </c>
      <c r="K44" s="443">
        <f t="shared" si="9"/>
        <v>1248.94</v>
      </c>
      <c r="L44" s="443">
        <f t="shared" si="10"/>
        <v>1567.28</v>
      </c>
      <c r="M44" s="461" t="e">
        <f t="shared" si="0"/>
        <v>#N/A</v>
      </c>
      <c r="N44" s="464"/>
      <c r="O44" s="465"/>
      <c r="P44" s="465"/>
      <c r="Q44" s="465"/>
      <c r="R44" s="465"/>
      <c r="S44" s="474" t="s">
        <v>6129</v>
      </c>
      <c r="T44" s="474">
        <f>SUM(T42:T43)</f>
        <v>6.16</v>
      </c>
      <c r="U44" s="479"/>
      <c r="V44" s="422"/>
      <c r="W44" s="422"/>
      <c r="X44" s="422"/>
      <c r="Y44" s="422"/>
      <c r="Z44" s="422"/>
    </row>
    <row r="45" ht="57.75" customHeight="1" spans="1:26">
      <c r="A45" s="422" t="str">
        <f t="shared" si="6"/>
        <v> 3.3 </v>
      </c>
      <c r="B45" s="423" t="str">
        <f t="shared" si="7"/>
        <v> 3.3 </v>
      </c>
      <c r="C45" s="441" t="s">
        <v>183</v>
      </c>
      <c r="D45" s="442" t="s">
        <v>184</v>
      </c>
      <c r="E45" s="441" t="s">
        <v>139</v>
      </c>
      <c r="F45" s="441" t="s">
        <v>185</v>
      </c>
      <c r="G45" s="442" t="s">
        <v>141</v>
      </c>
      <c r="H45" s="443">
        <f>SUM(N45:U45)</f>
        <v>10</v>
      </c>
      <c r="I45" s="443">
        <f>VLOOKUP(D45,'Orçamento Analitico'!D:L,9,FALSE())</f>
        <v>113.21</v>
      </c>
      <c r="J45" s="443">
        <f t="shared" si="8"/>
        <v>142.06</v>
      </c>
      <c r="K45" s="443">
        <f t="shared" si="9"/>
        <v>1132.1</v>
      </c>
      <c r="L45" s="443">
        <f t="shared" si="10"/>
        <v>1420.6</v>
      </c>
      <c r="M45" s="461" t="e">
        <f t="shared" si="0"/>
        <v>#N/A</v>
      </c>
      <c r="N45" s="464">
        <v>10</v>
      </c>
      <c r="O45" s="465"/>
      <c r="P45" s="465"/>
      <c r="Q45" s="465"/>
      <c r="R45" s="465"/>
      <c r="S45" s="465"/>
      <c r="T45" s="465"/>
      <c r="U45" s="479"/>
      <c r="V45" s="422"/>
      <c r="W45" s="422"/>
      <c r="X45" s="422"/>
      <c r="Y45" s="422"/>
      <c r="Z45" s="422"/>
    </row>
    <row r="46" ht="57.75" customHeight="1" spans="1:26">
      <c r="A46" s="422" t="str">
        <f t="shared" si="6"/>
        <v> 3.3 </v>
      </c>
      <c r="B46" s="423" t="str">
        <f t="shared" si="7"/>
        <v> 3.3 </v>
      </c>
      <c r="C46" s="441" t="s">
        <v>186</v>
      </c>
      <c r="D46" s="442" t="s">
        <v>187</v>
      </c>
      <c r="E46" s="441" t="s">
        <v>139</v>
      </c>
      <c r="F46" s="441" t="s">
        <v>188</v>
      </c>
      <c r="G46" s="442" t="s">
        <v>141</v>
      </c>
      <c r="H46" s="443">
        <f>SUM(N46:U46)</f>
        <v>20</v>
      </c>
      <c r="I46" s="443">
        <f>VLOOKUP(D46,'Orçamento Analitico'!D:L,9,FALSE())</f>
        <v>35.15</v>
      </c>
      <c r="J46" s="443">
        <f t="shared" si="8"/>
        <v>44.1</v>
      </c>
      <c r="K46" s="443">
        <f t="shared" si="9"/>
        <v>703</v>
      </c>
      <c r="L46" s="443">
        <f t="shared" si="10"/>
        <v>882</v>
      </c>
      <c r="M46" s="461" t="e">
        <f t="shared" si="0"/>
        <v>#N/A</v>
      </c>
      <c r="N46" s="464">
        <f>N45*2</f>
        <v>20</v>
      </c>
      <c r="O46" s="465"/>
      <c r="P46" s="465"/>
      <c r="Q46" s="465"/>
      <c r="R46" s="465"/>
      <c r="S46" s="465"/>
      <c r="T46" s="465"/>
      <c r="U46" s="479"/>
      <c r="V46" s="422"/>
      <c r="W46" s="422"/>
      <c r="X46" s="422"/>
      <c r="Y46" s="422"/>
      <c r="Z46" s="422"/>
    </row>
    <row r="47" ht="57.75" customHeight="1" spans="1:26">
      <c r="A47" s="422" t="str">
        <f t="shared" si="6"/>
        <v> 3.3 </v>
      </c>
      <c r="B47" s="423" t="str">
        <f t="shared" si="7"/>
        <v> 3.3 </v>
      </c>
      <c r="C47" s="441" t="s">
        <v>189</v>
      </c>
      <c r="D47" s="442" t="s">
        <v>190</v>
      </c>
      <c r="E47" s="441" t="s">
        <v>139</v>
      </c>
      <c r="F47" s="441" t="s">
        <v>191</v>
      </c>
      <c r="G47" s="442" t="s">
        <v>141</v>
      </c>
      <c r="H47" s="443">
        <f>SUM(N47:U47)</f>
        <v>20</v>
      </c>
      <c r="I47" s="443">
        <f>VLOOKUP(D47,'Orçamento Analitico'!D:L,9,FALSE())</f>
        <v>5.75</v>
      </c>
      <c r="J47" s="443">
        <f t="shared" si="8"/>
        <v>7.21</v>
      </c>
      <c r="K47" s="443">
        <f t="shared" si="9"/>
        <v>115</v>
      </c>
      <c r="L47" s="443">
        <f t="shared" si="10"/>
        <v>144.2</v>
      </c>
      <c r="M47" s="461" t="e">
        <f t="shared" si="0"/>
        <v>#N/A</v>
      </c>
      <c r="N47" s="464">
        <f>N46</f>
        <v>20</v>
      </c>
      <c r="O47" s="465"/>
      <c r="P47" s="465"/>
      <c r="Q47" s="465"/>
      <c r="R47" s="465"/>
      <c r="S47" s="465"/>
      <c r="T47" s="465"/>
      <c r="U47" s="479"/>
      <c r="V47" s="422"/>
      <c r="W47" s="422"/>
      <c r="X47" s="422"/>
      <c r="Y47" s="422"/>
      <c r="Z47" s="422"/>
    </row>
    <row r="48" ht="57.75" customHeight="1" spans="1:26">
      <c r="A48" s="422" t="str">
        <f t="shared" si="6"/>
        <v> 3.3 </v>
      </c>
      <c r="B48" s="423" t="str">
        <f t="shared" si="7"/>
        <v> 3.3 </v>
      </c>
      <c r="C48" s="441" t="s">
        <v>192</v>
      </c>
      <c r="D48" s="442" t="s">
        <v>193</v>
      </c>
      <c r="E48" s="441" t="s">
        <v>139</v>
      </c>
      <c r="F48" s="441" t="s">
        <v>194</v>
      </c>
      <c r="G48" s="442" t="s">
        <v>141</v>
      </c>
      <c r="H48" s="443">
        <f>T48</f>
        <v>360</v>
      </c>
      <c r="I48" s="443">
        <f>VLOOKUP(D48,'Orçamento Analitico'!D:L,9,FALSE())</f>
        <v>12.8</v>
      </c>
      <c r="J48" s="443">
        <f t="shared" si="8"/>
        <v>16.06</v>
      </c>
      <c r="K48" s="443">
        <f t="shared" si="9"/>
        <v>4608</v>
      </c>
      <c r="L48" s="443">
        <f t="shared" si="10"/>
        <v>5781.6</v>
      </c>
      <c r="M48" s="461" t="e">
        <f t="shared" si="0"/>
        <v>#N/A</v>
      </c>
      <c r="N48" s="475">
        <v>2</v>
      </c>
      <c r="O48" s="474" t="s">
        <v>6128</v>
      </c>
      <c r="P48" s="474">
        <v>60</v>
      </c>
      <c r="Q48" s="474" t="s">
        <v>6128</v>
      </c>
      <c r="R48" s="474">
        <v>3</v>
      </c>
      <c r="S48" s="474" t="s">
        <v>6129</v>
      </c>
      <c r="T48" s="474">
        <f>ROUNDDOWN(N48*P48*R48,2)</f>
        <v>360</v>
      </c>
      <c r="U48" s="479"/>
      <c r="V48" s="422"/>
      <c r="W48" s="422"/>
      <c r="X48" s="422"/>
      <c r="Y48" s="422"/>
      <c r="Z48" s="422"/>
    </row>
    <row r="49" ht="57.75" customHeight="1" spans="1:26">
      <c r="A49" s="422" t="str">
        <f t="shared" si="6"/>
        <v> 3.3 </v>
      </c>
      <c r="B49" s="423" t="str">
        <f t="shared" si="7"/>
        <v> 3.3 </v>
      </c>
      <c r="C49" s="441" t="s">
        <v>195</v>
      </c>
      <c r="D49" s="442" t="s">
        <v>196</v>
      </c>
      <c r="E49" s="441" t="s">
        <v>139</v>
      </c>
      <c r="F49" s="441" t="s">
        <v>197</v>
      </c>
      <c r="G49" s="442" t="s">
        <v>141</v>
      </c>
      <c r="H49" s="443">
        <f>T49</f>
        <v>210</v>
      </c>
      <c r="I49" s="443">
        <f>VLOOKUP(D49,'Orçamento Analitico'!D:L,9,FALSE())</f>
        <v>27.57</v>
      </c>
      <c r="J49" s="443">
        <f t="shared" si="8"/>
        <v>34.59</v>
      </c>
      <c r="K49" s="443">
        <f t="shared" si="9"/>
        <v>5789.7</v>
      </c>
      <c r="L49" s="443">
        <f t="shared" si="10"/>
        <v>7263.9</v>
      </c>
      <c r="M49" s="461" t="e">
        <f t="shared" si="0"/>
        <v>#N/A</v>
      </c>
      <c r="N49" s="464">
        <v>30</v>
      </c>
      <c r="O49" s="474" t="s">
        <v>6128</v>
      </c>
      <c r="P49" s="474">
        <v>10</v>
      </c>
      <c r="Q49" s="474" t="s">
        <v>6128</v>
      </c>
      <c r="R49" s="486">
        <v>0.7</v>
      </c>
      <c r="S49" s="474" t="s">
        <v>6129</v>
      </c>
      <c r="T49" s="474">
        <f>ROUNDDOWN(N49*P49*R49,2)</f>
        <v>210</v>
      </c>
      <c r="U49" s="479"/>
      <c r="V49" s="422"/>
      <c r="W49" s="422"/>
      <c r="X49" s="422"/>
      <c r="Y49" s="422"/>
      <c r="Z49" s="422"/>
    </row>
    <row r="50" ht="57.75" customHeight="1" spans="1:26">
      <c r="A50" s="422" t="str">
        <f t="shared" si="6"/>
        <v> 3.3 </v>
      </c>
      <c r="B50" s="423" t="str">
        <f t="shared" si="7"/>
        <v> 3.3 </v>
      </c>
      <c r="C50" s="441" t="s">
        <v>198</v>
      </c>
      <c r="D50" s="442" t="s">
        <v>199</v>
      </c>
      <c r="E50" s="441" t="s">
        <v>139</v>
      </c>
      <c r="F50" s="441" t="s">
        <v>200</v>
      </c>
      <c r="G50" s="442" t="s">
        <v>141</v>
      </c>
      <c r="H50" s="443">
        <f t="shared" ref="H50:H72" si="11">SUM(N50:U50)</f>
        <v>210</v>
      </c>
      <c r="I50" s="443">
        <f>VLOOKUP(D50,'Orçamento Analitico'!D:L,9,FALSE())</f>
        <v>55.89</v>
      </c>
      <c r="J50" s="443">
        <f t="shared" si="8"/>
        <v>70.13</v>
      </c>
      <c r="K50" s="443">
        <f t="shared" si="9"/>
        <v>11736.9</v>
      </c>
      <c r="L50" s="443">
        <f t="shared" si="10"/>
        <v>14727.3</v>
      </c>
      <c r="M50" s="461" t="e">
        <f t="shared" si="0"/>
        <v>#N/A</v>
      </c>
      <c r="N50" s="464"/>
      <c r="O50" s="465"/>
      <c r="P50" s="465"/>
      <c r="Q50" s="465"/>
      <c r="R50" s="465"/>
      <c r="S50" s="465"/>
      <c r="T50" s="465">
        <f>T49</f>
        <v>210</v>
      </c>
      <c r="U50" s="479"/>
      <c r="V50" s="422"/>
      <c r="W50" s="422"/>
      <c r="X50" s="422"/>
      <c r="Y50" s="422"/>
      <c r="Z50" s="422"/>
    </row>
    <row r="51" ht="27.75" customHeight="1" spans="1:26">
      <c r="A51" s="422" t="str">
        <f t="shared" si="6"/>
        <v> 3.3 </v>
      </c>
      <c r="B51" s="423" t="str">
        <f t="shared" si="7"/>
        <v> 3.3 </v>
      </c>
      <c r="C51" s="441" t="s">
        <v>201</v>
      </c>
      <c r="D51" s="442" t="s">
        <v>202</v>
      </c>
      <c r="E51" s="441" t="s">
        <v>77</v>
      </c>
      <c r="F51" s="441" t="s">
        <v>203</v>
      </c>
      <c r="G51" s="442" t="s">
        <v>204</v>
      </c>
      <c r="H51" s="443">
        <f t="shared" si="11"/>
        <v>10</v>
      </c>
      <c r="I51" s="443">
        <f>VLOOKUP(D51,'Orçamento Analitico'!D:L,9,FALSE())</f>
        <v>25.64</v>
      </c>
      <c r="J51" s="443">
        <f t="shared" si="8"/>
        <v>32.17</v>
      </c>
      <c r="K51" s="443">
        <f t="shared" si="9"/>
        <v>256.4</v>
      </c>
      <c r="L51" s="443">
        <f t="shared" si="10"/>
        <v>321.7</v>
      </c>
      <c r="M51" s="461" t="e">
        <f t="shared" si="0"/>
        <v>#N/A</v>
      </c>
      <c r="N51" s="464">
        <v>10</v>
      </c>
      <c r="O51" s="465"/>
      <c r="P51" s="465"/>
      <c r="Q51" s="465"/>
      <c r="R51" s="465"/>
      <c r="S51" s="465"/>
      <c r="T51" s="465"/>
      <c r="U51" s="479"/>
      <c r="V51" s="422"/>
      <c r="W51" s="422"/>
      <c r="X51" s="422"/>
      <c r="Y51" s="422"/>
      <c r="Z51" s="422"/>
    </row>
    <row r="52" ht="27.75" customHeight="1" spans="1:26">
      <c r="A52" s="422" t="str">
        <f t="shared" si="6"/>
        <v> 3.3 </v>
      </c>
      <c r="B52" s="423" t="str">
        <f t="shared" si="7"/>
        <v> 3.3 </v>
      </c>
      <c r="C52" s="441" t="s">
        <v>205</v>
      </c>
      <c r="D52" s="442" t="s">
        <v>206</v>
      </c>
      <c r="E52" s="441" t="s">
        <v>139</v>
      </c>
      <c r="F52" s="441" t="s">
        <v>207</v>
      </c>
      <c r="G52" s="442" t="s">
        <v>141</v>
      </c>
      <c r="H52" s="443">
        <f t="shared" si="11"/>
        <v>190.5</v>
      </c>
      <c r="I52" s="443">
        <f>VLOOKUP(D52,'Orçamento Analitico'!D:L,9,FALSE())</f>
        <v>78.9</v>
      </c>
      <c r="J52" s="443">
        <f t="shared" si="8"/>
        <v>99.01</v>
      </c>
      <c r="K52" s="443">
        <f t="shared" si="9"/>
        <v>15030.45</v>
      </c>
      <c r="L52" s="443">
        <f t="shared" si="10"/>
        <v>18861.4</v>
      </c>
      <c r="M52" s="461" t="e">
        <f t="shared" si="0"/>
        <v>#N/A</v>
      </c>
      <c r="N52" s="464">
        <v>30</v>
      </c>
      <c r="O52" s="474" t="s">
        <v>6128</v>
      </c>
      <c r="P52" s="474">
        <v>10</v>
      </c>
      <c r="Q52" s="474" t="s">
        <v>6128</v>
      </c>
      <c r="R52" s="486">
        <v>0.5</v>
      </c>
      <c r="S52" s="474" t="s">
        <v>6129</v>
      </c>
      <c r="T52" s="474">
        <f>ROUNDDOWN(N52*P52*R52,2)</f>
        <v>150</v>
      </c>
      <c r="U52" s="479"/>
      <c r="V52" s="422"/>
      <c r="W52" s="422"/>
      <c r="X52" s="422"/>
      <c r="Y52" s="422"/>
      <c r="Z52" s="422"/>
    </row>
    <row r="53" ht="48.75" customHeight="1" spans="1:26">
      <c r="A53" s="422" t="str">
        <f t="shared" si="6"/>
        <v> 3.3 </v>
      </c>
      <c r="B53" s="423" t="str">
        <f t="shared" si="7"/>
        <v> 3.3 </v>
      </c>
      <c r="C53" s="441" t="s">
        <v>208</v>
      </c>
      <c r="D53" s="442" t="s">
        <v>209</v>
      </c>
      <c r="E53" s="441" t="s">
        <v>132</v>
      </c>
      <c r="F53" s="441" t="s">
        <v>210</v>
      </c>
      <c r="G53" s="442" t="s">
        <v>134</v>
      </c>
      <c r="H53" s="443">
        <f t="shared" si="11"/>
        <v>6</v>
      </c>
      <c r="I53" s="443">
        <f>VLOOKUP(D53,'Orçamento Analitico'!D:L,9,FALSE())</f>
        <v>172.29</v>
      </c>
      <c r="J53" s="443">
        <f t="shared" si="8"/>
        <v>216.2</v>
      </c>
      <c r="K53" s="443">
        <f t="shared" si="9"/>
        <v>1033.74</v>
      </c>
      <c r="L53" s="443">
        <f t="shared" si="10"/>
        <v>1297.2</v>
      </c>
      <c r="M53" s="461" t="e">
        <f t="shared" si="0"/>
        <v>#N/A</v>
      </c>
      <c r="N53" s="464">
        <v>6</v>
      </c>
      <c r="O53" s="465"/>
      <c r="P53" s="465"/>
      <c r="Q53" s="465"/>
      <c r="R53" s="465"/>
      <c r="S53" s="465"/>
      <c r="T53" s="465"/>
      <c r="U53" s="479"/>
      <c r="V53" s="422"/>
      <c r="W53" s="422"/>
      <c r="X53" s="422"/>
      <c r="Y53" s="422"/>
      <c r="Z53" s="422"/>
    </row>
    <row r="54" ht="65.25" customHeight="1" spans="1:26">
      <c r="A54" s="422" t="str">
        <f t="shared" si="6"/>
        <v> 3.3 </v>
      </c>
      <c r="B54" s="423" t="str">
        <f t="shared" si="7"/>
        <v> 3.3 </v>
      </c>
      <c r="C54" s="441" t="s">
        <v>211</v>
      </c>
      <c r="D54" s="442" t="s">
        <v>212</v>
      </c>
      <c r="E54" s="441" t="s">
        <v>139</v>
      </c>
      <c r="F54" s="441" t="s">
        <v>213</v>
      </c>
      <c r="G54" s="442" t="s">
        <v>204</v>
      </c>
      <c r="H54" s="443">
        <f t="shared" si="11"/>
        <v>100</v>
      </c>
      <c r="I54" s="443">
        <f>VLOOKUP(D54,'Orçamento Analitico'!D:L,9,FALSE())</f>
        <v>12.77</v>
      </c>
      <c r="J54" s="443">
        <f t="shared" si="8"/>
        <v>16.02</v>
      </c>
      <c r="K54" s="443">
        <f t="shared" si="9"/>
        <v>1277</v>
      </c>
      <c r="L54" s="443">
        <f t="shared" si="10"/>
        <v>1602</v>
      </c>
      <c r="M54" s="461" t="e">
        <f t="shared" si="0"/>
        <v>#N/A</v>
      </c>
      <c r="N54" s="464">
        <v>100</v>
      </c>
      <c r="O54" s="465"/>
      <c r="P54" s="465"/>
      <c r="Q54" s="465"/>
      <c r="R54" s="465"/>
      <c r="S54" s="465"/>
      <c r="T54" s="465"/>
      <c r="U54" s="479"/>
      <c r="V54" s="422"/>
      <c r="W54" s="422"/>
      <c r="X54" s="422"/>
      <c r="Y54" s="422"/>
      <c r="Z54" s="422"/>
    </row>
    <row r="55" ht="45.75" customHeight="1" spans="1:26">
      <c r="A55" s="422" t="str">
        <f t="shared" si="6"/>
        <v> 3.3 </v>
      </c>
      <c r="B55" s="423" t="str">
        <f t="shared" si="7"/>
        <v> 3.3 </v>
      </c>
      <c r="C55" s="441" t="s">
        <v>214</v>
      </c>
      <c r="D55" s="442" t="s">
        <v>215</v>
      </c>
      <c r="E55" s="441" t="s">
        <v>139</v>
      </c>
      <c r="F55" s="441" t="s">
        <v>216</v>
      </c>
      <c r="G55" s="442" t="s">
        <v>204</v>
      </c>
      <c r="H55" s="443">
        <f t="shared" si="11"/>
        <v>50</v>
      </c>
      <c r="I55" s="443">
        <f>VLOOKUP(D55,'Orçamento Analitico'!D:L,9,FALSE())</f>
        <v>13.02</v>
      </c>
      <c r="J55" s="443">
        <f t="shared" si="8"/>
        <v>16.33</v>
      </c>
      <c r="K55" s="443">
        <f t="shared" si="9"/>
        <v>651</v>
      </c>
      <c r="L55" s="443">
        <f t="shared" si="10"/>
        <v>816.5</v>
      </c>
      <c r="M55" s="461" t="e">
        <f t="shared" si="0"/>
        <v>#N/A</v>
      </c>
      <c r="N55" s="464">
        <f>N54*0.5</f>
        <v>50</v>
      </c>
      <c r="O55" s="465"/>
      <c r="P55" s="465"/>
      <c r="Q55" s="465"/>
      <c r="R55" s="465"/>
      <c r="S55" s="465"/>
      <c r="T55" s="465"/>
      <c r="U55" s="479"/>
      <c r="V55" s="422"/>
      <c r="W55" s="422"/>
      <c r="X55" s="422"/>
      <c r="Y55" s="422"/>
      <c r="Z55" s="422"/>
    </row>
    <row r="56" ht="45.75" customHeight="1" spans="1:26">
      <c r="A56" s="422" t="str">
        <f t="shared" si="6"/>
        <v> 3.3 </v>
      </c>
      <c r="B56" s="423" t="str">
        <f t="shared" si="7"/>
        <v> 3.3 </v>
      </c>
      <c r="C56" s="441" t="s">
        <v>217</v>
      </c>
      <c r="D56" s="442" t="s">
        <v>218</v>
      </c>
      <c r="E56" s="441" t="s">
        <v>139</v>
      </c>
      <c r="F56" s="441" t="s">
        <v>219</v>
      </c>
      <c r="G56" s="442" t="s">
        <v>204</v>
      </c>
      <c r="H56" s="443">
        <f t="shared" si="11"/>
        <v>50</v>
      </c>
      <c r="I56" s="443">
        <f>VLOOKUP(D56,'Orçamento Analitico'!D:L,9,FALSE())</f>
        <v>16.92</v>
      </c>
      <c r="J56" s="443">
        <f t="shared" si="8"/>
        <v>21.23</v>
      </c>
      <c r="K56" s="443">
        <f t="shared" si="9"/>
        <v>846</v>
      </c>
      <c r="L56" s="443">
        <f t="shared" si="10"/>
        <v>1061.5</v>
      </c>
      <c r="M56" s="461" t="e">
        <f t="shared" si="0"/>
        <v>#N/A</v>
      </c>
      <c r="N56" s="464">
        <f>N54*0.5</f>
        <v>50</v>
      </c>
      <c r="O56" s="465"/>
      <c r="P56" s="465"/>
      <c r="Q56" s="465"/>
      <c r="R56" s="465"/>
      <c r="S56" s="465"/>
      <c r="T56" s="465"/>
      <c r="U56" s="479"/>
      <c r="V56" s="422"/>
      <c r="W56" s="422"/>
      <c r="X56" s="422"/>
      <c r="Y56" s="422"/>
      <c r="Z56" s="422"/>
    </row>
    <row r="57" ht="45.75" customHeight="1" spans="1:26">
      <c r="A57" s="422" t="str">
        <f t="shared" si="6"/>
        <v> 3.3 </v>
      </c>
      <c r="B57" s="423" t="str">
        <f t="shared" si="7"/>
        <v> 3.3 </v>
      </c>
      <c r="C57" s="441" t="s">
        <v>220</v>
      </c>
      <c r="D57" s="442" t="s">
        <v>221</v>
      </c>
      <c r="E57" s="441" t="s">
        <v>139</v>
      </c>
      <c r="F57" s="441" t="s">
        <v>222</v>
      </c>
      <c r="G57" s="442" t="s">
        <v>134</v>
      </c>
      <c r="H57" s="443">
        <f t="shared" si="11"/>
        <v>33</v>
      </c>
      <c r="I57" s="443">
        <f>VLOOKUP(D57,'Orçamento Analitico'!D:L,9,FALSE())</f>
        <v>10.75</v>
      </c>
      <c r="J57" s="443">
        <f t="shared" si="8"/>
        <v>13.49</v>
      </c>
      <c r="K57" s="443">
        <f t="shared" si="9"/>
        <v>354.75</v>
      </c>
      <c r="L57" s="443">
        <f t="shared" si="10"/>
        <v>445.17</v>
      </c>
      <c r="M57" s="461" t="e">
        <f t="shared" si="0"/>
        <v>#N/A</v>
      </c>
      <c r="N57" s="464">
        <f>ROUND(SUM(N55:N56)/3,0)</f>
        <v>33</v>
      </c>
      <c r="O57" s="465"/>
      <c r="P57" s="465"/>
      <c r="Q57" s="465"/>
      <c r="R57" s="465"/>
      <c r="S57" s="465"/>
      <c r="T57" s="465"/>
      <c r="U57" s="479"/>
      <c r="V57" s="422"/>
      <c r="W57" s="422"/>
      <c r="X57" s="422"/>
      <c r="Y57" s="422"/>
      <c r="Z57" s="422"/>
    </row>
    <row r="58" ht="45.75" customHeight="1" spans="1:26">
      <c r="A58" s="422" t="str">
        <f t="shared" si="6"/>
        <v> 3.3 </v>
      </c>
      <c r="B58" s="423" t="str">
        <f t="shared" si="7"/>
        <v> 3.3 </v>
      </c>
      <c r="C58" s="441" t="s">
        <v>223</v>
      </c>
      <c r="D58" s="442" t="s">
        <v>224</v>
      </c>
      <c r="E58" s="441" t="s">
        <v>139</v>
      </c>
      <c r="F58" s="441" t="s">
        <v>225</v>
      </c>
      <c r="G58" s="442" t="s">
        <v>134</v>
      </c>
      <c r="H58" s="443">
        <f t="shared" si="11"/>
        <v>33</v>
      </c>
      <c r="I58" s="443">
        <f>VLOOKUP(D58,'Orçamento Analitico'!D:L,9,FALSE())</f>
        <v>17.39</v>
      </c>
      <c r="J58" s="443">
        <f t="shared" si="8"/>
        <v>21.82</v>
      </c>
      <c r="K58" s="443">
        <f t="shared" si="9"/>
        <v>573.87</v>
      </c>
      <c r="L58" s="443">
        <f t="shared" si="10"/>
        <v>720.06</v>
      </c>
      <c r="M58" s="461" t="e">
        <f t="shared" si="0"/>
        <v>#N/A</v>
      </c>
      <c r="N58" s="464">
        <f>N57</f>
        <v>33</v>
      </c>
      <c r="O58" s="465"/>
      <c r="P58" s="465"/>
      <c r="Q58" s="465"/>
      <c r="R58" s="465"/>
      <c r="S58" s="465"/>
      <c r="T58" s="465"/>
      <c r="U58" s="479"/>
      <c r="V58" s="422"/>
      <c r="W58" s="422"/>
      <c r="X58" s="422"/>
      <c r="Y58" s="422"/>
      <c r="Z58" s="422"/>
    </row>
    <row r="59" ht="45.75" customHeight="1" spans="1:26">
      <c r="A59" s="422" t="str">
        <f t="shared" si="6"/>
        <v> 3.3 </v>
      </c>
      <c r="B59" s="423" t="str">
        <f t="shared" si="7"/>
        <v> 3.3 </v>
      </c>
      <c r="C59" s="441" t="s">
        <v>226</v>
      </c>
      <c r="D59" s="442" t="s">
        <v>227</v>
      </c>
      <c r="E59" s="441" t="s">
        <v>139</v>
      </c>
      <c r="F59" s="441" t="s">
        <v>228</v>
      </c>
      <c r="G59" s="442" t="s">
        <v>204</v>
      </c>
      <c r="H59" s="443">
        <f t="shared" si="11"/>
        <v>300</v>
      </c>
      <c r="I59" s="443">
        <f>VLOOKUP(D59,'Orçamento Analitico'!D:L,9,FALSE())</f>
        <v>4.98</v>
      </c>
      <c r="J59" s="443">
        <f t="shared" si="8"/>
        <v>6.24</v>
      </c>
      <c r="K59" s="443">
        <f t="shared" si="9"/>
        <v>1494</v>
      </c>
      <c r="L59" s="443">
        <f t="shared" si="10"/>
        <v>1872</v>
      </c>
      <c r="M59" s="461" t="e">
        <f t="shared" si="0"/>
        <v>#N/A</v>
      </c>
      <c r="N59" s="464">
        <f>SUM(N55:N56)*3</f>
        <v>300</v>
      </c>
      <c r="O59" s="465"/>
      <c r="P59" s="465"/>
      <c r="Q59" s="465"/>
      <c r="R59" s="465"/>
      <c r="S59" s="465"/>
      <c r="T59" s="465"/>
      <c r="U59" s="479"/>
      <c r="V59" s="422"/>
      <c r="W59" s="422"/>
      <c r="X59" s="422"/>
      <c r="Y59" s="422"/>
      <c r="Z59" s="422"/>
    </row>
    <row r="60" ht="45.75" customHeight="1" spans="1:26">
      <c r="A60" s="422" t="str">
        <f t="shared" si="6"/>
        <v> 3.3 </v>
      </c>
      <c r="B60" s="423" t="str">
        <f t="shared" si="7"/>
        <v> 3.3 </v>
      </c>
      <c r="C60" s="441" t="s">
        <v>229</v>
      </c>
      <c r="D60" s="442" t="s">
        <v>230</v>
      </c>
      <c r="E60" s="441" t="s">
        <v>139</v>
      </c>
      <c r="F60" s="441" t="s">
        <v>231</v>
      </c>
      <c r="G60" s="442" t="s">
        <v>134</v>
      </c>
      <c r="H60" s="443">
        <f t="shared" si="11"/>
        <v>6</v>
      </c>
      <c r="I60" s="443">
        <f>VLOOKUP(D60,'Orçamento Analitico'!D:L,9,FALSE())</f>
        <v>40.68</v>
      </c>
      <c r="J60" s="443">
        <f t="shared" si="8"/>
        <v>51.04</v>
      </c>
      <c r="K60" s="443">
        <f t="shared" si="9"/>
        <v>244.08</v>
      </c>
      <c r="L60" s="443">
        <f t="shared" si="10"/>
        <v>306.24</v>
      </c>
      <c r="M60" s="461" t="e">
        <f t="shared" si="0"/>
        <v>#N/A</v>
      </c>
      <c r="N60" s="464">
        <v>6</v>
      </c>
      <c r="O60" s="465"/>
      <c r="P60" s="465"/>
      <c r="Q60" s="465"/>
      <c r="R60" s="465"/>
      <c r="S60" s="465"/>
      <c r="T60" s="465"/>
      <c r="U60" s="479"/>
      <c r="V60" s="422"/>
      <c r="W60" s="422"/>
      <c r="X60" s="422"/>
      <c r="Y60" s="422"/>
      <c r="Z60" s="422"/>
    </row>
    <row r="61" ht="45.75" customHeight="1" spans="1:26">
      <c r="A61" s="422" t="str">
        <f t="shared" si="6"/>
        <v> 3.3 </v>
      </c>
      <c r="B61" s="423" t="str">
        <f t="shared" si="7"/>
        <v> 3.3 </v>
      </c>
      <c r="C61" s="441" t="s">
        <v>232</v>
      </c>
      <c r="D61" s="442" t="s">
        <v>233</v>
      </c>
      <c r="E61" s="441" t="s">
        <v>139</v>
      </c>
      <c r="F61" s="441" t="s">
        <v>234</v>
      </c>
      <c r="G61" s="442" t="s">
        <v>134</v>
      </c>
      <c r="H61" s="443">
        <f t="shared" si="11"/>
        <v>8</v>
      </c>
      <c r="I61" s="443">
        <f>VLOOKUP(D61,'Orçamento Analitico'!D:L,9,FALSE())</f>
        <v>23.21</v>
      </c>
      <c r="J61" s="443">
        <f t="shared" si="8"/>
        <v>29.12</v>
      </c>
      <c r="K61" s="443">
        <f t="shared" si="9"/>
        <v>185.68</v>
      </c>
      <c r="L61" s="443">
        <f t="shared" si="10"/>
        <v>232.96</v>
      </c>
      <c r="M61" s="461" t="e">
        <f t="shared" si="0"/>
        <v>#N/A</v>
      </c>
      <c r="N61" s="464">
        <v>8</v>
      </c>
      <c r="O61" s="465"/>
      <c r="P61" s="465"/>
      <c r="Q61" s="465"/>
      <c r="R61" s="465"/>
      <c r="S61" s="465"/>
      <c r="T61" s="465"/>
      <c r="U61" s="479"/>
      <c r="V61" s="422"/>
      <c r="W61" s="422"/>
      <c r="X61" s="422"/>
      <c r="Y61" s="422"/>
      <c r="Z61" s="422"/>
    </row>
    <row r="62" ht="45.75" customHeight="1" spans="1:26">
      <c r="A62" s="422" t="str">
        <f t="shared" si="6"/>
        <v> 3.3 </v>
      </c>
      <c r="B62" s="423" t="str">
        <f t="shared" si="7"/>
        <v> 3.3 </v>
      </c>
      <c r="C62" s="441" t="s">
        <v>235</v>
      </c>
      <c r="D62" s="442" t="s">
        <v>236</v>
      </c>
      <c r="E62" s="441" t="s">
        <v>139</v>
      </c>
      <c r="F62" s="441" t="s">
        <v>237</v>
      </c>
      <c r="G62" s="442" t="s">
        <v>134</v>
      </c>
      <c r="H62" s="443">
        <f t="shared" si="11"/>
        <v>10</v>
      </c>
      <c r="I62" s="443">
        <f>VLOOKUP(D62,'Orçamento Analitico'!D:L,9,FALSE())</f>
        <v>14.64</v>
      </c>
      <c r="J62" s="443">
        <f t="shared" si="8"/>
        <v>18.37</v>
      </c>
      <c r="K62" s="443">
        <f t="shared" si="9"/>
        <v>146.4</v>
      </c>
      <c r="L62" s="443">
        <f t="shared" si="10"/>
        <v>183.7</v>
      </c>
      <c r="M62" s="461" t="e">
        <f t="shared" si="0"/>
        <v>#N/A</v>
      </c>
      <c r="N62" s="464">
        <v>10</v>
      </c>
      <c r="O62" s="465"/>
      <c r="P62" s="465"/>
      <c r="Q62" s="465"/>
      <c r="R62" s="465"/>
      <c r="S62" s="465"/>
      <c r="T62" s="465"/>
      <c r="U62" s="479"/>
      <c r="V62" s="422"/>
      <c r="W62" s="422"/>
      <c r="X62" s="422"/>
      <c r="Y62" s="422"/>
      <c r="Z62" s="422"/>
    </row>
    <row r="63" ht="45.75" customHeight="1" spans="1:26">
      <c r="A63" s="422" t="str">
        <f t="shared" si="6"/>
        <v> 3.3 </v>
      </c>
      <c r="B63" s="423" t="str">
        <f t="shared" si="7"/>
        <v> 3.3 </v>
      </c>
      <c r="C63" s="441" t="s">
        <v>238</v>
      </c>
      <c r="D63" s="442" t="s">
        <v>239</v>
      </c>
      <c r="E63" s="441" t="s">
        <v>139</v>
      </c>
      <c r="F63" s="441" t="s">
        <v>240</v>
      </c>
      <c r="G63" s="442" t="s">
        <v>134</v>
      </c>
      <c r="H63" s="443">
        <f t="shared" si="11"/>
        <v>10</v>
      </c>
      <c r="I63" s="443">
        <f>VLOOKUP(D63,'Orçamento Analitico'!D:L,9,FALSE())</f>
        <v>35.53</v>
      </c>
      <c r="J63" s="443">
        <f t="shared" si="8"/>
        <v>44.58</v>
      </c>
      <c r="K63" s="443">
        <f t="shared" si="9"/>
        <v>355.3</v>
      </c>
      <c r="L63" s="443">
        <f t="shared" si="10"/>
        <v>445.8</v>
      </c>
      <c r="M63" s="461" t="e">
        <f t="shared" si="0"/>
        <v>#N/A</v>
      </c>
      <c r="N63" s="464">
        <v>10</v>
      </c>
      <c r="O63" s="465"/>
      <c r="P63" s="465"/>
      <c r="Q63" s="465"/>
      <c r="R63" s="465"/>
      <c r="S63" s="465"/>
      <c r="T63" s="465"/>
      <c r="U63" s="479"/>
      <c r="V63" s="422"/>
      <c r="W63" s="422"/>
      <c r="X63" s="422"/>
      <c r="Y63" s="422"/>
      <c r="Z63" s="422"/>
    </row>
    <row r="64" ht="45.75" customHeight="1" spans="1:26">
      <c r="A64" s="422" t="str">
        <f t="shared" si="6"/>
        <v> 3.3 </v>
      </c>
      <c r="B64" s="423" t="str">
        <f t="shared" si="7"/>
        <v> 3.3 </v>
      </c>
      <c r="C64" s="441" t="s">
        <v>241</v>
      </c>
      <c r="D64" s="442" t="s">
        <v>242</v>
      </c>
      <c r="E64" s="441" t="s">
        <v>139</v>
      </c>
      <c r="F64" s="441" t="s">
        <v>243</v>
      </c>
      <c r="G64" s="442" t="s">
        <v>134</v>
      </c>
      <c r="H64" s="443">
        <f t="shared" si="11"/>
        <v>10</v>
      </c>
      <c r="I64" s="443">
        <f>VLOOKUP(D64,'Orçamento Analitico'!D:L,9,FALSE())</f>
        <v>54.37</v>
      </c>
      <c r="J64" s="443">
        <f t="shared" si="8"/>
        <v>68.22</v>
      </c>
      <c r="K64" s="443">
        <f t="shared" si="9"/>
        <v>543.7</v>
      </c>
      <c r="L64" s="443">
        <f t="shared" si="10"/>
        <v>682.2</v>
      </c>
      <c r="M64" s="461" t="e">
        <f t="shared" si="0"/>
        <v>#N/A</v>
      </c>
      <c r="N64" s="464">
        <v>10</v>
      </c>
      <c r="O64" s="465"/>
      <c r="P64" s="465"/>
      <c r="Q64" s="465"/>
      <c r="R64" s="465"/>
      <c r="S64" s="465"/>
      <c r="T64" s="465"/>
      <c r="U64" s="479"/>
      <c r="V64" s="422"/>
      <c r="W64" s="422"/>
      <c r="X64" s="422"/>
      <c r="Y64" s="422"/>
      <c r="Z64" s="422"/>
    </row>
    <row r="65" ht="45.75" customHeight="1" spans="1:26">
      <c r="A65" s="422" t="str">
        <f t="shared" si="6"/>
        <v> 3.3 </v>
      </c>
      <c r="B65" s="423" t="str">
        <f t="shared" si="7"/>
        <v> 3.3 </v>
      </c>
      <c r="C65" s="441" t="s">
        <v>244</v>
      </c>
      <c r="D65" s="442" t="s">
        <v>245</v>
      </c>
      <c r="E65" s="441" t="s">
        <v>139</v>
      </c>
      <c r="F65" s="441" t="s">
        <v>246</v>
      </c>
      <c r="G65" s="442" t="s">
        <v>134</v>
      </c>
      <c r="H65" s="443">
        <f t="shared" si="11"/>
        <v>4</v>
      </c>
      <c r="I65" s="443">
        <f>VLOOKUP(D65,'Orçamento Analitico'!D:L,9,FALSE())</f>
        <v>57.93</v>
      </c>
      <c r="J65" s="443">
        <f t="shared" si="8"/>
        <v>72.69</v>
      </c>
      <c r="K65" s="443">
        <f t="shared" si="9"/>
        <v>231.72</v>
      </c>
      <c r="L65" s="443">
        <f t="shared" si="10"/>
        <v>290.76</v>
      </c>
      <c r="M65" s="461" t="e">
        <f t="shared" si="0"/>
        <v>#N/A</v>
      </c>
      <c r="N65" s="464">
        <v>4</v>
      </c>
      <c r="O65" s="465"/>
      <c r="P65" s="465"/>
      <c r="Q65" s="465"/>
      <c r="R65" s="465"/>
      <c r="S65" s="465"/>
      <c r="T65" s="465"/>
      <c r="U65" s="479"/>
      <c r="V65" s="422"/>
      <c r="W65" s="422"/>
      <c r="X65" s="422"/>
      <c r="Y65" s="422"/>
      <c r="Z65" s="422"/>
    </row>
    <row r="66" ht="45.75" customHeight="1" spans="1:26">
      <c r="A66" s="422" t="str">
        <f t="shared" si="6"/>
        <v> 3.3 </v>
      </c>
      <c r="B66" s="423" t="str">
        <f t="shared" si="7"/>
        <v> 3.3 </v>
      </c>
      <c r="C66" s="441" t="s">
        <v>247</v>
      </c>
      <c r="D66" s="442" t="s">
        <v>248</v>
      </c>
      <c r="E66" s="441" t="s">
        <v>139</v>
      </c>
      <c r="F66" s="441" t="s">
        <v>249</v>
      </c>
      <c r="G66" s="442" t="s">
        <v>134</v>
      </c>
      <c r="H66" s="443">
        <f t="shared" si="11"/>
        <v>7</v>
      </c>
      <c r="I66" s="443">
        <f>VLOOKUP(D66,'Orçamento Analitico'!D:L,9,FALSE())</f>
        <v>85.91</v>
      </c>
      <c r="J66" s="443">
        <f t="shared" si="8"/>
        <v>107.8</v>
      </c>
      <c r="K66" s="443">
        <f t="shared" si="9"/>
        <v>601.37</v>
      </c>
      <c r="L66" s="443">
        <f t="shared" si="10"/>
        <v>754.6</v>
      </c>
      <c r="M66" s="461" t="e">
        <f t="shared" si="0"/>
        <v>#N/A</v>
      </c>
      <c r="N66" s="464">
        <v>7</v>
      </c>
      <c r="O66" s="465"/>
      <c r="P66" s="465"/>
      <c r="Q66" s="465"/>
      <c r="R66" s="465"/>
      <c r="S66" s="465"/>
      <c r="T66" s="465"/>
      <c r="U66" s="479"/>
      <c r="V66" s="422"/>
      <c r="W66" s="422"/>
      <c r="X66" s="422"/>
      <c r="Y66" s="422"/>
      <c r="Z66" s="422"/>
    </row>
    <row r="67" ht="45.75" customHeight="1" spans="1:26">
      <c r="A67" s="422" t="str">
        <f t="shared" si="6"/>
        <v> 3.3 </v>
      </c>
      <c r="B67" s="423" t="str">
        <f t="shared" si="7"/>
        <v> 3.3 </v>
      </c>
      <c r="C67" s="441" t="s">
        <v>250</v>
      </c>
      <c r="D67" s="442" t="s">
        <v>251</v>
      </c>
      <c r="E67" s="441" t="s">
        <v>139</v>
      </c>
      <c r="F67" s="441" t="s">
        <v>252</v>
      </c>
      <c r="G67" s="442" t="s">
        <v>134</v>
      </c>
      <c r="H67" s="443">
        <f t="shared" si="11"/>
        <v>1</v>
      </c>
      <c r="I67" s="443">
        <f>VLOOKUP(D67,'Orçamento Analitico'!D:L,9,FALSE())</f>
        <v>449.14</v>
      </c>
      <c r="J67" s="443">
        <f t="shared" si="8"/>
        <v>563.62</v>
      </c>
      <c r="K67" s="443">
        <f t="shared" si="9"/>
        <v>449.14</v>
      </c>
      <c r="L67" s="443">
        <f t="shared" si="10"/>
        <v>563.62</v>
      </c>
      <c r="M67" s="461" t="e">
        <f t="shared" si="0"/>
        <v>#N/A</v>
      </c>
      <c r="N67" s="464">
        <v>1</v>
      </c>
      <c r="O67" s="465"/>
      <c r="P67" s="465"/>
      <c r="Q67" s="465"/>
      <c r="R67" s="465"/>
      <c r="S67" s="465"/>
      <c r="T67" s="465"/>
      <c r="U67" s="479"/>
      <c r="V67" s="422"/>
      <c r="W67" s="422"/>
      <c r="X67" s="422"/>
      <c r="Y67" s="422"/>
      <c r="Z67" s="422"/>
    </row>
    <row r="68" ht="45.75" customHeight="1" spans="1:26">
      <c r="A68" s="422" t="str">
        <f t="shared" si="6"/>
        <v> 3.3 </v>
      </c>
      <c r="B68" s="423" t="str">
        <f t="shared" si="7"/>
        <v> 3.3 </v>
      </c>
      <c r="C68" s="441" t="s">
        <v>253</v>
      </c>
      <c r="D68" s="442" t="s">
        <v>254</v>
      </c>
      <c r="E68" s="441" t="s">
        <v>139</v>
      </c>
      <c r="F68" s="441" t="s">
        <v>255</v>
      </c>
      <c r="G68" s="442" t="s">
        <v>134</v>
      </c>
      <c r="H68" s="443">
        <f t="shared" si="11"/>
        <v>10</v>
      </c>
      <c r="I68" s="443">
        <f>VLOOKUP(D68,'Orçamento Analitico'!D:L,9,FALSE())</f>
        <v>59.7</v>
      </c>
      <c r="J68" s="443">
        <f t="shared" si="8"/>
        <v>74.91</v>
      </c>
      <c r="K68" s="443">
        <f t="shared" si="9"/>
        <v>597</v>
      </c>
      <c r="L68" s="443">
        <f t="shared" si="10"/>
        <v>749.1</v>
      </c>
      <c r="M68" s="461" t="e">
        <f t="shared" si="0"/>
        <v>#N/A</v>
      </c>
      <c r="N68" s="464">
        <v>10</v>
      </c>
      <c r="O68" s="465"/>
      <c r="P68" s="465"/>
      <c r="Q68" s="465"/>
      <c r="R68" s="465"/>
      <c r="S68" s="465"/>
      <c r="T68" s="465"/>
      <c r="U68" s="479"/>
      <c r="V68" s="422"/>
      <c r="W68" s="422"/>
      <c r="X68" s="422"/>
      <c r="Y68" s="422"/>
      <c r="Z68" s="422"/>
    </row>
    <row r="69" ht="27.75" customHeight="1" spans="1:26">
      <c r="A69" s="422" t="str">
        <f t="shared" si="6"/>
        <v> 3.3 </v>
      </c>
      <c r="B69" s="423" t="str">
        <f t="shared" si="7"/>
        <v> 3.3 </v>
      </c>
      <c r="C69" s="441" t="s">
        <v>256</v>
      </c>
      <c r="D69" s="442" t="s">
        <v>257</v>
      </c>
      <c r="E69" s="441" t="s">
        <v>139</v>
      </c>
      <c r="F69" s="441" t="s">
        <v>258</v>
      </c>
      <c r="G69" s="442" t="s">
        <v>134</v>
      </c>
      <c r="H69" s="443">
        <f t="shared" si="11"/>
        <v>10</v>
      </c>
      <c r="I69" s="443">
        <f>VLOOKUP(D69,'Orçamento Analitico'!D:L,9,FALSE())</f>
        <v>12.33</v>
      </c>
      <c r="J69" s="443">
        <f t="shared" si="8"/>
        <v>15.47</v>
      </c>
      <c r="K69" s="443">
        <f t="shared" si="9"/>
        <v>123.3</v>
      </c>
      <c r="L69" s="443">
        <f t="shared" si="10"/>
        <v>154.7</v>
      </c>
      <c r="M69" s="461" t="e">
        <f t="shared" si="0"/>
        <v>#N/A</v>
      </c>
      <c r="N69" s="464">
        <v>10</v>
      </c>
      <c r="O69" s="465"/>
      <c r="P69" s="465"/>
      <c r="Q69" s="465"/>
      <c r="R69" s="465"/>
      <c r="S69" s="465"/>
      <c r="T69" s="465"/>
      <c r="U69" s="479"/>
      <c r="V69" s="422"/>
      <c r="W69" s="422"/>
      <c r="X69" s="422"/>
      <c r="Y69" s="422"/>
      <c r="Z69" s="422"/>
    </row>
    <row r="70" ht="36" customHeight="1" spans="1:26">
      <c r="A70" s="422" t="str">
        <f t="shared" si="6"/>
        <v> 3.3 </v>
      </c>
      <c r="B70" s="423" t="str">
        <f t="shared" si="7"/>
        <v> 3.3 </v>
      </c>
      <c r="C70" s="441" t="s">
        <v>259</v>
      </c>
      <c r="D70" s="487" t="s">
        <v>260</v>
      </c>
      <c r="E70" s="441" t="s">
        <v>132</v>
      </c>
      <c r="F70" s="441" t="s">
        <v>261</v>
      </c>
      <c r="G70" s="442" t="s">
        <v>134</v>
      </c>
      <c r="H70" s="443">
        <f t="shared" si="11"/>
        <v>1</v>
      </c>
      <c r="I70" s="443">
        <f>VLOOKUP(D70,'Orçamento Analitico'!D:L,9,FALSE())</f>
        <v>775.49</v>
      </c>
      <c r="J70" s="443">
        <f t="shared" si="8"/>
        <v>973.16</v>
      </c>
      <c r="K70" s="443">
        <f t="shared" si="9"/>
        <v>775.49</v>
      </c>
      <c r="L70" s="443">
        <f t="shared" si="10"/>
        <v>973.16</v>
      </c>
      <c r="M70" s="461" t="e">
        <f t="shared" si="0"/>
        <v>#N/A</v>
      </c>
      <c r="N70" s="464">
        <v>1</v>
      </c>
      <c r="O70" s="465"/>
      <c r="P70" s="465"/>
      <c r="Q70" s="465"/>
      <c r="R70" s="465"/>
      <c r="S70" s="465"/>
      <c r="T70" s="465"/>
      <c r="U70" s="479"/>
      <c r="V70" s="497"/>
      <c r="W70" s="422"/>
      <c r="X70" s="422"/>
      <c r="Y70" s="422"/>
      <c r="Z70" s="422"/>
    </row>
    <row r="71" ht="36" customHeight="1" spans="1:26">
      <c r="A71" s="422" t="str">
        <f t="shared" si="6"/>
        <v> 3.3 </v>
      </c>
      <c r="B71" s="423" t="str">
        <f t="shared" si="7"/>
        <v> 3.3 </v>
      </c>
      <c r="C71" s="441" t="s">
        <v>262</v>
      </c>
      <c r="D71" s="442" t="s">
        <v>263</v>
      </c>
      <c r="E71" s="441" t="s">
        <v>132</v>
      </c>
      <c r="F71" s="441" t="s">
        <v>264</v>
      </c>
      <c r="G71" s="442" t="s">
        <v>141</v>
      </c>
      <c r="H71" s="443">
        <f t="shared" si="11"/>
        <v>20</v>
      </c>
      <c r="I71" s="443">
        <f>VLOOKUP(D71,'Orçamento Analitico'!D:L,9,FALSE())</f>
        <v>279.47</v>
      </c>
      <c r="J71" s="443">
        <f t="shared" si="8"/>
        <v>350.7</v>
      </c>
      <c r="K71" s="443">
        <f t="shared" si="9"/>
        <v>5589.4</v>
      </c>
      <c r="L71" s="443">
        <f t="shared" si="10"/>
        <v>7014</v>
      </c>
      <c r="M71" s="461" t="e">
        <f t="shared" si="0"/>
        <v>#N/A</v>
      </c>
      <c r="N71" s="464">
        <v>20</v>
      </c>
      <c r="O71" s="465"/>
      <c r="P71" s="465"/>
      <c r="Q71" s="465"/>
      <c r="R71" s="465"/>
      <c r="S71" s="465"/>
      <c r="T71" s="465"/>
      <c r="U71" s="479"/>
      <c r="V71" s="422"/>
      <c r="W71" s="422"/>
      <c r="X71" s="422"/>
      <c r="Y71" s="422"/>
      <c r="Z71" s="422"/>
    </row>
    <row r="72" ht="45.75" customHeight="1" spans="1:26">
      <c r="A72" s="422" t="str">
        <f t="shared" si="6"/>
        <v> 3.3 </v>
      </c>
      <c r="B72" s="423" t="str">
        <f t="shared" si="7"/>
        <v> 3.3 </v>
      </c>
      <c r="C72" s="441" t="s">
        <v>265</v>
      </c>
      <c r="D72" s="442" t="s">
        <v>266</v>
      </c>
      <c r="E72" s="441" t="s">
        <v>132</v>
      </c>
      <c r="F72" s="441" t="s">
        <v>267</v>
      </c>
      <c r="G72" s="442" t="s">
        <v>141</v>
      </c>
      <c r="H72" s="443">
        <f t="shared" si="11"/>
        <v>20</v>
      </c>
      <c r="I72" s="443">
        <f>VLOOKUP(D72,'Orçamento Analitico'!D:L,9,FALSE())</f>
        <v>490.17</v>
      </c>
      <c r="J72" s="443">
        <f t="shared" si="8"/>
        <v>615.11</v>
      </c>
      <c r="K72" s="443">
        <f t="shared" si="9"/>
        <v>9803.4</v>
      </c>
      <c r="L72" s="443">
        <f t="shared" si="10"/>
        <v>12302.2</v>
      </c>
      <c r="M72" s="461" t="e">
        <f t="shared" ref="M72:M135" si="12">K72/$L$1062</f>
        <v>#N/A</v>
      </c>
      <c r="N72" s="464">
        <v>20</v>
      </c>
      <c r="O72" s="465"/>
      <c r="P72" s="465"/>
      <c r="Q72" s="465"/>
      <c r="R72" s="465"/>
      <c r="S72" s="465"/>
      <c r="T72" s="465"/>
      <c r="U72" s="479"/>
      <c r="V72" s="422"/>
      <c r="W72" s="422"/>
      <c r="X72" s="422"/>
      <c r="Y72" s="422"/>
      <c r="Z72" s="422"/>
    </row>
    <row r="73" ht="12.75" customHeight="1" spans="1:26">
      <c r="A73" s="422"/>
      <c r="B73" s="423" t="str">
        <f>C73</f>
        <v> 3.4 </v>
      </c>
      <c r="C73" s="444" t="s">
        <v>268</v>
      </c>
      <c r="D73" s="445" t="s">
        <v>74</v>
      </c>
      <c r="E73" s="444"/>
      <c r="F73" s="444" t="s">
        <v>269</v>
      </c>
      <c r="G73" s="445"/>
      <c r="H73" s="446"/>
      <c r="I73" s="446"/>
      <c r="J73" s="466"/>
      <c r="K73" s="466">
        <f>SUMIF(A:A,B73,K:K)</f>
        <v>44067.39</v>
      </c>
      <c r="L73" s="466">
        <f>SUMIF(A:A,C73,L:L)</f>
        <v>55248.08</v>
      </c>
      <c r="M73" s="467" t="e">
        <f t="shared" si="12"/>
        <v>#N/A</v>
      </c>
      <c r="N73" s="491"/>
      <c r="O73" s="492"/>
      <c r="P73" s="492"/>
      <c r="Q73" s="492"/>
      <c r="R73" s="492"/>
      <c r="S73" s="492"/>
      <c r="T73" s="492"/>
      <c r="U73" s="479"/>
      <c r="V73" s="422"/>
      <c r="W73" s="422"/>
      <c r="X73" s="422"/>
      <c r="Y73" s="422"/>
      <c r="Z73" s="422"/>
    </row>
    <row r="74" ht="36.75" customHeight="1" spans="1:26">
      <c r="A74" s="422" t="str">
        <f t="shared" ref="A74:A98" si="13">B74</f>
        <v> 3.4 </v>
      </c>
      <c r="B74" s="423" t="str">
        <f t="shared" ref="B74:B82" si="14">B73</f>
        <v> 3.4 </v>
      </c>
      <c r="C74" s="441" t="s">
        <v>270</v>
      </c>
      <c r="D74" s="442" t="s">
        <v>271</v>
      </c>
      <c r="E74" s="441" t="s">
        <v>139</v>
      </c>
      <c r="F74" s="441" t="s">
        <v>272</v>
      </c>
      <c r="G74" s="442" t="s">
        <v>141</v>
      </c>
      <c r="H74" s="443">
        <f>R74</f>
        <v>550</v>
      </c>
      <c r="I74" s="443">
        <f>VLOOKUP(D74,'Orçamento Analitico'!D:L,9,FALSE())</f>
        <v>4.09</v>
      </c>
      <c r="J74" s="443">
        <f t="shared" ref="J74:J79" si="15">ROUNDDOWN(I74*(1+$G$6),2)</f>
        <v>5.13</v>
      </c>
      <c r="K74" s="443">
        <f t="shared" ref="K74:K79" si="16">ROUNDDOWN(H74*I74,2)</f>
        <v>2249.5</v>
      </c>
      <c r="L74" s="443">
        <f t="shared" ref="L74:L79" si="17">ROUNDDOWN(H74*J74,2)</f>
        <v>2821.5</v>
      </c>
      <c r="M74" s="461" t="e">
        <f t="shared" si="12"/>
        <v>#N/A</v>
      </c>
      <c r="N74" s="473">
        <v>250</v>
      </c>
      <c r="O74" s="474" t="s">
        <v>6128</v>
      </c>
      <c r="P74" s="474">
        <v>2.2</v>
      </c>
      <c r="Q74" s="474" t="s">
        <v>6129</v>
      </c>
      <c r="R74" s="474">
        <f>ROUNDDOWN(N74*P74,2)</f>
        <v>550</v>
      </c>
      <c r="S74" s="493" t="s">
        <v>6130</v>
      </c>
      <c r="T74" s="493"/>
      <c r="U74" s="479"/>
      <c r="V74" s="422"/>
      <c r="W74" s="422"/>
      <c r="X74" s="422"/>
      <c r="Y74" s="422"/>
      <c r="Z74" s="422"/>
    </row>
    <row r="75" ht="36.75" customHeight="1" spans="1:26">
      <c r="A75" s="422" t="str">
        <f t="shared" si="13"/>
        <v> 3.4 </v>
      </c>
      <c r="B75" s="423" t="str">
        <f t="shared" si="14"/>
        <v> 3.4 </v>
      </c>
      <c r="C75" s="441" t="s">
        <v>273</v>
      </c>
      <c r="D75" s="442" t="s">
        <v>274</v>
      </c>
      <c r="E75" s="441" t="s">
        <v>139</v>
      </c>
      <c r="F75" s="441" t="s">
        <v>275</v>
      </c>
      <c r="G75" s="442" t="s">
        <v>204</v>
      </c>
      <c r="H75" s="443">
        <f>SUM(N75)</f>
        <v>30</v>
      </c>
      <c r="I75" s="443">
        <f>VLOOKUP(D75,'Orçamento Analitico'!D:L,9,FALSE())</f>
        <v>23.05</v>
      </c>
      <c r="J75" s="443">
        <f t="shared" si="15"/>
        <v>28.92</v>
      </c>
      <c r="K75" s="443">
        <f t="shared" si="16"/>
        <v>691.5</v>
      </c>
      <c r="L75" s="443">
        <f t="shared" si="17"/>
        <v>867.6</v>
      </c>
      <c r="M75" s="461" t="e">
        <f t="shared" si="12"/>
        <v>#N/A</v>
      </c>
      <c r="N75" s="464">
        <v>30</v>
      </c>
      <c r="O75" s="465"/>
      <c r="P75" s="465"/>
      <c r="Q75" s="465"/>
      <c r="R75" s="465"/>
      <c r="S75" s="465"/>
      <c r="T75" s="465"/>
      <c r="U75" s="479"/>
      <c r="V75" s="422"/>
      <c r="W75" s="422"/>
      <c r="X75" s="422"/>
      <c r="Y75" s="422"/>
      <c r="Z75" s="422"/>
    </row>
    <row r="76" ht="36.75" customHeight="1" spans="1:26">
      <c r="A76" s="422" t="str">
        <f t="shared" si="13"/>
        <v> 3.4 </v>
      </c>
      <c r="B76" s="423" t="str">
        <f t="shared" si="14"/>
        <v> 3.4 </v>
      </c>
      <c r="C76" s="441" t="s">
        <v>276</v>
      </c>
      <c r="D76" s="442" t="s">
        <v>277</v>
      </c>
      <c r="E76" s="441" t="s">
        <v>139</v>
      </c>
      <c r="F76" s="441" t="s">
        <v>278</v>
      </c>
      <c r="G76" s="442" t="s">
        <v>279</v>
      </c>
      <c r="H76" s="443">
        <f>T76</f>
        <v>45</v>
      </c>
      <c r="I76" s="443">
        <f>VLOOKUP(D76,'Orçamento Analitico'!D:L,9,FALSE())</f>
        <v>77.08</v>
      </c>
      <c r="J76" s="443">
        <f t="shared" si="15"/>
        <v>96.72</v>
      </c>
      <c r="K76" s="443">
        <f t="shared" si="16"/>
        <v>3468.6</v>
      </c>
      <c r="L76" s="443">
        <f t="shared" si="17"/>
        <v>4352.4</v>
      </c>
      <c r="M76" s="461" t="e">
        <f t="shared" si="12"/>
        <v>#N/A</v>
      </c>
      <c r="N76" s="464">
        <v>100</v>
      </c>
      <c r="O76" s="474" t="s">
        <v>6128</v>
      </c>
      <c r="P76" s="474">
        <v>3</v>
      </c>
      <c r="Q76" s="474" t="s">
        <v>6128</v>
      </c>
      <c r="R76" s="474">
        <v>0.15</v>
      </c>
      <c r="S76" s="474" t="s">
        <v>6129</v>
      </c>
      <c r="T76" s="474">
        <f>ROUNDDOWN(N76*P76*R76,2)</f>
        <v>45</v>
      </c>
      <c r="U76" s="479" t="s">
        <v>6133</v>
      </c>
      <c r="V76" s="422"/>
      <c r="W76" s="422"/>
      <c r="X76" s="422"/>
      <c r="Y76" s="422"/>
      <c r="Z76" s="422"/>
    </row>
    <row r="77" ht="12.75" customHeight="1" spans="1:26">
      <c r="A77" s="422" t="str">
        <f t="shared" si="13"/>
        <v> 3.4 </v>
      </c>
      <c r="B77" s="423" t="str">
        <f t="shared" si="14"/>
        <v> 3.4 </v>
      </c>
      <c r="C77" s="441" t="s">
        <v>280</v>
      </c>
      <c r="D77" s="442" t="s">
        <v>281</v>
      </c>
      <c r="E77" s="441" t="s">
        <v>132</v>
      </c>
      <c r="F77" s="441" t="s">
        <v>282</v>
      </c>
      <c r="G77" s="442" t="s">
        <v>141</v>
      </c>
      <c r="H77" s="443">
        <f>R77</f>
        <v>348.62</v>
      </c>
      <c r="I77" s="443">
        <f>VLOOKUP(D77,'Orçamento Analitico'!D:L,9,FALSE())</f>
        <v>31.52</v>
      </c>
      <c r="J77" s="443">
        <f t="shared" si="15"/>
        <v>39.55</v>
      </c>
      <c r="K77" s="443">
        <f t="shared" si="16"/>
        <v>10988.5</v>
      </c>
      <c r="L77" s="443">
        <f t="shared" si="17"/>
        <v>13787.92</v>
      </c>
      <c r="M77" s="461" t="e">
        <f t="shared" si="12"/>
        <v>#N/A</v>
      </c>
      <c r="N77" s="473">
        <f>10.76*2</f>
        <v>21.52</v>
      </c>
      <c r="O77" s="474" t="s">
        <v>6128</v>
      </c>
      <c r="P77" s="474">
        <f>24-7.8</f>
        <v>16.2</v>
      </c>
      <c r="Q77" s="474" t="s">
        <v>6129</v>
      </c>
      <c r="R77" s="474">
        <f>ROUNDDOWN(N77*P77,2)</f>
        <v>348.62</v>
      </c>
      <c r="S77" s="465" t="s">
        <v>6134</v>
      </c>
      <c r="T77" s="465"/>
      <c r="U77" s="479"/>
      <c r="V77" s="422"/>
      <c r="W77" s="422"/>
      <c r="X77" s="422"/>
      <c r="Y77" s="422"/>
      <c r="Z77" s="422"/>
    </row>
    <row r="78" ht="12.75" customHeight="1" spans="1:26">
      <c r="A78" s="422" t="str">
        <f t="shared" si="13"/>
        <v> 3.4 </v>
      </c>
      <c r="B78" s="423" t="str">
        <f t="shared" si="14"/>
        <v> 3.4 </v>
      </c>
      <c r="C78" s="441" t="s">
        <v>283</v>
      </c>
      <c r="D78" s="442" t="s">
        <v>284</v>
      </c>
      <c r="E78" s="441" t="s">
        <v>132</v>
      </c>
      <c r="F78" s="441" t="s">
        <v>285</v>
      </c>
      <c r="G78" s="442" t="s">
        <v>141</v>
      </c>
      <c r="H78" s="443">
        <f>R78</f>
        <v>99.42</v>
      </c>
      <c r="I78" s="443">
        <f>VLOOKUP(D78,'Orçamento Analitico'!D:L,9,FALSE())</f>
        <v>5.83</v>
      </c>
      <c r="J78" s="443">
        <f t="shared" si="15"/>
        <v>7.31</v>
      </c>
      <c r="K78" s="443">
        <f t="shared" si="16"/>
        <v>579.61</v>
      </c>
      <c r="L78" s="443">
        <f t="shared" si="17"/>
        <v>726.76</v>
      </c>
      <c r="M78" s="461" t="e">
        <f t="shared" si="12"/>
        <v>#N/A</v>
      </c>
      <c r="N78" s="473">
        <f>10.76*2*3</f>
        <v>64.56</v>
      </c>
      <c r="O78" s="474" t="s">
        <v>6128</v>
      </c>
      <c r="P78" s="474">
        <v>1.54</v>
      </c>
      <c r="Q78" s="474" t="s">
        <v>6129</v>
      </c>
      <c r="R78" s="474">
        <f>ROUNDDOWN(N78*P78,2)</f>
        <v>99.42</v>
      </c>
      <c r="S78" s="465" t="s">
        <v>6134</v>
      </c>
      <c r="T78" s="465"/>
      <c r="U78" s="479"/>
      <c r="V78" s="422"/>
      <c r="W78" s="422"/>
      <c r="X78" s="422"/>
      <c r="Y78" s="422"/>
      <c r="Z78" s="422"/>
    </row>
    <row r="79" ht="12.75" customHeight="1" spans="1:26">
      <c r="A79" s="422" t="str">
        <f t="shared" si="13"/>
        <v> 3.4 </v>
      </c>
      <c r="B79" s="423" t="str">
        <f t="shared" si="14"/>
        <v> 3.4 </v>
      </c>
      <c r="C79" s="441" t="s">
        <v>286</v>
      </c>
      <c r="D79" s="442" t="s">
        <v>287</v>
      </c>
      <c r="E79" s="441" t="s">
        <v>139</v>
      </c>
      <c r="F79" s="441" t="s">
        <v>288</v>
      </c>
      <c r="G79" s="442" t="s">
        <v>141</v>
      </c>
      <c r="H79" s="443">
        <f>SUM(R79:R80)</f>
        <v>98.56</v>
      </c>
      <c r="I79" s="443">
        <f>VLOOKUP(D79,'Orçamento Analitico'!D:L,9,FALSE())</f>
        <v>2.77</v>
      </c>
      <c r="J79" s="443">
        <f t="shared" si="15"/>
        <v>3.47</v>
      </c>
      <c r="K79" s="443">
        <f t="shared" si="16"/>
        <v>273.01</v>
      </c>
      <c r="L79" s="443">
        <f t="shared" si="17"/>
        <v>342</v>
      </c>
      <c r="M79" s="461" t="e">
        <f t="shared" si="12"/>
        <v>#N/A</v>
      </c>
      <c r="N79" s="473">
        <v>24.64</v>
      </c>
      <c r="O79" s="474" t="s">
        <v>6128</v>
      </c>
      <c r="P79" s="474">
        <v>4</v>
      </c>
      <c r="Q79" s="474" t="s">
        <v>6129</v>
      </c>
      <c r="R79" s="474">
        <f>ROUNDDOWN(N79*P79,2)</f>
        <v>98.56</v>
      </c>
      <c r="S79" s="465"/>
      <c r="T79" s="465"/>
      <c r="U79" s="479" t="s">
        <v>6133</v>
      </c>
      <c r="V79" s="422"/>
      <c r="W79" s="422"/>
      <c r="X79" s="422"/>
      <c r="Y79" s="422"/>
      <c r="Z79" s="422"/>
    </row>
    <row r="80" ht="12.75" customHeight="1" spans="1:26">
      <c r="A80" s="422" t="str">
        <f t="shared" si="13"/>
        <v> 3.4 </v>
      </c>
      <c r="B80" s="423" t="str">
        <f t="shared" si="14"/>
        <v> 3.4 </v>
      </c>
      <c r="C80" s="441"/>
      <c r="D80" s="442"/>
      <c r="E80" s="441"/>
      <c r="F80" s="441"/>
      <c r="G80" s="442"/>
      <c r="H80" s="443"/>
      <c r="I80" s="443"/>
      <c r="J80" s="443"/>
      <c r="K80" s="443"/>
      <c r="L80" s="443"/>
      <c r="M80" s="461" t="e">
        <f t="shared" si="12"/>
        <v>#N/A</v>
      </c>
      <c r="N80" s="473"/>
      <c r="O80" s="474" t="s">
        <v>6128</v>
      </c>
      <c r="P80" s="474"/>
      <c r="Q80" s="474" t="s">
        <v>6129</v>
      </c>
      <c r="R80" s="474">
        <f>ROUNDDOWN(N80*P80,2)</f>
        <v>0</v>
      </c>
      <c r="S80" s="465"/>
      <c r="T80" s="465"/>
      <c r="U80" s="479" t="s">
        <v>6135</v>
      </c>
      <c r="V80" s="422"/>
      <c r="W80" s="422"/>
      <c r="X80" s="422"/>
      <c r="Y80" s="422"/>
      <c r="Z80" s="422"/>
    </row>
    <row r="81" ht="12.75" customHeight="1" spans="1:26">
      <c r="A81" s="422" t="str">
        <f t="shared" si="13"/>
        <v> 3.4 </v>
      </c>
      <c r="B81" s="423" t="str">
        <f t="shared" si="14"/>
        <v> 3.4 </v>
      </c>
      <c r="C81" s="441" t="s">
        <v>289</v>
      </c>
      <c r="D81" s="442" t="s">
        <v>290</v>
      </c>
      <c r="E81" s="441" t="s">
        <v>139</v>
      </c>
      <c r="F81" s="441" t="s">
        <v>291</v>
      </c>
      <c r="G81" s="442" t="s">
        <v>141</v>
      </c>
      <c r="H81" s="443">
        <f>SUM(R81:R82)</f>
        <v>561.95</v>
      </c>
      <c r="I81" s="443">
        <f>VLOOKUP(D81,'Orçamento Analitico'!D:L,9,FALSE())</f>
        <v>3.98</v>
      </c>
      <c r="J81" s="443">
        <f>ROUNDDOWN(I81*(1+$G$6),2)</f>
        <v>4.99</v>
      </c>
      <c r="K81" s="443">
        <f>ROUNDDOWN(H81*I81,2)</f>
        <v>2236.56</v>
      </c>
      <c r="L81" s="443">
        <f>ROUNDDOWN(H81*J81,2)</f>
        <v>2804.13</v>
      </c>
      <c r="M81" s="461" t="e">
        <f t="shared" si="12"/>
        <v>#N/A</v>
      </c>
      <c r="N81" s="464"/>
      <c r="O81" s="465"/>
      <c r="P81" s="465"/>
      <c r="Q81" s="474" t="s">
        <v>6129</v>
      </c>
      <c r="R81" s="474">
        <f>R79</f>
        <v>98.56</v>
      </c>
      <c r="S81" s="465"/>
      <c r="T81" s="465"/>
      <c r="U81" s="479" t="s">
        <v>6133</v>
      </c>
      <c r="V81" s="422"/>
      <c r="W81" s="422"/>
      <c r="X81" s="422"/>
      <c r="Y81" s="422"/>
      <c r="Z81" s="422"/>
    </row>
    <row r="82" ht="12.75" customHeight="1" spans="1:26">
      <c r="A82" s="422" t="str">
        <f t="shared" si="13"/>
        <v> 3.4 </v>
      </c>
      <c r="B82" s="423" t="str">
        <f t="shared" si="14"/>
        <v> 3.4 </v>
      </c>
      <c r="C82" s="441"/>
      <c r="D82" s="442"/>
      <c r="E82" s="441"/>
      <c r="F82" s="441"/>
      <c r="G82" s="442"/>
      <c r="H82" s="443"/>
      <c r="I82" s="443"/>
      <c r="J82" s="443"/>
      <c r="K82" s="443"/>
      <c r="L82" s="443"/>
      <c r="M82" s="461" t="e">
        <f t="shared" si="12"/>
        <v>#N/A</v>
      </c>
      <c r="N82" s="464"/>
      <c r="O82" s="465"/>
      <c r="P82" s="465"/>
      <c r="Q82" s="474" t="s">
        <v>6129</v>
      </c>
      <c r="R82" s="474">
        <f>196.74+130.6+136.05</f>
        <v>463.39</v>
      </c>
      <c r="S82" s="465"/>
      <c r="T82" s="465"/>
      <c r="U82" s="479" t="s">
        <v>6136</v>
      </c>
      <c r="V82" s="422"/>
      <c r="W82" s="422"/>
      <c r="X82" s="422"/>
      <c r="Y82" s="422"/>
      <c r="Z82" s="422"/>
    </row>
    <row r="83" ht="12.75" customHeight="1" spans="1:26">
      <c r="A83" s="422" t="str">
        <f t="shared" si="13"/>
        <v> 3.4 </v>
      </c>
      <c r="B83" s="423" t="str">
        <f>B81</f>
        <v> 3.4 </v>
      </c>
      <c r="C83" s="441" t="s">
        <v>292</v>
      </c>
      <c r="D83" s="442" t="s">
        <v>293</v>
      </c>
      <c r="E83" s="441" t="s">
        <v>139</v>
      </c>
      <c r="F83" s="441" t="s">
        <v>294</v>
      </c>
      <c r="G83" s="442" t="s">
        <v>141</v>
      </c>
      <c r="H83" s="443">
        <f>SUM(Q83:Q84)</f>
        <v>287.82</v>
      </c>
      <c r="I83" s="443">
        <f>VLOOKUP(D83,'Orçamento Analitico'!D:L,9,FALSE())</f>
        <v>12.97</v>
      </c>
      <c r="J83" s="443">
        <f>ROUNDDOWN(I83*(1+$G$6),2)</f>
        <v>16.27</v>
      </c>
      <c r="K83" s="443">
        <f>ROUNDDOWN(H83*I83,2)</f>
        <v>3733.02</v>
      </c>
      <c r="L83" s="443">
        <f>ROUNDDOWN(H83*J83,2)</f>
        <v>4682.83</v>
      </c>
      <c r="M83" s="461" t="e">
        <f t="shared" si="12"/>
        <v>#N/A</v>
      </c>
      <c r="N83" s="464"/>
      <c r="O83" s="493"/>
      <c r="P83" s="474" t="s">
        <v>6129</v>
      </c>
      <c r="Q83" s="474">
        <f>ROUND(SUMPRODUCT($H$243:$H$251,$V$243:$V$251),2)</f>
        <v>272.7</v>
      </c>
      <c r="R83" s="493" t="s">
        <v>6137</v>
      </c>
      <c r="S83" s="493"/>
      <c r="T83" s="465"/>
      <c r="U83" s="479"/>
      <c r="V83" s="422"/>
      <c r="W83" s="422"/>
      <c r="X83" s="422"/>
      <c r="Y83" s="422"/>
      <c r="Z83" s="422"/>
    </row>
    <row r="84" ht="12.75" customHeight="1" spans="1:26">
      <c r="A84" s="422" t="str">
        <f t="shared" si="13"/>
        <v> 3.4 </v>
      </c>
      <c r="B84" s="423" t="str">
        <f t="shared" ref="B84:B98" si="18">B83</f>
        <v> 3.4 </v>
      </c>
      <c r="C84" s="441"/>
      <c r="D84" s="442"/>
      <c r="E84" s="441"/>
      <c r="F84" s="441"/>
      <c r="G84" s="442"/>
      <c r="H84" s="443"/>
      <c r="I84" s="443"/>
      <c r="J84" s="443"/>
      <c r="K84" s="443"/>
      <c r="L84" s="443"/>
      <c r="M84" s="461" t="e">
        <f t="shared" si="12"/>
        <v>#N/A</v>
      </c>
      <c r="N84" s="464"/>
      <c r="O84" s="493"/>
      <c r="P84" s="474" t="s">
        <v>6129</v>
      </c>
      <c r="Q84" s="474">
        <f>SUMPRODUCT($N$38:$N$39,$V$38:$V$39)</f>
        <v>15.12</v>
      </c>
      <c r="R84" s="493" t="s">
        <v>6138</v>
      </c>
      <c r="S84" s="493"/>
      <c r="T84" s="465"/>
      <c r="U84" s="479"/>
      <c r="V84" s="422"/>
      <c r="W84" s="422"/>
      <c r="X84" s="422"/>
      <c r="Y84" s="422"/>
      <c r="Z84" s="422"/>
    </row>
    <row r="85" ht="12.75" customHeight="1" spans="1:26">
      <c r="A85" s="422" t="str">
        <f t="shared" si="13"/>
        <v> 3.4 </v>
      </c>
      <c r="B85" s="423" t="str">
        <f t="shared" si="18"/>
        <v> 3.4 </v>
      </c>
      <c r="C85" s="441" t="s">
        <v>295</v>
      </c>
      <c r="D85" s="442" t="s">
        <v>296</v>
      </c>
      <c r="E85" s="441" t="s">
        <v>139</v>
      </c>
      <c r="F85" s="441" t="s">
        <v>297</v>
      </c>
      <c r="G85" s="442" t="s">
        <v>141</v>
      </c>
      <c r="H85" s="443">
        <f>SUM(Q85:Q86)</f>
        <v>48.46</v>
      </c>
      <c r="I85" s="443">
        <f>VLOOKUP(D85,'Orçamento Analitico'!D:L,9,FALSE())</f>
        <v>33.5</v>
      </c>
      <c r="J85" s="443">
        <f>ROUNDDOWN(I85*(1+$G$6),2)</f>
        <v>42.03</v>
      </c>
      <c r="K85" s="443">
        <f>ROUNDDOWN(H85*I85,2)</f>
        <v>1623.41</v>
      </c>
      <c r="L85" s="443">
        <f>ROUNDDOWN(H85*J85,2)</f>
        <v>2036.77</v>
      </c>
      <c r="M85" s="461" t="e">
        <f t="shared" si="12"/>
        <v>#N/A</v>
      </c>
      <c r="N85" s="464"/>
      <c r="O85" s="465"/>
      <c r="P85" s="474" t="s">
        <v>6129</v>
      </c>
      <c r="Q85" s="465">
        <f>SUM($T$42:$T$43)</f>
        <v>6.16</v>
      </c>
      <c r="R85" s="493" t="s">
        <v>6139</v>
      </c>
      <c r="S85" s="493"/>
      <c r="T85" s="465"/>
      <c r="U85" s="479"/>
      <c r="V85" s="422"/>
      <c r="W85" s="422"/>
      <c r="X85" s="422"/>
      <c r="Y85" s="422"/>
      <c r="Z85" s="422"/>
    </row>
    <row r="86" ht="12.75" customHeight="1" spans="1:26">
      <c r="A86" s="422" t="str">
        <f t="shared" si="13"/>
        <v> 3.4 </v>
      </c>
      <c r="B86" s="423" t="str">
        <f t="shared" si="18"/>
        <v> 3.4 </v>
      </c>
      <c r="C86" s="441"/>
      <c r="D86" s="442"/>
      <c r="E86" s="441"/>
      <c r="F86" s="441"/>
      <c r="G86" s="442"/>
      <c r="H86" s="443"/>
      <c r="I86" s="443"/>
      <c r="J86" s="443"/>
      <c r="K86" s="443"/>
      <c r="L86" s="443"/>
      <c r="M86" s="461" t="e">
        <f t="shared" si="12"/>
        <v>#N/A</v>
      </c>
      <c r="N86" s="464"/>
      <c r="O86" s="465"/>
      <c r="P86" s="474" t="s">
        <v>6129</v>
      </c>
      <c r="Q86" s="465">
        <f>SUM($O$270,$Q$270)</f>
        <v>42.3</v>
      </c>
      <c r="R86" s="493" t="s">
        <v>6140</v>
      </c>
      <c r="S86" s="493"/>
      <c r="T86" s="465"/>
      <c r="U86" s="479"/>
      <c r="V86" s="422"/>
      <c r="W86" s="422"/>
      <c r="X86" s="422"/>
      <c r="Y86" s="422"/>
      <c r="Z86" s="422"/>
    </row>
    <row r="87" ht="12.75" customHeight="1" spans="1:26">
      <c r="A87" s="422" t="str">
        <f t="shared" si="13"/>
        <v> 3.4 </v>
      </c>
      <c r="B87" s="423" t="str">
        <f t="shared" si="18"/>
        <v> 3.4 </v>
      </c>
      <c r="C87" s="441" t="s">
        <v>298</v>
      </c>
      <c r="D87" s="442" t="s">
        <v>299</v>
      </c>
      <c r="E87" s="441" t="s">
        <v>139</v>
      </c>
      <c r="F87" s="441" t="s">
        <v>300</v>
      </c>
      <c r="G87" s="442" t="s">
        <v>141</v>
      </c>
      <c r="H87" s="443">
        <f>Q87</f>
        <v>6.16</v>
      </c>
      <c r="I87" s="443">
        <f>VLOOKUP(D87,'Orçamento Analitico'!D:L,9,FALSE())</f>
        <v>29.96</v>
      </c>
      <c r="J87" s="443">
        <f t="shared" ref="J87:J98" si="19">ROUNDDOWN(I87*(1+$G$6),2)</f>
        <v>37.59</v>
      </c>
      <c r="K87" s="443">
        <f t="shared" ref="K87:K98" si="20">ROUNDDOWN(H87*I87,2)</f>
        <v>184.55</v>
      </c>
      <c r="L87" s="443">
        <f t="shared" ref="L87:L98" si="21">ROUNDDOWN(H87*J87,2)</f>
        <v>231.55</v>
      </c>
      <c r="M87" s="461" t="e">
        <f t="shared" si="12"/>
        <v>#N/A</v>
      </c>
      <c r="N87" s="464"/>
      <c r="O87" s="465"/>
      <c r="P87" s="474" t="s">
        <v>6129</v>
      </c>
      <c r="Q87" s="465">
        <f>Q85</f>
        <v>6.16</v>
      </c>
      <c r="R87" s="465"/>
      <c r="S87" s="465"/>
      <c r="T87" s="465"/>
      <c r="U87" s="479"/>
      <c r="V87" s="422"/>
      <c r="W87" s="422"/>
      <c r="X87" s="422"/>
      <c r="Y87" s="422"/>
      <c r="Z87" s="422"/>
    </row>
    <row r="88" ht="39.75" customHeight="1" spans="1:26">
      <c r="A88" s="422" t="str">
        <f t="shared" si="13"/>
        <v> 3.4 </v>
      </c>
      <c r="B88" s="423" t="str">
        <f t="shared" si="18"/>
        <v> 3.4 </v>
      </c>
      <c r="C88" s="441" t="s">
        <v>301</v>
      </c>
      <c r="D88" s="442" t="s">
        <v>302</v>
      </c>
      <c r="E88" s="441" t="s">
        <v>139</v>
      </c>
      <c r="F88" s="441" t="s">
        <v>303</v>
      </c>
      <c r="G88" s="442" t="s">
        <v>141</v>
      </c>
      <c r="H88" s="443">
        <f>Q88</f>
        <v>42.3</v>
      </c>
      <c r="I88" s="443">
        <f>VLOOKUP(D88,'Orçamento Analitico'!D:L,9,FALSE())</f>
        <v>21.39</v>
      </c>
      <c r="J88" s="443">
        <f t="shared" si="19"/>
        <v>26.84</v>
      </c>
      <c r="K88" s="443">
        <f t="shared" si="20"/>
        <v>904.79</v>
      </c>
      <c r="L88" s="443">
        <f t="shared" si="21"/>
        <v>1135.33</v>
      </c>
      <c r="M88" s="461" t="e">
        <f t="shared" si="12"/>
        <v>#N/A</v>
      </c>
      <c r="N88" s="464"/>
      <c r="O88" s="465"/>
      <c r="P88" s="474" t="s">
        <v>6129</v>
      </c>
      <c r="Q88" s="465">
        <f>Q86</f>
        <v>42.3</v>
      </c>
      <c r="R88" s="493" t="s">
        <v>6141</v>
      </c>
      <c r="S88" s="465"/>
      <c r="T88" s="493"/>
      <c r="U88" s="479"/>
      <c r="V88" s="422"/>
      <c r="W88" s="422"/>
      <c r="X88" s="422"/>
      <c r="Y88" s="422"/>
      <c r="Z88" s="422"/>
    </row>
    <row r="89" ht="39.75" customHeight="1" spans="1:26">
      <c r="A89" s="422" t="str">
        <f t="shared" si="13"/>
        <v> 3.4 </v>
      </c>
      <c r="B89" s="423" t="str">
        <f t="shared" si="18"/>
        <v> 3.4 </v>
      </c>
      <c r="C89" s="441" t="s">
        <v>304</v>
      </c>
      <c r="D89" s="442" t="s">
        <v>305</v>
      </c>
      <c r="E89" s="441" t="s">
        <v>139</v>
      </c>
      <c r="F89" s="441" t="s">
        <v>306</v>
      </c>
      <c r="G89" s="442" t="s">
        <v>141</v>
      </c>
      <c r="H89" s="443">
        <f t="shared" ref="H89:H95" si="22">R89</f>
        <v>400</v>
      </c>
      <c r="I89" s="443">
        <f>VLOOKUP(D89,'Orçamento Analitico'!D:L,9,FALSE())</f>
        <v>4.87</v>
      </c>
      <c r="J89" s="443">
        <f t="shared" si="19"/>
        <v>6.11</v>
      </c>
      <c r="K89" s="443">
        <f t="shared" si="20"/>
        <v>1948</v>
      </c>
      <c r="L89" s="443">
        <f t="shared" si="21"/>
        <v>2444</v>
      </c>
      <c r="M89" s="461" t="e">
        <f t="shared" si="12"/>
        <v>#N/A</v>
      </c>
      <c r="N89" s="473">
        <v>40</v>
      </c>
      <c r="O89" s="474" t="s">
        <v>6128</v>
      </c>
      <c r="P89" s="474">
        <v>10</v>
      </c>
      <c r="Q89" s="474" t="s">
        <v>6129</v>
      </c>
      <c r="R89" s="474">
        <f>ROUNDDOWN(N89*P89,2)</f>
        <v>400</v>
      </c>
      <c r="S89" s="493" t="s">
        <v>6142</v>
      </c>
      <c r="T89" s="465"/>
      <c r="U89" s="479"/>
      <c r="V89" s="422"/>
      <c r="W89" s="422"/>
      <c r="X89" s="422"/>
      <c r="Y89" s="422"/>
      <c r="Z89" s="422"/>
    </row>
    <row r="90" ht="39.75" customHeight="1" spans="1:26">
      <c r="A90" s="422" t="str">
        <f t="shared" si="13"/>
        <v> 3.4 </v>
      </c>
      <c r="B90" s="423" t="str">
        <f t="shared" si="18"/>
        <v> 3.4 </v>
      </c>
      <c r="C90" s="441" t="s">
        <v>307</v>
      </c>
      <c r="D90" s="442" t="s">
        <v>308</v>
      </c>
      <c r="E90" s="441" t="s">
        <v>139</v>
      </c>
      <c r="F90" s="441" t="s">
        <v>309</v>
      </c>
      <c r="G90" s="442" t="s">
        <v>141</v>
      </c>
      <c r="H90" s="443">
        <f t="shared" si="22"/>
        <v>400</v>
      </c>
      <c r="I90" s="443">
        <f>VLOOKUP(D90,'Orçamento Analitico'!D:L,9,FALSE())</f>
        <v>10.5</v>
      </c>
      <c r="J90" s="443">
        <f t="shared" si="19"/>
        <v>13.17</v>
      </c>
      <c r="K90" s="443">
        <f t="shared" si="20"/>
        <v>4200</v>
      </c>
      <c r="L90" s="443">
        <f t="shared" si="21"/>
        <v>5268</v>
      </c>
      <c r="M90" s="461" t="e">
        <f t="shared" si="12"/>
        <v>#N/A</v>
      </c>
      <c r="N90" s="464"/>
      <c r="O90" s="465"/>
      <c r="P90" s="465"/>
      <c r="Q90" s="474" t="s">
        <v>6129</v>
      </c>
      <c r="R90" s="474">
        <f>R89</f>
        <v>400</v>
      </c>
      <c r="S90" s="493" t="s">
        <v>6142</v>
      </c>
      <c r="T90" s="465"/>
      <c r="U90" s="479"/>
      <c r="V90" s="422"/>
      <c r="W90" s="422"/>
      <c r="X90" s="422"/>
      <c r="Y90" s="422"/>
      <c r="Z90" s="422"/>
    </row>
    <row r="91" ht="39.75" customHeight="1" spans="1:26">
      <c r="A91" s="422" t="str">
        <f t="shared" si="13"/>
        <v> 3.4 </v>
      </c>
      <c r="B91" s="423" t="str">
        <f t="shared" si="18"/>
        <v> 3.4 </v>
      </c>
      <c r="C91" s="441" t="s">
        <v>310</v>
      </c>
      <c r="D91" s="442" t="s">
        <v>311</v>
      </c>
      <c r="E91" s="441" t="s">
        <v>139</v>
      </c>
      <c r="F91" s="441" t="s">
        <v>312</v>
      </c>
      <c r="G91" s="442" t="s">
        <v>134</v>
      </c>
      <c r="H91" s="443">
        <f t="shared" si="22"/>
        <v>130</v>
      </c>
      <c r="I91" s="443">
        <f>VLOOKUP(D91,'Orçamento Analitico'!D:L,9,FALSE())</f>
        <v>0.89</v>
      </c>
      <c r="J91" s="443">
        <f t="shared" si="19"/>
        <v>1.11</v>
      </c>
      <c r="K91" s="443">
        <f t="shared" si="20"/>
        <v>115.7</v>
      </c>
      <c r="L91" s="443">
        <f t="shared" si="21"/>
        <v>144.3</v>
      </c>
      <c r="M91" s="461" t="e">
        <f t="shared" si="12"/>
        <v>#N/A</v>
      </c>
      <c r="N91" s="464"/>
      <c r="O91" s="465"/>
      <c r="P91" s="465"/>
      <c r="Q91" s="474" t="s">
        <v>6129</v>
      </c>
      <c r="R91" s="465">
        <v>130</v>
      </c>
      <c r="S91" s="493" t="s">
        <v>6143</v>
      </c>
      <c r="T91" s="465"/>
      <c r="U91" s="479"/>
      <c r="V91" s="422"/>
      <c r="W91" s="422"/>
      <c r="X91" s="422"/>
      <c r="Y91" s="422"/>
      <c r="Z91" s="422"/>
    </row>
    <row r="92" ht="39.75" customHeight="1" spans="1:26">
      <c r="A92" s="422" t="str">
        <f t="shared" si="13"/>
        <v> 3.4 </v>
      </c>
      <c r="B92" s="423" t="str">
        <f t="shared" si="18"/>
        <v> 3.4 </v>
      </c>
      <c r="C92" s="441" t="s">
        <v>313</v>
      </c>
      <c r="D92" s="442" t="s">
        <v>314</v>
      </c>
      <c r="E92" s="441" t="s">
        <v>139</v>
      </c>
      <c r="F92" s="441" t="s">
        <v>315</v>
      </c>
      <c r="G92" s="442" t="s">
        <v>204</v>
      </c>
      <c r="H92" s="443">
        <f t="shared" si="22"/>
        <v>8000</v>
      </c>
      <c r="I92" s="443">
        <f>VLOOKUP(D92,'Orçamento Analitico'!D:L,9,FALSE())</f>
        <v>0.96</v>
      </c>
      <c r="J92" s="443">
        <f t="shared" si="19"/>
        <v>1.2</v>
      </c>
      <c r="K92" s="443">
        <f t="shared" si="20"/>
        <v>7680</v>
      </c>
      <c r="L92" s="443">
        <f t="shared" si="21"/>
        <v>9600</v>
      </c>
      <c r="M92" s="461" t="e">
        <f t="shared" si="12"/>
        <v>#N/A</v>
      </c>
      <c r="N92" s="464"/>
      <c r="O92" s="465"/>
      <c r="P92" s="465"/>
      <c r="Q92" s="474" t="s">
        <v>6129</v>
      </c>
      <c r="R92" s="465">
        <v>8000</v>
      </c>
      <c r="S92" s="493" t="s">
        <v>6144</v>
      </c>
      <c r="T92" s="465"/>
      <c r="U92" s="479"/>
      <c r="V92" s="422"/>
      <c r="W92" s="422"/>
      <c r="X92" s="422"/>
      <c r="Y92" s="422"/>
      <c r="Z92" s="422"/>
    </row>
    <row r="93" ht="39.75" customHeight="1" spans="1:26">
      <c r="A93" s="422" t="str">
        <f t="shared" si="13"/>
        <v> 3.4 </v>
      </c>
      <c r="B93" s="423" t="str">
        <f t="shared" si="18"/>
        <v> 3.4 </v>
      </c>
      <c r="C93" s="441" t="s">
        <v>316</v>
      </c>
      <c r="D93" s="442" t="s">
        <v>317</v>
      </c>
      <c r="E93" s="441" t="s">
        <v>139</v>
      </c>
      <c r="F93" s="441" t="s">
        <v>318</v>
      </c>
      <c r="G93" s="442" t="s">
        <v>134</v>
      </c>
      <c r="H93" s="443">
        <f t="shared" si="22"/>
        <v>4</v>
      </c>
      <c r="I93" s="443">
        <f>VLOOKUP(D93,'Orçamento Analitico'!D:L,9,FALSE())</f>
        <v>17.07</v>
      </c>
      <c r="J93" s="443">
        <f t="shared" si="19"/>
        <v>21.42</v>
      </c>
      <c r="K93" s="443">
        <f t="shared" si="20"/>
        <v>68.28</v>
      </c>
      <c r="L93" s="443">
        <f t="shared" si="21"/>
        <v>85.68</v>
      </c>
      <c r="M93" s="461" t="e">
        <f t="shared" si="12"/>
        <v>#N/A</v>
      </c>
      <c r="N93" s="464"/>
      <c r="O93" s="465"/>
      <c r="P93" s="465"/>
      <c r="Q93" s="474" t="s">
        <v>6129</v>
      </c>
      <c r="R93" s="465">
        <v>4</v>
      </c>
      <c r="S93" s="493"/>
      <c r="T93" s="465"/>
      <c r="U93" s="479" t="s">
        <v>6133</v>
      </c>
      <c r="V93" s="422"/>
      <c r="W93" s="422"/>
      <c r="X93" s="422"/>
      <c r="Y93" s="422"/>
      <c r="Z93" s="422"/>
    </row>
    <row r="94" ht="39.75" customHeight="1" spans="1:26">
      <c r="A94" s="422" t="str">
        <f t="shared" si="13"/>
        <v> 3.4 </v>
      </c>
      <c r="B94" s="423" t="str">
        <f t="shared" si="18"/>
        <v> 3.4 </v>
      </c>
      <c r="C94" s="441" t="s">
        <v>319</v>
      </c>
      <c r="D94" s="442" t="s">
        <v>320</v>
      </c>
      <c r="E94" s="441" t="s">
        <v>139</v>
      </c>
      <c r="F94" s="441" t="s">
        <v>321</v>
      </c>
      <c r="G94" s="442" t="s">
        <v>134</v>
      </c>
      <c r="H94" s="443">
        <f t="shared" si="22"/>
        <v>10</v>
      </c>
      <c r="I94" s="443">
        <f>VLOOKUP(D94,'Orçamento Analitico'!D:L,9,FALSE())</f>
        <v>2.13</v>
      </c>
      <c r="J94" s="443">
        <f t="shared" si="19"/>
        <v>2.67</v>
      </c>
      <c r="K94" s="443">
        <f t="shared" si="20"/>
        <v>21.3</v>
      </c>
      <c r="L94" s="443">
        <f t="shared" si="21"/>
        <v>26.7</v>
      </c>
      <c r="M94" s="461" t="e">
        <f t="shared" si="12"/>
        <v>#N/A</v>
      </c>
      <c r="N94" s="464"/>
      <c r="O94" s="465"/>
      <c r="P94" s="465"/>
      <c r="Q94" s="474" t="s">
        <v>6129</v>
      </c>
      <c r="R94" s="465">
        <v>10</v>
      </c>
      <c r="S94" s="465"/>
      <c r="T94" s="465"/>
      <c r="U94" s="479" t="s">
        <v>6133</v>
      </c>
      <c r="V94" s="422"/>
      <c r="W94" s="422"/>
      <c r="X94" s="422"/>
      <c r="Y94" s="422"/>
      <c r="Z94" s="422"/>
    </row>
    <row r="95" ht="39.75" customHeight="1" spans="1:26">
      <c r="A95" s="422" t="str">
        <f t="shared" si="13"/>
        <v> 3.4 </v>
      </c>
      <c r="B95" s="423" t="str">
        <f t="shared" si="18"/>
        <v> 3.4 </v>
      </c>
      <c r="C95" s="441" t="s">
        <v>322</v>
      </c>
      <c r="D95" s="442" t="s">
        <v>323</v>
      </c>
      <c r="E95" s="441" t="s">
        <v>139</v>
      </c>
      <c r="F95" s="441" t="s">
        <v>324</v>
      </c>
      <c r="G95" s="442" t="s">
        <v>134</v>
      </c>
      <c r="H95" s="443">
        <f t="shared" si="22"/>
        <v>413</v>
      </c>
      <c r="I95" s="443">
        <f>VLOOKUP(D95,'Orçamento Analitico'!D:L,9,FALSE())</f>
        <v>2.44</v>
      </c>
      <c r="J95" s="443">
        <f t="shared" si="19"/>
        <v>3.06</v>
      </c>
      <c r="K95" s="443">
        <f t="shared" si="20"/>
        <v>1007.72</v>
      </c>
      <c r="L95" s="443">
        <f t="shared" si="21"/>
        <v>1263.78</v>
      </c>
      <c r="M95" s="461" t="e">
        <f t="shared" si="12"/>
        <v>#N/A</v>
      </c>
      <c r="N95" s="464"/>
      <c r="O95" s="465"/>
      <c r="P95" s="465"/>
      <c r="Q95" s="474" t="s">
        <v>6129</v>
      </c>
      <c r="R95" s="465">
        <f>SUM(R583,R585:R588)</f>
        <v>413</v>
      </c>
      <c r="S95" s="493" t="s">
        <v>6145</v>
      </c>
      <c r="T95" s="465"/>
      <c r="U95" s="479"/>
      <c r="V95" s="422"/>
      <c r="W95" s="422"/>
      <c r="X95" s="422"/>
      <c r="Y95" s="422"/>
      <c r="Z95" s="422"/>
    </row>
    <row r="96" ht="39.75" customHeight="1" spans="1:26">
      <c r="A96" s="422" t="str">
        <f t="shared" si="13"/>
        <v> 3.4 </v>
      </c>
      <c r="B96" s="423" t="str">
        <f t="shared" si="18"/>
        <v> 3.4 </v>
      </c>
      <c r="C96" s="441" t="s">
        <v>325</v>
      </c>
      <c r="D96" s="442" t="s">
        <v>326</v>
      </c>
      <c r="E96" s="441" t="s">
        <v>139</v>
      </c>
      <c r="F96" s="441" t="s">
        <v>327</v>
      </c>
      <c r="G96" s="442" t="s">
        <v>134</v>
      </c>
      <c r="H96" s="443">
        <f>SUM(N96:T96)</f>
        <v>15</v>
      </c>
      <c r="I96" s="443">
        <f>VLOOKUP(D96,'Orçamento Analitico'!D:L,9,FALSE())</f>
        <v>12.45</v>
      </c>
      <c r="J96" s="443">
        <f t="shared" si="19"/>
        <v>15.62</v>
      </c>
      <c r="K96" s="443">
        <f t="shared" si="20"/>
        <v>186.75</v>
      </c>
      <c r="L96" s="443">
        <f t="shared" si="21"/>
        <v>234.3</v>
      </c>
      <c r="M96" s="461" t="e">
        <f t="shared" si="12"/>
        <v>#N/A</v>
      </c>
      <c r="N96" s="464"/>
      <c r="O96" s="465"/>
      <c r="P96" s="465"/>
      <c r="Q96" s="474" t="s">
        <v>6129</v>
      </c>
      <c r="R96" s="465">
        <v>15</v>
      </c>
      <c r="S96" s="465"/>
      <c r="T96" s="465"/>
      <c r="U96" s="479" t="s">
        <v>6133</v>
      </c>
      <c r="V96" s="422"/>
      <c r="W96" s="422"/>
      <c r="X96" s="422"/>
      <c r="Y96" s="422"/>
      <c r="Z96" s="422"/>
    </row>
    <row r="97" ht="12.75" customHeight="1" spans="1:26">
      <c r="A97" s="422" t="str">
        <f t="shared" si="13"/>
        <v> 3.4 </v>
      </c>
      <c r="B97" s="423" t="str">
        <f t="shared" si="18"/>
        <v> 3.4 </v>
      </c>
      <c r="C97" s="441" t="s">
        <v>328</v>
      </c>
      <c r="D97" s="442" t="s">
        <v>329</v>
      </c>
      <c r="E97" s="441" t="s">
        <v>132</v>
      </c>
      <c r="F97" s="441" t="s">
        <v>330</v>
      </c>
      <c r="G97" s="442" t="s">
        <v>134</v>
      </c>
      <c r="H97" s="443">
        <f>SUM(N97:T97)</f>
        <v>3</v>
      </c>
      <c r="I97" s="443">
        <f>VLOOKUP(D97,'Orçamento Analitico'!D:L,9,FALSE())</f>
        <v>106.65</v>
      </c>
      <c r="J97" s="443">
        <f t="shared" si="19"/>
        <v>133.83</v>
      </c>
      <c r="K97" s="443">
        <f t="shared" si="20"/>
        <v>319.95</v>
      </c>
      <c r="L97" s="443">
        <f t="shared" si="21"/>
        <v>401.49</v>
      </c>
      <c r="M97" s="461" t="e">
        <f t="shared" si="12"/>
        <v>#N/A</v>
      </c>
      <c r="N97" s="464">
        <v>1</v>
      </c>
      <c r="O97" s="465" t="s">
        <v>6146</v>
      </c>
      <c r="P97" s="465">
        <v>2</v>
      </c>
      <c r="Q97" s="465" t="s">
        <v>6147</v>
      </c>
      <c r="R97" s="465"/>
      <c r="S97" s="465"/>
      <c r="T97" s="465"/>
      <c r="U97" s="479"/>
      <c r="V97" s="422"/>
      <c r="W97" s="422"/>
      <c r="X97" s="422"/>
      <c r="Y97" s="422"/>
      <c r="Z97" s="422"/>
    </row>
    <row r="98" ht="12.75" customHeight="1" spans="1:26">
      <c r="A98" s="422" t="str">
        <f t="shared" si="13"/>
        <v> 3.4 </v>
      </c>
      <c r="B98" s="423" t="str">
        <f t="shared" si="18"/>
        <v> 3.4 </v>
      </c>
      <c r="C98" s="441" t="s">
        <v>331</v>
      </c>
      <c r="D98" s="442" t="s">
        <v>332</v>
      </c>
      <c r="E98" s="441" t="s">
        <v>132</v>
      </c>
      <c r="F98" s="441" t="s">
        <v>333</v>
      </c>
      <c r="G98" s="442" t="s">
        <v>334</v>
      </c>
      <c r="H98" s="443">
        <f>SUM(N98:T98)</f>
        <v>24</v>
      </c>
      <c r="I98" s="443">
        <f>VLOOKUP(D98,'Orçamento Analitico'!D:L,9,FALSE())</f>
        <v>66.11</v>
      </c>
      <c r="J98" s="443">
        <f t="shared" si="19"/>
        <v>82.96</v>
      </c>
      <c r="K98" s="443">
        <f t="shared" si="20"/>
        <v>1586.64</v>
      </c>
      <c r="L98" s="443">
        <f t="shared" si="21"/>
        <v>1991.04</v>
      </c>
      <c r="M98" s="461" t="e">
        <f t="shared" si="12"/>
        <v>#N/A</v>
      </c>
      <c r="N98" s="464">
        <f>N714</f>
        <v>24</v>
      </c>
      <c r="O98" s="465"/>
      <c r="P98" s="465"/>
      <c r="Q98" s="474"/>
      <c r="R98" s="465"/>
      <c r="S98" s="465"/>
      <c r="T98" s="465"/>
      <c r="U98" s="479"/>
      <c r="V98" s="422"/>
      <c r="W98" s="422"/>
      <c r="X98" s="422"/>
      <c r="Y98" s="422"/>
      <c r="Z98" s="422"/>
    </row>
    <row r="99" ht="12.75" customHeight="1" spans="1:26">
      <c r="A99" s="422"/>
      <c r="B99" s="423" t="str">
        <f>C99</f>
        <v> 3.5 </v>
      </c>
      <c r="C99" s="444" t="s">
        <v>335</v>
      </c>
      <c r="D99" s="445" t="s">
        <v>74</v>
      </c>
      <c r="E99" s="444"/>
      <c r="F99" s="444" t="s">
        <v>336</v>
      </c>
      <c r="G99" s="445"/>
      <c r="H99" s="446"/>
      <c r="I99" s="446"/>
      <c r="J99" s="466"/>
      <c r="K99" s="466">
        <f>SUMIF(A:A,B99,K:K)</f>
        <v>70188.18</v>
      </c>
      <c r="L99" s="466">
        <f>SUMIF(A:A,C99,L:L)</f>
        <v>88052.1</v>
      </c>
      <c r="M99" s="467" t="e">
        <f t="shared" si="12"/>
        <v>#N/A</v>
      </c>
      <c r="N99" s="464"/>
      <c r="O99" s="465"/>
      <c r="P99" s="465"/>
      <c r="Q99" s="474"/>
      <c r="R99" s="465"/>
      <c r="S99" s="465"/>
      <c r="T99" s="465"/>
      <c r="U99" s="479"/>
      <c r="V99" s="422"/>
      <c r="W99" s="422"/>
      <c r="X99" s="422"/>
      <c r="Y99" s="422"/>
      <c r="Z99" s="422"/>
    </row>
    <row r="100" ht="12.75" customHeight="1" spans="1:26">
      <c r="A100" s="422" t="str">
        <f t="shared" ref="A100:A105" si="23">B100</f>
        <v> 3.5 </v>
      </c>
      <c r="B100" s="423" t="str">
        <f t="shared" ref="B100:B105" si="24">B99</f>
        <v> 3.5 </v>
      </c>
      <c r="C100" s="441" t="s">
        <v>337</v>
      </c>
      <c r="D100" s="442" t="s">
        <v>338</v>
      </c>
      <c r="E100" s="441" t="s">
        <v>77</v>
      </c>
      <c r="F100" s="441" t="s">
        <v>339</v>
      </c>
      <c r="G100" s="442" t="s">
        <v>340</v>
      </c>
      <c r="H100" s="443">
        <f>T100</f>
        <v>1344</v>
      </c>
      <c r="I100" s="443">
        <f>VLOOKUP(D100,'Orçamento Analitico'!D:L,9,FALSE())</f>
        <v>39.66</v>
      </c>
      <c r="J100" s="443">
        <f t="shared" ref="J100:J105" si="25">ROUNDDOWN(I100*(1+$G$6),2)</f>
        <v>49.76</v>
      </c>
      <c r="K100" s="443">
        <f t="shared" ref="K100:K105" si="26">ROUNDDOWN(H100*I100,2)</f>
        <v>53303.04</v>
      </c>
      <c r="L100" s="443">
        <f t="shared" ref="L100:L105" si="27">ROUNDDOWN(H100*J100,2)</f>
        <v>66877.44</v>
      </c>
      <c r="M100" s="461" t="e">
        <f t="shared" si="12"/>
        <v>#N/A</v>
      </c>
      <c r="N100" s="464">
        <v>30</v>
      </c>
      <c r="O100" s="494" t="s">
        <v>6128</v>
      </c>
      <c r="P100" s="465">
        <f>19-7.8</f>
        <v>11.2</v>
      </c>
      <c r="Q100" s="494" t="s">
        <v>6128</v>
      </c>
      <c r="R100" s="498">
        <v>4</v>
      </c>
      <c r="S100" s="474" t="s">
        <v>6129</v>
      </c>
      <c r="T100" s="465">
        <f>ROUND(N100*P100*R100,2)</f>
        <v>1344</v>
      </c>
      <c r="U100" s="479"/>
      <c r="V100" s="422"/>
      <c r="W100" s="422"/>
      <c r="X100" s="422"/>
      <c r="Y100" s="422"/>
      <c r="Z100" s="422"/>
    </row>
    <row r="101" ht="12.75" customHeight="1" spans="1:26">
      <c r="A101" s="422" t="str">
        <f t="shared" si="23"/>
        <v> 3.5 </v>
      </c>
      <c r="B101" s="423" t="str">
        <f t="shared" si="24"/>
        <v> 3.5 </v>
      </c>
      <c r="C101" s="441" t="s">
        <v>341</v>
      </c>
      <c r="D101" s="442" t="s">
        <v>342</v>
      </c>
      <c r="E101" s="441" t="s">
        <v>77</v>
      </c>
      <c r="F101" s="441" t="s">
        <v>343</v>
      </c>
      <c r="G101" s="442" t="s">
        <v>141</v>
      </c>
      <c r="H101" s="443">
        <f>R101</f>
        <v>336</v>
      </c>
      <c r="I101" s="443">
        <f>VLOOKUP(D101,'Orçamento Analitico'!D:L,9,FALSE())</f>
        <v>1.01</v>
      </c>
      <c r="J101" s="443">
        <f t="shared" si="25"/>
        <v>1.26</v>
      </c>
      <c r="K101" s="443">
        <f t="shared" si="26"/>
        <v>339.36</v>
      </c>
      <c r="L101" s="443">
        <f t="shared" si="27"/>
        <v>423.36</v>
      </c>
      <c r="M101" s="461" t="e">
        <f t="shared" si="12"/>
        <v>#N/A</v>
      </c>
      <c r="N101" s="464">
        <v>30</v>
      </c>
      <c r="O101" s="494" t="s">
        <v>6128</v>
      </c>
      <c r="P101" s="465">
        <f>19-7.8</f>
        <v>11.2</v>
      </c>
      <c r="Q101" s="474" t="s">
        <v>6129</v>
      </c>
      <c r="R101" s="465">
        <f>ROUND(N101*P101,2)</f>
        <v>336</v>
      </c>
      <c r="S101" s="465"/>
      <c r="T101" s="465"/>
      <c r="U101" s="479"/>
      <c r="V101" s="422"/>
      <c r="W101" s="422"/>
      <c r="X101" s="422"/>
      <c r="Y101" s="422"/>
      <c r="Z101" s="422"/>
    </row>
    <row r="102" ht="48.75" customHeight="1" spans="1:26">
      <c r="A102" s="422" t="str">
        <f t="shared" si="23"/>
        <v> 3.5 </v>
      </c>
      <c r="B102" s="423" t="str">
        <f t="shared" si="24"/>
        <v> 3.5 </v>
      </c>
      <c r="C102" s="441" t="s">
        <v>344</v>
      </c>
      <c r="D102" s="442" t="s">
        <v>345</v>
      </c>
      <c r="E102" s="441" t="s">
        <v>77</v>
      </c>
      <c r="F102" s="441" t="s">
        <v>346</v>
      </c>
      <c r="G102" s="442" t="s">
        <v>347</v>
      </c>
      <c r="H102" s="443">
        <f>R102</f>
        <v>10080</v>
      </c>
      <c r="I102" s="443">
        <f>VLOOKUP(D102,'Orçamento Analitico'!D:L,9,FALSE())</f>
        <v>0.2</v>
      </c>
      <c r="J102" s="443">
        <f t="shared" si="25"/>
        <v>0.25</v>
      </c>
      <c r="K102" s="443">
        <f t="shared" si="26"/>
        <v>2016</v>
      </c>
      <c r="L102" s="443">
        <f t="shared" si="27"/>
        <v>2520</v>
      </c>
      <c r="M102" s="461" t="e">
        <f t="shared" si="12"/>
        <v>#N/A</v>
      </c>
      <c r="N102" s="464">
        <f>R101</f>
        <v>336</v>
      </c>
      <c r="O102" s="494" t="s">
        <v>6128</v>
      </c>
      <c r="P102" s="495">
        <v>30</v>
      </c>
      <c r="Q102" s="474" t="s">
        <v>6129</v>
      </c>
      <c r="R102" s="465">
        <f>ROUND(N102*P102,2)</f>
        <v>10080</v>
      </c>
      <c r="S102" s="465"/>
      <c r="T102" s="465"/>
      <c r="U102" s="479"/>
      <c r="V102" s="422"/>
      <c r="W102" s="422"/>
      <c r="X102" s="422"/>
      <c r="Y102" s="422"/>
      <c r="Z102" s="422"/>
    </row>
    <row r="103" ht="48.75" customHeight="1" spans="1:26">
      <c r="A103" s="422" t="str">
        <f t="shared" si="23"/>
        <v> 3.5 </v>
      </c>
      <c r="B103" s="423" t="str">
        <f t="shared" si="24"/>
        <v> 3.5 </v>
      </c>
      <c r="C103" s="441" t="s">
        <v>348</v>
      </c>
      <c r="D103" s="442" t="s">
        <v>349</v>
      </c>
      <c r="E103" s="441" t="s">
        <v>77</v>
      </c>
      <c r="F103" s="441" t="s">
        <v>350</v>
      </c>
      <c r="G103" s="442" t="s">
        <v>141</v>
      </c>
      <c r="H103" s="443">
        <f>R103</f>
        <v>672</v>
      </c>
      <c r="I103" s="443">
        <f>VLOOKUP(D103,'Orçamento Analitico'!D:L,9,FALSE())</f>
        <v>7.89</v>
      </c>
      <c r="J103" s="443">
        <f t="shared" si="25"/>
        <v>9.9</v>
      </c>
      <c r="K103" s="443">
        <f t="shared" si="26"/>
        <v>5302.08</v>
      </c>
      <c r="L103" s="443">
        <f t="shared" si="27"/>
        <v>6652.8</v>
      </c>
      <c r="M103" s="461" t="e">
        <f t="shared" si="12"/>
        <v>#N/A</v>
      </c>
      <c r="N103" s="464">
        <f>R101</f>
        <v>336</v>
      </c>
      <c r="O103" s="494" t="s">
        <v>6128</v>
      </c>
      <c r="P103" s="465">
        <v>2</v>
      </c>
      <c r="Q103" s="474" t="s">
        <v>6129</v>
      </c>
      <c r="R103" s="465">
        <f>ROUND(N103*P103,2)</f>
        <v>672</v>
      </c>
      <c r="S103" s="465"/>
      <c r="T103" s="465"/>
      <c r="U103" s="479"/>
      <c r="V103" s="422"/>
      <c r="W103" s="422"/>
      <c r="X103" s="422"/>
      <c r="Y103" s="422"/>
      <c r="Z103" s="422"/>
    </row>
    <row r="104" ht="12.75" customHeight="1" spans="1:26">
      <c r="A104" s="422" t="str">
        <f t="shared" si="23"/>
        <v> 3.5 </v>
      </c>
      <c r="B104" s="423" t="str">
        <f t="shared" si="24"/>
        <v> 3.5 </v>
      </c>
      <c r="C104" s="441" t="s">
        <v>351</v>
      </c>
      <c r="D104" s="442" t="s">
        <v>352</v>
      </c>
      <c r="E104" s="441" t="s">
        <v>77</v>
      </c>
      <c r="F104" s="441" t="s">
        <v>353</v>
      </c>
      <c r="G104" s="442" t="s">
        <v>340</v>
      </c>
      <c r="H104" s="443">
        <f>T104</f>
        <v>90</v>
      </c>
      <c r="I104" s="443">
        <f>VLOOKUP(D104,'Orçamento Analitico'!D:L,9,FALSE())</f>
        <v>101.88</v>
      </c>
      <c r="J104" s="443">
        <f t="shared" si="25"/>
        <v>127.84</v>
      </c>
      <c r="K104" s="443">
        <f t="shared" si="26"/>
        <v>9169.2</v>
      </c>
      <c r="L104" s="443">
        <f t="shared" si="27"/>
        <v>11505.6</v>
      </c>
      <c r="M104" s="461" t="e">
        <f t="shared" si="12"/>
        <v>#N/A</v>
      </c>
      <c r="N104" s="464">
        <f>$N$100/2</f>
        <v>15</v>
      </c>
      <c r="O104" s="494" t="s">
        <v>6128</v>
      </c>
      <c r="P104" s="465">
        <v>1.5</v>
      </c>
      <c r="Q104" s="494" t="s">
        <v>6128</v>
      </c>
      <c r="R104" s="498">
        <v>4</v>
      </c>
      <c r="S104" s="474" t="s">
        <v>6129</v>
      </c>
      <c r="T104" s="465">
        <f>ROUND(N104*P104*R104,2)</f>
        <v>90</v>
      </c>
      <c r="U104" s="479"/>
      <c r="V104" s="422"/>
      <c r="W104" s="422"/>
      <c r="X104" s="422"/>
      <c r="Y104" s="422"/>
      <c r="Z104" s="422"/>
    </row>
    <row r="105" ht="12.75" customHeight="1" spans="1:26">
      <c r="A105" s="422" t="str">
        <f t="shared" si="23"/>
        <v> 3.5 </v>
      </c>
      <c r="B105" s="423" t="str">
        <f t="shared" si="24"/>
        <v> 3.5 </v>
      </c>
      <c r="C105" s="441" t="s">
        <v>354</v>
      </c>
      <c r="D105" s="442" t="s">
        <v>355</v>
      </c>
      <c r="E105" s="441" t="s">
        <v>77</v>
      </c>
      <c r="F105" s="441" t="s">
        <v>356</v>
      </c>
      <c r="G105" s="442" t="s">
        <v>141</v>
      </c>
      <c r="H105" s="443">
        <f>T105</f>
        <v>90</v>
      </c>
      <c r="I105" s="443">
        <f>VLOOKUP(D105,'Orçamento Analitico'!D:L,9,FALSE())</f>
        <v>0.65</v>
      </c>
      <c r="J105" s="443">
        <f t="shared" si="25"/>
        <v>0.81</v>
      </c>
      <c r="K105" s="443">
        <f t="shared" si="26"/>
        <v>58.5</v>
      </c>
      <c r="L105" s="443">
        <f t="shared" si="27"/>
        <v>72.9</v>
      </c>
      <c r="M105" s="461" t="e">
        <f t="shared" si="12"/>
        <v>#N/A</v>
      </c>
      <c r="N105" s="464">
        <f>$N$100/2</f>
        <v>15</v>
      </c>
      <c r="O105" s="494" t="s">
        <v>6128</v>
      </c>
      <c r="P105" s="465">
        <v>1.5</v>
      </c>
      <c r="Q105" s="494" t="s">
        <v>6128</v>
      </c>
      <c r="R105" s="499">
        <v>4</v>
      </c>
      <c r="S105" s="474" t="s">
        <v>6129</v>
      </c>
      <c r="T105" s="465">
        <f>ROUND(N105*P105*R105,2)</f>
        <v>90</v>
      </c>
      <c r="U105" s="479"/>
      <c r="V105" s="422"/>
      <c r="W105" s="422"/>
      <c r="X105" s="422"/>
      <c r="Y105" s="422"/>
      <c r="Z105" s="422"/>
    </row>
    <row r="106" ht="12.75" customHeight="1" spans="1:26">
      <c r="A106" s="422"/>
      <c r="B106" s="423" t="str">
        <f>C106</f>
        <v> 3.6 </v>
      </c>
      <c r="C106" s="444" t="s">
        <v>357</v>
      </c>
      <c r="D106" s="445" t="s">
        <v>74</v>
      </c>
      <c r="E106" s="444"/>
      <c r="F106" s="444" t="s">
        <v>358</v>
      </c>
      <c r="G106" s="445"/>
      <c r="H106" s="446"/>
      <c r="I106" s="446"/>
      <c r="J106" s="466"/>
      <c r="K106" s="466">
        <f>SUMIF(A:A,B106,K:K)</f>
        <v>83777.12</v>
      </c>
      <c r="L106" s="466">
        <f>SUMIF(A:A,C106,L:L)</f>
        <v>105131.84</v>
      </c>
      <c r="M106" s="467" t="e">
        <f t="shared" si="12"/>
        <v>#N/A</v>
      </c>
      <c r="N106" s="464"/>
      <c r="O106" s="494"/>
      <c r="P106" s="465"/>
      <c r="Q106" s="494"/>
      <c r="R106" s="499"/>
      <c r="S106" s="474"/>
      <c r="T106" s="465"/>
      <c r="U106" s="479"/>
      <c r="V106" s="422"/>
      <c r="W106" s="422"/>
      <c r="X106" s="422"/>
      <c r="Y106" s="422"/>
      <c r="Z106" s="422"/>
    </row>
    <row r="107" ht="12.75" customHeight="1" spans="1:26">
      <c r="A107" s="422" t="str">
        <f>B107</f>
        <v> 3.6 </v>
      </c>
      <c r="B107" s="423" t="str">
        <f>B106</f>
        <v> 3.6 </v>
      </c>
      <c r="C107" s="441" t="s">
        <v>359</v>
      </c>
      <c r="D107" s="442" t="s">
        <v>360</v>
      </c>
      <c r="E107" s="441" t="s">
        <v>132</v>
      </c>
      <c r="F107" s="441" t="s">
        <v>361</v>
      </c>
      <c r="G107" s="442" t="s">
        <v>134</v>
      </c>
      <c r="H107" s="443">
        <f>SUM(N107,P107,S107)</f>
        <v>16</v>
      </c>
      <c r="I107" s="443">
        <f>VLOOKUP(D107,'Orçamento Analitico'!D:L,9,FALSE())</f>
        <v>5236.07</v>
      </c>
      <c r="J107" s="443">
        <f>ROUNDDOWN(I107*(1+$G$6),2)</f>
        <v>6570.74</v>
      </c>
      <c r="K107" s="443">
        <f>ROUNDDOWN(H107*I107,2)</f>
        <v>83777.12</v>
      </c>
      <c r="L107" s="443">
        <f>ROUNDDOWN(H107*J107,2)</f>
        <v>105131.84</v>
      </c>
      <c r="M107" s="461" t="e">
        <f t="shared" si="12"/>
        <v>#N/A</v>
      </c>
      <c r="N107" s="464">
        <v>5</v>
      </c>
      <c r="O107" s="465" t="s">
        <v>6148</v>
      </c>
      <c r="P107" s="465">
        <v>4</v>
      </c>
      <c r="Q107" s="465" t="s">
        <v>6149</v>
      </c>
      <c r="R107" s="499"/>
      <c r="S107" s="465">
        <v>7</v>
      </c>
      <c r="T107" s="465" t="s">
        <v>6150</v>
      </c>
      <c r="U107" s="479"/>
      <c r="V107" s="422"/>
      <c r="W107" s="422"/>
      <c r="X107" s="422"/>
      <c r="Y107" s="422"/>
      <c r="Z107" s="422"/>
    </row>
    <row r="108" ht="12.75" customHeight="1" spans="1:26">
      <c r="A108" s="422"/>
      <c r="B108" s="423" t="str">
        <f>C108</f>
        <v> 3.7 </v>
      </c>
      <c r="C108" s="444" t="s">
        <v>362</v>
      </c>
      <c r="D108" s="445" t="s">
        <v>74</v>
      </c>
      <c r="E108" s="444"/>
      <c r="F108" s="444" t="s">
        <v>363</v>
      </c>
      <c r="G108" s="445"/>
      <c r="H108" s="446"/>
      <c r="I108" s="446"/>
      <c r="J108" s="466"/>
      <c r="K108" s="466">
        <f>SUM(K109)</f>
        <v>4679.93</v>
      </c>
      <c r="L108" s="466">
        <f>SUM(L109)</f>
        <v>5870.86</v>
      </c>
      <c r="M108" s="467" t="e">
        <f t="shared" si="12"/>
        <v>#N/A</v>
      </c>
      <c r="N108" s="464"/>
      <c r="O108" s="465"/>
      <c r="P108" s="465"/>
      <c r="Q108" s="465"/>
      <c r="R108" s="499"/>
      <c r="S108" s="465"/>
      <c r="T108" s="465"/>
      <c r="U108" s="479"/>
      <c r="V108" s="422"/>
      <c r="W108" s="422"/>
      <c r="X108" s="422"/>
      <c r="Y108" s="422"/>
      <c r="Z108" s="422"/>
    </row>
    <row r="109" ht="12.75" customHeight="1" spans="1:26">
      <c r="A109" s="422"/>
      <c r="B109" s="423" t="str">
        <f>C109</f>
        <v> 3.7.1 </v>
      </c>
      <c r="C109" s="488" t="s">
        <v>364</v>
      </c>
      <c r="D109" s="489" t="s">
        <v>74</v>
      </c>
      <c r="E109" s="488"/>
      <c r="F109" s="488" t="s">
        <v>365</v>
      </c>
      <c r="G109" s="489"/>
      <c r="H109" s="490"/>
      <c r="I109" s="490"/>
      <c r="J109" s="490"/>
      <c r="K109" s="490">
        <f>SUMIF(A:A,B109,K:K)</f>
        <v>4679.93</v>
      </c>
      <c r="L109" s="490">
        <f>SUMIF(A:A,C109,L:L)</f>
        <v>5870.86</v>
      </c>
      <c r="M109" s="496" t="e">
        <f t="shared" si="12"/>
        <v>#N/A</v>
      </c>
      <c r="N109" s="464"/>
      <c r="O109" s="465"/>
      <c r="P109" s="465"/>
      <c r="Q109" s="465"/>
      <c r="R109" s="499"/>
      <c r="S109" s="465"/>
      <c r="T109" s="465"/>
      <c r="U109" s="479"/>
      <c r="V109" s="422"/>
      <c r="W109" s="422"/>
      <c r="X109" s="422"/>
      <c r="Y109" s="422"/>
      <c r="Z109" s="422"/>
    </row>
    <row r="110" ht="12.75" customHeight="1" spans="1:26">
      <c r="A110" s="422" t="str">
        <f>B110</f>
        <v> 3.7.1 </v>
      </c>
      <c r="B110" s="423" t="str">
        <f>B109</f>
        <v> 3.7.1 </v>
      </c>
      <c r="C110" s="441" t="s">
        <v>366</v>
      </c>
      <c r="D110" s="442" t="s">
        <v>367</v>
      </c>
      <c r="E110" s="441" t="s">
        <v>139</v>
      </c>
      <c r="F110" s="441" t="s">
        <v>368</v>
      </c>
      <c r="G110" s="442" t="s">
        <v>141</v>
      </c>
      <c r="H110" s="443">
        <f>SUM(N110,P110,S110)</f>
        <v>678.46</v>
      </c>
      <c r="I110" s="443">
        <f>VLOOKUP(D110,'Orçamento Analitico'!D:L,9,FALSE())</f>
        <v>6.21</v>
      </c>
      <c r="J110" s="443">
        <f>ROUNDDOWN(I110*(1+$G$6),2)</f>
        <v>7.79</v>
      </c>
      <c r="K110" s="443">
        <f>ROUNDDOWN(H110*I110,2)</f>
        <v>4213.23</v>
      </c>
      <c r="L110" s="443">
        <f>ROUNDDOWN(H110*J110,2)</f>
        <v>5285.2</v>
      </c>
      <c r="M110" s="461" t="e">
        <f t="shared" si="12"/>
        <v>#N/A</v>
      </c>
      <c r="N110" s="464">
        <v>678.46</v>
      </c>
      <c r="O110" s="465"/>
      <c r="P110" s="465"/>
      <c r="Q110" s="465"/>
      <c r="R110" s="499"/>
      <c r="S110" s="465"/>
      <c r="T110" s="465"/>
      <c r="U110" s="479"/>
      <c r="V110" s="422"/>
      <c r="W110" s="422"/>
      <c r="X110" s="422"/>
      <c r="Y110" s="422"/>
      <c r="Z110" s="422"/>
    </row>
    <row r="111" ht="23.25" customHeight="1" spans="1:26">
      <c r="A111" s="422" t="str">
        <f>B111</f>
        <v> 3.7.1 </v>
      </c>
      <c r="B111" s="423" t="str">
        <f>B110</f>
        <v> 3.7.1 </v>
      </c>
      <c r="C111" s="441" t="s">
        <v>369</v>
      </c>
      <c r="D111" s="442" t="s">
        <v>370</v>
      </c>
      <c r="E111" s="441" t="s">
        <v>149</v>
      </c>
      <c r="F111" s="441" t="s">
        <v>371</v>
      </c>
      <c r="G111" s="442" t="s">
        <v>279</v>
      </c>
      <c r="H111" s="443">
        <f>SUM(N111,P111,S111)</f>
        <v>0.5925</v>
      </c>
      <c r="I111" s="443">
        <f>VLOOKUP(D111,'Orçamento Analitico'!D:L,9,FALSE())</f>
        <v>787.69</v>
      </c>
      <c r="J111" s="443">
        <f>ROUNDDOWN(I111*(1+$G$6),2)</f>
        <v>988.47</v>
      </c>
      <c r="K111" s="443">
        <f>ROUNDDOWN(H111*I111,2)</f>
        <v>466.7</v>
      </c>
      <c r="L111" s="443">
        <f>ROUNDDOWN(H111*J111,2)</f>
        <v>585.66</v>
      </c>
      <c r="M111" s="461" t="e">
        <f t="shared" si="12"/>
        <v>#N/A</v>
      </c>
      <c r="N111" s="464">
        <v>0.5925</v>
      </c>
      <c r="O111" s="465"/>
      <c r="P111" s="465"/>
      <c r="Q111" s="465"/>
      <c r="R111" s="499"/>
      <c r="S111" s="465"/>
      <c r="T111" s="465"/>
      <c r="U111" s="479"/>
      <c r="V111" s="422"/>
      <c r="W111" s="422"/>
      <c r="X111" s="422"/>
      <c r="Y111" s="422"/>
      <c r="Z111" s="422"/>
    </row>
    <row r="112" ht="12.75" customHeight="1" spans="1:26">
      <c r="A112" s="422"/>
      <c r="B112" s="423" t="str">
        <f>C112</f>
        <v> 4 </v>
      </c>
      <c r="C112" s="438" t="s">
        <v>24</v>
      </c>
      <c r="D112" s="439" t="s">
        <v>74</v>
      </c>
      <c r="E112" s="438"/>
      <c r="F112" s="438" t="s">
        <v>25</v>
      </c>
      <c r="G112" s="439"/>
      <c r="H112" s="440"/>
      <c r="I112" s="440"/>
      <c r="J112" s="440"/>
      <c r="K112" s="440">
        <f>SUM(K113,K116,K119)</f>
        <v>25196.53</v>
      </c>
      <c r="L112" s="440">
        <f>SUM(L113,L116,L119)</f>
        <v>31617.87</v>
      </c>
      <c r="M112" s="458" t="e">
        <f t="shared" si="12"/>
        <v>#N/A</v>
      </c>
      <c r="N112" s="464"/>
      <c r="O112" s="465"/>
      <c r="P112" s="465"/>
      <c r="Q112" s="465"/>
      <c r="R112" s="465"/>
      <c r="S112" s="465"/>
      <c r="T112" s="465"/>
      <c r="U112" s="479"/>
      <c r="V112" s="422"/>
      <c r="W112" s="422"/>
      <c r="X112" s="422"/>
      <c r="Y112" s="422"/>
      <c r="Z112" s="422"/>
    </row>
    <row r="113" ht="12.75" customHeight="1" spans="1:26">
      <c r="A113" s="422"/>
      <c r="B113" s="423" t="str">
        <f>C113</f>
        <v> 4.1 </v>
      </c>
      <c r="C113" s="444" t="s">
        <v>372</v>
      </c>
      <c r="D113" s="445" t="s">
        <v>74</v>
      </c>
      <c r="E113" s="444"/>
      <c r="F113" s="444" t="s">
        <v>373</v>
      </c>
      <c r="G113" s="445"/>
      <c r="H113" s="446"/>
      <c r="I113" s="446"/>
      <c r="J113" s="466"/>
      <c r="K113" s="466">
        <f>SUMIF(A:A,B113,K:K)</f>
        <v>7676.53</v>
      </c>
      <c r="L113" s="466">
        <f>SUMIF(A:A,C113,L:L)</f>
        <v>9632.87</v>
      </c>
      <c r="M113" s="467" t="e">
        <f t="shared" si="12"/>
        <v>#N/A</v>
      </c>
      <c r="N113" s="464"/>
      <c r="O113" s="465"/>
      <c r="P113" s="465"/>
      <c r="Q113" s="465"/>
      <c r="R113" s="465"/>
      <c r="S113" s="465"/>
      <c r="T113" s="465"/>
      <c r="U113" s="479"/>
      <c r="V113" s="422"/>
      <c r="W113" s="422"/>
      <c r="X113" s="422"/>
      <c r="Y113" s="422"/>
      <c r="Z113" s="422"/>
    </row>
    <row r="114" ht="34.5" customHeight="1" spans="1:26">
      <c r="A114" s="422" t="str">
        <f>B114</f>
        <v> 4.1 </v>
      </c>
      <c r="B114" s="423" t="str">
        <f>B113</f>
        <v> 4.1 </v>
      </c>
      <c r="C114" s="441" t="s">
        <v>374</v>
      </c>
      <c r="D114" s="442" t="s">
        <v>375</v>
      </c>
      <c r="E114" s="441" t="s">
        <v>139</v>
      </c>
      <c r="F114" s="441" t="s">
        <v>376</v>
      </c>
      <c r="G114" s="442" t="s">
        <v>279</v>
      </c>
      <c r="H114" s="443">
        <f>N114</f>
        <v>50.1716</v>
      </c>
      <c r="I114" s="443">
        <f>VLOOKUP(D114,'Orçamento Analitico'!D:L,9,FALSE())</f>
        <v>115.31</v>
      </c>
      <c r="J114" s="443">
        <f>ROUNDDOWN(I114*(1+$G$6),2)</f>
        <v>144.7</v>
      </c>
      <c r="K114" s="443">
        <f>ROUNDDOWN(H114*I114,2)</f>
        <v>5785.28</v>
      </c>
      <c r="L114" s="443">
        <f>ROUNDDOWN(H114*J114,2)</f>
        <v>7259.83</v>
      </c>
      <c r="M114" s="461" t="e">
        <f t="shared" si="12"/>
        <v>#N/A</v>
      </c>
      <c r="N114" s="464">
        <f>50.1716</f>
        <v>50.1716</v>
      </c>
      <c r="O114" s="465"/>
      <c r="P114" s="465"/>
      <c r="Q114" s="465"/>
      <c r="R114" s="465"/>
      <c r="S114" s="465"/>
      <c r="T114" s="465"/>
      <c r="U114" s="479"/>
      <c r="V114" s="422"/>
      <c r="W114" s="422"/>
      <c r="X114" s="422"/>
      <c r="Y114" s="422"/>
      <c r="Z114" s="422"/>
    </row>
    <row r="115" ht="34.5" customHeight="1" spans="1:26">
      <c r="A115" s="422" t="str">
        <f>B115</f>
        <v> 4.1 </v>
      </c>
      <c r="B115" s="423" t="str">
        <f>B114</f>
        <v> 4.1 </v>
      </c>
      <c r="C115" s="441" t="s">
        <v>377</v>
      </c>
      <c r="D115" s="442" t="s">
        <v>378</v>
      </c>
      <c r="E115" s="441" t="s">
        <v>139</v>
      </c>
      <c r="F115" s="441" t="s">
        <v>379</v>
      </c>
      <c r="G115" s="442" t="s">
        <v>279</v>
      </c>
      <c r="H115" s="443">
        <f>N115</f>
        <v>55.187</v>
      </c>
      <c r="I115" s="443">
        <f>VLOOKUP(D115,'Orçamento Analitico'!D:L,9,FALSE())</f>
        <v>34.27</v>
      </c>
      <c r="J115" s="443">
        <f>ROUNDDOWN(I115*(1+$G$6),2)</f>
        <v>43</v>
      </c>
      <c r="K115" s="443">
        <f>ROUNDDOWN(H115*I115,2)</f>
        <v>1891.25</v>
      </c>
      <c r="L115" s="443">
        <f>ROUNDDOWN(H115*J115,2)</f>
        <v>2373.04</v>
      </c>
      <c r="M115" s="461" t="e">
        <f t="shared" si="12"/>
        <v>#N/A</v>
      </c>
      <c r="N115" s="464">
        <f>55.187</f>
        <v>55.187</v>
      </c>
      <c r="O115" s="465"/>
      <c r="P115" s="465"/>
      <c r="Q115" s="465"/>
      <c r="R115" s="465"/>
      <c r="S115" s="465"/>
      <c r="T115" s="465"/>
      <c r="U115" s="479"/>
      <c r="V115" s="422"/>
      <c r="W115" s="422"/>
      <c r="X115" s="422"/>
      <c r="Y115" s="422"/>
      <c r="Z115" s="422"/>
    </row>
    <row r="116" ht="12.75" customHeight="1" spans="1:26">
      <c r="A116" s="422"/>
      <c r="B116" s="423" t="str">
        <f>C116</f>
        <v> 4.2 </v>
      </c>
      <c r="C116" s="444" t="s">
        <v>380</v>
      </c>
      <c r="D116" s="445" t="s">
        <v>74</v>
      </c>
      <c r="E116" s="444"/>
      <c r="F116" s="444" t="s">
        <v>381</v>
      </c>
      <c r="G116" s="445"/>
      <c r="H116" s="446"/>
      <c r="I116" s="446"/>
      <c r="J116" s="466"/>
      <c r="K116" s="466">
        <f>SUMIF(A:A,B116,K:K)</f>
        <v>12740.59</v>
      </c>
      <c r="L116" s="466">
        <f>SUMIF(A:A,C116,L:L)</f>
        <v>15987.54</v>
      </c>
      <c r="M116" s="467" t="e">
        <f t="shared" si="12"/>
        <v>#N/A</v>
      </c>
      <c r="N116" s="464"/>
      <c r="O116" s="465"/>
      <c r="P116" s="465"/>
      <c r="Q116" s="465"/>
      <c r="R116" s="465"/>
      <c r="S116" s="465"/>
      <c r="T116" s="465"/>
      <c r="U116" s="479"/>
      <c r="V116" s="422"/>
      <c r="W116" s="422"/>
      <c r="X116" s="422"/>
      <c r="Y116" s="422"/>
      <c r="Z116" s="422"/>
    </row>
    <row r="117" ht="34.5" customHeight="1" spans="1:26">
      <c r="A117" s="422" t="str">
        <f>B117</f>
        <v> 4.2 </v>
      </c>
      <c r="B117" s="423" t="str">
        <f>B116</f>
        <v> 4.2 </v>
      </c>
      <c r="C117" s="441" t="s">
        <v>382</v>
      </c>
      <c r="D117" s="442" t="s">
        <v>375</v>
      </c>
      <c r="E117" s="441" t="s">
        <v>139</v>
      </c>
      <c r="F117" s="441" t="s">
        <v>376</v>
      </c>
      <c r="G117" s="442" t="s">
        <v>279</v>
      </c>
      <c r="H117" s="443">
        <f>N117</f>
        <v>88.2</v>
      </c>
      <c r="I117" s="443">
        <f>VLOOKUP(D117,'Orçamento Analitico'!D:L,9,FALSE())</f>
        <v>115.31</v>
      </c>
      <c r="J117" s="443">
        <f>ROUNDDOWN(I117*(1+$G$6),2)</f>
        <v>144.7</v>
      </c>
      <c r="K117" s="443">
        <f>ROUNDDOWN(H117*I117,2)</f>
        <v>10170.34</v>
      </c>
      <c r="L117" s="443">
        <f>ROUNDDOWN(H117*J117,2)</f>
        <v>12762.54</v>
      </c>
      <c r="M117" s="461" t="e">
        <f t="shared" si="12"/>
        <v>#N/A</v>
      </c>
      <c r="N117" s="464">
        <v>88.2</v>
      </c>
      <c r="O117" s="465"/>
      <c r="P117" s="465"/>
      <c r="Q117" s="465"/>
      <c r="R117" s="465"/>
      <c r="S117" s="465"/>
      <c r="T117" s="465"/>
      <c r="U117" s="479"/>
      <c r="V117" s="422"/>
      <c r="W117" s="422"/>
      <c r="X117" s="422"/>
      <c r="Y117" s="422"/>
      <c r="Z117" s="422"/>
    </row>
    <row r="118" ht="34.5" customHeight="1" spans="1:26">
      <c r="A118" s="422" t="str">
        <f>B118</f>
        <v> 4.2 </v>
      </c>
      <c r="B118" s="423" t="str">
        <f>B117</f>
        <v> 4.2 </v>
      </c>
      <c r="C118" s="441" t="s">
        <v>383</v>
      </c>
      <c r="D118" s="442" t="s">
        <v>378</v>
      </c>
      <c r="E118" s="441" t="s">
        <v>139</v>
      </c>
      <c r="F118" s="441" t="s">
        <v>379</v>
      </c>
      <c r="G118" s="442" t="s">
        <v>279</v>
      </c>
      <c r="H118" s="443">
        <f>N118</f>
        <v>75</v>
      </c>
      <c r="I118" s="443">
        <f>VLOOKUP(D118,'Orçamento Analitico'!D:L,9,FALSE())</f>
        <v>34.27</v>
      </c>
      <c r="J118" s="443">
        <f>ROUNDDOWN(I118*(1+$G$6),2)</f>
        <v>43</v>
      </c>
      <c r="K118" s="443">
        <f>ROUNDDOWN(H118*I118,2)</f>
        <v>2570.25</v>
      </c>
      <c r="L118" s="443">
        <f>ROUNDDOWN(H118*J118,2)</f>
        <v>3225</v>
      </c>
      <c r="M118" s="461" t="e">
        <f t="shared" si="12"/>
        <v>#N/A</v>
      </c>
      <c r="N118" s="464">
        <v>75</v>
      </c>
      <c r="O118" s="465"/>
      <c r="P118" s="465"/>
      <c r="Q118" s="465"/>
      <c r="R118" s="465"/>
      <c r="S118" s="465"/>
      <c r="T118" s="465"/>
      <c r="U118" s="479"/>
      <c r="V118" s="422"/>
      <c r="W118" s="422"/>
      <c r="X118" s="422"/>
      <c r="Y118" s="422"/>
      <c r="Z118" s="422"/>
    </row>
    <row r="119" ht="12.75" customHeight="1" spans="1:26">
      <c r="A119" s="422"/>
      <c r="B119" s="423" t="str">
        <f>C119</f>
        <v> 4.3 </v>
      </c>
      <c r="C119" s="444" t="s">
        <v>384</v>
      </c>
      <c r="D119" s="445" t="s">
        <v>74</v>
      </c>
      <c r="E119" s="444"/>
      <c r="F119" s="444" t="s">
        <v>385</v>
      </c>
      <c r="G119" s="445"/>
      <c r="H119" s="446"/>
      <c r="I119" s="446"/>
      <c r="J119" s="466"/>
      <c r="K119" s="466">
        <f>SUMIF(A:A,B119,K:K)</f>
        <v>4779.41</v>
      </c>
      <c r="L119" s="466">
        <f>SUMIF(A:A,C119,L:L)</f>
        <v>5997.46</v>
      </c>
      <c r="M119" s="467" t="e">
        <f t="shared" si="12"/>
        <v>#N/A</v>
      </c>
      <c r="N119" s="464"/>
      <c r="O119" s="465"/>
      <c r="P119" s="465"/>
      <c r="Q119" s="465"/>
      <c r="R119" s="465"/>
      <c r="S119" s="465"/>
      <c r="T119" s="465"/>
      <c r="U119" s="479"/>
      <c r="V119" s="422"/>
      <c r="W119" s="422"/>
      <c r="X119" s="422"/>
      <c r="Y119" s="422"/>
      <c r="Z119" s="422"/>
    </row>
    <row r="120" ht="34.5" customHeight="1" spans="1:26">
      <c r="A120" s="422" t="str">
        <f>B120</f>
        <v> 4.3 </v>
      </c>
      <c r="B120" s="423" t="str">
        <f>B119</f>
        <v> 4.3 </v>
      </c>
      <c r="C120" s="441" t="s">
        <v>386</v>
      </c>
      <c r="D120" s="442" t="s">
        <v>375</v>
      </c>
      <c r="E120" s="441" t="s">
        <v>139</v>
      </c>
      <c r="F120" s="441" t="s">
        <v>376</v>
      </c>
      <c r="G120" s="442" t="s">
        <v>279</v>
      </c>
      <c r="H120" s="443">
        <f>N120</f>
        <v>32.8</v>
      </c>
      <c r="I120" s="443">
        <f>VLOOKUP(D120,'Orçamento Analitico'!D:L,9,FALSE())</f>
        <v>115.31</v>
      </c>
      <c r="J120" s="443">
        <f>ROUNDDOWN(I120*(1+$G$6),2)</f>
        <v>144.7</v>
      </c>
      <c r="K120" s="443">
        <f>ROUNDDOWN(H120*I120,2)</f>
        <v>3782.16</v>
      </c>
      <c r="L120" s="443">
        <f>ROUNDDOWN(H120*J120,2)</f>
        <v>4746.16</v>
      </c>
      <c r="M120" s="461" t="e">
        <f t="shared" si="12"/>
        <v>#N/A</v>
      </c>
      <c r="N120" s="464">
        <v>32.8</v>
      </c>
      <c r="O120" s="465"/>
      <c r="P120" s="465"/>
      <c r="Q120" s="465"/>
      <c r="R120" s="465"/>
      <c r="S120" s="465"/>
      <c r="T120" s="465"/>
      <c r="U120" s="479"/>
      <c r="V120" s="422"/>
      <c r="W120" s="422"/>
      <c r="X120" s="422"/>
      <c r="Y120" s="422"/>
      <c r="Z120" s="422"/>
    </row>
    <row r="121" ht="34.5" customHeight="1" spans="1:26">
      <c r="A121" s="422" t="str">
        <f>B121</f>
        <v> 4.3 </v>
      </c>
      <c r="B121" s="423" t="str">
        <f>B120</f>
        <v> 4.3 </v>
      </c>
      <c r="C121" s="441" t="s">
        <v>387</v>
      </c>
      <c r="D121" s="442" t="s">
        <v>378</v>
      </c>
      <c r="E121" s="441" t="s">
        <v>139</v>
      </c>
      <c r="F121" s="441" t="s">
        <v>379</v>
      </c>
      <c r="G121" s="442" t="s">
        <v>279</v>
      </c>
      <c r="H121" s="443">
        <f>N121</f>
        <v>29.1</v>
      </c>
      <c r="I121" s="443">
        <f>VLOOKUP(D121,'Orçamento Analitico'!D:L,9,FALSE())</f>
        <v>34.27</v>
      </c>
      <c r="J121" s="443">
        <f>ROUNDDOWN(I121*(1+$G$6),2)</f>
        <v>43</v>
      </c>
      <c r="K121" s="443">
        <f>ROUNDDOWN(H121*I121,2)</f>
        <v>997.25</v>
      </c>
      <c r="L121" s="443">
        <f>ROUNDDOWN(H121*J121,2)</f>
        <v>1251.3</v>
      </c>
      <c r="M121" s="461" t="e">
        <f t="shared" si="12"/>
        <v>#N/A</v>
      </c>
      <c r="N121" s="464">
        <v>29.1</v>
      </c>
      <c r="O121" s="465"/>
      <c r="P121" s="465"/>
      <c r="Q121" s="465"/>
      <c r="R121" s="465"/>
      <c r="S121" s="465"/>
      <c r="T121" s="465"/>
      <c r="U121" s="479"/>
      <c r="V121" s="422"/>
      <c r="W121" s="422"/>
      <c r="X121" s="422"/>
      <c r="Y121" s="422"/>
      <c r="Z121" s="422"/>
    </row>
    <row r="122" ht="12.75" customHeight="1" spans="1:26">
      <c r="A122" s="422"/>
      <c r="B122" s="423" t="str">
        <f>C122</f>
        <v> 5 </v>
      </c>
      <c r="C122" s="438" t="s">
        <v>26</v>
      </c>
      <c r="D122" s="439" t="s">
        <v>74</v>
      </c>
      <c r="E122" s="438"/>
      <c r="F122" s="438" t="s">
        <v>388</v>
      </c>
      <c r="G122" s="439"/>
      <c r="H122" s="440"/>
      <c r="I122" s="440"/>
      <c r="J122" s="440"/>
      <c r="K122" s="440">
        <f>SUM(K123,K135,K154)</f>
        <v>315291.87</v>
      </c>
      <c r="L122" s="440">
        <f>SUM(L123,L135,L154)</f>
        <v>395645.02</v>
      </c>
      <c r="M122" s="458" t="e">
        <f t="shared" si="12"/>
        <v>#N/A</v>
      </c>
      <c r="N122" s="464"/>
      <c r="O122" s="465"/>
      <c r="P122" s="465"/>
      <c r="Q122" s="465"/>
      <c r="R122" s="465"/>
      <c r="S122" s="465"/>
      <c r="T122" s="465"/>
      <c r="U122" s="479"/>
      <c r="V122" s="422"/>
      <c r="W122" s="422"/>
      <c r="X122" s="422"/>
      <c r="Y122" s="422"/>
      <c r="Z122" s="422"/>
    </row>
    <row r="123" ht="12.75" customHeight="1" spans="1:26">
      <c r="A123" s="422"/>
      <c r="B123" s="423" t="str">
        <f>C123</f>
        <v> 5.1 </v>
      </c>
      <c r="C123" s="444" t="s">
        <v>389</v>
      </c>
      <c r="D123" s="445" t="s">
        <v>74</v>
      </c>
      <c r="E123" s="444"/>
      <c r="F123" s="444" t="s">
        <v>373</v>
      </c>
      <c r="G123" s="445"/>
      <c r="H123" s="446"/>
      <c r="I123" s="446"/>
      <c r="J123" s="466"/>
      <c r="K123" s="466">
        <f>SUMIF(A:A,B123,K:K)</f>
        <v>220616.75</v>
      </c>
      <c r="L123" s="466">
        <f>SUMIF(A:A,C123,L:L)</f>
        <v>276846.39</v>
      </c>
      <c r="M123" s="467" t="e">
        <f t="shared" si="12"/>
        <v>#N/A</v>
      </c>
      <c r="N123" s="464"/>
      <c r="O123" s="465"/>
      <c r="P123" s="465"/>
      <c r="Q123" s="465"/>
      <c r="R123" s="465"/>
      <c r="S123" s="465"/>
      <c r="T123" s="465"/>
      <c r="U123" s="479"/>
      <c r="V123" s="422"/>
      <c r="W123" s="422"/>
      <c r="X123" s="422"/>
      <c r="Y123" s="422"/>
      <c r="Z123" s="422"/>
    </row>
    <row r="124" ht="34.5" customHeight="1" spans="1:26">
      <c r="A124" s="422" t="str">
        <f t="shared" ref="A124:A134" si="28">B124</f>
        <v> 5.1 </v>
      </c>
      <c r="B124" s="423" t="str">
        <f t="shared" ref="B124:B134" si="29">B123</f>
        <v> 5.1 </v>
      </c>
      <c r="C124" s="441" t="s">
        <v>390</v>
      </c>
      <c r="D124" s="442" t="s">
        <v>391</v>
      </c>
      <c r="E124" s="441" t="s">
        <v>139</v>
      </c>
      <c r="F124" s="441" t="s">
        <v>392</v>
      </c>
      <c r="G124" s="442" t="s">
        <v>393</v>
      </c>
      <c r="H124" s="443">
        <f t="shared" ref="H124:H134" si="30">N124</f>
        <v>77</v>
      </c>
      <c r="I124" s="443">
        <f>VLOOKUP(D124,'Orçamento Analitico'!D:L,9,FALSE())</f>
        <v>20.86</v>
      </c>
      <c r="J124" s="443">
        <f t="shared" ref="J124:J134" si="31">ROUNDDOWN(I124*(1+$G$6),2)</f>
        <v>26.17</v>
      </c>
      <c r="K124" s="443">
        <f t="shared" ref="K124:K134" si="32">ROUNDDOWN(H124*I124,2)</f>
        <v>1606.22</v>
      </c>
      <c r="L124" s="443">
        <f t="shared" ref="L124:L134" si="33">ROUNDDOWN(H124*J124,2)</f>
        <v>2015.09</v>
      </c>
      <c r="M124" s="461" t="e">
        <f t="shared" si="12"/>
        <v>#N/A</v>
      </c>
      <c r="N124" s="464">
        <v>77</v>
      </c>
      <c r="O124" s="465"/>
      <c r="P124" s="465"/>
      <c r="Q124" s="465"/>
      <c r="R124" s="465"/>
      <c r="S124" s="465"/>
      <c r="T124" s="465"/>
      <c r="U124" s="479"/>
      <c r="V124" s="422"/>
      <c r="W124" s="422"/>
      <c r="X124" s="422"/>
      <c r="Y124" s="422"/>
      <c r="Z124" s="422"/>
    </row>
    <row r="125" ht="34.5" customHeight="1" spans="1:26">
      <c r="A125" s="422" t="str">
        <f t="shared" si="28"/>
        <v> 5.1 </v>
      </c>
      <c r="B125" s="423" t="str">
        <f t="shared" si="29"/>
        <v> 5.1 </v>
      </c>
      <c r="C125" s="441" t="s">
        <v>394</v>
      </c>
      <c r="D125" s="442" t="s">
        <v>395</v>
      </c>
      <c r="E125" s="441" t="s">
        <v>139</v>
      </c>
      <c r="F125" s="441" t="s">
        <v>396</v>
      </c>
      <c r="G125" s="442" t="s">
        <v>393</v>
      </c>
      <c r="H125" s="443">
        <f t="shared" si="30"/>
        <v>46.2</v>
      </c>
      <c r="I125" s="443">
        <f>VLOOKUP(D125,'Orçamento Analitico'!D:L,9,FALSE())</f>
        <v>18.43</v>
      </c>
      <c r="J125" s="443">
        <f t="shared" si="31"/>
        <v>23.12</v>
      </c>
      <c r="K125" s="443">
        <f t="shared" si="32"/>
        <v>851.46</v>
      </c>
      <c r="L125" s="443">
        <f t="shared" si="33"/>
        <v>1068.14</v>
      </c>
      <c r="M125" s="461" t="e">
        <f t="shared" si="12"/>
        <v>#N/A</v>
      </c>
      <c r="N125" s="464">
        <v>46.2</v>
      </c>
      <c r="O125" s="465"/>
      <c r="P125" s="465"/>
      <c r="Q125" s="465"/>
      <c r="R125" s="465"/>
      <c r="S125" s="465"/>
      <c r="T125" s="465"/>
      <c r="U125" s="479"/>
      <c r="V125" s="422"/>
      <c r="W125" s="422"/>
      <c r="X125" s="422"/>
      <c r="Y125" s="422"/>
      <c r="Z125" s="422"/>
    </row>
    <row r="126" ht="34.5" customHeight="1" spans="1:26">
      <c r="A126" s="422" t="str">
        <f t="shared" si="28"/>
        <v> 5.1 </v>
      </c>
      <c r="B126" s="423" t="str">
        <f t="shared" si="29"/>
        <v> 5.1 </v>
      </c>
      <c r="C126" s="441" t="s">
        <v>397</v>
      </c>
      <c r="D126" s="442" t="s">
        <v>398</v>
      </c>
      <c r="E126" s="441" t="s">
        <v>139</v>
      </c>
      <c r="F126" s="441" t="s">
        <v>399</v>
      </c>
      <c r="G126" s="442" t="s">
        <v>393</v>
      </c>
      <c r="H126" s="443">
        <f t="shared" si="30"/>
        <v>19.8</v>
      </c>
      <c r="I126" s="443">
        <f>VLOOKUP(D126,'Orçamento Analitico'!D:L,9,FALSE())</f>
        <v>15.92</v>
      </c>
      <c r="J126" s="443">
        <f t="shared" si="31"/>
        <v>19.97</v>
      </c>
      <c r="K126" s="443">
        <f t="shared" si="32"/>
        <v>315.21</v>
      </c>
      <c r="L126" s="443">
        <f t="shared" si="33"/>
        <v>395.4</v>
      </c>
      <c r="M126" s="461" t="e">
        <f t="shared" si="12"/>
        <v>#N/A</v>
      </c>
      <c r="N126" s="464">
        <v>19.8</v>
      </c>
      <c r="O126" s="465"/>
      <c r="P126" s="465"/>
      <c r="Q126" s="465"/>
      <c r="R126" s="465"/>
      <c r="S126" s="465"/>
      <c r="T126" s="465"/>
      <c r="U126" s="479"/>
      <c r="V126" s="422"/>
      <c r="W126" s="422"/>
      <c r="X126" s="422"/>
      <c r="Y126" s="422"/>
      <c r="Z126" s="422"/>
    </row>
    <row r="127" ht="34.5" customHeight="1" spans="1:26">
      <c r="A127" s="422" t="str">
        <f t="shared" si="28"/>
        <v> 5.1 </v>
      </c>
      <c r="B127" s="423" t="str">
        <f t="shared" si="29"/>
        <v> 5.1 </v>
      </c>
      <c r="C127" s="441" t="s">
        <v>400</v>
      </c>
      <c r="D127" s="442" t="s">
        <v>401</v>
      </c>
      <c r="E127" s="441" t="s">
        <v>139</v>
      </c>
      <c r="F127" s="441" t="s">
        <v>402</v>
      </c>
      <c r="G127" s="442" t="s">
        <v>393</v>
      </c>
      <c r="H127" s="443">
        <f t="shared" si="30"/>
        <v>891</v>
      </c>
      <c r="I127" s="443">
        <f>VLOOKUP(D127,'Orçamento Analitico'!D:L,9,FALSE())</f>
        <v>12.01</v>
      </c>
      <c r="J127" s="443">
        <f t="shared" si="31"/>
        <v>15.07</v>
      </c>
      <c r="K127" s="443">
        <f t="shared" si="32"/>
        <v>10700.91</v>
      </c>
      <c r="L127" s="443">
        <f t="shared" si="33"/>
        <v>13427.37</v>
      </c>
      <c r="M127" s="461" t="e">
        <f t="shared" si="12"/>
        <v>#N/A</v>
      </c>
      <c r="N127" s="464">
        <v>891</v>
      </c>
      <c r="O127" s="465"/>
      <c r="P127" s="465"/>
      <c r="Q127" s="465"/>
      <c r="R127" s="465"/>
      <c r="S127" s="465"/>
      <c r="T127" s="465"/>
      <c r="U127" s="479"/>
      <c r="V127" s="422"/>
      <c r="W127" s="422"/>
      <c r="X127" s="422"/>
      <c r="Y127" s="422"/>
      <c r="Z127" s="422"/>
    </row>
    <row r="128" ht="34.5" customHeight="1" spans="1:26">
      <c r="A128" s="422" t="str">
        <f t="shared" si="28"/>
        <v> 5.1 </v>
      </c>
      <c r="B128" s="423" t="str">
        <f t="shared" si="29"/>
        <v> 5.1 </v>
      </c>
      <c r="C128" s="441" t="s">
        <v>403</v>
      </c>
      <c r="D128" s="442" t="s">
        <v>404</v>
      </c>
      <c r="E128" s="441" t="s">
        <v>139</v>
      </c>
      <c r="F128" s="441" t="s">
        <v>405</v>
      </c>
      <c r="G128" s="442" t="s">
        <v>393</v>
      </c>
      <c r="H128" s="443">
        <f t="shared" si="30"/>
        <v>195.8</v>
      </c>
      <c r="I128" s="443">
        <f>VLOOKUP(D128,'Orçamento Analitico'!D:L,9,FALSE())</f>
        <v>11.17</v>
      </c>
      <c r="J128" s="443">
        <f t="shared" si="31"/>
        <v>14.01</v>
      </c>
      <c r="K128" s="443">
        <f t="shared" si="32"/>
        <v>2187.08</v>
      </c>
      <c r="L128" s="443">
        <f t="shared" si="33"/>
        <v>2743.15</v>
      </c>
      <c r="M128" s="461" t="e">
        <f t="shared" si="12"/>
        <v>#N/A</v>
      </c>
      <c r="N128" s="464">
        <v>195.8</v>
      </c>
      <c r="O128" s="465"/>
      <c r="P128" s="465"/>
      <c r="Q128" s="465"/>
      <c r="R128" s="465"/>
      <c r="S128" s="465"/>
      <c r="T128" s="465"/>
      <c r="U128" s="479"/>
      <c r="V128" s="422"/>
      <c r="W128" s="422"/>
      <c r="X128" s="422"/>
      <c r="Y128" s="422"/>
      <c r="Z128" s="422"/>
    </row>
    <row r="129" ht="48" customHeight="1" spans="1:26">
      <c r="A129" s="422" t="str">
        <f t="shared" si="28"/>
        <v> 5.1 </v>
      </c>
      <c r="B129" s="423" t="str">
        <f t="shared" si="29"/>
        <v> 5.1 </v>
      </c>
      <c r="C129" s="441" t="s">
        <v>406</v>
      </c>
      <c r="D129" s="442" t="s">
        <v>407</v>
      </c>
      <c r="E129" s="441" t="s">
        <v>139</v>
      </c>
      <c r="F129" s="441" t="s">
        <v>408</v>
      </c>
      <c r="G129" s="442" t="s">
        <v>141</v>
      </c>
      <c r="H129" s="443">
        <f t="shared" si="30"/>
        <v>37.84</v>
      </c>
      <c r="I129" s="443">
        <f>VLOOKUP(D129,'Orçamento Analitico'!D:L,9,FALSE())</f>
        <v>156.54</v>
      </c>
      <c r="J129" s="443">
        <f t="shared" si="31"/>
        <v>196.44</v>
      </c>
      <c r="K129" s="443">
        <f t="shared" si="32"/>
        <v>5923.47</v>
      </c>
      <c r="L129" s="443">
        <f t="shared" si="33"/>
        <v>7433.28</v>
      </c>
      <c r="M129" s="461" t="e">
        <f t="shared" si="12"/>
        <v>#N/A</v>
      </c>
      <c r="N129" s="464">
        <v>37.84</v>
      </c>
      <c r="O129" s="465"/>
      <c r="P129" s="465"/>
      <c r="Q129" s="465"/>
      <c r="R129" s="465"/>
      <c r="S129" s="465"/>
      <c r="T129" s="465"/>
      <c r="U129" s="479"/>
      <c r="V129" s="422"/>
      <c r="W129" s="422"/>
      <c r="X129" s="422"/>
      <c r="Y129" s="422"/>
      <c r="Z129" s="422"/>
    </row>
    <row r="130" ht="48" customHeight="1" spans="1:26">
      <c r="A130" s="422" t="str">
        <f t="shared" si="28"/>
        <v> 5.1 </v>
      </c>
      <c r="B130" s="423" t="str">
        <f t="shared" si="29"/>
        <v> 5.1 </v>
      </c>
      <c r="C130" s="441" t="s">
        <v>409</v>
      </c>
      <c r="D130" s="442" t="s">
        <v>410</v>
      </c>
      <c r="E130" s="441" t="s">
        <v>139</v>
      </c>
      <c r="F130" s="441" t="s">
        <v>411</v>
      </c>
      <c r="G130" s="442" t="s">
        <v>279</v>
      </c>
      <c r="H130" s="443">
        <f t="shared" si="30"/>
        <v>26.985</v>
      </c>
      <c r="I130" s="443">
        <f>VLOOKUP(D130,'Orçamento Analitico'!D:L,9,FALSE())</f>
        <v>732.3</v>
      </c>
      <c r="J130" s="443">
        <f t="shared" si="31"/>
        <v>918.96</v>
      </c>
      <c r="K130" s="443">
        <f t="shared" si="32"/>
        <v>19761.11</v>
      </c>
      <c r="L130" s="443">
        <f t="shared" si="33"/>
        <v>24798.13</v>
      </c>
      <c r="M130" s="461" t="e">
        <f t="shared" si="12"/>
        <v>#N/A</v>
      </c>
      <c r="N130" s="464">
        <f>26.985</f>
        <v>26.985</v>
      </c>
      <c r="O130" s="465"/>
      <c r="P130" s="465"/>
      <c r="Q130" s="465"/>
      <c r="R130" s="465"/>
      <c r="S130" s="465"/>
      <c r="T130" s="465"/>
      <c r="U130" s="479"/>
      <c r="V130" s="422"/>
      <c r="W130" s="422"/>
      <c r="X130" s="422"/>
      <c r="Y130" s="422"/>
      <c r="Z130" s="422"/>
    </row>
    <row r="131" ht="12.75" customHeight="1" spans="1:26">
      <c r="A131" s="422" t="str">
        <f t="shared" si="28"/>
        <v> 5.1 </v>
      </c>
      <c r="B131" s="423" t="str">
        <f t="shared" si="29"/>
        <v> 5.1 </v>
      </c>
      <c r="C131" s="441" t="s">
        <v>412</v>
      </c>
      <c r="D131" s="442" t="s">
        <v>413</v>
      </c>
      <c r="E131" s="441" t="s">
        <v>139</v>
      </c>
      <c r="F131" s="441" t="s">
        <v>414</v>
      </c>
      <c r="G131" s="442" t="s">
        <v>279</v>
      </c>
      <c r="H131" s="443">
        <f t="shared" si="30"/>
        <v>1.057</v>
      </c>
      <c r="I131" s="443">
        <f>VLOOKUP(D131,'Orçamento Analitico'!D:L,9,FALSE())</f>
        <v>852.23</v>
      </c>
      <c r="J131" s="443">
        <f t="shared" si="31"/>
        <v>1069.46</v>
      </c>
      <c r="K131" s="443">
        <f t="shared" si="32"/>
        <v>900.8</v>
      </c>
      <c r="L131" s="443">
        <f t="shared" si="33"/>
        <v>1130.41</v>
      </c>
      <c r="M131" s="461" t="e">
        <f t="shared" si="12"/>
        <v>#N/A</v>
      </c>
      <c r="N131" s="464">
        <f>1.057</f>
        <v>1.057</v>
      </c>
      <c r="O131" s="465"/>
      <c r="P131" s="465"/>
      <c r="Q131" s="465"/>
      <c r="R131" s="465"/>
      <c r="S131" s="465"/>
      <c r="T131" s="465"/>
      <c r="U131" s="479"/>
      <c r="V131" s="422"/>
      <c r="W131" s="422"/>
      <c r="X131" s="422"/>
      <c r="Y131" s="422"/>
      <c r="Z131" s="422"/>
    </row>
    <row r="132" ht="12.75" customHeight="1" spans="1:26">
      <c r="A132" s="422" t="str">
        <f t="shared" si="28"/>
        <v> 5.1 </v>
      </c>
      <c r="B132" s="423" t="str">
        <f t="shared" si="29"/>
        <v> 5.1 </v>
      </c>
      <c r="C132" s="441" t="s">
        <v>415</v>
      </c>
      <c r="D132" s="442" t="s">
        <v>416</v>
      </c>
      <c r="E132" s="441" t="s">
        <v>149</v>
      </c>
      <c r="F132" s="441" t="s">
        <v>417</v>
      </c>
      <c r="G132" s="442" t="s">
        <v>134</v>
      </c>
      <c r="H132" s="443">
        <f t="shared" si="30"/>
        <v>1</v>
      </c>
      <c r="I132" s="443">
        <f>VLOOKUP(D132,'Orçamento Analitico'!D:L,9,FALSE())</f>
        <v>11631.77</v>
      </c>
      <c r="J132" s="443">
        <f t="shared" si="31"/>
        <v>14596.7</v>
      </c>
      <c r="K132" s="443">
        <f t="shared" si="32"/>
        <v>11631.77</v>
      </c>
      <c r="L132" s="443">
        <f t="shared" si="33"/>
        <v>14596.7</v>
      </c>
      <c r="M132" s="461" t="e">
        <f t="shared" si="12"/>
        <v>#N/A</v>
      </c>
      <c r="N132" s="464">
        <v>1</v>
      </c>
      <c r="O132" s="465"/>
      <c r="P132" s="465"/>
      <c r="Q132" s="465"/>
      <c r="R132" s="465"/>
      <c r="S132" s="465"/>
      <c r="T132" s="465"/>
      <c r="U132" s="479"/>
      <c r="V132" s="422"/>
      <c r="W132" s="422"/>
      <c r="X132" s="422"/>
      <c r="Y132" s="422"/>
      <c r="Z132" s="422"/>
    </row>
    <row r="133" ht="61.5" customHeight="1" spans="1:26">
      <c r="A133" s="422" t="str">
        <f t="shared" si="28"/>
        <v> 5.1 </v>
      </c>
      <c r="B133" s="423" t="str">
        <f t="shared" si="29"/>
        <v> 5.1 </v>
      </c>
      <c r="C133" s="441" t="s">
        <v>418</v>
      </c>
      <c r="D133" s="442" t="s">
        <v>419</v>
      </c>
      <c r="E133" s="441" t="s">
        <v>77</v>
      </c>
      <c r="F133" s="441" t="s">
        <v>420</v>
      </c>
      <c r="G133" s="442" t="s">
        <v>204</v>
      </c>
      <c r="H133" s="443">
        <f t="shared" si="30"/>
        <v>272</v>
      </c>
      <c r="I133" s="443">
        <f>VLOOKUP(D133,'Orçamento Analitico'!D:L,9,FALSE())</f>
        <v>334.7</v>
      </c>
      <c r="J133" s="443">
        <f t="shared" si="31"/>
        <v>420.01</v>
      </c>
      <c r="K133" s="443">
        <f t="shared" si="32"/>
        <v>91038.4</v>
      </c>
      <c r="L133" s="443">
        <f t="shared" si="33"/>
        <v>114242.72</v>
      </c>
      <c r="M133" s="461" t="e">
        <f t="shared" si="12"/>
        <v>#N/A</v>
      </c>
      <c r="N133" s="464">
        <v>272</v>
      </c>
      <c r="O133" s="465"/>
      <c r="P133" s="465"/>
      <c r="Q133" s="465"/>
      <c r="R133" s="465"/>
      <c r="S133" s="465"/>
      <c r="T133" s="465"/>
      <c r="U133" s="479"/>
      <c r="V133" s="422"/>
      <c r="W133" s="422"/>
      <c r="X133" s="422"/>
      <c r="Y133" s="422"/>
      <c r="Z133" s="422"/>
    </row>
    <row r="134" ht="61.5" customHeight="1" spans="1:26">
      <c r="A134" s="422" t="str">
        <f t="shared" si="28"/>
        <v> 5.1 </v>
      </c>
      <c r="B134" s="423" t="str">
        <f t="shared" si="29"/>
        <v> 5.1 </v>
      </c>
      <c r="C134" s="441" t="s">
        <v>421</v>
      </c>
      <c r="D134" s="442" t="s">
        <v>422</v>
      </c>
      <c r="E134" s="441" t="s">
        <v>77</v>
      </c>
      <c r="F134" s="441" t="s">
        <v>423</v>
      </c>
      <c r="G134" s="442" t="s">
        <v>204</v>
      </c>
      <c r="H134" s="443">
        <f t="shared" si="30"/>
        <v>272</v>
      </c>
      <c r="I134" s="443">
        <f>VLOOKUP(D134,'Orçamento Analitico'!D:L,9,FALSE())</f>
        <v>278.31</v>
      </c>
      <c r="J134" s="443">
        <f t="shared" si="31"/>
        <v>349.25</v>
      </c>
      <c r="K134" s="443">
        <f t="shared" si="32"/>
        <v>75700.32</v>
      </c>
      <c r="L134" s="443">
        <f t="shared" si="33"/>
        <v>94996</v>
      </c>
      <c r="M134" s="461" t="e">
        <f t="shared" si="12"/>
        <v>#N/A</v>
      </c>
      <c r="N134" s="464">
        <v>272</v>
      </c>
      <c r="O134" s="465"/>
      <c r="P134" s="465"/>
      <c r="Q134" s="465"/>
      <c r="R134" s="465"/>
      <c r="S134" s="465"/>
      <c r="T134" s="465"/>
      <c r="U134" s="479"/>
      <c r="V134" s="422"/>
      <c r="W134" s="422"/>
      <c r="X134" s="422"/>
      <c r="Y134" s="422"/>
      <c r="Z134" s="422"/>
    </row>
    <row r="135" ht="12.75" customHeight="1" spans="1:26">
      <c r="A135" s="422"/>
      <c r="B135" s="423" t="str">
        <f>C135</f>
        <v> 5.2 </v>
      </c>
      <c r="C135" s="444" t="s">
        <v>424</v>
      </c>
      <c r="D135" s="445" t="s">
        <v>74</v>
      </c>
      <c r="E135" s="444"/>
      <c r="F135" s="444" t="s">
        <v>381</v>
      </c>
      <c r="G135" s="445"/>
      <c r="H135" s="446"/>
      <c r="I135" s="446"/>
      <c r="J135" s="466"/>
      <c r="K135" s="466">
        <f>SUMIF(A:A,B135,K:K)</f>
        <v>72603.64</v>
      </c>
      <c r="L135" s="466">
        <f>SUMIF(A:A,C135,L:L)</f>
        <v>91104.31</v>
      </c>
      <c r="M135" s="467" t="e">
        <f t="shared" si="12"/>
        <v>#N/A</v>
      </c>
      <c r="N135" s="464"/>
      <c r="O135" s="465"/>
      <c r="P135" s="465"/>
      <c r="Q135" s="465"/>
      <c r="R135" s="465"/>
      <c r="S135" s="465"/>
      <c r="T135" s="465"/>
      <c r="U135" s="479"/>
      <c r="V135" s="422"/>
      <c r="W135" s="422"/>
      <c r="X135" s="422"/>
      <c r="Y135" s="422"/>
      <c r="Z135" s="422"/>
    </row>
    <row r="136" ht="39.75" customHeight="1" spans="1:26">
      <c r="A136" s="422" t="str">
        <f t="shared" ref="A136:A153" si="34">B136</f>
        <v> 5.2 </v>
      </c>
      <c r="B136" s="423" t="str">
        <f t="shared" ref="B136:B153" si="35">B135</f>
        <v> 5.2 </v>
      </c>
      <c r="C136" s="441" t="s">
        <v>425</v>
      </c>
      <c r="D136" s="442" t="s">
        <v>426</v>
      </c>
      <c r="E136" s="441" t="s">
        <v>139</v>
      </c>
      <c r="F136" s="441" t="s">
        <v>427</v>
      </c>
      <c r="G136" s="442" t="s">
        <v>279</v>
      </c>
      <c r="H136" s="443">
        <f t="shared" ref="H136:H153" si="36">N136</f>
        <v>3.93</v>
      </c>
      <c r="I136" s="443">
        <f>VLOOKUP(D136,'Orçamento Analitico'!D:L,9,FALSE())</f>
        <v>756.52</v>
      </c>
      <c r="J136" s="443">
        <f t="shared" ref="J136:J153" si="37">ROUNDDOWN(I136*(1+$G$6),2)</f>
        <v>949.35</v>
      </c>
      <c r="K136" s="443">
        <f t="shared" ref="K136:K153" si="38">ROUNDDOWN(H136*I136,2)</f>
        <v>2973.12</v>
      </c>
      <c r="L136" s="443">
        <f t="shared" ref="L136:L153" si="39">ROUNDDOWN(H136*J136,2)</f>
        <v>3730.94</v>
      </c>
      <c r="M136" s="461" t="e">
        <f t="shared" ref="M136:M199" si="40">K136/$L$1062</f>
        <v>#N/A</v>
      </c>
      <c r="N136" s="464">
        <v>3.93</v>
      </c>
      <c r="O136" s="465"/>
      <c r="P136" s="465"/>
      <c r="Q136" s="465"/>
      <c r="R136" s="465"/>
      <c r="S136" s="465"/>
      <c r="T136" s="465"/>
      <c r="U136" s="479"/>
      <c r="V136" s="422"/>
      <c r="W136" s="422"/>
      <c r="X136" s="422"/>
      <c r="Y136" s="422"/>
      <c r="Z136" s="422"/>
    </row>
    <row r="137" ht="39.75" customHeight="1" spans="1:26">
      <c r="A137" s="422" t="str">
        <f t="shared" si="34"/>
        <v> 5.2 </v>
      </c>
      <c r="B137" s="423" t="str">
        <f t="shared" si="35"/>
        <v> 5.2 </v>
      </c>
      <c r="C137" s="441" t="s">
        <v>428</v>
      </c>
      <c r="D137" s="442" t="s">
        <v>429</v>
      </c>
      <c r="E137" s="441" t="s">
        <v>139</v>
      </c>
      <c r="F137" s="441" t="s">
        <v>430</v>
      </c>
      <c r="G137" s="442" t="s">
        <v>279</v>
      </c>
      <c r="H137" s="443">
        <f t="shared" si="36"/>
        <v>4.61</v>
      </c>
      <c r="I137" s="443">
        <f>VLOOKUP(D137,'Orçamento Analitico'!D:L,9,FALSE())</f>
        <v>719.07</v>
      </c>
      <c r="J137" s="443">
        <f t="shared" si="37"/>
        <v>902.36</v>
      </c>
      <c r="K137" s="443">
        <f t="shared" si="38"/>
        <v>3314.91</v>
      </c>
      <c r="L137" s="443">
        <f t="shared" si="39"/>
        <v>4159.87</v>
      </c>
      <c r="M137" s="461" t="e">
        <f t="shared" si="40"/>
        <v>#N/A</v>
      </c>
      <c r="N137" s="464">
        <v>4.61</v>
      </c>
      <c r="O137" s="465"/>
      <c r="P137" s="465"/>
      <c r="Q137" s="465"/>
      <c r="R137" s="465"/>
      <c r="S137" s="465"/>
      <c r="T137" s="465"/>
      <c r="U137" s="479"/>
      <c r="V137" s="422"/>
      <c r="W137" s="422"/>
      <c r="X137" s="422"/>
      <c r="Y137" s="422"/>
      <c r="Z137" s="422"/>
    </row>
    <row r="138" ht="39.75" customHeight="1" spans="1:26">
      <c r="A138" s="422" t="str">
        <f t="shared" si="34"/>
        <v> 5.2 </v>
      </c>
      <c r="B138" s="423" t="str">
        <f t="shared" si="35"/>
        <v> 5.2 </v>
      </c>
      <c r="C138" s="441" t="s">
        <v>431</v>
      </c>
      <c r="D138" s="442" t="s">
        <v>413</v>
      </c>
      <c r="E138" s="441" t="s">
        <v>139</v>
      </c>
      <c r="F138" s="441" t="s">
        <v>414</v>
      </c>
      <c r="G138" s="442" t="s">
        <v>279</v>
      </c>
      <c r="H138" s="443">
        <f t="shared" si="36"/>
        <v>3.27</v>
      </c>
      <c r="I138" s="443">
        <f>VLOOKUP(D138,'Orçamento Analitico'!D:L,9,FALSE())</f>
        <v>852.23</v>
      </c>
      <c r="J138" s="443">
        <f t="shared" si="37"/>
        <v>1069.46</v>
      </c>
      <c r="K138" s="443">
        <f t="shared" si="38"/>
        <v>2786.79</v>
      </c>
      <c r="L138" s="443">
        <f t="shared" si="39"/>
        <v>3497.13</v>
      </c>
      <c r="M138" s="461" t="e">
        <f t="shared" si="40"/>
        <v>#N/A</v>
      </c>
      <c r="N138" s="464">
        <v>3.27</v>
      </c>
      <c r="O138" s="465"/>
      <c r="P138" s="465"/>
      <c r="Q138" s="465"/>
      <c r="R138" s="465"/>
      <c r="S138" s="465"/>
      <c r="T138" s="465"/>
      <c r="U138" s="479"/>
      <c r="V138" s="422"/>
      <c r="W138" s="422"/>
      <c r="X138" s="422"/>
      <c r="Y138" s="422"/>
      <c r="Z138" s="422"/>
    </row>
    <row r="139" ht="39.75" customHeight="1" spans="1:26">
      <c r="A139" s="422" t="str">
        <f t="shared" si="34"/>
        <v> 5.2 </v>
      </c>
      <c r="B139" s="423" t="str">
        <f t="shared" si="35"/>
        <v> 5.2 </v>
      </c>
      <c r="C139" s="441" t="s">
        <v>432</v>
      </c>
      <c r="D139" s="442" t="s">
        <v>433</v>
      </c>
      <c r="E139" s="441" t="s">
        <v>139</v>
      </c>
      <c r="F139" s="441" t="s">
        <v>434</v>
      </c>
      <c r="G139" s="442" t="s">
        <v>141</v>
      </c>
      <c r="H139" s="443">
        <f t="shared" si="36"/>
        <v>121</v>
      </c>
      <c r="I139" s="443">
        <f>VLOOKUP(D139,'Orçamento Analitico'!D:L,9,FALSE())</f>
        <v>2.71</v>
      </c>
      <c r="J139" s="443">
        <f t="shared" si="37"/>
        <v>3.4</v>
      </c>
      <c r="K139" s="443">
        <f t="shared" si="38"/>
        <v>327.91</v>
      </c>
      <c r="L139" s="443">
        <f t="shared" si="39"/>
        <v>411.4</v>
      </c>
      <c r="M139" s="461" t="e">
        <f t="shared" si="40"/>
        <v>#N/A</v>
      </c>
      <c r="N139" s="464">
        <v>121</v>
      </c>
      <c r="O139" s="465"/>
      <c r="P139" s="465"/>
      <c r="Q139" s="465"/>
      <c r="R139" s="465"/>
      <c r="S139" s="465"/>
      <c r="T139" s="465"/>
      <c r="U139" s="479"/>
      <c r="V139" s="422"/>
      <c r="W139" s="422"/>
      <c r="X139" s="422"/>
      <c r="Y139" s="422"/>
      <c r="Z139" s="422"/>
    </row>
    <row r="140" ht="39.75" customHeight="1" spans="1:26">
      <c r="A140" s="422" t="str">
        <f t="shared" si="34"/>
        <v> 5.2 </v>
      </c>
      <c r="B140" s="423" t="str">
        <f t="shared" si="35"/>
        <v> 5.2 </v>
      </c>
      <c r="C140" s="441" t="s">
        <v>435</v>
      </c>
      <c r="D140" s="442" t="s">
        <v>436</v>
      </c>
      <c r="E140" s="441" t="s">
        <v>139</v>
      </c>
      <c r="F140" s="441" t="s">
        <v>437</v>
      </c>
      <c r="G140" s="442" t="s">
        <v>393</v>
      </c>
      <c r="H140" s="443">
        <f t="shared" si="36"/>
        <v>61.1</v>
      </c>
      <c r="I140" s="443">
        <f>VLOOKUP(D140,'Orçamento Analitico'!D:L,9,FALSE())</f>
        <v>19.57</v>
      </c>
      <c r="J140" s="443">
        <f t="shared" si="37"/>
        <v>24.55</v>
      </c>
      <c r="K140" s="443">
        <f t="shared" si="38"/>
        <v>1195.72</v>
      </c>
      <c r="L140" s="443">
        <f t="shared" si="39"/>
        <v>1500</v>
      </c>
      <c r="M140" s="461" t="e">
        <f t="shared" si="40"/>
        <v>#N/A</v>
      </c>
      <c r="N140" s="464">
        <v>61.1</v>
      </c>
      <c r="O140" s="465"/>
      <c r="P140" s="465"/>
      <c r="Q140" s="465"/>
      <c r="R140" s="465"/>
      <c r="S140" s="465"/>
      <c r="T140" s="465"/>
      <c r="U140" s="479"/>
      <c r="V140" s="422"/>
      <c r="W140" s="422"/>
      <c r="X140" s="422"/>
      <c r="Y140" s="422"/>
      <c r="Z140" s="422"/>
    </row>
    <row r="141" ht="39.75" customHeight="1" spans="1:26">
      <c r="A141" s="422" t="str">
        <f t="shared" si="34"/>
        <v> 5.2 </v>
      </c>
      <c r="B141" s="423" t="str">
        <f t="shared" si="35"/>
        <v> 5.2 </v>
      </c>
      <c r="C141" s="441" t="s">
        <v>438</v>
      </c>
      <c r="D141" s="442" t="s">
        <v>439</v>
      </c>
      <c r="E141" s="441" t="s">
        <v>139</v>
      </c>
      <c r="F141" s="441" t="s">
        <v>440</v>
      </c>
      <c r="G141" s="442" t="s">
        <v>393</v>
      </c>
      <c r="H141" s="443">
        <f t="shared" si="36"/>
        <v>80.08</v>
      </c>
      <c r="I141" s="443">
        <f>VLOOKUP(D141,'Orçamento Analitico'!D:L,9,FALSE())</f>
        <v>16.14</v>
      </c>
      <c r="J141" s="443">
        <f t="shared" si="37"/>
        <v>20.25</v>
      </c>
      <c r="K141" s="443">
        <f t="shared" si="38"/>
        <v>1292.49</v>
      </c>
      <c r="L141" s="443">
        <f t="shared" si="39"/>
        <v>1621.62</v>
      </c>
      <c r="M141" s="461" t="e">
        <f t="shared" si="40"/>
        <v>#N/A</v>
      </c>
      <c r="N141" s="464">
        <v>80.08</v>
      </c>
      <c r="O141" s="465"/>
      <c r="P141" s="465"/>
      <c r="Q141" s="465"/>
      <c r="R141" s="465"/>
      <c r="S141" s="465"/>
      <c r="T141" s="465"/>
      <c r="U141" s="479"/>
      <c r="V141" s="422"/>
      <c r="W141" s="422"/>
      <c r="X141" s="422"/>
      <c r="Y141" s="422"/>
      <c r="Z141" s="422"/>
    </row>
    <row r="142" ht="39.75" customHeight="1" spans="1:26">
      <c r="A142" s="422" t="str">
        <f t="shared" si="34"/>
        <v> 5.2 </v>
      </c>
      <c r="B142" s="423" t="str">
        <f t="shared" si="35"/>
        <v> 5.2 </v>
      </c>
      <c r="C142" s="441" t="s">
        <v>441</v>
      </c>
      <c r="D142" s="442" t="s">
        <v>442</v>
      </c>
      <c r="E142" s="441" t="s">
        <v>139</v>
      </c>
      <c r="F142" s="441" t="s">
        <v>443</v>
      </c>
      <c r="G142" s="442" t="s">
        <v>393</v>
      </c>
      <c r="H142" s="443">
        <f t="shared" si="36"/>
        <v>73.3</v>
      </c>
      <c r="I142" s="443">
        <f>VLOOKUP(D142,'Orçamento Analitico'!D:L,9,FALSE())</f>
        <v>14.25</v>
      </c>
      <c r="J142" s="443">
        <f t="shared" si="37"/>
        <v>17.88</v>
      </c>
      <c r="K142" s="443">
        <f t="shared" si="38"/>
        <v>1044.52</v>
      </c>
      <c r="L142" s="443">
        <f t="shared" si="39"/>
        <v>1310.6</v>
      </c>
      <c r="M142" s="461" t="e">
        <f t="shared" si="40"/>
        <v>#N/A</v>
      </c>
      <c r="N142" s="464">
        <v>73.3</v>
      </c>
      <c r="O142" s="465"/>
      <c r="P142" s="465"/>
      <c r="Q142" s="465"/>
      <c r="R142" s="465"/>
      <c r="S142" s="465"/>
      <c r="T142" s="465"/>
      <c r="U142" s="479"/>
      <c r="V142" s="422"/>
      <c r="W142" s="422"/>
      <c r="X142" s="422"/>
      <c r="Y142" s="422"/>
      <c r="Z142" s="422"/>
    </row>
    <row r="143" ht="39.75" customHeight="1" spans="1:26">
      <c r="A143" s="422" t="str">
        <f t="shared" si="34"/>
        <v> 5.2 </v>
      </c>
      <c r="B143" s="423" t="str">
        <f t="shared" si="35"/>
        <v> 5.2 </v>
      </c>
      <c r="C143" s="441" t="s">
        <v>444</v>
      </c>
      <c r="D143" s="442" t="s">
        <v>401</v>
      </c>
      <c r="E143" s="441" t="s">
        <v>139</v>
      </c>
      <c r="F143" s="441" t="s">
        <v>402</v>
      </c>
      <c r="G143" s="442" t="s">
        <v>393</v>
      </c>
      <c r="H143" s="443">
        <f t="shared" si="36"/>
        <v>143.14</v>
      </c>
      <c r="I143" s="443">
        <f>VLOOKUP(D143,'Orçamento Analitico'!D:L,9,FALSE())</f>
        <v>12.01</v>
      </c>
      <c r="J143" s="443">
        <f t="shared" si="37"/>
        <v>15.07</v>
      </c>
      <c r="K143" s="443">
        <f t="shared" si="38"/>
        <v>1719.11</v>
      </c>
      <c r="L143" s="443">
        <f t="shared" si="39"/>
        <v>2157.11</v>
      </c>
      <c r="M143" s="461" t="e">
        <f t="shared" si="40"/>
        <v>#N/A</v>
      </c>
      <c r="N143" s="464">
        <v>143.14</v>
      </c>
      <c r="O143" s="465"/>
      <c r="P143" s="465"/>
      <c r="Q143" s="465"/>
      <c r="R143" s="465"/>
      <c r="S143" s="465"/>
      <c r="T143" s="465"/>
      <c r="U143" s="479"/>
      <c r="V143" s="422"/>
      <c r="W143" s="422"/>
      <c r="X143" s="422"/>
      <c r="Y143" s="422"/>
      <c r="Z143" s="422"/>
    </row>
    <row r="144" ht="12.75" customHeight="1" spans="1:26">
      <c r="A144" s="422" t="str">
        <f t="shared" si="34"/>
        <v> 5.2 </v>
      </c>
      <c r="B144" s="423" t="str">
        <f t="shared" si="35"/>
        <v> 5.2 </v>
      </c>
      <c r="C144" s="441" t="s">
        <v>445</v>
      </c>
      <c r="D144" s="442" t="s">
        <v>446</v>
      </c>
      <c r="E144" s="441" t="s">
        <v>139</v>
      </c>
      <c r="F144" s="441" t="s">
        <v>447</v>
      </c>
      <c r="G144" s="442" t="s">
        <v>279</v>
      </c>
      <c r="H144" s="443">
        <f t="shared" si="36"/>
        <v>12.9</v>
      </c>
      <c r="I144" s="443">
        <f>VLOOKUP(D144,'Orçamento Analitico'!D:L,9,FALSE())</f>
        <v>623.59</v>
      </c>
      <c r="J144" s="443">
        <f t="shared" si="37"/>
        <v>782.54</v>
      </c>
      <c r="K144" s="443">
        <f t="shared" si="38"/>
        <v>8044.31</v>
      </c>
      <c r="L144" s="443">
        <f t="shared" si="39"/>
        <v>10094.76</v>
      </c>
      <c r="M144" s="461" t="e">
        <f t="shared" si="40"/>
        <v>#N/A</v>
      </c>
      <c r="N144" s="464">
        <v>12.9</v>
      </c>
      <c r="O144" s="465"/>
      <c r="P144" s="465"/>
      <c r="Q144" s="465"/>
      <c r="R144" s="465"/>
      <c r="S144" s="465"/>
      <c r="T144" s="465"/>
      <c r="U144" s="479"/>
      <c r="V144" s="422"/>
      <c r="W144" s="422"/>
      <c r="X144" s="422"/>
      <c r="Y144" s="422"/>
      <c r="Z144" s="422"/>
    </row>
    <row r="145" ht="50.25" customHeight="1" spans="1:26">
      <c r="A145" s="422" t="str">
        <f t="shared" si="34"/>
        <v> 5.2 </v>
      </c>
      <c r="B145" s="423" t="str">
        <f t="shared" si="35"/>
        <v> 5.2 </v>
      </c>
      <c r="C145" s="441" t="s">
        <v>448</v>
      </c>
      <c r="D145" s="442" t="s">
        <v>449</v>
      </c>
      <c r="E145" s="441" t="s">
        <v>139</v>
      </c>
      <c r="F145" s="441" t="s">
        <v>450</v>
      </c>
      <c r="G145" s="442" t="s">
        <v>141</v>
      </c>
      <c r="H145" s="443">
        <f t="shared" si="36"/>
        <v>98</v>
      </c>
      <c r="I145" s="443">
        <f>VLOOKUP(D145,'Orçamento Analitico'!D:L,9,FALSE())</f>
        <v>4.44</v>
      </c>
      <c r="J145" s="443">
        <f t="shared" si="37"/>
        <v>5.57</v>
      </c>
      <c r="K145" s="443">
        <f t="shared" si="38"/>
        <v>435.12</v>
      </c>
      <c r="L145" s="443">
        <f t="shared" si="39"/>
        <v>545.86</v>
      </c>
      <c r="M145" s="461" t="e">
        <f t="shared" si="40"/>
        <v>#N/A</v>
      </c>
      <c r="N145" s="464">
        <v>98</v>
      </c>
      <c r="O145" s="465"/>
      <c r="P145" s="465"/>
      <c r="Q145" s="465"/>
      <c r="R145" s="465"/>
      <c r="S145" s="465"/>
      <c r="T145" s="465"/>
      <c r="U145" s="479"/>
      <c r="V145" s="422"/>
      <c r="W145" s="422"/>
      <c r="X145" s="422"/>
      <c r="Y145" s="422"/>
      <c r="Z145" s="422"/>
    </row>
    <row r="146" ht="42" customHeight="1" spans="1:26">
      <c r="A146" s="422" t="str">
        <f t="shared" si="34"/>
        <v> 5.2 </v>
      </c>
      <c r="B146" s="423" t="str">
        <f t="shared" si="35"/>
        <v> 5.2 </v>
      </c>
      <c r="C146" s="441" t="s">
        <v>451</v>
      </c>
      <c r="D146" s="442" t="s">
        <v>452</v>
      </c>
      <c r="E146" s="441" t="s">
        <v>139</v>
      </c>
      <c r="F146" s="441" t="s">
        <v>453</v>
      </c>
      <c r="G146" s="442" t="s">
        <v>279</v>
      </c>
      <c r="H146" s="443">
        <f t="shared" si="36"/>
        <v>8.9</v>
      </c>
      <c r="I146" s="443">
        <f>VLOOKUP(D146,'Orçamento Analitico'!D:L,9,FALSE())</f>
        <v>771.54</v>
      </c>
      <c r="J146" s="443">
        <f t="shared" si="37"/>
        <v>968.2</v>
      </c>
      <c r="K146" s="443">
        <f t="shared" si="38"/>
        <v>6866.7</v>
      </c>
      <c r="L146" s="443">
        <f t="shared" si="39"/>
        <v>8616.98</v>
      </c>
      <c r="M146" s="461" t="e">
        <f t="shared" si="40"/>
        <v>#N/A</v>
      </c>
      <c r="N146" s="464">
        <v>8.9</v>
      </c>
      <c r="O146" s="465"/>
      <c r="P146" s="465"/>
      <c r="Q146" s="465"/>
      <c r="R146" s="465"/>
      <c r="S146" s="465"/>
      <c r="T146" s="465"/>
      <c r="U146" s="479"/>
      <c r="V146" s="422"/>
      <c r="W146" s="422"/>
      <c r="X146" s="422"/>
      <c r="Y146" s="422"/>
      <c r="Z146" s="422"/>
    </row>
    <row r="147" ht="42" customHeight="1" spans="1:26">
      <c r="A147" s="422" t="str">
        <f t="shared" si="34"/>
        <v> 5.2 </v>
      </c>
      <c r="B147" s="423" t="str">
        <f t="shared" si="35"/>
        <v> 5.2 </v>
      </c>
      <c r="C147" s="441" t="s">
        <v>454</v>
      </c>
      <c r="D147" s="442" t="s">
        <v>455</v>
      </c>
      <c r="E147" s="441" t="s">
        <v>139</v>
      </c>
      <c r="F147" s="441" t="s">
        <v>456</v>
      </c>
      <c r="G147" s="442" t="s">
        <v>393</v>
      </c>
      <c r="H147" s="443">
        <f t="shared" si="36"/>
        <v>292.92</v>
      </c>
      <c r="I147" s="443">
        <f>VLOOKUP(D147,'Orçamento Analitico'!D:L,9,FALSE())</f>
        <v>14.11</v>
      </c>
      <c r="J147" s="443">
        <f t="shared" si="37"/>
        <v>17.7</v>
      </c>
      <c r="K147" s="443">
        <f t="shared" si="38"/>
        <v>4133.1</v>
      </c>
      <c r="L147" s="443">
        <f t="shared" si="39"/>
        <v>5184.68</v>
      </c>
      <c r="M147" s="461" t="e">
        <f t="shared" si="40"/>
        <v>#N/A</v>
      </c>
      <c r="N147" s="464">
        <v>292.92</v>
      </c>
      <c r="O147" s="465"/>
      <c r="P147" s="465"/>
      <c r="Q147" s="465"/>
      <c r="R147" s="465"/>
      <c r="S147" s="465"/>
      <c r="T147" s="465"/>
      <c r="U147" s="479"/>
      <c r="V147" s="422"/>
      <c r="W147" s="422"/>
      <c r="X147" s="422"/>
      <c r="Y147" s="422"/>
      <c r="Z147" s="422"/>
    </row>
    <row r="148" ht="42" customHeight="1" spans="1:26">
      <c r="A148" s="422" t="str">
        <f t="shared" si="34"/>
        <v> 5.2 </v>
      </c>
      <c r="B148" s="423" t="str">
        <f t="shared" si="35"/>
        <v> 5.2 </v>
      </c>
      <c r="C148" s="441" t="s">
        <v>457</v>
      </c>
      <c r="D148" s="442" t="s">
        <v>458</v>
      </c>
      <c r="E148" s="441" t="s">
        <v>139</v>
      </c>
      <c r="F148" s="441" t="s">
        <v>459</v>
      </c>
      <c r="G148" s="442" t="s">
        <v>393</v>
      </c>
      <c r="H148" s="443">
        <f t="shared" si="36"/>
        <v>1104.45</v>
      </c>
      <c r="I148" s="443">
        <f>VLOOKUP(D148,'Orçamento Analitico'!D:L,9,FALSE())</f>
        <v>12.99</v>
      </c>
      <c r="J148" s="443">
        <f t="shared" si="37"/>
        <v>16.3</v>
      </c>
      <c r="K148" s="443">
        <f t="shared" si="38"/>
        <v>14346.8</v>
      </c>
      <c r="L148" s="443">
        <f t="shared" si="39"/>
        <v>18002.53</v>
      </c>
      <c r="M148" s="461" t="e">
        <f t="shared" si="40"/>
        <v>#N/A</v>
      </c>
      <c r="N148" s="464">
        <v>1104.45</v>
      </c>
      <c r="O148" s="465"/>
      <c r="P148" s="465"/>
      <c r="Q148" s="465"/>
      <c r="R148" s="465"/>
      <c r="S148" s="465"/>
      <c r="T148" s="465"/>
      <c r="U148" s="479"/>
      <c r="V148" s="422"/>
      <c r="W148" s="422"/>
      <c r="X148" s="422"/>
      <c r="Y148" s="422"/>
      <c r="Z148" s="422"/>
    </row>
    <row r="149" ht="42" customHeight="1" spans="1:26">
      <c r="A149" s="422" t="str">
        <f t="shared" si="34"/>
        <v> 5.2 </v>
      </c>
      <c r="B149" s="423" t="str">
        <f t="shared" si="35"/>
        <v> 5.2 </v>
      </c>
      <c r="C149" s="441" t="s">
        <v>460</v>
      </c>
      <c r="D149" s="442" t="s">
        <v>461</v>
      </c>
      <c r="E149" s="441" t="s">
        <v>139</v>
      </c>
      <c r="F149" s="441" t="s">
        <v>462</v>
      </c>
      <c r="G149" s="442" t="s">
        <v>393</v>
      </c>
      <c r="H149" s="443">
        <f t="shared" si="36"/>
        <v>38.87</v>
      </c>
      <c r="I149" s="443">
        <f>VLOOKUP(D149,'Orçamento Analitico'!D:L,9,FALSE())</f>
        <v>11.45</v>
      </c>
      <c r="J149" s="443">
        <f t="shared" si="37"/>
        <v>14.36</v>
      </c>
      <c r="K149" s="443">
        <f t="shared" si="38"/>
        <v>445.06</v>
      </c>
      <c r="L149" s="443">
        <f t="shared" si="39"/>
        <v>558.17</v>
      </c>
      <c r="M149" s="461" t="e">
        <f t="shared" si="40"/>
        <v>#N/A</v>
      </c>
      <c r="N149" s="464">
        <v>38.87</v>
      </c>
      <c r="O149" s="465"/>
      <c r="P149" s="465"/>
      <c r="Q149" s="465"/>
      <c r="R149" s="465"/>
      <c r="S149" s="465"/>
      <c r="T149" s="465"/>
      <c r="U149" s="479"/>
      <c r="V149" s="422"/>
      <c r="W149" s="422"/>
      <c r="X149" s="422"/>
      <c r="Y149" s="422"/>
      <c r="Z149" s="422"/>
    </row>
    <row r="150" ht="42" customHeight="1" spans="1:26">
      <c r="A150" s="422" t="str">
        <f t="shared" si="34"/>
        <v> 5.2 </v>
      </c>
      <c r="B150" s="423" t="str">
        <f t="shared" si="35"/>
        <v> 5.2 </v>
      </c>
      <c r="C150" s="441" t="s">
        <v>463</v>
      </c>
      <c r="D150" s="442" t="s">
        <v>464</v>
      </c>
      <c r="E150" s="441" t="s">
        <v>139</v>
      </c>
      <c r="F150" s="441" t="s">
        <v>465</v>
      </c>
      <c r="G150" s="442" t="s">
        <v>393</v>
      </c>
      <c r="H150" s="443">
        <f t="shared" si="36"/>
        <v>38.04</v>
      </c>
      <c r="I150" s="443">
        <f>VLOOKUP(D150,'Orçamento Analitico'!D:L,9,FALSE())</f>
        <v>9.5</v>
      </c>
      <c r="J150" s="443">
        <f t="shared" si="37"/>
        <v>11.92</v>
      </c>
      <c r="K150" s="443">
        <f t="shared" si="38"/>
        <v>361.38</v>
      </c>
      <c r="L150" s="443">
        <f t="shared" si="39"/>
        <v>453.43</v>
      </c>
      <c r="M150" s="461" t="e">
        <f t="shared" si="40"/>
        <v>#N/A</v>
      </c>
      <c r="N150" s="464">
        <v>38.04</v>
      </c>
      <c r="O150" s="465"/>
      <c r="P150" s="465"/>
      <c r="Q150" s="465"/>
      <c r="R150" s="465"/>
      <c r="S150" s="465"/>
      <c r="T150" s="465"/>
      <c r="U150" s="479"/>
      <c r="V150" s="422"/>
      <c r="W150" s="422"/>
      <c r="X150" s="422"/>
      <c r="Y150" s="422"/>
      <c r="Z150" s="422"/>
    </row>
    <row r="151" ht="42" customHeight="1" spans="1:26">
      <c r="A151" s="422" t="str">
        <f t="shared" si="34"/>
        <v> 5.2 </v>
      </c>
      <c r="B151" s="423" t="str">
        <f t="shared" si="35"/>
        <v> 5.2 </v>
      </c>
      <c r="C151" s="441" t="s">
        <v>466</v>
      </c>
      <c r="D151" s="442" t="s">
        <v>467</v>
      </c>
      <c r="E151" s="441" t="s">
        <v>139</v>
      </c>
      <c r="F151" s="441" t="s">
        <v>468</v>
      </c>
      <c r="G151" s="442" t="s">
        <v>141</v>
      </c>
      <c r="H151" s="443">
        <f t="shared" si="36"/>
        <v>20.18</v>
      </c>
      <c r="I151" s="443">
        <f>VLOOKUP(D151,'Orçamento Analitico'!D:L,9,FALSE())</f>
        <v>167.18</v>
      </c>
      <c r="J151" s="443">
        <f t="shared" si="37"/>
        <v>209.79</v>
      </c>
      <c r="K151" s="443">
        <f t="shared" si="38"/>
        <v>3373.69</v>
      </c>
      <c r="L151" s="443">
        <f t="shared" si="39"/>
        <v>4233.56</v>
      </c>
      <c r="M151" s="461" t="e">
        <f t="shared" si="40"/>
        <v>#N/A</v>
      </c>
      <c r="N151" s="464">
        <v>20.18</v>
      </c>
      <c r="O151" s="465"/>
      <c r="P151" s="465"/>
      <c r="Q151" s="465"/>
      <c r="R151" s="465"/>
      <c r="S151" s="465"/>
      <c r="T151" s="465"/>
      <c r="U151" s="479"/>
      <c r="V151" s="422"/>
      <c r="W151" s="422"/>
      <c r="X151" s="422"/>
      <c r="Y151" s="422"/>
      <c r="Z151" s="422"/>
    </row>
    <row r="152" ht="42" customHeight="1" spans="1:26">
      <c r="A152" s="422" t="str">
        <f t="shared" si="34"/>
        <v> 5.2 </v>
      </c>
      <c r="B152" s="423" t="str">
        <f t="shared" si="35"/>
        <v> 5.2 </v>
      </c>
      <c r="C152" s="441" t="s">
        <v>469</v>
      </c>
      <c r="D152" s="442" t="s">
        <v>470</v>
      </c>
      <c r="E152" s="441" t="s">
        <v>139</v>
      </c>
      <c r="F152" s="441" t="s">
        <v>471</v>
      </c>
      <c r="G152" s="442" t="s">
        <v>141</v>
      </c>
      <c r="H152" s="443">
        <f t="shared" si="36"/>
        <v>48.41</v>
      </c>
      <c r="I152" s="443">
        <f>VLOOKUP(D152,'Orçamento Analitico'!D:L,9,FALSE())</f>
        <v>83.04</v>
      </c>
      <c r="J152" s="443">
        <f t="shared" si="37"/>
        <v>104.2</v>
      </c>
      <c r="K152" s="443">
        <f t="shared" si="38"/>
        <v>4019.96</v>
      </c>
      <c r="L152" s="443">
        <f t="shared" si="39"/>
        <v>5044.32</v>
      </c>
      <c r="M152" s="461" t="e">
        <f t="shared" si="40"/>
        <v>#N/A</v>
      </c>
      <c r="N152" s="464">
        <v>48.41</v>
      </c>
      <c r="O152" s="465"/>
      <c r="P152" s="465"/>
      <c r="Q152" s="465"/>
      <c r="R152" s="465"/>
      <c r="S152" s="465"/>
      <c r="T152" s="465"/>
      <c r="U152" s="479"/>
      <c r="V152" s="422"/>
      <c r="W152" s="422"/>
      <c r="X152" s="422"/>
      <c r="Y152" s="422"/>
      <c r="Z152" s="422"/>
    </row>
    <row r="153" ht="42" customHeight="1" spans="1:26">
      <c r="A153" s="422" t="str">
        <f t="shared" si="34"/>
        <v> 5.2 </v>
      </c>
      <c r="B153" s="423" t="str">
        <f t="shared" si="35"/>
        <v> 5.2 </v>
      </c>
      <c r="C153" s="441" t="s">
        <v>472</v>
      </c>
      <c r="D153" s="442" t="s">
        <v>473</v>
      </c>
      <c r="E153" s="441" t="s">
        <v>139</v>
      </c>
      <c r="F153" s="441" t="s">
        <v>474</v>
      </c>
      <c r="G153" s="442" t="s">
        <v>141</v>
      </c>
      <c r="H153" s="443">
        <f t="shared" si="36"/>
        <v>95</v>
      </c>
      <c r="I153" s="443">
        <f>VLOOKUP(D153,'Orçamento Analitico'!D:L,9,FALSE())</f>
        <v>167.61</v>
      </c>
      <c r="J153" s="443">
        <f t="shared" si="37"/>
        <v>210.33</v>
      </c>
      <c r="K153" s="443">
        <f t="shared" si="38"/>
        <v>15922.95</v>
      </c>
      <c r="L153" s="443">
        <f t="shared" si="39"/>
        <v>19981.35</v>
      </c>
      <c r="M153" s="461" t="e">
        <f t="shared" si="40"/>
        <v>#N/A</v>
      </c>
      <c r="N153" s="464">
        <v>95</v>
      </c>
      <c r="O153" s="465"/>
      <c r="P153" s="465"/>
      <c r="Q153" s="465"/>
      <c r="R153" s="465"/>
      <c r="S153" s="465"/>
      <c r="T153" s="465"/>
      <c r="U153" s="479"/>
      <c r="V153" s="422"/>
      <c r="W153" s="422"/>
      <c r="X153" s="422"/>
      <c r="Y153" s="422"/>
      <c r="Z153" s="422"/>
    </row>
    <row r="154" ht="12.75" customHeight="1" spans="1:26">
      <c r="A154" s="422"/>
      <c r="B154" s="423" t="str">
        <f>C154</f>
        <v> 5.3 </v>
      </c>
      <c r="C154" s="444" t="s">
        <v>475</v>
      </c>
      <c r="D154" s="445" t="s">
        <v>74</v>
      </c>
      <c r="E154" s="444"/>
      <c r="F154" s="444" t="s">
        <v>385</v>
      </c>
      <c r="G154" s="445"/>
      <c r="H154" s="446"/>
      <c r="I154" s="446"/>
      <c r="J154" s="466"/>
      <c r="K154" s="466">
        <f>SUMIF(A:A,B154,K:K)</f>
        <v>22071.48</v>
      </c>
      <c r="L154" s="466">
        <f>SUMIF(A:A,C154,L:L)</f>
        <v>27694.32</v>
      </c>
      <c r="M154" s="467" t="e">
        <f t="shared" si="40"/>
        <v>#N/A</v>
      </c>
      <c r="N154" s="464"/>
      <c r="O154" s="465"/>
      <c r="P154" s="465"/>
      <c r="Q154" s="465"/>
      <c r="R154" s="465"/>
      <c r="S154" s="465"/>
      <c r="T154" s="465"/>
      <c r="U154" s="479"/>
      <c r="V154" s="422"/>
      <c r="W154" s="422"/>
      <c r="X154" s="422"/>
      <c r="Y154" s="422"/>
      <c r="Z154" s="422"/>
    </row>
    <row r="155" ht="35.25" customHeight="1" spans="1:26">
      <c r="A155" s="422" t="str">
        <f t="shared" ref="A155:A168" si="41">B155</f>
        <v> 5.3 </v>
      </c>
      <c r="B155" s="423" t="str">
        <f t="shared" ref="B155:B168" si="42">B154</f>
        <v> 5.3 </v>
      </c>
      <c r="C155" s="441" t="s">
        <v>476</v>
      </c>
      <c r="D155" s="442" t="s">
        <v>426</v>
      </c>
      <c r="E155" s="441" t="s">
        <v>139</v>
      </c>
      <c r="F155" s="441" t="s">
        <v>427</v>
      </c>
      <c r="G155" s="442" t="s">
        <v>279</v>
      </c>
      <c r="H155" s="443">
        <f t="shared" ref="H155:H168" si="43">N155</f>
        <v>2.2</v>
      </c>
      <c r="I155" s="443">
        <f>VLOOKUP(D155,'Orçamento Analitico'!D:L,9,FALSE())</f>
        <v>756.52</v>
      </c>
      <c r="J155" s="443">
        <f t="shared" ref="J155:J168" si="44">ROUNDDOWN(I155*(1+$G$6),2)</f>
        <v>949.35</v>
      </c>
      <c r="K155" s="443">
        <f t="shared" ref="K155:K168" si="45">ROUNDDOWN(H155*I155,2)</f>
        <v>1664.34</v>
      </c>
      <c r="L155" s="443">
        <f t="shared" ref="L155:L168" si="46">ROUNDDOWN(H155*J155,2)</f>
        <v>2088.57</v>
      </c>
      <c r="M155" s="461" t="e">
        <f t="shared" si="40"/>
        <v>#N/A</v>
      </c>
      <c r="N155" s="464">
        <v>2.2</v>
      </c>
      <c r="O155" s="465"/>
      <c r="P155" s="465"/>
      <c r="Q155" s="465"/>
      <c r="R155" s="465"/>
      <c r="S155" s="465"/>
      <c r="T155" s="465"/>
      <c r="U155" s="479"/>
      <c r="V155" s="422"/>
      <c r="W155" s="422"/>
      <c r="X155" s="422"/>
      <c r="Y155" s="422"/>
      <c r="Z155" s="422"/>
    </row>
    <row r="156" ht="45.75" customHeight="1" spans="1:26">
      <c r="A156" s="422" t="str">
        <f t="shared" si="41"/>
        <v> 5.3 </v>
      </c>
      <c r="B156" s="423" t="str">
        <f t="shared" si="42"/>
        <v> 5.3 </v>
      </c>
      <c r="C156" s="441" t="s">
        <v>477</v>
      </c>
      <c r="D156" s="442" t="s">
        <v>429</v>
      </c>
      <c r="E156" s="441" t="s">
        <v>139</v>
      </c>
      <c r="F156" s="441" t="s">
        <v>430</v>
      </c>
      <c r="G156" s="442" t="s">
        <v>279</v>
      </c>
      <c r="H156" s="443">
        <f t="shared" si="43"/>
        <v>1.46</v>
      </c>
      <c r="I156" s="443">
        <f>VLOOKUP(D156,'Orçamento Analitico'!D:L,9,FALSE())</f>
        <v>719.07</v>
      </c>
      <c r="J156" s="443">
        <f t="shared" si="44"/>
        <v>902.36</v>
      </c>
      <c r="K156" s="443">
        <f t="shared" si="45"/>
        <v>1049.84</v>
      </c>
      <c r="L156" s="443">
        <f t="shared" si="46"/>
        <v>1317.44</v>
      </c>
      <c r="M156" s="461" t="e">
        <f t="shared" si="40"/>
        <v>#N/A</v>
      </c>
      <c r="N156" s="464">
        <v>1.46</v>
      </c>
      <c r="O156" s="465"/>
      <c r="P156" s="465"/>
      <c r="Q156" s="465"/>
      <c r="R156" s="465"/>
      <c r="S156" s="465"/>
      <c r="T156" s="465"/>
      <c r="U156" s="479"/>
      <c r="V156" s="422"/>
      <c r="W156" s="422"/>
      <c r="X156" s="422"/>
      <c r="Y156" s="422"/>
      <c r="Z156" s="422"/>
    </row>
    <row r="157" ht="35.25" customHeight="1" spans="1:26">
      <c r="A157" s="422" t="str">
        <f t="shared" si="41"/>
        <v> 5.3 </v>
      </c>
      <c r="B157" s="423" t="str">
        <f t="shared" si="42"/>
        <v> 5.3 </v>
      </c>
      <c r="C157" s="441" t="s">
        <v>478</v>
      </c>
      <c r="D157" s="442" t="s">
        <v>413</v>
      </c>
      <c r="E157" s="441" t="s">
        <v>139</v>
      </c>
      <c r="F157" s="441" t="s">
        <v>414</v>
      </c>
      <c r="G157" s="442" t="s">
        <v>279</v>
      </c>
      <c r="H157" s="443">
        <f t="shared" si="43"/>
        <v>4.77</v>
      </c>
      <c r="I157" s="443">
        <f>VLOOKUP(D157,'Orçamento Analitico'!D:L,9,FALSE())</f>
        <v>852.23</v>
      </c>
      <c r="J157" s="443">
        <f t="shared" si="44"/>
        <v>1069.46</v>
      </c>
      <c r="K157" s="443">
        <f t="shared" si="45"/>
        <v>4065.13</v>
      </c>
      <c r="L157" s="443">
        <f t="shared" si="46"/>
        <v>5101.32</v>
      </c>
      <c r="M157" s="461" t="e">
        <f t="shared" si="40"/>
        <v>#N/A</v>
      </c>
      <c r="N157" s="464">
        <v>4.77</v>
      </c>
      <c r="O157" s="465"/>
      <c r="P157" s="465"/>
      <c r="Q157" s="465"/>
      <c r="R157" s="465"/>
      <c r="S157" s="465"/>
      <c r="T157" s="465"/>
      <c r="U157" s="479"/>
      <c r="V157" s="422"/>
      <c r="W157" s="422"/>
      <c r="X157" s="422"/>
      <c r="Y157" s="422"/>
      <c r="Z157" s="422"/>
    </row>
    <row r="158" ht="35.25" customHeight="1" spans="1:26">
      <c r="A158" s="422" t="str">
        <f t="shared" si="41"/>
        <v> 5.3 </v>
      </c>
      <c r="B158" s="423" t="str">
        <f t="shared" si="42"/>
        <v> 5.3 </v>
      </c>
      <c r="C158" s="441" t="s">
        <v>479</v>
      </c>
      <c r="D158" s="442" t="s">
        <v>433</v>
      </c>
      <c r="E158" s="441" t="s">
        <v>139</v>
      </c>
      <c r="F158" s="441" t="s">
        <v>434</v>
      </c>
      <c r="G158" s="442" t="s">
        <v>141</v>
      </c>
      <c r="H158" s="443">
        <f t="shared" si="43"/>
        <v>47.7</v>
      </c>
      <c r="I158" s="443">
        <f>VLOOKUP(D158,'Orçamento Analitico'!D:L,9,FALSE())</f>
        <v>2.71</v>
      </c>
      <c r="J158" s="443">
        <f t="shared" si="44"/>
        <v>3.4</v>
      </c>
      <c r="K158" s="443">
        <f t="shared" si="45"/>
        <v>129.26</v>
      </c>
      <c r="L158" s="443">
        <f t="shared" si="46"/>
        <v>162.18</v>
      </c>
      <c r="M158" s="461" t="e">
        <f t="shared" si="40"/>
        <v>#N/A</v>
      </c>
      <c r="N158" s="464">
        <v>47.7</v>
      </c>
      <c r="O158" s="465"/>
      <c r="P158" s="465"/>
      <c r="Q158" s="465"/>
      <c r="R158" s="465"/>
      <c r="S158" s="465"/>
      <c r="T158" s="465"/>
      <c r="U158" s="479"/>
      <c r="V158" s="422"/>
      <c r="W158" s="422"/>
      <c r="X158" s="422"/>
      <c r="Y158" s="422"/>
      <c r="Z158" s="422"/>
    </row>
    <row r="159" ht="35.25" customHeight="1" spans="1:26">
      <c r="A159" s="422" t="str">
        <f t="shared" si="41"/>
        <v> 5.3 </v>
      </c>
      <c r="B159" s="423" t="str">
        <f t="shared" si="42"/>
        <v> 5.3 </v>
      </c>
      <c r="C159" s="441" t="s">
        <v>480</v>
      </c>
      <c r="D159" s="442" t="s">
        <v>436</v>
      </c>
      <c r="E159" s="441" t="s">
        <v>139</v>
      </c>
      <c r="F159" s="441" t="s">
        <v>437</v>
      </c>
      <c r="G159" s="442" t="s">
        <v>393</v>
      </c>
      <c r="H159" s="443">
        <f t="shared" si="43"/>
        <v>21.64</v>
      </c>
      <c r="I159" s="443">
        <f>VLOOKUP(D159,'Orçamento Analitico'!D:L,9,FALSE())</f>
        <v>19.57</v>
      </c>
      <c r="J159" s="443">
        <f t="shared" si="44"/>
        <v>24.55</v>
      </c>
      <c r="K159" s="443">
        <f t="shared" si="45"/>
        <v>423.49</v>
      </c>
      <c r="L159" s="443">
        <f t="shared" si="46"/>
        <v>531.26</v>
      </c>
      <c r="M159" s="461" t="e">
        <f t="shared" si="40"/>
        <v>#N/A</v>
      </c>
      <c r="N159" s="464">
        <v>21.64</v>
      </c>
      <c r="O159" s="465"/>
      <c r="P159" s="465"/>
      <c r="Q159" s="465"/>
      <c r="R159" s="465"/>
      <c r="S159" s="465"/>
      <c r="T159" s="465"/>
      <c r="U159" s="479"/>
      <c r="V159" s="422"/>
      <c r="W159" s="422"/>
      <c r="X159" s="422"/>
      <c r="Y159" s="422"/>
      <c r="Z159" s="422"/>
    </row>
    <row r="160" ht="35.25" customHeight="1" spans="1:26">
      <c r="A160" s="422" t="str">
        <f t="shared" si="41"/>
        <v> 5.3 </v>
      </c>
      <c r="B160" s="423" t="str">
        <f t="shared" si="42"/>
        <v> 5.3 </v>
      </c>
      <c r="C160" s="441" t="s">
        <v>481</v>
      </c>
      <c r="D160" s="442" t="s">
        <v>439</v>
      </c>
      <c r="E160" s="441" t="s">
        <v>139</v>
      </c>
      <c r="F160" s="441" t="s">
        <v>440</v>
      </c>
      <c r="G160" s="442" t="s">
        <v>393</v>
      </c>
      <c r="H160" s="443">
        <f t="shared" si="43"/>
        <v>50.81</v>
      </c>
      <c r="I160" s="443">
        <f>VLOOKUP(D160,'Orçamento Analitico'!D:L,9,FALSE())</f>
        <v>16.14</v>
      </c>
      <c r="J160" s="443">
        <f t="shared" si="44"/>
        <v>20.25</v>
      </c>
      <c r="K160" s="443">
        <f t="shared" si="45"/>
        <v>820.07</v>
      </c>
      <c r="L160" s="443">
        <f t="shared" si="46"/>
        <v>1028.9</v>
      </c>
      <c r="M160" s="461" t="e">
        <f t="shared" si="40"/>
        <v>#N/A</v>
      </c>
      <c r="N160" s="464">
        <v>50.81</v>
      </c>
      <c r="O160" s="465"/>
      <c r="P160" s="465"/>
      <c r="Q160" s="465"/>
      <c r="R160" s="465"/>
      <c r="S160" s="465"/>
      <c r="T160" s="465"/>
      <c r="U160" s="479"/>
      <c r="V160" s="422"/>
      <c r="W160" s="422"/>
      <c r="X160" s="422"/>
      <c r="Y160" s="422"/>
      <c r="Z160" s="422"/>
    </row>
    <row r="161" ht="35.25" customHeight="1" spans="1:26">
      <c r="A161" s="422" t="str">
        <f t="shared" si="41"/>
        <v> 5.3 </v>
      </c>
      <c r="B161" s="423" t="str">
        <f t="shared" si="42"/>
        <v> 5.3 </v>
      </c>
      <c r="C161" s="441" t="s">
        <v>482</v>
      </c>
      <c r="D161" s="442" t="s">
        <v>442</v>
      </c>
      <c r="E161" s="441" t="s">
        <v>139</v>
      </c>
      <c r="F161" s="441" t="s">
        <v>443</v>
      </c>
      <c r="G161" s="442" t="s">
        <v>393</v>
      </c>
      <c r="H161" s="443">
        <f t="shared" si="43"/>
        <v>109.16</v>
      </c>
      <c r="I161" s="443">
        <f>VLOOKUP(D161,'Orçamento Analitico'!D:L,9,FALSE())</f>
        <v>14.25</v>
      </c>
      <c r="J161" s="443">
        <f t="shared" si="44"/>
        <v>17.88</v>
      </c>
      <c r="K161" s="443">
        <f t="shared" si="45"/>
        <v>1555.53</v>
      </c>
      <c r="L161" s="443">
        <f t="shared" si="46"/>
        <v>1951.78</v>
      </c>
      <c r="M161" s="461" t="e">
        <f t="shared" si="40"/>
        <v>#N/A</v>
      </c>
      <c r="N161" s="464">
        <v>109.16</v>
      </c>
      <c r="O161" s="465"/>
      <c r="P161" s="465"/>
      <c r="Q161" s="465"/>
      <c r="R161" s="465"/>
      <c r="S161" s="465"/>
      <c r="T161" s="465"/>
      <c r="U161" s="479"/>
      <c r="V161" s="422"/>
      <c r="W161" s="422"/>
      <c r="X161" s="422"/>
      <c r="Y161" s="422"/>
      <c r="Z161" s="422"/>
    </row>
    <row r="162" ht="35.25" customHeight="1" spans="1:26">
      <c r="A162" s="422" t="str">
        <f t="shared" si="41"/>
        <v> 5.3 </v>
      </c>
      <c r="B162" s="423" t="str">
        <f t="shared" si="42"/>
        <v> 5.3 </v>
      </c>
      <c r="C162" s="441" t="s">
        <v>483</v>
      </c>
      <c r="D162" s="442" t="s">
        <v>401</v>
      </c>
      <c r="E162" s="441" t="s">
        <v>139</v>
      </c>
      <c r="F162" s="441" t="s">
        <v>402</v>
      </c>
      <c r="G162" s="442" t="s">
        <v>393</v>
      </c>
      <c r="H162" s="443">
        <f t="shared" si="43"/>
        <v>26.19</v>
      </c>
      <c r="I162" s="443">
        <f>VLOOKUP(D162,'Orçamento Analitico'!D:L,9,FALSE())</f>
        <v>12.01</v>
      </c>
      <c r="J162" s="443">
        <f t="shared" si="44"/>
        <v>15.07</v>
      </c>
      <c r="K162" s="443">
        <f t="shared" si="45"/>
        <v>314.54</v>
      </c>
      <c r="L162" s="443">
        <f t="shared" si="46"/>
        <v>394.68</v>
      </c>
      <c r="M162" s="461" t="e">
        <f t="shared" si="40"/>
        <v>#N/A</v>
      </c>
      <c r="N162" s="464">
        <v>26.19</v>
      </c>
      <c r="O162" s="465"/>
      <c r="P162" s="465"/>
      <c r="Q162" s="465"/>
      <c r="R162" s="465"/>
      <c r="S162" s="465"/>
      <c r="T162" s="465"/>
      <c r="U162" s="479"/>
      <c r="V162" s="422"/>
      <c r="W162" s="422"/>
      <c r="X162" s="422"/>
      <c r="Y162" s="422"/>
      <c r="Z162" s="422"/>
    </row>
    <row r="163" ht="12.75" customHeight="1" spans="1:26">
      <c r="A163" s="422" t="str">
        <f t="shared" si="41"/>
        <v> 5.3 </v>
      </c>
      <c r="B163" s="423" t="str">
        <f t="shared" si="42"/>
        <v> 5.3 </v>
      </c>
      <c r="C163" s="441" t="s">
        <v>484</v>
      </c>
      <c r="D163" s="442" t="s">
        <v>446</v>
      </c>
      <c r="E163" s="441" t="s">
        <v>139</v>
      </c>
      <c r="F163" s="441" t="s">
        <v>447</v>
      </c>
      <c r="G163" s="442" t="s">
        <v>279</v>
      </c>
      <c r="H163" s="443">
        <f t="shared" si="43"/>
        <v>3.43</v>
      </c>
      <c r="I163" s="443">
        <f>VLOOKUP(D163,'Orçamento Analitico'!D:L,9,FALSE())</f>
        <v>623.59</v>
      </c>
      <c r="J163" s="443">
        <f t="shared" si="44"/>
        <v>782.54</v>
      </c>
      <c r="K163" s="443">
        <f t="shared" si="45"/>
        <v>2138.91</v>
      </c>
      <c r="L163" s="443">
        <f t="shared" si="46"/>
        <v>2684.11</v>
      </c>
      <c r="M163" s="461" t="e">
        <f t="shared" si="40"/>
        <v>#N/A</v>
      </c>
      <c r="N163" s="464">
        <v>3.43</v>
      </c>
      <c r="O163" s="465"/>
      <c r="P163" s="465"/>
      <c r="Q163" s="465"/>
      <c r="R163" s="465"/>
      <c r="S163" s="465"/>
      <c r="T163" s="465"/>
      <c r="U163" s="479"/>
      <c r="V163" s="422"/>
      <c r="W163" s="422"/>
      <c r="X163" s="422"/>
      <c r="Y163" s="422"/>
      <c r="Z163" s="422"/>
    </row>
    <row r="164" ht="50.25" customHeight="1" spans="1:26">
      <c r="A164" s="422" t="str">
        <f t="shared" si="41"/>
        <v> 5.3 </v>
      </c>
      <c r="B164" s="423" t="str">
        <f t="shared" si="42"/>
        <v> 5.3 </v>
      </c>
      <c r="C164" s="441" t="s">
        <v>485</v>
      </c>
      <c r="D164" s="442" t="s">
        <v>449</v>
      </c>
      <c r="E164" s="441" t="s">
        <v>139</v>
      </c>
      <c r="F164" s="441" t="s">
        <v>450</v>
      </c>
      <c r="G164" s="442" t="s">
        <v>141</v>
      </c>
      <c r="H164" s="443">
        <f t="shared" si="43"/>
        <v>29.35</v>
      </c>
      <c r="I164" s="443">
        <f>VLOOKUP(D164,'Orçamento Analitico'!D:L,9,FALSE())</f>
        <v>4.44</v>
      </c>
      <c r="J164" s="443">
        <f t="shared" si="44"/>
        <v>5.57</v>
      </c>
      <c r="K164" s="443">
        <f t="shared" si="45"/>
        <v>130.31</v>
      </c>
      <c r="L164" s="443">
        <f t="shared" si="46"/>
        <v>163.47</v>
      </c>
      <c r="M164" s="461" t="e">
        <f t="shared" si="40"/>
        <v>#N/A</v>
      </c>
      <c r="N164" s="464">
        <v>29.35</v>
      </c>
      <c r="O164" s="465"/>
      <c r="P164" s="465"/>
      <c r="Q164" s="465"/>
      <c r="R164" s="465"/>
      <c r="S164" s="465"/>
      <c r="T164" s="465"/>
      <c r="U164" s="479"/>
      <c r="V164" s="422"/>
      <c r="W164" s="422"/>
      <c r="X164" s="422"/>
      <c r="Y164" s="422"/>
      <c r="Z164" s="422"/>
    </row>
    <row r="165" ht="36" customHeight="1" spans="1:26">
      <c r="A165" s="422" t="str">
        <f t="shared" si="41"/>
        <v> 5.3 </v>
      </c>
      <c r="B165" s="423" t="str">
        <f t="shared" si="42"/>
        <v> 5.3 </v>
      </c>
      <c r="C165" s="441" t="s">
        <v>486</v>
      </c>
      <c r="D165" s="442" t="s">
        <v>452</v>
      </c>
      <c r="E165" s="441" t="s">
        <v>139</v>
      </c>
      <c r="F165" s="441" t="s">
        <v>453</v>
      </c>
      <c r="G165" s="442" t="s">
        <v>279</v>
      </c>
      <c r="H165" s="443">
        <f t="shared" si="43"/>
        <v>2.85</v>
      </c>
      <c r="I165" s="443">
        <f>VLOOKUP(D165,'Orçamento Analitico'!D:L,9,FALSE())</f>
        <v>771.54</v>
      </c>
      <c r="J165" s="443">
        <f t="shared" si="44"/>
        <v>968.2</v>
      </c>
      <c r="K165" s="443">
        <f t="shared" si="45"/>
        <v>2198.88</v>
      </c>
      <c r="L165" s="443">
        <f t="shared" si="46"/>
        <v>2759.37</v>
      </c>
      <c r="M165" s="461" t="e">
        <f t="shared" si="40"/>
        <v>#N/A</v>
      </c>
      <c r="N165" s="464">
        <v>2.85</v>
      </c>
      <c r="O165" s="465"/>
      <c r="P165" s="465"/>
      <c r="Q165" s="465"/>
      <c r="R165" s="465"/>
      <c r="S165" s="465"/>
      <c r="T165" s="465"/>
      <c r="U165" s="479"/>
      <c r="V165" s="422"/>
      <c r="W165" s="422"/>
      <c r="X165" s="422"/>
      <c r="Y165" s="422"/>
      <c r="Z165" s="422"/>
    </row>
    <row r="166" ht="36" customHeight="1" spans="1:26">
      <c r="A166" s="422" t="str">
        <f t="shared" si="41"/>
        <v> 5.3 </v>
      </c>
      <c r="B166" s="423" t="str">
        <f t="shared" si="42"/>
        <v> 5.3 </v>
      </c>
      <c r="C166" s="441" t="s">
        <v>487</v>
      </c>
      <c r="D166" s="442" t="s">
        <v>461</v>
      </c>
      <c r="E166" s="441" t="s">
        <v>139</v>
      </c>
      <c r="F166" s="441" t="s">
        <v>462</v>
      </c>
      <c r="G166" s="442" t="s">
        <v>393</v>
      </c>
      <c r="H166" s="443">
        <f t="shared" si="43"/>
        <v>248.6</v>
      </c>
      <c r="I166" s="443">
        <f>VLOOKUP(D166,'Orçamento Analitico'!D:L,9,FALSE())</f>
        <v>11.45</v>
      </c>
      <c r="J166" s="443">
        <f t="shared" si="44"/>
        <v>14.36</v>
      </c>
      <c r="K166" s="443">
        <f t="shared" si="45"/>
        <v>2846.47</v>
      </c>
      <c r="L166" s="443">
        <f t="shared" si="46"/>
        <v>3569.89</v>
      </c>
      <c r="M166" s="461" t="e">
        <f t="shared" si="40"/>
        <v>#N/A</v>
      </c>
      <c r="N166" s="464">
        <v>248.6</v>
      </c>
      <c r="O166" s="465"/>
      <c r="P166" s="465"/>
      <c r="Q166" s="465"/>
      <c r="R166" s="465"/>
      <c r="S166" s="465"/>
      <c r="T166" s="465"/>
      <c r="U166" s="479"/>
      <c r="V166" s="422"/>
      <c r="W166" s="422"/>
      <c r="X166" s="422"/>
      <c r="Y166" s="422"/>
      <c r="Z166" s="422"/>
    </row>
    <row r="167" ht="36" customHeight="1" spans="1:26">
      <c r="A167" s="422" t="str">
        <f t="shared" si="41"/>
        <v> 5.3 </v>
      </c>
      <c r="B167" s="423" t="str">
        <f t="shared" si="42"/>
        <v> 5.3 </v>
      </c>
      <c r="C167" s="441" t="s">
        <v>488</v>
      </c>
      <c r="D167" s="442" t="s">
        <v>467</v>
      </c>
      <c r="E167" s="441" t="s">
        <v>139</v>
      </c>
      <c r="F167" s="441" t="s">
        <v>468</v>
      </c>
      <c r="G167" s="442" t="s">
        <v>141</v>
      </c>
      <c r="H167" s="443">
        <f t="shared" si="43"/>
        <v>16.4</v>
      </c>
      <c r="I167" s="443">
        <f>VLOOKUP(D167,'Orçamento Analitico'!D:L,9,FALSE())</f>
        <v>167.18</v>
      </c>
      <c r="J167" s="443">
        <f t="shared" si="44"/>
        <v>209.79</v>
      </c>
      <c r="K167" s="443">
        <f t="shared" si="45"/>
        <v>2741.75</v>
      </c>
      <c r="L167" s="443">
        <f t="shared" si="46"/>
        <v>3440.55</v>
      </c>
      <c r="M167" s="461" t="e">
        <f t="shared" si="40"/>
        <v>#N/A</v>
      </c>
      <c r="N167" s="464">
        <v>16.4</v>
      </c>
      <c r="O167" s="465"/>
      <c r="P167" s="465"/>
      <c r="Q167" s="465"/>
      <c r="R167" s="465"/>
      <c r="S167" s="465"/>
      <c r="T167" s="465"/>
      <c r="U167" s="479"/>
      <c r="V167" s="422"/>
      <c r="W167" s="422"/>
      <c r="X167" s="422"/>
      <c r="Y167" s="422"/>
      <c r="Z167" s="422"/>
    </row>
    <row r="168" ht="36" customHeight="1" spans="1:26">
      <c r="A168" s="422" t="str">
        <f t="shared" si="41"/>
        <v> 5.3 </v>
      </c>
      <c r="B168" s="423" t="str">
        <f t="shared" si="42"/>
        <v> 5.3 </v>
      </c>
      <c r="C168" s="441" t="s">
        <v>489</v>
      </c>
      <c r="D168" s="442" t="s">
        <v>470</v>
      </c>
      <c r="E168" s="441" t="s">
        <v>139</v>
      </c>
      <c r="F168" s="441" t="s">
        <v>471</v>
      </c>
      <c r="G168" s="442" t="s">
        <v>141</v>
      </c>
      <c r="H168" s="443">
        <f t="shared" si="43"/>
        <v>24</v>
      </c>
      <c r="I168" s="443">
        <f>VLOOKUP(D168,'Orçamento Analitico'!D:L,9,FALSE())</f>
        <v>83.04</v>
      </c>
      <c r="J168" s="443">
        <f t="shared" si="44"/>
        <v>104.2</v>
      </c>
      <c r="K168" s="443">
        <f t="shared" si="45"/>
        <v>1992.96</v>
      </c>
      <c r="L168" s="443">
        <f t="shared" si="46"/>
        <v>2500.8</v>
      </c>
      <c r="M168" s="461" t="e">
        <f t="shared" si="40"/>
        <v>#N/A</v>
      </c>
      <c r="N168" s="464">
        <v>24</v>
      </c>
      <c r="O168" s="465"/>
      <c r="P168" s="465"/>
      <c r="Q168" s="465"/>
      <c r="R168" s="465"/>
      <c r="S168" s="465"/>
      <c r="T168" s="465"/>
      <c r="U168" s="479"/>
      <c r="V168" s="422"/>
      <c r="W168" s="422"/>
      <c r="X168" s="422"/>
      <c r="Y168" s="422"/>
      <c r="Z168" s="422"/>
    </row>
    <row r="169" ht="12.75" customHeight="1" spans="1:26">
      <c r="A169" s="422"/>
      <c r="B169" s="423" t="str">
        <f>C169</f>
        <v> 6 </v>
      </c>
      <c r="C169" s="438" t="s">
        <v>28</v>
      </c>
      <c r="D169" s="439" t="s">
        <v>74</v>
      </c>
      <c r="E169" s="438"/>
      <c r="F169" s="438" t="s">
        <v>29</v>
      </c>
      <c r="G169" s="439"/>
      <c r="H169" s="440"/>
      <c r="I169" s="440"/>
      <c r="J169" s="440"/>
      <c r="K169" s="440">
        <f>SUM(K170,K187,K199)</f>
        <v>429432.49</v>
      </c>
      <c r="L169" s="440">
        <f>SUM(L170,L187,L199)</f>
        <v>538800.04</v>
      </c>
      <c r="M169" s="458" t="e">
        <f t="shared" si="40"/>
        <v>#N/A</v>
      </c>
      <c r="N169" s="464"/>
      <c r="O169" s="465"/>
      <c r="P169" s="465"/>
      <c r="Q169" s="465"/>
      <c r="R169" s="465"/>
      <c r="S169" s="465"/>
      <c r="T169" s="465"/>
      <c r="U169" s="479"/>
      <c r="V169" s="422"/>
      <c r="W169" s="422"/>
      <c r="X169" s="422"/>
      <c r="Y169" s="422"/>
      <c r="Z169" s="422"/>
    </row>
    <row r="170" ht="12.75" customHeight="1" spans="1:26">
      <c r="A170" s="422"/>
      <c r="B170" s="423" t="str">
        <f>C170</f>
        <v> 6.1 </v>
      </c>
      <c r="C170" s="444" t="s">
        <v>490</v>
      </c>
      <c r="D170" s="445" t="s">
        <v>74</v>
      </c>
      <c r="E170" s="444"/>
      <c r="F170" s="444" t="s">
        <v>373</v>
      </c>
      <c r="G170" s="445"/>
      <c r="H170" s="446"/>
      <c r="I170" s="446"/>
      <c r="J170" s="466"/>
      <c r="K170" s="466">
        <f>SUMIF(A:A,B170,K:K)</f>
        <v>371489.75</v>
      </c>
      <c r="L170" s="466">
        <f>SUMIF(A:A,C170,L:L)</f>
        <v>466092.73</v>
      </c>
      <c r="M170" s="467" t="e">
        <f t="shared" si="40"/>
        <v>#N/A</v>
      </c>
      <c r="N170" s="464"/>
      <c r="O170" s="465"/>
      <c r="P170" s="465"/>
      <c r="Q170" s="465"/>
      <c r="R170" s="465"/>
      <c r="S170" s="465"/>
      <c r="T170" s="465"/>
      <c r="U170" s="479"/>
      <c r="V170" s="422"/>
      <c r="W170" s="422"/>
      <c r="X170" s="422"/>
      <c r="Y170" s="422"/>
      <c r="Z170" s="422"/>
    </row>
    <row r="171" ht="12.75" customHeight="1" spans="1:26">
      <c r="A171" s="422" t="str">
        <f t="shared" ref="A171:A186" si="47">B171</f>
        <v> 6.1 </v>
      </c>
      <c r="B171" s="423" t="str">
        <f t="shared" ref="B171:B186" si="48">B170</f>
        <v> 6.1 </v>
      </c>
      <c r="C171" s="441" t="s">
        <v>491</v>
      </c>
      <c r="D171" s="442" t="s">
        <v>492</v>
      </c>
      <c r="E171" s="441" t="s">
        <v>139</v>
      </c>
      <c r="F171" s="441" t="s">
        <v>493</v>
      </c>
      <c r="G171" s="442" t="s">
        <v>393</v>
      </c>
      <c r="H171" s="443">
        <f t="shared" ref="H171:H186" si="49">N171</f>
        <v>572</v>
      </c>
      <c r="I171" s="443">
        <f>VLOOKUP(D171,'Orçamento Analitico'!D:L,9,FALSE())</f>
        <v>16.13</v>
      </c>
      <c r="J171" s="443">
        <f t="shared" ref="J171:J186" si="50">ROUNDDOWN(I171*(1+$G$6),2)</f>
        <v>20.24</v>
      </c>
      <c r="K171" s="443">
        <f t="shared" ref="K171:K186" si="51">ROUNDDOWN(H171*I171,2)</f>
        <v>9226.36</v>
      </c>
      <c r="L171" s="443">
        <f t="shared" ref="L171:L186" si="52">ROUNDDOWN(H171*J171,2)</f>
        <v>11577.28</v>
      </c>
      <c r="M171" s="461" t="e">
        <f t="shared" si="40"/>
        <v>#N/A</v>
      </c>
      <c r="N171" s="464">
        <v>572</v>
      </c>
      <c r="O171" s="465"/>
      <c r="P171" s="465"/>
      <c r="Q171" s="465"/>
      <c r="R171" s="465"/>
      <c r="S171" s="465"/>
      <c r="T171" s="465"/>
      <c r="U171" s="479"/>
      <c r="V171" s="422"/>
      <c r="W171" s="422"/>
      <c r="X171" s="422"/>
      <c r="Y171" s="422"/>
      <c r="Z171" s="422"/>
    </row>
    <row r="172" ht="12.75" customHeight="1" spans="1:26">
      <c r="A172" s="422" t="str">
        <f t="shared" si="47"/>
        <v> 6.1 </v>
      </c>
      <c r="B172" s="423" t="str">
        <f t="shared" si="48"/>
        <v> 6.1 </v>
      </c>
      <c r="C172" s="441" t="s">
        <v>494</v>
      </c>
      <c r="D172" s="442" t="s">
        <v>495</v>
      </c>
      <c r="E172" s="441" t="s">
        <v>139</v>
      </c>
      <c r="F172" s="441" t="s">
        <v>496</v>
      </c>
      <c r="G172" s="442" t="s">
        <v>393</v>
      </c>
      <c r="H172" s="443">
        <f t="shared" si="49"/>
        <v>1881</v>
      </c>
      <c r="I172" s="443">
        <f>VLOOKUP(D172,'Orçamento Analitico'!D:L,9,FALSE())</f>
        <v>14.82</v>
      </c>
      <c r="J172" s="443">
        <f t="shared" si="50"/>
        <v>18.59</v>
      </c>
      <c r="K172" s="443">
        <f t="shared" si="51"/>
        <v>27876.42</v>
      </c>
      <c r="L172" s="443">
        <f t="shared" si="52"/>
        <v>34967.79</v>
      </c>
      <c r="M172" s="461" t="e">
        <f t="shared" si="40"/>
        <v>#N/A</v>
      </c>
      <c r="N172" s="464">
        <v>1881</v>
      </c>
      <c r="O172" s="465"/>
      <c r="P172" s="465"/>
      <c r="Q172" s="465"/>
      <c r="R172" s="465"/>
      <c r="S172" s="465"/>
      <c r="T172" s="465"/>
      <c r="U172" s="479"/>
      <c r="V172" s="422"/>
      <c r="W172" s="422"/>
      <c r="X172" s="422"/>
      <c r="Y172" s="422"/>
      <c r="Z172" s="422"/>
    </row>
    <row r="173" ht="12.75" customHeight="1" spans="1:26">
      <c r="A173" s="422" t="str">
        <f t="shared" si="47"/>
        <v> 6.1 </v>
      </c>
      <c r="B173" s="423" t="str">
        <f t="shared" si="48"/>
        <v> 6.1 </v>
      </c>
      <c r="C173" s="441" t="s">
        <v>497</v>
      </c>
      <c r="D173" s="442" t="s">
        <v>498</v>
      </c>
      <c r="E173" s="441" t="s">
        <v>139</v>
      </c>
      <c r="F173" s="441" t="s">
        <v>499</v>
      </c>
      <c r="G173" s="442" t="s">
        <v>393</v>
      </c>
      <c r="H173" s="443">
        <f t="shared" si="49"/>
        <v>2387</v>
      </c>
      <c r="I173" s="443">
        <f>VLOOKUP(D173,'Orçamento Analitico'!D:L,9,FALSE())</f>
        <v>12.03</v>
      </c>
      <c r="J173" s="443">
        <f t="shared" si="50"/>
        <v>15.09</v>
      </c>
      <c r="K173" s="443">
        <f t="shared" si="51"/>
        <v>28715.61</v>
      </c>
      <c r="L173" s="443">
        <f t="shared" si="52"/>
        <v>36019.83</v>
      </c>
      <c r="M173" s="461" t="e">
        <f t="shared" si="40"/>
        <v>#N/A</v>
      </c>
      <c r="N173" s="464">
        <v>2387</v>
      </c>
      <c r="O173" s="465"/>
      <c r="P173" s="465"/>
      <c r="Q173" s="465"/>
      <c r="R173" s="465"/>
      <c r="S173" s="465"/>
      <c r="T173" s="465"/>
      <c r="U173" s="479"/>
      <c r="V173" s="422"/>
      <c r="W173" s="422"/>
      <c r="X173" s="422"/>
      <c r="Y173" s="422"/>
      <c r="Z173" s="422"/>
    </row>
    <row r="174" ht="12.75" customHeight="1" spans="1:26">
      <c r="A174" s="422" t="str">
        <f t="shared" si="47"/>
        <v> 6.1 </v>
      </c>
      <c r="B174" s="423" t="str">
        <f t="shared" si="48"/>
        <v> 6.1 </v>
      </c>
      <c r="C174" s="441" t="s">
        <v>500</v>
      </c>
      <c r="D174" s="442" t="s">
        <v>501</v>
      </c>
      <c r="E174" s="441" t="s">
        <v>139</v>
      </c>
      <c r="F174" s="441" t="s">
        <v>502</v>
      </c>
      <c r="G174" s="442" t="s">
        <v>393</v>
      </c>
      <c r="H174" s="443">
        <f t="shared" si="49"/>
        <v>794.2</v>
      </c>
      <c r="I174" s="443">
        <f>VLOOKUP(D174,'Orçamento Analitico'!D:L,9,FALSE())</f>
        <v>10.02</v>
      </c>
      <c r="J174" s="443">
        <f t="shared" si="50"/>
        <v>12.57</v>
      </c>
      <c r="K174" s="443">
        <f t="shared" si="51"/>
        <v>7957.88</v>
      </c>
      <c r="L174" s="443">
        <f t="shared" si="52"/>
        <v>9983.09</v>
      </c>
      <c r="M174" s="461" t="e">
        <f t="shared" si="40"/>
        <v>#N/A</v>
      </c>
      <c r="N174" s="464">
        <v>794.2</v>
      </c>
      <c r="O174" s="465"/>
      <c r="P174" s="465"/>
      <c r="Q174" s="465"/>
      <c r="R174" s="465"/>
      <c r="S174" s="465"/>
      <c r="T174" s="465"/>
      <c r="U174" s="479"/>
      <c r="V174" s="422"/>
      <c r="W174" s="422"/>
      <c r="X174" s="422"/>
      <c r="Y174" s="422"/>
      <c r="Z174" s="422"/>
    </row>
    <row r="175" ht="12.75" customHeight="1" spans="1:26">
      <c r="A175" s="422" t="str">
        <f t="shared" si="47"/>
        <v> 6.1 </v>
      </c>
      <c r="B175" s="423" t="str">
        <f t="shared" si="48"/>
        <v> 6.1 </v>
      </c>
      <c r="C175" s="441" t="s">
        <v>503</v>
      </c>
      <c r="D175" s="442" t="s">
        <v>504</v>
      </c>
      <c r="E175" s="441" t="s">
        <v>139</v>
      </c>
      <c r="F175" s="441" t="s">
        <v>505</v>
      </c>
      <c r="G175" s="442" t="s">
        <v>393</v>
      </c>
      <c r="H175" s="443">
        <f t="shared" si="49"/>
        <v>976.8</v>
      </c>
      <c r="I175" s="443">
        <f>VLOOKUP(D175,'Orçamento Analitico'!D:L,9,FALSE())</f>
        <v>11.12</v>
      </c>
      <c r="J175" s="443">
        <f t="shared" si="50"/>
        <v>13.95</v>
      </c>
      <c r="K175" s="443">
        <f t="shared" si="51"/>
        <v>10862.01</v>
      </c>
      <c r="L175" s="443">
        <f t="shared" si="52"/>
        <v>13626.36</v>
      </c>
      <c r="M175" s="461" t="e">
        <f t="shared" si="40"/>
        <v>#N/A</v>
      </c>
      <c r="N175" s="464">
        <v>976.8</v>
      </c>
      <c r="O175" s="465"/>
      <c r="P175" s="465"/>
      <c r="Q175" s="465"/>
      <c r="R175" s="465"/>
      <c r="S175" s="465"/>
      <c r="T175" s="465"/>
      <c r="U175" s="479"/>
      <c r="V175" s="422"/>
      <c r="W175" s="422"/>
      <c r="X175" s="422"/>
      <c r="Y175" s="422"/>
      <c r="Z175" s="422"/>
    </row>
    <row r="176" ht="39" customHeight="1" spans="1:26">
      <c r="A176" s="422" t="str">
        <f t="shared" si="47"/>
        <v> 6.1 </v>
      </c>
      <c r="B176" s="423" t="str">
        <f t="shared" si="48"/>
        <v> 6.1 </v>
      </c>
      <c r="C176" s="441" t="s">
        <v>506</v>
      </c>
      <c r="D176" s="442" t="s">
        <v>455</v>
      </c>
      <c r="E176" s="441" t="s">
        <v>139</v>
      </c>
      <c r="F176" s="441" t="s">
        <v>456</v>
      </c>
      <c r="G176" s="442" t="s">
        <v>393</v>
      </c>
      <c r="H176" s="443">
        <f t="shared" si="49"/>
        <v>2175.8</v>
      </c>
      <c r="I176" s="443">
        <f>VLOOKUP(D176,'Orçamento Analitico'!D:L,9,FALSE())</f>
        <v>14.11</v>
      </c>
      <c r="J176" s="443">
        <f t="shared" si="50"/>
        <v>17.7</v>
      </c>
      <c r="K176" s="443">
        <f t="shared" si="51"/>
        <v>30700.53</v>
      </c>
      <c r="L176" s="443">
        <f t="shared" si="52"/>
        <v>38511.66</v>
      </c>
      <c r="M176" s="461" t="e">
        <f t="shared" si="40"/>
        <v>#N/A</v>
      </c>
      <c r="N176" s="464">
        <v>2175.8</v>
      </c>
      <c r="O176" s="465"/>
      <c r="P176" s="465"/>
      <c r="Q176" s="465"/>
      <c r="R176" s="465"/>
      <c r="S176" s="465"/>
      <c r="T176" s="465"/>
      <c r="U176" s="479"/>
      <c r="V176" s="422"/>
      <c r="W176" s="422"/>
      <c r="X176" s="422"/>
      <c r="Y176" s="422"/>
      <c r="Z176" s="422"/>
    </row>
    <row r="177" ht="39" customHeight="1" spans="1:26">
      <c r="A177" s="422" t="str">
        <f t="shared" si="47"/>
        <v> 6.1 </v>
      </c>
      <c r="B177" s="423" t="str">
        <f t="shared" si="48"/>
        <v> 6.1 </v>
      </c>
      <c r="C177" s="441" t="s">
        <v>507</v>
      </c>
      <c r="D177" s="442" t="s">
        <v>458</v>
      </c>
      <c r="E177" s="441" t="s">
        <v>139</v>
      </c>
      <c r="F177" s="441" t="s">
        <v>459</v>
      </c>
      <c r="G177" s="442" t="s">
        <v>393</v>
      </c>
      <c r="H177" s="443">
        <f t="shared" si="49"/>
        <v>160.6</v>
      </c>
      <c r="I177" s="443">
        <f>VLOOKUP(D177,'Orçamento Analitico'!D:L,9,FALSE())</f>
        <v>12.99</v>
      </c>
      <c r="J177" s="443">
        <f t="shared" si="50"/>
        <v>16.3</v>
      </c>
      <c r="K177" s="443">
        <f t="shared" si="51"/>
        <v>2086.19</v>
      </c>
      <c r="L177" s="443">
        <f t="shared" si="52"/>
        <v>2617.78</v>
      </c>
      <c r="M177" s="461" t="e">
        <f t="shared" si="40"/>
        <v>#N/A</v>
      </c>
      <c r="N177" s="464">
        <v>160.6</v>
      </c>
      <c r="O177" s="465"/>
      <c r="P177" s="465"/>
      <c r="Q177" s="465"/>
      <c r="R177" s="465"/>
      <c r="S177" s="465"/>
      <c r="T177" s="465"/>
      <c r="U177" s="479"/>
      <c r="V177" s="422"/>
      <c r="W177" s="422"/>
      <c r="X177" s="422"/>
      <c r="Y177" s="422"/>
      <c r="Z177" s="422"/>
    </row>
    <row r="178" ht="50.25" customHeight="1" spans="1:26">
      <c r="A178" s="422" t="str">
        <f t="shared" si="47"/>
        <v> 6.1 </v>
      </c>
      <c r="B178" s="423" t="str">
        <f t="shared" si="48"/>
        <v> 6.1 </v>
      </c>
      <c r="C178" s="441" t="s">
        <v>508</v>
      </c>
      <c r="D178" s="442" t="s">
        <v>509</v>
      </c>
      <c r="E178" s="441" t="s">
        <v>139</v>
      </c>
      <c r="F178" s="441" t="s">
        <v>510</v>
      </c>
      <c r="G178" s="442" t="s">
        <v>141</v>
      </c>
      <c r="H178" s="443">
        <f t="shared" si="49"/>
        <v>61.56</v>
      </c>
      <c r="I178" s="443">
        <f>VLOOKUP(D178,'Orçamento Analitico'!D:L,9,FALSE())</f>
        <v>91.26</v>
      </c>
      <c r="J178" s="443">
        <f t="shared" si="50"/>
        <v>114.52</v>
      </c>
      <c r="K178" s="443">
        <f t="shared" si="51"/>
        <v>5617.96</v>
      </c>
      <c r="L178" s="443">
        <f t="shared" si="52"/>
        <v>7049.85</v>
      </c>
      <c r="M178" s="461" t="e">
        <f t="shared" si="40"/>
        <v>#N/A</v>
      </c>
      <c r="N178" s="464">
        <v>61.56</v>
      </c>
      <c r="O178" s="465"/>
      <c r="P178" s="465"/>
      <c r="Q178" s="465"/>
      <c r="R178" s="465"/>
      <c r="S178" s="465"/>
      <c r="T178" s="465"/>
      <c r="U178" s="479"/>
      <c r="V178" s="422"/>
      <c r="W178" s="422"/>
      <c r="X178" s="422"/>
      <c r="Y178" s="422"/>
      <c r="Z178" s="422"/>
    </row>
    <row r="179" ht="50.25" customHeight="1" spans="1:26">
      <c r="A179" s="422" t="str">
        <f t="shared" si="47"/>
        <v> 6.1 </v>
      </c>
      <c r="B179" s="423" t="str">
        <f t="shared" si="48"/>
        <v> 6.1 </v>
      </c>
      <c r="C179" s="441" t="s">
        <v>511</v>
      </c>
      <c r="D179" s="442" t="s">
        <v>512</v>
      </c>
      <c r="E179" s="441" t="s">
        <v>139</v>
      </c>
      <c r="F179" s="441" t="s">
        <v>513</v>
      </c>
      <c r="G179" s="442" t="s">
        <v>141</v>
      </c>
      <c r="H179" s="443">
        <f t="shared" si="49"/>
        <v>137.46</v>
      </c>
      <c r="I179" s="443">
        <f>VLOOKUP(D179,'Orçamento Analitico'!D:L,9,FALSE())</f>
        <v>139.4</v>
      </c>
      <c r="J179" s="443">
        <f t="shared" si="50"/>
        <v>174.93</v>
      </c>
      <c r="K179" s="443">
        <f t="shared" si="51"/>
        <v>19161.92</v>
      </c>
      <c r="L179" s="443">
        <f t="shared" si="52"/>
        <v>24045.87</v>
      </c>
      <c r="M179" s="461" t="e">
        <f t="shared" si="40"/>
        <v>#N/A</v>
      </c>
      <c r="N179" s="464">
        <v>137.46</v>
      </c>
      <c r="O179" s="465"/>
      <c r="P179" s="465"/>
      <c r="Q179" s="465"/>
      <c r="R179" s="465"/>
      <c r="S179" s="465"/>
      <c r="T179" s="465"/>
      <c r="U179" s="479"/>
      <c r="V179" s="422"/>
      <c r="W179" s="422"/>
      <c r="X179" s="422"/>
      <c r="Y179" s="422"/>
      <c r="Z179" s="422"/>
    </row>
    <row r="180" ht="50.25" customHeight="1" spans="1:26">
      <c r="A180" s="422" t="str">
        <f t="shared" si="47"/>
        <v> 6.1 </v>
      </c>
      <c r="B180" s="423" t="str">
        <f t="shared" si="48"/>
        <v> 6.1 </v>
      </c>
      <c r="C180" s="441" t="s">
        <v>514</v>
      </c>
      <c r="D180" s="442" t="s">
        <v>515</v>
      </c>
      <c r="E180" s="441" t="s">
        <v>139</v>
      </c>
      <c r="F180" s="441" t="s">
        <v>516</v>
      </c>
      <c r="G180" s="442" t="s">
        <v>141</v>
      </c>
      <c r="H180" s="443">
        <f t="shared" si="49"/>
        <v>143.78</v>
      </c>
      <c r="I180" s="443">
        <f>VLOOKUP(D180,'Orçamento Analitico'!D:L,9,FALSE())</f>
        <v>91.12</v>
      </c>
      <c r="J180" s="443">
        <f t="shared" si="50"/>
        <v>114.34</v>
      </c>
      <c r="K180" s="443">
        <f t="shared" si="51"/>
        <v>13101.23</v>
      </c>
      <c r="L180" s="443">
        <f t="shared" si="52"/>
        <v>16439.8</v>
      </c>
      <c r="M180" s="461" t="e">
        <f t="shared" si="40"/>
        <v>#N/A</v>
      </c>
      <c r="N180" s="464">
        <v>143.78</v>
      </c>
      <c r="O180" s="465"/>
      <c r="P180" s="465"/>
      <c r="Q180" s="465"/>
      <c r="R180" s="465"/>
      <c r="S180" s="465"/>
      <c r="T180" s="465"/>
      <c r="U180" s="479"/>
      <c r="V180" s="422"/>
      <c r="W180" s="422"/>
      <c r="X180" s="422"/>
      <c r="Y180" s="422"/>
      <c r="Z180" s="422"/>
    </row>
    <row r="181" ht="12.75" customHeight="1" spans="1:26">
      <c r="A181" s="422" t="str">
        <f t="shared" si="47"/>
        <v> 6.1 </v>
      </c>
      <c r="B181" s="423" t="str">
        <f t="shared" si="48"/>
        <v> 6.1 </v>
      </c>
      <c r="C181" s="441" t="s">
        <v>517</v>
      </c>
      <c r="D181" s="442" t="s">
        <v>518</v>
      </c>
      <c r="E181" s="441" t="s">
        <v>149</v>
      </c>
      <c r="F181" s="441" t="s">
        <v>519</v>
      </c>
      <c r="G181" s="442" t="s">
        <v>279</v>
      </c>
      <c r="H181" s="443">
        <f t="shared" si="49"/>
        <v>160.986</v>
      </c>
      <c r="I181" s="443">
        <f>VLOOKUP(D181,'Orçamento Analitico'!D:L,9,FALSE())</f>
        <v>849.64</v>
      </c>
      <c r="J181" s="443">
        <f t="shared" si="50"/>
        <v>1066.21</v>
      </c>
      <c r="K181" s="443">
        <f t="shared" si="51"/>
        <v>136780.14</v>
      </c>
      <c r="L181" s="443">
        <f t="shared" si="52"/>
        <v>171644.88</v>
      </c>
      <c r="M181" s="461" t="e">
        <f t="shared" si="40"/>
        <v>#N/A</v>
      </c>
      <c r="N181" s="464">
        <f>160.986</f>
        <v>160.986</v>
      </c>
      <c r="O181" s="465"/>
      <c r="P181" s="465"/>
      <c r="Q181" s="465"/>
      <c r="R181" s="465"/>
      <c r="S181" s="465"/>
      <c r="T181" s="465"/>
      <c r="U181" s="479"/>
      <c r="V181" s="422"/>
      <c r="W181" s="422"/>
      <c r="X181" s="422"/>
      <c r="Y181" s="422"/>
      <c r="Z181" s="422"/>
    </row>
    <row r="182" ht="37.5" customHeight="1" spans="1:26">
      <c r="A182" s="422" t="str">
        <f t="shared" si="47"/>
        <v> 6.1 </v>
      </c>
      <c r="B182" s="423" t="str">
        <f t="shared" si="48"/>
        <v> 6.1 </v>
      </c>
      <c r="C182" s="441" t="s">
        <v>520</v>
      </c>
      <c r="D182" s="442" t="s">
        <v>521</v>
      </c>
      <c r="E182" s="441" t="s">
        <v>139</v>
      </c>
      <c r="F182" s="441" t="s">
        <v>522</v>
      </c>
      <c r="G182" s="442" t="s">
        <v>279</v>
      </c>
      <c r="H182" s="443">
        <f t="shared" si="49"/>
        <v>160.986</v>
      </c>
      <c r="I182" s="443">
        <f>VLOOKUP(D182,'Orçamento Analitico'!D:L,9,FALSE())</f>
        <v>56.06</v>
      </c>
      <c r="J182" s="443">
        <f t="shared" si="50"/>
        <v>70.34</v>
      </c>
      <c r="K182" s="443">
        <f t="shared" si="51"/>
        <v>9024.87</v>
      </c>
      <c r="L182" s="443">
        <f t="shared" si="52"/>
        <v>11323.75</v>
      </c>
      <c r="M182" s="461" t="e">
        <f t="shared" si="40"/>
        <v>#N/A</v>
      </c>
      <c r="N182" s="464">
        <f>160.986</f>
        <v>160.986</v>
      </c>
      <c r="O182" s="465"/>
      <c r="P182" s="465"/>
      <c r="Q182" s="465"/>
      <c r="R182" s="465"/>
      <c r="S182" s="465"/>
      <c r="T182" s="465"/>
      <c r="U182" s="479"/>
      <c r="V182" s="422"/>
      <c r="W182" s="422"/>
      <c r="X182" s="422"/>
      <c r="Y182" s="422"/>
      <c r="Z182" s="422"/>
    </row>
    <row r="183" ht="12.75" customHeight="1" spans="1:26">
      <c r="A183" s="422" t="str">
        <f t="shared" si="47"/>
        <v> 6.1 </v>
      </c>
      <c r="B183" s="423" t="str">
        <f t="shared" si="48"/>
        <v> 6.1 </v>
      </c>
      <c r="C183" s="441" t="s">
        <v>523</v>
      </c>
      <c r="D183" s="442" t="s">
        <v>524</v>
      </c>
      <c r="E183" s="441" t="s">
        <v>77</v>
      </c>
      <c r="F183" s="441" t="s">
        <v>525</v>
      </c>
      <c r="G183" s="442" t="s">
        <v>279</v>
      </c>
      <c r="H183" s="443">
        <f t="shared" si="49"/>
        <v>179.02</v>
      </c>
      <c r="I183" s="443">
        <f>VLOOKUP(D183,'Orçamento Analitico'!D:L,9,FALSE())</f>
        <v>49.75</v>
      </c>
      <c r="J183" s="443">
        <f t="shared" si="50"/>
        <v>62.43</v>
      </c>
      <c r="K183" s="443">
        <f t="shared" si="51"/>
        <v>8906.24</v>
      </c>
      <c r="L183" s="443">
        <f t="shared" si="52"/>
        <v>11176.21</v>
      </c>
      <c r="M183" s="461" t="e">
        <f t="shared" si="40"/>
        <v>#N/A</v>
      </c>
      <c r="N183" s="464">
        <v>179.02</v>
      </c>
      <c r="O183" s="465"/>
      <c r="P183" s="465"/>
      <c r="Q183" s="465"/>
      <c r="R183" s="465"/>
      <c r="S183" s="465"/>
      <c r="T183" s="465"/>
      <c r="U183" s="479"/>
      <c r="V183" s="422"/>
      <c r="W183" s="422"/>
      <c r="X183" s="422"/>
      <c r="Y183" s="422"/>
      <c r="Z183" s="422"/>
    </row>
    <row r="184" ht="12.75" customHeight="1" spans="1:26">
      <c r="A184" s="422" t="str">
        <f t="shared" si="47"/>
        <v> 6.1 </v>
      </c>
      <c r="B184" s="423" t="str">
        <f t="shared" si="48"/>
        <v> 6.1 </v>
      </c>
      <c r="C184" s="441" t="s">
        <v>526</v>
      </c>
      <c r="D184" s="442" t="s">
        <v>527</v>
      </c>
      <c r="E184" s="441" t="s">
        <v>139</v>
      </c>
      <c r="F184" s="441" t="s">
        <v>528</v>
      </c>
      <c r="G184" s="442" t="s">
        <v>393</v>
      </c>
      <c r="H184" s="443">
        <f t="shared" si="49"/>
        <v>343.2</v>
      </c>
      <c r="I184" s="443">
        <f>VLOOKUP(D184,'Orçamento Analitico'!D:L,9,FALSE())</f>
        <v>23.65</v>
      </c>
      <c r="J184" s="443">
        <f t="shared" si="50"/>
        <v>29.67</v>
      </c>
      <c r="K184" s="443">
        <f t="shared" si="51"/>
        <v>8116.68</v>
      </c>
      <c r="L184" s="443">
        <f t="shared" si="52"/>
        <v>10182.74</v>
      </c>
      <c r="M184" s="461" t="e">
        <f t="shared" si="40"/>
        <v>#N/A</v>
      </c>
      <c r="N184" s="464">
        <v>343.2</v>
      </c>
      <c r="O184" s="465"/>
      <c r="P184" s="465"/>
      <c r="Q184" s="465"/>
      <c r="R184" s="465"/>
      <c r="S184" s="465"/>
      <c r="T184" s="465"/>
      <c r="U184" s="479"/>
      <c r="V184" s="422"/>
      <c r="W184" s="422"/>
      <c r="X184" s="422"/>
      <c r="Y184" s="422"/>
      <c r="Z184" s="422"/>
    </row>
    <row r="185" ht="12.75" customHeight="1" spans="1:26">
      <c r="A185" s="422" t="str">
        <f t="shared" si="47"/>
        <v> 6.1 </v>
      </c>
      <c r="B185" s="423" t="str">
        <f t="shared" si="48"/>
        <v> 6.1 </v>
      </c>
      <c r="C185" s="441" t="s">
        <v>529</v>
      </c>
      <c r="D185" s="442" t="s">
        <v>530</v>
      </c>
      <c r="E185" s="441" t="s">
        <v>139</v>
      </c>
      <c r="F185" s="441" t="s">
        <v>531</v>
      </c>
      <c r="G185" s="442" t="s">
        <v>393</v>
      </c>
      <c r="H185" s="443">
        <f t="shared" si="49"/>
        <v>884.4</v>
      </c>
      <c r="I185" s="443">
        <f>VLOOKUP(D185,'Orçamento Analitico'!D:L,9,FALSE())</f>
        <v>18.46</v>
      </c>
      <c r="J185" s="443">
        <f t="shared" si="50"/>
        <v>23.16</v>
      </c>
      <c r="K185" s="443">
        <f t="shared" si="51"/>
        <v>16326.02</v>
      </c>
      <c r="L185" s="443">
        <f t="shared" si="52"/>
        <v>20482.7</v>
      </c>
      <c r="M185" s="461" t="e">
        <f t="shared" si="40"/>
        <v>#N/A</v>
      </c>
      <c r="N185" s="464">
        <v>884.4</v>
      </c>
      <c r="O185" s="465"/>
      <c r="P185" s="465"/>
      <c r="Q185" s="465"/>
      <c r="R185" s="465"/>
      <c r="S185" s="465"/>
      <c r="T185" s="465"/>
      <c r="U185" s="479"/>
      <c r="V185" s="422"/>
      <c r="W185" s="422"/>
      <c r="X185" s="422"/>
      <c r="Y185" s="422"/>
      <c r="Z185" s="422"/>
    </row>
    <row r="186" ht="12.75" customHeight="1" spans="1:26">
      <c r="A186" s="422" t="str">
        <f t="shared" si="47"/>
        <v> 6.1 </v>
      </c>
      <c r="B186" s="423" t="str">
        <f t="shared" si="48"/>
        <v> 6.1 </v>
      </c>
      <c r="C186" s="441" t="s">
        <v>532</v>
      </c>
      <c r="D186" s="442" t="s">
        <v>533</v>
      </c>
      <c r="E186" s="441" t="s">
        <v>139</v>
      </c>
      <c r="F186" s="441" t="s">
        <v>534</v>
      </c>
      <c r="G186" s="442" t="s">
        <v>393</v>
      </c>
      <c r="H186" s="443">
        <f t="shared" si="49"/>
        <v>2600.4</v>
      </c>
      <c r="I186" s="443">
        <f>VLOOKUP(D186,'Orçamento Analitico'!D:L,9,FALSE())</f>
        <v>14.24</v>
      </c>
      <c r="J186" s="443">
        <f t="shared" si="50"/>
        <v>17.86</v>
      </c>
      <c r="K186" s="443">
        <f t="shared" si="51"/>
        <v>37029.69</v>
      </c>
      <c r="L186" s="443">
        <f t="shared" si="52"/>
        <v>46443.14</v>
      </c>
      <c r="M186" s="461" t="e">
        <f t="shared" si="40"/>
        <v>#N/A</v>
      </c>
      <c r="N186" s="464">
        <v>2600.4</v>
      </c>
      <c r="O186" s="465"/>
      <c r="P186" s="465"/>
      <c r="Q186" s="465"/>
      <c r="R186" s="465"/>
      <c r="S186" s="465"/>
      <c r="T186" s="465"/>
      <c r="U186" s="479"/>
      <c r="V186" s="422"/>
      <c r="W186" s="422"/>
      <c r="X186" s="422"/>
      <c r="Y186" s="422"/>
      <c r="Z186" s="422"/>
    </row>
    <row r="187" ht="12.75" customHeight="1" spans="1:26">
      <c r="A187" s="422"/>
      <c r="B187" s="423" t="str">
        <f>C187</f>
        <v> 6.2 </v>
      </c>
      <c r="C187" s="444" t="s">
        <v>535</v>
      </c>
      <c r="D187" s="445" t="s">
        <v>74</v>
      </c>
      <c r="E187" s="444"/>
      <c r="F187" s="444" t="s">
        <v>381</v>
      </c>
      <c r="G187" s="445"/>
      <c r="H187" s="446"/>
      <c r="I187" s="446"/>
      <c r="J187" s="466"/>
      <c r="K187" s="466">
        <f>SUMIF(A:A,B187,K:K)</f>
        <v>42744.85</v>
      </c>
      <c r="L187" s="466">
        <f>SUMIF(A:A,C187,L:L)</f>
        <v>53637.07</v>
      </c>
      <c r="M187" s="467" t="e">
        <f t="shared" si="40"/>
        <v>#N/A</v>
      </c>
      <c r="N187" s="464"/>
      <c r="O187" s="465"/>
      <c r="P187" s="465"/>
      <c r="Q187" s="465"/>
      <c r="R187" s="465"/>
      <c r="S187" s="465"/>
      <c r="T187" s="465"/>
      <c r="U187" s="479"/>
      <c r="V187" s="422"/>
      <c r="W187" s="422"/>
      <c r="X187" s="422"/>
      <c r="Y187" s="422"/>
      <c r="Z187" s="422"/>
    </row>
    <row r="188" ht="48" customHeight="1" spans="1:26">
      <c r="A188" s="422" t="str">
        <f t="shared" ref="A188:A198" si="53">B188</f>
        <v> 6.2 </v>
      </c>
      <c r="B188" s="423" t="str">
        <f t="shared" ref="B188:B198" si="54">B187</f>
        <v> 6.2 </v>
      </c>
      <c r="C188" s="441" t="s">
        <v>536</v>
      </c>
      <c r="D188" s="442" t="s">
        <v>537</v>
      </c>
      <c r="E188" s="441" t="s">
        <v>132</v>
      </c>
      <c r="F188" s="441" t="s">
        <v>538</v>
      </c>
      <c r="G188" s="442" t="s">
        <v>279</v>
      </c>
      <c r="H188" s="443">
        <f t="shared" ref="H188:H198" si="55">N188</f>
        <v>3.2</v>
      </c>
      <c r="I188" s="443">
        <f>VLOOKUP(D188,'Orçamento Analitico'!D:L,9,FALSE())</f>
        <v>676.58</v>
      </c>
      <c r="J188" s="443">
        <f t="shared" ref="J188:J198" si="56">ROUNDDOWN(I188*(1+$G$6),2)</f>
        <v>849.04</v>
      </c>
      <c r="K188" s="443">
        <f t="shared" ref="K188:K198" si="57">ROUNDDOWN(H188*I188,2)</f>
        <v>2165.05</v>
      </c>
      <c r="L188" s="443">
        <f t="shared" ref="L188:L198" si="58">ROUNDDOWN(H188*J188,2)</f>
        <v>2716.92</v>
      </c>
      <c r="M188" s="461" t="e">
        <f t="shared" si="40"/>
        <v>#N/A</v>
      </c>
      <c r="N188" s="464">
        <v>3.2</v>
      </c>
      <c r="O188" s="465"/>
      <c r="P188" s="465"/>
      <c r="Q188" s="465"/>
      <c r="R188" s="465"/>
      <c r="S188" s="465"/>
      <c r="T188" s="465"/>
      <c r="U188" s="479"/>
      <c r="V188" s="422"/>
      <c r="W188" s="422"/>
      <c r="X188" s="422"/>
      <c r="Y188" s="422"/>
      <c r="Z188" s="422"/>
    </row>
    <row r="189" ht="48" customHeight="1" spans="1:26">
      <c r="A189" s="422" t="str">
        <f t="shared" si="53"/>
        <v> 6.2 </v>
      </c>
      <c r="B189" s="423" t="str">
        <f t="shared" si="54"/>
        <v> 6.2 </v>
      </c>
      <c r="C189" s="441" t="s">
        <v>539</v>
      </c>
      <c r="D189" s="442" t="s">
        <v>540</v>
      </c>
      <c r="E189" s="441" t="s">
        <v>132</v>
      </c>
      <c r="F189" s="441" t="s">
        <v>541</v>
      </c>
      <c r="G189" s="442" t="s">
        <v>279</v>
      </c>
      <c r="H189" s="443">
        <f t="shared" si="55"/>
        <v>14.33</v>
      </c>
      <c r="I189" s="443">
        <f>VLOOKUP(D189,'Orçamento Analitico'!D:L,9,FALSE())</f>
        <v>677.33</v>
      </c>
      <c r="J189" s="443">
        <f t="shared" si="56"/>
        <v>849.98</v>
      </c>
      <c r="K189" s="443">
        <f t="shared" si="57"/>
        <v>9706.13</v>
      </c>
      <c r="L189" s="443">
        <f t="shared" si="58"/>
        <v>12180.21</v>
      </c>
      <c r="M189" s="461" t="e">
        <f t="shared" si="40"/>
        <v>#N/A</v>
      </c>
      <c r="N189" s="464">
        <v>14.33</v>
      </c>
      <c r="O189" s="465"/>
      <c r="P189" s="465"/>
      <c r="Q189" s="465"/>
      <c r="R189" s="465"/>
      <c r="S189" s="465"/>
      <c r="T189" s="465"/>
      <c r="U189" s="479"/>
      <c r="V189" s="422"/>
      <c r="W189" s="422"/>
      <c r="X189" s="422"/>
      <c r="Y189" s="422"/>
      <c r="Z189" s="422"/>
    </row>
    <row r="190" ht="12.75" customHeight="1" spans="1:26">
      <c r="A190" s="422" t="str">
        <f t="shared" si="53"/>
        <v> 6.2 </v>
      </c>
      <c r="B190" s="423" t="str">
        <f t="shared" si="54"/>
        <v> 6.2 </v>
      </c>
      <c r="C190" s="441" t="s">
        <v>542</v>
      </c>
      <c r="D190" s="442" t="s">
        <v>492</v>
      </c>
      <c r="E190" s="441" t="s">
        <v>139</v>
      </c>
      <c r="F190" s="441" t="s">
        <v>493</v>
      </c>
      <c r="G190" s="442" t="s">
        <v>393</v>
      </c>
      <c r="H190" s="443">
        <f t="shared" si="55"/>
        <v>123.13</v>
      </c>
      <c r="I190" s="443">
        <f>VLOOKUP(D190,'Orçamento Analitico'!D:L,9,FALSE())</f>
        <v>16.13</v>
      </c>
      <c r="J190" s="443">
        <f t="shared" si="56"/>
        <v>20.24</v>
      </c>
      <c r="K190" s="443">
        <f t="shared" si="57"/>
        <v>1986.08</v>
      </c>
      <c r="L190" s="443">
        <f t="shared" si="58"/>
        <v>2492.15</v>
      </c>
      <c r="M190" s="461" t="e">
        <f t="shared" si="40"/>
        <v>#N/A</v>
      </c>
      <c r="N190" s="464">
        <v>123.13</v>
      </c>
      <c r="O190" s="465"/>
      <c r="P190" s="465"/>
      <c r="Q190" s="465"/>
      <c r="R190" s="465"/>
      <c r="S190" s="465"/>
      <c r="T190" s="465"/>
      <c r="U190" s="479"/>
      <c r="V190" s="422"/>
      <c r="W190" s="422"/>
      <c r="X190" s="422"/>
      <c r="Y190" s="422"/>
      <c r="Z190" s="422"/>
    </row>
    <row r="191" ht="12.75" customHeight="1" spans="1:26">
      <c r="A191" s="422" t="str">
        <f t="shared" si="53"/>
        <v> 6.2 </v>
      </c>
      <c r="B191" s="423" t="str">
        <f t="shared" si="54"/>
        <v> 6.2 </v>
      </c>
      <c r="C191" s="441" t="s">
        <v>543</v>
      </c>
      <c r="D191" s="442" t="s">
        <v>544</v>
      </c>
      <c r="E191" s="441" t="s">
        <v>139</v>
      </c>
      <c r="F191" s="441" t="s">
        <v>545</v>
      </c>
      <c r="G191" s="442" t="s">
        <v>393</v>
      </c>
      <c r="H191" s="443">
        <f t="shared" si="55"/>
        <v>71.1</v>
      </c>
      <c r="I191" s="443">
        <f>VLOOKUP(D191,'Orçamento Analitico'!D:L,9,FALSE())</f>
        <v>13.64</v>
      </c>
      <c r="J191" s="443">
        <f t="shared" si="56"/>
        <v>17.11</v>
      </c>
      <c r="K191" s="443">
        <f t="shared" si="57"/>
        <v>969.8</v>
      </c>
      <c r="L191" s="443">
        <f t="shared" si="58"/>
        <v>1216.52</v>
      </c>
      <c r="M191" s="461" t="e">
        <f t="shared" si="40"/>
        <v>#N/A</v>
      </c>
      <c r="N191" s="464">
        <v>71.1</v>
      </c>
      <c r="O191" s="465"/>
      <c r="P191" s="465"/>
      <c r="Q191" s="465"/>
      <c r="R191" s="465"/>
      <c r="S191" s="465"/>
      <c r="T191" s="465"/>
      <c r="U191" s="479"/>
      <c r="V191" s="422"/>
      <c r="W191" s="422"/>
      <c r="X191" s="422"/>
      <c r="Y191" s="422"/>
      <c r="Z191" s="422"/>
    </row>
    <row r="192" ht="12.75" customHeight="1" spans="1:26">
      <c r="A192" s="422" t="str">
        <f t="shared" si="53"/>
        <v> 6.2 </v>
      </c>
      <c r="B192" s="423" t="str">
        <f t="shared" si="54"/>
        <v> 6.2 </v>
      </c>
      <c r="C192" s="441" t="s">
        <v>546</v>
      </c>
      <c r="D192" s="442" t="s">
        <v>501</v>
      </c>
      <c r="E192" s="441" t="s">
        <v>139</v>
      </c>
      <c r="F192" s="441" t="s">
        <v>502</v>
      </c>
      <c r="G192" s="442" t="s">
        <v>393</v>
      </c>
      <c r="H192" s="443">
        <f t="shared" si="55"/>
        <v>240.06</v>
      </c>
      <c r="I192" s="443">
        <f>VLOOKUP(D192,'Orçamento Analitico'!D:L,9,FALSE())</f>
        <v>10.02</v>
      </c>
      <c r="J192" s="443">
        <f t="shared" si="56"/>
        <v>12.57</v>
      </c>
      <c r="K192" s="443">
        <f t="shared" si="57"/>
        <v>2405.4</v>
      </c>
      <c r="L192" s="443">
        <f t="shared" si="58"/>
        <v>3017.55</v>
      </c>
      <c r="M192" s="461" t="e">
        <f t="shared" si="40"/>
        <v>#N/A</v>
      </c>
      <c r="N192" s="464">
        <v>240.06</v>
      </c>
      <c r="O192" s="465"/>
      <c r="P192" s="465"/>
      <c r="Q192" s="465"/>
      <c r="R192" s="465"/>
      <c r="S192" s="465"/>
      <c r="T192" s="465"/>
      <c r="U192" s="479"/>
      <c r="V192" s="422"/>
      <c r="W192" s="422"/>
      <c r="X192" s="422"/>
      <c r="Y192" s="422"/>
      <c r="Z192" s="422"/>
    </row>
    <row r="193" ht="41.25" customHeight="1" spans="1:26">
      <c r="A193" s="422" t="str">
        <f t="shared" si="53"/>
        <v> 6.2 </v>
      </c>
      <c r="B193" s="423" t="str">
        <f t="shared" si="54"/>
        <v> 6.2 </v>
      </c>
      <c r="C193" s="441" t="s">
        <v>547</v>
      </c>
      <c r="D193" s="442" t="s">
        <v>548</v>
      </c>
      <c r="E193" s="441" t="s">
        <v>139</v>
      </c>
      <c r="F193" s="441" t="s">
        <v>549</v>
      </c>
      <c r="G193" s="442" t="s">
        <v>393</v>
      </c>
      <c r="H193" s="443">
        <f t="shared" si="55"/>
        <v>21.36</v>
      </c>
      <c r="I193" s="443">
        <f>VLOOKUP(D193,'Orçamento Analitico'!D:L,9,FALSE())</f>
        <v>15.37</v>
      </c>
      <c r="J193" s="443">
        <f t="shared" si="56"/>
        <v>19.28</v>
      </c>
      <c r="K193" s="443">
        <f t="shared" si="57"/>
        <v>328.3</v>
      </c>
      <c r="L193" s="443">
        <f t="shared" si="58"/>
        <v>411.82</v>
      </c>
      <c r="M193" s="461" t="e">
        <f t="shared" si="40"/>
        <v>#N/A</v>
      </c>
      <c r="N193" s="464">
        <v>21.36</v>
      </c>
      <c r="O193" s="465"/>
      <c r="P193" s="465"/>
      <c r="Q193" s="465"/>
      <c r="R193" s="465"/>
      <c r="S193" s="465"/>
      <c r="T193" s="465"/>
      <c r="U193" s="479"/>
      <c r="V193" s="422"/>
      <c r="W193" s="422"/>
      <c r="X193" s="422"/>
      <c r="Y193" s="422"/>
      <c r="Z193" s="422"/>
    </row>
    <row r="194" ht="41.25" customHeight="1" spans="1:26">
      <c r="A194" s="422" t="str">
        <f t="shared" si="53"/>
        <v> 6.2 </v>
      </c>
      <c r="B194" s="423" t="str">
        <f t="shared" si="54"/>
        <v> 6.2 </v>
      </c>
      <c r="C194" s="441" t="s">
        <v>550</v>
      </c>
      <c r="D194" s="442" t="s">
        <v>458</v>
      </c>
      <c r="E194" s="441" t="s">
        <v>139</v>
      </c>
      <c r="F194" s="441" t="s">
        <v>459</v>
      </c>
      <c r="G194" s="442" t="s">
        <v>393</v>
      </c>
      <c r="H194" s="443">
        <f t="shared" si="55"/>
        <v>248.44</v>
      </c>
      <c r="I194" s="443">
        <f>VLOOKUP(D194,'Orçamento Analitico'!D:L,9,FALSE())</f>
        <v>12.99</v>
      </c>
      <c r="J194" s="443">
        <f t="shared" si="56"/>
        <v>16.3</v>
      </c>
      <c r="K194" s="443">
        <f t="shared" si="57"/>
        <v>3227.23</v>
      </c>
      <c r="L194" s="443">
        <f t="shared" si="58"/>
        <v>4049.57</v>
      </c>
      <c r="M194" s="461" t="e">
        <f t="shared" si="40"/>
        <v>#N/A</v>
      </c>
      <c r="N194" s="464">
        <v>248.44</v>
      </c>
      <c r="O194" s="465"/>
      <c r="P194" s="465"/>
      <c r="Q194" s="465"/>
      <c r="R194" s="465"/>
      <c r="S194" s="465"/>
      <c r="T194" s="465"/>
      <c r="U194" s="479"/>
      <c r="V194" s="422"/>
      <c r="W194" s="422"/>
      <c r="X194" s="422"/>
      <c r="Y194" s="422"/>
      <c r="Z194" s="422"/>
    </row>
    <row r="195" ht="41.25" customHeight="1" spans="1:26">
      <c r="A195" s="422" t="str">
        <f t="shared" si="53"/>
        <v> 6.2 </v>
      </c>
      <c r="B195" s="423" t="str">
        <f t="shared" si="54"/>
        <v> 6.2 </v>
      </c>
      <c r="C195" s="441" t="s">
        <v>551</v>
      </c>
      <c r="D195" s="442" t="s">
        <v>552</v>
      </c>
      <c r="E195" s="441" t="s">
        <v>139</v>
      </c>
      <c r="F195" s="441" t="s">
        <v>553</v>
      </c>
      <c r="G195" s="442" t="s">
        <v>141</v>
      </c>
      <c r="H195" s="443">
        <f t="shared" si="55"/>
        <v>41.6</v>
      </c>
      <c r="I195" s="443">
        <f>VLOOKUP(D195,'Orçamento Analitico'!D:L,9,FALSE())</f>
        <v>72.9</v>
      </c>
      <c r="J195" s="443">
        <f t="shared" si="56"/>
        <v>91.48</v>
      </c>
      <c r="K195" s="443">
        <f t="shared" si="57"/>
        <v>3032.64</v>
      </c>
      <c r="L195" s="443">
        <f t="shared" si="58"/>
        <v>3805.56</v>
      </c>
      <c r="M195" s="461" t="e">
        <f t="shared" si="40"/>
        <v>#N/A</v>
      </c>
      <c r="N195" s="464">
        <v>41.6</v>
      </c>
      <c r="O195" s="465"/>
      <c r="P195" s="465"/>
      <c r="Q195" s="465"/>
      <c r="R195" s="465"/>
      <c r="S195" s="465"/>
      <c r="T195" s="465"/>
      <c r="U195" s="479"/>
      <c r="V195" s="422"/>
      <c r="W195" s="422"/>
      <c r="X195" s="422"/>
      <c r="Y195" s="422"/>
      <c r="Z195" s="422"/>
    </row>
    <row r="196" ht="41.25" customHeight="1" spans="1:26">
      <c r="A196" s="422" t="str">
        <f t="shared" si="53"/>
        <v> 6.2 </v>
      </c>
      <c r="B196" s="423" t="str">
        <f t="shared" si="54"/>
        <v> 6.2 </v>
      </c>
      <c r="C196" s="441" t="s">
        <v>554</v>
      </c>
      <c r="D196" s="442" t="s">
        <v>555</v>
      </c>
      <c r="E196" s="441" t="s">
        <v>139</v>
      </c>
      <c r="F196" s="441" t="s">
        <v>556</v>
      </c>
      <c r="G196" s="442" t="s">
        <v>141</v>
      </c>
      <c r="H196" s="443">
        <f t="shared" si="55"/>
        <v>57.63</v>
      </c>
      <c r="I196" s="443">
        <f>VLOOKUP(D196,'Orçamento Analitico'!D:L,9,FALSE())</f>
        <v>130.07</v>
      </c>
      <c r="J196" s="443">
        <f t="shared" si="56"/>
        <v>163.22</v>
      </c>
      <c r="K196" s="443">
        <f t="shared" si="57"/>
        <v>7495.93</v>
      </c>
      <c r="L196" s="443">
        <f t="shared" si="58"/>
        <v>9406.36</v>
      </c>
      <c r="M196" s="461" t="e">
        <f t="shared" si="40"/>
        <v>#N/A</v>
      </c>
      <c r="N196" s="464">
        <v>57.63</v>
      </c>
      <c r="O196" s="465"/>
      <c r="P196" s="465"/>
      <c r="Q196" s="465"/>
      <c r="R196" s="465"/>
      <c r="S196" s="465"/>
      <c r="T196" s="465"/>
      <c r="U196" s="479"/>
      <c r="V196" s="422"/>
      <c r="W196" s="422"/>
      <c r="X196" s="422"/>
      <c r="Y196" s="422"/>
      <c r="Z196" s="422"/>
    </row>
    <row r="197" ht="41.25" customHeight="1" spans="1:26">
      <c r="A197" s="422" t="str">
        <f t="shared" si="53"/>
        <v> 6.2 </v>
      </c>
      <c r="B197" s="423" t="str">
        <f t="shared" si="54"/>
        <v> 6.2 </v>
      </c>
      <c r="C197" s="441" t="s">
        <v>557</v>
      </c>
      <c r="D197" s="442" t="s">
        <v>558</v>
      </c>
      <c r="E197" s="441" t="s">
        <v>139</v>
      </c>
      <c r="F197" s="441" t="s">
        <v>559</v>
      </c>
      <c r="G197" s="442" t="s">
        <v>141</v>
      </c>
      <c r="H197" s="443">
        <f t="shared" si="55"/>
        <v>71.28</v>
      </c>
      <c r="I197" s="443">
        <f>VLOOKUP(D197,'Orçamento Analitico'!D:L,9,FALSE())</f>
        <v>83</v>
      </c>
      <c r="J197" s="443">
        <f t="shared" si="56"/>
        <v>104.15</v>
      </c>
      <c r="K197" s="443">
        <f t="shared" si="57"/>
        <v>5916.24</v>
      </c>
      <c r="L197" s="443">
        <f t="shared" si="58"/>
        <v>7423.81</v>
      </c>
      <c r="M197" s="461" t="e">
        <f t="shared" si="40"/>
        <v>#N/A</v>
      </c>
      <c r="N197" s="464">
        <v>71.28</v>
      </c>
      <c r="O197" s="465"/>
      <c r="P197" s="465"/>
      <c r="Q197" s="465"/>
      <c r="R197" s="465"/>
      <c r="S197" s="465"/>
      <c r="T197" s="465"/>
      <c r="U197" s="479"/>
      <c r="V197" s="422"/>
      <c r="W197" s="422"/>
      <c r="X197" s="422"/>
      <c r="Y197" s="422"/>
      <c r="Z197" s="422"/>
    </row>
    <row r="198" ht="41.25" customHeight="1" spans="1:26">
      <c r="A198" s="422" t="str">
        <f t="shared" si="53"/>
        <v> 6.2 </v>
      </c>
      <c r="B198" s="423" t="str">
        <f t="shared" si="54"/>
        <v> 6.2 </v>
      </c>
      <c r="C198" s="441" t="s">
        <v>560</v>
      </c>
      <c r="D198" s="442" t="s">
        <v>561</v>
      </c>
      <c r="E198" s="441" t="s">
        <v>139</v>
      </c>
      <c r="F198" s="441" t="s">
        <v>562</v>
      </c>
      <c r="G198" s="442" t="s">
        <v>279</v>
      </c>
      <c r="H198" s="443">
        <f t="shared" si="55"/>
        <v>272.2</v>
      </c>
      <c r="I198" s="443">
        <f>VLOOKUP(D198,'Orçamento Analitico'!D:L,9,FALSE())</f>
        <v>20.25</v>
      </c>
      <c r="J198" s="443">
        <f t="shared" si="56"/>
        <v>25.41</v>
      </c>
      <c r="K198" s="443">
        <f t="shared" si="57"/>
        <v>5512.05</v>
      </c>
      <c r="L198" s="443">
        <f t="shared" si="58"/>
        <v>6916.6</v>
      </c>
      <c r="M198" s="461" t="e">
        <f t="shared" si="40"/>
        <v>#N/A</v>
      </c>
      <c r="N198" s="464">
        <v>272.2</v>
      </c>
      <c r="O198" s="465"/>
      <c r="P198" s="465"/>
      <c r="Q198" s="465"/>
      <c r="R198" s="465"/>
      <c r="S198" s="465"/>
      <c r="T198" s="465"/>
      <c r="U198" s="479"/>
      <c r="V198" s="422"/>
      <c r="W198" s="422"/>
      <c r="X198" s="422"/>
      <c r="Y198" s="422"/>
      <c r="Z198" s="422"/>
    </row>
    <row r="199" ht="12.75" customHeight="1" spans="1:26">
      <c r="A199" s="422"/>
      <c r="B199" s="423" t="str">
        <f>C199</f>
        <v> 6.3 </v>
      </c>
      <c r="C199" s="444" t="s">
        <v>563</v>
      </c>
      <c r="D199" s="445" t="s">
        <v>74</v>
      </c>
      <c r="E199" s="444"/>
      <c r="F199" s="444" t="s">
        <v>385</v>
      </c>
      <c r="G199" s="445"/>
      <c r="H199" s="446"/>
      <c r="I199" s="446"/>
      <c r="J199" s="466"/>
      <c r="K199" s="466">
        <f>SUMIF(A:A,B199,K:K)</f>
        <v>15197.89</v>
      </c>
      <c r="L199" s="466">
        <f>SUMIF(A:A,C199,L:L)</f>
        <v>19070.24</v>
      </c>
      <c r="M199" s="467" t="e">
        <f t="shared" si="40"/>
        <v>#N/A</v>
      </c>
      <c r="N199" s="464"/>
      <c r="O199" s="465"/>
      <c r="P199" s="465"/>
      <c r="Q199" s="465"/>
      <c r="R199" s="465"/>
      <c r="S199" s="465"/>
      <c r="T199" s="465"/>
      <c r="U199" s="479"/>
      <c r="V199" s="422"/>
      <c r="W199" s="422"/>
      <c r="X199" s="422"/>
      <c r="Y199" s="422"/>
      <c r="Z199" s="422"/>
    </row>
    <row r="200" ht="41.25" customHeight="1" spans="1:26">
      <c r="A200" s="422" t="str">
        <f t="shared" ref="A200:A209" si="59">B200</f>
        <v> 6.3 </v>
      </c>
      <c r="B200" s="423" t="str">
        <f t="shared" ref="B200:B209" si="60">B199</f>
        <v> 6.3 </v>
      </c>
      <c r="C200" s="441" t="s">
        <v>564</v>
      </c>
      <c r="D200" s="442" t="s">
        <v>537</v>
      </c>
      <c r="E200" s="441" t="s">
        <v>132</v>
      </c>
      <c r="F200" s="441" t="s">
        <v>538</v>
      </c>
      <c r="G200" s="442" t="s">
        <v>279</v>
      </c>
      <c r="H200" s="443">
        <f t="shared" ref="H200:H209" si="61">N200</f>
        <v>1.16</v>
      </c>
      <c r="I200" s="443">
        <f>VLOOKUP(D200,'Orçamento Analitico'!D:L,9,FALSE())</f>
        <v>676.58</v>
      </c>
      <c r="J200" s="443">
        <f t="shared" ref="J200:J209" si="62">ROUNDDOWN(I200*(1+$G$6),2)</f>
        <v>849.04</v>
      </c>
      <c r="K200" s="443">
        <f t="shared" ref="K200:K209" si="63">ROUNDDOWN(H200*I200,2)</f>
        <v>784.83</v>
      </c>
      <c r="L200" s="443">
        <f t="shared" ref="L200:L209" si="64">ROUNDDOWN(H200*J200,2)</f>
        <v>984.88</v>
      </c>
      <c r="M200" s="461" t="e">
        <f t="shared" ref="M200:M263" si="65">K200/$L$1062</f>
        <v>#N/A</v>
      </c>
      <c r="N200" s="464">
        <v>1.16</v>
      </c>
      <c r="O200" s="465"/>
      <c r="P200" s="465"/>
      <c r="Q200" s="465"/>
      <c r="R200" s="465"/>
      <c r="S200" s="465"/>
      <c r="T200" s="465"/>
      <c r="U200" s="479"/>
      <c r="V200" s="422"/>
      <c r="W200" s="422"/>
      <c r="X200" s="422"/>
      <c r="Y200" s="422"/>
      <c r="Z200" s="422"/>
    </row>
    <row r="201" ht="41.25" customHeight="1" spans="1:26">
      <c r="A201" s="422" t="str">
        <f t="shared" si="59"/>
        <v> 6.3 </v>
      </c>
      <c r="B201" s="423" t="str">
        <f t="shared" si="60"/>
        <v> 6.3 </v>
      </c>
      <c r="C201" s="441" t="s">
        <v>565</v>
      </c>
      <c r="D201" s="442" t="s">
        <v>540</v>
      </c>
      <c r="E201" s="441" t="s">
        <v>132</v>
      </c>
      <c r="F201" s="441" t="s">
        <v>541</v>
      </c>
      <c r="G201" s="442" t="s">
        <v>279</v>
      </c>
      <c r="H201" s="443">
        <f t="shared" si="61"/>
        <v>4.64</v>
      </c>
      <c r="I201" s="443">
        <f>VLOOKUP(D201,'Orçamento Analitico'!D:L,9,FALSE())</f>
        <v>677.33</v>
      </c>
      <c r="J201" s="443">
        <f t="shared" si="62"/>
        <v>849.98</v>
      </c>
      <c r="K201" s="443">
        <f t="shared" si="63"/>
        <v>3142.81</v>
      </c>
      <c r="L201" s="443">
        <f t="shared" si="64"/>
        <v>3943.9</v>
      </c>
      <c r="M201" s="461" t="e">
        <f t="shared" si="65"/>
        <v>#N/A</v>
      </c>
      <c r="N201" s="464">
        <v>4.64</v>
      </c>
      <c r="O201" s="465"/>
      <c r="P201" s="465"/>
      <c r="Q201" s="465"/>
      <c r="R201" s="465"/>
      <c r="S201" s="465"/>
      <c r="T201" s="465"/>
      <c r="U201" s="479"/>
      <c r="V201" s="422"/>
      <c r="W201" s="422"/>
      <c r="X201" s="422"/>
      <c r="Y201" s="422"/>
      <c r="Z201" s="422"/>
    </row>
    <row r="202" ht="41.25" customHeight="1" spans="1:26">
      <c r="A202" s="422" t="str">
        <f t="shared" si="59"/>
        <v> 6.3 </v>
      </c>
      <c r="B202" s="423" t="str">
        <f t="shared" si="60"/>
        <v> 6.3 </v>
      </c>
      <c r="C202" s="441" t="s">
        <v>566</v>
      </c>
      <c r="D202" s="442" t="s">
        <v>492</v>
      </c>
      <c r="E202" s="441" t="s">
        <v>139</v>
      </c>
      <c r="F202" s="441" t="s">
        <v>493</v>
      </c>
      <c r="G202" s="442" t="s">
        <v>393</v>
      </c>
      <c r="H202" s="443">
        <f t="shared" si="61"/>
        <v>58.8</v>
      </c>
      <c r="I202" s="443">
        <f>VLOOKUP(D202,'Orçamento Analitico'!D:L,9,FALSE())</f>
        <v>16.13</v>
      </c>
      <c r="J202" s="443">
        <f t="shared" si="62"/>
        <v>20.24</v>
      </c>
      <c r="K202" s="443">
        <f t="shared" si="63"/>
        <v>948.44</v>
      </c>
      <c r="L202" s="443">
        <f t="shared" si="64"/>
        <v>1190.11</v>
      </c>
      <c r="M202" s="461" t="e">
        <f t="shared" si="65"/>
        <v>#N/A</v>
      </c>
      <c r="N202" s="464">
        <v>58.8</v>
      </c>
      <c r="O202" s="465"/>
      <c r="P202" s="465"/>
      <c r="Q202" s="465"/>
      <c r="R202" s="465"/>
      <c r="S202" s="465"/>
      <c r="T202" s="465"/>
      <c r="U202" s="479"/>
      <c r="V202" s="422"/>
      <c r="W202" s="422"/>
      <c r="X202" s="422"/>
      <c r="Y202" s="422"/>
      <c r="Z202" s="422"/>
    </row>
    <row r="203" ht="41.25" customHeight="1" spans="1:26">
      <c r="A203" s="422" t="str">
        <f t="shared" si="59"/>
        <v> 6.3 </v>
      </c>
      <c r="B203" s="423" t="str">
        <f t="shared" si="60"/>
        <v> 6.3 </v>
      </c>
      <c r="C203" s="441" t="s">
        <v>567</v>
      </c>
      <c r="D203" s="442" t="s">
        <v>544</v>
      </c>
      <c r="E203" s="441" t="s">
        <v>139</v>
      </c>
      <c r="F203" s="441" t="s">
        <v>545</v>
      </c>
      <c r="G203" s="442" t="s">
        <v>393</v>
      </c>
      <c r="H203" s="443">
        <f t="shared" si="61"/>
        <v>37.7</v>
      </c>
      <c r="I203" s="443">
        <f>VLOOKUP(D203,'Orçamento Analitico'!D:L,9,FALSE())</f>
        <v>13.64</v>
      </c>
      <c r="J203" s="443">
        <f t="shared" si="62"/>
        <v>17.11</v>
      </c>
      <c r="K203" s="443">
        <f t="shared" si="63"/>
        <v>514.22</v>
      </c>
      <c r="L203" s="443">
        <f t="shared" si="64"/>
        <v>645.04</v>
      </c>
      <c r="M203" s="461" t="e">
        <f t="shared" si="65"/>
        <v>#N/A</v>
      </c>
      <c r="N203" s="464">
        <v>37.7</v>
      </c>
      <c r="O203" s="465"/>
      <c r="P203" s="465"/>
      <c r="Q203" s="465"/>
      <c r="R203" s="465"/>
      <c r="S203" s="465"/>
      <c r="T203" s="465"/>
      <c r="U203" s="479"/>
      <c r="V203" s="422"/>
      <c r="W203" s="422"/>
      <c r="X203" s="422"/>
      <c r="Y203" s="422"/>
      <c r="Z203" s="422"/>
    </row>
    <row r="204" ht="41.25" customHeight="1" spans="1:26">
      <c r="A204" s="422" t="str">
        <f t="shared" si="59"/>
        <v> 6.3 </v>
      </c>
      <c r="B204" s="423" t="str">
        <f t="shared" si="60"/>
        <v> 6.3 </v>
      </c>
      <c r="C204" s="441" t="s">
        <v>568</v>
      </c>
      <c r="D204" s="442" t="s">
        <v>498</v>
      </c>
      <c r="E204" s="441" t="s">
        <v>139</v>
      </c>
      <c r="F204" s="441" t="s">
        <v>499</v>
      </c>
      <c r="G204" s="442" t="s">
        <v>393</v>
      </c>
      <c r="H204" s="443">
        <f t="shared" si="61"/>
        <v>28.06</v>
      </c>
      <c r="I204" s="443">
        <f>VLOOKUP(D204,'Orçamento Analitico'!D:L,9,FALSE())</f>
        <v>12.03</v>
      </c>
      <c r="J204" s="443">
        <f t="shared" si="62"/>
        <v>15.09</v>
      </c>
      <c r="K204" s="443">
        <f t="shared" si="63"/>
        <v>337.56</v>
      </c>
      <c r="L204" s="443">
        <f t="shared" si="64"/>
        <v>423.42</v>
      </c>
      <c r="M204" s="461" t="e">
        <f t="shared" si="65"/>
        <v>#N/A</v>
      </c>
      <c r="N204" s="464">
        <v>28.06</v>
      </c>
      <c r="O204" s="465"/>
      <c r="P204" s="465"/>
      <c r="Q204" s="465"/>
      <c r="R204" s="465"/>
      <c r="S204" s="465"/>
      <c r="T204" s="465"/>
      <c r="U204" s="479"/>
      <c r="V204" s="422"/>
      <c r="W204" s="422"/>
      <c r="X204" s="422"/>
      <c r="Y204" s="422"/>
      <c r="Z204" s="422"/>
    </row>
    <row r="205" ht="41.25" customHeight="1" spans="1:26">
      <c r="A205" s="422" t="str">
        <f t="shared" si="59"/>
        <v> 6.3 </v>
      </c>
      <c r="B205" s="423" t="str">
        <f t="shared" si="60"/>
        <v> 6.3 </v>
      </c>
      <c r="C205" s="441" t="s">
        <v>569</v>
      </c>
      <c r="D205" s="442" t="s">
        <v>455</v>
      </c>
      <c r="E205" s="441" t="s">
        <v>139</v>
      </c>
      <c r="F205" s="441" t="s">
        <v>456</v>
      </c>
      <c r="G205" s="442" t="s">
        <v>393</v>
      </c>
      <c r="H205" s="443">
        <f t="shared" si="61"/>
        <v>87.6</v>
      </c>
      <c r="I205" s="443">
        <f>VLOOKUP(D205,'Orçamento Analitico'!D:L,9,FALSE())</f>
        <v>14.11</v>
      </c>
      <c r="J205" s="443">
        <f t="shared" si="62"/>
        <v>17.7</v>
      </c>
      <c r="K205" s="443">
        <f t="shared" si="63"/>
        <v>1236.03</v>
      </c>
      <c r="L205" s="443">
        <f t="shared" si="64"/>
        <v>1550.52</v>
      </c>
      <c r="M205" s="461" t="e">
        <f t="shared" si="65"/>
        <v>#N/A</v>
      </c>
      <c r="N205" s="464">
        <v>87.6</v>
      </c>
      <c r="O205" s="465"/>
      <c r="P205" s="465"/>
      <c r="Q205" s="465"/>
      <c r="R205" s="465"/>
      <c r="S205" s="465"/>
      <c r="T205" s="465"/>
      <c r="U205" s="479"/>
      <c r="V205" s="422"/>
      <c r="W205" s="422"/>
      <c r="X205" s="422"/>
      <c r="Y205" s="422"/>
      <c r="Z205" s="422"/>
    </row>
    <row r="206" ht="41.25" customHeight="1" spans="1:26">
      <c r="A206" s="422" t="str">
        <f t="shared" si="59"/>
        <v> 6.3 </v>
      </c>
      <c r="B206" s="423" t="str">
        <f t="shared" si="60"/>
        <v> 6.3 </v>
      </c>
      <c r="C206" s="441" t="s">
        <v>570</v>
      </c>
      <c r="D206" s="442" t="s">
        <v>552</v>
      </c>
      <c r="E206" s="441" t="s">
        <v>139</v>
      </c>
      <c r="F206" s="441" t="s">
        <v>553</v>
      </c>
      <c r="G206" s="442" t="s">
        <v>141</v>
      </c>
      <c r="H206" s="443">
        <f t="shared" si="61"/>
        <v>23</v>
      </c>
      <c r="I206" s="443">
        <f>VLOOKUP(D206,'Orçamento Analitico'!D:L,9,FALSE())</f>
        <v>72.9</v>
      </c>
      <c r="J206" s="443">
        <f t="shared" si="62"/>
        <v>91.48</v>
      </c>
      <c r="K206" s="443">
        <f t="shared" si="63"/>
        <v>1676.7</v>
      </c>
      <c r="L206" s="443">
        <f t="shared" si="64"/>
        <v>2104.04</v>
      </c>
      <c r="M206" s="461" t="e">
        <f t="shared" si="65"/>
        <v>#N/A</v>
      </c>
      <c r="N206" s="464">
        <v>23</v>
      </c>
      <c r="O206" s="465"/>
      <c r="P206" s="465"/>
      <c r="Q206" s="465"/>
      <c r="R206" s="465"/>
      <c r="S206" s="465"/>
      <c r="T206" s="465"/>
      <c r="U206" s="479"/>
      <c r="V206" s="422"/>
      <c r="W206" s="422"/>
      <c r="X206" s="422"/>
      <c r="Y206" s="422"/>
      <c r="Z206" s="422"/>
    </row>
    <row r="207" ht="41.25" customHeight="1" spans="1:26">
      <c r="A207" s="422" t="str">
        <f t="shared" si="59"/>
        <v> 6.3 </v>
      </c>
      <c r="B207" s="423" t="str">
        <f t="shared" si="60"/>
        <v> 6.3 </v>
      </c>
      <c r="C207" s="441" t="s">
        <v>571</v>
      </c>
      <c r="D207" s="442" t="s">
        <v>555</v>
      </c>
      <c r="E207" s="441" t="s">
        <v>139</v>
      </c>
      <c r="F207" s="441" t="s">
        <v>556</v>
      </c>
      <c r="G207" s="442" t="s">
        <v>141</v>
      </c>
      <c r="H207" s="443">
        <f t="shared" si="61"/>
        <v>20.8</v>
      </c>
      <c r="I207" s="443">
        <f>VLOOKUP(D207,'Orçamento Analitico'!D:L,9,FALSE())</f>
        <v>130.07</v>
      </c>
      <c r="J207" s="443">
        <f t="shared" si="62"/>
        <v>163.22</v>
      </c>
      <c r="K207" s="443">
        <f t="shared" si="63"/>
        <v>2705.45</v>
      </c>
      <c r="L207" s="443">
        <f t="shared" si="64"/>
        <v>3394.97</v>
      </c>
      <c r="M207" s="461" t="e">
        <f t="shared" si="65"/>
        <v>#N/A</v>
      </c>
      <c r="N207" s="464">
        <v>20.8</v>
      </c>
      <c r="O207" s="465"/>
      <c r="P207" s="465"/>
      <c r="Q207" s="465"/>
      <c r="R207" s="465"/>
      <c r="S207" s="465"/>
      <c r="T207" s="465"/>
      <c r="U207" s="479"/>
      <c r="V207" s="422"/>
      <c r="W207" s="422"/>
      <c r="X207" s="422"/>
      <c r="Y207" s="422"/>
      <c r="Z207" s="422"/>
    </row>
    <row r="208" ht="41.25" customHeight="1" spans="1:26">
      <c r="A208" s="422" t="str">
        <f t="shared" si="59"/>
        <v> 6.3 </v>
      </c>
      <c r="B208" s="423" t="str">
        <f t="shared" si="60"/>
        <v> 6.3 </v>
      </c>
      <c r="C208" s="441" t="s">
        <v>572</v>
      </c>
      <c r="D208" s="442" t="s">
        <v>558</v>
      </c>
      <c r="E208" s="441" t="s">
        <v>139</v>
      </c>
      <c r="F208" s="441" t="s">
        <v>559</v>
      </c>
      <c r="G208" s="442" t="s">
        <v>141</v>
      </c>
      <c r="H208" s="443">
        <f t="shared" si="61"/>
        <v>28.5</v>
      </c>
      <c r="I208" s="443">
        <f>VLOOKUP(D208,'Orçamento Analitico'!D:L,9,FALSE())</f>
        <v>83</v>
      </c>
      <c r="J208" s="443">
        <f t="shared" si="62"/>
        <v>104.15</v>
      </c>
      <c r="K208" s="443">
        <f t="shared" si="63"/>
        <v>2365.5</v>
      </c>
      <c r="L208" s="443">
        <f t="shared" si="64"/>
        <v>2968.27</v>
      </c>
      <c r="M208" s="461" t="e">
        <f t="shared" si="65"/>
        <v>#N/A</v>
      </c>
      <c r="N208" s="464">
        <v>28.5</v>
      </c>
      <c r="O208" s="465"/>
      <c r="P208" s="465"/>
      <c r="Q208" s="465"/>
      <c r="R208" s="465"/>
      <c r="S208" s="465"/>
      <c r="T208" s="465"/>
      <c r="U208" s="479"/>
      <c r="V208" s="422"/>
      <c r="W208" s="422"/>
      <c r="X208" s="422"/>
      <c r="Y208" s="422"/>
      <c r="Z208" s="422"/>
    </row>
    <row r="209" ht="41.25" customHeight="1" spans="1:26">
      <c r="A209" s="422" t="str">
        <f t="shared" si="59"/>
        <v> 6.3 </v>
      </c>
      <c r="B209" s="423" t="str">
        <f t="shared" si="60"/>
        <v> 6.3 </v>
      </c>
      <c r="C209" s="441" t="s">
        <v>573</v>
      </c>
      <c r="D209" s="442" t="s">
        <v>561</v>
      </c>
      <c r="E209" s="441" t="s">
        <v>139</v>
      </c>
      <c r="F209" s="441" t="s">
        <v>562</v>
      </c>
      <c r="G209" s="442" t="s">
        <v>279</v>
      </c>
      <c r="H209" s="443">
        <f t="shared" si="61"/>
        <v>73.4</v>
      </c>
      <c r="I209" s="443">
        <f>VLOOKUP(D209,'Orçamento Analitico'!D:L,9,FALSE())</f>
        <v>20.25</v>
      </c>
      <c r="J209" s="443">
        <f t="shared" si="62"/>
        <v>25.41</v>
      </c>
      <c r="K209" s="443">
        <f t="shared" si="63"/>
        <v>1486.35</v>
      </c>
      <c r="L209" s="443">
        <f t="shared" si="64"/>
        <v>1865.09</v>
      </c>
      <c r="M209" s="461" t="e">
        <f t="shared" si="65"/>
        <v>#N/A</v>
      </c>
      <c r="N209" s="500">
        <v>73.4</v>
      </c>
      <c r="O209" s="501"/>
      <c r="P209" s="501"/>
      <c r="Q209" s="501"/>
      <c r="R209" s="501"/>
      <c r="S209" s="501"/>
      <c r="T209" s="501"/>
      <c r="U209" s="505"/>
      <c r="V209" s="422"/>
      <c r="W209" s="422"/>
      <c r="X209" s="422"/>
      <c r="Y209" s="422"/>
      <c r="Z209" s="422"/>
    </row>
    <row r="210" ht="12.75" customHeight="1" spans="1:26">
      <c r="A210" s="422"/>
      <c r="B210" s="423"/>
      <c r="C210" s="438" t="s">
        <v>30</v>
      </c>
      <c r="D210" s="439" t="s">
        <v>74</v>
      </c>
      <c r="E210" s="438"/>
      <c r="F210" s="438" t="s">
        <v>31</v>
      </c>
      <c r="G210" s="439"/>
      <c r="H210" s="440"/>
      <c r="I210" s="440"/>
      <c r="J210" s="440"/>
      <c r="K210" s="440">
        <f>SUM(K211,K216)</f>
        <v>71288.24</v>
      </c>
      <c r="L210" s="440">
        <f>SUM(L211,L216)</f>
        <v>89452.13</v>
      </c>
      <c r="M210" s="458" t="e">
        <f t="shared" si="65"/>
        <v>#N/A</v>
      </c>
      <c r="N210" s="502" t="s">
        <v>6121</v>
      </c>
      <c r="O210" s="503" t="s">
        <v>6122</v>
      </c>
      <c r="P210" s="503" t="s">
        <v>6123</v>
      </c>
      <c r="Q210" s="503" t="s">
        <v>6124</v>
      </c>
      <c r="R210" s="503" t="s">
        <v>6125</v>
      </c>
      <c r="S210" s="503" t="s">
        <v>6126</v>
      </c>
      <c r="T210" s="503"/>
      <c r="U210" s="506"/>
      <c r="V210" s="422"/>
      <c r="W210" s="422"/>
      <c r="X210" s="422"/>
      <c r="Y210" s="422"/>
      <c r="Z210" s="422"/>
    </row>
    <row r="211" ht="12.75" customHeight="1" spans="1:26">
      <c r="A211" s="422"/>
      <c r="B211" s="423" t="str">
        <f>C211</f>
        <v> 7.1 </v>
      </c>
      <c r="C211" s="444" t="s">
        <v>574</v>
      </c>
      <c r="D211" s="445" t="s">
        <v>74</v>
      </c>
      <c r="E211" s="444"/>
      <c r="F211" s="444" t="s">
        <v>575</v>
      </c>
      <c r="G211" s="445"/>
      <c r="H211" s="446"/>
      <c r="I211" s="446"/>
      <c r="J211" s="466"/>
      <c r="K211" s="466">
        <f>SUMIF(A:A,B211,K:K)</f>
        <v>36715.28</v>
      </c>
      <c r="L211" s="466">
        <f>SUMIF(A:A,C211,L:L)</f>
        <v>46069.94</v>
      </c>
      <c r="M211" s="467" t="e">
        <f t="shared" si="65"/>
        <v>#N/A</v>
      </c>
      <c r="N211" s="464"/>
      <c r="O211" s="465"/>
      <c r="P211" s="465"/>
      <c r="Q211" s="465"/>
      <c r="R211" s="465"/>
      <c r="S211" s="465"/>
      <c r="T211" s="465"/>
      <c r="U211" s="479"/>
      <c r="V211" s="422"/>
      <c r="W211" s="422"/>
      <c r="X211" s="422"/>
      <c r="Y211" s="422"/>
      <c r="Z211" s="422"/>
    </row>
    <row r="212" ht="46.5" customHeight="1" spans="1:26">
      <c r="A212" s="422" t="str">
        <f>B212</f>
        <v> 7.1 </v>
      </c>
      <c r="B212" s="423" t="str">
        <f>B211</f>
        <v> 7.1 </v>
      </c>
      <c r="C212" s="441" t="s">
        <v>576</v>
      </c>
      <c r="D212" s="442" t="s">
        <v>577</v>
      </c>
      <c r="E212" s="441" t="s">
        <v>139</v>
      </c>
      <c r="F212" s="441" t="s">
        <v>578</v>
      </c>
      <c r="G212" s="442" t="s">
        <v>141</v>
      </c>
      <c r="H212" s="443">
        <f>SUM(R212:R215)</f>
        <v>413.74</v>
      </c>
      <c r="I212" s="443">
        <f>VLOOKUP(D212,'Orçamento Analitico'!D:L,9,FALSE())</f>
        <v>88.74</v>
      </c>
      <c r="J212" s="443">
        <f>ROUNDDOWN(I212*(1+$G$6),2)</f>
        <v>111.35</v>
      </c>
      <c r="K212" s="443">
        <f>ROUNDDOWN(H212*I212,2)</f>
        <v>36715.28</v>
      </c>
      <c r="L212" s="443">
        <f>ROUNDDOWN(H212*J212,2)</f>
        <v>46069.94</v>
      </c>
      <c r="M212" s="461" t="e">
        <f t="shared" si="65"/>
        <v>#N/A</v>
      </c>
      <c r="N212" s="473">
        <v>9.3</v>
      </c>
      <c r="O212" s="474" t="s">
        <v>6128</v>
      </c>
      <c r="P212" s="474">
        <v>3.4</v>
      </c>
      <c r="Q212" s="474" t="s">
        <v>6129</v>
      </c>
      <c r="R212" s="474">
        <f>ROUNDDOWN(N212*P212,2)</f>
        <v>31.62</v>
      </c>
      <c r="S212" s="493" t="s">
        <v>6151</v>
      </c>
      <c r="T212" s="507"/>
      <c r="U212" s="479"/>
      <c r="V212" s="422"/>
      <c r="W212" s="422"/>
      <c r="X212" s="422"/>
      <c r="Y212" s="422"/>
      <c r="Z212" s="422"/>
    </row>
    <row r="213" ht="12.75" customHeight="1" spans="1:26">
      <c r="A213" s="422" t="str">
        <f>B213</f>
        <v> 7.1 </v>
      </c>
      <c r="B213" s="423" t="str">
        <f>B212</f>
        <v> 7.1 </v>
      </c>
      <c r="C213" s="441"/>
      <c r="D213" s="442"/>
      <c r="E213" s="441"/>
      <c r="F213" s="441"/>
      <c r="G213" s="442"/>
      <c r="H213" s="443"/>
      <c r="I213" s="443"/>
      <c r="J213" s="443"/>
      <c r="K213" s="443"/>
      <c r="L213" s="443"/>
      <c r="M213" s="461" t="e">
        <f t="shared" si="65"/>
        <v>#N/A</v>
      </c>
      <c r="N213" s="473">
        <f>2*18.91</f>
        <v>37.82</v>
      </c>
      <c r="O213" s="474" t="s">
        <v>6128</v>
      </c>
      <c r="P213" s="474">
        <v>0.28</v>
      </c>
      <c r="Q213" s="474" t="s">
        <v>6129</v>
      </c>
      <c r="R213" s="474">
        <f>ROUNDDOWN(N213*P213,2)</f>
        <v>10.58</v>
      </c>
      <c r="S213" s="493" t="s">
        <v>6152</v>
      </c>
      <c r="T213" s="507"/>
      <c r="U213" s="479"/>
      <c r="V213" s="422"/>
      <c r="W213" s="422"/>
      <c r="X213" s="422"/>
      <c r="Y213" s="422"/>
      <c r="Z213" s="422"/>
    </row>
    <row r="214" ht="12.75" customHeight="1" spans="1:26">
      <c r="A214" s="422"/>
      <c r="B214" s="423"/>
      <c r="C214" s="441"/>
      <c r="D214" s="442"/>
      <c r="E214" s="441"/>
      <c r="F214" s="441"/>
      <c r="G214" s="442"/>
      <c r="H214" s="443"/>
      <c r="I214" s="443"/>
      <c r="J214" s="443"/>
      <c r="K214" s="443"/>
      <c r="L214" s="443"/>
      <c r="M214" s="461" t="e">
        <f t="shared" si="65"/>
        <v>#N/A</v>
      </c>
      <c r="N214" s="473">
        <f>P273</f>
        <v>21.8</v>
      </c>
      <c r="O214" s="474" t="s">
        <v>6128</v>
      </c>
      <c r="P214" s="474">
        <v>0.3</v>
      </c>
      <c r="Q214" s="474" t="s">
        <v>6129</v>
      </c>
      <c r="R214" s="474">
        <f>ROUNDDOWN(N214*P214,2)</f>
        <v>6.54</v>
      </c>
      <c r="S214" s="493" t="s">
        <v>6153</v>
      </c>
      <c r="T214" s="507"/>
      <c r="U214" s="479"/>
      <c r="V214" s="422"/>
      <c r="W214" s="422"/>
      <c r="X214" s="422"/>
      <c r="Y214" s="422"/>
      <c r="Z214" s="422"/>
    </row>
    <row r="215" ht="12.75" customHeight="1" spans="1:26">
      <c r="A215" s="422" t="str">
        <f>B215</f>
        <v> 7.1 </v>
      </c>
      <c r="B215" s="423" t="str">
        <f>B213</f>
        <v> 7.1 </v>
      </c>
      <c r="C215" s="441"/>
      <c r="D215" s="442"/>
      <c r="E215" s="441"/>
      <c r="F215" s="441"/>
      <c r="G215" s="442"/>
      <c r="H215" s="443"/>
      <c r="I215" s="443"/>
      <c r="J215" s="443"/>
      <c r="K215" s="443"/>
      <c r="L215" s="443"/>
      <c r="M215" s="461" t="e">
        <f t="shared" si="65"/>
        <v>#N/A</v>
      </c>
      <c r="N215" s="473"/>
      <c r="O215" s="474"/>
      <c r="P215" s="474"/>
      <c r="Q215" s="474" t="s">
        <v>6129</v>
      </c>
      <c r="R215" s="474">
        <v>365</v>
      </c>
      <c r="S215" s="493" t="s">
        <v>6154</v>
      </c>
      <c r="T215" s="507"/>
      <c r="U215" s="479"/>
      <c r="V215" s="422"/>
      <c r="W215" s="422"/>
      <c r="X215" s="422"/>
      <c r="Y215" s="422"/>
      <c r="Z215" s="422"/>
    </row>
    <row r="216" ht="12.75" customHeight="1" spans="1:26">
      <c r="A216" s="422"/>
      <c r="B216" s="423" t="str">
        <f>C216</f>
        <v> 7.2 </v>
      </c>
      <c r="C216" s="444" t="s">
        <v>579</v>
      </c>
      <c r="D216" s="445" t="s">
        <v>74</v>
      </c>
      <c r="E216" s="444"/>
      <c r="F216" s="444" t="s">
        <v>580</v>
      </c>
      <c r="G216" s="445"/>
      <c r="H216" s="446"/>
      <c r="I216" s="446"/>
      <c r="J216" s="466"/>
      <c r="K216" s="466">
        <f>SUMIF(A:A,B216,K:K)</f>
        <v>34572.96</v>
      </c>
      <c r="L216" s="466">
        <f>SUMIF(A:A,C216,L:L)</f>
        <v>43382.19</v>
      </c>
      <c r="M216" s="467" t="e">
        <f t="shared" si="65"/>
        <v>#N/A</v>
      </c>
      <c r="N216" s="502" t="s">
        <v>6121</v>
      </c>
      <c r="O216" s="503" t="s">
        <v>6122</v>
      </c>
      <c r="P216" s="503" t="s">
        <v>6123</v>
      </c>
      <c r="Q216" s="503" t="s">
        <v>6124</v>
      </c>
      <c r="R216" s="503" t="s">
        <v>6125</v>
      </c>
      <c r="S216" s="503" t="s">
        <v>6126</v>
      </c>
      <c r="T216" s="503"/>
      <c r="U216" s="506"/>
      <c r="V216" s="422"/>
      <c r="W216" s="422"/>
      <c r="X216" s="422"/>
      <c r="Y216" s="422"/>
      <c r="Z216" s="422"/>
    </row>
    <row r="217" ht="46.5" customHeight="1" spans="1:26">
      <c r="A217" s="422" t="str">
        <f>B217</f>
        <v> 7.2 </v>
      </c>
      <c r="B217" s="423" t="str">
        <f>B216</f>
        <v> 7.2 </v>
      </c>
      <c r="C217" s="441" t="s">
        <v>581</v>
      </c>
      <c r="D217" s="442" t="s">
        <v>582</v>
      </c>
      <c r="E217" s="441" t="s">
        <v>139</v>
      </c>
      <c r="F217" s="441" t="s">
        <v>583</v>
      </c>
      <c r="G217" s="442" t="s">
        <v>141</v>
      </c>
      <c r="H217" s="443">
        <f>SUM(N217:U217)</f>
        <v>263.42</v>
      </c>
      <c r="I217" s="443">
        <f>VLOOKUP(D217,'Orçamento Analitico'!D:L,9,FALSE())</f>
        <v>98.86</v>
      </c>
      <c r="J217" s="443">
        <f>ROUNDDOWN(I217*(1+$G$6),2)</f>
        <v>124.05</v>
      </c>
      <c r="K217" s="443">
        <f>ROUNDDOWN(H217*I217,2)</f>
        <v>26041.7</v>
      </c>
      <c r="L217" s="443">
        <f>ROUNDDOWN(H217*J217,2)</f>
        <v>32677.25</v>
      </c>
      <c r="M217" s="461" t="e">
        <f t="shared" si="65"/>
        <v>#N/A</v>
      </c>
      <c r="N217" s="464">
        <f>6*3.1*3.7</f>
        <v>68.82</v>
      </c>
      <c r="O217" s="474"/>
      <c r="P217" s="474"/>
      <c r="Q217" s="474">
        <v>194.6</v>
      </c>
      <c r="R217" s="474">
        <v>0</v>
      </c>
      <c r="S217" s="465"/>
      <c r="T217" s="465"/>
      <c r="U217" s="479"/>
      <c r="V217" s="422"/>
      <c r="W217" s="422"/>
      <c r="X217" s="422"/>
      <c r="Y217" s="422"/>
      <c r="Z217" s="422"/>
    </row>
    <row r="218" ht="46.5" customHeight="1" spans="1:26">
      <c r="A218" s="422" t="str">
        <f>B218</f>
        <v> 7.2 </v>
      </c>
      <c r="B218" s="423" t="str">
        <f>B217</f>
        <v> 7.2 </v>
      </c>
      <c r="C218" s="441" t="s">
        <v>584</v>
      </c>
      <c r="D218" s="442" t="s">
        <v>585</v>
      </c>
      <c r="E218" s="441" t="s">
        <v>77</v>
      </c>
      <c r="F218" s="441" t="s">
        <v>586</v>
      </c>
      <c r="G218" s="442" t="s">
        <v>141</v>
      </c>
      <c r="H218" s="443">
        <f>SUM(N218:U218)</f>
        <v>194.6</v>
      </c>
      <c r="I218" s="443">
        <f>VLOOKUP(D218,'Orçamento Analitico'!D:L,9,FALSE())</f>
        <v>43.84</v>
      </c>
      <c r="J218" s="443">
        <f>ROUNDDOWN(I218*(1+$G$6),2)</f>
        <v>55.01</v>
      </c>
      <c r="K218" s="443">
        <f>ROUNDDOWN(H218*I218,2)</f>
        <v>8531.26</v>
      </c>
      <c r="L218" s="443">
        <f>ROUNDDOWN(H218*J218,2)</f>
        <v>10704.94</v>
      </c>
      <c r="M218" s="461" t="e">
        <f t="shared" si="65"/>
        <v>#N/A</v>
      </c>
      <c r="N218" s="464"/>
      <c r="O218" s="474"/>
      <c r="P218" s="474"/>
      <c r="Q218" s="474">
        <v>194.6</v>
      </c>
      <c r="R218" s="474">
        <f>R217</f>
        <v>0</v>
      </c>
      <c r="S218" s="465"/>
      <c r="T218" s="465"/>
      <c r="U218" s="479"/>
      <c r="V218" s="422"/>
      <c r="W218" s="422"/>
      <c r="X218" s="422"/>
      <c r="Y218" s="422"/>
      <c r="Z218" s="422"/>
    </row>
    <row r="219" ht="12.75" customHeight="1" spans="1:26">
      <c r="A219" s="422"/>
      <c r="B219" s="423" t="str">
        <f>C219</f>
        <v> 8 </v>
      </c>
      <c r="C219" s="438" t="s">
        <v>32</v>
      </c>
      <c r="D219" s="439" t="s">
        <v>74</v>
      </c>
      <c r="E219" s="438"/>
      <c r="F219" s="438" t="s">
        <v>33</v>
      </c>
      <c r="G219" s="439"/>
      <c r="H219" s="440"/>
      <c r="I219" s="440"/>
      <c r="J219" s="440"/>
      <c r="K219" s="440">
        <f>SUMIF(A:A,B219,K:K)</f>
        <v>63036.68</v>
      </c>
      <c r="L219" s="440">
        <f>SUMIF(A:A,C219,L:L)</f>
        <v>79099.69</v>
      </c>
      <c r="M219" s="458" t="e">
        <f t="shared" si="65"/>
        <v>#N/A</v>
      </c>
      <c r="N219" s="502" t="s">
        <v>6121</v>
      </c>
      <c r="O219" s="503" t="s">
        <v>6122</v>
      </c>
      <c r="P219" s="503" t="s">
        <v>6123</v>
      </c>
      <c r="Q219" s="503" t="s">
        <v>6124</v>
      </c>
      <c r="R219" s="503" t="s">
        <v>6125</v>
      </c>
      <c r="S219" s="503" t="s">
        <v>6126</v>
      </c>
      <c r="T219" s="503"/>
      <c r="U219" s="506"/>
      <c r="V219" s="422"/>
      <c r="W219" s="422"/>
      <c r="X219" s="422"/>
      <c r="Y219" s="422"/>
      <c r="Z219" s="422"/>
    </row>
    <row r="220" ht="48" customHeight="1" spans="1:26">
      <c r="A220" s="422" t="str">
        <f>B220</f>
        <v> 8 </v>
      </c>
      <c r="B220" s="423" t="str">
        <f>B219</f>
        <v> 8 </v>
      </c>
      <c r="C220" s="441" t="s">
        <v>587</v>
      </c>
      <c r="D220" s="442" t="s">
        <v>588</v>
      </c>
      <c r="E220" s="441" t="s">
        <v>139</v>
      </c>
      <c r="F220" s="441" t="s">
        <v>589</v>
      </c>
      <c r="G220" s="442" t="s">
        <v>141</v>
      </c>
      <c r="H220" s="443">
        <f>SUM(N220:U220)</f>
        <v>194.9</v>
      </c>
      <c r="I220" s="443">
        <f>VLOOKUP(D220,'Orçamento Analitico'!D:L,9,FALSE())</f>
        <v>237.37</v>
      </c>
      <c r="J220" s="443">
        <f>ROUNDDOWN(I220*(1+$G$6),2)</f>
        <v>297.87</v>
      </c>
      <c r="K220" s="443">
        <f>ROUNDDOWN(H220*I220,2)</f>
        <v>46263.41</v>
      </c>
      <c r="L220" s="443">
        <f>ROUNDDOWN(H220*J220,2)</f>
        <v>58054.86</v>
      </c>
      <c r="M220" s="461" t="e">
        <f t="shared" si="65"/>
        <v>#N/A</v>
      </c>
      <c r="N220" s="464">
        <v>194.9</v>
      </c>
      <c r="O220" s="465"/>
      <c r="P220" s="479" t="s">
        <v>6155</v>
      </c>
      <c r="Q220" s="465"/>
      <c r="R220" s="465"/>
      <c r="S220" s="465"/>
      <c r="T220" s="465"/>
      <c r="U220" s="479"/>
      <c r="V220" s="422"/>
      <c r="W220" s="422"/>
      <c r="X220" s="422"/>
      <c r="Y220" s="422"/>
      <c r="Z220" s="422"/>
    </row>
    <row r="221" ht="48" customHeight="1" spans="1:26">
      <c r="A221" s="422" t="str">
        <f>B221</f>
        <v> 8 </v>
      </c>
      <c r="B221" s="423" t="str">
        <f>B220</f>
        <v> 8 </v>
      </c>
      <c r="C221" s="441" t="s">
        <v>590</v>
      </c>
      <c r="D221" s="442" t="s">
        <v>591</v>
      </c>
      <c r="E221" s="441" t="s">
        <v>139</v>
      </c>
      <c r="F221" s="441" t="s">
        <v>592</v>
      </c>
      <c r="G221" s="442" t="s">
        <v>141</v>
      </c>
      <c r="H221" s="443">
        <f>SUM(N221:U221)</f>
        <v>194.9</v>
      </c>
      <c r="I221" s="443">
        <f>VLOOKUP(D221,'Orçamento Analitico'!D:L,9,FALSE())</f>
        <v>51.21</v>
      </c>
      <c r="J221" s="443">
        <f>ROUNDDOWN(I221*(1+$G$6),2)</f>
        <v>64.26</v>
      </c>
      <c r="K221" s="443">
        <f>ROUNDDOWN(H221*I221,2)</f>
        <v>9980.82</v>
      </c>
      <c r="L221" s="443">
        <f>ROUNDDOWN(H221*J221,2)</f>
        <v>12524.27</v>
      </c>
      <c r="M221" s="461" t="e">
        <f t="shared" si="65"/>
        <v>#N/A</v>
      </c>
      <c r="N221" s="464">
        <f>N220</f>
        <v>194.9</v>
      </c>
      <c r="O221" s="465"/>
      <c r="P221" s="465"/>
      <c r="Q221" s="465"/>
      <c r="R221" s="465"/>
      <c r="S221" s="465"/>
      <c r="T221" s="465"/>
      <c r="U221" s="479"/>
      <c r="V221" s="422"/>
      <c r="W221" s="422"/>
      <c r="X221" s="422"/>
      <c r="Y221" s="422"/>
      <c r="Z221" s="422"/>
    </row>
    <row r="222" ht="48" customHeight="1" spans="1:26">
      <c r="A222" s="422" t="str">
        <f>B222</f>
        <v> 8 </v>
      </c>
      <c r="B222" s="423" t="str">
        <f>B221</f>
        <v> 8 </v>
      </c>
      <c r="C222" s="441" t="s">
        <v>593</v>
      </c>
      <c r="D222" s="442" t="s">
        <v>594</v>
      </c>
      <c r="E222" s="441" t="s">
        <v>139</v>
      </c>
      <c r="F222" s="441" t="s">
        <v>595</v>
      </c>
      <c r="G222" s="442" t="s">
        <v>141</v>
      </c>
      <c r="H222" s="443">
        <f>SUM(N222:U222)</f>
        <v>194.9</v>
      </c>
      <c r="I222" s="443">
        <f>VLOOKUP(D222,'Orçamento Analitico'!D:L,9,FALSE())</f>
        <v>14.31</v>
      </c>
      <c r="J222" s="443">
        <f>ROUNDDOWN(I222*(1+$G$6),2)</f>
        <v>17.95</v>
      </c>
      <c r="K222" s="443">
        <f>ROUNDDOWN(H222*I222,2)</f>
        <v>2789.01</v>
      </c>
      <c r="L222" s="443">
        <f>ROUNDDOWN(H222*J222,2)</f>
        <v>3498.45</v>
      </c>
      <c r="M222" s="461" t="e">
        <f t="shared" si="65"/>
        <v>#N/A</v>
      </c>
      <c r="N222" s="464">
        <f>N221</f>
        <v>194.9</v>
      </c>
      <c r="O222" s="465"/>
      <c r="P222" s="465"/>
      <c r="Q222" s="465"/>
      <c r="R222" s="465"/>
      <c r="S222" s="465"/>
      <c r="T222" s="465"/>
      <c r="U222" s="479"/>
      <c r="V222" s="422"/>
      <c r="W222" s="422"/>
      <c r="X222" s="422"/>
      <c r="Y222" s="422"/>
      <c r="Z222" s="422"/>
    </row>
    <row r="223" ht="48" customHeight="1" spans="1:26">
      <c r="A223" s="422" t="str">
        <f>B223</f>
        <v> 8 </v>
      </c>
      <c r="B223" s="423" t="str">
        <f>B222</f>
        <v> 8 </v>
      </c>
      <c r="C223" s="441" t="s">
        <v>596</v>
      </c>
      <c r="D223" s="442" t="s">
        <v>597</v>
      </c>
      <c r="E223" s="441" t="s">
        <v>139</v>
      </c>
      <c r="F223" s="441" t="s">
        <v>598</v>
      </c>
      <c r="G223" s="442" t="s">
        <v>141</v>
      </c>
      <c r="H223" s="443">
        <f>SUM(N223:U223)</f>
        <v>194.9</v>
      </c>
      <c r="I223" s="443">
        <f>VLOOKUP(D223,'Orçamento Analitico'!D:L,9,FALSE())</f>
        <v>14.08</v>
      </c>
      <c r="J223" s="443">
        <f>ROUNDDOWN(I223*(1+$G$6),2)</f>
        <v>17.66</v>
      </c>
      <c r="K223" s="443">
        <f>ROUNDDOWN(H223*I223,2)</f>
        <v>2744.19</v>
      </c>
      <c r="L223" s="443">
        <f>ROUNDDOWN(H223*J223,2)</f>
        <v>3441.93</v>
      </c>
      <c r="M223" s="461" t="e">
        <f t="shared" si="65"/>
        <v>#N/A</v>
      </c>
      <c r="N223" s="464">
        <f>N222</f>
        <v>194.9</v>
      </c>
      <c r="O223" s="465"/>
      <c r="P223" s="465"/>
      <c r="Q223" s="465"/>
      <c r="R223" s="465"/>
      <c r="S223" s="465"/>
      <c r="T223" s="465"/>
      <c r="U223" s="479"/>
      <c r="V223" s="422"/>
      <c r="W223" s="422"/>
      <c r="X223" s="422"/>
      <c r="Y223" s="422"/>
      <c r="Z223" s="422"/>
    </row>
    <row r="224" ht="48" customHeight="1" spans="1:26">
      <c r="A224" s="422" t="str">
        <f>B224</f>
        <v> 8 </v>
      </c>
      <c r="B224" s="423" t="str">
        <f>B221</f>
        <v> 8 </v>
      </c>
      <c r="C224" s="441" t="s">
        <v>599</v>
      </c>
      <c r="D224" s="442" t="s">
        <v>600</v>
      </c>
      <c r="E224" s="441" t="s">
        <v>139</v>
      </c>
      <c r="F224" s="441" t="s">
        <v>601</v>
      </c>
      <c r="G224" s="442" t="s">
        <v>204</v>
      </c>
      <c r="H224" s="443">
        <f>SUM(N224:U224)</f>
        <v>6.25</v>
      </c>
      <c r="I224" s="443">
        <f>VLOOKUP(D224,'Orçamento Analitico'!D:L,9,FALSE())</f>
        <v>201.48</v>
      </c>
      <c r="J224" s="443">
        <f>ROUNDDOWN(I224*(1+$G$6),2)</f>
        <v>252.83</v>
      </c>
      <c r="K224" s="443">
        <f>ROUNDDOWN(H224*I224,2)</f>
        <v>1259.25</v>
      </c>
      <c r="L224" s="443">
        <f>ROUNDDOWN(H224*J224,2)</f>
        <v>1580.18</v>
      </c>
      <c r="M224" s="461" t="e">
        <f t="shared" si="65"/>
        <v>#N/A</v>
      </c>
      <c r="N224" s="464"/>
      <c r="O224" s="465"/>
      <c r="P224" s="465"/>
      <c r="Q224" s="465"/>
      <c r="R224" s="465">
        <v>6.25</v>
      </c>
      <c r="S224" s="465"/>
      <c r="T224" s="465"/>
      <c r="U224" s="479"/>
      <c r="V224" s="422"/>
      <c r="W224" s="422"/>
      <c r="X224" s="422"/>
      <c r="Y224" s="422"/>
      <c r="Z224" s="422"/>
    </row>
    <row r="225" ht="12.75" customHeight="1" spans="1:26">
      <c r="A225" s="422"/>
      <c r="B225" s="423" t="str">
        <f>C225</f>
        <v> 9 </v>
      </c>
      <c r="C225" s="438" t="s">
        <v>34</v>
      </c>
      <c r="D225" s="439" t="s">
        <v>74</v>
      </c>
      <c r="E225" s="438"/>
      <c r="F225" s="438" t="s">
        <v>35</v>
      </c>
      <c r="G225" s="439"/>
      <c r="H225" s="440"/>
      <c r="I225" s="440"/>
      <c r="J225" s="440"/>
      <c r="K225" s="440">
        <f>SUM(K226,K233)</f>
        <v>164393.15</v>
      </c>
      <c r="L225" s="440">
        <f>SUM(L226,L233)</f>
        <v>206292.48</v>
      </c>
      <c r="M225" s="458" t="e">
        <f t="shared" si="65"/>
        <v>#N/A</v>
      </c>
      <c r="N225" s="464"/>
      <c r="O225" s="465"/>
      <c r="P225" s="465"/>
      <c r="Q225" s="465"/>
      <c r="R225" s="465"/>
      <c r="S225" s="465"/>
      <c r="T225" s="465"/>
      <c r="U225" s="479"/>
      <c r="V225" s="422"/>
      <c r="W225" s="422"/>
      <c r="X225" s="422"/>
      <c r="Y225" s="422"/>
      <c r="Z225" s="422"/>
    </row>
    <row r="226" ht="12.75" customHeight="1" spans="1:26">
      <c r="A226" s="422"/>
      <c r="B226" s="423" t="str">
        <f>C226</f>
        <v> 9.1 </v>
      </c>
      <c r="C226" s="444" t="s">
        <v>602</v>
      </c>
      <c r="D226" s="445" t="s">
        <v>74</v>
      </c>
      <c r="E226" s="444"/>
      <c r="F226" s="444" t="s">
        <v>603</v>
      </c>
      <c r="G226" s="445"/>
      <c r="H226" s="446"/>
      <c r="I226" s="446"/>
      <c r="J226" s="466"/>
      <c r="K226" s="466">
        <f>SUMIF(A:A,B226,K:K)</f>
        <v>149467.74</v>
      </c>
      <c r="L226" s="466">
        <f>SUMIF(A:A,C226,L:L)</f>
        <v>187564.09</v>
      </c>
      <c r="M226" s="467" t="e">
        <f t="shared" si="65"/>
        <v>#N/A</v>
      </c>
      <c r="N226" s="464"/>
      <c r="O226" s="465"/>
      <c r="P226" s="465"/>
      <c r="Q226" s="465"/>
      <c r="R226" s="465"/>
      <c r="S226" s="465"/>
      <c r="T226" s="465"/>
      <c r="U226" s="479"/>
      <c r="V226" s="422"/>
      <c r="W226" s="422"/>
      <c r="X226" s="422"/>
      <c r="Y226" s="422"/>
      <c r="Z226" s="422"/>
    </row>
    <row r="227" ht="12.75" customHeight="1" spans="1:26">
      <c r="A227" s="422" t="str">
        <f>B227</f>
        <v> 9.1 </v>
      </c>
      <c r="B227" s="423" t="str">
        <f>B226</f>
        <v> 9.1 </v>
      </c>
      <c r="C227" s="441" t="s">
        <v>604</v>
      </c>
      <c r="D227" s="442" t="s">
        <v>605</v>
      </c>
      <c r="E227" s="441" t="s">
        <v>139</v>
      </c>
      <c r="F227" s="441" t="s">
        <v>606</v>
      </c>
      <c r="G227" s="442" t="s">
        <v>141</v>
      </c>
      <c r="H227" s="443">
        <f>SUM(T227:T231)</f>
        <v>323.72</v>
      </c>
      <c r="I227" s="443">
        <f>VLOOKUP(D227,'Orçamento Analitico'!D:L,9,FALSE())</f>
        <v>246.08</v>
      </c>
      <c r="J227" s="443">
        <f>ROUNDDOWN(I227*(1+$G$6),2)</f>
        <v>308.8</v>
      </c>
      <c r="K227" s="443">
        <f>ROUNDDOWN(H227*I227,2)</f>
        <v>79661.01</v>
      </c>
      <c r="L227" s="443">
        <f>ROUNDDOWN(H227*J227,2)</f>
        <v>99964.73</v>
      </c>
      <c r="M227" s="461" t="e">
        <f t="shared" si="65"/>
        <v>#N/A</v>
      </c>
      <c r="N227" s="473"/>
      <c r="O227" s="474"/>
      <c r="P227" s="474">
        <f>10.25+0.3</f>
        <v>10.55</v>
      </c>
      <c r="Q227" s="474" t="s">
        <v>6128</v>
      </c>
      <c r="R227" s="474">
        <f>3.25+0.3</f>
        <v>3.55</v>
      </c>
      <c r="S227" s="474" t="s">
        <v>6129</v>
      </c>
      <c r="T227" s="474">
        <f>ROUNDDOWN(P227*R227,2)</f>
        <v>37.45</v>
      </c>
      <c r="U227" s="479" t="s">
        <v>6156</v>
      </c>
      <c r="V227" s="422"/>
      <c r="W227" s="422"/>
      <c r="X227" s="422"/>
      <c r="Y227" s="422"/>
      <c r="Z227" s="422"/>
    </row>
    <row r="228" ht="12.75" customHeight="1" spans="1:26">
      <c r="A228" s="422"/>
      <c r="B228" s="423"/>
      <c r="C228" s="441"/>
      <c r="D228" s="442"/>
      <c r="E228" s="441"/>
      <c r="F228" s="441"/>
      <c r="G228" s="442"/>
      <c r="H228" s="443"/>
      <c r="I228" s="443"/>
      <c r="J228" s="443"/>
      <c r="K228" s="443"/>
      <c r="L228" s="443"/>
      <c r="M228" s="461" t="e">
        <f t="shared" si="65"/>
        <v>#N/A</v>
      </c>
      <c r="N228" s="473"/>
      <c r="O228" s="474"/>
      <c r="P228" s="474">
        <f>13.7+0.3</f>
        <v>14</v>
      </c>
      <c r="Q228" s="474" t="s">
        <v>6128</v>
      </c>
      <c r="R228" s="474">
        <f>6.03+0.3</f>
        <v>6.33</v>
      </c>
      <c r="S228" s="474" t="s">
        <v>6129</v>
      </c>
      <c r="T228" s="474">
        <f>ROUNDDOWN(P228*R228,2)</f>
        <v>88.62</v>
      </c>
      <c r="U228" s="479" t="s">
        <v>6157</v>
      </c>
      <c r="V228" s="422"/>
      <c r="W228" s="422"/>
      <c r="X228" s="422"/>
      <c r="Y228" s="422"/>
      <c r="Z228" s="422"/>
    </row>
    <row r="229" ht="12.75" customHeight="1" spans="1:26">
      <c r="A229" s="422"/>
      <c r="B229" s="423"/>
      <c r="C229" s="441"/>
      <c r="D229" s="442"/>
      <c r="E229" s="441"/>
      <c r="F229" s="441"/>
      <c r="G229" s="442"/>
      <c r="H229" s="443"/>
      <c r="I229" s="443"/>
      <c r="J229" s="443"/>
      <c r="K229" s="443"/>
      <c r="L229" s="443"/>
      <c r="M229" s="461" t="e">
        <f t="shared" si="65"/>
        <v>#N/A</v>
      </c>
      <c r="N229" s="473"/>
      <c r="O229" s="474"/>
      <c r="P229" s="474">
        <f>4.7+0.3</f>
        <v>5</v>
      </c>
      <c r="Q229" s="474" t="s">
        <v>6128</v>
      </c>
      <c r="R229" s="474">
        <f>1.7+0.3</f>
        <v>2</v>
      </c>
      <c r="S229" s="474" t="s">
        <v>6129</v>
      </c>
      <c r="T229" s="474">
        <f>ROUNDDOWN(P229*R229,2)</f>
        <v>10</v>
      </c>
      <c r="U229" s="479" t="s">
        <v>6158</v>
      </c>
      <c r="V229" s="422"/>
      <c r="W229" s="422"/>
      <c r="X229" s="422"/>
      <c r="Y229" s="422"/>
      <c r="Z229" s="422"/>
    </row>
    <row r="230" ht="12.75" customHeight="1" spans="1:26">
      <c r="A230" s="422"/>
      <c r="B230" s="423"/>
      <c r="C230" s="441"/>
      <c r="D230" s="442"/>
      <c r="E230" s="441"/>
      <c r="F230" s="441"/>
      <c r="G230" s="442"/>
      <c r="H230" s="443"/>
      <c r="I230" s="443"/>
      <c r="J230" s="443"/>
      <c r="K230" s="443"/>
      <c r="L230" s="443"/>
      <c r="M230" s="461" t="e">
        <f t="shared" si="65"/>
        <v>#N/A</v>
      </c>
      <c r="N230" s="474">
        <v>2</v>
      </c>
      <c r="O230" s="474" t="s">
        <v>6128</v>
      </c>
      <c r="P230" s="474">
        <f>11.7+0.3</f>
        <v>12</v>
      </c>
      <c r="Q230" s="474" t="s">
        <v>6128</v>
      </c>
      <c r="R230" s="474">
        <f>6.3+0.3</f>
        <v>6.6</v>
      </c>
      <c r="S230" s="474" t="s">
        <v>6129</v>
      </c>
      <c r="T230" s="474">
        <f>ROUND(N230*P230*R230,2)</f>
        <v>158.4</v>
      </c>
      <c r="U230" s="479" t="s">
        <v>6159</v>
      </c>
      <c r="V230" s="422"/>
      <c r="W230" s="422"/>
      <c r="X230" s="422"/>
      <c r="Y230" s="422"/>
      <c r="Z230" s="422"/>
    </row>
    <row r="231" ht="12.75" customHeight="1" spans="1:26">
      <c r="A231" s="422"/>
      <c r="B231" s="423"/>
      <c r="C231" s="441"/>
      <c r="D231" s="442"/>
      <c r="E231" s="441"/>
      <c r="F231" s="441"/>
      <c r="G231" s="442"/>
      <c r="H231" s="443"/>
      <c r="I231" s="443"/>
      <c r="J231" s="443"/>
      <c r="K231" s="443"/>
      <c r="L231" s="443"/>
      <c r="M231" s="461" t="e">
        <f t="shared" si="65"/>
        <v>#N/A</v>
      </c>
      <c r="N231" s="474">
        <v>2</v>
      </c>
      <c r="O231" s="474" t="s">
        <v>6128</v>
      </c>
      <c r="P231" s="474">
        <f>4.2+0.3</f>
        <v>4.5</v>
      </c>
      <c r="Q231" s="474" t="s">
        <v>6128</v>
      </c>
      <c r="R231" s="474">
        <f>3.1+0.15</f>
        <v>3.25</v>
      </c>
      <c r="S231" s="474" t="s">
        <v>6129</v>
      </c>
      <c r="T231" s="474">
        <f>ROUND(N231*P231*R231,2)</f>
        <v>29.25</v>
      </c>
      <c r="U231" s="479" t="s">
        <v>6159</v>
      </c>
      <c r="V231" s="422"/>
      <c r="W231" s="422"/>
      <c r="X231" s="422"/>
      <c r="Y231" s="422"/>
      <c r="Z231" s="422"/>
    </row>
    <row r="232" ht="30.75" customHeight="1" spans="1:26">
      <c r="A232" s="422" t="str">
        <f>B232</f>
        <v> 9.1 </v>
      </c>
      <c r="B232" s="423" t="str">
        <f>B227</f>
        <v> 9.1 </v>
      </c>
      <c r="C232" s="441" t="s">
        <v>607</v>
      </c>
      <c r="D232" s="442" t="s">
        <v>608</v>
      </c>
      <c r="E232" s="441" t="s">
        <v>139</v>
      </c>
      <c r="F232" s="441" t="s">
        <v>609</v>
      </c>
      <c r="G232" s="442" t="s">
        <v>141</v>
      </c>
      <c r="H232" s="443">
        <f>SUM(N232:Q232)</f>
        <v>335.9</v>
      </c>
      <c r="I232" s="443">
        <f>VLOOKUP(D232,'Orçamento Analitico'!D:L,9,FALSE())</f>
        <v>207.82</v>
      </c>
      <c r="J232" s="443">
        <f>ROUNDDOWN(I232*(1+$G$6),2)</f>
        <v>260.79</v>
      </c>
      <c r="K232" s="443">
        <f>ROUNDDOWN(H232*I232,2)</f>
        <v>69806.73</v>
      </c>
      <c r="L232" s="443">
        <f>ROUNDDOWN(H232*J232,2)</f>
        <v>87599.36</v>
      </c>
      <c r="M232" s="461" t="e">
        <f t="shared" si="65"/>
        <v>#N/A</v>
      </c>
      <c r="N232" s="464">
        <v>222.5</v>
      </c>
      <c r="O232" s="493" t="s">
        <v>6160</v>
      </c>
      <c r="P232" s="493"/>
      <c r="Q232" s="474">
        <v>113.4</v>
      </c>
      <c r="R232" s="493" t="s">
        <v>6161</v>
      </c>
      <c r="S232" s="465"/>
      <c r="T232" s="465"/>
      <c r="U232" s="479"/>
      <c r="V232" s="422"/>
      <c r="W232" s="422"/>
      <c r="X232" s="422"/>
      <c r="Y232" s="422"/>
      <c r="Z232" s="422"/>
    </row>
    <row r="233" ht="12.75" customHeight="1" spans="1:26">
      <c r="A233" s="422"/>
      <c r="B233" s="423"/>
      <c r="C233" s="444" t="s">
        <v>610</v>
      </c>
      <c r="D233" s="445" t="s">
        <v>74</v>
      </c>
      <c r="E233" s="444"/>
      <c r="F233" s="444" t="s">
        <v>611</v>
      </c>
      <c r="G233" s="445"/>
      <c r="H233" s="446"/>
      <c r="I233" s="446"/>
      <c r="J233" s="466"/>
      <c r="K233" s="466">
        <f>SUM(K234,K237)</f>
        <v>14925.41</v>
      </c>
      <c r="L233" s="466">
        <f>SUM(L234,L237)</f>
        <v>18728.39</v>
      </c>
      <c r="M233" s="467" t="e">
        <f t="shared" si="65"/>
        <v>#N/A</v>
      </c>
      <c r="N233" s="500"/>
      <c r="O233" s="504"/>
      <c r="P233" s="504"/>
      <c r="Q233" s="508"/>
      <c r="R233" s="504"/>
      <c r="S233" s="501"/>
      <c r="T233" s="501"/>
      <c r="U233" s="505"/>
      <c r="V233" s="422"/>
      <c r="W233" s="422"/>
      <c r="X233" s="422"/>
      <c r="Y233" s="422"/>
      <c r="Z233" s="422"/>
    </row>
    <row r="234" ht="12.75" customHeight="1" spans="1:26">
      <c r="A234" s="422"/>
      <c r="B234" s="423" t="str">
        <f>C234</f>
        <v> 9.2.1 </v>
      </c>
      <c r="C234" s="488" t="s">
        <v>612</v>
      </c>
      <c r="D234" s="489" t="s">
        <v>74</v>
      </c>
      <c r="E234" s="488"/>
      <c r="F234" s="488" t="s">
        <v>381</v>
      </c>
      <c r="G234" s="489"/>
      <c r="H234" s="490"/>
      <c r="I234" s="490"/>
      <c r="J234" s="490"/>
      <c r="K234" s="490">
        <f>SUMIF(A:A,B234,K:K)</f>
        <v>8575.33</v>
      </c>
      <c r="L234" s="490">
        <f>SUMIF(A:A,C234,L:L)</f>
        <v>10760.31</v>
      </c>
      <c r="M234" s="496" t="e">
        <f t="shared" si="65"/>
        <v>#N/A</v>
      </c>
      <c r="N234" s="500"/>
      <c r="O234" s="504"/>
      <c r="P234" s="504"/>
      <c r="Q234" s="508"/>
      <c r="R234" s="504"/>
      <c r="S234" s="501"/>
      <c r="T234" s="501"/>
      <c r="U234" s="505"/>
      <c r="V234" s="422"/>
      <c r="W234" s="422"/>
      <c r="X234" s="422"/>
      <c r="Y234" s="422"/>
      <c r="Z234" s="422"/>
    </row>
    <row r="235" ht="39" customHeight="1" spans="1:26">
      <c r="A235" s="422" t="str">
        <f>B235</f>
        <v> 9.2.1 </v>
      </c>
      <c r="B235" s="423" t="str">
        <f>B234</f>
        <v> 9.2.1 </v>
      </c>
      <c r="C235" s="441" t="s">
        <v>613</v>
      </c>
      <c r="D235" s="442" t="s">
        <v>614</v>
      </c>
      <c r="E235" s="441" t="s">
        <v>139</v>
      </c>
      <c r="F235" s="441" t="s">
        <v>615</v>
      </c>
      <c r="G235" s="442" t="s">
        <v>141</v>
      </c>
      <c r="H235" s="443">
        <f>N235</f>
        <v>123.5</v>
      </c>
      <c r="I235" s="443">
        <f>VLOOKUP(D235,'Orçamento Analitico'!D:L,9,FALSE())</f>
        <v>56.43</v>
      </c>
      <c r="J235" s="443">
        <f>ROUNDDOWN(I235*(1+$G$6),2)</f>
        <v>70.81</v>
      </c>
      <c r="K235" s="443">
        <f>ROUNDDOWN(H235*I235,2)</f>
        <v>6969.1</v>
      </c>
      <c r="L235" s="443">
        <f>ROUNDDOWN(H235*J235,2)</f>
        <v>8745.03</v>
      </c>
      <c r="M235" s="461" t="e">
        <f t="shared" si="65"/>
        <v>#N/A</v>
      </c>
      <c r="N235" s="500">
        <v>123.5</v>
      </c>
      <c r="O235" s="504"/>
      <c r="P235" s="504"/>
      <c r="Q235" s="508"/>
      <c r="R235" s="504"/>
      <c r="S235" s="501"/>
      <c r="T235" s="501"/>
      <c r="U235" s="505"/>
      <c r="V235" s="422"/>
      <c r="W235" s="422"/>
      <c r="X235" s="422"/>
      <c r="Y235" s="422"/>
      <c r="Z235" s="422"/>
    </row>
    <row r="236" ht="39" customHeight="1" spans="1:26">
      <c r="A236" s="422" t="str">
        <f>B236</f>
        <v> 9.2.1 </v>
      </c>
      <c r="B236" s="423" t="str">
        <f>B235</f>
        <v> 9.2.1 </v>
      </c>
      <c r="C236" s="441" t="s">
        <v>616</v>
      </c>
      <c r="D236" s="442" t="s">
        <v>617</v>
      </c>
      <c r="E236" s="441" t="s">
        <v>139</v>
      </c>
      <c r="F236" s="441" t="s">
        <v>618</v>
      </c>
      <c r="G236" s="442" t="s">
        <v>141</v>
      </c>
      <c r="H236" s="443">
        <f>N236</f>
        <v>40.5</v>
      </c>
      <c r="I236" s="443">
        <f>VLOOKUP(D236,'Orçamento Analitico'!D:L,9,FALSE())</f>
        <v>39.66</v>
      </c>
      <c r="J236" s="443">
        <f>ROUNDDOWN(I236*(1+$G$6),2)</f>
        <v>49.76</v>
      </c>
      <c r="K236" s="443">
        <f>ROUNDDOWN(H236*I236,2)</f>
        <v>1606.23</v>
      </c>
      <c r="L236" s="443">
        <f>ROUNDDOWN(H236*J236,2)</f>
        <v>2015.28</v>
      </c>
      <c r="M236" s="461" t="e">
        <f t="shared" si="65"/>
        <v>#N/A</v>
      </c>
      <c r="N236" s="500">
        <v>40.5</v>
      </c>
      <c r="O236" s="504"/>
      <c r="P236" s="504"/>
      <c r="Q236" s="508"/>
      <c r="R236" s="504"/>
      <c r="S236" s="501"/>
      <c r="T236" s="501"/>
      <c r="U236" s="505"/>
      <c r="V236" s="422"/>
      <c r="W236" s="422"/>
      <c r="X236" s="422"/>
      <c r="Y236" s="422"/>
      <c r="Z236" s="422"/>
    </row>
    <row r="237" ht="12.75" customHeight="1" spans="1:26">
      <c r="A237" s="422"/>
      <c r="B237" s="423" t="str">
        <f>C237</f>
        <v> 9.2.2 </v>
      </c>
      <c r="C237" s="488" t="s">
        <v>619</v>
      </c>
      <c r="D237" s="489" t="s">
        <v>74</v>
      </c>
      <c r="E237" s="488"/>
      <c r="F237" s="488" t="s">
        <v>385</v>
      </c>
      <c r="G237" s="489"/>
      <c r="H237" s="490"/>
      <c r="I237" s="490"/>
      <c r="J237" s="490"/>
      <c r="K237" s="490">
        <f>SUMIF(A:A,B237,K:K)</f>
        <v>6350.08</v>
      </c>
      <c r="L237" s="490">
        <f>SUMIF(A:A,C237,L:L)</f>
        <v>7968.08</v>
      </c>
      <c r="M237" s="496" t="e">
        <f t="shared" si="65"/>
        <v>#N/A</v>
      </c>
      <c r="N237" s="500"/>
      <c r="O237" s="504"/>
      <c r="P237" s="504"/>
      <c r="Q237" s="508"/>
      <c r="R237" s="504"/>
      <c r="S237" s="501"/>
      <c r="T237" s="501"/>
      <c r="U237" s="505"/>
      <c r="V237" s="422"/>
      <c r="W237" s="422"/>
      <c r="X237" s="422"/>
      <c r="Y237" s="422"/>
      <c r="Z237" s="422"/>
    </row>
    <row r="238" ht="39" customHeight="1" spans="1:26">
      <c r="A238" s="422" t="str">
        <f>B238</f>
        <v> 9.2.2 </v>
      </c>
      <c r="B238" s="423" t="str">
        <f>B237</f>
        <v> 9.2.2 </v>
      </c>
      <c r="C238" s="441" t="s">
        <v>620</v>
      </c>
      <c r="D238" s="442" t="s">
        <v>614</v>
      </c>
      <c r="E238" s="441" t="s">
        <v>139</v>
      </c>
      <c r="F238" s="441" t="s">
        <v>615</v>
      </c>
      <c r="G238" s="442" t="s">
        <v>141</v>
      </c>
      <c r="H238" s="443">
        <f>N238</f>
        <v>92.5</v>
      </c>
      <c r="I238" s="443">
        <f>VLOOKUP(D238,'Orçamento Analitico'!D:L,9,FALSE())</f>
        <v>56.43</v>
      </c>
      <c r="J238" s="443">
        <f>ROUNDDOWN(I238*(1+$G$6),2)</f>
        <v>70.81</v>
      </c>
      <c r="K238" s="443">
        <f>ROUNDDOWN(H238*I238,2)</f>
        <v>5219.77</v>
      </c>
      <c r="L238" s="443">
        <f>ROUNDDOWN(H238*J238,2)</f>
        <v>6549.92</v>
      </c>
      <c r="M238" s="461" t="e">
        <f t="shared" si="65"/>
        <v>#N/A</v>
      </c>
      <c r="N238" s="500">
        <v>92.5</v>
      </c>
      <c r="O238" s="504"/>
      <c r="P238" s="504"/>
      <c r="Q238" s="508"/>
      <c r="R238" s="504"/>
      <c r="S238" s="501"/>
      <c r="T238" s="501"/>
      <c r="U238" s="505"/>
      <c r="V238" s="422"/>
      <c r="W238" s="422"/>
      <c r="X238" s="422"/>
      <c r="Y238" s="422"/>
      <c r="Z238" s="422"/>
    </row>
    <row r="239" ht="39" customHeight="1" spans="1:26">
      <c r="A239" s="422" t="str">
        <f>B239</f>
        <v> 9.2.2 </v>
      </c>
      <c r="B239" s="423" t="str">
        <f>B238</f>
        <v> 9.2.2 </v>
      </c>
      <c r="C239" s="441" t="s">
        <v>621</v>
      </c>
      <c r="D239" s="442" t="s">
        <v>617</v>
      </c>
      <c r="E239" s="441" t="s">
        <v>139</v>
      </c>
      <c r="F239" s="441" t="s">
        <v>618</v>
      </c>
      <c r="G239" s="442" t="s">
        <v>141</v>
      </c>
      <c r="H239" s="443">
        <f>N239</f>
        <v>28.5</v>
      </c>
      <c r="I239" s="443">
        <f>VLOOKUP(D239,'Orçamento Analitico'!D:L,9,FALSE())</f>
        <v>39.66</v>
      </c>
      <c r="J239" s="443">
        <f>ROUNDDOWN(I239*(1+$G$6),2)</f>
        <v>49.76</v>
      </c>
      <c r="K239" s="443">
        <f>ROUNDDOWN(H239*I239,2)</f>
        <v>1130.31</v>
      </c>
      <c r="L239" s="443">
        <f>ROUNDDOWN(H239*J239,2)</f>
        <v>1418.16</v>
      </c>
      <c r="M239" s="461" t="e">
        <f t="shared" si="65"/>
        <v>#N/A</v>
      </c>
      <c r="N239" s="500">
        <v>28.5</v>
      </c>
      <c r="O239" s="504"/>
      <c r="P239" s="504"/>
      <c r="Q239" s="508"/>
      <c r="R239" s="504"/>
      <c r="S239" s="501"/>
      <c r="T239" s="501"/>
      <c r="U239" s="505"/>
      <c r="V239" s="422"/>
      <c r="W239" s="422"/>
      <c r="X239" s="422"/>
      <c r="Y239" s="422"/>
      <c r="Z239" s="422"/>
    </row>
    <row r="240" ht="12.75" customHeight="1" spans="1:26">
      <c r="A240" s="422"/>
      <c r="B240" s="423"/>
      <c r="C240" s="438" t="s">
        <v>36</v>
      </c>
      <c r="D240" s="439" t="s">
        <v>74</v>
      </c>
      <c r="E240" s="438"/>
      <c r="F240" s="438" t="s">
        <v>37</v>
      </c>
      <c r="G240" s="439"/>
      <c r="H240" s="440"/>
      <c r="I240" s="440"/>
      <c r="J240" s="440"/>
      <c r="K240" s="440">
        <f>SUM(K241,K269,K272,K278)</f>
        <v>1529610.8</v>
      </c>
      <c r="L240" s="440">
        <f>SUM(L241,L269,L272,L278)</f>
        <v>1919498.97</v>
      </c>
      <c r="M240" s="458" t="e">
        <f t="shared" si="65"/>
        <v>#N/A</v>
      </c>
      <c r="N240" s="502" t="s">
        <v>6121</v>
      </c>
      <c r="O240" s="503" t="s">
        <v>6122</v>
      </c>
      <c r="P240" s="503" t="s">
        <v>6123</v>
      </c>
      <c r="Q240" s="503" t="s">
        <v>6124</v>
      </c>
      <c r="R240" s="503" t="s">
        <v>6125</v>
      </c>
      <c r="S240" s="503" t="s">
        <v>6126</v>
      </c>
      <c r="T240" s="503"/>
      <c r="U240" s="506"/>
      <c r="V240" s="422"/>
      <c r="W240" s="422"/>
      <c r="X240" s="422"/>
      <c r="Y240" s="422"/>
      <c r="Z240" s="422"/>
    </row>
    <row r="241" ht="12.75" customHeight="1" spans="1:26">
      <c r="A241" s="422"/>
      <c r="B241" s="423" t="str">
        <f>C241</f>
        <v> 10.1 </v>
      </c>
      <c r="C241" s="444" t="s">
        <v>622</v>
      </c>
      <c r="D241" s="445" t="s">
        <v>74</v>
      </c>
      <c r="E241" s="444"/>
      <c r="F241" s="444" t="s">
        <v>623</v>
      </c>
      <c r="G241" s="445"/>
      <c r="H241" s="446"/>
      <c r="I241" s="446"/>
      <c r="J241" s="466"/>
      <c r="K241" s="466">
        <f>SUMIF(A:A,B241,K:K)</f>
        <v>912450.8</v>
      </c>
      <c r="L241" s="466">
        <f>SUMIF(A:A,C241,L:L)</f>
        <v>1145032.33</v>
      </c>
      <c r="M241" s="467" t="e">
        <f t="shared" si="65"/>
        <v>#N/A</v>
      </c>
      <c r="N241" s="464"/>
      <c r="O241" s="465"/>
      <c r="P241" s="465"/>
      <c r="Q241" s="465"/>
      <c r="R241" s="465"/>
      <c r="S241" s="465"/>
      <c r="T241" s="465"/>
      <c r="U241" s="479"/>
      <c r="V241" s="422"/>
      <c r="W241" s="422"/>
      <c r="X241" s="422"/>
      <c r="Y241" s="422"/>
      <c r="Z241" s="422"/>
    </row>
    <row r="242" ht="12.75" customHeight="1" spans="1:26">
      <c r="A242" s="422" t="str">
        <f t="shared" ref="A242:A268" si="66">B242</f>
        <v> 10.1 </v>
      </c>
      <c r="B242" s="423" t="str">
        <f t="shared" ref="B242:B268" si="67">B241</f>
        <v> 10.1 </v>
      </c>
      <c r="C242" s="441" t="s">
        <v>624</v>
      </c>
      <c r="D242" s="442" t="s">
        <v>625</v>
      </c>
      <c r="E242" s="441" t="s">
        <v>132</v>
      </c>
      <c r="F242" s="441" t="s">
        <v>626</v>
      </c>
      <c r="G242" s="442" t="s">
        <v>134</v>
      </c>
      <c r="H242" s="443">
        <f t="shared" ref="H242:H268" si="68">SUM(N242:U242)</f>
        <v>11</v>
      </c>
      <c r="I242" s="443">
        <f>VLOOKUP(D242,'Orçamento Analitico'!D:L,9,FALSE())</f>
        <v>994.76</v>
      </c>
      <c r="J242" s="443">
        <f t="shared" ref="J242:J268" si="69">ROUNDDOWN(I242*(1+$G$6),2)</f>
        <v>1248.32</v>
      </c>
      <c r="K242" s="443">
        <f t="shared" ref="K242:K268" si="70">ROUNDDOWN(H242*I242,2)</f>
        <v>10942.36</v>
      </c>
      <c r="L242" s="443">
        <f t="shared" ref="L242:L268" si="71">ROUNDDOWN(H242*J242,2)</f>
        <v>13731.52</v>
      </c>
      <c r="M242" s="461" t="e">
        <f t="shared" si="65"/>
        <v>#N/A</v>
      </c>
      <c r="N242" s="464">
        <v>10</v>
      </c>
      <c r="O242" s="465"/>
      <c r="P242" s="465"/>
      <c r="Q242" s="465">
        <v>1</v>
      </c>
      <c r="R242" s="465"/>
      <c r="S242" s="465"/>
      <c r="T242" s="465"/>
      <c r="U242" s="479"/>
      <c r="V242" s="422"/>
      <c r="W242" s="422"/>
      <c r="X242" s="422"/>
      <c r="Y242" s="422"/>
      <c r="Z242" s="422"/>
    </row>
    <row r="243" ht="12.75" customHeight="1" spans="1:26">
      <c r="A243" s="422" t="str">
        <f t="shared" si="66"/>
        <v> 10.1 </v>
      </c>
      <c r="B243" s="423" t="str">
        <f t="shared" si="67"/>
        <v> 10.1 </v>
      </c>
      <c r="C243" s="441" t="s">
        <v>627</v>
      </c>
      <c r="D243" s="442" t="s">
        <v>628</v>
      </c>
      <c r="E243" s="441" t="s">
        <v>132</v>
      </c>
      <c r="F243" s="441" t="s">
        <v>629</v>
      </c>
      <c r="G243" s="442" t="s">
        <v>134</v>
      </c>
      <c r="H243" s="443">
        <f t="shared" si="68"/>
        <v>14</v>
      </c>
      <c r="I243" s="443">
        <f>VLOOKUP(D243,'Orçamento Analitico'!D:L,9,FALSE())</f>
        <v>1441.92</v>
      </c>
      <c r="J243" s="443">
        <f t="shared" si="69"/>
        <v>1809.46</v>
      </c>
      <c r="K243" s="443">
        <f t="shared" si="70"/>
        <v>20186.88</v>
      </c>
      <c r="L243" s="443">
        <f t="shared" si="71"/>
        <v>25332.44</v>
      </c>
      <c r="M243" s="461" t="e">
        <f t="shared" si="65"/>
        <v>#N/A</v>
      </c>
      <c r="N243" s="464">
        <v>7</v>
      </c>
      <c r="O243" s="465">
        <v>0</v>
      </c>
      <c r="P243" s="465">
        <v>0</v>
      </c>
      <c r="Q243" s="465">
        <v>3</v>
      </c>
      <c r="R243" s="465">
        <v>4</v>
      </c>
      <c r="S243" s="465"/>
      <c r="T243" s="465"/>
      <c r="U243" s="479"/>
      <c r="V243" s="485">
        <f>0.8*2.5</f>
        <v>2</v>
      </c>
      <c r="W243" s="422"/>
      <c r="X243" s="422"/>
      <c r="Y243" s="422"/>
      <c r="Z243" s="422"/>
    </row>
    <row r="244" ht="12.75" customHeight="1" spans="1:26">
      <c r="A244" s="422" t="str">
        <f t="shared" si="66"/>
        <v> 10.1 </v>
      </c>
      <c r="B244" s="423" t="str">
        <f t="shared" si="67"/>
        <v> 10.1 </v>
      </c>
      <c r="C244" s="441" t="s">
        <v>630</v>
      </c>
      <c r="D244" s="442" t="s">
        <v>631</v>
      </c>
      <c r="E244" s="441" t="s">
        <v>132</v>
      </c>
      <c r="F244" s="441" t="s">
        <v>632</v>
      </c>
      <c r="G244" s="442" t="s">
        <v>134</v>
      </c>
      <c r="H244" s="443">
        <f t="shared" si="68"/>
        <v>2</v>
      </c>
      <c r="I244" s="443">
        <f>VLOOKUP(D244,'Orçamento Analitico'!D:L,9,FALSE())</f>
        <v>1274.08</v>
      </c>
      <c r="J244" s="443">
        <f t="shared" si="69"/>
        <v>1598.84</v>
      </c>
      <c r="K244" s="443">
        <f t="shared" si="70"/>
        <v>2548.16</v>
      </c>
      <c r="L244" s="443">
        <f t="shared" si="71"/>
        <v>3197.68</v>
      </c>
      <c r="M244" s="461" t="e">
        <f t="shared" si="65"/>
        <v>#N/A</v>
      </c>
      <c r="N244" s="464"/>
      <c r="O244" s="465"/>
      <c r="P244" s="465"/>
      <c r="Q244" s="465"/>
      <c r="R244" s="465">
        <v>2</v>
      </c>
      <c r="S244" s="465"/>
      <c r="T244" s="465"/>
      <c r="U244" s="479"/>
      <c r="V244" s="485">
        <f>0.8*2.1</f>
        <v>1.68</v>
      </c>
      <c r="W244" s="422"/>
      <c r="X244" s="422"/>
      <c r="Y244" s="422"/>
      <c r="Z244" s="422"/>
    </row>
    <row r="245" ht="12.75" customHeight="1" spans="1:26">
      <c r="A245" s="422" t="str">
        <f t="shared" si="66"/>
        <v> 10.1 </v>
      </c>
      <c r="B245" s="423" t="str">
        <f t="shared" si="67"/>
        <v> 10.1 </v>
      </c>
      <c r="C245" s="441" t="s">
        <v>633</v>
      </c>
      <c r="D245" s="442" t="s">
        <v>634</v>
      </c>
      <c r="E245" s="441" t="s">
        <v>132</v>
      </c>
      <c r="F245" s="441" t="s">
        <v>635</v>
      </c>
      <c r="G245" s="442" t="s">
        <v>134</v>
      </c>
      <c r="H245" s="443">
        <f t="shared" si="68"/>
        <v>6</v>
      </c>
      <c r="I245" s="443">
        <f>VLOOKUP(D245,'Orçamento Analitico'!D:L,9,FALSE())</f>
        <v>1786.23</v>
      </c>
      <c r="J245" s="443">
        <f t="shared" si="69"/>
        <v>2241.54</v>
      </c>
      <c r="K245" s="443">
        <f t="shared" si="70"/>
        <v>10717.38</v>
      </c>
      <c r="L245" s="443">
        <f t="shared" si="71"/>
        <v>13449.24</v>
      </c>
      <c r="M245" s="461" t="e">
        <f t="shared" si="65"/>
        <v>#N/A</v>
      </c>
      <c r="N245" s="464">
        <v>4</v>
      </c>
      <c r="O245" s="465">
        <v>0</v>
      </c>
      <c r="P245" s="465">
        <v>0</v>
      </c>
      <c r="Q245" s="465"/>
      <c r="R245" s="465">
        <v>2</v>
      </c>
      <c r="S245" s="465"/>
      <c r="T245" s="465"/>
      <c r="U245" s="479"/>
      <c r="V245" s="485">
        <f>0.8*2.5</f>
        <v>2</v>
      </c>
      <c r="W245" s="422"/>
      <c r="X245" s="422"/>
      <c r="Y245" s="422"/>
      <c r="Z245" s="422"/>
    </row>
    <row r="246" ht="12.75" customHeight="1" spans="1:26">
      <c r="A246" s="422" t="str">
        <f t="shared" si="66"/>
        <v> 10.1 </v>
      </c>
      <c r="B246" s="423" t="str">
        <f t="shared" si="67"/>
        <v> 10.1 </v>
      </c>
      <c r="C246" s="441" t="s">
        <v>636</v>
      </c>
      <c r="D246" s="442" t="s">
        <v>637</v>
      </c>
      <c r="E246" s="441" t="s">
        <v>132</v>
      </c>
      <c r="F246" s="441" t="s">
        <v>638</v>
      </c>
      <c r="G246" s="442" t="s">
        <v>134</v>
      </c>
      <c r="H246" s="443">
        <f t="shared" si="68"/>
        <v>8</v>
      </c>
      <c r="I246" s="443">
        <f>VLOOKUP(D246,'Orçamento Analitico'!D:L,9,FALSE())</f>
        <v>3181.52</v>
      </c>
      <c r="J246" s="443">
        <f t="shared" si="69"/>
        <v>3992.48</v>
      </c>
      <c r="K246" s="443">
        <f t="shared" si="70"/>
        <v>25452.16</v>
      </c>
      <c r="L246" s="443">
        <f t="shared" si="71"/>
        <v>31939.84</v>
      </c>
      <c r="M246" s="461" t="e">
        <f t="shared" si="65"/>
        <v>#N/A</v>
      </c>
      <c r="N246" s="464">
        <v>3</v>
      </c>
      <c r="O246" s="465">
        <v>0</v>
      </c>
      <c r="P246" s="465">
        <v>0</v>
      </c>
      <c r="Q246" s="465">
        <v>3</v>
      </c>
      <c r="R246" s="465">
        <v>2</v>
      </c>
      <c r="S246" s="465"/>
      <c r="T246" s="465"/>
      <c r="U246" s="479"/>
      <c r="V246" s="485">
        <f>0.8*2.5</f>
        <v>2</v>
      </c>
      <c r="W246" s="422"/>
      <c r="X246" s="422"/>
      <c r="Y246" s="422"/>
      <c r="Z246" s="422"/>
    </row>
    <row r="247" ht="12.75" customHeight="1" spans="1:26">
      <c r="A247" s="422" t="str">
        <f t="shared" si="66"/>
        <v> 10.1 </v>
      </c>
      <c r="B247" s="423" t="str">
        <f t="shared" si="67"/>
        <v> 10.1 </v>
      </c>
      <c r="C247" s="441" t="s">
        <v>639</v>
      </c>
      <c r="D247" s="487" t="s">
        <v>640</v>
      </c>
      <c r="E247" s="441" t="s">
        <v>132</v>
      </c>
      <c r="F247" s="441" t="s">
        <v>641</v>
      </c>
      <c r="G247" s="442" t="s">
        <v>134</v>
      </c>
      <c r="H247" s="443">
        <f t="shared" si="68"/>
        <v>11</v>
      </c>
      <c r="I247" s="443">
        <f>VLOOKUP(D247,'Orçamento Analitico'!D:L,9,FALSE())</f>
        <v>2680.71</v>
      </c>
      <c r="J247" s="443">
        <f t="shared" si="69"/>
        <v>3364.02</v>
      </c>
      <c r="K247" s="443">
        <f t="shared" si="70"/>
        <v>29487.81</v>
      </c>
      <c r="L247" s="443">
        <f t="shared" si="71"/>
        <v>37004.22</v>
      </c>
      <c r="M247" s="461" t="e">
        <f t="shared" si="65"/>
        <v>#N/A</v>
      </c>
      <c r="N247" s="464">
        <v>4</v>
      </c>
      <c r="O247" s="465">
        <v>0</v>
      </c>
      <c r="P247" s="465">
        <v>0</v>
      </c>
      <c r="Q247" s="465">
        <v>2</v>
      </c>
      <c r="R247" s="465">
        <v>3</v>
      </c>
      <c r="S247" s="465">
        <v>2</v>
      </c>
      <c r="T247" s="465"/>
      <c r="U247" s="479"/>
      <c r="V247" s="485">
        <f>0.8*2.1</f>
        <v>1.68</v>
      </c>
      <c r="W247" s="422"/>
      <c r="X247" s="422"/>
      <c r="Y247" s="422"/>
      <c r="Z247" s="422"/>
    </row>
    <row r="248" ht="12.75" customHeight="1" spans="1:26">
      <c r="A248" s="422" t="str">
        <f t="shared" si="66"/>
        <v> 10.1 </v>
      </c>
      <c r="B248" s="423" t="str">
        <f t="shared" si="67"/>
        <v> 10.1 </v>
      </c>
      <c r="C248" s="441" t="s">
        <v>642</v>
      </c>
      <c r="D248" s="442" t="s">
        <v>643</v>
      </c>
      <c r="E248" s="441" t="s">
        <v>132</v>
      </c>
      <c r="F248" s="441" t="s">
        <v>644</v>
      </c>
      <c r="G248" s="442" t="s">
        <v>134</v>
      </c>
      <c r="H248" s="443">
        <f t="shared" si="68"/>
        <v>2</v>
      </c>
      <c r="I248" s="443">
        <f>VLOOKUP(D248,'Orçamento Analitico'!D:L,9,FALSE())</f>
        <v>1274.08</v>
      </c>
      <c r="J248" s="443">
        <f t="shared" si="69"/>
        <v>1598.84</v>
      </c>
      <c r="K248" s="443">
        <f t="shared" si="70"/>
        <v>2548.16</v>
      </c>
      <c r="L248" s="443">
        <f t="shared" si="71"/>
        <v>3197.68</v>
      </c>
      <c r="M248" s="461" t="e">
        <f t="shared" si="65"/>
        <v>#N/A</v>
      </c>
      <c r="N248" s="464">
        <v>1</v>
      </c>
      <c r="O248" s="465">
        <v>0</v>
      </c>
      <c r="P248" s="465">
        <v>0</v>
      </c>
      <c r="Q248" s="465"/>
      <c r="R248" s="465">
        <v>1</v>
      </c>
      <c r="S248" s="465"/>
      <c r="T248" s="465"/>
      <c r="U248" s="479"/>
      <c r="V248" s="485">
        <f>1*0.8*2.1</f>
        <v>1.68</v>
      </c>
      <c r="W248" s="422"/>
      <c r="X248" s="422"/>
      <c r="Y248" s="422"/>
      <c r="Z248" s="422"/>
    </row>
    <row r="249" ht="12.75" customHeight="1" spans="1:26">
      <c r="A249" s="422" t="str">
        <f t="shared" si="66"/>
        <v> 10.1 </v>
      </c>
      <c r="B249" s="423" t="str">
        <f t="shared" si="67"/>
        <v> 10.1 </v>
      </c>
      <c r="C249" s="441" t="s">
        <v>645</v>
      </c>
      <c r="D249" s="442" t="s">
        <v>646</v>
      </c>
      <c r="E249" s="441" t="s">
        <v>132</v>
      </c>
      <c r="F249" s="441" t="s">
        <v>647</v>
      </c>
      <c r="G249" s="442" t="s">
        <v>134</v>
      </c>
      <c r="H249" s="443">
        <f t="shared" si="68"/>
        <v>46</v>
      </c>
      <c r="I249" s="443">
        <f>VLOOKUP(D249,'Orçamento Analitico'!D:L,9,FALSE())</f>
        <v>1515.72</v>
      </c>
      <c r="J249" s="443">
        <f t="shared" si="69"/>
        <v>1902.07</v>
      </c>
      <c r="K249" s="443">
        <f t="shared" si="70"/>
        <v>69723.12</v>
      </c>
      <c r="L249" s="443">
        <f t="shared" si="71"/>
        <v>87495.22</v>
      </c>
      <c r="M249" s="461" t="e">
        <f t="shared" si="65"/>
        <v>#N/A</v>
      </c>
      <c r="N249" s="464"/>
      <c r="O249" s="465">
        <v>0</v>
      </c>
      <c r="P249" s="465">
        <v>0</v>
      </c>
      <c r="Q249" s="465">
        <v>14</v>
      </c>
      <c r="R249" s="465">
        <v>32</v>
      </c>
      <c r="S249" s="465"/>
      <c r="T249" s="465"/>
      <c r="U249" s="479"/>
      <c r="V249" s="485">
        <f>1*0.8*2.5</f>
        <v>2</v>
      </c>
      <c r="W249" s="422"/>
      <c r="X249" s="422"/>
      <c r="Y249" s="422"/>
      <c r="Z249" s="422"/>
    </row>
    <row r="250" ht="12.75" customHeight="1" spans="1:26">
      <c r="A250" s="422" t="str">
        <f t="shared" si="66"/>
        <v> 10.1 </v>
      </c>
      <c r="B250" s="423" t="str">
        <f t="shared" si="67"/>
        <v> 10.1 </v>
      </c>
      <c r="C250" s="441" t="s">
        <v>648</v>
      </c>
      <c r="D250" s="442" t="s">
        <v>649</v>
      </c>
      <c r="E250" s="441" t="s">
        <v>132</v>
      </c>
      <c r="F250" s="441" t="s">
        <v>650</v>
      </c>
      <c r="G250" s="442" t="s">
        <v>134</v>
      </c>
      <c r="H250" s="443">
        <f t="shared" si="68"/>
        <v>34</v>
      </c>
      <c r="I250" s="443">
        <f>VLOOKUP(D250,'Orçamento Analitico'!D:L,9,FALSE())</f>
        <v>2210.8</v>
      </c>
      <c r="J250" s="443">
        <f t="shared" si="69"/>
        <v>2774.33</v>
      </c>
      <c r="K250" s="443">
        <f t="shared" si="70"/>
        <v>75167.2</v>
      </c>
      <c r="L250" s="443">
        <f t="shared" si="71"/>
        <v>94327.22</v>
      </c>
      <c r="M250" s="461" t="e">
        <f t="shared" si="65"/>
        <v>#N/A</v>
      </c>
      <c r="N250" s="464">
        <v>11</v>
      </c>
      <c r="O250" s="465">
        <v>0</v>
      </c>
      <c r="P250" s="465">
        <v>0</v>
      </c>
      <c r="Q250" s="465">
        <v>21</v>
      </c>
      <c r="R250" s="465">
        <v>2</v>
      </c>
      <c r="S250" s="465"/>
      <c r="T250" s="465"/>
      <c r="U250" s="479"/>
      <c r="V250" s="485">
        <f>1*1.1*2.5</f>
        <v>2.75</v>
      </c>
      <c r="W250" s="422"/>
      <c r="X250" s="422"/>
      <c r="Y250" s="422"/>
      <c r="Z250" s="422"/>
    </row>
    <row r="251" ht="12.75" customHeight="1" spans="1:26">
      <c r="A251" s="422" t="str">
        <f t="shared" si="66"/>
        <v> 10.1 </v>
      </c>
      <c r="B251" s="423" t="str">
        <f t="shared" si="67"/>
        <v> 10.1 </v>
      </c>
      <c r="C251" s="441" t="s">
        <v>651</v>
      </c>
      <c r="D251" s="442" t="s">
        <v>652</v>
      </c>
      <c r="E251" s="441" t="s">
        <v>132</v>
      </c>
      <c r="F251" s="441" t="s">
        <v>653</v>
      </c>
      <c r="G251" s="442" t="s">
        <v>134</v>
      </c>
      <c r="H251" s="443">
        <f t="shared" si="68"/>
        <v>2</v>
      </c>
      <c r="I251" s="443">
        <f>VLOOKUP(D251,'Orçamento Analitico'!D:L,9,FALSE())</f>
        <v>2344.19</v>
      </c>
      <c r="J251" s="443">
        <f t="shared" si="69"/>
        <v>2941.72</v>
      </c>
      <c r="K251" s="443">
        <f t="shared" si="70"/>
        <v>4688.38</v>
      </c>
      <c r="L251" s="443">
        <f t="shared" si="71"/>
        <v>5883.44</v>
      </c>
      <c r="M251" s="461" t="e">
        <f t="shared" si="65"/>
        <v>#N/A</v>
      </c>
      <c r="N251" s="464">
        <v>0</v>
      </c>
      <c r="O251" s="465">
        <v>0</v>
      </c>
      <c r="P251" s="465">
        <v>0</v>
      </c>
      <c r="Q251" s="465">
        <v>2</v>
      </c>
      <c r="R251" s="465"/>
      <c r="S251" s="465"/>
      <c r="T251" s="465"/>
      <c r="U251" s="479"/>
      <c r="V251" s="485">
        <f>1*1.2*2.5</f>
        <v>3</v>
      </c>
      <c r="W251" s="422"/>
      <c r="X251" s="422"/>
      <c r="Y251" s="422"/>
      <c r="Z251" s="422"/>
    </row>
    <row r="252" ht="12.75" customHeight="1" spans="1:26">
      <c r="A252" s="422" t="str">
        <f t="shared" si="66"/>
        <v> 10.1 </v>
      </c>
      <c r="B252" s="423" t="str">
        <f t="shared" si="67"/>
        <v> 10.1 </v>
      </c>
      <c r="C252" s="441" t="s">
        <v>654</v>
      </c>
      <c r="D252" s="487" t="s">
        <v>655</v>
      </c>
      <c r="E252" s="441" t="s">
        <v>132</v>
      </c>
      <c r="F252" s="441" t="s">
        <v>656</v>
      </c>
      <c r="G252" s="442" t="s">
        <v>134</v>
      </c>
      <c r="H252" s="443">
        <f t="shared" si="68"/>
        <v>10</v>
      </c>
      <c r="I252" s="443">
        <f>VLOOKUP(D252,'Orçamento Analitico'!D:L,9,FALSE())</f>
        <v>12765.89</v>
      </c>
      <c r="J252" s="443">
        <f t="shared" si="69"/>
        <v>16019.91</v>
      </c>
      <c r="K252" s="443">
        <f t="shared" si="70"/>
        <v>127658.9</v>
      </c>
      <c r="L252" s="443">
        <f t="shared" si="71"/>
        <v>160199.1</v>
      </c>
      <c r="M252" s="461" t="e">
        <f t="shared" si="65"/>
        <v>#N/A</v>
      </c>
      <c r="N252" s="464">
        <v>2</v>
      </c>
      <c r="O252" s="465">
        <v>2</v>
      </c>
      <c r="P252" s="465">
        <v>2</v>
      </c>
      <c r="Q252" s="465">
        <v>2</v>
      </c>
      <c r="R252" s="465">
        <v>2</v>
      </c>
      <c r="S252" s="465"/>
      <c r="T252" s="465"/>
      <c r="U252" s="479"/>
      <c r="V252" s="422"/>
      <c r="W252" s="422"/>
      <c r="X252" s="422"/>
      <c r="Y252" s="422"/>
      <c r="Z252" s="422"/>
    </row>
    <row r="253" ht="12.75" customHeight="1" spans="1:26">
      <c r="A253" s="422" t="str">
        <f t="shared" si="66"/>
        <v> 10.1 </v>
      </c>
      <c r="B253" s="423" t="str">
        <f t="shared" si="67"/>
        <v> 10.1 </v>
      </c>
      <c r="C253" s="441" t="s">
        <v>657</v>
      </c>
      <c r="D253" s="442" t="s">
        <v>658</v>
      </c>
      <c r="E253" s="441" t="s">
        <v>132</v>
      </c>
      <c r="F253" s="441" t="s">
        <v>659</v>
      </c>
      <c r="G253" s="442" t="s">
        <v>134</v>
      </c>
      <c r="H253" s="443">
        <f t="shared" si="68"/>
        <v>4</v>
      </c>
      <c r="I253" s="443">
        <f>VLOOKUP(D253,'Orçamento Analitico'!D:L,9,FALSE())</f>
        <v>10121.34</v>
      </c>
      <c r="J253" s="443">
        <f t="shared" si="69"/>
        <v>12701.26</v>
      </c>
      <c r="K253" s="443">
        <f t="shared" si="70"/>
        <v>40485.36</v>
      </c>
      <c r="L253" s="443">
        <f t="shared" si="71"/>
        <v>50805.04</v>
      </c>
      <c r="M253" s="461" t="e">
        <f t="shared" si="65"/>
        <v>#N/A</v>
      </c>
      <c r="N253" s="464">
        <v>4</v>
      </c>
      <c r="O253" s="465"/>
      <c r="P253" s="465"/>
      <c r="Q253" s="465"/>
      <c r="R253" s="465"/>
      <c r="S253" s="465"/>
      <c r="T253" s="465"/>
      <c r="U253" s="479"/>
      <c r="V253" s="422"/>
      <c r="W253" s="422"/>
      <c r="X253" s="422"/>
      <c r="Y253" s="422"/>
      <c r="Z253" s="422"/>
    </row>
    <row r="254" ht="12.75" customHeight="1" spans="1:26">
      <c r="A254" s="422" t="str">
        <f t="shared" si="66"/>
        <v> 10.1 </v>
      </c>
      <c r="B254" s="423" t="str">
        <f t="shared" si="67"/>
        <v> 10.1 </v>
      </c>
      <c r="C254" s="441" t="s">
        <v>660</v>
      </c>
      <c r="D254" s="442" t="s">
        <v>661</v>
      </c>
      <c r="E254" s="441" t="s">
        <v>132</v>
      </c>
      <c r="F254" s="441" t="s">
        <v>662</v>
      </c>
      <c r="G254" s="442" t="s">
        <v>134</v>
      </c>
      <c r="H254" s="443">
        <f t="shared" si="68"/>
        <v>4</v>
      </c>
      <c r="I254" s="443">
        <f>VLOOKUP(D254,'Orçamento Analitico'!D:L,9,FALSE())</f>
        <v>6755.4</v>
      </c>
      <c r="J254" s="443">
        <f t="shared" si="69"/>
        <v>8477.35</v>
      </c>
      <c r="K254" s="443">
        <f t="shared" si="70"/>
        <v>27021.6</v>
      </c>
      <c r="L254" s="443">
        <f t="shared" si="71"/>
        <v>33909.4</v>
      </c>
      <c r="M254" s="461" t="e">
        <f t="shared" si="65"/>
        <v>#N/A</v>
      </c>
      <c r="N254" s="464">
        <v>4</v>
      </c>
      <c r="O254" s="465"/>
      <c r="P254" s="465"/>
      <c r="Q254" s="465"/>
      <c r="R254" s="465"/>
      <c r="S254" s="465"/>
      <c r="T254" s="465"/>
      <c r="U254" s="479"/>
      <c r="V254" s="422"/>
      <c r="W254" s="422"/>
      <c r="X254" s="422"/>
      <c r="Y254" s="422"/>
      <c r="Z254" s="422"/>
    </row>
    <row r="255" ht="12.75" customHeight="1" spans="1:26">
      <c r="A255" s="422" t="str">
        <f t="shared" si="66"/>
        <v> 10.1 </v>
      </c>
      <c r="B255" s="423" t="str">
        <f t="shared" si="67"/>
        <v> 10.1 </v>
      </c>
      <c r="C255" s="441" t="s">
        <v>663</v>
      </c>
      <c r="D255" s="442" t="s">
        <v>664</v>
      </c>
      <c r="E255" s="441" t="s">
        <v>132</v>
      </c>
      <c r="F255" s="441" t="s">
        <v>665</v>
      </c>
      <c r="G255" s="442" t="s">
        <v>134</v>
      </c>
      <c r="H255" s="443">
        <f t="shared" si="68"/>
        <v>3</v>
      </c>
      <c r="I255" s="443">
        <f>VLOOKUP(D255,'Orçamento Analitico'!D:L,9,FALSE())</f>
        <v>5122.16</v>
      </c>
      <c r="J255" s="443">
        <f t="shared" si="69"/>
        <v>6427.79</v>
      </c>
      <c r="K255" s="443">
        <f t="shared" si="70"/>
        <v>15366.48</v>
      </c>
      <c r="L255" s="443">
        <f t="shared" si="71"/>
        <v>19283.37</v>
      </c>
      <c r="M255" s="461" t="e">
        <f t="shared" si="65"/>
        <v>#N/A</v>
      </c>
      <c r="N255" s="464"/>
      <c r="O255" s="465"/>
      <c r="P255" s="465">
        <v>2</v>
      </c>
      <c r="Q255" s="465">
        <v>1</v>
      </c>
      <c r="R255" s="465"/>
      <c r="S255" s="465"/>
      <c r="T255" s="465"/>
      <c r="U255" s="479"/>
      <c r="V255" s="422"/>
      <c r="W255" s="422"/>
      <c r="X255" s="422"/>
      <c r="Y255" s="422"/>
      <c r="Z255" s="422"/>
    </row>
    <row r="256" ht="12.75" customHeight="1" spans="1:26">
      <c r="A256" s="422" t="str">
        <f t="shared" si="66"/>
        <v> 10.1 </v>
      </c>
      <c r="B256" s="423" t="str">
        <f t="shared" si="67"/>
        <v> 10.1 </v>
      </c>
      <c r="C256" s="441" t="s">
        <v>666</v>
      </c>
      <c r="D256" s="442" t="s">
        <v>667</v>
      </c>
      <c r="E256" s="441" t="s">
        <v>132</v>
      </c>
      <c r="F256" s="441" t="s">
        <v>668</v>
      </c>
      <c r="G256" s="442" t="s">
        <v>134</v>
      </c>
      <c r="H256" s="443">
        <f t="shared" si="68"/>
        <v>4</v>
      </c>
      <c r="I256" s="443">
        <f>VLOOKUP(D256,'Orçamento Analitico'!D:L,9,FALSE())</f>
        <v>11655.14</v>
      </c>
      <c r="J256" s="443">
        <f t="shared" si="69"/>
        <v>14626.03</v>
      </c>
      <c r="K256" s="443">
        <f t="shared" si="70"/>
        <v>46620.56</v>
      </c>
      <c r="L256" s="443">
        <f t="shared" si="71"/>
        <v>58504.12</v>
      </c>
      <c r="M256" s="461" t="e">
        <f t="shared" si="65"/>
        <v>#N/A</v>
      </c>
      <c r="N256" s="464"/>
      <c r="O256" s="465"/>
      <c r="P256" s="465"/>
      <c r="Q256" s="465"/>
      <c r="R256" s="465">
        <v>4</v>
      </c>
      <c r="S256" s="465"/>
      <c r="T256" s="465"/>
      <c r="U256" s="479"/>
      <c r="V256" s="422"/>
      <c r="W256" s="422"/>
      <c r="X256" s="422"/>
      <c r="Y256" s="422"/>
      <c r="Z256" s="422"/>
    </row>
    <row r="257" ht="12.75" customHeight="1" spans="1:26">
      <c r="A257" s="422" t="str">
        <f t="shared" si="66"/>
        <v> 10.1 </v>
      </c>
      <c r="B257" s="423" t="str">
        <f t="shared" si="67"/>
        <v> 10.1 </v>
      </c>
      <c r="C257" s="441" t="s">
        <v>669</v>
      </c>
      <c r="D257" s="442" t="s">
        <v>670</v>
      </c>
      <c r="E257" s="441" t="s">
        <v>132</v>
      </c>
      <c r="F257" s="441" t="s">
        <v>671</v>
      </c>
      <c r="G257" s="442" t="s">
        <v>134</v>
      </c>
      <c r="H257" s="443">
        <f t="shared" si="68"/>
        <v>10</v>
      </c>
      <c r="I257" s="443">
        <f>VLOOKUP(D257,'Orçamento Analitico'!D:L,9,FALSE())</f>
        <v>6232.12</v>
      </c>
      <c r="J257" s="443">
        <f t="shared" si="69"/>
        <v>7820.68</v>
      </c>
      <c r="K257" s="443">
        <f t="shared" si="70"/>
        <v>62321.2</v>
      </c>
      <c r="L257" s="443">
        <f t="shared" si="71"/>
        <v>78206.8</v>
      </c>
      <c r="M257" s="461" t="e">
        <f t="shared" si="65"/>
        <v>#N/A</v>
      </c>
      <c r="N257" s="464">
        <v>2</v>
      </c>
      <c r="O257" s="465"/>
      <c r="P257" s="465">
        <v>2</v>
      </c>
      <c r="Q257" s="465"/>
      <c r="R257" s="465"/>
      <c r="S257" s="465">
        <v>6</v>
      </c>
      <c r="T257" s="465"/>
      <c r="U257" s="479"/>
      <c r="V257" s="422"/>
      <c r="W257" s="422"/>
      <c r="X257" s="422"/>
      <c r="Y257" s="422"/>
      <c r="Z257" s="422"/>
    </row>
    <row r="258" ht="12.75" customHeight="1" spans="1:26">
      <c r="A258" s="422" t="str">
        <f t="shared" si="66"/>
        <v> 10.1 </v>
      </c>
      <c r="B258" s="423" t="str">
        <f t="shared" si="67"/>
        <v> 10.1 </v>
      </c>
      <c r="C258" s="441" t="s">
        <v>672</v>
      </c>
      <c r="D258" s="442" t="s">
        <v>673</v>
      </c>
      <c r="E258" s="441" t="s">
        <v>132</v>
      </c>
      <c r="F258" s="441" t="s">
        <v>674</v>
      </c>
      <c r="G258" s="442" t="s">
        <v>141</v>
      </c>
      <c r="H258" s="443">
        <f t="shared" si="68"/>
        <v>23.28</v>
      </c>
      <c r="I258" s="443">
        <f>VLOOKUP(D258,'Orçamento Analitico'!D:L,9,FALSE())</f>
        <v>1923.02</v>
      </c>
      <c r="J258" s="443">
        <f t="shared" si="69"/>
        <v>2413.19</v>
      </c>
      <c r="K258" s="443">
        <f t="shared" si="70"/>
        <v>44767.9</v>
      </c>
      <c r="L258" s="443">
        <f t="shared" si="71"/>
        <v>56179.06</v>
      </c>
      <c r="M258" s="461" t="e">
        <f t="shared" si="65"/>
        <v>#N/A</v>
      </c>
      <c r="N258" s="464" t="s">
        <v>6162</v>
      </c>
      <c r="O258" s="465">
        <f>ROUNDDOWN(4*1.6*1.8,2)</f>
        <v>11.52</v>
      </c>
      <c r="P258" s="465" t="s">
        <v>6163</v>
      </c>
      <c r="Q258" s="465">
        <f>ROUNDDOWN((3*1.6*2.45),2)</f>
        <v>11.76</v>
      </c>
      <c r="R258" s="465"/>
      <c r="S258" s="465"/>
      <c r="T258" s="465"/>
      <c r="U258" s="479"/>
      <c r="V258" s="422"/>
      <c r="W258" s="422"/>
      <c r="X258" s="422"/>
      <c r="Y258" s="422"/>
      <c r="Z258" s="422"/>
    </row>
    <row r="259" ht="12.75" customHeight="1" spans="1:26">
      <c r="A259" s="422" t="str">
        <f t="shared" si="66"/>
        <v> 10.1 </v>
      </c>
      <c r="B259" s="423" t="str">
        <f t="shared" si="67"/>
        <v> 10.1 </v>
      </c>
      <c r="C259" s="441" t="s">
        <v>675</v>
      </c>
      <c r="D259" s="442" t="s">
        <v>676</v>
      </c>
      <c r="E259" s="441" t="s">
        <v>132</v>
      </c>
      <c r="F259" s="441" t="s">
        <v>677</v>
      </c>
      <c r="G259" s="442" t="s">
        <v>141</v>
      </c>
      <c r="H259" s="443">
        <f t="shared" si="68"/>
        <v>11.76</v>
      </c>
      <c r="I259" s="443">
        <f>VLOOKUP(D259,'Orçamento Analitico'!D:L,9,FALSE())</f>
        <v>1778.9</v>
      </c>
      <c r="J259" s="443">
        <f t="shared" si="69"/>
        <v>2232.34</v>
      </c>
      <c r="K259" s="443">
        <f t="shared" si="70"/>
        <v>20919.86</v>
      </c>
      <c r="L259" s="443">
        <f t="shared" si="71"/>
        <v>26252.31</v>
      </c>
      <c r="M259" s="461" t="e">
        <f t="shared" si="65"/>
        <v>#N/A</v>
      </c>
      <c r="N259" s="464"/>
      <c r="O259" s="465"/>
      <c r="P259" s="465" t="s">
        <v>6163</v>
      </c>
      <c r="Q259" s="465">
        <f>ROUNDDOWN((6*0.8*2.45),2)</f>
        <v>11.76</v>
      </c>
      <c r="R259" s="465"/>
      <c r="S259" s="465"/>
      <c r="T259" s="465"/>
      <c r="U259" s="479"/>
      <c r="V259" s="422"/>
      <c r="W259" s="422"/>
      <c r="X259" s="422"/>
      <c r="Y259" s="422"/>
      <c r="Z259" s="422"/>
    </row>
    <row r="260" ht="12.75" customHeight="1" spans="1:26">
      <c r="A260" s="422" t="str">
        <f t="shared" si="66"/>
        <v> 10.1 </v>
      </c>
      <c r="B260" s="423" t="str">
        <f t="shared" si="67"/>
        <v> 10.1 </v>
      </c>
      <c r="C260" s="441" t="s">
        <v>678</v>
      </c>
      <c r="D260" s="442" t="s">
        <v>679</v>
      </c>
      <c r="E260" s="441" t="s">
        <v>132</v>
      </c>
      <c r="F260" s="441" t="s">
        <v>680</v>
      </c>
      <c r="G260" s="442" t="s">
        <v>141</v>
      </c>
      <c r="H260" s="443">
        <f t="shared" si="68"/>
        <v>12.72</v>
      </c>
      <c r="I260" s="443">
        <f>VLOOKUP(D260,'Orçamento Analitico'!D:L,9,FALSE())</f>
        <v>931.17</v>
      </c>
      <c r="J260" s="443">
        <f t="shared" si="69"/>
        <v>1168.52</v>
      </c>
      <c r="K260" s="443">
        <f t="shared" si="70"/>
        <v>11844.48</v>
      </c>
      <c r="L260" s="443">
        <f t="shared" si="71"/>
        <v>14863.57</v>
      </c>
      <c r="M260" s="461" t="e">
        <f t="shared" si="65"/>
        <v>#N/A</v>
      </c>
      <c r="N260" s="464"/>
      <c r="O260" s="465"/>
      <c r="P260" s="465"/>
      <c r="Q260" s="465">
        <f>2*(2.65*2.4)</f>
        <v>12.72</v>
      </c>
      <c r="R260" s="465"/>
      <c r="S260" s="465"/>
      <c r="T260" s="465"/>
      <c r="U260" s="479"/>
      <c r="V260" s="422"/>
      <c r="W260" s="422"/>
      <c r="X260" s="422"/>
      <c r="Y260" s="422"/>
      <c r="Z260" s="422"/>
    </row>
    <row r="261" ht="12.75" customHeight="1" spans="1:26">
      <c r="A261" s="422" t="str">
        <f t="shared" si="66"/>
        <v> 10.1 </v>
      </c>
      <c r="B261" s="423" t="str">
        <f t="shared" si="67"/>
        <v> 10.1 </v>
      </c>
      <c r="C261" s="441" t="s">
        <v>681</v>
      </c>
      <c r="D261" s="442" t="s">
        <v>682</v>
      </c>
      <c r="E261" s="441" t="s">
        <v>132</v>
      </c>
      <c r="F261" s="441" t="s">
        <v>683</v>
      </c>
      <c r="G261" s="442" t="s">
        <v>134</v>
      </c>
      <c r="H261" s="443">
        <f t="shared" si="68"/>
        <v>62</v>
      </c>
      <c r="I261" s="443">
        <f>VLOOKUP(D261,'Orçamento Analitico'!D:L,9,FALSE())</f>
        <v>2823.17</v>
      </c>
      <c r="J261" s="443">
        <f t="shared" si="69"/>
        <v>3542.79</v>
      </c>
      <c r="K261" s="443">
        <f t="shared" si="70"/>
        <v>175036.54</v>
      </c>
      <c r="L261" s="443">
        <f t="shared" si="71"/>
        <v>219652.98</v>
      </c>
      <c r="M261" s="461" t="e">
        <f t="shared" si="65"/>
        <v>#N/A</v>
      </c>
      <c r="N261" s="464">
        <v>12</v>
      </c>
      <c r="O261" s="465">
        <v>0</v>
      </c>
      <c r="P261" s="465">
        <v>0</v>
      </c>
      <c r="Q261" s="465">
        <v>22</v>
      </c>
      <c r="R261" s="465">
        <v>22</v>
      </c>
      <c r="S261" s="465">
        <v>6</v>
      </c>
      <c r="T261" s="465"/>
      <c r="U261" s="479"/>
      <c r="V261" s="422"/>
      <c r="W261" s="422"/>
      <c r="X261" s="422"/>
      <c r="Y261" s="422"/>
      <c r="Z261" s="422"/>
    </row>
    <row r="262" ht="12.75" customHeight="1" spans="1:26">
      <c r="A262" s="422" t="str">
        <f t="shared" si="66"/>
        <v> 10.1 </v>
      </c>
      <c r="B262" s="423" t="str">
        <f t="shared" si="67"/>
        <v> 10.1 </v>
      </c>
      <c r="C262" s="441" t="s">
        <v>684</v>
      </c>
      <c r="D262" s="442" t="s">
        <v>685</v>
      </c>
      <c r="E262" s="441" t="s">
        <v>139</v>
      </c>
      <c r="F262" s="441" t="s">
        <v>686</v>
      </c>
      <c r="G262" s="442" t="s">
        <v>134</v>
      </c>
      <c r="H262" s="443">
        <f t="shared" si="68"/>
        <v>4</v>
      </c>
      <c r="I262" s="443">
        <f>VLOOKUP(D262,'Orçamento Analitico'!D:L,9,FALSE())</f>
        <v>1792.42</v>
      </c>
      <c r="J262" s="443">
        <f t="shared" si="69"/>
        <v>2249.3</v>
      </c>
      <c r="K262" s="443">
        <f t="shared" si="70"/>
        <v>7169.68</v>
      </c>
      <c r="L262" s="443">
        <f t="shared" si="71"/>
        <v>8997.2</v>
      </c>
      <c r="M262" s="461" t="e">
        <f t="shared" si="65"/>
        <v>#N/A</v>
      </c>
      <c r="N262" s="464"/>
      <c r="O262" s="465"/>
      <c r="P262" s="465"/>
      <c r="Q262" s="465">
        <v>4</v>
      </c>
      <c r="R262" s="465"/>
      <c r="S262" s="465"/>
      <c r="T262" s="465" t="s">
        <v>6164</v>
      </c>
      <c r="U262" s="479"/>
      <c r="V262" s="422"/>
      <c r="W262" s="422"/>
      <c r="X262" s="422"/>
      <c r="Y262" s="422"/>
      <c r="Z262" s="422"/>
    </row>
    <row r="263" ht="12.75" customHeight="1" spans="1:26">
      <c r="A263" s="422" t="str">
        <f t="shared" si="66"/>
        <v> 10.1 </v>
      </c>
      <c r="B263" s="423" t="str">
        <f t="shared" si="67"/>
        <v> 10.1 </v>
      </c>
      <c r="C263" s="441" t="s">
        <v>687</v>
      </c>
      <c r="D263" s="442" t="s">
        <v>688</v>
      </c>
      <c r="E263" s="441" t="s">
        <v>132</v>
      </c>
      <c r="F263" s="441" t="s">
        <v>689</v>
      </c>
      <c r="G263" s="442" t="s">
        <v>134</v>
      </c>
      <c r="H263" s="443">
        <f t="shared" si="68"/>
        <v>33</v>
      </c>
      <c r="I263" s="443">
        <f>VLOOKUP(D263,'Orçamento Analitico'!D:L,9,FALSE())</f>
        <v>178.5</v>
      </c>
      <c r="J263" s="443">
        <f t="shared" si="69"/>
        <v>223.99</v>
      </c>
      <c r="K263" s="443">
        <f t="shared" si="70"/>
        <v>5890.5</v>
      </c>
      <c r="L263" s="443">
        <f t="shared" si="71"/>
        <v>7391.67</v>
      </c>
      <c r="M263" s="461" t="e">
        <f t="shared" si="65"/>
        <v>#N/A</v>
      </c>
      <c r="N263" s="464">
        <v>8</v>
      </c>
      <c r="O263" s="465">
        <v>12</v>
      </c>
      <c r="P263" s="465">
        <v>6</v>
      </c>
      <c r="Q263" s="465"/>
      <c r="R263" s="465">
        <v>2</v>
      </c>
      <c r="S263" s="465">
        <v>5</v>
      </c>
      <c r="T263" s="465" t="s">
        <v>6165</v>
      </c>
      <c r="U263" s="479"/>
      <c r="V263" s="422"/>
      <c r="W263" s="422"/>
      <c r="X263" s="422"/>
      <c r="Y263" s="422"/>
      <c r="Z263" s="422"/>
    </row>
    <row r="264" ht="12.75" customHeight="1" spans="1:26">
      <c r="A264" s="422" t="str">
        <f t="shared" si="66"/>
        <v> 10.1 </v>
      </c>
      <c r="B264" s="423" t="str">
        <f t="shared" si="67"/>
        <v> 10.1 </v>
      </c>
      <c r="C264" s="441" t="s">
        <v>690</v>
      </c>
      <c r="D264" s="442" t="s">
        <v>691</v>
      </c>
      <c r="E264" s="441" t="s">
        <v>132</v>
      </c>
      <c r="F264" s="441" t="s">
        <v>692</v>
      </c>
      <c r="G264" s="442" t="s">
        <v>134</v>
      </c>
      <c r="H264" s="443">
        <f t="shared" si="68"/>
        <v>37</v>
      </c>
      <c r="I264" s="443">
        <f>VLOOKUP(D264,'Orçamento Analitico'!D:L,9,FALSE())</f>
        <v>791.35</v>
      </c>
      <c r="J264" s="443">
        <f t="shared" si="69"/>
        <v>993.06</v>
      </c>
      <c r="K264" s="443">
        <f t="shared" si="70"/>
        <v>29279.95</v>
      </c>
      <c r="L264" s="443">
        <f t="shared" si="71"/>
        <v>36743.22</v>
      </c>
      <c r="M264" s="461" t="e">
        <f t="shared" ref="M264:M327" si="72">K264/$L$1062</f>
        <v>#N/A</v>
      </c>
      <c r="N264" s="465">
        <f t="shared" ref="N264:S264" si="73">SUM(N262:N263)</f>
        <v>8</v>
      </c>
      <c r="O264" s="465">
        <f t="shared" si="73"/>
        <v>12</v>
      </c>
      <c r="P264" s="465">
        <f t="shared" si="73"/>
        <v>6</v>
      </c>
      <c r="Q264" s="465">
        <f t="shared" si="73"/>
        <v>4</v>
      </c>
      <c r="R264" s="465">
        <f t="shared" si="73"/>
        <v>2</v>
      </c>
      <c r="S264" s="465">
        <f t="shared" si="73"/>
        <v>5</v>
      </c>
      <c r="T264" s="465"/>
      <c r="U264" s="479"/>
      <c r="V264" s="422"/>
      <c r="W264" s="422"/>
      <c r="X264" s="422"/>
      <c r="Y264" s="422"/>
      <c r="Z264" s="422"/>
    </row>
    <row r="265" ht="12.75" customHeight="1" spans="1:26">
      <c r="A265" s="422" t="str">
        <f t="shared" si="66"/>
        <v> 10.1 </v>
      </c>
      <c r="B265" s="423" t="str">
        <f t="shared" si="67"/>
        <v> 10.1 </v>
      </c>
      <c r="C265" s="441" t="s">
        <v>693</v>
      </c>
      <c r="D265" s="442" t="s">
        <v>694</v>
      </c>
      <c r="E265" s="441" t="s">
        <v>132</v>
      </c>
      <c r="F265" s="441" t="s">
        <v>695</v>
      </c>
      <c r="G265" s="442" t="s">
        <v>134</v>
      </c>
      <c r="H265" s="443">
        <f t="shared" si="68"/>
        <v>8</v>
      </c>
      <c r="I265" s="443">
        <f>VLOOKUP(D265,'Orçamento Analitico'!D:L,9,FALSE())</f>
        <v>2779.64</v>
      </c>
      <c r="J265" s="443">
        <f t="shared" si="69"/>
        <v>3488.17</v>
      </c>
      <c r="K265" s="443">
        <f t="shared" si="70"/>
        <v>22237.12</v>
      </c>
      <c r="L265" s="443">
        <f t="shared" si="71"/>
        <v>27905.36</v>
      </c>
      <c r="M265" s="461" t="e">
        <f t="shared" si="72"/>
        <v>#N/A</v>
      </c>
      <c r="N265" s="464">
        <v>2</v>
      </c>
      <c r="O265" s="465"/>
      <c r="P265" s="465">
        <v>2</v>
      </c>
      <c r="Q265" s="465">
        <v>4</v>
      </c>
      <c r="R265" s="465"/>
      <c r="S265" s="465"/>
      <c r="T265" s="465"/>
      <c r="U265" s="479"/>
      <c r="V265" s="422"/>
      <c r="W265" s="422"/>
      <c r="X265" s="422"/>
      <c r="Y265" s="422"/>
      <c r="Z265" s="422"/>
    </row>
    <row r="266" ht="12.75" customHeight="1" spans="1:26">
      <c r="A266" s="422" t="str">
        <f t="shared" si="66"/>
        <v> 10.1 </v>
      </c>
      <c r="B266" s="423" t="str">
        <f t="shared" si="67"/>
        <v> 10.1 </v>
      </c>
      <c r="C266" s="441" t="s">
        <v>696</v>
      </c>
      <c r="D266" s="442" t="s">
        <v>697</v>
      </c>
      <c r="E266" s="441" t="s">
        <v>132</v>
      </c>
      <c r="F266" s="441" t="s">
        <v>698</v>
      </c>
      <c r="G266" s="442" t="s">
        <v>134</v>
      </c>
      <c r="H266" s="443">
        <f t="shared" si="68"/>
        <v>8</v>
      </c>
      <c r="I266" s="443">
        <f>VLOOKUP(D266,'Orçamento Analitico'!D:L,9,FALSE())</f>
        <v>1742.79</v>
      </c>
      <c r="J266" s="443">
        <f t="shared" si="69"/>
        <v>2187.02</v>
      </c>
      <c r="K266" s="443">
        <f t="shared" si="70"/>
        <v>13942.32</v>
      </c>
      <c r="L266" s="443">
        <f t="shared" si="71"/>
        <v>17496.16</v>
      </c>
      <c r="M266" s="461" t="e">
        <f t="shared" si="72"/>
        <v>#N/A</v>
      </c>
      <c r="N266" s="464">
        <f t="shared" ref="N266:S266" si="74">N265</f>
        <v>2</v>
      </c>
      <c r="O266" s="465">
        <f t="shared" si="74"/>
        <v>0</v>
      </c>
      <c r="P266" s="465">
        <f t="shared" si="74"/>
        <v>2</v>
      </c>
      <c r="Q266" s="465">
        <f t="shared" si="74"/>
        <v>4</v>
      </c>
      <c r="R266" s="465">
        <f t="shared" si="74"/>
        <v>0</v>
      </c>
      <c r="S266" s="465">
        <f t="shared" si="74"/>
        <v>0</v>
      </c>
      <c r="T266" s="465"/>
      <c r="U266" s="479"/>
      <c r="V266" s="422"/>
      <c r="W266" s="422"/>
      <c r="X266" s="422"/>
      <c r="Y266" s="422"/>
      <c r="Z266" s="422"/>
    </row>
    <row r="267" ht="12.75" customHeight="1" spans="1:26">
      <c r="A267" s="422" t="str">
        <f t="shared" si="66"/>
        <v> 10.1 </v>
      </c>
      <c r="B267" s="423" t="str">
        <f t="shared" si="67"/>
        <v> 10.1 </v>
      </c>
      <c r="C267" s="441" t="s">
        <v>699</v>
      </c>
      <c r="D267" s="442" t="s">
        <v>700</v>
      </c>
      <c r="E267" s="441" t="s">
        <v>132</v>
      </c>
      <c r="F267" s="441" t="s">
        <v>701</v>
      </c>
      <c r="G267" s="442" t="s">
        <v>134</v>
      </c>
      <c r="H267" s="443">
        <f t="shared" si="68"/>
        <v>2</v>
      </c>
      <c r="I267" s="443">
        <f>VLOOKUP(D267,'Orçamento Analitico'!D:L,9,FALSE())</f>
        <v>4534.58</v>
      </c>
      <c r="J267" s="443">
        <f t="shared" si="69"/>
        <v>5690.44</v>
      </c>
      <c r="K267" s="443">
        <f t="shared" si="70"/>
        <v>9069.16</v>
      </c>
      <c r="L267" s="443">
        <f t="shared" si="71"/>
        <v>11380.88</v>
      </c>
      <c r="M267" s="461" t="e">
        <f t="shared" si="72"/>
        <v>#N/A</v>
      </c>
      <c r="N267" s="464">
        <v>2</v>
      </c>
      <c r="O267" s="465"/>
      <c r="P267" s="465"/>
      <c r="Q267" s="465"/>
      <c r="R267" s="465"/>
      <c r="S267" s="465"/>
      <c r="T267" s="465"/>
      <c r="U267" s="479"/>
      <c r="V267" s="422"/>
      <c r="W267" s="422"/>
      <c r="X267" s="422"/>
      <c r="Y267" s="422"/>
      <c r="Z267" s="422"/>
    </row>
    <row r="268" ht="12.75" customHeight="1" spans="1:26">
      <c r="A268" s="422" t="str">
        <f t="shared" si="66"/>
        <v> 10.1 </v>
      </c>
      <c r="B268" s="423" t="str">
        <f t="shared" si="67"/>
        <v> 10.1 </v>
      </c>
      <c r="C268" s="441" t="s">
        <v>702</v>
      </c>
      <c r="D268" s="442" t="s">
        <v>703</v>
      </c>
      <c r="E268" s="441" t="s">
        <v>139</v>
      </c>
      <c r="F268" s="441" t="s">
        <v>704</v>
      </c>
      <c r="G268" s="442" t="s">
        <v>134</v>
      </c>
      <c r="H268" s="443">
        <f t="shared" si="68"/>
        <v>7</v>
      </c>
      <c r="I268" s="443">
        <f>VLOOKUP(D268,'Orçamento Analitico'!D:L,9,FALSE())</f>
        <v>193.94</v>
      </c>
      <c r="J268" s="443">
        <f t="shared" si="69"/>
        <v>243.37</v>
      </c>
      <c r="K268" s="443">
        <f t="shared" si="70"/>
        <v>1357.58</v>
      </c>
      <c r="L268" s="443">
        <f t="shared" si="71"/>
        <v>1703.59</v>
      </c>
      <c r="M268" s="461" t="e">
        <f t="shared" si="72"/>
        <v>#N/A</v>
      </c>
      <c r="N268" s="464"/>
      <c r="O268" s="465"/>
      <c r="P268" s="465"/>
      <c r="Q268" s="465"/>
      <c r="R268" s="465">
        <v>7</v>
      </c>
      <c r="S268" s="465"/>
      <c r="T268" s="465"/>
      <c r="U268" s="479"/>
      <c r="V268" s="422"/>
      <c r="W268" s="422"/>
      <c r="X268" s="422"/>
      <c r="Y268" s="422"/>
      <c r="Z268" s="422"/>
    </row>
    <row r="269" ht="12.75" customHeight="1" spans="1:26">
      <c r="A269" s="422"/>
      <c r="B269" s="423" t="str">
        <f>C269</f>
        <v> 10.2 </v>
      </c>
      <c r="C269" s="444" t="s">
        <v>705</v>
      </c>
      <c r="D269" s="445" t="s">
        <v>74</v>
      </c>
      <c r="E269" s="444"/>
      <c r="F269" s="444" t="s">
        <v>706</v>
      </c>
      <c r="G269" s="445"/>
      <c r="H269" s="446"/>
      <c r="I269" s="446"/>
      <c r="J269" s="466"/>
      <c r="K269" s="466">
        <f>SUMIF(A:A,B269,K:K)</f>
        <v>101700.2</v>
      </c>
      <c r="L269" s="466">
        <f>SUMIF(A:A,C269,L:L)</f>
        <v>127623.43</v>
      </c>
      <c r="M269" s="467" t="e">
        <f t="shared" si="72"/>
        <v>#N/A</v>
      </c>
      <c r="N269" s="464"/>
      <c r="O269" s="465"/>
      <c r="P269" s="465"/>
      <c r="Q269" s="465"/>
      <c r="R269" s="465"/>
      <c r="S269" s="465"/>
      <c r="T269" s="465"/>
      <c r="U269" s="479"/>
      <c r="V269" s="422"/>
      <c r="W269" s="422"/>
      <c r="X269" s="422"/>
      <c r="Y269" s="422"/>
      <c r="Z269" s="422"/>
    </row>
    <row r="270" ht="21" customHeight="1" spans="1:26">
      <c r="A270" s="422" t="str">
        <f>B270</f>
        <v> 10.2 </v>
      </c>
      <c r="B270" s="423" t="str">
        <f>B269</f>
        <v> 10.2 </v>
      </c>
      <c r="C270" s="441" t="s">
        <v>707</v>
      </c>
      <c r="D270" s="442" t="s">
        <v>708</v>
      </c>
      <c r="E270" s="441" t="s">
        <v>149</v>
      </c>
      <c r="F270" s="441" t="s">
        <v>709</v>
      </c>
      <c r="G270" s="442" t="s">
        <v>141</v>
      </c>
      <c r="H270" s="443">
        <f>SUM(N270:U270)</f>
        <v>42.3</v>
      </c>
      <c r="I270" s="443">
        <f>VLOOKUP(D270,'Orçamento Analitico'!D:L,9,FALSE())</f>
        <v>1010.76</v>
      </c>
      <c r="J270" s="443">
        <f>ROUNDDOWN(I270*(1+$G$6),2)</f>
        <v>1268.4</v>
      </c>
      <c r="K270" s="443">
        <f>ROUNDDOWN(H270*I270,2)</f>
        <v>42755.14</v>
      </c>
      <c r="L270" s="443">
        <f>ROUNDDOWN(H270*J270,2)</f>
        <v>53653.32</v>
      </c>
      <c r="M270" s="461" t="e">
        <f t="shared" si="72"/>
        <v>#N/A</v>
      </c>
      <c r="N270" s="464" t="s">
        <v>6166</v>
      </c>
      <c r="O270" s="465">
        <f>ROUNDDOWN((15+11+11)*(0.7*1.6),2)</f>
        <v>41.44</v>
      </c>
      <c r="P270" s="465" t="s">
        <v>6167</v>
      </c>
      <c r="Q270" s="465">
        <f>ROUNDDOWN(1*(0.7*1.24),2)</f>
        <v>0.86</v>
      </c>
      <c r="R270" s="465"/>
      <c r="S270" s="465"/>
      <c r="T270" s="465"/>
      <c r="U270" s="479"/>
      <c r="V270" s="422"/>
      <c r="W270" s="422"/>
      <c r="X270" s="422"/>
      <c r="Y270" s="422"/>
      <c r="Z270" s="422"/>
    </row>
    <row r="271" ht="21" customHeight="1" spans="1:26">
      <c r="A271" s="422" t="str">
        <f>B271</f>
        <v> 10.2 </v>
      </c>
      <c r="B271" s="423" t="str">
        <f>B270</f>
        <v> 10.2 </v>
      </c>
      <c r="C271" s="441" t="s">
        <v>710</v>
      </c>
      <c r="D271" s="442" t="s">
        <v>711</v>
      </c>
      <c r="E271" s="441" t="s">
        <v>149</v>
      </c>
      <c r="F271" s="441" t="s">
        <v>712</v>
      </c>
      <c r="G271" s="442" t="s">
        <v>141</v>
      </c>
      <c r="H271" s="443">
        <f>SUM(N271:U271)</f>
        <v>65.52</v>
      </c>
      <c r="I271" s="443">
        <f>VLOOKUP(D271,'Orçamento Analitico'!D:L,9,FALSE())</f>
        <v>899.65</v>
      </c>
      <c r="J271" s="443">
        <f>ROUNDDOWN(I271*(1+$G$6),2)</f>
        <v>1128.97</v>
      </c>
      <c r="K271" s="443">
        <f>ROUNDDOWN(H271*I271,2)</f>
        <v>58945.06</v>
      </c>
      <c r="L271" s="443">
        <f>ROUNDDOWN(H271*J271,2)</f>
        <v>73970.11</v>
      </c>
      <c r="M271" s="461" t="e">
        <f t="shared" si="72"/>
        <v>#N/A</v>
      </c>
      <c r="N271" s="464" t="s">
        <v>6168</v>
      </c>
      <c r="O271" s="465">
        <f>ROUNDDOWN((20+20+2)*(1.325*0.66),2)</f>
        <v>36.72</v>
      </c>
      <c r="P271" s="465" t="s">
        <v>6169</v>
      </c>
      <c r="Q271" s="465">
        <f>ROUNDDOWN(1*(2.6*1.6),2)</f>
        <v>4.16</v>
      </c>
      <c r="R271" s="465" t="s">
        <v>6170</v>
      </c>
      <c r="S271" s="465">
        <f>ROUNDDOWN(2*(3.85*3.2),2)</f>
        <v>24.64</v>
      </c>
      <c r="T271" s="465"/>
      <c r="U271" s="479"/>
      <c r="V271" s="422"/>
      <c r="W271" s="422"/>
      <c r="X271" s="422"/>
      <c r="Y271" s="422"/>
      <c r="Z271" s="422"/>
    </row>
    <row r="272" ht="12.75" customHeight="1" spans="1:26">
      <c r="A272" s="422"/>
      <c r="B272" s="423" t="str">
        <f>C272</f>
        <v> 10.3 </v>
      </c>
      <c r="C272" s="444" t="s">
        <v>713</v>
      </c>
      <c r="D272" s="445" t="s">
        <v>74</v>
      </c>
      <c r="E272" s="444"/>
      <c r="F272" s="444" t="s">
        <v>714</v>
      </c>
      <c r="G272" s="445"/>
      <c r="H272" s="446"/>
      <c r="I272" s="446"/>
      <c r="J272" s="466"/>
      <c r="K272" s="466">
        <f>SUMIF(A:A,B272,K:K)</f>
        <v>498018.88</v>
      </c>
      <c r="L272" s="466">
        <f>SUMIF(A:A,C272,L:L)</f>
        <v>624957.01</v>
      </c>
      <c r="M272" s="467" t="e">
        <f t="shared" si="72"/>
        <v>#N/A</v>
      </c>
      <c r="N272" s="464"/>
      <c r="O272" s="465"/>
      <c r="P272" s="465"/>
      <c r="Q272" s="465"/>
      <c r="R272" s="465"/>
      <c r="S272" s="465"/>
      <c r="T272" s="465"/>
      <c r="U272" s="479"/>
      <c r="V272" s="422"/>
      <c r="W272" s="422"/>
      <c r="X272" s="422"/>
      <c r="Y272" s="422"/>
      <c r="Z272" s="422"/>
    </row>
    <row r="273" ht="22.5" customHeight="1" spans="1:26">
      <c r="A273" s="422" t="str">
        <f>B273</f>
        <v> 10.3 </v>
      </c>
      <c r="B273" s="423" t="str">
        <f>B272</f>
        <v> 10.3 </v>
      </c>
      <c r="C273" s="441" t="s">
        <v>715</v>
      </c>
      <c r="D273" s="442" t="s">
        <v>716</v>
      </c>
      <c r="E273" s="441" t="s">
        <v>149</v>
      </c>
      <c r="F273" s="441" t="s">
        <v>717</v>
      </c>
      <c r="G273" s="442" t="s">
        <v>204</v>
      </c>
      <c r="H273" s="443">
        <f>SUM(N273:U273)</f>
        <v>401.4</v>
      </c>
      <c r="I273" s="443">
        <f>VLOOKUP(D273,'Orçamento Analitico'!D:L,9,FALSE())</f>
        <v>854.54</v>
      </c>
      <c r="J273" s="443">
        <f>ROUNDDOWN(I273*(1+$G$6),2)</f>
        <v>1072.36</v>
      </c>
      <c r="K273" s="443">
        <f>ROUNDDOWN(H273*I273,2)</f>
        <v>343012.35</v>
      </c>
      <c r="L273" s="443">
        <f>ROUNDDOWN(H273*J273,2)</f>
        <v>430445.3</v>
      </c>
      <c r="M273" s="461" t="e">
        <f t="shared" si="72"/>
        <v>#N/A</v>
      </c>
      <c r="N273" s="464"/>
      <c r="O273" s="465">
        <f>7.2+14.6+42</f>
        <v>63.8</v>
      </c>
      <c r="P273" s="465">
        <f>7.2+14.6</f>
        <v>21.8</v>
      </c>
      <c r="Q273" s="465">
        <f>7.2+14.6</f>
        <v>21.8</v>
      </c>
      <c r="R273" s="465">
        <f>61+3.6</f>
        <v>64.6</v>
      </c>
      <c r="S273" s="465">
        <f>30+22+12+18+120+5.6+7.2+14.6</f>
        <v>229.4</v>
      </c>
      <c r="T273" s="465"/>
      <c r="U273" s="479"/>
      <c r="V273" s="422"/>
      <c r="W273" s="422"/>
      <c r="X273" s="422"/>
      <c r="Y273" s="422"/>
      <c r="Z273" s="422"/>
    </row>
    <row r="274" ht="12.75" customHeight="1" spans="1:26">
      <c r="A274" s="422" t="str">
        <f>B274</f>
        <v> 10.3 </v>
      </c>
      <c r="B274" s="423" t="str">
        <f>B273</f>
        <v> 10.3 </v>
      </c>
      <c r="C274" s="441" t="s">
        <v>718</v>
      </c>
      <c r="D274" s="442" t="s">
        <v>719</v>
      </c>
      <c r="E274" s="441" t="s">
        <v>77</v>
      </c>
      <c r="F274" s="441" t="s">
        <v>720</v>
      </c>
      <c r="G274" s="442" t="s">
        <v>204</v>
      </c>
      <c r="H274" s="443">
        <f>SUM(O274,R274)</f>
        <v>208.2</v>
      </c>
      <c r="I274" s="443">
        <f>VLOOKUP(D274,'Orçamento Analitico'!D:L,9,FALSE())</f>
        <v>307.55</v>
      </c>
      <c r="J274" s="443">
        <f>ROUNDDOWN(I274*(1+$G$6),2)</f>
        <v>385.94</v>
      </c>
      <c r="K274" s="443">
        <f>ROUNDDOWN(H274*I274,2)</f>
        <v>64031.91</v>
      </c>
      <c r="L274" s="443">
        <f>ROUNDDOWN(H274*J274,2)</f>
        <v>80352.7</v>
      </c>
      <c r="M274" s="461" t="e">
        <f t="shared" si="72"/>
        <v>#N/A</v>
      </c>
      <c r="N274" s="509"/>
      <c r="O274" s="465">
        <v>105.6</v>
      </c>
      <c r="P274" s="465" t="s">
        <v>6171</v>
      </c>
      <c r="Q274" s="465"/>
      <c r="R274" s="465">
        <v>102.6</v>
      </c>
      <c r="S274" s="465" t="s">
        <v>6172</v>
      </c>
      <c r="T274" s="465"/>
      <c r="U274" s="479"/>
      <c r="V274" s="422"/>
      <c r="W274" s="422"/>
      <c r="X274" s="422"/>
      <c r="Y274" s="422"/>
      <c r="Z274" s="422"/>
    </row>
    <row r="275" ht="12.75" customHeight="1" spans="1:26">
      <c r="A275" s="422" t="str">
        <f>B275</f>
        <v> 10.3 </v>
      </c>
      <c r="B275" s="423" t="str">
        <f>B274</f>
        <v> 10.3 </v>
      </c>
      <c r="C275" s="441" t="s">
        <v>721</v>
      </c>
      <c r="D275" s="442" t="s">
        <v>722</v>
      </c>
      <c r="E275" s="441" t="s">
        <v>77</v>
      </c>
      <c r="F275" s="441" t="s">
        <v>723</v>
      </c>
      <c r="G275" s="442" t="s">
        <v>204</v>
      </c>
      <c r="H275" s="443">
        <f>SUM(O275,R275)</f>
        <v>324.1</v>
      </c>
      <c r="I275" s="443">
        <f>VLOOKUP(D275,'Orçamento Analitico'!D:L,9,FALSE())</f>
        <v>252.74</v>
      </c>
      <c r="J275" s="443">
        <f>ROUNDDOWN(I275*(1+$G$6),2)</f>
        <v>317.16</v>
      </c>
      <c r="K275" s="443">
        <f>ROUNDDOWN(H275*I275,2)</f>
        <v>81913.03</v>
      </c>
      <c r="L275" s="443">
        <f>ROUNDDOWN(H275*J275,2)</f>
        <v>102791.55</v>
      </c>
      <c r="M275" s="461" t="e">
        <f t="shared" si="72"/>
        <v>#N/A</v>
      </c>
      <c r="N275" s="509"/>
      <c r="O275" s="465">
        <v>204.7</v>
      </c>
      <c r="P275" s="465" t="s">
        <v>6171</v>
      </c>
      <c r="Q275" s="465"/>
      <c r="R275" s="465">
        <v>119.4</v>
      </c>
      <c r="S275" s="465" t="s">
        <v>6172</v>
      </c>
      <c r="T275" s="465"/>
      <c r="U275" s="479"/>
      <c r="V275" s="422"/>
      <c r="W275" s="422"/>
      <c r="X275" s="422"/>
      <c r="Y275" s="422"/>
      <c r="Z275" s="422"/>
    </row>
    <row r="276" ht="19.5" customHeight="1" spans="1:26">
      <c r="A276" s="422" t="str">
        <f>B276</f>
        <v> 10.3 </v>
      </c>
      <c r="B276" s="423" t="str">
        <f>B275</f>
        <v> 10.3 </v>
      </c>
      <c r="C276" s="441" t="s">
        <v>724</v>
      </c>
      <c r="D276" s="442" t="s">
        <v>725</v>
      </c>
      <c r="E276" s="441" t="s">
        <v>149</v>
      </c>
      <c r="F276" s="441" t="s">
        <v>726</v>
      </c>
      <c r="G276" s="442" t="s">
        <v>204</v>
      </c>
      <c r="H276" s="443">
        <f>SUM(O276,R276)</f>
        <v>310.3</v>
      </c>
      <c r="I276" s="443">
        <f>VLOOKUP(D276,'Orçamento Analitico'!D:L,9,FALSE())</f>
        <v>6.01</v>
      </c>
      <c r="J276" s="443">
        <f>ROUNDDOWN(I276*(1+$G$6),2)</f>
        <v>7.54</v>
      </c>
      <c r="K276" s="443">
        <f>ROUNDDOWN(H276*I276,2)</f>
        <v>1864.9</v>
      </c>
      <c r="L276" s="443">
        <f>ROUNDDOWN(H276*J276,2)</f>
        <v>2339.66</v>
      </c>
      <c r="M276" s="461" t="e">
        <f t="shared" si="72"/>
        <v>#N/A</v>
      </c>
      <c r="N276" s="509"/>
      <c r="O276" s="465">
        <f>SUM(O274:O275)</f>
        <v>310.3</v>
      </c>
      <c r="P276" s="465" t="s">
        <v>6171</v>
      </c>
      <c r="Q276" s="465"/>
      <c r="R276" s="465"/>
      <c r="S276" s="465"/>
      <c r="T276" s="465"/>
      <c r="U276" s="479"/>
      <c r="V276" s="422"/>
      <c r="W276" s="422"/>
      <c r="X276" s="422"/>
      <c r="Y276" s="422"/>
      <c r="Z276" s="422"/>
    </row>
    <row r="277" ht="19.5" customHeight="1" spans="1:26">
      <c r="A277" s="422" t="str">
        <f>B277</f>
        <v> 10.3 </v>
      </c>
      <c r="B277" s="423" t="str">
        <f>B276</f>
        <v> 10.3 </v>
      </c>
      <c r="C277" s="441" t="s">
        <v>727</v>
      </c>
      <c r="D277" s="442" t="s">
        <v>728</v>
      </c>
      <c r="E277" s="441" t="s">
        <v>149</v>
      </c>
      <c r="F277" s="441" t="s">
        <v>729</v>
      </c>
      <c r="G277" s="442" t="s">
        <v>204</v>
      </c>
      <c r="H277" s="443">
        <f>SUM(O277,R277)</f>
        <v>532.3</v>
      </c>
      <c r="I277" s="443">
        <f>VLOOKUP(D277,'Orçamento Analitico'!D:L,9,FALSE())</f>
        <v>13.52</v>
      </c>
      <c r="J277" s="443">
        <f>ROUNDDOWN(I277*(1+$G$6),2)</f>
        <v>16.96</v>
      </c>
      <c r="K277" s="443">
        <f>ROUNDDOWN(H277*I277,2)</f>
        <v>7196.69</v>
      </c>
      <c r="L277" s="443">
        <f>ROUNDDOWN(H277*J277,2)</f>
        <v>9027.8</v>
      </c>
      <c r="M277" s="461" t="e">
        <f t="shared" si="72"/>
        <v>#N/A</v>
      </c>
      <c r="N277" s="509"/>
      <c r="O277" s="465">
        <f>SUM(O274:O275)</f>
        <v>310.3</v>
      </c>
      <c r="P277" s="465" t="s">
        <v>6171</v>
      </c>
      <c r="Q277" s="465"/>
      <c r="R277" s="465">
        <f>SUM(R274:R275)</f>
        <v>222</v>
      </c>
      <c r="S277" s="465"/>
      <c r="T277" s="465"/>
      <c r="U277" s="479"/>
      <c r="V277" s="422"/>
      <c r="W277" s="422"/>
      <c r="X277" s="422"/>
      <c r="Y277" s="422"/>
      <c r="Z277" s="422"/>
    </row>
    <row r="278" ht="12.75" customHeight="1" spans="1:26">
      <c r="A278" s="422"/>
      <c r="B278" s="423" t="str">
        <f>C278</f>
        <v> 10.4 </v>
      </c>
      <c r="C278" s="444" t="s">
        <v>730</v>
      </c>
      <c r="D278" s="445" t="s">
        <v>74</v>
      </c>
      <c r="E278" s="444"/>
      <c r="F278" s="444" t="s">
        <v>731</v>
      </c>
      <c r="G278" s="445"/>
      <c r="H278" s="446"/>
      <c r="I278" s="446"/>
      <c r="J278" s="466"/>
      <c r="K278" s="466">
        <f>SUMIF(A:A,B278,K:K)</f>
        <v>17440.92</v>
      </c>
      <c r="L278" s="466">
        <f>SUMIF(A:A,C278,L:L)</f>
        <v>21886.2</v>
      </c>
      <c r="M278" s="467" t="e">
        <f t="shared" si="72"/>
        <v>#N/A</v>
      </c>
      <c r="N278" s="464"/>
      <c r="O278" s="465"/>
      <c r="P278" s="465"/>
      <c r="Q278" s="465"/>
      <c r="R278" s="465"/>
      <c r="S278" s="465"/>
      <c r="T278" s="465"/>
      <c r="U278" s="479"/>
      <c r="V278" s="422"/>
      <c r="W278" s="422"/>
      <c r="X278" s="422"/>
      <c r="Y278" s="422"/>
      <c r="Z278" s="422"/>
    </row>
    <row r="279" ht="35.25" customHeight="1" spans="1:26">
      <c r="A279" s="422" t="str">
        <f>B279</f>
        <v> 10.4 </v>
      </c>
      <c r="B279" s="423" t="str">
        <f>B278</f>
        <v> 10.4 </v>
      </c>
      <c r="C279" s="441" t="s">
        <v>732</v>
      </c>
      <c r="D279" s="442" t="s">
        <v>733</v>
      </c>
      <c r="E279" s="441" t="s">
        <v>77</v>
      </c>
      <c r="F279" s="441" t="s">
        <v>734</v>
      </c>
      <c r="G279" s="442" t="s">
        <v>141</v>
      </c>
      <c r="H279" s="443">
        <f>SUM(N279:U279)</f>
        <v>28</v>
      </c>
      <c r="I279" s="443">
        <f>VLOOKUP(D279,'Orçamento Analitico'!D:L,9,FALSE())</f>
        <v>140.13</v>
      </c>
      <c r="J279" s="443">
        <f>ROUNDDOWN(I279*(1+$G$6),2)</f>
        <v>175.84</v>
      </c>
      <c r="K279" s="443">
        <f>ROUNDDOWN(H279*I279,2)</f>
        <v>3923.64</v>
      </c>
      <c r="L279" s="443">
        <f>ROUNDDOWN(H279*J279,2)</f>
        <v>4923.52</v>
      </c>
      <c r="M279" s="461" t="e">
        <f t="shared" si="72"/>
        <v>#N/A</v>
      </c>
      <c r="N279" s="464"/>
      <c r="O279" s="465"/>
      <c r="P279" s="465"/>
      <c r="Q279" s="465">
        <f>ROUND((4.55+2.55+2.45+2+2.45+2.55+1.3+1+1)*1.4,0)</f>
        <v>28</v>
      </c>
      <c r="R279" s="465" t="s">
        <v>6173</v>
      </c>
      <c r="S279" s="465"/>
      <c r="T279" s="465"/>
      <c r="U279" s="479"/>
      <c r="V279" s="422"/>
      <c r="W279" s="422"/>
      <c r="X279" s="422"/>
      <c r="Y279" s="422"/>
      <c r="Z279" s="422"/>
    </row>
    <row r="280" ht="35.25" customHeight="1" spans="1:26">
      <c r="A280" s="422" t="str">
        <f>B280</f>
        <v> 10.4 </v>
      </c>
      <c r="B280" s="423" t="str">
        <f>B279</f>
        <v> 10.4 </v>
      </c>
      <c r="C280" s="441" t="s">
        <v>735</v>
      </c>
      <c r="D280" s="442" t="s">
        <v>736</v>
      </c>
      <c r="E280" s="441" t="s">
        <v>77</v>
      </c>
      <c r="F280" s="441" t="s">
        <v>737</v>
      </c>
      <c r="G280" s="442" t="s">
        <v>141</v>
      </c>
      <c r="H280" s="443">
        <f>SUM(N280:U280)</f>
        <v>28</v>
      </c>
      <c r="I280" s="443">
        <f>VLOOKUP(D280,'Orçamento Analitico'!D:L,9,FALSE())</f>
        <v>482.76</v>
      </c>
      <c r="J280" s="443">
        <f>ROUNDDOWN(I280*(1+$G$6),2)</f>
        <v>605.81</v>
      </c>
      <c r="K280" s="443">
        <f>ROUNDDOWN(H280*I280,2)</f>
        <v>13517.28</v>
      </c>
      <c r="L280" s="443">
        <f>ROUNDDOWN(H280*J280,2)</f>
        <v>16962.68</v>
      </c>
      <c r="M280" s="461" t="e">
        <f t="shared" si="72"/>
        <v>#N/A</v>
      </c>
      <c r="N280" s="464"/>
      <c r="O280" s="465"/>
      <c r="P280" s="465"/>
      <c r="Q280" s="465">
        <v>28</v>
      </c>
      <c r="R280" s="465"/>
      <c r="S280" s="465"/>
      <c r="T280" s="465"/>
      <c r="U280" s="479"/>
      <c r="V280" s="422"/>
      <c r="W280" s="422"/>
      <c r="X280" s="422"/>
      <c r="Y280" s="422"/>
      <c r="Z280" s="422"/>
    </row>
    <row r="281" ht="12.75" customHeight="1" spans="1:26">
      <c r="A281" s="422"/>
      <c r="B281" s="423"/>
      <c r="C281" s="438" t="s">
        <v>38</v>
      </c>
      <c r="D281" s="439" t="s">
        <v>74</v>
      </c>
      <c r="E281" s="438"/>
      <c r="F281" s="438" t="s">
        <v>39</v>
      </c>
      <c r="G281" s="439"/>
      <c r="H281" s="440"/>
      <c r="I281" s="440"/>
      <c r="J281" s="440"/>
      <c r="K281" s="440">
        <f>SUM(K282,K325,K331,K356)</f>
        <v>446417.02</v>
      </c>
      <c r="L281" s="440">
        <f>SUM(L282,L325,L331,L356)</f>
        <v>560198.88</v>
      </c>
      <c r="M281" s="458" t="e">
        <f t="shared" si="72"/>
        <v>#N/A</v>
      </c>
      <c r="N281" s="464"/>
      <c r="O281" s="465"/>
      <c r="P281" s="465"/>
      <c r="Q281" s="465"/>
      <c r="R281" s="465"/>
      <c r="S281" s="465"/>
      <c r="T281" s="465"/>
      <c r="U281" s="479"/>
      <c r="V281" s="422"/>
      <c r="W281" s="422"/>
      <c r="X281" s="422"/>
      <c r="Y281" s="422"/>
      <c r="Z281" s="422"/>
    </row>
    <row r="282" ht="12.75" customHeight="1" spans="1:26">
      <c r="A282" s="422"/>
      <c r="B282" s="423" t="str">
        <f>C282</f>
        <v> 11.1 </v>
      </c>
      <c r="C282" s="444" t="s">
        <v>738</v>
      </c>
      <c r="D282" s="445" t="s">
        <v>74</v>
      </c>
      <c r="E282" s="444"/>
      <c r="F282" s="444" t="s">
        <v>739</v>
      </c>
      <c r="G282" s="445"/>
      <c r="H282" s="446"/>
      <c r="I282" s="446"/>
      <c r="J282" s="466"/>
      <c r="K282" s="466">
        <f>SUMIF(A:A,B282,K:K)</f>
        <v>175906.21</v>
      </c>
      <c r="L282" s="466">
        <f>SUMIF(A:A,C282,L:L)</f>
        <v>220738.8</v>
      </c>
      <c r="M282" s="467" t="e">
        <f t="shared" si="72"/>
        <v>#N/A</v>
      </c>
      <c r="N282" s="502" t="s">
        <v>6121</v>
      </c>
      <c r="O282" s="503" t="s">
        <v>6122</v>
      </c>
      <c r="P282" s="503" t="s">
        <v>6123</v>
      </c>
      <c r="Q282" s="503" t="s">
        <v>6124</v>
      </c>
      <c r="R282" s="503" t="s">
        <v>6125</v>
      </c>
      <c r="S282" s="503" t="s">
        <v>6174</v>
      </c>
      <c r="T282" s="503" t="s">
        <v>6126</v>
      </c>
      <c r="U282" s="506"/>
      <c r="V282" s="422"/>
      <c r="W282" s="422"/>
      <c r="X282" s="422"/>
      <c r="Y282" s="422"/>
      <c r="Z282" s="422"/>
    </row>
    <row r="283" ht="45" customHeight="1" spans="1:26">
      <c r="A283" s="422" t="str">
        <f t="shared" ref="A283:A324" si="75">B283</f>
        <v> 11.1 </v>
      </c>
      <c r="B283" s="423" t="str">
        <f t="shared" ref="B283:B324" si="76">B282</f>
        <v> 11.1 </v>
      </c>
      <c r="C283" s="441" t="s">
        <v>740</v>
      </c>
      <c r="D283" s="442" t="s">
        <v>741</v>
      </c>
      <c r="E283" s="441" t="s">
        <v>139</v>
      </c>
      <c r="F283" s="441" t="s">
        <v>742</v>
      </c>
      <c r="G283" s="442" t="s">
        <v>204</v>
      </c>
      <c r="H283" s="443">
        <f t="shared" ref="H283:H324" si="77">SUM(N283:U283)</f>
        <v>6</v>
      </c>
      <c r="I283" s="443">
        <f>VLOOKUP(D283,'Orçamento Analitico'!D:L,9,FALSE())</f>
        <v>14.92</v>
      </c>
      <c r="J283" s="443">
        <f t="shared" ref="J283:J324" si="78">ROUNDDOWN(I283*(1+$G$6),2)</f>
        <v>18.72</v>
      </c>
      <c r="K283" s="443">
        <f t="shared" ref="K283:K324" si="79">ROUNDDOWN(H283*I283,2)</f>
        <v>89.52</v>
      </c>
      <c r="L283" s="443">
        <f t="shared" ref="L283:L324" si="80">ROUNDDOWN(H283*J283,2)</f>
        <v>112.32</v>
      </c>
      <c r="M283" s="461" t="e">
        <f t="shared" si="72"/>
        <v>#N/A</v>
      </c>
      <c r="N283" s="464"/>
      <c r="O283" s="465"/>
      <c r="P283" s="465"/>
      <c r="Q283" s="465"/>
      <c r="R283" s="465"/>
      <c r="S283" s="465">
        <v>6</v>
      </c>
      <c r="T283" s="465"/>
      <c r="U283" s="479"/>
      <c r="V283" s="422"/>
      <c r="W283" s="422"/>
      <c r="X283" s="422"/>
      <c r="Y283" s="422"/>
      <c r="Z283" s="422"/>
    </row>
    <row r="284" ht="45" customHeight="1" spans="1:26">
      <c r="A284" s="422" t="str">
        <f t="shared" si="75"/>
        <v> 11.1 </v>
      </c>
      <c r="B284" s="423" t="str">
        <f t="shared" si="76"/>
        <v> 11.1 </v>
      </c>
      <c r="C284" s="441" t="s">
        <v>743</v>
      </c>
      <c r="D284" s="442" t="s">
        <v>744</v>
      </c>
      <c r="E284" s="441" t="s">
        <v>139</v>
      </c>
      <c r="F284" s="441" t="s">
        <v>745</v>
      </c>
      <c r="G284" s="442" t="s">
        <v>204</v>
      </c>
      <c r="H284" s="443">
        <f t="shared" si="77"/>
        <v>169.3</v>
      </c>
      <c r="I284" s="443">
        <f>VLOOKUP(D284,'Orçamento Analitico'!D:L,9,FALSE())</f>
        <v>34.35</v>
      </c>
      <c r="J284" s="443">
        <f t="shared" si="78"/>
        <v>43.1</v>
      </c>
      <c r="K284" s="443">
        <f t="shared" si="79"/>
        <v>5815.45</v>
      </c>
      <c r="L284" s="443">
        <f t="shared" si="80"/>
        <v>7296.83</v>
      </c>
      <c r="M284" s="461" t="e">
        <f t="shared" si="72"/>
        <v>#N/A</v>
      </c>
      <c r="N284" s="464">
        <v>115.3</v>
      </c>
      <c r="O284" s="465"/>
      <c r="P284" s="465"/>
      <c r="Q284" s="465"/>
      <c r="R284" s="465"/>
      <c r="S284" s="465">
        <v>54</v>
      </c>
      <c r="T284" s="465"/>
      <c r="U284" s="479"/>
      <c r="V284" s="422"/>
      <c r="W284" s="422"/>
      <c r="X284" s="422"/>
      <c r="Y284" s="422"/>
      <c r="Z284" s="422"/>
    </row>
    <row r="285" ht="45" customHeight="1" spans="1:26">
      <c r="A285" s="422" t="str">
        <f t="shared" si="75"/>
        <v> 11.1 </v>
      </c>
      <c r="B285" s="423" t="str">
        <f t="shared" si="76"/>
        <v> 11.1 </v>
      </c>
      <c r="C285" s="441" t="s">
        <v>746</v>
      </c>
      <c r="D285" s="442" t="s">
        <v>747</v>
      </c>
      <c r="E285" s="441" t="s">
        <v>139</v>
      </c>
      <c r="F285" s="441" t="s">
        <v>748</v>
      </c>
      <c r="G285" s="442" t="s">
        <v>134</v>
      </c>
      <c r="H285" s="443">
        <f t="shared" si="77"/>
        <v>4</v>
      </c>
      <c r="I285" s="443">
        <f>VLOOKUP(D285,'Orçamento Analitico'!D:L,9,FALSE())</f>
        <v>10.82</v>
      </c>
      <c r="J285" s="443">
        <f t="shared" si="78"/>
        <v>13.57</v>
      </c>
      <c r="K285" s="443">
        <f t="shared" si="79"/>
        <v>43.28</v>
      </c>
      <c r="L285" s="443">
        <f t="shared" si="80"/>
        <v>54.28</v>
      </c>
      <c r="M285" s="461" t="e">
        <f t="shared" si="72"/>
        <v>#N/A</v>
      </c>
      <c r="N285" s="464"/>
      <c r="O285" s="465"/>
      <c r="P285" s="465"/>
      <c r="Q285" s="465"/>
      <c r="R285" s="465"/>
      <c r="S285" s="465">
        <v>4</v>
      </c>
      <c r="T285" s="465"/>
      <c r="U285" s="479"/>
      <c r="V285" s="422"/>
      <c r="W285" s="422"/>
      <c r="X285" s="422"/>
      <c r="Y285" s="422"/>
      <c r="Z285" s="422"/>
    </row>
    <row r="286" ht="45" customHeight="1" spans="1:26">
      <c r="A286" s="422" t="str">
        <f t="shared" si="75"/>
        <v> 11.1 </v>
      </c>
      <c r="B286" s="423" t="str">
        <f t="shared" si="76"/>
        <v> 11.1 </v>
      </c>
      <c r="C286" s="441" t="s">
        <v>749</v>
      </c>
      <c r="D286" s="442" t="s">
        <v>750</v>
      </c>
      <c r="E286" s="441" t="s">
        <v>139</v>
      </c>
      <c r="F286" s="441" t="s">
        <v>751</v>
      </c>
      <c r="G286" s="442" t="s">
        <v>134</v>
      </c>
      <c r="H286" s="443">
        <f t="shared" si="77"/>
        <v>25</v>
      </c>
      <c r="I286" s="443">
        <f>VLOOKUP(D286,'Orçamento Analitico'!D:L,9,FALSE())</f>
        <v>23.23</v>
      </c>
      <c r="J286" s="443">
        <f t="shared" si="78"/>
        <v>29.15</v>
      </c>
      <c r="K286" s="443">
        <f t="shared" si="79"/>
        <v>580.75</v>
      </c>
      <c r="L286" s="443">
        <f t="shared" si="80"/>
        <v>728.75</v>
      </c>
      <c r="M286" s="461" t="e">
        <f t="shared" si="72"/>
        <v>#N/A</v>
      </c>
      <c r="N286" s="464">
        <v>14</v>
      </c>
      <c r="O286" s="465"/>
      <c r="P286" s="465"/>
      <c r="Q286" s="465"/>
      <c r="R286" s="465"/>
      <c r="S286" s="465">
        <v>11</v>
      </c>
      <c r="T286" s="465"/>
      <c r="U286" s="479"/>
      <c r="V286" s="422"/>
      <c r="W286" s="422"/>
      <c r="X286" s="422"/>
      <c r="Y286" s="422"/>
      <c r="Z286" s="422"/>
    </row>
    <row r="287" ht="45" customHeight="1" spans="1:26">
      <c r="A287" s="422" t="str">
        <f t="shared" si="75"/>
        <v> 11.1 </v>
      </c>
      <c r="B287" s="423" t="str">
        <f t="shared" si="76"/>
        <v> 11.1 </v>
      </c>
      <c r="C287" s="441" t="s">
        <v>752</v>
      </c>
      <c r="D287" s="442" t="s">
        <v>753</v>
      </c>
      <c r="E287" s="441" t="s">
        <v>139</v>
      </c>
      <c r="F287" s="441" t="s">
        <v>754</v>
      </c>
      <c r="G287" s="442" t="s">
        <v>134</v>
      </c>
      <c r="H287" s="443">
        <f t="shared" si="77"/>
        <v>3</v>
      </c>
      <c r="I287" s="443">
        <f>VLOOKUP(D287,'Orçamento Analitico'!D:L,9,FALSE())</f>
        <v>34.6</v>
      </c>
      <c r="J287" s="443">
        <f t="shared" si="78"/>
        <v>43.41</v>
      </c>
      <c r="K287" s="443">
        <f t="shared" si="79"/>
        <v>103.8</v>
      </c>
      <c r="L287" s="443">
        <f t="shared" si="80"/>
        <v>130.23</v>
      </c>
      <c r="M287" s="461" t="e">
        <f t="shared" si="72"/>
        <v>#N/A</v>
      </c>
      <c r="N287" s="464"/>
      <c r="O287" s="465"/>
      <c r="P287" s="465"/>
      <c r="Q287" s="465"/>
      <c r="R287" s="465"/>
      <c r="S287" s="465">
        <v>3</v>
      </c>
      <c r="T287" s="465"/>
      <c r="U287" s="479"/>
      <c r="V287" s="422"/>
      <c r="W287" s="422"/>
      <c r="X287" s="422"/>
      <c r="Y287" s="422"/>
      <c r="Z287" s="422"/>
    </row>
    <row r="288" ht="45" customHeight="1" spans="1:26">
      <c r="A288" s="422" t="str">
        <f t="shared" si="75"/>
        <v> 11.1 </v>
      </c>
      <c r="B288" s="423" t="str">
        <f t="shared" si="76"/>
        <v> 11.1 </v>
      </c>
      <c r="C288" s="441" t="s">
        <v>755</v>
      </c>
      <c r="D288" s="442" t="s">
        <v>756</v>
      </c>
      <c r="E288" s="441" t="s">
        <v>77</v>
      </c>
      <c r="F288" s="441" t="s">
        <v>757</v>
      </c>
      <c r="G288" s="442" t="s">
        <v>204</v>
      </c>
      <c r="H288" s="443">
        <f t="shared" si="77"/>
        <v>15</v>
      </c>
      <c r="I288" s="443">
        <f>VLOOKUP(D288,'Orçamento Analitico'!D:L,9,FALSE())</f>
        <v>41.35</v>
      </c>
      <c r="J288" s="443">
        <f t="shared" si="78"/>
        <v>51.89</v>
      </c>
      <c r="K288" s="443">
        <f t="shared" si="79"/>
        <v>620.25</v>
      </c>
      <c r="L288" s="443">
        <f t="shared" si="80"/>
        <v>778.35</v>
      </c>
      <c r="M288" s="461" t="e">
        <f t="shared" si="72"/>
        <v>#N/A</v>
      </c>
      <c r="N288" s="464">
        <v>15</v>
      </c>
      <c r="O288" s="465"/>
      <c r="P288" s="465"/>
      <c r="Q288" s="465"/>
      <c r="R288" s="465"/>
      <c r="S288" s="465"/>
      <c r="T288" s="465"/>
      <c r="U288" s="479"/>
      <c r="V288" s="422"/>
      <c r="W288" s="422"/>
      <c r="X288" s="422"/>
      <c r="Y288" s="422"/>
      <c r="Z288" s="422"/>
    </row>
    <row r="289" ht="45" customHeight="1" spans="1:26">
      <c r="A289" s="422" t="str">
        <f t="shared" si="75"/>
        <v> 11.1 </v>
      </c>
      <c r="B289" s="423" t="str">
        <f t="shared" si="76"/>
        <v> 11.1 </v>
      </c>
      <c r="C289" s="441" t="s">
        <v>758</v>
      </c>
      <c r="D289" s="442" t="s">
        <v>759</v>
      </c>
      <c r="E289" s="441" t="s">
        <v>77</v>
      </c>
      <c r="F289" s="441" t="s">
        <v>760</v>
      </c>
      <c r="G289" s="442" t="s">
        <v>204</v>
      </c>
      <c r="H289" s="443">
        <f t="shared" si="77"/>
        <v>6</v>
      </c>
      <c r="I289" s="443">
        <f>VLOOKUP(D289,'Orçamento Analitico'!D:L,9,FALSE())</f>
        <v>67.77</v>
      </c>
      <c r="J289" s="443">
        <f t="shared" si="78"/>
        <v>85.04</v>
      </c>
      <c r="K289" s="443">
        <f t="shared" si="79"/>
        <v>406.62</v>
      </c>
      <c r="L289" s="443">
        <f t="shared" si="80"/>
        <v>510.24</v>
      </c>
      <c r="M289" s="461" t="e">
        <f t="shared" si="72"/>
        <v>#N/A</v>
      </c>
      <c r="N289" s="464">
        <v>6</v>
      </c>
      <c r="O289" s="465"/>
      <c r="P289" s="465"/>
      <c r="Q289" s="465"/>
      <c r="R289" s="465"/>
      <c r="S289" s="465"/>
      <c r="T289" s="465"/>
      <c r="U289" s="479"/>
      <c r="V289" s="422"/>
      <c r="W289" s="422"/>
      <c r="X289" s="422"/>
      <c r="Y289" s="422"/>
      <c r="Z289" s="422"/>
    </row>
    <row r="290" ht="45" customHeight="1" spans="1:26">
      <c r="A290" s="422" t="str">
        <f t="shared" si="75"/>
        <v> 11.1 </v>
      </c>
      <c r="B290" s="423" t="str">
        <f t="shared" si="76"/>
        <v> 11.1 </v>
      </c>
      <c r="C290" s="441" t="s">
        <v>761</v>
      </c>
      <c r="D290" s="442" t="s">
        <v>762</v>
      </c>
      <c r="E290" s="441" t="s">
        <v>132</v>
      </c>
      <c r="F290" s="441" t="s">
        <v>763</v>
      </c>
      <c r="G290" s="442" t="s">
        <v>204</v>
      </c>
      <c r="H290" s="443">
        <f t="shared" si="77"/>
        <v>79</v>
      </c>
      <c r="I290" s="443">
        <f>VLOOKUP(D290,'Orçamento Analitico'!D:L,9,FALSE())</f>
        <v>373.26</v>
      </c>
      <c r="J290" s="443">
        <f t="shared" si="78"/>
        <v>468.4</v>
      </c>
      <c r="K290" s="443">
        <f t="shared" si="79"/>
        <v>29487.54</v>
      </c>
      <c r="L290" s="443">
        <f t="shared" si="80"/>
        <v>37003.6</v>
      </c>
      <c r="M290" s="461" t="e">
        <f t="shared" si="72"/>
        <v>#N/A</v>
      </c>
      <c r="N290" s="464"/>
      <c r="O290" s="465"/>
      <c r="P290" s="465"/>
      <c r="Q290" s="465"/>
      <c r="R290" s="465"/>
      <c r="S290" s="465"/>
      <c r="T290" s="465">
        <v>79</v>
      </c>
      <c r="U290" s="479"/>
      <c r="V290" s="422"/>
      <c r="W290" s="422"/>
      <c r="X290" s="422"/>
      <c r="Y290" s="422"/>
      <c r="Z290" s="422"/>
    </row>
    <row r="291" ht="45" customHeight="1" spans="1:26">
      <c r="A291" s="422" t="str">
        <f t="shared" si="75"/>
        <v> 11.1 </v>
      </c>
      <c r="B291" s="423" t="str">
        <f t="shared" si="76"/>
        <v> 11.1 </v>
      </c>
      <c r="C291" s="441" t="s">
        <v>764</v>
      </c>
      <c r="D291" s="442" t="s">
        <v>765</v>
      </c>
      <c r="E291" s="441" t="s">
        <v>132</v>
      </c>
      <c r="F291" s="441" t="s">
        <v>766</v>
      </c>
      <c r="G291" s="442" t="s">
        <v>134</v>
      </c>
      <c r="H291" s="443">
        <f t="shared" si="77"/>
        <v>15</v>
      </c>
      <c r="I291" s="443">
        <f>VLOOKUP(D291,'Orçamento Analitico'!D:L,9,FALSE())</f>
        <v>170.56</v>
      </c>
      <c r="J291" s="443">
        <f t="shared" si="78"/>
        <v>214.03</v>
      </c>
      <c r="K291" s="443">
        <f t="shared" si="79"/>
        <v>2558.4</v>
      </c>
      <c r="L291" s="443">
        <f t="shared" si="80"/>
        <v>3210.45</v>
      </c>
      <c r="M291" s="461" t="e">
        <f t="shared" si="72"/>
        <v>#N/A</v>
      </c>
      <c r="N291" s="464"/>
      <c r="O291" s="465"/>
      <c r="P291" s="465"/>
      <c r="Q291" s="465"/>
      <c r="R291" s="465"/>
      <c r="S291" s="465"/>
      <c r="T291" s="465">
        <v>15</v>
      </c>
      <c r="U291" s="479"/>
      <c r="V291" s="422"/>
      <c r="W291" s="422"/>
      <c r="X291" s="422"/>
      <c r="Y291" s="422"/>
      <c r="Z291" s="422"/>
    </row>
    <row r="292" ht="45" customHeight="1" spans="1:26">
      <c r="A292" s="422" t="str">
        <f t="shared" si="75"/>
        <v> 11.1 </v>
      </c>
      <c r="B292" s="423" t="str">
        <f t="shared" si="76"/>
        <v> 11.1 </v>
      </c>
      <c r="C292" s="441" t="s">
        <v>767</v>
      </c>
      <c r="D292" s="442" t="s">
        <v>768</v>
      </c>
      <c r="E292" s="441" t="s">
        <v>139</v>
      </c>
      <c r="F292" s="441" t="s">
        <v>769</v>
      </c>
      <c r="G292" s="442" t="s">
        <v>134</v>
      </c>
      <c r="H292" s="443">
        <f t="shared" si="77"/>
        <v>4</v>
      </c>
      <c r="I292" s="443">
        <f>VLOOKUP(D292,'Orçamento Analitico'!D:L,9,FALSE())</f>
        <v>24.29</v>
      </c>
      <c r="J292" s="443">
        <f t="shared" si="78"/>
        <v>30.48</v>
      </c>
      <c r="K292" s="443">
        <f t="shared" si="79"/>
        <v>97.16</v>
      </c>
      <c r="L292" s="443">
        <f t="shared" si="80"/>
        <v>121.92</v>
      </c>
      <c r="M292" s="461" t="e">
        <f t="shared" si="72"/>
        <v>#N/A</v>
      </c>
      <c r="N292" s="464">
        <v>4</v>
      </c>
      <c r="O292" s="465"/>
      <c r="P292" s="465"/>
      <c r="Q292" s="465"/>
      <c r="R292" s="465"/>
      <c r="S292" s="465"/>
      <c r="T292" s="465"/>
      <c r="U292" s="479"/>
      <c r="V292" s="422"/>
      <c r="W292" s="422"/>
      <c r="X292" s="422"/>
      <c r="Y292" s="422"/>
      <c r="Z292" s="422"/>
    </row>
    <row r="293" ht="45" customHeight="1" spans="1:26">
      <c r="A293" s="422" t="str">
        <f t="shared" si="75"/>
        <v> 11.1 </v>
      </c>
      <c r="B293" s="423" t="str">
        <f t="shared" si="76"/>
        <v> 11.1 </v>
      </c>
      <c r="C293" s="441" t="s">
        <v>770</v>
      </c>
      <c r="D293" s="442" t="s">
        <v>771</v>
      </c>
      <c r="E293" s="441" t="s">
        <v>139</v>
      </c>
      <c r="F293" s="441" t="s">
        <v>772</v>
      </c>
      <c r="G293" s="442" t="s">
        <v>134</v>
      </c>
      <c r="H293" s="443">
        <f t="shared" si="77"/>
        <v>22</v>
      </c>
      <c r="I293" s="443">
        <f>VLOOKUP(D293,'Orçamento Analitico'!D:L,9,FALSE())</f>
        <v>91.15</v>
      </c>
      <c r="J293" s="443">
        <f t="shared" si="78"/>
        <v>114.38</v>
      </c>
      <c r="K293" s="443">
        <f t="shared" si="79"/>
        <v>2005.3</v>
      </c>
      <c r="L293" s="443">
        <f t="shared" si="80"/>
        <v>2516.36</v>
      </c>
      <c r="M293" s="461" t="e">
        <f t="shared" si="72"/>
        <v>#N/A</v>
      </c>
      <c r="N293" s="464">
        <v>22</v>
      </c>
      <c r="O293" s="465"/>
      <c r="P293" s="465"/>
      <c r="Q293" s="465"/>
      <c r="R293" s="465"/>
      <c r="S293" s="465"/>
      <c r="T293" s="465"/>
      <c r="U293" s="479"/>
      <c r="V293" s="422"/>
      <c r="W293" s="422"/>
      <c r="X293" s="422"/>
      <c r="Y293" s="422"/>
      <c r="Z293" s="422"/>
    </row>
    <row r="294" ht="45" customHeight="1" spans="1:26">
      <c r="A294" s="422" t="str">
        <f t="shared" si="75"/>
        <v> 11.1 </v>
      </c>
      <c r="B294" s="423" t="str">
        <f t="shared" si="76"/>
        <v> 11.1 </v>
      </c>
      <c r="C294" s="441" t="s">
        <v>773</v>
      </c>
      <c r="D294" s="442" t="s">
        <v>774</v>
      </c>
      <c r="E294" s="441" t="s">
        <v>139</v>
      </c>
      <c r="F294" s="441" t="s">
        <v>775</v>
      </c>
      <c r="G294" s="442" t="s">
        <v>134</v>
      </c>
      <c r="H294" s="443">
        <f t="shared" si="77"/>
        <v>8</v>
      </c>
      <c r="I294" s="443">
        <f>VLOOKUP(D294,'Orçamento Analitico'!D:L,9,FALSE())</f>
        <v>115.46</v>
      </c>
      <c r="J294" s="443">
        <f t="shared" si="78"/>
        <v>144.89</v>
      </c>
      <c r="K294" s="443">
        <f t="shared" si="79"/>
        <v>923.68</v>
      </c>
      <c r="L294" s="443">
        <f t="shared" si="80"/>
        <v>1159.12</v>
      </c>
      <c r="M294" s="461" t="e">
        <f t="shared" si="72"/>
        <v>#N/A</v>
      </c>
      <c r="N294" s="464">
        <v>8</v>
      </c>
      <c r="O294" s="465"/>
      <c r="P294" s="465"/>
      <c r="Q294" s="465"/>
      <c r="R294" s="465"/>
      <c r="S294" s="465"/>
      <c r="T294" s="465"/>
      <c r="U294" s="479"/>
      <c r="V294" s="422"/>
      <c r="W294" s="422"/>
      <c r="X294" s="422"/>
      <c r="Y294" s="422"/>
      <c r="Z294" s="422"/>
    </row>
    <row r="295" ht="45" customHeight="1" spans="1:26">
      <c r="A295" s="422" t="str">
        <f t="shared" si="75"/>
        <v> 11.1 </v>
      </c>
      <c r="B295" s="423" t="str">
        <f t="shared" si="76"/>
        <v> 11.1 </v>
      </c>
      <c r="C295" s="441" t="s">
        <v>776</v>
      </c>
      <c r="D295" s="442" t="s">
        <v>777</v>
      </c>
      <c r="E295" s="441" t="s">
        <v>139</v>
      </c>
      <c r="F295" s="441" t="s">
        <v>778</v>
      </c>
      <c r="G295" s="442" t="s">
        <v>134</v>
      </c>
      <c r="H295" s="443">
        <f t="shared" si="77"/>
        <v>6</v>
      </c>
      <c r="I295" s="443">
        <f>VLOOKUP(D295,'Orçamento Analitico'!D:L,9,FALSE())</f>
        <v>120.19</v>
      </c>
      <c r="J295" s="443">
        <f t="shared" si="78"/>
        <v>150.82</v>
      </c>
      <c r="K295" s="443">
        <f t="shared" si="79"/>
        <v>721.14</v>
      </c>
      <c r="L295" s="443">
        <f t="shared" si="80"/>
        <v>904.92</v>
      </c>
      <c r="M295" s="461" t="e">
        <f t="shared" si="72"/>
        <v>#N/A</v>
      </c>
      <c r="N295" s="464">
        <v>6</v>
      </c>
      <c r="O295" s="465"/>
      <c r="P295" s="465"/>
      <c r="Q295" s="465"/>
      <c r="R295" s="465"/>
      <c r="S295" s="465"/>
      <c r="T295" s="465"/>
      <c r="U295" s="479"/>
      <c r="V295" s="422"/>
      <c r="W295" s="422"/>
      <c r="X295" s="422"/>
      <c r="Y295" s="422"/>
      <c r="Z295" s="422"/>
    </row>
    <row r="296" ht="45" customHeight="1" spans="1:26">
      <c r="A296" s="422" t="str">
        <f t="shared" si="75"/>
        <v> 11.1 </v>
      </c>
      <c r="B296" s="423" t="str">
        <f t="shared" si="76"/>
        <v> 11.1 </v>
      </c>
      <c r="C296" s="441" t="s">
        <v>779</v>
      </c>
      <c r="D296" s="442" t="s">
        <v>780</v>
      </c>
      <c r="E296" s="441" t="s">
        <v>139</v>
      </c>
      <c r="F296" s="441" t="s">
        <v>781</v>
      </c>
      <c r="G296" s="442" t="s">
        <v>134</v>
      </c>
      <c r="H296" s="443">
        <f t="shared" si="77"/>
        <v>2</v>
      </c>
      <c r="I296" s="443">
        <f>VLOOKUP(D296,'Orçamento Analitico'!D:L,9,FALSE())</f>
        <v>153.88</v>
      </c>
      <c r="J296" s="443">
        <f t="shared" si="78"/>
        <v>193.1</v>
      </c>
      <c r="K296" s="443">
        <f t="shared" si="79"/>
        <v>307.76</v>
      </c>
      <c r="L296" s="443">
        <f t="shared" si="80"/>
        <v>386.2</v>
      </c>
      <c r="M296" s="461" t="e">
        <f t="shared" si="72"/>
        <v>#N/A</v>
      </c>
      <c r="N296" s="464">
        <v>2</v>
      </c>
      <c r="O296" s="465"/>
      <c r="P296" s="465"/>
      <c r="Q296" s="465"/>
      <c r="R296" s="465"/>
      <c r="S296" s="465"/>
      <c r="T296" s="465"/>
      <c r="U296" s="479"/>
      <c r="V296" s="422"/>
      <c r="W296" s="422"/>
      <c r="X296" s="422"/>
      <c r="Y296" s="422"/>
      <c r="Z296" s="422"/>
    </row>
    <row r="297" ht="36" customHeight="1" spans="1:26">
      <c r="A297" s="422" t="str">
        <f t="shared" si="75"/>
        <v> 11.1 </v>
      </c>
      <c r="B297" s="423" t="str">
        <f t="shared" si="76"/>
        <v> 11.1 </v>
      </c>
      <c r="C297" s="441" t="s">
        <v>782</v>
      </c>
      <c r="D297" s="442" t="s">
        <v>783</v>
      </c>
      <c r="E297" s="441" t="s">
        <v>132</v>
      </c>
      <c r="F297" s="441" t="s">
        <v>784</v>
      </c>
      <c r="G297" s="442" t="s">
        <v>134</v>
      </c>
      <c r="H297" s="443">
        <f t="shared" si="77"/>
        <v>4</v>
      </c>
      <c r="I297" s="443">
        <f>VLOOKUP(D297,'Orçamento Analitico'!D:L,9,FALSE())</f>
        <v>68.3</v>
      </c>
      <c r="J297" s="443">
        <f t="shared" si="78"/>
        <v>85.7</v>
      </c>
      <c r="K297" s="443">
        <f t="shared" si="79"/>
        <v>273.2</v>
      </c>
      <c r="L297" s="443">
        <f t="shared" si="80"/>
        <v>342.8</v>
      </c>
      <c r="M297" s="461" t="e">
        <f t="shared" si="72"/>
        <v>#N/A</v>
      </c>
      <c r="N297" s="464">
        <v>4</v>
      </c>
      <c r="O297" s="465"/>
      <c r="P297" s="465"/>
      <c r="Q297" s="465"/>
      <c r="R297" s="465"/>
      <c r="S297" s="465"/>
      <c r="T297" s="465"/>
      <c r="U297" s="479"/>
      <c r="V297" s="422"/>
      <c r="W297" s="422"/>
      <c r="X297" s="422"/>
      <c r="Y297" s="422"/>
      <c r="Z297" s="422"/>
    </row>
    <row r="298" ht="36" customHeight="1" spans="1:26">
      <c r="A298" s="422" t="str">
        <f t="shared" si="75"/>
        <v> 11.1 </v>
      </c>
      <c r="B298" s="423" t="str">
        <f t="shared" si="76"/>
        <v> 11.1 </v>
      </c>
      <c r="C298" s="441" t="s">
        <v>785</v>
      </c>
      <c r="D298" s="442" t="s">
        <v>786</v>
      </c>
      <c r="E298" s="441" t="s">
        <v>149</v>
      </c>
      <c r="F298" s="441" t="s">
        <v>787</v>
      </c>
      <c r="G298" s="442" t="s">
        <v>134</v>
      </c>
      <c r="H298" s="443">
        <f t="shared" si="77"/>
        <v>4</v>
      </c>
      <c r="I298" s="443">
        <f>VLOOKUP(D298,'Orçamento Analitico'!D:L,9,FALSE())</f>
        <v>42.15</v>
      </c>
      <c r="J298" s="443">
        <f t="shared" si="78"/>
        <v>52.89</v>
      </c>
      <c r="K298" s="443">
        <f t="shared" si="79"/>
        <v>168.6</v>
      </c>
      <c r="L298" s="443">
        <f t="shared" si="80"/>
        <v>211.56</v>
      </c>
      <c r="M298" s="461" t="e">
        <f t="shared" si="72"/>
        <v>#N/A</v>
      </c>
      <c r="N298" s="464">
        <f t="shared" ref="N298:T298" si="81">N297</f>
        <v>4</v>
      </c>
      <c r="O298" s="465">
        <f t="shared" si="81"/>
        <v>0</v>
      </c>
      <c r="P298" s="465">
        <f t="shared" si="81"/>
        <v>0</v>
      </c>
      <c r="Q298" s="465">
        <f t="shared" si="81"/>
        <v>0</v>
      </c>
      <c r="R298" s="465">
        <f t="shared" si="81"/>
        <v>0</v>
      </c>
      <c r="S298" s="465">
        <f t="shared" si="81"/>
        <v>0</v>
      </c>
      <c r="T298" s="465">
        <f t="shared" si="81"/>
        <v>0</v>
      </c>
      <c r="U298" s="479"/>
      <c r="V298" s="422"/>
      <c r="W298" s="422"/>
      <c r="X298" s="422"/>
      <c r="Y298" s="422"/>
      <c r="Z298" s="422"/>
    </row>
    <row r="299" ht="36" customHeight="1" spans="1:26">
      <c r="A299" s="422" t="str">
        <f t="shared" si="75"/>
        <v> 11.1 </v>
      </c>
      <c r="B299" s="423" t="str">
        <f t="shared" si="76"/>
        <v> 11.1 </v>
      </c>
      <c r="C299" s="441" t="s">
        <v>788</v>
      </c>
      <c r="D299" s="442" t="s">
        <v>789</v>
      </c>
      <c r="E299" s="441" t="s">
        <v>132</v>
      </c>
      <c r="F299" s="441" t="s">
        <v>790</v>
      </c>
      <c r="G299" s="442" t="s">
        <v>134</v>
      </c>
      <c r="H299" s="443">
        <f t="shared" si="77"/>
        <v>6</v>
      </c>
      <c r="I299" s="443">
        <f>VLOOKUP(D299,'Orçamento Analitico'!D:L,9,FALSE())</f>
        <v>89.76</v>
      </c>
      <c r="J299" s="443">
        <f t="shared" si="78"/>
        <v>112.63</v>
      </c>
      <c r="K299" s="443">
        <f t="shared" si="79"/>
        <v>538.56</v>
      </c>
      <c r="L299" s="443">
        <f t="shared" si="80"/>
        <v>675.78</v>
      </c>
      <c r="M299" s="461" t="e">
        <f t="shared" si="72"/>
        <v>#N/A</v>
      </c>
      <c r="N299" s="464">
        <v>6</v>
      </c>
      <c r="O299" s="465"/>
      <c r="P299" s="465"/>
      <c r="Q299" s="465"/>
      <c r="R299" s="465"/>
      <c r="S299" s="465"/>
      <c r="T299" s="465"/>
      <c r="U299" s="479"/>
      <c r="V299" s="422"/>
      <c r="W299" s="422"/>
      <c r="X299" s="422"/>
      <c r="Y299" s="422"/>
      <c r="Z299" s="422"/>
    </row>
    <row r="300" ht="36" customHeight="1" spans="1:26">
      <c r="A300" s="422" t="str">
        <f t="shared" si="75"/>
        <v> 11.1 </v>
      </c>
      <c r="B300" s="423" t="str">
        <f t="shared" si="76"/>
        <v> 11.1 </v>
      </c>
      <c r="C300" s="441" t="s">
        <v>791</v>
      </c>
      <c r="D300" s="442" t="s">
        <v>792</v>
      </c>
      <c r="E300" s="441" t="s">
        <v>132</v>
      </c>
      <c r="F300" s="441" t="s">
        <v>793</v>
      </c>
      <c r="G300" s="442" t="s">
        <v>134</v>
      </c>
      <c r="H300" s="443">
        <f t="shared" si="77"/>
        <v>6</v>
      </c>
      <c r="I300" s="443">
        <f>VLOOKUP(D300,'Orçamento Analitico'!D:L,9,FALSE())</f>
        <v>110.56</v>
      </c>
      <c r="J300" s="443">
        <f t="shared" si="78"/>
        <v>138.74</v>
      </c>
      <c r="K300" s="443">
        <f t="shared" si="79"/>
        <v>663.36</v>
      </c>
      <c r="L300" s="443">
        <f t="shared" si="80"/>
        <v>832.44</v>
      </c>
      <c r="M300" s="461" t="e">
        <f t="shared" si="72"/>
        <v>#N/A</v>
      </c>
      <c r="N300" s="464">
        <v>6</v>
      </c>
      <c r="O300" s="465"/>
      <c r="P300" s="465"/>
      <c r="Q300" s="465"/>
      <c r="R300" s="465"/>
      <c r="S300" s="465"/>
      <c r="T300" s="465"/>
      <c r="U300" s="479"/>
      <c r="V300" s="422"/>
      <c r="W300" s="422"/>
      <c r="X300" s="422"/>
      <c r="Y300" s="422"/>
      <c r="Z300" s="422"/>
    </row>
    <row r="301" ht="50.25" customHeight="1" spans="1:26">
      <c r="A301" s="422" t="str">
        <f t="shared" si="75"/>
        <v> 11.1 </v>
      </c>
      <c r="B301" s="423" t="str">
        <f t="shared" si="76"/>
        <v> 11.1 </v>
      </c>
      <c r="C301" s="441" t="s">
        <v>794</v>
      </c>
      <c r="D301" s="442" t="s">
        <v>795</v>
      </c>
      <c r="E301" s="441" t="s">
        <v>796</v>
      </c>
      <c r="F301" s="441" t="s">
        <v>797</v>
      </c>
      <c r="G301" s="442" t="s">
        <v>334</v>
      </c>
      <c r="H301" s="443">
        <f t="shared" si="77"/>
        <v>2</v>
      </c>
      <c r="I301" s="443">
        <f>VLOOKUP(D301,'Orçamento Analitico'!D:L,9,FALSE())</f>
        <v>2165.01</v>
      </c>
      <c r="J301" s="443">
        <f t="shared" si="78"/>
        <v>2716.87</v>
      </c>
      <c r="K301" s="443">
        <f t="shared" si="79"/>
        <v>4330.02</v>
      </c>
      <c r="L301" s="443">
        <f t="shared" si="80"/>
        <v>5433.74</v>
      </c>
      <c r="M301" s="461" t="e">
        <f t="shared" si="72"/>
        <v>#N/A</v>
      </c>
      <c r="N301" s="464">
        <v>2</v>
      </c>
      <c r="O301" s="465"/>
      <c r="P301" s="465"/>
      <c r="Q301" s="465"/>
      <c r="R301" s="465"/>
      <c r="S301" s="465"/>
      <c r="T301" s="465"/>
      <c r="U301" s="479"/>
      <c r="V301" s="422"/>
      <c r="W301" s="422"/>
      <c r="X301" s="422"/>
      <c r="Y301" s="422"/>
      <c r="Z301" s="422"/>
    </row>
    <row r="302" ht="50.25" customHeight="1" spans="1:26">
      <c r="A302" s="422" t="str">
        <f t="shared" si="75"/>
        <v> 11.1 </v>
      </c>
      <c r="B302" s="423" t="str">
        <f t="shared" si="76"/>
        <v> 11.1 </v>
      </c>
      <c r="C302" s="441" t="s">
        <v>798</v>
      </c>
      <c r="D302" s="442" t="s">
        <v>799</v>
      </c>
      <c r="E302" s="441" t="s">
        <v>139</v>
      </c>
      <c r="F302" s="441" t="s">
        <v>800</v>
      </c>
      <c r="G302" s="442" t="s">
        <v>134</v>
      </c>
      <c r="H302" s="443">
        <f t="shared" si="77"/>
        <v>2</v>
      </c>
      <c r="I302" s="443">
        <f>VLOOKUP(D302,'Orçamento Analitico'!D:L,9,FALSE())</f>
        <v>2088.14</v>
      </c>
      <c r="J302" s="443">
        <f t="shared" si="78"/>
        <v>2620.4</v>
      </c>
      <c r="K302" s="443">
        <f t="shared" si="79"/>
        <v>4176.28</v>
      </c>
      <c r="L302" s="443">
        <f t="shared" si="80"/>
        <v>5240.8</v>
      </c>
      <c r="M302" s="461" t="e">
        <f t="shared" si="72"/>
        <v>#N/A</v>
      </c>
      <c r="N302" s="464">
        <v>2</v>
      </c>
      <c r="O302" s="465"/>
      <c r="P302" s="465"/>
      <c r="Q302" s="465"/>
      <c r="R302" s="465"/>
      <c r="S302" s="465"/>
      <c r="T302" s="465"/>
      <c r="U302" s="479"/>
      <c r="V302" s="422"/>
      <c r="W302" s="422"/>
      <c r="X302" s="422"/>
      <c r="Y302" s="422"/>
      <c r="Z302" s="422"/>
    </row>
    <row r="303" ht="50.25" customHeight="1" spans="1:26">
      <c r="A303" s="422" t="str">
        <f t="shared" si="75"/>
        <v> 11.1 </v>
      </c>
      <c r="B303" s="423" t="str">
        <f t="shared" si="76"/>
        <v> 11.1 </v>
      </c>
      <c r="C303" s="441" t="s">
        <v>801</v>
      </c>
      <c r="D303" s="442" t="s">
        <v>802</v>
      </c>
      <c r="E303" s="441" t="s">
        <v>132</v>
      </c>
      <c r="F303" s="441" t="s">
        <v>803</v>
      </c>
      <c r="G303" s="442" t="s">
        <v>134</v>
      </c>
      <c r="H303" s="443">
        <f t="shared" si="77"/>
        <v>2</v>
      </c>
      <c r="I303" s="443">
        <f>VLOOKUP(D303,'Orçamento Analitico'!D:L,9,FALSE())</f>
        <v>51663</v>
      </c>
      <c r="J303" s="443">
        <f t="shared" si="78"/>
        <v>64831.89</v>
      </c>
      <c r="K303" s="443">
        <f t="shared" si="79"/>
        <v>103326</v>
      </c>
      <c r="L303" s="443">
        <f t="shared" si="80"/>
        <v>129663.78</v>
      </c>
      <c r="M303" s="461" t="e">
        <f t="shared" si="72"/>
        <v>#N/A</v>
      </c>
      <c r="N303" s="464">
        <v>2</v>
      </c>
      <c r="O303" s="465"/>
      <c r="P303" s="465"/>
      <c r="Q303" s="465"/>
      <c r="R303" s="465"/>
      <c r="S303" s="465"/>
      <c r="T303" s="465"/>
      <c r="U303" s="479"/>
      <c r="V303" s="422"/>
      <c r="W303" s="422"/>
      <c r="X303" s="422"/>
      <c r="Y303" s="422"/>
      <c r="Z303" s="422"/>
    </row>
    <row r="304" ht="54.75" customHeight="1" spans="1:26">
      <c r="A304" s="422" t="str">
        <f t="shared" si="75"/>
        <v> 11.1 </v>
      </c>
      <c r="B304" s="423" t="str">
        <f t="shared" si="76"/>
        <v> 11.1 </v>
      </c>
      <c r="C304" s="441" t="s">
        <v>804</v>
      </c>
      <c r="D304" s="442" t="s">
        <v>805</v>
      </c>
      <c r="E304" s="441" t="s">
        <v>77</v>
      </c>
      <c r="F304" s="441" t="s">
        <v>806</v>
      </c>
      <c r="G304" s="442" t="s">
        <v>134</v>
      </c>
      <c r="H304" s="443">
        <f t="shared" si="77"/>
        <v>2</v>
      </c>
      <c r="I304" s="443">
        <f>VLOOKUP(D304,'Orçamento Analitico'!D:L,9,FALSE())</f>
        <v>207.31</v>
      </c>
      <c r="J304" s="443">
        <f t="shared" si="78"/>
        <v>260.15</v>
      </c>
      <c r="K304" s="443">
        <f t="shared" si="79"/>
        <v>414.62</v>
      </c>
      <c r="L304" s="443">
        <f t="shared" si="80"/>
        <v>520.3</v>
      </c>
      <c r="M304" s="461" t="e">
        <f t="shared" si="72"/>
        <v>#N/A</v>
      </c>
      <c r="N304" s="464">
        <v>2</v>
      </c>
      <c r="O304" s="465"/>
      <c r="P304" s="465"/>
      <c r="Q304" s="465"/>
      <c r="R304" s="465"/>
      <c r="S304" s="465"/>
      <c r="T304" s="465"/>
      <c r="U304" s="479"/>
      <c r="V304" s="422"/>
      <c r="W304" s="422"/>
      <c r="X304" s="422"/>
      <c r="Y304" s="422"/>
      <c r="Z304" s="422"/>
    </row>
    <row r="305" ht="36" customHeight="1" spans="1:26">
      <c r="A305" s="422" t="str">
        <f t="shared" si="75"/>
        <v> 11.1 </v>
      </c>
      <c r="B305" s="423" t="str">
        <f t="shared" si="76"/>
        <v> 11.1 </v>
      </c>
      <c r="C305" s="441" t="s">
        <v>807</v>
      </c>
      <c r="D305" s="442" t="s">
        <v>808</v>
      </c>
      <c r="E305" s="441" t="s">
        <v>796</v>
      </c>
      <c r="F305" s="441" t="s">
        <v>809</v>
      </c>
      <c r="G305" s="442" t="s">
        <v>334</v>
      </c>
      <c r="H305" s="443">
        <f t="shared" si="77"/>
        <v>1</v>
      </c>
      <c r="I305" s="443">
        <f>VLOOKUP(D305,'Orçamento Analitico'!D:L,9,FALSE())</f>
        <v>84.16</v>
      </c>
      <c r="J305" s="443">
        <f t="shared" si="78"/>
        <v>105.61</v>
      </c>
      <c r="K305" s="443">
        <f t="shared" si="79"/>
        <v>84.16</v>
      </c>
      <c r="L305" s="443">
        <f t="shared" si="80"/>
        <v>105.61</v>
      </c>
      <c r="M305" s="461" t="e">
        <f t="shared" si="72"/>
        <v>#N/A</v>
      </c>
      <c r="N305" s="464"/>
      <c r="O305" s="465"/>
      <c r="P305" s="465"/>
      <c r="Q305" s="465"/>
      <c r="R305" s="465"/>
      <c r="S305" s="465">
        <v>1</v>
      </c>
      <c r="T305" s="465"/>
      <c r="U305" s="479"/>
      <c r="V305" s="422"/>
      <c r="W305" s="422"/>
      <c r="X305" s="422"/>
      <c r="Y305" s="422"/>
      <c r="Z305" s="422"/>
    </row>
    <row r="306" ht="36" customHeight="1" spans="1:26">
      <c r="A306" s="422" t="str">
        <f t="shared" si="75"/>
        <v> 11.1 </v>
      </c>
      <c r="B306" s="423" t="str">
        <f t="shared" si="76"/>
        <v> 11.1 </v>
      </c>
      <c r="C306" s="441" t="s">
        <v>810</v>
      </c>
      <c r="D306" s="442" t="s">
        <v>811</v>
      </c>
      <c r="E306" s="441" t="s">
        <v>796</v>
      </c>
      <c r="F306" s="441" t="s">
        <v>812</v>
      </c>
      <c r="G306" s="442" t="s">
        <v>334</v>
      </c>
      <c r="H306" s="443">
        <f t="shared" si="77"/>
        <v>4</v>
      </c>
      <c r="I306" s="443">
        <f>VLOOKUP(D306,'Orçamento Analitico'!D:L,9,FALSE())</f>
        <v>187.19</v>
      </c>
      <c r="J306" s="443">
        <f t="shared" si="78"/>
        <v>234.9</v>
      </c>
      <c r="K306" s="443">
        <f t="shared" si="79"/>
        <v>748.76</v>
      </c>
      <c r="L306" s="443">
        <f t="shared" si="80"/>
        <v>939.6</v>
      </c>
      <c r="M306" s="461" t="e">
        <f t="shared" si="72"/>
        <v>#N/A</v>
      </c>
      <c r="N306" s="464">
        <v>4</v>
      </c>
      <c r="O306" s="465"/>
      <c r="P306" s="465"/>
      <c r="Q306" s="465"/>
      <c r="R306" s="465"/>
      <c r="S306" s="465"/>
      <c r="T306" s="465"/>
      <c r="U306" s="479"/>
      <c r="V306" s="422"/>
      <c r="W306" s="422"/>
      <c r="X306" s="422"/>
      <c r="Y306" s="422"/>
      <c r="Z306" s="422"/>
    </row>
    <row r="307" ht="36" customHeight="1" spans="1:26">
      <c r="A307" s="422" t="str">
        <f t="shared" si="75"/>
        <v> 11.1 </v>
      </c>
      <c r="B307" s="423" t="str">
        <f t="shared" si="76"/>
        <v> 11.1 </v>
      </c>
      <c r="C307" s="441" t="s">
        <v>813</v>
      </c>
      <c r="D307" s="442" t="s">
        <v>814</v>
      </c>
      <c r="E307" s="441" t="s">
        <v>796</v>
      </c>
      <c r="F307" s="441" t="s">
        <v>815</v>
      </c>
      <c r="G307" s="442" t="s">
        <v>334</v>
      </c>
      <c r="H307" s="443">
        <f t="shared" si="77"/>
        <v>9</v>
      </c>
      <c r="I307" s="443">
        <f>VLOOKUP(D307,'Orçamento Analitico'!D:L,9,FALSE())</f>
        <v>200.37</v>
      </c>
      <c r="J307" s="443">
        <f t="shared" si="78"/>
        <v>251.44</v>
      </c>
      <c r="K307" s="443">
        <f t="shared" si="79"/>
        <v>1803.33</v>
      </c>
      <c r="L307" s="443">
        <f t="shared" si="80"/>
        <v>2262.96</v>
      </c>
      <c r="M307" s="461" t="e">
        <f t="shared" si="72"/>
        <v>#N/A</v>
      </c>
      <c r="N307" s="464">
        <v>4</v>
      </c>
      <c r="O307" s="465"/>
      <c r="P307" s="465"/>
      <c r="Q307" s="465"/>
      <c r="R307" s="465"/>
      <c r="S307" s="465">
        <v>5</v>
      </c>
      <c r="T307" s="465"/>
      <c r="U307" s="479"/>
      <c r="V307" s="422"/>
      <c r="W307" s="422"/>
      <c r="X307" s="422"/>
      <c r="Y307" s="422"/>
      <c r="Z307" s="422"/>
    </row>
    <row r="308" ht="36" customHeight="1" spans="1:26">
      <c r="A308" s="422" t="str">
        <f t="shared" si="75"/>
        <v> 11.1 </v>
      </c>
      <c r="B308" s="423" t="str">
        <f t="shared" si="76"/>
        <v> 11.1 </v>
      </c>
      <c r="C308" s="441" t="s">
        <v>816</v>
      </c>
      <c r="D308" s="442" t="s">
        <v>817</v>
      </c>
      <c r="E308" s="441" t="s">
        <v>139</v>
      </c>
      <c r="F308" s="441" t="s">
        <v>818</v>
      </c>
      <c r="G308" s="442" t="s">
        <v>134</v>
      </c>
      <c r="H308" s="443">
        <f t="shared" si="77"/>
        <v>4</v>
      </c>
      <c r="I308" s="443">
        <f>VLOOKUP(D308,'Orçamento Analitico'!D:L,9,FALSE())</f>
        <v>182.29</v>
      </c>
      <c r="J308" s="443">
        <f t="shared" si="78"/>
        <v>228.75</v>
      </c>
      <c r="K308" s="443">
        <f t="shared" si="79"/>
        <v>729.16</v>
      </c>
      <c r="L308" s="443">
        <f t="shared" si="80"/>
        <v>915</v>
      </c>
      <c r="M308" s="461" t="e">
        <f t="shared" si="72"/>
        <v>#N/A</v>
      </c>
      <c r="N308" s="464">
        <v>4</v>
      </c>
      <c r="O308" s="465"/>
      <c r="P308" s="465"/>
      <c r="Q308" s="465"/>
      <c r="R308" s="465"/>
      <c r="S308" s="465"/>
      <c r="T308" s="465"/>
      <c r="U308" s="479"/>
      <c r="V308" s="422"/>
      <c r="W308" s="422"/>
      <c r="X308" s="422"/>
      <c r="Y308" s="422"/>
      <c r="Z308" s="422"/>
    </row>
    <row r="309" ht="32.25" customHeight="1" spans="1:26">
      <c r="A309" s="422" t="str">
        <f t="shared" si="75"/>
        <v> 11.1 </v>
      </c>
      <c r="B309" s="423" t="str">
        <f t="shared" si="76"/>
        <v> 11.1 </v>
      </c>
      <c r="C309" s="441" t="s">
        <v>819</v>
      </c>
      <c r="D309" s="442" t="s">
        <v>820</v>
      </c>
      <c r="E309" s="441" t="s">
        <v>139</v>
      </c>
      <c r="F309" s="441" t="s">
        <v>821</v>
      </c>
      <c r="G309" s="442" t="s">
        <v>134</v>
      </c>
      <c r="H309" s="443">
        <f t="shared" si="77"/>
        <v>6</v>
      </c>
      <c r="I309" s="443">
        <f>VLOOKUP(D309,'Orçamento Analitico'!D:L,9,FALSE())</f>
        <v>42.03</v>
      </c>
      <c r="J309" s="443">
        <f t="shared" si="78"/>
        <v>52.74</v>
      </c>
      <c r="K309" s="443">
        <f t="shared" si="79"/>
        <v>252.18</v>
      </c>
      <c r="L309" s="443">
        <f t="shared" si="80"/>
        <v>316.44</v>
      </c>
      <c r="M309" s="461" t="e">
        <f t="shared" si="72"/>
        <v>#N/A</v>
      </c>
      <c r="N309" s="464">
        <v>6</v>
      </c>
      <c r="O309" s="465"/>
      <c r="P309" s="465"/>
      <c r="Q309" s="465"/>
      <c r="R309" s="465"/>
      <c r="S309" s="465"/>
      <c r="T309" s="465"/>
      <c r="U309" s="479"/>
      <c r="V309" s="422"/>
      <c r="W309" s="422"/>
      <c r="X309" s="422"/>
      <c r="Y309" s="422"/>
      <c r="Z309" s="422"/>
    </row>
    <row r="310" ht="40.5" customHeight="1" spans="1:26">
      <c r="A310" s="422" t="str">
        <f t="shared" si="75"/>
        <v> 11.1 </v>
      </c>
      <c r="B310" s="423" t="str">
        <f t="shared" si="76"/>
        <v> 11.1 </v>
      </c>
      <c r="C310" s="441" t="s">
        <v>822</v>
      </c>
      <c r="D310" s="442" t="s">
        <v>823</v>
      </c>
      <c r="E310" s="441" t="s">
        <v>132</v>
      </c>
      <c r="F310" s="441" t="s">
        <v>824</v>
      </c>
      <c r="G310" s="442" t="s">
        <v>134</v>
      </c>
      <c r="H310" s="443">
        <f t="shared" si="77"/>
        <v>10</v>
      </c>
      <c r="I310" s="443">
        <f>VLOOKUP(D310,'Orçamento Analitico'!D:L,9,FALSE())</f>
        <v>66.3</v>
      </c>
      <c r="J310" s="443">
        <f t="shared" si="78"/>
        <v>83.19</v>
      </c>
      <c r="K310" s="443">
        <f t="shared" si="79"/>
        <v>663</v>
      </c>
      <c r="L310" s="443">
        <f t="shared" si="80"/>
        <v>831.9</v>
      </c>
      <c r="M310" s="461" t="e">
        <f t="shared" si="72"/>
        <v>#N/A</v>
      </c>
      <c r="N310" s="464"/>
      <c r="O310" s="465"/>
      <c r="P310" s="465"/>
      <c r="Q310" s="465"/>
      <c r="R310" s="465"/>
      <c r="S310" s="465"/>
      <c r="T310" s="465">
        <v>10</v>
      </c>
      <c r="U310" s="479"/>
      <c r="V310" s="422"/>
      <c r="W310" s="422"/>
      <c r="X310" s="422"/>
      <c r="Y310" s="422"/>
      <c r="Z310" s="422"/>
    </row>
    <row r="311" ht="40.5" customHeight="1" spans="1:26">
      <c r="A311" s="422" t="str">
        <f t="shared" si="75"/>
        <v> 11.1 </v>
      </c>
      <c r="B311" s="423" t="str">
        <f t="shared" si="76"/>
        <v> 11.1 </v>
      </c>
      <c r="C311" s="441" t="s">
        <v>825</v>
      </c>
      <c r="D311" s="442" t="s">
        <v>826</v>
      </c>
      <c r="E311" s="441" t="s">
        <v>132</v>
      </c>
      <c r="F311" s="441" t="s">
        <v>827</v>
      </c>
      <c r="G311" s="442" t="s">
        <v>134</v>
      </c>
      <c r="H311" s="443">
        <f t="shared" si="77"/>
        <v>5</v>
      </c>
      <c r="I311" s="443">
        <f>VLOOKUP(D311,'Orçamento Analitico'!D:L,9,FALSE())</f>
        <v>84.1</v>
      </c>
      <c r="J311" s="443">
        <f t="shared" si="78"/>
        <v>105.53</v>
      </c>
      <c r="K311" s="443">
        <f t="shared" si="79"/>
        <v>420.5</v>
      </c>
      <c r="L311" s="443">
        <f t="shared" si="80"/>
        <v>527.65</v>
      </c>
      <c r="M311" s="461" t="e">
        <f t="shared" si="72"/>
        <v>#N/A</v>
      </c>
      <c r="N311" s="464"/>
      <c r="O311" s="465"/>
      <c r="P311" s="465"/>
      <c r="Q311" s="465"/>
      <c r="R311" s="465"/>
      <c r="S311" s="465"/>
      <c r="T311" s="465">
        <v>5</v>
      </c>
      <c r="U311" s="479"/>
      <c r="V311" s="422"/>
      <c r="W311" s="422"/>
      <c r="X311" s="422"/>
      <c r="Y311" s="422"/>
      <c r="Z311" s="422"/>
    </row>
    <row r="312" ht="40.5" customHeight="1" spans="1:26">
      <c r="A312" s="422" t="str">
        <f t="shared" si="75"/>
        <v> 11.1 </v>
      </c>
      <c r="B312" s="423" t="str">
        <f t="shared" si="76"/>
        <v> 11.1 </v>
      </c>
      <c r="C312" s="441" t="s">
        <v>828</v>
      </c>
      <c r="D312" s="442" t="s">
        <v>829</v>
      </c>
      <c r="E312" s="441" t="s">
        <v>132</v>
      </c>
      <c r="F312" s="441" t="s">
        <v>830</v>
      </c>
      <c r="G312" s="442" t="s">
        <v>134</v>
      </c>
      <c r="H312" s="443">
        <f t="shared" si="77"/>
        <v>16</v>
      </c>
      <c r="I312" s="443">
        <f>VLOOKUP(D312,'Orçamento Analitico'!D:L,9,FALSE())</f>
        <v>65.62</v>
      </c>
      <c r="J312" s="443">
        <f t="shared" si="78"/>
        <v>82.34</v>
      </c>
      <c r="K312" s="443">
        <f t="shared" si="79"/>
        <v>1049.92</v>
      </c>
      <c r="L312" s="443">
        <f t="shared" si="80"/>
        <v>1317.44</v>
      </c>
      <c r="M312" s="461" t="e">
        <f t="shared" si="72"/>
        <v>#N/A</v>
      </c>
      <c r="N312" s="464"/>
      <c r="O312" s="465"/>
      <c r="P312" s="465"/>
      <c r="Q312" s="465"/>
      <c r="R312" s="465"/>
      <c r="S312" s="465"/>
      <c r="T312" s="465">
        <v>16</v>
      </c>
      <c r="U312" s="479"/>
      <c r="V312" s="422"/>
      <c r="W312" s="422"/>
      <c r="X312" s="422"/>
      <c r="Y312" s="422"/>
      <c r="Z312" s="422"/>
    </row>
    <row r="313" ht="12.75" customHeight="1" spans="1:26">
      <c r="A313" s="422" t="str">
        <f t="shared" si="75"/>
        <v> 11.1 </v>
      </c>
      <c r="B313" s="423" t="str">
        <f t="shared" si="76"/>
        <v> 11.1 </v>
      </c>
      <c r="C313" s="441" t="s">
        <v>831</v>
      </c>
      <c r="D313" s="442" t="s">
        <v>832</v>
      </c>
      <c r="E313" s="441" t="s">
        <v>139</v>
      </c>
      <c r="F313" s="441" t="s">
        <v>833</v>
      </c>
      <c r="G313" s="442" t="s">
        <v>134</v>
      </c>
      <c r="H313" s="443">
        <f t="shared" si="77"/>
        <v>4</v>
      </c>
      <c r="I313" s="443">
        <f>VLOOKUP(D313,'Orçamento Analitico'!D:L,9,FALSE())</f>
        <v>187.29</v>
      </c>
      <c r="J313" s="443">
        <f t="shared" si="78"/>
        <v>235.03</v>
      </c>
      <c r="K313" s="443">
        <f t="shared" si="79"/>
        <v>749.16</v>
      </c>
      <c r="L313" s="443">
        <f t="shared" si="80"/>
        <v>940.12</v>
      </c>
      <c r="M313" s="461" t="e">
        <f t="shared" si="72"/>
        <v>#N/A</v>
      </c>
      <c r="N313" s="464">
        <v>4</v>
      </c>
      <c r="O313" s="465"/>
      <c r="P313" s="465"/>
      <c r="Q313" s="465"/>
      <c r="R313" s="465"/>
      <c r="S313" s="465"/>
      <c r="T313" s="465"/>
      <c r="U313" s="479"/>
      <c r="V313" s="422"/>
      <c r="W313" s="422"/>
      <c r="X313" s="422"/>
      <c r="Y313" s="422"/>
      <c r="Z313" s="422"/>
    </row>
    <row r="314" ht="12.75" customHeight="1" spans="1:26">
      <c r="A314" s="422" t="str">
        <f t="shared" si="75"/>
        <v> 11.1 </v>
      </c>
      <c r="B314" s="423" t="str">
        <f t="shared" si="76"/>
        <v> 11.1 </v>
      </c>
      <c r="C314" s="441" t="s">
        <v>834</v>
      </c>
      <c r="D314" s="442" t="s">
        <v>835</v>
      </c>
      <c r="E314" s="441" t="s">
        <v>77</v>
      </c>
      <c r="F314" s="441" t="s">
        <v>836</v>
      </c>
      <c r="G314" s="442" t="s">
        <v>134</v>
      </c>
      <c r="H314" s="443">
        <f t="shared" si="77"/>
        <v>1</v>
      </c>
      <c r="I314" s="443">
        <f>VLOOKUP(D314,'Orçamento Analitico'!D:L,9,FALSE())</f>
        <v>28.08</v>
      </c>
      <c r="J314" s="443">
        <f t="shared" si="78"/>
        <v>35.23</v>
      </c>
      <c r="K314" s="443">
        <f t="shared" si="79"/>
        <v>28.08</v>
      </c>
      <c r="L314" s="443">
        <f t="shared" si="80"/>
        <v>35.23</v>
      </c>
      <c r="M314" s="461" t="e">
        <f t="shared" si="72"/>
        <v>#N/A</v>
      </c>
      <c r="N314" s="464"/>
      <c r="O314" s="465"/>
      <c r="P314" s="465"/>
      <c r="Q314" s="465"/>
      <c r="R314" s="465"/>
      <c r="S314" s="465">
        <v>1</v>
      </c>
      <c r="T314" s="465"/>
      <c r="U314" s="479"/>
      <c r="V314" s="422"/>
      <c r="W314" s="422"/>
      <c r="X314" s="422"/>
      <c r="Y314" s="422"/>
      <c r="Z314" s="422"/>
    </row>
    <row r="315" ht="12.75" customHeight="1" spans="1:26">
      <c r="A315" s="422" t="str">
        <f t="shared" si="75"/>
        <v> 11.1 </v>
      </c>
      <c r="B315" s="423" t="str">
        <f t="shared" si="76"/>
        <v> 11.1 </v>
      </c>
      <c r="C315" s="441" t="s">
        <v>837</v>
      </c>
      <c r="D315" s="442" t="s">
        <v>838</v>
      </c>
      <c r="E315" s="441" t="s">
        <v>77</v>
      </c>
      <c r="F315" s="441" t="s">
        <v>839</v>
      </c>
      <c r="G315" s="442" t="s">
        <v>134</v>
      </c>
      <c r="H315" s="443">
        <f t="shared" si="77"/>
        <v>1</v>
      </c>
      <c r="I315" s="443">
        <f>VLOOKUP(D315,'Orçamento Analitico'!D:L,9,FALSE())</f>
        <v>186.62</v>
      </c>
      <c r="J315" s="443">
        <f t="shared" si="78"/>
        <v>234.18</v>
      </c>
      <c r="K315" s="443">
        <f t="shared" si="79"/>
        <v>186.62</v>
      </c>
      <c r="L315" s="443">
        <f t="shared" si="80"/>
        <v>234.18</v>
      </c>
      <c r="M315" s="461" t="e">
        <f t="shared" si="72"/>
        <v>#N/A</v>
      </c>
      <c r="N315" s="464">
        <f t="shared" ref="N315:T315" si="82">N314</f>
        <v>0</v>
      </c>
      <c r="O315" s="465">
        <f t="shared" si="82"/>
        <v>0</v>
      </c>
      <c r="P315" s="465">
        <f t="shared" si="82"/>
        <v>0</v>
      </c>
      <c r="Q315" s="465">
        <f t="shared" si="82"/>
        <v>0</v>
      </c>
      <c r="R315" s="465">
        <f t="shared" si="82"/>
        <v>0</v>
      </c>
      <c r="S315" s="465">
        <f t="shared" si="82"/>
        <v>1</v>
      </c>
      <c r="T315" s="465">
        <f t="shared" si="82"/>
        <v>0</v>
      </c>
      <c r="U315" s="479"/>
      <c r="V315" s="422"/>
      <c r="W315" s="422"/>
      <c r="X315" s="422"/>
      <c r="Y315" s="422"/>
      <c r="Z315" s="422"/>
    </row>
    <row r="316" ht="12.75" customHeight="1" spans="1:26">
      <c r="A316" s="422" t="str">
        <f t="shared" si="75"/>
        <v> 11.1 </v>
      </c>
      <c r="B316" s="423" t="str">
        <f t="shared" si="76"/>
        <v> 11.1 </v>
      </c>
      <c r="C316" s="441" t="s">
        <v>840</v>
      </c>
      <c r="D316" s="442" t="s">
        <v>841</v>
      </c>
      <c r="E316" s="441" t="s">
        <v>139</v>
      </c>
      <c r="F316" s="441" t="s">
        <v>842</v>
      </c>
      <c r="G316" s="442" t="s">
        <v>134</v>
      </c>
      <c r="H316" s="443">
        <f t="shared" si="77"/>
        <v>5</v>
      </c>
      <c r="I316" s="443">
        <f>VLOOKUP(D316,'Orçamento Analitico'!D:L,9,FALSE())</f>
        <v>399.74</v>
      </c>
      <c r="J316" s="443">
        <f t="shared" si="78"/>
        <v>501.63</v>
      </c>
      <c r="K316" s="443">
        <f t="shared" si="79"/>
        <v>1998.7</v>
      </c>
      <c r="L316" s="443">
        <f t="shared" si="80"/>
        <v>2508.15</v>
      </c>
      <c r="M316" s="461" t="e">
        <f t="shared" si="72"/>
        <v>#N/A</v>
      </c>
      <c r="N316" s="464"/>
      <c r="O316" s="465"/>
      <c r="P316" s="465"/>
      <c r="Q316" s="465"/>
      <c r="R316" s="465"/>
      <c r="S316" s="465">
        <v>5</v>
      </c>
      <c r="T316" s="465"/>
      <c r="U316" s="479"/>
      <c r="V316" s="422"/>
      <c r="W316" s="422"/>
      <c r="X316" s="422"/>
      <c r="Y316" s="422"/>
      <c r="Z316" s="422"/>
    </row>
    <row r="317" ht="22.5" customHeight="1" spans="1:26">
      <c r="A317" s="422" t="str">
        <f t="shared" si="75"/>
        <v> 11.1 </v>
      </c>
      <c r="B317" s="423" t="str">
        <f t="shared" si="76"/>
        <v> 11.1 </v>
      </c>
      <c r="C317" s="441" t="s">
        <v>843</v>
      </c>
      <c r="D317" s="442" t="s">
        <v>844</v>
      </c>
      <c r="E317" s="441" t="s">
        <v>149</v>
      </c>
      <c r="F317" s="441" t="s">
        <v>845</v>
      </c>
      <c r="G317" s="442" t="s">
        <v>134</v>
      </c>
      <c r="H317" s="443">
        <f t="shared" si="77"/>
        <v>5</v>
      </c>
      <c r="I317" s="443">
        <f>VLOOKUP(D317,'Orçamento Analitico'!D:L,9,FALSE())</f>
        <v>132.96</v>
      </c>
      <c r="J317" s="443">
        <f t="shared" si="78"/>
        <v>166.85</v>
      </c>
      <c r="K317" s="443">
        <f t="shared" si="79"/>
        <v>664.8</v>
      </c>
      <c r="L317" s="443">
        <f t="shared" si="80"/>
        <v>834.25</v>
      </c>
      <c r="M317" s="461" t="e">
        <f t="shared" si="72"/>
        <v>#N/A</v>
      </c>
      <c r="N317" s="464">
        <f t="shared" ref="N317:T317" si="83">N316</f>
        <v>0</v>
      </c>
      <c r="O317" s="465">
        <f t="shared" si="83"/>
        <v>0</v>
      </c>
      <c r="P317" s="465">
        <f t="shared" si="83"/>
        <v>0</v>
      </c>
      <c r="Q317" s="465">
        <f t="shared" si="83"/>
        <v>0</v>
      </c>
      <c r="R317" s="465">
        <f t="shared" si="83"/>
        <v>0</v>
      </c>
      <c r="S317" s="465">
        <f t="shared" si="83"/>
        <v>5</v>
      </c>
      <c r="T317" s="465">
        <f t="shared" si="83"/>
        <v>0</v>
      </c>
      <c r="U317" s="479"/>
      <c r="V317" s="422"/>
      <c r="W317" s="422"/>
      <c r="X317" s="422"/>
      <c r="Y317" s="422"/>
      <c r="Z317" s="422"/>
    </row>
    <row r="318" ht="12.75" customHeight="1" spans="1:26">
      <c r="A318" s="422" t="str">
        <f t="shared" si="75"/>
        <v> 11.1 </v>
      </c>
      <c r="B318" s="423" t="str">
        <f t="shared" si="76"/>
        <v> 11.1 </v>
      </c>
      <c r="C318" s="441" t="s">
        <v>846</v>
      </c>
      <c r="D318" s="442" t="s">
        <v>847</v>
      </c>
      <c r="E318" s="441" t="s">
        <v>139</v>
      </c>
      <c r="F318" s="441" t="s">
        <v>848</v>
      </c>
      <c r="G318" s="442" t="s">
        <v>204</v>
      </c>
      <c r="H318" s="443">
        <f t="shared" si="77"/>
        <v>6</v>
      </c>
      <c r="I318" s="443">
        <f>VLOOKUP(D318,'Orçamento Analitico'!D:L,9,FALSE())</f>
        <v>20.97</v>
      </c>
      <c r="J318" s="443">
        <f t="shared" si="78"/>
        <v>26.31</v>
      </c>
      <c r="K318" s="443">
        <f t="shared" si="79"/>
        <v>125.82</v>
      </c>
      <c r="L318" s="443">
        <f t="shared" si="80"/>
        <v>157.86</v>
      </c>
      <c r="M318" s="461" t="e">
        <f t="shared" si="72"/>
        <v>#N/A</v>
      </c>
      <c r="N318" s="464">
        <f t="shared" ref="N318:T318" si="84">N283</f>
        <v>0</v>
      </c>
      <c r="O318" s="465">
        <f t="shared" si="84"/>
        <v>0</v>
      </c>
      <c r="P318" s="465">
        <f t="shared" si="84"/>
        <v>0</v>
      </c>
      <c r="Q318" s="465">
        <f t="shared" si="84"/>
        <v>0</v>
      </c>
      <c r="R318" s="465">
        <f t="shared" si="84"/>
        <v>0</v>
      </c>
      <c r="S318" s="465">
        <f t="shared" si="84"/>
        <v>6</v>
      </c>
      <c r="T318" s="465">
        <f t="shared" si="84"/>
        <v>0</v>
      </c>
      <c r="U318" s="479"/>
      <c r="V318" s="422"/>
      <c r="W318" s="422"/>
      <c r="X318" s="422"/>
      <c r="Y318" s="422"/>
      <c r="Z318" s="422"/>
    </row>
    <row r="319" ht="12.75" customHeight="1" spans="1:26">
      <c r="A319" s="422" t="str">
        <f t="shared" si="75"/>
        <v> 11.1 </v>
      </c>
      <c r="B319" s="423" t="str">
        <f t="shared" si="76"/>
        <v> 11.1 </v>
      </c>
      <c r="C319" s="441" t="s">
        <v>849</v>
      </c>
      <c r="D319" s="442" t="s">
        <v>850</v>
      </c>
      <c r="E319" s="441" t="s">
        <v>139</v>
      </c>
      <c r="F319" s="441" t="s">
        <v>851</v>
      </c>
      <c r="G319" s="442" t="s">
        <v>204</v>
      </c>
      <c r="H319" s="443">
        <f t="shared" si="77"/>
        <v>169.3</v>
      </c>
      <c r="I319" s="443">
        <f>VLOOKUP(D319,'Orçamento Analitico'!D:L,9,FALSE())</f>
        <v>27.97</v>
      </c>
      <c r="J319" s="443">
        <f t="shared" si="78"/>
        <v>35.09</v>
      </c>
      <c r="K319" s="443">
        <f t="shared" si="79"/>
        <v>4735.32</v>
      </c>
      <c r="L319" s="443">
        <f t="shared" si="80"/>
        <v>5940.73</v>
      </c>
      <c r="M319" s="461" t="e">
        <f t="shared" si="72"/>
        <v>#N/A</v>
      </c>
      <c r="N319" s="464">
        <f t="shared" ref="N319:T319" si="85">N284</f>
        <v>115.3</v>
      </c>
      <c r="O319" s="465">
        <f t="shared" si="85"/>
        <v>0</v>
      </c>
      <c r="P319" s="465">
        <f t="shared" si="85"/>
        <v>0</v>
      </c>
      <c r="Q319" s="465">
        <f t="shared" si="85"/>
        <v>0</v>
      </c>
      <c r="R319" s="465">
        <f t="shared" si="85"/>
        <v>0</v>
      </c>
      <c r="S319" s="465">
        <f t="shared" si="85"/>
        <v>54</v>
      </c>
      <c r="T319" s="465">
        <f t="shared" si="85"/>
        <v>0</v>
      </c>
      <c r="U319" s="479"/>
      <c r="V319" s="422"/>
      <c r="W319" s="422"/>
      <c r="X319" s="422"/>
      <c r="Y319" s="422"/>
      <c r="Z319" s="422"/>
    </row>
    <row r="320" ht="12.75" customHeight="1" spans="1:26">
      <c r="A320" s="422" t="str">
        <f t="shared" si="75"/>
        <v> 11.1 </v>
      </c>
      <c r="B320" s="423" t="str">
        <f t="shared" si="76"/>
        <v> 11.1 </v>
      </c>
      <c r="C320" s="441" t="s">
        <v>852</v>
      </c>
      <c r="D320" s="442" t="s">
        <v>853</v>
      </c>
      <c r="E320" s="441" t="s">
        <v>139</v>
      </c>
      <c r="F320" s="441" t="s">
        <v>854</v>
      </c>
      <c r="G320" s="442" t="s">
        <v>204</v>
      </c>
      <c r="H320" s="443">
        <f t="shared" si="77"/>
        <v>21</v>
      </c>
      <c r="I320" s="443">
        <f>VLOOKUP(D320,'Orçamento Analitico'!D:L,9,FALSE())</f>
        <v>20.66</v>
      </c>
      <c r="J320" s="443">
        <f t="shared" si="78"/>
        <v>25.92</v>
      </c>
      <c r="K320" s="443">
        <f t="shared" si="79"/>
        <v>433.86</v>
      </c>
      <c r="L320" s="443">
        <f t="shared" si="80"/>
        <v>544.32</v>
      </c>
      <c r="M320" s="461" t="e">
        <f t="shared" si="72"/>
        <v>#N/A</v>
      </c>
      <c r="N320" s="464">
        <f t="shared" ref="N320:T320" si="86">SUM(N288:N289)</f>
        <v>21</v>
      </c>
      <c r="O320" s="465">
        <f t="shared" si="86"/>
        <v>0</v>
      </c>
      <c r="P320" s="465">
        <f t="shared" si="86"/>
        <v>0</v>
      </c>
      <c r="Q320" s="465">
        <f t="shared" si="86"/>
        <v>0</v>
      </c>
      <c r="R320" s="465">
        <f t="shared" si="86"/>
        <v>0</v>
      </c>
      <c r="S320" s="465">
        <f t="shared" si="86"/>
        <v>0</v>
      </c>
      <c r="T320" s="465">
        <f t="shared" si="86"/>
        <v>0</v>
      </c>
      <c r="U320" s="479"/>
      <c r="V320" s="422"/>
      <c r="W320" s="422"/>
      <c r="X320" s="422"/>
      <c r="Y320" s="422"/>
      <c r="Z320" s="422"/>
    </row>
    <row r="321" ht="12.75" customHeight="1" spans="1:26">
      <c r="A321" s="422" t="str">
        <f t="shared" si="75"/>
        <v> 11.1 </v>
      </c>
      <c r="B321" s="423" t="str">
        <f t="shared" si="76"/>
        <v> 11.1 </v>
      </c>
      <c r="C321" s="441" t="s">
        <v>855</v>
      </c>
      <c r="D321" s="442" t="s">
        <v>856</v>
      </c>
      <c r="E321" s="441" t="s">
        <v>139</v>
      </c>
      <c r="F321" s="441" t="s">
        <v>857</v>
      </c>
      <c r="G321" s="442" t="s">
        <v>204</v>
      </c>
      <c r="H321" s="443">
        <f t="shared" si="77"/>
        <v>79</v>
      </c>
      <c r="I321" s="443">
        <f>VLOOKUP(D321,'Orçamento Analitico'!D:L,9,FALSE())</f>
        <v>23.79</v>
      </c>
      <c r="J321" s="443">
        <f t="shared" si="78"/>
        <v>29.85</v>
      </c>
      <c r="K321" s="443">
        <f t="shared" si="79"/>
        <v>1879.41</v>
      </c>
      <c r="L321" s="443">
        <f t="shared" si="80"/>
        <v>2358.15</v>
      </c>
      <c r="M321" s="461" t="e">
        <f t="shared" si="72"/>
        <v>#N/A</v>
      </c>
      <c r="N321" s="464">
        <f t="shared" ref="N321:T321" si="87">N290</f>
        <v>0</v>
      </c>
      <c r="O321" s="465">
        <f t="shared" si="87"/>
        <v>0</v>
      </c>
      <c r="P321" s="465">
        <f t="shared" si="87"/>
        <v>0</v>
      </c>
      <c r="Q321" s="465">
        <f t="shared" si="87"/>
        <v>0</v>
      </c>
      <c r="R321" s="465">
        <f t="shared" si="87"/>
        <v>0</v>
      </c>
      <c r="S321" s="465">
        <f t="shared" si="87"/>
        <v>0</v>
      </c>
      <c r="T321" s="465">
        <f t="shared" si="87"/>
        <v>79</v>
      </c>
      <c r="U321" s="479"/>
      <c r="V321" s="422"/>
      <c r="W321" s="422"/>
      <c r="X321" s="422"/>
      <c r="Y321" s="422"/>
      <c r="Z321" s="422"/>
    </row>
    <row r="322" ht="30" customHeight="1" spans="1:26">
      <c r="A322" s="422" t="str">
        <f t="shared" si="75"/>
        <v> 11.1 </v>
      </c>
      <c r="B322" s="423" t="str">
        <f t="shared" si="76"/>
        <v> 11.1 </v>
      </c>
      <c r="C322" s="441" t="s">
        <v>858</v>
      </c>
      <c r="D322" s="442" t="s">
        <v>859</v>
      </c>
      <c r="E322" s="441" t="s">
        <v>132</v>
      </c>
      <c r="F322" s="441" t="s">
        <v>860</v>
      </c>
      <c r="G322" s="442" t="s">
        <v>134</v>
      </c>
      <c r="H322" s="443">
        <f t="shared" si="77"/>
        <v>66</v>
      </c>
      <c r="I322" s="443">
        <f>VLOOKUP(D322,'Orçamento Analitico'!D:L,9,FALSE())</f>
        <v>25.31</v>
      </c>
      <c r="J322" s="443">
        <f t="shared" si="78"/>
        <v>31.76</v>
      </c>
      <c r="K322" s="443">
        <f t="shared" si="79"/>
        <v>1670.46</v>
      </c>
      <c r="L322" s="443">
        <f t="shared" si="80"/>
        <v>2096.16</v>
      </c>
      <c r="M322" s="461" t="e">
        <f t="shared" si="72"/>
        <v>#N/A</v>
      </c>
      <c r="N322" s="464">
        <f t="shared" ref="N322:T322" si="88">TRUNC(SUM(N320:N321)/1.5,0)</f>
        <v>14</v>
      </c>
      <c r="O322" s="465">
        <f t="shared" si="88"/>
        <v>0</v>
      </c>
      <c r="P322" s="465">
        <f t="shared" si="88"/>
        <v>0</v>
      </c>
      <c r="Q322" s="465">
        <f t="shared" si="88"/>
        <v>0</v>
      </c>
      <c r="R322" s="465">
        <f t="shared" si="88"/>
        <v>0</v>
      </c>
      <c r="S322" s="465">
        <f t="shared" si="88"/>
        <v>0</v>
      </c>
      <c r="T322" s="465">
        <f t="shared" si="88"/>
        <v>52</v>
      </c>
      <c r="U322" s="479"/>
      <c r="V322" s="422"/>
      <c r="W322" s="422"/>
      <c r="X322" s="422"/>
      <c r="Y322" s="422"/>
      <c r="Z322" s="422"/>
    </row>
    <row r="323" ht="30" customHeight="1" spans="1:26">
      <c r="A323" s="422" t="str">
        <f t="shared" si="75"/>
        <v> 11.1 </v>
      </c>
      <c r="B323" s="423" t="str">
        <f t="shared" si="76"/>
        <v> 11.1 </v>
      </c>
      <c r="C323" s="510" t="s">
        <v>861</v>
      </c>
      <c r="D323" s="511" t="s">
        <v>862</v>
      </c>
      <c r="E323" s="510" t="s">
        <v>796</v>
      </c>
      <c r="F323" s="510" t="s">
        <v>863</v>
      </c>
      <c r="G323" s="511" t="s">
        <v>334</v>
      </c>
      <c r="H323" s="512">
        <f t="shared" si="77"/>
        <v>264</v>
      </c>
      <c r="I323" s="512">
        <f>VLOOKUP(D323,'Orçamento Analitico'!D:L,9,FALSE())</f>
        <v>0.06</v>
      </c>
      <c r="J323" s="512">
        <f t="shared" si="78"/>
        <v>0.07</v>
      </c>
      <c r="K323" s="512">
        <f t="shared" si="79"/>
        <v>15.84</v>
      </c>
      <c r="L323" s="512">
        <f t="shared" si="80"/>
        <v>18.48</v>
      </c>
      <c r="M323" s="513" t="e">
        <f t="shared" si="72"/>
        <v>#N/A</v>
      </c>
      <c r="N323" s="464">
        <f t="shared" ref="N323:T323" si="89">ROUND(N322*4,0)</f>
        <v>56</v>
      </c>
      <c r="O323" s="465">
        <f t="shared" si="89"/>
        <v>0</v>
      </c>
      <c r="P323" s="465">
        <f t="shared" si="89"/>
        <v>0</v>
      </c>
      <c r="Q323" s="465">
        <f t="shared" si="89"/>
        <v>0</v>
      </c>
      <c r="R323" s="465">
        <f t="shared" si="89"/>
        <v>0</v>
      </c>
      <c r="S323" s="465">
        <f t="shared" si="89"/>
        <v>0</v>
      </c>
      <c r="T323" s="465">
        <f t="shared" si="89"/>
        <v>208</v>
      </c>
      <c r="U323" s="479"/>
      <c r="V323" s="422"/>
      <c r="W323" s="422"/>
      <c r="X323" s="422"/>
      <c r="Y323" s="422"/>
      <c r="Z323" s="422"/>
    </row>
    <row r="324" ht="30" customHeight="1" spans="1:26">
      <c r="A324" s="422" t="str">
        <f t="shared" si="75"/>
        <v> 11.1 </v>
      </c>
      <c r="B324" s="423" t="str">
        <f t="shared" si="76"/>
        <v> 11.1 </v>
      </c>
      <c r="C324" s="441" t="s">
        <v>864</v>
      </c>
      <c r="D324" s="442" t="s">
        <v>865</v>
      </c>
      <c r="E324" s="441" t="s">
        <v>132</v>
      </c>
      <c r="F324" s="441" t="s">
        <v>866</v>
      </c>
      <c r="G324" s="442" t="s">
        <v>134</v>
      </c>
      <c r="H324" s="443">
        <f t="shared" si="77"/>
        <v>132</v>
      </c>
      <c r="I324" s="443">
        <f>VLOOKUP(D324,'Orçamento Analitico'!D:L,9,FALSE())</f>
        <v>0.12</v>
      </c>
      <c r="J324" s="443">
        <f t="shared" si="78"/>
        <v>0.15</v>
      </c>
      <c r="K324" s="443">
        <f t="shared" si="79"/>
        <v>15.84</v>
      </c>
      <c r="L324" s="443">
        <f t="shared" si="80"/>
        <v>19.8</v>
      </c>
      <c r="M324" s="461" t="e">
        <f t="shared" si="72"/>
        <v>#N/A</v>
      </c>
      <c r="N324" s="464">
        <f t="shared" ref="N324:T324" si="90">ROUND(N322*2,0)</f>
        <v>28</v>
      </c>
      <c r="O324" s="465">
        <f t="shared" si="90"/>
        <v>0</v>
      </c>
      <c r="P324" s="465">
        <f t="shared" si="90"/>
        <v>0</v>
      </c>
      <c r="Q324" s="465">
        <f t="shared" si="90"/>
        <v>0</v>
      </c>
      <c r="R324" s="465">
        <f t="shared" si="90"/>
        <v>0</v>
      </c>
      <c r="S324" s="465">
        <f t="shared" si="90"/>
        <v>0</v>
      </c>
      <c r="T324" s="465">
        <f t="shared" si="90"/>
        <v>104</v>
      </c>
      <c r="U324" s="479"/>
      <c r="V324" s="422"/>
      <c r="W324" s="422"/>
      <c r="X324" s="422"/>
      <c r="Y324" s="422"/>
      <c r="Z324" s="422"/>
    </row>
    <row r="325" ht="12.75" customHeight="1" spans="1:26">
      <c r="A325" s="422"/>
      <c r="B325" s="423" t="str">
        <f>C325</f>
        <v> 11.2 </v>
      </c>
      <c r="C325" s="444" t="s">
        <v>867</v>
      </c>
      <c r="D325" s="445" t="s">
        <v>74</v>
      </c>
      <c r="E325" s="444"/>
      <c r="F325" s="444" t="s">
        <v>868</v>
      </c>
      <c r="G325" s="445"/>
      <c r="H325" s="446"/>
      <c r="I325" s="446"/>
      <c r="J325" s="466"/>
      <c r="K325" s="466">
        <f>SUMIF(A:A,B325,K:K)</f>
        <v>13033.96</v>
      </c>
      <c r="L325" s="466">
        <f>SUMIF(A:A,C325,L:L)</f>
        <v>16356.22</v>
      </c>
      <c r="M325" s="467" t="e">
        <f t="shared" si="72"/>
        <v>#N/A</v>
      </c>
      <c r="N325" s="502" t="s">
        <v>6121</v>
      </c>
      <c r="O325" s="503" t="s">
        <v>6122</v>
      </c>
      <c r="P325" s="503" t="s">
        <v>6123</v>
      </c>
      <c r="Q325" s="503" t="s">
        <v>6124</v>
      </c>
      <c r="R325" s="503" t="s">
        <v>6125</v>
      </c>
      <c r="S325" s="503" t="s">
        <v>6174</v>
      </c>
      <c r="T325" s="503" t="s">
        <v>6126</v>
      </c>
      <c r="U325" s="506"/>
      <c r="V325" s="422"/>
      <c r="W325" s="422"/>
      <c r="X325" s="422"/>
      <c r="Y325" s="422"/>
      <c r="Z325" s="422"/>
    </row>
    <row r="326" ht="42" customHeight="1" spans="1:26">
      <c r="A326" s="422" t="str">
        <f>B326</f>
        <v> 11.2 </v>
      </c>
      <c r="B326" s="423" t="str">
        <f>B325</f>
        <v> 11.2 </v>
      </c>
      <c r="C326" s="441" t="s">
        <v>869</v>
      </c>
      <c r="D326" s="442" t="s">
        <v>870</v>
      </c>
      <c r="E326" s="441" t="s">
        <v>77</v>
      </c>
      <c r="F326" s="441" t="s">
        <v>871</v>
      </c>
      <c r="G326" s="442" t="s">
        <v>204</v>
      </c>
      <c r="H326" s="443">
        <f>SUM(N326:U326)</f>
        <v>26</v>
      </c>
      <c r="I326" s="443">
        <f>VLOOKUP(D326,'Orçamento Analitico'!D:L,9,FALSE())</f>
        <v>110.79</v>
      </c>
      <c r="J326" s="443">
        <f>ROUNDDOWN(I326*(1+$G$6),2)</f>
        <v>139.03</v>
      </c>
      <c r="K326" s="443">
        <f>ROUNDDOWN(H326*I326,2)</f>
        <v>2880.54</v>
      </c>
      <c r="L326" s="443">
        <f>ROUNDDOWN(H326*J326,2)</f>
        <v>3614.78</v>
      </c>
      <c r="M326" s="461" t="e">
        <f t="shared" si="72"/>
        <v>#N/A</v>
      </c>
      <c r="N326" s="464">
        <v>26</v>
      </c>
      <c r="O326" s="465"/>
      <c r="P326" s="465"/>
      <c r="Q326" s="465"/>
      <c r="R326" s="465"/>
      <c r="S326" s="465"/>
      <c r="T326" s="465"/>
      <c r="U326" s="479"/>
      <c r="V326" s="422"/>
      <c r="W326" s="422"/>
      <c r="X326" s="422"/>
      <c r="Y326" s="422"/>
      <c r="Z326" s="422"/>
    </row>
    <row r="327" ht="42" customHeight="1" spans="1:26">
      <c r="A327" s="422" t="str">
        <f>B327</f>
        <v> 11.2 </v>
      </c>
      <c r="B327" s="423" t="str">
        <f>B326</f>
        <v> 11.2 </v>
      </c>
      <c r="C327" s="441" t="s">
        <v>872</v>
      </c>
      <c r="D327" s="442" t="s">
        <v>873</v>
      </c>
      <c r="E327" s="441" t="s">
        <v>139</v>
      </c>
      <c r="F327" s="441" t="s">
        <v>874</v>
      </c>
      <c r="G327" s="442" t="s">
        <v>204</v>
      </c>
      <c r="H327" s="443">
        <f>SUM(N327:U327)</f>
        <v>8</v>
      </c>
      <c r="I327" s="443">
        <f>VLOOKUP(D327,'Orçamento Analitico'!D:L,9,FALSE())</f>
        <v>447.18</v>
      </c>
      <c r="J327" s="443">
        <f>ROUNDDOWN(I327*(1+$G$6),2)</f>
        <v>561.16</v>
      </c>
      <c r="K327" s="443">
        <f>ROUNDDOWN(H327*I327,2)</f>
        <v>3577.44</v>
      </c>
      <c r="L327" s="443">
        <f>ROUNDDOWN(H327*J327,2)</f>
        <v>4489.28</v>
      </c>
      <c r="M327" s="461" t="e">
        <f t="shared" si="72"/>
        <v>#N/A</v>
      </c>
      <c r="N327" s="464">
        <v>8</v>
      </c>
      <c r="O327" s="465"/>
      <c r="P327" s="465"/>
      <c r="Q327" s="465"/>
      <c r="R327" s="465"/>
      <c r="S327" s="465"/>
      <c r="T327" s="465"/>
      <c r="U327" s="479"/>
      <c r="V327" s="422"/>
      <c r="W327" s="422"/>
      <c r="X327" s="422"/>
      <c r="Y327" s="422"/>
      <c r="Z327" s="422"/>
    </row>
    <row r="328" ht="42" customHeight="1" spans="1:26">
      <c r="A328" s="422" t="str">
        <f>B328</f>
        <v> 11.2 </v>
      </c>
      <c r="B328" s="423" t="str">
        <f>B327</f>
        <v> 11.2 </v>
      </c>
      <c r="C328" s="441" t="s">
        <v>875</v>
      </c>
      <c r="D328" s="442" t="s">
        <v>876</v>
      </c>
      <c r="E328" s="441" t="s">
        <v>139</v>
      </c>
      <c r="F328" s="441" t="s">
        <v>877</v>
      </c>
      <c r="G328" s="442" t="s">
        <v>204</v>
      </c>
      <c r="H328" s="443">
        <f>SUM(N328:U328)</f>
        <v>6</v>
      </c>
      <c r="I328" s="443">
        <f>VLOOKUP(D328,'Orçamento Analitico'!D:L,9,FALSE())</f>
        <v>134.42</v>
      </c>
      <c r="J328" s="443">
        <f>ROUNDDOWN(I328*(1+$G$6),2)</f>
        <v>168.68</v>
      </c>
      <c r="K328" s="443">
        <f>ROUNDDOWN(H328*I328,2)</f>
        <v>806.52</v>
      </c>
      <c r="L328" s="443">
        <f>ROUNDDOWN(H328*J328,2)</f>
        <v>1012.08</v>
      </c>
      <c r="M328" s="461" t="e">
        <f t="shared" ref="M328:M391" si="91">K328/$L$1062</f>
        <v>#N/A</v>
      </c>
      <c r="N328" s="464">
        <v>6</v>
      </c>
      <c r="O328" s="465"/>
      <c r="P328" s="465"/>
      <c r="Q328" s="465"/>
      <c r="R328" s="465"/>
      <c r="S328" s="465"/>
      <c r="T328" s="465"/>
      <c r="U328" s="479"/>
      <c r="V328" s="422"/>
      <c r="W328" s="422"/>
      <c r="X328" s="422"/>
      <c r="Y328" s="422"/>
      <c r="Z328" s="422"/>
    </row>
    <row r="329" ht="42" customHeight="1" spans="1:26">
      <c r="A329" s="422" t="str">
        <f>B329</f>
        <v> 11.2 </v>
      </c>
      <c r="B329" s="423" t="str">
        <f>B328</f>
        <v> 11.2 </v>
      </c>
      <c r="C329" s="441" t="s">
        <v>878</v>
      </c>
      <c r="D329" s="442" t="s">
        <v>879</v>
      </c>
      <c r="E329" s="441" t="s">
        <v>132</v>
      </c>
      <c r="F329" s="441" t="s">
        <v>880</v>
      </c>
      <c r="G329" s="442" t="s">
        <v>134</v>
      </c>
      <c r="H329" s="443">
        <f>SUM(N329:U329)</f>
        <v>2</v>
      </c>
      <c r="I329" s="443">
        <f>VLOOKUP(D329,'Orçamento Analitico'!D:L,9,FALSE())</f>
        <v>191.22</v>
      </c>
      <c r="J329" s="443">
        <f>ROUNDDOWN(I329*(1+$G$6),2)</f>
        <v>239.96</v>
      </c>
      <c r="K329" s="443">
        <f>ROUNDDOWN(H329*I329,2)</f>
        <v>382.44</v>
      </c>
      <c r="L329" s="443">
        <f>ROUNDDOWN(H329*J329,2)</f>
        <v>479.92</v>
      </c>
      <c r="M329" s="461" t="e">
        <f t="shared" si="91"/>
        <v>#N/A</v>
      </c>
      <c r="N329" s="464">
        <v>2</v>
      </c>
      <c r="O329" s="465"/>
      <c r="P329" s="465"/>
      <c r="Q329" s="465"/>
      <c r="R329" s="465"/>
      <c r="S329" s="465"/>
      <c r="T329" s="465"/>
      <c r="U329" s="479"/>
      <c r="V329" s="422"/>
      <c r="W329" s="422"/>
      <c r="X329" s="422"/>
      <c r="Y329" s="422"/>
      <c r="Z329" s="422"/>
    </row>
    <row r="330" ht="42" customHeight="1" spans="1:26">
      <c r="A330" s="422" t="str">
        <f>B330</f>
        <v> 11.2 </v>
      </c>
      <c r="B330" s="423" t="str">
        <f>B329</f>
        <v> 11.2 </v>
      </c>
      <c r="C330" s="441" t="s">
        <v>881</v>
      </c>
      <c r="D330" s="442" t="s">
        <v>882</v>
      </c>
      <c r="E330" s="441" t="s">
        <v>132</v>
      </c>
      <c r="F330" s="441" t="s">
        <v>883</v>
      </c>
      <c r="G330" s="442" t="s">
        <v>134</v>
      </c>
      <c r="H330" s="443">
        <f>SUM(N330:U330)</f>
        <v>2</v>
      </c>
      <c r="I330" s="443">
        <f>VLOOKUP(D330,'Orçamento Analitico'!D:L,9,FALSE())</f>
        <v>2693.51</v>
      </c>
      <c r="J330" s="443">
        <f>ROUNDDOWN(I330*(1+$G$6),2)</f>
        <v>3380.08</v>
      </c>
      <c r="K330" s="443">
        <f>ROUNDDOWN(H330*I330,2)</f>
        <v>5387.02</v>
      </c>
      <c r="L330" s="443">
        <f>ROUNDDOWN(H330*J330,2)</f>
        <v>6760.16</v>
      </c>
      <c r="M330" s="461" t="e">
        <f t="shared" si="91"/>
        <v>#N/A</v>
      </c>
      <c r="N330" s="464">
        <v>2</v>
      </c>
      <c r="O330" s="465"/>
      <c r="P330" s="465"/>
      <c r="Q330" s="465"/>
      <c r="R330" s="465"/>
      <c r="S330" s="465"/>
      <c r="T330" s="465"/>
      <c r="U330" s="479"/>
      <c r="V330" s="422"/>
      <c r="W330" s="422"/>
      <c r="X330" s="422"/>
      <c r="Y330" s="422"/>
      <c r="Z330" s="422"/>
    </row>
    <row r="331" ht="12.75" customHeight="1" spans="1:26">
      <c r="A331" s="422"/>
      <c r="B331" s="423" t="str">
        <f>C331</f>
        <v> 11.3 </v>
      </c>
      <c r="C331" s="444" t="s">
        <v>884</v>
      </c>
      <c r="D331" s="445" t="s">
        <v>74</v>
      </c>
      <c r="E331" s="444"/>
      <c r="F331" s="444" t="s">
        <v>885</v>
      </c>
      <c r="G331" s="445"/>
      <c r="H331" s="446"/>
      <c r="I331" s="446"/>
      <c r="J331" s="466"/>
      <c r="K331" s="466">
        <f>SUMIF(A:A,B331,K:K)</f>
        <v>169806.35</v>
      </c>
      <c r="L331" s="466">
        <f>SUMIF(A:A,C331,L:L)</f>
        <v>213087.25</v>
      </c>
      <c r="M331" s="467" t="e">
        <f t="shared" si="91"/>
        <v>#N/A</v>
      </c>
      <c r="N331" s="459" t="s">
        <v>6121</v>
      </c>
      <c r="O331" s="460" t="s">
        <v>6175</v>
      </c>
      <c r="P331" s="460" t="s">
        <v>6124</v>
      </c>
      <c r="Q331" s="460" t="s">
        <v>6176</v>
      </c>
      <c r="R331" s="460" t="s">
        <v>6125</v>
      </c>
      <c r="S331" s="460" t="s">
        <v>6177</v>
      </c>
      <c r="T331" s="460"/>
      <c r="U331" s="477"/>
      <c r="V331" s="422"/>
      <c r="W331" s="422"/>
      <c r="X331" s="422"/>
      <c r="Y331" s="422"/>
      <c r="Z331" s="422"/>
    </row>
    <row r="332" ht="42" customHeight="1" spans="1:26">
      <c r="A332" s="422" t="str">
        <f t="shared" ref="A332:A355" si="92">B332</f>
        <v> 11.3 </v>
      </c>
      <c r="B332" s="423" t="str">
        <f t="shared" ref="B332:B355" si="93">B331</f>
        <v> 11.3 </v>
      </c>
      <c r="C332" s="441" t="s">
        <v>886</v>
      </c>
      <c r="D332" s="442" t="s">
        <v>887</v>
      </c>
      <c r="E332" s="441" t="s">
        <v>149</v>
      </c>
      <c r="F332" s="441" t="s">
        <v>888</v>
      </c>
      <c r="G332" s="442" t="s">
        <v>134</v>
      </c>
      <c r="H332" s="443">
        <f t="shared" ref="H332:H355" si="94">SUM(N332:S332)</f>
        <v>29</v>
      </c>
      <c r="I332" s="443">
        <f>VLOOKUP(D332,'Orçamento Analitico'!D:L,9,FALSE())</f>
        <v>1776.86</v>
      </c>
      <c r="J332" s="443">
        <f t="shared" ref="J332:J355" si="95">ROUNDDOWN(I332*(1+$G$6),2)</f>
        <v>2229.78</v>
      </c>
      <c r="K332" s="443">
        <f t="shared" ref="K332:K355" si="96">ROUNDDOWN(H332*I332,2)</f>
        <v>51528.94</v>
      </c>
      <c r="L332" s="443">
        <f t="shared" ref="L332:L355" si="97">ROUNDDOWN(H332*J332,2)</f>
        <v>64663.62</v>
      </c>
      <c r="M332" s="461" t="e">
        <f t="shared" si="91"/>
        <v>#N/A</v>
      </c>
      <c r="N332" s="464">
        <v>29</v>
      </c>
      <c r="O332" s="465"/>
      <c r="P332" s="465"/>
      <c r="Q332" s="465"/>
      <c r="R332" s="465"/>
      <c r="S332" s="465"/>
      <c r="T332" s="465"/>
      <c r="U332" s="479"/>
      <c r="V332" s="422"/>
      <c r="W332" s="422"/>
      <c r="X332" s="422"/>
      <c r="Y332" s="422"/>
      <c r="Z332" s="422"/>
    </row>
    <row r="333" ht="42" customHeight="1" spans="1:26">
      <c r="A333" s="422" t="str">
        <f t="shared" si="92"/>
        <v> 11.3 </v>
      </c>
      <c r="B333" s="423" t="str">
        <f t="shared" si="93"/>
        <v> 11.3 </v>
      </c>
      <c r="C333" s="441" t="s">
        <v>889</v>
      </c>
      <c r="D333" s="442" t="s">
        <v>890</v>
      </c>
      <c r="E333" s="441" t="s">
        <v>132</v>
      </c>
      <c r="F333" s="441" t="s">
        <v>891</v>
      </c>
      <c r="G333" s="442" t="s">
        <v>134</v>
      </c>
      <c r="H333" s="443">
        <f t="shared" si="94"/>
        <v>1</v>
      </c>
      <c r="I333" s="443">
        <f>VLOOKUP(D333,'Orçamento Analitico'!D:L,9,FALSE())</f>
        <v>286.07</v>
      </c>
      <c r="J333" s="443">
        <f t="shared" si="95"/>
        <v>358.98</v>
      </c>
      <c r="K333" s="443">
        <f t="shared" si="96"/>
        <v>286.07</v>
      </c>
      <c r="L333" s="443">
        <f t="shared" si="97"/>
        <v>358.98</v>
      </c>
      <c r="M333" s="461" t="e">
        <f t="shared" si="91"/>
        <v>#N/A</v>
      </c>
      <c r="N333" s="464"/>
      <c r="O333" s="465"/>
      <c r="P333" s="465">
        <v>1</v>
      </c>
      <c r="Q333" s="465"/>
      <c r="R333" s="465"/>
      <c r="S333" s="465"/>
      <c r="T333" s="465"/>
      <c r="U333" s="479"/>
      <c r="V333" s="422"/>
      <c r="W333" s="422"/>
      <c r="X333" s="422"/>
      <c r="Y333" s="422"/>
      <c r="Z333" s="422"/>
    </row>
    <row r="334" ht="42" customHeight="1" spans="1:26">
      <c r="A334" s="422" t="str">
        <f t="shared" si="92"/>
        <v> 11.3 </v>
      </c>
      <c r="B334" s="423" t="str">
        <f t="shared" si="93"/>
        <v> 11.3 </v>
      </c>
      <c r="C334" s="441" t="s">
        <v>892</v>
      </c>
      <c r="D334" s="442" t="s">
        <v>893</v>
      </c>
      <c r="E334" s="441" t="s">
        <v>139</v>
      </c>
      <c r="F334" s="441" t="s">
        <v>894</v>
      </c>
      <c r="G334" s="442" t="s">
        <v>134</v>
      </c>
      <c r="H334" s="443">
        <f t="shared" si="94"/>
        <v>2</v>
      </c>
      <c r="I334" s="443">
        <f>VLOOKUP(D334,'Orçamento Analitico'!D:L,9,FALSE())</f>
        <v>843.58</v>
      </c>
      <c r="J334" s="443">
        <f t="shared" si="95"/>
        <v>1058.6</v>
      </c>
      <c r="K334" s="443">
        <f t="shared" si="96"/>
        <v>1687.16</v>
      </c>
      <c r="L334" s="443">
        <f t="shared" si="97"/>
        <v>2117.2</v>
      </c>
      <c r="M334" s="461" t="e">
        <f t="shared" si="91"/>
        <v>#N/A</v>
      </c>
      <c r="N334" s="464"/>
      <c r="O334" s="465">
        <v>2</v>
      </c>
      <c r="P334" s="465"/>
      <c r="Q334" s="465"/>
      <c r="R334" s="465"/>
      <c r="S334" s="465"/>
      <c r="T334" s="465"/>
      <c r="U334" s="479"/>
      <c r="V334" s="422"/>
      <c r="W334" s="422"/>
      <c r="X334" s="422"/>
      <c r="Y334" s="422"/>
      <c r="Z334" s="422"/>
    </row>
    <row r="335" ht="42" customHeight="1" spans="1:26">
      <c r="A335" s="422" t="str">
        <f t="shared" si="92"/>
        <v> 11.3 </v>
      </c>
      <c r="B335" s="423" t="str">
        <f t="shared" si="93"/>
        <v> 11.3 </v>
      </c>
      <c r="C335" s="441" t="s">
        <v>895</v>
      </c>
      <c r="D335" s="442" t="s">
        <v>896</v>
      </c>
      <c r="E335" s="441" t="s">
        <v>139</v>
      </c>
      <c r="F335" s="441" t="s">
        <v>897</v>
      </c>
      <c r="G335" s="442" t="s">
        <v>134</v>
      </c>
      <c r="H335" s="443">
        <f t="shared" si="94"/>
        <v>2</v>
      </c>
      <c r="I335" s="443">
        <f>VLOOKUP(D335,'Orçamento Analitico'!D:L,9,FALSE())</f>
        <v>45.37</v>
      </c>
      <c r="J335" s="443">
        <f t="shared" si="95"/>
        <v>56.93</v>
      </c>
      <c r="K335" s="443">
        <f t="shared" si="96"/>
        <v>90.74</v>
      </c>
      <c r="L335" s="443">
        <f t="shared" si="97"/>
        <v>113.86</v>
      </c>
      <c r="M335" s="461" t="e">
        <f t="shared" si="91"/>
        <v>#N/A</v>
      </c>
      <c r="N335" s="464"/>
      <c r="O335" s="465">
        <v>2</v>
      </c>
      <c r="P335" s="465"/>
      <c r="Q335" s="465"/>
      <c r="R335" s="465"/>
      <c r="S335" s="465"/>
      <c r="T335" s="465"/>
      <c r="U335" s="479"/>
      <c r="V335" s="422"/>
      <c r="W335" s="422"/>
      <c r="X335" s="422"/>
      <c r="Y335" s="422"/>
      <c r="Z335" s="422"/>
    </row>
    <row r="336" ht="42" customHeight="1" spans="1:26">
      <c r="A336" s="422" t="str">
        <f t="shared" si="92"/>
        <v> 11.3 </v>
      </c>
      <c r="B336" s="423" t="str">
        <f t="shared" si="93"/>
        <v> 11.3 </v>
      </c>
      <c r="C336" s="441" t="s">
        <v>898</v>
      </c>
      <c r="D336" s="442" t="s">
        <v>899</v>
      </c>
      <c r="E336" s="441" t="s">
        <v>149</v>
      </c>
      <c r="F336" s="441" t="s">
        <v>900</v>
      </c>
      <c r="G336" s="442" t="s">
        <v>134</v>
      </c>
      <c r="H336" s="443">
        <f t="shared" si="94"/>
        <v>4</v>
      </c>
      <c r="I336" s="443">
        <f>VLOOKUP(D336,'Orçamento Analitico'!D:L,9,FALSE())</f>
        <v>657.16</v>
      </c>
      <c r="J336" s="443">
        <f t="shared" si="95"/>
        <v>824.67</v>
      </c>
      <c r="K336" s="443">
        <f t="shared" si="96"/>
        <v>2628.64</v>
      </c>
      <c r="L336" s="443">
        <f t="shared" si="97"/>
        <v>3298.68</v>
      </c>
      <c r="M336" s="461" t="e">
        <f t="shared" si="91"/>
        <v>#N/A</v>
      </c>
      <c r="N336" s="464"/>
      <c r="O336" s="465">
        <v>2</v>
      </c>
      <c r="P336" s="465"/>
      <c r="Q336" s="465">
        <v>2</v>
      </c>
      <c r="R336" s="465"/>
      <c r="S336" s="465"/>
      <c r="T336" s="465"/>
      <c r="U336" s="479"/>
      <c r="V336" s="422"/>
      <c r="W336" s="422"/>
      <c r="X336" s="422"/>
      <c r="Y336" s="422"/>
      <c r="Z336" s="422"/>
    </row>
    <row r="337" ht="42" customHeight="1" spans="1:26">
      <c r="A337" s="422" t="str">
        <f t="shared" si="92"/>
        <v> 11.3 </v>
      </c>
      <c r="B337" s="423" t="str">
        <f t="shared" si="93"/>
        <v> 11.3 </v>
      </c>
      <c r="C337" s="441" t="s">
        <v>901</v>
      </c>
      <c r="D337" s="442" t="s">
        <v>902</v>
      </c>
      <c r="E337" s="441" t="s">
        <v>132</v>
      </c>
      <c r="F337" s="441" t="s">
        <v>903</v>
      </c>
      <c r="G337" s="442" t="s">
        <v>134</v>
      </c>
      <c r="H337" s="443">
        <f t="shared" si="94"/>
        <v>44</v>
      </c>
      <c r="I337" s="443">
        <f>VLOOKUP(D337,'Orçamento Analitico'!D:L,9,FALSE())</f>
        <v>373.74</v>
      </c>
      <c r="J337" s="443">
        <f t="shared" si="95"/>
        <v>469</v>
      </c>
      <c r="K337" s="443">
        <f t="shared" si="96"/>
        <v>16444.56</v>
      </c>
      <c r="L337" s="443">
        <f t="shared" si="97"/>
        <v>20636</v>
      </c>
      <c r="M337" s="461" t="e">
        <f t="shared" si="91"/>
        <v>#N/A</v>
      </c>
      <c r="N337" s="464">
        <v>29</v>
      </c>
      <c r="O337" s="465"/>
      <c r="P337" s="465">
        <f>14+1</f>
        <v>15</v>
      </c>
      <c r="Q337" s="465"/>
      <c r="R337" s="465"/>
      <c r="S337" s="465"/>
      <c r="T337" s="465"/>
      <c r="U337" s="479"/>
      <c r="V337" s="422"/>
      <c r="W337" s="422"/>
      <c r="X337" s="422"/>
      <c r="Y337" s="422"/>
      <c r="Z337" s="422"/>
    </row>
    <row r="338" ht="42" customHeight="1" spans="1:26">
      <c r="A338" s="422" t="str">
        <f t="shared" si="92"/>
        <v> 11.3 </v>
      </c>
      <c r="B338" s="423" t="str">
        <f t="shared" si="93"/>
        <v> 11.3 </v>
      </c>
      <c r="C338" s="441" t="s">
        <v>904</v>
      </c>
      <c r="D338" s="442" t="s">
        <v>905</v>
      </c>
      <c r="E338" s="441" t="s">
        <v>139</v>
      </c>
      <c r="F338" s="441" t="s">
        <v>906</v>
      </c>
      <c r="G338" s="442" t="s">
        <v>134</v>
      </c>
      <c r="H338" s="443">
        <f t="shared" si="94"/>
        <v>47</v>
      </c>
      <c r="I338" s="443">
        <f>VLOOKUP(D338,'Orçamento Analitico'!D:L,9,FALSE())</f>
        <v>157.49</v>
      </c>
      <c r="J338" s="443">
        <f t="shared" si="95"/>
        <v>197.63</v>
      </c>
      <c r="K338" s="443">
        <f t="shared" si="96"/>
        <v>7402.03</v>
      </c>
      <c r="L338" s="443">
        <f t="shared" si="97"/>
        <v>9288.61</v>
      </c>
      <c r="M338" s="461" t="e">
        <f t="shared" si="91"/>
        <v>#N/A</v>
      </c>
      <c r="N338" s="464">
        <v>38</v>
      </c>
      <c r="O338" s="465"/>
      <c r="P338" s="465">
        <v>9</v>
      </c>
      <c r="Q338" s="465"/>
      <c r="R338" s="465"/>
      <c r="S338" s="465"/>
      <c r="T338" s="465"/>
      <c r="U338" s="479"/>
      <c r="V338" s="422"/>
      <c r="W338" s="422"/>
      <c r="X338" s="422"/>
      <c r="Y338" s="422"/>
      <c r="Z338" s="422"/>
    </row>
    <row r="339" ht="42" customHeight="1" spans="1:26">
      <c r="A339" s="422" t="str">
        <f t="shared" si="92"/>
        <v> 11.3 </v>
      </c>
      <c r="B339" s="423" t="str">
        <f t="shared" si="93"/>
        <v> 11.3 </v>
      </c>
      <c r="C339" s="441" t="s">
        <v>907</v>
      </c>
      <c r="D339" s="442" t="s">
        <v>908</v>
      </c>
      <c r="E339" s="441" t="s">
        <v>149</v>
      </c>
      <c r="F339" s="441" t="s">
        <v>909</v>
      </c>
      <c r="G339" s="442" t="s">
        <v>134</v>
      </c>
      <c r="H339" s="443">
        <f t="shared" si="94"/>
        <v>4</v>
      </c>
      <c r="I339" s="443">
        <f>VLOOKUP(D339,'Orçamento Analitico'!D:L,9,FALSE())</f>
        <v>1522.06</v>
      </c>
      <c r="J339" s="443">
        <f t="shared" si="95"/>
        <v>1910.03</v>
      </c>
      <c r="K339" s="443">
        <f t="shared" si="96"/>
        <v>6088.24</v>
      </c>
      <c r="L339" s="443">
        <f t="shared" si="97"/>
        <v>7640.12</v>
      </c>
      <c r="M339" s="461" t="e">
        <f t="shared" si="91"/>
        <v>#N/A</v>
      </c>
      <c r="N339" s="464"/>
      <c r="O339" s="465">
        <v>2</v>
      </c>
      <c r="P339" s="465"/>
      <c r="Q339" s="465">
        <v>2</v>
      </c>
      <c r="R339" s="465"/>
      <c r="S339" s="465"/>
      <c r="T339" s="465"/>
      <c r="U339" s="479"/>
      <c r="V339" s="422"/>
      <c r="W339" s="422"/>
      <c r="X339" s="422"/>
      <c r="Y339" s="422"/>
      <c r="Z339" s="422"/>
    </row>
    <row r="340" ht="42" customHeight="1" spans="1:26">
      <c r="A340" s="422" t="str">
        <f t="shared" si="92"/>
        <v> 11.3 </v>
      </c>
      <c r="B340" s="423" t="str">
        <f t="shared" si="93"/>
        <v> 11.3 </v>
      </c>
      <c r="C340" s="441" t="s">
        <v>910</v>
      </c>
      <c r="D340" s="442" t="s">
        <v>911</v>
      </c>
      <c r="E340" s="441" t="s">
        <v>139</v>
      </c>
      <c r="F340" s="441" t="s">
        <v>912</v>
      </c>
      <c r="G340" s="442" t="s">
        <v>134</v>
      </c>
      <c r="H340" s="443">
        <f t="shared" si="94"/>
        <v>51</v>
      </c>
      <c r="I340" s="443">
        <f>VLOOKUP(D340,'Orçamento Analitico'!D:L,9,FALSE())</f>
        <v>70.82</v>
      </c>
      <c r="J340" s="443">
        <f t="shared" si="95"/>
        <v>88.87</v>
      </c>
      <c r="K340" s="443">
        <f t="shared" si="96"/>
        <v>3611.82</v>
      </c>
      <c r="L340" s="443">
        <f t="shared" si="97"/>
        <v>4532.37</v>
      </c>
      <c r="M340" s="461" t="e">
        <f t="shared" si="91"/>
        <v>#N/A</v>
      </c>
      <c r="N340" s="464">
        <f t="shared" ref="N340:S340" si="98">N338+N339</f>
        <v>38</v>
      </c>
      <c r="O340" s="465">
        <f t="shared" si="98"/>
        <v>2</v>
      </c>
      <c r="P340" s="465">
        <f t="shared" si="98"/>
        <v>9</v>
      </c>
      <c r="Q340" s="465">
        <f t="shared" si="98"/>
        <v>2</v>
      </c>
      <c r="R340" s="465">
        <f t="shared" si="98"/>
        <v>0</v>
      </c>
      <c r="S340" s="465">
        <f t="shared" si="98"/>
        <v>0</v>
      </c>
      <c r="T340" s="465"/>
      <c r="U340" s="479"/>
      <c r="V340" s="422"/>
      <c r="W340" s="422"/>
      <c r="X340" s="422"/>
      <c r="Y340" s="422"/>
      <c r="Z340" s="422"/>
    </row>
    <row r="341" ht="42" customHeight="1" spans="1:26">
      <c r="A341" s="422" t="str">
        <f t="shared" si="92"/>
        <v> 11.3 </v>
      </c>
      <c r="B341" s="423" t="str">
        <f t="shared" si="93"/>
        <v> 11.3 </v>
      </c>
      <c r="C341" s="441" t="s">
        <v>913</v>
      </c>
      <c r="D341" s="442" t="s">
        <v>914</v>
      </c>
      <c r="E341" s="441" t="s">
        <v>132</v>
      </c>
      <c r="F341" s="441" t="s">
        <v>915</v>
      </c>
      <c r="G341" s="442" t="s">
        <v>134</v>
      </c>
      <c r="H341" s="443">
        <f t="shared" si="94"/>
        <v>51</v>
      </c>
      <c r="I341" s="443">
        <f>VLOOKUP(D341,'Orçamento Analitico'!D:L,9,FALSE())</f>
        <v>126.4</v>
      </c>
      <c r="J341" s="443">
        <f t="shared" si="95"/>
        <v>158.61</v>
      </c>
      <c r="K341" s="443">
        <f t="shared" si="96"/>
        <v>6446.4</v>
      </c>
      <c r="L341" s="443">
        <f t="shared" si="97"/>
        <v>8089.11</v>
      </c>
      <c r="M341" s="461" t="e">
        <f t="shared" si="91"/>
        <v>#N/A</v>
      </c>
      <c r="N341" s="464">
        <f t="shared" ref="N341:S341" si="99">N340</f>
        <v>38</v>
      </c>
      <c r="O341" s="465">
        <f t="shared" si="99"/>
        <v>2</v>
      </c>
      <c r="P341" s="465">
        <f t="shared" si="99"/>
        <v>9</v>
      </c>
      <c r="Q341" s="465">
        <f t="shared" si="99"/>
        <v>2</v>
      </c>
      <c r="R341" s="465">
        <f t="shared" si="99"/>
        <v>0</v>
      </c>
      <c r="S341" s="465">
        <f t="shared" si="99"/>
        <v>0</v>
      </c>
      <c r="T341" s="465"/>
      <c r="U341" s="479"/>
      <c r="V341" s="422"/>
      <c r="W341" s="422"/>
      <c r="X341" s="422"/>
      <c r="Y341" s="422"/>
      <c r="Z341" s="422"/>
    </row>
    <row r="342" ht="42" customHeight="1" spans="1:26">
      <c r="A342" s="422" t="str">
        <f t="shared" si="92"/>
        <v> 11.3 </v>
      </c>
      <c r="B342" s="423" t="str">
        <f t="shared" si="93"/>
        <v> 11.3 </v>
      </c>
      <c r="C342" s="441" t="s">
        <v>916</v>
      </c>
      <c r="D342" s="442" t="s">
        <v>917</v>
      </c>
      <c r="E342" s="441" t="s">
        <v>132</v>
      </c>
      <c r="F342" s="441" t="s">
        <v>918</v>
      </c>
      <c r="G342" s="442" t="s">
        <v>134</v>
      </c>
      <c r="H342" s="443">
        <f t="shared" si="94"/>
        <v>47</v>
      </c>
      <c r="I342" s="443">
        <f>VLOOKUP(D342,'Orçamento Analitico'!D:L,9,FALSE())</f>
        <v>390.5</v>
      </c>
      <c r="J342" s="443">
        <f t="shared" si="95"/>
        <v>490.03</v>
      </c>
      <c r="K342" s="443">
        <f t="shared" si="96"/>
        <v>18353.5</v>
      </c>
      <c r="L342" s="443">
        <f t="shared" si="97"/>
        <v>23031.41</v>
      </c>
      <c r="M342" s="461" t="e">
        <f t="shared" si="91"/>
        <v>#N/A</v>
      </c>
      <c r="N342" s="464">
        <v>38</v>
      </c>
      <c r="O342" s="465"/>
      <c r="P342" s="465">
        <v>9</v>
      </c>
      <c r="Q342" s="465"/>
      <c r="R342" s="465"/>
      <c r="S342" s="465"/>
      <c r="T342" s="465"/>
      <c r="U342" s="479"/>
      <c r="V342" s="422"/>
      <c r="W342" s="422"/>
      <c r="X342" s="422"/>
      <c r="Y342" s="422"/>
      <c r="Z342" s="422"/>
    </row>
    <row r="343" ht="42" customHeight="1" spans="1:26">
      <c r="A343" s="422" t="str">
        <f t="shared" si="92"/>
        <v> 11.3 </v>
      </c>
      <c r="B343" s="423" t="str">
        <f t="shared" si="93"/>
        <v> 11.3 </v>
      </c>
      <c r="C343" s="441" t="s">
        <v>919</v>
      </c>
      <c r="D343" s="442" t="s">
        <v>920</v>
      </c>
      <c r="E343" s="441" t="s">
        <v>149</v>
      </c>
      <c r="F343" s="441" t="s">
        <v>921</v>
      </c>
      <c r="G343" s="442" t="s">
        <v>134</v>
      </c>
      <c r="H343" s="443">
        <f t="shared" si="94"/>
        <v>31</v>
      </c>
      <c r="I343" s="443">
        <f>VLOOKUP(D343,'Orçamento Analitico'!D:L,9,FALSE())</f>
        <v>89.23</v>
      </c>
      <c r="J343" s="443">
        <f t="shared" si="95"/>
        <v>111.97</v>
      </c>
      <c r="K343" s="443">
        <f t="shared" si="96"/>
        <v>2766.13</v>
      </c>
      <c r="L343" s="443">
        <f t="shared" si="97"/>
        <v>3471.07</v>
      </c>
      <c r="M343" s="461" t="e">
        <f t="shared" si="91"/>
        <v>#N/A</v>
      </c>
      <c r="N343" s="464">
        <v>29</v>
      </c>
      <c r="O343" s="465">
        <v>2</v>
      </c>
      <c r="P343" s="465"/>
      <c r="Q343" s="465"/>
      <c r="R343" s="465"/>
      <c r="S343" s="465"/>
      <c r="T343" s="465"/>
      <c r="U343" s="479"/>
      <c r="V343" s="422"/>
      <c r="W343" s="422"/>
      <c r="X343" s="422"/>
      <c r="Y343" s="422"/>
      <c r="Z343" s="422"/>
    </row>
    <row r="344" ht="42" customHeight="1" spans="1:26">
      <c r="A344" s="422" t="str">
        <f t="shared" si="92"/>
        <v> 11.3 </v>
      </c>
      <c r="B344" s="423" t="str">
        <f t="shared" si="93"/>
        <v> 11.3 </v>
      </c>
      <c r="C344" s="441" t="s">
        <v>922</v>
      </c>
      <c r="D344" s="442" t="s">
        <v>923</v>
      </c>
      <c r="E344" s="441" t="s">
        <v>77</v>
      </c>
      <c r="F344" s="441" t="s">
        <v>924</v>
      </c>
      <c r="G344" s="442" t="s">
        <v>134</v>
      </c>
      <c r="H344" s="443">
        <f t="shared" si="94"/>
        <v>58</v>
      </c>
      <c r="I344" s="443">
        <f>VLOOKUP(D344,'Orçamento Analitico'!D:L,9,FALSE())</f>
        <v>45.68</v>
      </c>
      <c r="J344" s="443">
        <f t="shared" si="95"/>
        <v>57.32</v>
      </c>
      <c r="K344" s="443">
        <f t="shared" si="96"/>
        <v>2649.44</v>
      </c>
      <c r="L344" s="443">
        <f t="shared" si="97"/>
        <v>3324.56</v>
      </c>
      <c r="M344" s="461" t="e">
        <f t="shared" si="91"/>
        <v>#N/A</v>
      </c>
      <c r="N344" s="464">
        <v>28</v>
      </c>
      <c r="O344" s="465">
        <v>2</v>
      </c>
      <c r="P344" s="465">
        <v>12</v>
      </c>
      <c r="Q344" s="465">
        <v>2</v>
      </c>
      <c r="R344" s="465">
        <v>12</v>
      </c>
      <c r="S344" s="465">
        <v>2</v>
      </c>
      <c r="T344" s="465"/>
      <c r="U344" s="479"/>
      <c r="V344" s="422"/>
      <c r="W344" s="422"/>
      <c r="X344" s="422"/>
      <c r="Y344" s="422"/>
      <c r="Z344" s="422"/>
    </row>
    <row r="345" ht="42" customHeight="1" spans="1:26">
      <c r="A345" s="422" t="str">
        <f t="shared" si="92"/>
        <v> 11.3 </v>
      </c>
      <c r="B345" s="423" t="str">
        <f t="shared" si="93"/>
        <v> 11.3 </v>
      </c>
      <c r="C345" s="441" t="s">
        <v>925</v>
      </c>
      <c r="D345" s="442" t="s">
        <v>926</v>
      </c>
      <c r="E345" s="441" t="s">
        <v>139</v>
      </c>
      <c r="F345" s="441" t="s">
        <v>927</v>
      </c>
      <c r="G345" s="442" t="s">
        <v>134</v>
      </c>
      <c r="H345" s="443">
        <f t="shared" si="94"/>
        <v>58</v>
      </c>
      <c r="I345" s="443">
        <f>VLOOKUP(D345,'Orçamento Analitico'!D:L,9,FALSE())</f>
        <v>61.05</v>
      </c>
      <c r="J345" s="443">
        <f t="shared" si="95"/>
        <v>76.61</v>
      </c>
      <c r="K345" s="443">
        <f t="shared" si="96"/>
        <v>3540.9</v>
      </c>
      <c r="L345" s="443">
        <f t="shared" si="97"/>
        <v>4443.38</v>
      </c>
      <c r="M345" s="461" t="e">
        <f t="shared" si="91"/>
        <v>#N/A</v>
      </c>
      <c r="N345" s="464">
        <v>28</v>
      </c>
      <c r="O345" s="465">
        <v>2</v>
      </c>
      <c r="P345" s="465">
        <v>12</v>
      </c>
      <c r="Q345" s="465">
        <v>2</v>
      </c>
      <c r="R345" s="465">
        <v>12</v>
      </c>
      <c r="S345" s="465">
        <v>2</v>
      </c>
      <c r="T345" s="465"/>
      <c r="U345" s="479"/>
      <c r="V345" s="422"/>
      <c r="W345" s="422"/>
      <c r="X345" s="422"/>
      <c r="Y345" s="422"/>
      <c r="Z345" s="422"/>
    </row>
    <row r="346" ht="42" customHeight="1" spans="1:26">
      <c r="A346" s="422" t="str">
        <f t="shared" si="92"/>
        <v> 11.3 </v>
      </c>
      <c r="B346" s="423" t="str">
        <f t="shared" si="93"/>
        <v> 11.3 </v>
      </c>
      <c r="C346" s="441" t="s">
        <v>928</v>
      </c>
      <c r="D346" s="442" t="s">
        <v>929</v>
      </c>
      <c r="E346" s="441" t="s">
        <v>149</v>
      </c>
      <c r="F346" s="441" t="s">
        <v>930</v>
      </c>
      <c r="G346" s="442" t="s">
        <v>134</v>
      </c>
      <c r="H346" s="443">
        <f t="shared" si="94"/>
        <v>1</v>
      </c>
      <c r="I346" s="443">
        <f>VLOOKUP(D346,'Orçamento Analitico'!D:L,9,FALSE())</f>
        <v>76.6</v>
      </c>
      <c r="J346" s="443">
        <f t="shared" si="95"/>
        <v>96.12</v>
      </c>
      <c r="K346" s="443">
        <f t="shared" si="96"/>
        <v>76.6</v>
      </c>
      <c r="L346" s="443">
        <f t="shared" si="97"/>
        <v>96.12</v>
      </c>
      <c r="M346" s="461" t="e">
        <f t="shared" si="91"/>
        <v>#N/A</v>
      </c>
      <c r="N346" s="464"/>
      <c r="O346" s="465"/>
      <c r="P346" s="465">
        <v>1</v>
      </c>
      <c r="Q346" s="465"/>
      <c r="R346" s="465"/>
      <c r="S346" s="465"/>
      <c r="T346" s="465"/>
      <c r="U346" s="479"/>
      <c r="V346" s="422"/>
      <c r="W346" s="422"/>
      <c r="X346" s="422"/>
      <c r="Y346" s="422"/>
      <c r="Z346" s="422"/>
    </row>
    <row r="347" ht="42" customHeight="1" spans="1:26">
      <c r="A347" s="422" t="str">
        <f t="shared" si="92"/>
        <v> 11.3 </v>
      </c>
      <c r="B347" s="423" t="str">
        <f t="shared" si="93"/>
        <v> 11.3 </v>
      </c>
      <c r="C347" s="441" t="s">
        <v>931</v>
      </c>
      <c r="D347" s="442" t="s">
        <v>932</v>
      </c>
      <c r="E347" s="441" t="s">
        <v>149</v>
      </c>
      <c r="F347" s="441" t="s">
        <v>933</v>
      </c>
      <c r="G347" s="442" t="s">
        <v>141</v>
      </c>
      <c r="H347" s="443">
        <f t="shared" si="94"/>
        <v>37.08</v>
      </c>
      <c r="I347" s="443">
        <f>VLOOKUP(D347,'Orçamento Analitico'!D:L,9,FALSE())</f>
        <v>568.06</v>
      </c>
      <c r="J347" s="443">
        <f t="shared" si="95"/>
        <v>712.85</v>
      </c>
      <c r="K347" s="443">
        <f t="shared" si="96"/>
        <v>21063.66</v>
      </c>
      <c r="L347" s="443">
        <f t="shared" si="97"/>
        <v>26432.47</v>
      </c>
      <c r="M347" s="461" t="e">
        <f t="shared" si="91"/>
        <v>#N/A</v>
      </c>
      <c r="N347" s="464">
        <f>ROUND(((2.1*0.9)*2)+((1*0.9)*6)+((1.5*0.9)*6),2)</f>
        <v>17.28</v>
      </c>
      <c r="O347" s="465">
        <f>ROUND(((0.6*0.9)*2),2)</f>
        <v>1.08</v>
      </c>
      <c r="P347" s="465">
        <f>ROUND(((2.1*0.9)*2)+((1*0.9)*2)+((1.5*0.9)*2),2)</f>
        <v>8.28</v>
      </c>
      <c r="Q347" s="465">
        <f>ROUND(((0.6*0.9)*2),2)</f>
        <v>1.08</v>
      </c>
      <c r="R347" s="465">
        <f>ROUND(((2.1*0.9)*2)+((1*0.9)*2)+((1.5*0.9)*2),2)</f>
        <v>8.28</v>
      </c>
      <c r="S347" s="465">
        <f>ROUND(((0.6*0.9)*2),2)</f>
        <v>1.08</v>
      </c>
      <c r="T347" s="465"/>
      <c r="U347" s="479"/>
      <c r="V347" s="422"/>
      <c r="W347" s="422"/>
      <c r="X347" s="422"/>
      <c r="Y347" s="422"/>
      <c r="Z347" s="422"/>
    </row>
    <row r="348" ht="42" customHeight="1" spans="1:26">
      <c r="A348" s="422" t="str">
        <f t="shared" si="92"/>
        <v> 11.3 </v>
      </c>
      <c r="B348" s="423" t="str">
        <f t="shared" si="93"/>
        <v> 11.3 </v>
      </c>
      <c r="C348" s="441" t="s">
        <v>934</v>
      </c>
      <c r="D348" s="442" t="s">
        <v>935</v>
      </c>
      <c r="E348" s="441" t="s">
        <v>139</v>
      </c>
      <c r="F348" s="441" t="s">
        <v>936</v>
      </c>
      <c r="G348" s="442" t="s">
        <v>134</v>
      </c>
      <c r="H348" s="443">
        <f t="shared" si="94"/>
        <v>1</v>
      </c>
      <c r="I348" s="443">
        <f>VLOOKUP(D348,'Orçamento Analitico'!D:L,9,FALSE())</f>
        <v>110.21</v>
      </c>
      <c r="J348" s="443">
        <f t="shared" si="95"/>
        <v>138.3</v>
      </c>
      <c r="K348" s="443">
        <f t="shared" si="96"/>
        <v>110.21</v>
      </c>
      <c r="L348" s="443">
        <f t="shared" si="97"/>
        <v>138.3</v>
      </c>
      <c r="M348" s="461" t="e">
        <f t="shared" si="91"/>
        <v>#N/A</v>
      </c>
      <c r="N348" s="464"/>
      <c r="O348" s="465"/>
      <c r="P348" s="465">
        <v>1</v>
      </c>
      <c r="Q348" s="465"/>
      <c r="R348" s="465"/>
      <c r="S348" s="465"/>
      <c r="T348" s="465"/>
      <c r="U348" s="479"/>
      <c r="V348" s="422"/>
      <c r="W348" s="422"/>
      <c r="X348" s="422"/>
      <c r="Y348" s="422"/>
      <c r="Z348" s="422"/>
    </row>
    <row r="349" ht="42" customHeight="1" spans="1:26">
      <c r="A349" s="422" t="str">
        <f t="shared" si="92"/>
        <v> 11.3 </v>
      </c>
      <c r="B349" s="423" t="str">
        <f t="shared" si="93"/>
        <v> 11.3 </v>
      </c>
      <c r="C349" s="441" t="s">
        <v>937</v>
      </c>
      <c r="D349" s="442" t="s">
        <v>938</v>
      </c>
      <c r="E349" s="441" t="s">
        <v>139</v>
      </c>
      <c r="F349" s="441" t="s">
        <v>939</v>
      </c>
      <c r="G349" s="442" t="s">
        <v>134</v>
      </c>
      <c r="H349" s="443">
        <f t="shared" si="94"/>
        <v>13</v>
      </c>
      <c r="I349" s="443">
        <f>VLOOKUP(D349,'Orçamento Analitico'!D:L,9,FALSE())</f>
        <v>709.64</v>
      </c>
      <c r="J349" s="443">
        <f t="shared" si="95"/>
        <v>890.52</v>
      </c>
      <c r="K349" s="443">
        <f t="shared" si="96"/>
        <v>9225.32</v>
      </c>
      <c r="L349" s="443">
        <f t="shared" si="97"/>
        <v>11576.76</v>
      </c>
      <c r="M349" s="461" t="e">
        <f t="shared" si="91"/>
        <v>#N/A</v>
      </c>
      <c r="N349" s="464">
        <v>13</v>
      </c>
      <c r="O349" s="465"/>
      <c r="P349" s="465"/>
      <c r="Q349" s="465"/>
      <c r="R349" s="465"/>
      <c r="S349" s="465"/>
      <c r="T349" s="465"/>
      <c r="U349" s="479"/>
      <c r="V349" s="422"/>
      <c r="W349" s="422"/>
      <c r="X349" s="422"/>
      <c r="Y349" s="422"/>
      <c r="Z349" s="422"/>
    </row>
    <row r="350" ht="42" customHeight="1" spans="1:26">
      <c r="A350" s="422" t="str">
        <f t="shared" si="92"/>
        <v> 11.3 </v>
      </c>
      <c r="B350" s="423" t="str">
        <f t="shared" si="93"/>
        <v> 11.3 </v>
      </c>
      <c r="C350" s="441" t="s">
        <v>940</v>
      </c>
      <c r="D350" s="442" t="s">
        <v>941</v>
      </c>
      <c r="E350" s="441" t="s">
        <v>139</v>
      </c>
      <c r="F350" s="441" t="s">
        <v>942</v>
      </c>
      <c r="G350" s="442" t="s">
        <v>134</v>
      </c>
      <c r="H350" s="443">
        <f t="shared" si="94"/>
        <v>4</v>
      </c>
      <c r="I350" s="443">
        <f>VLOOKUP(D350,'Orçamento Analitico'!D:L,9,FALSE())</f>
        <v>314.75</v>
      </c>
      <c r="J350" s="443">
        <f t="shared" si="95"/>
        <v>394.97</v>
      </c>
      <c r="K350" s="443">
        <f t="shared" si="96"/>
        <v>1259</v>
      </c>
      <c r="L350" s="443">
        <f t="shared" si="97"/>
        <v>1579.88</v>
      </c>
      <c r="M350" s="461" t="e">
        <f t="shared" si="91"/>
        <v>#N/A</v>
      </c>
      <c r="N350" s="464"/>
      <c r="O350" s="465">
        <v>4</v>
      </c>
      <c r="P350" s="465"/>
      <c r="Q350" s="465"/>
      <c r="R350" s="465"/>
      <c r="S350" s="465"/>
      <c r="T350" s="465"/>
      <c r="U350" s="479"/>
      <c r="V350" s="422"/>
      <c r="W350" s="422"/>
      <c r="X350" s="422"/>
      <c r="Y350" s="422"/>
      <c r="Z350" s="422"/>
    </row>
    <row r="351" ht="42" customHeight="1" spans="1:26">
      <c r="A351" s="422" t="str">
        <f t="shared" si="92"/>
        <v> 11.3 </v>
      </c>
      <c r="B351" s="423" t="str">
        <f t="shared" si="93"/>
        <v> 11.3 </v>
      </c>
      <c r="C351" s="441" t="s">
        <v>943</v>
      </c>
      <c r="D351" s="442" t="s">
        <v>944</v>
      </c>
      <c r="E351" s="441" t="s">
        <v>139</v>
      </c>
      <c r="F351" s="441" t="s">
        <v>945</v>
      </c>
      <c r="G351" s="442" t="s">
        <v>134</v>
      </c>
      <c r="H351" s="443">
        <f t="shared" si="94"/>
        <v>4</v>
      </c>
      <c r="I351" s="443">
        <f>VLOOKUP(D351,'Orçamento Analitico'!D:L,9,FALSE())</f>
        <v>517.89</v>
      </c>
      <c r="J351" s="443">
        <f t="shared" si="95"/>
        <v>649.9</v>
      </c>
      <c r="K351" s="443">
        <f t="shared" si="96"/>
        <v>2071.56</v>
      </c>
      <c r="L351" s="443">
        <f t="shared" si="97"/>
        <v>2599.6</v>
      </c>
      <c r="M351" s="461" t="e">
        <f t="shared" si="91"/>
        <v>#N/A</v>
      </c>
      <c r="N351" s="464"/>
      <c r="O351" s="465">
        <v>2</v>
      </c>
      <c r="P351" s="465"/>
      <c r="Q351" s="465">
        <v>2</v>
      </c>
      <c r="R351" s="465"/>
      <c r="S351" s="465"/>
      <c r="T351" s="465"/>
      <c r="U351" s="479"/>
      <c r="V351" s="422"/>
      <c r="W351" s="422"/>
      <c r="X351" s="422"/>
      <c r="Y351" s="422"/>
      <c r="Z351" s="422"/>
    </row>
    <row r="352" ht="42" customHeight="1" spans="1:26">
      <c r="A352" s="422" t="str">
        <f t="shared" si="92"/>
        <v> 11.3 </v>
      </c>
      <c r="B352" s="423" t="str">
        <f t="shared" si="93"/>
        <v> 11.3 </v>
      </c>
      <c r="C352" s="441" t="s">
        <v>946</v>
      </c>
      <c r="D352" s="442" t="s">
        <v>947</v>
      </c>
      <c r="E352" s="441" t="s">
        <v>139</v>
      </c>
      <c r="F352" s="441" t="s">
        <v>948</v>
      </c>
      <c r="G352" s="442" t="s">
        <v>134</v>
      </c>
      <c r="H352" s="443">
        <f t="shared" si="94"/>
        <v>6</v>
      </c>
      <c r="I352" s="443">
        <f>VLOOKUP(D352,'Orçamento Analitico'!D:L,9,FALSE())</f>
        <v>287.93</v>
      </c>
      <c r="J352" s="443">
        <f t="shared" si="95"/>
        <v>361.32</v>
      </c>
      <c r="K352" s="443">
        <f t="shared" si="96"/>
        <v>1727.58</v>
      </c>
      <c r="L352" s="443">
        <f t="shared" si="97"/>
        <v>2167.92</v>
      </c>
      <c r="M352" s="461" t="e">
        <f t="shared" si="91"/>
        <v>#N/A</v>
      </c>
      <c r="N352" s="464"/>
      <c r="O352" s="465">
        <v>2</v>
      </c>
      <c r="P352" s="465"/>
      <c r="Q352" s="465">
        <v>2</v>
      </c>
      <c r="R352" s="465"/>
      <c r="S352" s="465">
        <v>2</v>
      </c>
      <c r="T352" s="465"/>
      <c r="U352" s="479"/>
      <c r="V352" s="422"/>
      <c r="W352" s="422"/>
      <c r="X352" s="422"/>
      <c r="Y352" s="422"/>
      <c r="Z352" s="422"/>
    </row>
    <row r="353" ht="42" customHeight="1" spans="1:26">
      <c r="A353" s="422" t="str">
        <f t="shared" si="92"/>
        <v> 11.3 </v>
      </c>
      <c r="B353" s="423" t="str">
        <f t="shared" si="93"/>
        <v> 11.3 </v>
      </c>
      <c r="C353" s="441" t="s">
        <v>949</v>
      </c>
      <c r="D353" s="442" t="s">
        <v>950</v>
      </c>
      <c r="E353" s="441" t="s">
        <v>149</v>
      </c>
      <c r="F353" s="441" t="s">
        <v>951</v>
      </c>
      <c r="G353" s="442" t="s">
        <v>134</v>
      </c>
      <c r="H353" s="443">
        <f t="shared" si="94"/>
        <v>64</v>
      </c>
      <c r="I353" s="443">
        <f>VLOOKUP(D353,'Orçamento Analitico'!D:L,9,FALSE())</f>
        <v>137.95</v>
      </c>
      <c r="J353" s="443">
        <f t="shared" si="95"/>
        <v>173.11</v>
      </c>
      <c r="K353" s="443">
        <f t="shared" si="96"/>
        <v>8828.8</v>
      </c>
      <c r="L353" s="443">
        <f t="shared" si="97"/>
        <v>11079.04</v>
      </c>
      <c r="M353" s="461" t="e">
        <f t="shared" si="91"/>
        <v>#N/A</v>
      </c>
      <c r="N353" s="464">
        <v>29</v>
      </c>
      <c r="O353" s="465">
        <v>2</v>
      </c>
      <c r="P353" s="465">
        <f>14+1</f>
        <v>15</v>
      </c>
      <c r="Q353" s="465">
        <v>2</v>
      </c>
      <c r="R353" s="465">
        <v>14</v>
      </c>
      <c r="S353" s="465">
        <v>2</v>
      </c>
      <c r="T353" s="465"/>
      <c r="U353" s="479"/>
      <c r="V353" s="422"/>
      <c r="W353" s="422"/>
      <c r="X353" s="422"/>
      <c r="Y353" s="422"/>
      <c r="Z353" s="422"/>
    </row>
    <row r="354" ht="42" customHeight="1" spans="1:26">
      <c r="A354" s="422" t="str">
        <f t="shared" si="92"/>
        <v> 11.3 </v>
      </c>
      <c r="B354" s="423" t="str">
        <f t="shared" si="93"/>
        <v> 11.3 </v>
      </c>
      <c r="C354" s="441" t="s">
        <v>952</v>
      </c>
      <c r="D354" s="442" t="s">
        <v>953</v>
      </c>
      <c r="E354" s="441" t="s">
        <v>139</v>
      </c>
      <c r="F354" s="441" t="s">
        <v>954</v>
      </c>
      <c r="G354" s="442" t="s">
        <v>134</v>
      </c>
      <c r="H354" s="443">
        <f t="shared" si="94"/>
        <v>1</v>
      </c>
      <c r="I354" s="443">
        <f>VLOOKUP(D354,'Orçamento Analitico'!D:L,9,FALSE())</f>
        <v>432.54</v>
      </c>
      <c r="J354" s="443">
        <f t="shared" si="95"/>
        <v>542.79</v>
      </c>
      <c r="K354" s="443">
        <f t="shared" si="96"/>
        <v>432.54</v>
      </c>
      <c r="L354" s="443">
        <f t="shared" si="97"/>
        <v>542.79</v>
      </c>
      <c r="M354" s="461" t="e">
        <f t="shared" si="91"/>
        <v>#N/A</v>
      </c>
      <c r="N354" s="464"/>
      <c r="O354" s="465"/>
      <c r="P354" s="465">
        <v>1</v>
      </c>
      <c r="Q354" s="465"/>
      <c r="R354" s="465"/>
      <c r="S354" s="465"/>
      <c r="T354" s="465"/>
      <c r="U354" s="479"/>
      <c r="V354" s="422"/>
      <c r="W354" s="422"/>
      <c r="X354" s="422"/>
      <c r="Y354" s="422"/>
      <c r="Z354" s="422"/>
    </row>
    <row r="355" ht="42" customHeight="1" spans="1:26">
      <c r="A355" s="422" t="str">
        <f t="shared" si="92"/>
        <v> 11.3 </v>
      </c>
      <c r="B355" s="423" t="str">
        <f t="shared" si="93"/>
        <v> 11.3 </v>
      </c>
      <c r="C355" s="441" t="s">
        <v>955</v>
      </c>
      <c r="D355" s="442" t="s">
        <v>956</v>
      </c>
      <c r="E355" s="441" t="s">
        <v>149</v>
      </c>
      <c r="F355" s="441" t="s">
        <v>957</v>
      </c>
      <c r="G355" s="442" t="s">
        <v>141</v>
      </c>
      <c r="H355" s="443">
        <f t="shared" si="94"/>
        <v>2.7</v>
      </c>
      <c r="I355" s="443">
        <f>VLOOKUP(D355,'Orçamento Analitico'!D:L,9,FALSE())</f>
        <v>550.56</v>
      </c>
      <c r="J355" s="443">
        <f t="shared" si="95"/>
        <v>690.89</v>
      </c>
      <c r="K355" s="443">
        <f t="shared" si="96"/>
        <v>1486.51</v>
      </c>
      <c r="L355" s="443">
        <f t="shared" si="97"/>
        <v>1865.4</v>
      </c>
      <c r="M355" s="461" t="e">
        <f t="shared" si="91"/>
        <v>#N/A</v>
      </c>
      <c r="N355" s="500"/>
      <c r="O355" s="501"/>
      <c r="P355" s="501"/>
      <c r="Q355" s="501">
        <f>ROUND(1.5*1.8,2)</f>
        <v>2.7</v>
      </c>
      <c r="R355" s="501"/>
      <c r="S355" s="501"/>
      <c r="T355" s="501"/>
      <c r="U355" s="505"/>
      <c r="V355" s="422"/>
      <c r="W355" s="422"/>
      <c r="X355" s="422"/>
      <c r="Y355" s="422"/>
      <c r="Z355" s="422"/>
    </row>
    <row r="356" ht="12.75" customHeight="1" spans="1:26">
      <c r="A356" s="422"/>
      <c r="B356" s="423" t="str">
        <f>C356</f>
        <v> 11.4 </v>
      </c>
      <c r="C356" s="444" t="s">
        <v>958</v>
      </c>
      <c r="D356" s="445" t="s">
        <v>74</v>
      </c>
      <c r="E356" s="444"/>
      <c r="F356" s="444" t="s">
        <v>959</v>
      </c>
      <c r="G356" s="445"/>
      <c r="H356" s="446"/>
      <c r="I356" s="446"/>
      <c r="J356" s="466"/>
      <c r="K356" s="466">
        <f>SUMIF(A:A,B356,K:K)</f>
        <v>87670.5</v>
      </c>
      <c r="L356" s="466">
        <f>SUMIF(A:A,C356,L:L)</f>
        <v>110016.61</v>
      </c>
      <c r="M356" s="467" t="e">
        <f t="shared" si="91"/>
        <v>#N/A</v>
      </c>
      <c r="N356" s="459" t="s">
        <v>6121</v>
      </c>
      <c r="O356" s="460" t="s">
        <v>6175</v>
      </c>
      <c r="P356" s="460" t="s">
        <v>6124</v>
      </c>
      <c r="Q356" s="460" t="s">
        <v>6176</v>
      </c>
      <c r="R356" s="460" t="s">
        <v>6125</v>
      </c>
      <c r="S356" s="460" t="s">
        <v>6177</v>
      </c>
      <c r="T356" s="460"/>
      <c r="U356" s="477"/>
      <c r="V356" s="422"/>
      <c r="W356" s="422"/>
      <c r="X356" s="422"/>
      <c r="Y356" s="422"/>
      <c r="Z356" s="422"/>
    </row>
    <row r="357" ht="42" customHeight="1" spans="1:26">
      <c r="A357" s="422" t="str">
        <f t="shared" ref="A357:A364" si="100">B357</f>
        <v> 11.4 </v>
      </c>
      <c r="B357" s="423" t="str">
        <f t="shared" ref="B357:B364" si="101">B356</f>
        <v> 11.4 </v>
      </c>
      <c r="C357" s="441" t="s">
        <v>960</v>
      </c>
      <c r="D357" s="442" t="s">
        <v>961</v>
      </c>
      <c r="E357" s="441" t="s">
        <v>77</v>
      </c>
      <c r="F357" s="441" t="s">
        <v>962</v>
      </c>
      <c r="G357" s="442" t="s">
        <v>204</v>
      </c>
      <c r="H357" s="443">
        <f t="shared" ref="H357:H364" si="102">SUM(N357:S357)</f>
        <v>35</v>
      </c>
      <c r="I357" s="443">
        <f>VLOOKUP(D357,'Orçamento Analitico'!D:L,9,FALSE())</f>
        <v>76.08</v>
      </c>
      <c r="J357" s="443">
        <f t="shared" ref="J357:J364" si="103">ROUNDDOWN(I357*(1+$G$6),2)</f>
        <v>95.47</v>
      </c>
      <c r="K357" s="443">
        <f t="shared" ref="K357:K364" si="104">ROUNDDOWN(H357*I357,2)</f>
        <v>2662.8</v>
      </c>
      <c r="L357" s="443">
        <f t="shared" ref="L357:L364" si="105">ROUNDDOWN(H357*J357,2)</f>
        <v>3341.45</v>
      </c>
      <c r="M357" s="461" t="e">
        <f t="shared" si="91"/>
        <v>#N/A</v>
      </c>
      <c r="N357" s="514">
        <v>35</v>
      </c>
      <c r="O357" s="515"/>
      <c r="P357" s="515"/>
      <c r="Q357" s="515"/>
      <c r="R357" s="515"/>
      <c r="S357" s="515"/>
      <c r="T357" s="515"/>
      <c r="U357" s="484"/>
      <c r="V357" s="422"/>
      <c r="W357" s="422"/>
      <c r="X357" s="422"/>
      <c r="Y357" s="422"/>
      <c r="Z357" s="422"/>
    </row>
    <row r="358" ht="42" customHeight="1" spans="1:26">
      <c r="A358" s="422" t="str">
        <f t="shared" si="100"/>
        <v> 11.4 </v>
      </c>
      <c r="B358" s="423" t="str">
        <f t="shared" si="101"/>
        <v> 11.4 </v>
      </c>
      <c r="C358" s="441" t="s">
        <v>963</v>
      </c>
      <c r="D358" s="442" t="s">
        <v>870</v>
      </c>
      <c r="E358" s="441" t="s">
        <v>77</v>
      </c>
      <c r="F358" s="441" t="s">
        <v>871</v>
      </c>
      <c r="G358" s="442" t="s">
        <v>204</v>
      </c>
      <c r="H358" s="443">
        <f t="shared" si="102"/>
        <v>82</v>
      </c>
      <c r="I358" s="443">
        <f>VLOOKUP(D358,'Orçamento Analitico'!D:L,9,FALSE())</f>
        <v>110.79</v>
      </c>
      <c r="J358" s="443">
        <f t="shared" si="103"/>
        <v>139.03</v>
      </c>
      <c r="K358" s="443">
        <f t="shared" si="104"/>
        <v>9084.78</v>
      </c>
      <c r="L358" s="443">
        <f t="shared" si="105"/>
        <v>11400.46</v>
      </c>
      <c r="M358" s="461" t="e">
        <f t="shared" si="91"/>
        <v>#N/A</v>
      </c>
      <c r="N358" s="464">
        <v>82</v>
      </c>
      <c r="O358" s="465"/>
      <c r="P358" s="465"/>
      <c r="Q358" s="465"/>
      <c r="R358" s="465"/>
      <c r="S358" s="465"/>
      <c r="T358" s="465"/>
      <c r="U358" s="479"/>
      <c r="V358" s="422"/>
      <c r="W358" s="422"/>
      <c r="X358" s="422"/>
      <c r="Y358" s="422"/>
      <c r="Z358" s="422"/>
    </row>
    <row r="359" ht="42" customHeight="1" spans="1:26">
      <c r="A359" s="422" t="str">
        <f t="shared" si="100"/>
        <v> 11.4 </v>
      </c>
      <c r="B359" s="423" t="str">
        <f t="shared" si="101"/>
        <v> 11.4 </v>
      </c>
      <c r="C359" s="441" t="s">
        <v>964</v>
      </c>
      <c r="D359" s="442" t="s">
        <v>965</v>
      </c>
      <c r="E359" s="441" t="s">
        <v>132</v>
      </c>
      <c r="F359" s="441" t="s">
        <v>966</v>
      </c>
      <c r="G359" s="442" t="s">
        <v>204</v>
      </c>
      <c r="H359" s="443">
        <f t="shared" si="102"/>
        <v>68</v>
      </c>
      <c r="I359" s="443">
        <f>VLOOKUP(D359,'Orçamento Analitico'!D:L,9,FALSE())</f>
        <v>158.06</v>
      </c>
      <c r="J359" s="443">
        <f t="shared" si="103"/>
        <v>198.34</v>
      </c>
      <c r="K359" s="443">
        <f t="shared" si="104"/>
        <v>10748.08</v>
      </c>
      <c r="L359" s="443">
        <f t="shared" si="105"/>
        <v>13487.12</v>
      </c>
      <c r="M359" s="461" t="e">
        <f t="shared" si="91"/>
        <v>#N/A</v>
      </c>
      <c r="N359" s="464">
        <v>68</v>
      </c>
      <c r="O359" s="465"/>
      <c r="P359" s="465"/>
      <c r="Q359" s="465"/>
      <c r="R359" s="465"/>
      <c r="S359" s="465"/>
      <c r="T359" s="465"/>
      <c r="U359" s="479"/>
      <c r="V359" s="422"/>
      <c r="W359" s="422"/>
      <c r="X359" s="422"/>
      <c r="Y359" s="422"/>
      <c r="Z359" s="422"/>
    </row>
    <row r="360" ht="42" customHeight="1" spans="1:26">
      <c r="A360" s="422" t="str">
        <f t="shared" si="100"/>
        <v> 11.4 </v>
      </c>
      <c r="B360" s="423" t="str">
        <f t="shared" si="101"/>
        <v> 11.4 </v>
      </c>
      <c r="C360" s="441" t="s">
        <v>967</v>
      </c>
      <c r="D360" s="442" t="s">
        <v>968</v>
      </c>
      <c r="E360" s="441" t="s">
        <v>132</v>
      </c>
      <c r="F360" s="441" t="s">
        <v>969</v>
      </c>
      <c r="G360" s="442" t="s">
        <v>204</v>
      </c>
      <c r="H360" s="443">
        <f t="shared" si="102"/>
        <v>16</v>
      </c>
      <c r="I360" s="443">
        <f>VLOOKUP(D360,'Orçamento Analitico'!D:L,9,FALSE())</f>
        <v>258.04</v>
      </c>
      <c r="J360" s="443">
        <f t="shared" si="103"/>
        <v>323.81</v>
      </c>
      <c r="K360" s="443">
        <f t="shared" si="104"/>
        <v>4128.64</v>
      </c>
      <c r="L360" s="443">
        <f t="shared" si="105"/>
        <v>5180.96</v>
      </c>
      <c r="M360" s="461" t="e">
        <f t="shared" si="91"/>
        <v>#N/A</v>
      </c>
      <c r="N360" s="464">
        <v>16</v>
      </c>
      <c r="O360" s="465"/>
      <c r="P360" s="465"/>
      <c r="Q360" s="465"/>
      <c r="R360" s="465"/>
      <c r="S360" s="465"/>
      <c r="T360" s="465"/>
      <c r="U360" s="479"/>
      <c r="V360" s="422"/>
      <c r="W360" s="422"/>
      <c r="X360" s="422"/>
      <c r="Y360" s="422"/>
      <c r="Z360" s="422"/>
    </row>
    <row r="361" ht="42" customHeight="1" spans="1:26">
      <c r="A361" s="422" t="str">
        <f t="shared" si="100"/>
        <v> 11.4 </v>
      </c>
      <c r="B361" s="423" t="str">
        <f t="shared" si="101"/>
        <v> 11.4 </v>
      </c>
      <c r="C361" s="441" t="s">
        <v>970</v>
      </c>
      <c r="D361" s="442" t="s">
        <v>971</v>
      </c>
      <c r="E361" s="441" t="s">
        <v>77</v>
      </c>
      <c r="F361" s="441" t="s">
        <v>972</v>
      </c>
      <c r="G361" s="442" t="s">
        <v>134</v>
      </c>
      <c r="H361" s="443">
        <f t="shared" si="102"/>
        <v>8</v>
      </c>
      <c r="I361" s="443">
        <f>VLOOKUP(D361,'Orçamento Analitico'!D:L,9,FALSE())</f>
        <v>2466.18</v>
      </c>
      <c r="J361" s="443">
        <f t="shared" si="103"/>
        <v>3094.8</v>
      </c>
      <c r="K361" s="443">
        <f t="shared" si="104"/>
        <v>19729.44</v>
      </c>
      <c r="L361" s="443">
        <f t="shared" si="105"/>
        <v>24758.4</v>
      </c>
      <c r="M361" s="461" t="e">
        <f t="shared" si="91"/>
        <v>#N/A</v>
      </c>
      <c r="N361" s="464">
        <v>8</v>
      </c>
      <c r="O361" s="465"/>
      <c r="P361" s="465"/>
      <c r="Q361" s="465"/>
      <c r="R361" s="465"/>
      <c r="S361" s="465"/>
      <c r="T361" s="465"/>
      <c r="U361" s="479"/>
      <c r="V361" s="422"/>
      <c r="W361" s="422"/>
      <c r="X361" s="422"/>
      <c r="Y361" s="422"/>
      <c r="Z361" s="422"/>
    </row>
    <row r="362" ht="42" customHeight="1" spans="1:26">
      <c r="A362" s="422" t="str">
        <f t="shared" si="100"/>
        <v> 11.4 </v>
      </c>
      <c r="B362" s="423" t="str">
        <f t="shared" si="101"/>
        <v> 11.4 </v>
      </c>
      <c r="C362" s="441" t="s">
        <v>973</v>
      </c>
      <c r="D362" s="442" t="s">
        <v>974</v>
      </c>
      <c r="E362" s="441" t="s">
        <v>139</v>
      </c>
      <c r="F362" s="441" t="s">
        <v>975</v>
      </c>
      <c r="G362" s="442" t="s">
        <v>134</v>
      </c>
      <c r="H362" s="443">
        <f t="shared" si="102"/>
        <v>8</v>
      </c>
      <c r="I362" s="443">
        <f>VLOOKUP(D362,'Orçamento Analitico'!D:L,9,FALSE())</f>
        <v>642.65</v>
      </c>
      <c r="J362" s="443">
        <f t="shared" si="103"/>
        <v>806.46</v>
      </c>
      <c r="K362" s="443">
        <f t="shared" si="104"/>
        <v>5141.2</v>
      </c>
      <c r="L362" s="443">
        <f t="shared" si="105"/>
        <v>6451.68</v>
      </c>
      <c r="M362" s="461" t="e">
        <f t="shared" si="91"/>
        <v>#N/A</v>
      </c>
      <c r="N362" s="464">
        <f>N361</f>
        <v>8</v>
      </c>
      <c r="O362" s="465"/>
      <c r="P362" s="465"/>
      <c r="Q362" s="465"/>
      <c r="R362" s="465"/>
      <c r="S362" s="465"/>
      <c r="T362" s="465"/>
      <c r="U362" s="479"/>
      <c r="V362" s="422"/>
      <c r="W362" s="422"/>
      <c r="X362" s="422"/>
      <c r="Y362" s="422"/>
      <c r="Z362" s="422"/>
    </row>
    <row r="363" ht="42" customHeight="1" spans="1:26">
      <c r="A363" s="422" t="str">
        <f t="shared" si="100"/>
        <v> 11.4 </v>
      </c>
      <c r="B363" s="423" t="str">
        <f t="shared" si="101"/>
        <v> 11.4 </v>
      </c>
      <c r="C363" s="441" t="s">
        <v>976</v>
      </c>
      <c r="D363" s="442" t="s">
        <v>977</v>
      </c>
      <c r="E363" s="441" t="s">
        <v>139</v>
      </c>
      <c r="F363" s="441" t="s">
        <v>978</v>
      </c>
      <c r="G363" s="442" t="s">
        <v>134</v>
      </c>
      <c r="H363" s="443">
        <f t="shared" si="102"/>
        <v>44</v>
      </c>
      <c r="I363" s="443">
        <f>VLOOKUP(D363,'Orçamento Analitico'!D:L,9,FALSE())</f>
        <v>209.39</v>
      </c>
      <c r="J363" s="443">
        <f t="shared" si="103"/>
        <v>262.76</v>
      </c>
      <c r="K363" s="443">
        <f t="shared" si="104"/>
        <v>9213.16</v>
      </c>
      <c r="L363" s="443">
        <f t="shared" si="105"/>
        <v>11561.44</v>
      </c>
      <c r="M363" s="461" t="e">
        <f t="shared" si="91"/>
        <v>#N/A</v>
      </c>
      <c r="N363" s="464">
        <v>44</v>
      </c>
      <c r="O363" s="465"/>
      <c r="P363" s="465"/>
      <c r="Q363" s="465"/>
      <c r="R363" s="465"/>
      <c r="S363" s="465"/>
      <c r="T363" s="465"/>
      <c r="U363" s="479"/>
      <c r="V363" s="422"/>
      <c r="W363" s="422"/>
      <c r="X363" s="422"/>
      <c r="Y363" s="422"/>
      <c r="Z363" s="422"/>
    </row>
    <row r="364" ht="42" customHeight="1" spans="1:26">
      <c r="A364" s="422" t="str">
        <f t="shared" si="100"/>
        <v> 11.4 </v>
      </c>
      <c r="B364" s="423" t="str">
        <f t="shared" si="101"/>
        <v> 11.4 </v>
      </c>
      <c r="C364" s="441" t="s">
        <v>979</v>
      </c>
      <c r="D364" s="442" t="s">
        <v>980</v>
      </c>
      <c r="E364" s="441" t="s">
        <v>139</v>
      </c>
      <c r="F364" s="441" t="s">
        <v>981</v>
      </c>
      <c r="G364" s="442" t="s">
        <v>134</v>
      </c>
      <c r="H364" s="443">
        <f t="shared" si="102"/>
        <v>10</v>
      </c>
      <c r="I364" s="443">
        <f>VLOOKUP(D364,'Orçamento Analitico'!D:L,9,FALSE())</f>
        <v>2696.24</v>
      </c>
      <c r="J364" s="443">
        <f t="shared" si="103"/>
        <v>3383.51</v>
      </c>
      <c r="K364" s="443">
        <f t="shared" si="104"/>
        <v>26962.4</v>
      </c>
      <c r="L364" s="443">
        <f t="shared" si="105"/>
        <v>33835.1</v>
      </c>
      <c r="M364" s="461" t="e">
        <f t="shared" si="91"/>
        <v>#N/A</v>
      </c>
      <c r="N364" s="516">
        <v>10</v>
      </c>
      <c r="O364" s="481"/>
      <c r="P364" s="481"/>
      <c r="Q364" s="481"/>
      <c r="R364" s="481"/>
      <c r="S364" s="481"/>
      <c r="T364" s="481"/>
      <c r="U364" s="482"/>
      <c r="V364" s="422"/>
      <c r="W364" s="422"/>
      <c r="X364" s="422"/>
      <c r="Y364" s="422"/>
      <c r="Z364" s="422"/>
    </row>
    <row r="365" ht="12.75" customHeight="1" spans="1:26">
      <c r="A365" s="422"/>
      <c r="B365" s="423"/>
      <c r="C365" s="438" t="s">
        <v>40</v>
      </c>
      <c r="D365" s="439" t="s">
        <v>74</v>
      </c>
      <c r="E365" s="438"/>
      <c r="F365" s="438" t="s">
        <v>41</v>
      </c>
      <c r="G365" s="439"/>
      <c r="H365" s="440"/>
      <c r="I365" s="440"/>
      <c r="J365" s="440"/>
      <c r="K365" s="440">
        <f>SUM(K366,K433,K447,K500,K531,K574,K581,K603,K619)</f>
        <v>6692314.44</v>
      </c>
      <c r="L365" s="440">
        <f>SUM(L366,L433,L447,L500,L531,L574,L581,L603,L619)</f>
        <v>8209378.78</v>
      </c>
      <c r="M365" s="458" t="e">
        <f t="shared" si="91"/>
        <v>#N/A</v>
      </c>
      <c r="N365" s="459" t="s">
        <v>6121</v>
      </c>
      <c r="O365" s="460" t="s">
        <v>6122</v>
      </c>
      <c r="P365" s="460" t="s">
        <v>6123</v>
      </c>
      <c r="Q365" s="460" t="s">
        <v>6124</v>
      </c>
      <c r="R365" s="460" t="s">
        <v>6125</v>
      </c>
      <c r="S365" s="460" t="s">
        <v>6126</v>
      </c>
      <c r="T365" s="460" t="s">
        <v>6174</v>
      </c>
      <c r="U365" s="477"/>
      <c r="V365" s="422"/>
      <c r="W365" s="422"/>
      <c r="X365" s="422"/>
      <c r="Y365" s="422"/>
      <c r="Z365" s="422"/>
    </row>
    <row r="366" ht="12.75" customHeight="1" spans="1:26">
      <c r="A366" s="422"/>
      <c r="B366" s="423"/>
      <c r="C366" s="444" t="s">
        <v>982</v>
      </c>
      <c r="D366" s="445" t="s">
        <v>74</v>
      </c>
      <c r="E366" s="444"/>
      <c r="F366" s="444" t="s">
        <v>983</v>
      </c>
      <c r="G366" s="445"/>
      <c r="H366" s="446"/>
      <c r="I366" s="446"/>
      <c r="J366" s="466"/>
      <c r="K366" s="466">
        <f>SUM(K367,K422)</f>
        <v>436263.4</v>
      </c>
      <c r="L366" s="466">
        <f>SUM(L367,L422)</f>
        <v>547398.31</v>
      </c>
      <c r="M366" s="467" t="e">
        <f t="shared" si="91"/>
        <v>#N/A</v>
      </c>
      <c r="N366" s="517"/>
      <c r="O366" s="518"/>
      <c r="P366" s="518"/>
      <c r="Q366" s="518"/>
      <c r="R366" s="518"/>
      <c r="S366" s="518"/>
      <c r="T366" s="518"/>
      <c r="U366" s="519"/>
      <c r="V366" s="422"/>
      <c r="W366" s="422"/>
      <c r="X366" s="422"/>
      <c r="Y366" s="422"/>
      <c r="Z366" s="422"/>
    </row>
    <row r="367" ht="12.75" customHeight="1" spans="1:26">
      <c r="A367" s="422"/>
      <c r="B367" s="423" t="str">
        <f>C367</f>
        <v> 12.1.1 </v>
      </c>
      <c r="C367" s="488" t="s">
        <v>984</v>
      </c>
      <c r="D367" s="489" t="s">
        <v>74</v>
      </c>
      <c r="E367" s="488"/>
      <c r="F367" s="488" t="s">
        <v>985</v>
      </c>
      <c r="G367" s="489"/>
      <c r="H367" s="490"/>
      <c r="I367" s="490"/>
      <c r="J367" s="490"/>
      <c r="K367" s="490">
        <f>SUMIF(A:A,B367,K:K)</f>
        <v>269799.44</v>
      </c>
      <c r="L367" s="490">
        <f>SUMIF(A:A,C367,L:L)</f>
        <v>338513.78</v>
      </c>
      <c r="M367" s="496" t="e">
        <f t="shared" si="91"/>
        <v>#N/A</v>
      </c>
      <c r="N367" s="464"/>
      <c r="O367" s="465"/>
      <c r="P367" s="465"/>
      <c r="Q367" s="465"/>
      <c r="R367" s="465"/>
      <c r="S367" s="465"/>
      <c r="T367" s="465"/>
      <c r="U367" s="479"/>
      <c r="V367" s="422"/>
      <c r="W367" s="422"/>
      <c r="X367" s="422"/>
      <c r="Y367" s="422"/>
      <c r="Z367" s="422"/>
    </row>
    <row r="368" ht="45.75" customHeight="1" spans="1:26">
      <c r="A368" s="422" t="str">
        <f t="shared" ref="A368:A421" si="106">B368</f>
        <v> 12.1.1 </v>
      </c>
      <c r="B368" s="423" t="str">
        <f t="shared" ref="B368:B421" si="107">B367</f>
        <v> 12.1.1 </v>
      </c>
      <c r="C368" s="441" t="s">
        <v>986</v>
      </c>
      <c r="D368" s="442" t="s">
        <v>987</v>
      </c>
      <c r="E368" s="441" t="s">
        <v>132</v>
      </c>
      <c r="F368" s="441" t="s">
        <v>988</v>
      </c>
      <c r="G368" s="442" t="s">
        <v>204</v>
      </c>
      <c r="H368" s="443">
        <f t="shared" ref="H368:H421" si="108">SUM(N368:T368)</f>
        <v>68</v>
      </c>
      <c r="I368" s="443">
        <f>VLOOKUP(D368,'Orçamento Analitico'!D:L,9,FALSE())</f>
        <v>26.96</v>
      </c>
      <c r="J368" s="443">
        <f t="shared" ref="J368:J421" si="109">ROUNDDOWN(I368*(1+$G$6),2)</f>
        <v>33.83</v>
      </c>
      <c r="K368" s="443">
        <f t="shared" ref="K368:K421" si="110">ROUNDDOWN(H368*I368,2)</f>
        <v>1833.28</v>
      </c>
      <c r="L368" s="443">
        <f t="shared" ref="L368:L421" si="111">ROUNDDOWN(H368*J368,2)</f>
        <v>2300.44</v>
      </c>
      <c r="M368" s="461" t="e">
        <f t="shared" si="91"/>
        <v>#N/A</v>
      </c>
      <c r="N368" s="464"/>
      <c r="O368" s="465"/>
      <c r="P368" s="465">
        <v>0</v>
      </c>
      <c r="Q368" s="465"/>
      <c r="R368" s="465">
        <v>68</v>
      </c>
      <c r="S368" s="465"/>
      <c r="T368" s="465"/>
      <c r="U368" s="479"/>
      <c r="V368" s="422"/>
      <c r="W368" s="422"/>
      <c r="X368" s="422"/>
      <c r="Y368" s="422"/>
      <c r="Z368" s="422"/>
    </row>
    <row r="369" ht="45.75" customHeight="1" spans="1:26">
      <c r="A369" s="422" t="str">
        <f t="shared" si="106"/>
        <v> 12.1.1 </v>
      </c>
      <c r="B369" s="423" t="str">
        <f t="shared" si="107"/>
        <v> 12.1.1 </v>
      </c>
      <c r="C369" s="441" t="s">
        <v>989</v>
      </c>
      <c r="D369" s="442" t="s">
        <v>990</v>
      </c>
      <c r="E369" s="441" t="s">
        <v>132</v>
      </c>
      <c r="F369" s="441" t="s">
        <v>991</v>
      </c>
      <c r="G369" s="442" t="s">
        <v>204</v>
      </c>
      <c r="H369" s="443">
        <f t="shared" si="108"/>
        <v>182</v>
      </c>
      <c r="I369" s="443">
        <f>VLOOKUP(D369,'Orçamento Analitico'!D:L,9,FALSE())</f>
        <v>26.96</v>
      </c>
      <c r="J369" s="443">
        <f t="shared" si="109"/>
        <v>33.83</v>
      </c>
      <c r="K369" s="443">
        <f t="shared" si="110"/>
        <v>4906.72</v>
      </c>
      <c r="L369" s="443">
        <f t="shared" si="111"/>
        <v>6157.06</v>
      </c>
      <c r="M369" s="461" t="e">
        <f t="shared" si="91"/>
        <v>#N/A</v>
      </c>
      <c r="N369" s="464"/>
      <c r="O369" s="465"/>
      <c r="P369" s="465">
        <v>0</v>
      </c>
      <c r="Q369" s="465">
        <f>60+27+7+4+6+6</f>
        <v>110</v>
      </c>
      <c r="R369" s="465">
        <v>72</v>
      </c>
      <c r="S369" s="465"/>
      <c r="T369" s="465"/>
      <c r="U369" s="479"/>
      <c r="V369" s="422"/>
      <c r="W369" s="422"/>
      <c r="X369" s="422"/>
      <c r="Y369" s="422"/>
      <c r="Z369" s="422"/>
    </row>
    <row r="370" ht="45.75" customHeight="1" spans="1:26">
      <c r="A370" s="422" t="str">
        <f t="shared" si="106"/>
        <v> 12.1.1 </v>
      </c>
      <c r="B370" s="423" t="str">
        <f t="shared" si="107"/>
        <v> 12.1.1 </v>
      </c>
      <c r="C370" s="441" t="s">
        <v>992</v>
      </c>
      <c r="D370" s="442" t="s">
        <v>993</v>
      </c>
      <c r="E370" s="441" t="s">
        <v>132</v>
      </c>
      <c r="F370" s="441" t="s">
        <v>994</v>
      </c>
      <c r="G370" s="442" t="s">
        <v>204</v>
      </c>
      <c r="H370" s="443">
        <f t="shared" si="108"/>
        <v>21</v>
      </c>
      <c r="I370" s="443">
        <f>VLOOKUP(D370,'Orçamento Analitico'!D:L,9,FALSE())</f>
        <v>26.96</v>
      </c>
      <c r="J370" s="443">
        <f t="shared" si="109"/>
        <v>33.83</v>
      </c>
      <c r="K370" s="443">
        <f t="shared" si="110"/>
        <v>566.16</v>
      </c>
      <c r="L370" s="443">
        <f t="shared" si="111"/>
        <v>710.43</v>
      </c>
      <c r="M370" s="461" t="e">
        <f t="shared" si="91"/>
        <v>#N/A</v>
      </c>
      <c r="N370" s="464"/>
      <c r="O370" s="465"/>
      <c r="P370" s="465"/>
      <c r="Q370" s="465"/>
      <c r="R370" s="465">
        <v>21</v>
      </c>
      <c r="S370" s="465"/>
      <c r="T370" s="465"/>
      <c r="U370" s="479"/>
      <c r="V370" s="422"/>
      <c r="W370" s="422"/>
      <c r="X370" s="422"/>
      <c r="Y370" s="422"/>
      <c r="Z370" s="422"/>
    </row>
    <row r="371" ht="45.75" customHeight="1" spans="1:26">
      <c r="A371" s="422" t="str">
        <f t="shared" si="106"/>
        <v> 12.1.1 </v>
      </c>
      <c r="B371" s="423" t="str">
        <f t="shared" si="107"/>
        <v> 12.1.1 </v>
      </c>
      <c r="C371" s="441" t="s">
        <v>995</v>
      </c>
      <c r="D371" s="442" t="s">
        <v>996</v>
      </c>
      <c r="E371" s="441" t="s">
        <v>132</v>
      </c>
      <c r="F371" s="441" t="s">
        <v>997</v>
      </c>
      <c r="G371" s="442" t="s">
        <v>204</v>
      </c>
      <c r="H371" s="443">
        <f t="shared" si="108"/>
        <v>344</v>
      </c>
      <c r="I371" s="443">
        <f>VLOOKUP(D371,'Orçamento Analitico'!D:L,9,FALSE())</f>
        <v>78.73</v>
      </c>
      <c r="J371" s="443">
        <f t="shared" si="109"/>
        <v>98.79</v>
      </c>
      <c r="K371" s="443">
        <f t="shared" si="110"/>
        <v>27083.12</v>
      </c>
      <c r="L371" s="443">
        <f t="shared" si="111"/>
        <v>33983.76</v>
      </c>
      <c r="M371" s="461" t="e">
        <f t="shared" si="91"/>
        <v>#N/A</v>
      </c>
      <c r="N371" s="464">
        <f>88+88+50+50</f>
        <v>276</v>
      </c>
      <c r="O371" s="465"/>
      <c r="P371" s="465">
        <v>0</v>
      </c>
      <c r="Q371" s="465"/>
      <c r="R371" s="465">
        <v>68</v>
      </c>
      <c r="S371" s="465"/>
      <c r="T371" s="465"/>
      <c r="U371" s="479"/>
      <c r="V371" s="422"/>
      <c r="W371" s="422"/>
      <c r="X371" s="422"/>
      <c r="Y371" s="422"/>
      <c r="Z371" s="422"/>
    </row>
    <row r="372" ht="45.75" customHeight="1" spans="1:26">
      <c r="A372" s="422" t="str">
        <f t="shared" si="106"/>
        <v> 12.1.1 </v>
      </c>
      <c r="B372" s="423" t="str">
        <f t="shared" si="107"/>
        <v> 12.1.1 </v>
      </c>
      <c r="C372" s="441" t="s">
        <v>998</v>
      </c>
      <c r="D372" s="442" t="s">
        <v>999</v>
      </c>
      <c r="E372" s="441" t="s">
        <v>132</v>
      </c>
      <c r="F372" s="441" t="s">
        <v>1000</v>
      </c>
      <c r="G372" s="442" t="s">
        <v>204</v>
      </c>
      <c r="H372" s="443">
        <f t="shared" si="108"/>
        <v>182</v>
      </c>
      <c r="I372" s="443">
        <f>VLOOKUP(D372,'Orçamento Analitico'!D:L,9,FALSE())</f>
        <v>79.66</v>
      </c>
      <c r="J372" s="443">
        <f t="shared" si="109"/>
        <v>99.96</v>
      </c>
      <c r="K372" s="443">
        <f t="shared" si="110"/>
        <v>14498.12</v>
      </c>
      <c r="L372" s="443">
        <f t="shared" si="111"/>
        <v>18192.72</v>
      </c>
      <c r="M372" s="461" t="e">
        <f t="shared" si="91"/>
        <v>#N/A</v>
      </c>
      <c r="N372" s="464"/>
      <c r="O372" s="465"/>
      <c r="P372" s="465">
        <v>0</v>
      </c>
      <c r="Q372" s="465">
        <f>60+27+7+4+6+6</f>
        <v>110</v>
      </c>
      <c r="R372" s="465">
        <v>72</v>
      </c>
      <c r="S372" s="465"/>
      <c r="T372" s="465"/>
      <c r="U372" s="479"/>
      <c r="V372" s="422"/>
      <c r="W372" s="422"/>
      <c r="X372" s="422"/>
      <c r="Y372" s="422"/>
      <c r="Z372" s="422"/>
    </row>
    <row r="373" ht="45.75" customHeight="1" spans="1:26">
      <c r="A373" s="422" t="str">
        <f t="shared" si="106"/>
        <v> 12.1.1 </v>
      </c>
      <c r="B373" s="423" t="str">
        <f t="shared" si="107"/>
        <v> 12.1.1 </v>
      </c>
      <c r="C373" s="441" t="s">
        <v>1001</v>
      </c>
      <c r="D373" s="442" t="s">
        <v>1002</v>
      </c>
      <c r="E373" s="441" t="s">
        <v>132</v>
      </c>
      <c r="F373" s="441" t="s">
        <v>1003</v>
      </c>
      <c r="G373" s="442" t="s">
        <v>204</v>
      </c>
      <c r="H373" s="443">
        <f t="shared" si="108"/>
        <v>21</v>
      </c>
      <c r="I373" s="443">
        <f>VLOOKUP(D373,'Orçamento Analitico'!D:L,9,FALSE())</f>
        <v>82.94</v>
      </c>
      <c r="J373" s="443">
        <f t="shared" si="109"/>
        <v>104.08</v>
      </c>
      <c r="K373" s="443">
        <f t="shared" si="110"/>
        <v>1741.74</v>
      </c>
      <c r="L373" s="443">
        <f t="shared" si="111"/>
        <v>2185.68</v>
      </c>
      <c r="M373" s="461" t="e">
        <f t="shared" si="91"/>
        <v>#N/A</v>
      </c>
      <c r="N373" s="464"/>
      <c r="O373" s="465"/>
      <c r="P373" s="465">
        <v>0</v>
      </c>
      <c r="Q373" s="465"/>
      <c r="R373" s="465">
        <v>21</v>
      </c>
      <c r="S373" s="465"/>
      <c r="T373" s="465"/>
      <c r="U373" s="479"/>
      <c r="V373" s="422"/>
      <c r="W373" s="422"/>
      <c r="X373" s="422"/>
      <c r="Y373" s="422"/>
      <c r="Z373" s="422"/>
    </row>
    <row r="374" ht="36.75" customHeight="1" spans="1:26">
      <c r="A374" s="422" t="str">
        <f t="shared" si="106"/>
        <v> 12.1.1 </v>
      </c>
      <c r="B374" s="423" t="str">
        <f t="shared" si="107"/>
        <v> 12.1.1 </v>
      </c>
      <c r="C374" s="441" t="s">
        <v>1004</v>
      </c>
      <c r="D374" s="442" t="s">
        <v>1005</v>
      </c>
      <c r="E374" s="441" t="s">
        <v>149</v>
      </c>
      <c r="F374" s="441" t="s">
        <v>1006</v>
      </c>
      <c r="G374" s="442" t="s">
        <v>204</v>
      </c>
      <c r="H374" s="443">
        <f t="shared" si="108"/>
        <v>16</v>
      </c>
      <c r="I374" s="443">
        <f>VLOOKUP(D374,'Orçamento Analitico'!D:L,9,FALSE())</f>
        <v>135.82</v>
      </c>
      <c r="J374" s="443">
        <f t="shared" si="109"/>
        <v>170.44</v>
      </c>
      <c r="K374" s="443">
        <f t="shared" si="110"/>
        <v>2173.12</v>
      </c>
      <c r="L374" s="443">
        <f t="shared" si="111"/>
        <v>2727.04</v>
      </c>
      <c r="M374" s="461" t="e">
        <f t="shared" si="91"/>
        <v>#N/A</v>
      </c>
      <c r="N374" s="464"/>
      <c r="O374" s="465"/>
      <c r="P374" s="465"/>
      <c r="Q374" s="465"/>
      <c r="R374" s="465"/>
      <c r="S374" s="465">
        <v>14</v>
      </c>
      <c r="T374" s="465">
        <v>2</v>
      </c>
      <c r="U374" s="479"/>
      <c r="V374" s="422"/>
      <c r="W374" s="422"/>
      <c r="X374" s="422"/>
      <c r="Y374" s="422"/>
      <c r="Z374" s="422"/>
    </row>
    <row r="375" ht="36.75" customHeight="1" spans="1:26">
      <c r="A375" s="422" t="str">
        <f t="shared" si="106"/>
        <v> 12.1.1 </v>
      </c>
      <c r="B375" s="423" t="str">
        <f t="shared" si="107"/>
        <v> 12.1.1 </v>
      </c>
      <c r="C375" s="441" t="s">
        <v>1007</v>
      </c>
      <c r="D375" s="442" t="s">
        <v>1008</v>
      </c>
      <c r="E375" s="441" t="s">
        <v>149</v>
      </c>
      <c r="F375" s="441" t="s">
        <v>1009</v>
      </c>
      <c r="G375" s="442" t="s">
        <v>204</v>
      </c>
      <c r="H375" s="443">
        <f t="shared" si="108"/>
        <v>10</v>
      </c>
      <c r="I375" s="443">
        <f>VLOOKUP(D375,'Orçamento Analitico'!D:L,9,FALSE())</f>
        <v>142.61</v>
      </c>
      <c r="J375" s="443">
        <f t="shared" si="109"/>
        <v>178.96</v>
      </c>
      <c r="K375" s="443">
        <f t="shared" si="110"/>
        <v>1426.1</v>
      </c>
      <c r="L375" s="443">
        <f t="shared" si="111"/>
        <v>1789.6</v>
      </c>
      <c r="M375" s="461" t="e">
        <f t="shared" si="91"/>
        <v>#N/A</v>
      </c>
      <c r="N375" s="464"/>
      <c r="O375" s="465"/>
      <c r="P375" s="465"/>
      <c r="Q375" s="465"/>
      <c r="R375" s="465"/>
      <c r="S375" s="465">
        <v>10</v>
      </c>
      <c r="T375" s="465"/>
      <c r="U375" s="479"/>
      <c r="V375" s="422"/>
      <c r="W375" s="422"/>
      <c r="X375" s="422"/>
      <c r="Y375" s="422"/>
      <c r="Z375" s="422"/>
    </row>
    <row r="376" ht="36.75" customHeight="1" spans="1:26">
      <c r="A376" s="422" t="str">
        <f t="shared" si="106"/>
        <v> 12.1.1 </v>
      </c>
      <c r="B376" s="423" t="str">
        <f t="shared" si="107"/>
        <v> 12.1.1 </v>
      </c>
      <c r="C376" s="441" t="s">
        <v>1010</v>
      </c>
      <c r="D376" s="442" t="s">
        <v>1011</v>
      </c>
      <c r="E376" s="441" t="s">
        <v>149</v>
      </c>
      <c r="F376" s="441" t="s">
        <v>1012</v>
      </c>
      <c r="G376" s="442" t="s">
        <v>204</v>
      </c>
      <c r="H376" s="443">
        <f t="shared" si="108"/>
        <v>61</v>
      </c>
      <c r="I376" s="443">
        <f>VLOOKUP(D376,'Orçamento Analitico'!D:L,9,FALSE())</f>
        <v>162.43</v>
      </c>
      <c r="J376" s="443">
        <f t="shared" si="109"/>
        <v>203.83</v>
      </c>
      <c r="K376" s="443">
        <f t="shared" si="110"/>
        <v>9908.23</v>
      </c>
      <c r="L376" s="443">
        <f t="shared" si="111"/>
        <v>12433.63</v>
      </c>
      <c r="M376" s="461" t="e">
        <f t="shared" si="91"/>
        <v>#N/A</v>
      </c>
      <c r="N376" s="464"/>
      <c r="O376" s="465"/>
      <c r="P376" s="465"/>
      <c r="Q376" s="465"/>
      <c r="R376" s="465"/>
      <c r="S376" s="465">
        <v>28</v>
      </c>
      <c r="T376" s="465">
        <v>33</v>
      </c>
      <c r="U376" s="479"/>
      <c r="V376" s="422"/>
      <c r="W376" s="422"/>
      <c r="X376" s="422"/>
      <c r="Y376" s="422"/>
      <c r="Z376" s="422"/>
    </row>
    <row r="377" ht="36.75" customHeight="1" spans="1:26">
      <c r="A377" s="422" t="str">
        <f t="shared" si="106"/>
        <v> 12.1.1 </v>
      </c>
      <c r="B377" s="423" t="str">
        <f t="shared" si="107"/>
        <v> 12.1.1 </v>
      </c>
      <c r="C377" s="441" t="s">
        <v>1013</v>
      </c>
      <c r="D377" s="442" t="s">
        <v>1014</v>
      </c>
      <c r="E377" s="441" t="s">
        <v>132</v>
      </c>
      <c r="F377" s="441" t="s">
        <v>1015</v>
      </c>
      <c r="G377" s="442" t="s">
        <v>134</v>
      </c>
      <c r="H377" s="443">
        <f t="shared" si="108"/>
        <v>1</v>
      </c>
      <c r="I377" s="443">
        <f>VLOOKUP(D377,'Orçamento Analitico'!D:L,9,FALSE())</f>
        <v>121.99</v>
      </c>
      <c r="J377" s="443">
        <f t="shared" si="109"/>
        <v>153.08</v>
      </c>
      <c r="K377" s="443">
        <f t="shared" si="110"/>
        <v>121.99</v>
      </c>
      <c r="L377" s="443">
        <f t="shared" si="111"/>
        <v>153.08</v>
      </c>
      <c r="M377" s="461" t="e">
        <f t="shared" si="91"/>
        <v>#N/A</v>
      </c>
      <c r="N377" s="464"/>
      <c r="O377" s="465"/>
      <c r="P377" s="465"/>
      <c r="Q377" s="465"/>
      <c r="R377" s="465"/>
      <c r="S377" s="465"/>
      <c r="T377" s="465">
        <v>1</v>
      </c>
      <c r="U377" s="479"/>
      <c r="V377" s="422"/>
      <c r="W377" s="422"/>
      <c r="X377" s="422"/>
      <c r="Y377" s="422"/>
      <c r="Z377" s="422"/>
    </row>
    <row r="378" ht="36.75" customHeight="1" spans="1:26">
      <c r="A378" s="422" t="str">
        <f t="shared" si="106"/>
        <v> 12.1.1 </v>
      </c>
      <c r="B378" s="423" t="str">
        <f t="shared" si="107"/>
        <v> 12.1.1 </v>
      </c>
      <c r="C378" s="441" t="s">
        <v>1016</v>
      </c>
      <c r="D378" s="442" t="s">
        <v>1017</v>
      </c>
      <c r="E378" s="441" t="s">
        <v>149</v>
      </c>
      <c r="F378" s="441" t="s">
        <v>1018</v>
      </c>
      <c r="G378" s="442" t="s">
        <v>134</v>
      </c>
      <c r="H378" s="443">
        <f t="shared" si="108"/>
        <v>7</v>
      </c>
      <c r="I378" s="443">
        <f>VLOOKUP(D378,'Orçamento Analitico'!D:L,9,FALSE())</f>
        <v>256.68</v>
      </c>
      <c r="J378" s="443">
        <f t="shared" si="109"/>
        <v>322.1</v>
      </c>
      <c r="K378" s="443">
        <f t="shared" si="110"/>
        <v>1796.76</v>
      </c>
      <c r="L378" s="443">
        <f t="shared" si="111"/>
        <v>2254.7</v>
      </c>
      <c r="M378" s="461" t="e">
        <f t="shared" si="91"/>
        <v>#N/A</v>
      </c>
      <c r="N378" s="464"/>
      <c r="O378" s="465"/>
      <c r="P378" s="465"/>
      <c r="Q378" s="465"/>
      <c r="R378" s="465"/>
      <c r="S378" s="465">
        <v>5</v>
      </c>
      <c r="T378" s="465">
        <v>2</v>
      </c>
      <c r="U378" s="479"/>
      <c r="V378" s="422"/>
      <c r="W378" s="422"/>
      <c r="X378" s="422"/>
      <c r="Y378" s="422"/>
      <c r="Z378" s="422"/>
    </row>
    <row r="379" ht="36.75" customHeight="1" spans="1:26">
      <c r="A379" s="422" t="str">
        <f t="shared" si="106"/>
        <v> 12.1.1 </v>
      </c>
      <c r="B379" s="423" t="str">
        <f t="shared" si="107"/>
        <v> 12.1.1 </v>
      </c>
      <c r="C379" s="441" t="s">
        <v>1019</v>
      </c>
      <c r="D379" s="442" t="s">
        <v>1020</v>
      </c>
      <c r="E379" s="441" t="s">
        <v>132</v>
      </c>
      <c r="F379" s="441" t="s">
        <v>1021</v>
      </c>
      <c r="G379" s="442" t="s">
        <v>134</v>
      </c>
      <c r="H379" s="443">
        <f t="shared" si="108"/>
        <v>1</v>
      </c>
      <c r="I379" s="443">
        <f>VLOOKUP(D379,'Orçamento Analitico'!D:L,9,FALSE())</f>
        <v>224.03</v>
      </c>
      <c r="J379" s="443">
        <f t="shared" si="109"/>
        <v>281.13</v>
      </c>
      <c r="K379" s="443">
        <f t="shared" si="110"/>
        <v>224.03</v>
      </c>
      <c r="L379" s="443">
        <f t="shared" si="111"/>
        <v>281.13</v>
      </c>
      <c r="M379" s="461" t="e">
        <f t="shared" si="91"/>
        <v>#N/A</v>
      </c>
      <c r="N379" s="464"/>
      <c r="O379" s="465"/>
      <c r="P379" s="465"/>
      <c r="Q379" s="465"/>
      <c r="R379" s="465"/>
      <c r="S379" s="465"/>
      <c r="T379" s="465">
        <v>1</v>
      </c>
      <c r="U379" s="479"/>
      <c r="V379" s="422"/>
      <c r="W379" s="422"/>
      <c r="X379" s="422"/>
      <c r="Y379" s="422"/>
      <c r="Z379" s="422"/>
    </row>
    <row r="380" ht="36.75" customHeight="1" spans="1:26">
      <c r="A380" s="422" t="str">
        <f t="shared" si="106"/>
        <v> 12.1.1 </v>
      </c>
      <c r="B380" s="423" t="str">
        <f t="shared" si="107"/>
        <v> 12.1.1 </v>
      </c>
      <c r="C380" s="441" t="s">
        <v>1022</v>
      </c>
      <c r="D380" s="442" t="s">
        <v>1023</v>
      </c>
      <c r="E380" s="441" t="s">
        <v>132</v>
      </c>
      <c r="F380" s="441" t="s">
        <v>1024</v>
      </c>
      <c r="G380" s="442" t="s">
        <v>134</v>
      </c>
      <c r="H380" s="443">
        <f t="shared" si="108"/>
        <v>148</v>
      </c>
      <c r="I380" s="443">
        <f>VLOOKUP(D380,'Orçamento Analitico'!D:L,9,FALSE())</f>
        <v>30.58</v>
      </c>
      <c r="J380" s="443">
        <f t="shared" si="109"/>
        <v>38.37</v>
      </c>
      <c r="K380" s="443">
        <f t="shared" si="110"/>
        <v>4525.84</v>
      </c>
      <c r="L380" s="443">
        <f t="shared" si="111"/>
        <v>5678.76</v>
      </c>
      <c r="M380" s="461" t="e">
        <f t="shared" si="91"/>
        <v>#N/A</v>
      </c>
      <c r="N380" s="464"/>
      <c r="O380" s="465"/>
      <c r="P380" s="465"/>
      <c r="Q380" s="465"/>
      <c r="R380" s="465"/>
      <c r="S380" s="465">
        <v>120</v>
      </c>
      <c r="T380" s="465">
        <v>28</v>
      </c>
      <c r="U380" s="479"/>
      <c r="V380" s="422"/>
      <c r="W380" s="422"/>
      <c r="X380" s="422"/>
      <c r="Y380" s="422"/>
      <c r="Z380" s="422"/>
    </row>
    <row r="381" ht="36.75" customHeight="1" spans="1:26">
      <c r="A381" s="422" t="str">
        <f t="shared" si="106"/>
        <v> 12.1.1 </v>
      </c>
      <c r="B381" s="423" t="str">
        <f t="shared" si="107"/>
        <v> 12.1.1 </v>
      </c>
      <c r="C381" s="441" t="s">
        <v>1025</v>
      </c>
      <c r="D381" s="442" t="s">
        <v>1026</v>
      </c>
      <c r="E381" s="441" t="s">
        <v>132</v>
      </c>
      <c r="F381" s="441" t="s">
        <v>1027</v>
      </c>
      <c r="G381" s="442" t="s">
        <v>134</v>
      </c>
      <c r="H381" s="443">
        <f t="shared" si="108"/>
        <v>6</v>
      </c>
      <c r="I381" s="443">
        <f>VLOOKUP(D381,'Orçamento Analitico'!D:L,9,FALSE())</f>
        <v>24.56</v>
      </c>
      <c r="J381" s="443">
        <f t="shared" si="109"/>
        <v>30.82</v>
      </c>
      <c r="K381" s="443">
        <f t="shared" si="110"/>
        <v>147.36</v>
      </c>
      <c r="L381" s="443">
        <f t="shared" si="111"/>
        <v>184.92</v>
      </c>
      <c r="M381" s="461" t="e">
        <f t="shared" si="91"/>
        <v>#N/A</v>
      </c>
      <c r="N381" s="464"/>
      <c r="O381" s="465"/>
      <c r="P381" s="465"/>
      <c r="Q381" s="465"/>
      <c r="R381" s="465"/>
      <c r="S381" s="465">
        <v>6</v>
      </c>
      <c r="T381" s="465"/>
      <c r="U381" s="479"/>
      <c r="V381" s="422"/>
      <c r="W381" s="422"/>
      <c r="X381" s="422"/>
      <c r="Y381" s="422"/>
      <c r="Z381" s="422"/>
    </row>
    <row r="382" ht="36.75" customHeight="1" spans="1:26">
      <c r="A382" s="422" t="str">
        <f t="shared" si="106"/>
        <v> 12.1.1 </v>
      </c>
      <c r="B382" s="423" t="str">
        <f t="shared" si="107"/>
        <v> 12.1.1 </v>
      </c>
      <c r="C382" s="441" t="s">
        <v>1028</v>
      </c>
      <c r="D382" s="442" t="s">
        <v>1029</v>
      </c>
      <c r="E382" s="441" t="s">
        <v>132</v>
      </c>
      <c r="F382" s="441" t="s">
        <v>1030</v>
      </c>
      <c r="G382" s="442" t="s">
        <v>134</v>
      </c>
      <c r="H382" s="443">
        <f t="shared" si="108"/>
        <v>1</v>
      </c>
      <c r="I382" s="443">
        <f>VLOOKUP(D382,'Orçamento Analitico'!D:L,9,FALSE())</f>
        <v>22.6</v>
      </c>
      <c r="J382" s="443">
        <f t="shared" si="109"/>
        <v>28.36</v>
      </c>
      <c r="K382" s="443">
        <f t="shared" si="110"/>
        <v>22.6</v>
      </c>
      <c r="L382" s="443">
        <f t="shared" si="111"/>
        <v>28.36</v>
      </c>
      <c r="M382" s="461" t="e">
        <f t="shared" si="91"/>
        <v>#N/A</v>
      </c>
      <c r="N382" s="464"/>
      <c r="O382" s="465"/>
      <c r="P382" s="465"/>
      <c r="Q382" s="465"/>
      <c r="R382" s="465"/>
      <c r="S382" s="465">
        <v>1</v>
      </c>
      <c r="T382" s="465"/>
      <c r="U382" s="479"/>
      <c r="V382" s="422"/>
      <c r="W382" s="422"/>
      <c r="X382" s="422"/>
      <c r="Y382" s="422"/>
      <c r="Z382" s="422"/>
    </row>
    <row r="383" ht="36.75" customHeight="1" spans="1:26">
      <c r="A383" s="422" t="str">
        <f t="shared" si="106"/>
        <v> 12.1.1 </v>
      </c>
      <c r="B383" s="423" t="str">
        <f t="shared" si="107"/>
        <v> 12.1.1 </v>
      </c>
      <c r="C383" s="441" t="s">
        <v>1031</v>
      </c>
      <c r="D383" s="442" t="s">
        <v>1032</v>
      </c>
      <c r="E383" s="441" t="s">
        <v>132</v>
      </c>
      <c r="F383" s="441" t="s">
        <v>1033</v>
      </c>
      <c r="G383" s="442" t="s">
        <v>134</v>
      </c>
      <c r="H383" s="443">
        <f t="shared" si="108"/>
        <v>1</v>
      </c>
      <c r="I383" s="443">
        <f>VLOOKUP(D383,'Orçamento Analitico'!D:L,9,FALSE())</f>
        <v>19.72</v>
      </c>
      <c r="J383" s="443">
        <f t="shared" si="109"/>
        <v>24.74</v>
      </c>
      <c r="K383" s="443">
        <f t="shared" si="110"/>
        <v>19.72</v>
      </c>
      <c r="L383" s="443">
        <f t="shared" si="111"/>
        <v>24.74</v>
      </c>
      <c r="M383" s="461" t="e">
        <f t="shared" si="91"/>
        <v>#N/A</v>
      </c>
      <c r="N383" s="464"/>
      <c r="O383" s="465"/>
      <c r="P383" s="465"/>
      <c r="Q383" s="465"/>
      <c r="R383" s="465"/>
      <c r="S383" s="465">
        <v>1</v>
      </c>
      <c r="T383" s="465"/>
      <c r="U383" s="479"/>
      <c r="V383" s="422"/>
      <c r="W383" s="422"/>
      <c r="X383" s="422"/>
      <c r="Y383" s="422"/>
      <c r="Z383" s="422"/>
    </row>
    <row r="384" ht="36.75" customHeight="1" spans="1:26">
      <c r="A384" s="422" t="str">
        <f t="shared" si="106"/>
        <v> 12.1.1 </v>
      </c>
      <c r="B384" s="423" t="str">
        <f t="shared" si="107"/>
        <v> 12.1.1 </v>
      </c>
      <c r="C384" s="441" t="s">
        <v>1034</v>
      </c>
      <c r="D384" s="442" t="s">
        <v>1035</v>
      </c>
      <c r="E384" s="441" t="s">
        <v>132</v>
      </c>
      <c r="F384" s="441" t="s">
        <v>1036</v>
      </c>
      <c r="G384" s="442" t="s">
        <v>134</v>
      </c>
      <c r="H384" s="443">
        <f t="shared" si="108"/>
        <v>6</v>
      </c>
      <c r="I384" s="443">
        <f>VLOOKUP(D384,'Orçamento Analitico'!D:L,9,FALSE())</f>
        <v>120.65</v>
      </c>
      <c r="J384" s="443">
        <f t="shared" si="109"/>
        <v>151.4</v>
      </c>
      <c r="K384" s="443">
        <f t="shared" si="110"/>
        <v>723.9</v>
      </c>
      <c r="L384" s="443">
        <f t="shared" si="111"/>
        <v>908.4</v>
      </c>
      <c r="M384" s="461" t="e">
        <f t="shared" si="91"/>
        <v>#N/A</v>
      </c>
      <c r="N384" s="464"/>
      <c r="O384" s="465"/>
      <c r="P384" s="465"/>
      <c r="Q384" s="465"/>
      <c r="R384" s="465"/>
      <c r="S384" s="465">
        <v>6</v>
      </c>
      <c r="T384" s="465"/>
      <c r="U384" s="479"/>
      <c r="V384" s="422"/>
      <c r="W384" s="422"/>
      <c r="X384" s="422"/>
      <c r="Y384" s="422"/>
      <c r="Z384" s="422"/>
    </row>
    <row r="385" ht="36.75" customHeight="1" spans="1:26">
      <c r="A385" s="422" t="str">
        <f t="shared" si="106"/>
        <v> 12.1.1 </v>
      </c>
      <c r="B385" s="423" t="str">
        <f t="shared" si="107"/>
        <v> 12.1.1 </v>
      </c>
      <c r="C385" s="441" t="s">
        <v>1037</v>
      </c>
      <c r="D385" s="442" t="s">
        <v>1038</v>
      </c>
      <c r="E385" s="441" t="s">
        <v>132</v>
      </c>
      <c r="F385" s="441" t="s">
        <v>1039</v>
      </c>
      <c r="G385" s="442" t="s">
        <v>134</v>
      </c>
      <c r="H385" s="443">
        <f t="shared" si="108"/>
        <v>2</v>
      </c>
      <c r="I385" s="443">
        <f>VLOOKUP(D385,'Orçamento Analitico'!D:L,9,FALSE())</f>
        <v>114.65</v>
      </c>
      <c r="J385" s="443">
        <f t="shared" si="109"/>
        <v>143.87</v>
      </c>
      <c r="K385" s="443">
        <f t="shared" si="110"/>
        <v>229.3</v>
      </c>
      <c r="L385" s="443">
        <f t="shared" si="111"/>
        <v>287.74</v>
      </c>
      <c r="M385" s="461" t="e">
        <f t="shared" si="91"/>
        <v>#N/A</v>
      </c>
      <c r="N385" s="464"/>
      <c r="O385" s="465"/>
      <c r="P385" s="465"/>
      <c r="Q385" s="465"/>
      <c r="R385" s="465"/>
      <c r="S385" s="465">
        <v>2</v>
      </c>
      <c r="T385" s="465"/>
      <c r="U385" s="479"/>
      <c r="V385" s="422"/>
      <c r="W385" s="422"/>
      <c r="X385" s="422"/>
      <c r="Y385" s="422"/>
      <c r="Z385" s="422"/>
    </row>
    <row r="386" ht="36.75" customHeight="1" spans="1:26">
      <c r="A386" s="422" t="str">
        <f t="shared" si="106"/>
        <v> 12.1.1 </v>
      </c>
      <c r="B386" s="423" t="str">
        <f t="shared" si="107"/>
        <v> 12.1.1 </v>
      </c>
      <c r="C386" s="441" t="s">
        <v>1040</v>
      </c>
      <c r="D386" s="442" t="s">
        <v>1041</v>
      </c>
      <c r="E386" s="441" t="s">
        <v>132</v>
      </c>
      <c r="F386" s="441" t="s">
        <v>1042</v>
      </c>
      <c r="G386" s="442" t="s">
        <v>134</v>
      </c>
      <c r="H386" s="443">
        <f t="shared" si="108"/>
        <v>1</v>
      </c>
      <c r="I386" s="443">
        <f>VLOOKUP(D386,'Orçamento Analitico'!D:L,9,FALSE())</f>
        <v>108.66</v>
      </c>
      <c r="J386" s="443">
        <f t="shared" si="109"/>
        <v>136.35</v>
      </c>
      <c r="K386" s="443">
        <f t="shared" si="110"/>
        <v>108.66</v>
      </c>
      <c r="L386" s="443">
        <f t="shared" si="111"/>
        <v>136.35</v>
      </c>
      <c r="M386" s="461" t="e">
        <f t="shared" si="91"/>
        <v>#N/A</v>
      </c>
      <c r="N386" s="464"/>
      <c r="O386" s="465"/>
      <c r="P386" s="465"/>
      <c r="Q386" s="465"/>
      <c r="R386" s="465"/>
      <c r="S386" s="465">
        <v>1</v>
      </c>
      <c r="T386" s="465"/>
      <c r="U386" s="479"/>
      <c r="V386" s="422"/>
      <c r="W386" s="422"/>
      <c r="X386" s="422"/>
      <c r="Y386" s="422"/>
      <c r="Z386" s="422"/>
    </row>
    <row r="387" ht="36.75" customHeight="1" spans="1:26">
      <c r="A387" s="422" t="str">
        <f t="shared" si="106"/>
        <v> 12.1.1 </v>
      </c>
      <c r="B387" s="423" t="str">
        <f t="shared" si="107"/>
        <v> 12.1.1 </v>
      </c>
      <c r="C387" s="441" t="s">
        <v>1043</v>
      </c>
      <c r="D387" s="442" t="s">
        <v>1044</v>
      </c>
      <c r="E387" s="441" t="s">
        <v>149</v>
      </c>
      <c r="F387" s="441" t="s">
        <v>1045</v>
      </c>
      <c r="G387" s="442" t="s">
        <v>134</v>
      </c>
      <c r="H387" s="443">
        <f t="shared" si="108"/>
        <v>3</v>
      </c>
      <c r="I387" s="443">
        <f>VLOOKUP(D387,'Orçamento Analitico'!D:L,9,FALSE())</f>
        <v>211.65</v>
      </c>
      <c r="J387" s="443">
        <f t="shared" si="109"/>
        <v>265.59</v>
      </c>
      <c r="K387" s="443">
        <f t="shared" si="110"/>
        <v>634.95</v>
      </c>
      <c r="L387" s="443">
        <f t="shared" si="111"/>
        <v>796.77</v>
      </c>
      <c r="M387" s="461" t="e">
        <f t="shared" si="91"/>
        <v>#N/A</v>
      </c>
      <c r="N387" s="464"/>
      <c r="O387" s="465"/>
      <c r="P387" s="465"/>
      <c r="Q387" s="465"/>
      <c r="R387" s="465"/>
      <c r="S387" s="465">
        <v>3</v>
      </c>
      <c r="T387" s="465"/>
      <c r="U387" s="479"/>
      <c r="V387" s="422"/>
      <c r="W387" s="422"/>
      <c r="X387" s="422"/>
      <c r="Y387" s="422"/>
      <c r="Z387" s="422"/>
    </row>
    <row r="388" ht="36.75" customHeight="1" spans="1:26">
      <c r="A388" s="422" t="str">
        <f t="shared" si="106"/>
        <v> 12.1.1 </v>
      </c>
      <c r="B388" s="423" t="str">
        <f t="shared" si="107"/>
        <v> 12.1.1 </v>
      </c>
      <c r="C388" s="441" t="s">
        <v>1046</v>
      </c>
      <c r="D388" s="442" t="s">
        <v>1047</v>
      </c>
      <c r="E388" s="441" t="s">
        <v>149</v>
      </c>
      <c r="F388" s="441" t="s">
        <v>1048</v>
      </c>
      <c r="G388" s="442" t="s">
        <v>134</v>
      </c>
      <c r="H388" s="443">
        <f t="shared" si="108"/>
        <v>3</v>
      </c>
      <c r="I388" s="443">
        <f>VLOOKUP(D388,'Orçamento Analitico'!D:L,9,FALSE())</f>
        <v>23.71</v>
      </c>
      <c r="J388" s="443">
        <f t="shared" si="109"/>
        <v>29.75</v>
      </c>
      <c r="K388" s="443">
        <f t="shared" si="110"/>
        <v>71.13</v>
      </c>
      <c r="L388" s="443">
        <f t="shared" si="111"/>
        <v>89.25</v>
      </c>
      <c r="M388" s="461" t="e">
        <f t="shared" si="91"/>
        <v>#N/A</v>
      </c>
      <c r="N388" s="464"/>
      <c r="O388" s="465"/>
      <c r="P388" s="465"/>
      <c r="Q388" s="465"/>
      <c r="R388" s="465"/>
      <c r="S388" s="465">
        <v>3</v>
      </c>
      <c r="T388" s="465"/>
      <c r="U388" s="479"/>
      <c r="V388" s="422"/>
      <c r="W388" s="422"/>
      <c r="X388" s="422"/>
      <c r="Y388" s="422"/>
      <c r="Z388" s="422"/>
    </row>
    <row r="389" ht="36.75" customHeight="1" spans="1:26">
      <c r="A389" s="422" t="str">
        <f t="shared" si="106"/>
        <v> 12.1.1 </v>
      </c>
      <c r="B389" s="423" t="str">
        <f t="shared" si="107"/>
        <v> 12.1.1 </v>
      </c>
      <c r="C389" s="441" t="s">
        <v>1049</v>
      </c>
      <c r="D389" s="442" t="s">
        <v>1050</v>
      </c>
      <c r="E389" s="441" t="s">
        <v>149</v>
      </c>
      <c r="F389" s="441" t="s">
        <v>1051</v>
      </c>
      <c r="G389" s="442" t="s">
        <v>134</v>
      </c>
      <c r="H389" s="443">
        <f t="shared" si="108"/>
        <v>3</v>
      </c>
      <c r="I389" s="443">
        <f>VLOOKUP(D389,'Orçamento Analitico'!D:L,9,FALSE())</f>
        <v>165.47</v>
      </c>
      <c r="J389" s="443">
        <f t="shared" si="109"/>
        <v>207.64</v>
      </c>
      <c r="K389" s="443">
        <f t="shared" si="110"/>
        <v>496.41</v>
      </c>
      <c r="L389" s="443">
        <f t="shared" si="111"/>
        <v>622.92</v>
      </c>
      <c r="M389" s="461" t="e">
        <f t="shared" si="91"/>
        <v>#N/A</v>
      </c>
      <c r="N389" s="464"/>
      <c r="O389" s="465"/>
      <c r="P389" s="465"/>
      <c r="Q389" s="465"/>
      <c r="R389" s="465"/>
      <c r="S389" s="465">
        <v>3</v>
      </c>
      <c r="T389" s="465"/>
      <c r="U389" s="479"/>
      <c r="V389" s="422"/>
      <c r="W389" s="422"/>
      <c r="X389" s="422"/>
      <c r="Y389" s="422"/>
      <c r="Z389" s="422"/>
    </row>
    <row r="390" ht="36.75" customHeight="1" spans="1:26">
      <c r="A390" s="422" t="str">
        <f t="shared" si="106"/>
        <v> 12.1.1 </v>
      </c>
      <c r="B390" s="423" t="str">
        <f t="shared" si="107"/>
        <v> 12.1.1 </v>
      </c>
      <c r="C390" s="441" t="s">
        <v>1052</v>
      </c>
      <c r="D390" s="442" t="s">
        <v>1053</v>
      </c>
      <c r="E390" s="441" t="s">
        <v>149</v>
      </c>
      <c r="F390" s="441" t="s">
        <v>1054</v>
      </c>
      <c r="G390" s="442" t="s">
        <v>134</v>
      </c>
      <c r="H390" s="443">
        <f t="shared" si="108"/>
        <v>2</v>
      </c>
      <c r="I390" s="443">
        <f>VLOOKUP(D390,'Orçamento Analitico'!D:L,9,FALSE())</f>
        <v>103.31</v>
      </c>
      <c r="J390" s="443">
        <f t="shared" si="109"/>
        <v>129.64</v>
      </c>
      <c r="K390" s="443">
        <f t="shared" si="110"/>
        <v>206.62</v>
      </c>
      <c r="L390" s="443">
        <f t="shared" si="111"/>
        <v>259.28</v>
      </c>
      <c r="M390" s="461" t="e">
        <f t="shared" si="91"/>
        <v>#N/A</v>
      </c>
      <c r="N390" s="464"/>
      <c r="O390" s="465"/>
      <c r="P390" s="465"/>
      <c r="Q390" s="465"/>
      <c r="R390" s="465"/>
      <c r="S390" s="465">
        <v>2</v>
      </c>
      <c r="T390" s="465"/>
      <c r="U390" s="479"/>
      <c r="V390" s="422"/>
      <c r="W390" s="422"/>
      <c r="X390" s="422"/>
      <c r="Y390" s="422"/>
      <c r="Z390" s="422"/>
    </row>
    <row r="391" ht="36.75" customHeight="1" spans="1:26">
      <c r="A391" s="422" t="str">
        <f t="shared" si="106"/>
        <v> 12.1.1 </v>
      </c>
      <c r="B391" s="423" t="str">
        <f t="shared" si="107"/>
        <v> 12.1.1 </v>
      </c>
      <c r="C391" s="441" t="s">
        <v>1055</v>
      </c>
      <c r="D391" s="442" t="s">
        <v>1056</v>
      </c>
      <c r="E391" s="441" t="s">
        <v>132</v>
      </c>
      <c r="F391" s="441" t="s">
        <v>1057</v>
      </c>
      <c r="G391" s="442" t="s">
        <v>134</v>
      </c>
      <c r="H391" s="443">
        <f t="shared" si="108"/>
        <v>1</v>
      </c>
      <c r="I391" s="443">
        <f>VLOOKUP(D391,'Orçamento Analitico'!D:L,9,FALSE())</f>
        <v>112.71</v>
      </c>
      <c r="J391" s="443">
        <f t="shared" si="109"/>
        <v>141.43</v>
      </c>
      <c r="K391" s="443">
        <f t="shared" si="110"/>
        <v>112.71</v>
      </c>
      <c r="L391" s="443">
        <f t="shared" si="111"/>
        <v>141.43</v>
      </c>
      <c r="M391" s="461" t="e">
        <f t="shared" si="91"/>
        <v>#N/A</v>
      </c>
      <c r="N391" s="464"/>
      <c r="O391" s="465"/>
      <c r="P391" s="465"/>
      <c r="Q391" s="465"/>
      <c r="R391" s="465"/>
      <c r="S391" s="465">
        <v>1</v>
      </c>
      <c r="T391" s="465"/>
      <c r="U391" s="479"/>
      <c r="V391" s="422"/>
      <c r="W391" s="422"/>
      <c r="X391" s="422"/>
      <c r="Y391" s="422"/>
      <c r="Z391" s="422"/>
    </row>
    <row r="392" ht="36.75" customHeight="1" spans="1:26">
      <c r="A392" s="422" t="str">
        <f t="shared" si="106"/>
        <v> 12.1.1 </v>
      </c>
      <c r="B392" s="423" t="str">
        <f t="shared" si="107"/>
        <v> 12.1.1 </v>
      </c>
      <c r="C392" s="441" t="s">
        <v>1058</v>
      </c>
      <c r="D392" s="442" t="s">
        <v>1059</v>
      </c>
      <c r="E392" s="441" t="s">
        <v>132</v>
      </c>
      <c r="F392" s="441" t="s">
        <v>1060</v>
      </c>
      <c r="G392" s="442" t="s">
        <v>204</v>
      </c>
      <c r="H392" s="443">
        <f t="shared" si="108"/>
        <v>57</v>
      </c>
      <c r="I392" s="443">
        <f>VLOOKUP(D392,'Orçamento Analitico'!D:L,9,FALSE())</f>
        <v>15.34</v>
      </c>
      <c r="J392" s="443">
        <f t="shared" si="109"/>
        <v>19.25</v>
      </c>
      <c r="K392" s="443">
        <f t="shared" si="110"/>
        <v>874.38</v>
      </c>
      <c r="L392" s="443">
        <f t="shared" si="111"/>
        <v>1097.25</v>
      </c>
      <c r="M392" s="461" t="e">
        <f t="shared" ref="M392:M455" si="112">K392/$L$1062</f>
        <v>#N/A</v>
      </c>
      <c r="N392" s="464">
        <f t="shared" ref="N392:T392" si="113">TRUNC(SUM(N374:N376)/1.5,0)</f>
        <v>0</v>
      </c>
      <c r="O392" s="465">
        <f t="shared" si="113"/>
        <v>0</v>
      </c>
      <c r="P392" s="465">
        <f t="shared" si="113"/>
        <v>0</v>
      </c>
      <c r="Q392" s="465">
        <f t="shared" si="113"/>
        <v>0</v>
      </c>
      <c r="R392" s="465">
        <f t="shared" si="113"/>
        <v>0</v>
      </c>
      <c r="S392" s="465">
        <f t="shared" si="113"/>
        <v>34</v>
      </c>
      <c r="T392" s="465">
        <f t="shared" si="113"/>
        <v>23</v>
      </c>
      <c r="U392" s="479"/>
      <c r="V392" s="422"/>
      <c r="W392" s="422"/>
      <c r="X392" s="422"/>
      <c r="Y392" s="422"/>
      <c r="Z392" s="422"/>
    </row>
    <row r="393" ht="36.75" customHeight="1" spans="1:26">
      <c r="A393" s="422" t="str">
        <f t="shared" si="106"/>
        <v> 12.1.1 </v>
      </c>
      <c r="B393" s="423" t="str">
        <f t="shared" si="107"/>
        <v> 12.1.1 </v>
      </c>
      <c r="C393" s="441" t="s">
        <v>1061</v>
      </c>
      <c r="D393" s="442" t="s">
        <v>1062</v>
      </c>
      <c r="E393" s="441" t="s">
        <v>149</v>
      </c>
      <c r="F393" s="441" t="s">
        <v>1063</v>
      </c>
      <c r="G393" s="442" t="s">
        <v>134</v>
      </c>
      <c r="H393" s="443">
        <f t="shared" si="108"/>
        <v>57</v>
      </c>
      <c r="I393" s="443">
        <f>VLOOKUP(D393,'Orçamento Analitico'!D:L,9,FALSE())</f>
        <v>36.03</v>
      </c>
      <c r="J393" s="443">
        <f t="shared" si="109"/>
        <v>45.21</v>
      </c>
      <c r="K393" s="443">
        <f t="shared" si="110"/>
        <v>2053.71</v>
      </c>
      <c r="L393" s="443">
        <f t="shared" si="111"/>
        <v>2576.97</v>
      </c>
      <c r="M393" s="461" t="e">
        <f t="shared" si="112"/>
        <v>#N/A</v>
      </c>
      <c r="N393" s="464">
        <f t="shared" ref="N393:T393" si="114">N392</f>
        <v>0</v>
      </c>
      <c r="O393" s="465">
        <f t="shared" si="114"/>
        <v>0</v>
      </c>
      <c r="P393" s="465">
        <f t="shared" si="114"/>
        <v>0</v>
      </c>
      <c r="Q393" s="465">
        <f t="shared" si="114"/>
        <v>0</v>
      </c>
      <c r="R393" s="465">
        <f t="shared" si="114"/>
        <v>0</v>
      </c>
      <c r="S393" s="465">
        <f t="shared" si="114"/>
        <v>34</v>
      </c>
      <c r="T393" s="465">
        <f t="shared" si="114"/>
        <v>23</v>
      </c>
      <c r="U393" s="479"/>
      <c r="V393" s="422"/>
      <c r="W393" s="422"/>
      <c r="X393" s="422"/>
      <c r="Y393" s="422"/>
      <c r="Z393" s="422"/>
    </row>
    <row r="394" ht="36.75" customHeight="1" spans="1:26">
      <c r="A394" s="422" t="str">
        <f t="shared" si="106"/>
        <v> 12.1.1 </v>
      </c>
      <c r="B394" s="423" t="str">
        <f t="shared" si="107"/>
        <v> 12.1.1 </v>
      </c>
      <c r="C394" s="441" t="s">
        <v>1064</v>
      </c>
      <c r="D394" s="442" t="s">
        <v>1065</v>
      </c>
      <c r="E394" s="441" t="s">
        <v>132</v>
      </c>
      <c r="F394" s="441" t="s">
        <v>1066</v>
      </c>
      <c r="G394" s="442" t="s">
        <v>204</v>
      </c>
      <c r="H394" s="443">
        <f t="shared" si="108"/>
        <v>644</v>
      </c>
      <c r="I394" s="443">
        <f>VLOOKUP(D394,'Orçamento Analitico'!D:L,9,FALSE())</f>
        <v>67.42</v>
      </c>
      <c r="J394" s="443">
        <f t="shared" si="109"/>
        <v>84.6</v>
      </c>
      <c r="K394" s="443">
        <f t="shared" si="110"/>
        <v>43418.48</v>
      </c>
      <c r="L394" s="443">
        <f t="shared" si="111"/>
        <v>54482.4</v>
      </c>
      <c r="M394" s="461" t="e">
        <f t="shared" si="112"/>
        <v>#N/A</v>
      </c>
      <c r="N394" s="464"/>
      <c r="O394" s="465"/>
      <c r="P394" s="465">
        <v>0</v>
      </c>
      <c r="Q394" s="465">
        <v>290</v>
      </c>
      <c r="R394" s="465">
        <v>354</v>
      </c>
      <c r="S394" s="465"/>
      <c r="T394" s="465"/>
      <c r="U394" s="479"/>
      <c r="V394" s="422"/>
      <c r="W394" s="422"/>
      <c r="X394" s="422"/>
      <c r="Y394" s="422"/>
      <c r="Z394" s="422"/>
    </row>
    <row r="395" ht="48" customHeight="1" spans="1:26">
      <c r="A395" s="422" t="str">
        <f t="shared" si="106"/>
        <v> 12.1.1 </v>
      </c>
      <c r="B395" s="423" t="str">
        <f t="shared" si="107"/>
        <v> 12.1.1 </v>
      </c>
      <c r="C395" s="441" t="s">
        <v>1067</v>
      </c>
      <c r="D395" s="442" t="s">
        <v>1068</v>
      </c>
      <c r="E395" s="441" t="s">
        <v>132</v>
      </c>
      <c r="F395" s="441" t="s">
        <v>1069</v>
      </c>
      <c r="G395" s="442" t="s">
        <v>204</v>
      </c>
      <c r="H395" s="443">
        <f t="shared" si="108"/>
        <v>644</v>
      </c>
      <c r="I395" s="443">
        <f>VLOOKUP(D395,'Orçamento Analitico'!D:L,9,FALSE())</f>
        <v>26.96</v>
      </c>
      <c r="J395" s="443">
        <f t="shared" si="109"/>
        <v>33.83</v>
      </c>
      <c r="K395" s="443">
        <f t="shared" si="110"/>
        <v>17362.24</v>
      </c>
      <c r="L395" s="443">
        <f t="shared" si="111"/>
        <v>21786.52</v>
      </c>
      <c r="M395" s="461" t="e">
        <f t="shared" si="112"/>
        <v>#N/A</v>
      </c>
      <c r="N395" s="464"/>
      <c r="O395" s="465"/>
      <c r="P395" s="465"/>
      <c r="Q395" s="465">
        <v>290</v>
      </c>
      <c r="R395" s="465">
        <v>354</v>
      </c>
      <c r="S395" s="465"/>
      <c r="T395" s="465"/>
      <c r="U395" s="479"/>
      <c r="V395" s="422"/>
      <c r="W395" s="422"/>
      <c r="X395" s="422"/>
      <c r="Y395" s="422"/>
      <c r="Z395" s="422"/>
    </row>
    <row r="396" ht="48" customHeight="1" spans="1:26">
      <c r="A396" s="422" t="str">
        <f t="shared" si="106"/>
        <v> 12.1.1 </v>
      </c>
      <c r="B396" s="423" t="str">
        <f t="shared" si="107"/>
        <v> 12.1.1 </v>
      </c>
      <c r="C396" s="441" t="s">
        <v>1070</v>
      </c>
      <c r="D396" s="442" t="s">
        <v>1071</v>
      </c>
      <c r="E396" s="441" t="s">
        <v>77</v>
      </c>
      <c r="F396" s="441" t="s">
        <v>1072</v>
      </c>
      <c r="G396" s="442" t="s">
        <v>204</v>
      </c>
      <c r="H396" s="443">
        <f t="shared" si="108"/>
        <v>1141</v>
      </c>
      <c r="I396" s="443">
        <f>VLOOKUP(D396,'Orçamento Analitico'!D:L,9,FALSE())</f>
        <v>17.72</v>
      </c>
      <c r="J396" s="443">
        <f t="shared" si="109"/>
        <v>22.23</v>
      </c>
      <c r="K396" s="443">
        <f t="shared" si="110"/>
        <v>20218.52</v>
      </c>
      <c r="L396" s="443">
        <f t="shared" si="111"/>
        <v>25364.43</v>
      </c>
      <c r="M396" s="461" t="e">
        <f t="shared" si="112"/>
        <v>#N/A</v>
      </c>
      <c r="N396" s="464">
        <v>168</v>
      </c>
      <c r="O396" s="465">
        <v>152</v>
      </c>
      <c r="P396" s="465">
        <v>118</v>
      </c>
      <c r="Q396" s="465">
        <v>344</v>
      </c>
      <c r="R396" s="465">
        <v>324</v>
      </c>
      <c r="S396" s="465">
        <v>35</v>
      </c>
      <c r="T396" s="465"/>
      <c r="U396" s="479"/>
      <c r="V396" s="422"/>
      <c r="W396" s="422"/>
      <c r="X396" s="422"/>
      <c r="Y396" s="422"/>
      <c r="Z396" s="422"/>
    </row>
    <row r="397" ht="48" customHeight="1" spans="1:26">
      <c r="A397" s="422" t="str">
        <f t="shared" si="106"/>
        <v> 12.1.1 </v>
      </c>
      <c r="B397" s="423" t="str">
        <f t="shared" si="107"/>
        <v> 12.1.1 </v>
      </c>
      <c r="C397" s="441" t="s">
        <v>1073</v>
      </c>
      <c r="D397" s="442" t="s">
        <v>1074</v>
      </c>
      <c r="E397" s="441" t="s">
        <v>77</v>
      </c>
      <c r="F397" s="441" t="s">
        <v>1075</v>
      </c>
      <c r="G397" s="442" t="s">
        <v>204</v>
      </c>
      <c r="H397" s="443">
        <f t="shared" si="108"/>
        <v>104</v>
      </c>
      <c r="I397" s="443">
        <f>VLOOKUP(D397,'Orçamento Analitico'!D:L,9,FALSE())</f>
        <v>21.39</v>
      </c>
      <c r="J397" s="443">
        <f t="shared" si="109"/>
        <v>26.84</v>
      </c>
      <c r="K397" s="443">
        <f t="shared" si="110"/>
        <v>2224.56</v>
      </c>
      <c r="L397" s="443">
        <f t="shared" si="111"/>
        <v>2791.36</v>
      </c>
      <c r="M397" s="461" t="e">
        <f t="shared" si="112"/>
        <v>#N/A</v>
      </c>
      <c r="N397" s="464">
        <v>64</v>
      </c>
      <c r="O397" s="465"/>
      <c r="P397" s="465"/>
      <c r="Q397" s="465"/>
      <c r="R397" s="465"/>
      <c r="S397" s="465">
        <v>40</v>
      </c>
      <c r="T397" s="465"/>
      <c r="U397" s="479"/>
      <c r="V397" s="422"/>
      <c r="W397" s="422"/>
      <c r="X397" s="422"/>
      <c r="Y397" s="422"/>
      <c r="Z397" s="422"/>
    </row>
    <row r="398" ht="48" customHeight="1" spans="1:26">
      <c r="A398" s="422" t="str">
        <f t="shared" si="106"/>
        <v> 12.1.1 </v>
      </c>
      <c r="B398" s="423" t="str">
        <f t="shared" si="107"/>
        <v> 12.1.1 </v>
      </c>
      <c r="C398" s="441" t="s">
        <v>1076</v>
      </c>
      <c r="D398" s="442" t="s">
        <v>1077</v>
      </c>
      <c r="E398" s="441" t="s">
        <v>77</v>
      </c>
      <c r="F398" s="441" t="s">
        <v>1078</v>
      </c>
      <c r="G398" s="442" t="s">
        <v>204</v>
      </c>
      <c r="H398" s="443">
        <f t="shared" si="108"/>
        <v>45</v>
      </c>
      <c r="I398" s="443">
        <f>VLOOKUP(D398,'Orçamento Analitico'!D:L,9,FALSE())</f>
        <v>32.26</v>
      </c>
      <c r="J398" s="443">
        <f t="shared" si="109"/>
        <v>40.48</v>
      </c>
      <c r="K398" s="443">
        <f t="shared" si="110"/>
        <v>1451.7</v>
      </c>
      <c r="L398" s="443">
        <f t="shared" si="111"/>
        <v>1821.6</v>
      </c>
      <c r="M398" s="461" t="e">
        <f t="shared" si="112"/>
        <v>#N/A</v>
      </c>
      <c r="N398" s="464">
        <v>40</v>
      </c>
      <c r="O398" s="465"/>
      <c r="P398" s="465"/>
      <c r="Q398" s="465"/>
      <c r="R398" s="465"/>
      <c r="S398" s="465">
        <v>5</v>
      </c>
      <c r="T398" s="465"/>
      <c r="U398" s="479"/>
      <c r="V398" s="422"/>
      <c r="W398" s="422"/>
      <c r="X398" s="422"/>
      <c r="Y398" s="422"/>
      <c r="Z398" s="422"/>
    </row>
    <row r="399" ht="48" customHeight="1" spans="1:26">
      <c r="A399" s="422" t="str">
        <f t="shared" si="106"/>
        <v> 12.1.1 </v>
      </c>
      <c r="B399" s="423" t="str">
        <f t="shared" si="107"/>
        <v> 12.1.1 </v>
      </c>
      <c r="C399" s="441" t="s">
        <v>1079</v>
      </c>
      <c r="D399" s="442" t="s">
        <v>1080</v>
      </c>
      <c r="E399" s="441" t="s">
        <v>77</v>
      </c>
      <c r="F399" s="441" t="s">
        <v>1081</v>
      </c>
      <c r="G399" s="442" t="s">
        <v>204</v>
      </c>
      <c r="H399" s="443">
        <f t="shared" si="108"/>
        <v>19</v>
      </c>
      <c r="I399" s="443">
        <f>VLOOKUP(D399,'Orçamento Analitico'!D:L,9,FALSE())</f>
        <v>40.19</v>
      </c>
      <c r="J399" s="443">
        <f t="shared" si="109"/>
        <v>50.43</v>
      </c>
      <c r="K399" s="443">
        <f t="shared" si="110"/>
        <v>763.61</v>
      </c>
      <c r="L399" s="443">
        <f t="shared" si="111"/>
        <v>958.17</v>
      </c>
      <c r="M399" s="461" t="e">
        <f t="shared" si="112"/>
        <v>#N/A</v>
      </c>
      <c r="N399" s="464"/>
      <c r="O399" s="465"/>
      <c r="P399" s="465"/>
      <c r="Q399" s="465"/>
      <c r="R399" s="465"/>
      <c r="S399" s="465">
        <v>16</v>
      </c>
      <c r="T399" s="465">
        <v>3</v>
      </c>
      <c r="U399" s="479"/>
      <c r="V399" s="422"/>
      <c r="W399" s="422"/>
      <c r="X399" s="422"/>
      <c r="Y399" s="422"/>
      <c r="Z399" s="422"/>
    </row>
    <row r="400" ht="48" customHeight="1" spans="1:26">
      <c r="A400" s="422" t="str">
        <f t="shared" si="106"/>
        <v> 12.1.1 </v>
      </c>
      <c r="B400" s="423" t="str">
        <f t="shared" si="107"/>
        <v> 12.1.1 </v>
      </c>
      <c r="C400" s="441" t="s">
        <v>1082</v>
      </c>
      <c r="D400" s="442" t="s">
        <v>1083</v>
      </c>
      <c r="E400" s="441" t="s">
        <v>77</v>
      </c>
      <c r="F400" s="441" t="s">
        <v>1084</v>
      </c>
      <c r="G400" s="442" t="s">
        <v>204</v>
      </c>
      <c r="H400" s="443">
        <f t="shared" si="108"/>
        <v>3</v>
      </c>
      <c r="I400" s="443">
        <f>VLOOKUP(D400,'Orçamento Analitico'!D:L,9,FALSE())</f>
        <v>111.65</v>
      </c>
      <c r="J400" s="443">
        <f t="shared" si="109"/>
        <v>140.1</v>
      </c>
      <c r="K400" s="443">
        <f t="shared" si="110"/>
        <v>334.95</v>
      </c>
      <c r="L400" s="443">
        <f t="shared" si="111"/>
        <v>420.3</v>
      </c>
      <c r="M400" s="461" t="e">
        <f t="shared" si="112"/>
        <v>#N/A</v>
      </c>
      <c r="N400" s="464"/>
      <c r="O400" s="465"/>
      <c r="P400" s="465"/>
      <c r="Q400" s="465"/>
      <c r="R400" s="465"/>
      <c r="S400" s="465"/>
      <c r="T400" s="465">
        <v>3</v>
      </c>
      <c r="U400" s="479"/>
      <c r="V400" s="422"/>
      <c r="W400" s="422"/>
      <c r="X400" s="422"/>
      <c r="Y400" s="422"/>
      <c r="Z400" s="422"/>
    </row>
    <row r="401" ht="39.75" customHeight="1" spans="1:26">
      <c r="A401" s="422" t="str">
        <f t="shared" si="106"/>
        <v> 12.1.1 </v>
      </c>
      <c r="B401" s="423" t="str">
        <f t="shared" si="107"/>
        <v> 12.1.1 </v>
      </c>
      <c r="C401" s="441" t="s">
        <v>1085</v>
      </c>
      <c r="D401" s="442" t="s">
        <v>1086</v>
      </c>
      <c r="E401" s="441" t="s">
        <v>149</v>
      </c>
      <c r="F401" s="441" t="s">
        <v>1087</v>
      </c>
      <c r="G401" s="442" t="s">
        <v>204</v>
      </c>
      <c r="H401" s="443">
        <f t="shared" si="108"/>
        <v>47</v>
      </c>
      <c r="I401" s="443">
        <f>VLOOKUP(D401,'Orçamento Analitico'!D:L,9,FALSE())</f>
        <v>116.78</v>
      </c>
      <c r="J401" s="443">
        <f t="shared" si="109"/>
        <v>146.54</v>
      </c>
      <c r="K401" s="443">
        <f t="shared" si="110"/>
        <v>5488.66</v>
      </c>
      <c r="L401" s="443">
        <f t="shared" si="111"/>
        <v>6887.38</v>
      </c>
      <c r="M401" s="461" t="e">
        <f t="shared" si="112"/>
        <v>#N/A</v>
      </c>
      <c r="N401" s="464">
        <v>1</v>
      </c>
      <c r="O401" s="465">
        <v>1</v>
      </c>
      <c r="P401" s="465">
        <v>1</v>
      </c>
      <c r="Q401" s="465">
        <v>21</v>
      </c>
      <c r="R401" s="465">
        <v>21</v>
      </c>
      <c r="S401" s="465"/>
      <c r="T401" s="465">
        <v>2</v>
      </c>
      <c r="U401" s="479"/>
      <c r="V401" s="422"/>
      <c r="W401" s="422"/>
      <c r="X401" s="422"/>
      <c r="Y401" s="422"/>
      <c r="Z401" s="422"/>
    </row>
    <row r="402" ht="39.75" customHeight="1" spans="1:26">
      <c r="A402" s="422" t="str">
        <f t="shared" si="106"/>
        <v> 12.1.1 </v>
      </c>
      <c r="B402" s="423" t="str">
        <f t="shared" si="107"/>
        <v> 12.1.1 </v>
      </c>
      <c r="C402" s="441" t="s">
        <v>1088</v>
      </c>
      <c r="D402" s="442" t="s">
        <v>1089</v>
      </c>
      <c r="E402" s="441" t="s">
        <v>132</v>
      </c>
      <c r="F402" s="441" t="s">
        <v>1090</v>
      </c>
      <c r="G402" s="442" t="s">
        <v>204</v>
      </c>
      <c r="H402" s="443">
        <f t="shared" si="108"/>
        <v>2</v>
      </c>
      <c r="I402" s="443">
        <f>VLOOKUP(D402,'Orçamento Analitico'!D:L,9,FALSE())</f>
        <v>245.64</v>
      </c>
      <c r="J402" s="443">
        <f t="shared" si="109"/>
        <v>308.25</v>
      </c>
      <c r="K402" s="443">
        <f t="shared" si="110"/>
        <v>491.28</v>
      </c>
      <c r="L402" s="443">
        <f t="shared" si="111"/>
        <v>616.5</v>
      </c>
      <c r="M402" s="461" t="e">
        <f t="shared" si="112"/>
        <v>#N/A</v>
      </c>
      <c r="N402" s="464"/>
      <c r="O402" s="465"/>
      <c r="P402" s="465"/>
      <c r="Q402" s="465"/>
      <c r="R402" s="465"/>
      <c r="S402" s="465"/>
      <c r="T402" s="465">
        <v>2</v>
      </c>
      <c r="U402" s="479"/>
      <c r="V402" s="422"/>
      <c r="W402" s="422"/>
      <c r="X402" s="422"/>
      <c r="Y402" s="422"/>
      <c r="Z402" s="422"/>
    </row>
    <row r="403" ht="39.75" customHeight="1" spans="1:26">
      <c r="A403" s="422" t="str">
        <f t="shared" si="106"/>
        <v> 12.1.1 </v>
      </c>
      <c r="B403" s="423" t="str">
        <f t="shared" si="107"/>
        <v> 12.1.1 </v>
      </c>
      <c r="C403" s="441" t="s">
        <v>1091</v>
      </c>
      <c r="D403" s="442" t="s">
        <v>1092</v>
      </c>
      <c r="E403" s="441" t="s">
        <v>132</v>
      </c>
      <c r="F403" s="441" t="s">
        <v>1093</v>
      </c>
      <c r="G403" s="442" t="s">
        <v>334</v>
      </c>
      <c r="H403" s="443">
        <f t="shared" si="108"/>
        <v>94</v>
      </c>
      <c r="I403" s="443">
        <f>VLOOKUP(D403,'Orçamento Analitico'!D:L,9,FALSE())</f>
        <v>11.71</v>
      </c>
      <c r="J403" s="443">
        <f t="shared" si="109"/>
        <v>14.69</v>
      </c>
      <c r="K403" s="443">
        <f t="shared" si="110"/>
        <v>1100.74</v>
      </c>
      <c r="L403" s="443">
        <f t="shared" si="111"/>
        <v>1380.86</v>
      </c>
      <c r="M403" s="461" t="e">
        <f t="shared" si="112"/>
        <v>#N/A</v>
      </c>
      <c r="N403" s="464">
        <v>2</v>
      </c>
      <c r="O403" s="465">
        <v>2</v>
      </c>
      <c r="P403" s="465">
        <v>2</v>
      </c>
      <c r="Q403" s="465">
        <f>Q401*2</f>
        <v>42</v>
      </c>
      <c r="R403" s="465">
        <f>R401*2</f>
        <v>42</v>
      </c>
      <c r="S403" s="465"/>
      <c r="T403" s="465">
        <v>4</v>
      </c>
      <c r="U403" s="479"/>
      <c r="V403" s="422"/>
      <c r="W403" s="422"/>
      <c r="X403" s="422"/>
      <c r="Y403" s="422"/>
      <c r="Z403" s="422"/>
    </row>
    <row r="404" ht="39.75" customHeight="1" spans="1:26">
      <c r="A404" s="422" t="str">
        <f t="shared" si="106"/>
        <v> 12.1.1 </v>
      </c>
      <c r="B404" s="423" t="str">
        <f t="shared" si="107"/>
        <v> 12.1.1 </v>
      </c>
      <c r="C404" s="441" t="s">
        <v>1094</v>
      </c>
      <c r="D404" s="442" t="s">
        <v>1095</v>
      </c>
      <c r="E404" s="441" t="s">
        <v>132</v>
      </c>
      <c r="F404" s="441" t="s">
        <v>1096</v>
      </c>
      <c r="G404" s="442" t="s">
        <v>334</v>
      </c>
      <c r="H404" s="443">
        <f t="shared" si="108"/>
        <v>4</v>
      </c>
      <c r="I404" s="443">
        <f>VLOOKUP(D404,'Orçamento Analitico'!D:L,9,FALSE())</f>
        <v>51.96</v>
      </c>
      <c r="J404" s="443">
        <f t="shared" si="109"/>
        <v>65.2</v>
      </c>
      <c r="K404" s="443">
        <f t="shared" si="110"/>
        <v>207.84</v>
      </c>
      <c r="L404" s="443">
        <f t="shared" si="111"/>
        <v>260.8</v>
      </c>
      <c r="M404" s="461" t="e">
        <f t="shared" si="112"/>
        <v>#N/A</v>
      </c>
      <c r="N404" s="464"/>
      <c r="O404" s="465"/>
      <c r="P404" s="465"/>
      <c r="Q404" s="465"/>
      <c r="R404" s="465"/>
      <c r="S404" s="465"/>
      <c r="T404" s="465">
        <v>4</v>
      </c>
      <c r="U404" s="479"/>
      <c r="V404" s="422"/>
      <c r="W404" s="422"/>
      <c r="X404" s="422"/>
      <c r="Y404" s="422"/>
      <c r="Z404" s="422"/>
    </row>
    <row r="405" ht="39.75" customHeight="1" spans="1:26">
      <c r="A405" s="422" t="str">
        <f t="shared" si="106"/>
        <v> 12.1.1 </v>
      </c>
      <c r="B405" s="423" t="str">
        <f t="shared" si="107"/>
        <v> 12.1.1 </v>
      </c>
      <c r="C405" s="441" t="s">
        <v>1097</v>
      </c>
      <c r="D405" s="442" t="s">
        <v>1098</v>
      </c>
      <c r="E405" s="441" t="s">
        <v>139</v>
      </c>
      <c r="F405" s="441" t="s">
        <v>1099</v>
      </c>
      <c r="G405" s="442" t="s">
        <v>134</v>
      </c>
      <c r="H405" s="443">
        <f t="shared" si="108"/>
        <v>6</v>
      </c>
      <c r="I405" s="443">
        <f>VLOOKUP(D405,'Orçamento Analitico'!D:L,9,FALSE())</f>
        <v>32.61</v>
      </c>
      <c r="J405" s="443">
        <f t="shared" si="109"/>
        <v>40.92</v>
      </c>
      <c r="K405" s="443">
        <f t="shared" si="110"/>
        <v>195.66</v>
      </c>
      <c r="L405" s="443">
        <f t="shared" si="111"/>
        <v>245.52</v>
      </c>
      <c r="M405" s="461" t="e">
        <f t="shared" si="112"/>
        <v>#N/A</v>
      </c>
      <c r="N405" s="464"/>
      <c r="O405" s="465"/>
      <c r="P405" s="465"/>
      <c r="Q405" s="465"/>
      <c r="R405" s="465">
        <v>6</v>
      </c>
      <c r="S405" s="465"/>
      <c r="T405" s="465"/>
      <c r="U405" s="479"/>
      <c r="V405" s="422"/>
      <c r="W405" s="422"/>
      <c r="X405" s="422"/>
      <c r="Y405" s="422"/>
      <c r="Z405" s="422"/>
    </row>
    <row r="406" ht="39.75" customHeight="1" spans="1:26">
      <c r="A406" s="422" t="str">
        <f t="shared" si="106"/>
        <v> 12.1.1 </v>
      </c>
      <c r="B406" s="423" t="str">
        <f t="shared" si="107"/>
        <v> 12.1.1 </v>
      </c>
      <c r="C406" s="441" t="s">
        <v>1100</v>
      </c>
      <c r="D406" s="442" t="s">
        <v>1101</v>
      </c>
      <c r="E406" s="441" t="s">
        <v>139</v>
      </c>
      <c r="F406" s="441" t="s">
        <v>1102</v>
      </c>
      <c r="G406" s="442" t="s">
        <v>134</v>
      </c>
      <c r="H406" s="443">
        <f t="shared" si="108"/>
        <v>42</v>
      </c>
      <c r="I406" s="443">
        <f>VLOOKUP(D406,'Orçamento Analitico'!D:L,9,FALSE())</f>
        <v>37.88</v>
      </c>
      <c r="J406" s="443">
        <f t="shared" si="109"/>
        <v>47.53</v>
      </c>
      <c r="K406" s="443">
        <f t="shared" si="110"/>
        <v>1590.96</v>
      </c>
      <c r="L406" s="443">
        <f t="shared" si="111"/>
        <v>1996.26</v>
      </c>
      <c r="M406" s="461" t="e">
        <f t="shared" si="112"/>
        <v>#N/A</v>
      </c>
      <c r="N406" s="464">
        <v>16</v>
      </c>
      <c r="O406" s="465"/>
      <c r="P406" s="465"/>
      <c r="Q406" s="465"/>
      <c r="R406" s="465">
        <v>26</v>
      </c>
      <c r="S406" s="465"/>
      <c r="T406" s="465"/>
      <c r="U406" s="479"/>
      <c r="V406" s="422"/>
      <c r="W406" s="422"/>
      <c r="X406" s="422"/>
      <c r="Y406" s="422"/>
      <c r="Z406" s="422"/>
    </row>
    <row r="407" ht="39.75" customHeight="1" spans="1:26">
      <c r="A407" s="422" t="str">
        <f t="shared" si="106"/>
        <v> 12.1.1 </v>
      </c>
      <c r="B407" s="423" t="str">
        <f t="shared" si="107"/>
        <v> 12.1.1 </v>
      </c>
      <c r="C407" s="441" t="s">
        <v>1103</v>
      </c>
      <c r="D407" s="442" t="s">
        <v>1104</v>
      </c>
      <c r="E407" s="441" t="s">
        <v>139</v>
      </c>
      <c r="F407" s="441" t="s">
        <v>1105</v>
      </c>
      <c r="G407" s="442" t="s">
        <v>134</v>
      </c>
      <c r="H407" s="443">
        <f t="shared" si="108"/>
        <v>74</v>
      </c>
      <c r="I407" s="443">
        <f>VLOOKUP(D407,'Orçamento Analitico'!D:L,9,FALSE())</f>
        <v>33.25</v>
      </c>
      <c r="J407" s="443">
        <f t="shared" si="109"/>
        <v>41.72</v>
      </c>
      <c r="K407" s="443">
        <f t="shared" si="110"/>
        <v>2460.5</v>
      </c>
      <c r="L407" s="443">
        <f t="shared" si="111"/>
        <v>3087.28</v>
      </c>
      <c r="M407" s="461" t="e">
        <f t="shared" si="112"/>
        <v>#N/A</v>
      </c>
      <c r="N407" s="464">
        <v>8</v>
      </c>
      <c r="O407" s="465">
        <v>4</v>
      </c>
      <c r="P407" s="465">
        <v>2</v>
      </c>
      <c r="Q407" s="465">
        <v>32</v>
      </c>
      <c r="R407" s="465">
        <v>28</v>
      </c>
      <c r="S407" s="465"/>
      <c r="T407" s="465"/>
      <c r="U407" s="479"/>
      <c r="V407" s="422"/>
      <c r="W407" s="422"/>
      <c r="X407" s="422"/>
      <c r="Y407" s="422"/>
      <c r="Z407" s="422"/>
    </row>
    <row r="408" ht="39.75" customHeight="1" spans="1:26">
      <c r="A408" s="422" t="str">
        <f t="shared" si="106"/>
        <v> 12.1.1 </v>
      </c>
      <c r="B408" s="423" t="str">
        <f t="shared" si="107"/>
        <v> 12.1.1 </v>
      </c>
      <c r="C408" s="441" t="s">
        <v>1106</v>
      </c>
      <c r="D408" s="442" t="s">
        <v>1107</v>
      </c>
      <c r="E408" s="441" t="s">
        <v>139</v>
      </c>
      <c r="F408" s="441" t="s">
        <v>1108</v>
      </c>
      <c r="G408" s="442" t="s">
        <v>134</v>
      </c>
      <c r="H408" s="443">
        <f t="shared" si="108"/>
        <v>4</v>
      </c>
      <c r="I408" s="443">
        <f>VLOOKUP(D408,'Orçamento Analitico'!D:L,9,FALSE())</f>
        <v>44.86</v>
      </c>
      <c r="J408" s="443">
        <f t="shared" si="109"/>
        <v>56.29</v>
      </c>
      <c r="K408" s="443">
        <f t="shared" si="110"/>
        <v>179.44</v>
      </c>
      <c r="L408" s="443">
        <f t="shared" si="111"/>
        <v>225.16</v>
      </c>
      <c r="M408" s="461" t="e">
        <f t="shared" si="112"/>
        <v>#N/A</v>
      </c>
      <c r="N408" s="464"/>
      <c r="O408" s="465"/>
      <c r="P408" s="465"/>
      <c r="Q408" s="465"/>
      <c r="R408" s="465"/>
      <c r="S408" s="465">
        <v>4</v>
      </c>
      <c r="T408" s="465"/>
      <c r="U408" s="479"/>
      <c r="V408" s="422"/>
      <c r="W408" s="422"/>
      <c r="X408" s="422"/>
      <c r="Y408" s="422"/>
      <c r="Z408" s="422"/>
    </row>
    <row r="409" ht="39.75" customHeight="1" spans="1:26">
      <c r="A409" s="422" t="str">
        <f t="shared" si="106"/>
        <v> 12.1.1 </v>
      </c>
      <c r="B409" s="423" t="str">
        <f t="shared" si="107"/>
        <v> 12.1.1 </v>
      </c>
      <c r="C409" s="441" t="s">
        <v>1109</v>
      </c>
      <c r="D409" s="442" t="s">
        <v>1110</v>
      </c>
      <c r="E409" s="441" t="s">
        <v>149</v>
      </c>
      <c r="F409" s="441" t="s">
        <v>1111</v>
      </c>
      <c r="G409" s="442" t="s">
        <v>134</v>
      </c>
      <c r="H409" s="443">
        <f t="shared" si="108"/>
        <v>6</v>
      </c>
      <c r="I409" s="443">
        <f>VLOOKUP(D409,'Orçamento Analitico'!D:L,9,FALSE())</f>
        <v>88.36</v>
      </c>
      <c r="J409" s="443">
        <f t="shared" si="109"/>
        <v>110.88</v>
      </c>
      <c r="K409" s="443">
        <f t="shared" si="110"/>
        <v>530.16</v>
      </c>
      <c r="L409" s="443">
        <f t="shared" si="111"/>
        <v>665.28</v>
      </c>
      <c r="M409" s="461" t="e">
        <f t="shared" si="112"/>
        <v>#N/A</v>
      </c>
      <c r="N409" s="464"/>
      <c r="O409" s="465"/>
      <c r="P409" s="465"/>
      <c r="Q409" s="465"/>
      <c r="R409" s="465"/>
      <c r="S409" s="465">
        <v>4</v>
      </c>
      <c r="T409" s="465">
        <v>2</v>
      </c>
      <c r="U409" s="479"/>
      <c r="V409" s="422"/>
      <c r="W409" s="422"/>
      <c r="X409" s="422"/>
      <c r="Y409" s="422"/>
      <c r="Z409" s="422"/>
    </row>
    <row r="410" ht="39.75" customHeight="1" spans="1:26">
      <c r="A410" s="422" t="str">
        <f t="shared" si="106"/>
        <v> 12.1.1 </v>
      </c>
      <c r="B410" s="423" t="str">
        <f t="shared" si="107"/>
        <v> 12.1.1 </v>
      </c>
      <c r="C410" s="441" t="s">
        <v>1112</v>
      </c>
      <c r="D410" s="442" t="s">
        <v>1113</v>
      </c>
      <c r="E410" s="441" t="s">
        <v>149</v>
      </c>
      <c r="F410" s="441" t="s">
        <v>1114</v>
      </c>
      <c r="G410" s="442" t="s">
        <v>134</v>
      </c>
      <c r="H410" s="443">
        <f t="shared" si="108"/>
        <v>2</v>
      </c>
      <c r="I410" s="443">
        <f>VLOOKUP(D410,'Orçamento Analitico'!D:L,9,FALSE())</f>
        <v>328.13</v>
      </c>
      <c r="J410" s="443">
        <f t="shared" si="109"/>
        <v>411.77</v>
      </c>
      <c r="K410" s="443">
        <f t="shared" si="110"/>
        <v>656.26</v>
      </c>
      <c r="L410" s="443">
        <f t="shared" si="111"/>
        <v>823.54</v>
      </c>
      <c r="M410" s="461" t="e">
        <f t="shared" si="112"/>
        <v>#N/A</v>
      </c>
      <c r="N410" s="464"/>
      <c r="O410" s="465"/>
      <c r="P410" s="465"/>
      <c r="Q410" s="465"/>
      <c r="R410" s="465"/>
      <c r="S410" s="465"/>
      <c r="T410" s="465">
        <v>2</v>
      </c>
      <c r="U410" s="479"/>
      <c r="V410" s="422"/>
      <c r="W410" s="422"/>
      <c r="X410" s="422"/>
      <c r="Y410" s="422"/>
      <c r="Z410" s="422"/>
    </row>
    <row r="411" ht="39.75" customHeight="1" spans="1:26">
      <c r="A411" s="422" t="str">
        <f t="shared" si="106"/>
        <v> 12.1.1 </v>
      </c>
      <c r="B411" s="423" t="str">
        <f t="shared" si="107"/>
        <v> 12.1.1 </v>
      </c>
      <c r="C411" s="441" t="s">
        <v>1115</v>
      </c>
      <c r="D411" s="442" t="s">
        <v>1116</v>
      </c>
      <c r="E411" s="441" t="s">
        <v>139</v>
      </c>
      <c r="F411" s="441" t="s">
        <v>1117</v>
      </c>
      <c r="G411" s="442" t="s">
        <v>134</v>
      </c>
      <c r="H411" s="443">
        <f t="shared" si="108"/>
        <v>171</v>
      </c>
      <c r="I411" s="443">
        <f>VLOOKUP(D411,'Orçamento Analitico'!D:L,9,FALSE())</f>
        <v>36.35</v>
      </c>
      <c r="J411" s="443">
        <f t="shared" si="109"/>
        <v>45.61</v>
      </c>
      <c r="K411" s="443">
        <f t="shared" si="110"/>
        <v>6215.85</v>
      </c>
      <c r="L411" s="443">
        <f t="shared" si="111"/>
        <v>7799.31</v>
      </c>
      <c r="M411" s="461" t="e">
        <f t="shared" si="112"/>
        <v>#N/A</v>
      </c>
      <c r="N411" s="464">
        <v>28</v>
      </c>
      <c r="O411" s="465">
        <v>26</v>
      </c>
      <c r="P411" s="465">
        <v>24</v>
      </c>
      <c r="Q411" s="465">
        <v>40</v>
      </c>
      <c r="R411" s="465">
        <v>45</v>
      </c>
      <c r="S411" s="465">
        <v>8</v>
      </c>
      <c r="T411" s="465"/>
      <c r="U411" s="479"/>
      <c r="V411" s="422"/>
      <c r="W411" s="422"/>
      <c r="X411" s="422"/>
      <c r="Y411" s="422"/>
      <c r="Z411" s="422"/>
    </row>
    <row r="412" ht="39.75" customHeight="1" spans="1:26">
      <c r="A412" s="422" t="str">
        <f t="shared" si="106"/>
        <v> 12.1.1 </v>
      </c>
      <c r="B412" s="423" t="str">
        <f t="shared" si="107"/>
        <v> 12.1.1 </v>
      </c>
      <c r="C412" s="441" t="s">
        <v>1118</v>
      </c>
      <c r="D412" s="442" t="s">
        <v>1119</v>
      </c>
      <c r="E412" s="441" t="s">
        <v>132</v>
      </c>
      <c r="F412" s="441" t="s">
        <v>1120</v>
      </c>
      <c r="G412" s="442" t="s">
        <v>134</v>
      </c>
      <c r="H412" s="443">
        <f t="shared" si="108"/>
        <v>759</v>
      </c>
      <c r="I412" s="443">
        <f>VLOOKUP(D412,'Orçamento Analitico'!D:L,9,FALSE())</f>
        <v>11.38</v>
      </c>
      <c r="J412" s="443">
        <f t="shared" si="109"/>
        <v>14.28</v>
      </c>
      <c r="K412" s="443">
        <f t="shared" si="110"/>
        <v>8637.42</v>
      </c>
      <c r="L412" s="443">
        <f t="shared" si="111"/>
        <v>10838.52</v>
      </c>
      <c r="M412" s="461" t="e">
        <f t="shared" si="112"/>
        <v>#N/A</v>
      </c>
      <c r="N412" s="464">
        <f t="shared" ref="N412:T412" si="115">TRUNC(N396/1.5,0)</f>
        <v>112</v>
      </c>
      <c r="O412" s="465">
        <f t="shared" si="115"/>
        <v>101</v>
      </c>
      <c r="P412" s="465">
        <f t="shared" si="115"/>
        <v>78</v>
      </c>
      <c r="Q412" s="465">
        <f t="shared" si="115"/>
        <v>229</v>
      </c>
      <c r="R412" s="465">
        <f t="shared" si="115"/>
        <v>216</v>
      </c>
      <c r="S412" s="465">
        <f t="shared" si="115"/>
        <v>23</v>
      </c>
      <c r="T412" s="465">
        <f t="shared" si="115"/>
        <v>0</v>
      </c>
      <c r="U412" s="479"/>
      <c r="V412" s="422"/>
      <c r="W412" s="422"/>
      <c r="X412" s="422"/>
      <c r="Y412" s="422"/>
      <c r="Z412" s="422"/>
    </row>
    <row r="413" ht="39.75" customHeight="1" spans="1:26">
      <c r="A413" s="422" t="str">
        <f t="shared" si="106"/>
        <v> 12.1.1 </v>
      </c>
      <c r="B413" s="423" t="str">
        <f t="shared" si="107"/>
        <v> 12.1.1 </v>
      </c>
      <c r="C413" s="441" t="s">
        <v>1121</v>
      </c>
      <c r="D413" s="442" t="s">
        <v>1122</v>
      </c>
      <c r="E413" s="441" t="s">
        <v>132</v>
      </c>
      <c r="F413" s="441" t="s">
        <v>1123</v>
      </c>
      <c r="G413" s="442" t="s">
        <v>134</v>
      </c>
      <c r="H413" s="443">
        <f t="shared" si="108"/>
        <v>68</v>
      </c>
      <c r="I413" s="443">
        <f>VLOOKUP(D413,'Orçamento Analitico'!D:L,9,FALSE())</f>
        <v>11.59</v>
      </c>
      <c r="J413" s="443">
        <f t="shared" si="109"/>
        <v>14.54</v>
      </c>
      <c r="K413" s="443">
        <f t="shared" si="110"/>
        <v>788.12</v>
      </c>
      <c r="L413" s="443">
        <f t="shared" si="111"/>
        <v>988.72</v>
      </c>
      <c r="M413" s="461" t="e">
        <f t="shared" si="112"/>
        <v>#N/A</v>
      </c>
      <c r="N413" s="464">
        <f t="shared" ref="N413:T413" si="116">TRUNC(N397/1.5,0)</f>
        <v>42</v>
      </c>
      <c r="O413" s="465">
        <f t="shared" si="116"/>
        <v>0</v>
      </c>
      <c r="P413" s="465">
        <f t="shared" si="116"/>
        <v>0</v>
      </c>
      <c r="Q413" s="465">
        <f t="shared" si="116"/>
        <v>0</v>
      </c>
      <c r="R413" s="465">
        <f t="shared" si="116"/>
        <v>0</v>
      </c>
      <c r="S413" s="465">
        <f t="shared" si="116"/>
        <v>26</v>
      </c>
      <c r="T413" s="465">
        <f t="shared" si="116"/>
        <v>0</v>
      </c>
      <c r="U413" s="479"/>
      <c r="V413" s="422"/>
      <c r="W413" s="422"/>
      <c r="X413" s="422"/>
      <c r="Y413" s="422"/>
      <c r="Z413" s="422"/>
    </row>
    <row r="414" ht="39.75" customHeight="1" spans="1:26">
      <c r="A414" s="422" t="str">
        <f t="shared" si="106"/>
        <v> 12.1.1 </v>
      </c>
      <c r="B414" s="423" t="str">
        <f t="shared" si="107"/>
        <v> 12.1.1 </v>
      </c>
      <c r="C414" s="441" t="s">
        <v>1124</v>
      </c>
      <c r="D414" s="442" t="s">
        <v>1125</v>
      </c>
      <c r="E414" s="441" t="s">
        <v>132</v>
      </c>
      <c r="F414" s="441" t="s">
        <v>1126</v>
      </c>
      <c r="G414" s="442" t="s">
        <v>134</v>
      </c>
      <c r="H414" s="443">
        <f t="shared" si="108"/>
        <v>29</v>
      </c>
      <c r="I414" s="443">
        <f>VLOOKUP(D414,'Orçamento Analitico'!D:L,9,FALSE())</f>
        <v>13.99</v>
      </c>
      <c r="J414" s="443">
        <f t="shared" si="109"/>
        <v>17.55</v>
      </c>
      <c r="K414" s="443">
        <f t="shared" si="110"/>
        <v>405.71</v>
      </c>
      <c r="L414" s="443">
        <f t="shared" si="111"/>
        <v>508.95</v>
      </c>
      <c r="M414" s="461" t="e">
        <f t="shared" si="112"/>
        <v>#N/A</v>
      </c>
      <c r="N414" s="464">
        <f t="shared" ref="N414:T414" si="117">TRUNC(N398/1.5,0)</f>
        <v>26</v>
      </c>
      <c r="O414" s="465">
        <f t="shared" si="117"/>
        <v>0</v>
      </c>
      <c r="P414" s="465">
        <f t="shared" si="117"/>
        <v>0</v>
      </c>
      <c r="Q414" s="465">
        <f t="shared" si="117"/>
        <v>0</v>
      </c>
      <c r="R414" s="465">
        <f t="shared" si="117"/>
        <v>0</v>
      </c>
      <c r="S414" s="465">
        <f t="shared" si="117"/>
        <v>3</v>
      </c>
      <c r="T414" s="465">
        <f t="shared" si="117"/>
        <v>0</v>
      </c>
      <c r="U414" s="479"/>
      <c r="V414" s="422"/>
      <c r="W414" s="422"/>
      <c r="X414" s="422"/>
      <c r="Y414" s="422"/>
      <c r="Z414" s="422"/>
    </row>
    <row r="415" ht="39.75" customHeight="1" spans="1:26">
      <c r="A415" s="422" t="str">
        <f t="shared" si="106"/>
        <v> 12.1.1 </v>
      </c>
      <c r="B415" s="423" t="str">
        <f t="shared" si="107"/>
        <v> 12.1.1 </v>
      </c>
      <c r="C415" s="441" t="s">
        <v>1127</v>
      </c>
      <c r="D415" s="442" t="s">
        <v>1128</v>
      </c>
      <c r="E415" s="441" t="s">
        <v>132</v>
      </c>
      <c r="F415" s="441" t="s">
        <v>1129</v>
      </c>
      <c r="G415" s="442" t="s">
        <v>134</v>
      </c>
      <c r="H415" s="443">
        <f t="shared" si="108"/>
        <v>12</v>
      </c>
      <c r="I415" s="443">
        <f>VLOOKUP(D415,'Orçamento Analitico'!D:L,9,FALSE())</f>
        <v>14.27</v>
      </c>
      <c r="J415" s="443">
        <f t="shared" si="109"/>
        <v>17.9</v>
      </c>
      <c r="K415" s="443">
        <f t="shared" si="110"/>
        <v>171.24</v>
      </c>
      <c r="L415" s="443">
        <f t="shared" si="111"/>
        <v>214.8</v>
      </c>
      <c r="M415" s="461" t="e">
        <f t="shared" si="112"/>
        <v>#N/A</v>
      </c>
      <c r="N415" s="464">
        <f t="shared" ref="N415:T415" si="118">TRUNC(N399/1.5,0)</f>
        <v>0</v>
      </c>
      <c r="O415" s="465">
        <f t="shared" si="118"/>
        <v>0</v>
      </c>
      <c r="P415" s="465">
        <f t="shared" si="118"/>
        <v>0</v>
      </c>
      <c r="Q415" s="465">
        <f t="shared" si="118"/>
        <v>0</v>
      </c>
      <c r="R415" s="465">
        <f t="shared" si="118"/>
        <v>0</v>
      </c>
      <c r="S415" s="465">
        <f t="shared" si="118"/>
        <v>10</v>
      </c>
      <c r="T415" s="465">
        <f t="shared" si="118"/>
        <v>2</v>
      </c>
      <c r="U415" s="479"/>
      <c r="V415" s="422"/>
      <c r="W415" s="422"/>
      <c r="X415" s="422"/>
      <c r="Y415" s="422"/>
      <c r="Z415" s="422"/>
    </row>
    <row r="416" ht="39.75" customHeight="1" spans="1:26">
      <c r="A416" s="422" t="str">
        <f t="shared" si="106"/>
        <v> 12.1.1 </v>
      </c>
      <c r="B416" s="423" t="str">
        <f t="shared" si="107"/>
        <v> 12.1.1 </v>
      </c>
      <c r="C416" s="441" t="s">
        <v>1130</v>
      </c>
      <c r="D416" s="442" t="s">
        <v>1131</v>
      </c>
      <c r="E416" s="441" t="s">
        <v>132</v>
      </c>
      <c r="F416" s="441" t="s">
        <v>1132</v>
      </c>
      <c r="G416" s="442" t="s">
        <v>134</v>
      </c>
      <c r="H416" s="443">
        <f t="shared" si="108"/>
        <v>2</v>
      </c>
      <c r="I416" s="443">
        <f>VLOOKUP(D416,'Orçamento Analitico'!D:L,9,FALSE())</f>
        <v>21.47</v>
      </c>
      <c r="J416" s="443">
        <f t="shared" si="109"/>
        <v>26.94</v>
      </c>
      <c r="K416" s="443">
        <f t="shared" si="110"/>
        <v>42.94</v>
      </c>
      <c r="L416" s="443">
        <f t="shared" si="111"/>
        <v>53.88</v>
      </c>
      <c r="M416" s="461" t="e">
        <f t="shared" si="112"/>
        <v>#N/A</v>
      </c>
      <c r="N416" s="464">
        <f t="shared" ref="N416:T416" si="119">TRUNC(N400/1.5,0)</f>
        <v>0</v>
      </c>
      <c r="O416" s="465">
        <f t="shared" si="119"/>
        <v>0</v>
      </c>
      <c r="P416" s="465">
        <f t="shared" si="119"/>
        <v>0</v>
      </c>
      <c r="Q416" s="465">
        <f t="shared" si="119"/>
        <v>0</v>
      </c>
      <c r="R416" s="465">
        <f t="shared" si="119"/>
        <v>0</v>
      </c>
      <c r="S416" s="465">
        <f t="shared" si="119"/>
        <v>0</v>
      </c>
      <c r="T416" s="465">
        <f t="shared" si="119"/>
        <v>2</v>
      </c>
      <c r="U416" s="479"/>
      <c r="V416" s="422"/>
      <c r="W416" s="422"/>
      <c r="X416" s="422"/>
      <c r="Y416" s="422"/>
      <c r="Z416" s="422"/>
    </row>
    <row r="417" ht="39.75" customHeight="1" spans="1:26">
      <c r="A417" s="422" t="str">
        <f t="shared" si="106"/>
        <v> 12.1.1 </v>
      </c>
      <c r="B417" s="423" t="str">
        <f t="shared" si="107"/>
        <v> 12.1.1 </v>
      </c>
      <c r="C417" s="441" t="s">
        <v>1133</v>
      </c>
      <c r="D417" s="442" t="s">
        <v>859</v>
      </c>
      <c r="E417" s="441" t="s">
        <v>132</v>
      </c>
      <c r="F417" s="441" t="s">
        <v>860</v>
      </c>
      <c r="G417" s="442" t="s">
        <v>134</v>
      </c>
      <c r="H417" s="443">
        <f t="shared" si="108"/>
        <v>1041</v>
      </c>
      <c r="I417" s="443">
        <f>VLOOKUP(D417,'Orçamento Analitico'!D:L,9,FALSE())</f>
        <v>25.31</v>
      </c>
      <c r="J417" s="443">
        <f t="shared" si="109"/>
        <v>31.76</v>
      </c>
      <c r="K417" s="443">
        <f t="shared" si="110"/>
        <v>26347.71</v>
      </c>
      <c r="L417" s="443">
        <f t="shared" si="111"/>
        <v>33062.16</v>
      </c>
      <c r="M417" s="461" t="e">
        <f t="shared" si="112"/>
        <v>#N/A</v>
      </c>
      <c r="N417" s="464">
        <f t="shared" ref="N417:T417" si="120">SUM(N411:N416)</f>
        <v>208</v>
      </c>
      <c r="O417" s="465">
        <f t="shared" si="120"/>
        <v>127</v>
      </c>
      <c r="P417" s="465">
        <f t="shared" si="120"/>
        <v>102</v>
      </c>
      <c r="Q417" s="465">
        <f t="shared" si="120"/>
        <v>269</v>
      </c>
      <c r="R417" s="465">
        <f t="shared" si="120"/>
        <v>261</v>
      </c>
      <c r="S417" s="465">
        <f t="shared" si="120"/>
        <v>70</v>
      </c>
      <c r="T417" s="465">
        <f t="shared" si="120"/>
        <v>4</v>
      </c>
      <c r="U417" s="479"/>
      <c r="V417" s="422"/>
      <c r="W417" s="422"/>
      <c r="X417" s="422"/>
      <c r="Y417" s="422"/>
      <c r="Z417" s="422"/>
    </row>
    <row r="418" ht="39.75" customHeight="1" spans="1:26">
      <c r="A418" s="422" t="str">
        <f t="shared" si="106"/>
        <v> 12.1.1 </v>
      </c>
      <c r="B418" s="423" t="str">
        <f t="shared" si="107"/>
        <v> 12.1.1 </v>
      </c>
      <c r="C418" s="510" t="s">
        <v>1134</v>
      </c>
      <c r="D418" s="511" t="s">
        <v>862</v>
      </c>
      <c r="E418" s="510" t="s">
        <v>796</v>
      </c>
      <c r="F418" s="510" t="s">
        <v>863</v>
      </c>
      <c r="G418" s="511" t="s">
        <v>334</v>
      </c>
      <c r="H418" s="512">
        <f t="shared" si="108"/>
        <v>4164</v>
      </c>
      <c r="I418" s="512">
        <f>VLOOKUP(D418,'Orçamento Analitico'!D:L,9,FALSE())</f>
        <v>0.06</v>
      </c>
      <c r="J418" s="512">
        <f t="shared" si="109"/>
        <v>0.07</v>
      </c>
      <c r="K418" s="512">
        <f t="shared" si="110"/>
        <v>249.84</v>
      </c>
      <c r="L418" s="512">
        <f t="shared" si="111"/>
        <v>291.48</v>
      </c>
      <c r="M418" s="513" t="e">
        <f t="shared" si="112"/>
        <v>#N/A</v>
      </c>
      <c r="N418" s="464">
        <f t="shared" ref="N418:T418" si="121">ROUND(N417*4,0)</f>
        <v>832</v>
      </c>
      <c r="O418" s="465">
        <f t="shared" si="121"/>
        <v>508</v>
      </c>
      <c r="P418" s="465">
        <f t="shared" si="121"/>
        <v>408</v>
      </c>
      <c r="Q418" s="465">
        <f t="shared" si="121"/>
        <v>1076</v>
      </c>
      <c r="R418" s="465">
        <f t="shared" si="121"/>
        <v>1044</v>
      </c>
      <c r="S418" s="465">
        <f t="shared" si="121"/>
        <v>280</v>
      </c>
      <c r="T418" s="465">
        <f t="shared" si="121"/>
        <v>16</v>
      </c>
      <c r="U418" s="479"/>
      <c r="V418" s="422"/>
      <c r="W418" s="422"/>
      <c r="X418" s="422"/>
      <c r="Y418" s="422"/>
      <c r="Z418" s="422"/>
    </row>
    <row r="419" ht="39.75" customHeight="1" spans="1:26">
      <c r="A419" s="422" t="str">
        <f t="shared" si="106"/>
        <v> 12.1.1 </v>
      </c>
      <c r="B419" s="423" t="str">
        <f t="shared" si="107"/>
        <v> 12.1.1 </v>
      </c>
      <c r="C419" s="441" t="s">
        <v>1135</v>
      </c>
      <c r="D419" s="442" t="s">
        <v>865</v>
      </c>
      <c r="E419" s="441" t="s">
        <v>132</v>
      </c>
      <c r="F419" s="441" t="s">
        <v>866</v>
      </c>
      <c r="G419" s="442" t="s">
        <v>134</v>
      </c>
      <c r="H419" s="443">
        <f t="shared" si="108"/>
        <v>2082</v>
      </c>
      <c r="I419" s="443">
        <f>VLOOKUP(D419,'Orçamento Analitico'!D:L,9,FALSE())</f>
        <v>0.12</v>
      </c>
      <c r="J419" s="443">
        <f t="shared" si="109"/>
        <v>0.15</v>
      </c>
      <c r="K419" s="443">
        <f t="shared" si="110"/>
        <v>249.84</v>
      </c>
      <c r="L419" s="443">
        <f t="shared" si="111"/>
        <v>312.3</v>
      </c>
      <c r="M419" s="461" t="e">
        <f t="shared" si="112"/>
        <v>#N/A</v>
      </c>
      <c r="N419" s="464">
        <f t="shared" ref="N419:T419" si="122">ROUND(N417*2,0)</f>
        <v>416</v>
      </c>
      <c r="O419" s="465">
        <f t="shared" si="122"/>
        <v>254</v>
      </c>
      <c r="P419" s="465">
        <f t="shared" si="122"/>
        <v>204</v>
      </c>
      <c r="Q419" s="465">
        <f t="shared" si="122"/>
        <v>538</v>
      </c>
      <c r="R419" s="465">
        <f t="shared" si="122"/>
        <v>522</v>
      </c>
      <c r="S419" s="465">
        <f t="shared" si="122"/>
        <v>140</v>
      </c>
      <c r="T419" s="465">
        <f t="shared" si="122"/>
        <v>8</v>
      </c>
      <c r="U419" s="479"/>
      <c r="V419" s="422"/>
      <c r="W419" s="422"/>
      <c r="X419" s="422"/>
      <c r="Y419" s="422"/>
      <c r="Z419" s="422"/>
    </row>
    <row r="420" ht="39.75" customHeight="1" spans="1:26">
      <c r="A420" s="422" t="str">
        <f t="shared" si="106"/>
        <v> 12.1.1 </v>
      </c>
      <c r="B420" s="423" t="str">
        <f t="shared" si="107"/>
        <v> 12.1.1 </v>
      </c>
      <c r="C420" s="441" t="s">
        <v>1136</v>
      </c>
      <c r="D420" s="442" t="s">
        <v>1137</v>
      </c>
      <c r="E420" s="441" t="s">
        <v>132</v>
      </c>
      <c r="F420" s="441" t="s">
        <v>1138</v>
      </c>
      <c r="G420" s="442" t="s">
        <v>134</v>
      </c>
      <c r="H420" s="443">
        <f t="shared" si="108"/>
        <v>421</v>
      </c>
      <c r="I420" s="443">
        <f>VLOOKUP(D420,'Orçamento Analitico'!D:L,9,FALSE())</f>
        <v>55.5</v>
      </c>
      <c r="J420" s="443">
        <f t="shared" si="109"/>
        <v>69.64</v>
      </c>
      <c r="K420" s="443">
        <f t="shared" si="110"/>
        <v>23365.5</v>
      </c>
      <c r="L420" s="443">
        <f t="shared" si="111"/>
        <v>29318.44</v>
      </c>
      <c r="M420" s="461" t="e">
        <f t="shared" si="112"/>
        <v>#N/A</v>
      </c>
      <c r="N420" s="464">
        <v>0</v>
      </c>
      <c r="O420" s="465"/>
      <c r="P420" s="465">
        <v>0</v>
      </c>
      <c r="Q420" s="465">
        <v>249</v>
      </c>
      <c r="R420" s="465">
        <v>172</v>
      </c>
      <c r="S420" s="465"/>
      <c r="T420" s="465"/>
      <c r="U420" s="479"/>
      <c r="V420" s="422"/>
      <c r="W420" s="422"/>
      <c r="X420" s="422"/>
      <c r="Y420" s="422"/>
      <c r="Z420" s="422"/>
    </row>
    <row r="421" ht="39.75" customHeight="1" spans="1:26">
      <c r="A421" s="422" t="str">
        <f t="shared" si="106"/>
        <v> 12.1.1 </v>
      </c>
      <c r="B421" s="423" t="str">
        <f t="shared" si="107"/>
        <v> 12.1.1 </v>
      </c>
      <c r="C421" s="441" t="s">
        <v>1139</v>
      </c>
      <c r="D421" s="442" t="s">
        <v>1140</v>
      </c>
      <c r="E421" s="441" t="s">
        <v>149</v>
      </c>
      <c r="F421" s="441" t="s">
        <v>1141</v>
      </c>
      <c r="G421" s="442" t="s">
        <v>134</v>
      </c>
      <c r="H421" s="443">
        <f t="shared" si="108"/>
        <v>1493</v>
      </c>
      <c r="I421" s="443">
        <f>VLOOKUP(D421,'Orçamento Analitico'!D:L,9,FALSE())</f>
        <v>18.85</v>
      </c>
      <c r="J421" s="443">
        <f t="shared" si="109"/>
        <v>23.65</v>
      </c>
      <c r="K421" s="443">
        <f t="shared" si="110"/>
        <v>28143.05</v>
      </c>
      <c r="L421" s="443">
        <f t="shared" si="111"/>
        <v>35309.45</v>
      </c>
      <c r="M421" s="461" t="e">
        <f t="shared" si="112"/>
        <v>#N/A</v>
      </c>
      <c r="N421" s="464">
        <f t="shared" ref="N421:T421" si="123">SUM(N583,N585:N588)</f>
        <v>330</v>
      </c>
      <c r="O421" s="465">
        <f t="shared" si="123"/>
        <v>59</v>
      </c>
      <c r="P421" s="465">
        <f t="shared" si="123"/>
        <v>39</v>
      </c>
      <c r="Q421" s="465">
        <f t="shared" si="123"/>
        <v>600</v>
      </c>
      <c r="R421" s="465">
        <f t="shared" si="123"/>
        <v>413</v>
      </c>
      <c r="S421" s="465">
        <f t="shared" si="123"/>
        <v>52</v>
      </c>
      <c r="T421" s="465">
        <f t="shared" si="123"/>
        <v>0</v>
      </c>
      <c r="U421" s="479"/>
      <c r="V421" s="422"/>
      <c r="W421" s="422"/>
      <c r="X421" s="422"/>
      <c r="Y421" s="422"/>
      <c r="Z421" s="422"/>
    </row>
    <row r="422" ht="12.75" customHeight="1" spans="1:26">
      <c r="A422" s="422"/>
      <c r="B422" s="423" t="str">
        <f>C422</f>
        <v> 12.1.2 </v>
      </c>
      <c r="C422" s="488" t="s">
        <v>1142</v>
      </c>
      <c r="D422" s="489" t="s">
        <v>74</v>
      </c>
      <c r="E422" s="488"/>
      <c r="F422" s="488" t="s">
        <v>1143</v>
      </c>
      <c r="G422" s="489"/>
      <c r="H422" s="490"/>
      <c r="I422" s="490"/>
      <c r="J422" s="490"/>
      <c r="K422" s="490">
        <f>SUMIF(A:A,B422,K:K)</f>
        <v>166463.96</v>
      </c>
      <c r="L422" s="490">
        <f>SUMIF(A:A,C422,L:L)</f>
        <v>208884.53</v>
      </c>
      <c r="M422" s="496" t="e">
        <f t="shared" si="112"/>
        <v>#N/A</v>
      </c>
      <c r="N422" s="464"/>
      <c r="O422" s="465"/>
      <c r="P422" s="465"/>
      <c r="Q422" s="465"/>
      <c r="R422" s="465"/>
      <c r="S422" s="465"/>
      <c r="T422" s="465"/>
      <c r="U422" s="479"/>
      <c r="V422" s="422"/>
      <c r="W422" s="422"/>
      <c r="X422" s="422"/>
      <c r="Y422" s="422"/>
      <c r="Z422" s="422"/>
    </row>
    <row r="423" ht="12.75" customHeight="1" spans="1:26">
      <c r="A423" s="422" t="str">
        <f>B423</f>
        <v> 12.1.2 </v>
      </c>
      <c r="B423" s="423" t="str">
        <f>B422</f>
        <v> 12.1.2 </v>
      </c>
      <c r="C423" s="441" t="s">
        <v>1144</v>
      </c>
      <c r="D423" s="442" t="s">
        <v>1145</v>
      </c>
      <c r="E423" s="441" t="s">
        <v>139</v>
      </c>
      <c r="F423" s="441" t="s">
        <v>1146</v>
      </c>
      <c r="G423" s="442" t="s">
        <v>279</v>
      </c>
      <c r="H423" s="443">
        <f>SUM(T423:T424)</f>
        <v>349.05</v>
      </c>
      <c r="I423" s="443">
        <f>VLOOKUP(D423,'Orçamento Analitico'!D:L,9,FALSE())</f>
        <v>14.89</v>
      </c>
      <c r="J423" s="443">
        <f>ROUNDDOWN(I423*(1+$G$6),2)</f>
        <v>18.68</v>
      </c>
      <c r="K423" s="443">
        <f>ROUNDDOWN(H423*I423,2)</f>
        <v>5197.35</v>
      </c>
      <c r="L423" s="443">
        <f>ROUNDDOWN(H423*J423,2)</f>
        <v>6520.25</v>
      </c>
      <c r="M423" s="461" t="e">
        <f t="shared" si="112"/>
        <v>#N/A</v>
      </c>
      <c r="N423" s="464">
        <f>P426</f>
        <v>169</v>
      </c>
      <c r="O423" s="494" t="s">
        <v>6128</v>
      </c>
      <c r="P423" s="465">
        <v>0.8</v>
      </c>
      <c r="Q423" s="494" t="s">
        <v>6128</v>
      </c>
      <c r="R423" s="465">
        <v>1.5</v>
      </c>
      <c r="S423" s="494" t="s">
        <v>6129</v>
      </c>
      <c r="T423" s="465">
        <f>ROUND(N423*P423*R423,2)</f>
        <v>202.8</v>
      </c>
      <c r="U423" s="479"/>
      <c r="V423" s="422"/>
      <c r="W423" s="422"/>
      <c r="X423" s="422"/>
      <c r="Y423" s="422"/>
      <c r="Z423" s="422"/>
    </row>
    <row r="424" ht="12.75" customHeight="1" spans="1:26">
      <c r="A424" s="422"/>
      <c r="B424" s="423"/>
      <c r="C424" s="441"/>
      <c r="D424" s="442"/>
      <c r="E424" s="441"/>
      <c r="F424" s="441"/>
      <c r="G424" s="442"/>
      <c r="H424" s="443"/>
      <c r="I424" s="443"/>
      <c r="J424" s="443"/>
      <c r="K424" s="443"/>
      <c r="L424" s="443"/>
      <c r="M424" s="461" t="e">
        <f t="shared" si="112"/>
        <v>#N/A</v>
      </c>
      <c r="N424" s="464">
        <f>P427</f>
        <v>65</v>
      </c>
      <c r="O424" s="494" t="s">
        <v>6128</v>
      </c>
      <c r="P424" s="465">
        <v>1.5</v>
      </c>
      <c r="Q424" s="494" t="s">
        <v>6128</v>
      </c>
      <c r="R424" s="465">
        <v>1.5</v>
      </c>
      <c r="S424" s="494" t="s">
        <v>6129</v>
      </c>
      <c r="T424" s="465">
        <f>ROUND(N424*P424*R424,2)</f>
        <v>146.25</v>
      </c>
      <c r="U424" s="479"/>
      <c r="V424" s="422"/>
      <c r="W424" s="422"/>
      <c r="X424" s="422"/>
      <c r="Y424" s="422"/>
      <c r="Z424" s="422"/>
    </row>
    <row r="425" ht="69" customHeight="1" spans="1:26">
      <c r="A425" s="422" t="str">
        <f t="shared" ref="A425:A432" si="124">B425</f>
        <v> 12.1.2 </v>
      </c>
      <c r="B425" s="423" t="str">
        <f>B423</f>
        <v> 12.1.2 </v>
      </c>
      <c r="C425" s="441" t="s">
        <v>1147</v>
      </c>
      <c r="D425" s="442" t="s">
        <v>1148</v>
      </c>
      <c r="E425" s="441" t="s">
        <v>139</v>
      </c>
      <c r="F425" s="441" t="s">
        <v>1149</v>
      </c>
      <c r="G425" s="442" t="s">
        <v>279</v>
      </c>
      <c r="H425" s="443">
        <f>SUM(N425:T425)</f>
        <v>698.1</v>
      </c>
      <c r="I425" s="443">
        <f>VLOOKUP(D425,'Orçamento Analitico'!D:L,9,FALSE())</f>
        <v>16</v>
      </c>
      <c r="J425" s="443">
        <f t="shared" ref="J425:J432" si="125">ROUNDDOWN(I425*(1+$G$6),2)</f>
        <v>20.07</v>
      </c>
      <c r="K425" s="443">
        <f t="shared" ref="K425:K432" si="126">ROUNDDOWN(H425*I425,2)</f>
        <v>11169.6</v>
      </c>
      <c r="L425" s="443">
        <f t="shared" ref="L425:L432" si="127">ROUNDDOWN(H425*J425,2)</f>
        <v>14010.86</v>
      </c>
      <c r="M425" s="461" t="e">
        <f t="shared" si="112"/>
        <v>#N/A</v>
      </c>
      <c r="N425" s="464"/>
      <c r="O425" s="465"/>
      <c r="P425" s="465">
        <f>SUM(T423:T424)</f>
        <v>349.05</v>
      </c>
      <c r="Q425" s="494" t="s">
        <v>6178</v>
      </c>
      <c r="R425" s="465">
        <f>ROUND((N430*0.8*0.8*0.8)+(N431*1.5*1.5*1.5)+(P426*R426*3.14*0.05^2)+(P427*R427*3.14*0.075^2),2)</f>
        <v>34.84</v>
      </c>
      <c r="S425" s="494" t="s">
        <v>6129</v>
      </c>
      <c r="T425" s="465">
        <f>P425-R425</f>
        <v>314.21</v>
      </c>
      <c r="U425" s="479"/>
      <c r="V425" s="422"/>
      <c r="W425" s="422"/>
      <c r="X425" s="422"/>
      <c r="Y425" s="422"/>
      <c r="Z425" s="422"/>
    </row>
    <row r="426" ht="69" customHeight="1" spans="1:26">
      <c r="A426" s="422" t="str">
        <f t="shared" si="124"/>
        <v> 12.1.2 </v>
      </c>
      <c r="B426" s="423" t="str">
        <f t="shared" ref="B426:B432" si="128">B425</f>
        <v> 12.1.2 </v>
      </c>
      <c r="C426" s="441" t="s">
        <v>1150</v>
      </c>
      <c r="D426" s="442" t="s">
        <v>1151</v>
      </c>
      <c r="E426" s="441" t="s">
        <v>139</v>
      </c>
      <c r="F426" s="441" t="s">
        <v>1152</v>
      </c>
      <c r="G426" s="442" t="s">
        <v>204</v>
      </c>
      <c r="H426" s="443">
        <f>SUM(T426)</f>
        <v>338</v>
      </c>
      <c r="I426" s="443">
        <f>VLOOKUP(D426,'Orçamento Analitico'!D:L,9,FALSE())</f>
        <v>28.07</v>
      </c>
      <c r="J426" s="443">
        <f t="shared" si="125"/>
        <v>35.22</v>
      </c>
      <c r="K426" s="443">
        <f t="shared" si="126"/>
        <v>9487.66</v>
      </c>
      <c r="L426" s="443">
        <f t="shared" si="127"/>
        <v>11904.36</v>
      </c>
      <c r="M426" s="461" t="e">
        <f t="shared" si="112"/>
        <v>#N/A</v>
      </c>
      <c r="N426" s="464" t="s">
        <v>6179</v>
      </c>
      <c r="O426" s="465" t="s">
        <v>6180</v>
      </c>
      <c r="P426" s="520">
        <v>169</v>
      </c>
      <c r="Q426" s="494" t="s">
        <v>6128</v>
      </c>
      <c r="R426" s="522">
        <v>2</v>
      </c>
      <c r="S426" s="494" t="s">
        <v>6129</v>
      </c>
      <c r="T426" s="465">
        <f>ROUND(P426*R426,2)</f>
        <v>338</v>
      </c>
      <c r="U426" s="479"/>
      <c r="V426" s="422"/>
      <c r="W426" s="422"/>
      <c r="X426" s="422"/>
      <c r="Y426" s="422"/>
      <c r="Z426" s="422"/>
    </row>
    <row r="427" ht="94.5" customHeight="1" spans="1:26">
      <c r="A427" s="422" t="str">
        <f t="shared" si="124"/>
        <v> 12.1.2 </v>
      </c>
      <c r="B427" s="423" t="str">
        <f t="shared" si="128"/>
        <v> 12.1.2 </v>
      </c>
      <c r="C427" s="441" t="s">
        <v>1153</v>
      </c>
      <c r="D427" s="442" t="s">
        <v>1154</v>
      </c>
      <c r="E427" s="441" t="s">
        <v>77</v>
      </c>
      <c r="F427" s="441" t="s">
        <v>1155</v>
      </c>
      <c r="G427" s="442" t="s">
        <v>204</v>
      </c>
      <c r="H427" s="443">
        <f>SUM(T427)</f>
        <v>780</v>
      </c>
      <c r="I427" s="443">
        <f>VLOOKUP(D427,'Orçamento Analitico'!D:L,9,FALSE())</f>
        <v>36.49</v>
      </c>
      <c r="J427" s="443">
        <f t="shared" si="125"/>
        <v>45.79</v>
      </c>
      <c r="K427" s="443">
        <f t="shared" si="126"/>
        <v>28462.2</v>
      </c>
      <c r="L427" s="443">
        <f t="shared" si="127"/>
        <v>35716.2</v>
      </c>
      <c r="M427" s="461" t="e">
        <f t="shared" si="112"/>
        <v>#N/A</v>
      </c>
      <c r="N427" s="464" t="s">
        <v>6179</v>
      </c>
      <c r="O427" s="465" t="s">
        <v>6180</v>
      </c>
      <c r="P427" s="520">
        <v>65</v>
      </c>
      <c r="Q427" s="494" t="s">
        <v>6128</v>
      </c>
      <c r="R427" s="522">
        <f>3*4</f>
        <v>12</v>
      </c>
      <c r="S427" s="494" t="s">
        <v>6129</v>
      </c>
      <c r="T427" s="465">
        <f>ROUND(P427*R427,2)</f>
        <v>780</v>
      </c>
      <c r="U427" s="479"/>
      <c r="V427" s="422"/>
      <c r="W427" s="422"/>
      <c r="X427" s="422"/>
      <c r="Y427" s="422"/>
      <c r="Z427" s="422"/>
    </row>
    <row r="428" ht="39" customHeight="1" spans="1:26">
      <c r="A428" s="422" t="str">
        <f t="shared" si="124"/>
        <v> 12.1.2 </v>
      </c>
      <c r="B428" s="423" t="str">
        <f t="shared" si="128"/>
        <v> 12.1.2 </v>
      </c>
      <c r="C428" s="441" t="s">
        <v>1156</v>
      </c>
      <c r="D428" s="442" t="s">
        <v>1157</v>
      </c>
      <c r="E428" s="441" t="s">
        <v>132</v>
      </c>
      <c r="F428" s="441" t="s">
        <v>1158</v>
      </c>
      <c r="G428" s="442" t="s">
        <v>204</v>
      </c>
      <c r="H428" s="443">
        <f>SUM(T428)</f>
        <v>169</v>
      </c>
      <c r="I428" s="443">
        <f>VLOOKUP(D428,'Orçamento Analitico'!D:L,9,FALSE())</f>
        <v>158.93</v>
      </c>
      <c r="J428" s="443">
        <f t="shared" si="125"/>
        <v>199.44</v>
      </c>
      <c r="K428" s="443">
        <f t="shared" si="126"/>
        <v>26859.17</v>
      </c>
      <c r="L428" s="443">
        <f t="shared" si="127"/>
        <v>33705.36</v>
      </c>
      <c r="M428" s="461" t="e">
        <f t="shared" si="112"/>
        <v>#N/A</v>
      </c>
      <c r="N428" s="464" t="s">
        <v>6179</v>
      </c>
      <c r="O428" s="465" t="s">
        <v>6180</v>
      </c>
      <c r="P428" s="520">
        <f>P426</f>
        <v>169</v>
      </c>
      <c r="Q428" s="494" t="s">
        <v>6128</v>
      </c>
      <c r="R428" s="522">
        <v>1</v>
      </c>
      <c r="S428" s="494" t="s">
        <v>6129</v>
      </c>
      <c r="T428" s="465">
        <f>ROUND(P428*R428,2)</f>
        <v>169</v>
      </c>
      <c r="U428" s="465"/>
      <c r="V428" s="422"/>
      <c r="W428" s="422"/>
      <c r="X428" s="422"/>
      <c r="Y428" s="422"/>
      <c r="Z428" s="422"/>
    </row>
    <row r="429" ht="39" customHeight="1" spans="1:26">
      <c r="A429" s="422" t="str">
        <f t="shared" si="124"/>
        <v> 12.1.2 </v>
      </c>
      <c r="B429" s="423" t="str">
        <f t="shared" si="128"/>
        <v> 12.1.2 </v>
      </c>
      <c r="C429" s="441" t="s">
        <v>1159</v>
      </c>
      <c r="D429" s="442" t="s">
        <v>1160</v>
      </c>
      <c r="E429" s="441" t="s">
        <v>132</v>
      </c>
      <c r="F429" s="441" t="s">
        <v>1161</v>
      </c>
      <c r="G429" s="442" t="s">
        <v>204</v>
      </c>
      <c r="H429" s="443">
        <f>SUM(T429)</f>
        <v>65</v>
      </c>
      <c r="I429" s="443">
        <f>VLOOKUP(D429,'Orçamento Analitico'!D:L,9,FALSE())</f>
        <v>915.2</v>
      </c>
      <c r="J429" s="443">
        <f t="shared" si="125"/>
        <v>1148.48</v>
      </c>
      <c r="K429" s="443">
        <f t="shared" si="126"/>
        <v>59488</v>
      </c>
      <c r="L429" s="443">
        <f t="shared" si="127"/>
        <v>74651.2</v>
      </c>
      <c r="M429" s="461" t="e">
        <f t="shared" si="112"/>
        <v>#N/A</v>
      </c>
      <c r="N429" s="464" t="s">
        <v>6179</v>
      </c>
      <c r="O429" s="465" t="s">
        <v>6180</v>
      </c>
      <c r="P429" s="520">
        <f>P427</f>
        <v>65</v>
      </c>
      <c r="Q429" s="494" t="s">
        <v>6128</v>
      </c>
      <c r="R429" s="522">
        <v>1</v>
      </c>
      <c r="S429" s="494" t="s">
        <v>6129</v>
      </c>
      <c r="T429" s="465">
        <f>ROUND(P429*R429,2)</f>
        <v>65</v>
      </c>
      <c r="U429" s="465"/>
      <c r="V429" s="422"/>
      <c r="W429" s="422"/>
      <c r="X429" s="422"/>
      <c r="Y429" s="422"/>
      <c r="Z429" s="422"/>
    </row>
    <row r="430" ht="57" customHeight="1" spans="1:26">
      <c r="A430" s="422" t="str">
        <f t="shared" si="124"/>
        <v> 12.1.2 </v>
      </c>
      <c r="B430" s="423" t="str">
        <f t="shared" si="128"/>
        <v> 12.1.2 </v>
      </c>
      <c r="C430" s="441" t="s">
        <v>1162</v>
      </c>
      <c r="D430" s="442" t="s">
        <v>1163</v>
      </c>
      <c r="E430" s="441" t="s">
        <v>132</v>
      </c>
      <c r="F430" s="441" t="s">
        <v>1164</v>
      </c>
      <c r="G430" s="442" t="s">
        <v>134</v>
      </c>
      <c r="H430" s="443">
        <f>SUM(N430)</f>
        <v>3</v>
      </c>
      <c r="I430" s="443">
        <f>VLOOKUP(D430,'Orçamento Analitico'!D:L,9,FALSE())</f>
        <v>970.61</v>
      </c>
      <c r="J430" s="443">
        <f t="shared" si="125"/>
        <v>1218.01</v>
      </c>
      <c r="K430" s="443">
        <f t="shared" si="126"/>
        <v>2911.83</v>
      </c>
      <c r="L430" s="443">
        <f t="shared" si="127"/>
        <v>3654.03</v>
      </c>
      <c r="M430" s="461" t="e">
        <f t="shared" si="112"/>
        <v>#N/A</v>
      </c>
      <c r="N430" s="465">
        <v>3</v>
      </c>
      <c r="O430" s="465" t="s">
        <v>6181</v>
      </c>
      <c r="P430" s="465"/>
      <c r="Q430" s="465"/>
      <c r="R430" s="465"/>
      <c r="S430" s="465"/>
      <c r="T430" s="465"/>
      <c r="U430" s="479"/>
      <c r="V430" s="422"/>
      <c r="W430" s="422"/>
      <c r="X430" s="422"/>
      <c r="Y430" s="422"/>
      <c r="Z430" s="422"/>
    </row>
    <row r="431" ht="42" customHeight="1" spans="1:26">
      <c r="A431" s="422" t="str">
        <f t="shared" si="124"/>
        <v> 12.1.2 </v>
      </c>
      <c r="B431" s="423" t="str">
        <f t="shared" si="128"/>
        <v> 12.1.2 </v>
      </c>
      <c r="C431" s="441" t="s">
        <v>1165</v>
      </c>
      <c r="D431" s="442" t="s">
        <v>1166</v>
      </c>
      <c r="E431" s="441" t="s">
        <v>132</v>
      </c>
      <c r="F431" s="441" t="s">
        <v>1167</v>
      </c>
      <c r="G431" s="442" t="s">
        <v>334</v>
      </c>
      <c r="H431" s="443">
        <f>SUM(N431)</f>
        <v>5</v>
      </c>
      <c r="I431" s="443">
        <f>VLOOKUP(D431,'Orçamento Analitico'!D:L,9,FALSE())</f>
        <v>2240.33</v>
      </c>
      <c r="J431" s="443">
        <f t="shared" si="125"/>
        <v>2811.39</v>
      </c>
      <c r="K431" s="443">
        <f t="shared" si="126"/>
        <v>11201.65</v>
      </c>
      <c r="L431" s="443">
        <f t="shared" si="127"/>
        <v>14056.95</v>
      </c>
      <c r="M431" s="461" t="e">
        <f t="shared" si="112"/>
        <v>#N/A</v>
      </c>
      <c r="N431" s="464">
        <v>5</v>
      </c>
      <c r="O431" s="465"/>
      <c r="P431" s="465"/>
      <c r="Q431" s="465"/>
      <c r="R431" s="465"/>
      <c r="S431" s="465"/>
      <c r="T431" s="465"/>
      <c r="U431" s="479"/>
      <c r="V431" s="422"/>
      <c r="W431" s="422"/>
      <c r="X431" s="422"/>
      <c r="Y431" s="422"/>
      <c r="Z431" s="422"/>
    </row>
    <row r="432" ht="42" customHeight="1" spans="1:26">
      <c r="A432" s="422" t="str">
        <f t="shared" si="124"/>
        <v> 12.1.2 </v>
      </c>
      <c r="B432" s="423" t="str">
        <f t="shared" si="128"/>
        <v> 12.1.2 </v>
      </c>
      <c r="C432" s="441" t="s">
        <v>1168</v>
      </c>
      <c r="D432" s="442" t="s">
        <v>1169</v>
      </c>
      <c r="E432" s="441" t="s">
        <v>132</v>
      </c>
      <c r="F432" s="441" t="s">
        <v>1170</v>
      </c>
      <c r="G432" s="442" t="s">
        <v>134</v>
      </c>
      <c r="H432" s="443">
        <f>SUM(N432,Q432,T432)</f>
        <v>18</v>
      </c>
      <c r="I432" s="443">
        <f>VLOOKUP(D432,'Orçamento Analitico'!D:L,9,FALSE())</f>
        <v>649.25</v>
      </c>
      <c r="J432" s="443">
        <f t="shared" si="125"/>
        <v>814.74</v>
      </c>
      <c r="K432" s="443">
        <f t="shared" si="126"/>
        <v>11686.5</v>
      </c>
      <c r="L432" s="443">
        <f t="shared" si="127"/>
        <v>14665.32</v>
      </c>
      <c r="M432" s="461" t="e">
        <f t="shared" si="112"/>
        <v>#N/A</v>
      </c>
      <c r="N432" s="464">
        <f>N430</f>
        <v>3</v>
      </c>
      <c r="O432" s="465" t="s">
        <v>6182</v>
      </c>
      <c r="P432" s="465"/>
      <c r="Q432" s="465">
        <f>N431</f>
        <v>5</v>
      </c>
      <c r="R432" s="465" t="s">
        <v>6183</v>
      </c>
      <c r="S432" s="465"/>
      <c r="T432" s="465">
        <v>10</v>
      </c>
      <c r="U432" s="465" t="s">
        <v>6184</v>
      </c>
      <c r="V432" s="422"/>
      <c r="W432" s="422"/>
      <c r="X432" s="422"/>
      <c r="Y432" s="422"/>
      <c r="Z432" s="422"/>
    </row>
    <row r="433" ht="12.75" customHeight="1" spans="1:26">
      <c r="A433" s="422"/>
      <c r="B433" s="423" t="str">
        <f>C433</f>
        <v> 12.2 </v>
      </c>
      <c r="C433" s="444" t="s">
        <v>1171</v>
      </c>
      <c r="D433" s="445" t="s">
        <v>74</v>
      </c>
      <c r="E433" s="444"/>
      <c r="F433" s="444" t="s">
        <v>1172</v>
      </c>
      <c r="G433" s="445"/>
      <c r="H433" s="446"/>
      <c r="I433" s="446"/>
      <c r="J433" s="466"/>
      <c r="K433" s="466">
        <f>SUMIF(A:A,B433,K:K)</f>
        <v>1906838.73</v>
      </c>
      <c r="L433" s="466">
        <f>SUMIF(A:A,C433,L:L)</f>
        <v>2392157.46</v>
      </c>
      <c r="M433" s="467" t="e">
        <f t="shared" si="112"/>
        <v>#N/A</v>
      </c>
      <c r="N433" s="464"/>
      <c r="O433" s="465"/>
      <c r="P433" s="465"/>
      <c r="Q433" s="465"/>
      <c r="R433" s="465"/>
      <c r="S433" s="465"/>
      <c r="T433" s="465"/>
      <c r="U433" s="479"/>
      <c r="V433" s="422"/>
      <c r="W433" s="422"/>
      <c r="X433" s="422"/>
      <c r="Y433" s="422"/>
      <c r="Z433" s="422"/>
    </row>
    <row r="434" ht="46.5" customHeight="1" spans="1:26">
      <c r="A434" s="422" t="str">
        <f t="shared" ref="A434:A446" si="129">B434</f>
        <v> 12.2 </v>
      </c>
      <c r="B434" s="423" t="str">
        <f t="shared" ref="B434:B446" si="130">B433</f>
        <v> 12.2 </v>
      </c>
      <c r="C434" s="441" t="s">
        <v>1173</v>
      </c>
      <c r="D434" s="442" t="s">
        <v>227</v>
      </c>
      <c r="E434" s="441" t="s">
        <v>139</v>
      </c>
      <c r="F434" s="441" t="s">
        <v>228</v>
      </c>
      <c r="G434" s="442" t="s">
        <v>204</v>
      </c>
      <c r="H434" s="443">
        <f>SUM(N434:S434)</f>
        <v>69140</v>
      </c>
      <c r="I434" s="443">
        <f>VLOOKUP(D434,'Orçamento Analitico'!D:L,9,FALSE())</f>
        <v>4.98</v>
      </c>
      <c r="J434" s="443">
        <f t="shared" ref="J434:J446" si="131">ROUNDDOWN(I434*(1+$G$6),2)</f>
        <v>6.24</v>
      </c>
      <c r="K434" s="443">
        <f t="shared" ref="K434:K446" si="132">ROUNDDOWN(H434*I434,2)</f>
        <v>344317.2</v>
      </c>
      <c r="L434" s="443">
        <f t="shared" ref="L434:L446" si="133">ROUNDDOWN(H434*J434,2)</f>
        <v>431433.6</v>
      </c>
      <c r="M434" s="461" t="e">
        <f t="shared" si="112"/>
        <v>#N/A</v>
      </c>
      <c r="N434" s="464"/>
      <c r="O434" s="465"/>
      <c r="P434" s="465"/>
      <c r="Q434" s="465">
        <v>36770</v>
      </c>
      <c r="R434" s="465">
        <f>83*50*3*2*1.3</f>
        <v>32370</v>
      </c>
      <c r="S434" s="465"/>
      <c r="T434" s="465"/>
      <c r="U434" s="479"/>
      <c r="V434" s="422"/>
      <c r="W434" s="422"/>
      <c r="X434" s="422"/>
      <c r="Y434" s="422"/>
      <c r="Z434" s="422"/>
    </row>
    <row r="435" ht="46.5" customHeight="1" spans="1:26">
      <c r="A435" s="422" t="str">
        <f t="shared" si="129"/>
        <v> 12.2 </v>
      </c>
      <c r="B435" s="423" t="str">
        <f t="shared" si="130"/>
        <v> 12.2 </v>
      </c>
      <c r="C435" s="441" t="s">
        <v>1174</v>
      </c>
      <c r="D435" s="442" t="s">
        <v>1175</v>
      </c>
      <c r="E435" s="441" t="s">
        <v>139</v>
      </c>
      <c r="F435" s="441" t="s">
        <v>1176</v>
      </c>
      <c r="G435" s="442" t="s">
        <v>204</v>
      </c>
      <c r="H435" s="443">
        <f>SUM(N435:S435)</f>
        <v>400</v>
      </c>
      <c r="I435" s="443">
        <f>VLOOKUP(D435,'Orçamento Analitico'!D:L,9,FALSE())</f>
        <v>7.62</v>
      </c>
      <c r="J435" s="443">
        <f t="shared" si="131"/>
        <v>9.56</v>
      </c>
      <c r="K435" s="443">
        <f t="shared" si="132"/>
        <v>3048</v>
      </c>
      <c r="L435" s="443">
        <f t="shared" si="133"/>
        <v>3824</v>
      </c>
      <c r="M435" s="461" t="e">
        <f t="shared" si="112"/>
        <v>#N/A</v>
      </c>
      <c r="N435" s="464"/>
      <c r="O435" s="465"/>
      <c r="P435" s="465"/>
      <c r="Q435" s="465">
        <v>200</v>
      </c>
      <c r="R435" s="465">
        <v>200</v>
      </c>
      <c r="S435" s="465"/>
      <c r="T435" s="465"/>
      <c r="U435" s="479"/>
      <c r="V435" s="422"/>
      <c r="W435" s="422"/>
      <c r="X435" s="422"/>
      <c r="Y435" s="422"/>
      <c r="Z435" s="422"/>
    </row>
    <row r="436" ht="46.5" customHeight="1" spans="1:26">
      <c r="A436" s="422" t="str">
        <f t="shared" si="129"/>
        <v> 12.2 </v>
      </c>
      <c r="B436" s="423" t="str">
        <f t="shared" si="130"/>
        <v> 12.2 </v>
      </c>
      <c r="C436" s="441" t="s">
        <v>1177</v>
      </c>
      <c r="D436" s="442" t="s">
        <v>1178</v>
      </c>
      <c r="E436" s="441" t="s">
        <v>139</v>
      </c>
      <c r="F436" s="441" t="s">
        <v>1179</v>
      </c>
      <c r="G436" s="442" t="s">
        <v>204</v>
      </c>
      <c r="H436" s="443">
        <f>SUM(N436:S436)</f>
        <v>400</v>
      </c>
      <c r="I436" s="443">
        <f>VLOOKUP(D436,'Orçamento Analitico'!D:L,9,FALSE())</f>
        <v>10.58</v>
      </c>
      <c r="J436" s="443">
        <f t="shared" si="131"/>
        <v>13.27</v>
      </c>
      <c r="K436" s="443">
        <f t="shared" si="132"/>
        <v>4232</v>
      </c>
      <c r="L436" s="443">
        <f t="shared" si="133"/>
        <v>5308</v>
      </c>
      <c r="M436" s="461" t="e">
        <f t="shared" si="112"/>
        <v>#N/A</v>
      </c>
      <c r="N436" s="464"/>
      <c r="O436" s="465"/>
      <c r="P436" s="465"/>
      <c r="Q436" s="465">
        <v>200</v>
      </c>
      <c r="R436" s="465">
        <v>200</v>
      </c>
      <c r="S436" s="465"/>
      <c r="T436" s="465"/>
      <c r="U436" s="479"/>
      <c r="V436" s="422"/>
      <c r="W436" s="422"/>
      <c r="X436" s="422"/>
      <c r="Y436" s="422"/>
      <c r="Z436" s="422"/>
    </row>
    <row r="437" ht="46.5" customHeight="1" spans="1:26">
      <c r="A437" s="422" t="str">
        <f t="shared" si="129"/>
        <v> 12.2 </v>
      </c>
      <c r="B437" s="423" t="str">
        <f t="shared" si="130"/>
        <v> 12.2 </v>
      </c>
      <c r="C437" s="441" t="s">
        <v>1180</v>
      </c>
      <c r="D437" s="442" t="s">
        <v>1181</v>
      </c>
      <c r="E437" s="441" t="s">
        <v>139</v>
      </c>
      <c r="F437" s="441" t="s">
        <v>1182</v>
      </c>
      <c r="G437" s="442" t="s">
        <v>204</v>
      </c>
      <c r="H437" s="443">
        <v>1318.75</v>
      </c>
      <c r="I437" s="443">
        <f>VLOOKUP(D437,'Orçamento Analitico'!D:L,9,FALSE())</f>
        <v>18.06</v>
      </c>
      <c r="J437" s="443">
        <f t="shared" si="131"/>
        <v>22.66</v>
      </c>
      <c r="K437" s="443">
        <f t="shared" si="132"/>
        <v>23816.62</v>
      </c>
      <c r="L437" s="443">
        <f t="shared" si="133"/>
        <v>29882.87</v>
      </c>
      <c r="M437" s="461" t="e">
        <f t="shared" si="112"/>
        <v>#N/A</v>
      </c>
      <c r="N437" s="464"/>
      <c r="O437" s="465"/>
      <c r="P437" s="465"/>
      <c r="Q437" s="465"/>
      <c r="R437" s="465"/>
      <c r="S437" s="465"/>
      <c r="T437" s="465"/>
      <c r="U437" s="479"/>
      <c r="V437" s="501"/>
      <c r="W437" s="422"/>
      <c r="X437" s="422"/>
      <c r="Y437" s="422"/>
      <c r="Z437" s="422"/>
    </row>
    <row r="438" ht="46.5" customHeight="1" spans="1:26">
      <c r="A438" s="422" t="str">
        <f t="shared" si="129"/>
        <v> 12.2 </v>
      </c>
      <c r="B438" s="423" t="str">
        <f t="shared" si="130"/>
        <v> 12.2 </v>
      </c>
      <c r="C438" s="441" t="s">
        <v>1183</v>
      </c>
      <c r="D438" s="442" t="s">
        <v>1184</v>
      </c>
      <c r="E438" s="441" t="s">
        <v>139</v>
      </c>
      <c r="F438" s="441" t="s">
        <v>1185</v>
      </c>
      <c r="G438" s="442" t="s">
        <v>204</v>
      </c>
      <c r="H438" s="443">
        <v>750.5</v>
      </c>
      <c r="I438" s="443">
        <f>VLOOKUP(D438,'Orçamento Analitico'!D:L,9,FALSE())</f>
        <v>28.25</v>
      </c>
      <c r="J438" s="443">
        <f t="shared" si="131"/>
        <v>35.45</v>
      </c>
      <c r="K438" s="443">
        <f t="shared" si="132"/>
        <v>21201.62</v>
      </c>
      <c r="L438" s="443">
        <f t="shared" si="133"/>
        <v>26605.22</v>
      </c>
      <c r="M438" s="461" t="e">
        <f t="shared" si="112"/>
        <v>#N/A</v>
      </c>
      <c r="N438" s="464"/>
      <c r="O438" s="465"/>
      <c r="P438" s="465"/>
      <c r="Q438" s="465"/>
      <c r="R438" s="465"/>
      <c r="S438" s="465"/>
      <c r="T438" s="465"/>
      <c r="U438" s="479"/>
      <c r="V438" s="501"/>
      <c r="W438" s="422"/>
      <c r="X438" s="422"/>
      <c r="Y438" s="422"/>
      <c r="Z438" s="422"/>
    </row>
    <row r="439" ht="46.5" customHeight="1" spans="1:26">
      <c r="A439" s="422" t="str">
        <f t="shared" si="129"/>
        <v> 12.2 </v>
      </c>
      <c r="B439" s="423" t="str">
        <f t="shared" si="130"/>
        <v> 12.2 </v>
      </c>
      <c r="C439" s="441" t="s">
        <v>1186</v>
      </c>
      <c r="D439" s="442" t="s">
        <v>1187</v>
      </c>
      <c r="E439" s="441" t="s">
        <v>139</v>
      </c>
      <c r="F439" s="441" t="s">
        <v>1188</v>
      </c>
      <c r="G439" s="442" t="s">
        <v>204</v>
      </c>
      <c r="H439" s="443">
        <v>1142.15</v>
      </c>
      <c r="I439" s="443">
        <f>VLOOKUP(D439,'Orçamento Analitico'!D:L,9,FALSE())</f>
        <v>30.11</v>
      </c>
      <c r="J439" s="443">
        <f t="shared" si="131"/>
        <v>37.78</v>
      </c>
      <c r="K439" s="443">
        <f t="shared" si="132"/>
        <v>34390.13</v>
      </c>
      <c r="L439" s="443">
        <f t="shared" si="133"/>
        <v>43150.42</v>
      </c>
      <c r="M439" s="461" t="e">
        <f t="shared" si="112"/>
        <v>#N/A</v>
      </c>
      <c r="N439" s="464"/>
      <c r="O439" s="465"/>
      <c r="P439" s="465"/>
      <c r="Q439" s="465"/>
      <c r="R439" s="465"/>
      <c r="S439" s="465"/>
      <c r="T439" s="465"/>
      <c r="U439" s="479"/>
      <c r="V439" s="501"/>
      <c r="W439" s="422"/>
      <c r="X439" s="422"/>
      <c r="Y439" s="422"/>
      <c r="Z439" s="422"/>
    </row>
    <row r="440" ht="46.5" customHeight="1" spans="1:26">
      <c r="A440" s="422" t="str">
        <f t="shared" si="129"/>
        <v> 12.2 </v>
      </c>
      <c r="B440" s="423" t="str">
        <f t="shared" si="130"/>
        <v> 12.2 </v>
      </c>
      <c r="C440" s="441" t="s">
        <v>1189</v>
      </c>
      <c r="D440" s="442" t="s">
        <v>1190</v>
      </c>
      <c r="E440" s="441" t="s">
        <v>139</v>
      </c>
      <c r="F440" s="441" t="s">
        <v>1191</v>
      </c>
      <c r="G440" s="442" t="s">
        <v>204</v>
      </c>
      <c r="H440" s="443">
        <v>1622.5</v>
      </c>
      <c r="I440" s="443">
        <f>VLOOKUP(D440,'Orçamento Analitico'!D:L,9,FALSE())</f>
        <v>41.42</v>
      </c>
      <c r="J440" s="443">
        <f t="shared" si="131"/>
        <v>51.97</v>
      </c>
      <c r="K440" s="443">
        <f t="shared" si="132"/>
        <v>67203.95</v>
      </c>
      <c r="L440" s="443">
        <f t="shared" si="133"/>
        <v>84321.32</v>
      </c>
      <c r="M440" s="461" t="e">
        <f t="shared" si="112"/>
        <v>#N/A</v>
      </c>
      <c r="N440" s="464"/>
      <c r="O440" s="465"/>
      <c r="P440" s="465"/>
      <c r="Q440" s="465"/>
      <c r="R440" s="465"/>
      <c r="S440" s="465"/>
      <c r="T440" s="465"/>
      <c r="U440" s="479"/>
      <c r="V440" s="501"/>
      <c r="W440" s="422"/>
      <c r="X440" s="422"/>
      <c r="Y440" s="422"/>
      <c r="Z440" s="422"/>
    </row>
    <row r="441" ht="46.5" customHeight="1" spans="1:26">
      <c r="A441" s="422" t="str">
        <f t="shared" si="129"/>
        <v> 12.2 </v>
      </c>
      <c r="B441" s="423" t="str">
        <f t="shared" si="130"/>
        <v> 12.2 </v>
      </c>
      <c r="C441" s="441" t="s">
        <v>1192</v>
      </c>
      <c r="D441" s="442" t="s">
        <v>1193</v>
      </c>
      <c r="E441" s="441" t="s">
        <v>139</v>
      </c>
      <c r="F441" s="441" t="s">
        <v>1194</v>
      </c>
      <c r="G441" s="442" t="s">
        <v>204</v>
      </c>
      <c r="H441" s="443">
        <v>2768.7</v>
      </c>
      <c r="I441" s="443">
        <f>VLOOKUP(D441,'Orçamento Analitico'!D:L,9,FALSE())</f>
        <v>59.86</v>
      </c>
      <c r="J441" s="443">
        <f t="shared" si="131"/>
        <v>75.11</v>
      </c>
      <c r="K441" s="443">
        <f t="shared" si="132"/>
        <v>165734.38</v>
      </c>
      <c r="L441" s="443">
        <f t="shared" si="133"/>
        <v>207957.05</v>
      </c>
      <c r="M441" s="461" t="e">
        <f t="shared" si="112"/>
        <v>#N/A</v>
      </c>
      <c r="N441" s="464"/>
      <c r="O441" s="465"/>
      <c r="P441" s="465"/>
      <c r="Q441" s="465"/>
      <c r="R441" s="465"/>
      <c r="S441" s="465"/>
      <c r="T441" s="465"/>
      <c r="U441" s="479"/>
      <c r="V441" s="501"/>
      <c r="W441" s="422"/>
      <c r="X441" s="422"/>
      <c r="Y441" s="422"/>
      <c r="Z441" s="422"/>
    </row>
    <row r="442" ht="46.5" customHeight="1" spans="1:26">
      <c r="A442" s="422" t="str">
        <f t="shared" si="129"/>
        <v> 12.2 </v>
      </c>
      <c r="B442" s="423" t="str">
        <f t="shared" si="130"/>
        <v> 12.2 </v>
      </c>
      <c r="C442" s="441" t="s">
        <v>1195</v>
      </c>
      <c r="D442" s="442" t="s">
        <v>1196</v>
      </c>
      <c r="E442" s="441" t="s">
        <v>139</v>
      </c>
      <c r="F442" s="441" t="s">
        <v>1197</v>
      </c>
      <c r="G442" s="442" t="s">
        <v>204</v>
      </c>
      <c r="H442" s="443">
        <v>949.3</v>
      </c>
      <c r="I442" s="443">
        <f>VLOOKUP(D442,'Orçamento Analitico'!D:L,9,FALSE())</f>
        <v>82.68</v>
      </c>
      <c r="J442" s="443">
        <f t="shared" si="131"/>
        <v>103.75</v>
      </c>
      <c r="K442" s="443">
        <f t="shared" si="132"/>
        <v>78488.12</v>
      </c>
      <c r="L442" s="443">
        <f t="shared" si="133"/>
        <v>98489.87</v>
      </c>
      <c r="M442" s="461" t="e">
        <f t="shared" si="112"/>
        <v>#N/A</v>
      </c>
      <c r="N442" s="464"/>
      <c r="O442" s="465"/>
      <c r="P442" s="465"/>
      <c r="Q442" s="465"/>
      <c r="R442" s="465"/>
      <c r="S442" s="465"/>
      <c r="T442" s="465"/>
      <c r="U442" s="479"/>
      <c r="V442" s="501"/>
      <c r="W442" s="422"/>
      <c r="X442" s="422"/>
      <c r="Y442" s="422"/>
      <c r="Z442" s="422"/>
    </row>
    <row r="443" ht="46.5" customHeight="1" spans="1:26">
      <c r="A443" s="422" t="str">
        <f t="shared" si="129"/>
        <v> 12.2 </v>
      </c>
      <c r="B443" s="423" t="str">
        <f t="shared" si="130"/>
        <v> 12.2 </v>
      </c>
      <c r="C443" s="441" t="s">
        <v>1198</v>
      </c>
      <c r="D443" s="442" t="s">
        <v>1199</v>
      </c>
      <c r="E443" s="441" t="s">
        <v>139</v>
      </c>
      <c r="F443" s="441" t="s">
        <v>1200</v>
      </c>
      <c r="G443" s="442" t="s">
        <v>204</v>
      </c>
      <c r="H443" s="443">
        <v>363</v>
      </c>
      <c r="I443" s="443">
        <f>VLOOKUP(D443,'Orçamento Analitico'!D:L,9,FALSE())</f>
        <v>106.78</v>
      </c>
      <c r="J443" s="443">
        <f t="shared" si="131"/>
        <v>133.99</v>
      </c>
      <c r="K443" s="443">
        <f t="shared" si="132"/>
        <v>38761.14</v>
      </c>
      <c r="L443" s="443">
        <f t="shared" si="133"/>
        <v>48638.37</v>
      </c>
      <c r="M443" s="461" t="e">
        <f t="shared" si="112"/>
        <v>#N/A</v>
      </c>
      <c r="N443" s="464"/>
      <c r="O443" s="465"/>
      <c r="P443" s="465"/>
      <c r="Q443" s="465"/>
      <c r="R443" s="465"/>
      <c r="S443" s="465"/>
      <c r="T443" s="465"/>
      <c r="U443" s="479"/>
      <c r="V443" s="501"/>
      <c r="W443" s="422"/>
      <c r="X443" s="422"/>
      <c r="Y443" s="422"/>
      <c r="Z443" s="422"/>
    </row>
    <row r="444" ht="46.5" customHeight="1" spans="1:26">
      <c r="A444" s="422" t="str">
        <f t="shared" si="129"/>
        <v> 12.2 </v>
      </c>
      <c r="B444" s="423" t="str">
        <f t="shared" si="130"/>
        <v> 12.2 </v>
      </c>
      <c r="C444" s="441" t="s">
        <v>1201</v>
      </c>
      <c r="D444" s="442" t="s">
        <v>1202</v>
      </c>
      <c r="E444" s="441" t="s">
        <v>139</v>
      </c>
      <c r="F444" s="441" t="s">
        <v>1203</v>
      </c>
      <c r="G444" s="442" t="s">
        <v>204</v>
      </c>
      <c r="H444" s="443">
        <v>672.1</v>
      </c>
      <c r="I444" s="443">
        <f>VLOOKUP(D444,'Orçamento Analitico'!D:L,9,FALSE())</f>
        <v>138.56</v>
      </c>
      <c r="J444" s="443">
        <f t="shared" si="131"/>
        <v>173.87</v>
      </c>
      <c r="K444" s="443">
        <f t="shared" si="132"/>
        <v>93126.17</v>
      </c>
      <c r="L444" s="443">
        <f t="shared" si="133"/>
        <v>116858.02</v>
      </c>
      <c r="M444" s="461" t="e">
        <f t="shared" si="112"/>
        <v>#N/A</v>
      </c>
      <c r="N444" s="464"/>
      <c r="O444" s="465"/>
      <c r="P444" s="465"/>
      <c r="Q444" s="465"/>
      <c r="R444" s="465"/>
      <c r="S444" s="465"/>
      <c r="T444" s="465"/>
      <c r="U444" s="479"/>
      <c r="V444" s="501"/>
      <c r="W444" s="422"/>
      <c r="X444" s="422"/>
      <c r="Y444" s="422"/>
      <c r="Z444" s="422"/>
    </row>
    <row r="445" ht="46.5" customHeight="1" spans="1:26">
      <c r="A445" s="422" t="str">
        <f t="shared" si="129"/>
        <v> 12.2 </v>
      </c>
      <c r="B445" s="423" t="str">
        <f t="shared" si="130"/>
        <v> 12.2 </v>
      </c>
      <c r="C445" s="441" t="s">
        <v>1204</v>
      </c>
      <c r="D445" s="442" t="s">
        <v>1205</v>
      </c>
      <c r="E445" s="441" t="s">
        <v>139</v>
      </c>
      <c r="F445" s="441" t="s">
        <v>1206</v>
      </c>
      <c r="G445" s="442" t="s">
        <v>204</v>
      </c>
      <c r="H445" s="443">
        <v>2180.7</v>
      </c>
      <c r="I445" s="443">
        <f>VLOOKUP(D445,'Orçamento Analitico'!D:L,9,FALSE())</f>
        <v>350.84</v>
      </c>
      <c r="J445" s="443">
        <f t="shared" si="131"/>
        <v>440.26</v>
      </c>
      <c r="K445" s="443">
        <f t="shared" si="132"/>
        <v>765076.78</v>
      </c>
      <c r="L445" s="443">
        <f t="shared" si="133"/>
        <v>960074.98</v>
      </c>
      <c r="M445" s="461" t="e">
        <f t="shared" si="112"/>
        <v>#N/A</v>
      </c>
      <c r="N445" s="464"/>
      <c r="O445" s="465"/>
      <c r="P445" s="465"/>
      <c r="Q445" s="465"/>
      <c r="R445" s="465"/>
      <c r="S445" s="465"/>
      <c r="T445" s="465"/>
      <c r="U445" s="479"/>
      <c r="V445" s="501"/>
      <c r="W445" s="422"/>
      <c r="X445" s="422"/>
      <c r="Y445" s="422"/>
      <c r="Z445" s="422"/>
    </row>
    <row r="446" ht="46.5" customHeight="1" spans="1:26">
      <c r="A446" s="422" t="str">
        <f t="shared" si="129"/>
        <v> 12.2 </v>
      </c>
      <c r="B446" s="423" t="str">
        <f t="shared" si="130"/>
        <v> 12.2 </v>
      </c>
      <c r="C446" s="441" t="s">
        <v>1207</v>
      </c>
      <c r="D446" s="442" t="s">
        <v>1208</v>
      </c>
      <c r="E446" s="441" t="s">
        <v>132</v>
      </c>
      <c r="F446" s="441" t="s">
        <v>1209</v>
      </c>
      <c r="G446" s="442" t="s">
        <v>134</v>
      </c>
      <c r="H446" s="443">
        <v>1</v>
      </c>
      <c r="I446" s="443">
        <f>VLOOKUP(D446,'Orçamento Analitico'!D:L,9,FALSE())</f>
        <v>267442.62</v>
      </c>
      <c r="J446" s="443">
        <f t="shared" si="131"/>
        <v>335613.74</v>
      </c>
      <c r="K446" s="443">
        <f t="shared" si="132"/>
        <v>267442.62</v>
      </c>
      <c r="L446" s="443">
        <f t="shared" si="133"/>
        <v>335613.74</v>
      </c>
      <c r="M446" s="461" t="e">
        <f t="shared" si="112"/>
        <v>#N/A</v>
      </c>
      <c r="N446" s="500"/>
      <c r="O446" s="501"/>
      <c r="P446" s="501"/>
      <c r="Q446" s="501"/>
      <c r="R446" s="501"/>
      <c r="S446" s="501"/>
      <c r="T446" s="501"/>
      <c r="U446" s="505"/>
      <c r="V446" s="501"/>
      <c r="W446" s="422"/>
      <c r="X446" s="422"/>
      <c r="Y446" s="422"/>
      <c r="Z446" s="422"/>
    </row>
    <row r="447" ht="12.75" customHeight="1" spans="1:26">
      <c r="A447" s="422"/>
      <c r="B447" s="423" t="str">
        <f>C447</f>
        <v> 12.3 </v>
      </c>
      <c r="C447" s="444" t="s">
        <v>1210</v>
      </c>
      <c r="D447" s="445" t="s">
        <v>74</v>
      </c>
      <c r="E447" s="444"/>
      <c r="F447" s="444" t="s">
        <v>1211</v>
      </c>
      <c r="G447" s="445"/>
      <c r="H447" s="446"/>
      <c r="I447" s="446"/>
      <c r="J447" s="466"/>
      <c r="K447" s="466">
        <f>SUMIF(A:A,B447,K:K)</f>
        <v>845767.06</v>
      </c>
      <c r="L447" s="466">
        <f>SUMIF(A:A,C447,L:L)</f>
        <v>1061212.73</v>
      </c>
      <c r="M447" s="467" t="e">
        <f t="shared" si="112"/>
        <v>#N/A</v>
      </c>
      <c r="N447" s="459" t="s">
        <v>6121</v>
      </c>
      <c r="O447" s="460" t="s">
        <v>6122</v>
      </c>
      <c r="P447" s="460" t="s">
        <v>6123</v>
      </c>
      <c r="Q447" s="460" t="s">
        <v>6124</v>
      </c>
      <c r="R447" s="460" t="s">
        <v>6125</v>
      </c>
      <c r="S447" s="460" t="s">
        <v>6126</v>
      </c>
      <c r="T447" s="460" t="s">
        <v>6174</v>
      </c>
      <c r="U447" s="477"/>
      <c r="V447" s="422"/>
      <c r="W447" s="422"/>
      <c r="X447" s="422"/>
      <c r="Y447" s="422"/>
      <c r="Z447" s="422"/>
    </row>
    <row r="448" ht="46.5" customHeight="1" spans="1:26">
      <c r="A448" s="422" t="str">
        <f t="shared" ref="A448:A499" si="134">B448</f>
        <v> 12.3 </v>
      </c>
      <c r="B448" s="423" t="str">
        <f t="shared" ref="B448:B499" si="135">B447</f>
        <v> 12.3 </v>
      </c>
      <c r="C448" s="441" t="s">
        <v>1212</v>
      </c>
      <c r="D448" s="442" t="s">
        <v>1213</v>
      </c>
      <c r="E448" s="441" t="s">
        <v>77</v>
      </c>
      <c r="F448" s="441" t="s">
        <v>1214</v>
      </c>
      <c r="G448" s="442" t="s">
        <v>204</v>
      </c>
      <c r="H448" s="443">
        <f t="shared" ref="H448:H476" si="136">SUM(N448:T448)</f>
        <v>589</v>
      </c>
      <c r="I448" s="443">
        <f>VLOOKUP(D448,'Orçamento Analitico'!D:L,9,FALSE())</f>
        <v>77.62</v>
      </c>
      <c r="J448" s="443">
        <f t="shared" ref="J448:J499" si="137">ROUNDDOWN(I448*(1+$G$6),2)</f>
        <v>97.4</v>
      </c>
      <c r="K448" s="443">
        <f t="shared" ref="K448:K499" si="138">ROUNDDOWN(H448*I448,2)</f>
        <v>45718.18</v>
      </c>
      <c r="L448" s="443">
        <f t="shared" ref="L448:L499" si="139">ROUNDDOWN(H448*J448,2)</f>
        <v>57368.6</v>
      </c>
      <c r="M448" s="521" t="e">
        <f t="shared" si="112"/>
        <v>#N/A</v>
      </c>
      <c r="N448" s="464">
        <v>193</v>
      </c>
      <c r="O448" s="465"/>
      <c r="P448" s="465"/>
      <c r="Q448" s="465">
        <v>198</v>
      </c>
      <c r="R448" s="465">
        <v>198</v>
      </c>
      <c r="S448" s="465"/>
      <c r="T448" s="465"/>
      <c r="U448" s="479"/>
      <c r="V448" s="422"/>
      <c r="W448" s="422"/>
      <c r="X448" s="422"/>
      <c r="Y448" s="422"/>
      <c r="Z448" s="422"/>
    </row>
    <row r="449" ht="46.5" customHeight="1" spans="1:26">
      <c r="A449" s="422" t="str">
        <f t="shared" si="134"/>
        <v> 12.3 </v>
      </c>
      <c r="B449" s="423" t="str">
        <f t="shared" si="135"/>
        <v> 12.3 </v>
      </c>
      <c r="C449" s="441" t="s">
        <v>1215</v>
      </c>
      <c r="D449" s="442" t="s">
        <v>1216</v>
      </c>
      <c r="E449" s="441" t="s">
        <v>77</v>
      </c>
      <c r="F449" s="441" t="s">
        <v>1217</v>
      </c>
      <c r="G449" s="442" t="s">
        <v>134</v>
      </c>
      <c r="H449" s="443">
        <f t="shared" si="136"/>
        <v>6</v>
      </c>
      <c r="I449" s="443">
        <f>VLOOKUP(D449,'Orçamento Analitico'!D:L,9,FALSE())</f>
        <v>40.23</v>
      </c>
      <c r="J449" s="443">
        <f t="shared" si="137"/>
        <v>50.48</v>
      </c>
      <c r="K449" s="443">
        <f t="shared" si="138"/>
        <v>241.38</v>
      </c>
      <c r="L449" s="443">
        <f t="shared" si="139"/>
        <v>302.88</v>
      </c>
      <c r="M449" s="521" t="e">
        <f t="shared" si="112"/>
        <v>#N/A</v>
      </c>
      <c r="N449" s="464">
        <v>2</v>
      </c>
      <c r="O449" s="465"/>
      <c r="P449" s="465"/>
      <c r="Q449" s="465">
        <v>2</v>
      </c>
      <c r="R449" s="465">
        <v>2</v>
      </c>
      <c r="S449" s="465"/>
      <c r="T449" s="465"/>
      <c r="U449" s="479"/>
      <c r="V449" s="422"/>
      <c r="W449" s="422"/>
      <c r="X449" s="422"/>
      <c r="Y449" s="422"/>
      <c r="Z449" s="422"/>
    </row>
    <row r="450" ht="46.5" customHeight="1" spans="1:26">
      <c r="A450" s="422" t="str">
        <f t="shared" si="134"/>
        <v> 12.3 </v>
      </c>
      <c r="B450" s="423" t="str">
        <f t="shared" si="135"/>
        <v> 12.3 </v>
      </c>
      <c r="C450" s="441" t="s">
        <v>1218</v>
      </c>
      <c r="D450" s="442" t="s">
        <v>1219</v>
      </c>
      <c r="E450" s="441" t="s">
        <v>77</v>
      </c>
      <c r="F450" s="441" t="s">
        <v>1220</v>
      </c>
      <c r="G450" s="442" t="s">
        <v>134</v>
      </c>
      <c r="H450" s="443">
        <f t="shared" si="136"/>
        <v>6</v>
      </c>
      <c r="I450" s="443">
        <f>VLOOKUP(D450,'Orçamento Analitico'!D:L,9,FALSE())</f>
        <v>34.93</v>
      </c>
      <c r="J450" s="443">
        <f t="shared" si="137"/>
        <v>43.83</v>
      </c>
      <c r="K450" s="443">
        <f t="shared" si="138"/>
        <v>209.58</v>
      </c>
      <c r="L450" s="443">
        <f t="shared" si="139"/>
        <v>262.98</v>
      </c>
      <c r="M450" s="521" t="e">
        <f t="shared" si="112"/>
        <v>#N/A</v>
      </c>
      <c r="N450" s="464">
        <v>2</v>
      </c>
      <c r="O450" s="465"/>
      <c r="P450" s="465"/>
      <c r="Q450" s="465">
        <v>2</v>
      </c>
      <c r="R450" s="465">
        <v>2</v>
      </c>
      <c r="S450" s="465"/>
      <c r="T450" s="465"/>
      <c r="U450" s="479"/>
      <c r="V450" s="422"/>
      <c r="W450" s="422"/>
      <c r="X450" s="422"/>
      <c r="Y450" s="422"/>
      <c r="Z450" s="422"/>
    </row>
    <row r="451" ht="46.5" customHeight="1" spans="1:26">
      <c r="A451" s="422" t="str">
        <f t="shared" si="134"/>
        <v> 12.3 </v>
      </c>
      <c r="B451" s="423" t="str">
        <f t="shared" si="135"/>
        <v> 12.3 </v>
      </c>
      <c r="C451" s="441" t="s">
        <v>1221</v>
      </c>
      <c r="D451" s="442" t="s">
        <v>1222</v>
      </c>
      <c r="E451" s="441" t="s">
        <v>77</v>
      </c>
      <c r="F451" s="441" t="s">
        <v>1223</v>
      </c>
      <c r="G451" s="442" t="s">
        <v>134</v>
      </c>
      <c r="H451" s="443">
        <f t="shared" si="136"/>
        <v>2</v>
      </c>
      <c r="I451" s="443">
        <f>VLOOKUP(D451,'Orçamento Analitico'!D:L,9,FALSE())</f>
        <v>48.95</v>
      </c>
      <c r="J451" s="443">
        <f t="shared" si="137"/>
        <v>61.42</v>
      </c>
      <c r="K451" s="443">
        <f t="shared" si="138"/>
        <v>97.9</v>
      </c>
      <c r="L451" s="443">
        <f t="shared" si="139"/>
        <v>122.84</v>
      </c>
      <c r="M451" s="521" t="e">
        <f t="shared" si="112"/>
        <v>#N/A</v>
      </c>
      <c r="N451" s="464">
        <v>2</v>
      </c>
      <c r="O451" s="465"/>
      <c r="P451" s="465"/>
      <c r="Q451" s="465"/>
      <c r="R451" s="465"/>
      <c r="S451" s="465"/>
      <c r="T451" s="465"/>
      <c r="U451" s="479"/>
      <c r="V451" s="422"/>
      <c r="W451" s="422"/>
      <c r="X451" s="422"/>
      <c r="Y451" s="422"/>
      <c r="Z451" s="422"/>
    </row>
    <row r="452" ht="46.5" customHeight="1" spans="1:26">
      <c r="A452" s="422" t="str">
        <f t="shared" si="134"/>
        <v> 12.3 </v>
      </c>
      <c r="B452" s="423" t="str">
        <f t="shared" si="135"/>
        <v> 12.3 </v>
      </c>
      <c r="C452" s="441" t="s">
        <v>1224</v>
      </c>
      <c r="D452" s="442" t="s">
        <v>1225</v>
      </c>
      <c r="E452" s="441" t="s">
        <v>77</v>
      </c>
      <c r="F452" s="441" t="s">
        <v>1226</v>
      </c>
      <c r="G452" s="442" t="s">
        <v>134</v>
      </c>
      <c r="H452" s="443">
        <f t="shared" si="136"/>
        <v>6</v>
      </c>
      <c r="I452" s="443">
        <f>VLOOKUP(D452,'Orçamento Analitico'!D:L,9,FALSE())</f>
        <v>42.3</v>
      </c>
      <c r="J452" s="443">
        <f t="shared" si="137"/>
        <v>53.08</v>
      </c>
      <c r="K452" s="443">
        <f t="shared" si="138"/>
        <v>253.8</v>
      </c>
      <c r="L452" s="443">
        <f t="shared" si="139"/>
        <v>318.48</v>
      </c>
      <c r="M452" s="521" t="e">
        <f t="shared" si="112"/>
        <v>#N/A</v>
      </c>
      <c r="N452" s="464">
        <v>2</v>
      </c>
      <c r="O452" s="465"/>
      <c r="P452" s="465"/>
      <c r="Q452" s="465">
        <v>2</v>
      </c>
      <c r="R452" s="465">
        <v>2</v>
      </c>
      <c r="S452" s="465"/>
      <c r="T452" s="465"/>
      <c r="U452" s="479"/>
      <c r="V452" s="422"/>
      <c r="W452" s="422"/>
      <c r="X452" s="422"/>
      <c r="Y452" s="422"/>
      <c r="Z452" s="422"/>
    </row>
    <row r="453" ht="46.5" customHeight="1" spans="1:26">
      <c r="A453" s="422" t="str">
        <f t="shared" si="134"/>
        <v> 12.3 </v>
      </c>
      <c r="B453" s="423" t="str">
        <f t="shared" si="135"/>
        <v> 12.3 </v>
      </c>
      <c r="C453" s="441" t="s">
        <v>1227</v>
      </c>
      <c r="D453" s="442" t="s">
        <v>1228</v>
      </c>
      <c r="E453" s="441" t="s">
        <v>149</v>
      </c>
      <c r="F453" s="441" t="s">
        <v>1229</v>
      </c>
      <c r="G453" s="442" t="s">
        <v>134</v>
      </c>
      <c r="H453" s="443">
        <f t="shared" si="136"/>
        <v>335</v>
      </c>
      <c r="I453" s="443">
        <f>VLOOKUP(D453,'Orçamento Analitico'!D:L,9,FALSE())</f>
        <v>11.93</v>
      </c>
      <c r="J453" s="443">
        <f t="shared" si="137"/>
        <v>14.97</v>
      </c>
      <c r="K453" s="443">
        <f t="shared" si="138"/>
        <v>3996.55</v>
      </c>
      <c r="L453" s="443">
        <f t="shared" si="139"/>
        <v>5014.95</v>
      </c>
      <c r="M453" s="521" t="e">
        <f t="shared" si="112"/>
        <v>#N/A</v>
      </c>
      <c r="N453" s="464">
        <v>113</v>
      </c>
      <c r="O453" s="465"/>
      <c r="P453" s="465"/>
      <c r="Q453" s="465">
        <v>111</v>
      </c>
      <c r="R453" s="465">
        <v>111</v>
      </c>
      <c r="S453" s="465"/>
      <c r="T453" s="465"/>
      <c r="U453" s="479"/>
      <c r="V453" s="422"/>
      <c r="W453" s="422"/>
      <c r="X453" s="422"/>
      <c r="Y453" s="422"/>
      <c r="Z453" s="422"/>
    </row>
    <row r="454" ht="46.5" customHeight="1" spans="1:26">
      <c r="A454" s="422" t="str">
        <f t="shared" si="134"/>
        <v> 12.3 </v>
      </c>
      <c r="B454" s="423" t="str">
        <f t="shared" si="135"/>
        <v> 12.3 </v>
      </c>
      <c r="C454" s="441" t="s">
        <v>1230</v>
      </c>
      <c r="D454" s="442" t="s">
        <v>1071</v>
      </c>
      <c r="E454" s="441" t="s">
        <v>77</v>
      </c>
      <c r="F454" s="441" t="s">
        <v>1072</v>
      </c>
      <c r="G454" s="442" t="s">
        <v>204</v>
      </c>
      <c r="H454" s="443">
        <f t="shared" si="136"/>
        <v>687</v>
      </c>
      <c r="I454" s="443">
        <f>VLOOKUP(D454,'Orçamento Analitico'!D:L,9,FALSE())</f>
        <v>17.72</v>
      </c>
      <c r="J454" s="443">
        <f t="shared" si="137"/>
        <v>22.23</v>
      </c>
      <c r="K454" s="443">
        <f t="shared" si="138"/>
        <v>12173.64</v>
      </c>
      <c r="L454" s="443">
        <f t="shared" si="139"/>
        <v>15272.01</v>
      </c>
      <c r="M454" s="521" t="e">
        <f t="shared" si="112"/>
        <v>#N/A</v>
      </c>
      <c r="N454" s="464"/>
      <c r="O454" s="465"/>
      <c r="P454" s="465">
        <v>0</v>
      </c>
      <c r="Q454" s="465">
        <v>265</v>
      </c>
      <c r="R454" s="465">
        <v>373</v>
      </c>
      <c r="S454" s="465">
        <v>23</v>
      </c>
      <c r="T454" s="465">
        <v>26</v>
      </c>
      <c r="U454" s="479"/>
      <c r="V454" s="422"/>
      <c r="W454" s="422"/>
      <c r="X454" s="422"/>
      <c r="Y454" s="422"/>
      <c r="Z454" s="422"/>
    </row>
    <row r="455" ht="46.5" customHeight="1" spans="1:26">
      <c r="A455" s="422" t="str">
        <f t="shared" si="134"/>
        <v> 12.3 </v>
      </c>
      <c r="B455" s="423" t="str">
        <f t="shared" si="135"/>
        <v> 12.3 </v>
      </c>
      <c r="C455" s="441" t="s">
        <v>1231</v>
      </c>
      <c r="D455" s="442" t="s">
        <v>1077</v>
      </c>
      <c r="E455" s="441" t="s">
        <v>77</v>
      </c>
      <c r="F455" s="441" t="s">
        <v>1078</v>
      </c>
      <c r="G455" s="442" t="s">
        <v>204</v>
      </c>
      <c r="H455" s="443">
        <f t="shared" si="136"/>
        <v>189</v>
      </c>
      <c r="I455" s="443">
        <f>VLOOKUP(D455,'Orçamento Analitico'!D:L,9,FALSE())</f>
        <v>32.26</v>
      </c>
      <c r="J455" s="443">
        <f t="shared" si="137"/>
        <v>40.48</v>
      </c>
      <c r="K455" s="443">
        <f t="shared" si="138"/>
        <v>6097.14</v>
      </c>
      <c r="L455" s="443">
        <f t="shared" si="139"/>
        <v>7650.72</v>
      </c>
      <c r="M455" s="521" t="e">
        <f t="shared" si="112"/>
        <v>#N/A</v>
      </c>
      <c r="N455" s="464"/>
      <c r="O455" s="465"/>
      <c r="P455" s="465"/>
      <c r="Q455" s="465"/>
      <c r="R455" s="465"/>
      <c r="S455" s="465">
        <f>54+22+12+12</f>
        <v>100</v>
      </c>
      <c r="T455" s="465">
        <v>89</v>
      </c>
      <c r="U455" s="479"/>
      <c r="V455" s="422"/>
      <c r="W455" s="422"/>
      <c r="X455" s="422"/>
      <c r="Y455" s="422"/>
      <c r="Z455" s="422"/>
    </row>
    <row r="456" ht="46.5" customHeight="1" spans="1:26">
      <c r="A456" s="422" t="str">
        <f t="shared" si="134"/>
        <v> 12.3 </v>
      </c>
      <c r="B456" s="423" t="str">
        <f t="shared" si="135"/>
        <v> 12.3 </v>
      </c>
      <c r="C456" s="441" t="s">
        <v>1232</v>
      </c>
      <c r="D456" s="442" t="s">
        <v>1098</v>
      </c>
      <c r="E456" s="441" t="s">
        <v>139</v>
      </c>
      <c r="F456" s="441" t="s">
        <v>1099</v>
      </c>
      <c r="G456" s="442" t="s">
        <v>134</v>
      </c>
      <c r="H456" s="443">
        <f t="shared" si="136"/>
        <v>3</v>
      </c>
      <c r="I456" s="443">
        <f>VLOOKUP(D456,'Orçamento Analitico'!D:L,9,FALSE())</f>
        <v>32.61</v>
      </c>
      <c r="J456" s="443">
        <f t="shared" si="137"/>
        <v>40.92</v>
      </c>
      <c r="K456" s="443">
        <f t="shared" si="138"/>
        <v>97.83</v>
      </c>
      <c r="L456" s="443">
        <f t="shared" si="139"/>
        <v>122.76</v>
      </c>
      <c r="M456" s="521" t="e">
        <f t="shared" ref="M456:M519" si="140">K456/$L$1062</f>
        <v>#N/A</v>
      </c>
      <c r="N456" s="464"/>
      <c r="O456" s="465"/>
      <c r="P456" s="465"/>
      <c r="Q456" s="465">
        <v>1</v>
      </c>
      <c r="R456" s="465">
        <v>2</v>
      </c>
      <c r="S456" s="465"/>
      <c r="T456" s="465"/>
      <c r="U456" s="479"/>
      <c r="V456" s="422"/>
      <c r="W456" s="422"/>
      <c r="X456" s="422"/>
      <c r="Y456" s="422"/>
      <c r="Z456" s="422"/>
    </row>
    <row r="457" ht="46.5" customHeight="1" spans="1:26">
      <c r="A457" s="422" t="str">
        <f t="shared" si="134"/>
        <v> 12.3 </v>
      </c>
      <c r="B457" s="423" t="str">
        <f t="shared" si="135"/>
        <v> 12.3 </v>
      </c>
      <c r="C457" s="441" t="s">
        <v>1233</v>
      </c>
      <c r="D457" s="442" t="s">
        <v>1101</v>
      </c>
      <c r="E457" s="441" t="s">
        <v>139</v>
      </c>
      <c r="F457" s="441" t="s">
        <v>1102</v>
      </c>
      <c r="G457" s="442" t="s">
        <v>134</v>
      </c>
      <c r="H457" s="443">
        <f t="shared" si="136"/>
        <v>17</v>
      </c>
      <c r="I457" s="443">
        <f>VLOOKUP(D457,'Orçamento Analitico'!D:L,9,FALSE())</f>
        <v>37.88</v>
      </c>
      <c r="J457" s="443">
        <f t="shared" si="137"/>
        <v>47.53</v>
      </c>
      <c r="K457" s="443">
        <f t="shared" si="138"/>
        <v>643.96</v>
      </c>
      <c r="L457" s="443">
        <f t="shared" si="139"/>
        <v>808.01</v>
      </c>
      <c r="M457" s="521" t="e">
        <f t="shared" si="140"/>
        <v>#N/A</v>
      </c>
      <c r="N457" s="464"/>
      <c r="O457" s="465"/>
      <c r="P457" s="465">
        <v>0</v>
      </c>
      <c r="Q457" s="465">
        <v>3</v>
      </c>
      <c r="R457" s="465">
        <v>4</v>
      </c>
      <c r="S457" s="465">
        <v>5</v>
      </c>
      <c r="T457" s="465">
        <v>5</v>
      </c>
      <c r="U457" s="479"/>
      <c r="V457" s="422"/>
      <c r="W457" s="422"/>
      <c r="X457" s="422"/>
      <c r="Y457" s="422"/>
      <c r="Z457" s="422"/>
    </row>
    <row r="458" ht="46.5" customHeight="1" spans="1:26">
      <c r="A458" s="422" t="str">
        <f t="shared" si="134"/>
        <v> 12.3 </v>
      </c>
      <c r="B458" s="423" t="str">
        <f t="shared" si="135"/>
        <v> 12.3 </v>
      </c>
      <c r="C458" s="441" t="s">
        <v>1234</v>
      </c>
      <c r="D458" s="442" t="s">
        <v>1235</v>
      </c>
      <c r="E458" s="441" t="s">
        <v>132</v>
      </c>
      <c r="F458" s="441" t="s">
        <v>1236</v>
      </c>
      <c r="G458" s="442" t="s">
        <v>134</v>
      </c>
      <c r="H458" s="443">
        <f t="shared" si="136"/>
        <v>13</v>
      </c>
      <c r="I458" s="443">
        <f>VLOOKUP(D458,'Orçamento Analitico'!D:L,9,FALSE())</f>
        <v>82.9</v>
      </c>
      <c r="J458" s="443">
        <f t="shared" si="137"/>
        <v>104.03</v>
      </c>
      <c r="K458" s="443">
        <f t="shared" si="138"/>
        <v>1077.7</v>
      </c>
      <c r="L458" s="443">
        <f t="shared" si="139"/>
        <v>1352.39</v>
      </c>
      <c r="M458" s="521" t="e">
        <f t="shared" si="140"/>
        <v>#N/A</v>
      </c>
      <c r="N458" s="464"/>
      <c r="O458" s="465"/>
      <c r="P458" s="465"/>
      <c r="Q458" s="465"/>
      <c r="R458" s="465"/>
      <c r="S458" s="465">
        <v>8</v>
      </c>
      <c r="T458" s="465">
        <v>5</v>
      </c>
      <c r="U458" s="479"/>
      <c r="V458" s="422"/>
      <c r="W458" s="422"/>
      <c r="X458" s="422"/>
      <c r="Y458" s="422"/>
      <c r="Z458" s="422"/>
    </row>
    <row r="459" ht="46.5" customHeight="1" spans="1:26">
      <c r="A459" s="422" t="str">
        <f t="shared" si="134"/>
        <v> 12.3 </v>
      </c>
      <c r="B459" s="423" t="str">
        <f t="shared" si="135"/>
        <v> 12.3 </v>
      </c>
      <c r="C459" s="441" t="s">
        <v>1237</v>
      </c>
      <c r="D459" s="442" t="s">
        <v>1104</v>
      </c>
      <c r="E459" s="441" t="s">
        <v>139</v>
      </c>
      <c r="F459" s="441" t="s">
        <v>1105</v>
      </c>
      <c r="G459" s="442" t="s">
        <v>134</v>
      </c>
      <c r="H459" s="443">
        <f t="shared" si="136"/>
        <v>15</v>
      </c>
      <c r="I459" s="443">
        <f>VLOOKUP(D459,'Orçamento Analitico'!D:L,9,FALSE())</f>
        <v>33.25</v>
      </c>
      <c r="J459" s="443">
        <f t="shared" si="137"/>
        <v>41.72</v>
      </c>
      <c r="K459" s="443">
        <f t="shared" si="138"/>
        <v>498.75</v>
      </c>
      <c r="L459" s="443">
        <f t="shared" si="139"/>
        <v>625.8</v>
      </c>
      <c r="M459" s="521" t="e">
        <f t="shared" si="140"/>
        <v>#N/A</v>
      </c>
      <c r="N459" s="464"/>
      <c r="O459" s="465"/>
      <c r="P459" s="465">
        <v>0</v>
      </c>
      <c r="Q459" s="465"/>
      <c r="R459" s="465"/>
      <c r="S459" s="465">
        <v>13</v>
      </c>
      <c r="T459" s="465">
        <v>2</v>
      </c>
      <c r="U459" s="479"/>
      <c r="V459" s="422"/>
      <c r="W459" s="422"/>
      <c r="X459" s="422"/>
      <c r="Y459" s="422"/>
      <c r="Z459" s="422"/>
    </row>
    <row r="460" ht="46.5" customHeight="1" spans="1:26">
      <c r="A460" s="422" t="str">
        <f t="shared" si="134"/>
        <v> 12.3 </v>
      </c>
      <c r="B460" s="423" t="str">
        <f t="shared" si="135"/>
        <v> 12.3 </v>
      </c>
      <c r="C460" s="441" t="s">
        <v>1238</v>
      </c>
      <c r="D460" s="442" t="s">
        <v>1239</v>
      </c>
      <c r="E460" s="441" t="s">
        <v>132</v>
      </c>
      <c r="F460" s="441" t="s">
        <v>1240</v>
      </c>
      <c r="G460" s="442" t="s">
        <v>134</v>
      </c>
      <c r="H460" s="443">
        <f t="shared" si="136"/>
        <v>11</v>
      </c>
      <c r="I460" s="443">
        <f>VLOOKUP(D460,'Orçamento Analitico'!D:L,9,FALSE())</f>
        <v>69.03</v>
      </c>
      <c r="J460" s="443">
        <f t="shared" si="137"/>
        <v>86.62</v>
      </c>
      <c r="K460" s="443">
        <f t="shared" si="138"/>
        <v>759.33</v>
      </c>
      <c r="L460" s="443">
        <f t="shared" si="139"/>
        <v>952.82</v>
      </c>
      <c r="M460" s="521" t="e">
        <f t="shared" si="140"/>
        <v>#N/A</v>
      </c>
      <c r="N460" s="464"/>
      <c r="O460" s="465"/>
      <c r="P460" s="465"/>
      <c r="Q460" s="465"/>
      <c r="R460" s="465"/>
      <c r="S460" s="465">
        <v>7</v>
      </c>
      <c r="T460" s="465">
        <v>4</v>
      </c>
      <c r="U460" s="479"/>
      <c r="V460" s="422"/>
      <c r="W460" s="422"/>
      <c r="X460" s="422"/>
      <c r="Y460" s="422"/>
      <c r="Z460" s="422"/>
    </row>
    <row r="461" ht="46.5" customHeight="1" spans="1:26">
      <c r="A461" s="422" t="str">
        <f t="shared" si="134"/>
        <v> 12.3 </v>
      </c>
      <c r="B461" s="423" t="str">
        <f t="shared" si="135"/>
        <v> 12.3 </v>
      </c>
      <c r="C461" s="441" t="s">
        <v>1241</v>
      </c>
      <c r="D461" s="442" t="s">
        <v>1242</v>
      </c>
      <c r="E461" s="441" t="s">
        <v>139</v>
      </c>
      <c r="F461" s="441" t="s">
        <v>1243</v>
      </c>
      <c r="G461" s="442" t="s">
        <v>134</v>
      </c>
      <c r="H461" s="443">
        <f t="shared" si="136"/>
        <v>131</v>
      </c>
      <c r="I461" s="443">
        <f>VLOOKUP(D461,'Orçamento Analitico'!D:L,9,FALSE())</f>
        <v>27.14</v>
      </c>
      <c r="J461" s="443">
        <f t="shared" si="137"/>
        <v>34.05</v>
      </c>
      <c r="K461" s="443">
        <f t="shared" si="138"/>
        <v>3555.34</v>
      </c>
      <c r="L461" s="443">
        <f t="shared" si="139"/>
        <v>4460.55</v>
      </c>
      <c r="M461" s="521" t="e">
        <f t="shared" si="140"/>
        <v>#N/A</v>
      </c>
      <c r="N461" s="464"/>
      <c r="O461" s="465"/>
      <c r="P461" s="465">
        <v>0</v>
      </c>
      <c r="Q461" s="465">
        <v>56</v>
      </c>
      <c r="R461" s="465">
        <f>39+36</f>
        <v>75</v>
      </c>
      <c r="S461" s="465"/>
      <c r="T461" s="465"/>
      <c r="U461" s="479"/>
      <c r="V461" s="422"/>
      <c r="W461" s="422"/>
      <c r="X461" s="422"/>
      <c r="Y461" s="422"/>
      <c r="Z461" s="422"/>
    </row>
    <row r="462" ht="46.5" customHeight="1" spans="1:26">
      <c r="A462" s="422" t="str">
        <f t="shared" si="134"/>
        <v> 12.3 </v>
      </c>
      <c r="B462" s="423" t="str">
        <f t="shared" si="135"/>
        <v> 12.3 </v>
      </c>
      <c r="C462" s="441" t="s">
        <v>1244</v>
      </c>
      <c r="D462" s="442" t="s">
        <v>1119</v>
      </c>
      <c r="E462" s="441" t="s">
        <v>132</v>
      </c>
      <c r="F462" s="441" t="s">
        <v>1120</v>
      </c>
      <c r="G462" s="442" t="s">
        <v>134</v>
      </c>
      <c r="H462" s="443">
        <f t="shared" si="136"/>
        <v>456</v>
      </c>
      <c r="I462" s="443">
        <f>VLOOKUP(D462,'Orçamento Analitico'!D:L,9,FALSE())</f>
        <v>11.38</v>
      </c>
      <c r="J462" s="443">
        <f t="shared" si="137"/>
        <v>14.28</v>
      </c>
      <c r="K462" s="443">
        <f t="shared" si="138"/>
        <v>5189.28</v>
      </c>
      <c r="L462" s="443">
        <f t="shared" si="139"/>
        <v>6511.68</v>
      </c>
      <c r="M462" s="521" t="e">
        <f t="shared" si="140"/>
        <v>#N/A</v>
      </c>
      <c r="N462" s="464">
        <f t="shared" ref="N462:T462" si="141">TRUNC(N454/1.5,0)</f>
        <v>0</v>
      </c>
      <c r="O462" s="465">
        <f t="shared" si="141"/>
        <v>0</v>
      </c>
      <c r="P462" s="465">
        <f t="shared" si="141"/>
        <v>0</v>
      </c>
      <c r="Q462" s="465">
        <f t="shared" si="141"/>
        <v>176</v>
      </c>
      <c r="R462" s="465">
        <f t="shared" si="141"/>
        <v>248</v>
      </c>
      <c r="S462" s="465">
        <f t="shared" si="141"/>
        <v>15</v>
      </c>
      <c r="T462" s="465">
        <f t="shared" si="141"/>
        <v>17</v>
      </c>
      <c r="U462" s="479"/>
      <c r="V462" s="422"/>
      <c r="W462" s="422"/>
      <c r="X462" s="422"/>
      <c r="Y462" s="422"/>
      <c r="Z462" s="422"/>
    </row>
    <row r="463" ht="46.5" customHeight="1" spans="1:26">
      <c r="A463" s="422" t="str">
        <f t="shared" si="134"/>
        <v> 12.3 </v>
      </c>
      <c r="B463" s="423" t="str">
        <f t="shared" si="135"/>
        <v> 12.3 </v>
      </c>
      <c r="C463" s="441" t="s">
        <v>1245</v>
      </c>
      <c r="D463" s="442" t="s">
        <v>1125</v>
      </c>
      <c r="E463" s="441" t="s">
        <v>132</v>
      </c>
      <c r="F463" s="441" t="s">
        <v>1126</v>
      </c>
      <c r="G463" s="442" t="s">
        <v>134</v>
      </c>
      <c r="H463" s="443">
        <f t="shared" si="136"/>
        <v>125</v>
      </c>
      <c r="I463" s="443">
        <f>VLOOKUP(D463,'Orçamento Analitico'!D:L,9,FALSE())</f>
        <v>13.99</v>
      </c>
      <c r="J463" s="443">
        <f t="shared" si="137"/>
        <v>17.55</v>
      </c>
      <c r="K463" s="443">
        <f t="shared" si="138"/>
        <v>1748.75</v>
      </c>
      <c r="L463" s="443">
        <f t="shared" si="139"/>
        <v>2193.75</v>
      </c>
      <c r="M463" s="521" t="e">
        <f t="shared" si="140"/>
        <v>#N/A</v>
      </c>
      <c r="N463" s="464">
        <f t="shared" ref="N463:T463" si="142">TRUNC(N455/1.5,0)</f>
        <v>0</v>
      </c>
      <c r="O463" s="465">
        <f t="shared" si="142"/>
        <v>0</v>
      </c>
      <c r="P463" s="465">
        <f t="shared" si="142"/>
        <v>0</v>
      </c>
      <c r="Q463" s="465">
        <f t="shared" si="142"/>
        <v>0</v>
      </c>
      <c r="R463" s="465">
        <f t="shared" si="142"/>
        <v>0</v>
      </c>
      <c r="S463" s="465">
        <f t="shared" si="142"/>
        <v>66</v>
      </c>
      <c r="T463" s="465">
        <f t="shared" si="142"/>
        <v>59</v>
      </c>
      <c r="U463" s="479"/>
      <c r="V463" s="422"/>
      <c r="W463" s="422"/>
      <c r="X463" s="422"/>
      <c r="Y463" s="422"/>
      <c r="Z463" s="422"/>
    </row>
    <row r="464" ht="46.5" customHeight="1" spans="1:26">
      <c r="A464" s="422" t="str">
        <f t="shared" si="134"/>
        <v> 12.3 </v>
      </c>
      <c r="B464" s="423" t="str">
        <f t="shared" si="135"/>
        <v> 12.3 </v>
      </c>
      <c r="C464" s="441" t="s">
        <v>1246</v>
      </c>
      <c r="D464" s="442" t="s">
        <v>859</v>
      </c>
      <c r="E464" s="441" t="s">
        <v>132</v>
      </c>
      <c r="F464" s="441" t="s">
        <v>860</v>
      </c>
      <c r="G464" s="442" t="s">
        <v>134</v>
      </c>
      <c r="H464" s="443">
        <f t="shared" si="136"/>
        <v>581</v>
      </c>
      <c r="I464" s="443">
        <f>VLOOKUP(D464,'Orçamento Analitico'!D:L,9,FALSE())</f>
        <v>25.31</v>
      </c>
      <c r="J464" s="443">
        <f t="shared" si="137"/>
        <v>31.76</v>
      </c>
      <c r="K464" s="443">
        <f t="shared" si="138"/>
        <v>14705.11</v>
      </c>
      <c r="L464" s="443">
        <f t="shared" si="139"/>
        <v>18452.56</v>
      </c>
      <c r="M464" s="521" t="e">
        <f t="shared" si="140"/>
        <v>#N/A</v>
      </c>
      <c r="N464" s="464">
        <f t="shared" ref="N464:T464" si="143">SUM(N462:N463)</f>
        <v>0</v>
      </c>
      <c r="O464" s="465">
        <f t="shared" si="143"/>
        <v>0</v>
      </c>
      <c r="P464" s="465">
        <f t="shared" si="143"/>
        <v>0</v>
      </c>
      <c r="Q464" s="465">
        <f t="shared" si="143"/>
        <v>176</v>
      </c>
      <c r="R464" s="465">
        <f t="shared" si="143"/>
        <v>248</v>
      </c>
      <c r="S464" s="465">
        <f t="shared" si="143"/>
        <v>81</v>
      </c>
      <c r="T464" s="465">
        <f t="shared" si="143"/>
        <v>76</v>
      </c>
      <c r="U464" s="479"/>
      <c r="V464" s="422"/>
      <c r="W464" s="422"/>
      <c r="X464" s="422"/>
      <c r="Y464" s="422"/>
      <c r="Z464" s="422"/>
    </row>
    <row r="465" ht="21" customHeight="1" spans="1:26">
      <c r="A465" s="422" t="str">
        <f t="shared" si="134"/>
        <v> 12.3 </v>
      </c>
      <c r="B465" s="423" t="str">
        <f t="shared" si="135"/>
        <v> 12.3 </v>
      </c>
      <c r="C465" s="510" t="s">
        <v>1247</v>
      </c>
      <c r="D465" s="511" t="s">
        <v>862</v>
      </c>
      <c r="E465" s="510" t="s">
        <v>796</v>
      </c>
      <c r="F465" s="510" t="s">
        <v>863</v>
      </c>
      <c r="G465" s="511" t="s">
        <v>334</v>
      </c>
      <c r="H465" s="512">
        <f t="shared" si="136"/>
        <v>2324</v>
      </c>
      <c r="I465" s="512">
        <f>VLOOKUP(D465,'Orçamento Analitico'!D:L,9,FALSE())</f>
        <v>0.06</v>
      </c>
      <c r="J465" s="512">
        <f t="shared" si="137"/>
        <v>0.07</v>
      </c>
      <c r="K465" s="512">
        <f t="shared" si="138"/>
        <v>139.44</v>
      </c>
      <c r="L465" s="512">
        <f t="shared" si="139"/>
        <v>162.68</v>
      </c>
      <c r="M465" s="513" t="e">
        <f t="shared" si="140"/>
        <v>#N/A</v>
      </c>
      <c r="N465" s="464">
        <f t="shared" ref="N465:T465" si="144">SUM(N462:N463)*4</f>
        <v>0</v>
      </c>
      <c r="O465" s="465">
        <f t="shared" si="144"/>
        <v>0</v>
      </c>
      <c r="P465" s="465">
        <f t="shared" si="144"/>
        <v>0</v>
      </c>
      <c r="Q465" s="465">
        <f t="shared" si="144"/>
        <v>704</v>
      </c>
      <c r="R465" s="465">
        <f t="shared" si="144"/>
        <v>992</v>
      </c>
      <c r="S465" s="465">
        <f t="shared" si="144"/>
        <v>324</v>
      </c>
      <c r="T465" s="465">
        <f t="shared" si="144"/>
        <v>304</v>
      </c>
      <c r="U465" s="479"/>
      <c r="V465" s="422"/>
      <c r="W465" s="422"/>
      <c r="X465" s="422"/>
      <c r="Y465" s="422"/>
      <c r="Z465" s="422"/>
    </row>
    <row r="466" ht="46.5" customHeight="1" spans="1:26">
      <c r="A466" s="422" t="str">
        <f t="shared" si="134"/>
        <v> 12.3 </v>
      </c>
      <c r="B466" s="423" t="str">
        <f t="shared" si="135"/>
        <v> 12.3 </v>
      </c>
      <c r="C466" s="441" t="s">
        <v>1248</v>
      </c>
      <c r="D466" s="442" t="s">
        <v>865</v>
      </c>
      <c r="E466" s="441" t="s">
        <v>132</v>
      </c>
      <c r="F466" s="441" t="s">
        <v>866</v>
      </c>
      <c r="G466" s="442" t="s">
        <v>134</v>
      </c>
      <c r="H466" s="443">
        <f t="shared" si="136"/>
        <v>1162</v>
      </c>
      <c r="I466" s="443">
        <f>VLOOKUP(D466,'Orçamento Analitico'!D:L,9,FALSE())</f>
        <v>0.12</v>
      </c>
      <c r="J466" s="443">
        <f t="shared" si="137"/>
        <v>0.15</v>
      </c>
      <c r="K466" s="443">
        <f t="shared" si="138"/>
        <v>139.44</v>
      </c>
      <c r="L466" s="443">
        <f t="shared" si="139"/>
        <v>174.3</v>
      </c>
      <c r="M466" s="521" t="e">
        <f t="shared" si="140"/>
        <v>#N/A</v>
      </c>
      <c r="N466" s="464">
        <f t="shared" ref="N466:T466" si="145">ROUND(N464*2,0)</f>
        <v>0</v>
      </c>
      <c r="O466" s="465">
        <f t="shared" si="145"/>
        <v>0</v>
      </c>
      <c r="P466" s="465">
        <f t="shared" si="145"/>
        <v>0</v>
      </c>
      <c r="Q466" s="465">
        <f t="shared" si="145"/>
        <v>352</v>
      </c>
      <c r="R466" s="465">
        <f t="shared" si="145"/>
        <v>496</v>
      </c>
      <c r="S466" s="465">
        <f t="shared" si="145"/>
        <v>162</v>
      </c>
      <c r="T466" s="465">
        <f t="shared" si="145"/>
        <v>152</v>
      </c>
      <c r="U466" s="479"/>
      <c r="V466" s="422"/>
      <c r="W466" s="422"/>
      <c r="X466" s="422"/>
      <c r="Y466" s="422"/>
      <c r="Z466" s="422"/>
    </row>
    <row r="467" ht="46.5" customHeight="1" spans="1:26">
      <c r="A467" s="422" t="str">
        <f t="shared" si="134"/>
        <v> 12.3 </v>
      </c>
      <c r="B467" s="423" t="str">
        <f t="shared" si="135"/>
        <v> 12.3 </v>
      </c>
      <c r="C467" s="441" t="s">
        <v>1249</v>
      </c>
      <c r="D467" s="442" t="s">
        <v>1250</v>
      </c>
      <c r="E467" s="441" t="s">
        <v>132</v>
      </c>
      <c r="F467" s="441" t="s">
        <v>1251</v>
      </c>
      <c r="G467" s="442" t="s">
        <v>134</v>
      </c>
      <c r="H467" s="443">
        <f t="shared" si="136"/>
        <v>456</v>
      </c>
      <c r="I467" s="443">
        <f>VLOOKUP(D467,'Orçamento Analitico'!D:L,9,FALSE())</f>
        <v>3.33</v>
      </c>
      <c r="J467" s="443">
        <f t="shared" si="137"/>
        <v>4.17</v>
      </c>
      <c r="K467" s="443">
        <f t="shared" si="138"/>
        <v>1518.48</v>
      </c>
      <c r="L467" s="443">
        <f t="shared" si="139"/>
        <v>1901.52</v>
      </c>
      <c r="M467" s="521" t="e">
        <f t="shared" si="140"/>
        <v>#N/A</v>
      </c>
      <c r="N467" s="464">
        <f t="shared" ref="N467:T467" si="146">N462</f>
        <v>0</v>
      </c>
      <c r="O467" s="465">
        <f t="shared" si="146"/>
        <v>0</v>
      </c>
      <c r="P467" s="465">
        <f t="shared" si="146"/>
        <v>0</v>
      </c>
      <c r="Q467" s="465">
        <f t="shared" si="146"/>
        <v>176</v>
      </c>
      <c r="R467" s="465">
        <f t="shared" si="146"/>
        <v>248</v>
      </c>
      <c r="S467" s="465">
        <f t="shared" si="146"/>
        <v>15</v>
      </c>
      <c r="T467" s="465">
        <f t="shared" si="146"/>
        <v>17</v>
      </c>
      <c r="U467" s="479"/>
      <c r="V467" s="422"/>
      <c r="W467" s="422"/>
      <c r="X467" s="422"/>
      <c r="Y467" s="422"/>
      <c r="Z467" s="422"/>
    </row>
    <row r="468" ht="46.5" customHeight="1" spans="1:26">
      <c r="A468" s="422" t="str">
        <f t="shared" si="134"/>
        <v> 12.3 </v>
      </c>
      <c r="B468" s="423" t="str">
        <f t="shared" si="135"/>
        <v> 12.3 </v>
      </c>
      <c r="C468" s="441" t="s">
        <v>1252</v>
      </c>
      <c r="D468" s="442" t="s">
        <v>1253</v>
      </c>
      <c r="E468" s="441" t="s">
        <v>132</v>
      </c>
      <c r="F468" s="441" t="s">
        <v>1254</v>
      </c>
      <c r="G468" s="442" t="s">
        <v>134</v>
      </c>
      <c r="H468" s="443">
        <f t="shared" si="136"/>
        <v>125</v>
      </c>
      <c r="I468" s="443">
        <f>VLOOKUP(D468,'Orçamento Analitico'!D:L,9,FALSE())</f>
        <v>6.47</v>
      </c>
      <c r="J468" s="443">
        <f t="shared" si="137"/>
        <v>8.11</v>
      </c>
      <c r="K468" s="443">
        <f t="shared" si="138"/>
        <v>808.75</v>
      </c>
      <c r="L468" s="443">
        <f t="shared" si="139"/>
        <v>1013.75</v>
      </c>
      <c r="M468" s="521" t="e">
        <f t="shared" si="140"/>
        <v>#N/A</v>
      </c>
      <c r="N468" s="464">
        <f t="shared" ref="N468:T468" si="147">N463</f>
        <v>0</v>
      </c>
      <c r="O468" s="465">
        <f t="shared" si="147"/>
        <v>0</v>
      </c>
      <c r="P468" s="465">
        <f t="shared" si="147"/>
        <v>0</v>
      </c>
      <c r="Q468" s="465">
        <f t="shared" si="147"/>
        <v>0</v>
      </c>
      <c r="R468" s="465">
        <f t="shared" si="147"/>
        <v>0</v>
      </c>
      <c r="S468" s="465">
        <f t="shared" si="147"/>
        <v>66</v>
      </c>
      <c r="T468" s="465">
        <f t="shared" si="147"/>
        <v>59</v>
      </c>
      <c r="U468" s="479"/>
      <c r="V468" s="422"/>
      <c r="W468" s="422"/>
      <c r="X468" s="422"/>
      <c r="Y468" s="422"/>
      <c r="Z468" s="422"/>
    </row>
    <row r="469" ht="46.5" customHeight="1" spans="1:26">
      <c r="A469" s="422" t="str">
        <f t="shared" si="134"/>
        <v> 12.3 </v>
      </c>
      <c r="B469" s="423" t="str">
        <f t="shared" si="135"/>
        <v> 12.3 </v>
      </c>
      <c r="C469" s="441" t="s">
        <v>1255</v>
      </c>
      <c r="D469" s="442" t="s">
        <v>1256</v>
      </c>
      <c r="E469" s="441" t="s">
        <v>139</v>
      </c>
      <c r="F469" s="441" t="s">
        <v>1257</v>
      </c>
      <c r="G469" s="442" t="s">
        <v>204</v>
      </c>
      <c r="H469" s="443">
        <f t="shared" si="136"/>
        <v>140</v>
      </c>
      <c r="I469" s="443">
        <f>VLOOKUP(D469,'Orçamento Analitico'!D:L,9,FALSE())</f>
        <v>14.8</v>
      </c>
      <c r="J469" s="443">
        <f t="shared" si="137"/>
        <v>18.57</v>
      </c>
      <c r="K469" s="443">
        <f t="shared" si="138"/>
        <v>2072</v>
      </c>
      <c r="L469" s="443">
        <f t="shared" si="139"/>
        <v>2599.8</v>
      </c>
      <c r="M469" s="521" t="e">
        <f t="shared" si="140"/>
        <v>#N/A</v>
      </c>
      <c r="N469" s="464">
        <v>140</v>
      </c>
      <c r="O469" s="465"/>
      <c r="P469" s="465"/>
      <c r="Q469" s="465"/>
      <c r="R469" s="465"/>
      <c r="S469" s="465"/>
      <c r="T469" s="465"/>
      <c r="U469" s="479"/>
      <c r="V469" s="422"/>
      <c r="W469" s="422"/>
      <c r="X469" s="422"/>
      <c r="Y469" s="422"/>
      <c r="Z469" s="422"/>
    </row>
    <row r="470" ht="46.5" customHeight="1" spans="1:26">
      <c r="A470" s="422" t="str">
        <f t="shared" si="134"/>
        <v> 12.3 </v>
      </c>
      <c r="B470" s="423" t="str">
        <f t="shared" si="135"/>
        <v> 12.3 </v>
      </c>
      <c r="C470" s="441" t="s">
        <v>1258</v>
      </c>
      <c r="D470" s="442" t="s">
        <v>1259</v>
      </c>
      <c r="E470" s="441" t="s">
        <v>149</v>
      </c>
      <c r="F470" s="441" t="s">
        <v>1260</v>
      </c>
      <c r="G470" s="442" t="s">
        <v>204</v>
      </c>
      <c r="H470" s="443">
        <f t="shared" si="136"/>
        <v>140</v>
      </c>
      <c r="I470" s="443">
        <f>VLOOKUP(D470,'Orçamento Analitico'!D:L,9,FALSE())</f>
        <v>76.33</v>
      </c>
      <c r="J470" s="443">
        <f t="shared" si="137"/>
        <v>95.78</v>
      </c>
      <c r="K470" s="443">
        <f t="shared" si="138"/>
        <v>10686.2</v>
      </c>
      <c r="L470" s="443">
        <f t="shared" si="139"/>
        <v>13409.2</v>
      </c>
      <c r="M470" s="521" t="e">
        <f t="shared" si="140"/>
        <v>#N/A</v>
      </c>
      <c r="N470" s="464">
        <f>N469</f>
        <v>140</v>
      </c>
      <c r="O470" s="465"/>
      <c r="P470" s="465"/>
      <c r="Q470" s="465"/>
      <c r="R470" s="465"/>
      <c r="S470" s="465"/>
      <c r="T470" s="465"/>
      <c r="U470" s="479"/>
      <c r="V470" s="422"/>
      <c r="W470" s="422"/>
      <c r="X470" s="422"/>
      <c r="Y470" s="422"/>
      <c r="Z470" s="422"/>
    </row>
    <row r="471" ht="57.75" customHeight="1" spans="1:26">
      <c r="A471" s="422" t="str">
        <f t="shared" si="134"/>
        <v> 12.3 </v>
      </c>
      <c r="B471" s="423" t="str">
        <f t="shared" si="135"/>
        <v> 12.3 </v>
      </c>
      <c r="C471" s="441" t="s">
        <v>1261</v>
      </c>
      <c r="D471" s="442" t="s">
        <v>1262</v>
      </c>
      <c r="E471" s="441" t="s">
        <v>132</v>
      </c>
      <c r="F471" s="441" t="s">
        <v>1263</v>
      </c>
      <c r="G471" s="442" t="s">
        <v>134</v>
      </c>
      <c r="H471" s="443">
        <f t="shared" si="136"/>
        <v>6</v>
      </c>
      <c r="I471" s="443">
        <f>VLOOKUP(D471,'Orçamento Analitico'!D:L,9,FALSE())</f>
        <v>1081.08</v>
      </c>
      <c r="J471" s="443">
        <f t="shared" si="137"/>
        <v>1356.64</v>
      </c>
      <c r="K471" s="443">
        <f t="shared" si="138"/>
        <v>6486.48</v>
      </c>
      <c r="L471" s="443">
        <f t="shared" si="139"/>
        <v>8139.84</v>
      </c>
      <c r="M471" s="521" t="e">
        <f t="shared" si="140"/>
        <v>#N/A</v>
      </c>
      <c r="N471" s="464">
        <v>6</v>
      </c>
      <c r="O471" s="465"/>
      <c r="P471" s="465"/>
      <c r="Q471" s="465"/>
      <c r="R471" s="465"/>
      <c r="S471" s="465"/>
      <c r="T471" s="465"/>
      <c r="U471" s="479"/>
      <c r="V471" s="422"/>
      <c r="W471" s="422"/>
      <c r="X471" s="422"/>
      <c r="Y471" s="422"/>
      <c r="Z471" s="422"/>
    </row>
    <row r="472" ht="46.5" customHeight="1" spans="1:26">
      <c r="A472" s="422" t="str">
        <f t="shared" si="134"/>
        <v> 12.3 </v>
      </c>
      <c r="B472" s="423" t="str">
        <f t="shared" si="135"/>
        <v> 12.3 </v>
      </c>
      <c r="C472" s="441" t="s">
        <v>1264</v>
      </c>
      <c r="D472" s="442" t="s">
        <v>1265</v>
      </c>
      <c r="E472" s="441" t="s">
        <v>149</v>
      </c>
      <c r="F472" s="441" t="s">
        <v>1266</v>
      </c>
      <c r="G472" s="442" t="s">
        <v>204</v>
      </c>
      <c r="H472" s="443">
        <f t="shared" si="136"/>
        <v>5612</v>
      </c>
      <c r="I472" s="443">
        <f>VLOOKUP(D472,'Orçamento Analitico'!D:L,9,FALSE())</f>
        <v>3.84</v>
      </c>
      <c r="J472" s="443">
        <f t="shared" si="137"/>
        <v>4.81</v>
      </c>
      <c r="K472" s="443">
        <f t="shared" si="138"/>
        <v>21550.08</v>
      </c>
      <c r="L472" s="443">
        <f t="shared" si="139"/>
        <v>26993.72</v>
      </c>
      <c r="M472" s="521" t="e">
        <f t="shared" si="140"/>
        <v>#N/A</v>
      </c>
      <c r="N472" s="464">
        <v>0</v>
      </c>
      <c r="O472" s="465"/>
      <c r="P472" s="465">
        <v>0</v>
      </c>
      <c r="Q472" s="465">
        <v>1860</v>
      </c>
      <c r="R472" s="465">
        <v>2232</v>
      </c>
      <c r="S472" s="465">
        <v>1520</v>
      </c>
      <c r="T472" s="465"/>
      <c r="U472" s="479"/>
      <c r="V472" s="422"/>
      <c r="W472" s="422"/>
      <c r="X472" s="422"/>
      <c r="Y472" s="422"/>
      <c r="Z472" s="422"/>
    </row>
    <row r="473" ht="46.5" customHeight="1" spans="1:26">
      <c r="A473" s="422" t="str">
        <f t="shared" si="134"/>
        <v> 12.3 </v>
      </c>
      <c r="B473" s="423" t="str">
        <f t="shared" si="135"/>
        <v> 12.3 </v>
      </c>
      <c r="C473" s="441" t="s">
        <v>1267</v>
      </c>
      <c r="D473" s="442" t="s">
        <v>1268</v>
      </c>
      <c r="E473" s="441" t="s">
        <v>132</v>
      </c>
      <c r="F473" s="441" t="s">
        <v>1269</v>
      </c>
      <c r="G473" s="442" t="s">
        <v>204</v>
      </c>
      <c r="H473" s="443">
        <f t="shared" si="136"/>
        <v>50</v>
      </c>
      <c r="I473" s="443">
        <f>VLOOKUP(D473,'Orçamento Analitico'!D:L,9,FALSE())</f>
        <v>14.83</v>
      </c>
      <c r="J473" s="443">
        <f t="shared" si="137"/>
        <v>18.61</v>
      </c>
      <c r="K473" s="443">
        <f t="shared" si="138"/>
        <v>741.5</v>
      </c>
      <c r="L473" s="443">
        <f t="shared" si="139"/>
        <v>930.5</v>
      </c>
      <c r="M473" s="521" t="e">
        <f t="shared" si="140"/>
        <v>#N/A</v>
      </c>
      <c r="N473" s="464">
        <v>50</v>
      </c>
      <c r="O473" s="465"/>
      <c r="P473" s="465"/>
      <c r="Q473" s="465"/>
      <c r="R473" s="465"/>
      <c r="S473" s="465"/>
      <c r="T473" s="465"/>
      <c r="U473" s="479"/>
      <c r="V473" s="422"/>
      <c r="W473" s="422"/>
      <c r="X473" s="422"/>
      <c r="Y473" s="422"/>
      <c r="Z473" s="422"/>
    </row>
    <row r="474" ht="46.5" customHeight="1" spans="1:26">
      <c r="A474" s="422" t="str">
        <f t="shared" si="134"/>
        <v> 12.3 </v>
      </c>
      <c r="B474" s="423" t="str">
        <f t="shared" si="135"/>
        <v> 12.3 </v>
      </c>
      <c r="C474" s="441" t="s">
        <v>1270</v>
      </c>
      <c r="D474" s="442" t="s">
        <v>1271</v>
      </c>
      <c r="E474" s="441" t="s">
        <v>132</v>
      </c>
      <c r="F474" s="441" t="s">
        <v>1272</v>
      </c>
      <c r="G474" s="442" t="s">
        <v>204</v>
      </c>
      <c r="H474" s="443">
        <f t="shared" si="136"/>
        <v>90</v>
      </c>
      <c r="I474" s="443">
        <f>VLOOKUP(D474,'Orçamento Analitico'!D:L,9,FALSE())</f>
        <v>20.31</v>
      </c>
      <c r="J474" s="443">
        <f t="shared" si="137"/>
        <v>25.48</v>
      </c>
      <c r="K474" s="443">
        <f t="shared" si="138"/>
        <v>1827.9</v>
      </c>
      <c r="L474" s="443">
        <f t="shared" si="139"/>
        <v>2293.2</v>
      </c>
      <c r="M474" s="521" t="e">
        <f t="shared" si="140"/>
        <v>#N/A</v>
      </c>
      <c r="N474" s="464"/>
      <c r="O474" s="465"/>
      <c r="P474" s="465"/>
      <c r="Q474" s="465"/>
      <c r="R474" s="465"/>
      <c r="S474" s="465">
        <v>90</v>
      </c>
      <c r="T474" s="465"/>
      <c r="U474" s="479"/>
      <c r="V474" s="422"/>
      <c r="W474" s="422"/>
      <c r="X474" s="422"/>
      <c r="Y474" s="422"/>
      <c r="Z474" s="422"/>
    </row>
    <row r="475" ht="46.5" customHeight="1" spans="1:26">
      <c r="A475" s="422" t="str">
        <f t="shared" si="134"/>
        <v> 12.3 </v>
      </c>
      <c r="B475" s="423" t="str">
        <f t="shared" si="135"/>
        <v> 12.3 </v>
      </c>
      <c r="C475" s="441" t="s">
        <v>1273</v>
      </c>
      <c r="D475" s="442" t="s">
        <v>1274</v>
      </c>
      <c r="E475" s="441" t="s">
        <v>132</v>
      </c>
      <c r="F475" s="441" t="s">
        <v>1275</v>
      </c>
      <c r="G475" s="442" t="s">
        <v>204</v>
      </c>
      <c r="H475" s="443">
        <f t="shared" si="136"/>
        <v>160</v>
      </c>
      <c r="I475" s="443">
        <f>VLOOKUP(D475,'Orçamento Analitico'!D:L,9,FALSE())</f>
        <v>24.04</v>
      </c>
      <c r="J475" s="443">
        <f t="shared" si="137"/>
        <v>30.16</v>
      </c>
      <c r="K475" s="443">
        <f t="shared" si="138"/>
        <v>3846.4</v>
      </c>
      <c r="L475" s="443">
        <f t="shared" si="139"/>
        <v>4825.6</v>
      </c>
      <c r="M475" s="521" t="e">
        <f t="shared" si="140"/>
        <v>#N/A</v>
      </c>
      <c r="N475" s="464"/>
      <c r="O475" s="465"/>
      <c r="P475" s="465"/>
      <c r="Q475" s="465"/>
      <c r="R475" s="465"/>
      <c r="S475" s="465">
        <v>160</v>
      </c>
      <c r="T475" s="465"/>
      <c r="U475" s="479"/>
      <c r="V475" s="422"/>
      <c r="W475" s="422"/>
      <c r="X475" s="422"/>
      <c r="Y475" s="422"/>
      <c r="Z475" s="422"/>
    </row>
    <row r="476" ht="46.5" customHeight="1" spans="1:26">
      <c r="A476" s="422" t="str">
        <f t="shared" si="134"/>
        <v> 12.3 </v>
      </c>
      <c r="B476" s="423" t="str">
        <f t="shared" si="135"/>
        <v> 12.3 </v>
      </c>
      <c r="C476" s="441" t="s">
        <v>1276</v>
      </c>
      <c r="D476" s="442" t="s">
        <v>1277</v>
      </c>
      <c r="E476" s="441" t="s">
        <v>132</v>
      </c>
      <c r="F476" s="441" t="s">
        <v>1278</v>
      </c>
      <c r="G476" s="442" t="s">
        <v>204</v>
      </c>
      <c r="H476" s="443">
        <f t="shared" si="136"/>
        <v>161</v>
      </c>
      <c r="I476" s="443">
        <f>VLOOKUP(D476,'Orçamento Analitico'!D:L,9,FALSE())</f>
        <v>12.15</v>
      </c>
      <c r="J476" s="443">
        <f t="shared" si="137"/>
        <v>15.24</v>
      </c>
      <c r="K476" s="443">
        <f t="shared" si="138"/>
        <v>1956.15</v>
      </c>
      <c r="L476" s="443">
        <f t="shared" si="139"/>
        <v>2453.64</v>
      </c>
      <c r="M476" s="521" t="e">
        <f t="shared" si="140"/>
        <v>#N/A</v>
      </c>
      <c r="N476" s="464">
        <v>16</v>
      </c>
      <c r="O476" s="465"/>
      <c r="P476" s="465"/>
      <c r="Q476" s="465">
        <v>40</v>
      </c>
      <c r="R476" s="465">
        <v>46</v>
      </c>
      <c r="S476" s="465">
        <v>59</v>
      </c>
      <c r="T476" s="465"/>
      <c r="U476" s="479"/>
      <c r="V476" s="422"/>
      <c r="W476" s="422"/>
      <c r="X476" s="422"/>
      <c r="Y476" s="422"/>
      <c r="Z476" s="422"/>
    </row>
    <row r="477" ht="46.5" customHeight="1" spans="1:26">
      <c r="A477" s="422" t="str">
        <f t="shared" si="134"/>
        <v> 12.3 </v>
      </c>
      <c r="B477" s="423" t="str">
        <f t="shared" si="135"/>
        <v> 12.3 </v>
      </c>
      <c r="C477" s="441" t="s">
        <v>1279</v>
      </c>
      <c r="D477" s="442" t="s">
        <v>1280</v>
      </c>
      <c r="E477" s="441" t="s">
        <v>132</v>
      </c>
      <c r="F477" s="441" t="s">
        <v>1281</v>
      </c>
      <c r="G477" s="442" t="s">
        <v>134</v>
      </c>
      <c r="H477" s="443">
        <v>1</v>
      </c>
      <c r="I477" s="443">
        <f>VLOOKUP(D477,'Orçamento Analitico'!D:L,9,FALSE())</f>
        <v>4254.61</v>
      </c>
      <c r="J477" s="443">
        <f t="shared" si="137"/>
        <v>5339.11</v>
      </c>
      <c r="K477" s="443">
        <f t="shared" si="138"/>
        <v>4254.61</v>
      </c>
      <c r="L477" s="443">
        <f t="shared" si="139"/>
        <v>5339.11</v>
      </c>
      <c r="M477" s="521" t="e">
        <f t="shared" si="140"/>
        <v>#N/A</v>
      </c>
      <c r="N477" s="464"/>
      <c r="O477" s="465"/>
      <c r="P477" s="465"/>
      <c r="Q477" s="465"/>
      <c r="R477" s="465"/>
      <c r="S477" s="465"/>
      <c r="T477" s="465"/>
      <c r="U477" s="479"/>
      <c r="V477" s="422"/>
      <c r="W477" s="422"/>
      <c r="X477" s="422"/>
      <c r="Y477" s="422"/>
      <c r="Z477" s="422"/>
    </row>
    <row r="478" ht="46.5" customHeight="1" spans="1:26">
      <c r="A478" s="422" t="str">
        <f t="shared" si="134"/>
        <v> 12.3 </v>
      </c>
      <c r="B478" s="423" t="str">
        <f t="shared" si="135"/>
        <v> 12.3 </v>
      </c>
      <c r="C478" s="441" t="s">
        <v>1282</v>
      </c>
      <c r="D478" s="442" t="s">
        <v>1283</v>
      </c>
      <c r="E478" s="441" t="s">
        <v>132</v>
      </c>
      <c r="F478" s="441" t="s">
        <v>1284</v>
      </c>
      <c r="G478" s="442" t="s">
        <v>204</v>
      </c>
      <c r="H478" s="443">
        <f t="shared" ref="H478:H492" si="148">SUM(N478:T478)</f>
        <v>5244</v>
      </c>
      <c r="I478" s="443">
        <f>VLOOKUP(D478,'Orçamento Analitico'!D:L,9,FALSE())</f>
        <v>7.61</v>
      </c>
      <c r="J478" s="443">
        <f t="shared" si="137"/>
        <v>9.54</v>
      </c>
      <c r="K478" s="443">
        <f t="shared" si="138"/>
        <v>39906.84</v>
      </c>
      <c r="L478" s="443">
        <f t="shared" si="139"/>
        <v>50027.76</v>
      </c>
      <c r="M478" s="521" t="e">
        <f t="shared" si="140"/>
        <v>#N/A</v>
      </c>
      <c r="N478" s="464">
        <v>0</v>
      </c>
      <c r="O478" s="465"/>
      <c r="P478" s="465">
        <v>0</v>
      </c>
      <c r="Q478" s="465">
        <v>1612</v>
      </c>
      <c r="R478" s="465">
        <v>2592</v>
      </c>
      <c r="S478" s="465">
        <v>240</v>
      </c>
      <c r="T478" s="465">
        <v>800</v>
      </c>
      <c r="U478" s="479"/>
      <c r="V478" s="422"/>
      <c r="W478" s="422"/>
      <c r="X478" s="422"/>
      <c r="Y478" s="422"/>
      <c r="Z478" s="422"/>
    </row>
    <row r="479" ht="46.5" customHeight="1" spans="1:26">
      <c r="A479" s="422" t="str">
        <f t="shared" si="134"/>
        <v> 12.3 </v>
      </c>
      <c r="B479" s="423" t="str">
        <f t="shared" si="135"/>
        <v> 12.3 </v>
      </c>
      <c r="C479" s="441" t="s">
        <v>1285</v>
      </c>
      <c r="D479" s="442" t="s">
        <v>1286</v>
      </c>
      <c r="E479" s="441" t="s">
        <v>132</v>
      </c>
      <c r="F479" s="441" t="s">
        <v>1287</v>
      </c>
      <c r="G479" s="442" t="s">
        <v>204</v>
      </c>
      <c r="H479" s="443">
        <f t="shared" si="148"/>
        <v>640</v>
      </c>
      <c r="I479" s="443">
        <f>VLOOKUP(D479,'Orçamento Analitico'!D:L,9,FALSE())</f>
        <v>24.19</v>
      </c>
      <c r="J479" s="443">
        <f t="shared" si="137"/>
        <v>30.35</v>
      </c>
      <c r="K479" s="443">
        <f t="shared" si="138"/>
        <v>15481.6</v>
      </c>
      <c r="L479" s="443">
        <f t="shared" si="139"/>
        <v>19424</v>
      </c>
      <c r="M479" s="521" t="e">
        <f t="shared" si="140"/>
        <v>#N/A</v>
      </c>
      <c r="N479" s="464"/>
      <c r="O479" s="465"/>
      <c r="P479" s="465">
        <v>0</v>
      </c>
      <c r="Q479" s="465"/>
      <c r="R479" s="465"/>
      <c r="S479" s="465">
        <v>240</v>
      </c>
      <c r="T479" s="465">
        <v>400</v>
      </c>
      <c r="U479" s="479"/>
      <c r="V479" s="422"/>
      <c r="W479" s="422"/>
      <c r="X479" s="422"/>
      <c r="Y479" s="422"/>
      <c r="Z479" s="422"/>
    </row>
    <row r="480" ht="46.5" customHeight="1" spans="1:26">
      <c r="A480" s="422" t="str">
        <f t="shared" si="134"/>
        <v> 12.3 </v>
      </c>
      <c r="B480" s="423" t="str">
        <f t="shared" si="135"/>
        <v> 12.3 </v>
      </c>
      <c r="C480" s="441" t="s">
        <v>1288</v>
      </c>
      <c r="D480" s="442" t="s">
        <v>1289</v>
      </c>
      <c r="E480" s="441" t="s">
        <v>132</v>
      </c>
      <c r="F480" s="441" t="s">
        <v>1290</v>
      </c>
      <c r="G480" s="442" t="s">
        <v>134</v>
      </c>
      <c r="H480" s="443">
        <f t="shared" si="148"/>
        <v>4</v>
      </c>
      <c r="I480" s="443">
        <f>VLOOKUP(D480,'Orçamento Analitico'!D:L,9,FALSE())</f>
        <v>61302.17</v>
      </c>
      <c r="J480" s="443">
        <f t="shared" si="137"/>
        <v>76928.09</v>
      </c>
      <c r="K480" s="443">
        <f t="shared" si="138"/>
        <v>245208.68</v>
      </c>
      <c r="L480" s="443">
        <f t="shared" si="139"/>
        <v>307712.36</v>
      </c>
      <c r="M480" s="521" t="e">
        <f t="shared" si="140"/>
        <v>#N/A</v>
      </c>
      <c r="N480" s="464"/>
      <c r="O480" s="465"/>
      <c r="P480" s="465"/>
      <c r="Q480" s="465"/>
      <c r="R480" s="465"/>
      <c r="S480" s="465">
        <v>4</v>
      </c>
      <c r="T480" s="465"/>
      <c r="U480" s="479"/>
      <c r="V480" s="422"/>
      <c r="W480" s="422"/>
      <c r="X480" s="422"/>
      <c r="Y480" s="422"/>
      <c r="Z480" s="422"/>
    </row>
    <row r="481" ht="46.5" customHeight="1" spans="1:26">
      <c r="A481" s="422" t="str">
        <f t="shared" si="134"/>
        <v> 12.3 </v>
      </c>
      <c r="B481" s="423" t="str">
        <f t="shared" si="135"/>
        <v> 12.3 </v>
      </c>
      <c r="C481" s="441" t="s">
        <v>1291</v>
      </c>
      <c r="D481" s="442" t="s">
        <v>1292</v>
      </c>
      <c r="E481" s="441" t="s">
        <v>132</v>
      </c>
      <c r="F481" s="441" t="s">
        <v>1293</v>
      </c>
      <c r="G481" s="442" t="s">
        <v>134</v>
      </c>
      <c r="H481" s="443">
        <f t="shared" si="148"/>
        <v>1</v>
      </c>
      <c r="I481" s="443">
        <f>VLOOKUP(D481,'Orçamento Analitico'!D:L,9,FALSE())</f>
        <v>3673.31</v>
      </c>
      <c r="J481" s="443">
        <f t="shared" si="137"/>
        <v>4609.63</v>
      </c>
      <c r="K481" s="443">
        <f t="shared" si="138"/>
        <v>3673.31</v>
      </c>
      <c r="L481" s="443">
        <f t="shared" si="139"/>
        <v>4609.63</v>
      </c>
      <c r="M481" s="521" t="e">
        <f t="shared" si="140"/>
        <v>#N/A</v>
      </c>
      <c r="N481" s="464"/>
      <c r="O481" s="465"/>
      <c r="P481" s="465"/>
      <c r="Q481" s="465"/>
      <c r="R481" s="465"/>
      <c r="S481" s="465">
        <v>1</v>
      </c>
      <c r="T481" s="465"/>
      <c r="U481" s="479"/>
      <c r="V481" s="422"/>
      <c r="W481" s="422"/>
      <c r="X481" s="422"/>
      <c r="Y481" s="422"/>
      <c r="Z481" s="422"/>
    </row>
    <row r="482" ht="46.5" customHeight="1" spans="1:26">
      <c r="A482" s="422" t="str">
        <f t="shared" si="134"/>
        <v> 12.3 </v>
      </c>
      <c r="B482" s="423" t="str">
        <f t="shared" si="135"/>
        <v> 12.3 </v>
      </c>
      <c r="C482" s="441" t="s">
        <v>1294</v>
      </c>
      <c r="D482" s="442" t="s">
        <v>1295</v>
      </c>
      <c r="E482" s="441" t="s">
        <v>77</v>
      </c>
      <c r="F482" s="441" t="s">
        <v>1296</v>
      </c>
      <c r="G482" s="442" t="s">
        <v>134</v>
      </c>
      <c r="H482" s="443">
        <f t="shared" si="148"/>
        <v>66</v>
      </c>
      <c r="I482" s="443">
        <f>VLOOKUP(D482,'Orçamento Analitico'!D:L,9,FALSE())</f>
        <v>887.22</v>
      </c>
      <c r="J482" s="443">
        <f t="shared" si="137"/>
        <v>1113.37</v>
      </c>
      <c r="K482" s="443">
        <f t="shared" si="138"/>
        <v>58556.52</v>
      </c>
      <c r="L482" s="443">
        <f t="shared" si="139"/>
        <v>73482.42</v>
      </c>
      <c r="M482" s="521" t="e">
        <f t="shared" si="140"/>
        <v>#N/A</v>
      </c>
      <c r="N482" s="464"/>
      <c r="O482" s="465"/>
      <c r="P482" s="465">
        <v>0</v>
      </c>
      <c r="Q482" s="465">
        <v>30</v>
      </c>
      <c r="R482" s="465">
        <v>36</v>
      </c>
      <c r="S482" s="465"/>
      <c r="T482" s="465"/>
      <c r="U482" s="479"/>
      <c r="V482" s="422"/>
      <c r="W482" s="422"/>
      <c r="X482" s="422"/>
      <c r="Y482" s="422"/>
      <c r="Z482" s="422"/>
    </row>
    <row r="483" ht="46.5" customHeight="1" spans="1:26">
      <c r="A483" s="422" t="str">
        <f t="shared" si="134"/>
        <v> 12.3 </v>
      </c>
      <c r="B483" s="423" t="str">
        <f t="shared" si="135"/>
        <v> 12.3 </v>
      </c>
      <c r="C483" s="441" t="s">
        <v>1297</v>
      </c>
      <c r="D483" s="442" t="s">
        <v>1298</v>
      </c>
      <c r="E483" s="441" t="s">
        <v>132</v>
      </c>
      <c r="F483" s="441" t="s">
        <v>1299</v>
      </c>
      <c r="G483" s="442" t="s">
        <v>134</v>
      </c>
      <c r="H483" s="443">
        <f t="shared" si="148"/>
        <v>1</v>
      </c>
      <c r="I483" s="443">
        <f>VLOOKUP(D483,'Orçamento Analitico'!D:L,9,FALSE())</f>
        <v>5361.98</v>
      </c>
      <c r="J483" s="443">
        <f t="shared" si="137"/>
        <v>6728.74</v>
      </c>
      <c r="K483" s="443">
        <f t="shared" si="138"/>
        <v>5361.98</v>
      </c>
      <c r="L483" s="443">
        <f t="shared" si="139"/>
        <v>6728.74</v>
      </c>
      <c r="M483" s="521" t="e">
        <f t="shared" si="140"/>
        <v>#N/A</v>
      </c>
      <c r="N483" s="464"/>
      <c r="O483" s="465"/>
      <c r="P483" s="465"/>
      <c r="Q483" s="465"/>
      <c r="R483" s="465"/>
      <c r="S483" s="465"/>
      <c r="T483" s="465">
        <v>1</v>
      </c>
      <c r="U483" s="479"/>
      <c r="V483" s="422"/>
      <c r="W483" s="422"/>
      <c r="X483" s="422"/>
      <c r="Y483" s="422"/>
      <c r="Z483" s="422"/>
    </row>
    <row r="484" ht="46.5" customHeight="1" spans="1:26">
      <c r="A484" s="422" t="str">
        <f t="shared" si="134"/>
        <v> 12.3 </v>
      </c>
      <c r="B484" s="423" t="str">
        <f t="shared" si="135"/>
        <v> 12.3 </v>
      </c>
      <c r="C484" s="441" t="s">
        <v>1300</v>
      </c>
      <c r="D484" s="442" t="s">
        <v>1301</v>
      </c>
      <c r="E484" s="441" t="s">
        <v>132</v>
      </c>
      <c r="F484" s="441" t="s">
        <v>1302</v>
      </c>
      <c r="G484" s="442" t="s">
        <v>134</v>
      </c>
      <c r="H484" s="443">
        <f t="shared" si="148"/>
        <v>2</v>
      </c>
      <c r="I484" s="443">
        <f>VLOOKUP(D484,'Orçamento Analitico'!D:L,9,FALSE())</f>
        <v>4602.15</v>
      </c>
      <c r="J484" s="443">
        <f t="shared" si="137"/>
        <v>5775.23</v>
      </c>
      <c r="K484" s="443">
        <f t="shared" si="138"/>
        <v>9204.3</v>
      </c>
      <c r="L484" s="443">
        <f t="shared" si="139"/>
        <v>11550.46</v>
      </c>
      <c r="M484" s="521" t="e">
        <f t="shared" si="140"/>
        <v>#N/A</v>
      </c>
      <c r="N484" s="464"/>
      <c r="O484" s="465"/>
      <c r="P484" s="465"/>
      <c r="Q484" s="465"/>
      <c r="R484" s="465"/>
      <c r="S484" s="465"/>
      <c r="T484" s="465">
        <v>2</v>
      </c>
      <c r="U484" s="479"/>
      <c r="V484" s="422"/>
      <c r="W484" s="422"/>
      <c r="X484" s="422"/>
      <c r="Y484" s="422"/>
      <c r="Z484" s="422"/>
    </row>
    <row r="485" ht="46.5" customHeight="1" spans="1:26">
      <c r="A485" s="422" t="str">
        <f t="shared" si="134"/>
        <v> 12.3 </v>
      </c>
      <c r="B485" s="423" t="str">
        <f t="shared" si="135"/>
        <v> 12.3 </v>
      </c>
      <c r="C485" s="441" t="s">
        <v>1303</v>
      </c>
      <c r="D485" s="442" t="s">
        <v>1304</v>
      </c>
      <c r="E485" s="441" t="s">
        <v>132</v>
      </c>
      <c r="F485" s="441" t="s">
        <v>1305</v>
      </c>
      <c r="G485" s="442" t="s">
        <v>134</v>
      </c>
      <c r="H485" s="443">
        <f t="shared" si="148"/>
        <v>1</v>
      </c>
      <c r="I485" s="443">
        <f>VLOOKUP(D485,'Orçamento Analitico'!D:L,9,FALSE())</f>
        <v>17561.97</v>
      </c>
      <c r="J485" s="443">
        <f t="shared" si="137"/>
        <v>22038.51</v>
      </c>
      <c r="K485" s="443">
        <f t="shared" si="138"/>
        <v>17561.97</v>
      </c>
      <c r="L485" s="443">
        <f t="shared" si="139"/>
        <v>22038.51</v>
      </c>
      <c r="M485" s="521" t="e">
        <f t="shared" si="140"/>
        <v>#N/A</v>
      </c>
      <c r="N485" s="464"/>
      <c r="O485" s="465"/>
      <c r="P485" s="465"/>
      <c r="Q485" s="465"/>
      <c r="R485" s="465"/>
      <c r="S485" s="465"/>
      <c r="T485" s="465">
        <v>1</v>
      </c>
      <c r="U485" s="479"/>
      <c r="V485" s="422"/>
      <c r="W485" s="422"/>
      <c r="X485" s="422"/>
      <c r="Y485" s="422"/>
      <c r="Z485" s="422"/>
    </row>
    <row r="486" ht="46.5" customHeight="1" spans="1:26">
      <c r="A486" s="422" t="str">
        <f t="shared" si="134"/>
        <v> 12.3 </v>
      </c>
      <c r="B486" s="423" t="str">
        <f t="shared" si="135"/>
        <v> 12.3 </v>
      </c>
      <c r="C486" s="441" t="s">
        <v>1306</v>
      </c>
      <c r="D486" s="442" t="s">
        <v>1307</v>
      </c>
      <c r="E486" s="441" t="s">
        <v>132</v>
      </c>
      <c r="F486" s="441" t="s">
        <v>1308</v>
      </c>
      <c r="G486" s="442" t="s">
        <v>134</v>
      </c>
      <c r="H486" s="443">
        <f t="shared" si="148"/>
        <v>2</v>
      </c>
      <c r="I486" s="443">
        <f>VLOOKUP(D486,'Orçamento Analitico'!D:L,9,FALSE())</f>
        <v>1132.98</v>
      </c>
      <c r="J486" s="443">
        <f t="shared" si="137"/>
        <v>1421.77</v>
      </c>
      <c r="K486" s="443">
        <f t="shared" si="138"/>
        <v>2265.96</v>
      </c>
      <c r="L486" s="443">
        <f t="shared" si="139"/>
        <v>2843.54</v>
      </c>
      <c r="M486" s="521" t="e">
        <f t="shared" si="140"/>
        <v>#N/A</v>
      </c>
      <c r="N486" s="464"/>
      <c r="O486" s="465"/>
      <c r="P486" s="465"/>
      <c r="Q486" s="465"/>
      <c r="R486" s="465"/>
      <c r="S486" s="465">
        <v>2</v>
      </c>
      <c r="T486" s="465"/>
      <c r="U486" s="479"/>
      <c r="V486" s="422"/>
      <c r="W486" s="422"/>
      <c r="X486" s="422"/>
      <c r="Y486" s="422"/>
      <c r="Z486" s="422"/>
    </row>
    <row r="487" ht="46.5" customHeight="1" spans="1:26">
      <c r="A487" s="422" t="str">
        <f t="shared" si="134"/>
        <v> 12.3 </v>
      </c>
      <c r="B487" s="423" t="str">
        <f t="shared" si="135"/>
        <v> 12.3 </v>
      </c>
      <c r="C487" s="441" t="s">
        <v>1309</v>
      </c>
      <c r="D487" s="442" t="s">
        <v>1310</v>
      </c>
      <c r="E487" s="441" t="s">
        <v>132</v>
      </c>
      <c r="F487" s="441" t="s">
        <v>1311</v>
      </c>
      <c r="G487" s="442" t="s">
        <v>134</v>
      </c>
      <c r="H487" s="443">
        <f t="shared" si="148"/>
        <v>6</v>
      </c>
      <c r="I487" s="443">
        <f>VLOOKUP(D487,'Orçamento Analitico'!D:L,9,FALSE())</f>
        <v>970.15</v>
      </c>
      <c r="J487" s="443">
        <f t="shared" si="137"/>
        <v>1217.44</v>
      </c>
      <c r="K487" s="443">
        <f t="shared" si="138"/>
        <v>5820.9</v>
      </c>
      <c r="L487" s="443">
        <f t="shared" si="139"/>
        <v>7304.64</v>
      </c>
      <c r="M487" s="521" t="e">
        <f t="shared" si="140"/>
        <v>#N/A</v>
      </c>
      <c r="N487" s="464"/>
      <c r="O487" s="465"/>
      <c r="P487" s="465"/>
      <c r="Q487" s="465"/>
      <c r="R487" s="465"/>
      <c r="S487" s="465">
        <v>6</v>
      </c>
      <c r="T487" s="465"/>
      <c r="U487" s="479"/>
      <c r="V487" s="422"/>
      <c r="W487" s="422"/>
      <c r="X487" s="422"/>
      <c r="Y487" s="422"/>
      <c r="Z487" s="422"/>
    </row>
    <row r="488" ht="46.5" customHeight="1" spans="1:26">
      <c r="A488" s="422" t="str">
        <f t="shared" si="134"/>
        <v> 12.3 </v>
      </c>
      <c r="B488" s="423" t="str">
        <f t="shared" si="135"/>
        <v> 12.3 </v>
      </c>
      <c r="C488" s="441" t="s">
        <v>1312</v>
      </c>
      <c r="D488" s="442" t="s">
        <v>1313</v>
      </c>
      <c r="E488" s="441" t="s">
        <v>132</v>
      </c>
      <c r="F488" s="441" t="s">
        <v>1314</v>
      </c>
      <c r="G488" s="442" t="s">
        <v>134</v>
      </c>
      <c r="H488" s="443">
        <f t="shared" si="148"/>
        <v>2</v>
      </c>
      <c r="I488" s="443">
        <f>VLOOKUP(D488,'Orçamento Analitico'!D:L,9,FALSE())</f>
        <v>1016.79</v>
      </c>
      <c r="J488" s="443">
        <f t="shared" si="137"/>
        <v>1275.96</v>
      </c>
      <c r="K488" s="443">
        <f t="shared" si="138"/>
        <v>2033.58</v>
      </c>
      <c r="L488" s="443">
        <f t="shared" si="139"/>
        <v>2551.92</v>
      </c>
      <c r="M488" s="521" t="e">
        <f t="shared" si="140"/>
        <v>#N/A</v>
      </c>
      <c r="N488" s="464"/>
      <c r="O488" s="465"/>
      <c r="P488" s="465"/>
      <c r="Q488" s="465"/>
      <c r="R488" s="465"/>
      <c r="S488" s="465">
        <v>2</v>
      </c>
      <c r="T488" s="465"/>
      <c r="U488" s="479"/>
      <c r="V488" s="422"/>
      <c r="W488" s="422"/>
      <c r="X488" s="422"/>
      <c r="Y488" s="422"/>
      <c r="Z488" s="422"/>
    </row>
    <row r="489" ht="46.5" customHeight="1" spans="1:26">
      <c r="A489" s="422" t="str">
        <f t="shared" si="134"/>
        <v> 12.3 </v>
      </c>
      <c r="B489" s="423" t="str">
        <f t="shared" si="135"/>
        <v> 12.3 </v>
      </c>
      <c r="C489" s="441" t="s">
        <v>1315</v>
      </c>
      <c r="D489" s="442" t="s">
        <v>1316</v>
      </c>
      <c r="E489" s="441" t="s">
        <v>132</v>
      </c>
      <c r="F489" s="441" t="s">
        <v>1317</v>
      </c>
      <c r="G489" s="442" t="s">
        <v>134</v>
      </c>
      <c r="H489" s="443">
        <f t="shared" si="148"/>
        <v>2</v>
      </c>
      <c r="I489" s="443">
        <f>VLOOKUP(D489,'Orçamento Analitico'!D:L,9,FALSE())</f>
        <v>1936.88</v>
      </c>
      <c r="J489" s="443">
        <f t="shared" si="137"/>
        <v>2430.59</v>
      </c>
      <c r="K489" s="443">
        <f t="shared" si="138"/>
        <v>3873.76</v>
      </c>
      <c r="L489" s="443">
        <f t="shared" si="139"/>
        <v>4861.18</v>
      </c>
      <c r="M489" s="521" t="e">
        <f t="shared" si="140"/>
        <v>#N/A</v>
      </c>
      <c r="N489" s="464"/>
      <c r="O489" s="465"/>
      <c r="P489" s="465"/>
      <c r="Q489" s="465"/>
      <c r="R489" s="465"/>
      <c r="S489" s="465">
        <v>2</v>
      </c>
      <c r="T489" s="465"/>
      <c r="U489" s="479"/>
      <c r="V489" s="422"/>
      <c r="W489" s="422"/>
      <c r="X489" s="422"/>
      <c r="Y489" s="422"/>
      <c r="Z489" s="422"/>
    </row>
    <row r="490" ht="46.5" customHeight="1" spans="1:26">
      <c r="A490" s="422" t="str">
        <f t="shared" si="134"/>
        <v> 12.3 </v>
      </c>
      <c r="B490" s="423" t="str">
        <f t="shared" si="135"/>
        <v> 12.3 </v>
      </c>
      <c r="C490" s="441" t="s">
        <v>1318</v>
      </c>
      <c r="D490" s="442" t="s">
        <v>1319</v>
      </c>
      <c r="E490" s="441" t="s">
        <v>132</v>
      </c>
      <c r="F490" s="441" t="s">
        <v>1320</v>
      </c>
      <c r="G490" s="442" t="s">
        <v>134</v>
      </c>
      <c r="H490" s="443">
        <f t="shared" si="148"/>
        <v>65</v>
      </c>
      <c r="I490" s="443">
        <f>VLOOKUP(D490,'Orçamento Analitico'!D:L,9,FALSE())</f>
        <v>588.85</v>
      </c>
      <c r="J490" s="443">
        <f t="shared" si="137"/>
        <v>738.94</v>
      </c>
      <c r="K490" s="443">
        <f t="shared" si="138"/>
        <v>38275.25</v>
      </c>
      <c r="L490" s="443">
        <f t="shared" si="139"/>
        <v>48031.1</v>
      </c>
      <c r="M490" s="521" t="e">
        <f t="shared" si="140"/>
        <v>#N/A</v>
      </c>
      <c r="N490" s="464"/>
      <c r="O490" s="465"/>
      <c r="P490" s="465">
        <v>0</v>
      </c>
      <c r="Q490" s="465">
        <v>26</v>
      </c>
      <c r="R490" s="465">
        <v>39</v>
      </c>
      <c r="S490" s="465"/>
      <c r="T490" s="465"/>
      <c r="U490" s="479"/>
      <c r="V490" s="422"/>
      <c r="W490" s="422"/>
      <c r="X490" s="422"/>
      <c r="Y490" s="422"/>
      <c r="Z490" s="422"/>
    </row>
    <row r="491" ht="46.5" customHeight="1" spans="1:26">
      <c r="A491" s="422" t="str">
        <f t="shared" si="134"/>
        <v> 12.3 </v>
      </c>
      <c r="B491" s="423" t="str">
        <f t="shared" si="135"/>
        <v> 12.3 </v>
      </c>
      <c r="C491" s="441" t="s">
        <v>1321</v>
      </c>
      <c r="D491" s="442" t="s">
        <v>1322</v>
      </c>
      <c r="E491" s="441" t="s">
        <v>132</v>
      </c>
      <c r="F491" s="441" t="s">
        <v>1323</v>
      </c>
      <c r="G491" s="442" t="s">
        <v>134</v>
      </c>
      <c r="H491" s="443">
        <f t="shared" si="148"/>
        <v>1</v>
      </c>
      <c r="I491" s="443">
        <f>VLOOKUP(D491,'Orçamento Analitico'!D:L,9,FALSE())</f>
        <v>1694.54</v>
      </c>
      <c r="J491" s="443">
        <f t="shared" si="137"/>
        <v>2126.47</v>
      </c>
      <c r="K491" s="443">
        <f t="shared" si="138"/>
        <v>1694.54</v>
      </c>
      <c r="L491" s="443">
        <f t="shared" si="139"/>
        <v>2126.47</v>
      </c>
      <c r="M491" s="521" t="e">
        <f t="shared" si="140"/>
        <v>#N/A</v>
      </c>
      <c r="N491" s="464"/>
      <c r="O491" s="465"/>
      <c r="P491" s="465"/>
      <c r="Q491" s="465"/>
      <c r="R491" s="465">
        <v>1</v>
      </c>
      <c r="S491" s="465"/>
      <c r="T491" s="465"/>
      <c r="U491" s="479"/>
      <c r="V491" s="422"/>
      <c r="W491" s="422"/>
      <c r="X491" s="422"/>
      <c r="Y491" s="422"/>
      <c r="Z491" s="422"/>
    </row>
    <row r="492" ht="46.5" customHeight="1" spans="1:26">
      <c r="A492" s="422" t="str">
        <f t="shared" si="134"/>
        <v> 12.3 </v>
      </c>
      <c r="B492" s="423" t="str">
        <f t="shared" si="135"/>
        <v> 12.3 </v>
      </c>
      <c r="C492" s="441" t="s">
        <v>1324</v>
      </c>
      <c r="D492" s="442" t="s">
        <v>1325</v>
      </c>
      <c r="E492" s="441" t="s">
        <v>132</v>
      </c>
      <c r="F492" s="441" t="s">
        <v>1326</v>
      </c>
      <c r="G492" s="442" t="s">
        <v>134</v>
      </c>
      <c r="H492" s="443">
        <f t="shared" si="148"/>
        <v>3</v>
      </c>
      <c r="I492" s="443">
        <f>VLOOKUP(D492,'Orçamento Analitico'!D:L,9,FALSE())</f>
        <v>10765.68</v>
      </c>
      <c r="J492" s="443">
        <f t="shared" si="137"/>
        <v>13509.85</v>
      </c>
      <c r="K492" s="443">
        <f t="shared" si="138"/>
        <v>32297.04</v>
      </c>
      <c r="L492" s="443">
        <f t="shared" si="139"/>
        <v>40529.55</v>
      </c>
      <c r="M492" s="523" t="e">
        <f t="shared" si="140"/>
        <v>#N/A</v>
      </c>
      <c r="N492" s="464"/>
      <c r="O492" s="465"/>
      <c r="P492" s="465">
        <v>0</v>
      </c>
      <c r="Q492" s="465">
        <v>1</v>
      </c>
      <c r="R492" s="465">
        <v>1</v>
      </c>
      <c r="S492" s="465">
        <v>1</v>
      </c>
      <c r="T492" s="465"/>
      <c r="U492" s="479"/>
      <c r="V492" s="422"/>
      <c r="W492" s="422"/>
      <c r="X492" s="422"/>
      <c r="Y492" s="422"/>
      <c r="Z492" s="422"/>
    </row>
    <row r="493" ht="46.5" customHeight="1" spans="1:26">
      <c r="A493" s="422" t="str">
        <f t="shared" si="134"/>
        <v> 12.3 </v>
      </c>
      <c r="B493" s="423" t="str">
        <f t="shared" si="135"/>
        <v> 12.3 </v>
      </c>
      <c r="C493" s="441" t="s">
        <v>1327</v>
      </c>
      <c r="D493" s="442" t="s">
        <v>1328</v>
      </c>
      <c r="E493" s="441" t="s">
        <v>132</v>
      </c>
      <c r="F493" s="441" t="s">
        <v>1329</v>
      </c>
      <c r="G493" s="442" t="s">
        <v>134</v>
      </c>
      <c r="H493" s="443">
        <v>1</v>
      </c>
      <c r="I493" s="443">
        <f>VLOOKUP(D493,'Orçamento Analitico'!D:L,9,FALSE())</f>
        <v>2401.73</v>
      </c>
      <c r="J493" s="443">
        <f t="shared" si="137"/>
        <v>3013.93</v>
      </c>
      <c r="K493" s="443">
        <f t="shared" si="138"/>
        <v>2401.73</v>
      </c>
      <c r="L493" s="443">
        <f t="shared" si="139"/>
        <v>3013.93</v>
      </c>
      <c r="M493" s="523" t="e">
        <f t="shared" si="140"/>
        <v>#N/A</v>
      </c>
      <c r="N493" s="464"/>
      <c r="O493" s="465"/>
      <c r="P493" s="465"/>
      <c r="Q493" s="465"/>
      <c r="R493" s="465"/>
      <c r="S493" s="465"/>
      <c r="T493" s="465"/>
      <c r="U493" s="479"/>
      <c r="V493" s="422"/>
      <c r="W493" s="422"/>
      <c r="X493" s="422"/>
      <c r="Y493" s="422"/>
      <c r="Z493" s="422"/>
    </row>
    <row r="494" ht="46.5" customHeight="1" spans="1:26">
      <c r="A494" s="422" t="str">
        <f t="shared" si="134"/>
        <v> 12.3 </v>
      </c>
      <c r="B494" s="423" t="str">
        <f t="shared" si="135"/>
        <v> 12.3 </v>
      </c>
      <c r="C494" s="441" t="s">
        <v>1330</v>
      </c>
      <c r="D494" s="442" t="s">
        <v>1331</v>
      </c>
      <c r="E494" s="441" t="s">
        <v>132</v>
      </c>
      <c r="F494" s="441" t="s">
        <v>1332</v>
      </c>
      <c r="G494" s="442" t="s">
        <v>134</v>
      </c>
      <c r="H494" s="443">
        <v>9</v>
      </c>
      <c r="I494" s="443">
        <f>VLOOKUP(D494,'Orçamento Analitico'!D:L,9,FALSE())</f>
        <v>4281.52</v>
      </c>
      <c r="J494" s="443">
        <f t="shared" si="137"/>
        <v>5372.87</v>
      </c>
      <c r="K494" s="443">
        <f t="shared" si="138"/>
        <v>38533.68</v>
      </c>
      <c r="L494" s="443">
        <f t="shared" si="139"/>
        <v>48355.83</v>
      </c>
      <c r="M494" s="523" t="e">
        <f t="shared" si="140"/>
        <v>#N/A</v>
      </c>
      <c r="N494" s="464"/>
      <c r="O494" s="465"/>
      <c r="P494" s="465"/>
      <c r="Q494" s="465"/>
      <c r="R494" s="465"/>
      <c r="S494" s="465"/>
      <c r="T494" s="465"/>
      <c r="U494" s="479"/>
      <c r="V494" s="422"/>
      <c r="W494" s="422"/>
      <c r="X494" s="422"/>
      <c r="Y494" s="422"/>
      <c r="Z494" s="422"/>
    </row>
    <row r="495" ht="46.5" customHeight="1" spans="1:26">
      <c r="A495" s="422" t="str">
        <f t="shared" si="134"/>
        <v> 12.3 </v>
      </c>
      <c r="B495" s="423" t="str">
        <f t="shared" si="135"/>
        <v> 12.3 </v>
      </c>
      <c r="C495" s="441" t="s">
        <v>1333</v>
      </c>
      <c r="D495" s="442" t="s">
        <v>1334</v>
      </c>
      <c r="E495" s="441" t="s">
        <v>132</v>
      </c>
      <c r="F495" s="441" t="s">
        <v>1335</v>
      </c>
      <c r="G495" s="442" t="s">
        <v>134</v>
      </c>
      <c r="H495" s="443">
        <v>39</v>
      </c>
      <c r="I495" s="443">
        <f>VLOOKUP(D495,'Orçamento Analitico'!D:L,9,FALSE())</f>
        <v>2033.13</v>
      </c>
      <c r="J495" s="443">
        <f t="shared" si="137"/>
        <v>2551.37</v>
      </c>
      <c r="K495" s="443">
        <f t="shared" si="138"/>
        <v>79292.07</v>
      </c>
      <c r="L495" s="443">
        <f t="shared" si="139"/>
        <v>99503.43</v>
      </c>
      <c r="M495" s="523" t="e">
        <f t="shared" si="140"/>
        <v>#N/A</v>
      </c>
      <c r="N495" s="464"/>
      <c r="O495" s="465"/>
      <c r="P495" s="465"/>
      <c r="Q495" s="465"/>
      <c r="R495" s="465"/>
      <c r="S495" s="465"/>
      <c r="T495" s="465"/>
      <c r="U495" s="479"/>
      <c r="V495" s="422"/>
      <c r="W495" s="422"/>
      <c r="X495" s="422"/>
      <c r="Y495" s="422"/>
      <c r="Z495" s="422"/>
    </row>
    <row r="496" ht="46.5" customHeight="1" spans="1:26">
      <c r="A496" s="422" t="str">
        <f t="shared" si="134"/>
        <v> 12.3 </v>
      </c>
      <c r="B496" s="423" t="str">
        <f t="shared" si="135"/>
        <v> 12.3 </v>
      </c>
      <c r="C496" s="441" t="s">
        <v>1336</v>
      </c>
      <c r="D496" s="442" t="s">
        <v>1337</v>
      </c>
      <c r="E496" s="441" t="s">
        <v>132</v>
      </c>
      <c r="F496" s="441" t="s">
        <v>1338</v>
      </c>
      <c r="G496" s="442" t="s">
        <v>134</v>
      </c>
      <c r="H496" s="443">
        <v>4</v>
      </c>
      <c r="I496" s="443">
        <f>VLOOKUP(D496,'Orçamento Analitico'!D:L,9,FALSE())</f>
        <v>6673.05</v>
      </c>
      <c r="J496" s="443">
        <f t="shared" si="137"/>
        <v>8374.01</v>
      </c>
      <c r="K496" s="443">
        <f t="shared" si="138"/>
        <v>26692.2</v>
      </c>
      <c r="L496" s="443">
        <f t="shared" si="139"/>
        <v>33496.04</v>
      </c>
      <c r="M496" s="523" t="e">
        <f t="shared" si="140"/>
        <v>#N/A</v>
      </c>
      <c r="N496" s="464"/>
      <c r="O496" s="465"/>
      <c r="P496" s="465"/>
      <c r="Q496" s="465"/>
      <c r="R496" s="465"/>
      <c r="S496" s="465"/>
      <c r="T496" s="465"/>
      <c r="U496" s="479"/>
      <c r="V496" s="422"/>
      <c r="W496" s="422"/>
      <c r="X496" s="422"/>
      <c r="Y496" s="422"/>
      <c r="Z496" s="422"/>
    </row>
    <row r="497" ht="46.5" customHeight="1" spans="1:26">
      <c r="A497" s="422" t="str">
        <f t="shared" si="134"/>
        <v> 12.3 </v>
      </c>
      <c r="B497" s="423" t="str">
        <f t="shared" si="135"/>
        <v> 12.3 </v>
      </c>
      <c r="C497" s="441" t="s">
        <v>1339</v>
      </c>
      <c r="D497" s="442" t="s">
        <v>1340</v>
      </c>
      <c r="E497" s="441" t="s">
        <v>132</v>
      </c>
      <c r="F497" s="441" t="s">
        <v>1341</v>
      </c>
      <c r="G497" s="442" t="s">
        <v>134</v>
      </c>
      <c r="H497" s="443">
        <v>2</v>
      </c>
      <c r="I497" s="443">
        <f>VLOOKUP(D497,'Orçamento Analitico'!D:L,9,FALSE())</f>
        <v>11296.13</v>
      </c>
      <c r="J497" s="443">
        <f t="shared" si="137"/>
        <v>14175.51</v>
      </c>
      <c r="K497" s="443">
        <f t="shared" si="138"/>
        <v>22592.26</v>
      </c>
      <c r="L497" s="443">
        <f t="shared" si="139"/>
        <v>28351.02</v>
      </c>
      <c r="M497" s="523" t="e">
        <f t="shared" si="140"/>
        <v>#N/A</v>
      </c>
      <c r="N497" s="464"/>
      <c r="O497" s="465"/>
      <c r="P497" s="465"/>
      <c r="Q497" s="465"/>
      <c r="R497" s="465"/>
      <c r="S497" s="465"/>
      <c r="T497" s="465"/>
      <c r="U497" s="479"/>
      <c r="V497" s="422"/>
      <c r="W497" s="422"/>
      <c r="X497" s="422"/>
      <c r="Y497" s="422"/>
      <c r="Z497" s="422"/>
    </row>
    <row r="498" ht="46.5" customHeight="1" spans="1:26">
      <c r="A498" s="422" t="str">
        <f t="shared" si="134"/>
        <v> 12.3 </v>
      </c>
      <c r="B498" s="423" t="str">
        <f t="shared" si="135"/>
        <v> 12.3 </v>
      </c>
      <c r="C498" s="441" t="s">
        <v>1342</v>
      </c>
      <c r="D498" s="442" t="s">
        <v>1343</v>
      </c>
      <c r="E498" s="441" t="s">
        <v>132</v>
      </c>
      <c r="F498" s="441" t="s">
        <v>1344</v>
      </c>
      <c r="G498" s="442" t="s">
        <v>134</v>
      </c>
      <c r="H498" s="443">
        <v>8</v>
      </c>
      <c r="I498" s="443">
        <f>VLOOKUP(D498,'Orçamento Analitico'!D:L,9,FALSE())</f>
        <v>4469.49</v>
      </c>
      <c r="J498" s="443">
        <f t="shared" si="137"/>
        <v>5608.76</v>
      </c>
      <c r="K498" s="443">
        <f t="shared" si="138"/>
        <v>35755.92</v>
      </c>
      <c r="L498" s="443">
        <f t="shared" si="139"/>
        <v>44870.08</v>
      </c>
      <c r="M498" s="523" t="e">
        <f t="shared" si="140"/>
        <v>#N/A</v>
      </c>
      <c r="N498" s="464"/>
      <c r="O498" s="465"/>
      <c r="P498" s="465"/>
      <c r="Q498" s="465"/>
      <c r="R498" s="465"/>
      <c r="S498" s="465"/>
      <c r="T498" s="465"/>
      <c r="U498" s="479"/>
      <c r="V498" s="422"/>
      <c r="W498" s="422"/>
      <c r="X498" s="422"/>
      <c r="Y498" s="422"/>
      <c r="Z498" s="422"/>
    </row>
    <row r="499" ht="46.5" customHeight="1" spans="1:26">
      <c r="A499" s="422" t="str">
        <f t="shared" si="134"/>
        <v> 12.3 </v>
      </c>
      <c r="B499" s="423" t="str">
        <f t="shared" si="135"/>
        <v> 12.3 </v>
      </c>
      <c r="C499" s="441" t="s">
        <v>1345</v>
      </c>
      <c r="D499" s="442" t="s">
        <v>1346</v>
      </c>
      <c r="E499" s="441" t="s">
        <v>132</v>
      </c>
      <c r="F499" s="441" t="s">
        <v>1347</v>
      </c>
      <c r="G499" s="442" t="s">
        <v>334</v>
      </c>
      <c r="H499" s="443">
        <v>4</v>
      </c>
      <c r="I499" s="443">
        <f>VLOOKUP(D499,'Orçamento Analitico'!D:L,9,FALSE())</f>
        <v>1547.83</v>
      </c>
      <c r="J499" s="443">
        <f t="shared" si="137"/>
        <v>1942.37</v>
      </c>
      <c r="K499" s="443">
        <f t="shared" si="138"/>
        <v>6191.32</v>
      </c>
      <c r="L499" s="443">
        <f t="shared" si="139"/>
        <v>7769.48</v>
      </c>
      <c r="M499" s="523" t="e">
        <f t="shared" si="140"/>
        <v>#N/A</v>
      </c>
      <c r="N499" s="464"/>
      <c r="O499" s="465"/>
      <c r="P499" s="465"/>
      <c r="Q499" s="465"/>
      <c r="R499" s="465"/>
      <c r="S499" s="465"/>
      <c r="T499" s="465"/>
      <c r="U499" s="479"/>
      <c r="V499" s="422"/>
      <c r="W499" s="422"/>
      <c r="X499" s="422"/>
      <c r="Y499" s="422"/>
      <c r="Z499" s="422"/>
    </row>
    <row r="500" ht="12.75" customHeight="1" spans="1:26">
      <c r="A500" s="422"/>
      <c r="B500" s="423" t="str">
        <f>C500</f>
        <v> 12.4 </v>
      </c>
      <c r="C500" s="444" t="s">
        <v>1348</v>
      </c>
      <c r="D500" s="445" t="s">
        <v>74</v>
      </c>
      <c r="E500" s="444"/>
      <c r="F500" s="444" t="s">
        <v>1349</v>
      </c>
      <c r="G500" s="445"/>
      <c r="H500" s="446"/>
      <c r="I500" s="446"/>
      <c r="J500" s="466"/>
      <c r="K500" s="466">
        <f>SUMIF(A:A,B500,K:K)</f>
        <v>2131542.97</v>
      </c>
      <c r="L500" s="466">
        <f>SUMIF(A:A,C500,L:L)</f>
        <v>2531290.5</v>
      </c>
      <c r="M500" s="467" t="e">
        <f t="shared" si="140"/>
        <v>#N/A</v>
      </c>
      <c r="N500" s="459" t="s">
        <v>6121</v>
      </c>
      <c r="O500" s="460" t="s">
        <v>6122</v>
      </c>
      <c r="P500" s="460" t="s">
        <v>6123</v>
      </c>
      <c r="Q500" s="460" t="s">
        <v>6124</v>
      </c>
      <c r="R500" s="460" t="s">
        <v>6125</v>
      </c>
      <c r="S500" s="460" t="s">
        <v>6126</v>
      </c>
      <c r="T500" s="460"/>
      <c r="U500" s="524"/>
      <c r="V500" s="422"/>
      <c r="W500" s="422"/>
      <c r="X500" s="422"/>
      <c r="Y500" s="422"/>
      <c r="Z500" s="422"/>
    </row>
    <row r="501" ht="12.75" customHeight="1" spans="1:26">
      <c r="A501" s="422" t="str">
        <f t="shared" ref="A501:A530" si="149">B501</f>
        <v> 12.4 </v>
      </c>
      <c r="B501" s="423" t="str">
        <f t="shared" ref="B501:B530" si="150">B500</f>
        <v> 12.4 </v>
      </c>
      <c r="C501" s="441" t="s">
        <v>1350</v>
      </c>
      <c r="D501" s="442" t="s">
        <v>1351</v>
      </c>
      <c r="E501" s="441" t="s">
        <v>132</v>
      </c>
      <c r="F501" s="441" t="s">
        <v>1352</v>
      </c>
      <c r="G501" s="442" t="s">
        <v>134</v>
      </c>
      <c r="H501" s="443">
        <f t="shared" ref="H501:H518" si="151">SUM(N501:S501)</f>
        <v>1</v>
      </c>
      <c r="I501" s="443">
        <f>VLOOKUP(D501,'Orçamento Analitico'!D:L,9,FALSE())</f>
        <v>13850.21</v>
      </c>
      <c r="J501" s="443">
        <f t="shared" ref="J501:J518" si="152">ROUNDDOWN(I501*(1+$G$6),2)</f>
        <v>17380.62</v>
      </c>
      <c r="K501" s="443">
        <f t="shared" ref="K501:K530" si="153">ROUNDDOWN(H501*I501,2)</f>
        <v>13850.21</v>
      </c>
      <c r="L501" s="443">
        <f t="shared" ref="L501:L530" si="154">ROUNDDOWN(H501*J501,2)</f>
        <v>17380.62</v>
      </c>
      <c r="M501" s="461" t="e">
        <f t="shared" si="140"/>
        <v>#N/A</v>
      </c>
      <c r="N501" s="464"/>
      <c r="O501" s="465"/>
      <c r="P501" s="465"/>
      <c r="Q501" s="465"/>
      <c r="R501" s="465">
        <v>1</v>
      </c>
      <c r="S501" s="465"/>
      <c r="T501" s="465"/>
      <c r="U501" s="478"/>
      <c r="V501" s="422"/>
      <c r="W501" s="422"/>
      <c r="X501" s="422"/>
      <c r="Y501" s="422"/>
      <c r="Z501" s="422"/>
    </row>
    <row r="502" ht="12.75" customHeight="1" spans="1:26">
      <c r="A502" s="422" t="str">
        <f t="shared" si="149"/>
        <v> 12.4 </v>
      </c>
      <c r="B502" s="423" t="str">
        <f t="shared" si="150"/>
        <v> 12.4 </v>
      </c>
      <c r="C502" s="441" t="s">
        <v>1354</v>
      </c>
      <c r="D502" s="442" t="s">
        <v>1355</v>
      </c>
      <c r="E502" s="441" t="s">
        <v>132</v>
      </c>
      <c r="F502" s="441" t="s">
        <v>1356</v>
      </c>
      <c r="G502" s="442" t="s">
        <v>134</v>
      </c>
      <c r="H502" s="443">
        <f t="shared" si="151"/>
        <v>1</v>
      </c>
      <c r="I502" s="443">
        <f>VLOOKUP(D502,'Orçamento Analitico'!D:L,9,FALSE())</f>
        <v>11247.82</v>
      </c>
      <c r="J502" s="443">
        <f t="shared" si="152"/>
        <v>14114.88</v>
      </c>
      <c r="K502" s="443">
        <f t="shared" si="153"/>
        <v>11247.82</v>
      </c>
      <c r="L502" s="443">
        <f t="shared" si="154"/>
        <v>14114.88</v>
      </c>
      <c r="M502" s="461" t="e">
        <f t="shared" si="140"/>
        <v>#N/A</v>
      </c>
      <c r="N502" s="464"/>
      <c r="O502" s="465"/>
      <c r="P502" s="465"/>
      <c r="Q502" s="465"/>
      <c r="R502" s="465">
        <v>1</v>
      </c>
      <c r="S502" s="465"/>
      <c r="T502" s="465"/>
      <c r="U502" s="479"/>
      <c r="V502" s="422"/>
      <c r="W502" s="422"/>
      <c r="X502" s="422"/>
      <c r="Y502" s="422"/>
      <c r="Z502" s="422"/>
    </row>
    <row r="503" ht="12.75" customHeight="1" spans="1:26">
      <c r="A503" s="422" t="str">
        <f t="shared" si="149"/>
        <v> 12.4 </v>
      </c>
      <c r="B503" s="423" t="str">
        <f t="shared" si="150"/>
        <v> 12.4 </v>
      </c>
      <c r="C503" s="441" t="s">
        <v>1358</v>
      </c>
      <c r="D503" s="442" t="s">
        <v>1359</v>
      </c>
      <c r="E503" s="441" t="s">
        <v>132</v>
      </c>
      <c r="F503" s="441" t="s">
        <v>1360</v>
      </c>
      <c r="G503" s="442" t="s">
        <v>134</v>
      </c>
      <c r="H503" s="443">
        <f t="shared" si="151"/>
        <v>1</v>
      </c>
      <c r="I503" s="443">
        <f>VLOOKUP(D503,'Orçamento Analitico'!D:L,9,FALSE())</f>
        <v>8109.65</v>
      </c>
      <c r="J503" s="443">
        <f t="shared" si="152"/>
        <v>10176.79</v>
      </c>
      <c r="K503" s="443">
        <f t="shared" si="153"/>
        <v>8109.65</v>
      </c>
      <c r="L503" s="443">
        <f t="shared" si="154"/>
        <v>10176.79</v>
      </c>
      <c r="M503" s="461" t="e">
        <f t="shared" si="140"/>
        <v>#N/A</v>
      </c>
      <c r="N503" s="464"/>
      <c r="O503" s="465"/>
      <c r="P503" s="465"/>
      <c r="Q503" s="465"/>
      <c r="R503" s="465">
        <v>1</v>
      </c>
      <c r="S503" s="465"/>
      <c r="T503" s="465"/>
      <c r="U503" s="479"/>
      <c r="V503" s="422"/>
      <c r="W503" s="422"/>
      <c r="X503" s="422"/>
      <c r="Y503" s="422"/>
      <c r="Z503" s="422"/>
    </row>
    <row r="504" ht="12.75" customHeight="1" spans="1:26">
      <c r="A504" s="422" t="str">
        <f t="shared" si="149"/>
        <v> 12.4 </v>
      </c>
      <c r="B504" s="423" t="str">
        <f t="shared" si="150"/>
        <v> 12.4 </v>
      </c>
      <c r="C504" s="441" t="s">
        <v>1362</v>
      </c>
      <c r="D504" s="442" t="s">
        <v>1363</v>
      </c>
      <c r="E504" s="441" t="s">
        <v>132</v>
      </c>
      <c r="F504" s="441" t="s">
        <v>1364</v>
      </c>
      <c r="G504" s="442" t="s">
        <v>134</v>
      </c>
      <c r="H504" s="443">
        <f t="shared" si="151"/>
        <v>1</v>
      </c>
      <c r="I504" s="443">
        <f>VLOOKUP(D504,'Orçamento Analitico'!D:L,9,FALSE())</f>
        <v>15513.85</v>
      </c>
      <c r="J504" s="443">
        <f t="shared" si="152"/>
        <v>19468.33</v>
      </c>
      <c r="K504" s="443">
        <f t="shared" si="153"/>
        <v>15513.85</v>
      </c>
      <c r="L504" s="443">
        <f t="shared" si="154"/>
        <v>19468.33</v>
      </c>
      <c r="M504" s="461" t="e">
        <f t="shared" si="140"/>
        <v>#N/A</v>
      </c>
      <c r="N504" s="464"/>
      <c r="O504" s="465"/>
      <c r="P504" s="465"/>
      <c r="Q504" s="465"/>
      <c r="R504" s="465">
        <v>1</v>
      </c>
      <c r="S504" s="465"/>
      <c r="T504" s="465"/>
      <c r="U504" s="479"/>
      <c r="V504" s="422"/>
      <c r="W504" s="422"/>
      <c r="X504" s="422"/>
      <c r="Y504" s="422"/>
      <c r="Z504" s="422"/>
    </row>
    <row r="505" ht="12.75" customHeight="1" spans="1:26">
      <c r="A505" s="422" t="str">
        <f t="shared" si="149"/>
        <v> 12.4 </v>
      </c>
      <c r="B505" s="423" t="str">
        <f t="shared" si="150"/>
        <v> 12.4 </v>
      </c>
      <c r="C505" s="441" t="s">
        <v>1366</v>
      </c>
      <c r="D505" s="442" t="s">
        <v>1367</v>
      </c>
      <c r="E505" s="441" t="s">
        <v>132</v>
      </c>
      <c r="F505" s="441" t="s">
        <v>1368</v>
      </c>
      <c r="G505" s="442" t="s">
        <v>134</v>
      </c>
      <c r="H505" s="443">
        <f t="shared" si="151"/>
        <v>1</v>
      </c>
      <c r="I505" s="443">
        <f>VLOOKUP(D505,'Orçamento Analitico'!D:L,9,FALSE())</f>
        <v>11080.11</v>
      </c>
      <c r="J505" s="443">
        <f t="shared" si="152"/>
        <v>13904.43</v>
      </c>
      <c r="K505" s="443">
        <f t="shared" si="153"/>
        <v>11080.11</v>
      </c>
      <c r="L505" s="443">
        <f t="shared" si="154"/>
        <v>13904.43</v>
      </c>
      <c r="M505" s="461" t="e">
        <f t="shared" si="140"/>
        <v>#N/A</v>
      </c>
      <c r="N505" s="464"/>
      <c r="O505" s="465"/>
      <c r="P505" s="465"/>
      <c r="Q505" s="465"/>
      <c r="R505" s="465">
        <v>1</v>
      </c>
      <c r="S505" s="465"/>
      <c r="T505" s="465"/>
      <c r="U505" s="479"/>
      <c r="V505" s="497"/>
      <c r="W505" s="422"/>
      <c r="X505" s="422"/>
      <c r="Y505" s="422"/>
      <c r="Z505" s="422"/>
    </row>
    <row r="506" ht="12.75" customHeight="1" spans="1:26">
      <c r="A506" s="422" t="str">
        <f t="shared" si="149"/>
        <v> 12.4 </v>
      </c>
      <c r="B506" s="423" t="str">
        <f t="shared" si="150"/>
        <v> 12.4 </v>
      </c>
      <c r="C506" s="441" t="s">
        <v>1370</v>
      </c>
      <c r="D506" s="442" t="s">
        <v>1371</v>
      </c>
      <c r="E506" s="441" t="s">
        <v>132</v>
      </c>
      <c r="F506" s="441" t="s">
        <v>1372</v>
      </c>
      <c r="G506" s="442" t="s">
        <v>134</v>
      </c>
      <c r="H506" s="443">
        <f t="shared" si="151"/>
        <v>1</v>
      </c>
      <c r="I506" s="443">
        <f>VLOOKUP(D506,'Orçamento Analitico'!D:L,9,FALSE())</f>
        <v>8090.51</v>
      </c>
      <c r="J506" s="443">
        <f t="shared" si="152"/>
        <v>10152.78</v>
      </c>
      <c r="K506" s="443">
        <f t="shared" si="153"/>
        <v>8090.51</v>
      </c>
      <c r="L506" s="443">
        <f t="shared" si="154"/>
        <v>10152.78</v>
      </c>
      <c r="M506" s="461" t="e">
        <f t="shared" si="140"/>
        <v>#N/A</v>
      </c>
      <c r="N506" s="464"/>
      <c r="O506" s="465"/>
      <c r="P506" s="465"/>
      <c r="Q506" s="465"/>
      <c r="R506" s="465">
        <v>1</v>
      </c>
      <c r="S506" s="465"/>
      <c r="T506" s="465"/>
      <c r="U506" s="479"/>
      <c r="V506" s="422"/>
      <c r="W506" s="422"/>
      <c r="X506" s="422"/>
      <c r="Y506" s="422"/>
      <c r="Z506" s="422"/>
    </row>
    <row r="507" ht="12.75" customHeight="1" spans="1:26">
      <c r="A507" s="422" t="str">
        <f t="shared" si="149"/>
        <v> 12.4 </v>
      </c>
      <c r="B507" s="423" t="str">
        <f t="shared" si="150"/>
        <v> 12.4 </v>
      </c>
      <c r="C507" s="441" t="s">
        <v>1374</v>
      </c>
      <c r="D507" s="442" t="s">
        <v>1375</v>
      </c>
      <c r="E507" s="441" t="s">
        <v>132</v>
      </c>
      <c r="F507" s="441" t="s">
        <v>1376</v>
      </c>
      <c r="G507" s="442" t="s">
        <v>134</v>
      </c>
      <c r="H507" s="443">
        <f t="shared" si="151"/>
        <v>1</v>
      </c>
      <c r="I507" s="443">
        <f>VLOOKUP(D507,'Orçamento Analitico'!D:L,9,FALSE())</f>
        <v>20323.54</v>
      </c>
      <c r="J507" s="443">
        <f t="shared" si="152"/>
        <v>25504.01</v>
      </c>
      <c r="K507" s="443">
        <f t="shared" si="153"/>
        <v>20323.54</v>
      </c>
      <c r="L507" s="443">
        <f t="shared" si="154"/>
        <v>25504.01</v>
      </c>
      <c r="M507" s="461" t="e">
        <f t="shared" si="140"/>
        <v>#N/A</v>
      </c>
      <c r="N507" s="464"/>
      <c r="O507" s="465"/>
      <c r="P507" s="465"/>
      <c r="Q507" s="465"/>
      <c r="R507" s="465">
        <v>1</v>
      </c>
      <c r="S507" s="465"/>
      <c r="T507" s="465"/>
      <c r="U507" s="479"/>
      <c r="V507" s="422"/>
      <c r="W507" s="422"/>
      <c r="X507" s="422"/>
      <c r="Y507" s="422"/>
      <c r="Z507" s="422"/>
    </row>
    <row r="508" ht="12.75" customHeight="1" spans="1:26">
      <c r="A508" s="422" t="str">
        <f t="shared" si="149"/>
        <v> 12.4 </v>
      </c>
      <c r="B508" s="423" t="str">
        <f t="shared" si="150"/>
        <v> 12.4 </v>
      </c>
      <c r="C508" s="441" t="s">
        <v>1378</v>
      </c>
      <c r="D508" s="442" t="s">
        <v>1379</v>
      </c>
      <c r="E508" s="441" t="s">
        <v>132</v>
      </c>
      <c r="F508" s="441" t="s">
        <v>1380</v>
      </c>
      <c r="G508" s="442" t="s">
        <v>134</v>
      </c>
      <c r="H508" s="443">
        <f t="shared" si="151"/>
        <v>1</v>
      </c>
      <c r="I508" s="443">
        <f>VLOOKUP(D508,'Orçamento Analitico'!D:L,9,FALSE())</f>
        <v>14266.68</v>
      </c>
      <c r="J508" s="443">
        <f t="shared" si="152"/>
        <v>17903.25</v>
      </c>
      <c r="K508" s="443">
        <f t="shared" si="153"/>
        <v>14266.68</v>
      </c>
      <c r="L508" s="443">
        <f t="shared" si="154"/>
        <v>17903.25</v>
      </c>
      <c r="M508" s="461" t="e">
        <f t="shared" si="140"/>
        <v>#N/A</v>
      </c>
      <c r="N508" s="464"/>
      <c r="O508" s="465"/>
      <c r="P508" s="465"/>
      <c r="Q508" s="465">
        <v>1</v>
      </c>
      <c r="R508" s="465"/>
      <c r="S508" s="465"/>
      <c r="T508" s="465"/>
      <c r="U508" s="479"/>
      <c r="V508" s="422"/>
      <c r="W508" s="422"/>
      <c r="X508" s="422"/>
      <c r="Y508" s="422"/>
      <c r="Z508" s="422"/>
    </row>
    <row r="509" ht="12.75" customHeight="1" spans="1:26">
      <c r="A509" s="422" t="str">
        <f t="shared" si="149"/>
        <v> 12.4 </v>
      </c>
      <c r="B509" s="423" t="str">
        <f t="shared" si="150"/>
        <v> 12.4 </v>
      </c>
      <c r="C509" s="441" t="s">
        <v>1382</v>
      </c>
      <c r="D509" s="442" t="s">
        <v>1383</v>
      </c>
      <c r="E509" s="441" t="s">
        <v>132</v>
      </c>
      <c r="F509" s="441" t="s">
        <v>1384</v>
      </c>
      <c r="G509" s="442" t="s">
        <v>134</v>
      </c>
      <c r="H509" s="443">
        <f t="shared" si="151"/>
        <v>1</v>
      </c>
      <c r="I509" s="443">
        <f>VLOOKUP(D509,'Orçamento Analitico'!D:L,9,FALSE())</f>
        <v>10412.63</v>
      </c>
      <c r="J509" s="443">
        <f t="shared" si="152"/>
        <v>13066.8</v>
      </c>
      <c r="K509" s="443">
        <f t="shared" si="153"/>
        <v>10412.63</v>
      </c>
      <c r="L509" s="443">
        <f t="shared" si="154"/>
        <v>13066.8</v>
      </c>
      <c r="M509" s="461" t="e">
        <f t="shared" si="140"/>
        <v>#N/A</v>
      </c>
      <c r="N509" s="464"/>
      <c r="O509" s="465"/>
      <c r="P509" s="465"/>
      <c r="Q509" s="465">
        <v>1</v>
      </c>
      <c r="R509" s="465"/>
      <c r="S509" s="465"/>
      <c r="T509" s="465"/>
      <c r="U509" s="479"/>
      <c r="V509" s="422"/>
      <c r="W509" s="422"/>
      <c r="X509" s="422"/>
      <c r="Y509" s="422"/>
      <c r="Z509" s="422"/>
    </row>
    <row r="510" ht="12.75" customHeight="1" spans="1:26">
      <c r="A510" s="422" t="str">
        <f t="shared" si="149"/>
        <v> 12.4 </v>
      </c>
      <c r="B510" s="423" t="str">
        <f t="shared" si="150"/>
        <v> 12.4 </v>
      </c>
      <c r="C510" s="441" t="s">
        <v>1386</v>
      </c>
      <c r="D510" s="442" t="s">
        <v>1387</v>
      </c>
      <c r="E510" s="441" t="s">
        <v>132</v>
      </c>
      <c r="F510" s="441" t="s">
        <v>1388</v>
      </c>
      <c r="G510" s="442" t="s">
        <v>134</v>
      </c>
      <c r="H510" s="443">
        <f t="shared" si="151"/>
        <v>1</v>
      </c>
      <c r="I510" s="443">
        <f>VLOOKUP(D510,'Orçamento Analitico'!D:L,9,FALSE())</f>
        <v>8109.65</v>
      </c>
      <c r="J510" s="443">
        <f t="shared" si="152"/>
        <v>10176.79</v>
      </c>
      <c r="K510" s="443">
        <f t="shared" si="153"/>
        <v>8109.65</v>
      </c>
      <c r="L510" s="443">
        <f t="shared" si="154"/>
        <v>10176.79</v>
      </c>
      <c r="M510" s="461" t="e">
        <f t="shared" si="140"/>
        <v>#N/A</v>
      </c>
      <c r="N510" s="464"/>
      <c r="O510" s="465"/>
      <c r="P510" s="465"/>
      <c r="Q510" s="465">
        <v>1</v>
      </c>
      <c r="R510" s="465"/>
      <c r="S510" s="465"/>
      <c r="T510" s="465"/>
      <c r="U510" s="479"/>
      <c r="V510" s="422"/>
      <c r="W510" s="422"/>
      <c r="X510" s="422"/>
      <c r="Y510" s="422"/>
      <c r="Z510" s="422"/>
    </row>
    <row r="511" ht="12.75" customHeight="1" spans="1:26">
      <c r="A511" s="422" t="str">
        <f t="shared" si="149"/>
        <v> 12.4 </v>
      </c>
      <c r="B511" s="423" t="str">
        <f t="shared" si="150"/>
        <v> 12.4 </v>
      </c>
      <c r="C511" s="441" t="s">
        <v>1389</v>
      </c>
      <c r="D511" s="442" t="s">
        <v>1390</v>
      </c>
      <c r="E511" s="441" t="s">
        <v>132</v>
      </c>
      <c r="F511" s="441" t="s">
        <v>1391</v>
      </c>
      <c r="G511" s="442" t="s">
        <v>134</v>
      </c>
      <c r="H511" s="443">
        <f t="shared" si="151"/>
        <v>1</v>
      </c>
      <c r="I511" s="443">
        <f>VLOOKUP(D511,'Orçamento Analitico'!D:L,9,FALSE())</f>
        <v>13808.56</v>
      </c>
      <c r="J511" s="443">
        <f t="shared" si="152"/>
        <v>17328.36</v>
      </c>
      <c r="K511" s="443">
        <f t="shared" si="153"/>
        <v>13808.56</v>
      </c>
      <c r="L511" s="443">
        <f t="shared" si="154"/>
        <v>17328.36</v>
      </c>
      <c r="M511" s="461" t="e">
        <f t="shared" si="140"/>
        <v>#N/A</v>
      </c>
      <c r="N511" s="464"/>
      <c r="O511" s="465"/>
      <c r="P511" s="465"/>
      <c r="Q511" s="465">
        <v>1</v>
      </c>
      <c r="R511" s="465"/>
      <c r="S511" s="465"/>
      <c r="T511" s="465"/>
      <c r="U511" s="479"/>
      <c r="V511" s="422"/>
      <c r="W511" s="422"/>
      <c r="X511" s="422"/>
      <c r="Y511" s="422"/>
      <c r="Z511" s="422"/>
    </row>
    <row r="512" ht="12.75" customHeight="1" spans="1:26">
      <c r="A512" s="422" t="str">
        <f t="shared" si="149"/>
        <v> 12.4 </v>
      </c>
      <c r="B512" s="423" t="str">
        <f t="shared" si="150"/>
        <v> 12.4 </v>
      </c>
      <c r="C512" s="441" t="s">
        <v>1393</v>
      </c>
      <c r="D512" s="442" t="s">
        <v>1394</v>
      </c>
      <c r="E512" s="441" t="s">
        <v>132</v>
      </c>
      <c r="F512" s="441" t="s">
        <v>1395</v>
      </c>
      <c r="G512" s="442" t="s">
        <v>134</v>
      </c>
      <c r="H512" s="443">
        <f t="shared" si="151"/>
        <v>1</v>
      </c>
      <c r="I512" s="443">
        <f>VLOOKUP(D512,'Orçamento Analitico'!D:L,9,FALSE())</f>
        <v>7959.94</v>
      </c>
      <c r="J512" s="443">
        <f t="shared" si="152"/>
        <v>9988.92</v>
      </c>
      <c r="K512" s="443">
        <f t="shared" si="153"/>
        <v>7959.94</v>
      </c>
      <c r="L512" s="443">
        <f t="shared" si="154"/>
        <v>9988.92</v>
      </c>
      <c r="M512" s="461" t="e">
        <f t="shared" si="140"/>
        <v>#N/A</v>
      </c>
      <c r="N512" s="464"/>
      <c r="O512" s="465"/>
      <c r="P512" s="465"/>
      <c r="Q512" s="465">
        <v>1</v>
      </c>
      <c r="R512" s="465"/>
      <c r="S512" s="465"/>
      <c r="T512" s="465"/>
      <c r="U512" s="479"/>
      <c r="V512" s="422"/>
      <c r="W512" s="422"/>
      <c r="X512" s="422"/>
      <c r="Y512" s="422"/>
      <c r="Z512" s="422"/>
    </row>
    <row r="513" ht="12.75" customHeight="1" spans="1:26">
      <c r="A513" s="422" t="str">
        <f t="shared" si="149"/>
        <v> 12.4 </v>
      </c>
      <c r="B513" s="423" t="str">
        <f t="shared" si="150"/>
        <v> 12.4 </v>
      </c>
      <c r="C513" s="441" t="s">
        <v>1397</v>
      </c>
      <c r="D513" s="442" t="s">
        <v>1398</v>
      </c>
      <c r="E513" s="441" t="s">
        <v>132</v>
      </c>
      <c r="F513" s="441" t="s">
        <v>1399</v>
      </c>
      <c r="G513" s="442" t="s">
        <v>134</v>
      </c>
      <c r="H513" s="443">
        <f t="shared" si="151"/>
        <v>1</v>
      </c>
      <c r="I513" s="443">
        <f>VLOOKUP(D513,'Orçamento Analitico'!D:L,9,FALSE())</f>
        <v>8072.5</v>
      </c>
      <c r="J513" s="443">
        <f t="shared" si="152"/>
        <v>10130.18</v>
      </c>
      <c r="K513" s="443">
        <f t="shared" si="153"/>
        <v>8072.5</v>
      </c>
      <c r="L513" s="443">
        <f t="shared" si="154"/>
        <v>10130.18</v>
      </c>
      <c r="M513" s="461" t="e">
        <f t="shared" si="140"/>
        <v>#N/A</v>
      </c>
      <c r="N513" s="464"/>
      <c r="O513" s="465"/>
      <c r="P513" s="465"/>
      <c r="Q513" s="465">
        <v>1</v>
      </c>
      <c r="R513" s="465"/>
      <c r="S513" s="465"/>
      <c r="T513" s="465"/>
      <c r="U513" s="479"/>
      <c r="V513" s="422"/>
      <c r="W513" s="422"/>
      <c r="X513" s="422"/>
      <c r="Y513" s="422"/>
      <c r="Z513" s="422"/>
    </row>
    <row r="514" ht="12.75" customHeight="1" spans="1:26">
      <c r="A514" s="422" t="str">
        <f t="shared" si="149"/>
        <v> 12.4 </v>
      </c>
      <c r="B514" s="423" t="str">
        <f t="shared" si="150"/>
        <v> 12.4 </v>
      </c>
      <c r="C514" s="441" t="s">
        <v>1401</v>
      </c>
      <c r="D514" s="442" t="s">
        <v>1402</v>
      </c>
      <c r="E514" s="441" t="s">
        <v>132</v>
      </c>
      <c r="F514" s="441" t="s">
        <v>1403</v>
      </c>
      <c r="G514" s="442" t="s">
        <v>134</v>
      </c>
      <c r="H514" s="443">
        <f t="shared" si="151"/>
        <v>1</v>
      </c>
      <c r="I514" s="443">
        <f>VLOOKUP(D514,'Orçamento Analitico'!D:L,9,FALSE())</f>
        <v>18487.68</v>
      </c>
      <c r="J514" s="443">
        <f t="shared" si="152"/>
        <v>23200.18</v>
      </c>
      <c r="K514" s="443">
        <f t="shared" si="153"/>
        <v>18487.68</v>
      </c>
      <c r="L514" s="443">
        <f t="shared" si="154"/>
        <v>23200.18</v>
      </c>
      <c r="M514" s="461" t="e">
        <f t="shared" si="140"/>
        <v>#N/A</v>
      </c>
      <c r="N514" s="464"/>
      <c r="O514" s="465"/>
      <c r="P514" s="465"/>
      <c r="Q514" s="465">
        <v>1</v>
      </c>
      <c r="R514" s="465"/>
      <c r="S514" s="465"/>
      <c r="T514" s="465"/>
      <c r="U514" s="479"/>
      <c r="V514" s="422"/>
      <c r="W514" s="422"/>
      <c r="X514" s="422"/>
      <c r="Y514" s="422"/>
      <c r="Z514" s="422"/>
    </row>
    <row r="515" ht="12.75" customHeight="1" spans="1:26">
      <c r="A515" s="422" t="str">
        <f t="shared" si="149"/>
        <v> 12.4 </v>
      </c>
      <c r="B515" s="423" t="str">
        <f t="shared" si="150"/>
        <v> 12.4 </v>
      </c>
      <c r="C515" s="441" t="s">
        <v>1405</v>
      </c>
      <c r="D515" s="442" t="s">
        <v>1406</v>
      </c>
      <c r="E515" s="441" t="s">
        <v>132</v>
      </c>
      <c r="F515" s="441" t="s">
        <v>1407</v>
      </c>
      <c r="G515" s="442" t="s">
        <v>134</v>
      </c>
      <c r="H515" s="443">
        <f t="shared" si="151"/>
        <v>1</v>
      </c>
      <c r="I515" s="443">
        <f>VLOOKUP(D515,'Orçamento Analitico'!D:L,9,FALSE())</f>
        <v>8880.69</v>
      </c>
      <c r="J515" s="443">
        <f t="shared" si="152"/>
        <v>11144.37</v>
      </c>
      <c r="K515" s="443">
        <f t="shared" si="153"/>
        <v>8880.69</v>
      </c>
      <c r="L515" s="443">
        <f t="shared" si="154"/>
        <v>11144.37</v>
      </c>
      <c r="M515" s="461" t="e">
        <f t="shared" si="140"/>
        <v>#N/A</v>
      </c>
      <c r="N515" s="464">
        <v>1</v>
      </c>
      <c r="O515" s="465"/>
      <c r="P515" s="465"/>
      <c r="Q515" s="465"/>
      <c r="R515" s="465"/>
      <c r="S515" s="465"/>
      <c r="T515" s="465"/>
      <c r="U515" s="479"/>
      <c r="V515" s="422"/>
      <c r="W515" s="422"/>
      <c r="X515" s="422"/>
      <c r="Y515" s="422"/>
      <c r="Z515" s="422"/>
    </row>
    <row r="516" ht="12.75" customHeight="1" spans="1:26">
      <c r="A516" s="422" t="str">
        <f t="shared" si="149"/>
        <v> 12.4 </v>
      </c>
      <c r="B516" s="423" t="str">
        <f t="shared" si="150"/>
        <v> 12.4 </v>
      </c>
      <c r="C516" s="441" t="s">
        <v>1409</v>
      </c>
      <c r="D516" s="442" t="s">
        <v>1410</v>
      </c>
      <c r="E516" s="441" t="s">
        <v>132</v>
      </c>
      <c r="F516" s="441" t="s">
        <v>1411</v>
      </c>
      <c r="G516" s="442" t="s">
        <v>134</v>
      </c>
      <c r="H516" s="443">
        <f t="shared" si="151"/>
        <v>1</v>
      </c>
      <c r="I516" s="443">
        <f>VLOOKUP(D516,'Orçamento Analitico'!D:L,9,FALSE())</f>
        <v>16735.23</v>
      </c>
      <c r="J516" s="443">
        <f t="shared" si="152"/>
        <v>21001.04</v>
      </c>
      <c r="K516" s="443">
        <f t="shared" si="153"/>
        <v>16735.23</v>
      </c>
      <c r="L516" s="443">
        <f t="shared" si="154"/>
        <v>21001.04</v>
      </c>
      <c r="M516" s="461" t="e">
        <f t="shared" si="140"/>
        <v>#N/A</v>
      </c>
      <c r="N516" s="464">
        <v>1</v>
      </c>
      <c r="O516" s="465"/>
      <c r="P516" s="465"/>
      <c r="Q516" s="465"/>
      <c r="R516" s="465"/>
      <c r="S516" s="465"/>
      <c r="T516" s="465"/>
      <c r="U516" s="479"/>
      <c r="V516" s="422"/>
      <c r="W516" s="422"/>
      <c r="X516" s="422"/>
      <c r="Y516" s="422"/>
      <c r="Z516" s="422"/>
    </row>
    <row r="517" ht="12.75" customHeight="1" spans="1:26">
      <c r="A517" s="422" t="str">
        <f t="shared" si="149"/>
        <v> 12.4 </v>
      </c>
      <c r="B517" s="423" t="str">
        <f t="shared" si="150"/>
        <v> 12.4 </v>
      </c>
      <c r="C517" s="441" t="s">
        <v>1413</v>
      </c>
      <c r="D517" s="442" t="s">
        <v>1414</v>
      </c>
      <c r="E517" s="441" t="s">
        <v>132</v>
      </c>
      <c r="F517" s="441" t="s">
        <v>1415</v>
      </c>
      <c r="G517" s="442" t="s">
        <v>134</v>
      </c>
      <c r="H517" s="443">
        <f t="shared" si="151"/>
        <v>1</v>
      </c>
      <c r="I517" s="443">
        <f>VLOOKUP(D517,'Orçamento Analitico'!D:L,9,FALSE())</f>
        <v>16735.23</v>
      </c>
      <c r="J517" s="443">
        <f t="shared" si="152"/>
        <v>21001.04</v>
      </c>
      <c r="K517" s="443">
        <f t="shared" si="153"/>
        <v>16735.23</v>
      </c>
      <c r="L517" s="443">
        <f t="shared" si="154"/>
        <v>21001.04</v>
      </c>
      <c r="M517" s="461" t="e">
        <f t="shared" si="140"/>
        <v>#N/A</v>
      </c>
      <c r="N517" s="464">
        <v>1</v>
      </c>
      <c r="O517" s="465"/>
      <c r="P517" s="465"/>
      <c r="Q517" s="465"/>
      <c r="R517" s="465"/>
      <c r="S517" s="465"/>
      <c r="T517" s="465"/>
      <c r="U517" s="479"/>
      <c r="V517" s="422"/>
      <c r="W517" s="422"/>
      <c r="X517" s="422"/>
      <c r="Y517" s="422"/>
      <c r="Z517" s="422"/>
    </row>
    <row r="518" ht="12.75" customHeight="1" spans="1:26">
      <c r="A518" s="422" t="str">
        <f t="shared" si="149"/>
        <v> 12.4 </v>
      </c>
      <c r="B518" s="423" t="str">
        <f t="shared" si="150"/>
        <v> 12.4 </v>
      </c>
      <c r="C518" s="441" t="s">
        <v>1416</v>
      </c>
      <c r="D518" s="442" t="s">
        <v>1417</v>
      </c>
      <c r="E518" s="441" t="s">
        <v>132</v>
      </c>
      <c r="F518" s="441" t="s">
        <v>6185</v>
      </c>
      <c r="G518" s="442" t="s">
        <v>134</v>
      </c>
      <c r="H518" s="443">
        <f t="shared" si="151"/>
        <v>2</v>
      </c>
      <c r="I518" s="443">
        <f>VLOOKUP(D518,'Orçamento Analitico'!D:L,9,FALSE())</f>
        <v>25101.13</v>
      </c>
      <c r="J518" s="443">
        <f t="shared" si="152"/>
        <v>31499.4</v>
      </c>
      <c r="K518" s="443">
        <f t="shared" si="153"/>
        <v>50202.26</v>
      </c>
      <c r="L518" s="443">
        <f t="shared" si="154"/>
        <v>62998.8</v>
      </c>
      <c r="M518" s="461" t="e">
        <f t="shared" si="140"/>
        <v>#N/A</v>
      </c>
      <c r="N518" s="464"/>
      <c r="O518" s="465"/>
      <c r="P518" s="465"/>
      <c r="Q518" s="465">
        <v>1</v>
      </c>
      <c r="R518" s="465">
        <v>1</v>
      </c>
      <c r="S518" s="465"/>
      <c r="T518" s="465"/>
      <c r="U518" s="479"/>
      <c r="V518" s="422"/>
      <c r="W518" s="422"/>
      <c r="X518" s="422"/>
      <c r="Y518" s="422"/>
      <c r="Z518" s="422"/>
    </row>
    <row r="519" ht="12.75" customHeight="1" spans="1:26">
      <c r="A519" s="422" t="str">
        <f t="shared" si="149"/>
        <v> 12.4 </v>
      </c>
      <c r="B519" s="423" t="str">
        <f t="shared" si="150"/>
        <v> 12.4 </v>
      </c>
      <c r="C519" s="441" t="s">
        <v>1420</v>
      </c>
      <c r="D519" s="442" t="s">
        <v>1421</v>
      </c>
      <c r="E519" s="441" t="s">
        <v>132</v>
      </c>
      <c r="F519" s="441" t="s">
        <v>1422</v>
      </c>
      <c r="G519" s="442" t="s">
        <v>334</v>
      </c>
      <c r="H519" s="443">
        <v>1</v>
      </c>
      <c r="I519" s="443">
        <f>VLOOKUP(D519,'Orçamento Analitico'!D:L,9,FALSE())</f>
        <v>563976.25</v>
      </c>
      <c r="J519" s="525">
        <f>ROUNDDOWN(I519*(1+$H$6),2)</f>
        <v>654889.22</v>
      </c>
      <c r="K519" s="525">
        <f t="shared" si="153"/>
        <v>563976.25</v>
      </c>
      <c r="L519" s="443">
        <f t="shared" si="154"/>
        <v>654889.22</v>
      </c>
      <c r="M519" s="461" t="e">
        <f t="shared" si="140"/>
        <v>#N/A</v>
      </c>
      <c r="N519" s="464"/>
      <c r="O519" s="465"/>
      <c r="P519" s="465"/>
      <c r="Q519" s="465"/>
      <c r="R519" s="465"/>
      <c r="S519" s="465"/>
      <c r="T519" s="465"/>
      <c r="U519" s="479"/>
      <c r="V519" s="422"/>
      <c r="W519" s="422"/>
      <c r="X519" s="422"/>
      <c r="Y519" s="422"/>
      <c r="Z519" s="422"/>
    </row>
    <row r="520" ht="12.75" customHeight="1" spans="1:26">
      <c r="A520" s="422" t="str">
        <f t="shared" si="149"/>
        <v> 12.4 </v>
      </c>
      <c r="B520" s="423" t="str">
        <f t="shared" si="150"/>
        <v> 12.4 </v>
      </c>
      <c r="C520" s="441" t="s">
        <v>1424</v>
      </c>
      <c r="D520" s="442" t="s">
        <v>1425</v>
      </c>
      <c r="E520" s="441" t="s">
        <v>132</v>
      </c>
      <c r="F520" s="441" t="s">
        <v>1426</v>
      </c>
      <c r="G520" s="442" t="s">
        <v>134</v>
      </c>
      <c r="H520" s="443">
        <f>H519</f>
        <v>1</v>
      </c>
      <c r="I520" s="443">
        <f>VLOOKUP(D520,'Orçamento Analitico'!D:L,9,FALSE())</f>
        <v>4456.95</v>
      </c>
      <c r="J520" s="443">
        <f>ROUNDDOWN(I520*(1+$G$6),2)</f>
        <v>5593.02</v>
      </c>
      <c r="K520" s="443">
        <f t="shared" si="153"/>
        <v>4456.95</v>
      </c>
      <c r="L520" s="443">
        <f t="shared" si="154"/>
        <v>5593.02</v>
      </c>
      <c r="M520" s="461" t="e">
        <f t="shared" ref="M520:M583" si="155">K520/$L$1062</f>
        <v>#N/A</v>
      </c>
      <c r="N520" s="464"/>
      <c r="O520" s="465"/>
      <c r="P520" s="465"/>
      <c r="Q520" s="465"/>
      <c r="R520" s="465"/>
      <c r="S520" s="465"/>
      <c r="T520" s="465"/>
      <c r="U520" s="479"/>
      <c r="V520" s="422"/>
      <c r="W520" s="422"/>
      <c r="X520" s="422"/>
      <c r="Y520" s="422"/>
      <c r="Z520" s="422"/>
    </row>
    <row r="521" ht="12.75" customHeight="1" spans="1:26">
      <c r="A521" s="422" t="str">
        <f t="shared" si="149"/>
        <v> 12.4 </v>
      </c>
      <c r="B521" s="423" t="str">
        <f t="shared" si="150"/>
        <v> 12.4 </v>
      </c>
      <c r="C521" s="441" t="s">
        <v>1427</v>
      </c>
      <c r="D521" s="442" t="s">
        <v>1428</v>
      </c>
      <c r="E521" s="441" t="s">
        <v>132</v>
      </c>
      <c r="F521" s="441" t="s">
        <v>1429</v>
      </c>
      <c r="G521" s="442" t="s">
        <v>334</v>
      </c>
      <c r="H521" s="443">
        <v>1</v>
      </c>
      <c r="I521" s="443">
        <f>VLOOKUP(D521,'Orçamento Analitico'!D:L,9,FALSE())</f>
        <v>83948.65</v>
      </c>
      <c r="J521" s="443">
        <f>ROUNDDOWN(I521*(1+$G$6),2)</f>
        <v>105347.16</v>
      </c>
      <c r="K521" s="443">
        <f t="shared" si="153"/>
        <v>83948.65</v>
      </c>
      <c r="L521" s="443">
        <f t="shared" si="154"/>
        <v>105347.16</v>
      </c>
      <c r="M521" s="461" t="e">
        <f t="shared" si="155"/>
        <v>#N/A</v>
      </c>
      <c r="N521" s="464"/>
      <c r="O521" s="465"/>
      <c r="P521" s="465"/>
      <c r="Q521" s="465"/>
      <c r="R521" s="465"/>
      <c r="S521" s="465"/>
      <c r="T521" s="465"/>
      <c r="U521" s="479"/>
      <c r="V521" s="422"/>
      <c r="W521" s="422"/>
      <c r="X521" s="422"/>
      <c r="Y521" s="422"/>
      <c r="Z521" s="422"/>
    </row>
    <row r="522" ht="12.75" customHeight="1" spans="1:26">
      <c r="A522" s="422" t="str">
        <f t="shared" si="149"/>
        <v> 12.4 </v>
      </c>
      <c r="B522" s="423" t="str">
        <f t="shared" si="150"/>
        <v> 12.4 </v>
      </c>
      <c r="C522" s="441" t="s">
        <v>1431</v>
      </c>
      <c r="D522" s="442" t="s">
        <v>1432</v>
      </c>
      <c r="E522" s="441" t="s">
        <v>132</v>
      </c>
      <c r="F522" s="441" t="s">
        <v>1433</v>
      </c>
      <c r="G522" s="442" t="s">
        <v>334</v>
      </c>
      <c r="H522" s="443">
        <v>1</v>
      </c>
      <c r="I522" s="443">
        <f>VLOOKUP(D522,'Orçamento Analitico'!D:L,9,FALSE())</f>
        <v>968388.69</v>
      </c>
      <c r="J522" s="525">
        <f>ROUNDDOWN(I522*(1+$H$6),2)</f>
        <v>1124492.94</v>
      </c>
      <c r="K522" s="525">
        <f t="shared" si="153"/>
        <v>968388.69</v>
      </c>
      <c r="L522" s="443">
        <f t="shared" si="154"/>
        <v>1124492.94</v>
      </c>
      <c r="M522" s="461" t="e">
        <f t="shared" si="155"/>
        <v>#N/A</v>
      </c>
      <c r="N522" s="464"/>
      <c r="O522" s="465"/>
      <c r="P522" s="465"/>
      <c r="Q522" s="465"/>
      <c r="R522" s="465"/>
      <c r="S522" s="465"/>
      <c r="T522" s="465"/>
      <c r="U522" s="479"/>
      <c r="V522" s="422"/>
      <c r="W522" s="422"/>
      <c r="X522" s="422"/>
      <c r="Y522" s="422"/>
      <c r="Z522" s="422"/>
    </row>
    <row r="523" ht="12.75" customHeight="1" spans="1:26">
      <c r="A523" s="422" t="str">
        <f t="shared" si="149"/>
        <v> 12.4 </v>
      </c>
      <c r="B523" s="423" t="str">
        <f t="shared" si="150"/>
        <v> 12.4 </v>
      </c>
      <c r="C523" s="441" t="s">
        <v>1435</v>
      </c>
      <c r="D523" s="442" t="s">
        <v>1436</v>
      </c>
      <c r="E523" s="441" t="s">
        <v>132</v>
      </c>
      <c r="F523" s="441" t="s">
        <v>1437</v>
      </c>
      <c r="G523" s="442" t="s">
        <v>134</v>
      </c>
      <c r="H523" s="443">
        <f>H522</f>
        <v>1</v>
      </c>
      <c r="I523" s="443">
        <f>VLOOKUP(D523,'Orçamento Analitico'!D:L,9,FALSE())</f>
        <v>4456.95</v>
      </c>
      <c r="J523" s="443">
        <f t="shared" ref="J523:J530" si="156">ROUNDDOWN(I523*(1+$G$6),2)</f>
        <v>5593.02</v>
      </c>
      <c r="K523" s="443">
        <f t="shared" si="153"/>
        <v>4456.95</v>
      </c>
      <c r="L523" s="443">
        <f t="shared" si="154"/>
        <v>5593.02</v>
      </c>
      <c r="M523" s="461" t="e">
        <f t="shared" si="155"/>
        <v>#N/A</v>
      </c>
      <c r="N523" s="464"/>
      <c r="O523" s="465"/>
      <c r="P523" s="465"/>
      <c r="Q523" s="465"/>
      <c r="R523" s="465"/>
      <c r="S523" s="465"/>
      <c r="T523" s="465"/>
      <c r="U523" s="479"/>
      <c r="V523" s="422"/>
      <c r="W523" s="422"/>
      <c r="X523" s="422"/>
      <c r="Y523" s="422"/>
      <c r="Z523" s="422"/>
    </row>
    <row r="524" ht="12.75" customHeight="1" spans="1:26">
      <c r="A524" s="422" t="str">
        <f t="shared" si="149"/>
        <v> 12.4 </v>
      </c>
      <c r="B524" s="423" t="str">
        <f t="shared" si="150"/>
        <v> 12.4 </v>
      </c>
      <c r="C524" s="441" t="s">
        <v>1438</v>
      </c>
      <c r="D524" s="442" t="s">
        <v>1439</v>
      </c>
      <c r="E524" s="441" t="s">
        <v>132</v>
      </c>
      <c r="F524" s="441" t="s">
        <v>1440</v>
      </c>
      <c r="G524" s="442" t="s">
        <v>134</v>
      </c>
      <c r="H524" s="443">
        <v>2</v>
      </c>
      <c r="I524" s="443">
        <f>VLOOKUP(D524,'Orçamento Analitico'!D:L,9,FALSE())</f>
        <v>95281.52</v>
      </c>
      <c r="J524" s="443">
        <f t="shared" si="156"/>
        <v>119568.77</v>
      </c>
      <c r="K524" s="443">
        <f t="shared" si="153"/>
        <v>190563.04</v>
      </c>
      <c r="L524" s="443">
        <f t="shared" si="154"/>
        <v>239137.54</v>
      </c>
      <c r="M524" s="461" t="e">
        <f t="shared" si="155"/>
        <v>#N/A</v>
      </c>
      <c r="N524" s="464"/>
      <c r="O524" s="465"/>
      <c r="P524" s="465"/>
      <c r="Q524" s="465"/>
      <c r="R524" s="465"/>
      <c r="S524" s="465"/>
      <c r="T524" s="465"/>
      <c r="U524" s="479"/>
      <c r="V524" s="422"/>
      <c r="W524" s="422"/>
      <c r="X524" s="422"/>
      <c r="Y524" s="422"/>
      <c r="Z524" s="422"/>
    </row>
    <row r="525" ht="12.75" customHeight="1" spans="1:26">
      <c r="A525" s="422" t="str">
        <f t="shared" si="149"/>
        <v> 12.4 </v>
      </c>
      <c r="B525" s="423" t="str">
        <f t="shared" si="150"/>
        <v> 12.4 </v>
      </c>
      <c r="C525" s="441" t="s">
        <v>1442</v>
      </c>
      <c r="D525" s="442" t="s">
        <v>1443</v>
      </c>
      <c r="E525" s="441" t="s">
        <v>132</v>
      </c>
      <c r="F525" s="441" t="s">
        <v>1444</v>
      </c>
      <c r="G525" s="442" t="s">
        <v>134</v>
      </c>
      <c r="H525" s="443">
        <f t="shared" ref="H525:H530" si="157">SUM(N525,Q525,T525)</f>
        <v>1</v>
      </c>
      <c r="I525" s="443">
        <f>VLOOKUP(D525,'Orçamento Analitico'!D:L,9,FALSE())</f>
        <v>11399.95</v>
      </c>
      <c r="J525" s="443">
        <f t="shared" si="156"/>
        <v>14305.79</v>
      </c>
      <c r="K525" s="443">
        <f t="shared" si="153"/>
        <v>11399.95</v>
      </c>
      <c r="L525" s="443">
        <f t="shared" si="154"/>
        <v>14305.79</v>
      </c>
      <c r="M525" s="461" t="e">
        <f t="shared" si="155"/>
        <v>#N/A</v>
      </c>
      <c r="N525" s="465">
        <v>1</v>
      </c>
      <c r="O525" s="465" t="s">
        <v>6186</v>
      </c>
      <c r="P525" s="465"/>
      <c r="Q525" s="465"/>
      <c r="R525" s="465"/>
      <c r="S525" s="465"/>
      <c r="T525" s="465"/>
      <c r="U525" s="479"/>
      <c r="V525" s="422"/>
      <c r="W525" s="422"/>
      <c r="X525" s="422"/>
      <c r="Y525" s="422"/>
      <c r="Z525" s="422"/>
    </row>
    <row r="526" ht="12.75" customHeight="1" spans="1:26">
      <c r="A526" s="422" t="str">
        <f t="shared" si="149"/>
        <v> 12.4 </v>
      </c>
      <c r="B526" s="423" t="str">
        <f t="shared" si="150"/>
        <v> 12.4 </v>
      </c>
      <c r="C526" s="441" t="s">
        <v>1446</v>
      </c>
      <c r="D526" s="442" t="s">
        <v>1447</v>
      </c>
      <c r="E526" s="441" t="s">
        <v>132</v>
      </c>
      <c r="F526" s="441" t="s">
        <v>1448</v>
      </c>
      <c r="G526" s="442" t="s">
        <v>134</v>
      </c>
      <c r="H526" s="443">
        <f t="shared" si="157"/>
        <v>1</v>
      </c>
      <c r="I526" s="443">
        <f>VLOOKUP(D526,'Orçamento Analitico'!D:L,9,FALSE())</f>
        <v>7635.21</v>
      </c>
      <c r="J526" s="443">
        <f t="shared" si="156"/>
        <v>9581.42</v>
      </c>
      <c r="K526" s="443">
        <f t="shared" si="153"/>
        <v>7635.21</v>
      </c>
      <c r="L526" s="443">
        <f t="shared" si="154"/>
        <v>9581.42</v>
      </c>
      <c r="M526" s="461" t="e">
        <f t="shared" si="155"/>
        <v>#N/A</v>
      </c>
      <c r="N526" s="465">
        <v>1</v>
      </c>
      <c r="O526" s="465" t="s">
        <v>6187</v>
      </c>
      <c r="P526" s="465"/>
      <c r="Q526" s="465"/>
      <c r="R526" s="465"/>
      <c r="S526" s="465"/>
      <c r="T526" s="465"/>
      <c r="U526" s="479"/>
      <c r="V526" s="422"/>
      <c r="W526" s="422"/>
      <c r="X526" s="422"/>
      <c r="Y526" s="422"/>
      <c r="Z526" s="422"/>
    </row>
    <row r="527" ht="12.75" customHeight="1" spans="1:26">
      <c r="A527" s="422" t="str">
        <f t="shared" si="149"/>
        <v> 12.4 </v>
      </c>
      <c r="B527" s="423" t="str">
        <f t="shared" si="150"/>
        <v> 12.4 </v>
      </c>
      <c r="C527" s="441" t="s">
        <v>1450</v>
      </c>
      <c r="D527" s="442" t="s">
        <v>1451</v>
      </c>
      <c r="E527" s="441" t="s">
        <v>132</v>
      </c>
      <c r="F527" s="441" t="s">
        <v>1452</v>
      </c>
      <c r="G527" s="442" t="s">
        <v>134</v>
      </c>
      <c r="H527" s="443">
        <f t="shared" si="157"/>
        <v>1</v>
      </c>
      <c r="I527" s="443">
        <f>VLOOKUP(D527,'Orçamento Analitico'!D:L,9,FALSE())</f>
        <v>7616.07</v>
      </c>
      <c r="J527" s="443">
        <f t="shared" si="156"/>
        <v>9557.4</v>
      </c>
      <c r="K527" s="443">
        <f t="shared" si="153"/>
        <v>7616.07</v>
      </c>
      <c r="L527" s="443">
        <f t="shared" si="154"/>
        <v>9557.4</v>
      </c>
      <c r="M527" s="461" t="e">
        <f t="shared" si="155"/>
        <v>#N/A</v>
      </c>
      <c r="N527" s="465">
        <v>1</v>
      </c>
      <c r="O527" s="465" t="s">
        <v>6188</v>
      </c>
      <c r="P527" s="465"/>
      <c r="Q527" s="465"/>
      <c r="R527" s="465"/>
      <c r="S527" s="465"/>
      <c r="T527" s="465"/>
      <c r="U527" s="479"/>
      <c r="V527" s="422"/>
      <c r="W527" s="422"/>
      <c r="X527" s="422"/>
      <c r="Y527" s="422"/>
      <c r="Z527" s="422"/>
    </row>
    <row r="528" ht="12.75" customHeight="1" spans="1:26">
      <c r="A528" s="422" t="str">
        <f t="shared" si="149"/>
        <v> 12.4 </v>
      </c>
      <c r="B528" s="423" t="str">
        <f t="shared" si="150"/>
        <v> 12.4 </v>
      </c>
      <c r="C528" s="441" t="s">
        <v>1454</v>
      </c>
      <c r="D528" s="442" t="s">
        <v>1455</v>
      </c>
      <c r="E528" s="441" t="s">
        <v>132</v>
      </c>
      <c r="F528" s="441" t="s">
        <v>1456</v>
      </c>
      <c r="G528" s="442" t="s">
        <v>134</v>
      </c>
      <c r="H528" s="443">
        <f t="shared" si="157"/>
        <v>1</v>
      </c>
      <c r="I528" s="443">
        <f>VLOOKUP(D528,'Orçamento Analitico'!D:L,9,FALSE())</f>
        <v>10830.84</v>
      </c>
      <c r="J528" s="443">
        <f t="shared" si="156"/>
        <v>13591.62</v>
      </c>
      <c r="K528" s="443">
        <f t="shared" si="153"/>
        <v>10830.84</v>
      </c>
      <c r="L528" s="443">
        <f t="shared" si="154"/>
        <v>13591.62</v>
      </c>
      <c r="M528" s="461" t="e">
        <f t="shared" si="155"/>
        <v>#N/A</v>
      </c>
      <c r="N528" s="465">
        <v>1</v>
      </c>
      <c r="O528" s="465"/>
      <c r="P528" s="465"/>
      <c r="Q528" s="465"/>
      <c r="R528" s="465"/>
      <c r="S528" s="465"/>
      <c r="T528" s="465"/>
      <c r="U528" s="479"/>
      <c r="V528" s="422"/>
      <c r="W528" s="422"/>
      <c r="X528" s="422"/>
      <c r="Y528" s="422"/>
      <c r="Z528" s="422"/>
    </row>
    <row r="529" ht="12.75" customHeight="1" spans="1:26">
      <c r="A529" s="422" t="str">
        <f t="shared" si="149"/>
        <v> 12.4 </v>
      </c>
      <c r="B529" s="423" t="str">
        <f t="shared" si="150"/>
        <v> 12.4 </v>
      </c>
      <c r="C529" s="441" t="s">
        <v>1458</v>
      </c>
      <c r="D529" s="442" t="s">
        <v>1459</v>
      </c>
      <c r="E529" s="441" t="s">
        <v>132</v>
      </c>
      <c r="F529" s="441" t="s">
        <v>1460</v>
      </c>
      <c r="G529" s="442" t="s">
        <v>134</v>
      </c>
      <c r="H529" s="443">
        <f t="shared" si="157"/>
        <v>1</v>
      </c>
      <c r="I529" s="443">
        <f>VLOOKUP(D529,'Orçamento Analitico'!D:L,9,FALSE())</f>
        <v>8943.15</v>
      </c>
      <c r="J529" s="443">
        <f t="shared" si="156"/>
        <v>11222.75</v>
      </c>
      <c r="K529" s="443">
        <f t="shared" si="153"/>
        <v>8943.15</v>
      </c>
      <c r="L529" s="443">
        <f t="shared" si="154"/>
        <v>11222.75</v>
      </c>
      <c r="M529" s="461" t="e">
        <f t="shared" si="155"/>
        <v>#N/A</v>
      </c>
      <c r="N529" s="465">
        <v>1</v>
      </c>
      <c r="O529" s="465"/>
      <c r="P529" s="465"/>
      <c r="Q529" s="465"/>
      <c r="R529" s="465"/>
      <c r="S529" s="465"/>
      <c r="T529" s="465"/>
      <c r="U529" s="479"/>
      <c r="V529" s="422"/>
      <c r="W529" s="422"/>
      <c r="X529" s="422"/>
      <c r="Y529" s="422"/>
      <c r="Z529" s="422"/>
    </row>
    <row r="530" ht="12.75" customHeight="1" spans="1:26">
      <c r="A530" s="422" t="str">
        <f t="shared" si="149"/>
        <v> 12.4 </v>
      </c>
      <c r="B530" s="423" t="str">
        <f t="shared" si="150"/>
        <v> 12.4 </v>
      </c>
      <c r="C530" s="441" t="s">
        <v>1462</v>
      </c>
      <c r="D530" s="442" t="s">
        <v>1463</v>
      </c>
      <c r="E530" s="441" t="s">
        <v>132</v>
      </c>
      <c r="F530" s="441" t="s">
        <v>1464</v>
      </c>
      <c r="G530" s="442" t="s">
        <v>134</v>
      </c>
      <c r="H530" s="443">
        <f t="shared" si="157"/>
        <v>1</v>
      </c>
      <c r="I530" s="443">
        <f>VLOOKUP(D530,'Orçamento Analitico'!D:L,9,FALSE())</f>
        <v>7440.48</v>
      </c>
      <c r="J530" s="443">
        <f t="shared" si="156"/>
        <v>9337.05</v>
      </c>
      <c r="K530" s="443">
        <f t="shared" si="153"/>
        <v>7440.48</v>
      </c>
      <c r="L530" s="443">
        <f t="shared" si="154"/>
        <v>9337.05</v>
      </c>
      <c r="M530" s="461" t="e">
        <f t="shared" si="155"/>
        <v>#N/A</v>
      </c>
      <c r="N530" s="465">
        <v>1</v>
      </c>
      <c r="O530" s="465"/>
      <c r="P530" s="465"/>
      <c r="Q530" s="465"/>
      <c r="R530" s="465"/>
      <c r="S530" s="465"/>
      <c r="T530" s="465"/>
      <c r="U530" s="479"/>
      <c r="V530" s="422"/>
      <c r="W530" s="422"/>
      <c r="X530" s="422"/>
      <c r="Y530" s="422"/>
      <c r="Z530" s="422"/>
    </row>
    <row r="531" ht="12.75" customHeight="1" spans="1:26">
      <c r="A531" s="422"/>
      <c r="B531" s="423" t="str">
        <f>C531</f>
        <v> 12.5 </v>
      </c>
      <c r="C531" s="444" t="s">
        <v>1466</v>
      </c>
      <c r="D531" s="445" t="s">
        <v>74</v>
      </c>
      <c r="E531" s="444"/>
      <c r="F531" s="444" t="s">
        <v>1467</v>
      </c>
      <c r="G531" s="445"/>
      <c r="H531" s="446"/>
      <c r="I531" s="446"/>
      <c r="J531" s="466"/>
      <c r="K531" s="466">
        <f>K532+K564</f>
        <v>719422.45</v>
      </c>
      <c r="L531" s="466">
        <f>L532+L564</f>
        <v>865368.1</v>
      </c>
      <c r="M531" s="467" t="e">
        <f t="shared" si="155"/>
        <v>#N/A</v>
      </c>
      <c r="N531" s="464"/>
      <c r="O531" s="465"/>
      <c r="P531" s="465"/>
      <c r="Q531" s="465"/>
      <c r="R531" s="465"/>
      <c r="S531" s="465"/>
      <c r="T531" s="465"/>
      <c r="U531" s="479"/>
      <c r="V531" s="422"/>
      <c r="W531" s="422"/>
      <c r="X531" s="422"/>
      <c r="Y531" s="422"/>
      <c r="Z531" s="422"/>
    </row>
    <row r="532" ht="12.75" customHeight="1" spans="1:26">
      <c r="A532" s="422"/>
      <c r="B532" s="423" t="str">
        <f>C532</f>
        <v> 12.5.1 </v>
      </c>
      <c r="C532" s="488" t="s">
        <v>1468</v>
      </c>
      <c r="D532" s="489" t="s">
        <v>74</v>
      </c>
      <c r="E532" s="488"/>
      <c r="F532" s="488" t="s">
        <v>381</v>
      </c>
      <c r="G532" s="489"/>
      <c r="H532" s="490"/>
      <c r="I532" s="490"/>
      <c r="J532" s="490"/>
      <c r="K532" s="490">
        <f>SUMIF(A:A,B532,K:K)</f>
        <v>493011.06</v>
      </c>
      <c r="L532" s="490">
        <f>SUMIF(A:A,C532,L:L)</f>
        <v>581255.69</v>
      </c>
      <c r="M532" s="496" t="e">
        <f t="shared" si="155"/>
        <v>#N/A</v>
      </c>
      <c r="N532" s="464"/>
      <c r="O532" s="465"/>
      <c r="P532" s="465"/>
      <c r="Q532" s="465"/>
      <c r="R532" s="465"/>
      <c r="S532" s="465"/>
      <c r="T532" s="465"/>
      <c r="U532" s="479"/>
      <c r="V532" s="422"/>
      <c r="W532" s="422"/>
      <c r="X532" s="422"/>
      <c r="Y532" s="422"/>
      <c r="Z532" s="422"/>
    </row>
    <row r="533" ht="12.75" customHeight="1" spans="1:26">
      <c r="A533" s="422" t="str">
        <f t="shared" ref="A533:A563" si="158">B533</f>
        <v> 12.5.1 </v>
      </c>
      <c r="B533" s="423" t="str">
        <f t="shared" ref="B533:B563" si="159">B532</f>
        <v> 12.5.1 </v>
      </c>
      <c r="C533" s="441" t="s">
        <v>1469</v>
      </c>
      <c r="D533" s="442" t="s">
        <v>1470</v>
      </c>
      <c r="E533" s="441" t="s">
        <v>77</v>
      </c>
      <c r="F533" s="441" t="s">
        <v>1471</v>
      </c>
      <c r="G533" s="442" t="s">
        <v>204</v>
      </c>
      <c r="H533" s="443">
        <f>SUM(N533)</f>
        <v>42</v>
      </c>
      <c r="I533" s="443">
        <f>VLOOKUP(D533,'Orçamento Analitico'!D:L,9,FALSE())</f>
        <v>66.53</v>
      </c>
      <c r="J533" s="443">
        <f>ROUNDDOWN(I533*(1+$G$6),2)</f>
        <v>83.48</v>
      </c>
      <c r="K533" s="443">
        <f t="shared" ref="K533:K563" si="160">ROUNDDOWN(H533*I533,2)</f>
        <v>2794.26</v>
      </c>
      <c r="L533" s="443">
        <f t="shared" ref="L533:L563" si="161">ROUNDDOWN(H533*J533,2)</f>
        <v>3506.16</v>
      </c>
      <c r="M533" s="461" t="e">
        <f t="shared" si="155"/>
        <v>#N/A</v>
      </c>
      <c r="N533" s="464">
        <v>42</v>
      </c>
      <c r="O533" s="465"/>
      <c r="P533" s="465"/>
      <c r="Q533" s="465"/>
      <c r="R533" s="465"/>
      <c r="S533" s="465"/>
      <c r="T533" s="465"/>
      <c r="U533" s="479"/>
      <c r="V533" s="422"/>
      <c r="W533" s="422"/>
      <c r="X533" s="422"/>
      <c r="Y533" s="422"/>
      <c r="Z533" s="422"/>
    </row>
    <row r="534" ht="12.75" customHeight="1" spans="1:26">
      <c r="A534" s="422" t="str">
        <f t="shared" si="158"/>
        <v> 12.5.1 </v>
      </c>
      <c r="B534" s="423" t="str">
        <f t="shared" si="159"/>
        <v> 12.5.1 </v>
      </c>
      <c r="C534" s="441" t="s">
        <v>1472</v>
      </c>
      <c r="D534" s="442" t="s">
        <v>1473</v>
      </c>
      <c r="E534" s="441" t="s">
        <v>77</v>
      </c>
      <c r="F534" s="441" t="s">
        <v>1474</v>
      </c>
      <c r="G534" s="442" t="s">
        <v>204</v>
      </c>
      <c r="H534" s="443">
        <f>SUM(N534)</f>
        <v>33</v>
      </c>
      <c r="I534" s="443">
        <f>VLOOKUP(D534,'Orçamento Analitico'!D:L,9,FALSE())</f>
        <v>82.58</v>
      </c>
      <c r="J534" s="443">
        <f>ROUNDDOWN(I534*(1+$G$6),2)</f>
        <v>103.62</v>
      </c>
      <c r="K534" s="443">
        <f t="shared" si="160"/>
        <v>2725.14</v>
      </c>
      <c r="L534" s="443">
        <f t="shared" si="161"/>
        <v>3419.46</v>
      </c>
      <c r="M534" s="461" t="e">
        <f t="shared" si="155"/>
        <v>#N/A</v>
      </c>
      <c r="N534" s="464">
        <v>33</v>
      </c>
      <c r="O534" s="465"/>
      <c r="P534" s="465"/>
      <c r="Q534" s="465"/>
      <c r="R534" s="465"/>
      <c r="S534" s="465"/>
      <c r="T534" s="465"/>
      <c r="U534" s="479"/>
      <c r="V534" s="422"/>
      <c r="W534" s="422"/>
      <c r="X534" s="422"/>
      <c r="Y534" s="422"/>
      <c r="Z534" s="422"/>
    </row>
    <row r="535" ht="12.75" customHeight="1" spans="1:26">
      <c r="A535" s="422" t="str">
        <f t="shared" si="158"/>
        <v> 12.5.1 </v>
      </c>
      <c r="B535" s="423" t="str">
        <f t="shared" si="159"/>
        <v> 12.5.1 </v>
      </c>
      <c r="C535" s="441" t="s">
        <v>1475</v>
      </c>
      <c r="D535" s="442" t="s">
        <v>1476</v>
      </c>
      <c r="E535" s="441" t="s">
        <v>132</v>
      </c>
      <c r="F535" s="441" t="s">
        <v>1477</v>
      </c>
      <c r="G535" s="442" t="s">
        <v>134</v>
      </c>
      <c r="H535" s="443">
        <f>SUM(N535)</f>
        <v>6</v>
      </c>
      <c r="I535" s="443">
        <f>VLOOKUP(D535,'Orçamento Analitico'!D:L,9,FALSE())</f>
        <v>392.64</v>
      </c>
      <c r="J535" s="443">
        <f>ROUNDDOWN(I535*(1+$G$6),2)</f>
        <v>492.72</v>
      </c>
      <c r="K535" s="443">
        <f t="shared" si="160"/>
        <v>2355.84</v>
      </c>
      <c r="L535" s="443">
        <f t="shared" si="161"/>
        <v>2956.32</v>
      </c>
      <c r="M535" s="461" t="e">
        <f t="shared" si="155"/>
        <v>#N/A</v>
      </c>
      <c r="N535" s="464">
        <v>6</v>
      </c>
      <c r="O535" s="465"/>
      <c r="P535" s="465"/>
      <c r="Q535" s="465"/>
      <c r="R535" s="465"/>
      <c r="S535" s="465"/>
      <c r="T535" s="465"/>
      <c r="U535" s="479"/>
      <c r="V535" s="422"/>
      <c r="W535" s="422"/>
      <c r="X535" s="422"/>
      <c r="Y535" s="422"/>
      <c r="Z535" s="422"/>
    </row>
    <row r="536" ht="37.5" customHeight="1" spans="1:26">
      <c r="A536" s="422" t="str">
        <f t="shared" si="158"/>
        <v> 12.5.1 </v>
      </c>
      <c r="B536" s="423" t="str">
        <f t="shared" si="159"/>
        <v> 12.5.1 </v>
      </c>
      <c r="C536" s="441" t="s">
        <v>1478</v>
      </c>
      <c r="D536" s="442" t="s">
        <v>1479</v>
      </c>
      <c r="E536" s="441" t="s">
        <v>796</v>
      </c>
      <c r="F536" s="441" t="s">
        <v>1480</v>
      </c>
      <c r="G536" s="442" t="s">
        <v>334</v>
      </c>
      <c r="H536" s="443">
        <f>SUM(N536)</f>
        <v>6</v>
      </c>
      <c r="I536" s="443">
        <f>VLOOKUP(D536,'Orçamento Analitico'!D:L,9,FALSE())</f>
        <v>295.5</v>
      </c>
      <c r="J536" s="443">
        <f>ROUNDDOWN(I536*(1+$G$6),2)</f>
        <v>370.82</v>
      </c>
      <c r="K536" s="443">
        <f t="shared" si="160"/>
        <v>1773</v>
      </c>
      <c r="L536" s="443">
        <f t="shared" si="161"/>
        <v>2224.92</v>
      </c>
      <c r="M536" s="461" t="e">
        <f t="shared" si="155"/>
        <v>#N/A</v>
      </c>
      <c r="N536" s="464">
        <v>6</v>
      </c>
      <c r="O536" s="465"/>
      <c r="P536" s="465"/>
      <c r="Q536" s="465"/>
      <c r="R536" s="465"/>
      <c r="S536" s="465"/>
      <c r="T536" s="465"/>
      <c r="U536" s="479"/>
      <c r="V536" s="422"/>
      <c r="W536" s="422"/>
      <c r="X536" s="422"/>
      <c r="Y536" s="422"/>
      <c r="Z536" s="422"/>
    </row>
    <row r="537" ht="37.5" customHeight="1" spans="1:26">
      <c r="A537" s="422" t="str">
        <f t="shared" si="158"/>
        <v> 12.5.1 </v>
      </c>
      <c r="B537" s="423" t="str">
        <f t="shared" si="159"/>
        <v> 12.5.1 </v>
      </c>
      <c r="C537" s="441" t="s">
        <v>1481</v>
      </c>
      <c r="D537" s="442" t="s">
        <v>1482</v>
      </c>
      <c r="E537" s="441" t="s">
        <v>132</v>
      </c>
      <c r="F537" s="441" t="s">
        <v>1483</v>
      </c>
      <c r="G537" s="442" t="s">
        <v>134</v>
      </c>
      <c r="H537" s="443">
        <f>SUM(N537)</f>
        <v>1</v>
      </c>
      <c r="I537" s="443">
        <f>VLOOKUP(D537,'Orçamento Analitico'!D:L,9,FALSE())</f>
        <v>132000</v>
      </c>
      <c r="J537" s="525">
        <f>ROUNDDOWN(I537*(1+$H$6),2)</f>
        <v>153278.4</v>
      </c>
      <c r="K537" s="525">
        <f t="shared" si="160"/>
        <v>132000</v>
      </c>
      <c r="L537" s="443">
        <f t="shared" si="161"/>
        <v>153278.4</v>
      </c>
      <c r="M537" s="461" t="e">
        <f t="shared" si="155"/>
        <v>#N/A</v>
      </c>
      <c r="N537" s="464">
        <v>1</v>
      </c>
      <c r="O537" s="465"/>
      <c r="P537" s="465"/>
      <c r="Q537" s="465"/>
      <c r="R537" s="465"/>
      <c r="S537" s="465"/>
      <c r="T537" s="465"/>
      <c r="U537" s="479"/>
      <c r="V537" s="422"/>
      <c r="W537" s="422"/>
      <c r="X537" s="422"/>
      <c r="Y537" s="422"/>
      <c r="Z537" s="422"/>
    </row>
    <row r="538" ht="12.75" customHeight="1" spans="1:26">
      <c r="A538" s="422" t="str">
        <f t="shared" si="158"/>
        <v> 12.5.1 </v>
      </c>
      <c r="B538" s="423" t="str">
        <f t="shared" si="159"/>
        <v> 12.5.1 </v>
      </c>
      <c r="C538" s="441" t="s">
        <v>1485</v>
      </c>
      <c r="D538" s="442" t="s">
        <v>1486</v>
      </c>
      <c r="E538" s="441" t="s">
        <v>132</v>
      </c>
      <c r="F538" s="441" t="s">
        <v>1487</v>
      </c>
      <c r="G538" s="442" t="s">
        <v>134</v>
      </c>
      <c r="H538" s="443">
        <f>H537</f>
        <v>1</v>
      </c>
      <c r="I538" s="443">
        <f>VLOOKUP(D538,'Orçamento Analitico'!D:L,9,FALSE())</f>
        <v>2188.14</v>
      </c>
      <c r="J538" s="443">
        <f>ROUNDDOWN(I538*(1+$G$6),2)</f>
        <v>2745.89</v>
      </c>
      <c r="K538" s="443">
        <f t="shared" si="160"/>
        <v>2188.14</v>
      </c>
      <c r="L538" s="443">
        <f t="shared" si="161"/>
        <v>2745.89</v>
      </c>
      <c r="M538" s="461" t="e">
        <f t="shared" si="155"/>
        <v>#N/A</v>
      </c>
      <c r="N538" s="464"/>
      <c r="O538" s="465"/>
      <c r="P538" s="465"/>
      <c r="Q538" s="465"/>
      <c r="R538" s="465"/>
      <c r="S538" s="465"/>
      <c r="T538" s="465"/>
      <c r="U538" s="479"/>
      <c r="V538" s="422"/>
      <c r="W538" s="422"/>
      <c r="X538" s="422"/>
      <c r="Y538" s="422"/>
      <c r="Z538" s="422"/>
    </row>
    <row r="539" ht="12.75" customHeight="1" spans="1:26">
      <c r="A539" s="422" t="str">
        <f t="shared" si="158"/>
        <v> 12.5.1 </v>
      </c>
      <c r="B539" s="423" t="str">
        <f t="shared" si="159"/>
        <v> 12.5.1 </v>
      </c>
      <c r="C539" s="441" t="s">
        <v>1488</v>
      </c>
      <c r="D539" s="442" t="s">
        <v>1489</v>
      </c>
      <c r="E539" s="441" t="s">
        <v>132</v>
      </c>
      <c r="F539" s="441" t="s">
        <v>1490</v>
      </c>
      <c r="G539" s="442" t="s">
        <v>1491</v>
      </c>
      <c r="H539" s="443">
        <f>SUM(N539)</f>
        <v>1</v>
      </c>
      <c r="I539" s="443">
        <f>VLOOKUP(D539,'Orçamento Analitico'!D:L,9,FALSE())</f>
        <v>267355.8</v>
      </c>
      <c r="J539" s="525">
        <f>ROUNDDOWN(I539*(1+$H$6),2)</f>
        <v>310453.55</v>
      </c>
      <c r="K539" s="525">
        <f t="shared" si="160"/>
        <v>267355.8</v>
      </c>
      <c r="L539" s="443">
        <f t="shared" si="161"/>
        <v>310453.55</v>
      </c>
      <c r="M539" s="461" t="e">
        <f t="shared" si="155"/>
        <v>#N/A</v>
      </c>
      <c r="N539" s="464">
        <v>1</v>
      </c>
      <c r="O539" s="465"/>
      <c r="P539" s="465"/>
      <c r="Q539" s="465"/>
      <c r="R539" s="465"/>
      <c r="S539" s="465"/>
      <c r="T539" s="465"/>
      <c r="U539" s="479"/>
      <c r="V539" s="422"/>
      <c r="W539" s="422"/>
      <c r="X539" s="422"/>
      <c r="Y539" s="422"/>
      <c r="Z539" s="422"/>
    </row>
    <row r="540" ht="12.75" customHeight="1" spans="1:26">
      <c r="A540" s="422" t="str">
        <f t="shared" si="158"/>
        <v> 12.5.1 </v>
      </c>
      <c r="B540" s="423" t="str">
        <f t="shared" si="159"/>
        <v> 12.5.1 </v>
      </c>
      <c r="C540" s="441" t="s">
        <v>1493</v>
      </c>
      <c r="D540" s="442" t="s">
        <v>1494</v>
      </c>
      <c r="E540" s="441" t="s">
        <v>132</v>
      </c>
      <c r="F540" s="441" t="s">
        <v>1495</v>
      </c>
      <c r="G540" s="442" t="s">
        <v>134</v>
      </c>
      <c r="H540" s="443">
        <f>H539</f>
        <v>1</v>
      </c>
      <c r="I540" s="443">
        <f>VLOOKUP(D540,'Orçamento Analitico'!D:L,9,FALSE())</f>
        <v>2709.7</v>
      </c>
      <c r="J540" s="443">
        <f t="shared" ref="J540:J563" si="162">ROUNDDOWN(I540*(1+$G$6),2)</f>
        <v>3400.4</v>
      </c>
      <c r="K540" s="443">
        <f t="shared" si="160"/>
        <v>2709.7</v>
      </c>
      <c r="L540" s="443">
        <f t="shared" si="161"/>
        <v>3400.4</v>
      </c>
      <c r="M540" s="461" t="e">
        <f t="shared" si="155"/>
        <v>#N/A</v>
      </c>
      <c r="N540" s="464"/>
      <c r="O540" s="465"/>
      <c r="P540" s="465"/>
      <c r="Q540" s="465"/>
      <c r="R540" s="465"/>
      <c r="S540" s="465"/>
      <c r="T540" s="465"/>
      <c r="U540" s="479"/>
      <c r="V540" s="422"/>
      <c r="W540" s="422"/>
      <c r="X540" s="422"/>
      <c r="Y540" s="422"/>
      <c r="Z540" s="422"/>
    </row>
    <row r="541" ht="12.75" customHeight="1" spans="1:26">
      <c r="A541" s="422" t="str">
        <f t="shared" si="158"/>
        <v> 12.5.1 </v>
      </c>
      <c r="B541" s="423" t="str">
        <f t="shared" si="159"/>
        <v> 12.5.1 </v>
      </c>
      <c r="C541" s="441" t="s">
        <v>1496</v>
      </c>
      <c r="D541" s="442" t="s">
        <v>1497</v>
      </c>
      <c r="E541" s="441" t="s">
        <v>149</v>
      </c>
      <c r="F541" s="441" t="s">
        <v>1498</v>
      </c>
      <c r="G541" s="442" t="s">
        <v>134</v>
      </c>
      <c r="H541" s="443">
        <f>SUM(N541)</f>
        <v>3</v>
      </c>
      <c r="I541" s="443">
        <f>VLOOKUP(D541,'Orçamento Analitico'!D:L,9,FALSE())</f>
        <v>387</v>
      </c>
      <c r="J541" s="443">
        <f t="shared" si="162"/>
        <v>485.64</v>
      </c>
      <c r="K541" s="443">
        <f t="shared" si="160"/>
        <v>1161</v>
      </c>
      <c r="L541" s="443">
        <f t="shared" si="161"/>
        <v>1456.92</v>
      </c>
      <c r="M541" s="461" t="e">
        <f t="shared" si="155"/>
        <v>#N/A</v>
      </c>
      <c r="N541" s="464">
        <v>3</v>
      </c>
      <c r="O541" s="465"/>
      <c r="P541" s="465"/>
      <c r="Q541" s="465"/>
      <c r="R541" s="465"/>
      <c r="S541" s="465"/>
      <c r="T541" s="465"/>
      <c r="U541" s="479"/>
      <c r="V541" s="422"/>
      <c r="W541" s="422"/>
      <c r="X541" s="422"/>
      <c r="Y541" s="422"/>
      <c r="Z541" s="422"/>
    </row>
    <row r="542" ht="12.75" customHeight="1" spans="1:26">
      <c r="A542" s="422" t="str">
        <f t="shared" si="158"/>
        <v> 12.5.1 </v>
      </c>
      <c r="B542" s="423" t="str">
        <f t="shared" si="159"/>
        <v> 12.5.1 </v>
      </c>
      <c r="C542" s="441" t="s">
        <v>1499</v>
      </c>
      <c r="D542" s="442" t="s">
        <v>1500</v>
      </c>
      <c r="E542" s="441" t="s">
        <v>77</v>
      </c>
      <c r="F542" s="441" t="s">
        <v>1501</v>
      </c>
      <c r="G542" s="442" t="s">
        <v>141</v>
      </c>
      <c r="H542" s="443">
        <f>SUM(N542)</f>
        <v>28.35</v>
      </c>
      <c r="I542" s="443">
        <f>VLOOKUP(D542,'Orçamento Analitico'!D:L,9,FALSE())</f>
        <v>628.92</v>
      </c>
      <c r="J542" s="443">
        <f t="shared" si="162"/>
        <v>789.23</v>
      </c>
      <c r="K542" s="443">
        <f t="shared" si="160"/>
        <v>17829.88</v>
      </c>
      <c r="L542" s="443">
        <f t="shared" si="161"/>
        <v>22374.67</v>
      </c>
      <c r="M542" s="461" t="e">
        <f t="shared" si="155"/>
        <v>#N/A</v>
      </c>
      <c r="N542" s="464">
        <f>ROUND(13.5*2.1,2)</f>
        <v>28.35</v>
      </c>
      <c r="O542" s="465"/>
      <c r="P542" s="465"/>
      <c r="Q542" s="465"/>
      <c r="R542" s="465"/>
      <c r="S542" s="465"/>
      <c r="T542" s="465"/>
      <c r="U542" s="479"/>
      <c r="V542" s="422"/>
      <c r="W542" s="422"/>
      <c r="X542" s="422"/>
      <c r="Y542" s="422"/>
      <c r="Z542" s="422"/>
    </row>
    <row r="543" ht="12.75" customHeight="1" spans="1:26">
      <c r="A543" s="422" t="str">
        <f t="shared" si="158"/>
        <v> 12.5.1 </v>
      </c>
      <c r="B543" s="423" t="str">
        <f t="shared" si="159"/>
        <v> 12.5.1 </v>
      </c>
      <c r="C543" s="441" t="s">
        <v>1502</v>
      </c>
      <c r="D543" s="442" t="s">
        <v>1503</v>
      </c>
      <c r="E543" s="441" t="s">
        <v>132</v>
      </c>
      <c r="F543" s="441" t="s">
        <v>1504</v>
      </c>
      <c r="G543" s="442" t="s">
        <v>141</v>
      </c>
      <c r="H543" s="443">
        <f>SUM(N543)</f>
        <v>19.85</v>
      </c>
      <c r="I543" s="443">
        <f>VLOOKUP(D543,'Orçamento Analitico'!D:L,9,FALSE())</f>
        <v>654.73</v>
      </c>
      <c r="J543" s="443">
        <f t="shared" si="162"/>
        <v>821.62</v>
      </c>
      <c r="K543" s="443">
        <f t="shared" si="160"/>
        <v>12996.39</v>
      </c>
      <c r="L543" s="443">
        <f t="shared" si="161"/>
        <v>16309.15</v>
      </c>
      <c r="M543" s="461" t="e">
        <f t="shared" si="155"/>
        <v>#N/A</v>
      </c>
      <c r="N543" s="464">
        <f>ROUND((24.55*0.6)+(10.24*0.5),2)</f>
        <v>19.85</v>
      </c>
      <c r="O543" s="465"/>
      <c r="P543" s="465"/>
      <c r="Q543" s="465"/>
      <c r="R543" s="465"/>
      <c r="S543" s="465"/>
      <c r="T543" s="465"/>
      <c r="U543" s="479"/>
      <c r="V543" s="422"/>
      <c r="W543" s="422"/>
      <c r="X543" s="422"/>
      <c r="Y543" s="422"/>
      <c r="Z543" s="422"/>
    </row>
    <row r="544" ht="12.75" customHeight="1" spans="1:26">
      <c r="A544" s="422" t="str">
        <f t="shared" si="158"/>
        <v> 12.5.1 </v>
      </c>
      <c r="B544" s="423" t="str">
        <f t="shared" si="159"/>
        <v> 12.5.1 </v>
      </c>
      <c r="C544" s="441" t="s">
        <v>1505</v>
      </c>
      <c r="D544" s="442" t="s">
        <v>1506</v>
      </c>
      <c r="E544" s="441" t="s">
        <v>132</v>
      </c>
      <c r="F544" s="441" t="s">
        <v>1507</v>
      </c>
      <c r="G544" s="442" t="s">
        <v>1508</v>
      </c>
      <c r="H544" s="443">
        <f>SUM(N544)</f>
        <v>34.8</v>
      </c>
      <c r="I544" s="443">
        <f>VLOOKUP(D544,'Orçamento Analitico'!D:L,9,FALSE())</f>
        <v>742.26</v>
      </c>
      <c r="J544" s="443">
        <f t="shared" si="162"/>
        <v>931.46</v>
      </c>
      <c r="K544" s="443">
        <f t="shared" si="160"/>
        <v>25830.64</v>
      </c>
      <c r="L544" s="443">
        <f t="shared" si="161"/>
        <v>32414.8</v>
      </c>
      <c r="M544" s="461" t="e">
        <f t="shared" si="155"/>
        <v>#N/A</v>
      </c>
      <c r="N544" s="464">
        <f>24.55+10.25</f>
        <v>34.8</v>
      </c>
      <c r="O544" s="465"/>
      <c r="P544" s="465"/>
      <c r="Q544" s="465"/>
      <c r="R544" s="465"/>
      <c r="S544" s="465"/>
      <c r="T544" s="465"/>
      <c r="U544" s="479"/>
      <c r="V544" s="422"/>
      <c r="W544" s="422"/>
      <c r="X544" s="422"/>
      <c r="Y544" s="422"/>
      <c r="Z544" s="422"/>
    </row>
    <row r="545" ht="12.75" customHeight="1" spans="1:26">
      <c r="A545" s="422" t="str">
        <f t="shared" si="158"/>
        <v> 12.5.1 </v>
      </c>
      <c r="B545" s="423" t="str">
        <f t="shared" si="159"/>
        <v> 12.5.1 </v>
      </c>
      <c r="C545" s="441" t="s">
        <v>1509</v>
      </c>
      <c r="D545" s="442" t="s">
        <v>1510</v>
      </c>
      <c r="E545" s="441" t="s">
        <v>132</v>
      </c>
      <c r="F545" s="441" t="s">
        <v>1511</v>
      </c>
      <c r="G545" s="442" t="s">
        <v>134</v>
      </c>
      <c r="H545" s="443">
        <f>SUM(N545)</f>
        <v>1</v>
      </c>
      <c r="I545" s="443">
        <f>VLOOKUP(D545,'Orçamento Analitico'!D:L,9,FALSE())</f>
        <v>2188.14</v>
      </c>
      <c r="J545" s="443">
        <f t="shared" si="162"/>
        <v>2745.89</v>
      </c>
      <c r="K545" s="443">
        <f t="shared" si="160"/>
        <v>2188.14</v>
      </c>
      <c r="L545" s="443">
        <f t="shared" si="161"/>
        <v>2745.89</v>
      </c>
      <c r="M545" s="461" t="e">
        <f t="shared" si="155"/>
        <v>#N/A</v>
      </c>
      <c r="N545" s="464">
        <v>1</v>
      </c>
      <c r="O545" s="465"/>
      <c r="P545" s="465"/>
      <c r="Q545" s="465"/>
      <c r="R545" s="465"/>
      <c r="S545" s="465"/>
      <c r="T545" s="465"/>
      <c r="U545" s="479"/>
      <c r="V545" s="422"/>
      <c r="W545" s="422"/>
      <c r="X545" s="422"/>
      <c r="Y545" s="422"/>
      <c r="Z545" s="422"/>
    </row>
    <row r="546" ht="39" customHeight="1" spans="1:26">
      <c r="A546" s="422" t="str">
        <f t="shared" si="158"/>
        <v> 12.5.1 </v>
      </c>
      <c r="B546" s="423" t="str">
        <f t="shared" si="159"/>
        <v> 12.5.1 </v>
      </c>
      <c r="C546" s="441" t="s">
        <v>1512</v>
      </c>
      <c r="D546" s="442" t="s">
        <v>1513</v>
      </c>
      <c r="E546" s="441" t="s">
        <v>132</v>
      </c>
      <c r="F546" s="441" t="s">
        <v>1514</v>
      </c>
      <c r="G546" s="442" t="s">
        <v>204</v>
      </c>
      <c r="H546" s="443">
        <f>N546</f>
        <v>30</v>
      </c>
      <c r="I546" s="443">
        <f>VLOOKUP(D546,'Orçamento Analitico'!D:L,9,FALSE())</f>
        <v>58.11</v>
      </c>
      <c r="J546" s="443">
        <f t="shared" si="162"/>
        <v>72.92</v>
      </c>
      <c r="K546" s="443">
        <f t="shared" si="160"/>
        <v>1743.3</v>
      </c>
      <c r="L546" s="443">
        <f t="shared" si="161"/>
        <v>2187.6</v>
      </c>
      <c r="M546" s="461" t="e">
        <f t="shared" si="155"/>
        <v>#N/A</v>
      </c>
      <c r="N546" s="465">
        <v>30</v>
      </c>
      <c r="O546" s="465"/>
      <c r="P546" s="465"/>
      <c r="Q546" s="465"/>
      <c r="R546" s="465"/>
      <c r="S546" s="465"/>
      <c r="T546" s="465"/>
      <c r="U546" s="479"/>
      <c r="V546" s="422"/>
      <c r="W546" s="422"/>
      <c r="X546" s="422"/>
      <c r="Y546" s="422"/>
      <c r="Z546" s="422"/>
    </row>
    <row r="547" ht="39" customHeight="1" spans="1:26">
      <c r="A547" s="422" t="str">
        <f t="shared" si="158"/>
        <v> 12.5.1 </v>
      </c>
      <c r="B547" s="423" t="str">
        <f t="shared" si="159"/>
        <v> 12.5.1 </v>
      </c>
      <c r="C547" s="441" t="s">
        <v>1515</v>
      </c>
      <c r="D547" s="442" t="s">
        <v>1516</v>
      </c>
      <c r="E547" s="441" t="s">
        <v>139</v>
      </c>
      <c r="F547" s="441" t="s">
        <v>1517</v>
      </c>
      <c r="G547" s="442" t="s">
        <v>204</v>
      </c>
      <c r="H547" s="443">
        <f>N547</f>
        <v>68</v>
      </c>
      <c r="I547" s="443">
        <f>VLOOKUP(D547,'Orçamento Analitico'!D:L,9,FALSE())</f>
        <v>61.15</v>
      </c>
      <c r="J547" s="443">
        <f t="shared" si="162"/>
        <v>76.73</v>
      </c>
      <c r="K547" s="443">
        <f t="shared" si="160"/>
        <v>4158.2</v>
      </c>
      <c r="L547" s="443">
        <f t="shared" si="161"/>
        <v>5217.64</v>
      </c>
      <c r="M547" s="461" t="e">
        <f t="shared" si="155"/>
        <v>#N/A</v>
      </c>
      <c r="N547" s="465">
        <v>68</v>
      </c>
      <c r="O547" s="465"/>
      <c r="P547" s="465"/>
      <c r="Q547" s="465"/>
      <c r="R547" s="465"/>
      <c r="S547" s="465"/>
      <c r="T547" s="465"/>
      <c r="U547" s="479"/>
      <c r="V547" s="422"/>
      <c r="W547" s="422"/>
      <c r="X547" s="422"/>
      <c r="Y547" s="422"/>
      <c r="Z547" s="422"/>
    </row>
    <row r="548" ht="39" customHeight="1" spans="1:26">
      <c r="A548" s="422" t="str">
        <f t="shared" si="158"/>
        <v> 12.5.1 </v>
      </c>
      <c r="B548" s="423" t="str">
        <f t="shared" si="159"/>
        <v> 12.5.1 </v>
      </c>
      <c r="C548" s="441" t="s">
        <v>1518</v>
      </c>
      <c r="D548" s="442" t="s">
        <v>1519</v>
      </c>
      <c r="E548" s="441" t="s">
        <v>139</v>
      </c>
      <c r="F548" s="441" t="s">
        <v>1520</v>
      </c>
      <c r="G548" s="442" t="s">
        <v>204</v>
      </c>
      <c r="H548" s="443">
        <f>N548</f>
        <v>20</v>
      </c>
      <c r="I548" s="443">
        <f>VLOOKUP(D548,'Orçamento Analitico'!D:L,9,FALSE())</f>
        <v>115.09</v>
      </c>
      <c r="J548" s="443">
        <f t="shared" si="162"/>
        <v>144.42</v>
      </c>
      <c r="K548" s="443">
        <f t="shared" si="160"/>
        <v>2301.8</v>
      </c>
      <c r="L548" s="443">
        <f t="shared" si="161"/>
        <v>2888.4</v>
      </c>
      <c r="M548" s="461" t="e">
        <f t="shared" si="155"/>
        <v>#N/A</v>
      </c>
      <c r="N548" s="465">
        <v>20</v>
      </c>
      <c r="O548" s="465"/>
      <c r="P548" s="465"/>
      <c r="Q548" s="465"/>
      <c r="R548" s="465"/>
      <c r="S548" s="465"/>
      <c r="T548" s="465"/>
      <c r="U548" s="479"/>
      <c r="V548" s="422"/>
      <c r="W548" s="422"/>
      <c r="X548" s="422"/>
      <c r="Y548" s="422"/>
      <c r="Z548" s="422"/>
    </row>
    <row r="549" ht="39" customHeight="1" spans="1:26">
      <c r="A549" s="422" t="str">
        <f t="shared" si="158"/>
        <v> 12.5.1 </v>
      </c>
      <c r="B549" s="423" t="str">
        <f t="shared" si="159"/>
        <v> 12.5.1 </v>
      </c>
      <c r="C549" s="441" t="s">
        <v>1521</v>
      </c>
      <c r="D549" s="442" t="s">
        <v>1522</v>
      </c>
      <c r="E549" s="441" t="s">
        <v>149</v>
      </c>
      <c r="F549" s="441" t="s">
        <v>1523</v>
      </c>
      <c r="G549" s="442" t="s">
        <v>134</v>
      </c>
      <c r="H549" s="443">
        <f>SUM(N549,Q549)</f>
        <v>29</v>
      </c>
      <c r="I549" s="443">
        <f>VLOOKUP(D549,'Orçamento Analitico'!D:L,9,FALSE())</f>
        <v>63.88</v>
      </c>
      <c r="J549" s="443">
        <f t="shared" si="162"/>
        <v>80.16</v>
      </c>
      <c r="K549" s="443">
        <f t="shared" si="160"/>
        <v>1852.52</v>
      </c>
      <c r="L549" s="443">
        <f t="shared" si="161"/>
        <v>2324.64</v>
      </c>
      <c r="M549" s="461" t="e">
        <f t="shared" si="155"/>
        <v>#N/A</v>
      </c>
      <c r="N549" s="464">
        <v>18</v>
      </c>
      <c r="O549" s="465" t="s">
        <v>6189</v>
      </c>
      <c r="P549" s="465"/>
      <c r="Q549" s="465">
        <v>11</v>
      </c>
      <c r="R549" s="465" t="s">
        <v>6190</v>
      </c>
      <c r="S549" s="494"/>
      <c r="T549" s="465"/>
      <c r="U549" s="479"/>
      <c r="V549" s="422"/>
      <c r="W549" s="422"/>
      <c r="X549" s="422"/>
      <c r="Y549" s="422"/>
      <c r="Z549" s="422"/>
    </row>
    <row r="550" ht="39" customHeight="1" spans="1:26">
      <c r="A550" s="422" t="str">
        <f t="shared" si="158"/>
        <v> 12.5.1 </v>
      </c>
      <c r="B550" s="423" t="str">
        <f t="shared" si="159"/>
        <v> 12.5.1 </v>
      </c>
      <c r="C550" s="441" t="s">
        <v>1524</v>
      </c>
      <c r="D550" s="442" t="s">
        <v>1525</v>
      </c>
      <c r="E550" s="441" t="s">
        <v>77</v>
      </c>
      <c r="F550" s="441" t="s">
        <v>1526</v>
      </c>
      <c r="G550" s="442" t="s">
        <v>134</v>
      </c>
      <c r="H550" s="443">
        <f t="shared" ref="H550:H563" si="163">N550</f>
        <v>13</v>
      </c>
      <c r="I550" s="443">
        <f>VLOOKUP(D550,'Orçamento Analitico'!D:L,9,FALSE())</f>
        <v>17.33</v>
      </c>
      <c r="J550" s="443">
        <f t="shared" si="162"/>
        <v>21.74</v>
      </c>
      <c r="K550" s="443">
        <f t="shared" si="160"/>
        <v>225.29</v>
      </c>
      <c r="L550" s="443">
        <f t="shared" si="161"/>
        <v>282.62</v>
      </c>
      <c r="M550" s="461" t="e">
        <f t="shared" si="155"/>
        <v>#N/A</v>
      </c>
      <c r="N550" s="464">
        <v>13</v>
      </c>
      <c r="O550" s="465"/>
      <c r="P550" s="465"/>
      <c r="Q550" s="465"/>
      <c r="R550" s="465"/>
      <c r="S550" s="494"/>
      <c r="T550" s="465"/>
      <c r="U550" s="479"/>
      <c r="V550" s="422"/>
      <c r="W550" s="422"/>
      <c r="X550" s="422"/>
      <c r="Y550" s="422"/>
      <c r="Z550" s="422"/>
    </row>
    <row r="551" ht="39" customHeight="1" spans="1:26">
      <c r="A551" s="422" t="str">
        <f t="shared" si="158"/>
        <v> 12.5.1 </v>
      </c>
      <c r="B551" s="423" t="str">
        <f t="shared" si="159"/>
        <v> 12.5.1 </v>
      </c>
      <c r="C551" s="441" t="s">
        <v>1527</v>
      </c>
      <c r="D551" s="442" t="s">
        <v>1528</v>
      </c>
      <c r="E551" s="441" t="s">
        <v>149</v>
      </c>
      <c r="F551" s="441" t="s">
        <v>1529</v>
      </c>
      <c r="G551" s="442" t="s">
        <v>134</v>
      </c>
      <c r="H551" s="443">
        <f t="shared" si="163"/>
        <v>1</v>
      </c>
      <c r="I551" s="443">
        <f>VLOOKUP(D551,'Orçamento Analitico'!D:L,9,FALSE())</f>
        <v>544.78</v>
      </c>
      <c r="J551" s="443">
        <f t="shared" si="162"/>
        <v>683.64</v>
      </c>
      <c r="K551" s="443">
        <f t="shared" si="160"/>
        <v>544.78</v>
      </c>
      <c r="L551" s="443">
        <f t="shared" si="161"/>
        <v>683.64</v>
      </c>
      <c r="M551" s="461" t="e">
        <f t="shared" si="155"/>
        <v>#N/A</v>
      </c>
      <c r="N551" s="464">
        <v>1</v>
      </c>
      <c r="O551" s="465"/>
      <c r="P551" s="465"/>
      <c r="Q551" s="465"/>
      <c r="R551" s="465"/>
      <c r="S551" s="494"/>
      <c r="T551" s="465"/>
      <c r="U551" s="479"/>
      <c r="V551" s="422"/>
      <c r="W551" s="422"/>
      <c r="X551" s="422"/>
      <c r="Y551" s="422"/>
      <c r="Z551" s="422"/>
    </row>
    <row r="552" ht="39" customHeight="1" spans="1:26">
      <c r="A552" s="422" t="str">
        <f t="shared" si="158"/>
        <v> 12.5.1 </v>
      </c>
      <c r="B552" s="423" t="str">
        <f t="shared" si="159"/>
        <v> 12.5.1 </v>
      </c>
      <c r="C552" s="441" t="s">
        <v>1530</v>
      </c>
      <c r="D552" s="442" t="s">
        <v>1071</v>
      </c>
      <c r="E552" s="441" t="s">
        <v>77</v>
      </c>
      <c r="F552" s="441" t="s">
        <v>1072</v>
      </c>
      <c r="G552" s="442" t="s">
        <v>204</v>
      </c>
      <c r="H552" s="443">
        <f t="shared" si="163"/>
        <v>27</v>
      </c>
      <c r="I552" s="443">
        <f>VLOOKUP(D552,'Orçamento Analitico'!D:L,9,FALSE())</f>
        <v>17.72</v>
      </c>
      <c r="J552" s="443">
        <f t="shared" si="162"/>
        <v>22.23</v>
      </c>
      <c r="K552" s="443">
        <f t="shared" si="160"/>
        <v>478.44</v>
      </c>
      <c r="L552" s="443">
        <f t="shared" si="161"/>
        <v>600.21</v>
      </c>
      <c r="M552" s="461" t="e">
        <f t="shared" si="155"/>
        <v>#N/A</v>
      </c>
      <c r="N552" s="464">
        <v>27</v>
      </c>
      <c r="O552" s="465"/>
      <c r="P552" s="465"/>
      <c r="Q552" s="465"/>
      <c r="R552" s="465"/>
      <c r="S552" s="494"/>
      <c r="T552" s="465"/>
      <c r="U552" s="479"/>
      <c r="V552" s="422"/>
      <c r="W552" s="422"/>
      <c r="X552" s="422"/>
      <c r="Y552" s="422"/>
      <c r="Z552" s="422"/>
    </row>
    <row r="553" ht="39" customHeight="1" spans="1:26">
      <c r="A553" s="422" t="str">
        <f t="shared" si="158"/>
        <v> 12.5.1 </v>
      </c>
      <c r="B553" s="423" t="str">
        <f t="shared" si="159"/>
        <v> 12.5.1 </v>
      </c>
      <c r="C553" s="441" t="s">
        <v>1531</v>
      </c>
      <c r="D553" s="442" t="s">
        <v>1119</v>
      </c>
      <c r="E553" s="441" t="s">
        <v>132</v>
      </c>
      <c r="F553" s="441" t="s">
        <v>1120</v>
      </c>
      <c r="G553" s="442" t="s">
        <v>134</v>
      </c>
      <c r="H553" s="443">
        <f t="shared" si="163"/>
        <v>18</v>
      </c>
      <c r="I553" s="443">
        <f>VLOOKUP(D553,'Orçamento Analitico'!D:L,9,FALSE())</f>
        <v>11.38</v>
      </c>
      <c r="J553" s="443">
        <f t="shared" si="162"/>
        <v>14.28</v>
      </c>
      <c r="K553" s="443">
        <f t="shared" si="160"/>
        <v>204.84</v>
      </c>
      <c r="L553" s="443">
        <f t="shared" si="161"/>
        <v>257.04</v>
      </c>
      <c r="M553" s="461" t="e">
        <f t="shared" si="155"/>
        <v>#N/A</v>
      </c>
      <c r="N553" s="464">
        <f>TRUNC(N552/1.5,0)</f>
        <v>18</v>
      </c>
      <c r="O553" s="465"/>
      <c r="P553" s="465"/>
      <c r="Q553" s="465"/>
      <c r="R553" s="465"/>
      <c r="S553" s="494"/>
      <c r="T553" s="465"/>
      <c r="U553" s="479"/>
      <c r="V553" s="422"/>
      <c r="W553" s="422"/>
      <c r="X553" s="422"/>
      <c r="Y553" s="422"/>
      <c r="Z553" s="422"/>
    </row>
    <row r="554" ht="39" customHeight="1" spans="1:26">
      <c r="A554" s="422" t="str">
        <f t="shared" si="158"/>
        <v> 12.5.1 </v>
      </c>
      <c r="B554" s="423" t="str">
        <f t="shared" si="159"/>
        <v> 12.5.1 </v>
      </c>
      <c r="C554" s="441" t="s">
        <v>1532</v>
      </c>
      <c r="D554" s="442" t="s">
        <v>859</v>
      </c>
      <c r="E554" s="441" t="s">
        <v>132</v>
      </c>
      <c r="F554" s="441" t="s">
        <v>860</v>
      </c>
      <c r="G554" s="442" t="s">
        <v>134</v>
      </c>
      <c r="H554" s="443">
        <f t="shared" si="163"/>
        <v>18</v>
      </c>
      <c r="I554" s="443">
        <f>VLOOKUP(D554,'Orçamento Analitico'!D:L,9,FALSE())</f>
        <v>25.31</v>
      </c>
      <c r="J554" s="443">
        <f t="shared" si="162"/>
        <v>31.76</v>
      </c>
      <c r="K554" s="443">
        <f t="shared" si="160"/>
        <v>455.58</v>
      </c>
      <c r="L554" s="443">
        <f t="shared" si="161"/>
        <v>571.68</v>
      </c>
      <c r="M554" s="461" t="e">
        <f t="shared" si="155"/>
        <v>#N/A</v>
      </c>
      <c r="N554" s="464">
        <f>N553</f>
        <v>18</v>
      </c>
      <c r="O554" s="465"/>
      <c r="P554" s="465"/>
      <c r="Q554" s="465"/>
      <c r="R554" s="465"/>
      <c r="S554" s="494"/>
      <c r="T554" s="465"/>
      <c r="U554" s="479"/>
      <c r="V554" s="422"/>
      <c r="W554" s="422"/>
      <c r="X554" s="422"/>
      <c r="Y554" s="422"/>
      <c r="Z554" s="422"/>
    </row>
    <row r="555" ht="23.25" customHeight="1" spans="1:26">
      <c r="A555" s="422" t="str">
        <f t="shared" si="158"/>
        <v> 12.5.1 </v>
      </c>
      <c r="B555" s="423" t="str">
        <f t="shared" si="159"/>
        <v> 12.5.1 </v>
      </c>
      <c r="C555" s="510" t="s">
        <v>1533</v>
      </c>
      <c r="D555" s="511" t="s">
        <v>862</v>
      </c>
      <c r="E555" s="510" t="s">
        <v>796</v>
      </c>
      <c r="F555" s="510" t="s">
        <v>863</v>
      </c>
      <c r="G555" s="511" t="s">
        <v>334</v>
      </c>
      <c r="H555" s="512">
        <f t="shared" si="163"/>
        <v>72</v>
      </c>
      <c r="I555" s="512">
        <f>VLOOKUP(D555,'Orçamento Analitico'!D:L,9,FALSE())</f>
        <v>0.06</v>
      </c>
      <c r="J555" s="512">
        <f t="shared" si="162"/>
        <v>0.07</v>
      </c>
      <c r="K555" s="512">
        <f t="shared" si="160"/>
        <v>4.32</v>
      </c>
      <c r="L555" s="512">
        <f t="shared" si="161"/>
        <v>5.04</v>
      </c>
      <c r="M555" s="513" t="e">
        <f t="shared" si="155"/>
        <v>#N/A</v>
      </c>
      <c r="N555" s="464">
        <f>SUM(N553)*4</f>
        <v>72</v>
      </c>
      <c r="O555" s="465"/>
      <c r="P555" s="465"/>
      <c r="Q555" s="465"/>
      <c r="R555" s="465"/>
      <c r="S555" s="494"/>
      <c r="T555" s="465"/>
      <c r="U555" s="479"/>
      <c r="V555" s="422"/>
      <c r="W555" s="422"/>
      <c r="X555" s="422"/>
      <c r="Y555" s="422"/>
      <c r="Z555" s="422"/>
    </row>
    <row r="556" ht="44.25" customHeight="1" spans="1:26">
      <c r="A556" s="422" t="str">
        <f t="shared" si="158"/>
        <v> 12.5.1 </v>
      </c>
      <c r="B556" s="423" t="str">
        <f t="shared" si="159"/>
        <v> 12.5.1 </v>
      </c>
      <c r="C556" s="441" t="s">
        <v>1534</v>
      </c>
      <c r="D556" s="442" t="s">
        <v>865</v>
      </c>
      <c r="E556" s="441" t="s">
        <v>132</v>
      </c>
      <c r="F556" s="441" t="s">
        <v>866</v>
      </c>
      <c r="G556" s="442" t="s">
        <v>134</v>
      </c>
      <c r="H556" s="443">
        <f t="shared" si="163"/>
        <v>36</v>
      </c>
      <c r="I556" s="443">
        <f>VLOOKUP(D556,'Orçamento Analitico'!D:L,9,FALSE())</f>
        <v>0.12</v>
      </c>
      <c r="J556" s="443">
        <f t="shared" si="162"/>
        <v>0.15</v>
      </c>
      <c r="K556" s="443">
        <f t="shared" si="160"/>
        <v>4.32</v>
      </c>
      <c r="L556" s="443">
        <f t="shared" si="161"/>
        <v>5.4</v>
      </c>
      <c r="M556" s="461" t="e">
        <f t="shared" si="155"/>
        <v>#N/A</v>
      </c>
      <c r="N556" s="464">
        <f>N554*2</f>
        <v>36</v>
      </c>
      <c r="O556" s="465"/>
      <c r="P556" s="465"/>
      <c r="Q556" s="465"/>
      <c r="R556" s="465"/>
      <c r="S556" s="494"/>
      <c r="T556" s="465"/>
      <c r="U556" s="479"/>
      <c r="V556" s="422"/>
      <c r="W556" s="422"/>
      <c r="X556" s="422"/>
      <c r="Y556" s="422"/>
      <c r="Z556" s="422"/>
    </row>
    <row r="557" ht="44.25" customHeight="1" spans="1:26">
      <c r="A557" s="422" t="str">
        <f t="shared" si="158"/>
        <v> 12.5.1 </v>
      </c>
      <c r="B557" s="423" t="str">
        <f t="shared" si="159"/>
        <v> 12.5.1 </v>
      </c>
      <c r="C557" s="441" t="s">
        <v>1535</v>
      </c>
      <c r="D557" s="442" t="s">
        <v>1250</v>
      </c>
      <c r="E557" s="441" t="s">
        <v>132</v>
      </c>
      <c r="F557" s="441" t="s">
        <v>1251</v>
      </c>
      <c r="G557" s="442" t="s">
        <v>134</v>
      </c>
      <c r="H557" s="443">
        <f t="shared" si="163"/>
        <v>18</v>
      </c>
      <c r="I557" s="443">
        <f>VLOOKUP(D557,'Orçamento Analitico'!D:L,9,FALSE())</f>
        <v>3.33</v>
      </c>
      <c r="J557" s="443">
        <f t="shared" si="162"/>
        <v>4.17</v>
      </c>
      <c r="K557" s="443">
        <f t="shared" si="160"/>
        <v>59.94</v>
      </c>
      <c r="L557" s="443">
        <f t="shared" si="161"/>
        <v>75.06</v>
      </c>
      <c r="M557" s="461" t="e">
        <f t="shared" si="155"/>
        <v>#N/A</v>
      </c>
      <c r="N557" s="464">
        <f>N553</f>
        <v>18</v>
      </c>
      <c r="O557" s="465"/>
      <c r="P557" s="465"/>
      <c r="Q557" s="465"/>
      <c r="R557" s="465"/>
      <c r="S557" s="494"/>
      <c r="T557" s="465"/>
      <c r="U557" s="479"/>
      <c r="V557" s="422"/>
      <c r="W557" s="422"/>
      <c r="X557" s="422"/>
      <c r="Y557" s="422"/>
      <c r="Z557" s="422"/>
    </row>
    <row r="558" ht="12.75" customHeight="1" spans="1:26">
      <c r="A558" s="422" t="str">
        <f t="shared" si="158"/>
        <v> 12.5.1 </v>
      </c>
      <c r="B558" s="423" t="str">
        <f t="shared" si="159"/>
        <v> 12.5.1 </v>
      </c>
      <c r="C558" s="441" t="s">
        <v>1536</v>
      </c>
      <c r="D558" s="442" t="s">
        <v>1242</v>
      </c>
      <c r="E558" s="441" t="s">
        <v>139</v>
      </c>
      <c r="F558" s="441" t="s">
        <v>1243</v>
      </c>
      <c r="G558" s="442" t="s">
        <v>134</v>
      </c>
      <c r="H558" s="443">
        <f t="shared" si="163"/>
        <v>4</v>
      </c>
      <c r="I558" s="443">
        <f>VLOOKUP(D558,'Orçamento Analitico'!D:L,9,FALSE())</f>
        <v>27.14</v>
      </c>
      <c r="J558" s="443">
        <f t="shared" si="162"/>
        <v>34.05</v>
      </c>
      <c r="K558" s="443">
        <f t="shared" si="160"/>
        <v>108.56</v>
      </c>
      <c r="L558" s="443">
        <f t="shared" si="161"/>
        <v>136.2</v>
      </c>
      <c r="M558" s="461" t="e">
        <f t="shared" si="155"/>
        <v>#N/A</v>
      </c>
      <c r="N558" s="464">
        <v>4</v>
      </c>
      <c r="O558" s="465"/>
      <c r="P558" s="465"/>
      <c r="Q558" s="465"/>
      <c r="R558" s="465"/>
      <c r="S558" s="494"/>
      <c r="T558" s="465"/>
      <c r="U558" s="479"/>
      <c r="V558" s="422"/>
      <c r="W558" s="422"/>
      <c r="X558" s="422"/>
      <c r="Y558" s="422"/>
      <c r="Z558" s="422"/>
    </row>
    <row r="559" ht="12.75" customHeight="1" spans="1:26">
      <c r="A559" s="422" t="str">
        <f t="shared" si="158"/>
        <v> 12.5.1 </v>
      </c>
      <c r="B559" s="423" t="str">
        <f t="shared" si="159"/>
        <v> 12.5.1 </v>
      </c>
      <c r="C559" s="441" t="s">
        <v>1537</v>
      </c>
      <c r="D559" s="442" t="s">
        <v>1098</v>
      </c>
      <c r="E559" s="441" t="s">
        <v>139</v>
      </c>
      <c r="F559" s="441" t="s">
        <v>1099</v>
      </c>
      <c r="G559" s="442" t="s">
        <v>134</v>
      </c>
      <c r="H559" s="443">
        <f t="shared" si="163"/>
        <v>3</v>
      </c>
      <c r="I559" s="443">
        <f>VLOOKUP(D559,'Orçamento Analitico'!D:L,9,FALSE())</f>
        <v>32.61</v>
      </c>
      <c r="J559" s="443">
        <f t="shared" si="162"/>
        <v>40.92</v>
      </c>
      <c r="K559" s="443">
        <f t="shared" si="160"/>
        <v>97.83</v>
      </c>
      <c r="L559" s="443">
        <f t="shared" si="161"/>
        <v>122.76</v>
      </c>
      <c r="M559" s="461" t="e">
        <f t="shared" si="155"/>
        <v>#N/A</v>
      </c>
      <c r="N559" s="464">
        <v>3</v>
      </c>
      <c r="O559" s="465"/>
      <c r="P559" s="465"/>
      <c r="Q559" s="465"/>
      <c r="R559" s="465"/>
      <c r="S559" s="494"/>
      <c r="T559" s="465"/>
      <c r="U559" s="479"/>
      <c r="V559" s="422"/>
      <c r="W559" s="422"/>
      <c r="X559" s="422"/>
      <c r="Y559" s="422"/>
      <c r="Z559" s="422"/>
    </row>
    <row r="560" ht="12.75" customHeight="1" spans="1:26">
      <c r="A560" s="422" t="str">
        <f t="shared" si="158"/>
        <v> 12.5.1 </v>
      </c>
      <c r="B560" s="423" t="str">
        <f t="shared" si="159"/>
        <v> 12.5.1 </v>
      </c>
      <c r="C560" s="441" t="s">
        <v>1538</v>
      </c>
      <c r="D560" s="442" t="s">
        <v>1101</v>
      </c>
      <c r="E560" s="441" t="s">
        <v>139</v>
      </c>
      <c r="F560" s="441" t="s">
        <v>1102</v>
      </c>
      <c r="G560" s="442" t="s">
        <v>134</v>
      </c>
      <c r="H560" s="443">
        <f t="shared" si="163"/>
        <v>3</v>
      </c>
      <c r="I560" s="443">
        <f>VLOOKUP(D560,'Orçamento Analitico'!D:L,9,FALSE())</f>
        <v>37.88</v>
      </c>
      <c r="J560" s="443">
        <f t="shared" si="162"/>
        <v>47.53</v>
      </c>
      <c r="K560" s="443">
        <f t="shared" si="160"/>
        <v>113.64</v>
      </c>
      <c r="L560" s="443">
        <f t="shared" si="161"/>
        <v>142.59</v>
      </c>
      <c r="M560" s="461" t="e">
        <f t="shared" si="155"/>
        <v>#N/A</v>
      </c>
      <c r="N560" s="464">
        <v>3</v>
      </c>
      <c r="O560" s="465"/>
      <c r="P560" s="465"/>
      <c r="Q560" s="465"/>
      <c r="R560" s="465"/>
      <c r="S560" s="494"/>
      <c r="T560" s="465"/>
      <c r="U560" s="479"/>
      <c r="V560" s="422"/>
      <c r="W560" s="422"/>
      <c r="X560" s="422"/>
      <c r="Y560" s="422"/>
      <c r="Z560" s="422"/>
    </row>
    <row r="561" ht="12.75" customHeight="1" spans="1:26">
      <c r="A561" s="422" t="str">
        <f t="shared" si="158"/>
        <v> 12.5.1 </v>
      </c>
      <c r="B561" s="423" t="str">
        <f t="shared" si="159"/>
        <v> 12.5.1 </v>
      </c>
      <c r="C561" s="441" t="s">
        <v>1539</v>
      </c>
      <c r="D561" s="442" t="s">
        <v>1104</v>
      </c>
      <c r="E561" s="441" t="s">
        <v>139</v>
      </c>
      <c r="F561" s="441" t="s">
        <v>1105</v>
      </c>
      <c r="G561" s="442" t="s">
        <v>134</v>
      </c>
      <c r="H561" s="443">
        <f t="shared" si="163"/>
        <v>1</v>
      </c>
      <c r="I561" s="443">
        <f>VLOOKUP(D561,'Orçamento Analitico'!D:L,9,FALSE())</f>
        <v>33.25</v>
      </c>
      <c r="J561" s="443">
        <f t="shared" si="162"/>
        <v>41.72</v>
      </c>
      <c r="K561" s="443">
        <f t="shared" si="160"/>
        <v>33.25</v>
      </c>
      <c r="L561" s="443">
        <f t="shared" si="161"/>
        <v>41.72</v>
      </c>
      <c r="M561" s="461" t="e">
        <f t="shared" si="155"/>
        <v>#N/A</v>
      </c>
      <c r="N561" s="464">
        <v>1</v>
      </c>
      <c r="O561" s="465"/>
      <c r="P561" s="465"/>
      <c r="Q561" s="465"/>
      <c r="R561" s="465"/>
      <c r="S561" s="494"/>
      <c r="T561" s="465"/>
      <c r="U561" s="479"/>
      <c r="V561" s="422"/>
      <c r="W561" s="422"/>
      <c r="X561" s="422"/>
      <c r="Y561" s="422"/>
      <c r="Z561" s="422"/>
    </row>
    <row r="562" ht="12.75" customHeight="1" spans="1:26">
      <c r="A562" s="422" t="str">
        <f t="shared" si="158"/>
        <v> 12.5.1 </v>
      </c>
      <c r="B562" s="423" t="str">
        <f t="shared" si="159"/>
        <v> 12.5.1 </v>
      </c>
      <c r="C562" s="441" t="s">
        <v>1540</v>
      </c>
      <c r="D562" s="442" t="s">
        <v>227</v>
      </c>
      <c r="E562" s="441" t="s">
        <v>139</v>
      </c>
      <c r="F562" s="441" t="s">
        <v>228</v>
      </c>
      <c r="G562" s="442" t="s">
        <v>204</v>
      </c>
      <c r="H562" s="443">
        <f t="shared" si="163"/>
        <v>174</v>
      </c>
      <c r="I562" s="443">
        <f>VLOOKUP(D562,'Orçamento Analitico'!D:L,9,FALSE())</f>
        <v>4.98</v>
      </c>
      <c r="J562" s="443">
        <f t="shared" si="162"/>
        <v>6.24</v>
      </c>
      <c r="K562" s="443">
        <f t="shared" si="160"/>
        <v>866.52</v>
      </c>
      <c r="L562" s="443">
        <f t="shared" si="161"/>
        <v>1085.76</v>
      </c>
      <c r="M562" s="461" t="e">
        <f t="shared" si="155"/>
        <v>#N/A</v>
      </c>
      <c r="N562" s="464">
        <v>174</v>
      </c>
      <c r="O562" s="465"/>
      <c r="P562" s="465"/>
      <c r="Q562" s="465"/>
      <c r="R562" s="465"/>
      <c r="S562" s="494"/>
      <c r="T562" s="465"/>
      <c r="U562" s="479"/>
      <c r="V562" s="422"/>
      <c r="W562" s="422"/>
      <c r="X562" s="422"/>
      <c r="Y562" s="422"/>
      <c r="Z562" s="422"/>
    </row>
    <row r="563" ht="24" customHeight="1" spans="1:26">
      <c r="A563" s="422" t="str">
        <f t="shared" si="158"/>
        <v> 12.5.1 </v>
      </c>
      <c r="B563" s="423" t="str">
        <f t="shared" si="159"/>
        <v> 12.5.1 </v>
      </c>
      <c r="C563" s="441" t="s">
        <v>1541</v>
      </c>
      <c r="D563" s="442" t="s">
        <v>1542</v>
      </c>
      <c r="E563" s="441" t="s">
        <v>132</v>
      </c>
      <c r="F563" s="441" t="s">
        <v>1543</v>
      </c>
      <c r="G563" s="442" t="s">
        <v>134</v>
      </c>
      <c r="H563" s="443">
        <f t="shared" si="163"/>
        <v>1</v>
      </c>
      <c r="I563" s="443">
        <f>VLOOKUP(D563,'Orçamento Analitico'!D:L,9,FALSE())</f>
        <v>5850</v>
      </c>
      <c r="J563" s="443">
        <f t="shared" si="162"/>
        <v>7341.16</v>
      </c>
      <c r="K563" s="443">
        <f t="shared" si="160"/>
        <v>5850</v>
      </c>
      <c r="L563" s="443">
        <f t="shared" si="161"/>
        <v>7341.16</v>
      </c>
      <c r="M563" s="461" t="e">
        <f t="shared" si="155"/>
        <v>#N/A</v>
      </c>
      <c r="N563" s="464">
        <v>1</v>
      </c>
      <c r="O563" s="465"/>
      <c r="P563" s="465"/>
      <c r="Q563" s="465"/>
      <c r="R563" s="465"/>
      <c r="S563" s="494"/>
      <c r="T563" s="465"/>
      <c r="U563" s="479"/>
      <c r="V563" s="422"/>
      <c r="W563" s="422"/>
      <c r="X563" s="422"/>
      <c r="Y563" s="422"/>
      <c r="Z563" s="422"/>
    </row>
    <row r="564" ht="12.75" customHeight="1" spans="1:26">
      <c r="A564" s="422"/>
      <c r="B564" s="423" t="str">
        <f>C564</f>
        <v> 12.5.2 </v>
      </c>
      <c r="C564" s="488" t="s">
        <v>1544</v>
      </c>
      <c r="D564" s="489" t="s">
        <v>74</v>
      </c>
      <c r="E564" s="488"/>
      <c r="F564" s="488" t="s">
        <v>1545</v>
      </c>
      <c r="G564" s="489"/>
      <c r="H564" s="490"/>
      <c r="I564" s="490"/>
      <c r="J564" s="490"/>
      <c r="K564" s="490">
        <f>SUMIF(A:A,B564,K:K)</f>
        <v>226411.39</v>
      </c>
      <c r="L564" s="490">
        <f>SUMIF(A:A,C564,L:L)</f>
        <v>284112.41</v>
      </c>
      <c r="M564" s="496" t="e">
        <f t="shared" si="155"/>
        <v>#N/A</v>
      </c>
      <c r="N564" s="464"/>
      <c r="O564" s="465"/>
      <c r="P564" s="465"/>
      <c r="Q564" s="465"/>
      <c r="R564" s="465"/>
      <c r="S564" s="465"/>
      <c r="T564" s="465"/>
      <c r="U564" s="479"/>
      <c r="V564" s="422"/>
      <c r="W564" s="422"/>
      <c r="X564" s="422"/>
      <c r="Y564" s="422"/>
      <c r="Z564" s="422"/>
    </row>
    <row r="565" ht="12.75" customHeight="1" spans="1:26">
      <c r="A565" s="422" t="str">
        <f t="shared" ref="A565:A573" si="164">B565</f>
        <v> 12.5.2 </v>
      </c>
      <c r="B565" s="423" t="str">
        <f t="shared" ref="B565:B573" si="165">B564</f>
        <v> 12.5.2 </v>
      </c>
      <c r="C565" s="441" t="s">
        <v>1546</v>
      </c>
      <c r="D565" s="442" t="s">
        <v>1547</v>
      </c>
      <c r="E565" s="441" t="s">
        <v>139</v>
      </c>
      <c r="F565" s="441" t="s">
        <v>1548</v>
      </c>
      <c r="G565" s="442" t="s">
        <v>141</v>
      </c>
      <c r="H565" s="443">
        <f t="shared" ref="H565:H573" si="166">T565</f>
        <v>120</v>
      </c>
      <c r="I565" s="443">
        <f>VLOOKUP(D565,'Orçamento Analitico'!D:L,9,FALSE())</f>
        <v>62.37</v>
      </c>
      <c r="J565" s="443">
        <f t="shared" ref="J565:J573" si="167">ROUNDDOWN(I565*(1+$G$6),2)</f>
        <v>78.26</v>
      </c>
      <c r="K565" s="443">
        <f t="shared" ref="K565:K573" si="168">ROUNDDOWN(H565*I565,2)</f>
        <v>7484.4</v>
      </c>
      <c r="L565" s="443">
        <f t="shared" ref="L565:L573" si="169">ROUNDDOWN(H565*J565,2)</f>
        <v>9391.2</v>
      </c>
      <c r="M565" s="461" t="e">
        <f t="shared" si="155"/>
        <v>#N/A</v>
      </c>
      <c r="N565" s="526"/>
      <c r="O565" s="494"/>
      <c r="P565" s="520"/>
      <c r="Q565" s="494"/>
      <c r="R565" s="520"/>
      <c r="S565" s="494" t="s">
        <v>6129</v>
      </c>
      <c r="T565" s="465">
        <v>120</v>
      </c>
      <c r="U565" s="479"/>
      <c r="V565" s="422"/>
      <c r="W565" s="422"/>
      <c r="X565" s="422"/>
      <c r="Y565" s="422"/>
      <c r="Z565" s="422"/>
    </row>
    <row r="566" ht="12.75" customHeight="1" spans="1:26">
      <c r="A566" s="422" t="str">
        <f t="shared" si="164"/>
        <v> 12.5.2 </v>
      </c>
      <c r="B566" s="423" t="str">
        <f t="shared" si="165"/>
        <v> 12.5.2 </v>
      </c>
      <c r="C566" s="441" t="s">
        <v>1549</v>
      </c>
      <c r="D566" s="442" t="s">
        <v>1145</v>
      </c>
      <c r="E566" s="441" t="s">
        <v>139</v>
      </c>
      <c r="F566" s="441" t="s">
        <v>1146</v>
      </c>
      <c r="G566" s="442" t="s">
        <v>279</v>
      </c>
      <c r="H566" s="443">
        <f t="shared" si="166"/>
        <v>525</v>
      </c>
      <c r="I566" s="443">
        <f>VLOOKUP(D566,'Orçamento Analitico'!D:L,9,FALSE())</f>
        <v>14.89</v>
      </c>
      <c r="J566" s="443">
        <f t="shared" si="167"/>
        <v>18.68</v>
      </c>
      <c r="K566" s="443">
        <f t="shared" si="168"/>
        <v>7817.25</v>
      </c>
      <c r="L566" s="443">
        <f t="shared" si="169"/>
        <v>9807</v>
      </c>
      <c r="M566" s="461" t="e">
        <f t="shared" si="155"/>
        <v>#N/A</v>
      </c>
      <c r="N566" s="526">
        <f>P570</f>
        <v>175</v>
      </c>
      <c r="O566" s="494" t="s">
        <v>6128</v>
      </c>
      <c r="P566" s="520">
        <v>2</v>
      </c>
      <c r="Q566" s="494" t="s">
        <v>6128</v>
      </c>
      <c r="R566" s="520">
        <v>1.5</v>
      </c>
      <c r="S566" s="494" t="s">
        <v>6129</v>
      </c>
      <c r="T566" s="465">
        <f>ROUND(N566*P566*R566,2)</f>
        <v>525</v>
      </c>
      <c r="U566" s="479"/>
      <c r="V566" s="422"/>
      <c r="W566" s="422"/>
      <c r="X566" s="422"/>
      <c r="Y566" s="422"/>
      <c r="Z566" s="422"/>
    </row>
    <row r="567" ht="12.75" customHeight="1" spans="1:26">
      <c r="A567" s="422" t="str">
        <f t="shared" si="164"/>
        <v> 12.5.2 </v>
      </c>
      <c r="B567" s="423" t="str">
        <f t="shared" si="165"/>
        <v> 12.5.2 </v>
      </c>
      <c r="C567" s="441" t="s">
        <v>1550</v>
      </c>
      <c r="D567" s="442" t="s">
        <v>1148</v>
      </c>
      <c r="E567" s="441" t="s">
        <v>139</v>
      </c>
      <c r="F567" s="441" t="s">
        <v>1149</v>
      </c>
      <c r="G567" s="442" t="s">
        <v>279</v>
      </c>
      <c r="H567" s="443">
        <f t="shared" si="166"/>
        <v>427.11</v>
      </c>
      <c r="I567" s="443">
        <f>VLOOKUP(D567,'Orçamento Analitico'!D:L,9,FALSE())</f>
        <v>16</v>
      </c>
      <c r="J567" s="443">
        <f t="shared" si="167"/>
        <v>20.07</v>
      </c>
      <c r="K567" s="443">
        <f t="shared" si="168"/>
        <v>6833.76</v>
      </c>
      <c r="L567" s="443">
        <f t="shared" si="169"/>
        <v>8572.09</v>
      </c>
      <c r="M567" s="461" t="e">
        <f t="shared" si="155"/>
        <v>#N/A</v>
      </c>
      <c r="N567" s="464"/>
      <c r="O567" s="465"/>
      <c r="P567" s="465">
        <f>T566</f>
        <v>525</v>
      </c>
      <c r="Q567" s="494" t="s">
        <v>6178</v>
      </c>
      <c r="R567" s="465">
        <f>ROUND((T568*(0.8*0.8*0.8))+(T570*0.57*0.31),2)</f>
        <v>97.89</v>
      </c>
      <c r="S567" s="494" t="s">
        <v>6129</v>
      </c>
      <c r="T567" s="465">
        <f>P567-R567</f>
        <v>427.11</v>
      </c>
      <c r="U567" s="479"/>
      <c r="V567" s="422"/>
      <c r="W567" s="422"/>
      <c r="X567" s="422"/>
      <c r="Y567" s="422"/>
      <c r="Z567" s="422"/>
    </row>
    <row r="568" ht="12.75" customHeight="1" spans="1:26">
      <c r="A568" s="422" t="str">
        <f t="shared" si="164"/>
        <v> 12.5.2 </v>
      </c>
      <c r="B568" s="423" t="str">
        <f t="shared" si="165"/>
        <v> 12.5.2 </v>
      </c>
      <c r="C568" s="441" t="s">
        <v>1551</v>
      </c>
      <c r="D568" s="442" t="s">
        <v>1163</v>
      </c>
      <c r="E568" s="441" t="s">
        <v>132</v>
      </c>
      <c r="F568" s="441" t="s">
        <v>1164</v>
      </c>
      <c r="G568" s="442" t="s">
        <v>134</v>
      </c>
      <c r="H568" s="443">
        <f t="shared" si="166"/>
        <v>10</v>
      </c>
      <c r="I568" s="443">
        <f>VLOOKUP(D568,'Orçamento Analitico'!D:L,9,FALSE())</f>
        <v>970.61</v>
      </c>
      <c r="J568" s="443">
        <f t="shared" si="167"/>
        <v>1218.01</v>
      </c>
      <c r="K568" s="443">
        <f t="shared" si="168"/>
        <v>9706.1</v>
      </c>
      <c r="L568" s="443">
        <f t="shared" si="169"/>
        <v>12180.1</v>
      </c>
      <c r="M568" s="461" t="e">
        <f t="shared" si="155"/>
        <v>#N/A</v>
      </c>
      <c r="N568" s="464" t="s">
        <v>6191</v>
      </c>
      <c r="O568" s="465" t="s">
        <v>6180</v>
      </c>
      <c r="P568" s="465"/>
      <c r="Q568" s="465"/>
      <c r="R568" s="465"/>
      <c r="S568" s="494" t="s">
        <v>6129</v>
      </c>
      <c r="T568" s="465">
        <v>10</v>
      </c>
      <c r="U568" s="465"/>
      <c r="V568" s="422"/>
      <c r="W568" s="422"/>
      <c r="X568" s="422"/>
      <c r="Y568" s="422"/>
      <c r="Z568" s="422"/>
    </row>
    <row r="569" ht="12.75" customHeight="1" spans="1:26">
      <c r="A569" s="422" t="str">
        <f t="shared" si="164"/>
        <v> 12.5.2 </v>
      </c>
      <c r="B569" s="423" t="str">
        <f t="shared" si="165"/>
        <v> 12.5.2 </v>
      </c>
      <c r="C569" s="441" t="s">
        <v>1552</v>
      </c>
      <c r="D569" s="442" t="s">
        <v>1553</v>
      </c>
      <c r="E569" s="441" t="s">
        <v>132</v>
      </c>
      <c r="F569" s="441" t="s">
        <v>1554</v>
      </c>
      <c r="G569" s="442" t="s">
        <v>134</v>
      </c>
      <c r="H569" s="443">
        <f t="shared" si="166"/>
        <v>10</v>
      </c>
      <c r="I569" s="443">
        <f>VLOOKUP(D569,'Orçamento Analitico'!D:L,9,FALSE())</f>
        <v>649.25</v>
      </c>
      <c r="J569" s="443">
        <f t="shared" si="167"/>
        <v>814.74</v>
      </c>
      <c r="K569" s="443">
        <f t="shared" si="168"/>
        <v>6492.5</v>
      </c>
      <c r="L569" s="443">
        <f t="shared" si="169"/>
        <v>8147.4</v>
      </c>
      <c r="M569" s="461" t="e">
        <f t="shared" si="155"/>
        <v>#N/A</v>
      </c>
      <c r="N569" s="464" t="s">
        <v>6191</v>
      </c>
      <c r="O569" s="465" t="s">
        <v>6180</v>
      </c>
      <c r="P569" s="465"/>
      <c r="Q569" s="465"/>
      <c r="R569" s="465"/>
      <c r="S569" s="494" t="s">
        <v>6129</v>
      </c>
      <c r="T569" s="465">
        <f>T568</f>
        <v>10</v>
      </c>
      <c r="U569" s="479"/>
      <c r="V569" s="422"/>
      <c r="W569" s="422"/>
      <c r="X569" s="422"/>
      <c r="Y569" s="422"/>
      <c r="Z569" s="422"/>
    </row>
    <row r="570" ht="12.75" customHeight="1" spans="1:26">
      <c r="A570" s="422" t="str">
        <f t="shared" si="164"/>
        <v> 12.5.2 </v>
      </c>
      <c r="B570" s="423" t="str">
        <f t="shared" si="165"/>
        <v> 12.5.2 </v>
      </c>
      <c r="C570" s="441" t="s">
        <v>1555</v>
      </c>
      <c r="D570" s="442" t="s">
        <v>1154</v>
      </c>
      <c r="E570" s="441" t="s">
        <v>77</v>
      </c>
      <c r="F570" s="441" t="s">
        <v>1155</v>
      </c>
      <c r="G570" s="442" t="s">
        <v>204</v>
      </c>
      <c r="H570" s="443">
        <f t="shared" si="166"/>
        <v>525</v>
      </c>
      <c r="I570" s="443">
        <f>VLOOKUP(D570,'Orçamento Analitico'!D:L,9,FALSE())</f>
        <v>36.49</v>
      </c>
      <c r="J570" s="443">
        <f t="shared" si="167"/>
        <v>45.79</v>
      </c>
      <c r="K570" s="443">
        <f t="shared" si="168"/>
        <v>19157.25</v>
      </c>
      <c r="L570" s="443">
        <f t="shared" si="169"/>
        <v>24039.75</v>
      </c>
      <c r="M570" s="461" t="e">
        <f t="shared" si="155"/>
        <v>#N/A</v>
      </c>
      <c r="N570" s="464" t="s">
        <v>6179</v>
      </c>
      <c r="O570" s="465" t="s">
        <v>6180</v>
      </c>
      <c r="P570" s="520">
        <v>175</v>
      </c>
      <c r="Q570" s="494" t="s">
        <v>6128</v>
      </c>
      <c r="R570" s="522">
        <v>3</v>
      </c>
      <c r="S570" s="494" t="s">
        <v>6129</v>
      </c>
      <c r="T570" s="465">
        <f>ROUND(P570*R570,2)</f>
        <v>525</v>
      </c>
      <c r="U570" s="479"/>
      <c r="V570" s="422"/>
      <c r="W570" s="422"/>
      <c r="X570" s="422"/>
      <c r="Y570" s="422"/>
      <c r="Z570" s="422"/>
    </row>
    <row r="571" ht="12.75" customHeight="1" spans="1:26">
      <c r="A571" s="422" t="str">
        <f t="shared" si="164"/>
        <v> 12.5.2 </v>
      </c>
      <c r="B571" s="423" t="str">
        <f t="shared" si="165"/>
        <v> 12.5.2 </v>
      </c>
      <c r="C571" s="441" t="s">
        <v>1556</v>
      </c>
      <c r="D571" s="442" t="s">
        <v>1557</v>
      </c>
      <c r="E571" s="441" t="s">
        <v>132</v>
      </c>
      <c r="F571" s="441" t="s">
        <v>1558</v>
      </c>
      <c r="G571" s="442" t="s">
        <v>204</v>
      </c>
      <c r="H571" s="443">
        <f t="shared" si="166"/>
        <v>175</v>
      </c>
      <c r="I571" s="443">
        <f>VLOOKUP(D571,'Orçamento Analitico'!D:L,9,FALSE())</f>
        <v>228.81</v>
      </c>
      <c r="J571" s="443">
        <f t="shared" si="167"/>
        <v>287.13</v>
      </c>
      <c r="K571" s="443">
        <f t="shared" si="168"/>
        <v>40041.75</v>
      </c>
      <c r="L571" s="443">
        <f t="shared" si="169"/>
        <v>50247.75</v>
      </c>
      <c r="M571" s="461" t="e">
        <f t="shared" si="155"/>
        <v>#N/A</v>
      </c>
      <c r="N571" s="464" t="s">
        <v>6179</v>
      </c>
      <c r="O571" s="465" t="s">
        <v>6180</v>
      </c>
      <c r="P571" s="520">
        <f>P570</f>
        <v>175</v>
      </c>
      <c r="Q571" s="494" t="s">
        <v>6128</v>
      </c>
      <c r="R571" s="522">
        <v>1</v>
      </c>
      <c r="S571" s="494" t="s">
        <v>6129</v>
      </c>
      <c r="T571" s="465">
        <f>ROUND(P571*R571,2)</f>
        <v>175</v>
      </c>
      <c r="U571" s="479"/>
      <c r="V571" s="422"/>
      <c r="W571" s="422"/>
      <c r="X571" s="422"/>
      <c r="Y571" s="422"/>
      <c r="Z571" s="422"/>
    </row>
    <row r="572" ht="12.75" customHeight="1" spans="1:26">
      <c r="A572" s="422" t="str">
        <f t="shared" si="164"/>
        <v> 12.5.2 </v>
      </c>
      <c r="B572" s="423" t="str">
        <f t="shared" si="165"/>
        <v> 12.5.2 </v>
      </c>
      <c r="C572" s="441" t="s">
        <v>1559</v>
      </c>
      <c r="D572" s="442" t="s">
        <v>1560</v>
      </c>
      <c r="E572" s="441" t="s">
        <v>132</v>
      </c>
      <c r="F572" s="441" t="s">
        <v>1561</v>
      </c>
      <c r="G572" s="442" t="s">
        <v>204</v>
      </c>
      <c r="H572" s="443">
        <f t="shared" si="166"/>
        <v>549</v>
      </c>
      <c r="I572" s="443">
        <f>VLOOKUP(D572,'Orçamento Analitico'!D:L,9,FALSE())</f>
        <v>230.46</v>
      </c>
      <c r="J572" s="443">
        <f t="shared" si="167"/>
        <v>289.2</v>
      </c>
      <c r="K572" s="443">
        <f t="shared" si="168"/>
        <v>126522.54</v>
      </c>
      <c r="L572" s="443">
        <f t="shared" si="169"/>
        <v>158770.8</v>
      </c>
      <c r="M572" s="461" t="e">
        <f t="shared" si="155"/>
        <v>#N/A</v>
      </c>
      <c r="N572" s="464"/>
      <c r="O572" s="465"/>
      <c r="P572" s="520"/>
      <c r="Q572" s="494"/>
      <c r="R572" s="522"/>
      <c r="S572" s="494" t="s">
        <v>6129</v>
      </c>
      <c r="T572" s="465">
        <v>549</v>
      </c>
      <c r="U572" s="479"/>
      <c r="V572" s="422"/>
      <c r="W572" s="422"/>
      <c r="X572" s="422"/>
      <c r="Y572" s="422"/>
      <c r="Z572" s="422"/>
    </row>
    <row r="573" ht="12.75" customHeight="1" spans="1:26">
      <c r="A573" s="422" t="str">
        <f t="shared" si="164"/>
        <v> 12.5.2 </v>
      </c>
      <c r="B573" s="423" t="str">
        <f t="shared" si="165"/>
        <v> 12.5.2 </v>
      </c>
      <c r="C573" s="441" t="s">
        <v>1562</v>
      </c>
      <c r="D573" s="442" t="s">
        <v>1563</v>
      </c>
      <c r="E573" s="441" t="s">
        <v>132</v>
      </c>
      <c r="F573" s="441" t="s">
        <v>1564</v>
      </c>
      <c r="G573" s="442" t="s">
        <v>134</v>
      </c>
      <c r="H573" s="443">
        <f t="shared" si="166"/>
        <v>6</v>
      </c>
      <c r="I573" s="443">
        <f>VLOOKUP(D573,'Orçamento Analitico'!D:L,9,FALSE())</f>
        <v>392.64</v>
      </c>
      <c r="J573" s="443">
        <f t="shared" si="167"/>
        <v>492.72</v>
      </c>
      <c r="K573" s="443">
        <f t="shared" si="168"/>
        <v>2355.84</v>
      </c>
      <c r="L573" s="443">
        <f t="shared" si="169"/>
        <v>2956.32</v>
      </c>
      <c r="M573" s="461" t="e">
        <f t="shared" si="155"/>
        <v>#N/A</v>
      </c>
      <c r="N573" s="464"/>
      <c r="O573" s="465"/>
      <c r="P573" s="520"/>
      <c r="Q573" s="494"/>
      <c r="R573" s="522"/>
      <c r="S573" s="494" t="s">
        <v>6129</v>
      </c>
      <c r="T573" s="465">
        <v>6</v>
      </c>
      <c r="U573" s="479"/>
      <c r="V573" s="422"/>
      <c r="W573" s="422"/>
      <c r="X573" s="422"/>
      <c r="Y573" s="422"/>
      <c r="Z573" s="422"/>
    </row>
    <row r="574" ht="12.75" customHeight="1" spans="1:26">
      <c r="A574" s="422"/>
      <c r="B574" s="423" t="str">
        <f>C574</f>
        <v> 12.6 </v>
      </c>
      <c r="C574" s="444" t="s">
        <v>1565</v>
      </c>
      <c r="D574" s="445" t="s">
        <v>74</v>
      </c>
      <c r="E574" s="444"/>
      <c r="F574" s="444" t="s">
        <v>1566</v>
      </c>
      <c r="G574" s="445"/>
      <c r="H574" s="446"/>
      <c r="I574" s="446"/>
      <c r="J574" s="466"/>
      <c r="K574" s="466">
        <f>SUMIF(A:A,B574,K:K)</f>
        <v>44724.58</v>
      </c>
      <c r="L574" s="466">
        <f>SUMIF(A:A,C574,L:L)</f>
        <v>56119.9</v>
      </c>
      <c r="M574" s="467" t="e">
        <f t="shared" si="155"/>
        <v>#N/A</v>
      </c>
      <c r="N574" s="464"/>
      <c r="O574" s="465"/>
      <c r="P574" s="465"/>
      <c r="Q574" s="465"/>
      <c r="R574" s="465"/>
      <c r="S574" s="465"/>
      <c r="T574" s="465"/>
      <c r="U574" s="479"/>
      <c r="V574" s="422"/>
      <c r="W574" s="422"/>
      <c r="X574" s="422"/>
      <c r="Y574" s="422"/>
      <c r="Z574" s="422"/>
    </row>
    <row r="575" ht="36.75" customHeight="1" spans="1:26">
      <c r="A575" s="422" t="str">
        <f t="shared" ref="A575:A580" si="170">B575</f>
        <v> 12.6 </v>
      </c>
      <c r="B575" s="423" t="str">
        <f t="shared" ref="B575:B580" si="171">B574</f>
        <v> 12.6 </v>
      </c>
      <c r="C575" s="441" t="s">
        <v>1567</v>
      </c>
      <c r="D575" s="442" t="s">
        <v>1568</v>
      </c>
      <c r="E575" s="441" t="s">
        <v>139</v>
      </c>
      <c r="F575" s="441" t="s">
        <v>1569</v>
      </c>
      <c r="G575" s="442" t="s">
        <v>134</v>
      </c>
      <c r="H575" s="443">
        <f t="shared" ref="H575:H580" si="172">SUM(N575:T575)</f>
        <v>120</v>
      </c>
      <c r="I575" s="443">
        <f>VLOOKUP(D575,'Orçamento Analitico'!D:L,9,FALSE())</f>
        <v>34.03</v>
      </c>
      <c r="J575" s="443">
        <f t="shared" ref="J575:J580" si="173">ROUNDDOWN(I575*(1+$G$6),2)</f>
        <v>42.7</v>
      </c>
      <c r="K575" s="443">
        <f t="shared" ref="K575:K580" si="174">ROUNDDOWN(H575*I575,2)</f>
        <v>4083.6</v>
      </c>
      <c r="L575" s="443">
        <f t="shared" ref="L575:L580" si="175">ROUNDDOWN(H575*J575,2)</f>
        <v>5124</v>
      </c>
      <c r="M575" s="461" t="e">
        <f t="shared" si="155"/>
        <v>#N/A</v>
      </c>
      <c r="N575" s="464">
        <v>28</v>
      </c>
      <c r="O575" s="465"/>
      <c r="P575" s="465">
        <v>0</v>
      </c>
      <c r="Q575" s="465">
        <v>53</v>
      </c>
      <c r="R575" s="465">
        <v>30</v>
      </c>
      <c r="S575" s="465">
        <v>9</v>
      </c>
      <c r="T575" s="465"/>
      <c r="U575" s="479"/>
      <c r="V575" s="422"/>
      <c r="W575" s="422"/>
      <c r="X575" s="422"/>
      <c r="Y575" s="422"/>
      <c r="Z575" s="422"/>
    </row>
    <row r="576" ht="36.75" customHeight="1" spans="1:26">
      <c r="A576" s="422" t="str">
        <f t="shared" si="170"/>
        <v> 12.6 </v>
      </c>
      <c r="B576" s="423" t="str">
        <f t="shared" si="171"/>
        <v> 12.6 </v>
      </c>
      <c r="C576" s="441" t="s">
        <v>1570</v>
      </c>
      <c r="D576" s="442" t="s">
        <v>1571</v>
      </c>
      <c r="E576" s="441" t="s">
        <v>139</v>
      </c>
      <c r="F576" s="441" t="s">
        <v>1572</v>
      </c>
      <c r="G576" s="442" t="s">
        <v>134</v>
      </c>
      <c r="H576" s="443">
        <f t="shared" si="172"/>
        <v>24</v>
      </c>
      <c r="I576" s="443">
        <f>VLOOKUP(D576,'Orçamento Analitico'!D:L,9,FALSE())</f>
        <v>51.45</v>
      </c>
      <c r="J576" s="443">
        <f t="shared" si="173"/>
        <v>64.56</v>
      </c>
      <c r="K576" s="443">
        <f t="shared" si="174"/>
        <v>1234.8</v>
      </c>
      <c r="L576" s="443">
        <f t="shared" si="175"/>
        <v>1549.44</v>
      </c>
      <c r="M576" s="461" t="e">
        <f t="shared" si="155"/>
        <v>#N/A</v>
      </c>
      <c r="N576" s="464">
        <v>4</v>
      </c>
      <c r="O576" s="465"/>
      <c r="P576" s="465">
        <v>4</v>
      </c>
      <c r="Q576" s="465">
        <v>8</v>
      </c>
      <c r="R576" s="465">
        <v>6</v>
      </c>
      <c r="S576" s="465">
        <v>2</v>
      </c>
      <c r="T576" s="465"/>
      <c r="U576" s="479"/>
      <c r="V576" s="422"/>
      <c r="W576" s="422"/>
      <c r="X576" s="422"/>
      <c r="Y576" s="422"/>
      <c r="Z576" s="422"/>
    </row>
    <row r="577" ht="36.75" customHeight="1" spans="1:26">
      <c r="A577" s="422" t="str">
        <f t="shared" si="170"/>
        <v> 12.6 </v>
      </c>
      <c r="B577" s="423" t="str">
        <f t="shared" si="171"/>
        <v> 12.6 </v>
      </c>
      <c r="C577" s="441" t="s">
        <v>1573</v>
      </c>
      <c r="D577" s="442" t="s">
        <v>1574</v>
      </c>
      <c r="E577" s="441" t="s">
        <v>139</v>
      </c>
      <c r="F577" s="441" t="s">
        <v>1575</v>
      </c>
      <c r="G577" s="442" t="s">
        <v>134</v>
      </c>
      <c r="H577" s="443">
        <f t="shared" si="172"/>
        <v>52</v>
      </c>
      <c r="I577" s="443">
        <f>VLOOKUP(D577,'Orçamento Analitico'!D:L,9,FALSE())</f>
        <v>40.59</v>
      </c>
      <c r="J577" s="443">
        <f t="shared" si="173"/>
        <v>50.93</v>
      </c>
      <c r="K577" s="443">
        <f t="shared" si="174"/>
        <v>2110.68</v>
      </c>
      <c r="L577" s="443">
        <f t="shared" si="175"/>
        <v>2648.36</v>
      </c>
      <c r="M577" s="461" t="e">
        <f t="shared" si="155"/>
        <v>#N/A</v>
      </c>
      <c r="N577" s="464">
        <f t="shared" ref="N577:S577" si="176">ROUND(N578*0.05,0)</f>
        <v>2</v>
      </c>
      <c r="O577" s="465">
        <f t="shared" si="176"/>
        <v>2</v>
      </c>
      <c r="P577" s="465">
        <f t="shared" si="176"/>
        <v>1</v>
      </c>
      <c r="Q577" s="465">
        <f t="shared" si="176"/>
        <v>23</v>
      </c>
      <c r="R577" s="465">
        <f t="shared" si="176"/>
        <v>16</v>
      </c>
      <c r="S577" s="465">
        <f t="shared" si="176"/>
        <v>8</v>
      </c>
      <c r="T577" s="465"/>
      <c r="U577" s="479"/>
      <c r="V577" s="422"/>
      <c r="W577" s="422"/>
      <c r="X577" s="422"/>
      <c r="Y577" s="422"/>
      <c r="Z577" s="422"/>
    </row>
    <row r="578" ht="36.75" customHeight="1" spans="1:26">
      <c r="A578" s="422" t="str">
        <f t="shared" si="170"/>
        <v> 12.6 </v>
      </c>
      <c r="B578" s="423" t="str">
        <f t="shared" si="171"/>
        <v> 12.6 </v>
      </c>
      <c r="C578" s="441" t="s">
        <v>1576</v>
      </c>
      <c r="D578" s="442" t="s">
        <v>1577</v>
      </c>
      <c r="E578" s="441" t="s">
        <v>139</v>
      </c>
      <c r="F578" s="441" t="s">
        <v>1578</v>
      </c>
      <c r="G578" s="442" t="s">
        <v>134</v>
      </c>
      <c r="H578" s="443">
        <f t="shared" si="172"/>
        <v>1040</v>
      </c>
      <c r="I578" s="443">
        <f>VLOOKUP(D578,'Orçamento Analitico'!D:L,9,FALSE())</f>
        <v>28.14</v>
      </c>
      <c r="J578" s="443">
        <f t="shared" si="173"/>
        <v>35.31</v>
      </c>
      <c r="K578" s="443">
        <f t="shared" si="174"/>
        <v>29265.6</v>
      </c>
      <c r="L578" s="443">
        <f t="shared" si="175"/>
        <v>36722.4</v>
      </c>
      <c r="M578" s="461" t="e">
        <f t="shared" si="155"/>
        <v>#N/A</v>
      </c>
      <c r="N578" s="464">
        <v>46</v>
      </c>
      <c r="O578" s="465">
        <v>46</v>
      </c>
      <c r="P578" s="465">
        <v>25</v>
      </c>
      <c r="Q578" s="465">
        <f>42+83+83+124+124</f>
        <v>456</v>
      </c>
      <c r="R578" s="465">
        <f>29+57+57+86+86</f>
        <v>315</v>
      </c>
      <c r="S578" s="465">
        <f>(38*4)</f>
        <v>152</v>
      </c>
      <c r="T578" s="465"/>
      <c r="U578" s="479"/>
      <c r="V578" s="422"/>
      <c r="W578" s="422"/>
      <c r="X578" s="422"/>
      <c r="Y578" s="422"/>
      <c r="Z578" s="422"/>
    </row>
    <row r="579" ht="36.75" customHeight="1" spans="1:26">
      <c r="A579" s="422" t="str">
        <f t="shared" si="170"/>
        <v> 12.6 </v>
      </c>
      <c r="B579" s="423" t="str">
        <f t="shared" si="171"/>
        <v> 12.6 </v>
      </c>
      <c r="C579" s="441" t="s">
        <v>1579</v>
      </c>
      <c r="D579" s="442" t="s">
        <v>1580</v>
      </c>
      <c r="E579" s="441" t="s">
        <v>139</v>
      </c>
      <c r="F579" s="441" t="s">
        <v>1581</v>
      </c>
      <c r="G579" s="442" t="s">
        <v>134</v>
      </c>
      <c r="H579" s="443">
        <f t="shared" si="172"/>
        <v>96</v>
      </c>
      <c r="I579" s="443">
        <f>VLOOKUP(D579,'Orçamento Analitico'!D:L,9,FALSE())</f>
        <v>42.48</v>
      </c>
      <c r="J579" s="443">
        <f t="shared" si="173"/>
        <v>53.3</v>
      </c>
      <c r="K579" s="443">
        <f t="shared" si="174"/>
        <v>4078.08</v>
      </c>
      <c r="L579" s="443">
        <f t="shared" si="175"/>
        <v>5116.8</v>
      </c>
      <c r="M579" s="461" t="e">
        <f t="shared" si="155"/>
        <v>#N/A</v>
      </c>
      <c r="N579" s="464">
        <v>0</v>
      </c>
      <c r="O579" s="465">
        <v>0</v>
      </c>
      <c r="P579" s="465">
        <v>32</v>
      </c>
      <c r="Q579" s="465">
        <v>32</v>
      </c>
      <c r="R579" s="465">
        <v>32</v>
      </c>
      <c r="S579" s="465"/>
      <c r="T579" s="465"/>
      <c r="U579" s="479"/>
      <c r="V579" s="422"/>
      <c r="W579" s="422"/>
      <c r="X579" s="422"/>
      <c r="Y579" s="422"/>
      <c r="Z579" s="422"/>
    </row>
    <row r="580" ht="36.75" customHeight="1" spans="1:26">
      <c r="A580" s="422" t="str">
        <f t="shared" si="170"/>
        <v> 12.6 </v>
      </c>
      <c r="B580" s="423" t="str">
        <f t="shared" si="171"/>
        <v> 12.6 </v>
      </c>
      <c r="C580" s="441" t="s">
        <v>1582</v>
      </c>
      <c r="D580" s="442" t="s">
        <v>1583</v>
      </c>
      <c r="E580" s="441" t="s">
        <v>132</v>
      </c>
      <c r="F580" s="441" t="s">
        <v>1584</v>
      </c>
      <c r="G580" s="442" t="s">
        <v>134</v>
      </c>
      <c r="H580" s="443">
        <f t="shared" si="172"/>
        <v>34</v>
      </c>
      <c r="I580" s="443">
        <f>VLOOKUP(D580,'Orçamento Analitico'!D:L,9,FALSE())</f>
        <v>116.23</v>
      </c>
      <c r="J580" s="443">
        <f t="shared" si="173"/>
        <v>145.85</v>
      </c>
      <c r="K580" s="443">
        <f t="shared" si="174"/>
        <v>3951.82</v>
      </c>
      <c r="L580" s="443">
        <f t="shared" si="175"/>
        <v>4958.9</v>
      </c>
      <c r="M580" s="461" t="e">
        <f t="shared" si="155"/>
        <v>#N/A</v>
      </c>
      <c r="N580" s="464">
        <v>0</v>
      </c>
      <c r="O580" s="465">
        <v>0</v>
      </c>
      <c r="P580" s="465">
        <v>14</v>
      </c>
      <c r="Q580" s="465">
        <v>10</v>
      </c>
      <c r="R580" s="465">
        <v>10</v>
      </c>
      <c r="S580" s="465"/>
      <c r="T580" s="465"/>
      <c r="U580" s="479"/>
      <c r="V580" s="422"/>
      <c r="W580" s="422"/>
      <c r="X580" s="422"/>
      <c r="Y580" s="422"/>
      <c r="Z580" s="422"/>
    </row>
    <row r="581" ht="12.75" customHeight="1" spans="1:26">
      <c r="A581" s="422"/>
      <c r="B581" s="423" t="str">
        <f>C581</f>
        <v> 12.7 </v>
      </c>
      <c r="C581" s="444" t="s">
        <v>1585</v>
      </c>
      <c r="D581" s="445" t="s">
        <v>74</v>
      </c>
      <c r="E581" s="444"/>
      <c r="F581" s="444" t="s">
        <v>1586</v>
      </c>
      <c r="G581" s="445"/>
      <c r="H581" s="446"/>
      <c r="I581" s="446"/>
      <c r="J581" s="466"/>
      <c r="K581" s="466">
        <f>SUM(K582,K595)</f>
        <v>384240.66</v>
      </c>
      <c r="L581" s="466">
        <f>SUM(L582,L595)</f>
        <v>482146.5</v>
      </c>
      <c r="M581" s="467" t="e">
        <f t="shared" si="155"/>
        <v>#N/A</v>
      </c>
      <c r="N581" s="459" t="s">
        <v>6121</v>
      </c>
      <c r="O581" s="460" t="s">
        <v>6122</v>
      </c>
      <c r="P581" s="460" t="s">
        <v>6123</v>
      </c>
      <c r="Q581" s="460" t="s">
        <v>6124</v>
      </c>
      <c r="R581" s="460" t="s">
        <v>6125</v>
      </c>
      <c r="S581" s="460" t="s">
        <v>6126</v>
      </c>
      <c r="T581" s="460" t="s">
        <v>6174</v>
      </c>
      <c r="U581" s="477"/>
      <c r="V581" s="422"/>
      <c r="W581" s="422"/>
      <c r="X581" s="422"/>
      <c r="Y581" s="422"/>
      <c r="Z581" s="422"/>
    </row>
    <row r="582" ht="12.75" customHeight="1" spans="1:26">
      <c r="A582" s="422"/>
      <c r="B582" s="423" t="str">
        <f>C582</f>
        <v> 12.7.1 </v>
      </c>
      <c r="C582" s="488" t="s">
        <v>1587</v>
      </c>
      <c r="D582" s="489" t="s">
        <v>74</v>
      </c>
      <c r="E582" s="488"/>
      <c r="F582" s="488" t="s">
        <v>1588</v>
      </c>
      <c r="G582" s="489"/>
      <c r="H582" s="490"/>
      <c r="I582" s="490"/>
      <c r="J582" s="490"/>
      <c r="K582" s="490">
        <f>SUMIF(A:A,B582,K:K)</f>
        <v>351223.99</v>
      </c>
      <c r="L582" s="490">
        <f>SUMIF(A:A,C582,L:L)</f>
        <v>440724.8</v>
      </c>
      <c r="M582" s="496" t="e">
        <f t="shared" si="155"/>
        <v>#N/A</v>
      </c>
      <c r="N582" s="517"/>
      <c r="O582" s="518"/>
      <c r="P582" s="518"/>
      <c r="Q582" s="518"/>
      <c r="R582" s="518"/>
      <c r="S582" s="518"/>
      <c r="T582" s="518"/>
      <c r="U582" s="519"/>
      <c r="V582" s="422"/>
      <c r="W582" s="422"/>
      <c r="X582" s="422"/>
      <c r="Y582" s="422"/>
      <c r="Z582" s="422"/>
    </row>
    <row r="583" ht="23.25" customHeight="1" spans="1:26">
      <c r="A583" s="422" t="str">
        <f t="shared" ref="A583:A594" si="177">B583</f>
        <v> 12.7.1 </v>
      </c>
      <c r="B583" s="423" t="str">
        <f t="shared" ref="B583:B594" si="178">B582</f>
        <v> 12.7.1 </v>
      </c>
      <c r="C583" s="441" t="s">
        <v>1589</v>
      </c>
      <c r="D583" s="442" t="s">
        <v>1590</v>
      </c>
      <c r="E583" s="441" t="s">
        <v>149</v>
      </c>
      <c r="F583" s="441" t="s">
        <v>1591</v>
      </c>
      <c r="G583" s="442" t="s">
        <v>134</v>
      </c>
      <c r="H583" s="443">
        <f t="shared" ref="H583:H594" si="179">SUM(N583:T583)</f>
        <v>287</v>
      </c>
      <c r="I583" s="443">
        <f>VLOOKUP(D583,'Orçamento Analitico'!D:L,9,FALSE())</f>
        <v>93.5</v>
      </c>
      <c r="J583" s="443">
        <f t="shared" ref="J583:J594" si="180">ROUNDDOWN(I583*(1+$G$6),2)</f>
        <v>117.33</v>
      </c>
      <c r="K583" s="443">
        <f t="shared" ref="K583:K594" si="181">ROUNDDOWN(H583*I583,2)</f>
        <v>26834.5</v>
      </c>
      <c r="L583" s="443">
        <f t="shared" ref="L583:L594" si="182">ROUNDDOWN(H583*J583,2)</f>
        <v>33673.71</v>
      </c>
      <c r="M583" s="461" t="e">
        <f t="shared" si="155"/>
        <v>#N/A</v>
      </c>
      <c r="N583" s="464">
        <v>107</v>
      </c>
      <c r="O583" s="465">
        <v>10</v>
      </c>
      <c r="P583" s="465">
        <v>10</v>
      </c>
      <c r="Q583" s="465">
        <v>80</v>
      </c>
      <c r="R583" s="465">
        <v>80</v>
      </c>
      <c r="S583" s="465"/>
      <c r="T583" s="465"/>
      <c r="U583" s="479"/>
      <c r="V583" s="422"/>
      <c r="W583" s="422"/>
      <c r="X583" s="422"/>
      <c r="Y583" s="422"/>
      <c r="Z583" s="422"/>
    </row>
    <row r="584" ht="12.75" customHeight="1" spans="1:26">
      <c r="A584" s="422" t="str">
        <f t="shared" si="177"/>
        <v> 12.7.1 </v>
      </c>
      <c r="B584" s="423" t="str">
        <f t="shared" si="178"/>
        <v> 12.7.1 </v>
      </c>
      <c r="C584" s="441" t="s">
        <v>1592</v>
      </c>
      <c r="D584" s="442" t="s">
        <v>1593</v>
      </c>
      <c r="E584" s="441" t="s">
        <v>132</v>
      </c>
      <c r="F584" s="441" t="s">
        <v>1594</v>
      </c>
      <c r="G584" s="442" t="s">
        <v>134</v>
      </c>
      <c r="H584" s="443">
        <f t="shared" si="179"/>
        <v>287</v>
      </c>
      <c r="I584" s="443">
        <f>VLOOKUP(D584,'Orçamento Analitico'!D:L,9,FALSE())</f>
        <v>34.58</v>
      </c>
      <c r="J584" s="443">
        <f t="shared" si="180"/>
        <v>43.39</v>
      </c>
      <c r="K584" s="443">
        <f t="shared" si="181"/>
        <v>9924.46</v>
      </c>
      <c r="L584" s="443">
        <f t="shared" si="182"/>
        <v>12452.93</v>
      </c>
      <c r="M584" s="461" t="e">
        <f t="shared" ref="M584:M647" si="183">K584/$L$1062</f>
        <v>#N/A</v>
      </c>
      <c r="N584" s="464">
        <f>N583</f>
        <v>107</v>
      </c>
      <c r="O584" s="465">
        <f>O583</f>
        <v>10</v>
      </c>
      <c r="P584" s="465">
        <f>P583</f>
        <v>10</v>
      </c>
      <c r="Q584" s="465">
        <f>Q583</f>
        <v>80</v>
      </c>
      <c r="R584" s="465">
        <f>R583</f>
        <v>80</v>
      </c>
      <c r="S584" s="465"/>
      <c r="T584" s="465"/>
      <c r="U584" s="479"/>
      <c r="V584" s="422"/>
      <c r="W584" s="422"/>
      <c r="X584" s="422"/>
      <c r="Y584" s="422"/>
      <c r="Z584" s="422"/>
    </row>
    <row r="585" ht="56.25" customHeight="1" spans="1:26">
      <c r="A585" s="422" t="str">
        <f t="shared" si="177"/>
        <v> 12.7.1 </v>
      </c>
      <c r="B585" s="423" t="str">
        <f t="shared" si="178"/>
        <v> 12.7.1 </v>
      </c>
      <c r="C585" s="441" t="s">
        <v>1595</v>
      </c>
      <c r="D585" s="442" t="s">
        <v>1596</v>
      </c>
      <c r="E585" s="441" t="s">
        <v>77</v>
      </c>
      <c r="F585" s="441" t="s">
        <v>1597</v>
      </c>
      <c r="G585" s="442" t="s">
        <v>134</v>
      </c>
      <c r="H585" s="443">
        <f t="shared" si="179"/>
        <v>132</v>
      </c>
      <c r="I585" s="443">
        <f>VLOOKUP(D585,'Orçamento Analitico'!D:L,9,FALSE())</f>
        <v>257.12</v>
      </c>
      <c r="J585" s="443">
        <f t="shared" si="180"/>
        <v>322.65</v>
      </c>
      <c r="K585" s="443">
        <f t="shared" si="181"/>
        <v>33939.84</v>
      </c>
      <c r="L585" s="443">
        <f t="shared" si="182"/>
        <v>42589.8</v>
      </c>
      <c r="M585" s="461" t="e">
        <f t="shared" si="183"/>
        <v>#N/A</v>
      </c>
      <c r="N585" s="464">
        <v>25</v>
      </c>
      <c r="O585" s="465">
        <v>18</v>
      </c>
      <c r="P585" s="465">
        <v>12</v>
      </c>
      <c r="Q585" s="465">
        <v>16</v>
      </c>
      <c r="R585" s="465">
        <v>9</v>
      </c>
      <c r="S585" s="465">
        <v>52</v>
      </c>
      <c r="T585" s="465"/>
      <c r="U585" s="479"/>
      <c r="V585" s="422"/>
      <c r="W585" s="422"/>
      <c r="X585" s="422"/>
      <c r="Y585" s="422"/>
      <c r="Z585" s="422"/>
    </row>
    <row r="586" ht="56.25" customHeight="1" spans="1:26">
      <c r="A586" s="422" t="str">
        <f t="shared" si="177"/>
        <v> 12.7.1 </v>
      </c>
      <c r="B586" s="423" t="str">
        <f t="shared" si="178"/>
        <v> 12.7.1 </v>
      </c>
      <c r="C586" s="441" t="s">
        <v>1598</v>
      </c>
      <c r="D586" s="442" t="s">
        <v>1599</v>
      </c>
      <c r="E586" s="441" t="s">
        <v>149</v>
      </c>
      <c r="F586" s="441" t="s">
        <v>1600</v>
      </c>
      <c r="G586" s="442" t="s">
        <v>134</v>
      </c>
      <c r="H586" s="443">
        <f t="shared" si="179"/>
        <v>90</v>
      </c>
      <c r="I586" s="443">
        <f>VLOOKUP(D586,'Orçamento Analitico'!D:L,9,FALSE())</f>
        <v>80.4</v>
      </c>
      <c r="J586" s="443">
        <f t="shared" si="180"/>
        <v>100.89</v>
      </c>
      <c r="K586" s="443">
        <f t="shared" si="181"/>
        <v>7236</v>
      </c>
      <c r="L586" s="443">
        <f t="shared" si="182"/>
        <v>9080.1</v>
      </c>
      <c r="M586" s="461" t="e">
        <f t="shared" si="183"/>
        <v>#N/A</v>
      </c>
      <c r="N586" s="464">
        <v>90</v>
      </c>
      <c r="O586" s="465"/>
      <c r="P586" s="465"/>
      <c r="Q586" s="465"/>
      <c r="R586" s="465"/>
      <c r="S586" s="465"/>
      <c r="T586" s="465"/>
      <c r="U586" s="479"/>
      <c r="V586" s="422"/>
      <c r="W586" s="422"/>
      <c r="X586" s="422"/>
      <c r="Y586" s="422"/>
      <c r="Z586" s="422"/>
    </row>
    <row r="587" ht="41.25" customHeight="1" spans="1:26">
      <c r="A587" s="422" t="str">
        <f t="shared" si="177"/>
        <v> 12.7.1 </v>
      </c>
      <c r="B587" s="423" t="str">
        <f t="shared" si="178"/>
        <v> 12.7.1 </v>
      </c>
      <c r="C587" s="441" t="s">
        <v>1601</v>
      </c>
      <c r="D587" s="442" t="s">
        <v>1602</v>
      </c>
      <c r="E587" s="441" t="s">
        <v>132</v>
      </c>
      <c r="F587" s="441" t="s">
        <v>1603</v>
      </c>
      <c r="G587" s="442" t="s">
        <v>134</v>
      </c>
      <c r="H587" s="443">
        <f t="shared" si="179"/>
        <v>379</v>
      </c>
      <c r="I587" s="443">
        <f>VLOOKUP(D587,'Orçamento Analitico'!D:L,9,FALSE())</f>
        <v>105.47</v>
      </c>
      <c r="J587" s="443">
        <f t="shared" si="180"/>
        <v>132.35</v>
      </c>
      <c r="K587" s="443">
        <f t="shared" si="181"/>
        <v>39973.13</v>
      </c>
      <c r="L587" s="443">
        <f t="shared" si="182"/>
        <v>50160.65</v>
      </c>
      <c r="M587" s="461" t="e">
        <f t="shared" si="183"/>
        <v>#N/A</v>
      </c>
      <c r="N587" s="464"/>
      <c r="O587" s="465"/>
      <c r="P587" s="465"/>
      <c r="Q587" s="465">
        <v>170</v>
      </c>
      <c r="R587" s="465">
        <v>209</v>
      </c>
      <c r="S587" s="465"/>
      <c r="T587" s="465"/>
      <c r="U587" s="479"/>
      <c r="V587" s="422"/>
      <c r="W587" s="422"/>
      <c r="X587" s="422"/>
      <c r="Y587" s="422"/>
      <c r="Z587" s="422"/>
    </row>
    <row r="588" ht="41.25" customHeight="1" spans="1:26">
      <c r="A588" s="422" t="str">
        <f t="shared" si="177"/>
        <v> 12.7.1 </v>
      </c>
      <c r="B588" s="423" t="str">
        <f t="shared" si="178"/>
        <v> 12.7.1 </v>
      </c>
      <c r="C588" s="441" t="s">
        <v>1604</v>
      </c>
      <c r="D588" s="442" t="s">
        <v>1605</v>
      </c>
      <c r="E588" s="441" t="s">
        <v>132</v>
      </c>
      <c r="F588" s="441" t="s">
        <v>1606</v>
      </c>
      <c r="G588" s="442" t="s">
        <v>134</v>
      </c>
      <c r="H588" s="443">
        <f t="shared" si="179"/>
        <v>605</v>
      </c>
      <c r="I588" s="443">
        <f>VLOOKUP(D588,'Orçamento Analitico'!D:L,9,FALSE())</f>
        <v>284.69</v>
      </c>
      <c r="J588" s="443">
        <f t="shared" si="180"/>
        <v>357.25</v>
      </c>
      <c r="K588" s="443">
        <f t="shared" si="181"/>
        <v>172237.45</v>
      </c>
      <c r="L588" s="443">
        <f t="shared" si="182"/>
        <v>216136.25</v>
      </c>
      <c r="M588" s="461" t="e">
        <f t="shared" si="183"/>
        <v>#N/A</v>
      </c>
      <c r="N588" s="464">
        <v>108</v>
      </c>
      <c r="O588" s="465">
        <v>31</v>
      </c>
      <c r="P588" s="465">
        <v>17</v>
      </c>
      <c r="Q588" s="465">
        <v>334</v>
      </c>
      <c r="R588" s="465">
        <v>115</v>
      </c>
      <c r="S588" s="465"/>
      <c r="T588" s="465"/>
      <c r="U588" s="479"/>
      <c r="V588" s="422"/>
      <c r="W588" s="422"/>
      <c r="X588" s="422"/>
      <c r="Y588" s="422"/>
      <c r="Z588" s="422"/>
    </row>
    <row r="589" ht="41.25" customHeight="1" spans="1:26">
      <c r="A589" s="422" t="str">
        <f t="shared" si="177"/>
        <v> 12.7.1 </v>
      </c>
      <c r="B589" s="423" t="str">
        <f t="shared" si="178"/>
        <v> 12.7.1 </v>
      </c>
      <c r="C589" s="441" t="s">
        <v>1607</v>
      </c>
      <c r="D589" s="442" t="s">
        <v>1608</v>
      </c>
      <c r="E589" s="441" t="s">
        <v>149</v>
      </c>
      <c r="F589" s="441" t="s">
        <v>1609</v>
      </c>
      <c r="G589" s="442" t="s">
        <v>134</v>
      </c>
      <c r="H589" s="443">
        <f t="shared" si="179"/>
        <v>20</v>
      </c>
      <c r="I589" s="443">
        <f>VLOOKUP(D589,'Orçamento Analitico'!D:L,9,FALSE())</f>
        <v>281.49</v>
      </c>
      <c r="J589" s="443">
        <f t="shared" si="180"/>
        <v>353.24</v>
      </c>
      <c r="K589" s="443">
        <f t="shared" si="181"/>
        <v>5629.8</v>
      </c>
      <c r="L589" s="443">
        <f t="shared" si="182"/>
        <v>7064.8</v>
      </c>
      <c r="M589" s="461" t="e">
        <f t="shared" si="183"/>
        <v>#N/A</v>
      </c>
      <c r="N589" s="464"/>
      <c r="O589" s="465"/>
      <c r="P589" s="465"/>
      <c r="Q589" s="465">
        <v>20</v>
      </c>
      <c r="R589" s="465"/>
      <c r="S589" s="465"/>
      <c r="T589" s="465"/>
      <c r="U589" s="479"/>
      <c r="V589" s="422"/>
      <c r="W589" s="422"/>
      <c r="X589" s="422"/>
      <c r="Y589" s="422"/>
      <c r="Z589" s="422"/>
    </row>
    <row r="590" ht="41.25" customHeight="1" spans="1:26">
      <c r="A590" s="422" t="str">
        <f t="shared" si="177"/>
        <v> 12.7.1 </v>
      </c>
      <c r="B590" s="423" t="str">
        <f t="shared" si="178"/>
        <v> 12.7.1 </v>
      </c>
      <c r="C590" s="441" t="s">
        <v>1610</v>
      </c>
      <c r="D590" s="442" t="s">
        <v>1611</v>
      </c>
      <c r="E590" s="441" t="s">
        <v>132</v>
      </c>
      <c r="F590" s="441" t="s">
        <v>1612</v>
      </c>
      <c r="G590" s="442" t="s">
        <v>134</v>
      </c>
      <c r="H590" s="443">
        <f t="shared" si="179"/>
        <v>57</v>
      </c>
      <c r="I590" s="443">
        <f>VLOOKUP(D590,'Orçamento Analitico'!D:L,9,FALSE())</f>
        <v>96.81</v>
      </c>
      <c r="J590" s="443">
        <f t="shared" si="180"/>
        <v>121.48</v>
      </c>
      <c r="K590" s="443">
        <f t="shared" si="181"/>
        <v>5518.17</v>
      </c>
      <c r="L590" s="443">
        <f t="shared" si="182"/>
        <v>6924.36</v>
      </c>
      <c r="M590" s="461" t="e">
        <f t="shared" si="183"/>
        <v>#N/A</v>
      </c>
      <c r="N590" s="464"/>
      <c r="O590" s="465"/>
      <c r="P590" s="465"/>
      <c r="Q590" s="465"/>
      <c r="R590" s="465">
        <v>32</v>
      </c>
      <c r="S590" s="465">
        <f>9+4</f>
        <v>13</v>
      </c>
      <c r="T590" s="465">
        <v>12</v>
      </c>
      <c r="U590" s="479"/>
      <c r="V590" s="422"/>
      <c r="W590" s="422"/>
      <c r="X590" s="422"/>
      <c r="Y590" s="422"/>
      <c r="Z590" s="422"/>
    </row>
    <row r="591" ht="41.25" customHeight="1" spans="1:26">
      <c r="A591" s="422" t="str">
        <f t="shared" si="177"/>
        <v> 12.7.1 </v>
      </c>
      <c r="B591" s="423" t="str">
        <f t="shared" si="178"/>
        <v> 12.7.1 </v>
      </c>
      <c r="C591" s="441" t="s">
        <v>1613</v>
      </c>
      <c r="D591" s="442" t="s">
        <v>1614</v>
      </c>
      <c r="E591" s="441" t="s">
        <v>149</v>
      </c>
      <c r="F591" s="441" t="s">
        <v>1615</v>
      </c>
      <c r="G591" s="442" t="s">
        <v>204</v>
      </c>
      <c r="H591" s="443">
        <f t="shared" si="179"/>
        <v>1476</v>
      </c>
      <c r="I591" s="443">
        <f>VLOOKUP(D591,'Orçamento Analitico'!D:L,9,FALSE())</f>
        <v>7.84</v>
      </c>
      <c r="J591" s="443">
        <f t="shared" si="180"/>
        <v>9.83</v>
      </c>
      <c r="K591" s="443">
        <f t="shared" si="181"/>
        <v>11571.84</v>
      </c>
      <c r="L591" s="443">
        <f t="shared" si="182"/>
        <v>14509.08</v>
      </c>
      <c r="M591" s="461" t="e">
        <f t="shared" si="183"/>
        <v>#N/A</v>
      </c>
      <c r="N591" s="464">
        <f>N593*1.5</f>
        <v>162</v>
      </c>
      <c r="O591" s="465">
        <f>O593*1.5</f>
        <v>46.5</v>
      </c>
      <c r="P591" s="465">
        <f>P593*1.5</f>
        <v>25.5</v>
      </c>
      <c r="Q591" s="465">
        <f>504*1.5</f>
        <v>756</v>
      </c>
      <c r="R591" s="465">
        <f>324*1.5</f>
        <v>486</v>
      </c>
      <c r="S591" s="465"/>
      <c r="T591" s="465"/>
      <c r="U591" s="479"/>
      <c r="V591" s="422"/>
      <c r="W591" s="422"/>
      <c r="X591" s="422"/>
      <c r="Y591" s="422"/>
      <c r="Z591" s="422"/>
    </row>
    <row r="592" ht="41.25" customHeight="1" spans="1:26">
      <c r="A592" s="422" t="str">
        <f t="shared" si="177"/>
        <v> 12.7.1 </v>
      </c>
      <c r="B592" s="423" t="str">
        <f t="shared" si="178"/>
        <v> 12.7.1 </v>
      </c>
      <c r="C592" s="441" t="s">
        <v>1616</v>
      </c>
      <c r="D592" s="442" t="s">
        <v>1617</v>
      </c>
      <c r="E592" s="441" t="s">
        <v>149</v>
      </c>
      <c r="F592" s="441" t="s">
        <v>1618</v>
      </c>
      <c r="G592" s="442" t="s">
        <v>204</v>
      </c>
      <c r="H592" s="443">
        <f t="shared" si="179"/>
        <v>71</v>
      </c>
      <c r="I592" s="443">
        <f>VLOOKUP(D592,'Orçamento Analitico'!D:L,9,FALSE())</f>
        <v>25.12</v>
      </c>
      <c r="J592" s="443">
        <f t="shared" si="180"/>
        <v>31.52</v>
      </c>
      <c r="K592" s="443">
        <f t="shared" si="181"/>
        <v>1783.52</v>
      </c>
      <c r="L592" s="443">
        <f t="shared" si="182"/>
        <v>2237.92</v>
      </c>
      <c r="M592" s="461" t="e">
        <f t="shared" si="183"/>
        <v>#N/A</v>
      </c>
      <c r="N592" s="464">
        <v>9</v>
      </c>
      <c r="O592" s="465">
        <v>12</v>
      </c>
      <c r="P592" s="465">
        <v>6</v>
      </c>
      <c r="Q592" s="465">
        <v>22</v>
      </c>
      <c r="R592" s="465">
        <v>22</v>
      </c>
      <c r="S592" s="465"/>
      <c r="T592" s="465"/>
      <c r="U592" s="479"/>
      <c r="V592" s="422"/>
      <c r="W592" s="422"/>
      <c r="X592" s="422"/>
      <c r="Y592" s="422"/>
      <c r="Z592" s="422"/>
    </row>
    <row r="593" ht="41.25" customHeight="1" spans="1:26">
      <c r="A593" s="422" t="str">
        <f t="shared" si="177"/>
        <v> 12.7.1 </v>
      </c>
      <c r="B593" s="423" t="str">
        <f t="shared" si="178"/>
        <v> 12.7.1 </v>
      </c>
      <c r="C593" s="441" t="s">
        <v>1619</v>
      </c>
      <c r="D593" s="442" t="s">
        <v>1620</v>
      </c>
      <c r="E593" s="441" t="s">
        <v>132</v>
      </c>
      <c r="F593" s="441" t="s">
        <v>1621</v>
      </c>
      <c r="G593" s="442" t="s">
        <v>134</v>
      </c>
      <c r="H593" s="443">
        <f t="shared" si="179"/>
        <v>984</v>
      </c>
      <c r="I593" s="443">
        <f>VLOOKUP(D593,'Orçamento Analitico'!D:L,9,FALSE())</f>
        <v>36.85</v>
      </c>
      <c r="J593" s="443">
        <f t="shared" si="180"/>
        <v>46.24</v>
      </c>
      <c r="K593" s="443">
        <f t="shared" si="181"/>
        <v>36260.4</v>
      </c>
      <c r="L593" s="443">
        <f t="shared" si="182"/>
        <v>45500.16</v>
      </c>
      <c r="M593" s="461" t="e">
        <f t="shared" si="183"/>
        <v>#N/A</v>
      </c>
      <c r="N593" s="464">
        <v>108</v>
      </c>
      <c r="O593" s="465">
        <v>31</v>
      </c>
      <c r="P593" s="465">
        <v>17</v>
      </c>
      <c r="Q593" s="465">
        <v>504</v>
      </c>
      <c r="R593" s="465">
        <v>324</v>
      </c>
      <c r="S593" s="465"/>
      <c r="T593" s="465"/>
      <c r="U593" s="479"/>
      <c r="V593" s="422"/>
      <c r="W593" s="422"/>
      <c r="X593" s="422"/>
      <c r="Y593" s="422"/>
      <c r="Z593" s="422"/>
    </row>
    <row r="594" ht="41.25" customHeight="1" spans="1:26">
      <c r="A594" s="422" t="str">
        <f t="shared" si="177"/>
        <v> 12.7.1 </v>
      </c>
      <c r="B594" s="423" t="str">
        <f t="shared" si="178"/>
        <v> 12.7.1 </v>
      </c>
      <c r="C594" s="441" t="s">
        <v>1622</v>
      </c>
      <c r="D594" s="442" t="s">
        <v>1623</v>
      </c>
      <c r="E594" s="441" t="s">
        <v>132</v>
      </c>
      <c r="F594" s="441" t="s">
        <v>1624</v>
      </c>
      <c r="G594" s="442" t="s">
        <v>334</v>
      </c>
      <c r="H594" s="443">
        <f t="shared" si="179"/>
        <v>48</v>
      </c>
      <c r="I594" s="443">
        <f>VLOOKUP(D594,'Orçamento Analitico'!D:L,9,FALSE())</f>
        <v>6.56</v>
      </c>
      <c r="J594" s="443">
        <f t="shared" si="180"/>
        <v>8.23</v>
      </c>
      <c r="K594" s="443">
        <f t="shared" si="181"/>
        <v>314.88</v>
      </c>
      <c r="L594" s="443">
        <f t="shared" si="182"/>
        <v>395.04</v>
      </c>
      <c r="M594" s="461" t="e">
        <f t="shared" si="183"/>
        <v>#N/A</v>
      </c>
      <c r="N594" s="464">
        <v>6</v>
      </c>
      <c r="O594" s="465">
        <v>8</v>
      </c>
      <c r="P594" s="465">
        <v>4</v>
      </c>
      <c r="Q594" s="465">
        <v>15</v>
      </c>
      <c r="R594" s="465">
        <v>15</v>
      </c>
      <c r="S594" s="465"/>
      <c r="T594" s="465"/>
      <c r="U594" s="479"/>
      <c r="V594" s="422"/>
      <c r="W594" s="422"/>
      <c r="X594" s="422"/>
      <c r="Y594" s="422"/>
      <c r="Z594" s="422"/>
    </row>
    <row r="595" ht="12.75" customHeight="1" spans="1:26">
      <c r="A595" s="422"/>
      <c r="B595" s="423" t="str">
        <f>C595</f>
        <v> 12.7.2 </v>
      </c>
      <c r="C595" s="488" t="s">
        <v>1625</v>
      </c>
      <c r="D595" s="489" t="s">
        <v>74</v>
      </c>
      <c r="E595" s="488"/>
      <c r="F595" s="488" t="s">
        <v>1626</v>
      </c>
      <c r="G595" s="489"/>
      <c r="H595" s="490"/>
      <c r="I595" s="490"/>
      <c r="J595" s="490"/>
      <c r="K595" s="490">
        <f>SUMIF(A:A,B595,K:K)</f>
        <v>33016.67</v>
      </c>
      <c r="L595" s="490">
        <f>SUMIF(A:A,C595,L:L)</f>
        <v>41421.7</v>
      </c>
      <c r="M595" s="496" t="e">
        <f t="shared" si="183"/>
        <v>#N/A</v>
      </c>
      <c r="N595" s="464"/>
      <c r="O595" s="465"/>
      <c r="P595" s="465"/>
      <c r="Q595" s="465"/>
      <c r="R595" s="465"/>
      <c r="S595" s="465"/>
      <c r="T595" s="465"/>
      <c r="U595" s="479"/>
      <c r="V595" s="422"/>
      <c r="W595" s="422"/>
      <c r="X595" s="422"/>
      <c r="Y595" s="422"/>
      <c r="Z595" s="422"/>
    </row>
    <row r="596" ht="47.25" customHeight="1" spans="1:26">
      <c r="A596" s="422" t="str">
        <f t="shared" ref="A596:A602" si="184">B596</f>
        <v> 12.7.2 </v>
      </c>
      <c r="B596" s="423" t="str">
        <f t="shared" ref="B596:B602" si="185">B595</f>
        <v> 12.7.2 </v>
      </c>
      <c r="C596" s="441" t="s">
        <v>1627</v>
      </c>
      <c r="D596" s="442" t="s">
        <v>1628</v>
      </c>
      <c r="E596" s="441" t="s">
        <v>796</v>
      </c>
      <c r="F596" s="441" t="s">
        <v>1629</v>
      </c>
      <c r="G596" s="442" t="s">
        <v>334</v>
      </c>
      <c r="H596" s="443">
        <f t="shared" ref="H596:H602" si="186">SUM(N596:T596)</f>
        <v>22</v>
      </c>
      <c r="I596" s="443">
        <f>VLOOKUP(D596,'Orçamento Analitico'!D:L,9,FALSE())</f>
        <v>218.25</v>
      </c>
      <c r="J596" s="443">
        <f t="shared" ref="J596:J602" si="187">ROUNDDOWN(I596*(1+$G$6),2)</f>
        <v>273.88</v>
      </c>
      <c r="K596" s="443">
        <f t="shared" ref="K596:K602" si="188">ROUNDDOWN(H596*I596,2)</f>
        <v>4801.5</v>
      </c>
      <c r="L596" s="443">
        <f t="shared" ref="L596:L602" si="189">ROUNDDOWN(H596*J596,2)</f>
        <v>6025.36</v>
      </c>
      <c r="M596" s="461" t="e">
        <f t="shared" si="183"/>
        <v>#N/A</v>
      </c>
      <c r="N596" s="464">
        <f>SUM(N599:N600)</f>
        <v>22</v>
      </c>
      <c r="O596" s="465"/>
      <c r="P596" s="465"/>
      <c r="Q596" s="465"/>
      <c r="R596" s="465"/>
      <c r="S596" s="465"/>
      <c r="T596" s="465"/>
      <c r="U596" s="479"/>
      <c r="V596" s="422"/>
      <c r="W596" s="422"/>
      <c r="X596" s="422"/>
      <c r="Y596" s="422"/>
      <c r="Z596" s="422"/>
    </row>
    <row r="597" ht="48.75" customHeight="1" spans="1:26">
      <c r="A597" s="422" t="str">
        <f t="shared" si="184"/>
        <v> 12.7.2 </v>
      </c>
      <c r="B597" s="423" t="str">
        <f t="shared" si="185"/>
        <v> 12.7.2 </v>
      </c>
      <c r="C597" s="441" t="s">
        <v>1630</v>
      </c>
      <c r="D597" s="442" t="s">
        <v>1631</v>
      </c>
      <c r="E597" s="441" t="s">
        <v>139</v>
      </c>
      <c r="F597" s="441" t="s">
        <v>1632</v>
      </c>
      <c r="G597" s="442" t="s">
        <v>204</v>
      </c>
      <c r="H597" s="443">
        <f t="shared" si="186"/>
        <v>154</v>
      </c>
      <c r="I597" s="443">
        <f>VLOOKUP(D597,'Orçamento Analitico'!D:L,9,FALSE())</f>
        <v>10.4</v>
      </c>
      <c r="J597" s="443">
        <f t="shared" si="187"/>
        <v>13.05</v>
      </c>
      <c r="K597" s="443">
        <f t="shared" si="188"/>
        <v>1601.6</v>
      </c>
      <c r="L597" s="443">
        <f t="shared" si="189"/>
        <v>2009.7</v>
      </c>
      <c r="M597" s="461" t="e">
        <f t="shared" si="183"/>
        <v>#N/A</v>
      </c>
      <c r="N597" s="464">
        <v>154</v>
      </c>
      <c r="O597" s="465"/>
      <c r="P597" s="465"/>
      <c r="Q597" s="465"/>
      <c r="R597" s="465"/>
      <c r="S597" s="465"/>
      <c r="T597" s="465"/>
      <c r="U597" s="479"/>
      <c r="V597" s="422"/>
      <c r="W597" s="422"/>
      <c r="X597" s="422"/>
      <c r="Y597" s="422"/>
      <c r="Z597" s="422"/>
    </row>
    <row r="598" ht="12.75" customHeight="1" spans="1:26">
      <c r="A598" s="422" t="str">
        <f t="shared" si="184"/>
        <v> 12.7.2 </v>
      </c>
      <c r="B598" s="423" t="str">
        <f t="shared" si="185"/>
        <v> 12.7.2 </v>
      </c>
      <c r="C598" s="441" t="s">
        <v>1633</v>
      </c>
      <c r="D598" s="442" t="s">
        <v>1634</v>
      </c>
      <c r="E598" s="441" t="s">
        <v>149</v>
      </c>
      <c r="F598" s="441" t="s">
        <v>1635</v>
      </c>
      <c r="G598" s="442" t="s">
        <v>134</v>
      </c>
      <c r="H598" s="443">
        <f t="shared" si="186"/>
        <v>26</v>
      </c>
      <c r="I598" s="443">
        <f>VLOOKUP(D598,'Orçamento Analitico'!D:L,9,FALSE())</f>
        <v>202.56</v>
      </c>
      <c r="J598" s="443">
        <f t="shared" si="187"/>
        <v>254.19</v>
      </c>
      <c r="K598" s="443">
        <f t="shared" si="188"/>
        <v>5266.56</v>
      </c>
      <c r="L598" s="443">
        <f t="shared" si="189"/>
        <v>6608.94</v>
      </c>
      <c r="M598" s="461" t="e">
        <f t="shared" si="183"/>
        <v>#N/A</v>
      </c>
      <c r="N598" s="464">
        <v>26</v>
      </c>
      <c r="O598" s="465"/>
      <c r="P598" s="465"/>
      <c r="Q598" s="465"/>
      <c r="R598" s="465"/>
      <c r="S598" s="465"/>
      <c r="T598" s="465"/>
      <c r="U598" s="479"/>
      <c r="V598" s="422"/>
      <c r="W598" s="422"/>
      <c r="X598" s="422"/>
      <c r="Y598" s="422"/>
      <c r="Z598" s="422"/>
    </row>
    <row r="599" ht="12.75" customHeight="1" spans="1:26">
      <c r="A599" s="422" t="str">
        <f t="shared" si="184"/>
        <v> 12.7.2 </v>
      </c>
      <c r="B599" s="423" t="str">
        <f t="shared" si="185"/>
        <v> 12.7.2 </v>
      </c>
      <c r="C599" s="441" t="s">
        <v>1636</v>
      </c>
      <c r="D599" s="442" t="s">
        <v>1637</v>
      </c>
      <c r="E599" s="441" t="s">
        <v>132</v>
      </c>
      <c r="F599" s="441" t="s">
        <v>1638</v>
      </c>
      <c r="G599" s="442" t="s">
        <v>134</v>
      </c>
      <c r="H599" s="443">
        <f t="shared" si="186"/>
        <v>19</v>
      </c>
      <c r="I599" s="443">
        <f>VLOOKUP(D599,'Orçamento Analitico'!D:L,9,FALSE())</f>
        <v>392.45</v>
      </c>
      <c r="J599" s="443">
        <f t="shared" si="187"/>
        <v>492.48</v>
      </c>
      <c r="K599" s="443">
        <f t="shared" si="188"/>
        <v>7456.55</v>
      </c>
      <c r="L599" s="443">
        <f t="shared" si="189"/>
        <v>9357.12</v>
      </c>
      <c r="M599" s="461" t="e">
        <f t="shared" si="183"/>
        <v>#N/A</v>
      </c>
      <c r="N599" s="464">
        <v>19</v>
      </c>
      <c r="O599" s="465"/>
      <c r="P599" s="465"/>
      <c r="Q599" s="465"/>
      <c r="R599" s="465"/>
      <c r="S599" s="465"/>
      <c r="T599" s="465"/>
      <c r="U599" s="479"/>
      <c r="V599" s="422"/>
      <c r="W599" s="422"/>
      <c r="X599" s="422"/>
      <c r="Y599" s="422"/>
      <c r="Z599" s="422"/>
    </row>
    <row r="600" ht="12.75" customHeight="1" spans="1:26">
      <c r="A600" s="422" t="str">
        <f t="shared" si="184"/>
        <v> 12.7.2 </v>
      </c>
      <c r="B600" s="423" t="str">
        <f t="shared" si="185"/>
        <v> 12.7.2 </v>
      </c>
      <c r="C600" s="441" t="s">
        <v>1639</v>
      </c>
      <c r="D600" s="442" t="s">
        <v>1640</v>
      </c>
      <c r="E600" s="441" t="s">
        <v>132</v>
      </c>
      <c r="F600" s="441" t="s">
        <v>1641</v>
      </c>
      <c r="G600" s="442" t="s">
        <v>134</v>
      </c>
      <c r="H600" s="443">
        <f t="shared" si="186"/>
        <v>3</v>
      </c>
      <c r="I600" s="443">
        <f>VLOOKUP(D600,'Orçamento Analitico'!D:L,9,FALSE())</f>
        <v>554.32</v>
      </c>
      <c r="J600" s="443">
        <f t="shared" si="187"/>
        <v>695.61</v>
      </c>
      <c r="K600" s="443">
        <f t="shared" si="188"/>
        <v>1662.96</v>
      </c>
      <c r="L600" s="443">
        <f t="shared" si="189"/>
        <v>2086.83</v>
      </c>
      <c r="M600" s="461" t="e">
        <f t="shared" si="183"/>
        <v>#N/A</v>
      </c>
      <c r="N600" s="464">
        <v>3</v>
      </c>
      <c r="O600" s="465"/>
      <c r="P600" s="465"/>
      <c r="Q600" s="465"/>
      <c r="R600" s="465"/>
      <c r="S600" s="465"/>
      <c r="T600" s="465"/>
      <c r="U600" s="479"/>
      <c r="V600" s="422"/>
      <c r="W600" s="422"/>
      <c r="X600" s="422"/>
      <c r="Y600" s="422"/>
      <c r="Z600" s="422"/>
    </row>
    <row r="601" ht="12.75" customHeight="1" spans="1:26">
      <c r="A601" s="422" t="str">
        <f t="shared" si="184"/>
        <v> 12.7.2 </v>
      </c>
      <c r="B601" s="423" t="str">
        <f t="shared" si="185"/>
        <v> 12.7.2 </v>
      </c>
      <c r="C601" s="441" t="s">
        <v>1642</v>
      </c>
      <c r="D601" s="442" t="s">
        <v>1643</v>
      </c>
      <c r="E601" s="441" t="s">
        <v>132</v>
      </c>
      <c r="F601" s="441" t="s">
        <v>1644</v>
      </c>
      <c r="G601" s="442" t="s">
        <v>134</v>
      </c>
      <c r="H601" s="443">
        <f t="shared" si="186"/>
        <v>25</v>
      </c>
      <c r="I601" s="443">
        <f>VLOOKUP(D601,'Orçamento Analitico'!D:L,9,FALSE())</f>
        <v>269.98</v>
      </c>
      <c r="J601" s="443">
        <f t="shared" si="187"/>
        <v>338.79</v>
      </c>
      <c r="K601" s="443">
        <f t="shared" si="188"/>
        <v>6749.5</v>
      </c>
      <c r="L601" s="443">
        <f t="shared" si="189"/>
        <v>8469.75</v>
      </c>
      <c r="M601" s="461" t="e">
        <f t="shared" si="183"/>
        <v>#N/A</v>
      </c>
      <c r="N601" s="464">
        <f>ROUND(N599+(N600*2),2)</f>
        <v>25</v>
      </c>
      <c r="O601" s="465"/>
      <c r="P601" s="465"/>
      <c r="Q601" s="465"/>
      <c r="R601" s="465"/>
      <c r="S601" s="465"/>
      <c r="T601" s="465"/>
      <c r="U601" s="479"/>
      <c r="V601" s="422"/>
      <c r="W601" s="422"/>
      <c r="X601" s="422"/>
      <c r="Y601" s="422"/>
      <c r="Z601" s="422"/>
    </row>
    <row r="602" ht="12.75" customHeight="1" spans="1:26">
      <c r="A602" s="422" t="str">
        <f t="shared" si="184"/>
        <v> 12.7.2 </v>
      </c>
      <c r="B602" s="423" t="str">
        <f t="shared" si="185"/>
        <v> 12.7.2 </v>
      </c>
      <c r="C602" s="441" t="s">
        <v>1645</v>
      </c>
      <c r="D602" s="442" t="s">
        <v>227</v>
      </c>
      <c r="E602" s="441" t="s">
        <v>139</v>
      </c>
      <c r="F602" s="441" t="s">
        <v>228</v>
      </c>
      <c r="G602" s="442" t="s">
        <v>204</v>
      </c>
      <c r="H602" s="443">
        <f t="shared" si="186"/>
        <v>1100</v>
      </c>
      <c r="I602" s="443">
        <f>VLOOKUP(D602,'Orçamento Analitico'!D:L,9,FALSE())</f>
        <v>4.98</v>
      </c>
      <c r="J602" s="443">
        <f t="shared" si="187"/>
        <v>6.24</v>
      </c>
      <c r="K602" s="443">
        <f t="shared" si="188"/>
        <v>5478</v>
      </c>
      <c r="L602" s="443">
        <f t="shared" si="189"/>
        <v>6864</v>
      </c>
      <c r="M602" s="461" t="e">
        <f t="shared" si="183"/>
        <v>#N/A</v>
      </c>
      <c r="N602" s="464">
        <v>1100</v>
      </c>
      <c r="O602" s="465"/>
      <c r="P602" s="465"/>
      <c r="Q602" s="465"/>
      <c r="R602" s="465"/>
      <c r="S602" s="465"/>
      <c r="T602" s="465"/>
      <c r="U602" s="479"/>
      <c r="V602" s="422"/>
      <c r="W602" s="422"/>
      <c r="X602" s="422"/>
      <c r="Y602" s="422"/>
      <c r="Z602" s="422"/>
    </row>
    <row r="603" ht="12.75" customHeight="1" spans="1:26">
      <c r="A603" s="422"/>
      <c r="B603" s="423" t="str">
        <f>C603</f>
        <v> 12.8 </v>
      </c>
      <c r="C603" s="444" t="s">
        <v>1646</v>
      </c>
      <c r="D603" s="445" t="s">
        <v>74</v>
      </c>
      <c r="E603" s="444"/>
      <c r="F603" s="444" t="s">
        <v>1647</v>
      </c>
      <c r="G603" s="445"/>
      <c r="H603" s="446"/>
      <c r="I603" s="446"/>
      <c r="J603" s="466"/>
      <c r="K603" s="466">
        <f>SUMIF(A:A,B603,K:K)</f>
        <v>148789.87</v>
      </c>
      <c r="L603" s="466">
        <f>SUMIF(A:A,C603,L:L)</f>
        <v>186698.05</v>
      </c>
      <c r="M603" s="467" t="e">
        <f t="shared" si="183"/>
        <v>#N/A</v>
      </c>
      <c r="N603" s="464"/>
      <c r="O603" s="465"/>
      <c r="P603" s="465"/>
      <c r="Q603" s="465"/>
      <c r="R603" s="465"/>
      <c r="S603" s="465"/>
      <c r="T603" s="465"/>
      <c r="U603" s="479"/>
      <c r="V603" s="422"/>
      <c r="W603" s="422"/>
      <c r="X603" s="422"/>
      <c r="Y603" s="422"/>
      <c r="Z603" s="422"/>
    </row>
    <row r="604" ht="12.75" customHeight="1" spans="1:26">
      <c r="A604" s="422" t="str">
        <f t="shared" ref="A604:A618" si="190">B604</f>
        <v> 12.8 </v>
      </c>
      <c r="B604" s="423" t="str">
        <f t="shared" ref="B604:B618" si="191">B603</f>
        <v> 12.8 </v>
      </c>
      <c r="C604" s="441" t="s">
        <v>1648</v>
      </c>
      <c r="D604" s="442" t="s">
        <v>1649</v>
      </c>
      <c r="E604" s="441" t="s">
        <v>139</v>
      </c>
      <c r="F604" s="441" t="s">
        <v>1650</v>
      </c>
      <c r="G604" s="442" t="s">
        <v>279</v>
      </c>
      <c r="H604" s="443">
        <f t="shared" ref="H604:H618" si="192">O604</f>
        <v>91</v>
      </c>
      <c r="I604" s="443">
        <f>VLOOKUP(D604,'Orçamento Analitico'!D:L,9,FALSE())</f>
        <v>17.37</v>
      </c>
      <c r="J604" s="443">
        <f t="shared" ref="J604:J618" si="193">ROUNDDOWN(I604*(1+$G$6),2)</f>
        <v>21.79</v>
      </c>
      <c r="K604" s="443">
        <f t="shared" ref="K604:K618" si="194">ROUNDDOWN(H604*I604,2)</f>
        <v>1580.67</v>
      </c>
      <c r="L604" s="443">
        <f t="shared" ref="L604:L618" si="195">ROUNDDOWN(H604*J604,2)</f>
        <v>1982.89</v>
      </c>
      <c r="M604" s="461" t="e">
        <f t="shared" si="183"/>
        <v>#N/A</v>
      </c>
      <c r="N604" s="509" t="s">
        <v>6129</v>
      </c>
      <c r="O604" s="465">
        <v>91</v>
      </c>
      <c r="P604" s="520"/>
      <c r="Q604" s="494"/>
      <c r="R604" s="520"/>
      <c r="S604" s="465"/>
      <c r="T604" s="465"/>
      <c r="U604" s="479"/>
      <c r="V604" s="422"/>
      <c r="W604" s="422"/>
      <c r="X604" s="422"/>
      <c r="Y604" s="422"/>
      <c r="Z604" s="422"/>
    </row>
    <row r="605" ht="12.75" customHeight="1" spans="1:26">
      <c r="A605" s="422" t="str">
        <f t="shared" si="190"/>
        <v> 12.8 </v>
      </c>
      <c r="B605" s="423" t="str">
        <f t="shared" si="191"/>
        <v> 12.8 </v>
      </c>
      <c r="C605" s="441" t="s">
        <v>1651</v>
      </c>
      <c r="D605" s="442" t="s">
        <v>1652</v>
      </c>
      <c r="E605" s="441" t="s">
        <v>139</v>
      </c>
      <c r="F605" s="441" t="s">
        <v>1653</v>
      </c>
      <c r="G605" s="442" t="s">
        <v>279</v>
      </c>
      <c r="H605" s="443">
        <f t="shared" si="192"/>
        <v>91</v>
      </c>
      <c r="I605" s="443">
        <f>VLOOKUP(D605,'Orçamento Analitico'!D:L,9,FALSE())</f>
        <v>22.09</v>
      </c>
      <c r="J605" s="443">
        <f t="shared" si="193"/>
        <v>27.72</v>
      </c>
      <c r="K605" s="443">
        <f t="shared" si="194"/>
        <v>2010.19</v>
      </c>
      <c r="L605" s="443">
        <f t="shared" si="195"/>
        <v>2522.52</v>
      </c>
      <c r="M605" s="461" t="e">
        <f t="shared" si="183"/>
        <v>#N/A</v>
      </c>
      <c r="N605" s="509" t="s">
        <v>6129</v>
      </c>
      <c r="O605" s="465">
        <v>91</v>
      </c>
      <c r="P605" s="465"/>
      <c r="Q605" s="465"/>
      <c r="R605" s="465"/>
      <c r="S605" s="465"/>
      <c r="T605" s="465"/>
      <c r="U605" s="479"/>
      <c r="V605" s="422"/>
      <c r="W605" s="422"/>
      <c r="X605" s="422"/>
      <c r="Y605" s="422"/>
      <c r="Z605" s="422"/>
    </row>
    <row r="606" ht="33.75" customHeight="1" spans="1:26">
      <c r="A606" s="422" t="str">
        <f t="shared" si="190"/>
        <v> 12.8 </v>
      </c>
      <c r="B606" s="423" t="str">
        <f t="shared" si="191"/>
        <v> 12.8 </v>
      </c>
      <c r="C606" s="441" t="s">
        <v>1654</v>
      </c>
      <c r="D606" s="442" t="s">
        <v>1655</v>
      </c>
      <c r="E606" s="441" t="s">
        <v>139</v>
      </c>
      <c r="F606" s="441" t="s">
        <v>1656</v>
      </c>
      <c r="G606" s="442" t="s">
        <v>204</v>
      </c>
      <c r="H606" s="443">
        <f t="shared" si="192"/>
        <v>630</v>
      </c>
      <c r="I606" s="443">
        <f>VLOOKUP(D606,'Orçamento Analitico'!D:L,9,FALSE())</f>
        <v>78.29</v>
      </c>
      <c r="J606" s="443">
        <f t="shared" si="193"/>
        <v>98.24</v>
      </c>
      <c r="K606" s="443">
        <f t="shared" si="194"/>
        <v>49322.7</v>
      </c>
      <c r="L606" s="443">
        <f t="shared" si="195"/>
        <v>61891.2</v>
      </c>
      <c r="M606" s="461" t="e">
        <f t="shared" si="183"/>
        <v>#N/A</v>
      </c>
      <c r="N606" s="509" t="s">
        <v>6129</v>
      </c>
      <c r="O606" s="465">
        <v>630</v>
      </c>
      <c r="P606" s="465"/>
      <c r="Q606" s="465"/>
      <c r="R606" s="465"/>
      <c r="S606" s="465"/>
      <c r="T606" s="465"/>
      <c r="U606" s="479"/>
      <c r="V606" s="422"/>
      <c r="W606" s="422"/>
      <c r="X606" s="422"/>
      <c r="Y606" s="422"/>
      <c r="Z606" s="422"/>
    </row>
    <row r="607" ht="33.75" customHeight="1" spans="1:26">
      <c r="A607" s="422" t="str">
        <f t="shared" si="190"/>
        <v> 12.8 </v>
      </c>
      <c r="B607" s="423" t="str">
        <f t="shared" si="191"/>
        <v> 12.8 </v>
      </c>
      <c r="C607" s="441" t="s">
        <v>1657</v>
      </c>
      <c r="D607" s="442" t="s">
        <v>1516</v>
      </c>
      <c r="E607" s="441" t="s">
        <v>139</v>
      </c>
      <c r="F607" s="441" t="s">
        <v>1517</v>
      </c>
      <c r="G607" s="442" t="s">
        <v>204</v>
      </c>
      <c r="H607" s="443">
        <f t="shared" si="192"/>
        <v>390</v>
      </c>
      <c r="I607" s="443">
        <f>VLOOKUP(D607,'Orçamento Analitico'!D:L,9,FALSE())</f>
        <v>61.15</v>
      </c>
      <c r="J607" s="443">
        <f t="shared" si="193"/>
        <v>76.73</v>
      </c>
      <c r="K607" s="443">
        <f t="shared" si="194"/>
        <v>23848.5</v>
      </c>
      <c r="L607" s="443">
        <f t="shared" si="195"/>
        <v>29924.7</v>
      </c>
      <c r="M607" s="461" t="e">
        <f t="shared" si="183"/>
        <v>#N/A</v>
      </c>
      <c r="N607" s="509" t="s">
        <v>6129</v>
      </c>
      <c r="O607" s="465">
        <v>390</v>
      </c>
      <c r="P607" s="465"/>
      <c r="Q607" s="465"/>
      <c r="R607" s="465"/>
      <c r="S607" s="465"/>
      <c r="T607" s="465"/>
      <c r="U607" s="479"/>
      <c r="V607" s="422"/>
      <c r="W607" s="422"/>
      <c r="X607" s="422"/>
      <c r="Y607" s="422"/>
      <c r="Z607" s="422"/>
    </row>
    <row r="608" ht="12.75" customHeight="1" spans="1:26">
      <c r="A608" s="422" t="str">
        <f t="shared" si="190"/>
        <v> 12.8 </v>
      </c>
      <c r="B608" s="423" t="str">
        <f t="shared" si="191"/>
        <v> 12.8 </v>
      </c>
      <c r="C608" s="441" t="s">
        <v>1658</v>
      </c>
      <c r="D608" s="442" t="s">
        <v>1659</v>
      </c>
      <c r="E608" s="441" t="s">
        <v>77</v>
      </c>
      <c r="F608" s="441" t="s">
        <v>1660</v>
      </c>
      <c r="G608" s="442" t="s">
        <v>134</v>
      </c>
      <c r="H608" s="443">
        <f t="shared" si="192"/>
        <v>82</v>
      </c>
      <c r="I608" s="443">
        <f>VLOOKUP(D608,'Orçamento Analitico'!D:L,9,FALSE())</f>
        <v>40.17</v>
      </c>
      <c r="J608" s="443">
        <f t="shared" si="193"/>
        <v>50.4</v>
      </c>
      <c r="K608" s="443">
        <f t="shared" si="194"/>
        <v>3293.94</v>
      </c>
      <c r="L608" s="443">
        <f t="shared" si="195"/>
        <v>4132.8</v>
      </c>
      <c r="M608" s="461" t="e">
        <f t="shared" si="183"/>
        <v>#N/A</v>
      </c>
      <c r="N608" s="509" t="s">
        <v>6129</v>
      </c>
      <c r="O608" s="465">
        <v>82</v>
      </c>
      <c r="P608" s="465"/>
      <c r="Q608" s="465"/>
      <c r="R608" s="465"/>
      <c r="S608" s="465"/>
      <c r="T608" s="465"/>
      <c r="U608" s="479"/>
      <c r="V608" s="422"/>
      <c r="W608" s="422"/>
      <c r="X608" s="422"/>
      <c r="Y608" s="422"/>
      <c r="Z608" s="422"/>
    </row>
    <row r="609" ht="40.5" customHeight="1" spans="1:26">
      <c r="A609" s="422" t="str">
        <f t="shared" si="190"/>
        <v> 12.8 </v>
      </c>
      <c r="B609" s="423" t="str">
        <f t="shared" si="191"/>
        <v> 12.8 </v>
      </c>
      <c r="C609" s="441" t="s">
        <v>1661</v>
      </c>
      <c r="D609" s="442" t="s">
        <v>1662</v>
      </c>
      <c r="E609" s="441" t="s">
        <v>796</v>
      </c>
      <c r="F609" s="441" t="s">
        <v>1663</v>
      </c>
      <c r="G609" s="442" t="s">
        <v>334</v>
      </c>
      <c r="H609" s="443">
        <f t="shared" si="192"/>
        <v>46</v>
      </c>
      <c r="I609" s="443">
        <f>VLOOKUP(D609,'Orçamento Analitico'!D:L,9,FALSE())</f>
        <v>234.14</v>
      </c>
      <c r="J609" s="443">
        <f t="shared" si="193"/>
        <v>293.82</v>
      </c>
      <c r="K609" s="443">
        <f t="shared" si="194"/>
        <v>10770.44</v>
      </c>
      <c r="L609" s="443">
        <f t="shared" si="195"/>
        <v>13515.72</v>
      </c>
      <c r="M609" s="461" t="e">
        <f t="shared" si="183"/>
        <v>#N/A</v>
      </c>
      <c r="N609" s="509" t="s">
        <v>6129</v>
      </c>
      <c r="O609" s="465">
        <v>46</v>
      </c>
      <c r="P609" s="465"/>
      <c r="Q609" s="465"/>
      <c r="R609" s="465"/>
      <c r="S609" s="465"/>
      <c r="T609" s="465"/>
      <c r="U609" s="479"/>
      <c r="V609" s="422"/>
      <c r="W609" s="422"/>
      <c r="X609" s="422"/>
      <c r="Y609" s="422"/>
      <c r="Z609" s="422"/>
    </row>
    <row r="610" ht="35.25" customHeight="1" spans="1:26">
      <c r="A610" s="422" t="str">
        <f t="shared" si="190"/>
        <v> 12.8 </v>
      </c>
      <c r="B610" s="423" t="str">
        <f t="shared" si="191"/>
        <v> 12.8 </v>
      </c>
      <c r="C610" s="441" t="s">
        <v>1664</v>
      </c>
      <c r="D610" s="442" t="s">
        <v>1665</v>
      </c>
      <c r="E610" s="441" t="s">
        <v>132</v>
      </c>
      <c r="F610" s="441" t="s">
        <v>1666</v>
      </c>
      <c r="G610" s="442" t="s">
        <v>134</v>
      </c>
      <c r="H610" s="443">
        <f t="shared" si="192"/>
        <v>1</v>
      </c>
      <c r="I610" s="443">
        <f>VLOOKUP(D610,'Orçamento Analitico'!D:L,9,FALSE())</f>
        <v>2129.21</v>
      </c>
      <c r="J610" s="443">
        <f t="shared" si="193"/>
        <v>2671.94</v>
      </c>
      <c r="K610" s="443">
        <f t="shared" si="194"/>
        <v>2129.21</v>
      </c>
      <c r="L610" s="443">
        <f t="shared" si="195"/>
        <v>2671.94</v>
      </c>
      <c r="M610" s="461" t="e">
        <f t="shared" si="183"/>
        <v>#N/A</v>
      </c>
      <c r="N610" s="509" t="s">
        <v>6129</v>
      </c>
      <c r="O610" s="465">
        <v>1</v>
      </c>
      <c r="P610" s="465"/>
      <c r="Q610" s="465"/>
      <c r="R610" s="465"/>
      <c r="S610" s="465"/>
      <c r="T610" s="465"/>
      <c r="U610" s="479"/>
      <c r="V610" s="422"/>
      <c r="W610" s="422"/>
      <c r="X610" s="422"/>
      <c r="Y610" s="422"/>
      <c r="Z610" s="422"/>
    </row>
    <row r="611" ht="35.25" customHeight="1" spans="1:26">
      <c r="A611" s="422" t="str">
        <f t="shared" si="190"/>
        <v> 12.8 </v>
      </c>
      <c r="B611" s="423" t="str">
        <f t="shared" si="191"/>
        <v> 12.8 </v>
      </c>
      <c r="C611" s="441" t="s">
        <v>1667</v>
      </c>
      <c r="D611" s="442" t="s">
        <v>1668</v>
      </c>
      <c r="E611" s="441" t="s">
        <v>132</v>
      </c>
      <c r="F611" s="441" t="s">
        <v>1669</v>
      </c>
      <c r="G611" s="442" t="s">
        <v>134</v>
      </c>
      <c r="H611" s="443">
        <f t="shared" si="192"/>
        <v>92</v>
      </c>
      <c r="I611" s="443">
        <f>VLOOKUP(D611,'Orçamento Analitico'!D:L,9,FALSE())</f>
        <v>37.44</v>
      </c>
      <c r="J611" s="443">
        <f t="shared" si="193"/>
        <v>46.98</v>
      </c>
      <c r="K611" s="443">
        <f t="shared" si="194"/>
        <v>3444.48</v>
      </c>
      <c r="L611" s="443">
        <f t="shared" si="195"/>
        <v>4322.16</v>
      </c>
      <c r="M611" s="461" t="e">
        <f t="shared" si="183"/>
        <v>#N/A</v>
      </c>
      <c r="N611" s="509" t="s">
        <v>6129</v>
      </c>
      <c r="O611" s="465">
        <v>92</v>
      </c>
      <c r="P611" s="465"/>
      <c r="Q611" s="465"/>
      <c r="R611" s="465"/>
      <c r="S611" s="465"/>
      <c r="T611" s="465"/>
      <c r="U611" s="479"/>
      <c r="V611" s="422"/>
      <c r="W611" s="422"/>
      <c r="X611" s="422"/>
      <c r="Y611" s="422"/>
      <c r="Z611" s="422"/>
    </row>
    <row r="612" ht="35.25" customHeight="1" spans="1:26">
      <c r="A612" s="422" t="str">
        <f t="shared" si="190"/>
        <v> 12.8 </v>
      </c>
      <c r="B612" s="423" t="str">
        <f t="shared" si="191"/>
        <v> 12.8 </v>
      </c>
      <c r="C612" s="441" t="s">
        <v>1670</v>
      </c>
      <c r="D612" s="442" t="s">
        <v>1671</v>
      </c>
      <c r="E612" s="441" t="s">
        <v>149</v>
      </c>
      <c r="F612" s="441" t="s">
        <v>1672</v>
      </c>
      <c r="G612" s="442" t="s">
        <v>134</v>
      </c>
      <c r="H612" s="443">
        <f t="shared" si="192"/>
        <v>34</v>
      </c>
      <c r="I612" s="443">
        <f>VLOOKUP(D612,'Orçamento Analitico'!D:L,9,FALSE())</f>
        <v>52.55</v>
      </c>
      <c r="J612" s="443">
        <f t="shared" si="193"/>
        <v>65.94</v>
      </c>
      <c r="K612" s="443">
        <f t="shared" si="194"/>
        <v>1786.7</v>
      </c>
      <c r="L612" s="443">
        <f t="shared" si="195"/>
        <v>2241.96</v>
      </c>
      <c r="M612" s="461" t="e">
        <f t="shared" si="183"/>
        <v>#N/A</v>
      </c>
      <c r="N612" s="509" t="s">
        <v>6129</v>
      </c>
      <c r="O612" s="465">
        <v>34</v>
      </c>
      <c r="P612" s="465"/>
      <c r="Q612" s="465"/>
      <c r="R612" s="465"/>
      <c r="S612" s="465"/>
      <c r="T612" s="465"/>
      <c r="U612" s="479"/>
      <c r="V612" s="422"/>
      <c r="W612" s="422"/>
      <c r="X612" s="422"/>
      <c r="Y612" s="422"/>
      <c r="Z612" s="422"/>
    </row>
    <row r="613" ht="35.25" customHeight="1" spans="1:26">
      <c r="A613" s="422" t="str">
        <f t="shared" si="190"/>
        <v> 12.8 </v>
      </c>
      <c r="B613" s="423" t="str">
        <f t="shared" si="191"/>
        <v> 12.8 </v>
      </c>
      <c r="C613" s="441" t="s">
        <v>1673</v>
      </c>
      <c r="D613" s="442" t="s">
        <v>1674</v>
      </c>
      <c r="E613" s="441" t="s">
        <v>139</v>
      </c>
      <c r="F613" s="441" t="s">
        <v>1675</v>
      </c>
      <c r="G613" s="442" t="s">
        <v>134</v>
      </c>
      <c r="H613" s="443">
        <f t="shared" si="192"/>
        <v>34</v>
      </c>
      <c r="I613" s="443">
        <f>VLOOKUP(D613,'Orçamento Analitico'!D:L,9,FALSE())</f>
        <v>70.3</v>
      </c>
      <c r="J613" s="443">
        <f t="shared" si="193"/>
        <v>88.21</v>
      </c>
      <c r="K613" s="443">
        <f t="shared" si="194"/>
        <v>2390.2</v>
      </c>
      <c r="L613" s="443">
        <f t="shared" si="195"/>
        <v>2999.14</v>
      </c>
      <c r="M613" s="461" t="e">
        <f t="shared" si="183"/>
        <v>#N/A</v>
      </c>
      <c r="N613" s="509" t="s">
        <v>6129</v>
      </c>
      <c r="O613" s="465">
        <v>34</v>
      </c>
      <c r="P613" s="465"/>
      <c r="Q613" s="465"/>
      <c r="R613" s="465"/>
      <c r="S613" s="465"/>
      <c r="T613" s="465"/>
      <c r="U613" s="479"/>
      <c r="V613" s="422"/>
      <c r="W613" s="422"/>
      <c r="X613" s="422"/>
      <c r="Y613" s="422"/>
      <c r="Z613" s="422"/>
    </row>
    <row r="614" ht="35.25" customHeight="1" spans="1:26">
      <c r="A614" s="422" t="str">
        <f t="shared" si="190"/>
        <v> 12.8 </v>
      </c>
      <c r="B614" s="423" t="str">
        <f t="shared" si="191"/>
        <v> 12.8 </v>
      </c>
      <c r="C614" s="441" t="s">
        <v>1676</v>
      </c>
      <c r="D614" s="442" t="s">
        <v>1677</v>
      </c>
      <c r="E614" s="441" t="s">
        <v>149</v>
      </c>
      <c r="F614" s="441" t="s">
        <v>1678</v>
      </c>
      <c r="G614" s="442" t="s">
        <v>134</v>
      </c>
      <c r="H614" s="443">
        <f t="shared" si="192"/>
        <v>34</v>
      </c>
      <c r="I614" s="443">
        <f>VLOOKUP(D614,'Orçamento Analitico'!D:L,9,FALSE())</f>
        <v>78.52</v>
      </c>
      <c r="J614" s="443">
        <f t="shared" si="193"/>
        <v>98.53</v>
      </c>
      <c r="K614" s="443">
        <f t="shared" si="194"/>
        <v>2669.68</v>
      </c>
      <c r="L614" s="443">
        <f t="shared" si="195"/>
        <v>3350.02</v>
      </c>
      <c r="M614" s="461" t="e">
        <f t="shared" si="183"/>
        <v>#N/A</v>
      </c>
      <c r="N614" s="509" t="s">
        <v>6129</v>
      </c>
      <c r="O614" s="465">
        <v>34</v>
      </c>
      <c r="P614" s="465"/>
      <c r="Q614" s="465"/>
      <c r="R614" s="465"/>
      <c r="S614" s="465"/>
      <c r="T614" s="465"/>
      <c r="U614" s="479"/>
      <c r="V614" s="422"/>
      <c r="W614" s="422"/>
      <c r="X614" s="422"/>
      <c r="Y614" s="422"/>
      <c r="Z614" s="422"/>
    </row>
    <row r="615" ht="39.75" customHeight="1" spans="1:26">
      <c r="A615" s="422" t="str">
        <f t="shared" si="190"/>
        <v> 12.8 </v>
      </c>
      <c r="B615" s="423" t="str">
        <f t="shared" si="191"/>
        <v> 12.8 </v>
      </c>
      <c r="C615" s="441" t="s">
        <v>1679</v>
      </c>
      <c r="D615" s="442" t="s">
        <v>1525</v>
      </c>
      <c r="E615" s="441" t="s">
        <v>77</v>
      </c>
      <c r="F615" s="441" t="s">
        <v>1526</v>
      </c>
      <c r="G615" s="442" t="s">
        <v>134</v>
      </c>
      <c r="H615" s="443">
        <f t="shared" si="192"/>
        <v>94</v>
      </c>
      <c r="I615" s="443">
        <f>VLOOKUP(D615,'Orçamento Analitico'!D:L,9,FALSE())</f>
        <v>17.33</v>
      </c>
      <c r="J615" s="443">
        <f t="shared" si="193"/>
        <v>21.74</v>
      </c>
      <c r="K615" s="443">
        <f t="shared" si="194"/>
        <v>1629.02</v>
      </c>
      <c r="L615" s="443">
        <f t="shared" si="195"/>
        <v>2043.56</v>
      </c>
      <c r="M615" s="461" t="e">
        <f t="shared" si="183"/>
        <v>#N/A</v>
      </c>
      <c r="N615" s="509" t="s">
        <v>6129</v>
      </c>
      <c r="O615" s="465">
        <v>94</v>
      </c>
      <c r="P615" s="465"/>
      <c r="Q615" s="465"/>
      <c r="R615" s="465"/>
      <c r="S615" s="465"/>
      <c r="T615" s="465"/>
      <c r="U615" s="479"/>
      <c r="V615" s="422"/>
      <c r="W615" s="422"/>
      <c r="X615" s="422"/>
      <c r="Y615" s="422"/>
      <c r="Z615" s="422"/>
    </row>
    <row r="616" ht="26.25" customHeight="1" spans="1:26">
      <c r="A616" s="422" t="str">
        <f t="shared" si="190"/>
        <v> 12.8 </v>
      </c>
      <c r="B616" s="423" t="str">
        <f t="shared" si="191"/>
        <v> 12.8 </v>
      </c>
      <c r="C616" s="441" t="s">
        <v>1680</v>
      </c>
      <c r="D616" s="442" t="s">
        <v>1681</v>
      </c>
      <c r="E616" s="441" t="s">
        <v>149</v>
      </c>
      <c r="F616" s="441" t="s">
        <v>1682</v>
      </c>
      <c r="G616" s="442" t="s">
        <v>134</v>
      </c>
      <c r="H616" s="443">
        <f t="shared" si="192"/>
        <v>34</v>
      </c>
      <c r="I616" s="443">
        <f>VLOOKUP(D616,'Orçamento Analitico'!D:L,9,FALSE())</f>
        <v>10.49</v>
      </c>
      <c r="J616" s="443">
        <f t="shared" si="193"/>
        <v>13.16</v>
      </c>
      <c r="K616" s="443">
        <f t="shared" si="194"/>
        <v>356.66</v>
      </c>
      <c r="L616" s="443">
        <f t="shared" si="195"/>
        <v>447.44</v>
      </c>
      <c r="M616" s="461" t="e">
        <f t="shared" si="183"/>
        <v>#N/A</v>
      </c>
      <c r="N616" s="509" t="s">
        <v>6129</v>
      </c>
      <c r="O616" s="465">
        <v>34</v>
      </c>
      <c r="P616" s="465"/>
      <c r="Q616" s="465"/>
      <c r="R616" s="465"/>
      <c r="S616" s="465"/>
      <c r="T616" s="465"/>
      <c r="U616" s="479"/>
      <c r="V616" s="422"/>
      <c r="W616" s="422"/>
      <c r="X616" s="422"/>
      <c r="Y616" s="422"/>
      <c r="Z616" s="422"/>
    </row>
    <row r="617" ht="12.75" customHeight="1" spans="1:26">
      <c r="A617" s="422" t="str">
        <f t="shared" si="190"/>
        <v> 12.8 </v>
      </c>
      <c r="B617" s="423" t="str">
        <f t="shared" si="191"/>
        <v> 12.8 </v>
      </c>
      <c r="C617" s="441" t="s">
        <v>1683</v>
      </c>
      <c r="D617" s="442" t="s">
        <v>1684</v>
      </c>
      <c r="E617" s="441" t="s">
        <v>132</v>
      </c>
      <c r="F617" s="441" t="s">
        <v>1685</v>
      </c>
      <c r="G617" s="442" t="s">
        <v>204</v>
      </c>
      <c r="H617" s="443">
        <f t="shared" si="192"/>
        <v>830</v>
      </c>
      <c r="I617" s="443">
        <f>VLOOKUP(D617,'Orçamento Analitico'!D:L,9,FALSE())</f>
        <v>47.35</v>
      </c>
      <c r="J617" s="443">
        <f t="shared" si="193"/>
        <v>59.41</v>
      </c>
      <c r="K617" s="443">
        <f t="shared" si="194"/>
        <v>39300.5</v>
      </c>
      <c r="L617" s="443">
        <f t="shared" si="195"/>
        <v>49310.3</v>
      </c>
      <c r="M617" s="461" t="e">
        <f t="shared" si="183"/>
        <v>#N/A</v>
      </c>
      <c r="N617" s="509" t="s">
        <v>6129</v>
      </c>
      <c r="O617" s="465">
        <v>830</v>
      </c>
      <c r="P617" s="465"/>
      <c r="Q617" s="465"/>
      <c r="R617" s="465"/>
      <c r="S617" s="465"/>
      <c r="T617" s="465"/>
      <c r="U617" s="479"/>
      <c r="V617" s="422"/>
      <c r="W617" s="422"/>
      <c r="X617" s="422"/>
      <c r="Y617" s="422"/>
      <c r="Z617" s="422"/>
    </row>
    <row r="618" ht="35.25" customHeight="1" spans="1:26">
      <c r="A618" s="422" t="str">
        <f t="shared" si="190"/>
        <v> 12.8 </v>
      </c>
      <c r="B618" s="423" t="str">
        <f t="shared" si="191"/>
        <v> 12.8 </v>
      </c>
      <c r="C618" s="441" t="s">
        <v>1686</v>
      </c>
      <c r="D618" s="442" t="s">
        <v>1687</v>
      </c>
      <c r="E618" s="441" t="s">
        <v>139</v>
      </c>
      <c r="F618" s="441" t="s">
        <v>1688</v>
      </c>
      <c r="G618" s="442" t="s">
        <v>134</v>
      </c>
      <c r="H618" s="443">
        <f t="shared" si="192"/>
        <v>182</v>
      </c>
      <c r="I618" s="443">
        <f>VLOOKUP(D618,'Orçamento Analitico'!D:L,9,FALSE())</f>
        <v>23.39</v>
      </c>
      <c r="J618" s="443">
        <f t="shared" si="193"/>
        <v>29.35</v>
      </c>
      <c r="K618" s="443">
        <f t="shared" si="194"/>
        <v>4256.98</v>
      </c>
      <c r="L618" s="443">
        <f t="shared" si="195"/>
        <v>5341.7</v>
      </c>
      <c r="M618" s="461" t="e">
        <f t="shared" si="183"/>
        <v>#N/A</v>
      </c>
      <c r="N618" s="509" t="s">
        <v>6129</v>
      </c>
      <c r="O618" s="465">
        <v>182</v>
      </c>
      <c r="P618" s="465"/>
      <c r="Q618" s="465"/>
      <c r="R618" s="465"/>
      <c r="S618" s="465"/>
      <c r="T618" s="465"/>
      <c r="U618" s="479"/>
      <c r="V618" s="422"/>
      <c r="W618" s="422"/>
      <c r="X618" s="422"/>
      <c r="Y618" s="422"/>
      <c r="Z618" s="422"/>
    </row>
    <row r="619" ht="12.75" customHeight="1" spans="1:26">
      <c r="A619" s="422"/>
      <c r="B619" s="423" t="str">
        <f>C619</f>
        <v> 12.9 </v>
      </c>
      <c r="C619" s="444" t="s">
        <v>1689</v>
      </c>
      <c r="D619" s="445" t="s">
        <v>74</v>
      </c>
      <c r="E619" s="444"/>
      <c r="F619" s="444" t="s">
        <v>55</v>
      </c>
      <c r="G619" s="445"/>
      <c r="H619" s="446"/>
      <c r="I619" s="446"/>
      <c r="J619" s="466"/>
      <c r="K619" s="466">
        <f>SUMIF(A:A,B619,K:K)</f>
        <v>74724.72</v>
      </c>
      <c r="L619" s="466">
        <f>SUMIF(A:A,C619,L:L)</f>
        <v>86987.23</v>
      </c>
      <c r="M619" s="467" t="e">
        <f t="shared" si="183"/>
        <v>#N/A</v>
      </c>
      <c r="N619" s="509"/>
      <c r="O619" s="465"/>
      <c r="P619" s="465"/>
      <c r="Q619" s="465"/>
      <c r="R619" s="465"/>
      <c r="S619" s="465"/>
      <c r="T619" s="465"/>
      <c r="U619" s="479"/>
      <c r="V619" s="422"/>
      <c r="W619" s="422"/>
      <c r="X619" s="422"/>
      <c r="Y619" s="422"/>
      <c r="Z619" s="422"/>
    </row>
    <row r="620" ht="27" customHeight="1" spans="1:26">
      <c r="A620" s="422" t="str">
        <f>B620</f>
        <v> 12.9 </v>
      </c>
      <c r="B620" s="423" t="str">
        <f>B619</f>
        <v> 12.9 </v>
      </c>
      <c r="C620" s="441" t="s">
        <v>1690</v>
      </c>
      <c r="D620" s="442" t="s">
        <v>1691</v>
      </c>
      <c r="E620" s="441" t="s">
        <v>132</v>
      </c>
      <c r="F620" s="441" t="s">
        <v>1692</v>
      </c>
      <c r="G620" s="442" t="s">
        <v>134</v>
      </c>
      <c r="H620" s="443">
        <f>N620</f>
        <v>1</v>
      </c>
      <c r="I620" s="443">
        <f>VLOOKUP(D620,'Orçamento Analitico'!D:L,9,FALSE())</f>
        <v>72410</v>
      </c>
      <c r="J620" s="525">
        <f>ROUNDDOWN(I620*(1+$H$6),2)</f>
        <v>84082.49</v>
      </c>
      <c r="K620" s="525">
        <f>ROUNDDOWN(H620*I620,2)</f>
        <v>72410</v>
      </c>
      <c r="L620" s="443">
        <f>ROUNDDOWN(H620*J620,2)</f>
        <v>84082.49</v>
      </c>
      <c r="M620" s="461" t="e">
        <f t="shared" si="183"/>
        <v>#N/A</v>
      </c>
      <c r="N620" s="509">
        <v>1</v>
      </c>
      <c r="O620" s="465"/>
      <c r="P620" s="465"/>
      <c r="Q620" s="465"/>
      <c r="R620" s="465"/>
      <c r="S620" s="465"/>
      <c r="T620" s="465"/>
      <c r="U620" s="479"/>
      <c r="V620" s="422"/>
      <c r="W620" s="422"/>
      <c r="X620" s="422"/>
      <c r="Y620" s="422"/>
      <c r="Z620" s="422"/>
    </row>
    <row r="621" ht="27" customHeight="1" spans="1:26">
      <c r="A621" s="422" t="str">
        <f>B621</f>
        <v> 12.9 </v>
      </c>
      <c r="B621" s="423" t="str">
        <f>B620</f>
        <v> 12.9 </v>
      </c>
      <c r="C621" s="441" t="s">
        <v>1694</v>
      </c>
      <c r="D621" s="442" t="s">
        <v>1695</v>
      </c>
      <c r="E621" s="441" t="s">
        <v>132</v>
      </c>
      <c r="F621" s="441" t="s">
        <v>1696</v>
      </c>
      <c r="G621" s="442" t="s">
        <v>134</v>
      </c>
      <c r="H621" s="443">
        <f>H620</f>
        <v>1</v>
      </c>
      <c r="I621" s="443">
        <f>VLOOKUP(D621,'Orçamento Analitico'!D:L,9,FALSE())</f>
        <v>2314.72</v>
      </c>
      <c r="J621" s="443">
        <f>ROUNDDOWN(I621*(1+$G$6),2)</f>
        <v>2904.74</v>
      </c>
      <c r="K621" s="443">
        <f>ROUNDDOWN(H621*I621,2)</f>
        <v>2314.72</v>
      </c>
      <c r="L621" s="443">
        <f>ROUNDDOWN(H621*J621,2)</f>
        <v>2904.74</v>
      </c>
      <c r="M621" s="461" t="e">
        <f t="shared" si="183"/>
        <v>#N/A</v>
      </c>
      <c r="N621" s="527"/>
      <c r="O621" s="501"/>
      <c r="P621" s="501"/>
      <c r="Q621" s="501"/>
      <c r="R621" s="501"/>
      <c r="S621" s="501"/>
      <c r="T621" s="501"/>
      <c r="U621" s="505"/>
      <c r="V621" s="422"/>
      <c r="W621" s="422"/>
      <c r="X621" s="422"/>
      <c r="Y621" s="422"/>
      <c r="Z621" s="422"/>
    </row>
    <row r="622" ht="12.75" customHeight="1" spans="1:26">
      <c r="A622" s="422"/>
      <c r="B622" s="423" t="str">
        <f>C622</f>
        <v> 13 </v>
      </c>
      <c r="C622" s="438" t="s">
        <v>42</v>
      </c>
      <c r="D622" s="439" t="s">
        <v>74</v>
      </c>
      <c r="E622" s="438"/>
      <c r="F622" s="438" t="s">
        <v>43</v>
      </c>
      <c r="G622" s="439"/>
      <c r="H622" s="440"/>
      <c r="I622" s="440"/>
      <c r="J622" s="440"/>
      <c r="K622" s="440">
        <f>SUMIF(A:A,B622,K:K)</f>
        <v>654405.37</v>
      </c>
      <c r="L622" s="440">
        <f>SUMIF(A:A,C622,L:L)</f>
        <v>821060.72</v>
      </c>
      <c r="M622" s="458" t="e">
        <f t="shared" si="183"/>
        <v>#N/A</v>
      </c>
      <c r="N622" s="459" t="s">
        <v>6121</v>
      </c>
      <c r="O622" s="460" t="s">
        <v>6122</v>
      </c>
      <c r="P622" s="460" t="s">
        <v>6123</v>
      </c>
      <c r="Q622" s="460" t="s">
        <v>6124</v>
      </c>
      <c r="R622" s="460" t="s">
        <v>6125</v>
      </c>
      <c r="S622" s="460" t="s">
        <v>6126</v>
      </c>
      <c r="T622" s="460" t="s">
        <v>6174</v>
      </c>
      <c r="U622" s="477"/>
      <c r="V622" s="422"/>
      <c r="W622" s="422"/>
      <c r="X622" s="422"/>
      <c r="Y622" s="422"/>
      <c r="Z622" s="422"/>
    </row>
    <row r="623" ht="12.75" customHeight="1" spans="1:26">
      <c r="A623" s="422" t="str">
        <f t="shared" ref="A623:A662" si="196">B623</f>
        <v> 13 </v>
      </c>
      <c r="B623" s="423" t="str">
        <f t="shared" ref="B623:B662" si="197">B622</f>
        <v> 13 </v>
      </c>
      <c r="C623" s="441" t="s">
        <v>1697</v>
      </c>
      <c r="D623" s="442" t="s">
        <v>1213</v>
      </c>
      <c r="E623" s="441" t="s">
        <v>77</v>
      </c>
      <c r="F623" s="441" t="s">
        <v>1214</v>
      </c>
      <c r="G623" s="442" t="s">
        <v>204</v>
      </c>
      <c r="H623" s="443">
        <f t="shared" ref="H623:H655" si="198">SUM(N623:T623)</f>
        <v>22</v>
      </c>
      <c r="I623" s="443">
        <f>VLOOKUP(D623,'Orçamento Analitico'!D:L,9,FALSE())</f>
        <v>77.62</v>
      </c>
      <c r="J623" s="443">
        <f t="shared" ref="J623:J662" si="199">ROUNDDOWN(I623*(1+$G$6),2)</f>
        <v>97.4</v>
      </c>
      <c r="K623" s="443">
        <f t="shared" ref="K623:K662" si="200">ROUNDDOWN(H623*I623,2)</f>
        <v>1707.64</v>
      </c>
      <c r="L623" s="443">
        <f t="shared" ref="L623:L662" si="201">ROUNDDOWN(H623*J623,2)</f>
        <v>2142.8</v>
      </c>
      <c r="M623" s="461" t="e">
        <f t="shared" si="183"/>
        <v>#N/A</v>
      </c>
      <c r="N623" s="464"/>
      <c r="O623" s="465"/>
      <c r="P623" s="465"/>
      <c r="Q623" s="465">
        <v>22</v>
      </c>
      <c r="R623" s="465"/>
      <c r="S623" s="465"/>
      <c r="T623" s="465"/>
      <c r="U623" s="479"/>
      <c r="V623" s="422"/>
      <c r="W623" s="422"/>
      <c r="X623" s="422"/>
      <c r="Y623" s="422"/>
      <c r="Z623" s="422"/>
    </row>
    <row r="624" ht="12.75" customHeight="1" spans="1:26">
      <c r="A624" s="422" t="str">
        <f t="shared" si="196"/>
        <v> 13 </v>
      </c>
      <c r="B624" s="423" t="str">
        <f t="shared" si="197"/>
        <v> 13 </v>
      </c>
      <c r="C624" s="441" t="s">
        <v>1698</v>
      </c>
      <c r="D624" s="442" t="s">
        <v>1699</v>
      </c>
      <c r="E624" s="441" t="s">
        <v>77</v>
      </c>
      <c r="F624" s="441" t="s">
        <v>1700</v>
      </c>
      <c r="G624" s="442" t="s">
        <v>204</v>
      </c>
      <c r="H624" s="443">
        <f t="shared" si="198"/>
        <v>104</v>
      </c>
      <c r="I624" s="443">
        <f>VLOOKUP(D624,'Orçamento Analitico'!D:L,9,FALSE())</f>
        <v>91.33</v>
      </c>
      <c r="J624" s="443">
        <f t="shared" si="199"/>
        <v>114.61</v>
      </c>
      <c r="K624" s="443">
        <f t="shared" si="200"/>
        <v>9498.32</v>
      </c>
      <c r="L624" s="443">
        <f t="shared" si="201"/>
        <v>11919.44</v>
      </c>
      <c r="M624" s="461" t="e">
        <f t="shared" si="183"/>
        <v>#N/A</v>
      </c>
      <c r="N624" s="464">
        <v>104</v>
      </c>
      <c r="O624" s="465"/>
      <c r="P624" s="465"/>
      <c r="Q624" s="465"/>
      <c r="R624" s="465"/>
      <c r="S624" s="465"/>
      <c r="T624" s="465"/>
      <c r="U624" s="479"/>
      <c r="V624" s="422"/>
      <c r="W624" s="422"/>
      <c r="X624" s="422"/>
      <c r="Y624" s="422"/>
      <c r="Z624" s="422"/>
    </row>
    <row r="625" ht="12.75" customHeight="1" spans="1:26">
      <c r="A625" s="422" t="str">
        <f t="shared" si="196"/>
        <v> 13 </v>
      </c>
      <c r="B625" s="423" t="str">
        <f t="shared" si="197"/>
        <v> 13 </v>
      </c>
      <c r="C625" s="441" t="s">
        <v>1701</v>
      </c>
      <c r="D625" s="442" t="s">
        <v>1702</v>
      </c>
      <c r="E625" s="441" t="s">
        <v>77</v>
      </c>
      <c r="F625" s="441" t="s">
        <v>1703</v>
      </c>
      <c r="G625" s="442" t="s">
        <v>204</v>
      </c>
      <c r="H625" s="443">
        <f t="shared" si="198"/>
        <v>120</v>
      </c>
      <c r="I625" s="443">
        <f>VLOOKUP(D625,'Orçamento Analitico'!D:L,9,FALSE())</f>
        <v>107.85</v>
      </c>
      <c r="J625" s="443">
        <f t="shared" si="199"/>
        <v>135.34</v>
      </c>
      <c r="K625" s="443">
        <f t="shared" si="200"/>
        <v>12942</v>
      </c>
      <c r="L625" s="443">
        <f t="shared" si="201"/>
        <v>16240.8</v>
      </c>
      <c r="M625" s="461" t="e">
        <f t="shared" si="183"/>
        <v>#N/A</v>
      </c>
      <c r="N625" s="464">
        <v>120</v>
      </c>
      <c r="O625" s="465"/>
      <c r="P625" s="465"/>
      <c r="Q625" s="465"/>
      <c r="R625" s="465"/>
      <c r="S625" s="465"/>
      <c r="T625" s="465"/>
      <c r="U625" s="479"/>
      <c r="V625" s="422"/>
      <c r="W625" s="422"/>
      <c r="X625" s="422"/>
      <c r="Y625" s="422"/>
      <c r="Z625" s="422"/>
    </row>
    <row r="626" ht="12.75" customHeight="1" spans="1:26">
      <c r="A626" s="422" t="str">
        <f t="shared" si="196"/>
        <v> 13 </v>
      </c>
      <c r="B626" s="423" t="str">
        <f t="shared" si="197"/>
        <v> 13 </v>
      </c>
      <c r="C626" s="441" t="s">
        <v>1704</v>
      </c>
      <c r="D626" s="442" t="s">
        <v>993</v>
      </c>
      <c r="E626" s="441" t="s">
        <v>132</v>
      </c>
      <c r="F626" s="441" t="s">
        <v>994</v>
      </c>
      <c r="G626" s="442" t="s">
        <v>204</v>
      </c>
      <c r="H626" s="443">
        <f t="shared" si="198"/>
        <v>200</v>
      </c>
      <c r="I626" s="443">
        <f>VLOOKUP(D626,'Orçamento Analitico'!D:L,9,FALSE())</f>
        <v>26.96</v>
      </c>
      <c r="J626" s="443">
        <f t="shared" si="199"/>
        <v>33.83</v>
      </c>
      <c r="K626" s="443">
        <f t="shared" si="200"/>
        <v>5392</v>
      </c>
      <c r="L626" s="443">
        <f t="shared" si="201"/>
        <v>6766</v>
      </c>
      <c r="M626" s="461" t="e">
        <f t="shared" si="183"/>
        <v>#N/A</v>
      </c>
      <c r="N626" s="464"/>
      <c r="O626" s="465"/>
      <c r="P626" s="465"/>
      <c r="Q626" s="465">
        <v>104</v>
      </c>
      <c r="R626" s="465">
        <v>96</v>
      </c>
      <c r="S626" s="465"/>
      <c r="T626" s="465"/>
      <c r="U626" s="479"/>
      <c r="V626" s="422"/>
      <c r="W626" s="422"/>
      <c r="X626" s="422"/>
      <c r="Y626" s="422"/>
      <c r="Z626" s="422"/>
    </row>
    <row r="627" ht="12.75" customHeight="1" spans="1:26">
      <c r="A627" s="422" t="str">
        <f t="shared" si="196"/>
        <v> 13 </v>
      </c>
      <c r="B627" s="423" t="str">
        <f t="shared" si="197"/>
        <v> 13 </v>
      </c>
      <c r="C627" s="441" t="s">
        <v>1705</v>
      </c>
      <c r="D627" s="442" t="s">
        <v>1002</v>
      </c>
      <c r="E627" s="441" t="s">
        <v>132</v>
      </c>
      <c r="F627" s="441" t="s">
        <v>1003</v>
      </c>
      <c r="G627" s="442" t="s">
        <v>204</v>
      </c>
      <c r="H627" s="443">
        <f t="shared" si="198"/>
        <v>200</v>
      </c>
      <c r="I627" s="443">
        <f>VLOOKUP(D627,'Orçamento Analitico'!D:L,9,FALSE())</f>
        <v>82.94</v>
      </c>
      <c r="J627" s="443">
        <f t="shared" si="199"/>
        <v>104.08</v>
      </c>
      <c r="K627" s="443">
        <f t="shared" si="200"/>
        <v>16588</v>
      </c>
      <c r="L627" s="443">
        <f t="shared" si="201"/>
        <v>20816</v>
      </c>
      <c r="M627" s="461" t="e">
        <f t="shared" si="183"/>
        <v>#N/A</v>
      </c>
      <c r="N627" s="464">
        <f>N626</f>
        <v>0</v>
      </c>
      <c r="O627" s="465">
        <f>O626</f>
        <v>0</v>
      </c>
      <c r="P627" s="465">
        <f>P626</f>
        <v>0</v>
      </c>
      <c r="Q627" s="465">
        <f>Q626</f>
        <v>104</v>
      </c>
      <c r="R627" s="465">
        <f>R626</f>
        <v>96</v>
      </c>
      <c r="S627" s="465"/>
      <c r="T627" s="465"/>
      <c r="U627" s="479"/>
      <c r="V627" s="422"/>
      <c r="W627" s="422"/>
      <c r="X627" s="422"/>
      <c r="Y627" s="422"/>
      <c r="Z627" s="422"/>
    </row>
    <row r="628" ht="31.5" customHeight="1" spans="1:26">
      <c r="A628" s="422" t="str">
        <f t="shared" si="196"/>
        <v> 13 </v>
      </c>
      <c r="B628" s="423" t="str">
        <f t="shared" si="197"/>
        <v> 13 </v>
      </c>
      <c r="C628" s="441" t="s">
        <v>1706</v>
      </c>
      <c r="D628" s="442" t="s">
        <v>1707</v>
      </c>
      <c r="E628" s="441" t="s">
        <v>77</v>
      </c>
      <c r="F628" s="441" t="s">
        <v>1708</v>
      </c>
      <c r="G628" s="442" t="s">
        <v>134</v>
      </c>
      <c r="H628" s="443">
        <f t="shared" si="198"/>
        <v>2</v>
      </c>
      <c r="I628" s="443">
        <f>VLOOKUP(D628,'Orçamento Analitico'!D:L,9,FALSE())</f>
        <v>63.29</v>
      </c>
      <c r="J628" s="443">
        <f t="shared" si="199"/>
        <v>79.42</v>
      </c>
      <c r="K628" s="443">
        <f t="shared" si="200"/>
        <v>126.58</v>
      </c>
      <c r="L628" s="443">
        <f t="shared" si="201"/>
        <v>158.84</v>
      </c>
      <c r="M628" s="461" t="e">
        <f t="shared" si="183"/>
        <v>#N/A</v>
      </c>
      <c r="N628" s="464">
        <v>2</v>
      </c>
      <c r="O628" s="465"/>
      <c r="P628" s="465"/>
      <c r="Q628" s="465"/>
      <c r="R628" s="465"/>
      <c r="S628" s="465"/>
      <c r="T628" s="465"/>
      <c r="U628" s="479"/>
      <c r="V628" s="422"/>
      <c r="W628" s="422"/>
      <c r="X628" s="422"/>
      <c r="Y628" s="422"/>
      <c r="Z628" s="422"/>
    </row>
    <row r="629" ht="31.5" customHeight="1" spans="1:26">
      <c r="A629" s="422" t="str">
        <f t="shared" si="196"/>
        <v> 13 </v>
      </c>
      <c r="B629" s="423" t="str">
        <f t="shared" si="197"/>
        <v> 13 </v>
      </c>
      <c r="C629" s="441" t="s">
        <v>1709</v>
      </c>
      <c r="D629" s="442" t="s">
        <v>1710</v>
      </c>
      <c r="E629" s="441" t="s">
        <v>77</v>
      </c>
      <c r="F629" s="441" t="s">
        <v>1711</v>
      </c>
      <c r="G629" s="442" t="s">
        <v>134</v>
      </c>
      <c r="H629" s="443">
        <f t="shared" si="198"/>
        <v>6</v>
      </c>
      <c r="I629" s="443">
        <f>VLOOKUP(D629,'Orçamento Analitico'!D:L,9,FALSE())</f>
        <v>83.02</v>
      </c>
      <c r="J629" s="443">
        <f t="shared" si="199"/>
        <v>104.18</v>
      </c>
      <c r="K629" s="443">
        <f t="shared" si="200"/>
        <v>498.12</v>
      </c>
      <c r="L629" s="443">
        <f t="shared" si="201"/>
        <v>625.08</v>
      </c>
      <c r="M629" s="461" t="e">
        <f t="shared" si="183"/>
        <v>#N/A</v>
      </c>
      <c r="N629" s="464">
        <v>3</v>
      </c>
      <c r="O629" s="465"/>
      <c r="P629" s="465"/>
      <c r="Q629" s="465">
        <v>2</v>
      </c>
      <c r="R629" s="465">
        <v>1</v>
      </c>
      <c r="S629" s="465"/>
      <c r="T629" s="465"/>
      <c r="U629" s="479"/>
      <c r="V629" s="422"/>
      <c r="W629" s="422"/>
      <c r="X629" s="422"/>
      <c r="Y629" s="422"/>
      <c r="Z629" s="422"/>
    </row>
    <row r="630" ht="31.5" customHeight="1" spans="1:26">
      <c r="A630" s="422" t="str">
        <f t="shared" si="196"/>
        <v> 13 </v>
      </c>
      <c r="B630" s="423" t="str">
        <f t="shared" si="197"/>
        <v> 13 </v>
      </c>
      <c r="C630" s="441" t="s">
        <v>1712</v>
      </c>
      <c r="D630" s="442" t="s">
        <v>1713</v>
      </c>
      <c r="E630" s="441" t="s">
        <v>77</v>
      </c>
      <c r="F630" s="441" t="s">
        <v>1714</v>
      </c>
      <c r="G630" s="442" t="s">
        <v>134</v>
      </c>
      <c r="H630" s="443">
        <f t="shared" si="198"/>
        <v>1</v>
      </c>
      <c r="I630" s="443">
        <f>VLOOKUP(D630,'Orçamento Analitico'!D:L,9,FALSE())</f>
        <v>82.27</v>
      </c>
      <c r="J630" s="443">
        <f t="shared" si="199"/>
        <v>103.24</v>
      </c>
      <c r="K630" s="443">
        <f t="shared" si="200"/>
        <v>82.27</v>
      </c>
      <c r="L630" s="443">
        <f t="shared" si="201"/>
        <v>103.24</v>
      </c>
      <c r="M630" s="461" t="e">
        <f t="shared" si="183"/>
        <v>#N/A</v>
      </c>
      <c r="N630" s="464"/>
      <c r="O630" s="465"/>
      <c r="P630" s="465"/>
      <c r="Q630" s="465"/>
      <c r="R630" s="465">
        <v>1</v>
      </c>
      <c r="S630" s="465"/>
      <c r="T630" s="465"/>
      <c r="U630" s="479"/>
      <c r="V630" s="422"/>
      <c r="W630" s="422"/>
      <c r="X630" s="422"/>
      <c r="Y630" s="422"/>
      <c r="Z630" s="422"/>
    </row>
    <row r="631" ht="31.5" customHeight="1" spans="1:26">
      <c r="A631" s="422" t="str">
        <f t="shared" si="196"/>
        <v> 13 </v>
      </c>
      <c r="B631" s="423" t="str">
        <f t="shared" si="197"/>
        <v> 13 </v>
      </c>
      <c r="C631" s="441" t="s">
        <v>1715</v>
      </c>
      <c r="D631" s="442" t="s">
        <v>1716</v>
      </c>
      <c r="E631" s="441" t="s">
        <v>77</v>
      </c>
      <c r="F631" s="441" t="s">
        <v>1717</v>
      </c>
      <c r="G631" s="442" t="s">
        <v>134</v>
      </c>
      <c r="H631" s="443">
        <f t="shared" si="198"/>
        <v>4</v>
      </c>
      <c r="I631" s="443">
        <f>VLOOKUP(D631,'Orçamento Analitico'!D:L,9,FALSE())</f>
        <v>72.45</v>
      </c>
      <c r="J631" s="443">
        <f t="shared" si="199"/>
        <v>90.91</v>
      </c>
      <c r="K631" s="443">
        <f t="shared" si="200"/>
        <v>289.8</v>
      </c>
      <c r="L631" s="443">
        <f t="shared" si="201"/>
        <v>363.64</v>
      </c>
      <c r="M631" s="461" t="e">
        <f t="shared" si="183"/>
        <v>#N/A</v>
      </c>
      <c r="N631" s="464">
        <v>1</v>
      </c>
      <c r="O631" s="465"/>
      <c r="P631" s="465"/>
      <c r="Q631" s="465">
        <v>2</v>
      </c>
      <c r="R631" s="465">
        <v>1</v>
      </c>
      <c r="S631" s="465"/>
      <c r="T631" s="465"/>
      <c r="U631" s="479"/>
      <c r="V631" s="422"/>
      <c r="W631" s="422"/>
      <c r="X631" s="422"/>
      <c r="Y631" s="422"/>
      <c r="Z631" s="422"/>
    </row>
    <row r="632" ht="31.5" customHeight="1" spans="1:26">
      <c r="A632" s="422" t="str">
        <f t="shared" si="196"/>
        <v> 13 </v>
      </c>
      <c r="B632" s="423" t="str">
        <f t="shared" si="197"/>
        <v> 13 </v>
      </c>
      <c r="C632" s="441" t="s">
        <v>1718</v>
      </c>
      <c r="D632" s="442" t="s">
        <v>1719</v>
      </c>
      <c r="E632" s="441" t="s">
        <v>77</v>
      </c>
      <c r="F632" s="441" t="s">
        <v>1720</v>
      </c>
      <c r="G632" s="442" t="s">
        <v>134</v>
      </c>
      <c r="H632" s="443">
        <f t="shared" si="198"/>
        <v>1</v>
      </c>
      <c r="I632" s="443">
        <f>VLOOKUP(D632,'Orçamento Analitico'!D:L,9,FALSE())</f>
        <v>54.23</v>
      </c>
      <c r="J632" s="443">
        <f t="shared" si="199"/>
        <v>68.05</v>
      </c>
      <c r="K632" s="443">
        <f t="shared" si="200"/>
        <v>54.23</v>
      </c>
      <c r="L632" s="443">
        <f t="shared" si="201"/>
        <v>68.05</v>
      </c>
      <c r="M632" s="461" t="e">
        <f t="shared" si="183"/>
        <v>#N/A</v>
      </c>
      <c r="N632" s="464">
        <v>1</v>
      </c>
      <c r="O632" s="465"/>
      <c r="P632" s="465"/>
      <c r="Q632" s="465"/>
      <c r="R632" s="465"/>
      <c r="S632" s="465"/>
      <c r="T632" s="465"/>
      <c r="U632" s="479"/>
      <c r="V632" s="422"/>
      <c r="W632" s="422"/>
      <c r="X632" s="422"/>
      <c r="Y632" s="422"/>
      <c r="Z632" s="422"/>
    </row>
    <row r="633" ht="31.5" customHeight="1" spans="1:26">
      <c r="A633" s="422" t="str">
        <f t="shared" si="196"/>
        <v> 13 </v>
      </c>
      <c r="B633" s="423" t="str">
        <f t="shared" si="197"/>
        <v> 13 </v>
      </c>
      <c r="C633" s="441" t="s">
        <v>1721</v>
      </c>
      <c r="D633" s="442" t="s">
        <v>1722</v>
      </c>
      <c r="E633" s="441" t="s">
        <v>77</v>
      </c>
      <c r="F633" s="441" t="s">
        <v>1723</v>
      </c>
      <c r="G633" s="442" t="s">
        <v>134</v>
      </c>
      <c r="H633" s="443">
        <f t="shared" si="198"/>
        <v>5</v>
      </c>
      <c r="I633" s="443">
        <f>VLOOKUP(D633,'Orçamento Analitico'!D:L,9,FALSE())</f>
        <v>79.65</v>
      </c>
      <c r="J633" s="443">
        <f t="shared" si="199"/>
        <v>99.95</v>
      </c>
      <c r="K633" s="443">
        <f t="shared" si="200"/>
        <v>398.25</v>
      </c>
      <c r="L633" s="443">
        <f t="shared" si="201"/>
        <v>499.75</v>
      </c>
      <c r="M633" s="461" t="e">
        <f t="shared" si="183"/>
        <v>#N/A</v>
      </c>
      <c r="N633" s="464">
        <v>2</v>
      </c>
      <c r="O633" s="465"/>
      <c r="P633" s="465"/>
      <c r="Q633" s="465">
        <v>2</v>
      </c>
      <c r="R633" s="465">
        <v>1</v>
      </c>
      <c r="S633" s="465"/>
      <c r="T633" s="465"/>
      <c r="U633" s="479"/>
      <c r="V633" s="422"/>
      <c r="W633" s="422"/>
      <c r="X633" s="422"/>
      <c r="Y633" s="422"/>
      <c r="Z633" s="422"/>
    </row>
    <row r="634" ht="31.5" customHeight="1" spans="1:26">
      <c r="A634" s="422" t="str">
        <f t="shared" si="196"/>
        <v> 13 </v>
      </c>
      <c r="B634" s="423" t="str">
        <f t="shared" si="197"/>
        <v> 13 </v>
      </c>
      <c r="C634" s="441" t="s">
        <v>1724</v>
      </c>
      <c r="D634" s="442" t="s">
        <v>1725</v>
      </c>
      <c r="E634" s="441" t="s">
        <v>77</v>
      </c>
      <c r="F634" s="441" t="s">
        <v>1726</v>
      </c>
      <c r="G634" s="442" t="s">
        <v>134</v>
      </c>
      <c r="H634" s="443">
        <f t="shared" si="198"/>
        <v>1</v>
      </c>
      <c r="I634" s="443">
        <f>VLOOKUP(D634,'Orçamento Analitico'!D:L,9,FALSE())</f>
        <v>55.47</v>
      </c>
      <c r="J634" s="443">
        <f t="shared" si="199"/>
        <v>69.6</v>
      </c>
      <c r="K634" s="443">
        <f t="shared" si="200"/>
        <v>55.47</v>
      </c>
      <c r="L634" s="443">
        <f t="shared" si="201"/>
        <v>69.6</v>
      </c>
      <c r="M634" s="461" t="e">
        <f t="shared" si="183"/>
        <v>#N/A</v>
      </c>
      <c r="N634" s="464">
        <v>1</v>
      </c>
      <c r="O634" s="465"/>
      <c r="P634" s="465"/>
      <c r="Q634" s="465"/>
      <c r="R634" s="465"/>
      <c r="S634" s="465"/>
      <c r="T634" s="465"/>
      <c r="U634" s="479"/>
      <c r="V634" s="422"/>
      <c r="W634" s="422"/>
      <c r="X634" s="422"/>
      <c r="Y634" s="422"/>
      <c r="Z634" s="422"/>
    </row>
    <row r="635" ht="31.5" customHeight="1" spans="1:26">
      <c r="A635" s="422" t="str">
        <f t="shared" si="196"/>
        <v> 13 </v>
      </c>
      <c r="B635" s="423" t="str">
        <f t="shared" si="197"/>
        <v> 13 </v>
      </c>
      <c r="C635" s="441" t="s">
        <v>1727</v>
      </c>
      <c r="D635" s="442" t="s">
        <v>1228</v>
      </c>
      <c r="E635" s="441" t="s">
        <v>149</v>
      </c>
      <c r="F635" s="441" t="s">
        <v>1229</v>
      </c>
      <c r="G635" s="442" t="s">
        <v>134</v>
      </c>
      <c r="H635" s="443">
        <f t="shared" si="198"/>
        <v>197</v>
      </c>
      <c r="I635" s="443">
        <f>VLOOKUP(D635,'Orçamento Analitico'!D:L,9,FALSE())</f>
        <v>11.93</v>
      </c>
      <c r="J635" s="443">
        <f t="shared" si="199"/>
        <v>14.97</v>
      </c>
      <c r="K635" s="443">
        <f t="shared" si="200"/>
        <v>2350.21</v>
      </c>
      <c r="L635" s="443">
        <f t="shared" si="201"/>
        <v>2949.09</v>
      </c>
      <c r="M635" s="461" t="e">
        <f t="shared" si="183"/>
        <v>#N/A</v>
      </c>
      <c r="N635" s="464">
        <v>95</v>
      </c>
      <c r="O635" s="465"/>
      <c r="P635" s="465"/>
      <c r="Q635" s="465">
        <v>62</v>
      </c>
      <c r="R635" s="465">
        <v>40</v>
      </c>
      <c r="S635" s="465"/>
      <c r="T635" s="465"/>
      <c r="U635" s="479"/>
      <c r="V635" s="422"/>
      <c r="W635" s="422"/>
      <c r="X635" s="422"/>
      <c r="Y635" s="422"/>
      <c r="Z635" s="422"/>
    </row>
    <row r="636" ht="31.5" customHeight="1" spans="1:26">
      <c r="A636" s="422" t="str">
        <f t="shared" si="196"/>
        <v> 13 </v>
      </c>
      <c r="B636" s="423" t="str">
        <f t="shared" si="197"/>
        <v> 13 </v>
      </c>
      <c r="C636" s="441" t="s">
        <v>1728</v>
      </c>
      <c r="D636" s="442" t="s">
        <v>1729</v>
      </c>
      <c r="E636" s="441" t="s">
        <v>77</v>
      </c>
      <c r="F636" s="441" t="s">
        <v>1730</v>
      </c>
      <c r="G636" s="442" t="s">
        <v>134</v>
      </c>
      <c r="H636" s="443">
        <f t="shared" si="198"/>
        <v>2</v>
      </c>
      <c r="I636" s="443">
        <f>VLOOKUP(D636,'Orçamento Analitico'!D:L,9,FALSE())</f>
        <v>70.86</v>
      </c>
      <c r="J636" s="443">
        <f t="shared" si="199"/>
        <v>88.92</v>
      </c>
      <c r="K636" s="443">
        <f t="shared" si="200"/>
        <v>141.72</v>
      </c>
      <c r="L636" s="443">
        <f t="shared" si="201"/>
        <v>177.84</v>
      </c>
      <c r="M636" s="461" t="e">
        <f t="shared" si="183"/>
        <v>#N/A</v>
      </c>
      <c r="N636" s="464"/>
      <c r="O636" s="465"/>
      <c r="P636" s="465"/>
      <c r="Q636" s="465">
        <v>2</v>
      </c>
      <c r="R636" s="465"/>
      <c r="S636" s="465"/>
      <c r="T636" s="465"/>
      <c r="U636" s="479"/>
      <c r="V636" s="422"/>
      <c r="W636" s="422"/>
      <c r="X636" s="422"/>
      <c r="Y636" s="422"/>
      <c r="Z636" s="422"/>
    </row>
    <row r="637" ht="31.5" customHeight="1" spans="1:26">
      <c r="A637" s="422" t="str">
        <f t="shared" si="196"/>
        <v> 13 </v>
      </c>
      <c r="B637" s="423" t="str">
        <f t="shared" si="197"/>
        <v> 13 </v>
      </c>
      <c r="C637" s="441" t="s">
        <v>1731</v>
      </c>
      <c r="D637" s="442" t="s">
        <v>1732</v>
      </c>
      <c r="E637" s="441" t="s">
        <v>77</v>
      </c>
      <c r="F637" s="441" t="s">
        <v>1733</v>
      </c>
      <c r="G637" s="442" t="s">
        <v>134</v>
      </c>
      <c r="H637" s="443">
        <f t="shared" si="198"/>
        <v>2</v>
      </c>
      <c r="I637" s="443">
        <f>VLOOKUP(D637,'Orçamento Analitico'!D:L,9,FALSE())</f>
        <v>64.67</v>
      </c>
      <c r="J637" s="443">
        <f t="shared" si="199"/>
        <v>81.15</v>
      </c>
      <c r="K637" s="443">
        <f t="shared" si="200"/>
        <v>129.34</v>
      </c>
      <c r="L637" s="443">
        <f t="shared" si="201"/>
        <v>162.3</v>
      </c>
      <c r="M637" s="461" t="e">
        <f t="shared" si="183"/>
        <v>#N/A</v>
      </c>
      <c r="N637" s="464"/>
      <c r="O637" s="465"/>
      <c r="P637" s="465"/>
      <c r="Q637" s="465">
        <v>2</v>
      </c>
      <c r="R637" s="465"/>
      <c r="S637" s="465"/>
      <c r="T637" s="465"/>
      <c r="U637" s="479"/>
      <c r="V637" s="422"/>
      <c r="W637" s="422"/>
      <c r="X637" s="422"/>
      <c r="Y637" s="422"/>
      <c r="Z637" s="422"/>
    </row>
    <row r="638" ht="12.75" customHeight="1" spans="1:26">
      <c r="A638" s="422" t="str">
        <f t="shared" si="196"/>
        <v> 13 </v>
      </c>
      <c r="B638" s="423" t="str">
        <f t="shared" si="197"/>
        <v> 13 </v>
      </c>
      <c r="C638" s="441" t="s">
        <v>1734</v>
      </c>
      <c r="D638" s="442" t="s">
        <v>1074</v>
      </c>
      <c r="E638" s="441" t="s">
        <v>77</v>
      </c>
      <c r="F638" s="441" t="s">
        <v>1075</v>
      </c>
      <c r="G638" s="442" t="s">
        <v>204</v>
      </c>
      <c r="H638" s="443">
        <f t="shared" si="198"/>
        <v>647.75</v>
      </c>
      <c r="I638" s="443">
        <f>VLOOKUP(D638,'Orçamento Analitico'!D:L,9,FALSE())</f>
        <v>21.39</v>
      </c>
      <c r="J638" s="443">
        <f t="shared" si="199"/>
        <v>26.84</v>
      </c>
      <c r="K638" s="443">
        <f t="shared" si="200"/>
        <v>13855.37</v>
      </c>
      <c r="L638" s="443">
        <f t="shared" si="201"/>
        <v>17385.61</v>
      </c>
      <c r="M638" s="461" t="e">
        <f t="shared" si="183"/>
        <v>#N/A</v>
      </c>
      <c r="N638" s="464"/>
      <c r="O638" s="465"/>
      <c r="P638" s="465">
        <v>0</v>
      </c>
      <c r="Q638" s="465">
        <f>11.43*40</f>
        <v>457.2</v>
      </c>
      <c r="R638" s="465">
        <f>5.15*37</f>
        <v>190.55</v>
      </c>
      <c r="S638" s="465"/>
      <c r="T638" s="465"/>
      <c r="U638" s="479"/>
      <c r="V638" s="422"/>
      <c r="W638" s="422"/>
      <c r="X638" s="422"/>
      <c r="Y638" s="422"/>
      <c r="Z638" s="422"/>
    </row>
    <row r="639" ht="12.75" customHeight="1" spans="1:26">
      <c r="A639" s="422" t="str">
        <f t="shared" si="196"/>
        <v> 13 </v>
      </c>
      <c r="B639" s="423" t="str">
        <f t="shared" si="197"/>
        <v> 13 </v>
      </c>
      <c r="C639" s="441" t="s">
        <v>1735</v>
      </c>
      <c r="D639" s="442" t="s">
        <v>1736</v>
      </c>
      <c r="E639" s="441" t="s">
        <v>139</v>
      </c>
      <c r="F639" s="441" t="s">
        <v>1737</v>
      </c>
      <c r="G639" s="442" t="s">
        <v>134</v>
      </c>
      <c r="H639" s="443">
        <f t="shared" si="198"/>
        <v>16</v>
      </c>
      <c r="I639" s="443">
        <f>VLOOKUP(D639,'Orçamento Analitico'!D:L,9,FALSE())</f>
        <v>52.68</v>
      </c>
      <c r="J639" s="443">
        <f t="shared" si="199"/>
        <v>66.1</v>
      </c>
      <c r="K639" s="443">
        <f t="shared" si="200"/>
        <v>842.88</v>
      </c>
      <c r="L639" s="443">
        <f t="shared" si="201"/>
        <v>1057.6</v>
      </c>
      <c r="M639" s="461" t="e">
        <f t="shared" si="183"/>
        <v>#N/A</v>
      </c>
      <c r="N639" s="464">
        <v>16</v>
      </c>
      <c r="O639" s="465"/>
      <c r="P639" s="465"/>
      <c r="Q639" s="465"/>
      <c r="R639" s="465"/>
      <c r="S639" s="465"/>
      <c r="T639" s="465"/>
      <c r="U639" s="479"/>
      <c r="V639" s="422"/>
      <c r="W639" s="422"/>
      <c r="X639" s="422"/>
      <c r="Y639" s="422"/>
      <c r="Z639" s="422"/>
    </row>
    <row r="640" ht="12.75" customHeight="1" spans="1:26">
      <c r="A640" s="422" t="str">
        <f t="shared" si="196"/>
        <v> 13 </v>
      </c>
      <c r="B640" s="423" t="str">
        <f t="shared" si="197"/>
        <v> 13 </v>
      </c>
      <c r="C640" s="441" t="s">
        <v>1738</v>
      </c>
      <c r="D640" s="442" t="s">
        <v>1107</v>
      </c>
      <c r="E640" s="441" t="s">
        <v>139</v>
      </c>
      <c r="F640" s="441" t="s">
        <v>1108</v>
      </c>
      <c r="G640" s="442" t="s">
        <v>134</v>
      </c>
      <c r="H640" s="443">
        <f t="shared" si="198"/>
        <v>131</v>
      </c>
      <c r="I640" s="443">
        <f>VLOOKUP(D640,'Orçamento Analitico'!D:L,9,FALSE())</f>
        <v>44.86</v>
      </c>
      <c r="J640" s="443">
        <f t="shared" si="199"/>
        <v>56.29</v>
      </c>
      <c r="K640" s="443">
        <f t="shared" si="200"/>
        <v>5876.66</v>
      </c>
      <c r="L640" s="443">
        <f t="shared" si="201"/>
        <v>7373.99</v>
      </c>
      <c r="M640" s="461" t="e">
        <f t="shared" si="183"/>
        <v>#N/A</v>
      </c>
      <c r="N640" s="464">
        <v>131</v>
      </c>
      <c r="O640" s="465"/>
      <c r="P640" s="465"/>
      <c r="Q640" s="465"/>
      <c r="R640" s="465"/>
      <c r="S640" s="465"/>
      <c r="T640" s="465"/>
      <c r="U640" s="479"/>
      <c r="V640" s="422"/>
      <c r="W640" s="422"/>
      <c r="X640" s="422"/>
      <c r="Y640" s="422"/>
      <c r="Z640" s="422"/>
    </row>
    <row r="641" ht="12.75" customHeight="1" spans="1:26">
      <c r="A641" s="422" t="str">
        <f t="shared" si="196"/>
        <v> 13 </v>
      </c>
      <c r="B641" s="423" t="str">
        <f t="shared" si="197"/>
        <v> 13 </v>
      </c>
      <c r="C641" s="441" t="s">
        <v>1739</v>
      </c>
      <c r="D641" s="442" t="s">
        <v>1122</v>
      </c>
      <c r="E641" s="441" t="s">
        <v>132</v>
      </c>
      <c r="F641" s="441" t="s">
        <v>1123</v>
      </c>
      <c r="G641" s="442" t="s">
        <v>134</v>
      </c>
      <c r="H641" s="443">
        <f t="shared" si="198"/>
        <v>431</v>
      </c>
      <c r="I641" s="443">
        <f>VLOOKUP(D641,'Orçamento Analitico'!D:L,9,FALSE())</f>
        <v>11.59</v>
      </c>
      <c r="J641" s="443">
        <f t="shared" si="199"/>
        <v>14.54</v>
      </c>
      <c r="K641" s="443">
        <f t="shared" si="200"/>
        <v>4995.29</v>
      </c>
      <c r="L641" s="443">
        <f t="shared" si="201"/>
        <v>6266.74</v>
      </c>
      <c r="M641" s="461" t="e">
        <f t="shared" si="183"/>
        <v>#N/A</v>
      </c>
      <c r="N641" s="464">
        <f t="shared" ref="N641:S641" si="202">TRUNC(SUM(N638)/1.5,0)</f>
        <v>0</v>
      </c>
      <c r="O641" s="465">
        <f t="shared" si="202"/>
        <v>0</v>
      </c>
      <c r="P641" s="465">
        <f t="shared" si="202"/>
        <v>0</v>
      </c>
      <c r="Q641" s="465">
        <f t="shared" si="202"/>
        <v>304</v>
      </c>
      <c r="R641" s="465">
        <f t="shared" si="202"/>
        <v>127</v>
      </c>
      <c r="S641" s="465">
        <f t="shared" si="202"/>
        <v>0</v>
      </c>
      <c r="T641" s="465"/>
      <c r="U641" s="479"/>
      <c r="V641" s="422"/>
      <c r="W641" s="422"/>
      <c r="X641" s="422"/>
      <c r="Y641" s="422"/>
      <c r="Z641" s="422"/>
    </row>
    <row r="642" ht="12.75" customHeight="1" spans="1:26">
      <c r="A642" s="422" t="str">
        <f t="shared" si="196"/>
        <v> 13 </v>
      </c>
      <c r="B642" s="423" t="str">
        <f t="shared" si="197"/>
        <v> 13 </v>
      </c>
      <c r="C642" s="441" t="s">
        <v>1740</v>
      </c>
      <c r="D642" s="442" t="s">
        <v>859</v>
      </c>
      <c r="E642" s="441" t="s">
        <v>132</v>
      </c>
      <c r="F642" s="441" t="s">
        <v>860</v>
      </c>
      <c r="G642" s="442" t="s">
        <v>134</v>
      </c>
      <c r="H642" s="443">
        <f t="shared" si="198"/>
        <v>431</v>
      </c>
      <c r="I642" s="443">
        <f>VLOOKUP(D642,'Orçamento Analitico'!D:L,9,FALSE())</f>
        <v>25.31</v>
      </c>
      <c r="J642" s="443">
        <f t="shared" si="199"/>
        <v>31.76</v>
      </c>
      <c r="K642" s="443">
        <f t="shared" si="200"/>
        <v>10908.61</v>
      </c>
      <c r="L642" s="443">
        <f t="shared" si="201"/>
        <v>13688.56</v>
      </c>
      <c r="M642" s="461" t="e">
        <f t="shared" si="183"/>
        <v>#N/A</v>
      </c>
      <c r="N642" s="464">
        <f t="shared" ref="N642:S642" si="203">N641</f>
        <v>0</v>
      </c>
      <c r="O642" s="465">
        <f t="shared" si="203"/>
        <v>0</v>
      </c>
      <c r="P642" s="465">
        <f t="shared" si="203"/>
        <v>0</v>
      </c>
      <c r="Q642" s="465">
        <f t="shared" si="203"/>
        <v>304</v>
      </c>
      <c r="R642" s="465">
        <f t="shared" si="203"/>
        <v>127</v>
      </c>
      <c r="S642" s="465">
        <f t="shared" si="203"/>
        <v>0</v>
      </c>
      <c r="T642" s="465"/>
      <c r="U642" s="479"/>
      <c r="V642" s="422"/>
      <c r="W642" s="422"/>
      <c r="X642" s="422"/>
      <c r="Y642" s="422"/>
      <c r="Z642" s="422"/>
    </row>
    <row r="643" ht="20.25" customHeight="1" spans="1:26">
      <c r="A643" s="422" t="str">
        <f t="shared" si="196"/>
        <v> 13 </v>
      </c>
      <c r="B643" s="423" t="str">
        <f t="shared" si="197"/>
        <v> 13 </v>
      </c>
      <c r="C643" s="510" t="s">
        <v>1741</v>
      </c>
      <c r="D643" s="511" t="s">
        <v>862</v>
      </c>
      <c r="E643" s="510" t="s">
        <v>796</v>
      </c>
      <c r="F643" s="510" t="s">
        <v>863</v>
      </c>
      <c r="G643" s="511" t="s">
        <v>334</v>
      </c>
      <c r="H643" s="512">
        <f t="shared" si="198"/>
        <v>1724</v>
      </c>
      <c r="I643" s="512">
        <f>VLOOKUP(D643,'Orçamento Analitico'!D:L,9,FALSE())</f>
        <v>0.06</v>
      </c>
      <c r="J643" s="512">
        <f t="shared" si="199"/>
        <v>0.07</v>
      </c>
      <c r="K643" s="512">
        <f t="shared" si="200"/>
        <v>103.44</v>
      </c>
      <c r="L643" s="512">
        <f t="shared" si="201"/>
        <v>120.68</v>
      </c>
      <c r="M643" s="513" t="e">
        <f t="shared" si="183"/>
        <v>#N/A</v>
      </c>
      <c r="N643" s="501">
        <f t="shared" ref="N643:T643" si="204">ROUND(N642*4,0)</f>
        <v>0</v>
      </c>
      <c r="O643" s="501">
        <f t="shared" si="204"/>
        <v>0</v>
      </c>
      <c r="P643" s="501">
        <f t="shared" si="204"/>
        <v>0</v>
      </c>
      <c r="Q643" s="501">
        <f t="shared" si="204"/>
        <v>1216</v>
      </c>
      <c r="R643" s="501">
        <f t="shared" si="204"/>
        <v>508</v>
      </c>
      <c r="S643" s="501">
        <f t="shared" si="204"/>
        <v>0</v>
      </c>
      <c r="T643" s="501">
        <f t="shared" si="204"/>
        <v>0</v>
      </c>
      <c r="U643" s="501"/>
      <c r="V643" s="422"/>
      <c r="W643" s="422"/>
      <c r="X643" s="422"/>
      <c r="Y643" s="422"/>
      <c r="Z643" s="422"/>
    </row>
    <row r="644" ht="12.75" customHeight="1" spans="1:26">
      <c r="A644" s="422" t="str">
        <f t="shared" si="196"/>
        <v> 13 </v>
      </c>
      <c r="B644" s="423" t="str">
        <f t="shared" si="197"/>
        <v> 13 </v>
      </c>
      <c r="C644" s="441" t="s">
        <v>1742</v>
      </c>
      <c r="D644" s="442" t="s">
        <v>865</v>
      </c>
      <c r="E644" s="441" t="s">
        <v>132</v>
      </c>
      <c r="F644" s="441" t="s">
        <v>866</v>
      </c>
      <c r="G644" s="442" t="s">
        <v>134</v>
      </c>
      <c r="H644" s="443">
        <f t="shared" si="198"/>
        <v>862</v>
      </c>
      <c r="I644" s="443">
        <f>VLOOKUP(D644,'Orçamento Analitico'!D:L,9,FALSE())</f>
        <v>0.12</v>
      </c>
      <c r="J644" s="443">
        <f t="shared" si="199"/>
        <v>0.15</v>
      </c>
      <c r="K644" s="443">
        <f t="shared" si="200"/>
        <v>103.44</v>
      </c>
      <c r="L644" s="443">
        <f t="shared" si="201"/>
        <v>129.3</v>
      </c>
      <c r="M644" s="461" t="e">
        <f t="shared" si="183"/>
        <v>#N/A</v>
      </c>
      <c r="N644" s="464">
        <f t="shared" ref="N644:T644" si="205">ROUND(N642*2,0)</f>
        <v>0</v>
      </c>
      <c r="O644" s="465">
        <f t="shared" si="205"/>
        <v>0</v>
      </c>
      <c r="P644" s="465">
        <f t="shared" si="205"/>
        <v>0</v>
      </c>
      <c r="Q644" s="465">
        <f t="shared" si="205"/>
        <v>608</v>
      </c>
      <c r="R644" s="465">
        <f t="shared" si="205"/>
        <v>254</v>
      </c>
      <c r="S644" s="465">
        <f t="shared" si="205"/>
        <v>0</v>
      </c>
      <c r="T644" s="465">
        <f t="shared" si="205"/>
        <v>0</v>
      </c>
      <c r="U644" s="479"/>
      <c r="V644" s="422"/>
      <c r="W644" s="422"/>
      <c r="X644" s="422"/>
      <c r="Y644" s="422"/>
      <c r="Z644" s="422"/>
    </row>
    <row r="645" ht="12.75" customHeight="1" spans="1:26">
      <c r="A645" s="422" t="str">
        <f t="shared" si="196"/>
        <v> 13 </v>
      </c>
      <c r="B645" s="423" t="str">
        <f t="shared" si="197"/>
        <v> 13 </v>
      </c>
      <c r="C645" s="441" t="s">
        <v>1743</v>
      </c>
      <c r="D645" s="442" t="s">
        <v>1744</v>
      </c>
      <c r="E645" s="441" t="s">
        <v>132</v>
      </c>
      <c r="F645" s="441" t="s">
        <v>1745</v>
      </c>
      <c r="G645" s="442" t="s">
        <v>134</v>
      </c>
      <c r="H645" s="443">
        <f t="shared" si="198"/>
        <v>431</v>
      </c>
      <c r="I645" s="443">
        <f>VLOOKUP(D645,'Orçamento Analitico'!D:L,9,FALSE())</f>
        <v>3.68</v>
      </c>
      <c r="J645" s="443">
        <f t="shared" si="199"/>
        <v>4.61</v>
      </c>
      <c r="K645" s="443">
        <f t="shared" si="200"/>
        <v>1586.08</v>
      </c>
      <c r="L645" s="443">
        <f t="shared" si="201"/>
        <v>1986.91</v>
      </c>
      <c r="M645" s="461" t="e">
        <f t="shared" si="183"/>
        <v>#N/A</v>
      </c>
      <c r="N645" s="464">
        <f t="shared" ref="N645:T645" si="206">N641</f>
        <v>0</v>
      </c>
      <c r="O645" s="465">
        <f t="shared" si="206"/>
        <v>0</v>
      </c>
      <c r="P645" s="465">
        <f t="shared" si="206"/>
        <v>0</v>
      </c>
      <c r="Q645" s="465">
        <f t="shared" si="206"/>
        <v>304</v>
      </c>
      <c r="R645" s="465">
        <f t="shared" si="206"/>
        <v>127</v>
      </c>
      <c r="S645" s="465">
        <f t="shared" si="206"/>
        <v>0</v>
      </c>
      <c r="T645" s="465">
        <f t="shared" si="206"/>
        <v>0</v>
      </c>
      <c r="U645" s="479"/>
      <c r="V645" s="422"/>
      <c r="W645" s="422"/>
      <c r="X645" s="422"/>
      <c r="Y645" s="422"/>
      <c r="Z645" s="422"/>
    </row>
    <row r="646" ht="12.75" customHeight="1" spans="1:26">
      <c r="A646" s="422" t="str">
        <f t="shared" si="196"/>
        <v> 13 </v>
      </c>
      <c r="B646" s="423" t="str">
        <f t="shared" si="197"/>
        <v> 13 </v>
      </c>
      <c r="C646" s="510" t="s">
        <v>1746</v>
      </c>
      <c r="D646" s="511" t="s">
        <v>4188</v>
      </c>
      <c r="E646" s="510" t="s">
        <v>139</v>
      </c>
      <c r="F646" s="510" t="s">
        <v>4189</v>
      </c>
      <c r="G646" s="511" t="s">
        <v>204</v>
      </c>
      <c r="H646" s="512">
        <f t="shared" si="198"/>
        <v>25590</v>
      </c>
      <c r="I646" s="512">
        <f>VLOOKUP(D646,'Orçamento Analitico'!D:L,9,FALSE())</f>
        <v>7.63</v>
      </c>
      <c r="J646" s="512">
        <f t="shared" si="199"/>
        <v>9.57</v>
      </c>
      <c r="K646" s="512">
        <f t="shared" si="200"/>
        <v>195251.7</v>
      </c>
      <c r="L646" s="512">
        <f t="shared" si="201"/>
        <v>244896.3</v>
      </c>
      <c r="M646" s="513" t="e">
        <f t="shared" si="183"/>
        <v>#N/A</v>
      </c>
      <c r="N646" s="464">
        <v>1540</v>
      </c>
      <c r="O646" s="465"/>
      <c r="P646" s="465">
        <v>0</v>
      </c>
      <c r="Q646" s="465">
        <f>Q650*50</f>
        <v>7550</v>
      </c>
      <c r="R646" s="465">
        <f>R650*50</f>
        <v>16500</v>
      </c>
      <c r="S646" s="465"/>
      <c r="T646" s="465"/>
      <c r="U646" s="479"/>
      <c r="V646" s="422"/>
      <c r="W646" s="422"/>
      <c r="X646" s="422"/>
      <c r="Y646" s="422"/>
      <c r="Z646" s="422"/>
    </row>
    <row r="647" ht="12.75" customHeight="1" spans="1:26">
      <c r="A647" s="422" t="str">
        <f t="shared" si="196"/>
        <v> 13 </v>
      </c>
      <c r="B647" s="423" t="str">
        <f t="shared" si="197"/>
        <v> 13 </v>
      </c>
      <c r="C647" s="441" t="s">
        <v>1749</v>
      </c>
      <c r="D647" s="442" t="s">
        <v>1750</v>
      </c>
      <c r="E647" s="441" t="s">
        <v>132</v>
      </c>
      <c r="F647" s="441" t="s">
        <v>1751</v>
      </c>
      <c r="G647" s="442" t="s">
        <v>204</v>
      </c>
      <c r="H647" s="443">
        <f t="shared" si="198"/>
        <v>217</v>
      </c>
      <c r="I647" s="443">
        <f>VLOOKUP(D647,'Orçamento Analitico'!D:L,9,FALSE())</f>
        <v>8.48</v>
      </c>
      <c r="J647" s="443">
        <f t="shared" si="199"/>
        <v>10.64</v>
      </c>
      <c r="K647" s="443">
        <f t="shared" si="200"/>
        <v>1840.16</v>
      </c>
      <c r="L647" s="443">
        <f t="shared" si="201"/>
        <v>2308.88</v>
      </c>
      <c r="M647" s="461" t="e">
        <f t="shared" si="183"/>
        <v>#N/A</v>
      </c>
      <c r="N647" s="464">
        <v>145</v>
      </c>
      <c r="O647" s="465">
        <v>27</v>
      </c>
      <c r="P647" s="465">
        <v>21</v>
      </c>
      <c r="Q647" s="465">
        <v>15</v>
      </c>
      <c r="R647" s="465">
        <v>9</v>
      </c>
      <c r="S647" s="465"/>
      <c r="T647" s="465"/>
      <c r="U647" s="479"/>
      <c r="V647" s="422"/>
      <c r="W647" s="422"/>
      <c r="X647" s="422"/>
      <c r="Y647" s="422"/>
      <c r="Z647" s="422"/>
    </row>
    <row r="648" ht="12.75" customHeight="1" spans="1:26">
      <c r="A648" s="422" t="str">
        <f t="shared" si="196"/>
        <v> 13 </v>
      </c>
      <c r="B648" s="423" t="str">
        <f t="shared" si="197"/>
        <v> 13 </v>
      </c>
      <c r="C648" s="441" t="s">
        <v>1752</v>
      </c>
      <c r="D648" s="442" t="s">
        <v>1753</v>
      </c>
      <c r="E648" s="441" t="s">
        <v>132</v>
      </c>
      <c r="F648" s="441" t="s">
        <v>1754</v>
      </c>
      <c r="G648" s="442" t="s">
        <v>204</v>
      </c>
      <c r="H648" s="443">
        <f t="shared" si="198"/>
        <v>43</v>
      </c>
      <c r="I648" s="443">
        <f>VLOOKUP(D648,'Orçamento Analitico'!D:L,9,FALSE())</f>
        <v>8.6</v>
      </c>
      <c r="J648" s="443">
        <f t="shared" si="199"/>
        <v>10.79</v>
      </c>
      <c r="K648" s="443">
        <f t="shared" si="200"/>
        <v>369.8</v>
      </c>
      <c r="L648" s="443">
        <f t="shared" si="201"/>
        <v>463.97</v>
      </c>
      <c r="M648" s="461" t="e">
        <f t="shared" ref="M648:M711" si="207">K648/$L$1062</f>
        <v>#N/A</v>
      </c>
      <c r="N648" s="464">
        <v>43</v>
      </c>
      <c r="O648" s="465"/>
      <c r="P648" s="465"/>
      <c r="Q648" s="465"/>
      <c r="R648" s="465"/>
      <c r="S648" s="465"/>
      <c r="T648" s="465"/>
      <c r="U648" s="479"/>
      <c r="V648" s="422"/>
      <c r="W648" s="422"/>
      <c r="X648" s="422"/>
      <c r="Y648" s="422"/>
      <c r="Z648" s="422"/>
    </row>
    <row r="649" ht="32.25" customHeight="1" spans="1:26">
      <c r="A649" s="422" t="str">
        <f t="shared" si="196"/>
        <v> 13 </v>
      </c>
      <c r="B649" s="423" t="str">
        <f t="shared" si="197"/>
        <v> 13 </v>
      </c>
      <c r="C649" s="441" t="s">
        <v>1755</v>
      </c>
      <c r="D649" s="442" t="s">
        <v>1137</v>
      </c>
      <c r="E649" s="441" t="s">
        <v>132</v>
      </c>
      <c r="F649" s="441" t="s">
        <v>1138</v>
      </c>
      <c r="G649" s="442" t="s">
        <v>134</v>
      </c>
      <c r="H649" s="443">
        <f t="shared" si="198"/>
        <v>364</v>
      </c>
      <c r="I649" s="443">
        <f>VLOOKUP(D649,'Orçamento Analitico'!D:L,9,FALSE())</f>
        <v>55.5</v>
      </c>
      <c r="J649" s="443">
        <f t="shared" si="199"/>
        <v>69.64</v>
      </c>
      <c r="K649" s="443">
        <f t="shared" si="200"/>
        <v>20202</v>
      </c>
      <c r="L649" s="443">
        <f t="shared" si="201"/>
        <v>25348.96</v>
      </c>
      <c r="M649" s="461" t="e">
        <f t="shared" si="207"/>
        <v>#N/A</v>
      </c>
      <c r="N649" s="464">
        <f>TRUNC(N650/2,0)</f>
        <v>124</v>
      </c>
      <c r="O649" s="465">
        <f>TRUNC(O650/2,0)</f>
        <v>0</v>
      </c>
      <c r="P649" s="465">
        <f>TRUNC(P650/2,0)</f>
        <v>0</v>
      </c>
      <c r="Q649" s="465">
        <f>TRUNC(Q650/2,0)</f>
        <v>75</v>
      </c>
      <c r="R649" s="465">
        <f>TRUNC(R650/2,0)</f>
        <v>165</v>
      </c>
      <c r="S649" s="465"/>
      <c r="T649" s="465"/>
      <c r="U649" s="479"/>
      <c r="V649" s="422"/>
      <c r="W649" s="422"/>
      <c r="X649" s="422"/>
      <c r="Y649" s="422"/>
      <c r="Z649" s="422"/>
    </row>
    <row r="650" ht="12.75" customHeight="1" spans="1:26">
      <c r="A650" s="422" t="str">
        <f t="shared" si="196"/>
        <v> 13 </v>
      </c>
      <c r="B650" s="423" t="str">
        <f t="shared" si="197"/>
        <v> 13 </v>
      </c>
      <c r="C650" s="441" t="s">
        <v>1756</v>
      </c>
      <c r="D650" s="442" t="s">
        <v>1757</v>
      </c>
      <c r="E650" s="441" t="s">
        <v>77</v>
      </c>
      <c r="F650" s="441" t="s">
        <v>1758</v>
      </c>
      <c r="G650" s="442" t="s">
        <v>134</v>
      </c>
      <c r="H650" s="443">
        <f t="shared" si="198"/>
        <v>730</v>
      </c>
      <c r="I650" s="443">
        <f>VLOOKUP(D650,'Orçamento Analitico'!D:L,9,FALSE())</f>
        <v>23.86</v>
      </c>
      <c r="J650" s="443">
        <f t="shared" si="199"/>
        <v>29.94</v>
      </c>
      <c r="K650" s="443">
        <f t="shared" si="200"/>
        <v>17417.8</v>
      </c>
      <c r="L650" s="443">
        <f t="shared" si="201"/>
        <v>21856.2</v>
      </c>
      <c r="M650" s="461" t="e">
        <f t="shared" si="207"/>
        <v>#N/A</v>
      </c>
      <c r="N650" s="464">
        <v>249</v>
      </c>
      <c r="O650" s="465"/>
      <c r="P650" s="465">
        <v>0</v>
      </c>
      <c r="Q650" s="465">
        <v>151</v>
      </c>
      <c r="R650" s="465">
        <v>330</v>
      </c>
      <c r="S650" s="465"/>
      <c r="T650" s="465"/>
      <c r="U650" s="479"/>
      <c r="V650" s="422"/>
      <c r="W650" s="422"/>
      <c r="X650" s="422"/>
      <c r="Y650" s="422"/>
      <c r="Z650" s="422"/>
    </row>
    <row r="651" ht="12.75" customHeight="1" spans="1:26">
      <c r="A651" s="422" t="str">
        <f t="shared" si="196"/>
        <v> 13 </v>
      </c>
      <c r="B651" s="423" t="str">
        <f t="shared" si="197"/>
        <v> 13 </v>
      </c>
      <c r="C651" s="441" t="s">
        <v>1759</v>
      </c>
      <c r="D651" s="442" t="s">
        <v>1760</v>
      </c>
      <c r="E651" s="441" t="s">
        <v>139</v>
      </c>
      <c r="F651" s="441" t="s">
        <v>1761</v>
      </c>
      <c r="G651" s="442" t="s">
        <v>134</v>
      </c>
      <c r="H651" s="443">
        <f t="shared" si="198"/>
        <v>58</v>
      </c>
      <c r="I651" s="443">
        <f>VLOOKUP(D651,'Orçamento Analitico'!D:L,9,FALSE())</f>
        <v>1330.92</v>
      </c>
      <c r="J651" s="443">
        <f t="shared" si="199"/>
        <v>1670.17</v>
      </c>
      <c r="K651" s="443">
        <f t="shared" si="200"/>
        <v>77193.36</v>
      </c>
      <c r="L651" s="443">
        <f t="shared" si="201"/>
        <v>96869.86</v>
      </c>
      <c r="M651" s="461" t="e">
        <f t="shared" si="207"/>
        <v>#N/A</v>
      </c>
      <c r="N651" s="464">
        <v>58</v>
      </c>
      <c r="O651" s="465"/>
      <c r="P651" s="465"/>
      <c r="Q651" s="465"/>
      <c r="R651" s="465"/>
      <c r="S651" s="465"/>
      <c r="T651" s="465"/>
      <c r="U651" s="479"/>
      <c r="V651" s="422"/>
      <c r="W651" s="422"/>
      <c r="X651" s="422"/>
      <c r="Y651" s="422"/>
      <c r="Z651" s="422"/>
    </row>
    <row r="652" ht="24" customHeight="1" spans="1:26">
      <c r="A652" s="422" t="str">
        <f t="shared" si="196"/>
        <v> 13 </v>
      </c>
      <c r="B652" s="423" t="str">
        <f t="shared" si="197"/>
        <v> 13 </v>
      </c>
      <c r="C652" s="441" t="s">
        <v>1762</v>
      </c>
      <c r="D652" s="442" t="s">
        <v>1763</v>
      </c>
      <c r="E652" s="441" t="s">
        <v>149</v>
      </c>
      <c r="F652" s="441" t="s">
        <v>1764</v>
      </c>
      <c r="G652" s="442" t="s">
        <v>134</v>
      </c>
      <c r="H652" s="443">
        <f t="shared" si="198"/>
        <v>58</v>
      </c>
      <c r="I652" s="443">
        <f>VLOOKUP(D652,'Orçamento Analitico'!D:L,9,FALSE())</f>
        <v>42.25</v>
      </c>
      <c r="J652" s="443">
        <f t="shared" si="199"/>
        <v>53.01</v>
      </c>
      <c r="K652" s="443">
        <f t="shared" si="200"/>
        <v>2450.5</v>
      </c>
      <c r="L652" s="443">
        <f t="shared" si="201"/>
        <v>3074.58</v>
      </c>
      <c r="M652" s="461" t="e">
        <f t="shared" si="207"/>
        <v>#N/A</v>
      </c>
      <c r="N652" s="464">
        <v>58</v>
      </c>
      <c r="O652" s="465"/>
      <c r="P652" s="465"/>
      <c r="Q652" s="465"/>
      <c r="R652" s="465"/>
      <c r="S652" s="465"/>
      <c r="T652" s="465"/>
      <c r="U652" s="479"/>
      <c r="V652" s="422"/>
      <c r="W652" s="422"/>
      <c r="X652" s="422"/>
      <c r="Y652" s="422"/>
      <c r="Z652" s="422"/>
    </row>
    <row r="653" ht="24" customHeight="1" spans="1:26">
      <c r="A653" s="422" t="str">
        <f t="shared" si="196"/>
        <v> 13 </v>
      </c>
      <c r="B653" s="423" t="str">
        <f t="shared" si="197"/>
        <v> 13 </v>
      </c>
      <c r="C653" s="441" t="s">
        <v>1765</v>
      </c>
      <c r="D653" s="442" t="s">
        <v>1766</v>
      </c>
      <c r="E653" s="441" t="s">
        <v>149</v>
      </c>
      <c r="F653" s="441" t="s">
        <v>1767</v>
      </c>
      <c r="G653" s="442" t="s">
        <v>134</v>
      </c>
      <c r="H653" s="443">
        <f t="shared" si="198"/>
        <v>6</v>
      </c>
      <c r="I653" s="443">
        <f>VLOOKUP(D653,'Orçamento Analitico'!D:L,9,FALSE())</f>
        <v>445.83</v>
      </c>
      <c r="J653" s="443">
        <f t="shared" si="199"/>
        <v>559.47</v>
      </c>
      <c r="K653" s="443">
        <f t="shared" si="200"/>
        <v>2674.98</v>
      </c>
      <c r="L653" s="443">
        <f t="shared" si="201"/>
        <v>3356.82</v>
      </c>
      <c r="M653" s="461" t="e">
        <f t="shared" si="207"/>
        <v>#N/A</v>
      </c>
      <c r="N653" s="464">
        <v>2</v>
      </c>
      <c r="O653" s="465">
        <v>1</v>
      </c>
      <c r="P653" s="465">
        <v>1</v>
      </c>
      <c r="Q653" s="465">
        <v>1</v>
      </c>
      <c r="R653" s="465">
        <v>1</v>
      </c>
      <c r="S653" s="465"/>
      <c r="T653" s="465"/>
      <c r="U653" s="479"/>
      <c r="V653" s="422"/>
      <c r="W653" s="422"/>
      <c r="X653" s="422"/>
      <c r="Y653" s="422"/>
      <c r="Z653" s="422"/>
    </row>
    <row r="654" ht="12.75" customHeight="1" spans="1:26">
      <c r="A654" s="422" t="str">
        <f t="shared" si="196"/>
        <v> 13 </v>
      </c>
      <c r="B654" s="423" t="str">
        <f t="shared" si="197"/>
        <v> 13 </v>
      </c>
      <c r="C654" s="441" t="s">
        <v>1768</v>
      </c>
      <c r="D654" s="442" t="s">
        <v>1769</v>
      </c>
      <c r="E654" s="441" t="s">
        <v>139</v>
      </c>
      <c r="F654" s="441" t="s">
        <v>1770</v>
      </c>
      <c r="G654" s="442" t="s">
        <v>134</v>
      </c>
      <c r="H654" s="443">
        <f t="shared" si="198"/>
        <v>9</v>
      </c>
      <c r="I654" s="443">
        <f>VLOOKUP(D654,'Orçamento Analitico'!D:L,9,FALSE())</f>
        <v>2843.1</v>
      </c>
      <c r="J654" s="443">
        <f t="shared" si="199"/>
        <v>3567.8</v>
      </c>
      <c r="K654" s="443">
        <f t="shared" si="200"/>
        <v>25587.9</v>
      </c>
      <c r="L654" s="443">
        <f t="shared" si="201"/>
        <v>32110.2</v>
      </c>
      <c r="M654" s="461" t="e">
        <f t="shared" si="207"/>
        <v>#N/A</v>
      </c>
      <c r="N654" s="464">
        <v>9</v>
      </c>
      <c r="O654" s="465"/>
      <c r="P654" s="465"/>
      <c r="Q654" s="465"/>
      <c r="R654" s="465"/>
      <c r="S654" s="465"/>
      <c r="T654" s="465"/>
      <c r="U654" s="479"/>
      <c r="V654" s="422"/>
      <c r="W654" s="422"/>
      <c r="X654" s="422"/>
      <c r="Y654" s="422"/>
      <c r="Z654" s="422"/>
    </row>
    <row r="655" ht="12.75" customHeight="1" spans="1:26">
      <c r="A655" s="422" t="str">
        <f t="shared" si="196"/>
        <v> 13 </v>
      </c>
      <c r="B655" s="423" t="str">
        <f t="shared" si="197"/>
        <v> 13 </v>
      </c>
      <c r="C655" s="441" t="s">
        <v>1771</v>
      </c>
      <c r="D655" s="442" t="s">
        <v>1772</v>
      </c>
      <c r="E655" s="441" t="s">
        <v>132</v>
      </c>
      <c r="F655" s="441" t="s">
        <v>1773</v>
      </c>
      <c r="G655" s="442" t="s">
        <v>134</v>
      </c>
      <c r="H655" s="443">
        <f t="shared" si="198"/>
        <v>113</v>
      </c>
      <c r="I655" s="443">
        <f>VLOOKUP(D655,'Orçamento Analitico'!D:L,9,FALSE())</f>
        <v>1711.95</v>
      </c>
      <c r="J655" s="443">
        <f t="shared" si="199"/>
        <v>2148.32</v>
      </c>
      <c r="K655" s="443">
        <f t="shared" si="200"/>
        <v>193450.35</v>
      </c>
      <c r="L655" s="443">
        <f t="shared" si="201"/>
        <v>242760.16</v>
      </c>
      <c r="M655" s="461" t="e">
        <f t="shared" si="207"/>
        <v>#N/A</v>
      </c>
      <c r="N655" s="464">
        <v>35</v>
      </c>
      <c r="O655" s="465">
        <v>25</v>
      </c>
      <c r="P655" s="465">
        <v>17</v>
      </c>
      <c r="Q655" s="465">
        <v>14</v>
      </c>
      <c r="R655" s="465">
        <v>22</v>
      </c>
      <c r="S655" s="465"/>
      <c r="T655" s="465"/>
      <c r="U655" s="479"/>
      <c r="V655" s="422"/>
      <c r="W655" s="422"/>
      <c r="X655" s="422"/>
      <c r="Y655" s="422"/>
      <c r="Z655" s="422"/>
    </row>
    <row r="656" ht="57" customHeight="1" spans="1:26">
      <c r="A656" s="422" t="str">
        <f t="shared" si="196"/>
        <v> 13 </v>
      </c>
      <c r="B656" s="423" t="str">
        <f t="shared" si="197"/>
        <v> 13 </v>
      </c>
      <c r="C656" s="441" t="s">
        <v>1774</v>
      </c>
      <c r="D656" s="442" t="s">
        <v>1649</v>
      </c>
      <c r="E656" s="441" t="s">
        <v>139</v>
      </c>
      <c r="F656" s="441" t="s">
        <v>1650</v>
      </c>
      <c r="G656" s="442" t="s">
        <v>279</v>
      </c>
      <c r="H656" s="443">
        <f t="shared" ref="H656:H662" si="208">T656</f>
        <v>164.4</v>
      </c>
      <c r="I656" s="443">
        <f>VLOOKUP(D656,'Orçamento Analitico'!D:L,9,FALSE())</f>
        <v>17.37</v>
      </c>
      <c r="J656" s="443">
        <f t="shared" si="199"/>
        <v>21.79</v>
      </c>
      <c r="K656" s="443">
        <f t="shared" si="200"/>
        <v>2855.62</v>
      </c>
      <c r="L656" s="443">
        <f t="shared" si="201"/>
        <v>3582.27</v>
      </c>
      <c r="M656" s="461" t="e">
        <f t="shared" si="207"/>
        <v>#N/A</v>
      </c>
      <c r="N656" s="464">
        <f>SUM(P658:P659)</f>
        <v>137</v>
      </c>
      <c r="O656" s="494" t="s">
        <v>6128</v>
      </c>
      <c r="P656" s="465">
        <v>0.8</v>
      </c>
      <c r="Q656" s="494" t="s">
        <v>6128</v>
      </c>
      <c r="R656" s="465">
        <v>1.5</v>
      </c>
      <c r="S656" s="494" t="s">
        <v>6129</v>
      </c>
      <c r="T656" s="465">
        <f>ROUND(N656*P656*R656,2)</f>
        <v>164.4</v>
      </c>
      <c r="U656" s="479"/>
      <c r="V656" s="422"/>
      <c r="W656" s="422"/>
      <c r="X656" s="422"/>
      <c r="Y656" s="422"/>
      <c r="Z656" s="422"/>
    </row>
    <row r="657" ht="57" customHeight="1" spans="1:26">
      <c r="A657" s="422" t="str">
        <f t="shared" si="196"/>
        <v> 13 </v>
      </c>
      <c r="B657" s="423" t="str">
        <f t="shared" si="197"/>
        <v> 13 </v>
      </c>
      <c r="C657" s="441" t="s">
        <v>1775</v>
      </c>
      <c r="D657" s="442" t="s">
        <v>1652</v>
      </c>
      <c r="E657" s="441" t="s">
        <v>139</v>
      </c>
      <c r="F657" s="441" t="s">
        <v>1653</v>
      </c>
      <c r="G657" s="442" t="s">
        <v>279</v>
      </c>
      <c r="H657" s="443">
        <f t="shared" si="208"/>
        <v>38.6</v>
      </c>
      <c r="I657" s="443">
        <f>VLOOKUP(D657,'Orçamento Analitico'!D:L,9,FALSE())</f>
        <v>22.09</v>
      </c>
      <c r="J657" s="443">
        <f t="shared" si="199"/>
        <v>27.72</v>
      </c>
      <c r="K657" s="443">
        <f t="shared" si="200"/>
        <v>852.67</v>
      </c>
      <c r="L657" s="443">
        <f t="shared" si="201"/>
        <v>1069.99</v>
      </c>
      <c r="M657" s="461" t="e">
        <f t="shared" si="207"/>
        <v>#N/A</v>
      </c>
      <c r="N657" s="464"/>
      <c r="O657" s="465"/>
      <c r="P657" s="465">
        <f>T656</f>
        <v>164.4</v>
      </c>
      <c r="Q657" s="494" t="s">
        <v>6178</v>
      </c>
      <c r="R657" s="465">
        <f>ROUND(P658*R658*(3.14*(1/2)^2)+(P659*R659*(3.14*(0.5/2)^2)),2)</f>
        <v>125.8</v>
      </c>
      <c r="S657" s="494" t="s">
        <v>6129</v>
      </c>
      <c r="T657" s="465">
        <f>P657-R657</f>
        <v>38.6</v>
      </c>
      <c r="U657" s="479"/>
      <c r="V657" s="422"/>
      <c r="W657" s="422"/>
      <c r="X657" s="422"/>
      <c r="Y657" s="422"/>
      <c r="Z657" s="422"/>
    </row>
    <row r="658" ht="57" customHeight="1" spans="1:26">
      <c r="A658" s="422" t="str">
        <f t="shared" si="196"/>
        <v> 13 </v>
      </c>
      <c r="B658" s="423" t="str">
        <f t="shared" si="197"/>
        <v> 13 </v>
      </c>
      <c r="C658" s="441" t="s">
        <v>1776</v>
      </c>
      <c r="D658" s="442" t="s">
        <v>1151</v>
      </c>
      <c r="E658" s="441" t="s">
        <v>139</v>
      </c>
      <c r="F658" s="441" t="s">
        <v>1152</v>
      </c>
      <c r="G658" s="442" t="s">
        <v>204</v>
      </c>
      <c r="H658" s="443">
        <f t="shared" si="208"/>
        <v>144</v>
      </c>
      <c r="I658" s="443">
        <f>VLOOKUP(D658,'Orçamento Analitico'!D:L,9,FALSE())</f>
        <v>28.07</v>
      </c>
      <c r="J658" s="443">
        <f t="shared" si="199"/>
        <v>35.22</v>
      </c>
      <c r="K658" s="443">
        <f t="shared" si="200"/>
        <v>4042.08</v>
      </c>
      <c r="L658" s="443">
        <f t="shared" si="201"/>
        <v>5071.68</v>
      </c>
      <c r="M658" s="461" t="e">
        <f t="shared" si="207"/>
        <v>#N/A</v>
      </c>
      <c r="N658" s="464" t="s">
        <v>6179</v>
      </c>
      <c r="O658" s="465" t="s">
        <v>6180</v>
      </c>
      <c r="P658" s="520">
        <v>72</v>
      </c>
      <c r="Q658" s="494" t="s">
        <v>6128</v>
      </c>
      <c r="R658" s="522">
        <v>2</v>
      </c>
      <c r="S658" s="494" t="s">
        <v>6129</v>
      </c>
      <c r="T658" s="465">
        <f>ROUND(P658*R658,2)</f>
        <v>144</v>
      </c>
      <c r="U658" s="479"/>
      <c r="V658" s="422"/>
      <c r="W658" s="422"/>
      <c r="X658" s="422"/>
      <c r="Y658" s="422"/>
      <c r="Z658" s="422"/>
    </row>
    <row r="659" ht="44.25" customHeight="1" spans="1:26">
      <c r="A659" s="422" t="str">
        <f t="shared" si="196"/>
        <v> 13 </v>
      </c>
      <c r="B659" s="423" t="str">
        <f t="shared" si="197"/>
        <v> 13 </v>
      </c>
      <c r="C659" s="441" t="s">
        <v>1777</v>
      </c>
      <c r="D659" s="442" t="s">
        <v>1256</v>
      </c>
      <c r="E659" s="441" t="s">
        <v>139</v>
      </c>
      <c r="F659" s="441" t="s">
        <v>1257</v>
      </c>
      <c r="G659" s="442" t="s">
        <v>204</v>
      </c>
      <c r="H659" s="443">
        <f t="shared" si="208"/>
        <v>65</v>
      </c>
      <c r="I659" s="443">
        <f>VLOOKUP(D659,'Orçamento Analitico'!D:L,9,FALSE())</f>
        <v>14.8</v>
      </c>
      <c r="J659" s="443">
        <f t="shared" si="199"/>
        <v>18.57</v>
      </c>
      <c r="K659" s="443">
        <f t="shared" si="200"/>
        <v>962</v>
      </c>
      <c r="L659" s="443">
        <f t="shared" si="201"/>
        <v>1207.05</v>
      </c>
      <c r="M659" s="461" t="e">
        <f t="shared" si="207"/>
        <v>#N/A</v>
      </c>
      <c r="N659" s="464" t="s">
        <v>6179</v>
      </c>
      <c r="O659" s="465" t="s">
        <v>6180</v>
      </c>
      <c r="P659" s="520">
        <v>65</v>
      </c>
      <c r="Q659" s="494" t="s">
        <v>6128</v>
      </c>
      <c r="R659" s="522">
        <v>1</v>
      </c>
      <c r="S659" s="494" t="s">
        <v>6129</v>
      </c>
      <c r="T659" s="465">
        <f>ROUND(P659*R659,2)</f>
        <v>65</v>
      </c>
      <c r="U659" s="479"/>
      <c r="V659" s="422"/>
      <c r="W659" s="422"/>
      <c r="X659" s="422"/>
      <c r="Y659" s="422"/>
      <c r="Z659" s="422"/>
    </row>
    <row r="660" ht="12.75" customHeight="1" spans="1:26">
      <c r="A660" s="422" t="str">
        <f t="shared" si="196"/>
        <v> 13 </v>
      </c>
      <c r="B660" s="423" t="str">
        <f t="shared" si="197"/>
        <v> 13 </v>
      </c>
      <c r="C660" s="441" t="s">
        <v>1778</v>
      </c>
      <c r="D660" s="442" t="s">
        <v>1157</v>
      </c>
      <c r="E660" s="441" t="s">
        <v>132</v>
      </c>
      <c r="F660" s="441" t="s">
        <v>1158</v>
      </c>
      <c r="G660" s="442" t="s">
        <v>204</v>
      </c>
      <c r="H660" s="443">
        <f t="shared" si="208"/>
        <v>72</v>
      </c>
      <c r="I660" s="443">
        <f>VLOOKUP(D660,'Orçamento Analitico'!D:L,9,FALSE())</f>
        <v>158.93</v>
      </c>
      <c r="J660" s="443">
        <f t="shared" si="199"/>
        <v>199.44</v>
      </c>
      <c r="K660" s="443">
        <f t="shared" si="200"/>
        <v>11442.96</v>
      </c>
      <c r="L660" s="443">
        <f t="shared" si="201"/>
        <v>14359.68</v>
      </c>
      <c r="M660" s="461" t="e">
        <f t="shared" si="207"/>
        <v>#N/A</v>
      </c>
      <c r="N660" s="464"/>
      <c r="O660" s="465"/>
      <c r="P660" s="465"/>
      <c r="Q660" s="465"/>
      <c r="R660" s="465"/>
      <c r="S660" s="494" t="s">
        <v>6129</v>
      </c>
      <c r="T660" s="465">
        <f>P658</f>
        <v>72</v>
      </c>
      <c r="U660" s="479"/>
      <c r="V660" s="422"/>
      <c r="W660" s="422"/>
      <c r="X660" s="422"/>
      <c r="Y660" s="422"/>
      <c r="Z660" s="422"/>
    </row>
    <row r="661" ht="18.75" customHeight="1" spans="1:26">
      <c r="A661" s="422" t="str">
        <f t="shared" si="196"/>
        <v> 13 </v>
      </c>
      <c r="B661" s="423" t="str">
        <f t="shared" si="197"/>
        <v> 13 </v>
      </c>
      <c r="C661" s="441" t="s">
        <v>1779</v>
      </c>
      <c r="D661" s="442" t="s">
        <v>1259</v>
      </c>
      <c r="E661" s="441" t="s">
        <v>149</v>
      </c>
      <c r="F661" s="441" t="s">
        <v>1260</v>
      </c>
      <c r="G661" s="442" t="s">
        <v>204</v>
      </c>
      <c r="H661" s="443">
        <f t="shared" si="208"/>
        <v>65</v>
      </c>
      <c r="I661" s="443">
        <f>VLOOKUP(D661,'Orçamento Analitico'!D:L,9,FALSE())</f>
        <v>76.33</v>
      </c>
      <c r="J661" s="443">
        <f t="shared" si="199"/>
        <v>95.78</v>
      </c>
      <c r="K661" s="443">
        <f t="shared" si="200"/>
        <v>4961.45</v>
      </c>
      <c r="L661" s="443">
        <f t="shared" si="201"/>
        <v>6225.7</v>
      </c>
      <c r="M661" s="461" t="e">
        <f t="shared" si="207"/>
        <v>#N/A</v>
      </c>
      <c r="N661" s="464"/>
      <c r="O661" s="465"/>
      <c r="P661" s="465"/>
      <c r="Q661" s="465"/>
      <c r="R661" s="465"/>
      <c r="S661" s="494" t="s">
        <v>6129</v>
      </c>
      <c r="T661" s="465">
        <f>P659</f>
        <v>65</v>
      </c>
      <c r="U661" s="479"/>
      <c r="V661" s="422"/>
      <c r="W661" s="422"/>
      <c r="X661" s="422"/>
      <c r="Y661" s="422"/>
      <c r="Z661" s="422"/>
    </row>
    <row r="662" ht="59.25" customHeight="1" spans="1:26">
      <c r="A662" s="422" t="str">
        <f t="shared" si="196"/>
        <v> 13 </v>
      </c>
      <c r="B662" s="423" t="str">
        <f t="shared" si="197"/>
        <v> 13 </v>
      </c>
      <c r="C662" s="441" t="s">
        <v>1780</v>
      </c>
      <c r="D662" s="442" t="s">
        <v>1262</v>
      </c>
      <c r="E662" s="441" t="s">
        <v>132</v>
      </c>
      <c r="F662" s="441" t="s">
        <v>1263</v>
      </c>
      <c r="G662" s="442" t="s">
        <v>134</v>
      </c>
      <c r="H662" s="443">
        <f t="shared" si="208"/>
        <v>4</v>
      </c>
      <c r="I662" s="443">
        <f>VLOOKUP(D662,'Orçamento Analitico'!D:L,9,FALSE())</f>
        <v>1081.08</v>
      </c>
      <c r="J662" s="443">
        <f t="shared" si="199"/>
        <v>1356.64</v>
      </c>
      <c r="K662" s="443">
        <f t="shared" si="200"/>
        <v>4324.32</v>
      </c>
      <c r="L662" s="443">
        <f t="shared" si="201"/>
        <v>5426.56</v>
      </c>
      <c r="M662" s="461" t="e">
        <f t="shared" si="207"/>
        <v>#N/A</v>
      </c>
      <c r="N662" s="464"/>
      <c r="O662" s="465"/>
      <c r="P662" s="465"/>
      <c r="Q662" s="465"/>
      <c r="R662" s="465"/>
      <c r="S662" s="494" t="s">
        <v>6129</v>
      </c>
      <c r="T662" s="465">
        <v>4</v>
      </c>
      <c r="U662" s="479"/>
      <c r="V662" s="422"/>
      <c r="W662" s="422"/>
      <c r="X662" s="422"/>
      <c r="Y662" s="422"/>
      <c r="Z662" s="422"/>
    </row>
    <row r="663" ht="12.75" customHeight="1" spans="1:26">
      <c r="A663" s="422"/>
      <c r="B663" s="423"/>
      <c r="C663" s="438" t="s">
        <v>44</v>
      </c>
      <c r="D663" s="439" t="s">
        <v>74</v>
      </c>
      <c r="E663" s="438"/>
      <c r="F663" s="438" t="s">
        <v>45</v>
      </c>
      <c r="G663" s="439"/>
      <c r="H663" s="440"/>
      <c r="I663" s="440"/>
      <c r="J663" s="440"/>
      <c r="K663" s="440" t="e">
        <f>SUM(K664,K701)</f>
        <v>#N/A</v>
      </c>
      <c r="L663" s="440" t="e">
        <f>SUM(L664,L701)</f>
        <v>#N/A</v>
      </c>
      <c r="M663" s="458" t="e">
        <f t="shared" si="207"/>
        <v>#N/A</v>
      </c>
      <c r="N663" s="464"/>
      <c r="O663" s="465"/>
      <c r="P663" s="465"/>
      <c r="Q663" s="465"/>
      <c r="R663" s="465"/>
      <c r="S663" s="465"/>
      <c r="T663" s="465"/>
      <c r="U663" s="479"/>
      <c r="V663" s="422"/>
      <c r="W663" s="422"/>
      <c r="X663" s="422"/>
      <c r="Y663" s="422"/>
      <c r="Z663" s="422"/>
    </row>
    <row r="664" ht="12.75" customHeight="1" spans="1:26">
      <c r="A664" s="422"/>
      <c r="B664" s="423" t="str">
        <f>C664</f>
        <v> 14.1 </v>
      </c>
      <c r="C664" s="444" t="s">
        <v>1781</v>
      </c>
      <c r="D664" s="445" t="s">
        <v>74</v>
      </c>
      <c r="E664" s="444"/>
      <c r="F664" s="444" t="s">
        <v>1782</v>
      </c>
      <c r="G664" s="445"/>
      <c r="H664" s="446"/>
      <c r="I664" s="446"/>
      <c r="J664" s="466"/>
      <c r="K664" s="466" t="e">
        <f>SUM(K665,K694)</f>
        <v>#N/A</v>
      </c>
      <c r="L664" s="466" t="e">
        <f>SUM(L665,L694)</f>
        <v>#N/A</v>
      </c>
      <c r="M664" s="467" t="e">
        <f t="shared" si="207"/>
        <v>#N/A</v>
      </c>
      <c r="N664" s="464"/>
      <c r="O664" s="465"/>
      <c r="P664" s="465"/>
      <c r="Q664" s="465"/>
      <c r="R664" s="465"/>
      <c r="S664" s="465"/>
      <c r="T664" s="465"/>
      <c r="U664" s="529"/>
      <c r="V664" s="422"/>
      <c r="W664" s="422"/>
      <c r="X664" s="422"/>
      <c r="Y664" s="422"/>
      <c r="Z664" s="422"/>
    </row>
    <row r="665" ht="12.75" customHeight="1" spans="1:26">
      <c r="A665" s="422"/>
      <c r="B665" s="423" t="str">
        <f>C665</f>
        <v> 14.1.1 </v>
      </c>
      <c r="C665" s="488" t="s">
        <v>1783</v>
      </c>
      <c r="D665" s="489" t="s">
        <v>74</v>
      </c>
      <c r="E665" s="488"/>
      <c r="F665" s="488" t="s">
        <v>1784</v>
      </c>
      <c r="G665" s="489"/>
      <c r="H665" s="490"/>
      <c r="I665" s="490"/>
      <c r="J665" s="490"/>
      <c r="K665" s="490">
        <f>SUMIF(A:A,B665,K:K)</f>
        <v>847271.18</v>
      </c>
      <c r="L665" s="490">
        <f>SUMIF(A:A,C665,L:L)</f>
        <v>1063030.52</v>
      </c>
      <c r="M665" s="496" t="e">
        <f t="shared" si="207"/>
        <v>#N/A</v>
      </c>
      <c r="N665" s="459" t="s">
        <v>6121</v>
      </c>
      <c r="O665" s="460" t="s">
        <v>6122</v>
      </c>
      <c r="P665" s="460" t="s">
        <v>6123</v>
      </c>
      <c r="Q665" s="460" t="s">
        <v>6124</v>
      </c>
      <c r="R665" s="460" t="s">
        <v>6192</v>
      </c>
      <c r="S665" s="460"/>
      <c r="T665" s="460"/>
      <c r="U665" s="524"/>
      <c r="V665" s="422"/>
      <c r="W665" s="422"/>
      <c r="X665" s="422"/>
      <c r="Y665" s="422"/>
      <c r="Z665" s="422"/>
    </row>
    <row r="666" ht="12.75" customHeight="1" spans="1:26">
      <c r="A666" s="422" t="str">
        <f t="shared" ref="A666:A693" si="209">B666</f>
        <v> 14.1.1 </v>
      </c>
      <c r="B666" s="423" t="str">
        <f>B667</f>
        <v> 14.1.1 </v>
      </c>
      <c r="C666" s="441" t="s">
        <v>1785</v>
      </c>
      <c r="D666" s="442" t="s">
        <v>1786</v>
      </c>
      <c r="E666" s="441" t="s">
        <v>132</v>
      </c>
      <c r="F666" s="441" t="s">
        <v>1787</v>
      </c>
      <c r="G666" s="442" t="s">
        <v>204</v>
      </c>
      <c r="H666" s="443">
        <f t="shared" ref="H666:H693" si="210">SUM(N666:T666)</f>
        <v>1952</v>
      </c>
      <c r="I666" s="443">
        <f>VLOOKUP(D666,'Orçamento Analitico'!D:L,9,FALSE())</f>
        <v>10.55</v>
      </c>
      <c r="J666" s="443">
        <f t="shared" ref="J666:J693" si="211">ROUNDDOWN(I666*(1+$G$6),2)</f>
        <v>13.23</v>
      </c>
      <c r="K666" s="443">
        <f t="shared" ref="K666:K693" si="212">ROUNDDOWN(H666*I666,2)</f>
        <v>20593.6</v>
      </c>
      <c r="L666" s="443">
        <f t="shared" ref="L666:L693" si="213">ROUNDDOWN(H666*J666,2)</f>
        <v>25824.96</v>
      </c>
      <c r="M666" s="461" t="e">
        <f t="shared" si="207"/>
        <v>#N/A</v>
      </c>
      <c r="N666" s="464">
        <f>TRUNC(N667*62%,0)</f>
        <v>308</v>
      </c>
      <c r="O666" s="465">
        <f>TRUNC(O667*62%,0)</f>
        <v>582</v>
      </c>
      <c r="P666" s="465">
        <f>TRUNC(P667*62%,0)</f>
        <v>439</v>
      </c>
      <c r="Q666" s="465">
        <f>TRUNC(Q667*62%,0)</f>
        <v>352</v>
      </c>
      <c r="R666" s="465">
        <f>TRUNC(R667*62%,0)</f>
        <v>271</v>
      </c>
      <c r="S666" s="465"/>
      <c r="T666" s="465"/>
      <c r="U666" s="478"/>
      <c r="V666" s="422"/>
      <c r="W666" s="422"/>
      <c r="X666" s="422"/>
      <c r="Y666" s="422"/>
      <c r="Z666" s="422"/>
    </row>
    <row r="667" ht="12.75" customHeight="1" spans="1:26">
      <c r="A667" s="422" t="str">
        <f t="shared" si="209"/>
        <v> 14.1.1 </v>
      </c>
      <c r="B667" s="423" t="str">
        <f t="shared" ref="B667:B693" si="214">B665</f>
        <v> 14.1.1 </v>
      </c>
      <c r="C667" s="441" t="s">
        <v>1788</v>
      </c>
      <c r="D667" s="442" t="s">
        <v>1074</v>
      </c>
      <c r="E667" s="441" t="s">
        <v>77</v>
      </c>
      <c r="F667" s="441" t="s">
        <v>1075</v>
      </c>
      <c r="G667" s="442" t="s">
        <v>204</v>
      </c>
      <c r="H667" s="443">
        <f t="shared" si="210"/>
        <v>3154</v>
      </c>
      <c r="I667" s="443">
        <f>VLOOKUP(D667,'Orçamento Analitico'!D:L,9,FALSE())</f>
        <v>21.39</v>
      </c>
      <c r="J667" s="443">
        <f t="shared" si="211"/>
        <v>26.84</v>
      </c>
      <c r="K667" s="443">
        <f t="shared" si="212"/>
        <v>67464.06</v>
      </c>
      <c r="L667" s="443">
        <f t="shared" si="213"/>
        <v>84653.36</v>
      </c>
      <c r="M667" s="461" t="e">
        <f t="shared" si="207"/>
        <v>#N/A</v>
      </c>
      <c r="N667" s="464">
        <v>498</v>
      </c>
      <c r="O667" s="465">
        <v>940</v>
      </c>
      <c r="P667" s="465">
        <v>709</v>
      </c>
      <c r="Q667" s="465">
        <v>569</v>
      </c>
      <c r="R667" s="465">
        <v>438</v>
      </c>
      <c r="S667" s="465"/>
      <c r="T667" s="465"/>
      <c r="U667" s="478"/>
      <c r="V667" s="422"/>
      <c r="W667" s="422"/>
      <c r="X667" s="422"/>
      <c r="Y667" s="422"/>
      <c r="Z667" s="422"/>
    </row>
    <row r="668" ht="12.75" customHeight="1" spans="1:26">
      <c r="A668" s="422" t="str">
        <f t="shared" si="209"/>
        <v> 14.1.1 </v>
      </c>
      <c r="B668" s="423" t="str">
        <f t="shared" si="214"/>
        <v> 14.1.1 </v>
      </c>
      <c r="C668" s="441" t="s">
        <v>1789</v>
      </c>
      <c r="D668" s="442" t="s">
        <v>1790</v>
      </c>
      <c r="E668" s="441" t="s">
        <v>132</v>
      </c>
      <c r="F668" s="441" t="s">
        <v>1791</v>
      </c>
      <c r="G668" s="442" t="s">
        <v>204</v>
      </c>
      <c r="H668" s="443">
        <f t="shared" si="210"/>
        <v>10</v>
      </c>
      <c r="I668" s="443">
        <f>VLOOKUP(D668,'Orçamento Analitico'!D:L,9,FALSE())</f>
        <v>38.01</v>
      </c>
      <c r="J668" s="443">
        <f t="shared" si="211"/>
        <v>47.69</v>
      </c>
      <c r="K668" s="443">
        <f t="shared" si="212"/>
        <v>380.1</v>
      </c>
      <c r="L668" s="443">
        <f t="shared" si="213"/>
        <v>476.9</v>
      </c>
      <c r="M668" s="461" t="e">
        <f t="shared" si="207"/>
        <v>#N/A</v>
      </c>
      <c r="N668" s="464">
        <v>10</v>
      </c>
      <c r="O668" s="465"/>
      <c r="P668" s="465"/>
      <c r="Q668" s="465"/>
      <c r="R668" s="465"/>
      <c r="S668" s="465"/>
      <c r="T668" s="465"/>
      <c r="U668" s="478"/>
      <c r="V668" s="422"/>
      <c r="W668" s="422"/>
      <c r="X668" s="422"/>
      <c r="Y668" s="422"/>
      <c r="Z668" s="422"/>
    </row>
    <row r="669" ht="12.75" customHeight="1" spans="1:26">
      <c r="A669" s="422" t="str">
        <f t="shared" si="209"/>
        <v> 14.1.1 </v>
      </c>
      <c r="B669" s="423" t="str">
        <f t="shared" si="214"/>
        <v> 14.1.1 </v>
      </c>
      <c r="C669" s="441" t="s">
        <v>1792</v>
      </c>
      <c r="D669" s="442" t="s">
        <v>1793</v>
      </c>
      <c r="E669" s="441" t="s">
        <v>149</v>
      </c>
      <c r="F669" s="441" t="s">
        <v>1794</v>
      </c>
      <c r="G669" s="442" t="s">
        <v>204</v>
      </c>
      <c r="H669" s="443">
        <f t="shared" si="210"/>
        <v>742</v>
      </c>
      <c r="I669" s="443">
        <f>VLOOKUP(D669,'Orçamento Analitico'!D:L,9,FALSE())</f>
        <v>27.96</v>
      </c>
      <c r="J669" s="443">
        <f t="shared" si="211"/>
        <v>35.08</v>
      </c>
      <c r="K669" s="443">
        <f t="shared" si="212"/>
        <v>20746.32</v>
      </c>
      <c r="L669" s="443">
        <f t="shared" si="213"/>
        <v>26029.36</v>
      </c>
      <c r="M669" s="461" t="e">
        <f t="shared" si="207"/>
        <v>#N/A</v>
      </c>
      <c r="N669" s="464">
        <v>108</v>
      </c>
      <c r="O669" s="465">
        <v>224</v>
      </c>
      <c r="P669" s="465">
        <v>164</v>
      </c>
      <c r="Q669" s="465">
        <v>138</v>
      </c>
      <c r="R669" s="465">
        <v>108</v>
      </c>
      <c r="S669" s="465"/>
      <c r="T669" s="465"/>
      <c r="U669" s="479"/>
      <c r="V669" s="422"/>
      <c r="W669" s="422"/>
      <c r="X669" s="422"/>
      <c r="Y669" s="422"/>
      <c r="Z669" s="422"/>
    </row>
    <row r="670" ht="12.75" customHeight="1" spans="1:26">
      <c r="A670" s="422" t="str">
        <f t="shared" si="209"/>
        <v> 14.1.1 </v>
      </c>
      <c r="B670" s="423" t="str">
        <f t="shared" si="214"/>
        <v> 14.1.1 </v>
      </c>
      <c r="C670" s="441" t="s">
        <v>1795</v>
      </c>
      <c r="D670" s="442" t="s">
        <v>1796</v>
      </c>
      <c r="E670" s="441" t="s">
        <v>132</v>
      </c>
      <c r="F670" s="441" t="s">
        <v>1797</v>
      </c>
      <c r="G670" s="442" t="s">
        <v>134</v>
      </c>
      <c r="H670" s="443">
        <f t="shared" si="210"/>
        <v>1302</v>
      </c>
      <c r="I670" s="443">
        <f>VLOOKUP(D670,'Orçamento Analitico'!D:L,9,FALSE())</f>
        <v>14.24</v>
      </c>
      <c r="J670" s="443">
        <f t="shared" si="211"/>
        <v>17.86</v>
      </c>
      <c r="K670" s="443">
        <f t="shared" si="212"/>
        <v>18540.48</v>
      </c>
      <c r="L670" s="443">
        <f t="shared" si="213"/>
        <v>23253.72</v>
      </c>
      <c r="M670" s="461" t="e">
        <f t="shared" si="207"/>
        <v>#N/A</v>
      </c>
      <c r="N670" s="464">
        <f>ROUND(SUM(N667:N669)/3,0)</f>
        <v>205</v>
      </c>
      <c r="O670" s="465">
        <f>ROUND(SUM(O667:O669)/3,0)</f>
        <v>388</v>
      </c>
      <c r="P670" s="465">
        <f>ROUND(SUM(P667:P669)/3,0)</f>
        <v>291</v>
      </c>
      <c r="Q670" s="465">
        <f>ROUND(SUM(Q667:Q669)/3,0)</f>
        <v>236</v>
      </c>
      <c r="R670" s="465">
        <f>ROUND(SUM(R667:R669)/3,0)</f>
        <v>182</v>
      </c>
      <c r="S670" s="465"/>
      <c r="T670" s="465"/>
      <c r="U670" s="479"/>
      <c r="V670" s="422"/>
      <c r="W670" s="422"/>
      <c r="X670" s="422"/>
      <c r="Y670" s="422"/>
      <c r="Z670" s="422"/>
    </row>
    <row r="671" ht="12.75" customHeight="1" spans="1:26">
      <c r="A671" s="422" t="str">
        <f t="shared" si="209"/>
        <v> 14.1.1 </v>
      </c>
      <c r="B671" s="423" t="str">
        <f t="shared" si="214"/>
        <v> 14.1.1 </v>
      </c>
      <c r="C671" s="441" t="s">
        <v>1798</v>
      </c>
      <c r="D671" s="442" t="s">
        <v>1736</v>
      </c>
      <c r="E671" s="441" t="s">
        <v>139</v>
      </c>
      <c r="F671" s="441" t="s">
        <v>1737</v>
      </c>
      <c r="G671" s="442" t="s">
        <v>134</v>
      </c>
      <c r="H671" s="443">
        <f t="shared" si="210"/>
        <v>250</v>
      </c>
      <c r="I671" s="443">
        <f>VLOOKUP(D671,'Orçamento Analitico'!D:L,9,FALSE())</f>
        <v>52.68</v>
      </c>
      <c r="J671" s="443">
        <f t="shared" si="211"/>
        <v>66.1</v>
      </c>
      <c r="K671" s="443">
        <f t="shared" si="212"/>
        <v>13170</v>
      </c>
      <c r="L671" s="443">
        <f t="shared" si="213"/>
        <v>16525</v>
      </c>
      <c r="M671" s="461" t="e">
        <f t="shared" si="207"/>
        <v>#N/A</v>
      </c>
      <c r="N671" s="464">
        <v>65</v>
      </c>
      <c r="O671" s="465">
        <v>46</v>
      </c>
      <c r="P671" s="465">
        <v>46</v>
      </c>
      <c r="Q671" s="465">
        <v>40</v>
      </c>
      <c r="R671" s="465">
        <v>53</v>
      </c>
      <c r="S671" s="465"/>
      <c r="T671" s="465"/>
      <c r="U671" s="479"/>
      <c r="V671" s="422"/>
      <c r="W671" s="422"/>
      <c r="X671" s="422"/>
      <c r="Y671" s="422"/>
      <c r="Z671" s="422"/>
    </row>
    <row r="672" ht="12.75" customHeight="1" spans="1:26">
      <c r="A672" s="422" t="str">
        <f t="shared" si="209"/>
        <v> 14.1.1 </v>
      </c>
      <c r="B672" s="423" t="str">
        <f t="shared" si="214"/>
        <v> 14.1.1 </v>
      </c>
      <c r="C672" s="441" t="s">
        <v>1799</v>
      </c>
      <c r="D672" s="442" t="s">
        <v>1107</v>
      </c>
      <c r="E672" s="441" t="s">
        <v>139</v>
      </c>
      <c r="F672" s="441" t="s">
        <v>1108</v>
      </c>
      <c r="G672" s="442" t="s">
        <v>134</v>
      </c>
      <c r="H672" s="443">
        <f t="shared" si="210"/>
        <v>236</v>
      </c>
      <c r="I672" s="443">
        <f>VLOOKUP(D672,'Orçamento Analitico'!D:L,9,FALSE())</f>
        <v>44.86</v>
      </c>
      <c r="J672" s="443">
        <f t="shared" si="211"/>
        <v>56.29</v>
      </c>
      <c r="K672" s="443">
        <f t="shared" si="212"/>
        <v>10586.96</v>
      </c>
      <c r="L672" s="443">
        <f t="shared" si="213"/>
        <v>13284.44</v>
      </c>
      <c r="M672" s="461" t="e">
        <f t="shared" si="207"/>
        <v>#N/A</v>
      </c>
      <c r="N672" s="464">
        <v>45</v>
      </c>
      <c r="O672" s="465">
        <v>65</v>
      </c>
      <c r="P672" s="465">
        <v>65</v>
      </c>
      <c r="Q672" s="465">
        <v>25</v>
      </c>
      <c r="R672" s="465">
        <v>36</v>
      </c>
      <c r="S672" s="465"/>
      <c r="T672" s="465"/>
      <c r="U672" s="479"/>
      <c r="V672" s="422"/>
      <c r="W672" s="422"/>
      <c r="X672" s="422"/>
      <c r="Y672" s="422"/>
      <c r="Z672" s="422"/>
    </row>
    <row r="673" ht="12.75" customHeight="1" spans="1:26">
      <c r="A673" s="422" t="str">
        <f t="shared" si="209"/>
        <v> 14.1.1 </v>
      </c>
      <c r="B673" s="423" t="str">
        <f t="shared" si="214"/>
        <v> 14.1.1 </v>
      </c>
      <c r="C673" s="441" t="s">
        <v>1800</v>
      </c>
      <c r="D673" s="442" t="s">
        <v>1801</v>
      </c>
      <c r="E673" s="441" t="s">
        <v>139</v>
      </c>
      <c r="F673" s="441" t="s">
        <v>1802</v>
      </c>
      <c r="G673" s="442" t="s">
        <v>134</v>
      </c>
      <c r="H673" s="443">
        <f t="shared" si="210"/>
        <v>48</v>
      </c>
      <c r="I673" s="443">
        <f>VLOOKUP(D673,'Orçamento Analitico'!D:L,9,FALSE())</f>
        <v>39.4</v>
      </c>
      <c r="J673" s="443">
        <f t="shared" si="211"/>
        <v>49.44</v>
      </c>
      <c r="K673" s="443">
        <f t="shared" si="212"/>
        <v>1891.2</v>
      </c>
      <c r="L673" s="443">
        <f t="shared" si="213"/>
        <v>2373.12</v>
      </c>
      <c r="M673" s="461" t="e">
        <f t="shared" si="207"/>
        <v>#N/A</v>
      </c>
      <c r="N673" s="464">
        <v>12</v>
      </c>
      <c r="O673" s="465">
        <v>9</v>
      </c>
      <c r="P673" s="465">
        <v>7</v>
      </c>
      <c r="Q673" s="465">
        <v>7</v>
      </c>
      <c r="R673" s="465">
        <v>13</v>
      </c>
      <c r="S673" s="465"/>
      <c r="T673" s="465"/>
      <c r="U673" s="479"/>
      <c r="V673" s="422"/>
      <c r="W673" s="422"/>
      <c r="X673" s="422"/>
      <c r="Y673" s="422"/>
      <c r="Z673" s="422"/>
    </row>
    <row r="674" ht="12.75" customHeight="1" spans="1:26">
      <c r="A674" s="422" t="str">
        <f t="shared" si="209"/>
        <v> 14.1.1 </v>
      </c>
      <c r="B674" s="423" t="str">
        <f t="shared" si="214"/>
        <v> 14.1.1 </v>
      </c>
      <c r="C674" s="441" t="s">
        <v>1803</v>
      </c>
      <c r="D674" s="442" t="s">
        <v>1116</v>
      </c>
      <c r="E674" s="441" t="s">
        <v>139</v>
      </c>
      <c r="F674" s="441" t="s">
        <v>1117</v>
      </c>
      <c r="G674" s="442" t="s">
        <v>134</v>
      </c>
      <c r="H674" s="443">
        <f t="shared" si="210"/>
        <v>22</v>
      </c>
      <c r="I674" s="443">
        <f>VLOOKUP(D674,'Orçamento Analitico'!D:L,9,FALSE())</f>
        <v>36.35</v>
      </c>
      <c r="J674" s="443">
        <f t="shared" si="211"/>
        <v>45.61</v>
      </c>
      <c r="K674" s="443">
        <f t="shared" si="212"/>
        <v>799.7</v>
      </c>
      <c r="L674" s="443">
        <f t="shared" si="213"/>
        <v>1003.42</v>
      </c>
      <c r="M674" s="461" t="e">
        <f t="shared" si="207"/>
        <v>#N/A</v>
      </c>
      <c r="N674" s="464">
        <v>6</v>
      </c>
      <c r="O674" s="465">
        <v>5</v>
      </c>
      <c r="P674" s="465">
        <v>5</v>
      </c>
      <c r="Q674" s="465">
        <v>3</v>
      </c>
      <c r="R674" s="465">
        <v>3</v>
      </c>
      <c r="S674" s="465"/>
      <c r="T674" s="465"/>
      <c r="U674" s="479"/>
      <c r="V674" s="422"/>
      <c r="W674" s="422"/>
      <c r="X674" s="422"/>
      <c r="Y674" s="422"/>
      <c r="Z674" s="422"/>
    </row>
    <row r="675" ht="12.75" customHeight="1" spans="1:26">
      <c r="A675" s="422" t="str">
        <f t="shared" si="209"/>
        <v> 14.1.1 </v>
      </c>
      <c r="B675" s="423" t="str">
        <f t="shared" si="214"/>
        <v> 14.1.1 </v>
      </c>
      <c r="C675" s="441" t="s">
        <v>1804</v>
      </c>
      <c r="D675" s="442" t="s">
        <v>1805</v>
      </c>
      <c r="E675" s="441" t="s">
        <v>139</v>
      </c>
      <c r="F675" s="441" t="s">
        <v>1806</v>
      </c>
      <c r="G675" s="442" t="s">
        <v>134</v>
      </c>
      <c r="H675" s="443">
        <f t="shared" si="210"/>
        <v>3</v>
      </c>
      <c r="I675" s="443">
        <f>VLOOKUP(D675,'Orçamento Analitico'!D:L,9,FALSE())</f>
        <v>56.33</v>
      </c>
      <c r="J675" s="443">
        <f t="shared" si="211"/>
        <v>70.68</v>
      </c>
      <c r="K675" s="443">
        <f t="shared" si="212"/>
        <v>168.99</v>
      </c>
      <c r="L675" s="443">
        <f t="shared" si="213"/>
        <v>212.04</v>
      </c>
      <c r="M675" s="461" t="e">
        <f t="shared" si="207"/>
        <v>#N/A</v>
      </c>
      <c r="N675" s="464"/>
      <c r="O675" s="465">
        <v>1</v>
      </c>
      <c r="P675" s="465">
        <v>1</v>
      </c>
      <c r="Q675" s="465">
        <v>1</v>
      </c>
      <c r="R675" s="465"/>
      <c r="S675" s="465"/>
      <c r="T675" s="465"/>
      <c r="U675" s="479"/>
      <c r="V675" s="422"/>
      <c r="W675" s="422"/>
      <c r="X675" s="422"/>
      <c r="Y675" s="422"/>
      <c r="Z675" s="422"/>
    </row>
    <row r="676" ht="34.5" customHeight="1" spans="1:26">
      <c r="A676" s="422" t="str">
        <f t="shared" si="209"/>
        <v> 14.1.1 </v>
      </c>
      <c r="B676" s="423" t="str">
        <f t="shared" si="214"/>
        <v> 14.1.1 </v>
      </c>
      <c r="C676" s="441" t="s">
        <v>1807</v>
      </c>
      <c r="D676" s="442" t="s">
        <v>1122</v>
      </c>
      <c r="E676" s="441" t="s">
        <v>132</v>
      </c>
      <c r="F676" s="441" t="s">
        <v>1123</v>
      </c>
      <c r="G676" s="442" t="s">
        <v>134</v>
      </c>
      <c r="H676" s="443">
        <f t="shared" si="210"/>
        <v>2101</v>
      </c>
      <c r="I676" s="443">
        <f>VLOOKUP(D676,'Orçamento Analitico'!D:L,9,FALSE())</f>
        <v>11.59</v>
      </c>
      <c r="J676" s="443">
        <f t="shared" si="211"/>
        <v>14.54</v>
      </c>
      <c r="K676" s="443">
        <f t="shared" si="212"/>
        <v>24350.59</v>
      </c>
      <c r="L676" s="443">
        <f t="shared" si="213"/>
        <v>30548.54</v>
      </c>
      <c r="M676" s="461" t="e">
        <f t="shared" si="207"/>
        <v>#N/A</v>
      </c>
      <c r="N676" s="464">
        <f t="shared" ref="N676:S676" si="215">TRUNC(SUM(N667)/1.5,0)</f>
        <v>332</v>
      </c>
      <c r="O676" s="465">
        <f t="shared" si="215"/>
        <v>626</v>
      </c>
      <c r="P676" s="465">
        <f t="shared" si="215"/>
        <v>472</v>
      </c>
      <c r="Q676" s="465">
        <f t="shared" si="215"/>
        <v>379</v>
      </c>
      <c r="R676" s="465">
        <f t="shared" si="215"/>
        <v>292</v>
      </c>
      <c r="S676" s="465">
        <f t="shared" si="215"/>
        <v>0</v>
      </c>
      <c r="T676" s="465"/>
      <c r="U676" s="479"/>
      <c r="V676" s="422"/>
      <c r="W676" s="422"/>
      <c r="X676" s="422"/>
      <c r="Y676" s="422"/>
      <c r="Z676" s="422"/>
    </row>
    <row r="677" ht="34.5" customHeight="1" spans="1:26">
      <c r="A677" s="422" t="str">
        <f t="shared" si="209"/>
        <v> 14.1.1 </v>
      </c>
      <c r="B677" s="423" t="str">
        <f t="shared" si="214"/>
        <v> 14.1.1 </v>
      </c>
      <c r="C677" s="441" t="s">
        <v>1808</v>
      </c>
      <c r="D677" s="442" t="s">
        <v>1119</v>
      </c>
      <c r="E677" s="441" t="s">
        <v>132</v>
      </c>
      <c r="F677" s="441" t="s">
        <v>1120</v>
      </c>
      <c r="G677" s="442" t="s">
        <v>134</v>
      </c>
      <c r="H677" s="443">
        <f t="shared" si="210"/>
        <v>6</v>
      </c>
      <c r="I677" s="443">
        <f>VLOOKUP(D677,'Orçamento Analitico'!D:L,9,FALSE())</f>
        <v>11.38</v>
      </c>
      <c r="J677" s="443">
        <f t="shared" si="211"/>
        <v>14.28</v>
      </c>
      <c r="K677" s="443">
        <f t="shared" si="212"/>
        <v>68.28</v>
      </c>
      <c r="L677" s="443">
        <f t="shared" si="213"/>
        <v>85.68</v>
      </c>
      <c r="M677" s="461" t="e">
        <f t="shared" si="207"/>
        <v>#N/A</v>
      </c>
      <c r="N677" s="464">
        <f>TRUNC(SUM(N668)/1.5,0)</f>
        <v>6</v>
      </c>
      <c r="O677" s="465">
        <f>TRUNC(SUM(O668)/1.5,0)</f>
        <v>0</v>
      </c>
      <c r="P677" s="465">
        <f>TRUNC(SUM(P668)/1.5,0)</f>
        <v>0</v>
      </c>
      <c r="Q677" s="465">
        <f>TRUNC(SUM(Q668)/1.5,0)</f>
        <v>0</v>
      </c>
      <c r="R677" s="465">
        <f>TRUNC(SUM(R668)/1.5,0)</f>
        <v>0</v>
      </c>
      <c r="S677" s="465"/>
      <c r="T677" s="465"/>
      <c r="U677" s="479"/>
      <c r="V677" s="422"/>
      <c r="W677" s="422"/>
      <c r="X677" s="422"/>
      <c r="Y677" s="422"/>
      <c r="Z677" s="422"/>
    </row>
    <row r="678" ht="12.75" customHeight="1" spans="1:26">
      <c r="A678" s="422" t="str">
        <f t="shared" si="209"/>
        <v> 14.1.1 </v>
      </c>
      <c r="B678" s="423" t="str">
        <f t="shared" si="214"/>
        <v> 14.1.1 </v>
      </c>
      <c r="C678" s="441" t="s">
        <v>1809</v>
      </c>
      <c r="D678" s="442" t="s">
        <v>859</v>
      </c>
      <c r="E678" s="441" t="s">
        <v>132</v>
      </c>
      <c r="F678" s="441" t="s">
        <v>860</v>
      </c>
      <c r="G678" s="442" t="s">
        <v>134</v>
      </c>
      <c r="H678" s="443">
        <f t="shared" si="210"/>
        <v>2107</v>
      </c>
      <c r="I678" s="443">
        <f>VLOOKUP(D678,'Orçamento Analitico'!D:L,9,FALSE())</f>
        <v>25.31</v>
      </c>
      <c r="J678" s="443">
        <f t="shared" si="211"/>
        <v>31.76</v>
      </c>
      <c r="K678" s="443">
        <f t="shared" si="212"/>
        <v>53328.17</v>
      </c>
      <c r="L678" s="443">
        <f t="shared" si="213"/>
        <v>66918.32</v>
      </c>
      <c r="M678" s="461" t="e">
        <f t="shared" si="207"/>
        <v>#N/A</v>
      </c>
      <c r="N678" s="464">
        <f t="shared" ref="N678:S678" si="216">SUM(N676:N677)</f>
        <v>338</v>
      </c>
      <c r="O678" s="465">
        <f t="shared" si="216"/>
        <v>626</v>
      </c>
      <c r="P678" s="465">
        <f t="shared" si="216"/>
        <v>472</v>
      </c>
      <c r="Q678" s="465">
        <f t="shared" si="216"/>
        <v>379</v>
      </c>
      <c r="R678" s="465">
        <f t="shared" si="216"/>
        <v>292</v>
      </c>
      <c r="S678" s="465">
        <f t="shared" si="216"/>
        <v>0</v>
      </c>
      <c r="T678" s="465"/>
      <c r="U678" s="479"/>
      <c r="V678" s="422"/>
      <c r="W678" s="422"/>
      <c r="X678" s="422"/>
      <c r="Y678" s="422"/>
      <c r="Z678" s="422"/>
    </row>
    <row r="679" ht="12.75" customHeight="1" spans="1:26">
      <c r="A679" s="422" t="str">
        <f t="shared" si="209"/>
        <v> 14.1.1 </v>
      </c>
      <c r="B679" s="423" t="str">
        <f t="shared" si="214"/>
        <v> 14.1.1 </v>
      </c>
      <c r="C679" s="510" t="s">
        <v>1810</v>
      </c>
      <c r="D679" s="511" t="s">
        <v>862</v>
      </c>
      <c r="E679" s="510" t="s">
        <v>796</v>
      </c>
      <c r="F679" s="510" t="s">
        <v>863</v>
      </c>
      <c r="G679" s="511" t="s">
        <v>334</v>
      </c>
      <c r="H679" s="512">
        <f t="shared" si="210"/>
        <v>8428</v>
      </c>
      <c r="I679" s="512">
        <f>VLOOKUP(D679,'Orçamento Analitico'!D:L,9,FALSE())</f>
        <v>0.06</v>
      </c>
      <c r="J679" s="512">
        <f t="shared" si="211"/>
        <v>0.07</v>
      </c>
      <c r="K679" s="512">
        <f t="shared" si="212"/>
        <v>505.68</v>
      </c>
      <c r="L679" s="512">
        <f t="shared" si="213"/>
        <v>589.96</v>
      </c>
      <c r="M679" s="528" t="e">
        <f t="shared" si="207"/>
        <v>#N/A</v>
      </c>
      <c r="N679" s="464">
        <f t="shared" ref="N679:S679" si="217">ROUND(N678*4,0)</f>
        <v>1352</v>
      </c>
      <c r="O679" s="465">
        <f t="shared" si="217"/>
        <v>2504</v>
      </c>
      <c r="P679" s="465">
        <f t="shared" si="217"/>
        <v>1888</v>
      </c>
      <c r="Q679" s="465">
        <f t="shared" si="217"/>
        <v>1516</v>
      </c>
      <c r="R679" s="465">
        <f t="shared" si="217"/>
        <v>1168</v>
      </c>
      <c r="S679" s="465">
        <f t="shared" si="217"/>
        <v>0</v>
      </c>
      <c r="T679" s="465"/>
      <c r="U679" s="479"/>
      <c r="V679" s="422"/>
      <c r="W679" s="422"/>
      <c r="X679" s="422"/>
      <c r="Y679" s="422"/>
      <c r="Z679" s="422"/>
    </row>
    <row r="680" ht="12.75" customHeight="1" spans="1:26">
      <c r="A680" s="422" t="str">
        <f t="shared" si="209"/>
        <v> 14.1.1 </v>
      </c>
      <c r="B680" s="423" t="str">
        <f t="shared" si="214"/>
        <v> 14.1.1 </v>
      </c>
      <c r="C680" s="441" t="s">
        <v>1811</v>
      </c>
      <c r="D680" s="442" t="s">
        <v>865</v>
      </c>
      <c r="E680" s="441" t="s">
        <v>132</v>
      </c>
      <c r="F680" s="441" t="s">
        <v>866</v>
      </c>
      <c r="G680" s="442" t="s">
        <v>134</v>
      </c>
      <c r="H680" s="443">
        <f t="shared" si="210"/>
        <v>4214</v>
      </c>
      <c r="I680" s="443">
        <f>VLOOKUP(D680,'Orçamento Analitico'!D:L,9,FALSE())</f>
        <v>0.12</v>
      </c>
      <c r="J680" s="443">
        <f t="shared" si="211"/>
        <v>0.15</v>
      </c>
      <c r="K680" s="443">
        <f t="shared" si="212"/>
        <v>505.68</v>
      </c>
      <c r="L680" s="443">
        <f t="shared" si="213"/>
        <v>632.1</v>
      </c>
      <c r="M680" s="461" t="e">
        <f t="shared" si="207"/>
        <v>#N/A</v>
      </c>
      <c r="N680" s="464">
        <f t="shared" ref="N680:S680" si="218">ROUND(N678*2,0)</f>
        <v>676</v>
      </c>
      <c r="O680" s="465">
        <f t="shared" si="218"/>
        <v>1252</v>
      </c>
      <c r="P680" s="465">
        <f t="shared" si="218"/>
        <v>944</v>
      </c>
      <c r="Q680" s="465">
        <f t="shared" si="218"/>
        <v>758</v>
      </c>
      <c r="R680" s="465">
        <f t="shared" si="218"/>
        <v>584</v>
      </c>
      <c r="S680" s="465">
        <f t="shared" si="218"/>
        <v>0</v>
      </c>
      <c r="T680" s="465"/>
      <c r="U680" s="479"/>
      <c r="V680" s="422"/>
      <c r="W680" s="422"/>
      <c r="X680" s="422"/>
      <c r="Y680" s="422"/>
      <c r="Z680" s="422"/>
    </row>
    <row r="681" ht="12.75" customHeight="1" spans="1:26">
      <c r="A681" s="422" t="str">
        <f t="shared" si="209"/>
        <v> 14.1.1 </v>
      </c>
      <c r="B681" s="423" t="str">
        <f t="shared" si="214"/>
        <v> 14.1.1 </v>
      </c>
      <c r="C681" s="441" t="s">
        <v>1812</v>
      </c>
      <c r="D681" s="442" t="s">
        <v>1744</v>
      </c>
      <c r="E681" s="441" t="s">
        <v>132</v>
      </c>
      <c r="F681" s="441" t="s">
        <v>1745</v>
      </c>
      <c r="G681" s="442" t="s">
        <v>134</v>
      </c>
      <c r="H681" s="443">
        <f t="shared" si="210"/>
        <v>2101</v>
      </c>
      <c r="I681" s="443">
        <f>VLOOKUP(D681,'Orçamento Analitico'!D:L,9,FALSE())</f>
        <v>3.68</v>
      </c>
      <c r="J681" s="443">
        <f t="shared" si="211"/>
        <v>4.61</v>
      </c>
      <c r="K681" s="443">
        <f t="shared" si="212"/>
        <v>7731.68</v>
      </c>
      <c r="L681" s="443">
        <f t="shared" si="213"/>
        <v>9685.61</v>
      </c>
      <c r="M681" s="461" t="e">
        <f t="shared" si="207"/>
        <v>#N/A</v>
      </c>
      <c r="N681" s="464">
        <f t="shared" ref="N681:S681" si="219">N676</f>
        <v>332</v>
      </c>
      <c r="O681" s="465">
        <f t="shared" si="219"/>
        <v>626</v>
      </c>
      <c r="P681" s="465">
        <f t="shared" si="219"/>
        <v>472</v>
      </c>
      <c r="Q681" s="465">
        <f t="shared" si="219"/>
        <v>379</v>
      </c>
      <c r="R681" s="465">
        <f t="shared" si="219"/>
        <v>292</v>
      </c>
      <c r="S681" s="465">
        <f t="shared" si="219"/>
        <v>0</v>
      </c>
      <c r="T681" s="465"/>
      <c r="U681" s="479"/>
      <c r="V681" s="422"/>
      <c r="W681" s="422"/>
      <c r="X681" s="422"/>
      <c r="Y681" s="422"/>
      <c r="Z681" s="422"/>
    </row>
    <row r="682" ht="12.75" customHeight="1" spans="1:26">
      <c r="A682" s="422" t="str">
        <f t="shared" si="209"/>
        <v> 14.1.1 </v>
      </c>
      <c r="B682" s="423" t="str">
        <f t="shared" si="214"/>
        <v> 14.1.1 </v>
      </c>
      <c r="C682" s="441" t="s">
        <v>1813</v>
      </c>
      <c r="D682" s="442" t="s">
        <v>1250</v>
      </c>
      <c r="E682" s="441" t="s">
        <v>132</v>
      </c>
      <c r="F682" s="441" t="s">
        <v>1251</v>
      </c>
      <c r="G682" s="442" t="s">
        <v>134</v>
      </c>
      <c r="H682" s="443">
        <f t="shared" si="210"/>
        <v>6</v>
      </c>
      <c r="I682" s="443">
        <f>VLOOKUP(D682,'Orçamento Analitico'!D:L,9,FALSE())</f>
        <v>3.33</v>
      </c>
      <c r="J682" s="443">
        <f t="shared" si="211"/>
        <v>4.17</v>
      </c>
      <c r="K682" s="443">
        <f t="shared" si="212"/>
        <v>19.98</v>
      </c>
      <c r="L682" s="443">
        <f t="shared" si="213"/>
        <v>25.02</v>
      </c>
      <c r="M682" s="461" t="e">
        <f t="shared" si="207"/>
        <v>#N/A</v>
      </c>
      <c r="N682" s="464">
        <f t="shared" ref="N682:S682" si="220">N677</f>
        <v>6</v>
      </c>
      <c r="O682" s="465">
        <f t="shared" si="220"/>
        <v>0</v>
      </c>
      <c r="P682" s="465">
        <f t="shared" si="220"/>
        <v>0</v>
      </c>
      <c r="Q682" s="465">
        <f t="shared" si="220"/>
        <v>0</v>
      </c>
      <c r="R682" s="465">
        <f t="shared" si="220"/>
        <v>0</v>
      </c>
      <c r="S682" s="465">
        <f t="shared" si="220"/>
        <v>0</v>
      </c>
      <c r="T682" s="465"/>
      <c r="U682" s="479"/>
      <c r="V682" s="422"/>
      <c r="W682" s="422"/>
      <c r="X682" s="422"/>
      <c r="Y682" s="422"/>
      <c r="Z682" s="422"/>
    </row>
    <row r="683" ht="12.75" customHeight="1" spans="1:26">
      <c r="A683" s="422" t="str">
        <f t="shared" si="209"/>
        <v> 14.1.1 </v>
      </c>
      <c r="B683" s="423" t="str">
        <f t="shared" si="214"/>
        <v> 14.1.1 </v>
      </c>
      <c r="C683" s="441" t="s">
        <v>1814</v>
      </c>
      <c r="D683" s="442" t="s">
        <v>1815</v>
      </c>
      <c r="E683" s="441" t="s">
        <v>77</v>
      </c>
      <c r="F683" s="441" t="s">
        <v>1816</v>
      </c>
      <c r="G683" s="442" t="s">
        <v>204</v>
      </c>
      <c r="H683" s="443">
        <f t="shared" si="210"/>
        <v>3936</v>
      </c>
      <c r="I683" s="443">
        <f>VLOOKUP(D683,'Orçamento Analitico'!D:L,9,FALSE())</f>
        <v>7.94</v>
      </c>
      <c r="J683" s="443">
        <f t="shared" si="211"/>
        <v>9.96</v>
      </c>
      <c r="K683" s="443">
        <f t="shared" si="212"/>
        <v>31251.84</v>
      </c>
      <c r="L683" s="443">
        <f t="shared" si="213"/>
        <v>39202.56</v>
      </c>
      <c r="M683" s="461" t="e">
        <f t="shared" si="207"/>
        <v>#N/A</v>
      </c>
      <c r="N683" s="464">
        <v>1020</v>
      </c>
      <c r="O683" s="465">
        <v>940</v>
      </c>
      <c r="P683" s="465">
        <v>748</v>
      </c>
      <c r="Q683" s="465">
        <v>614</v>
      </c>
      <c r="R683" s="465">
        <v>614</v>
      </c>
      <c r="S683" s="465"/>
      <c r="T683" s="465"/>
      <c r="U683" s="479"/>
      <c r="V683" s="422"/>
      <c r="W683" s="422"/>
      <c r="X683" s="422"/>
      <c r="Y683" s="422"/>
      <c r="Z683" s="422"/>
    </row>
    <row r="684" ht="12.75" customHeight="1" spans="1:26">
      <c r="A684" s="422" t="str">
        <f t="shared" si="209"/>
        <v> 14.1.1 </v>
      </c>
      <c r="B684" s="423" t="str">
        <f t="shared" si="214"/>
        <v> 14.1.1 </v>
      </c>
      <c r="C684" s="441" t="s">
        <v>1817</v>
      </c>
      <c r="D684" s="442" t="s">
        <v>1818</v>
      </c>
      <c r="E684" s="441" t="s">
        <v>132</v>
      </c>
      <c r="F684" s="441" t="s">
        <v>1819</v>
      </c>
      <c r="G684" s="442" t="s">
        <v>204</v>
      </c>
      <c r="H684" s="443">
        <f t="shared" si="210"/>
        <v>6604</v>
      </c>
      <c r="I684" s="443">
        <f>VLOOKUP(D684,'Orçamento Analitico'!D:L,9,FALSE())</f>
        <v>13.02</v>
      </c>
      <c r="J684" s="443">
        <f t="shared" si="211"/>
        <v>16.33</v>
      </c>
      <c r="K684" s="443">
        <f t="shared" si="212"/>
        <v>85984.08</v>
      </c>
      <c r="L684" s="443">
        <f t="shared" si="213"/>
        <v>107843.32</v>
      </c>
      <c r="M684" s="461" t="e">
        <f t="shared" si="207"/>
        <v>#N/A</v>
      </c>
      <c r="N684" s="464">
        <v>1890</v>
      </c>
      <c r="O684" s="465">
        <v>1605</v>
      </c>
      <c r="P684" s="465">
        <v>1235</v>
      </c>
      <c r="Q684" s="465">
        <v>1084</v>
      </c>
      <c r="R684" s="465">
        <v>790</v>
      </c>
      <c r="S684" s="465"/>
      <c r="T684" s="465"/>
      <c r="U684" s="479"/>
      <c r="V684" s="422"/>
      <c r="W684" s="422"/>
      <c r="X684" s="422"/>
      <c r="Y684" s="422"/>
      <c r="Z684" s="422"/>
    </row>
    <row r="685" ht="12.75" customHeight="1" spans="1:26">
      <c r="A685" s="422" t="str">
        <f t="shared" si="209"/>
        <v> 14.1.1 </v>
      </c>
      <c r="B685" s="423" t="str">
        <f t="shared" si="214"/>
        <v> 14.1.1 </v>
      </c>
      <c r="C685" s="441" t="s">
        <v>1820</v>
      </c>
      <c r="D685" s="442" t="s">
        <v>1821</v>
      </c>
      <c r="E685" s="441" t="s">
        <v>132</v>
      </c>
      <c r="F685" s="441" t="s">
        <v>1822</v>
      </c>
      <c r="G685" s="442" t="s">
        <v>134</v>
      </c>
      <c r="H685" s="443">
        <f t="shared" si="210"/>
        <v>1</v>
      </c>
      <c r="I685" s="443">
        <f>VLOOKUP(D685,'Orçamento Analitico'!D:L,9,FALSE())</f>
        <v>47319.59</v>
      </c>
      <c r="J685" s="443">
        <f t="shared" si="211"/>
        <v>59381.35</v>
      </c>
      <c r="K685" s="443">
        <f t="shared" si="212"/>
        <v>47319.59</v>
      </c>
      <c r="L685" s="443">
        <f t="shared" si="213"/>
        <v>59381.35</v>
      </c>
      <c r="M685" s="461" t="e">
        <f t="shared" si="207"/>
        <v>#N/A</v>
      </c>
      <c r="N685" s="464">
        <v>1</v>
      </c>
      <c r="O685" s="465"/>
      <c r="P685" s="465"/>
      <c r="Q685" s="465"/>
      <c r="R685" s="465"/>
      <c r="S685" s="465"/>
      <c r="T685" s="465"/>
      <c r="U685" s="479"/>
      <c r="V685" s="422"/>
      <c r="W685" s="422"/>
      <c r="X685" s="422"/>
      <c r="Y685" s="422"/>
      <c r="Z685" s="422"/>
    </row>
    <row r="686" ht="12.75" customHeight="1" spans="1:26">
      <c r="A686" s="422" t="str">
        <f t="shared" si="209"/>
        <v> 14.1.1 </v>
      </c>
      <c r="B686" s="423" t="str">
        <f t="shared" si="214"/>
        <v> 14.1.1 </v>
      </c>
      <c r="C686" s="441" t="s">
        <v>1824</v>
      </c>
      <c r="D686" s="442" t="s">
        <v>1825</v>
      </c>
      <c r="E686" s="441" t="s">
        <v>132</v>
      </c>
      <c r="F686" s="441" t="s">
        <v>1826</v>
      </c>
      <c r="G686" s="442" t="s">
        <v>134</v>
      </c>
      <c r="H686" s="443">
        <f t="shared" si="210"/>
        <v>30</v>
      </c>
      <c r="I686" s="443">
        <f>VLOOKUP(D686,'Orçamento Analitico'!D:L,9,FALSE())</f>
        <v>505.58</v>
      </c>
      <c r="J686" s="443">
        <f t="shared" si="211"/>
        <v>634.45</v>
      </c>
      <c r="K686" s="443">
        <f t="shared" si="212"/>
        <v>15167.4</v>
      </c>
      <c r="L686" s="443">
        <f t="shared" si="213"/>
        <v>19033.5</v>
      </c>
      <c r="M686" s="461" t="e">
        <f t="shared" si="207"/>
        <v>#N/A</v>
      </c>
      <c r="N686" s="464">
        <v>11</v>
      </c>
      <c r="O686" s="465">
        <v>6</v>
      </c>
      <c r="P686" s="465">
        <v>5</v>
      </c>
      <c r="Q686" s="465">
        <v>3</v>
      </c>
      <c r="R686" s="465">
        <v>5</v>
      </c>
      <c r="S686" s="465"/>
      <c r="T686" s="465"/>
      <c r="U686" s="479"/>
      <c r="V686" s="422"/>
      <c r="W686" s="422"/>
      <c r="X686" s="422"/>
      <c r="Y686" s="422"/>
      <c r="Z686" s="422"/>
    </row>
    <row r="687" ht="12.75" customHeight="1" spans="1:26">
      <c r="A687" s="422" t="str">
        <f t="shared" si="209"/>
        <v> 14.1.1 </v>
      </c>
      <c r="B687" s="423" t="str">
        <f t="shared" si="214"/>
        <v> 14.1.1 </v>
      </c>
      <c r="C687" s="441" t="s">
        <v>1827</v>
      </c>
      <c r="D687" s="442" t="s">
        <v>1828</v>
      </c>
      <c r="E687" s="441" t="s">
        <v>132</v>
      </c>
      <c r="F687" s="441" t="s">
        <v>1829</v>
      </c>
      <c r="G687" s="442" t="s">
        <v>134</v>
      </c>
      <c r="H687" s="443">
        <f t="shared" si="210"/>
        <v>30</v>
      </c>
      <c r="I687" s="443">
        <f>VLOOKUP(D687,'Orçamento Analitico'!D:L,9,FALSE())</f>
        <v>391.73</v>
      </c>
      <c r="J687" s="443">
        <f t="shared" si="211"/>
        <v>491.58</v>
      </c>
      <c r="K687" s="443">
        <f t="shared" si="212"/>
        <v>11751.9</v>
      </c>
      <c r="L687" s="443">
        <f t="shared" si="213"/>
        <v>14747.4</v>
      </c>
      <c r="M687" s="461" t="e">
        <f t="shared" si="207"/>
        <v>#N/A</v>
      </c>
      <c r="N687" s="464">
        <v>11</v>
      </c>
      <c r="O687" s="465">
        <v>6</v>
      </c>
      <c r="P687" s="465">
        <v>5</v>
      </c>
      <c r="Q687" s="465">
        <v>3</v>
      </c>
      <c r="R687" s="465">
        <v>5</v>
      </c>
      <c r="S687" s="465"/>
      <c r="T687" s="465"/>
      <c r="U687" s="479"/>
      <c r="V687" s="422"/>
      <c r="W687" s="422"/>
      <c r="X687" s="422"/>
      <c r="Y687" s="422"/>
      <c r="Z687" s="422"/>
    </row>
    <row r="688" ht="12.75" customHeight="1" spans="1:26">
      <c r="A688" s="422" t="str">
        <f t="shared" si="209"/>
        <v> 14.1.1 </v>
      </c>
      <c r="B688" s="423" t="str">
        <f t="shared" si="214"/>
        <v> 14.1.1 </v>
      </c>
      <c r="C688" s="441" t="s">
        <v>1830</v>
      </c>
      <c r="D688" s="442" t="s">
        <v>1831</v>
      </c>
      <c r="E688" s="441" t="s">
        <v>132</v>
      </c>
      <c r="F688" s="441" t="s">
        <v>1832</v>
      </c>
      <c r="G688" s="442" t="s">
        <v>134</v>
      </c>
      <c r="H688" s="443">
        <f t="shared" si="210"/>
        <v>884</v>
      </c>
      <c r="I688" s="443">
        <f>VLOOKUP(D688,'Orçamento Analitico'!D:L,9,FALSE())</f>
        <v>105.95</v>
      </c>
      <c r="J688" s="443">
        <f t="shared" si="211"/>
        <v>132.95</v>
      </c>
      <c r="K688" s="443">
        <f t="shared" si="212"/>
        <v>93659.8</v>
      </c>
      <c r="L688" s="443">
        <f t="shared" si="213"/>
        <v>117527.8</v>
      </c>
      <c r="M688" s="461" t="e">
        <f t="shared" si="207"/>
        <v>#N/A</v>
      </c>
      <c r="N688" s="464">
        <f>SUM(N689:N690)</f>
        <v>232</v>
      </c>
      <c r="O688" s="465">
        <f>SUM(O689:O690)</f>
        <v>215</v>
      </c>
      <c r="P688" s="465">
        <f>SUM(P689:P690)</f>
        <v>162</v>
      </c>
      <c r="Q688" s="465">
        <f>SUM(Q689:Q690)</f>
        <v>145</v>
      </c>
      <c r="R688" s="465">
        <f>SUM(R689:R690)</f>
        <v>130</v>
      </c>
      <c r="S688" s="465"/>
      <c r="T688" s="465"/>
      <c r="U688" s="479"/>
      <c r="V688" s="422"/>
      <c r="W688" s="422"/>
      <c r="X688" s="422"/>
      <c r="Y688" s="422"/>
      <c r="Z688" s="422"/>
    </row>
    <row r="689" ht="12.75" customHeight="1" spans="1:26">
      <c r="A689" s="422" t="str">
        <f t="shared" si="209"/>
        <v> 14.1.1 </v>
      </c>
      <c r="B689" s="423" t="str">
        <f t="shared" si="214"/>
        <v> 14.1.1 </v>
      </c>
      <c r="C689" s="441" t="s">
        <v>1833</v>
      </c>
      <c r="D689" s="442" t="s">
        <v>1834</v>
      </c>
      <c r="E689" s="441" t="s">
        <v>132</v>
      </c>
      <c r="F689" s="441" t="s">
        <v>1835</v>
      </c>
      <c r="G689" s="442" t="s">
        <v>134</v>
      </c>
      <c r="H689" s="443">
        <f t="shared" si="210"/>
        <v>882</v>
      </c>
      <c r="I689" s="443">
        <f>VLOOKUP(D689,'Orçamento Analitico'!D:L,9,FALSE())</f>
        <v>327.73</v>
      </c>
      <c r="J689" s="443">
        <f t="shared" si="211"/>
        <v>411.26</v>
      </c>
      <c r="K689" s="443">
        <f t="shared" si="212"/>
        <v>289057.86</v>
      </c>
      <c r="L689" s="443">
        <f t="shared" si="213"/>
        <v>362731.32</v>
      </c>
      <c r="M689" s="461" t="e">
        <f t="shared" si="207"/>
        <v>#N/A</v>
      </c>
      <c r="N689" s="464">
        <v>232</v>
      </c>
      <c r="O689" s="465">
        <v>215</v>
      </c>
      <c r="P689" s="465">
        <v>162</v>
      </c>
      <c r="Q689" s="465">
        <v>143</v>
      </c>
      <c r="R689" s="465">
        <v>130</v>
      </c>
      <c r="S689" s="465"/>
      <c r="T689" s="465"/>
      <c r="U689" s="479"/>
      <c r="V689" s="422"/>
      <c r="W689" s="422"/>
      <c r="X689" s="422"/>
      <c r="Y689" s="422"/>
      <c r="Z689" s="422"/>
    </row>
    <row r="690" ht="12.75" customHeight="1" spans="1:26">
      <c r="A690" s="422" t="str">
        <f t="shared" si="209"/>
        <v> 14.1.1 </v>
      </c>
      <c r="B690" s="423" t="str">
        <f t="shared" si="214"/>
        <v> 14.1.1 </v>
      </c>
      <c r="C690" s="441" t="s">
        <v>1836</v>
      </c>
      <c r="D690" s="442" t="s">
        <v>1837</v>
      </c>
      <c r="E690" s="441" t="s">
        <v>132</v>
      </c>
      <c r="F690" s="441" t="s">
        <v>1838</v>
      </c>
      <c r="G690" s="442" t="s">
        <v>134</v>
      </c>
      <c r="H690" s="443">
        <f t="shared" si="210"/>
        <v>2</v>
      </c>
      <c r="I690" s="443">
        <f>VLOOKUP(D690,'Orçamento Analitico'!D:L,9,FALSE())</f>
        <v>361.69</v>
      </c>
      <c r="J690" s="443">
        <f t="shared" si="211"/>
        <v>453.88</v>
      </c>
      <c r="K690" s="443">
        <f t="shared" si="212"/>
        <v>723.38</v>
      </c>
      <c r="L690" s="443">
        <f t="shared" si="213"/>
        <v>907.76</v>
      </c>
      <c r="M690" s="461" t="e">
        <f t="shared" si="207"/>
        <v>#N/A</v>
      </c>
      <c r="N690" s="464"/>
      <c r="O690" s="465"/>
      <c r="P690" s="465"/>
      <c r="Q690" s="465">
        <v>2</v>
      </c>
      <c r="R690" s="465"/>
      <c r="S690" s="465"/>
      <c r="T690" s="465"/>
      <c r="U690" s="479"/>
      <c r="V690" s="422"/>
      <c r="W690" s="422"/>
      <c r="X690" s="422"/>
      <c r="Y690" s="422"/>
      <c r="Z690" s="422"/>
    </row>
    <row r="691" ht="12.75" customHeight="1" spans="1:26">
      <c r="A691" s="422" t="str">
        <f t="shared" si="209"/>
        <v> 14.1.1 </v>
      </c>
      <c r="B691" s="423" t="str">
        <f t="shared" si="214"/>
        <v> 14.1.1 </v>
      </c>
      <c r="C691" s="441" t="s">
        <v>1839</v>
      </c>
      <c r="D691" s="442" t="s">
        <v>1840</v>
      </c>
      <c r="E691" s="441" t="s">
        <v>132</v>
      </c>
      <c r="F691" s="441" t="s">
        <v>1841</v>
      </c>
      <c r="G691" s="442" t="s">
        <v>134</v>
      </c>
      <c r="H691" s="443">
        <f t="shared" si="210"/>
        <v>10</v>
      </c>
      <c r="I691" s="443">
        <f>VLOOKUP(D691,'Orçamento Analitico'!D:L,9,FALSE())</f>
        <v>1617.79</v>
      </c>
      <c r="J691" s="443">
        <f t="shared" si="211"/>
        <v>2030.16</v>
      </c>
      <c r="K691" s="443">
        <f t="shared" si="212"/>
        <v>16177.9</v>
      </c>
      <c r="L691" s="443">
        <f t="shared" si="213"/>
        <v>20301.6</v>
      </c>
      <c r="M691" s="461" t="e">
        <f t="shared" si="207"/>
        <v>#N/A</v>
      </c>
      <c r="N691" s="464">
        <v>10</v>
      </c>
      <c r="O691" s="465"/>
      <c r="P691" s="465"/>
      <c r="Q691" s="465"/>
      <c r="R691" s="465"/>
      <c r="S691" s="465"/>
      <c r="T691" s="465"/>
      <c r="U691" s="479"/>
      <c r="V691" s="422"/>
      <c r="W691" s="422"/>
      <c r="X691" s="422"/>
      <c r="Y691" s="422"/>
      <c r="Z691" s="422"/>
    </row>
    <row r="692" ht="12.75" customHeight="1" spans="1:26">
      <c r="A692" s="422" t="str">
        <f t="shared" si="209"/>
        <v> 14.1.1 </v>
      </c>
      <c r="B692" s="423" t="str">
        <f t="shared" si="214"/>
        <v> 14.1.1 </v>
      </c>
      <c r="C692" s="441" t="s">
        <v>1842</v>
      </c>
      <c r="D692" s="442" t="s">
        <v>1843</v>
      </c>
      <c r="E692" s="441" t="s">
        <v>132</v>
      </c>
      <c r="F692" s="441" t="s">
        <v>1844</v>
      </c>
      <c r="G692" s="442" t="s">
        <v>134</v>
      </c>
      <c r="H692" s="443">
        <f t="shared" si="210"/>
        <v>2</v>
      </c>
      <c r="I692" s="443">
        <f>VLOOKUP(D692,'Orçamento Analitico'!D:L,9,FALSE())</f>
        <v>3422.52</v>
      </c>
      <c r="J692" s="443">
        <f t="shared" si="211"/>
        <v>4294.92</v>
      </c>
      <c r="K692" s="443">
        <f t="shared" si="212"/>
        <v>6845.04</v>
      </c>
      <c r="L692" s="443">
        <f t="shared" si="213"/>
        <v>8589.84</v>
      </c>
      <c r="M692" s="461" t="e">
        <f t="shared" si="207"/>
        <v>#N/A</v>
      </c>
      <c r="N692" s="464">
        <v>2</v>
      </c>
      <c r="O692" s="465"/>
      <c r="P692" s="465"/>
      <c r="Q692" s="465"/>
      <c r="R692" s="465"/>
      <c r="S692" s="465"/>
      <c r="T692" s="465"/>
      <c r="U692" s="479"/>
      <c r="V692" s="422"/>
      <c r="W692" s="422"/>
      <c r="X692" s="422"/>
      <c r="Y692" s="422"/>
      <c r="Z692" s="422"/>
    </row>
    <row r="693" ht="12.75" customHeight="1" spans="1:26">
      <c r="A693" s="422" t="str">
        <f t="shared" si="209"/>
        <v> 14.1.1 </v>
      </c>
      <c r="B693" s="423" t="str">
        <f t="shared" si="214"/>
        <v> 14.1.1 </v>
      </c>
      <c r="C693" s="441" t="s">
        <v>1845</v>
      </c>
      <c r="D693" s="442" t="s">
        <v>1846</v>
      </c>
      <c r="E693" s="441" t="s">
        <v>132</v>
      </c>
      <c r="F693" s="441" t="s">
        <v>1847</v>
      </c>
      <c r="G693" s="442" t="s">
        <v>134</v>
      </c>
      <c r="H693" s="443">
        <f t="shared" si="210"/>
        <v>28</v>
      </c>
      <c r="I693" s="443">
        <f>VLOOKUP(D693,'Orçamento Analitico'!D:L,9,FALSE())</f>
        <v>302.89</v>
      </c>
      <c r="J693" s="443">
        <f t="shared" si="211"/>
        <v>380.09</v>
      </c>
      <c r="K693" s="443">
        <f t="shared" si="212"/>
        <v>8480.92</v>
      </c>
      <c r="L693" s="443">
        <f t="shared" si="213"/>
        <v>10642.52</v>
      </c>
      <c r="M693" s="461" t="e">
        <f t="shared" si="207"/>
        <v>#N/A</v>
      </c>
      <c r="N693" s="464">
        <v>7</v>
      </c>
      <c r="O693" s="465">
        <v>6</v>
      </c>
      <c r="P693" s="465">
        <v>5</v>
      </c>
      <c r="Q693" s="465">
        <v>5</v>
      </c>
      <c r="R693" s="465">
        <v>5</v>
      </c>
      <c r="S693" s="465"/>
      <c r="T693" s="465"/>
      <c r="U693" s="479"/>
      <c r="V693" s="422"/>
      <c r="W693" s="422"/>
      <c r="X693" s="422"/>
      <c r="Y693" s="422"/>
      <c r="Z693" s="422"/>
    </row>
    <row r="694" ht="12.75" customHeight="1" spans="1:26">
      <c r="A694" s="422"/>
      <c r="B694" s="423" t="str">
        <f>C694</f>
        <v> 14.1.2 </v>
      </c>
      <c r="C694" s="488" t="s">
        <v>1848</v>
      </c>
      <c r="D694" s="489" t="s">
        <v>74</v>
      </c>
      <c r="E694" s="488"/>
      <c r="F694" s="488" t="s">
        <v>1849</v>
      </c>
      <c r="G694" s="489"/>
      <c r="H694" s="490"/>
      <c r="I694" s="490"/>
      <c r="J694" s="490"/>
      <c r="K694" s="490" t="e">
        <f>SUMIF(A:A,B694,K:K)</f>
        <v>#N/A</v>
      </c>
      <c r="L694" s="490" t="e">
        <f>SUMIF(A:A,C694,L:L)</f>
        <v>#N/A</v>
      </c>
      <c r="M694" s="496" t="e">
        <f t="shared" si="207"/>
        <v>#N/A</v>
      </c>
      <c r="N694" s="464"/>
      <c r="O694" s="465"/>
      <c r="P694" s="465"/>
      <c r="Q694" s="465"/>
      <c r="R694" s="465"/>
      <c r="S694" s="465"/>
      <c r="T694" s="465"/>
      <c r="U694" s="479"/>
      <c r="V694" s="422"/>
      <c r="W694" s="422"/>
      <c r="X694" s="422"/>
      <c r="Y694" s="422"/>
      <c r="Z694" s="422"/>
    </row>
    <row r="695" ht="26.25" customHeight="1" spans="1:26">
      <c r="A695" s="422" t="str">
        <f t="shared" ref="A695:A700" si="221">B695</f>
        <v> 14.1.2 </v>
      </c>
      <c r="B695" s="423" t="str">
        <f t="shared" ref="B695:B700" si="222">B694</f>
        <v> 14.1.2 </v>
      </c>
      <c r="C695" s="510" t="s">
        <v>1850</v>
      </c>
      <c r="D695" s="511" t="s">
        <v>1851</v>
      </c>
      <c r="E695" s="510" t="s">
        <v>796</v>
      </c>
      <c r="F695" s="510" t="s">
        <v>1852</v>
      </c>
      <c r="G695" s="511" t="s">
        <v>334</v>
      </c>
      <c r="H695" s="512">
        <f>N695</f>
        <v>1</v>
      </c>
      <c r="I695" s="512" t="e">
        <f>VLOOKUP(D695,'Orçamento Analitico'!D:L,9,FALSE())</f>
        <v>#N/A</v>
      </c>
      <c r="J695" s="512" t="e">
        <f t="shared" ref="J695:J700" si="223">ROUNDDOWN(I695*(1+$G$6),2)</f>
        <v>#N/A</v>
      </c>
      <c r="K695" s="512" t="e">
        <f t="shared" ref="K695:K700" si="224">ROUNDDOWN(H695*I695,2)</f>
        <v>#N/A</v>
      </c>
      <c r="L695" s="512" t="e">
        <f t="shared" ref="L695:L700" si="225">ROUNDDOWN(H695*J695,2)</f>
        <v>#N/A</v>
      </c>
      <c r="M695" s="528" t="e">
        <f t="shared" si="207"/>
        <v>#N/A</v>
      </c>
      <c r="N695" s="464">
        <v>1</v>
      </c>
      <c r="O695" s="465"/>
      <c r="P695" s="465"/>
      <c r="Q695" s="465"/>
      <c r="R695" s="465"/>
      <c r="S695" s="465"/>
      <c r="T695" s="465"/>
      <c r="U695" s="479"/>
      <c r="V695" s="422"/>
      <c r="W695" s="422"/>
      <c r="X695" s="422"/>
      <c r="Y695" s="422"/>
      <c r="Z695" s="422"/>
    </row>
    <row r="696" ht="61.5" customHeight="1" spans="1:26">
      <c r="A696" s="422" t="str">
        <f t="shared" si="221"/>
        <v> 14.1.2 </v>
      </c>
      <c r="B696" s="423" t="str">
        <f t="shared" si="222"/>
        <v> 14.1.2 </v>
      </c>
      <c r="C696" s="441" t="s">
        <v>1853</v>
      </c>
      <c r="D696" s="442" t="s">
        <v>1649</v>
      </c>
      <c r="E696" s="441" t="s">
        <v>139</v>
      </c>
      <c r="F696" s="441" t="s">
        <v>1650</v>
      </c>
      <c r="G696" s="442" t="s">
        <v>279</v>
      </c>
      <c r="H696" s="443">
        <f>T696</f>
        <v>119.36</v>
      </c>
      <c r="I696" s="443">
        <f>VLOOKUP(D696,'Orçamento Analitico'!D:L,9,FALSE())</f>
        <v>17.37</v>
      </c>
      <c r="J696" s="443">
        <f t="shared" si="223"/>
        <v>21.79</v>
      </c>
      <c r="K696" s="443">
        <f t="shared" si="224"/>
        <v>2073.28</v>
      </c>
      <c r="L696" s="443">
        <f t="shared" si="225"/>
        <v>2600.85</v>
      </c>
      <c r="M696" s="461" t="e">
        <f t="shared" si="207"/>
        <v>#N/A</v>
      </c>
      <c r="N696" s="464">
        <f>5.2+25.8+14.4+17.1+2.8+17.2+9+40.3+6.5+6.8+26.5+4.2+2.2+8.5</f>
        <v>186.5</v>
      </c>
      <c r="O696" s="494" t="s">
        <v>6128</v>
      </c>
      <c r="P696" s="465">
        <v>0.8</v>
      </c>
      <c r="Q696" s="494" t="s">
        <v>6128</v>
      </c>
      <c r="R696" s="465">
        <v>0.8</v>
      </c>
      <c r="S696" s="494" t="s">
        <v>6129</v>
      </c>
      <c r="T696" s="465">
        <f>ROUND(N696*P696*R696,2)</f>
        <v>119.36</v>
      </c>
      <c r="U696" s="479"/>
      <c r="V696" s="422"/>
      <c r="W696" s="422"/>
      <c r="X696" s="422"/>
      <c r="Y696" s="422"/>
      <c r="Z696" s="422"/>
    </row>
    <row r="697" ht="61.5" customHeight="1" spans="1:26">
      <c r="A697" s="422" t="str">
        <f t="shared" si="221"/>
        <v> 14.1.2 </v>
      </c>
      <c r="B697" s="423" t="str">
        <f t="shared" si="222"/>
        <v> 14.1.2 </v>
      </c>
      <c r="C697" s="441" t="s">
        <v>1854</v>
      </c>
      <c r="D697" s="442" t="s">
        <v>1652</v>
      </c>
      <c r="E697" s="441" t="s">
        <v>139</v>
      </c>
      <c r="F697" s="441" t="s">
        <v>1653</v>
      </c>
      <c r="G697" s="442" t="s">
        <v>279</v>
      </c>
      <c r="H697" s="443">
        <f>T697</f>
        <v>82.76</v>
      </c>
      <c r="I697" s="443">
        <f>VLOOKUP(D697,'Orçamento Analitico'!D:L,9,FALSE())</f>
        <v>22.09</v>
      </c>
      <c r="J697" s="443">
        <f t="shared" si="223"/>
        <v>27.72</v>
      </c>
      <c r="K697" s="443">
        <f t="shared" si="224"/>
        <v>1828.16</v>
      </c>
      <c r="L697" s="443">
        <f t="shared" si="225"/>
        <v>2294.1</v>
      </c>
      <c r="M697" s="461" t="e">
        <f t="shared" si="207"/>
        <v>#N/A</v>
      </c>
      <c r="N697" s="464"/>
      <c r="O697" s="465"/>
      <c r="P697" s="465">
        <f>T696</f>
        <v>119.36</v>
      </c>
      <c r="Q697" s="494" t="s">
        <v>6178</v>
      </c>
      <c r="R697" s="465">
        <f>ROUND(N700*(3.14*(0.5/2)^2),2)</f>
        <v>36.6</v>
      </c>
      <c r="S697" s="494" t="s">
        <v>6129</v>
      </c>
      <c r="T697" s="465">
        <f>P697-R697</f>
        <v>82.76</v>
      </c>
      <c r="U697" s="479"/>
      <c r="V697" s="422"/>
      <c r="W697" s="422"/>
      <c r="X697" s="422"/>
      <c r="Y697" s="422"/>
      <c r="Z697" s="422"/>
    </row>
    <row r="698" ht="61.5" customHeight="1" spans="1:26">
      <c r="A698" s="422" t="str">
        <f t="shared" si="221"/>
        <v> 14.1.2 </v>
      </c>
      <c r="B698" s="423" t="str">
        <f t="shared" si="222"/>
        <v> 14.1.2 </v>
      </c>
      <c r="C698" s="441" t="s">
        <v>1855</v>
      </c>
      <c r="D698" s="442" t="s">
        <v>1262</v>
      </c>
      <c r="E698" s="441" t="s">
        <v>132</v>
      </c>
      <c r="F698" s="441" t="s">
        <v>1263</v>
      </c>
      <c r="G698" s="442" t="s">
        <v>134</v>
      </c>
      <c r="H698" s="443">
        <f>SUM(N698:T698)</f>
        <v>11</v>
      </c>
      <c r="I698" s="443">
        <f>VLOOKUP(D698,'Orçamento Analitico'!D:L,9,FALSE())</f>
        <v>1081.08</v>
      </c>
      <c r="J698" s="443">
        <f t="shared" si="223"/>
        <v>1356.64</v>
      </c>
      <c r="K698" s="443">
        <f t="shared" si="224"/>
        <v>11891.88</v>
      </c>
      <c r="L698" s="443">
        <f t="shared" si="225"/>
        <v>14923.04</v>
      </c>
      <c r="M698" s="461" t="e">
        <f t="shared" si="207"/>
        <v>#N/A</v>
      </c>
      <c r="N698" s="464">
        <v>11</v>
      </c>
      <c r="O698" s="465"/>
      <c r="P698" s="465"/>
      <c r="Q698" s="465"/>
      <c r="R698" s="465"/>
      <c r="S698" s="465"/>
      <c r="T698" s="465"/>
      <c r="U698" s="479"/>
      <c r="V698" s="422"/>
      <c r="W698" s="422"/>
      <c r="X698" s="422"/>
      <c r="Y698" s="422"/>
      <c r="Z698" s="422"/>
    </row>
    <row r="699" ht="61.5" customHeight="1" spans="1:26">
      <c r="A699" s="422" t="str">
        <f t="shared" si="221"/>
        <v> 14.1.2 </v>
      </c>
      <c r="B699" s="423" t="str">
        <f t="shared" si="222"/>
        <v> 14.1.2 </v>
      </c>
      <c r="C699" s="441" t="s">
        <v>1856</v>
      </c>
      <c r="D699" s="442" t="s">
        <v>1857</v>
      </c>
      <c r="E699" s="441" t="s">
        <v>139</v>
      </c>
      <c r="F699" s="441" t="s">
        <v>1858</v>
      </c>
      <c r="G699" s="442" t="s">
        <v>279</v>
      </c>
      <c r="H699" s="443">
        <f>T699</f>
        <v>0.53</v>
      </c>
      <c r="I699" s="443">
        <f>VLOOKUP(D699,'Orçamento Analitico'!D:L,9,FALSE())</f>
        <v>344.76</v>
      </c>
      <c r="J699" s="443">
        <f t="shared" si="223"/>
        <v>432.63</v>
      </c>
      <c r="K699" s="443">
        <f t="shared" si="224"/>
        <v>182.72</v>
      </c>
      <c r="L699" s="443">
        <f t="shared" si="225"/>
        <v>229.29</v>
      </c>
      <c r="M699" s="461" t="e">
        <f t="shared" si="207"/>
        <v>#N/A</v>
      </c>
      <c r="N699" s="464">
        <f>N698</f>
        <v>11</v>
      </c>
      <c r="O699" s="494" t="s">
        <v>6128</v>
      </c>
      <c r="P699" s="465">
        <f>ROUND(0.4*0.4,2)</f>
        <v>0.16</v>
      </c>
      <c r="Q699" s="494" t="s">
        <v>6128</v>
      </c>
      <c r="R699" s="465">
        <v>0.3</v>
      </c>
      <c r="S699" s="494" t="s">
        <v>6129</v>
      </c>
      <c r="T699" s="465">
        <f>ROUND(N699*P699*R699,2)</f>
        <v>0.53</v>
      </c>
      <c r="U699" s="479"/>
      <c r="V699" s="422"/>
      <c r="W699" s="422"/>
      <c r="X699" s="422"/>
      <c r="Y699" s="422"/>
      <c r="Z699" s="422"/>
    </row>
    <row r="700" ht="61.5" customHeight="1" spans="1:26">
      <c r="A700" s="422" t="str">
        <f t="shared" si="221"/>
        <v> 14.1.2 </v>
      </c>
      <c r="B700" s="423" t="str">
        <f t="shared" si="222"/>
        <v> 14.1.2 </v>
      </c>
      <c r="C700" s="441" t="s">
        <v>1859</v>
      </c>
      <c r="D700" s="442" t="s">
        <v>1860</v>
      </c>
      <c r="E700" s="441" t="s">
        <v>796</v>
      </c>
      <c r="F700" s="441" t="s">
        <v>1861</v>
      </c>
      <c r="G700" s="442" t="s">
        <v>1508</v>
      </c>
      <c r="H700" s="443">
        <f>SUM(N700:T700)</f>
        <v>186.5</v>
      </c>
      <c r="I700" s="443">
        <f>VLOOKUP(D700,'Orçamento Analitico'!D:L,9,FALSE())</f>
        <v>18.88</v>
      </c>
      <c r="J700" s="443">
        <f t="shared" si="223"/>
        <v>23.69</v>
      </c>
      <c r="K700" s="443">
        <f t="shared" si="224"/>
        <v>3521.12</v>
      </c>
      <c r="L700" s="443">
        <f t="shared" si="225"/>
        <v>4418.18</v>
      </c>
      <c r="M700" s="461" t="e">
        <f t="shared" si="207"/>
        <v>#N/A</v>
      </c>
      <c r="N700" s="464">
        <f>N696</f>
        <v>186.5</v>
      </c>
      <c r="O700" s="465"/>
      <c r="P700" s="465"/>
      <c r="Q700" s="465"/>
      <c r="R700" s="465"/>
      <c r="S700" s="465"/>
      <c r="T700" s="465"/>
      <c r="U700" s="479"/>
      <c r="V700" s="422"/>
      <c r="W700" s="422"/>
      <c r="X700" s="422"/>
      <c r="Y700" s="422"/>
      <c r="Z700" s="422"/>
    </row>
    <row r="701" ht="12.75" customHeight="1" spans="1:26">
      <c r="A701" s="422"/>
      <c r="B701" s="423" t="str">
        <f>C701</f>
        <v> 14.2 </v>
      </c>
      <c r="C701" s="444" t="s">
        <v>1865</v>
      </c>
      <c r="D701" s="445" t="s">
        <v>74</v>
      </c>
      <c r="E701" s="444"/>
      <c r="F701" s="444" t="s">
        <v>1866</v>
      </c>
      <c r="G701" s="445"/>
      <c r="H701" s="446"/>
      <c r="I701" s="446"/>
      <c r="J701" s="466"/>
      <c r="K701" s="466">
        <f>SUM(K702,K744,K762)</f>
        <v>655579.35</v>
      </c>
      <c r="L701" s="466">
        <f>SUM(L702,L744,L762)</f>
        <v>822627.66</v>
      </c>
      <c r="M701" s="467" t="e">
        <f t="shared" si="207"/>
        <v>#N/A</v>
      </c>
      <c r="N701" s="464"/>
      <c r="O701" s="465"/>
      <c r="P701" s="465"/>
      <c r="Q701" s="465"/>
      <c r="R701" s="465"/>
      <c r="S701" s="465"/>
      <c r="T701" s="465"/>
      <c r="U701" s="479"/>
      <c r="V701" s="422"/>
      <c r="W701" s="422"/>
      <c r="X701" s="422"/>
      <c r="Y701" s="422"/>
      <c r="Z701" s="422"/>
    </row>
    <row r="702" ht="12.75" customHeight="1" spans="1:26">
      <c r="A702" s="422"/>
      <c r="B702" s="423" t="str">
        <f>C702</f>
        <v> 14.2.1 </v>
      </c>
      <c r="C702" s="488" t="s">
        <v>1867</v>
      </c>
      <c r="D702" s="489" t="s">
        <v>74</v>
      </c>
      <c r="E702" s="488"/>
      <c r="F702" s="488" t="s">
        <v>1868</v>
      </c>
      <c r="G702" s="489"/>
      <c r="H702" s="490"/>
      <c r="I702" s="490"/>
      <c r="J702" s="490"/>
      <c r="K702" s="490">
        <f>SUMIF(A:A,B702,K:K)</f>
        <v>638681.63</v>
      </c>
      <c r="L702" s="490">
        <f>SUMIF(A:A,C702,L:L)</f>
        <v>801423.94</v>
      </c>
      <c r="M702" s="496" t="e">
        <f t="shared" si="207"/>
        <v>#N/A</v>
      </c>
      <c r="N702" s="464"/>
      <c r="O702" s="465"/>
      <c r="P702" s="465"/>
      <c r="Q702" s="465"/>
      <c r="R702" s="465"/>
      <c r="S702" s="465"/>
      <c r="T702" s="465"/>
      <c r="U702" s="479"/>
      <c r="V702" s="422"/>
      <c r="W702" s="422"/>
      <c r="X702" s="422"/>
      <c r="Y702" s="422"/>
      <c r="Z702" s="422"/>
    </row>
    <row r="703" ht="50.25" customHeight="1" spans="1:26">
      <c r="A703" s="422" t="str">
        <f t="shared" ref="A703:A743" si="226">B703</f>
        <v> 14.2.1 </v>
      </c>
      <c r="B703" s="423" t="str">
        <f t="shared" ref="B703:B743" si="227">B702</f>
        <v> 14.2.1 </v>
      </c>
      <c r="C703" s="441" t="s">
        <v>1869</v>
      </c>
      <c r="D703" s="442" t="s">
        <v>1870</v>
      </c>
      <c r="E703" s="441" t="s">
        <v>139</v>
      </c>
      <c r="F703" s="441" t="s">
        <v>1871</v>
      </c>
      <c r="G703" s="442" t="s">
        <v>204</v>
      </c>
      <c r="H703" s="443">
        <f t="shared" ref="H703:H724" si="228">SUM(N703:R703)</f>
        <v>980</v>
      </c>
      <c r="I703" s="443">
        <f>VLOOKUP(D703,'Orçamento Analitico'!D:L,9,FALSE())</f>
        <v>53.47</v>
      </c>
      <c r="J703" s="443">
        <f t="shared" ref="J703:J743" si="229">ROUNDDOWN(I703*(1+$G$6),2)</f>
        <v>67.09</v>
      </c>
      <c r="K703" s="443">
        <f t="shared" ref="K703:K743" si="230">ROUNDDOWN(H703*I703,2)</f>
        <v>52400.6</v>
      </c>
      <c r="L703" s="443">
        <f t="shared" ref="L703:L743" si="231">ROUNDDOWN(H703*J703,2)</f>
        <v>65748.2</v>
      </c>
      <c r="M703" s="461" t="e">
        <f t="shared" si="207"/>
        <v>#N/A</v>
      </c>
      <c r="N703" s="464">
        <v>980</v>
      </c>
      <c r="O703" s="465"/>
      <c r="P703" s="465"/>
      <c r="Q703" s="465"/>
      <c r="R703" s="465"/>
      <c r="S703" s="465"/>
      <c r="T703" s="465"/>
      <c r="U703" s="479"/>
      <c r="V703" s="422"/>
      <c r="W703" s="422"/>
      <c r="X703" s="422"/>
      <c r="Y703" s="422"/>
      <c r="Z703" s="422"/>
    </row>
    <row r="704" ht="50.25" customHeight="1" spans="1:26">
      <c r="A704" s="422" t="str">
        <f t="shared" si="226"/>
        <v> 14.2.1 </v>
      </c>
      <c r="B704" s="423" t="str">
        <f t="shared" si="227"/>
        <v> 14.2.1 </v>
      </c>
      <c r="C704" s="441" t="s">
        <v>1872</v>
      </c>
      <c r="D704" s="442" t="s">
        <v>1873</v>
      </c>
      <c r="E704" s="441" t="s">
        <v>139</v>
      </c>
      <c r="F704" s="441" t="s">
        <v>1874</v>
      </c>
      <c r="G704" s="442" t="s">
        <v>134</v>
      </c>
      <c r="H704" s="443">
        <f t="shared" si="228"/>
        <v>64</v>
      </c>
      <c r="I704" s="443">
        <f>VLOOKUP(D704,'Orçamento Analitico'!D:L,9,FALSE())</f>
        <v>45.92</v>
      </c>
      <c r="J704" s="443">
        <f t="shared" si="229"/>
        <v>57.62</v>
      </c>
      <c r="K704" s="443">
        <f t="shared" si="230"/>
        <v>2938.88</v>
      </c>
      <c r="L704" s="443">
        <f t="shared" si="231"/>
        <v>3687.68</v>
      </c>
      <c r="M704" s="461" t="e">
        <f t="shared" si="207"/>
        <v>#N/A</v>
      </c>
      <c r="N704" s="464">
        <v>64</v>
      </c>
      <c r="O704" s="465"/>
      <c r="P704" s="465"/>
      <c r="Q704" s="465"/>
      <c r="R704" s="465"/>
      <c r="S704" s="465"/>
      <c r="T704" s="465"/>
      <c r="U704" s="479"/>
      <c r="V704" s="422"/>
      <c r="W704" s="422"/>
      <c r="X704" s="422"/>
      <c r="Y704" s="422"/>
      <c r="Z704" s="422"/>
    </row>
    <row r="705" ht="50.25" customHeight="1" spans="1:26">
      <c r="A705" s="422" t="str">
        <f t="shared" si="226"/>
        <v> 14.2.1 </v>
      </c>
      <c r="B705" s="423" t="str">
        <f t="shared" si="227"/>
        <v> 14.2.1 </v>
      </c>
      <c r="C705" s="441" t="s">
        <v>1875</v>
      </c>
      <c r="D705" s="442" t="s">
        <v>1876</v>
      </c>
      <c r="E705" s="441" t="s">
        <v>139</v>
      </c>
      <c r="F705" s="441" t="s">
        <v>1877</v>
      </c>
      <c r="G705" s="442" t="s">
        <v>134</v>
      </c>
      <c r="H705" s="443">
        <f t="shared" si="228"/>
        <v>309</v>
      </c>
      <c r="I705" s="443">
        <f>VLOOKUP(D705,'Orçamento Analitico'!D:L,9,FALSE())</f>
        <v>33.73</v>
      </c>
      <c r="J705" s="443">
        <f t="shared" si="229"/>
        <v>42.32</v>
      </c>
      <c r="K705" s="443">
        <f t="shared" si="230"/>
        <v>10422.57</v>
      </c>
      <c r="L705" s="443">
        <f t="shared" si="231"/>
        <v>13076.88</v>
      </c>
      <c r="M705" s="461" t="e">
        <f t="shared" si="207"/>
        <v>#N/A</v>
      </c>
      <c r="N705" s="464">
        <v>309</v>
      </c>
      <c r="O705" s="465"/>
      <c r="P705" s="465"/>
      <c r="Q705" s="465"/>
      <c r="R705" s="465"/>
      <c r="S705" s="465"/>
      <c r="T705" s="465"/>
      <c r="U705" s="479"/>
      <c r="V705" s="422"/>
      <c r="W705" s="422"/>
      <c r="X705" s="422"/>
      <c r="Y705" s="422"/>
      <c r="Z705" s="422"/>
    </row>
    <row r="706" ht="50.25" customHeight="1" spans="1:26">
      <c r="A706" s="422" t="str">
        <f t="shared" si="226"/>
        <v> 14.2.1 </v>
      </c>
      <c r="B706" s="423" t="str">
        <f t="shared" si="227"/>
        <v> 14.2.1 </v>
      </c>
      <c r="C706" s="441" t="s">
        <v>1878</v>
      </c>
      <c r="D706" s="442" t="s">
        <v>1879</v>
      </c>
      <c r="E706" s="441" t="s">
        <v>139</v>
      </c>
      <c r="F706" s="441" t="s">
        <v>1880</v>
      </c>
      <c r="G706" s="442" t="s">
        <v>134</v>
      </c>
      <c r="H706" s="443">
        <f t="shared" si="228"/>
        <v>21</v>
      </c>
      <c r="I706" s="443">
        <f>VLOOKUP(D706,'Orçamento Analitico'!D:L,9,FALSE())</f>
        <v>42.09</v>
      </c>
      <c r="J706" s="443">
        <f t="shared" si="229"/>
        <v>52.81</v>
      </c>
      <c r="K706" s="443">
        <f t="shared" si="230"/>
        <v>883.89</v>
      </c>
      <c r="L706" s="443">
        <f t="shared" si="231"/>
        <v>1109.01</v>
      </c>
      <c r="M706" s="461" t="e">
        <f t="shared" si="207"/>
        <v>#N/A</v>
      </c>
      <c r="N706" s="464">
        <v>21</v>
      </c>
      <c r="O706" s="465"/>
      <c r="P706" s="465"/>
      <c r="Q706" s="465"/>
      <c r="R706" s="465"/>
      <c r="S706" s="465"/>
      <c r="T706" s="465"/>
      <c r="U706" s="479"/>
      <c r="V706" s="422"/>
      <c r="W706" s="422"/>
      <c r="X706" s="422"/>
      <c r="Y706" s="422"/>
      <c r="Z706" s="422"/>
    </row>
    <row r="707" ht="50.25" customHeight="1" spans="1:26">
      <c r="A707" s="422" t="str">
        <f t="shared" si="226"/>
        <v> 14.2.1 </v>
      </c>
      <c r="B707" s="423" t="str">
        <f t="shared" si="227"/>
        <v> 14.2.1 </v>
      </c>
      <c r="C707" s="441" t="s">
        <v>1881</v>
      </c>
      <c r="D707" s="442" t="s">
        <v>1882</v>
      </c>
      <c r="E707" s="441" t="s">
        <v>139</v>
      </c>
      <c r="F707" s="441" t="s">
        <v>1883</v>
      </c>
      <c r="G707" s="442" t="s">
        <v>134</v>
      </c>
      <c r="H707" s="443">
        <f t="shared" si="228"/>
        <v>48</v>
      </c>
      <c r="I707" s="443">
        <f>VLOOKUP(D707,'Orçamento Analitico'!D:L,9,FALSE())</f>
        <v>47.84</v>
      </c>
      <c r="J707" s="443">
        <f t="shared" si="229"/>
        <v>60.03</v>
      </c>
      <c r="K707" s="443">
        <f t="shared" si="230"/>
        <v>2296.32</v>
      </c>
      <c r="L707" s="443">
        <f t="shared" si="231"/>
        <v>2881.44</v>
      </c>
      <c r="M707" s="461" t="e">
        <f t="shared" si="207"/>
        <v>#N/A</v>
      </c>
      <c r="N707" s="464">
        <v>48</v>
      </c>
      <c r="O707" s="465"/>
      <c r="P707" s="465"/>
      <c r="Q707" s="465"/>
      <c r="R707" s="465"/>
      <c r="S707" s="465"/>
      <c r="T707" s="465"/>
      <c r="U707" s="479"/>
      <c r="V707" s="422"/>
      <c r="W707" s="422"/>
      <c r="X707" s="422"/>
      <c r="Y707" s="422"/>
      <c r="Z707" s="422"/>
    </row>
    <row r="708" ht="50.25" customHeight="1" spans="1:26">
      <c r="A708" s="422" t="str">
        <f t="shared" si="226"/>
        <v> 14.2.1 </v>
      </c>
      <c r="B708" s="423" t="str">
        <f t="shared" si="227"/>
        <v> 14.2.1 </v>
      </c>
      <c r="C708" s="441" t="s">
        <v>1884</v>
      </c>
      <c r="D708" s="442" t="s">
        <v>1885</v>
      </c>
      <c r="E708" s="441" t="s">
        <v>139</v>
      </c>
      <c r="F708" s="441" t="s">
        <v>1886</v>
      </c>
      <c r="G708" s="442" t="s">
        <v>134</v>
      </c>
      <c r="H708" s="443">
        <f t="shared" si="228"/>
        <v>15</v>
      </c>
      <c r="I708" s="443">
        <f>VLOOKUP(D708,'Orçamento Analitico'!D:L,9,FALSE())</f>
        <v>64.86</v>
      </c>
      <c r="J708" s="443">
        <f t="shared" si="229"/>
        <v>81.39</v>
      </c>
      <c r="K708" s="443">
        <f t="shared" si="230"/>
        <v>972.9</v>
      </c>
      <c r="L708" s="443">
        <f t="shared" si="231"/>
        <v>1220.85</v>
      </c>
      <c r="M708" s="461" t="e">
        <f t="shared" si="207"/>
        <v>#N/A</v>
      </c>
      <c r="N708" s="464">
        <v>15</v>
      </c>
      <c r="O708" s="465"/>
      <c r="P708" s="465"/>
      <c r="Q708" s="465"/>
      <c r="R708" s="465"/>
      <c r="S708" s="465"/>
      <c r="T708" s="465"/>
      <c r="U708" s="479"/>
      <c r="V708" s="422"/>
      <c r="W708" s="422"/>
      <c r="X708" s="422"/>
      <c r="Y708" s="422"/>
      <c r="Z708" s="422"/>
    </row>
    <row r="709" ht="50.25" customHeight="1" spans="1:26">
      <c r="A709" s="422" t="str">
        <f t="shared" si="226"/>
        <v> 14.2.1 </v>
      </c>
      <c r="B709" s="423" t="str">
        <f t="shared" si="227"/>
        <v> 14.2.1 </v>
      </c>
      <c r="C709" s="441" t="s">
        <v>1887</v>
      </c>
      <c r="D709" s="442" t="s">
        <v>1888</v>
      </c>
      <c r="E709" s="441" t="s">
        <v>139</v>
      </c>
      <c r="F709" s="441" t="s">
        <v>1889</v>
      </c>
      <c r="G709" s="442" t="s">
        <v>134</v>
      </c>
      <c r="H709" s="443">
        <f t="shared" si="228"/>
        <v>1522</v>
      </c>
      <c r="I709" s="443">
        <f>VLOOKUP(D709,'Orçamento Analitico'!D:L,9,FALSE())</f>
        <v>53.45</v>
      </c>
      <c r="J709" s="443">
        <f t="shared" si="229"/>
        <v>67.07</v>
      </c>
      <c r="K709" s="443">
        <f t="shared" si="230"/>
        <v>81350.9</v>
      </c>
      <c r="L709" s="443">
        <f t="shared" si="231"/>
        <v>102080.54</v>
      </c>
      <c r="M709" s="461" t="e">
        <f t="shared" si="207"/>
        <v>#N/A</v>
      </c>
      <c r="N709" s="464">
        <v>1522</v>
      </c>
      <c r="O709" s="465"/>
      <c r="P709" s="465"/>
      <c r="Q709" s="465"/>
      <c r="R709" s="465"/>
      <c r="S709" s="465"/>
      <c r="T709" s="465"/>
      <c r="U709" s="479"/>
      <c r="V709" s="422"/>
      <c r="W709" s="422"/>
      <c r="X709" s="422"/>
      <c r="Y709" s="422"/>
      <c r="Z709" s="422"/>
    </row>
    <row r="710" ht="50.25" customHeight="1" spans="1:26">
      <c r="A710" s="422" t="str">
        <f t="shared" si="226"/>
        <v> 14.2.1 </v>
      </c>
      <c r="B710" s="423" t="str">
        <f t="shared" si="227"/>
        <v> 14.2.1 </v>
      </c>
      <c r="C710" s="441" t="s">
        <v>1890</v>
      </c>
      <c r="D710" s="442" t="s">
        <v>1891</v>
      </c>
      <c r="E710" s="441" t="s">
        <v>132</v>
      </c>
      <c r="F710" s="441" t="s">
        <v>1892</v>
      </c>
      <c r="G710" s="442" t="s">
        <v>134</v>
      </c>
      <c r="H710" s="443">
        <f t="shared" si="228"/>
        <v>373</v>
      </c>
      <c r="I710" s="443">
        <f>VLOOKUP(D710,'Orçamento Analitico'!D:L,9,FALSE())</f>
        <v>34.18</v>
      </c>
      <c r="J710" s="443">
        <f t="shared" si="229"/>
        <v>42.89</v>
      </c>
      <c r="K710" s="443">
        <f t="shared" si="230"/>
        <v>12749.14</v>
      </c>
      <c r="L710" s="443">
        <f t="shared" si="231"/>
        <v>15997.97</v>
      </c>
      <c r="M710" s="461" t="e">
        <f t="shared" si="207"/>
        <v>#N/A</v>
      </c>
      <c r="N710" s="464">
        <v>373</v>
      </c>
      <c r="O710" s="465"/>
      <c r="P710" s="465"/>
      <c r="Q710" s="465"/>
      <c r="R710" s="465"/>
      <c r="S710" s="465"/>
      <c r="T710" s="465"/>
      <c r="U710" s="479"/>
      <c r="V710" s="422"/>
      <c r="W710" s="422"/>
      <c r="X710" s="422"/>
      <c r="Y710" s="422"/>
      <c r="Z710" s="422"/>
    </row>
    <row r="711" ht="12.75" customHeight="1" spans="1:26">
      <c r="A711" s="422" t="str">
        <f t="shared" si="226"/>
        <v> 14.2.1 </v>
      </c>
      <c r="B711" s="423" t="str">
        <f t="shared" si="227"/>
        <v> 14.2.1 </v>
      </c>
      <c r="C711" s="441" t="s">
        <v>1893</v>
      </c>
      <c r="D711" s="442" t="s">
        <v>1894</v>
      </c>
      <c r="E711" s="441" t="s">
        <v>149</v>
      </c>
      <c r="F711" s="441" t="s">
        <v>1895</v>
      </c>
      <c r="G711" s="442" t="s">
        <v>134</v>
      </c>
      <c r="H711" s="443">
        <f t="shared" si="228"/>
        <v>1</v>
      </c>
      <c r="I711" s="443">
        <f>VLOOKUP(D711,'Orçamento Analitico'!D:L,9,FALSE())</f>
        <v>487.9</v>
      </c>
      <c r="J711" s="443">
        <f t="shared" si="229"/>
        <v>612.26</v>
      </c>
      <c r="K711" s="443">
        <f t="shared" si="230"/>
        <v>487.9</v>
      </c>
      <c r="L711" s="443">
        <f t="shared" si="231"/>
        <v>612.26</v>
      </c>
      <c r="M711" s="461" t="e">
        <f t="shared" si="207"/>
        <v>#N/A</v>
      </c>
      <c r="N711" s="464">
        <v>1</v>
      </c>
      <c r="O711" s="465"/>
      <c r="P711" s="465"/>
      <c r="Q711" s="465"/>
      <c r="R711" s="465"/>
      <c r="S711" s="465"/>
      <c r="T711" s="465"/>
      <c r="U711" s="479"/>
      <c r="V711" s="422"/>
      <c r="W711" s="422"/>
      <c r="X711" s="422"/>
      <c r="Y711" s="422"/>
      <c r="Z711" s="422"/>
    </row>
    <row r="712" ht="12.75" customHeight="1" spans="1:26">
      <c r="A712" s="422" t="str">
        <f t="shared" si="226"/>
        <v> 14.2.1 </v>
      </c>
      <c r="B712" s="423" t="str">
        <f t="shared" si="227"/>
        <v> 14.2.1 </v>
      </c>
      <c r="C712" s="441" t="s">
        <v>1896</v>
      </c>
      <c r="D712" s="442" t="s">
        <v>1897</v>
      </c>
      <c r="E712" s="441" t="s">
        <v>139</v>
      </c>
      <c r="F712" s="441" t="s">
        <v>1898</v>
      </c>
      <c r="G712" s="442" t="s">
        <v>134</v>
      </c>
      <c r="H712" s="443">
        <f t="shared" si="228"/>
        <v>1</v>
      </c>
      <c r="I712" s="443">
        <f>VLOOKUP(D712,'Orçamento Analitico'!D:L,9,FALSE())</f>
        <v>566.4</v>
      </c>
      <c r="J712" s="443">
        <f t="shared" si="229"/>
        <v>710.77</v>
      </c>
      <c r="K712" s="443">
        <f t="shared" si="230"/>
        <v>566.4</v>
      </c>
      <c r="L712" s="443">
        <f t="shared" si="231"/>
        <v>710.77</v>
      </c>
      <c r="M712" s="461" t="e">
        <f t="shared" ref="M712:M775" si="232">K712/$L$1062</f>
        <v>#N/A</v>
      </c>
      <c r="N712" s="464">
        <v>1</v>
      </c>
      <c r="O712" s="465"/>
      <c r="P712" s="465"/>
      <c r="Q712" s="465"/>
      <c r="R712" s="465"/>
      <c r="S712" s="465"/>
      <c r="T712" s="465"/>
      <c r="U712" s="479"/>
      <c r="V712" s="422"/>
      <c r="W712" s="422"/>
      <c r="X712" s="422"/>
      <c r="Y712" s="422"/>
      <c r="Z712" s="422"/>
    </row>
    <row r="713" ht="12.75" customHeight="1" spans="1:26">
      <c r="A713" s="422" t="str">
        <f t="shared" si="226"/>
        <v> 14.2.1 </v>
      </c>
      <c r="B713" s="423" t="str">
        <f t="shared" si="227"/>
        <v> 14.2.1 </v>
      </c>
      <c r="C713" s="441" t="s">
        <v>1899</v>
      </c>
      <c r="D713" s="442" t="s">
        <v>1900</v>
      </c>
      <c r="E713" s="441" t="s">
        <v>149</v>
      </c>
      <c r="F713" s="441" t="s">
        <v>1901</v>
      </c>
      <c r="G713" s="442" t="s">
        <v>134</v>
      </c>
      <c r="H713" s="443">
        <f t="shared" si="228"/>
        <v>9</v>
      </c>
      <c r="I713" s="443">
        <f>VLOOKUP(D713,'Orçamento Analitico'!D:L,9,FALSE())</f>
        <v>259.44</v>
      </c>
      <c r="J713" s="443">
        <f t="shared" si="229"/>
        <v>325.57</v>
      </c>
      <c r="K713" s="443">
        <f t="shared" si="230"/>
        <v>2334.96</v>
      </c>
      <c r="L713" s="443">
        <f t="shared" si="231"/>
        <v>2930.13</v>
      </c>
      <c r="M713" s="461" t="e">
        <f t="shared" si="232"/>
        <v>#N/A</v>
      </c>
      <c r="N713" s="464">
        <v>9</v>
      </c>
      <c r="O713" s="465"/>
      <c r="P713" s="465"/>
      <c r="Q713" s="465"/>
      <c r="R713" s="465"/>
      <c r="S713" s="465"/>
      <c r="T713" s="465"/>
      <c r="U713" s="479"/>
      <c r="V713" s="422"/>
      <c r="W713" s="422"/>
      <c r="X713" s="422"/>
      <c r="Y713" s="422"/>
      <c r="Z713" s="422"/>
    </row>
    <row r="714" ht="50.25" customHeight="1" spans="1:26">
      <c r="A714" s="422" t="str">
        <f t="shared" si="226"/>
        <v> 14.2.1 </v>
      </c>
      <c r="B714" s="423" t="str">
        <f t="shared" si="227"/>
        <v> 14.2.1 </v>
      </c>
      <c r="C714" s="441" t="s">
        <v>1902</v>
      </c>
      <c r="D714" s="442" t="s">
        <v>1903</v>
      </c>
      <c r="E714" s="441" t="s">
        <v>132</v>
      </c>
      <c r="F714" s="441" t="s">
        <v>1904</v>
      </c>
      <c r="G714" s="442" t="s">
        <v>134</v>
      </c>
      <c r="H714" s="443">
        <f t="shared" si="228"/>
        <v>24</v>
      </c>
      <c r="I714" s="443">
        <f>VLOOKUP(D714,'Orçamento Analitico'!D:L,9,FALSE())</f>
        <v>2383.07</v>
      </c>
      <c r="J714" s="443">
        <f t="shared" si="229"/>
        <v>2990.51</v>
      </c>
      <c r="K714" s="443">
        <f t="shared" si="230"/>
        <v>57193.68</v>
      </c>
      <c r="L714" s="443">
        <f t="shared" si="231"/>
        <v>71772.24</v>
      </c>
      <c r="M714" s="461" t="e">
        <f t="shared" si="232"/>
        <v>#N/A</v>
      </c>
      <c r="N714" s="464">
        <v>24</v>
      </c>
      <c r="O714" s="465"/>
      <c r="P714" s="465"/>
      <c r="Q714" s="465"/>
      <c r="R714" s="465"/>
      <c r="S714" s="465"/>
      <c r="T714" s="465"/>
      <c r="U714" s="479"/>
      <c r="V714" s="422"/>
      <c r="W714" s="422"/>
      <c r="X714" s="422"/>
      <c r="Y714" s="422"/>
      <c r="Z714" s="422"/>
    </row>
    <row r="715" ht="50.25" customHeight="1" spans="1:26">
      <c r="A715" s="422" t="str">
        <f t="shared" si="226"/>
        <v> 14.2.1 </v>
      </c>
      <c r="B715" s="423" t="str">
        <f t="shared" si="227"/>
        <v> 14.2.1 </v>
      </c>
      <c r="C715" s="441" t="s">
        <v>1905</v>
      </c>
      <c r="D715" s="442" t="s">
        <v>1906</v>
      </c>
      <c r="E715" s="441" t="s">
        <v>77</v>
      </c>
      <c r="F715" s="441" t="s">
        <v>1907</v>
      </c>
      <c r="G715" s="442" t="s">
        <v>134</v>
      </c>
      <c r="H715" s="443">
        <f t="shared" si="228"/>
        <v>187</v>
      </c>
      <c r="I715" s="443">
        <f>VLOOKUP(D715,'Orçamento Analitico'!D:L,9,FALSE())</f>
        <v>41.99</v>
      </c>
      <c r="J715" s="443">
        <f t="shared" si="229"/>
        <v>52.69</v>
      </c>
      <c r="K715" s="443">
        <f t="shared" si="230"/>
        <v>7852.13</v>
      </c>
      <c r="L715" s="443">
        <f t="shared" si="231"/>
        <v>9853.03</v>
      </c>
      <c r="M715" s="461" t="e">
        <f t="shared" si="232"/>
        <v>#N/A</v>
      </c>
      <c r="N715" s="464">
        <f>N714</f>
        <v>24</v>
      </c>
      <c r="O715" s="465" t="s">
        <v>6193</v>
      </c>
      <c r="P715" s="465"/>
      <c r="Q715" s="465">
        <f>SUM(H724:H729)</f>
        <v>163</v>
      </c>
      <c r="R715" s="465" t="s">
        <v>6194</v>
      </c>
      <c r="S715" s="465"/>
      <c r="T715" s="465"/>
      <c r="U715" s="479"/>
      <c r="V715" s="422"/>
      <c r="W715" s="422"/>
      <c r="X715" s="422"/>
      <c r="Y715" s="422"/>
      <c r="Z715" s="422"/>
    </row>
    <row r="716" ht="50.25" customHeight="1" spans="1:26">
      <c r="A716" s="422" t="str">
        <f t="shared" si="226"/>
        <v> 14.2.1 </v>
      </c>
      <c r="B716" s="423" t="str">
        <f t="shared" si="227"/>
        <v> 14.2.1 </v>
      </c>
      <c r="C716" s="441" t="s">
        <v>1908</v>
      </c>
      <c r="D716" s="442" t="s">
        <v>1909</v>
      </c>
      <c r="E716" s="441" t="s">
        <v>132</v>
      </c>
      <c r="F716" s="441" t="s">
        <v>1910</v>
      </c>
      <c r="G716" s="442" t="s">
        <v>1491</v>
      </c>
      <c r="H716" s="443">
        <f t="shared" si="228"/>
        <v>3</v>
      </c>
      <c r="I716" s="443">
        <f>VLOOKUP(D716,'Orçamento Analitico'!D:L,9,FALSE())</f>
        <v>502.91</v>
      </c>
      <c r="J716" s="443">
        <f t="shared" si="229"/>
        <v>631.1</v>
      </c>
      <c r="K716" s="443">
        <f t="shared" si="230"/>
        <v>1508.73</v>
      </c>
      <c r="L716" s="443">
        <f t="shared" si="231"/>
        <v>1893.3</v>
      </c>
      <c r="M716" s="461" t="e">
        <f t="shared" si="232"/>
        <v>#N/A</v>
      </c>
      <c r="N716" s="464">
        <v>1</v>
      </c>
      <c r="O716" s="465" t="s">
        <v>6146</v>
      </c>
      <c r="P716" s="465">
        <v>2</v>
      </c>
      <c r="Q716" s="465" t="s">
        <v>6147</v>
      </c>
      <c r="R716" s="465"/>
      <c r="S716" s="465"/>
      <c r="T716" s="465"/>
      <c r="U716" s="479"/>
      <c r="V716" s="422"/>
      <c r="W716" s="422"/>
      <c r="X716" s="422"/>
      <c r="Y716" s="422"/>
      <c r="Z716" s="422"/>
    </row>
    <row r="717" ht="50.25" customHeight="1" spans="1:26">
      <c r="A717" s="422" t="str">
        <f t="shared" si="226"/>
        <v> 14.2.1 </v>
      </c>
      <c r="B717" s="423" t="str">
        <f t="shared" si="227"/>
        <v> 14.2.1 </v>
      </c>
      <c r="C717" s="441" t="s">
        <v>1911</v>
      </c>
      <c r="D717" s="442" t="s">
        <v>1912</v>
      </c>
      <c r="E717" s="441" t="s">
        <v>132</v>
      </c>
      <c r="F717" s="441" t="s">
        <v>1913</v>
      </c>
      <c r="G717" s="442" t="s">
        <v>204</v>
      </c>
      <c r="H717" s="443">
        <f t="shared" si="228"/>
        <v>3070</v>
      </c>
      <c r="I717" s="443">
        <f>VLOOKUP(D717,'Orçamento Analitico'!D:L,9,FALSE())</f>
        <v>10.25</v>
      </c>
      <c r="J717" s="443">
        <f t="shared" si="229"/>
        <v>12.86</v>
      </c>
      <c r="K717" s="443">
        <f t="shared" si="230"/>
        <v>31467.5</v>
      </c>
      <c r="L717" s="443">
        <f t="shared" si="231"/>
        <v>39480.2</v>
      </c>
      <c r="M717" s="461" t="e">
        <f t="shared" si="232"/>
        <v>#N/A</v>
      </c>
      <c r="N717" s="464">
        <v>3070</v>
      </c>
      <c r="O717" s="465"/>
      <c r="P717" s="465"/>
      <c r="Q717" s="465"/>
      <c r="R717" s="465"/>
      <c r="S717" s="465"/>
      <c r="T717" s="465"/>
      <c r="U717" s="479"/>
      <c r="V717" s="422"/>
      <c r="W717" s="422"/>
      <c r="X717" s="422"/>
      <c r="Y717" s="422"/>
      <c r="Z717" s="422"/>
    </row>
    <row r="718" ht="50.25" customHeight="1" spans="1:26">
      <c r="A718" s="422" t="str">
        <f t="shared" si="226"/>
        <v> 14.2.1 </v>
      </c>
      <c r="B718" s="423" t="str">
        <f t="shared" si="227"/>
        <v> 14.2.1 </v>
      </c>
      <c r="C718" s="441" t="s">
        <v>1914</v>
      </c>
      <c r="D718" s="442" t="s">
        <v>1915</v>
      </c>
      <c r="E718" s="441" t="s">
        <v>132</v>
      </c>
      <c r="F718" s="441" t="s">
        <v>1916</v>
      </c>
      <c r="G718" s="442" t="s">
        <v>204</v>
      </c>
      <c r="H718" s="443">
        <f t="shared" si="228"/>
        <v>1195</v>
      </c>
      <c r="I718" s="443">
        <f>VLOOKUP(D718,'Orçamento Analitico'!D:L,9,FALSE())</f>
        <v>12.71</v>
      </c>
      <c r="J718" s="443">
        <f t="shared" si="229"/>
        <v>15.94</v>
      </c>
      <c r="K718" s="443">
        <f t="shared" si="230"/>
        <v>15188.45</v>
      </c>
      <c r="L718" s="443">
        <f t="shared" si="231"/>
        <v>19048.3</v>
      </c>
      <c r="M718" s="461" t="e">
        <f t="shared" si="232"/>
        <v>#N/A</v>
      </c>
      <c r="N718" s="464">
        <v>1195</v>
      </c>
      <c r="O718" s="465"/>
      <c r="P718" s="465"/>
      <c r="Q718" s="465"/>
      <c r="R718" s="465"/>
      <c r="S718" s="465"/>
      <c r="T718" s="465"/>
      <c r="U718" s="479"/>
      <c r="V718" s="422"/>
      <c r="W718" s="422"/>
      <c r="X718" s="422"/>
      <c r="Y718" s="422"/>
      <c r="Z718" s="422"/>
    </row>
    <row r="719" ht="50.25" customHeight="1" spans="1:26">
      <c r="A719" s="422" t="str">
        <f t="shared" si="226"/>
        <v> 14.2.1 </v>
      </c>
      <c r="B719" s="423" t="str">
        <f t="shared" si="227"/>
        <v> 14.2.1 </v>
      </c>
      <c r="C719" s="441" t="s">
        <v>1917</v>
      </c>
      <c r="D719" s="442" t="s">
        <v>1918</v>
      </c>
      <c r="E719" s="441" t="s">
        <v>132</v>
      </c>
      <c r="F719" s="441" t="s">
        <v>1919</v>
      </c>
      <c r="G719" s="442" t="s">
        <v>204</v>
      </c>
      <c r="H719" s="443">
        <f t="shared" si="228"/>
        <v>222</v>
      </c>
      <c r="I719" s="443">
        <f>VLOOKUP(D719,'Orçamento Analitico'!D:L,9,FALSE())</f>
        <v>15.22</v>
      </c>
      <c r="J719" s="443">
        <f t="shared" si="229"/>
        <v>19.09</v>
      </c>
      <c r="K719" s="443">
        <f t="shared" si="230"/>
        <v>3378.84</v>
      </c>
      <c r="L719" s="443">
        <f t="shared" si="231"/>
        <v>4237.98</v>
      </c>
      <c r="M719" s="461" t="e">
        <f t="shared" si="232"/>
        <v>#N/A</v>
      </c>
      <c r="N719" s="464">
        <v>222</v>
      </c>
      <c r="O719" s="465"/>
      <c r="P719" s="465"/>
      <c r="Q719" s="465"/>
      <c r="R719" s="465"/>
      <c r="S719" s="465"/>
      <c r="T719" s="465"/>
      <c r="U719" s="479"/>
      <c r="V719" s="422"/>
      <c r="W719" s="422"/>
      <c r="X719" s="422"/>
      <c r="Y719" s="422"/>
      <c r="Z719" s="422"/>
    </row>
    <row r="720" ht="50.25" customHeight="1" spans="1:26">
      <c r="A720" s="422" t="str">
        <f t="shared" si="226"/>
        <v> 14.2.1 </v>
      </c>
      <c r="B720" s="423" t="str">
        <f t="shared" si="227"/>
        <v> 14.2.1 </v>
      </c>
      <c r="C720" s="441" t="s">
        <v>1920</v>
      </c>
      <c r="D720" s="442" t="s">
        <v>1921</v>
      </c>
      <c r="E720" s="441" t="s">
        <v>132</v>
      </c>
      <c r="F720" s="441" t="s">
        <v>1922</v>
      </c>
      <c r="G720" s="442" t="s">
        <v>204</v>
      </c>
      <c r="H720" s="443">
        <f t="shared" si="228"/>
        <v>687</v>
      </c>
      <c r="I720" s="443">
        <f>VLOOKUP(D720,'Orçamento Analitico'!D:L,9,FALSE())</f>
        <v>20.3</v>
      </c>
      <c r="J720" s="443">
        <f t="shared" si="229"/>
        <v>25.47</v>
      </c>
      <c r="K720" s="443">
        <f t="shared" si="230"/>
        <v>13946.1</v>
      </c>
      <c r="L720" s="443">
        <f t="shared" si="231"/>
        <v>17497.89</v>
      </c>
      <c r="M720" s="461" t="e">
        <f t="shared" si="232"/>
        <v>#N/A</v>
      </c>
      <c r="N720" s="464">
        <f>289+398</f>
        <v>687</v>
      </c>
      <c r="O720" s="465"/>
      <c r="P720" s="465"/>
      <c r="Q720" s="465"/>
      <c r="R720" s="465"/>
      <c r="S720" s="465"/>
      <c r="T720" s="465"/>
      <c r="U720" s="479"/>
      <c r="V720" s="422"/>
      <c r="W720" s="422"/>
      <c r="X720" s="422"/>
      <c r="Y720" s="422"/>
      <c r="Z720" s="422"/>
    </row>
    <row r="721" ht="50.25" customHeight="1" spans="1:26">
      <c r="A721" s="422" t="str">
        <f t="shared" si="226"/>
        <v> 14.2.1 </v>
      </c>
      <c r="B721" s="423" t="str">
        <f t="shared" si="227"/>
        <v> 14.2.1 </v>
      </c>
      <c r="C721" s="441" t="s">
        <v>1923</v>
      </c>
      <c r="D721" s="442" t="s">
        <v>1924</v>
      </c>
      <c r="E721" s="441" t="s">
        <v>132</v>
      </c>
      <c r="F721" s="441" t="s">
        <v>1925</v>
      </c>
      <c r="G721" s="442" t="s">
        <v>204</v>
      </c>
      <c r="H721" s="443">
        <f t="shared" si="228"/>
        <v>317</v>
      </c>
      <c r="I721" s="443">
        <f>VLOOKUP(D721,'Orçamento Analitico'!D:L,9,FALSE())</f>
        <v>30.59</v>
      </c>
      <c r="J721" s="443">
        <f t="shared" si="229"/>
        <v>38.38</v>
      </c>
      <c r="K721" s="443">
        <f t="shared" si="230"/>
        <v>9697.03</v>
      </c>
      <c r="L721" s="443">
        <f t="shared" si="231"/>
        <v>12166.46</v>
      </c>
      <c r="M721" s="461" t="e">
        <f t="shared" si="232"/>
        <v>#N/A</v>
      </c>
      <c r="N721" s="464">
        <v>317</v>
      </c>
      <c r="O721" s="465"/>
      <c r="P721" s="465"/>
      <c r="Q721" s="465"/>
      <c r="R721" s="465"/>
      <c r="S721" s="465"/>
      <c r="T721" s="465"/>
      <c r="U721" s="479"/>
      <c r="V721" s="422"/>
      <c r="W721" s="422"/>
      <c r="X721" s="422"/>
      <c r="Y721" s="422"/>
      <c r="Z721" s="422"/>
    </row>
    <row r="722" ht="50.25" customHeight="1" spans="1:26">
      <c r="A722" s="422" t="str">
        <f t="shared" si="226"/>
        <v> 14.2.1 </v>
      </c>
      <c r="B722" s="423" t="str">
        <f t="shared" si="227"/>
        <v> 14.2.1 </v>
      </c>
      <c r="C722" s="441" t="s">
        <v>1926</v>
      </c>
      <c r="D722" s="442" t="s">
        <v>1927</v>
      </c>
      <c r="E722" s="441" t="s">
        <v>132</v>
      </c>
      <c r="F722" s="441" t="s">
        <v>1928</v>
      </c>
      <c r="G722" s="442" t="s">
        <v>204</v>
      </c>
      <c r="H722" s="443">
        <f t="shared" si="228"/>
        <v>796</v>
      </c>
      <c r="I722" s="443">
        <f>VLOOKUP(D722,'Orçamento Analitico'!D:L,9,FALSE())</f>
        <v>40.64</v>
      </c>
      <c r="J722" s="443">
        <f t="shared" si="229"/>
        <v>50.99</v>
      </c>
      <c r="K722" s="443">
        <f t="shared" si="230"/>
        <v>32349.44</v>
      </c>
      <c r="L722" s="443">
        <f t="shared" si="231"/>
        <v>40588.04</v>
      </c>
      <c r="M722" s="461" t="e">
        <f t="shared" si="232"/>
        <v>#N/A</v>
      </c>
      <c r="N722" s="464">
        <v>796</v>
      </c>
      <c r="O722" s="465"/>
      <c r="P722" s="465"/>
      <c r="Q722" s="465"/>
      <c r="R722" s="465"/>
      <c r="S722" s="465"/>
      <c r="T722" s="465"/>
      <c r="U722" s="479"/>
      <c r="V722" s="422"/>
      <c r="W722" s="422"/>
      <c r="X722" s="422"/>
      <c r="Y722" s="422"/>
      <c r="Z722" s="422"/>
    </row>
    <row r="723" ht="50.25" customHeight="1" spans="1:26">
      <c r="A723" s="422" t="str">
        <f t="shared" si="226"/>
        <v> 14.2.1 </v>
      </c>
      <c r="B723" s="423" t="str">
        <f t="shared" si="227"/>
        <v> 14.2.1 </v>
      </c>
      <c r="C723" s="441" t="s">
        <v>1929</v>
      </c>
      <c r="D723" s="442" t="s">
        <v>1930</v>
      </c>
      <c r="E723" s="441" t="s">
        <v>132</v>
      </c>
      <c r="F723" s="441" t="s">
        <v>1931</v>
      </c>
      <c r="G723" s="442" t="s">
        <v>204</v>
      </c>
      <c r="H723" s="443">
        <f t="shared" si="228"/>
        <v>18</v>
      </c>
      <c r="I723" s="443">
        <f>VLOOKUP(D723,'Orçamento Analitico'!D:L,9,FALSE())</f>
        <v>60.97</v>
      </c>
      <c r="J723" s="443">
        <f t="shared" si="229"/>
        <v>76.51</v>
      </c>
      <c r="K723" s="443">
        <f t="shared" si="230"/>
        <v>1097.46</v>
      </c>
      <c r="L723" s="443">
        <f t="shared" si="231"/>
        <v>1377.18</v>
      </c>
      <c r="M723" s="461" t="e">
        <f t="shared" si="232"/>
        <v>#N/A</v>
      </c>
      <c r="N723" s="464">
        <v>18</v>
      </c>
      <c r="O723" s="465"/>
      <c r="P723" s="465"/>
      <c r="Q723" s="465"/>
      <c r="R723" s="465"/>
      <c r="S723" s="465"/>
      <c r="T723" s="465"/>
      <c r="U723" s="479"/>
      <c r="V723" s="422"/>
      <c r="W723" s="422"/>
      <c r="X723" s="422"/>
      <c r="Y723" s="422"/>
      <c r="Z723" s="422"/>
    </row>
    <row r="724" ht="36" customHeight="1" spans="1:26">
      <c r="A724" s="422" t="str">
        <f t="shared" si="226"/>
        <v> 14.2.1 </v>
      </c>
      <c r="B724" s="423" t="str">
        <f t="shared" si="227"/>
        <v> 14.2.1 </v>
      </c>
      <c r="C724" s="441" t="s">
        <v>1932</v>
      </c>
      <c r="D724" s="442" t="s">
        <v>1933</v>
      </c>
      <c r="E724" s="441" t="s">
        <v>139</v>
      </c>
      <c r="F724" s="441" t="s">
        <v>1934</v>
      </c>
      <c r="G724" s="442" t="s">
        <v>134</v>
      </c>
      <c r="H724" s="443">
        <f t="shared" si="228"/>
        <v>4</v>
      </c>
      <c r="I724" s="443">
        <f>VLOOKUP(D724,'Orçamento Analitico'!D:L,9,FALSE())</f>
        <v>321.47</v>
      </c>
      <c r="J724" s="443">
        <f t="shared" si="229"/>
        <v>403.41</v>
      </c>
      <c r="K724" s="443">
        <f t="shared" si="230"/>
        <v>1285.88</v>
      </c>
      <c r="L724" s="443">
        <f t="shared" si="231"/>
        <v>1613.64</v>
      </c>
      <c r="M724" s="461" t="e">
        <f t="shared" si="232"/>
        <v>#N/A</v>
      </c>
      <c r="N724" s="464">
        <v>4</v>
      </c>
      <c r="O724" s="465"/>
      <c r="P724" s="465"/>
      <c r="Q724" s="465"/>
      <c r="R724" s="465"/>
      <c r="S724" s="465"/>
      <c r="T724" s="465"/>
      <c r="U724" s="479"/>
      <c r="V724" s="422"/>
      <c r="W724" s="422"/>
      <c r="X724" s="422"/>
      <c r="Y724" s="422"/>
      <c r="Z724" s="422"/>
    </row>
    <row r="725" ht="36" customHeight="1" spans="1:26">
      <c r="A725" s="422" t="str">
        <f t="shared" si="226"/>
        <v> 14.2.1 </v>
      </c>
      <c r="B725" s="423" t="str">
        <f t="shared" si="227"/>
        <v> 14.2.1 </v>
      </c>
      <c r="C725" s="441" t="s">
        <v>1935</v>
      </c>
      <c r="D725" s="442" t="s">
        <v>1936</v>
      </c>
      <c r="E725" s="441" t="s">
        <v>149</v>
      </c>
      <c r="F725" s="441" t="s">
        <v>1937</v>
      </c>
      <c r="G725" s="442" t="s">
        <v>134</v>
      </c>
      <c r="H725" s="443">
        <v>110</v>
      </c>
      <c r="I725" s="443">
        <f>VLOOKUP(D725,'Orçamento Analitico'!D:L,9,FALSE())</f>
        <v>200.72</v>
      </c>
      <c r="J725" s="443">
        <f t="shared" si="229"/>
        <v>251.88</v>
      </c>
      <c r="K725" s="443">
        <f t="shared" si="230"/>
        <v>22079.2</v>
      </c>
      <c r="L725" s="443">
        <f t="shared" si="231"/>
        <v>27706.8</v>
      </c>
      <c r="M725" s="461" t="e">
        <f t="shared" si="232"/>
        <v>#N/A</v>
      </c>
      <c r="N725" s="464"/>
      <c r="O725" s="465"/>
      <c r="P725" s="465"/>
      <c r="Q725" s="465"/>
      <c r="R725" s="465"/>
      <c r="S725" s="465"/>
      <c r="T725" s="465"/>
      <c r="U725" s="479"/>
      <c r="V725" s="422"/>
      <c r="W725" s="422"/>
      <c r="X725" s="422"/>
      <c r="Y725" s="422"/>
      <c r="Z725" s="422"/>
    </row>
    <row r="726" ht="36" customHeight="1" spans="1:26">
      <c r="A726" s="422" t="str">
        <f t="shared" si="226"/>
        <v> 14.2.1 </v>
      </c>
      <c r="B726" s="423" t="str">
        <f t="shared" si="227"/>
        <v> 14.2.1 </v>
      </c>
      <c r="C726" s="441" t="s">
        <v>1938</v>
      </c>
      <c r="D726" s="442" t="s">
        <v>1939</v>
      </c>
      <c r="E726" s="441" t="s">
        <v>149</v>
      </c>
      <c r="F726" s="441" t="s">
        <v>1940</v>
      </c>
      <c r="G726" s="442" t="s">
        <v>134</v>
      </c>
      <c r="H726" s="443">
        <f t="shared" ref="H726:H743" si="233">SUM(N726:R726)</f>
        <v>1</v>
      </c>
      <c r="I726" s="443">
        <f>VLOOKUP(D726,'Orçamento Analitico'!D:L,9,FALSE())</f>
        <v>3015.21</v>
      </c>
      <c r="J726" s="443">
        <f t="shared" si="229"/>
        <v>3783.78</v>
      </c>
      <c r="K726" s="443">
        <f t="shared" si="230"/>
        <v>3015.21</v>
      </c>
      <c r="L726" s="443">
        <f t="shared" si="231"/>
        <v>3783.78</v>
      </c>
      <c r="M726" s="461" t="e">
        <f t="shared" si="232"/>
        <v>#N/A</v>
      </c>
      <c r="N726" s="464">
        <v>1</v>
      </c>
      <c r="O726" s="465"/>
      <c r="P726" s="465"/>
      <c r="Q726" s="465"/>
      <c r="R726" s="465"/>
      <c r="S726" s="465"/>
      <c r="T726" s="465"/>
      <c r="U726" s="479"/>
      <c r="V726" s="422"/>
      <c r="W726" s="422"/>
      <c r="X726" s="422"/>
      <c r="Y726" s="422"/>
      <c r="Z726" s="422"/>
    </row>
    <row r="727" ht="36" customHeight="1" spans="1:26">
      <c r="A727" s="422" t="str">
        <f t="shared" si="226"/>
        <v> 14.2.1 </v>
      </c>
      <c r="B727" s="423" t="str">
        <f t="shared" si="227"/>
        <v> 14.2.1 </v>
      </c>
      <c r="C727" s="441" t="s">
        <v>1941</v>
      </c>
      <c r="D727" s="442" t="s">
        <v>1942</v>
      </c>
      <c r="E727" s="441" t="s">
        <v>139</v>
      </c>
      <c r="F727" s="441" t="s">
        <v>1943</v>
      </c>
      <c r="G727" s="442" t="s">
        <v>134</v>
      </c>
      <c r="H727" s="443">
        <f t="shared" si="233"/>
        <v>14</v>
      </c>
      <c r="I727" s="443">
        <f>VLOOKUP(D727,'Orçamento Analitico'!D:L,9,FALSE())</f>
        <v>901.47</v>
      </c>
      <c r="J727" s="443">
        <f t="shared" si="229"/>
        <v>1131.25</v>
      </c>
      <c r="K727" s="443">
        <f t="shared" si="230"/>
        <v>12620.58</v>
      </c>
      <c r="L727" s="443">
        <f t="shared" si="231"/>
        <v>15837.5</v>
      </c>
      <c r="M727" s="461" t="e">
        <f t="shared" si="232"/>
        <v>#N/A</v>
      </c>
      <c r="N727" s="464">
        <v>2</v>
      </c>
      <c r="O727" s="465">
        <v>2</v>
      </c>
      <c r="P727" s="465">
        <v>3</v>
      </c>
      <c r="Q727" s="465">
        <v>1</v>
      </c>
      <c r="R727" s="465">
        <v>6</v>
      </c>
      <c r="S727" s="465"/>
      <c r="T727" s="465"/>
      <c r="U727" s="479"/>
      <c r="V727" s="422"/>
      <c r="W727" s="422"/>
      <c r="X727" s="422"/>
      <c r="Y727" s="422"/>
      <c r="Z727" s="422"/>
    </row>
    <row r="728" ht="36" customHeight="1" spans="1:26">
      <c r="A728" s="422" t="str">
        <f t="shared" si="226"/>
        <v> 14.2.1 </v>
      </c>
      <c r="B728" s="423" t="str">
        <f t="shared" si="227"/>
        <v> 14.2.1 </v>
      </c>
      <c r="C728" s="441" t="s">
        <v>1944</v>
      </c>
      <c r="D728" s="442" t="s">
        <v>1945</v>
      </c>
      <c r="E728" s="441" t="s">
        <v>132</v>
      </c>
      <c r="F728" s="441" t="s">
        <v>1946</v>
      </c>
      <c r="G728" s="442" t="s">
        <v>134</v>
      </c>
      <c r="H728" s="443">
        <f t="shared" si="233"/>
        <v>2</v>
      </c>
      <c r="I728" s="443">
        <f>VLOOKUP(D728,'Orçamento Analitico'!D:L,9,FALSE())</f>
        <v>5990</v>
      </c>
      <c r="J728" s="443">
        <f t="shared" si="229"/>
        <v>7516.85</v>
      </c>
      <c r="K728" s="443">
        <f t="shared" si="230"/>
        <v>11980</v>
      </c>
      <c r="L728" s="443">
        <f t="shared" si="231"/>
        <v>15033.7</v>
      </c>
      <c r="M728" s="461" t="e">
        <f t="shared" si="232"/>
        <v>#N/A</v>
      </c>
      <c r="N728" s="464">
        <v>2</v>
      </c>
      <c r="O728" s="465"/>
      <c r="P728" s="465"/>
      <c r="Q728" s="465"/>
      <c r="R728" s="465"/>
      <c r="S728" s="465"/>
      <c r="T728" s="465"/>
      <c r="U728" s="479"/>
      <c r="V728" s="422"/>
      <c r="W728" s="422"/>
      <c r="X728" s="422"/>
      <c r="Y728" s="422"/>
      <c r="Z728" s="422"/>
    </row>
    <row r="729" ht="36" customHeight="1" spans="1:26">
      <c r="A729" s="422" t="str">
        <f t="shared" si="226"/>
        <v> 14.2.1 </v>
      </c>
      <c r="B729" s="423" t="str">
        <f t="shared" si="227"/>
        <v> 14.2.1 </v>
      </c>
      <c r="C729" s="441" t="s">
        <v>1947</v>
      </c>
      <c r="D729" s="442" t="s">
        <v>1948</v>
      </c>
      <c r="E729" s="441" t="s">
        <v>132</v>
      </c>
      <c r="F729" s="441" t="s">
        <v>1949</v>
      </c>
      <c r="G729" s="442" t="s">
        <v>134</v>
      </c>
      <c r="H729" s="443">
        <f t="shared" si="233"/>
        <v>32</v>
      </c>
      <c r="I729" s="443">
        <f>VLOOKUP(D729,'Orçamento Analitico'!D:L,9,FALSE())</f>
        <v>512.77</v>
      </c>
      <c r="J729" s="443">
        <f t="shared" si="229"/>
        <v>643.47</v>
      </c>
      <c r="K729" s="443">
        <f t="shared" si="230"/>
        <v>16408.64</v>
      </c>
      <c r="L729" s="443">
        <f t="shared" si="231"/>
        <v>20591.04</v>
      </c>
      <c r="M729" s="461" t="e">
        <f t="shared" si="232"/>
        <v>#N/A</v>
      </c>
      <c r="N729" s="464">
        <v>13</v>
      </c>
      <c r="O729" s="465">
        <v>9</v>
      </c>
      <c r="P729" s="465">
        <v>10</v>
      </c>
      <c r="Q729" s="465"/>
      <c r="R729" s="465"/>
      <c r="S729" s="465"/>
      <c r="T729" s="465"/>
      <c r="U729" s="479"/>
      <c r="V729" s="422"/>
      <c r="W729" s="422"/>
      <c r="X729" s="422"/>
      <c r="Y729" s="422"/>
      <c r="Z729" s="422"/>
    </row>
    <row r="730" ht="36" customHeight="1" spans="1:26">
      <c r="A730" s="422" t="str">
        <f t="shared" si="226"/>
        <v> 14.2.1 </v>
      </c>
      <c r="B730" s="423" t="str">
        <f t="shared" si="227"/>
        <v> 14.2.1 </v>
      </c>
      <c r="C730" s="441" t="s">
        <v>1950</v>
      </c>
      <c r="D730" s="442" t="s">
        <v>1951</v>
      </c>
      <c r="E730" s="441" t="s">
        <v>132</v>
      </c>
      <c r="F730" s="441" t="s">
        <v>1952</v>
      </c>
      <c r="G730" s="442" t="s">
        <v>134</v>
      </c>
      <c r="H730" s="443">
        <f t="shared" si="233"/>
        <v>3</v>
      </c>
      <c r="I730" s="443">
        <f>VLOOKUP(D730,'Orçamento Analitico'!D:L,9,FALSE())</f>
        <v>163</v>
      </c>
      <c r="J730" s="443">
        <f t="shared" si="229"/>
        <v>204.54</v>
      </c>
      <c r="K730" s="443">
        <f t="shared" si="230"/>
        <v>489</v>
      </c>
      <c r="L730" s="443">
        <f t="shared" si="231"/>
        <v>613.62</v>
      </c>
      <c r="M730" s="461" t="e">
        <f t="shared" si="232"/>
        <v>#N/A</v>
      </c>
      <c r="N730" s="464">
        <v>3</v>
      </c>
      <c r="O730" s="465"/>
      <c r="P730" s="465"/>
      <c r="Q730" s="465"/>
      <c r="R730" s="465"/>
      <c r="S730" s="465"/>
      <c r="T730" s="465"/>
      <c r="U730" s="479"/>
      <c r="V730" s="422"/>
      <c r="W730" s="422"/>
      <c r="X730" s="422"/>
      <c r="Y730" s="422"/>
      <c r="Z730" s="422"/>
    </row>
    <row r="731" ht="50.25" customHeight="1" spans="1:26">
      <c r="A731" s="422" t="str">
        <f t="shared" si="226"/>
        <v> 14.2.1 </v>
      </c>
      <c r="B731" s="423" t="str">
        <f t="shared" si="227"/>
        <v> 14.2.1 </v>
      </c>
      <c r="C731" s="441" t="s">
        <v>1953</v>
      </c>
      <c r="D731" s="442" t="s">
        <v>1954</v>
      </c>
      <c r="E731" s="441" t="s">
        <v>132</v>
      </c>
      <c r="F731" s="441" t="s">
        <v>1955</v>
      </c>
      <c r="G731" s="442" t="s">
        <v>134</v>
      </c>
      <c r="H731" s="443">
        <f t="shared" si="233"/>
        <v>253</v>
      </c>
      <c r="I731" s="443">
        <f>VLOOKUP(D731,'Orçamento Analitico'!D:L,9,FALSE())</f>
        <v>312.41</v>
      </c>
      <c r="J731" s="443">
        <f t="shared" si="229"/>
        <v>392.04</v>
      </c>
      <c r="K731" s="443">
        <f t="shared" si="230"/>
        <v>79039.73</v>
      </c>
      <c r="L731" s="443">
        <f t="shared" si="231"/>
        <v>99186.12</v>
      </c>
      <c r="M731" s="461" t="e">
        <f t="shared" si="232"/>
        <v>#N/A</v>
      </c>
      <c r="N731" s="464">
        <v>253</v>
      </c>
      <c r="O731" s="465"/>
      <c r="P731" s="465"/>
      <c r="Q731" s="465"/>
      <c r="R731" s="465"/>
      <c r="S731" s="465"/>
      <c r="T731" s="465"/>
      <c r="U731" s="479"/>
      <c r="V731" s="422"/>
      <c r="W731" s="422"/>
      <c r="X731" s="422"/>
      <c r="Y731" s="422"/>
      <c r="Z731" s="422"/>
    </row>
    <row r="732" ht="50.25" customHeight="1" spans="1:26">
      <c r="A732" s="422" t="str">
        <f t="shared" si="226"/>
        <v> 14.2.1 </v>
      </c>
      <c r="B732" s="423" t="str">
        <f t="shared" si="227"/>
        <v> 14.2.1 </v>
      </c>
      <c r="C732" s="441" t="s">
        <v>1956</v>
      </c>
      <c r="D732" s="442" t="s">
        <v>1957</v>
      </c>
      <c r="E732" s="441" t="s">
        <v>132</v>
      </c>
      <c r="F732" s="441" t="s">
        <v>1958</v>
      </c>
      <c r="G732" s="442" t="s">
        <v>134</v>
      </c>
      <c r="H732" s="443">
        <f t="shared" si="233"/>
        <v>24</v>
      </c>
      <c r="I732" s="443">
        <f>VLOOKUP(D732,'Orçamento Analitico'!D:L,9,FALSE())</f>
        <v>437.2</v>
      </c>
      <c r="J732" s="443">
        <f t="shared" si="229"/>
        <v>548.64</v>
      </c>
      <c r="K732" s="443">
        <f t="shared" si="230"/>
        <v>10492.8</v>
      </c>
      <c r="L732" s="443">
        <f t="shared" si="231"/>
        <v>13167.36</v>
      </c>
      <c r="M732" s="461" t="e">
        <f t="shared" si="232"/>
        <v>#N/A</v>
      </c>
      <c r="N732" s="464">
        <v>24</v>
      </c>
      <c r="O732" s="465"/>
      <c r="P732" s="465"/>
      <c r="Q732" s="465"/>
      <c r="R732" s="465"/>
      <c r="S732" s="465"/>
      <c r="T732" s="465"/>
      <c r="U732" s="479"/>
      <c r="V732" s="422"/>
      <c r="W732" s="422"/>
      <c r="X732" s="422"/>
      <c r="Y732" s="422"/>
      <c r="Z732" s="422"/>
    </row>
    <row r="733" ht="50.25" customHeight="1" spans="1:26">
      <c r="A733" s="422" t="str">
        <f t="shared" si="226"/>
        <v> 14.2.1 </v>
      </c>
      <c r="B733" s="423" t="str">
        <f t="shared" si="227"/>
        <v> 14.2.1 </v>
      </c>
      <c r="C733" s="441" t="s">
        <v>1959</v>
      </c>
      <c r="D733" s="442" t="s">
        <v>1960</v>
      </c>
      <c r="E733" s="441" t="s">
        <v>132</v>
      </c>
      <c r="F733" s="441" t="s">
        <v>1961</v>
      </c>
      <c r="G733" s="442" t="s">
        <v>134</v>
      </c>
      <c r="H733" s="443">
        <f t="shared" si="233"/>
        <v>48</v>
      </c>
      <c r="I733" s="443">
        <f>VLOOKUP(D733,'Orçamento Analitico'!D:L,9,FALSE())</f>
        <v>833.88</v>
      </c>
      <c r="J733" s="443">
        <f t="shared" si="229"/>
        <v>1046.43</v>
      </c>
      <c r="K733" s="443">
        <f t="shared" si="230"/>
        <v>40026.24</v>
      </c>
      <c r="L733" s="443">
        <f t="shared" si="231"/>
        <v>50228.64</v>
      </c>
      <c r="M733" s="461" t="e">
        <f t="shared" si="232"/>
        <v>#N/A</v>
      </c>
      <c r="N733" s="464">
        <v>48</v>
      </c>
      <c r="O733" s="465"/>
      <c r="P733" s="465"/>
      <c r="Q733" s="465"/>
      <c r="R733" s="465"/>
      <c r="S733" s="465"/>
      <c r="T733" s="465"/>
      <c r="U733" s="479"/>
      <c r="V733" s="422"/>
      <c r="W733" s="422"/>
      <c r="X733" s="422"/>
      <c r="Y733" s="422"/>
      <c r="Z733" s="422"/>
    </row>
    <row r="734" ht="50.25" customHeight="1" spans="1:26">
      <c r="A734" s="422" t="str">
        <f t="shared" si="226"/>
        <v> 14.2.1 </v>
      </c>
      <c r="B734" s="423" t="str">
        <f t="shared" si="227"/>
        <v> 14.2.1 </v>
      </c>
      <c r="C734" s="441" t="s">
        <v>1962</v>
      </c>
      <c r="D734" s="442" t="s">
        <v>1963</v>
      </c>
      <c r="E734" s="441" t="s">
        <v>132</v>
      </c>
      <c r="F734" s="441" t="s">
        <v>1964</v>
      </c>
      <c r="G734" s="442" t="s">
        <v>134</v>
      </c>
      <c r="H734" s="443">
        <f t="shared" si="233"/>
        <v>4</v>
      </c>
      <c r="I734" s="443">
        <f>VLOOKUP(D734,'Orçamento Analitico'!D:L,9,FALSE())</f>
        <v>315.89</v>
      </c>
      <c r="J734" s="443">
        <f t="shared" si="229"/>
        <v>396.41</v>
      </c>
      <c r="K734" s="443">
        <f t="shared" si="230"/>
        <v>1263.56</v>
      </c>
      <c r="L734" s="443">
        <f t="shared" si="231"/>
        <v>1585.64</v>
      </c>
      <c r="M734" s="461" t="e">
        <f t="shared" si="232"/>
        <v>#N/A</v>
      </c>
      <c r="N734" s="464">
        <v>4</v>
      </c>
      <c r="O734" s="465"/>
      <c r="P734" s="465"/>
      <c r="Q734" s="465"/>
      <c r="R734" s="465"/>
      <c r="S734" s="465"/>
      <c r="T734" s="465"/>
      <c r="U734" s="479"/>
      <c r="V734" s="422"/>
      <c r="W734" s="422"/>
      <c r="X734" s="422"/>
      <c r="Y734" s="422"/>
      <c r="Z734" s="422"/>
    </row>
    <row r="735" ht="12.75" customHeight="1" spans="1:26">
      <c r="A735" s="422" t="str">
        <f t="shared" si="226"/>
        <v> 14.2.1 </v>
      </c>
      <c r="B735" s="423" t="str">
        <f t="shared" si="227"/>
        <v> 14.2.1 </v>
      </c>
      <c r="C735" s="441" t="s">
        <v>1965</v>
      </c>
      <c r="D735" s="442" t="s">
        <v>1966</v>
      </c>
      <c r="E735" s="441" t="s">
        <v>132</v>
      </c>
      <c r="F735" s="441" t="s">
        <v>1967</v>
      </c>
      <c r="G735" s="442" t="s">
        <v>134</v>
      </c>
      <c r="H735" s="443">
        <f t="shared" si="233"/>
        <v>1</v>
      </c>
      <c r="I735" s="443">
        <f>VLOOKUP(D735,'Orçamento Analitico'!D:L,9,FALSE())</f>
        <v>3927.28</v>
      </c>
      <c r="J735" s="443">
        <f t="shared" si="229"/>
        <v>4928.34</v>
      </c>
      <c r="K735" s="443">
        <f t="shared" si="230"/>
        <v>3927.28</v>
      </c>
      <c r="L735" s="443">
        <f t="shared" si="231"/>
        <v>4928.34</v>
      </c>
      <c r="M735" s="461" t="e">
        <f t="shared" si="232"/>
        <v>#N/A</v>
      </c>
      <c r="N735" s="464">
        <v>1</v>
      </c>
      <c r="O735" s="465" t="s">
        <v>6146</v>
      </c>
      <c r="P735" s="465"/>
      <c r="Q735" s="465"/>
      <c r="R735" s="465"/>
      <c r="S735" s="465"/>
      <c r="T735" s="465"/>
      <c r="U735" s="479"/>
      <c r="V735" s="422"/>
      <c r="W735" s="422"/>
      <c r="X735" s="422"/>
      <c r="Y735" s="422"/>
      <c r="Z735" s="422"/>
    </row>
    <row r="736" ht="12.75" customHeight="1" spans="1:26">
      <c r="A736" s="422" t="str">
        <f t="shared" si="226"/>
        <v> 14.2.1 </v>
      </c>
      <c r="B736" s="423" t="str">
        <f t="shared" si="227"/>
        <v> 14.2.1 </v>
      </c>
      <c r="C736" s="441" t="s">
        <v>1968</v>
      </c>
      <c r="D736" s="442" t="s">
        <v>1969</v>
      </c>
      <c r="E736" s="441" t="s">
        <v>132</v>
      </c>
      <c r="F736" s="441" t="s">
        <v>1970</v>
      </c>
      <c r="G736" s="442" t="s">
        <v>134</v>
      </c>
      <c r="H736" s="443">
        <f t="shared" si="233"/>
        <v>1</v>
      </c>
      <c r="I736" s="443">
        <f>VLOOKUP(D736,'Orçamento Analitico'!D:L,9,FALSE())</f>
        <v>5704.65</v>
      </c>
      <c r="J736" s="443">
        <f t="shared" si="229"/>
        <v>7158.76</v>
      </c>
      <c r="K736" s="443">
        <f t="shared" si="230"/>
        <v>5704.65</v>
      </c>
      <c r="L736" s="443">
        <f t="shared" si="231"/>
        <v>7158.76</v>
      </c>
      <c r="M736" s="461" t="e">
        <f t="shared" si="232"/>
        <v>#N/A</v>
      </c>
      <c r="N736" s="464">
        <v>1</v>
      </c>
      <c r="O736" s="465" t="s">
        <v>6147</v>
      </c>
      <c r="P736" s="465"/>
      <c r="Q736" s="465"/>
      <c r="R736" s="465"/>
      <c r="S736" s="465"/>
      <c r="T736" s="465"/>
      <c r="U736" s="479"/>
      <c r="V736" s="422"/>
      <c r="W736" s="422"/>
      <c r="X736" s="422"/>
      <c r="Y736" s="422"/>
      <c r="Z736" s="422"/>
    </row>
    <row r="737" ht="12.75" customHeight="1" spans="1:26">
      <c r="A737" s="422" t="str">
        <f t="shared" si="226"/>
        <v> 14.2.1 </v>
      </c>
      <c r="B737" s="423" t="str">
        <f t="shared" si="227"/>
        <v> 14.2.1 </v>
      </c>
      <c r="C737" s="441" t="s">
        <v>1971</v>
      </c>
      <c r="D737" s="442" t="s">
        <v>1972</v>
      </c>
      <c r="E737" s="441" t="s">
        <v>132</v>
      </c>
      <c r="F737" s="441" t="s">
        <v>1973</v>
      </c>
      <c r="G737" s="442" t="s">
        <v>134</v>
      </c>
      <c r="H737" s="443">
        <f t="shared" si="233"/>
        <v>2</v>
      </c>
      <c r="I737" s="443">
        <f>VLOOKUP(D737,'Orçamento Analitico'!D:L,9,FALSE())</f>
        <v>8753.93</v>
      </c>
      <c r="J737" s="443">
        <f t="shared" si="229"/>
        <v>10985.3</v>
      </c>
      <c r="K737" s="443">
        <f t="shared" si="230"/>
        <v>17507.86</v>
      </c>
      <c r="L737" s="443">
        <f t="shared" si="231"/>
        <v>21970.6</v>
      </c>
      <c r="M737" s="461" t="e">
        <f t="shared" si="232"/>
        <v>#N/A</v>
      </c>
      <c r="N737" s="464">
        <v>2</v>
      </c>
      <c r="O737" s="465"/>
      <c r="P737" s="465"/>
      <c r="Q737" s="465"/>
      <c r="R737" s="465"/>
      <c r="S737" s="465"/>
      <c r="T737" s="465"/>
      <c r="U737" s="479"/>
      <c r="V737" s="422"/>
      <c r="W737" s="422"/>
      <c r="X737" s="422"/>
      <c r="Y737" s="422"/>
      <c r="Z737" s="422"/>
    </row>
    <row r="738" ht="12.75" customHeight="1" spans="1:26">
      <c r="A738" s="422" t="str">
        <f t="shared" si="226"/>
        <v> 14.2.1 </v>
      </c>
      <c r="B738" s="423" t="str">
        <f t="shared" si="227"/>
        <v> 14.2.1 </v>
      </c>
      <c r="C738" s="441" t="s">
        <v>1974</v>
      </c>
      <c r="D738" s="442" t="s">
        <v>1975</v>
      </c>
      <c r="E738" s="441" t="s">
        <v>132</v>
      </c>
      <c r="F738" s="441" t="s">
        <v>1976</v>
      </c>
      <c r="G738" s="442" t="s">
        <v>134</v>
      </c>
      <c r="H738" s="443">
        <f t="shared" si="233"/>
        <v>2</v>
      </c>
      <c r="I738" s="443">
        <f>VLOOKUP(D738,'Orçamento Analitico'!D:L,9,FALSE())</f>
        <v>9579.9</v>
      </c>
      <c r="J738" s="443">
        <f t="shared" si="229"/>
        <v>12021.81</v>
      </c>
      <c r="K738" s="443">
        <f t="shared" si="230"/>
        <v>19159.8</v>
      </c>
      <c r="L738" s="443">
        <f t="shared" si="231"/>
        <v>24043.62</v>
      </c>
      <c r="M738" s="461" t="e">
        <f t="shared" si="232"/>
        <v>#N/A</v>
      </c>
      <c r="N738" s="464">
        <v>2</v>
      </c>
      <c r="O738" s="465"/>
      <c r="P738" s="465"/>
      <c r="Q738" s="465"/>
      <c r="R738" s="465"/>
      <c r="S738" s="465"/>
      <c r="T738" s="465"/>
      <c r="U738" s="479"/>
      <c r="V738" s="422"/>
      <c r="W738" s="422"/>
      <c r="X738" s="422"/>
      <c r="Y738" s="422"/>
      <c r="Z738" s="422"/>
    </row>
    <row r="739" ht="44.25" customHeight="1" spans="1:26">
      <c r="A739" s="422" t="str">
        <f t="shared" si="226"/>
        <v> 14.2.1 </v>
      </c>
      <c r="B739" s="423" t="str">
        <f t="shared" si="227"/>
        <v> 14.2.1 </v>
      </c>
      <c r="C739" s="441" t="s">
        <v>1977</v>
      </c>
      <c r="D739" s="442" t="s">
        <v>1978</v>
      </c>
      <c r="E739" s="441" t="s">
        <v>132</v>
      </c>
      <c r="F739" s="441" t="s">
        <v>1979</v>
      </c>
      <c r="G739" s="442" t="s">
        <v>134</v>
      </c>
      <c r="H739" s="443">
        <f t="shared" si="233"/>
        <v>1</v>
      </c>
      <c r="I739" s="443">
        <f>VLOOKUP(D739,'Orçamento Analitico'!D:L,9,FALSE())</f>
        <v>16674.44</v>
      </c>
      <c r="J739" s="443">
        <f t="shared" si="229"/>
        <v>20924.75</v>
      </c>
      <c r="K739" s="443">
        <f t="shared" si="230"/>
        <v>16674.44</v>
      </c>
      <c r="L739" s="443">
        <f t="shared" si="231"/>
        <v>20924.75</v>
      </c>
      <c r="M739" s="461" t="e">
        <f t="shared" si="232"/>
        <v>#N/A</v>
      </c>
      <c r="N739" s="464">
        <v>1</v>
      </c>
      <c r="O739" s="465"/>
      <c r="P739" s="465"/>
      <c r="Q739" s="465"/>
      <c r="R739" s="465"/>
      <c r="S739" s="465"/>
      <c r="T739" s="465"/>
      <c r="U739" s="479"/>
      <c r="V739" s="422"/>
      <c r="W739" s="422"/>
      <c r="X739" s="422"/>
      <c r="Y739" s="422"/>
      <c r="Z739" s="422"/>
    </row>
    <row r="740" ht="44.25" customHeight="1" spans="1:26">
      <c r="A740" s="422" t="str">
        <f t="shared" si="226"/>
        <v> 14.2.1 </v>
      </c>
      <c r="B740" s="423" t="str">
        <f t="shared" si="227"/>
        <v> 14.2.1 </v>
      </c>
      <c r="C740" s="441" t="s">
        <v>1981</v>
      </c>
      <c r="D740" s="442" t="s">
        <v>1982</v>
      </c>
      <c r="E740" s="441" t="s">
        <v>132</v>
      </c>
      <c r="F740" s="441" t="s">
        <v>1983</v>
      </c>
      <c r="G740" s="442" t="s">
        <v>134</v>
      </c>
      <c r="H740" s="443">
        <f t="shared" si="233"/>
        <v>1</v>
      </c>
      <c r="I740" s="443">
        <f>VLOOKUP(D740,'Orçamento Analitico'!D:L,9,FALSE())</f>
        <v>15723.31</v>
      </c>
      <c r="J740" s="443">
        <f t="shared" si="229"/>
        <v>19731.18</v>
      </c>
      <c r="K740" s="443">
        <f t="shared" si="230"/>
        <v>15723.31</v>
      </c>
      <c r="L740" s="443">
        <f t="shared" si="231"/>
        <v>19731.18</v>
      </c>
      <c r="M740" s="461" t="e">
        <f t="shared" si="232"/>
        <v>#N/A</v>
      </c>
      <c r="N740" s="464">
        <v>1</v>
      </c>
      <c r="O740" s="465"/>
      <c r="P740" s="465"/>
      <c r="Q740" s="465"/>
      <c r="R740" s="465"/>
      <c r="S740" s="465"/>
      <c r="T740" s="465"/>
      <c r="U740" s="479"/>
      <c r="V740" s="422"/>
      <c r="W740" s="422"/>
      <c r="X740" s="422"/>
      <c r="Y740" s="422"/>
      <c r="Z740" s="422"/>
    </row>
    <row r="741" ht="44.25" customHeight="1" spans="1:26">
      <c r="A741" s="422" t="str">
        <f t="shared" si="226"/>
        <v> 14.2.1 </v>
      </c>
      <c r="B741" s="423" t="str">
        <f t="shared" si="227"/>
        <v> 14.2.1 </v>
      </c>
      <c r="C741" s="441" t="s">
        <v>1985</v>
      </c>
      <c r="D741" s="442" t="s">
        <v>1986</v>
      </c>
      <c r="E741" s="441" t="s">
        <v>132</v>
      </c>
      <c r="F741" s="441" t="s">
        <v>1987</v>
      </c>
      <c r="G741" s="442" t="s">
        <v>134</v>
      </c>
      <c r="H741" s="443">
        <f t="shared" si="233"/>
        <v>1</v>
      </c>
      <c r="I741" s="443">
        <f>VLOOKUP(D741,'Orçamento Analitico'!D:L,9,FALSE())</f>
        <v>9617.37</v>
      </c>
      <c r="J741" s="443">
        <f t="shared" si="229"/>
        <v>12068.83</v>
      </c>
      <c r="K741" s="443">
        <f t="shared" si="230"/>
        <v>9617.37</v>
      </c>
      <c r="L741" s="443">
        <f t="shared" si="231"/>
        <v>12068.83</v>
      </c>
      <c r="M741" s="461" t="e">
        <f t="shared" si="232"/>
        <v>#N/A</v>
      </c>
      <c r="N741" s="464">
        <v>1</v>
      </c>
      <c r="O741" s="465"/>
      <c r="P741" s="465"/>
      <c r="Q741" s="465"/>
      <c r="R741" s="465"/>
      <c r="S741" s="465"/>
      <c r="T741" s="465"/>
      <c r="U741" s="479"/>
      <c r="V741" s="422"/>
      <c r="W741" s="422"/>
      <c r="X741" s="422"/>
      <c r="Y741" s="422"/>
      <c r="Z741" s="422"/>
    </row>
    <row r="742" ht="44.25" customHeight="1" spans="1:26">
      <c r="A742" s="422" t="str">
        <f t="shared" si="226"/>
        <v> 14.2.1 </v>
      </c>
      <c r="B742" s="423" t="str">
        <f t="shared" si="227"/>
        <v> 14.2.1 </v>
      </c>
      <c r="C742" s="441" t="s">
        <v>1989</v>
      </c>
      <c r="D742" s="442" t="s">
        <v>1990</v>
      </c>
      <c r="E742" s="441" t="s">
        <v>132</v>
      </c>
      <c r="F742" s="441" t="s">
        <v>1991</v>
      </c>
      <c r="G742" s="442" t="s">
        <v>134</v>
      </c>
      <c r="H742" s="443">
        <f t="shared" si="233"/>
        <v>1</v>
      </c>
      <c r="I742" s="443">
        <f>VLOOKUP(D742,'Orçamento Analitico'!D:L,9,FALSE())</f>
        <v>10217.32</v>
      </c>
      <c r="J742" s="443">
        <f t="shared" si="229"/>
        <v>12821.71</v>
      </c>
      <c r="K742" s="443">
        <f t="shared" si="230"/>
        <v>10217.32</v>
      </c>
      <c r="L742" s="443">
        <f t="shared" si="231"/>
        <v>12821.71</v>
      </c>
      <c r="M742" s="461" t="e">
        <f t="shared" si="232"/>
        <v>#N/A</v>
      </c>
      <c r="N742" s="464">
        <v>1</v>
      </c>
      <c r="O742" s="465"/>
      <c r="P742" s="465"/>
      <c r="Q742" s="465"/>
      <c r="R742" s="465"/>
      <c r="S742" s="465"/>
      <c r="T742" s="465"/>
      <c r="U742" s="479"/>
      <c r="V742" s="422"/>
      <c r="W742" s="422"/>
      <c r="X742" s="422"/>
      <c r="Y742" s="422"/>
      <c r="Z742" s="422"/>
    </row>
    <row r="743" ht="27.75" customHeight="1" spans="1:26">
      <c r="A743" s="422" t="str">
        <f t="shared" si="226"/>
        <v> 14.2.1 </v>
      </c>
      <c r="B743" s="423" t="str">
        <f t="shared" si="227"/>
        <v> 14.2.1 </v>
      </c>
      <c r="C743" s="441" t="s">
        <v>1993</v>
      </c>
      <c r="D743" s="442" t="s">
        <v>1994</v>
      </c>
      <c r="E743" s="441" t="s">
        <v>149</v>
      </c>
      <c r="F743" s="441" t="s">
        <v>1995</v>
      </c>
      <c r="G743" s="442" t="s">
        <v>134</v>
      </c>
      <c r="H743" s="443">
        <f t="shared" si="233"/>
        <v>2</v>
      </c>
      <c r="I743" s="443">
        <f>VLOOKUP(D743,'Orçamento Analitico'!D:L,9,FALSE())</f>
        <v>182.47</v>
      </c>
      <c r="J743" s="443">
        <f t="shared" si="229"/>
        <v>228.98</v>
      </c>
      <c r="K743" s="443">
        <f t="shared" si="230"/>
        <v>364.94</v>
      </c>
      <c r="L743" s="443">
        <f t="shared" si="231"/>
        <v>457.96</v>
      </c>
      <c r="M743" s="461" t="e">
        <f t="shared" si="232"/>
        <v>#N/A</v>
      </c>
      <c r="N743" s="464">
        <v>2</v>
      </c>
      <c r="O743" s="465"/>
      <c r="P743" s="465"/>
      <c r="Q743" s="465"/>
      <c r="R743" s="465"/>
      <c r="S743" s="465"/>
      <c r="T743" s="465"/>
      <c r="U743" s="479"/>
      <c r="V743" s="422"/>
      <c r="W743" s="422"/>
      <c r="X743" s="422"/>
      <c r="Y743" s="422"/>
      <c r="Z743" s="422"/>
    </row>
    <row r="744" ht="12.75" customHeight="1" spans="1:26">
      <c r="A744" s="422"/>
      <c r="B744" s="423" t="str">
        <f>C744</f>
        <v> 14.2.2 </v>
      </c>
      <c r="C744" s="488" t="s">
        <v>1996</v>
      </c>
      <c r="D744" s="489" t="s">
        <v>74</v>
      </c>
      <c r="E744" s="488"/>
      <c r="F744" s="488" t="s">
        <v>1997</v>
      </c>
      <c r="G744" s="489"/>
      <c r="H744" s="490"/>
      <c r="I744" s="490"/>
      <c r="J744" s="490"/>
      <c r="K744" s="490">
        <f>SUMIF(A:A,B744,K:K)</f>
        <v>10106.2</v>
      </c>
      <c r="L744" s="490">
        <f>SUMIF(A:A,C744,L:L)</f>
        <v>12681.78</v>
      </c>
      <c r="M744" s="496" t="e">
        <f t="shared" si="232"/>
        <v>#N/A</v>
      </c>
      <c r="N744" s="464"/>
      <c r="O744" s="465"/>
      <c r="P744" s="465"/>
      <c r="Q744" s="465"/>
      <c r="R744" s="465"/>
      <c r="S744" s="465"/>
      <c r="T744" s="465"/>
      <c r="U744" s="479"/>
      <c r="V744" s="422"/>
      <c r="W744" s="422"/>
      <c r="X744" s="422"/>
      <c r="Y744" s="422"/>
      <c r="Z744" s="422"/>
    </row>
    <row r="745" ht="47.25" customHeight="1" spans="1:26">
      <c r="A745" s="422" t="str">
        <f t="shared" ref="A745:A761" si="234">B745</f>
        <v> 14.2.2 </v>
      </c>
      <c r="B745" s="423" t="str">
        <f t="shared" ref="B745:B761" si="235">B744</f>
        <v> 14.2.2 </v>
      </c>
      <c r="C745" s="441" t="s">
        <v>1998</v>
      </c>
      <c r="D745" s="442" t="s">
        <v>1999</v>
      </c>
      <c r="E745" s="441" t="s">
        <v>139</v>
      </c>
      <c r="F745" s="441" t="s">
        <v>2000</v>
      </c>
      <c r="G745" s="442" t="s">
        <v>204</v>
      </c>
      <c r="H745" s="443">
        <f t="shared" ref="H745:H761" si="236">SUM(N745:R745)</f>
        <v>3</v>
      </c>
      <c r="I745" s="443">
        <f>VLOOKUP(D745,'Orçamento Analitico'!D:L,9,FALSE())</f>
        <v>43.95</v>
      </c>
      <c r="J745" s="443">
        <f t="shared" ref="J745:J761" si="237">ROUNDDOWN(I745*(1+$G$6),2)</f>
        <v>55.15</v>
      </c>
      <c r="K745" s="443">
        <f t="shared" ref="K745:K761" si="238">ROUNDDOWN(H745*I745,2)</f>
        <v>131.85</v>
      </c>
      <c r="L745" s="443">
        <f t="shared" ref="L745:L761" si="239">ROUNDDOWN(H745*J745,2)</f>
        <v>165.45</v>
      </c>
      <c r="M745" s="461" t="e">
        <f t="shared" si="232"/>
        <v>#N/A</v>
      </c>
      <c r="N745" s="464">
        <v>3</v>
      </c>
      <c r="O745" s="465" t="s">
        <v>6146</v>
      </c>
      <c r="P745" s="465"/>
      <c r="Q745" s="465" t="s">
        <v>6147</v>
      </c>
      <c r="R745" s="465"/>
      <c r="S745" s="465"/>
      <c r="T745" s="465"/>
      <c r="U745" s="479"/>
      <c r="V745" s="422"/>
      <c r="W745" s="422"/>
      <c r="X745" s="422"/>
      <c r="Y745" s="422"/>
      <c r="Z745" s="422"/>
    </row>
    <row r="746" ht="29.25" customHeight="1" spans="1:26">
      <c r="A746" s="422" t="str">
        <f t="shared" si="234"/>
        <v> 14.2.2 </v>
      </c>
      <c r="B746" s="423" t="str">
        <f t="shared" si="235"/>
        <v> 14.2.2 </v>
      </c>
      <c r="C746" s="441" t="s">
        <v>2001</v>
      </c>
      <c r="D746" s="442" t="s">
        <v>2002</v>
      </c>
      <c r="E746" s="441" t="s">
        <v>149</v>
      </c>
      <c r="F746" s="441" t="s">
        <v>2003</v>
      </c>
      <c r="G746" s="442" t="s">
        <v>134</v>
      </c>
      <c r="H746" s="443">
        <f t="shared" si="236"/>
        <v>16</v>
      </c>
      <c r="I746" s="443">
        <f>VLOOKUP(D746,'Orçamento Analitico'!D:L,9,FALSE())</f>
        <v>97.18</v>
      </c>
      <c r="J746" s="443">
        <f t="shared" si="237"/>
        <v>121.95</v>
      </c>
      <c r="K746" s="443">
        <f t="shared" si="238"/>
        <v>1554.88</v>
      </c>
      <c r="L746" s="443">
        <f t="shared" si="239"/>
        <v>1951.2</v>
      </c>
      <c r="M746" s="461" t="e">
        <f t="shared" si="232"/>
        <v>#N/A</v>
      </c>
      <c r="N746" s="464">
        <v>8</v>
      </c>
      <c r="O746" s="465" t="s">
        <v>6146</v>
      </c>
      <c r="P746" s="465">
        <v>8</v>
      </c>
      <c r="Q746" s="465" t="s">
        <v>6147</v>
      </c>
      <c r="R746" s="465"/>
      <c r="S746" s="465"/>
      <c r="T746" s="465"/>
      <c r="U746" s="479"/>
      <c r="V746" s="422"/>
      <c r="W746" s="422"/>
      <c r="X746" s="422"/>
      <c r="Y746" s="422"/>
      <c r="Z746" s="422"/>
    </row>
    <row r="747" ht="29.25" customHeight="1" spans="1:26">
      <c r="A747" s="422" t="str">
        <f t="shared" si="234"/>
        <v> 14.2.2 </v>
      </c>
      <c r="B747" s="423" t="str">
        <f t="shared" si="235"/>
        <v> 14.2.2 </v>
      </c>
      <c r="C747" s="441" t="s">
        <v>2004</v>
      </c>
      <c r="D747" s="442" t="s">
        <v>820</v>
      </c>
      <c r="E747" s="441" t="s">
        <v>139</v>
      </c>
      <c r="F747" s="441" t="s">
        <v>821</v>
      </c>
      <c r="G747" s="442" t="s">
        <v>134</v>
      </c>
      <c r="H747" s="443">
        <f t="shared" si="236"/>
        <v>6</v>
      </c>
      <c r="I747" s="443">
        <f>VLOOKUP(D747,'Orçamento Analitico'!D:L,9,FALSE())</f>
        <v>42.03</v>
      </c>
      <c r="J747" s="443">
        <f t="shared" si="237"/>
        <v>52.74</v>
      </c>
      <c r="K747" s="443">
        <f t="shared" si="238"/>
        <v>252.18</v>
      </c>
      <c r="L747" s="443">
        <f t="shared" si="239"/>
        <v>316.44</v>
      </c>
      <c r="M747" s="461" t="e">
        <f t="shared" si="232"/>
        <v>#N/A</v>
      </c>
      <c r="N747" s="464">
        <v>3</v>
      </c>
      <c r="O747" s="465" t="s">
        <v>6146</v>
      </c>
      <c r="P747" s="465">
        <v>3</v>
      </c>
      <c r="Q747" s="465" t="s">
        <v>6147</v>
      </c>
      <c r="R747" s="465"/>
      <c r="S747" s="465"/>
      <c r="T747" s="465"/>
      <c r="U747" s="479"/>
      <c r="V747" s="422"/>
      <c r="W747" s="422"/>
      <c r="X747" s="422"/>
      <c r="Y747" s="422"/>
      <c r="Z747" s="422"/>
    </row>
    <row r="748" ht="29.25" customHeight="1" spans="1:26">
      <c r="A748" s="422" t="str">
        <f t="shared" si="234"/>
        <v> 14.2.2 </v>
      </c>
      <c r="B748" s="423" t="str">
        <f t="shared" si="235"/>
        <v> 14.2.2 </v>
      </c>
      <c r="C748" s="441" t="s">
        <v>2005</v>
      </c>
      <c r="D748" s="442" t="s">
        <v>2006</v>
      </c>
      <c r="E748" s="441" t="s">
        <v>149</v>
      </c>
      <c r="F748" s="441" t="s">
        <v>2007</v>
      </c>
      <c r="G748" s="442" t="s">
        <v>134</v>
      </c>
      <c r="H748" s="443">
        <f t="shared" si="236"/>
        <v>10</v>
      </c>
      <c r="I748" s="443">
        <f>VLOOKUP(D748,'Orçamento Analitico'!D:L,9,FALSE())</f>
        <v>35.42</v>
      </c>
      <c r="J748" s="443">
        <f t="shared" si="237"/>
        <v>44.44</v>
      </c>
      <c r="K748" s="443">
        <f t="shared" si="238"/>
        <v>354.2</v>
      </c>
      <c r="L748" s="443">
        <f t="shared" si="239"/>
        <v>444.4</v>
      </c>
      <c r="M748" s="461" t="e">
        <f t="shared" si="232"/>
        <v>#N/A</v>
      </c>
      <c r="N748" s="464">
        <v>5</v>
      </c>
      <c r="O748" s="465" t="s">
        <v>6146</v>
      </c>
      <c r="P748" s="465">
        <v>5</v>
      </c>
      <c r="Q748" s="465" t="s">
        <v>6147</v>
      </c>
      <c r="R748" s="465"/>
      <c r="S748" s="465"/>
      <c r="T748" s="465"/>
      <c r="U748" s="479"/>
      <c r="V748" s="422"/>
      <c r="W748" s="422"/>
      <c r="X748" s="422"/>
      <c r="Y748" s="422"/>
      <c r="Z748" s="422"/>
    </row>
    <row r="749" ht="29.25" customHeight="1" spans="1:26">
      <c r="A749" s="422" t="str">
        <f t="shared" si="234"/>
        <v> 14.2.2 </v>
      </c>
      <c r="B749" s="423" t="str">
        <f t="shared" si="235"/>
        <v> 14.2.2 </v>
      </c>
      <c r="C749" s="441" t="s">
        <v>2008</v>
      </c>
      <c r="D749" s="442" t="s">
        <v>2009</v>
      </c>
      <c r="E749" s="441" t="s">
        <v>149</v>
      </c>
      <c r="F749" s="441" t="s">
        <v>2010</v>
      </c>
      <c r="G749" s="442" t="s">
        <v>134</v>
      </c>
      <c r="H749" s="443">
        <f t="shared" si="236"/>
        <v>12</v>
      </c>
      <c r="I749" s="443">
        <f>VLOOKUP(D749,'Orçamento Analitico'!D:L,9,FALSE())</f>
        <v>33.26</v>
      </c>
      <c r="J749" s="443">
        <f t="shared" si="237"/>
        <v>41.73</v>
      </c>
      <c r="K749" s="443">
        <f t="shared" si="238"/>
        <v>399.12</v>
      </c>
      <c r="L749" s="443">
        <f t="shared" si="239"/>
        <v>500.76</v>
      </c>
      <c r="M749" s="461" t="e">
        <f t="shared" si="232"/>
        <v>#N/A</v>
      </c>
      <c r="N749" s="464">
        <v>6</v>
      </c>
      <c r="O749" s="465" t="s">
        <v>6146</v>
      </c>
      <c r="P749" s="465">
        <v>6</v>
      </c>
      <c r="Q749" s="465" t="s">
        <v>6147</v>
      </c>
      <c r="R749" s="465"/>
      <c r="S749" s="465"/>
      <c r="T749" s="465"/>
      <c r="U749" s="479"/>
      <c r="V749" s="422"/>
      <c r="W749" s="422"/>
      <c r="X749" s="422"/>
      <c r="Y749" s="422"/>
      <c r="Z749" s="422"/>
    </row>
    <row r="750" ht="12.75" customHeight="1" spans="1:26">
      <c r="A750" s="422" t="str">
        <f t="shared" si="234"/>
        <v> 14.2.2 </v>
      </c>
      <c r="B750" s="423" t="str">
        <f t="shared" si="235"/>
        <v> 14.2.2 </v>
      </c>
      <c r="C750" s="441" t="s">
        <v>2011</v>
      </c>
      <c r="D750" s="442" t="s">
        <v>2012</v>
      </c>
      <c r="E750" s="441" t="s">
        <v>132</v>
      </c>
      <c r="F750" s="441" t="s">
        <v>2013</v>
      </c>
      <c r="G750" s="442" t="s">
        <v>134</v>
      </c>
      <c r="H750" s="443">
        <f t="shared" si="236"/>
        <v>4</v>
      </c>
      <c r="I750" s="443">
        <f>VLOOKUP(D750,'Orçamento Analitico'!D:L,9,FALSE())</f>
        <v>36.24</v>
      </c>
      <c r="J750" s="443">
        <f t="shared" si="237"/>
        <v>45.47</v>
      </c>
      <c r="K750" s="443">
        <f t="shared" si="238"/>
        <v>144.96</v>
      </c>
      <c r="L750" s="443">
        <f t="shared" si="239"/>
        <v>181.88</v>
      </c>
      <c r="M750" s="461" t="e">
        <f t="shared" si="232"/>
        <v>#N/A</v>
      </c>
      <c r="N750" s="464">
        <v>2</v>
      </c>
      <c r="O750" s="465" t="s">
        <v>6146</v>
      </c>
      <c r="P750" s="465">
        <v>2</v>
      </c>
      <c r="Q750" s="465" t="s">
        <v>6147</v>
      </c>
      <c r="R750" s="465"/>
      <c r="S750" s="465"/>
      <c r="T750" s="465"/>
      <c r="U750" s="479"/>
      <c r="V750" s="422"/>
      <c r="W750" s="422"/>
      <c r="X750" s="422"/>
      <c r="Y750" s="422"/>
      <c r="Z750" s="422"/>
    </row>
    <row r="751" ht="45.75" customHeight="1" spans="1:26">
      <c r="A751" s="422" t="str">
        <f t="shared" si="234"/>
        <v> 14.2.2 </v>
      </c>
      <c r="B751" s="423" t="str">
        <f t="shared" si="235"/>
        <v> 14.2.2 </v>
      </c>
      <c r="C751" s="441" t="s">
        <v>2014</v>
      </c>
      <c r="D751" s="442" t="s">
        <v>2015</v>
      </c>
      <c r="E751" s="441" t="s">
        <v>139</v>
      </c>
      <c r="F751" s="441" t="s">
        <v>2016</v>
      </c>
      <c r="G751" s="442" t="s">
        <v>134</v>
      </c>
      <c r="H751" s="443">
        <f t="shared" si="236"/>
        <v>1</v>
      </c>
      <c r="I751" s="443">
        <f>VLOOKUP(D751,'Orçamento Analitico'!D:L,9,FALSE())</f>
        <v>93.69</v>
      </c>
      <c r="J751" s="443">
        <f t="shared" si="237"/>
        <v>117.57</v>
      </c>
      <c r="K751" s="443">
        <f t="shared" si="238"/>
        <v>93.69</v>
      </c>
      <c r="L751" s="443">
        <f t="shared" si="239"/>
        <v>117.57</v>
      </c>
      <c r="M751" s="461" t="e">
        <f t="shared" si="232"/>
        <v>#N/A</v>
      </c>
      <c r="N751" s="464">
        <v>1</v>
      </c>
      <c r="O751" s="465" t="s">
        <v>6146</v>
      </c>
      <c r="P751" s="465"/>
      <c r="Q751" s="465" t="s">
        <v>6147</v>
      </c>
      <c r="R751" s="465"/>
      <c r="S751" s="465"/>
      <c r="T751" s="465"/>
      <c r="U751" s="479"/>
      <c r="V751" s="422"/>
      <c r="W751" s="422"/>
      <c r="X751" s="422"/>
      <c r="Y751" s="422"/>
      <c r="Z751" s="422"/>
    </row>
    <row r="752" ht="45.75" customHeight="1" spans="1:26">
      <c r="A752" s="422" t="str">
        <f t="shared" si="234"/>
        <v> 14.2.2 </v>
      </c>
      <c r="B752" s="423" t="str">
        <f t="shared" si="235"/>
        <v> 14.2.2 </v>
      </c>
      <c r="C752" s="441" t="s">
        <v>2017</v>
      </c>
      <c r="D752" s="442" t="s">
        <v>2018</v>
      </c>
      <c r="E752" s="441" t="s">
        <v>132</v>
      </c>
      <c r="F752" s="441" t="s">
        <v>2019</v>
      </c>
      <c r="G752" s="442" t="s">
        <v>134</v>
      </c>
      <c r="H752" s="443">
        <f t="shared" si="236"/>
        <v>2</v>
      </c>
      <c r="I752" s="443">
        <f>VLOOKUP(D752,'Orçamento Analitico'!D:L,9,FALSE())</f>
        <v>41.21</v>
      </c>
      <c r="J752" s="443">
        <f t="shared" si="237"/>
        <v>51.71</v>
      </c>
      <c r="K752" s="443">
        <f t="shared" si="238"/>
        <v>82.42</v>
      </c>
      <c r="L752" s="443">
        <f t="shared" si="239"/>
        <v>103.42</v>
      </c>
      <c r="M752" s="461" t="e">
        <f t="shared" si="232"/>
        <v>#N/A</v>
      </c>
      <c r="N752" s="464">
        <v>1</v>
      </c>
      <c r="O752" s="465" t="s">
        <v>6146</v>
      </c>
      <c r="P752" s="465">
        <v>1</v>
      </c>
      <c r="Q752" s="465" t="s">
        <v>6147</v>
      </c>
      <c r="R752" s="465"/>
      <c r="S752" s="465"/>
      <c r="T752" s="465"/>
      <c r="U752" s="479"/>
      <c r="V752" s="422"/>
      <c r="W752" s="422"/>
      <c r="X752" s="422"/>
      <c r="Y752" s="422"/>
      <c r="Z752" s="422"/>
    </row>
    <row r="753" ht="45.75" customHeight="1" spans="1:26">
      <c r="A753" s="422" t="str">
        <f t="shared" si="234"/>
        <v> 14.2.2 </v>
      </c>
      <c r="B753" s="423" t="str">
        <f t="shared" si="235"/>
        <v> 14.2.2 </v>
      </c>
      <c r="C753" s="441" t="s">
        <v>2020</v>
      </c>
      <c r="D753" s="442" t="s">
        <v>2021</v>
      </c>
      <c r="E753" s="441" t="s">
        <v>132</v>
      </c>
      <c r="F753" s="441" t="s">
        <v>2022</v>
      </c>
      <c r="G753" s="442" t="s">
        <v>134</v>
      </c>
      <c r="H753" s="443">
        <f t="shared" si="236"/>
        <v>12</v>
      </c>
      <c r="I753" s="443">
        <f>VLOOKUP(D753,'Orçamento Analitico'!D:L,9,FALSE())</f>
        <v>30.99</v>
      </c>
      <c r="J753" s="443">
        <f t="shared" si="237"/>
        <v>38.88</v>
      </c>
      <c r="K753" s="443">
        <f t="shared" si="238"/>
        <v>371.88</v>
      </c>
      <c r="L753" s="443">
        <f t="shared" si="239"/>
        <v>466.56</v>
      </c>
      <c r="M753" s="461" t="e">
        <f t="shared" si="232"/>
        <v>#N/A</v>
      </c>
      <c r="N753" s="464">
        <v>6</v>
      </c>
      <c r="O753" s="465" t="s">
        <v>6146</v>
      </c>
      <c r="P753" s="465">
        <v>6</v>
      </c>
      <c r="Q753" s="465" t="s">
        <v>6147</v>
      </c>
      <c r="R753" s="465"/>
      <c r="S753" s="465"/>
      <c r="T753" s="465"/>
      <c r="U753" s="479"/>
      <c r="V753" s="422"/>
      <c r="W753" s="422"/>
      <c r="X753" s="422"/>
      <c r="Y753" s="422"/>
      <c r="Z753" s="422"/>
    </row>
    <row r="754" ht="45.75" customHeight="1" spans="1:26">
      <c r="A754" s="422" t="str">
        <f t="shared" si="234"/>
        <v> 14.2.2 </v>
      </c>
      <c r="B754" s="423" t="str">
        <f t="shared" si="235"/>
        <v> 14.2.2 </v>
      </c>
      <c r="C754" s="441" t="s">
        <v>2023</v>
      </c>
      <c r="D754" s="442" t="s">
        <v>2024</v>
      </c>
      <c r="E754" s="441" t="s">
        <v>132</v>
      </c>
      <c r="F754" s="441" t="s">
        <v>2025</v>
      </c>
      <c r="G754" s="442" t="s">
        <v>134</v>
      </c>
      <c r="H754" s="443">
        <f t="shared" si="236"/>
        <v>1</v>
      </c>
      <c r="I754" s="443">
        <f>VLOOKUP(D754,'Orçamento Analitico'!D:L,9,FALSE())</f>
        <v>372.31</v>
      </c>
      <c r="J754" s="443">
        <f t="shared" si="237"/>
        <v>467.21</v>
      </c>
      <c r="K754" s="443">
        <f t="shared" si="238"/>
        <v>372.31</v>
      </c>
      <c r="L754" s="443">
        <f t="shared" si="239"/>
        <v>467.21</v>
      </c>
      <c r="M754" s="461" t="e">
        <f t="shared" si="232"/>
        <v>#N/A</v>
      </c>
      <c r="N754" s="464"/>
      <c r="O754" s="465" t="s">
        <v>6146</v>
      </c>
      <c r="P754" s="465">
        <v>1</v>
      </c>
      <c r="Q754" s="465" t="s">
        <v>6147</v>
      </c>
      <c r="R754" s="465"/>
      <c r="S754" s="465"/>
      <c r="T754" s="465"/>
      <c r="U754" s="479"/>
      <c r="V754" s="422"/>
      <c r="W754" s="422"/>
      <c r="X754" s="422"/>
      <c r="Y754" s="422"/>
      <c r="Z754" s="422"/>
    </row>
    <row r="755" ht="45.75" customHeight="1" spans="1:26">
      <c r="A755" s="422" t="str">
        <f t="shared" si="234"/>
        <v> 14.2.2 </v>
      </c>
      <c r="B755" s="423" t="str">
        <f t="shared" si="235"/>
        <v> 14.2.2 </v>
      </c>
      <c r="C755" s="441" t="s">
        <v>2026</v>
      </c>
      <c r="D755" s="442" t="s">
        <v>2027</v>
      </c>
      <c r="E755" s="441" t="s">
        <v>132</v>
      </c>
      <c r="F755" s="441" t="s">
        <v>2028</v>
      </c>
      <c r="G755" s="442" t="s">
        <v>134</v>
      </c>
      <c r="H755" s="443">
        <f t="shared" si="236"/>
        <v>1</v>
      </c>
      <c r="I755" s="443">
        <f>VLOOKUP(D755,'Orçamento Analitico'!D:L,9,FALSE())</f>
        <v>151.91</v>
      </c>
      <c r="J755" s="443">
        <f t="shared" si="237"/>
        <v>190.63</v>
      </c>
      <c r="K755" s="443">
        <f t="shared" si="238"/>
        <v>151.91</v>
      </c>
      <c r="L755" s="443">
        <f t="shared" si="239"/>
        <v>190.63</v>
      </c>
      <c r="M755" s="461" t="e">
        <f t="shared" si="232"/>
        <v>#N/A</v>
      </c>
      <c r="N755" s="464"/>
      <c r="O755" s="465" t="s">
        <v>6146</v>
      </c>
      <c r="P755" s="465">
        <v>1</v>
      </c>
      <c r="Q755" s="465" t="s">
        <v>6147</v>
      </c>
      <c r="R755" s="465"/>
      <c r="S755" s="465"/>
      <c r="T755" s="465"/>
      <c r="U755" s="479"/>
      <c r="V755" s="422"/>
      <c r="W755" s="422"/>
      <c r="X755" s="422"/>
      <c r="Y755" s="422"/>
      <c r="Z755" s="422"/>
    </row>
    <row r="756" ht="49.5" customHeight="1" spans="1:26">
      <c r="A756" s="422" t="str">
        <f t="shared" si="234"/>
        <v> 14.2.2 </v>
      </c>
      <c r="B756" s="423" t="str">
        <f t="shared" si="235"/>
        <v> 14.2.2 </v>
      </c>
      <c r="C756" s="441" t="s">
        <v>2029</v>
      </c>
      <c r="D756" s="442" t="s">
        <v>2030</v>
      </c>
      <c r="E756" s="441" t="s">
        <v>139</v>
      </c>
      <c r="F756" s="441" t="s">
        <v>2031</v>
      </c>
      <c r="G756" s="442" t="s">
        <v>134</v>
      </c>
      <c r="H756" s="443">
        <f t="shared" si="236"/>
        <v>2</v>
      </c>
      <c r="I756" s="443">
        <f>VLOOKUP(D756,'Orçamento Analitico'!D:L,9,FALSE())</f>
        <v>27.78</v>
      </c>
      <c r="J756" s="443">
        <f t="shared" si="237"/>
        <v>34.86</v>
      </c>
      <c r="K756" s="443">
        <f t="shared" si="238"/>
        <v>55.56</v>
      </c>
      <c r="L756" s="443">
        <f t="shared" si="239"/>
        <v>69.72</v>
      </c>
      <c r="M756" s="461" t="e">
        <f t="shared" si="232"/>
        <v>#N/A</v>
      </c>
      <c r="N756" s="464">
        <v>1</v>
      </c>
      <c r="O756" s="465" t="s">
        <v>6146</v>
      </c>
      <c r="P756" s="465">
        <v>1</v>
      </c>
      <c r="Q756" s="465" t="s">
        <v>6147</v>
      </c>
      <c r="R756" s="465"/>
      <c r="S756" s="465"/>
      <c r="T756" s="465"/>
      <c r="U756" s="479"/>
      <c r="V756" s="422"/>
      <c r="W756" s="422"/>
      <c r="X756" s="422"/>
      <c r="Y756" s="422"/>
      <c r="Z756" s="422"/>
    </row>
    <row r="757" ht="34.5" customHeight="1" spans="1:26">
      <c r="A757" s="422" t="str">
        <f t="shared" si="234"/>
        <v> 14.2.2 </v>
      </c>
      <c r="B757" s="423" t="str">
        <f t="shared" si="235"/>
        <v> 14.2.2 </v>
      </c>
      <c r="C757" s="441" t="s">
        <v>2032</v>
      </c>
      <c r="D757" s="442" t="s">
        <v>2033</v>
      </c>
      <c r="E757" s="441" t="s">
        <v>132</v>
      </c>
      <c r="F757" s="441" t="s">
        <v>2034</v>
      </c>
      <c r="G757" s="442" t="s">
        <v>134</v>
      </c>
      <c r="H757" s="443">
        <f t="shared" si="236"/>
        <v>6</v>
      </c>
      <c r="I757" s="443">
        <f>VLOOKUP(D757,'Orçamento Analitico'!D:L,9,FALSE())</f>
        <v>14.9</v>
      </c>
      <c r="J757" s="443">
        <f t="shared" si="237"/>
        <v>18.69</v>
      </c>
      <c r="K757" s="443">
        <f t="shared" si="238"/>
        <v>89.4</v>
      </c>
      <c r="L757" s="443">
        <f t="shared" si="239"/>
        <v>112.14</v>
      </c>
      <c r="M757" s="461" t="e">
        <f t="shared" si="232"/>
        <v>#N/A</v>
      </c>
      <c r="N757" s="464">
        <v>3</v>
      </c>
      <c r="O757" s="465" t="s">
        <v>6146</v>
      </c>
      <c r="P757" s="465">
        <v>3</v>
      </c>
      <c r="Q757" s="465" t="s">
        <v>6147</v>
      </c>
      <c r="R757" s="465"/>
      <c r="S757" s="465"/>
      <c r="T757" s="465"/>
      <c r="U757" s="479"/>
      <c r="V757" s="422"/>
      <c r="W757" s="422"/>
      <c r="X757" s="422"/>
      <c r="Y757" s="422"/>
      <c r="Z757" s="422"/>
    </row>
    <row r="758" ht="31.5" customHeight="1" spans="1:26">
      <c r="A758" s="422" t="str">
        <f t="shared" si="234"/>
        <v> 14.2.2 </v>
      </c>
      <c r="B758" s="423" t="str">
        <f t="shared" si="235"/>
        <v> 14.2.2 </v>
      </c>
      <c r="C758" s="441" t="s">
        <v>2035</v>
      </c>
      <c r="D758" s="442" t="s">
        <v>2036</v>
      </c>
      <c r="E758" s="441" t="s">
        <v>132</v>
      </c>
      <c r="F758" s="441" t="s">
        <v>2037</v>
      </c>
      <c r="G758" s="442" t="s">
        <v>134</v>
      </c>
      <c r="H758" s="443">
        <f t="shared" si="236"/>
        <v>6</v>
      </c>
      <c r="I758" s="443">
        <f>VLOOKUP(D758,'Orçamento Analitico'!D:L,9,FALSE())</f>
        <v>14.88</v>
      </c>
      <c r="J758" s="443">
        <f t="shared" si="237"/>
        <v>18.67</v>
      </c>
      <c r="K758" s="443">
        <f t="shared" si="238"/>
        <v>89.28</v>
      </c>
      <c r="L758" s="443">
        <f t="shared" si="239"/>
        <v>112.02</v>
      </c>
      <c r="M758" s="461" t="e">
        <f t="shared" si="232"/>
        <v>#N/A</v>
      </c>
      <c r="N758" s="464">
        <v>3</v>
      </c>
      <c r="O758" s="465" t="s">
        <v>6146</v>
      </c>
      <c r="P758" s="465">
        <v>3</v>
      </c>
      <c r="Q758" s="465" t="s">
        <v>6147</v>
      </c>
      <c r="R758" s="465"/>
      <c r="S758" s="465"/>
      <c r="T758" s="465"/>
      <c r="U758" s="479"/>
      <c r="V758" s="422"/>
      <c r="W758" s="422"/>
      <c r="X758" s="422"/>
      <c r="Y758" s="422"/>
      <c r="Z758" s="422"/>
    </row>
    <row r="759" ht="29.25" customHeight="1" spans="1:26">
      <c r="A759" s="422" t="str">
        <f t="shared" si="234"/>
        <v> 14.2.2 </v>
      </c>
      <c r="B759" s="423" t="str">
        <f t="shared" si="235"/>
        <v> 14.2.2 </v>
      </c>
      <c r="C759" s="441" t="s">
        <v>2038</v>
      </c>
      <c r="D759" s="442" t="s">
        <v>832</v>
      </c>
      <c r="E759" s="441" t="s">
        <v>139</v>
      </c>
      <c r="F759" s="441" t="s">
        <v>833</v>
      </c>
      <c r="G759" s="442" t="s">
        <v>134</v>
      </c>
      <c r="H759" s="443">
        <f t="shared" si="236"/>
        <v>6</v>
      </c>
      <c r="I759" s="443">
        <f>VLOOKUP(D759,'Orçamento Analitico'!D:L,9,FALSE())</f>
        <v>187.29</v>
      </c>
      <c r="J759" s="443">
        <f t="shared" si="237"/>
        <v>235.03</v>
      </c>
      <c r="K759" s="443">
        <f t="shared" si="238"/>
        <v>1123.74</v>
      </c>
      <c r="L759" s="443">
        <f t="shared" si="239"/>
        <v>1410.18</v>
      </c>
      <c r="M759" s="461" t="e">
        <f t="shared" si="232"/>
        <v>#N/A</v>
      </c>
      <c r="N759" s="464">
        <v>3</v>
      </c>
      <c r="O759" s="465" t="s">
        <v>6146</v>
      </c>
      <c r="P759" s="465">
        <v>3</v>
      </c>
      <c r="Q759" s="465" t="s">
        <v>6147</v>
      </c>
      <c r="R759" s="465"/>
      <c r="S759" s="465"/>
      <c r="T759" s="465"/>
      <c r="U759" s="479"/>
      <c r="V759" s="422"/>
      <c r="W759" s="422"/>
      <c r="X759" s="422"/>
      <c r="Y759" s="422"/>
      <c r="Z759" s="422"/>
    </row>
    <row r="760" ht="33.75" customHeight="1" spans="1:26">
      <c r="A760" s="422" t="str">
        <f t="shared" si="234"/>
        <v> 14.2.2 </v>
      </c>
      <c r="B760" s="423" t="str">
        <f t="shared" si="235"/>
        <v> 14.2.2 </v>
      </c>
      <c r="C760" s="441" t="s">
        <v>2039</v>
      </c>
      <c r="D760" s="442" t="s">
        <v>2040</v>
      </c>
      <c r="E760" s="441" t="s">
        <v>149</v>
      </c>
      <c r="F760" s="441" t="s">
        <v>2041</v>
      </c>
      <c r="G760" s="442" t="s">
        <v>134</v>
      </c>
      <c r="H760" s="443">
        <f t="shared" si="236"/>
        <v>6</v>
      </c>
      <c r="I760" s="443">
        <f>VLOOKUP(D760,'Orçamento Analitico'!D:L,9,FALSE())</f>
        <v>460.67</v>
      </c>
      <c r="J760" s="443">
        <f t="shared" si="237"/>
        <v>578.09</v>
      </c>
      <c r="K760" s="443">
        <f t="shared" si="238"/>
        <v>2764.02</v>
      </c>
      <c r="L760" s="443">
        <f t="shared" si="239"/>
        <v>3468.54</v>
      </c>
      <c r="M760" s="461" t="e">
        <f t="shared" si="232"/>
        <v>#N/A</v>
      </c>
      <c r="N760" s="464">
        <v>3</v>
      </c>
      <c r="O760" s="465" t="s">
        <v>6146</v>
      </c>
      <c r="P760" s="465">
        <v>3</v>
      </c>
      <c r="Q760" s="465" t="s">
        <v>6147</v>
      </c>
      <c r="R760" s="465"/>
      <c r="S760" s="465"/>
      <c r="T760" s="465"/>
      <c r="U760" s="479"/>
      <c r="V760" s="422"/>
      <c r="W760" s="422"/>
      <c r="X760" s="422"/>
      <c r="Y760" s="422"/>
      <c r="Z760" s="422"/>
    </row>
    <row r="761" ht="33.75" customHeight="1" spans="1:26">
      <c r="A761" s="422" t="str">
        <f t="shared" si="234"/>
        <v> 14.2.2 </v>
      </c>
      <c r="B761" s="423" t="str">
        <f t="shared" si="235"/>
        <v> 14.2.2 </v>
      </c>
      <c r="C761" s="441" t="s">
        <v>2042</v>
      </c>
      <c r="D761" s="442" t="s">
        <v>2043</v>
      </c>
      <c r="E761" s="441" t="s">
        <v>149</v>
      </c>
      <c r="F761" s="441" t="s">
        <v>2044</v>
      </c>
      <c r="G761" s="442" t="s">
        <v>134</v>
      </c>
      <c r="H761" s="443">
        <f t="shared" si="236"/>
        <v>2</v>
      </c>
      <c r="I761" s="443">
        <f>VLOOKUP(D761,'Orçamento Analitico'!D:L,9,FALSE())</f>
        <v>1037.4</v>
      </c>
      <c r="J761" s="443">
        <f t="shared" si="237"/>
        <v>1301.83</v>
      </c>
      <c r="K761" s="443">
        <f t="shared" si="238"/>
        <v>2074.8</v>
      </c>
      <c r="L761" s="443">
        <f t="shared" si="239"/>
        <v>2603.66</v>
      </c>
      <c r="M761" s="461" t="e">
        <f t="shared" si="232"/>
        <v>#N/A</v>
      </c>
      <c r="N761" s="516">
        <v>1</v>
      </c>
      <c r="O761" s="481" t="s">
        <v>6146</v>
      </c>
      <c r="P761" s="481">
        <v>1</v>
      </c>
      <c r="Q761" s="481" t="s">
        <v>6147</v>
      </c>
      <c r="R761" s="481"/>
      <c r="S761" s="481"/>
      <c r="T761" s="481"/>
      <c r="U761" s="482"/>
      <c r="V761" s="422"/>
      <c r="W761" s="422"/>
      <c r="X761" s="422"/>
      <c r="Y761" s="422"/>
      <c r="Z761" s="422"/>
    </row>
    <row r="762" ht="12.75" customHeight="1" spans="1:26">
      <c r="A762" s="422"/>
      <c r="B762" s="423" t="str">
        <f>C762</f>
        <v> 14.2.3 </v>
      </c>
      <c r="C762" s="488" t="s">
        <v>2045</v>
      </c>
      <c r="D762" s="489" t="s">
        <v>74</v>
      </c>
      <c r="E762" s="488"/>
      <c r="F762" s="488" t="s">
        <v>2046</v>
      </c>
      <c r="G762" s="489"/>
      <c r="H762" s="490"/>
      <c r="I762" s="490"/>
      <c r="J762" s="490"/>
      <c r="K762" s="490">
        <f>SUMIF(A:A,B762,K:K)</f>
        <v>6791.52</v>
      </c>
      <c r="L762" s="490">
        <f>SUMIF(A:A,C762,L:L)</f>
        <v>8521.94</v>
      </c>
      <c r="M762" s="496" t="e">
        <f t="shared" si="232"/>
        <v>#N/A</v>
      </c>
      <c r="N762" s="459"/>
      <c r="O762" s="460"/>
      <c r="P762" s="460"/>
      <c r="Q762" s="460"/>
      <c r="R762" s="460"/>
      <c r="S762" s="460"/>
      <c r="T762" s="460"/>
      <c r="U762" s="477"/>
      <c r="V762" s="422"/>
      <c r="W762" s="422"/>
      <c r="X762" s="422"/>
      <c r="Y762" s="422"/>
      <c r="Z762" s="422"/>
    </row>
    <row r="763" ht="60.75" customHeight="1" spans="1:26">
      <c r="A763" s="422" t="str">
        <f t="shared" ref="A763:A769" si="240">B763</f>
        <v> 14.2.3 </v>
      </c>
      <c r="B763" s="423" t="str">
        <f t="shared" ref="B763:B769" si="241">B762</f>
        <v> 14.2.3 </v>
      </c>
      <c r="C763" s="441" t="s">
        <v>2047</v>
      </c>
      <c r="D763" s="442" t="s">
        <v>2048</v>
      </c>
      <c r="E763" s="441" t="s">
        <v>77</v>
      </c>
      <c r="F763" s="441" t="s">
        <v>2049</v>
      </c>
      <c r="G763" s="442" t="s">
        <v>134</v>
      </c>
      <c r="H763" s="443">
        <f t="shared" ref="H763:H769" si="242">SUM(N763:S763)</f>
        <v>238</v>
      </c>
      <c r="I763" s="443">
        <f>VLOOKUP(D763,'Orçamento Analitico'!D:L,9,FALSE())</f>
        <v>11.38</v>
      </c>
      <c r="J763" s="443">
        <f t="shared" ref="J763:J769" si="243">ROUNDDOWN(I763*(1+$G$6),2)</f>
        <v>14.28</v>
      </c>
      <c r="K763" s="443">
        <f t="shared" ref="K763:K769" si="244">ROUNDDOWN(H763*I763,2)</f>
        <v>2708.44</v>
      </c>
      <c r="L763" s="443">
        <f t="shared" ref="L763:L769" si="245">ROUNDDOWN(H763*J763,2)</f>
        <v>3398.64</v>
      </c>
      <c r="M763" s="461" t="e">
        <f t="shared" si="232"/>
        <v>#N/A</v>
      </c>
      <c r="N763" s="464">
        <v>238</v>
      </c>
      <c r="O763" s="465"/>
      <c r="P763" s="465"/>
      <c r="Q763" s="465"/>
      <c r="R763" s="465"/>
      <c r="S763" s="465"/>
      <c r="T763" s="465"/>
      <c r="U763" s="479"/>
      <c r="V763" s="422"/>
      <c r="W763" s="422"/>
      <c r="X763" s="422"/>
      <c r="Y763" s="422"/>
      <c r="Z763" s="422"/>
    </row>
    <row r="764" ht="60.75" customHeight="1" spans="1:26">
      <c r="A764" s="422" t="str">
        <f t="shared" si="240"/>
        <v> 14.2.3 </v>
      </c>
      <c r="B764" s="423" t="str">
        <f t="shared" si="241"/>
        <v> 14.2.3 </v>
      </c>
      <c r="C764" s="441" t="s">
        <v>2050</v>
      </c>
      <c r="D764" s="442" t="s">
        <v>2051</v>
      </c>
      <c r="E764" s="441" t="s">
        <v>132</v>
      </c>
      <c r="F764" s="441" t="s">
        <v>2052</v>
      </c>
      <c r="G764" s="442" t="s">
        <v>134</v>
      </c>
      <c r="H764" s="443">
        <f t="shared" si="242"/>
        <v>224</v>
      </c>
      <c r="I764" s="443">
        <f>VLOOKUP(D764,'Orçamento Analitico'!D:L,9,FALSE())</f>
        <v>12.87</v>
      </c>
      <c r="J764" s="443">
        <f t="shared" si="243"/>
        <v>16.15</v>
      </c>
      <c r="K764" s="443">
        <f t="shared" si="244"/>
        <v>2882.88</v>
      </c>
      <c r="L764" s="443">
        <f t="shared" si="245"/>
        <v>3617.6</v>
      </c>
      <c r="M764" s="461" t="e">
        <f t="shared" si="232"/>
        <v>#N/A</v>
      </c>
      <c r="N764" s="464">
        <v>224</v>
      </c>
      <c r="O764" s="465"/>
      <c r="P764" s="465"/>
      <c r="Q764" s="465"/>
      <c r="R764" s="465"/>
      <c r="S764" s="465"/>
      <c r="T764" s="465"/>
      <c r="U764" s="479"/>
      <c r="V764" s="422"/>
      <c r="W764" s="422"/>
      <c r="X764" s="422"/>
      <c r="Y764" s="422"/>
      <c r="Z764" s="422"/>
    </row>
    <row r="765" ht="60.75" customHeight="1" spans="1:26">
      <c r="A765" s="422" t="str">
        <f t="shared" si="240"/>
        <v> 14.2.3 </v>
      </c>
      <c r="B765" s="423" t="str">
        <f t="shared" si="241"/>
        <v> 14.2.3 </v>
      </c>
      <c r="C765" s="441" t="s">
        <v>2053</v>
      </c>
      <c r="D765" s="442" t="s">
        <v>2054</v>
      </c>
      <c r="E765" s="441" t="s">
        <v>132</v>
      </c>
      <c r="F765" s="441" t="s">
        <v>2055</v>
      </c>
      <c r="G765" s="442" t="s">
        <v>134</v>
      </c>
      <c r="H765" s="443">
        <f t="shared" si="242"/>
        <v>20</v>
      </c>
      <c r="I765" s="443">
        <f>VLOOKUP(D765,'Orçamento Analitico'!D:L,9,FALSE())</f>
        <v>28.27</v>
      </c>
      <c r="J765" s="443">
        <f t="shared" si="243"/>
        <v>35.47</v>
      </c>
      <c r="K765" s="443">
        <f t="shared" si="244"/>
        <v>565.4</v>
      </c>
      <c r="L765" s="443">
        <f t="shared" si="245"/>
        <v>709.4</v>
      </c>
      <c r="M765" s="461" t="e">
        <f t="shared" si="232"/>
        <v>#N/A</v>
      </c>
      <c r="N765" s="464">
        <v>20</v>
      </c>
      <c r="O765" s="465"/>
      <c r="P765" s="465"/>
      <c r="Q765" s="465"/>
      <c r="R765" s="465"/>
      <c r="S765" s="465"/>
      <c r="T765" s="465"/>
      <c r="U765" s="479"/>
      <c r="V765" s="422"/>
      <c r="W765" s="422"/>
      <c r="X765" s="422"/>
      <c r="Y765" s="422"/>
      <c r="Z765" s="422"/>
    </row>
    <row r="766" ht="60.75" customHeight="1" spans="1:26">
      <c r="A766" s="422" t="str">
        <f t="shared" si="240"/>
        <v> 14.2.3 </v>
      </c>
      <c r="B766" s="423" t="str">
        <f t="shared" si="241"/>
        <v> 14.2.3 </v>
      </c>
      <c r="C766" s="441" t="s">
        <v>2056</v>
      </c>
      <c r="D766" s="442" t="s">
        <v>2057</v>
      </c>
      <c r="E766" s="441" t="s">
        <v>132</v>
      </c>
      <c r="F766" s="441" t="s">
        <v>2058</v>
      </c>
      <c r="G766" s="442" t="s">
        <v>134</v>
      </c>
      <c r="H766" s="443">
        <f t="shared" si="242"/>
        <v>2</v>
      </c>
      <c r="I766" s="443">
        <f>VLOOKUP(D766,'Orçamento Analitico'!D:L,9,FALSE())</f>
        <v>18.41</v>
      </c>
      <c r="J766" s="443">
        <f t="shared" si="243"/>
        <v>23.1</v>
      </c>
      <c r="K766" s="443">
        <f t="shared" si="244"/>
        <v>36.82</v>
      </c>
      <c r="L766" s="443">
        <f t="shared" si="245"/>
        <v>46.2</v>
      </c>
      <c r="M766" s="461" t="e">
        <f t="shared" si="232"/>
        <v>#N/A</v>
      </c>
      <c r="N766" s="464">
        <v>2</v>
      </c>
      <c r="O766" s="465"/>
      <c r="P766" s="465"/>
      <c r="Q766" s="465"/>
      <c r="R766" s="465"/>
      <c r="S766" s="465"/>
      <c r="T766" s="465"/>
      <c r="U766" s="479"/>
      <c r="V766" s="422"/>
      <c r="W766" s="422"/>
      <c r="X766" s="422"/>
      <c r="Y766" s="422"/>
      <c r="Z766" s="422"/>
    </row>
    <row r="767" ht="60.75" customHeight="1" spans="1:26">
      <c r="A767" s="422" t="str">
        <f t="shared" si="240"/>
        <v> 14.2.3 </v>
      </c>
      <c r="B767" s="423" t="str">
        <f t="shared" si="241"/>
        <v> 14.2.3 </v>
      </c>
      <c r="C767" s="441" t="s">
        <v>2059</v>
      </c>
      <c r="D767" s="442" t="s">
        <v>2060</v>
      </c>
      <c r="E767" s="441" t="s">
        <v>132</v>
      </c>
      <c r="F767" s="441" t="s">
        <v>2061</v>
      </c>
      <c r="G767" s="442" t="s">
        <v>134</v>
      </c>
      <c r="H767" s="443">
        <f t="shared" si="242"/>
        <v>2</v>
      </c>
      <c r="I767" s="443">
        <f>VLOOKUP(D767,'Orçamento Analitico'!D:L,9,FALSE())</f>
        <v>32.44</v>
      </c>
      <c r="J767" s="443">
        <f t="shared" si="243"/>
        <v>40.7</v>
      </c>
      <c r="K767" s="443">
        <f t="shared" si="244"/>
        <v>64.88</v>
      </c>
      <c r="L767" s="443">
        <f t="shared" si="245"/>
        <v>81.4</v>
      </c>
      <c r="M767" s="461" t="e">
        <f t="shared" si="232"/>
        <v>#N/A</v>
      </c>
      <c r="N767" s="464">
        <v>2</v>
      </c>
      <c r="O767" s="465"/>
      <c r="P767" s="465"/>
      <c r="Q767" s="465"/>
      <c r="R767" s="465"/>
      <c r="S767" s="465"/>
      <c r="T767" s="465"/>
      <c r="U767" s="479"/>
      <c r="V767" s="422"/>
      <c r="W767" s="422"/>
      <c r="X767" s="422"/>
      <c r="Y767" s="422"/>
      <c r="Z767" s="422"/>
    </row>
    <row r="768" ht="60.75" customHeight="1" spans="1:26">
      <c r="A768" s="422" t="str">
        <f t="shared" si="240"/>
        <v> 14.2.3 </v>
      </c>
      <c r="B768" s="423" t="str">
        <f t="shared" si="241"/>
        <v> 14.2.3 </v>
      </c>
      <c r="C768" s="441" t="s">
        <v>2062</v>
      </c>
      <c r="D768" s="442" t="s">
        <v>2063</v>
      </c>
      <c r="E768" s="441" t="s">
        <v>132</v>
      </c>
      <c r="F768" s="441" t="s">
        <v>2064</v>
      </c>
      <c r="G768" s="442" t="s">
        <v>134</v>
      </c>
      <c r="H768" s="443">
        <f t="shared" si="242"/>
        <v>24</v>
      </c>
      <c r="I768" s="443">
        <f>VLOOKUP(D768,'Orçamento Analitico'!D:L,9,FALSE())</f>
        <v>17.77</v>
      </c>
      <c r="J768" s="443">
        <f t="shared" si="243"/>
        <v>22.29</v>
      </c>
      <c r="K768" s="443">
        <f t="shared" si="244"/>
        <v>426.48</v>
      </c>
      <c r="L768" s="443">
        <f t="shared" si="245"/>
        <v>534.96</v>
      </c>
      <c r="M768" s="461" t="e">
        <f t="shared" si="232"/>
        <v>#N/A</v>
      </c>
      <c r="N768" s="464">
        <v>24</v>
      </c>
      <c r="O768" s="465"/>
      <c r="P768" s="465"/>
      <c r="Q768" s="465"/>
      <c r="R768" s="465"/>
      <c r="S768" s="465"/>
      <c r="T768" s="465"/>
      <c r="U768" s="479"/>
      <c r="V768" s="422"/>
      <c r="W768" s="422"/>
      <c r="X768" s="422"/>
      <c r="Y768" s="422"/>
      <c r="Z768" s="422"/>
    </row>
    <row r="769" ht="60.75" customHeight="1" spans="1:26">
      <c r="A769" s="422" t="str">
        <f t="shared" si="240"/>
        <v> 14.2.3 </v>
      </c>
      <c r="B769" s="423" t="str">
        <f t="shared" si="241"/>
        <v> 14.2.3 </v>
      </c>
      <c r="C769" s="441" t="s">
        <v>2065</v>
      </c>
      <c r="D769" s="442" t="s">
        <v>2066</v>
      </c>
      <c r="E769" s="441" t="s">
        <v>132</v>
      </c>
      <c r="F769" s="441" t="s">
        <v>2067</v>
      </c>
      <c r="G769" s="442" t="s">
        <v>134</v>
      </c>
      <c r="H769" s="443">
        <f t="shared" si="242"/>
        <v>6</v>
      </c>
      <c r="I769" s="443">
        <f>VLOOKUP(D769,'Orçamento Analitico'!D:L,9,FALSE())</f>
        <v>17.77</v>
      </c>
      <c r="J769" s="443">
        <f t="shared" si="243"/>
        <v>22.29</v>
      </c>
      <c r="K769" s="443">
        <f t="shared" si="244"/>
        <v>106.62</v>
      </c>
      <c r="L769" s="443">
        <f t="shared" si="245"/>
        <v>133.74</v>
      </c>
      <c r="M769" s="461" t="e">
        <f t="shared" si="232"/>
        <v>#N/A</v>
      </c>
      <c r="N769" s="464">
        <v>6</v>
      </c>
      <c r="O769" s="465"/>
      <c r="P769" s="465"/>
      <c r="Q769" s="465"/>
      <c r="R769" s="465"/>
      <c r="S769" s="465"/>
      <c r="T769" s="465"/>
      <c r="U769" s="479"/>
      <c r="V769" s="422"/>
      <c r="W769" s="422"/>
      <c r="X769" s="422"/>
      <c r="Y769" s="422"/>
      <c r="Z769" s="422"/>
    </row>
    <row r="770" ht="12.75" customHeight="1" spans="1:26">
      <c r="A770" s="422"/>
      <c r="B770" s="423"/>
      <c r="C770" s="438" t="s">
        <v>46</v>
      </c>
      <c r="D770" s="439" t="s">
        <v>74</v>
      </c>
      <c r="E770" s="438"/>
      <c r="F770" s="438" t="s">
        <v>47</v>
      </c>
      <c r="G770" s="439"/>
      <c r="H770" s="440"/>
      <c r="I770" s="440"/>
      <c r="J770" s="440"/>
      <c r="K770" s="440" t="e">
        <f>SUM(K771,K806,K877,K896,K905,K951,K964)</f>
        <v>#N/A</v>
      </c>
      <c r="L770" s="440" t="e">
        <f>SUM(L771,L806,L877,L896,L905,L951,L964)</f>
        <v>#N/A</v>
      </c>
      <c r="M770" s="458" t="e">
        <f t="shared" si="232"/>
        <v>#N/A</v>
      </c>
      <c r="N770" s="464"/>
      <c r="O770" s="465"/>
      <c r="P770" s="465"/>
      <c r="Q770" s="465"/>
      <c r="R770" s="465"/>
      <c r="S770" s="465"/>
      <c r="T770" s="465"/>
      <c r="U770" s="479"/>
      <c r="V770" s="422"/>
      <c r="W770" s="422"/>
      <c r="X770" s="422"/>
      <c r="Y770" s="422"/>
      <c r="Z770" s="422"/>
    </row>
    <row r="771" ht="12.75" customHeight="1" spans="1:26">
      <c r="A771" s="422"/>
      <c r="B771" s="423" t="str">
        <f>C771</f>
        <v> 15.1 </v>
      </c>
      <c r="C771" s="444" t="s">
        <v>2068</v>
      </c>
      <c r="D771" s="445" t="s">
        <v>74</v>
      </c>
      <c r="E771" s="444"/>
      <c r="F771" s="444" t="s">
        <v>55</v>
      </c>
      <c r="G771" s="445"/>
      <c r="H771" s="446"/>
      <c r="I771" s="446"/>
      <c r="J771" s="466"/>
      <c r="K771" s="466">
        <f>SUMIF(A:A,B771,K:K)</f>
        <v>2081727.54</v>
      </c>
      <c r="L771" s="466">
        <f>SUMIF(A:A,C771,L:L)</f>
        <v>2452223.67</v>
      </c>
      <c r="M771" s="467" t="e">
        <f t="shared" si="232"/>
        <v>#N/A</v>
      </c>
      <c r="N771" s="459" t="s">
        <v>6121</v>
      </c>
      <c r="O771" s="460" t="s">
        <v>6122</v>
      </c>
      <c r="P771" s="460" t="s">
        <v>6123</v>
      </c>
      <c r="Q771" s="460" t="s">
        <v>6124</v>
      </c>
      <c r="R771" s="460" t="s">
        <v>6125</v>
      </c>
      <c r="S771" s="460" t="s">
        <v>6126</v>
      </c>
      <c r="T771" s="460" t="s">
        <v>6174</v>
      </c>
      <c r="U771" s="477"/>
      <c r="V771" s="422"/>
      <c r="W771" s="422"/>
      <c r="X771" s="422"/>
      <c r="Y771" s="422"/>
      <c r="Z771" s="422"/>
    </row>
    <row r="772" ht="12.75" customHeight="1" spans="1:26">
      <c r="A772" s="422" t="str">
        <f t="shared" ref="A772:A805" si="246">B772</f>
        <v> 15.1 </v>
      </c>
      <c r="B772" s="423" t="str">
        <f>B771</f>
        <v> 15.1 </v>
      </c>
      <c r="C772" s="441" t="s">
        <v>2069</v>
      </c>
      <c r="D772" s="442" t="s">
        <v>2070</v>
      </c>
      <c r="E772" s="441" t="s">
        <v>132</v>
      </c>
      <c r="F772" s="441" t="s">
        <v>2071</v>
      </c>
      <c r="G772" s="442" t="s">
        <v>2072</v>
      </c>
      <c r="H772" s="443">
        <f t="shared" ref="H772:H788" si="247">SUM(N772:T772)</f>
        <v>2</v>
      </c>
      <c r="I772" s="443">
        <f>VLOOKUP(D772,'Orçamento Analitico'!D:L,9,FALSE())</f>
        <v>3505.65</v>
      </c>
      <c r="J772" s="443">
        <f t="shared" ref="J772:J787" si="248">ROUNDDOWN(I772*(1+$G$6),2)</f>
        <v>4399.24</v>
      </c>
      <c r="K772" s="443">
        <f t="shared" ref="K772:K805" si="249">ROUNDDOWN(H772*I772,2)</f>
        <v>7011.3</v>
      </c>
      <c r="L772" s="443">
        <f t="shared" ref="L772:L805" si="250">ROUNDDOWN(H772*J772,2)</f>
        <v>8798.48</v>
      </c>
      <c r="M772" s="461" t="e">
        <f t="shared" si="232"/>
        <v>#N/A</v>
      </c>
      <c r="N772" s="464">
        <v>1</v>
      </c>
      <c r="O772" s="465"/>
      <c r="P772" s="465"/>
      <c r="Q772" s="465">
        <v>1</v>
      </c>
      <c r="R772" s="465">
        <v>0</v>
      </c>
      <c r="S772" s="465">
        <v>0</v>
      </c>
      <c r="T772" s="465">
        <v>0</v>
      </c>
      <c r="U772" s="479"/>
      <c r="V772" s="422"/>
      <c r="W772" s="422"/>
      <c r="X772" s="422"/>
      <c r="Y772" s="422"/>
      <c r="Z772" s="422"/>
    </row>
    <row r="773" ht="12.75" customHeight="1" spans="1:26">
      <c r="A773" s="422" t="str">
        <f t="shared" si="246"/>
        <v> 15.1 </v>
      </c>
      <c r="B773" s="423" t="str">
        <f>B772</f>
        <v> 15.1 </v>
      </c>
      <c r="C773" s="441" t="s">
        <v>2073</v>
      </c>
      <c r="D773" s="442" t="s">
        <v>2074</v>
      </c>
      <c r="E773" s="441" t="s">
        <v>132</v>
      </c>
      <c r="F773" s="441" t="s">
        <v>2075</v>
      </c>
      <c r="G773" s="442" t="s">
        <v>2072</v>
      </c>
      <c r="H773" s="443">
        <f t="shared" si="247"/>
        <v>2</v>
      </c>
      <c r="I773" s="443">
        <f>VLOOKUP(D773,'Orçamento Analitico'!D:L,9,FALSE())</f>
        <v>3895.03</v>
      </c>
      <c r="J773" s="443">
        <f t="shared" si="248"/>
        <v>4887.87</v>
      </c>
      <c r="K773" s="443">
        <f t="shared" si="249"/>
        <v>7790.06</v>
      </c>
      <c r="L773" s="443">
        <f t="shared" si="250"/>
        <v>9775.74</v>
      </c>
      <c r="M773" s="461" t="e">
        <f t="shared" si="232"/>
        <v>#N/A</v>
      </c>
      <c r="N773" s="464">
        <v>1</v>
      </c>
      <c r="O773" s="465"/>
      <c r="P773" s="465"/>
      <c r="Q773" s="465">
        <v>1</v>
      </c>
      <c r="R773" s="465">
        <v>0</v>
      </c>
      <c r="S773" s="465">
        <v>0</v>
      </c>
      <c r="T773" s="465">
        <v>0</v>
      </c>
      <c r="U773" s="479"/>
      <c r="V773" s="422"/>
      <c r="W773" s="422"/>
      <c r="X773" s="422"/>
      <c r="Y773" s="422"/>
      <c r="Z773" s="422"/>
    </row>
    <row r="774" ht="12.75" customHeight="1" spans="1:26">
      <c r="A774" s="422" t="str">
        <f t="shared" si="246"/>
        <v> 15.1 </v>
      </c>
      <c r="B774" s="423" t="str">
        <f>B773</f>
        <v> 15.1 </v>
      </c>
      <c r="C774" s="441" t="s">
        <v>2076</v>
      </c>
      <c r="D774" s="442" t="s">
        <v>2077</v>
      </c>
      <c r="E774" s="441" t="s">
        <v>132</v>
      </c>
      <c r="F774" s="441" t="s">
        <v>2078</v>
      </c>
      <c r="G774" s="442" t="s">
        <v>2072</v>
      </c>
      <c r="H774" s="443">
        <f t="shared" si="247"/>
        <v>1</v>
      </c>
      <c r="I774" s="443">
        <f>VLOOKUP(D774,'Orçamento Analitico'!D:L,9,FALSE())</f>
        <v>3956.62</v>
      </c>
      <c r="J774" s="443">
        <f t="shared" si="248"/>
        <v>4965.16</v>
      </c>
      <c r="K774" s="443">
        <f t="shared" si="249"/>
        <v>3956.62</v>
      </c>
      <c r="L774" s="443">
        <f t="shared" si="250"/>
        <v>4965.16</v>
      </c>
      <c r="M774" s="461" t="e">
        <f t="shared" si="232"/>
        <v>#N/A</v>
      </c>
      <c r="N774" s="464">
        <v>1</v>
      </c>
      <c r="O774" s="465"/>
      <c r="P774" s="465"/>
      <c r="Q774" s="465"/>
      <c r="R774" s="465"/>
      <c r="S774" s="465"/>
      <c r="T774" s="465"/>
      <c r="U774" s="479"/>
      <c r="V774" s="422"/>
      <c r="W774" s="422"/>
      <c r="X774" s="422"/>
      <c r="Y774" s="422"/>
      <c r="Z774" s="422"/>
    </row>
    <row r="775" ht="12.75" customHeight="1" spans="1:26">
      <c r="A775" s="422" t="str">
        <f t="shared" si="246"/>
        <v> 15.1 </v>
      </c>
      <c r="B775" s="423" t="str">
        <f>B774</f>
        <v> 15.1 </v>
      </c>
      <c r="C775" s="441" t="s">
        <v>2079</v>
      </c>
      <c r="D775" s="442" t="s">
        <v>2080</v>
      </c>
      <c r="E775" s="441" t="s">
        <v>132</v>
      </c>
      <c r="F775" s="441" t="s">
        <v>2081</v>
      </c>
      <c r="G775" s="442" t="s">
        <v>134</v>
      </c>
      <c r="H775" s="443">
        <f t="shared" si="247"/>
        <v>1</v>
      </c>
      <c r="I775" s="443">
        <f>VLOOKUP(D775,'Orçamento Analitico'!D:L,9,FALSE())</f>
        <v>4587.29</v>
      </c>
      <c r="J775" s="443">
        <f t="shared" si="248"/>
        <v>5756.59</v>
      </c>
      <c r="K775" s="443">
        <f t="shared" si="249"/>
        <v>4587.29</v>
      </c>
      <c r="L775" s="443">
        <f t="shared" si="250"/>
        <v>5756.59</v>
      </c>
      <c r="M775" s="461" t="e">
        <f t="shared" si="232"/>
        <v>#N/A</v>
      </c>
      <c r="N775" s="464">
        <v>1</v>
      </c>
      <c r="O775" s="465"/>
      <c r="P775" s="465"/>
      <c r="Q775" s="465"/>
      <c r="R775" s="465"/>
      <c r="S775" s="465"/>
      <c r="T775" s="465"/>
      <c r="U775" s="479"/>
      <c r="V775" s="422"/>
      <c r="W775" s="422"/>
      <c r="X775" s="422"/>
      <c r="Y775" s="422"/>
      <c r="Z775" s="422"/>
    </row>
    <row r="776" ht="12.75" customHeight="1" spans="1:26">
      <c r="A776" s="422" t="str">
        <f t="shared" si="246"/>
        <v> 15.1 </v>
      </c>
      <c r="B776" s="423" t="str">
        <f>B775</f>
        <v> 15.1 </v>
      </c>
      <c r="C776" s="441" t="s">
        <v>2082</v>
      </c>
      <c r="D776" s="442" t="s">
        <v>2083</v>
      </c>
      <c r="E776" s="441" t="s">
        <v>132</v>
      </c>
      <c r="F776" s="441" t="s">
        <v>2084</v>
      </c>
      <c r="G776" s="442" t="s">
        <v>134</v>
      </c>
      <c r="H776" s="443">
        <f t="shared" si="247"/>
        <v>2</v>
      </c>
      <c r="I776" s="443">
        <f>VLOOKUP(D776,'Orçamento Analitico'!D:L,9,FALSE())</f>
        <v>4807.55</v>
      </c>
      <c r="J776" s="443">
        <f t="shared" si="248"/>
        <v>6032.99</v>
      </c>
      <c r="K776" s="443">
        <f t="shared" si="249"/>
        <v>9615.1</v>
      </c>
      <c r="L776" s="443">
        <f t="shared" si="250"/>
        <v>12065.98</v>
      </c>
      <c r="M776" s="461" t="e">
        <f t="shared" ref="M776:M839" si="251">K776/$L$1062</f>
        <v>#N/A</v>
      </c>
      <c r="N776" s="464">
        <v>2</v>
      </c>
      <c r="O776" s="465"/>
      <c r="P776" s="465"/>
      <c r="Q776" s="465"/>
      <c r="R776" s="465"/>
      <c r="S776" s="465"/>
      <c r="T776" s="465"/>
      <c r="U776" s="479"/>
      <c r="V776" s="422"/>
      <c r="W776" s="422"/>
      <c r="X776" s="422"/>
      <c r="Y776" s="422"/>
      <c r="Z776" s="422"/>
    </row>
    <row r="777" ht="12.75" customHeight="1" spans="1:26">
      <c r="A777" s="422" t="str">
        <f t="shared" si="246"/>
        <v> 15.1 </v>
      </c>
      <c r="B777" s="423" t="str">
        <f>B773</f>
        <v> 15.1 </v>
      </c>
      <c r="C777" s="441" t="s">
        <v>2085</v>
      </c>
      <c r="D777" s="442" t="s">
        <v>2086</v>
      </c>
      <c r="E777" s="441" t="s">
        <v>132</v>
      </c>
      <c r="F777" s="441" t="s">
        <v>2087</v>
      </c>
      <c r="G777" s="442" t="s">
        <v>134</v>
      </c>
      <c r="H777" s="443">
        <f t="shared" si="247"/>
        <v>35</v>
      </c>
      <c r="I777" s="443">
        <f>VLOOKUP(D777,'Orçamento Analitico'!D:L,9,FALSE())</f>
        <v>676.39</v>
      </c>
      <c r="J777" s="443">
        <f t="shared" si="248"/>
        <v>848.8</v>
      </c>
      <c r="K777" s="443">
        <f t="shared" si="249"/>
        <v>23673.65</v>
      </c>
      <c r="L777" s="443">
        <f t="shared" si="250"/>
        <v>29708</v>
      </c>
      <c r="M777" s="461" t="e">
        <f t="shared" si="251"/>
        <v>#N/A</v>
      </c>
      <c r="N777" s="464">
        <v>0</v>
      </c>
      <c r="O777" s="465"/>
      <c r="P777" s="465"/>
      <c r="Q777" s="465">
        <v>3</v>
      </c>
      <c r="R777" s="465">
        <v>32</v>
      </c>
      <c r="S777" s="465">
        <v>0</v>
      </c>
      <c r="T777" s="465">
        <v>0</v>
      </c>
      <c r="U777" s="479"/>
      <c r="V777" s="422"/>
      <c r="W777" s="422"/>
      <c r="X777" s="422"/>
      <c r="Y777" s="422"/>
      <c r="Z777" s="422"/>
    </row>
    <row r="778" ht="12.75" customHeight="1" spans="1:26">
      <c r="A778" s="422" t="str">
        <f t="shared" si="246"/>
        <v> 15.1 </v>
      </c>
      <c r="B778" s="423" t="str">
        <f t="shared" ref="B778:B805" si="252">B777</f>
        <v> 15.1 </v>
      </c>
      <c r="C778" s="441" t="s">
        <v>2088</v>
      </c>
      <c r="D778" s="442" t="s">
        <v>2089</v>
      </c>
      <c r="E778" s="441" t="s">
        <v>132</v>
      </c>
      <c r="F778" s="441" t="s">
        <v>2090</v>
      </c>
      <c r="G778" s="442" t="s">
        <v>134</v>
      </c>
      <c r="H778" s="443">
        <f t="shared" si="247"/>
        <v>6</v>
      </c>
      <c r="I778" s="443">
        <f>VLOOKUP(D778,'Orçamento Analitico'!D:L,9,FALSE())</f>
        <v>676.39</v>
      </c>
      <c r="J778" s="443">
        <f t="shared" si="248"/>
        <v>848.8</v>
      </c>
      <c r="K778" s="443">
        <f t="shared" si="249"/>
        <v>4058.34</v>
      </c>
      <c r="L778" s="443">
        <f t="shared" si="250"/>
        <v>5092.8</v>
      </c>
      <c r="M778" s="461" t="e">
        <f t="shared" si="251"/>
        <v>#N/A</v>
      </c>
      <c r="N778" s="464">
        <v>0</v>
      </c>
      <c r="O778" s="465"/>
      <c r="P778" s="465"/>
      <c r="Q778" s="465">
        <v>2</v>
      </c>
      <c r="R778" s="465">
        <v>4</v>
      </c>
      <c r="S778" s="465">
        <v>0</v>
      </c>
      <c r="T778" s="465">
        <v>0</v>
      </c>
      <c r="U778" s="479"/>
      <c r="V778" s="422"/>
      <c r="W778" s="422"/>
      <c r="X778" s="422"/>
      <c r="Y778" s="422"/>
      <c r="Z778" s="422"/>
    </row>
    <row r="779" ht="12.75" customHeight="1" spans="1:26">
      <c r="A779" s="422" t="str">
        <f t="shared" si="246"/>
        <v> 15.1 </v>
      </c>
      <c r="B779" s="423" t="str">
        <f t="shared" si="252"/>
        <v> 15.1 </v>
      </c>
      <c r="C779" s="441" t="s">
        <v>2091</v>
      </c>
      <c r="D779" s="442" t="s">
        <v>2092</v>
      </c>
      <c r="E779" s="441" t="s">
        <v>132</v>
      </c>
      <c r="F779" s="441" t="s">
        <v>2093</v>
      </c>
      <c r="G779" s="442" t="s">
        <v>134</v>
      </c>
      <c r="H779" s="443">
        <f t="shared" si="247"/>
        <v>7</v>
      </c>
      <c r="I779" s="443">
        <f>VLOOKUP(D779,'Orçamento Analitico'!D:L,9,FALSE())</f>
        <v>676.39</v>
      </c>
      <c r="J779" s="443">
        <f t="shared" si="248"/>
        <v>848.8</v>
      </c>
      <c r="K779" s="443">
        <f t="shared" si="249"/>
        <v>4734.73</v>
      </c>
      <c r="L779" s="443">
        <f t="shared" si="250"/>
        <v>5941.6</v>
      </c>
      <c r="M779" s="461" t="e">
        <f t="shared" si="251"/>
        <v>#N/A</v>
      </c>
      <c r="N779" s="464">
        <v>0</v>
      </c>
      <c r="O779" s="465"/>
      <c r="P779" s="465"/>
      <c r="Q779" s="465">
        <v>2</v>
      </c>
      <c r="R779" s="465">
        <f>4+1</f>
        <v>5</v>
      </c>
      <c r="S779" s="465">
        <v>0</v>
      </c>
      <c r="T779" s="465">
        <v>0</v>
      </c>
      <c r="U779" s="479"/>
      <c r="V779" s="422"/>
      <c r="W779" s="422"/>
      <c r="X779" s="422"/>
      <c r="Y779" s="422"/>
      <c r="Z779" s="422"/>
    </row>
    <row r="780" ht="12.75" customHeight="1" spans="1:26">
      <c r="A780" s="422" t="str">
        <f t="shared" si="246"/>
        <v> 15.1 </v>
      </c>
      <c r="B780" s="423" t="str">
        <f t="shared" si="252"/>
        <v> 15.1 </v>
      </c>
      <c r="C780" s="441" t="s">
        <v>2094</v>
      </c>
      <c r="D780" s="442" t="s">
        <v>2095</v>
      </c>
      <c r="E780" s="441" t="s">
        <v>132</v>
      </c>
      <c r="F780" s="441" t="s">
        <v>2096</v>
      </c>
      <c r="G780" s="442" t="s">
        <v>134</v>
      </c>
      <c r="H780" s="443">
        <f t="shared" si="247"/>
        <v>2</v>
      </c>
      <c r="I780" s="443">
        <f>VLOOKUP(D780,'Orçamento Analitico'!D:L,9,FALSE())</f>
        <v>1399.84</v>
      </c>
      <c r="J780" s="443">
        <f t="shared" si="248"/>
        <v>1756.65</v>
      </c>
      <c r="K780" s="443">
        <f t="shared" si="249"/>
        <v>2799.68</v>
      </c>
      <c r="L780" s="443">
        <f t="shared" si="250"/>
        <v>3513.3</v>
      </c>
      <c r="M780" s="461" t="e">
        <f t="shared" si="251"/>
        <v>#N/A</v>
      </c>
      <c r="N780" s="464">
        <v>0</v>
      </c>
      <c r="O780" s="465"/>
      <c r="P780" s="465"/>
      <c r="Q780" s="465">
        <v>2</v>
      </c>
      <c r="R780" s="465">
        <v>0</v>
      </c>
      <c r="S780" s="465">
        <v>0</v>
      </c>
      <c r="T780" s="465">
        <v>0</v>
      </c>
      <c r="U780" s="479"/>
      <c r="V780" s="422"/>
      <c r="W780" s="422"/>
      <c r="X780" s="422"/>
      <c r="Y780" s="422"/>
      <c r="Z780" s="422"/>
    </row>
    <row r="781" ht="12.75" customHeight="1" spans="1:26">
      <c r="A781" s="422" t="str">
        <f t="shared" si="246"/>
        <v> 15.1 </v>
      </c>
      <c r="B781" s="423" t="str">
        <f t="shared" si="252"/>
        <v> 15.1 </v>
      </c>
      <c r="C781" s="441" t="s">
        <v>2097</v>
      </c>
      <c r="D781" s="442" t="s">
        <v>2098</v>
      </c>
      <c r="E781" s="441" t="s">
        <v>132</v>
      </c>
      <c r="F781" s="441" t="s">
        <v>2099</v>
      </c>
      <c r="G781" s="442" t="s">
        <v>134</v>
      </c>
      <c r="H781" s="443">
        <f t="shared" si="247"/>
        <v>1</v>
      </c>
      <c r="I781" s="443">
        <f>VLOOKUP(D781,'Orçamento Analitico'!D:L,9,FALSE())</f>
        <v>5291.59</v>
      </c>
      <c r="J781" s="443">
        <f t="shared" si="248"/>
        <v>6640.41</v>
      </c>
      <c r="K781" s="443">
        <f t="shared" si="249"/>
        <v>5291.59</v>
      </c>
      <c r="L781" s="443">
        <f t="shared" si="250"/>
        <v>6640.41</v>
      </c>
      <c r="M781" s="461" t="e">
        <f t="shared" si="251"/>
        <v>#N/A</v>
      </c>
      <c r="N781" s="464">
        <v>0</v>
      </c>
      <c r="O781" s="465"/>
      <c r="P781" s="465"/>
      <c r="Q781" s="465">
        <v>1</v>
      </c>
      <c r="R781" s="465">
        <v>0</v>
      </c>
      <c r="S781" s="465">
        <v>0</v>
      </c>
      <c r="T781" s="465">
        <v>0</v>
      </c>
      <c r="U781" s="479"/>
      <c r="V781" s="422"/>
      <c r="W781" s="422"/>
      <c r="X781" s="422"/>
      <c r="Y781" s="422"/>
      <c r="Z781" s="422"/>
    </row>
    <row r="782" ht="12.75" customHeight="1" spans="1:26">
      <c r="A782" s="422" t="str">
        <f t="shared" si="246"/>
        <v> 15.1 </v>
      </c>
      <c r="B782" s="423" t="str">
        <f t="shared" si="252"/>
        <v> 15.1 </v>
      </c>
      <c r="C782" s="441" t="s">
        <v>2100</v>
      </c>
      <c r="D782" s="442" t="s">
        <v>2101</v>
      </c>
      <c r="E782" s="441" t="s">
        <v>132</v>
      </c>
      <c r="F782" s="441" t="s">
        <v>2102</v>
      </c>
      <c r="G782" s="442" t="s">
        <v>134</v>
      </c>
      <c r="H782" s="443">
        <f t="shared" si="247"/>
        <v>4</v>
      </c>
      <c r="I782" s="443">
        <f>VLOOKUP(D782,'Orçamento Analitico'!D:L,9,FALSE())</f>
        <v>5395.98</v>
      </c>
      <c r="J782" s="443">
        <f t="shared" si="248"/>
        <v>6771.41</v>
      </c>
      <c r="K782" s="443">
        <f t="shared" si="249"/>
        <v>21583.92</v>
      </c>
      <c r="L782" s="443">
        <f t="shared" si="250"/>
        <v>27085.64</v>
      </c>
      <c r="M782" s="461" t="e">
        <f t="shared" si="251"/>
        <v>#N/A</v>
      </c>
      <c r="N782" s="464">
        <v>1</v>
      </c>
      <c r="O782" s="465"/>
      <c r="P782" s="465"/>
      <c r="Q782" s="465">
        <v>3</v>
      </c>
      <c r="R782" s="465">
        <v>0</v>
      </c>
      <c r="S782" s="465">
        <v>0</v>
      </c>
      <c r="T782" s="465">
        <v>0</v>
      </c>
      <c r="U782" s="479"/>
      <c r="V782" s="422"/>
      <c r="W782" s="422"/>
      <c r="X782" s="422"/>
      <c r="Y782" s="422"/>
      <c r="Z782" s="422"/>
    </row>
    <row r="783" ht="12.75" customHeight="1" spans="1:26">
      <c r="A783" s="422" t="str">
        <f t="shared" si="246"/>
        <v> 15.1 </v>
      </c>
      <c r="B783" s="423" t="str">
        <f t="shared" si="252"/>
        <v> 15.1 </v>
      </c>
      <c r="C783" s="441" t="s">
        <v>2103</v>
      </c>
      <c r="D783" s="442" t="s">
        <v>2104</v>
      </c>
      <c r="E783" s="441" t="s">
        <v>132</v>
      </c>
      <c r="F783" s="441" t="s">
        <v>2105</v>
      </c>
      <c r="G783" s="442" t="s">
        <v>134</v>
      </c>
      <c r="H783" s="443">
        <f t="shared" si="247"/>
        <v>10</v>
      </c>
      <c r="I783" s="443">
        <f>VLOOKUP(D783,'Orçamento Analitico'!D:L,9,FALSE())</f>
        <v>7032.21</v>
      </c>
      <c r="J783" s="443">
        <f t="shared" si="248"/>
        <v>8824.72</v>
      </c>
      <c r="K783" s="443">
        <f t="shared" si="249"/>
        <v>70322.1</v>
      </c>
      <c r="L783" s="443">
        <f t="shared" si="250"/>
        <v>88247.2</v>
      </c>
      <c r="M783" s="461" t="e">
        <f t="shared" si="251"/>
        <v>#N/A</v>
      </c>
      <c r="N783" s="464">
        <v>0</v>
      </c>
      <c r="O783" s="465"/>
      <c r="P783" s="465"/>
      <c r="Q783" s="465">
        <v>10</v>
      </c>
      <c r="R783" s="465">
        <v>0</v>
      </c>
      <c r="S783" s="465">
        <v>0</v>
      </c>
      <c r="T783" s="465">
        <v>0</v>
      </c>
      <c r="U783" s="479"/>
      <c r="V783" s="422"/>
      <c r="W783" s="422"/>
      <c r="X783" s="422"/>
      <c r="Y783" s="422"/>
      <c r="Z783" s="422"/>
    </row>
    <row r="784" ht="12.75" customHeight="1" spans="1:26">
      <c r="A784" s="422" t="str">
        <f t="shared" si="246"/>
        <v> 15.1 </v>
      </c>
      <c r="B784" s="423" t="str">
        <f t="shared" si="252"/>
        <v> 15.1 </v>
      </c>
      <c r="C784" s="441" t="s">
        <v>2106</v>
      </c>
      <c r="D784" s="442" t="s">
        <v>2107</v>
      </c>
      <c r="E784" s="441" t="s">
        <v>132</v>
      </c>
      <c r="F784" s="441" t="s">
        <v>2108</v>
      </c>
      <c r="G784" s="442" t="s">
        <v>134</v>
      </c>
      <c r="H784" s="443">
        <f t="shared" si="247"/>
        <v>9</v>
      </c>
      <c r="I784" s="443">
        <f>VLOOKUP(D784,'Orçamento Analitico'!D:L,9,FALSE())</f>
        <v>7199.24</v>
      </c>
      <c r="J784" s="443">
        <f t="shared" si="248"/>
        <v>9034.32</v>
      </c>
      <c r="K784" s="443">
        <f t="shared" si="249"/>
        <v>64793.16</v>
      </c>
      <c r="L784" s="443">
        <f t="shared" si="250"/>
        <v>81308.88</v>
      </c>
      <c r="M784" s="461" t="e">
        <f t="shared" si="251"/>
        <v>#N/A</v>
      </c>
      <c r="N784" s="464">
        <v>0</v>
      </c>
      <c r="O784" s="465"/>
      <c r="P784" s="465"/>
      <c r="Q784" s="465">
        <v>9</v>
      </c>
      <c r="R784" s="465">
        <v>0</v>
      </c>
      <c r="S784" s="465">
        <v>0</v>
      </c>
      <c r="T784" s="465">
        <v>0</v>
      </c>
      <c r="U784" s="479"/>
      <c r="V784" s="422"/>
      <c r="W784" s="422"/>
      <c r="X784" s="422"/>
      <c r="Y784" s="422"/>
      <c r="Z784" s="422"/>
    </row>
    <row r="785" ht="12.75" customHeight="1" spans="1:26">
      <c r="A785" s="422" t="str">
        <f t="shared" si="246"/>
        <v> 15.1 </v>
      </c>
      <c r="B785" s="423" t="str">
        <f t="shared" si="252"/>
        <v> 15.1 </v>
      </c>
      <c r="C785" s="441" t="s">
        <v>2109</v>
      </c>
      <c r="D785" s="442" t="s">
        <v>2110</v>
      </c>
      <c r="E785" s="441" t="s">
        <v>132</v>
      </c>
      <c r="F785" s="441" t="s">
        <v>2111</v>
      </c>
      <c r="G785" s="442" t="s">
        <v>134</v>
      </c>
      <c r="H785" s="443">
        <f t="shared" si="247"/>
        <v>1</v>
      </c>
      <c r="I785" s="443">
        <f>VLOOKUP(D785,'Orçamento Analitico'!D:L,9,FALSE())</f>
        <v>3336.93</v>
      </c>
      <c r="J785" s="443">
        <f t="shared" si="248"/>
        <v>4187.51</v>
      </c>
      <c r="K785" s="443">
        <f t="shared" si="249"/>
        <v>3336.93</v>
      </c>
      <c r="L785" s="443">
        <f t="shared" si="250"/>
        <v>4187.51</v>
      </c>
      <c r="M785" s="461" t="e">
        <f t="shared" si="251"/>
        <v>#N/A</v>
      </c>
      <c r="N785" s="464"/>
      <c r="O785" s="465"/>
      <c r="P785" s="465"/>
      <c r="Q785" s="465">
        <v>1</v>
      </c>
      <c r="R785" s="465">
        <v>0</v>
      </c>
      <c r="S785" s="465">
        <v>0</v>
      </c>
      <c r="T785" s="465">
        <v>0</v>
      </c>
      <c r="U785" s="479"/>
      <c r="V785" s="422"/>
      <c r="W785" s="422"/>
      <c r="X785" s="422"/>
      <c r="Y785" s="422"/>
      <c r="Z785" s="422"/>
    </row>
    <row r="786" ht="12.75" customHeight="1" spans="1:26">
      <c r="A786" s="422" t="str">
        <f t="shared" si="246"/>
        <v> 15.1 </v>
      </c>
      <c r="B786" s="423" t="str">
        <f t="shared" si="252"/>
        <v> 15.1 </v>
      </c>
      <c r="C786" s="441" t="s">
        <v>2112</v>
      </c>
      <c r="D786" s="442" t="s">
        <v>2113</v>
      </c>
      <c r="E786" s="441" t="s">
        <v>132</v>
      </c>
      <c r="F786" s="441" t="s">
        <v>2114</v>
      </c>
      <c r="G786" s="442" t="s">
        <v>134</v>
      </c>
      <c r="H786" s="443">
        <f t="shared" si="247"/>
        <v>1</v>
      </c>
      <c r="I786" s="443">
        <f>VLOOKUP(D786,'Orçamento Analitico'!D:L,9,FALSE())</f>
        <v>3702.29</v>
      </c>
      <c r="J786" s="443">
        <f t="shared" si="248"/>
        <v>4646</v>
      </c>
      <c r="K786" s="443">
        <f t="shared" si="249"/>
        <v>3702.29</v>
      </c>
      <c r="L786" s="443">
        <f t="shared" si="250"/>
        <v>4646</v>
      </c>
      <c r="M786" s="461" t="e">
        <f t="shared" si="251"/>
        <v>#N/A</v>
      </c>
      <c r="N786" s="464">
        <v>0</v>
      </c>
      <c r="O786" s="465"/>
      <c r="P786" s="465"/>
      <c r="Q786" s="465">
        <v>1</v>
      </c>
      <c r="R786" s="465">
        <v>0</v>
      </c>
      <c r="S786" s="465">
        <v>0</v>
      </c>
      <c r="T786" s="465">
        <v>0</v>
      </c>
      <c r="U786" s="479"/>
      <c r="V786" s="422"/>
      <c r="W786" s="422"/>
      <c r="X786" s="422"/>
      <c r="Y786" s="422"/>
      <c r="Z786" s="422"/>
    </row>
    <row r="787" ht="12.75" customHeight="1" spans="1:26">
      <c r="A787" s="422" t="str">
        <f t="shared" si="246"/>
        <v> 15.1 </v>
      </c>
      <c r="B787" s="423" t="str">
        <f t="shared" si="252"/>
        <v> 15.1 </v>
      </c>
      <c r="C787" s="441" t="s">
        <v>2115</v>
      </c>
      <c r="D787" s="442" t="s">
        <v>2116</v>
      </c>
      <c r="E787" s="441" t="s">
        <v>132</v>
      </c>
      <c r="F787" s="441" t="s">
        <v>2117</v>
      </c>
      <c r="G787" s="442" t="s">
        <v>134</v>
      </c>
      <c r="H787" s="443">
        <f t="shared" si="247"/>
        <v>1</v>
      </c>
      <c r="I787" s="443">
        <f>VLOOKUP(D787,'Orçamento Analitico'!D:L,9,FALSE())</f>
        <v>250.62</v>
      </c>
      <c r="J787" s="443">
        <f t="shared" si="248"/>
        <v>314.5</v>
      </c>
      <c r="K787" s="443">
        <f t="shared" si="249"/>
        <v>250.62</v>
      </c>
      <c r="L787" s="443">
        <f t="shared" si="250"/>
        <v>314.5</v>
      </c>
      <c r="M787" s="461" t="e">
        <f t="shared" si="251"/>
        <v>#N/A</v>
      </c>
      <c r="N787" s="464">
        <v>0</v>
      </c>
      <c r="O787" s="465"/>
      <c r="P787" s="465"/>
      <c r="Q787" s="465">
        <v>1</v>
      </c>
      <c r="R787" s="465">
        <v>0</v>
      </c>
      <c r="S787" s="465">
        <v>0</v>
      </c>
      <c r="T787" s="465">
        <v>0</v>
      </c>
      <c r="U787" s="479"/>
      <c r="V787" s="422"/>
      <c r="W787" s="422"/>
      <c r="X787" s="422"/>
      <c r="Y787" s="422"/>
      <c r="Z787" s="422"/>
    </row>
    <row r="788" ht="12.75" customHeight="1" spans="1:26">
      <c r="A788" s="422" t="str">
        <f t="shared" si="246"/>
        <v> 15.1 </v>
      </c>
      <c r="B788" s="423" t="str">
        <f t="shared" si="252"/>
        <v> 15.1 </v>
      </c>
      <c r="C788" s="441" t="s">
        <v>2118</v>
      </c>
      <c r="D788" s="442" t="s">
        <v>2119</v>
      </c>
      <c r="E788" s="441" t="s">
        <v>132</v>
      </c>
      <c r="F788" s="441" t="s">
        <v>2120</v>
      </c>
      <c r="G788" s="442" t="s">
        <v>134</v>
      </c>
      <c r="H788" s="443">
        <f t="shared" si="247"/>
        <v>1</v>
      </c>
      <c r="I788" s="443">
        <f>VLOOKUP(D788,'Orçamento Analitico'!D:L,9,FALSE())</f>
        <v>75550.8</v>
      </c>
      <c r="J788" s="525">
        <f>ROUNDDOWN(I788*(1+$H$6),2)</f>
        <v>87729.58</v>
      </c>
      <c r="K788" s="525">
        <f t="shared" si="249"/>
        <v>75550.8</v>
      </c>
      <c r="L788" s="443">
        <f t="shared" si="250"/>
        <v>87729.58</v>
      </c>
      <c r="M788" s="461" t="e">
        <f t="shared" si="251"/>
        <v>#N/A</v>
      </c>
      <c r="N788" s="464"/>
      <c r="O788" s="465"/>
      <c r="P788" s="465"/>
      <c r="Q788" s="465"/>
      <c r="R788" s="465"/>
      <c r="S788" s="465"/>
      <c r="T788" s="465">
        <v>1</v>
      </c>
      <c r="U788" s="479"/>
      <c r="V788" s="422"/>
      <c r="W788" s="422"/>
      <c r="X788" s="422"/>
      <c r="Y788" s="422"/>
      <c r="Z788" s="422"/>
    </row>
    <row r="789" ht="12.75" customHeight="1" spans="1:26">
      <c r="A789" s="422" t="str">
        <f t="shared" si="246"/>
        <v> 15.1 </v>
      </c>
      <c r="B789" s="423" t="str">
        <f t="shared" si="252"/>
        <v> 15.1 </v>
      </c>
      <c r="C789" s="441" t="s">
        <v>2122</v>
      </c>
      <c r="D789" s="442" t="s">
        <v>2123</v>
      </c>
      <c r="E789" s="441" t="s">
        <v>132</v>
      </c>
      <c r="F789" s="441" t="s">
        <v>2124</v>
      </c>
      <c r="G789" s="442" t="s">
        <v>134</v>
      </c>
      <c r="H789" s="443">
        <f>H788</f>
        <v>1</v>
      </c>
      <c r="I789" s="443">
        <f>VLOOKUP(D789,'Orçamento Analitico'!D:L,9,FALSE())</f>
        <v>177.03</v>
      </c>
      <c r="J789" s="443">
        <f>ROUNDDOWN(I789*(1+$G$6),2)</f>
        <v>222.15</v>
      </c>
      <c r="K789" s="443">
        <f t="shared" si="249"/>
        <v>177.03</v>
      </c>
      <c r="L789" s="443">
        <f t="shared" si="250"/>
        <v>222.15</v>
      </c>
      <c r="M789" s="461" t="e">
        <f t="shared" si="251"/>
        <v>#N/A</v>
      </c>
      <c r="N789" s="464"/>
      <c r="O789" s="465"/>
      <c r="P789" s="465"/>
      <c r="Q789" s="465"/>
      <c r="R789" s="465"/>
      <c r="S789" s="465"/>
      <c r="T789" s="465"/>
      <c r="U789" s="479"/>
      <c r="V789" s="422"/>
      <c r="W789" s="422"/>
      <c r="X789" s="422"/>
      <c r="Y789" s="422"/>
      <c r="Z789" s="422"/>
    </row>
    <row r="790" ht="12.75" customHeight="1" spans="1:26">
      <c r="A790" s="422" t="str">
        <f t="shared" si="246"/>
        <v> 15.1 </v>
      </c>
      <c r="B790" s="423" t="str">
        <f t="shared" si="252"/>
        <v> 15.1 </v>
      </c>
      <c r="C790" s="441" t="s">
        <v>2125</v>
      </c>
      <c r="D790" s="487" t="s">
        <v>2126</v>
      </c>
      <c r="E790" s="441" t="s">
        <v>132</v>
      </c>
      <c r="F790" s="441" t="s">
        <v>2127</v>
      </c>
      <c r="G790" s="442" t="s">
        <v>134</v>
      </c>
      <c r="H790" s="443">
        <f>SUM(N790:T790)</f>
        <v>1</v>
      </c>
      <c r="I790" s="443">
        <f>VLOOKUP(D790,'Orçamento Analitico'!D:L,9,FALSE())</f>
        <v>75550.8</v>
      </c>
      <c r="J790" s="525">
        <f>ROUNDDOWN(I790*(1+$H$6),2)</f>
        <v>87729.58</v>
      </c>
      <c r="K790" s="525">
        <f t="shared" si="249"/>
        <v>75550.8</v>
      </c>
      <c r="L790" s="443">
        <f t="shared" si="250"/>
        <v>87729.58</v>
      </c>
      <c r="M790" s="461" t="e">
        <f t="shared" si="251"/>
        <v>#N/A</v>
      </c>
      <c r="N790" s="464"/>
      <c r="O790" s="465"/>
      <c r="P790" s="465"/>
      <c r="Q790" s="465"/>
      <c r="R790" s="465"/>
      <c r="S790" s="465"/>
      <c r="T790" s="465">
        <v>1</v>
      </c>
      <c r="U790" s="479"/>
      <c r="V790" s="497"/>
      <c r="W790" s="422"/>
      <c r="X790" s="422"/>
      <c r="Y790" s="422"/>
      <c r="Z790" s="422"/>
    </row>
    <row r="791" ht="12.75" customHeight="1" spans="1:26">
      <c r="A791" s="422" t="str">
        <f t="shared" si="246"/>
        <v> 15.1 </v>
      </c>
      <c r="B791" s="423" t="str">
        <f t="shared" si="252"/>
        <v> 15.1 </v>
      </c>
      <c r="C791" s="441" t="s">
        <v>2128</v>
      </c>
      <c r="D791" s="487" t="s">
        <v>2129</v>
      </c>
      <c r="E791" s="441" t="s">
        <v>132</v>
      </c>
      <c r="F791" s="441" t="s">
        <v>2130</v>
      </c>
      <c r="G791" s="442" t="s">
        <v>134</v>
      </c>
      <c r="H791" s="443">
        <f>H790</f>
        <v>1</v>
      </c>
      <c r="I791" s="443">
        <f>VLOOKUP(D791,'Orçamento Analitico'!D:L,9,FALSE())</f>
        <v>177.03</v>
      </c>
      <c r="J791" s="443">
        <f>ROUNDDOWN(I791*(1+$G$6),2)</f>
        <v>222.15</v>
      </c>
      <c r="K791" s="443">
        <f t="shared" si="249"/>
        <v>177.03</v>
      </c>
      <c r="L791" s="443">
        <f t="shared" si="250"/>
        <v>222.15</v>
      </c>
      <c r="M791" s="461" t="e">
        <f t="shared" si="251"/>
        <v>#N/A</v>
      </c>
      <c r="N791" s="464"/>
      <c r="O791" s="465"/>
      <c r="P791" s="465"/>
      <c r="Q791" s="465"/>
      <c r="R791" s="465"/>
      <c r="S791" s="465"/>
      <c r="T791" s="465"/>
      <c r="U791" s="479"/>
      <c r="V791" s="497"/>
      <c r="W791" s="422"/>
      <c r="X791" s="422"/>
      <c r="Y791" s="422"/>
      <c r="Z791" s="422"/>
    </row>
    <row r="792" ht="12.75" customHeight="1" spans="1:26">
      <c r="A792" s="422" t="str">
        <f t="shared" si="246"/>
        <v> 15.1 </v>
      </c>
      <c r="B792" s="423" t="str">
        <f t="shared" si="252"/>
        <v> 15.1 </v>
      </c>
      <c r="C792" s="441" t="s">
        <v>2131</v>
      </c>
      <c r="D792" s="442" t="s">
        <v>2132</v>
      </c>
      <c r="E792" s="441" t="s">
        <v>132</v>
      </c>
      <c r="F792" s="441" t="s">
        <v>2133</v>
      </c>
      <c r="G792" s="442" t="s">
        <v>134</v>
      </c>
      <c r="H792" s="443">
        <f>SUM(N792:T792)</f>
        <v>1</v>
      </c>
      <c r="I792" s="443">
        <f>VLOOKUP(D792,'Orçamento Analitico'!D:L,9,FALSE())</f>
        <v>79111.54</v>
      </c>
      <c r="J792" s="525">
        <f>ROUNDDOWN(I792*(1+$H$6),2)</f>
        <v>91864.32</v>
      </c>
      <c r="K792" s="525">
        <f t="shared" si="249"/>
        <v>79111.54</v>
      </c>
      <c r="L792" s="443">
        <f t="shared" si="250"/>
        <v>91864.32</v>
      </c>
      <c r="M792" s="461" t="e">
        <f t="shared" si="251"/>
        <v>#N/A</v>
      </c>
      <c r="N792" s="464"/>
      <c r="O792" s="465"/>
      <c r="P792" s="465"/>
      <c r="Q792" s="465"/>
      <c r="R792" s="465"/>
      <c r="S792" s="465"/>
      <c r="T792" s="465">
        <v>1</v>
      </c>
      <c r="U792" s="479"/>
      <c r="V792" s="422"/>
      <c r="W792" s="422"/>
      <c r="X792" s="422"/>
      <c r="Y792" s="422"/>
      <c r="Z792" s="422"/>
    </row>
    <row r="793" ht="12.75" customHeight="1" spans="1:26">
      <c r="A793" s="422" t="str">
        <f t="shared" si="246"/>
        <v> 15.1 </v>
      </c>
      <c r="B793" s="423" t="str">
        <f t="shared" si="252"/>
        <v> 15.1 </v>
      </c>
      <c r="C793" s="441" t="s">
        <v>2135</v>
      </c>
      <c r="D793" s="442" t="s">
        <v>2136</v>
      </c>
      <c r="E793" s="441" t="s">
        <v>132</v>
      </c>
      <c r="F793" s="441" t="s">
        <v>2137</v>
      </c>
      <c r="G793" s="442" t="s">
        <v>134</v>
      </c>
      <c r="H793" s="443">
        <f>H792</f>
        <v>1</v>
      </c>
      <c r="I793" s="443">
        <f>VLOOKUP(D793,'Orçamento Analitico'!D:L,9,FALSE())</f>
        <v>177.03</v>
      </c>
      <c r="J793" s="443">
        <f>ROUNDDOWN(I793*(1+$G$6),2)</f>
        <v>222.15</v>
      </c>
      <c r="K793" s="443">
        <f t="shared" si="249"/>
        <v>177.03</v>
      </c>
      <c r="L793" s="443">
        <f t="shared" si="250"/>
        <v>222.15</v>
      </c>
      <c r="M793" s="461" t="e">
        <f t="shared" si="251"/>
        <v>#N/A</v>
      </c>
      <c r="N793" s="464"/>
      <c r="O793" s="465"/>
      <c r="P793" s="465"/>
      <c r="Q793" s="465"/>
      <c r="R793" s="465"/>
      <c r="S793" s="465"/>
      <c r="T793" s="465"/>
      <c r="U793" s="479"/>
      <c r="V793" s="422"/>
      <c r="W793" s="422"/>
      <c r="X793" s="422"/>
      <c r="Y793" s="422"/>
      <c r="Z793" s="422"/>
    </row>
    <row r="794" ht="12.75" customHeight="1" spans="1:26">
      <c r="A794" s="422" t="str">
        <f t="shared" si="246"/>
        <v> 15.1 </v>
      </c>
      <c r="B794" s="423" t="str">
        <f t="shared" si="252"/>
        <v> 15.1 </v>
      </c>
      <c r="C794" s="441" t="s">
        <v>2138</v>
      </c>
      <c r="D794" s="487" t="s">
        <v>2139</v>
      </c>
      <c r="E794" s="441" t="s">
        <v>132</v>
      </c>
      <c r="F794" s="441" t="s">
        <v>2140</v>
      </c>
      <c r="G794" s="442" t="s">
        <v>134</v>
      </c>
      <c r="H794" s="443">
        <f>SUM(N794:T794)</f>
        <v>1</v>
      </c>
      <c r="I794" s="443">
        <f>VLOOKUP(D794,'Orçamento Analitico'!D:L,9,FALSE())</f>
        <v>79111.54</v>
      </c>
      <c r="J794" s="525">
        <f>ROUNDDOWN(I794*(1+$H$6),2)</f>
        <v>91864.32</v>
      </c>
      <c r="K794" s="525">
        <f t="shared" si="249"/>
        <v>79111.54</v>
      </c>
      <c r="L794" s="443">
        <f t="shared" si="250"/>
        <v>91864.32</v>
      </c>
      <c r="M794" s="461" t="e">
        <f t="shared" si="251"/>
        <v>#N/A</v>
      </c>
      <c r="N794" s="464"/>
      <c r="O794" s="465"/>
      <c r="P794" s="465"/>
      <c r="Q794" s="465"/>
      <c r="R794" s="465"/>
      <c r="S794" s="465"/>
      <c r="T794" s="465">
        <v>1</v>
      </c>
      <c r="U794" s="479"/>
      <c r="V794" s="497"/>
      <c r="W794" s="422"/>
      <c r="X794" s="422"/>
      <c r="Y794" s="422"/>
      <c r="Z794" s="422"/>
    </row>
    <row r="795" ht="12.75" customHeight="1" spans="1:26">
      <c r="A795" s="422" t="str">
        <f t="shared" si="246"/>
        <v> 15.1 </v>
      </c>
      <c r="B795" s="423" t="str">
        <f t="shared" si="252"/>
        <v> 15.1 </v>
      </c>
      <c r="C795" s="441" t="s">
        <v>2141</v>
      </c>
      <c r="D795" s="487" t="s">
        <v>2142</v>
      </c>
      <c r="E795" s="441" t="s">
        <v>132</v>
      </c>
      <c r="F795" s="441" t="s">
        <v>2143</v>
      </c>
      <c r="G795" s="442" t="s">
        <v>134</v>
      </c>
      <c r="H795" s="443">
        <f>H794</f>
        <v>1</v>
      </c>
      <c r="I795" s="443">
        <f>VLOOKUP(D795,'Orçamento Analitico'!D:L,9,FALSE())</f>
        <v>177.03</v>
      </c>
      <c r="J795" s="443">
        <f>ROUNDDOWN(I795*(1+$G$6),2)</f>
        <v>222.15</v>
      </c>
      <c r="K795" s="443">
        <f t="shared" si="249"/>
        <v>177.03</v>
      </c>
      <c r="L795" s="443">
        <f t="shared" si="250"/>
        <v>222.15</v>
      </c>
      <c r="M795" s="461" t="e">
        <f t="shared" si="251"/>
        <v>#N/A</v>
      </c>
      <c r="N795" s="464"/>
      <c r="O795" s="465"/>
      <c r="P795" s="465"/>
      <c r="Q795" s="465"/>
      <c r="R795" s="465"/>
      <c r="S795" s="465"/>
      <c r="T795" s="465"/>
      <c r="U795" s="479"/>
      <c r="V795" s="497"/>
      <c r="W795" s="422"/>
      <c r="X795" s="422"/>
      <c r="Y795" s="422"/>
      <c r="Z795" s="422"/>
    </row>
    <row r="796" ht="12.75" customHeight="1" spans="1:26">
      <c r="A796" s="422" t="str">
        <f t="shared" si="246"/>
        <v> 15.1 </v>
      </c>
      <c r="B796" s="423" t="str">
        <f t="shared" si="252"/>
        <v> 15.1 </v>
      </c>
      <c r="C796" s="441" t="s">
        <v>2144</v>
      </c>
      <c r="D796" s="442" t="s">
        <v>2145</v>
      </c>
      <c r="E796" s="441" t="s">
        <v>132</v>
      </c>
      <c r="F796" s="441" t="s">
        <v>2146</v>
      </c>
      <c r="G796" s="442" t="s">
        <v>134</v>
      </c>
      <c r="H796" s="443">
        <f t="shared" ref="H796:H805" si="253">SUM(N796:T796)</f>
        <v>1</v>
      </c>
      <c r="I796" s="443">
        <f>VLOOKUP(D796,'Orçamento Analitico'!D:L,9,FALSE())</f>
        <v>853878.73</v>
      </c>
      <c r="J796" s="525">
        <f>ROUNDDOWN(I796*(1+$H$6),2)</f>
        <v>991523.98</v>
      </c>
      <c r="K796" s="525">
        <f t="shared" si="249"/>
        <v>853878.73</v>
      </c>
      <c r="L796" s="443">
        <f t="shared" si="250"/>
        <v>991523.98</v>
      </c>
      <c r="M796" s="461" t="e">
        <f t="shared" si="251"/>
        <v>#N/A</v>
      </c>
      <c r="N796" s="464"/>
      <c r="O796" s="465"/>
      <c r="P796" s="465"/>
      <c r="Q796" s="465"/>
      <c r="R796" s="465"/>
      <c r="S796" s="465"/>
      <c r="T796" s="465">
        <v>1</v>
      </c>
      <c r="U796" s="479"/>
      <c r="V796" s="497"/>
      <c r="W796" s="497"/>
      <c r="X796" s="422"/>
      <c r="Y796" s="422"/>
      <c r="Z796" s="422"/>
    </row>
    <row r="797" ht="12.75" customHeight="1" spans="1:26">
      <c r="A797" s="422" t="str">
        <f t="shared" si="246"/>
        <v> 15.1 </v>
      </c>
      <c r="B797" s="423" t="str">
        <f t="shared" si="252"/>
        <v> 15.1 </v>
      </c>
      <c r="C797" s="441" t="s">
        <v>2148</v>
      </c>
      <c r="D797" s="442" t="s">
        <v>2149</v>
      </c>
      <c r="E797" s="441" t="s">
        <v>132</v>
      </c>
      <c r="F797" s="441" t="s">
        <v>2150</v>
      </c>
      <c r="G797" s="442" t="s">
        <v>134</v>
      </c>
      <c r="H797" s="443">
        <f t="shared" si="253"/>
        <v>1</v>
      </c>
      <c r="I797" s="443">
        <f>VLOOKUP(D797,'Orçamento Analitico'!D:L,9,FALSE())</f>
        <v>45700.66</v>
      </c>
      <c r="J797" s="443">
        <f>ROUNDDOWN(I797*(1+$G$6),2)</f>
        <v>57349.75</v>
      </c>
      <c r="K797" s="443">
        <f t="shared" si="249"/>
        <v>45700.66</v>
      </c>
      <c r="L797" s="443">
        <f t="shared" si="250"/>
        <v>57349.75</v>
      </c>
      <c r="M797" s="461" t="e">
        <f t="shared" si="251"/>
        <v>#N/A</v>
      </c>
      <c r="N797" s="464"/>
      <c r="O797" s="465"/>
      <c r="P797" s="465"/>
      <c r="Q797" s="465"/>
      <c r="R797" s="465"/>
      <c r="S797" s="465"/>
      <c r="T797" s="465">
        <f>T796</f>
        <v>1</v>
      </c>
      <c r="U797" s="479"/>
      <c r="V797" s="497"/>
      <c r="W797" s="497"/>
      <c r="X797" s="422"/>
      <c r="Y797" s="422"/>
      <c r="Z797" s="422"/>
    </row>
    <row r="798" ht="12.75" customHeight="1" spans="1:26">
      <c r="A798" s="422" t="str">
        <f t="shared" si="246"/>
        <v> 15.1 </v>
      </c>
      <c r="B798" s="423" t="str">
        <f t="shared" si="252"/>
        <v> 15.1 </v>
      </c>
      <c r="C798" s="441" t="s">
        <v>2151</v>
      </c>
      <c r="D798" s="442" t="s">
        <v>2152</v>
      </c>
      <c r="E798" s="441" t="s">
        <v>132</v>
      </c>
      <c r="F798" s="441" t="s">
        <v>2153</v>
      </c>
      <c r="G798" s="442" t="s">
        <v>134</v>
      </c>
      <c r="H798" s="443">
        <f t="shared" si="253"/>
        <v>1</v>
      </c>
      <c r="I798" s="443">
        <f>VLOOKUP(D798,'Orçamento Analitico'!D:L,9,FALSE())</f>
        <v>155966.19</v>
      </c>
      <c r="J798" s="525">
        <f>ROUNDDOWN(I798*(1+$H$6),2)</f>
        <v>181107.93</v>
      </c>
      <c r="K798" s="525">
        <f t="shared" si="249"/>
        <v>155966.19</v>
      </c>
      <c r="L798" s="443">
        <f t="shared" si="250"/>
        <v>181107.93</v>
      </c>
      <c r="M798" s="461" t="e">
        <f t="shared" si="251"/>
        <v>#N/A</v>
      </c>
      <c r="N798" s="464"/>
      <c r="O798" s="465"/>
      <c r="P798" s="465"/>
      <c r="Q798" s="465"/>
      <c r="R798" s="465"/>
      <c r="S798" s="465">
        <v>1</v>
      </c>
      <c r="T798" s="465"/>
      <c r="U798" s="479"/>
      <c r="V798" s="497"/>
      <c r="W798" s="497"/>
      <c r="X798" s="422"/>
      <c r="Y798" s="422"/>
      <c r="Z798" s="422"/>
    </row>
    <row r="799" ht="12.75" customHeight="1" spans="1:26">
      <c r="A799" s="422" t="str">
        <f t="shared" si="246"/>
        <v> 15.1 </v>
      </c>
      <c r="B799" s="423" t="str">
        <f t="shared" si="252"/>
        <v> 15.1 </v>
      </c>
      <c r="C799" s="441" t="s">
        <v>2155</v>
      </c>
      <c r="D799" s="442" t="s">
        <v>2156</v>
      </c>
      <c r="E799" s="441" t="s">
        <v>132</v>
      </c>
      <c r="F799" s="441" t="s">
        <v>2157</v>
      </c>
      <c r="G799" s="442" t="s">
        <v>134</v>
      </c>
      <c r="H799" s="443">
        <f t="shared" si="253"/>
        <v>1</v>
      </c>
      <c r="I799" s="443">
        <f>VLOOKUP(D799,'Orçamento Analitico'!D:L,9,FALSE())</f>
        <v>864.56</v>
      </c>
      <c r="J799" s="443">
        <f>ROUNDDOWN(I799*(1+$G$6),2)</f>
        <v>1084.93</v>
      </c>
      <c r="K799" s="443">
        <f t="shared" si="249"/>
        <v>864.56</v>
      </c>
      <c r="L799" s="443">
        <f t="shared" si="250"/>
        <v>1084.93</v>
      </c>
      <c r="M799" s="461" t="e">
        <f t="shared" si="251"/>
        <v>#N/A</v>
      </c>
      <c r="N799" s="464"/>
      <c r="O799" s="465"/>
      <c r="P799" s="465"/>
      <c r="Q799" s="465"/>
      <c r="R799" s="465"/>
      <c r="S799" s="465">
        <f>S798</f>
        <v>1</v>
      </c>
      <c r="T799" s="465"/>
      <c r="U799" s="479"/>
      <c r="V799" s="497"/>
      <c r="W799" s="497"/>
      <c r="X799" s="422"/>
      <c r="Y799" s="422"/>
      <c r="Z799" s="422"/>
    </row>
    <row r="800" ht="12.75" customHeight="1" spans="1:26">
      <c r="A800" s="422" t="str">
        <f t="shared" si="246"/>
        <v> 15.1 </v>
      </c>
      <c r="B800" s="423" t="str">
        <f t="shared" si="252"/>
        <v> 15.1 </v>
      </c>
      <c r="C800" s="441" t="s">
        <v>2158</v>
      </c>
      <c r="D800" s="442" t="s">
        <v>2159</v>
      </c>
      <c r="E800" s="441" t="s">
        <v>132</v>
      </c>
      <c r="F800" s="441" t="s">
        <v>2160</v>
      </c>
      <c r="G800" s="442" t="s">
        <v>134</v>
      </c>
      <c r="H800" s="443">
        <f t="shared" si="253"/>
        <v>1</v>
      </c>
      <c r="I800" s="443">
        <f>VLOOKUP(D800,'Orçamento Analitico'!D:L,9,FALSE())</f>
        <v>184998.76</v>
      </c>
      <c r="J800" s="525">
        <f>ROUNDDOWN(I800*(1+$H$6),2)</f>
        <v>214820.56</v>
      </c>
      <c r="K800" s="525">
        <f t="shared" si="249"/>
        <v>184998.76</v>
      </c>
      <c r="L800" s="443">
        <f t="shared" si="250"/>
        <v>214820.56</v>
      </c>
      <c r="M800" s="461" t="e">
        <f t="shared" si="251"/>
        <v>#N/A</v>
      </c>
      <c r="N800" s="464"/>
      <c r="O800" s="465"/>
      <c r="P800" s="465"/>
      <c r="Q800" s="465"/>
      <c r="R800" s="465"/>
      <c r="S800" s="465">
        <v>1</v>
      </c>
      <c r="T800" s="465"/>
      <c r="U800" s="479"/>
      <c r="V800" s="497"/>
      <c r="W800" s="497"/>
      <c r="X800" s="422"/>
      <c r="Y800" s="422"/>
      <c r="Z800" s="422"/>
    </row>
    <row r="801" ht="12.75" customHeight="1" spans="1:26">
      <c r="A801" s="422" t="str">
        <f t="shared" si="246"/>
        <v> 15.1 </v>
      </c>
      <c r="B801" s="423" t="str">
        <f t="shared" si="252"/>
        <v> 15.1 </v>
      </c>
      <c r="C801" s="441" t="s">
        <v>2162</v>
      </c>
      <c r="D801" s="442" t="s">
        <v>2163</v>
      </c>
      <c r="E801" s="441" t="s">
        <v>132</v>
      </c>
      <c r="F801" s="441" t="s">
        <v>2164</v>
      </c>
      <c r="G801" s="442" t="s">
        <v>134</v>
      </c>
      <c r="H801" s="443">
        <f t="shared" si="253"/>
        <v>1</v>
      </c>
      <c r="I801" s="443">
        <f>VLOOKUP(D801,'Orçamento Analitico'!D:L,9,FALSE())</f>
        <v>13688.84</v>
      </c>
      <c r="J801" s="443">
        <f>ROUNDDOWN(I801*(1+$G$6),2)</f>
        <v>17178.12</v>
      </c>
      <c r="K801" s="443">
        <f t="shared" si="249"/>
        <v>13688.84</v>
      </c>
      <c r="L801" s="443">
        <f t="shared" si="250"/>
        <v>17178.12</v>
      </c>
      <c r="M801" s="461" t="e">
        <f t="shared" si="251"/>
        <v>#N/A</v>
      </c>
      <c r="N801" s="464"/>
      <c r="O801" s="465"/>
      <c r="P801" s="465"/>
      <c r="Q801" s="465"/>
      <c r="R801" s="465"/>
      <c r="S801" s="465">
        <f>S800</f>
        <v>1</v>
      </c>
      <c r="T801" s="465"/>
      <c r="U801" s="479"/>
      <c r="V801" s="497"/>
      <c r="W801" s="497"/>
      <c r="X801" s="422"/>
      <c r="Y801" s="422"/>
      <c r="Z801" s="422"/>
    </row>
    <row r="802" ht="12.75" customHeight="1" spans="1:26">
      <c r="A802" s="422" t="str">
        <f t="shared" si="246"/>
        <v> 15.1 </v>
      </c>
      <c r="B802" s="423" t="str">
        <f t="shared" si="252"/>
        <v> 15.1 </v>
      </c>
      <c r="C802" s="441" t="s">
        <v>2165</v>
      </c>
      <c r="D802" s="442" t="s">
        <v>2166</v>
      </c>
      <c r="E802" s="441" t="s">
        <v>132</v>
      </c>
      <c r="F802" s="441" t="s">
        <v>2167</v>
      </c>
      <c r="G802" s="442" t="s">
        <v>134</v>
      </c>
      <c r="H802" s="443">
        <f t="shared" si="253"/>
        <v>1</v>
      </c>
      <c r="I802" s="443">
        <f>VLOOKUP(D802,'Orçamento Analitico'!D:L,9,FALSE())</f>
        <v>204859.51</v>
      </c>
      <c r="J802" s="525">
        <f>ROUNDDOWN(I802*(1+$H$6),2)</f>
        <v>237882.86</v>
      </c>
      <c r="K802" s="525">
        <f t="shared" si="249"/>
        <v>204859.51</v>
      </c>
      <c r="L802" s="443">
        <f t="shared" si="250"/>
        <v>237882.86</v>
      </c>
      <c r="M802" s="461" t="e">
        <f t="shared" si="251"/>
        <v>#N/A</v>
      </c>
      <c r="N802" s="464"/>
      <c r="O802" s="465"/>
      <c r="P802" s="465"/>
      <c r="Q802" s="465"/>
      <c r="R802" s="465"/>
      <c r="S802" s="465">
        <v>1</v>
      </c>
      <c r="T802" s="465"/>
      <c r="U802" s="479"/>
      <c r="V802" s="497"/>
      <c r="W802" s="497"/>
      <c r="X802" s="422"/>
      <c r="Y802" s="422"/>
      <c r="Z802" s="422"/>
    </row>
    <row r="803" ht="12.75" customHeight="1" spans="1:26">
      <c r="A803" s="422" t="str">
        <f t="shared" si="246"/>
        <v> 15.1 </v>
      </c>
      <c r="B803" s="423" t="str">
        <f t="shared" si="252"/>
        <v> 15.1 </v>
      </c>
      <c r="C803" s="441" t="s">
        <v>2169</v>
      </c>
      <c r="D803" s="442" t="s">
        <v>2170</v>
      </c>
      <c r="E803" s="441" t="s">
        <v>132</v>
      </c>
      <c r="F803" s="441" t="s">
        <v>2171</v>
      </c>
      <c r="G803" s="442" t="s">
        <v>134</v>
      </c>
      <c r="H803" s="443">
        <f t="shared" si="253"/>
        <v>1</v>
      </c>
      <c r="I803" s="443">
        <f>VLOOKUP(D803,'Orçamento Analitico'!D:L,9,FALSE())</f>
        <v>13688.84</v>
      </c>
      <c r="J803" s="443">
        <f>ROUNDDOWN(I803*(1+$G$6),2)</f>
        <v>17178.12</v>
      </c>
      <c r="K803" s="443">
        <f t="shared" si="249"/>
        <v>13688.84</v>
      </c>
      <c r="L803" s="443">
        <f t="shared" si="250"/>
        <v>17178.12</v>
      </c>
      <c r="M803" s="461" t="e">
        <f t="shared" si="251"/>
        <v>#N/A</v>
      </c>
      <c r="N803" s="464"/>
      <c r="O803" s="465"/>
      <c r="P803" s="465"/>
      <c r="Q803" s="465"/>
      <c r="R803" s="465"/>
      <c r="S803" s="465">
        <f>S802</f>
        <v>1</v>
      </c>
      <c r="T803" s="465"/>
      <c r="U803" s="479"/>
      <c r="V803" s="497"/>
      <c r="W803" s="497"/>
      <c r="X803" s="422"/>
      <c r="Y803" s="422"/>
      <c r="Z803" s="422"/>
    </row>
    <row r="804" ht="12.75" customHeight="1" spans="1:26">
      <c r="A804" s="422" t="str">
        <f t="shared" si="246"/>
        <v> 15.1 </v>
      </c>
      <c r="B804" s="423" t="str">
        <f t="shared" si="252"/>
        <v> 15.1 </v>
      </c>
      <c r="C804" s="441" t="s">
        <v>2172</v>
      </c>
      <c r="D804" s="442" t="s">
        <v>2173</v>
      </c>
      <c r="E804" s="441" t="s">
        <v>132</v>
      </c>
      <c r="F804" s="441" t="s">
        <v>2174</v>
      </c>
      <c r="G804" s="442" t="s">
        <v>134</v>
      </c>
      <c r="H804" s="443">
        <f t="shared" si="253"/>
        <v>1</v>
      </c>
      <c r="I804" s="443">
        <f>VLOOKUP(D804,'Orçamento Analitico'!D:L,9,FALSE())</f>
        <v>35153.74</v>
      </c>
      <c r="J804" s="443">
        <f>ROUNDDOWN(I804*(1+$G$6),2)</f>
        <v>44114.42</v>
      </c>
      <c r="K804" s="443">
        <f t="shared" si="249"/>
        <v>35153.74</v>
      </c>
      <c r="L804" s="443">
        <f t="shared" si="250"/>
        <v>44114.42</v>
      </c>
      <c r="M804" s="461" t="e">
        <f t="shared" si="251"/>
        <v>#N/A</v>
      </c>
      <c r="N804" s="464"/>
      <c r="O804" s="465"/>
      <c r="P804" s="465"/>
      <c r="Q804" s="465"/>
      <c r="R804" s="465"/>
      <c r="S804" s="465">
        <v>1</v>
      </c>
      <c r="T804" s="465"/>
      <c r="U804" s="479"/>
      <c r="V804" s="497"/>
      <c r="W804" s="497"/>
      <c r="X804" s="422"/>
      <c r="Y804" s="422"/>
      <c r="Z804" s="422"/>
    </row>
    <row r="805" ht="12.75" customHeight="1" spans="1:26">
      <c r="A805" s="422" t="str">
        <f t="shared" si="246"/>
        <v> 15.1 </v>
      </c>
      <c r="B805" s="423" t="str">
        <f t="shared" si="252"/>
        <v> 15.1 </v>
      </c>
      <c r="C805" s="441" t="s">
        <v>2175</v>
      </c>
      <c r="D805" s="442" t="s">
        <v>2176</v>
      </c>
      <c r="E805" s="441" t="s">
        <v>132</v>
      </c>
      <c r="F805" s="441" t="s">
        <v>2177</v>
      </c>
      <c r="G805" s="442" t="s">
        <v>134</v>
      </c>
      <c r="H805" s="443">
        <f t="shared" si="253"/>
        <v>1</v>
      </c>
      <c r="I805" s="443">
        <f>VLOOKUP(D805,'Orçamento Analitico'!D:L,9,FALSE())</f>
        <v>25387.53</v>
      </c>
      <c r="J805" s="443">
        <f>ROUNDDOWN(I805*(1+$G$6),2)</f>
        <v>31858.81</v>
      </c>
      <c r="K805" s="443">
        <f t="shared" si="249"/>
        <v>25387.53</v>
      </c>
      <c r="L805" s="443">
        <f t="shared" si="250"/>
        <v>31858.81</v>
      </c>
      <c r="M805" s="461" t="e">
        <f t="shared" si="251"/>
        <v>#N/A</v>
      </c>
      <c r="N805" s="464"/>
      <c r="O805" s="465"/>
      <c r="P805" s="465"/>
      <c r="Q805" s="465"/>
      <c r="R805" s="465"/>
      <c r="S805" s="465">
        <v>1</v>
      </c>
      <c r="T805" s="465"/>
      <c r="U805" s="479"/>
      <c r="V805" s="497"/>
      <c r="W805" s="497"/>
      <c r="X805" s="422"/>
      <c r="Y805" s="422"/>
      <c r="Z805" s="422"/>
    </row>
    <row r="806" ht="12.75" customHeight="1" spans="1:26">
      <c r="A806" s="422"/>
      <c r="B806" s="423" t="str">
        <f>C806</f>
        <v> 15.2 </v>
      </c>
      <c r="C806" s="444" t="s">
        <v>2178</v>
      </c>
      <c r="D806" s="445" t="s">
        <v>74</v>
      </c>
      <c r="E806" s="444"/>
      <c r="F806" s="444" t="s">
        <v>2179</v>
      </c>
      <c r="G806" s="445"/>
      <c r="H806" s="446"/>
      <c r="I806" s="446"/>
      <c r="J806" s="466"/>
      <c r="K806" s="466">
        <f>SUMIF(A:A,B806,K:K)</f>
        <v>244225.4</v>
      </c>
      <c r="L806" s="466">
        <f>SUMIF(A:A,C806,L:L)</f>
        <v>306474.6</v>
      </c>
      <c r="M806" s="467" t="e">
        <f t="shared" si="251"/>
        <v>#N/A</v>
      </c>
      <c r="N806" s="530" t="s">
        <v>6121</v>
      </c>
      <c r="O806" s="531" t="s">
        <v>6122</v>
      </c>
      <c r="P806" s="531" t="s">
        <v>6123</v>
      </c>
      <c r="Q806" s="531" t="s">
        <v>6124</v>
      </c>
      <c r="R806" s="531" t="s">
        <v>6125</v>
      </c>
      <c r="S806" s="531" t="s">
        <v>6126</v>
      </c>
      <c r="T806" s="531" t="s">
        <v>6174</v>
      </c>
      <c r="U806" s="479"/>
      <c r="V806" s="422"/>
      <c r="W806" s="422"/>
      <c r="X806" s="422"/>
      <c r="Y806" s="422"/>
      <c r="Z806" s="422"/>
    </row>
    <row r="807" ht="12.75" customHeight="1" spans="1:26">
      <c r="A807" s="422" t="str">
        <f t="shared" ref="A807:A870" si="254">B807</f>
        <v> 15.2 </v>
      </c>
      <c r="B807" s="423" t="str">
        <f t="shared" ref="B807:B870" si="255">B806</f>
        <v> 15.2 </v>
      </c>
      <c r="C807" s="441" t="s">
        <v>2180</v>
      </c>
      <c r="D807" s="442" t="s">
        <v>2181</v>
      </c>
      <c r="E807" s="441" t="s">
        <v>132</v>
      </c>
      <c r="F807" s="441" t="s">
        <v>2182</v>
      </c>
      <c r="G807" s="442" t="s">
        <v>134</v>
      </c>
      <c r="H807" s="443">
        <f t="shared" ref="H807:H870" si="256">SUM(N807:T807)</f>
        <v>68</v>
      </c>
      <c r="I807" s="443">
        <f>VLOOKUP(D807,'Orçamento Analitico'!D:L,9,FALSE())</f>
        <v>16.4</v>
      </c>
      <c r="J807" s="443">
        <f t="shared" ref="J807:J870" si="257">ROUNDDOWN(I807*(1+$G$6),2)</f>
        <v>20.58</v>
      </c>
      <c r="K807" s="443">
        <f t="shared" ref="K807:K870" si="258">ROUNDDOWN(H807*I807,2)</f>
        <v>1115.2</v>
      </c>
      <c r="L807" s="443">
        <f t="shared" ref="L807:L870" si="259">ROUNDDOWN(H807*J807,2)</f>
        <v>1399.44</v>
      </c>
      <c r="M807" s="461" t="e">
        <f t="shared" si="251"/>
        <v>#N/A</v>
      </c>
      <c r="N807" s="464"/>
      <c r="O807" s="465"/>
      <c r="P807" s="465"/>
      <c r="Q807" s="465"/>
      <c r="R807" s="465">
        <v>68</v>
      </c>
      <c r="S807" s="465"/>
      <c r="T807" s="465"/>
      <c r="U807" s="479"/>
      <c r="V807" s="422"/>
      <c r="W807" s="422"/>
      <c r="X807" s="422"/>
      <c r="Y807" s="422"/>
      <c r="Z807" s="422"/>
    </row>
    <row r="808" ht="12.75" customHeight="1" spans="1:26">
      <c r="A808" s="422" t="str">
        <f t="shared" si="254"/>
        <v> 15.2 </v>
      </c>
      <c r="B808" s="423" t="str">
        <f t="shared" si="255"/>
        <v> 15.2 </v>
      </c>
      <c r="C808" s="441" t="s">
        <v>2183</v>
      </c>
      <c r="D808" s="442" t="s">
        <v>2184</v>
      </c>
      <c r="E808" s="441" t="s">
        <v>132</v>
      </c>
      <c r="F808" s="441" t="s">
        <v>2185</v>
      </c>
      <c r="G808" s="442" t="s">
        <v>134</v>
      </c>
      <c r="H808" s="443">
        <f t="shared" si="256"/>
        <v>7</v>
      </c>
      <c r="I808" s="443">
        <f>VLOOKUP(D808,'Orçamento Analitico'!D:L,9,FALSE())</f>
        <v>34.56</v>
      </c>
      <c r="J808" s="443">
        <f t="shared" si="257"/>
        <v>43.36</v>
      </c>
      <c r="K808" s="443">
        <f t="shared" si="258"/>
        <v>241.92</v>
      </c>
      <c r="L808" s="443">
        <f t="shared" si="259"/>
        <v>303.52</v>
      </c>
      <c r="M808" s="461" t="e">
        <f t="shared" si="251"/>
        <v>#N/A</v>
      </c>
      <c r="N808" s="464">
        <v>0</v>
      </c>
      <c r="O808" s="465"/>
      <c r="P808" s="465"/>
      <c r="Q808" s="465">
        <v>0</v>
      </c>
      <c r="R808" s="465">
        <v>7</v>
      </c>
      <c r="S808" s="465">
        <v>0</v>
      </c>
      <c r="T808" s="465">
        <v>0</v>
      </c>
      <c r="U808" s="479"/>
      <c r="V808" s="422"/>
      <c r="W808" s="422"/>
      <c r="X808" s="422"/>
      <c r="Y808" s="422"/>
      <c r="Z808" s="422"/>
    </row>
    <row r="809" ht="12.75" customHeight="1" spans="1:26">
      <c r="A809" s="422" t="str">
        <f t="shared" si="254"/>
        <v> 15.2 </v>
      </c>
      <c r="B809" s="423" t="str">
        <f t="shared" si="255"/>
        <v> 15.2 </v>
      </c>
      <c r="C809" s="441" t="s">
        <v>2186</v>
      </c>
      <c r="D809" s="442" t="s">
        <v>2187</v>
      </c>
      <c r="E809" s="441" t="s">
        <v>132</v>
      </c>
      <c r="F809" s="441" t="s">
        <v>2188</v>
      </c>
      <c r="G809" s="442" t="s">
        <v>134</v>
      </c>
      <c r="H809" s="443">
        <f t="shared" si="256"/>
        <v>9</v>
      </c>
      <c r="I809" s="443">
        <f>VLOOKUP(D809,'Orçamento Analitico'!D:L,9,FALSE())</f>
        <v>46.15</v>
      </c>
      <c r="J809" s="443">
        <f t="shared" si="257"/>
        <v>57.91</v>
      </c>
      <c r="K809" s="443">
        <f t="shared" si="258"/>
        <v>415.35</v>
      </c>
      <c r="L809" s="443">
        <f t="shared" si="259"/>
        <v>521.19</v>
      </c>
      <c r="M809" s="461" t="e">
        <f t="shared" si="251"/>
        <v>#N/A</v>
      </c>
      <c r="N809" s="464">
        <v>0</v>
      </c>
      <c r="O809" s="465"/>
      <c r="P809" s="465"/>
      <c r="Q809" s="465">
        <v>0</v>
      </c>
      <c r="R809" s="465">
        <v>9</v>
      </c>
      <c r="S809" s="465">
        <v>0</v>
      </c>
      <c r="T809" s="465">
        <v>0</v>
      </c>
      <c r="U809" s="479"/>
      <c r="V809" s="422"/>
      <c r="W809" s="422"/>
      <c r="X809" s="422"/>
      <c r="Y809" s="422"/>
      <c r="Z809" s="422"/>
    </row>
    <row r="810" ht="12.75" customHeight="1" spans="1:26">
      <c r="A810" s="422" t="str">
        <f t="shared" si="254"/>
        <v> 15.2 </v>
      </c>
      <c r="B810" s="423" t="str">
        <f t="shared" si="255"/>
        <v> 15.2 </v>
      </c>
      <c r="C810" s="441" t="s">
        <v>2189</v>
      </c>
      <c r="D810" s="442" t="s">
        <v>2190</v>
      </c>
      <c r="E810" s="441" t="s">
        <v>132</v>
      </c>
      <c r="F810" s="441" t="s">
        <v>2191</v>
      </c>
      <c r="G810" s="442" t="s">
        <v>134</v>
      </c>
      <c r="H810" s="443">
        <f t="shared" si="256"/>
        <v>1</v>
      </c>
      <c r="I810" s="443">
        <f>VLOOKUP(D810,'Orçamento Analitico'!D:L,9,FALSE())</f>
        <v>326.27</v>
      </c>
      <c r="J810" s="443">
        <f t="shared" si="257"/>
        <v>409.43</v>
      </c>
      <c r="K810" s="443">
        <f t="shared" si="258"/>
        <v>326.27</v>
      </c>
      <c r="L810" s="443">
        <f t="shared" si="259"/>
        <v>409.43</v>
      </c>
      <c r="M810" s="461" t="e">
        <f t="shared" si="251"/>
        <v>#N/A</v>
      </c>
      <c r="N810" s="464">
        <v>0</v>
      </c>
      <c r="O810" s="465"/>
      <c r="P810" s="465"/>
      <c r="Q810" s="465">
        <v>0</v>
      </c>
      <c r="R810" s="465">
        <v>1</v>
      </c>
      <c r="S810" s="465">
        <v>0</v>
      </c>
      <c r="T810" s="465">
        <v>0</v>
      </c>
      <c r="U810" s="479"/>
      <c r="V810" s="422"/>
      <c r="W810" s="422"/>
      <c r="X810" s="422"/>
      <c r="Y810" s="422"/>
      <c r="Z810" s="422"/>
    </row>
    <row r="811" ht="60.75" customHeight="1" spans="1:26">
      <c r="A811" s="422" t="str">
        <f t="shared" si="254"/>
        <v> 15.2 </v>
      </c>
      <c r="B811" s="423" t="str">
        <f t="shared" si="255"/>
        <v> 15.2 </v>
      </c>
      <c r="C811" s="441" t="s">
        <v>2192</v>
      </c>
      <c r="D811" s="442" t="s">
        <v>2193</v>
      </c>
      <c r="E811" s="441" t="s">
        <v>132</v>
      </c>
      <c r="F811" s="441" t="s">
        <v>2194</v>
      </c>
      <c r="G811" s="442" t="s">
        <v>134</v>
      </c>
      <c r="H811" s="443">
        <f t="shared" si="256"/>
        <v>2</v>
      </c>
      <c r="I811" s="443">
        <f>VLOOKUP(D811,'Orçamento Analitico'!D:L,9,FALSE())</f>
        <v>253.46</v>
      </c>
      <c r="J811" s="443">
        <f t="shared" si="257"/>
        <v>318.06</v>
      </c>
      <c r="K811" s="443">
        <f t="shared" si="258"/>
        <v>506.92</v>
      </c>
      <c r="L811" s="443">
        <f t="shared" si="259"/>
        <v>636.12</v>
      </c>
      <c r="M811" s="461" t="e">
        <f t="shared" si="251"/>
        <v>#N/A</v>
      </c>
      <c r="N811" s="464">
        <v>0</v>
      </c>
      <c r="O811" s="465"/>
      <c r="P811" s="465"/>
      <c r="Q811" s="465">
        <v>2</v>
      </c>
      <c r="R811" s="465">
        <v>0</v>
      </c>
      <c r="S811" s="465">
        <v>0</v>
      </c>
      <c r="T811" s="465">
        <v>0</v>
      </c>
      <c r="U811" s="479"/>
      <c r="V811" s="422"/>
      <c r="W811" s="422"/>
      <c r="X811" s="422"/>
      <c r="Y811" s="422"/>
      <c r="Z811" s="422"/>
    </row>
    <row r="812" ht="60.75" customHeight="1" spans="1:26">
      <c r="A812" s="422" t="str">
        <f t="shared" si="254"/>
        <v> 15.2 </v>
      </c>
      <c r="B812" s="423" t="str">
        <f t="shared" si="255"/>
        <v> 15.2 </v>
      </c>
      <c r="C812" s="441" t="s">
        <v>2195</v>
      </c>
      <c r="D812" s="442" t="s">
        <v>2196</v>
      </c>
      <c r="E812" s="441" t="s">
        <v>77</v>
      </c>
      <c r="F812" s="441" t="s">
        <v>2197</v>
      </c>
      <c r="G812" s="442" t="s">
        <v>134</v>
      </c>
      <c r="H812" s="443">
        <f t="shared" si="256"/>
        <v>15</v>
      </c>
      <c r="I812" s="443">
        <f>VLOOKUP(D812,'Orçamento Analitico'!D:L,9,FALSE())</f>
        <v>247.63</v>
      </c>
      <c r="J812" s="443">
        <f t="shared" si="257"/>
        <v>310.75</v>
      </c>
      <c r="K812" s="443">
        <f t="shared" si="258"/>
        <v>3714.45</v>
      </c>
      <c r="L812" s="443">
        <f t="shared" si="259"/>
        <v>4661.25</v>
      </c>
      <c r="M812" s="461" t="e">
        <f t="shared" si="251"/>
        <v>#N/A</v>
      </c>
      <c r="N812" s="464">
        <v>0</v>
      </c>
      <c r="O812" s="465"/>
      <c r="P812" s="465"/>
      <c r="Q812" s="465">
        <v>15</v>
      </c>
      <c r="R812" s="465">
        <v>0</v>
      </c>
      <c r="S812" s="465">
        <v>0</v>
      </c>
      <c r="T812" s="465">
        <v>0</v>
      </c>
      <c r="U812" s="479"/>
      <c r="V812" s="422"/>
      <c r="W812" s="422"/>
      <c r="X812" s="422"/>
      <c r="Y812" s="422"/>
      <c r="Z812" s="422"/>
    </row>
    <row r="813" ht="60.75" customHeight="1" spans="1:26">
      <c r="A813" s="422" t="str">
        <f t="shared" si="254"/>
        <v> 15.2 </v>
      </c>
      <c r="B813" s="423" t="str">
        <f t="shared" si="255"/>
        <v> 15.2 </v>
      </c>
      <c r="C813" s="441" t="s">
        <v>2198</v>
      </c>
      <c r="D813" s="442" t="s">
        <v>2199</v>
      </c>
      <c r="E813" s="441" t="s">
        <v>77</v>
      </c>
      <c r="F813" s="441" t="s">
        <v>2200</v>
      </c>
      <c r="G813" s="442" t="s">
        <v>134</v>
      </c>
      <c r="H813" s="443">
        <f t="shared" si="256"/>
        <v>18</v>
      </c>
      <c r="I813" s="443">
        <f>VLOOKUP(D813,'Orçamento Analitico'!D:L,9,FALSE())</f>
        <v>394.91</v>
      </c>
      <c r="J813" s="443">
        <f t="shared" si="257"/>
        <v>495.57</v>
      </c>
      <c r="K813" s="443">
        <f t="shared" si="258"/>
        <v>7108.38</v>
      </c>
      <c r="L813" s="443">
        <f t="shared" si="259"/>
        <v>8920.26</v>
      </c>
      <c r="M813" s="461" t="e">
        <f t="shared" si="251"/>
        <v>#N/A</v>
      </c>
      <c r="N813" s="464">
        <v>0</v>
      </c>
      <c r="O813" s="465"/>
      <c r="P813" s="465"/>
      <c r="Q813" s="465">
        <v>18</v>
      </c>
      <c r="R813" s="465">
        <v>0</v>
      </c>
      <c r="S813" s="465">
        <v>0</v>
      </c>
      <c r="T813" s="465">
        <v>0</v>
      </c>
      <c r="U813" s="479"/>
      <c r="V813" s="422"/>
      <c r="W813" s="422"/>
      <c r="X813" s="422"/>
      <c r="Y813" s="422"/>
      <c r="Z813" s="422"/>
    </row>
    <row r="814" ht="60.75" customHeight="1" spans="1:26">
      <c r="A814" s="422" t="str">
        <f t="shared" si="254"/>
        <v> 15.2 </v>
      </c>
      <c r="B814" s="423" t="str">
        <f t="shared" si="255"/>
        <v> 15.2 </v>
      </c>
      <c r="C814" s="441" t="s">
        <v>2201</v>
      </c>
      <c r="D814" s="442" t="s">
        <v>2202</v>
      </c>
      <c r="E814" s="441" t="s">
        <v>77</v>
      </c>
      <c r="F814" s="441" t="s">
        <v>2203</v>
      </c>
      <c r="G814" s="442" t="s">
        <v>134</v>
      </c>
      <c r="H814" s="443">
        <f t="shared" si="256"/>
        <v>21</v>
      </c>
      <c r="I814" s="443">
        <f>VLOOKUP(D814,'Orçamento Analitico'!D:L,9,FALSE())</f>
        <v>441.05</v>
      </c>
      <c r="J814" s="443">
        <f t="shared" si="257"/>
        <v>553.47</v>
      </c>
      <c r="K814" s="443">
        <f t="shared" si="258"/>
        <v>9262.05</v>
      </c>
      <c r="L814" s="443">
        <f t="shared" si="259"/>
        <v>11622.87</v>
      </c>
      <c r="M814" s="461" t="e">
        <f t="shared" si="251"/>
        <v>#N/A</v>
      </c>
      <c r="N814" s="464">
        <v>0</v>
      </c>
      <c r="O814" s="465"/>
      <c r="P814" s="465"/>
      <c r="Q814" s="465">
        <v>21</v>
      </c>
      <c r="R814" s="465">
        <v>0</v>
      </c>
      <c r="S814" s="465">
        <v>0</v>
      </c>
      <c r="T814" s="465">
        <v>0</v>
      </c>
      <c r="U814" s="479"/>
      <c r="V814" s="422"/>
      <c r="W814" s="422"/>
      <c r="X814" s="422"/>
      <c r="Y814" s="422"/>
      <c r="Z814" s="422"/>
    </row>
    <row r="815" ht="60.75" customHeight="1" spans="1:26">
      <c r="A815" s="422" t="str">
        <f t="shared" si="254"/>
        <v> 15.2 </v>
      </c>
      <c r="B815" s="423" t="str">
        <f t="shared" si="255"/>
        <v> 15.2 </v>
      </c>
      <c r="C815" s="441" t="s">
        <v>2204</v>
      </c>
      <c r="D815" s="442" t="s">
        <v>2205</v>
      </c>
      <c r="E815" s="441" t="s">
        <v>132</v>
      </c>
      <c r="F815" s="441" t="s">
        <v>2206</v>
      </c>
      <c r="G815" s="442" t="s">
        <v>134</v>
      </c>
      <c r="H815" s="443">
        <f t="shared" si="256"/>
        <v>35</v>
      </c>
      <c r="I815" s="443">
        <f>VLOOKUP(D815,'Orçamento Analitico'!D:L,9,FALSE())</f>
        <v>498.56</v>
      </c>
      <c r="J815" s="443">
        <f t="shared" si="257"/>
        <v>625.64</v>
      </c>
      <c r="K815" s="443">
        <f t="shared" si="258"/>
        <v>17449.6</v>
      </c>
      <c r="L815" s="443">
        <f t="shared" si="259"/>
        <v>21897.4</v>
      </c>
      <c r="M815" s="461" t="e">
        <f t="shared" si="251"/>
        <v>#N/A</v>
      </c>
      <c r="N815" s="464">
        <v>0</v>
      </c>
      <c r="O815" s="465"/>
      <c r="P815" s="465"/>
      <c r="Q815" s="465">
        <v>35</v>
      </c>
      <c r="R815" s="465">
        <v>0</v>
      </c>
      <c r="S815" s="465">
        <v>0</v>
      </c>
      <c r="T815" s="465">
        <v>0</v>
      </c>
      <c r="U815" s="479"/>
      <c r="V815" s="422"/>
      <c r="W815" s="422"/>
      <c r="X815" s="422"/>
      <c r="Y815" s="422"/>
      <c r="Z815" s="422"/>
    </row>
    <row r="816" ht="60.75" customHeight="1" spans="1:26">
      <c r="A816" s="422" t="str">
        <f t="shared" si="254"/>
        <v> 15.2 </v>
      </c>
      <c r="B816" s="423" t="str">
        <f t="shared" si="255"/>
        <v> 15.2 </v>
      </c>
      <c r="C816" s="441" t="s">
        <v>2207</v>
      </c>
      <c r="D816" s="442" t="s">
        <v>2208</v>
      </c>
      <c r="E816" s="441" t="s">
        <v>132</v>
      </c>
      <c r="F816" s="441" t="s">
        <v>2209</v>
      </c>
      <c r="G816" s="442" t="s">
        <v>134</v>
      </c>
      <c r="H816" s="443">
        <f t="shared" si="256"/>
        <v>1</v>
      </c>
      <c r="I816" s="443">
        <f>VLOOKUP(D816,'Orçamento Analitico'!D:L,9,FALSE())</f>
        <v>580.82</v>
      </c>
      <c r="J816" s="443">
        <f t="shared" si="257"/>
        <v>728.87</v>
      </c>
      <c r="K816" s="443">
        <f t="shared" si="258"/>
        <v>580.82</v>
      </c>
      <c r="L816" s="443">
        <f t="shared" si="259"/>
        <v>728.87</v>
      </c>
      <c r="M816" s="461" t="e">
        <f t="shared" si="251"/>
        <v>#N/A</v>
      </c>
      <c r="N816" s="464">
        <v>0</v>
      </c>
      <c r="O816" s="465"/>
      <c r="P816" s="465"/>
      <c r="Q816" s="465">
        <v>1</v>
      </c>
      <c r="R816" s="465">
        <v>0</v>
      </c>
      <c r="S816" s="465">
        <v>0</v>
      </c>
      <c r="T816" s="465">
        <v>0</v>
      </c>
      <c r="U816" s="479"/>
      <c r="V816" s="422"/>
      <c r="W816" s="422"/>
      <c r="X816" s="422"/>
      <c r="Y816" s="422"/>
      <c r="Z816" s="422"/>
    </row>
    <row r="817" ht="60.75" customHeight="1" spans="1:26">
      <c r="A817" s="422" t="str">
        <f t="shared" si="254"/>
        <v> 15.2 </v>
      </c>
      <c r="B817" s="423" t="str">
        <f t="shared" si="255"/>
        <v> 15.2 </v>
      </c>
      <c r="C817" s="441" t="s">
        <v>2210</v>
      </c>
      <c r="D817" s="442" t="s">
        <v>2211</v>
      </c>
      <c r="E817" s="441" t="s">
        <v>132</v>
      </c>
      <c r="F817" s="441" t="s">
        <v>2212</v>
      </c>
      <c r="G817" s="442" t="s">
        <v>134</v>
      </c>
      <c r="H817" s="443">
        <f t="shared" si="256"/>
        <v>2</v>
      </c>
      <c r="I817" s="443">
        <f>VLOOKUP(D817,'Orçamento Analitico'!D:L,9,FALSE())</f>
        <v>1079.69</v>
      </c>
      <c r="J817" s="443">
        <f t="shared" si="257"/>
        <v>1354.9</v>
      </c>
      <c r="K817" s="443">
        <f t="shared" si="258"/>
        <v>2159.38</v>
      </c>
      <c r="L817" s="443">
        <f t="shared" si="259"/>
        <v>2709.8</v>
      </c>
      <c r="M817" s="461" t="e">
        <f t="shared" si="251"/>
        <v>#N/A</v>
      </c>
      <c r="N817" s="464"/>
      <c r="O817" s="465"/>
      <c r="P817" s="465"/>
      <c r="Q817" s="465"/>
      <c r="R817" s="465"/>
      <c r="S817" s="465">
        <v>2</v>
      </c>
      <c r="T817" s="465"/>
      <c r="U817" s="479"/>
      <c r="V817" s="422"/>
      <c r="W817" s="422"/>
      <c r="X817" s="422"/>
      <c r="Y817" s="422"/>
      <c r="Z817" s="422"/>
    </row>
    <row r="818" ht="12.75" customHeight="1" spans="1:26">
      <c r="A818" s="422" t="str">
        <f t="shared" si="254"/>
        <v> 15.2 </v>
      </c>
      <c r="B818" s="423" t="str">
        <f t="shared" si="255"/>
        <v> 15.2 </v>
      </c>
      <c r="C818" s="441" t="s">
        <v>2213</v>
      </c>
      <c r="D818" s="442" t="s">
        <v>2214</v>
      </c>
      <c r="E818" s="441" t="s">
        <v>132</v>
      </c>
      <c r="F818" s="441" t="s">
        <v>2215</v>
      </c>
      <c r="G818" s="442" t="s">
        <v>134</v>
      </c>
      <c r="H818" s="443">
        <f t="shared" si="256"/>
        <v>1</v>
      </c>
      <c r="I818" s="443">
        <f>VLOOKUP(D818,'Orçamento Analitico'!D:L,9,FALSE())</f>
        <v>42.28</v>
      </c>
      <c r="J818" s="443">
        <f t="shared" si="257"/>
        <v>53.05</v>
      </c>
      <c r="K818" s="443">
        <f t="shared" si="258"/>
        <v>42.28</v>
      </c>
      <c r="L818" s="443">
        <f t="shared" si="259"/>
        <v>53.05</v>
      </c>
      <c r="M818" s="461" t="e">
        <f t="shared" si="251"/>
        <v>#N/A</v>
      </c>
      <c r="N818" s="464">
        <v>0</v>
      </c>
      <c r="O818" s="465"/>
      <c r="P818" s="465"/>
      <c r="Q818" s="465">
        <v>1</v>
      </c>
      <c r="R818" s="465">
        <v>0</v>
      </c>
      <c r="S818" s="465">
        <v>0</v>
      </c>
      <c r="T818" s="465">
        <v>0</v>
      </c>
      <c r="U818" s="479"/>
      <c r="V818" s="422"/>
      <c r="W818" s="422"/>
      <c r="X818" s="422"/>
      <c r="Y818" s="422"/>
      <c r="Z818" s="422"/>
    </row>
    <row r="819" ht="12.75" customHeight="1" spans="1:26">
      <c r="A819" s="422" t="str">
        <f t="shared" si="254"/>
        <v> 15.2 </v>
      </c>
      <c r="B819" s="423" t="str">
        <f t="shared" si="255"/>
        <v> 15.2 </v>
      </c>
      <c r="C819" s="441" t="s">
        <v>2216</v>
      </c>
      <c r="D819" s="442" t="s">
        <v>2217</v>
      </c>
      <c r="E819" s="441" t="s">
        <v>132</v>
      </c>
      <c r="F819" s="441" t="s">
        <v>2218</v>
      </c>
      <c r="G819" s="442" t="s">
        <v>134</v>
      </c>
      <c r="H819" s="443">
        <f t="shared" si="256"/>
        <v>1</v>
      </c>
      <c r="I819" s="443">
        <f>VLOOKUP(D819,'Orçamento Analitico'!D:L,9,FALSE())</f>
        <v>13966.52</v>
      </c>
      <c r="J819" s="443">
        <f t="shared" si="257"/>
        <v>17526.58</v>
      </c>
      <c r="K819" s="443">
        <f t="shared" si="258"/>
        <v>13966.52</v>
      </c>
      <c r="L819" s="443">
        <f t="shared" si="259"/>
        <v>17526.58</v>
      </c>
      <c r="M819" s="461" t="e">
        <f t="shared" si="251"/>
        <v>#N/A</v>
      </c>
      <c r="N819" s="464"/>
      <c r="O819" s="465"/>
      <c r="P819" s="465"/>
      <c r="Q819" s="465"/>
      <c r="R819" s="465"/>
      <c r="S819" s="465">
        <v>1</v>
      </c>
      <c r="T819" s="465"/>
      <c r="U819" s="479"/>
      <c r="V819" s="422"/>
      <c r="W819" s="422"/>
      <c r="X819" s="422"/>
      <c r="Y819" s="422"/>
      <c r="Z819" s="422"/>
    </row>
    <row r="820" ht="12.75" customHeight="1" spans="1:26">
      <c r="A820" s="422" t="str">
        <f t="shared" si="254"/>
        <v> 15.2 </v>
      </c>
      <c r="B820" s="423" t="str">
        <f t="shared" si="255"/>
        <v> 15.2 </v>
      </c>
      <c r="C820" s="441" t="s">
        <v>2220</v>
      </c>
      <c r="D820" s="442" t="s">
        <v>2221</v>
      </c>
      <c r="E820" s="441" t="s">
        <v>132</v>
      </c>
      <c r="F820" s="441" t="s">
        <v>2222</v>
      </c>
      <c r="G820" s="442" t="s">
        <v>134</v>
      </c>
      <c r="H820" s="443">
        <f t="shared" si="256"/>
        <v>1</v>
      </c>
      <c r="I820" s="443">
        <f>VLOOKUP(D820,'Orçamento Analitico'!D:L,9,FALSE())</f>
        <v>15517.25</v>
      </c>
      <c r="J820" s="443">
        <f t="shared" si="257"/>
        <v>19472.59</v>
      </c>
      <c r="K820" s="443">
        <f t="shared" si="258"/>
        <v>15517.25</v>
      </c>
      <c r="L820" s="443">
        <f t="shared" si="259"/>
        <v>19472.59</v>
      </c>
      <c r="M820" s="461" t="e">
        <f t="shared" si="251"/>
        <v>#N/A</v>
      </c>
      <c r="N820" s="464"/>
      <c r="O820" s="465"/>
      <c r="P820" s="465"/>
      <c r="Q820" s="465"/>
      <c r="R820" s="465"/>
      <c r="S820" s="465">
        <v>1</v>
      </c>
      <c r="T820" s="465"/>
      <c r="U820" s="479"/>
      <c r="V820" s="422"/>
      <c r="W820" s="422"/>
      <c r="X820" s="422"/>
      <c r="Y820" s="422"/>
      <c r="Z820" s="422"/>
    </row>
    <row r="821" ht="60.75" customHeight="1" spans="1:26">
      <c r="A821" s="422" t="str">
        <f t="shared" si="254"/>
        <v> 15.2 </v>
      </c>
      <c r="B821" s="423" t="str">
        <f t="shared" si="255"/>
        <v> 15.2 </v>
      </c>
      <c r="C821" s="441" t="s">
        <v>2224</v>
      </c>
      <c r="D821" s="442" t="s">
        <v>2225</v>
      </c>
      <c r="E821" s="441" t="s">
        <v>132</v>
      </c>
      <c r="F821" s="441" t="s">
        <v>2226</v>
      </c>
      <c r="G821" s="442" t="s">
        <v>134</v>
      </c>
      <c r="H821" s="443">
        <f t="shared" si="256"/>
        <v>1</v>
      </c>
      <c r="I821" s="443">
        <f>VLOOKUP(D821,'Orçamento Analitico'!D:L,9,FALSE())</f>
        <v>25514.35</v>
      </c>
      <c r="J821" s="443">
        <f t="shared" si="257"/>
        <v>32017.95</v>
      </c>
      <c r="K821" s="443">
        <f t="shared" si="258"/>
        <v>25514.35</v>
      </c>
      <c r="L821" s="443">
        <f t="shared" si="259"/>
        <v>32017.95</v>
      </c>
      <c r="M821" s="461" t="e">
        <f t="shared" si="251"/>
        <v>#N/A</v>
      </c>
      <c r="N821" s="464"/>
      <c r="O821" s="465"/>
      <c r="P821" s="465"/>
      <c r="Q821" s="465"/>
      <c r="R821" s="465"/>
      <c r="S821" s="465">
        <v>1</v>
      </c>
      <c r="T821" s="465"/>
      <c r="U821" s="479"/>
      <c r="V821" s="422"/>
      <c r="W821" s="422"/>
      <c r="X821" s="422"/>
      <c r="Y821" s="422"/>
      <c r="Z821" s="422"/>
    </row>
    <row r="822" ht="60.75" customHeight="1" spans="1:26">
      <c r="A822" s="422" t="str">
        <f t="shared" si="254"/>
        <v> 15.2 </v>
      </c>
      <c r="B822" s="423" t="str">
        <f t="shared" si="255"/>
        <v> 15.2 </v>
      </c>
      <c r="C822" s="441" t="s">
        <v>2228</v>
      </c>
      <c r="D822" s="442" t="s">
        <v>2229</v>
      </c>
      <c r="E822" s="441" t="s">
        <v>132</v>
      </c>
      <c r="F822" s="441" t="s">
        <v>2230</v>
      </c>
      <c r="G822" s="442" t="s">
        <v>134</v>
      </c>
      <c r="H822" s="443">
        <f t="shared" si="256"/>
        <v>1</v>
      </c>
      <c r="I822" s="443">
        <f>VLOOKUP(D822,'Orçamento Analitico'!D:L,9,FALSE())</f>
        <v>29340.02</v>
      </c>
      <c r="J822" s="443">
        <f t="shared" si="257"/>
        <v>36818.79</v>
      </c>
      <c r="K822" s="443">
        <f t="shared" si="258"/>
        <v>29340.02</v>
      </c>
      <c r="L822" s="443">
        <f t="shared" si="259"/>
        <v>36818.79</v>
      </c>
      <c r="M822" s="461" t="e">
        <f t="shared" si="251"/>
        <v>#N/A</v>
      </c>
      <c r="N822" s="464"/>
      <c r="O822" s="465"/>
      <c r="P822" s="465"/>
      <c r="Q822" s="465"/>
      <c r="R822" s="465"/>
      <c r="S822" s="465">
        <v>1</v>
      </c>
      <c r="T822" s="465"/>
      <c r="U822" s="479"/>
      <c r="V822" s="422"/>
      <c r="W822" s="422"/>
      <c r="X822" s="422"/>
      <c r="Y822" s="422"/>
      <c r="Z822" s="422"/>
    </row>
    <row r="823" ht="60.75" customHeight="1" spans="1:26">
      <c r="A823" s="422" t="str">
        <f t="shared" si="254"/>
        <v> 15.2 </v>
      </c>
      <c r="B823" s="423" t="str">
        <f t="shared" si="255"/>
        <v> 15.2 </v>
      </c>
      <c r="C823" s="441" t="s">
        <v>2232</v>
      </c>
      <c r="D823" s="442" t="s">
        <v>2233</v>
      </c>
      <c r="E823" s="441" t="s">
        <v>132</v>
      </c>
      <c r="F823" s="441" t="s">
        <v>2234</v>
      </c>
      <c r="G823" s="442" t="s">
        <v>134</v>
      </c>
      <c r="H823" s="443">
        <f t="shared" si="256"/>
        <v>23</v>
      </c>
      <c r="I823" s="443">
        <f>VLOOKUP(D823,'Orçamento Analitico'!D:L,9,FALSE())</f>
        <v>76.37</v>
      </c>
      <c r="J823" s="443">
        <f t="shared" si="257"/>
        <v>95.83</v>
      </c>
      <c r="K823" s="443">
        <f t="shared" si="258"/>
        <v>1756.51</v>
      </c>
      <c r="L823" s="443">
        <f t="shared" si="259"/>
        <v>2204.09</v>
      </c>
      <c r="M823" s="461" t="e">
        <f t="shared" si="251"/>
        <v>#N/A</v>
      </c>
      <c r="N823" s="464">
        <v>0</v>
      </c>
      <c r="O823" s="465"/>
      <c r="P823" s="465"/>
      <c r="Q823" s="465">
        <v>0</v>
      </c>
      <c r="R823" s="465">
        <v>23</v>
      </c>
      <c r="S823" s="465">
        <v>0</v>
      </c>
      <c r="T823" s="465">
        <v>0</v>
      </c>
      <c r="U823" s="479"/>
      <c r="V823" s="422"/>
      <c r="W823" s="422"/>
      <c r="X823" s="422"/>
      <c r="Y823" s="422"/>
      <c r="Z823" s="422"/>
    </row>
    <row r="824" ht="12.75" customHeight="1" spans="1:26">
      <c r="A824" s="422" t="str">
        <f t="shared" si="254"/>
        <v> 15.2 </v>
      </c>
      <c r="B824" s="423" t="str">
        <f t="shared" si="255"/>
        <v> 15.2 </v>
      </c>
      <c r="C824" s="441" t="s">
        <v>2235</v>
      </c>
      <c r="D824" s="442" t="s">
        <v>2236</v>
      </c>
      <c r="E824" s="441" t="s">
        <v>132</v>
      </c>
      <c r="F824" s="441" t="s">
        <v>2237</v>
      </c>
      <c r="G824" s="442" t="s">
        <v>134</v>
      </c>
      <c r="H824" s="443">
        <f t="shared" si="256"/>
        <v>32</v>
      </c>
      <c r="I824" s="443">
        <f>VLOOKUP(D824,'Orçamento Analitico'!D:L,9,FALSE())</f>
        <v>76.37</v>
      </c>
      <c r="J824" s="443">
        <f t="shared" si="257"/>
        <v>95.83</v>
      </c>
      <c r="K824" s="443">
        <f t="shared" si="258"/>
        <v>2443.84</v>
      </c>
      <c r="L824" s="443">
        <f t="shared" si="259"/>
        <v>3066.56</v>
      </c>
      <c r="M824" s="461" t="e">
        <f t="shared" si="251"/>
        <v>#N/A</v>
      </c>
      <c r="N824" s="464">
        <v>0</v>
      </c>
      <c r="O824" s="465"/>
      <c r="P824" s="465"/>
      <c r="Q824" s="465">
        <v>0</v>
      </c>
      <c r="R824" s="465">
        <v>32</v>
      </c>
      <c r="S824" s="465">
        <v>0</v>
      </c>
      <c r="T824" s="465">
        <v>0</v>
      </c>
      <c r="U824" s="479"/>
      <c r="V824" s="422"/>
      <c r="W824" s="422"/>
      <c r="X824" s="422"/>
      <c r="Y824" s="422"/>
      <c r="Z824" s="422"/>
    </row>
    <row r="825" ht="12.75" customHeight="1" spans="1:26">
      <c r="A825" s="422" t="str">
        <f t="shared" si="254"/>
        <v> 15.2 </v>
      </c>
      <c r="B825" s="423" t="str">
        <f t="shared" si="255"/>
        <v> 15.2 </v>
      </c>
      <c r="C825" s="441" t="s">
        <v>2238</v>
      </c>
      <c r="D825" s="442" t="s">
        <v>2239</v>
      </c>
      <c r="E825" s="441" t="s">
        <v>132</v>
      </c>
      <c r="F825" s="441" t="s">
        <v>2240</v>
      </c>
      <c r="G825" s="442" t="s">
        <v>134</v>
      </c>
      <c r="H825" s="443">
        <f t="shared" si="256"/>
        <v>10</v>
      </c>
      <c r="I825" s="443">
        <f>VLOOKUP(D825,'Orçamento Analitico'!D:L,9,FALSE())</f>
        <v>76.37</v>
      </c>
      <c r="J825" s="443">
        <f t="shared" si="257"/>
        <v>95.83</v>
      </c>
      <c r="K825" s="443">
        <f t="shared" si="258"/>
        <v>763.7</v>
      </c>
      <c r="L825" s="443">
        <f t="shared" si="259"/>
        <v>958.3</v>
      </c>
      <c r="M825" s="461" t="e">
        <f t="shared" si="251"/>
        <v>#N/A</v>
      </c>
      <c r="N825" s="464">
        <v>0</v>
      </c>
      <c r="O825" s="465"/>
      <c r="P825" s="465"/>
      <c r="Q825" s="465">
        <v>0</v>
      </c>
      <c r="R825" s="465">
        <v>10</v>
      </c>
      <c r="S825" s="465">
        <v>0</v>
      </c>
      <c r="T825" s="465">
        <v>0</v>
      </c>
      <c r="U825" s="479"/>
      <c r="V825" s="422"/>
      <c r="W825" s="422"/>
      <c r="X825" s="422"/>
      <c r="Y825" s="422"/>
      <c r="Z825" s="422"/>
    </row>
    <row r="826" ht="60.75" customHeight="1" spans="1:26">
      <c r="A826" s="422" t="str">
        <f t="shared" si="254"/>
        <v> 15.2 </v>
      </c>
      <c r="B826" s="423" t="str">
        <f t="shared" si="255"/>
        <v> 15.2 </v>
      </c>
      <c r="C826" s="441" t="s">
        <v>2241</v>
      </c>
      <c r="D826" s="442" t="s">
        <v>2242</v>
      </c>
      <c r="E826" s="441" t="s">
        <v>132</v>
      </c>
      <c r="F826" s="441" t="s">
        <v>2243</v>
      </c>
      <c r="G826" s="442" t="s">
        <v>134</v>
      </c>
      <c r="H826" s="443">
        <f t="shared" si="256"/>
        <v>17</v>
      </c>
      <c r="I826" s="443">
        <f>VLOOKUP(D826,'Orçamento Analitico'!D:L,9,FALSE())</f>
        <v>160.6</v>
      </c>
      <c r="J826" s="443">
        <f t="shared" si="257"/>
        <v>201.53</v>
      </c>
      <c r="K826" s="443">
        <f t="shared" si="258"/>
        <v>2730.2</v>
      </c>
      <c r="L826" s="443">
        <f t="shared" si="259"/>
        <v>3426.01</v>
      </c>
      <c r="M826" s="461" t="e">
        <f t="shared" si="251"/>
        <v>#N/A</v>
      </c>
      <c r="N826" s="464">
        <v>0</v>
      </c>
      <c r="O826" s="465"/>
      <c r="P826" s="465"/>
      <c r="Q826" s="465">
        <v>17</v>
      </c>
      <c r="R826" s="465">
        <v>0</v>
      </c>
      <c r="S826" s="465">
        <v>0</v>
      </c>
      <c r="T826" s="465">
        <v>0</v>
      </c>
      <c r="U826" s="479"/>
      <c r="V826" s="422"/>
      <c r="W826" s="422"/>
      <c r="X826" s="422"/>
      <c r="Y826" s="422"/>
      <c r="Z826" s="422"/>
    </row>
    <row r="827" ht="60.75" customHeight="1" spans="1:26">
      <c r="A827" s="422" t="str">
        <f t="shared" si="254"/>
        <v> 15.2 </v>
      </c>
      <c r="B827" s="423" t="str">
        <f t="shared" si="255"/>
        <v> 15.2 </v>
      </c>
      <c r="C827" s="441" t="s">
        <v>2244</v>
      </c>
      <c r="D827" s="442" t="s">
        <v>2245</v>
      </c>
      <c r="E827" s="441" t="s">
        <v>132</v>
      </c>
      <c r="F827" s="441" t="s">
        <v>2246</v>
      </c>
      <c r="G827" s="442" t="s">
        <v>134</v>
      </c>
      <c r="H827" s="443">
        <f t="shared" si="256"/>
        <v>5</v>
      </c>
      <c r="I827" s="443">
        <f>VLOOKUP(D827,'Orçamento Analitico'!D:L,9,FALSE())</f>
        <v>194.62</v>
      </c>
      <c r="J827" s="443">
        <f t="shared" si="257"/>
        <v>244.22</v>
      </c>
      <c r="K827" s="443">
        <f t="shared" si="258"/>
        <v>973.1</v>
      </c>
      <c r="L827" s="443">
        <f t="shared" si="259"/>
        <v>1221.1</v>
      </c>
      <c r="M827" s="461" t="e">
        <f t="shared" si="251"/>
        <v>#N/A</v>
      </c>
      <c r="N827" s="464">
        <v>0</v>
      </c>
      <c r="O827" s="465"/>
      <c r="P827" s="465"/>
      <c r="Q827" s="465">
        <v>5</v>
      </c>
      <c r="R827" s="465">
        <v>0</v>
      </c>
      <c r="S827" s="465">
        <v>0</v>
      </c>
      <c r="T827" s="465">
        <v>0</v>
      </c>
      <c r="U827" s="479"/>
      <c r="V827" s="422"/>
      <c r="W827" s="422"/>
      <c r="X827" s="422"/>
      <c r="Y827" s="422"/>
      <c r="Z827" s="422"/>
    </row>
    <row r="828" ht="60.75" customHeight="1" spans="1:26">
      <c r="A828" s="422" t="str">
        <f t="shared" si="254"/>
        <v> 15.2 </v>
      </c>
      <c r="B828" s="423" t="str">
        <f t="shared" si="255"/>
        <v> 15.2 </v>
      </c>
      <c r="C828" s="441" t="s">
        <v>2247</v>
      </c>
      <c r="D828" s="442" t="s">
        <v>2248</v>
      </c>
      <c r="E828" s="441" t="s">
        <v>132</v>
      </c>
      <c r="F828" s="441" t="s">
        <v>2249</v>
      </c>
      <c r="G828" s="442" t="s">
        <v>134</v>
      </c>
      <c r="H828" s="443">
        <f t="shared" si="256"/>
        <v>3</v>
      </c>
      <c r="I828" s="443">
        <f>VLOOKUP(D828,'Orçamento Analitico'!D:L,9,FALSE())</f>
        <v>323.87</v>
      </c>
      <c r="J828" s="443">
        <f t="shared" si="257"/>
        <v>406.42</v>
      </c>
      <c r="K828" s="443">
        <f t="shared" si="258"/>
        <v>971.61</v>
      </c>
      <c r="L828" s="443">
        <f t="shared" si="259"/>
        <v>1219.26</v>
      </c>
      <c r="M828" s="461" t="e">
        <f t="shared" si="251"/>
        <v>#N/A</v>
      </c>
      <c r="N828" s="464">
        <v>0</v>
      </c>
      <c r="O828" s="465"/>
      <c r="P828" s="465"/>
      <c r="Q828" s="465">
        <v>3</v>
      </c>
      <c r="R828" s="465">
        <v>0</v>
      </c>
      <c r="S828" s="465">
        <v>0</v>
      </c>
      <c r="T828" s="465">
        <v>0</v>
      </c>
      <c r="U828" s="479"/>
      <c r="V828" s="422"/>
      <c r="W828" s="422"/>
      <c r="X828" s="422"/>
      <c r="Y828" s="422"/>
      <c r="Z828" s="422"/>
    </row>
    <row r="829" ht="60.75" customHeight="1" spans="1:26">
      <c r="A829" s="422" t="str">
        <f t="shared" si="254"/>
        <v> 15.2 </v>
      </c>
      <c r="B829" s="423" t="str">
        <f t="shared" si="255"/>
        <v> 15.2 </v>
      </c>
      <c r="C829" s="441" t="s">
        <v>2250</v>
      </c>
      <c r="D829" s="442" t="s">
        <v>2251</v>
      </c>
      <c r="E829" s="441" t="s">
        <v>132</v>
      </c>
      <c r="F829" s="441" t="s">
        <v>2252</v>
      </c>
      <c r="G829" s="442" t="s">
        <v>134</v>
      </c>
      <c r="H829" s="443">
        <f t="shared" si="256"/>
        <v>4</v>
      </c>
      <c r="I829" s="443">
        <f>VLOOKUP(D829,'Orçamento Analitico'!D:L,9,FALSE())</f>
        <v>323.87</v>
      </c>
      <c r="J829" s="443">
        <f t="shared" si="257"/>
        <v>406.42</v>
      </c>
      <c r="K829" s="443">
        <f t="shared" si="258"/>
        <v>1295.48</v>
      </c>
      <c r="L829" s="443">
        <f t="shared" si="259"/>
        <v>1625.68</v>
      </c>
      <c r="M829" s="461" t="e">
        <f t="shared" si="251"/>
        <v>#N/A</v>
      </c>
      <c r="N829" s="464">
        <v>0</v>
      </c>
      <c r="O829" s="465"/>
      <c r="P829" s="465"/>
      <c r="Q829" s="465">
        <v>4</v>
      </c>
      <c r="R829" s="465">
        <v>0</v>
      </c>
      <c r="S829" s="465">
        <v>0</v>
      </c>
      <c r="T829" s="465">
        <v>0</v>
      </c>
      <c r="U829" s="479"/>
      <c r="V829" s="422"/>
      <c r="W829" s="422"/>
      <c r="X829" s="422"/>
      <c r="Y829" s="422"/>
      <c r="Z829" s="422"/>
    </row>
    <row r="830" ht="60.75" customHeight="1" spans="1:26">
      <c r="A830" s="422" t="str">
        <f t="shared" si="254"/>
        <v> 15.2 </v>
      </c>
      <c r="B830" s="423" t="str">
        <f t="shared" si="255"/>
        <v> 15.2 </v>
      </c>
      <c r="C830" s="441" t="s">
        <v>2253</v>
      </c>
      <c r="D830" s="442" t="s">
        <v>2254</v>
      </c>
      <c r="E830" s="441" t="s">
        <v>132</v>
      </c>
      <c r="F830" s="441" t="s">
        <v>2255</v>
      </c>
      <c r="G830" s="442" t="s">
        <v>134</v>
      </c>
      <c r="H830" s="443">
        <f t="shared" si="256"/>
        <v>4</v>
      </c>
      <c r="I830" s="443">
        <f>VLOOKUP(D830,'Orçamento Analitico'!D:L,9,FALSE())</f>
        <v>323.87</v>
      </c>
      <c r="J830" s="443">
        <f t="shared" si="257"/>
        <v>406.42</v>
      </c>
      <c r="K830" s="443">
        <f t="shared" si="258"/>
        <v>1295.48</v>
      </c>
      <c r="L830" s="443">
        <f t="shared" si="259"/>
        <v>1625.68</v>
      </c>
      <c r="M830" s="461" t="e">
        <f t="shared" si="251"/>
        <v>#N/A</v>
      </c>
      <c r="N830" s="464">
        <v>0</v>
      </c>
      <c r="O830" s="465"/>
      <c r="P830" s="465"/>
      <c r="Q830" s="465">
        <v>4</v>
      </c>
      <c r="R830" s="465">
        <v>0</v>
      </c>
      <c r="S830" s="465">
        <v>0</v>
      </c>
      <c r="T830" s="465">
        <v>0</v>
      </c>
      <c r="U830" s="479"/>
      <c r="V830" s="422"/>
      <c r="W830" s="422"/>
      <c r="X830" s="422"/>
      <c r="Y830" s="422"/>
      <c r="Z830" s="422"/>
    </row>
    <row r="831" ht="60.75" customHeight="1" spans="1:26">
      <c r="A831" s="422" t="str">
        <f t="shared" si="254"/>
        <v> 15.2 </v>
      </c>
      <c r="B831" s="423" t="str">
        <f t="shared" si="255"/>
        <v> 15.2 </v>
      </c>
      <c r="C831" s="441" t="s">
        <v>2256</v>
      </c>
      <c r="D831" s="442" t="s">
        <v>2257</v>
      </c>
      <c r="E831" s="441" t="s">
        <v>132</v>
      </c>
      <c r="F831" s="441" t="s">
        <v>2258</v>
      </c>
      <c r="G831" s="442" t="s">
        <v>134</v>
      </c>
      <c r="H831" s="443">
        <f t="shared" si="256"/>
        <v>12</v>
      </c>
      <c r="I831" s="443">
        <f>VLOOKUP(D831,'Orçamento Analitico'!D:L,9,FALSE())</f>
        <v>388.5</v>
      </c>
      <c r="J831" s="443">
        <f t="shared" si="257"/>
        <v>487.52</v>
      </c>
      <c r="K831" s="443">
        <f t="shared" si="258"/>
        <v>4662</v>
      </c>
      <c r="L831" s="443">
        <f t="shared" si="259"/>
        <v>5850.24</v>
      </c>
      <c r="M831" s="461" t="e">
        <f t="shared" si="251"/>
        <v>#N/A</v>
      </c>
      <c r="N831" s="464">
        <v>0</v>
      </c>
      <c r="O831" s="465"/>
      <c r="P831" s="465"/>
      <c r="Q831" s="465">
        <v>12</v>
      </c>
      <c r="R831" s="465">
        <v>0</v>
      </c>
      <c r="S831" s="465">
        <v>0</v>
      </c>
      <c r="T831" s="465">
        <v>0</v>
      </c>
      <c r="U831" s="479"/>
      <c r="V831" s="422"/>
      <c r="W831" s="422"/>
      <c r="X831" s="422"/>
      <c r="Y831" s="422"/>
      <c r="Z831" s="422"/>
    </row>
    <row r="832" ht="60.75" customHeight="1" spans="1:26">
      <c r="A832" s="422" t="str">
        <f t="shared" si="254"/>
        <v> 15.2 </v>
      </c>
      <c r="B832" s="423" t="str">
        <f t="shared" si="255"/>
        <v> 15.2 </v>
      </c>
      <c r="C832" s="441" t="s">
        <v>2259</v>
      </c>
      <c r="D832" s="442" t="s">
        <v>2260</v>
      </c>
      <c r="E832" s="441" t="s">
        <v>132</v>
      </c>
      <c r="F832" s="441" t="s">
        <v>2261</v>
      </c>
      <c r="G832" s="442" t="s">
        <v>134</v>
      </c>
      <c r="H832" s="443">
        <f t="shared" si="256"/>
        <v>3</v>
      </c>
      <c r="I832" s="443">
        <f>VLOOKUP(D832,'Orçamento Analitico'!D:L,9,FALSE())</f>
        <v>519.12</v>
      </c>
      <c r="J832" s="443">
        <f t="shared" si="257"/>
        <v>651.44</v>
      </c>
      <c r="K832" s="443">
        <f t="shared" si="258"/>
        <v>1557.36</v>
      </c>
      <c r="L832" s="443">
        <f t="shared" si="259"/>
        <v>1954.32</v>
      </c>
      <c r="M832" s="461" t="e">
        <f t="shared" si="251"/>
        <v>#N/A</v>
      </c>
      <c r="N832" s="464">
        <v>0</v>
      </c>
      <c r="O832" s="465"/>
      <c r="P832" s="465"/>
      <c r="Q832" s="465">
        <v>3</v>
      </c>
      <c r="R832" s="465">
        <v>0</v>
      </c>
      <c r="S832" s="465">
        <v>0</v>
      </c>
      <c r="T832" s="465">
        <v>0</v>
      </c>
      <c r="U832" s="479"/>
      <c r="V832" s="422"/>
      <c r="W832" s="422"/>
      <c r="X832" s="422"/>
      <c r="Y832" s="422"/>
      <c r="Z832" s="422"/>
    </row>
    <row r="833" ht="60.75" customHeight="1" spans="1:26">
      <c r="A833" s="422" t="str">
        <f t="shared" si="254"/>
        <v> 15.2 </v>
      </c>
      <c r="B833" s="423" t="str">
        <f t="shared" si="255"/>
        <v> 15.2 </v>
      </c>
      <c r="C833" s="441" t="s">
        <v>2262</v>
      </c>
      <c r="D833" s="442" t="s">
        <v>2263</v>
      </c>
      <c r="E833" s="441" t="s">
        <v>132</v>
      </c>
      <c r="F833" s="441" t="s">
        <v>2264</v>
      </c>
      <c r="G833" s="442" t="s">
        <v>134</v>
      </c>
      <c r="H833" s="443">
        <f t="shared" si="256"/>
        <v>6</v>
      </c>
      <c r="I833" s="443">
        <f>VLOOKUP(D833,'Orçamento Analitico'!D:L,9,FALSE())</f>
        <v>465.5</v>
      </c>
      <c r="J833" s="443">
        <f t="shared" si="257"/>
        <v>584.15</v>
      </c>
      <c r="K833" s="443">
        <f t="shared" si="258"/>
        <v>2793</v>
      </c>
      <c r="L833" s="443">
        <f t="shared" si="259"/>
        <v>3504.9</v>
      </c>
      <c r="M833" s="461" t="e">
        <f t="shared" si="251"/>
        <v>#N/A</v>
      </c>
      <c r="N833" s="464">
        <v>0</v>
      </c>
      <c r="O833" s="465"/>
      <c r="P833" s="465"/>
      <c r="Q833" s="465">
        <v>6</v>
      </c>
      <c r="R833" s="465">
        <v>0</v>
      </c>
      <c r="S833" s="465">
        <v>0</v>
      </c>
      <c r="T833" s="465">
        <v>0</v>
      </c>
      <c r="U833" s="479"/>
      <c r="V833" s="422"/>
      <c r="W833" s="422"/>
      <c r="X833" s="422"/>
      <c r="Y833" s="422"/>
      <c r="Z833" s="422"/>
    </row>
    <row r="834" ht="12.75" customHeight="1" spans="1:26">
      <c r="A834" s="422" t="str">
        <f t="shared" si="254"/>
        <v> 15.2 </v>
      </c>
      <c r="B834" s="423" t="str">
        <f t="shared" si="255"/>
        <v> 15.2 </v>
      </c>
      <c r="C834" s="441" t="s">
        <v>2265</v>
      </c>
      <c r="D834" s="442" t="s">
        <v>2266</v>
      </c>
      <c r="E834" s="441" t="s">
        <v>132</v>
      </c>
      <c r="F834" s="441" t="s">
        <v>2267</v>
      </c>
      <c r="G834" s="442" t="s">
        <v>134</v>
      </c>
      <c r="H834" s="443">
        <f t="shared" si="256"/>
        <v>2</v>
      </c>
      <c r="I834" s="443">
        <f>VLOOKUP(D834,'Orçamento Analitico'!D:L,9,FALSE())</f>
        <v>948.04</v>
      </c>
      <c r="J834" s="443">
        <f t="shared" si="257"/>
        <v>1189.69</v>
      </c>
      <c r="K834" s="443">
        <f t="shared" si="258"/>
        <v>1896.08</v>
      </c>
      <c r="L834" s="443">
        <f t="shared" si="259"/>
        <v>2379.38</v>
      </c>
      <c r="M834" s="461" t="e">
        <f t="shared" si="251"/>
        <v>#N/A</v>
      </c>
      <c r="N834" s="464">
        <v>0</v>
      </c>
      <c r="O834" s="465">
        <v>1</v>
      </c>
      <c r="P834" s="465"/>
      <c r="Q834" s="465">
        <v>1</v>
      </c>
      <c r="R834" s="465">
        <v>0</v>
      </c>
      <c r="S834" s="465">
        <v>0</v>
      </c>
      <c r="T834" s="465">
        <v>0</v>
      </c>
      <c r="U834" s="479"/>
      <c r="V834" s="422"/>
      <c r="W834" s="422"/>
      <c r="X834" s="422"/>
      <c r="Y834" s="422"/>
      <c r="Z834" s="422"/>
    </row>
    <row r="835" ht="12.75" customHeight="1" spans="1:26">
      <c r="A835" s="422" t="str">
        <f t="shared" si="254"/>
        <v> 15.2 </v>
      </c>
      <c r="B835" s="423" t="str">
        <f t="shared" si="255"/>
        <v> 15.2 </v>
      </c>
      <c r="C835" s="441" t="s">
        <v>2268</v>
      </c>
      <c r="D835" s="442" t="s">
        <v>2269</v>
      </c>
      <c r="E835" s="441" t="s">
        <v>132</v>
      </c>
      <c r="F835" s="441" t="s">
        <v>2270</v>
      </c>
      <c r="G835" s="442" t="s">
        <v>134</v>
      </c>
      <c r="H835" s="443">
        <f t="shared" si="256"/>
        <v>1</v>
      </c>
      <c r="I835" s="443">
        <f>VLOOKUP(D835,'Orçamento Analitico'!D:L,9,FALSE())</f>
        <v>990.85</v>
      </c>
      <c r="J835" s="443">
        <f t="shared" si="257"/>
        <v>1243.41</v>
      </c>
      <c r="K835" s="443">
        <f t="shared" si="258"/>
        <v>990.85</v>
      </c>
      <c r="L835" s="443">
        <f t="shared" si="259"/>
        <v>1243.41</v>
      </c>
      <c r="M835" s="461" t="e">
        <f t="shared" si="251"/>
        <v>#N/A</v>
      </c>
      <c r="N835" s="464">
        <v>0</v>
      </c>
      <c r="O835" s="465">
        <v>0</v>
      </c>
      <c r="P835" s="465"/>
      <c r="Q835" s="465">
        <v>1</v>
      </c>
      <c r="R835" s="465">
        <v>0</v>
      </c>
      <c r="S835" s="465">
        <v>0</v>
      </c>
      <c r="T835" s="465">
        <v>0</v>
      </c>
      <c r="U835" s="479"/>
      <c r="V835" s="422"/>
      <c r="W835" s="422"/>
      <c r="X835" s="422"/>
      <c r="Y835" s="422"/>
      <c r="Z835" s="422"/>
    </row>
    <row r="836" ht="12.75" customHeight="1" spans="1:26">
      <c r="A836" s="422" t="str">
        <f t="shared" si="254"/>
        <v> 15.2 </v>
      </c>
      <c r="B836" s="423" t="str">
        <f t="shared" si="255"/>
        <v> 15.2 </v>
      </c>
      <c r="C836" s="441" t="s">
        <v>2271</v>
      </c>
      <c r="D836" s="442" t="s">
        <v>2272</v>
      </c>
      <c r="E836" s="441" t="s">
        <v>132</v>
      </c>
      <c r="F836" s="441" t="s">
        <v>2273</v>
      </c>
      <c r="G836" s="442" t="s">
        <v>134</v>
      </c>
      <c r="H836" s="443">
        <f t="shared" si="256"/>
        <v>3</v>
      </c>
      <c r="I836" s="443">
        <f>VLOOKUP(D836,'Orçamento Analitico'!D:L,9,FALSE())</f>
        <v>1005.56</v>
      </c>
      <c r="J836" s="443">
        <f t="shared" si="257"/>
        <v>1261.87</v>
      </c>
      <c r="K836" s="443">
        <f t="shared" si="258"/>
        <v>3016.68</v>
      </c>
      <c r="L836" s="443">
        <f t="shared" si="259"/>
        <v>3785.61</v>
      </c>
      <c r="M836" s="461" t="e">
        <f t="shared" si="251"/>
        <v>#N/A</v>
      </c>
      <c r="N836" s="464">
        <v>0</v>
      </c>
      <c r="O836" s="465">
        <v>2</v>
      </c>
      <c r="P836" s="465"/>
      <c r="Q836" s="465">
        <v>1</v>
      </c>
      <c r="R836" s="465">
        <v>0</v>
      </c>
      <c r="S836" s="465">
        <v>0</v>
      </c>
      <c r="T836" s="465">
        <v>0</v>
      </c>
      <c r="U836" s="479"/>
      <c r="V836" s="422"/>
      <c r="W836" s="422"/>
      <c r="X836" s="422"/>
      <c r="Y836" s="422"/>
      <c r="Z836" s="422"/>
    </row>
    <row r="837" ht="12.75" customHeight="1" spans="1:26">
      <c r="A837" s="422" t="str">
        <f t="shared" si="254"/>
        <v> 15.2 </v>
      </c>
      <c r="B837" s="423" t="str">
        <f t="shared" si="255"/>
        <v> 15.2 </v>
      </c>
      <c r="C837" s="441" t="s">
        <v>2274</v>
      </c>
      <c r="D837" s="442" t="s">
        <v>2275</v>
      </c>
      <c r="E837" s="441" t="s">
        <v>132</v>
      </c>
      <c r="F837" s="441" t="s">
        <v>2276</v>
      </c>
      <c r="G837" s="442" t="s">
        <v>134</v>
      </c>
      <c r="H837" s="443">
        <f t="shared" si="256"/>
        <v>4</v>
      </c>
      <c r="I837" s="443">
        <f>VLOOKUP(D837,'Orçamento Analitico'!D:L,9,FALSE())</f>
        <v>1030.58</v>
      </c>
      <c r="J837" s="443">
        <f t="shared" si="257"/>
        <v>1293.27</v>
      </c>
      <c r="K837" s="443">
        <f t="shared" si="258"/>
        <v>4122.32</v>
      </c>
      <c r="L837" s="443">
        <f t="shared" si="259"/>
        <v>5173.08</v>
      </c>
      <c r="M837" s="461" t="e">
        <f t="shared" si="251"/>
        <v>#N/A</v>
      </c>
      <c r="N837" s="464">
        <v>0</v>
      </c>
      <c r="O837" s="465">
        <v>2</v>
      </c>
      <c r="P837" s="465"/>
      <c r="Q837" s="465">
        <v>0</v>
      </c>
      <c r="R837" s="465">
        <v>2</v>
      </c>
      <c r="S837" s="465">
        <v>0</v>
      </c>
      <c r="T837" s="465">
        <v>0</v>
      </c>
      <c r="U837" s="479"/>
      <c r="V837" s="422"/>
      <c r="W837" s="422"/>
      <c r="X837" s="422"/>
      <c r="Y837" s="422"/>
      <c r="Z837" s="422"/>
    </row>
    <row r="838" ht="12.75" customHeight="1" spans="1:26">
      <c r="A838" s="422" t="str">
        <f t="shared" si="254"/>
        <v> 15.2 </v>
      </c>
      <c r="B838" s="423" t="str">
        <f t="shared" si="255"/>
        <v> 15.2 </v>
      </c>
      <c r="C838" s="441" t="s">
        <v>2277</v>
      </c>
      <c r="D838" s="442" t="s">
        <v>2278</v>
      </c>
      <c r="E838" s="441" t="s">
        <v>132</v>
      </c>
      <c r="F838" s="441" t="s">
        <v>2279</v>
      </c>
      <c r="G838" s="442" t="s">
        <v>134</v>
      </c>
      <c r="H838" s="443">
        <f t="shared" si="256"/>
        <v>1</v>
      </c>
      <c r="I838" s="443">
        <f>VLOOKUP(D838,'Orçamento Analitico'!D:L,9,FALSE())</f>
        <v>1051</v>
      </c>
      <c r="J838" s="443">
        <f t="shared" si="257"/>
        <v>1318.89</v>
      </c>
      <c r="K838" s="443">
        <f t="shared" si="258"/>
        <v>1051</v>
      </c>
      <c r="L838" s="443">
        <f t="shared" si="259"/>
        <v>1318.89</v>
      </c>
      <c r="M838" s="461" t="e">
        <f t="shared" si="251"/>
        <v>#N/A</v>
      </c>
      <c r="N838" s="464">
        <v>0</v>
      </c>
      <c r="O838" s="465">
        <v>0</v>
      </c>
      <c r="P838" s="465"/>
      <c r="Q838" s="465">
        <v>1</v>
      </c>
      <c r="R838" s="465">
        <v>0</v>
      </c>
      <c r="S838" s="465">
        <v>0</v>
      </c>
      <c r="T838" s="465">
        <v>0</v>
      </c>
      <c r="U838" s="479"/>
      <c r="V838" s="422"/>
      <c r="W838" s="422"/>
      <c r="X838" s="422"/>
      <c r="Y838" s="422"/>
      <c r="Z838" s="422"/>
    </row>
    <row r="839" ht="12.75" customHeight="1" spans="1:26">
      <c r="A839" s="422" t="str">
        <f t="shared" si="254"/>
        <v> 15.2 </v>
      </c>
      <c r="B839" s="423" t="str">
        <f t="shared" si="255"/>
        <v> 15.2 </v>
      </c>
      <c r="C839" s="441" t="s">
        <v>2280</v>
      </c>
      <c r="D839" s="442" t="s">
        <v>2281</v>
      </c>
      <c r="E839" s="441" t="s">
        <v>132</v>
      </c>
      <c r="F839" s="441" t="s">
        <v>2282</v>
      </c>
      <c r="G839" s="442" t="s">
        <v>134</v>
      </c>
      <c r="H839" s="443">
        <f t="shared" si="256"/>
        <v>1</v>
      </c>
      <c r="I839" s="443">
        <f>VLOOKUP(D839,'Orçamento Analitico'!D:L,9,FALSE())</f>
        <v>1077.16</v>
      </c>
      <c r="J839" s="443">
        <f t="shared" si="257"/>
        <v>1351.72</v>
      </c>
      <c r="K839" s="443">
        <f t="shared" si="258"/>
        <v>1077.16</v>
      </c>
      <c r="L839" s="443">
        <f t="shared" si="259"/>
        <v>1351.72</v>
      </c>
      <c r="M839" s="461" t="e">
        <f t="shared" si="251"/>
        <v>#N/A</v>
      </c>
      <c r="N839" s="464">
        <v>1</v>
      </c>
      <c r="O839" s="465">
        <v>0</v>
      </c>
      <c r="P839" s="465"/>
      <c r="Q839" s="465">
        <v>0</v>
      </c>
      <c r="R839" s="465">
        <v>0</v>
      </c>
      <c r="S839" s="465">
        <v>0</v>
      </c>
      <c r="T839" s="465">
        <v>0</v>
      </c>
      <c r="U839" s="479"/>
      <c r="V839" s="422"/>
      <c r="W839" s="422"/>
      <c r="X839" s="422"/>
      <c r="Y839" s="422"/>
      <c r="Z839" s="422"/>
    </row>
    <row r="840" ht="12.75" customHeight="1" spans="1:26">
      <c r="A840" s="422" t="str">
        <f t="shared" si="254"/>
        <v> 15.2 </v>
      </c>
      <c r="B840" s="423" t="str">
        <f t="shared" si="255"/>
        <v> 15.2 </v>
      </c>
      <c r="C840" s="441" t="s">
        <v>2283</v>
      </c>
      <c r="D840" s="442" t="s">
        <v>2284</v>
      </c>
      <c r="E840" s="441" t="s">
        <v>132</v>
      </c>
      <c r="F840" s="441" t="s">
        <v>2285</v>
      </c>
      <c r="G840" s="442" t="s">
        <v>134</v>
      </c>
      <c r="H840" s="443">
        <f t="shared" si="256"/>
        <v>1</v>
      </c>
      <c r="I840" s="443">
        <f>VLOOKUP(D840,'Orçamento Analitico'!D:L,9,FALSE())</f>
        <v>1082.44</v>
      </c>
      <c r="J840" s="443">
        <f t="shared" si="257"/>
        <v>1358.35</v>
      </c>
      <c r="K840" s="443">
        <f t="shared" si="258"/>
        <v>1082.44</v>
      </c>
      <c r="L840" s="443">
        <f t="shared" si="259"/>
        <v>1358.35</v>
      </c>
      <c r="M840" s="461" t="e">
        <f t="shared" ref="M840:M903" si="260">K840/$L$1062</f>
        <v>#N/A</v>
      </c>
      <c r="N840" s="464">
        <v>0</v>
      </c>
      <c r="O840" s="465">
        <v>0</v>
      </c>
      <c r="P840" s="465"/>
      <c r="Q840" s="465">
        <v>1</v>
      </c>
      <c r="R840" s="465">
        <v>0</v>
      </c>
      <c r="S840" s="465">
        <v>0</v>
      </c>
      <c r="T840" s="465">
        <v>0</v>
      </c>
      <c r="U840" s="479"/>
      <c r="V840" s="422"/>
      <c r="W840" s="422"/>
      <c r="X840" s="422"/>
      <c r="Y840" s="422"/>
      <c r="Z840" s="422"/>
    </row>
    <row r="841" ht="12.75" customHeight="1" spans="1:26">
      <c r="A841" s="422" t="str">
        <f t="shared" si="254"/>
        <v> 15.2 </v>
      </c>
      <c r="B841" s="423" t="str">
        <f t="shared" si="255"/>
        <v> 15.2 </v>
      </c>
      <c r="C841" s="441" t="s">
        <v>2286</v>
      </c>
      <c r="D841" s="442" t="s">
        <v>2287</v>
      </c>
      <c r="E841" s="441" t="s">
        <v>132</v>
      </c>
      <c r="F841" s="441" t="s">
        <v>2288</v>
      </c>
      <c r="G841" s="442" t="s">
        <v>134</v>
      </c>
      <c r="H841" s="443">
        <f t="shared" si="256"/>
        <v>1</v>
      </c>
      <c r="I841" s="443">
        <f>VLOOKUP(D841,'Orçamento Analitico'!D:L,9,FALSE())</f>
        <v>1105.22</v>
      </c>
      <c r="J841" s="443">
        <f t="shared" si="257"/>
        <v>1386.94</v>
      </c>
      <c r="K841" s="443">
        <f t="shared" si="258"/>
        <v>1105.22</v>
      </c>
      <c r="L841" s="443">
        <f t="shared" si="259"/>
        <v>1386.94</v>
      </c>
      <c r="M841" s="461" t="e">
        <f t="shared" si="260"/>
        <v>#N/A</v>
      </c>
      <c r="N841" s="464">
        <v>0</v>
      </c>
      <c r="O841" s="465">
        <v>0</v>
      </c>
      <c r="P841" s="465"/>
      <c r="Q841" s="465">
        <v>1</v>
      </c>
      <c r="R841" s="465">
        <v>0</v>
      </c>
      <c r="S841" s="465">
        <v>0</v>
      </c>
      <c r="T841" s="465">
        <v>0</v>
      </c>
      <c r="U841" s="479"/>
      <c r="V841" s="422"/>
      <c r="W841" s="422"/>
      <c r="X841" s="422"/>
      <c r="Y841" s="422"/>
      <c r="Z841" s="422"/>
    </row>
    <row r="842" ht="12.75" customHeight="1" spans="1:26">
      <c r="A842" s="422" t="str">
        <f t="shared" si="254"/>
        <v> 15.2 </v>
      </c>
      <c r="B842" s="423" t="str">
        <f t="shared" si="255"/>
        <v> 15.2 </v>
      </c>
      <c r="C842" s="441" t="s">
        <v>2289</v>
      </c>
      <c r="D842" s="442" t="s">
        <v>2290</v>
      </c>
      <c r="E842" s="441" t="s">
        <v>132</v>
      </c>
      <c r="F842" s="441" t="s">
        <v>2291</v>
      </c>
      <c r="G842" s="442" t="s">
        <v>134</v>
      </c>
      <c r="H842" s="443">
        <f t="shared" si="256"/>
        <v>1</v>
      </c>
      <c r="I842" s="443">
        <f>VLOOKUP(D842,'Orçamento Analitico'!D:L,9,FALSE())</f>
        <v>1131.39</v>
      </c>
      <c r="J842" s="443">
        <f t="shared" si="257"/>
        <v>1419.78</v>
      </c>
      <c r="K842" s="443">
        <f t="shared" si="258"/>
        <v>1131.39</v>
      </c>
      <c r="L842" s="443">
        <f t="shared" si="259"/>
        <v>1419.78</v>
      </c>
      <c r="M842" s="461" t="e">
        <f t="shared" si="260"/>
        <v>#N/A</v>
      </c>
      <c r="N842" s="464">
        <v>0</v>
      </c>
      <c r="O842" s="465">
        <v>0</v>
      </c>
      <c r="P842" s="465"/>
      <c r="Q842" s="465">
        <v>1</v>
      </c>
      <c r="R842" s="465">
        <v>0</v>
      </c>
      <c r="S842" s="465">
        <v>0</v>
      </c>
      <c r="T842" s="465">
        <v>0</v>
      </c>
      <c r="U842" s="479"/>
      <c r="V842" s="422"/>
      <c r="W842" s="422"/>
      <c r="X842" s="422"/>
      <c r="Y842" s="422"/>
      <c r="Z842" s="422"/>
    </row>
    <row r="843" ht="12.75" customHeight="1" spans="1:26">
      <c r="A843" s="422" t="str">
        <f t="shared" si="254"/>
        <v> 15.2 </v>
      </c>
      <c r="B843" s="423" t="str">
        <f t="shared" si="255"/>
        <v> 15.2 </v>
      </c>
      <c r="C843" s="441" t="s">
        <v>2292</v>
      </c>
      <c r="D843" s="442" t="s">
        <v>2293</v>
      </c>
      <c r="E843" s="441" t="s">
        <v>132</v>
      </c>
      <c r="F843" s="441" t="s">
        <v>2294</v>
      </c>
      <c r="G843" s="442" t="s">
        <v>134</v>
      </c>
      <c r="H843" s="443">
        <f t="shared" si="256"/>
        <v>1</v>
      </c>
      <c r="I843" s="443">
        <f>VLOOKUP(D843,'Orçamento Analitico'!D:L,9,FALSE())</f>
        <v>1165.26</v>
      </c>
      <c r="J843" s="443">
        <f t="shared" si="257"/>
        <v>1462.28</v>
      </c>
      <c r="K843" s="443">
        <f t="shared" si="258"/>
        <v>1165.26</v>
      </c>
      <c r="L843" s="443">
        <f t="shared" si="259"/>
        <v>1462.28</v>
      </c>
      <c r="M843" s="461" t="e">
        <f t="shared" si="260"/>
        <v>#N/A</v>
      </c>
      <c r="N843" s="464">
        <v>0</v>
      </c>
      <c r="O843" s="465">
        <v>1</v>
      </c>
      <c r="P843" s="465"/>
      <c r="Q843" s="465">
        <v>0</v>
      </c>
      <c r="R843" s="465">
        <v>0</v>
      </c>
      <c r="S843" s="465">
        <v>0</v>
      </c>
      <c r="T843" s="465">
        <v>0</v>
      </c>
      <c r="U843" s="479"/>
      <c r="V843" s="422"/>
      <c r="W843" s="422"/>
      <c r="X843" s="422"/>
      <c r="Y843" s="422"/>
      <c r="Z843" s="422"/>
    </row>
    <row r="844" ht="12.75" customHeight="1" spans="1:26">
      <c r="A844" s="422" t="str">
        <f t="shared" si="254"/>
        <v> 15.2 </v>
      </c>
      <c r="B844" s="423" t="str">
        <f t="shared" si="255"/>
        <v> 15.2 </v>
      </c>
      <c r="C844" s="441" t="s">
        <v>2295</v>
      </c>
      <c r="D844" s="442" t="s">
        <v>2296</v>
      </c>
      <c r="E844" s="441" t="s">
        <v>132</v>
      </c>
      <c r="F844" s="441" t="s">
        <v>2297</v>
      </c>
      <c r="G844" s="442" t="s">
        <v>134</v>
      </c>
      <c r="H844" s="443">
        <f t="shared" si="256"/>
        <v>1</v>
      </c>
      <c r="I844" s="443">
        <f>VLOOKUP(D844,'Orçamento Analitico'!D:L,9,FALSE())</f>
        <v>1140.01</v>
      </c>
      <c r="J844" s="443">
        <f t="shared" si="257"/>
        <v>1430.59</v>
      </c>
      <c r="K844" s="443">
        <f t="shared" si="258"/>
        <v>1140.01</v>
      </c>
      <c r="L844" s="443">
        <f t="shared" si="259"/>
        <v>1430.59</v>
      </c>
      <c r="M844" s="461" t="e">
        <f t="shared" si="260"/>
        <v>#N/A</v>
      </c>
      <c r="N844" s="464">
        <v>0</v>
      </c>
      <c r="O844" s="465">
        <v>0</v>
      </c>
      <c r="P844" s="465"/>
      <c r="Q844" s="465">
        <v>0</v>
      </c>
      <c r="R844" s="465">
        <v>1</v>
      </c>
      <c r="S844" s="465">
        <v>0</v>
      </c>
      <c r="T844" s="465">
        <v>0</v>
      </c>
      <c r="U844" s="479"/>
      <c r="V844" s="422"/>
      <c r="W844" s="422"/>
      <c r="X844" s="422"/>
      <c r="Y844" s="422"/>
      <c r="Z844" s="422"/>
    </row>
    <row r="845" ht="12.75" customHeight="1" spans="1:26">
      <c r="A845" s="422" t="str">
        <f t="shared" si="254"/>
        <v> 15.2 </v>
      </c>
      <c r="B845" s="423" t="str">
        <f t="shared" si="255"/>
        <v> 15.2 </v>
      </c>
      <c r="C845" s="441" t="s">
        <v>2298</v>
      </c>
      <c r="D845" s="442" t="s">
        <v>2299</v>
      </c>
      <c r="E845" s="441" t="s">
        <v>132</v>
      </c>
      <c r="F845" s="441" t="s">
        <v>2300</v>
      </c>
      <c r="G845" s="442" t="s">
        <v>134</v>
      </c>
      <c r="H845" s="443">
        <f t="shared" si="256"/>
        <v>1</v>
      </c>
      <c r="I845" s="443">
        <f>VLOOKUP(D845,'Orçamento Analitico'!D:L,9,FALSE())</f>
        <v>1254.48</v>
      </c>
      <c r="J845" s="443">
        <f t="shared" si="257"/>
        <v>1574.24</v>
      </c>
      <c r="K845" s="443">
        <f t="shared" si="258"/>
        <v>1254.48</v>
      </c>
      <c r="L845" s="443">
        <f t="shared" si="259"/>
        <v>1574.24</v>
      </c>
      <c r="M845" s="461" t="e">
        <f t="shared" si="260"/>
        <v>#N/A</v>
      </c>
      <c r="N845" s="464">
        <v>0</v>
      </c>
      <c r="O845" s="465">
        <v>0</v>
      </c>
      <c r="P845" s="465"/>
      <c r="Q845" s="465">
        <v>1</v>
      </c>
      <c r="R845" s="465">
        <v>0</v>
      </c>
      <c r="S845" s="465">
        <v>0</v>
      </c>
      <c r="T845" s="465">
        <v>0</v>
      </c>
      <c r="U845" s="479"/>
      <c r="V845" s="422"/>
      <c r="W845" s="422"/>
      <c r="X845" s="422"/>
      <c r="Y845" s="422"/>
      <c r="Z845" s="422"/>
    </row>
    <row r="846" ht="12.75" customHeight="1" spans="1:26">
      <c r="A846" s="422" t="str">
        <f t="shared" si="254"/>
        <v> 15.2 </v>
      </c>
      <c r="B846" s="423" t="str">
        <f t="shared" si="255"/>
        <v> 15.2 </v>
      </c>
      <c r="C846" s="441" t="s">
        <v>2301</v>
      </c>
      <c r="D846" s="442" t="s">
        <v>2302</v>
      </c>
      <c r="E846" s="441" t="s">
        <v>132</v>
      </c>
      <c r="F846" s="441" t="s">
        <v>2303</v>
      </c>
      <c r="G846" s="442" t="s">
        <v>134</v>
      </c>
      <c r="H846" s="443">
        <f t="shared" si="256"/>
        <v>2</v>
      </c>
      <c r="I846" s="443">
        <f>VLOOKUP(D846,'Orçamento Analitico'!D:L,9,FALSE())</f>
        <v>1292.08</v>
      </c>
      <c r="J846" s="443">
        <f t="shared" si="257"/>
        <v>1621.43</v>
      </c>
      <c r="K846" s="443">
        <f t="shared" si="258"/>
        <v>2584.16</v>
      </c>
      <c r="L846" s="443">
        <f t="shared" si="259"/>
        <v>3242.86</v>
      </c>
      <c r="M846" s="461" t="e">
        <f t="shared" si="260"/>
        <v>#N/A</v>
      </c>
      <c r="N846" s="464">
        <v>0</v>
      </c>
      <c r="O846" s="465">
        <v>2</v>
      </c>
      <c r="P846" s="465"/>
      <c r="Q846" s="465">
        <v>0</v>
      </c>
      <c r="R846" s="465">
        <v>0</v>
      </c>
      <c r="S846" s="465">
        <v>0</v>
      </c>
      <c r="T846" s="465">
        <v>0</v>
      </c>
      <c r="U846" s="479"/>
      <c r="V846" s="422"/>
      <c r="W846" s="422"/>
      <c r="X846" s="422"/>
      <c r="Y846" s="422"/>
      <c r="Z846" s="422"/>
    </row>
    <row r="847" ht="12.75" customHeight="1" spans="1:26">
      <c r="A847" s="422" t="str">
        <f t="shared" si="254"/>
        <v> 15.2 </v>
      </c>
      <c r="B847" s="423" t="str">
        <f t="shared" si="255"/>
        <v> 15.2 </v>
      </c>
      <c r="C847" s="441" t="s">
        <v>2304</v>
      </c>
      <c r="D847" s="442" t="s">
        <v>2305</v>
      </c>
      <c r="E847" s="441" t="s">
        <v>132</v>
      </c>
      <c r="F847" s="441" t="s">
        <v>2306</v>
      </c>
      <c r="G847" s="442" t="s">
        <v>134</v>
      </c>
      <c r="H847" s="443">
        <f t="shared" si="256"/>
        <v>1</v>
      </c>
      <c r="I847" s="443">
        <f>VLOOKUP(D847,'Orçamento Analitico'!D:L,9,FALSE())</f>
        <v>1330.8</v>
      </c>
      <c r="J847" s="443">
        <f t="shared" si="257"/>
        <v>1670.02</v>
      </c>
      <c r="K847" s="443">
        <f t="shared" si="258"/>
        <v>1330.8</v>
      </c>
      <c r="L847" s="443">
        <f t="shared" si="259"/>
        <v>1670.02</v>
      </c>
      <c r="M847" s="461" t="e">
        <f t="shared" si="260"/>
        <v>#N/A</v>
      </c>
      <c r="N847" s="464">
        <v>0</v>
      </c>
      <c r="O847" s="465">
        <v>1</v>
      </c>
      <c r="P847" s="465"/>
      <c r="Q847" s="465">
        <v>0</v>
      </c>
      <c r="R847" s="465">
        <v>0</v>
      </c>
      <c r="S847" s="465">
        <v>0</v>
      </c>
      <c r="T847" s="465">
        <v>0</v>
      </c>
      <c r="U847" s="479"/>
      <c r="V847" s="422"/>
      <c r="W847" s="422"/>
      <c r="X847" s="422"/>
      <c r="Y847" s="422"/>
      <c r="Z847" s="422"/>
    </row>
    <row r="848" ht="12.75" customHeight="1" spans="1:26">
      <c r="A848" s="422" t="str">
        <f t="shared" si="254"/>
        <v> 15.2 </v>
      </c>
      <c r="B848" s="423" t="str">
        <f t="shared" si="255"/>
        <v> 15.2 </v>
      </c>
      <c r="C848" s="441" t="s">
        <v>2307</v>
      </c>
      <c r="D848" s="442" t="s">
        <v>2308</v>
      </c>
      <c r="E848" s="441" t="s">
        <v>132</v>
      </c>
      <c r="F848" s="441" t="s">
        <v>2309</v>
      </c>
      <c r="G848" s="442" t="s">
        <v>134</v>
      </c>
      <c r="H848" s="443">
        <f t="shared" si="256"/>
        <v>1</v>
      </c>
      <c r="I848" s="443">
        <f>VLOOKUP(D848,'Orçamento Analitico'!D:L,9,FALSE())</f>
        <v>1365.86</v>
      </c>
      <c r="J848" s="443">
        <f t="shared" si="257"/>
        <v>1714.01</v>
      </c>
      <c r="K848" s="443">
        <f t="shared" si="258"/>
        <v>1365.86</v>
      </c>
      <c r="L848" s="443">
        <f t="shared" si="259"/>
        <v>1714.01</v>
      </c>
      <c r="M848" s="461" t="e">
        <f t="shared" si="260"/>
        <v>#N/A</v>
      </c>
      <c r="N848" s="464">
        <v>0</v>
      </c>
      <c r="O848" s="465">
        <v>0</v>
      </c>
      <c r="P848" s="465"/>
      <c r="Q848" s="465">
        <v>0</v>
      </c>
      <c r="R848" s="465">
        <v>1</v>
      </c>
      <c r="S848" s="465">
        <v>0</v>
      </c>
      <c r="T848" s="465">
        <v>0</v>
      </c>
      <c r="U848" s="479"/>
      <c r="V848" s="422"/>
      <c r="W848" s="422"/>
      <c r="X848" s="422"/>
      <c r="Y848" s="422"/>
      <c r="Z848" s="422"/>
    </row>
    <row r="849" ht="60.75" customHeight="1" spans="1:26">
      <c r="A849" s="422" t="str">
        <f t="shared" si="254"/>
        <v> 15.2 </v>
      </c>
      <c r="B849" s="423" t="str">
        <f t="shared" si="255"/>
        <v> 15.2 </v>
      </c>
      <c r="C849" s="441" t="s">
        <v>2310</v>
      </c>
      <c r="D849" s="442" t="s">
        <v>2311</v>
      </c>
      <c r="E849" s="441" t="s">
        <v>132</v>
      </c>
      <c r="F849" s="441" t="s">
        <v>2312</v>
      </c>
      <c r="G849" s="442" t="s">
        <v>134</v>
      </c>
      <c r="H849" s="443">
        <f t="shared" si="256"/>
        <v>1</v>
      </c>
      <c r="I849" s="443">
        <f>VLOOKUP(D849,'Orçamento Analitico'!D:L,9,FALSE())</f>
        <v>766.07</v>
      </c>
      <c r="J849" s="443">
        <f t="shared" si="257"/>
        <v>961.34</v>
      </c>
      <c r="K849" s="443">
        <f t="shared" si="258"/>
        <v>766.07</v>
      </c>
      <c r="L849" s="443">
        <f t="shared" si="259"/>
        <v>961.34</v>
      </c>
      <c r="M849" s="461" t="e">
        <f t="shared" si="260"/>
        <v>#N/A</v>
      </c>
      <c r="N849" s="464">
        <v>0</v>
      </c>
      <c r="O849" s="465"/>
      <c r="P849" s="465"/>
      <c r="Q849" s="465">
        <v>0</v>
      </c>
      <c r="R849" s="465">
        <v>1</v>
      </c>
      <c r="S849" s="465">
        <v>0</v>
      </c>
      <c r="T849" s="465">
        <v>0</v>
      </c>
      <c r="U849" s="479"/>
      <c r="V849" s="422"/>
      <c r="W849" s="422"/>
      <c r="X849" s="422"/>
      <c r="Y849" s="422"/>
      <c r="Z849" s="422"/>
    </row>
    <row r="850" ht="60.75" customHeight="1" spans="1:26">
      <c r="A850" s="422" t="str">
        <f t="shared" si="254"/>
        <v> 15.2 </v>
      </c>
      <c r="B850" s="423" t="str">
        <f t="shared" si="255"/>
        <v> 15.2 </v>
      </c>
      <c r="C850" s="441" t="s">
        <v>2313</v>
      </c>
      <c r="D850" s="442" t="s">
        <v>2314</v>
      </c>
      <c r="E850" s="441" t="s">
        <v>77</v>
      </c>
      <c r="F850" s="441" t="s">
        <v>2315</v>
      </c>
      <c r="G850" s="442" t="s">
        <v>134</v>
      </c>
      <c r="H850" s="443">
        <f t="shared" si="256"/>
        <v>1</v>
      </c>
      <c r="I850" s="443">
        <f>VLOOKUP(D850,'Orçamento Analitico'!D:L,9,FALSE())</f>
        <v>1032.01</v>
      </c>
      <c r="J850" s="443">
        <f t="shared" si="257"/>
        <v>1295.06</v>
      </c>
      <c r="K850" s="443">
        <f t="shared" si="258"/>
        <v>1032.01</v>
      </c>
      <c r="L850" s="443">
        <f t="shared" si="259"/>
        <v>1295.06</v>
      </c>
      <c r="M850" s="461" t="e">
        <f t="shared" si="260"/>
        <v>#N/A</v>
      </c>
      <c r="N850" s="464">
        <v>0</v>
      </c>
      <c r="O850" s="465"/>
      <c r="P850" s="465"/>
      <c r="Q850" s="465">
        <v>0</v>
      </c>
      <c r="R850" s="465">
        <v>1</v>
      </c>
      <c r="S850" s="465">
        <v>0</v>
      </c>
      <c r="T850" s="465">
        <v>0</v>
      </c>
      <c r="U850" s="479"/>
      <c r="V850" s="422"/>
      <c r="W850" s="422"/>
      <c r="X850" s="422"/>
      <c r="Y850" s="422"/>
      <c r="Z850" s="422"/>
    </row>
    <row r="851" ht="60.75" customHeight="1" spans="1:26">
      <c r="A851" s="422" t="str">
        <f t="shared" si="254"/>
        <v> 15.2 </v>
      </c>
      <c r="B851" s="423" t="str">
        <f t="shared" si="255"/>
        <v> 15.2 </v>
      </c>
      <c r="C851" s="441" t="s">
        <v>2316</v>
      </c>
      <c r="D851" s="442" t="s">
        <v>2317</v>
      </c>
      <c r="E851" s="441" t="s">
        <v>149</v>
      </c>
      <c r="F851" s="441" t="s">
        <v>2318</v>
      </c>
      <c r="G851" s="442" t="s">
        <v>134</v>
      </c>
      <c r="H851" s="443">
        <f t="shared" si="256"/>
        <v>4</v>
      </c>
      <c r="I851" s="443">
        <f>VLOOKUP(D851,'Orçamento Analitico'!D:L,9,FALSE())</f>
        <v>1478.74</v>
      </c>
      <c r="J851" s="443">
        <f t="shared" si="257"/>
        <v>1855.67</v>
      </c>
      <c r="K851" s="443">
        <f t="shared" si="258"/>
        <v>5914.96</v>
      </c>
      <c r="L851" s="443">
        <f t="shared" si="259"/>
        <v>7422.68</v>
      </c>
      <c r="M851" s="461" t="e">
        <f t="shared" si="260"/>
        <v>#N/A</v>
      </c>
      <c r="N851" s="464">
        <v>2</v>
      </c>
      <c r="O851" s="465"/>
      <c r="P851" s="465"/>
      <c r="Q851" s="465">
        <v>0</v>
      </c>
      <c r="R851" s="465">
        <v>2</v>
      </c>
      <c r="S851" s="465">
        <v>0</v>
      </c>
      <c r="T851" s="465">
        <v>0</v>
      </c>
      <c r="U851" s="479"/>
      <c r="V851" s="422"/>
      <c r="W851" s="422"/>
      <c r="X851" s="422"/>
      <c r="Y851" s="422"/>
      <c r="Z851" s="422"/>
    </row>
    <row r="852" ht="60.75" customHeight="1" spans="1:26">
      <c r="A852" s="422" t="str">
        <f t="shared" si="254"/>
        <v> 15.2 </v>
      </c>
      <c r="B852" s="423" t="str">
        <f t="shared" si="255"/>
        <v> 15.2 </v>
      </c>
      <c r="C852" s="441" t="s">
        <v>2319</v>
      </c>
      <c r="D852" s="442" t="s">
        <v>2320</v>
      </c>
      <c r="E852" s="441" t="s">
        <v>132</v>
      </c>
      <c r="F852" s="441" t="s">
        <v>2321</v>
      </c>
      <c r="G852" s="442" t="s">
        <v>134</v>
      </c>
      <c r="H852" s="443">
        <f t="shared" si="256"/>
        <v>1</v>
      </c>
      <c r="I852" s="443">
        <f>VLOOKUP(D852,'Orçamento Analitico'!D:L,9,FALSE())</f>
        <v>1970.86</v>
      </c>
      <c r="J852" s="443">
        <f t="shared" si="257"/>
        <v>2473.23</v>
      </c>
      <c r="K852" s="443">
        <f t="shared" si="258"/>
        <v>1970.86</v>
      </c>
      <c r="L852" s="443">
        <f t="shared" si="259"/>
        <v>2473.23</v>
      </c>
      <c r="M852" s="461" t="e">
        <f t="shared" si="260"/>
        <v>#N/A</v>
      </c>
      <c r="N852" s="464">
        <v>1</v>
      </c>
      <c r="O852" s="465"/>
      <c r="P852" s="465"/>
      <c r="Q852" s="465">
        <v>0</v>
      </c>
      <c r="R852" s="465">
        <v>0</v>
      </c>
      <c r="S852" s="465">
        <v>0</v>
      </c>
      <c r="T852" s="465">
        <v>0</v>
      </c>
      <c r="U852" s="479"/>
      <c r="V852" s="422"/>
      <c r="W852" s="422"/>
      <c r="X852" s="422"/>
      <c r="Y852" s="422"/>
      <c r="Z852" s="422"/>
    </row>
    <row r="853" ht="60.75" customHeight="1" spans="1:26">
      <c r="A853" s="422" t="str">
        <f t="shared" si="254"/>
        <v> 15.2 </v>
      </c>
      <c r="B853" s="423" t="str">
        <f t="shared" si="255"/>
        <v> 15.2 </v>
      </c>
      <c r="C853" s="441" t="s">
        <v>2322</v>
      </c>
      <c r="D853" s="442" t="s">
        <v>2323</v>
      </c>
      <c r="E853" s="441" t="s">
        <v>132</v>
      </c>
      <c r="F853" s="441" t="s">
        <v>2324</v>
      </c>
      <c r="G853" s="442" t="s">
        <v>134</v>
      </c>
      <c r="H853" s="443">
        <f t="shared" si="256"/>
        <v>1</v>
      </c>
      <c r="I853" s="443">
        <f>VLOOKUP(D853,'Orçamento Analitico'!D:L,9,FALSE())</f>
        <v>1970.86</v>
      </c>
      <c r="J853" s="443">
        <f t="shared" si="257"/>
        <v>2473.23</v>
      </c>
      <c r="K853" s="443">
        <f t="shared" si="258"/>
        <v>1970.86</v>
      </c>
      <c r="L853" s="443">
        <f t="shared" si="259"/>
        <v>2473.23</v>
      </c>
      <c r="M853" s="461" t="e">
        <f t="shared" si="260"/>
        <v>#N/A</v>
      </c>
      <c r="N853" s="464">
        <v>1</v>
      </c>
      <c r="O853" s="465"/>
      <c r="P853" s="465"/>
      <c r="Q853" s="465">
        <v>0</v>
      </c>
      <c r="R853" s="465">
        <v>0</v>
      </c>
      <c r="S853" s="465">
        <v>0</v>
      </c>
      <c r="T853" s="465">
        <v>0</v>
      </c>
      <c r="U853" s="479"/>
      <c r="V853" s="422"/>
      <c r="W853" s="422"/>
      <c r="X853" s="422"/>
      <c r="Y853" s="422"/>
      <c r="Z853" s="422"/>
    </row>
    <row r="854" ht="60.75" customHeight="1" spans="1:26">
      <c r="A854" s="422" t="str">
        <f t="shared" si="254"/>
        <v> 15.2 </v>
      </c>
      <c r="B854" s="423" t="str">
        <f t="shared" si="255"/>
        <v> 15.2 </v>
      </c>
      <c r="C854" s="441" t="s">
        <v>2325</v>
      </c>
      <c r="D854" s="442" t="s">
        <v>2326</v>
      </c>
      <c r="E854" s="441" t="s">
        <v>77</v>
      </c>
      <c r="F854" s="441" t="s">
        <v>2327</v>
      </c>
      <c r="G854" s="442" t="s">
        <v>134</v>
      </c>
      <c r="H854" s="443">
        <f t="shared" si="256"/>
        <v>2</v>
      </c>
      <c r="I854" s="443">
        <f>VLOOKUP(D854,'Orçamento Analitico'!D:L,9,FALSE())</f>
        <v>1912.73</v>
      </c>
      <c r="J854" s="443">
        <f t="shared" si="257"/>
        <v>2400.28</v>
      </c>
      <c r="K854" s="443">
        <f t="shared" si="258"/>
        <v>3825.46</v>
      </c>
      <c r="L854" s="443">
        <f t="shared" si="259"/>
        <v>4800.56</v>
      </c>
      <c r="M854" s="461" t="e">
        <f t="shared" si="260"/>
        <v>#N/A</v>
      </c>
      <c r="N854" s="464">
        <v>0</v>
      </c>
      <c r="O854" s="465"/>
      <c r="P854" s="465"/>
      <c r="Q854" s="465">
        <v>2</v>
      </c>
      <c r="R854" s="465">
        <v>0</v>
      </c>
      <c r="S854" s="465">
        <v>0</v>
      </c>
      <c r="T854" s="465">
        <v>0</v>
      </c>
      <c r="U854" s="479"/>
      <c r="V854" s="422"/>
      <c r="W854" s="422"/>
      <c r="X854" s="422"/>
      <c r="Y854" s="422"/>
      <c r="Z854" s="422"/>
    </row>
    <row r="855" ht="60.75" customHeight="1" spans="1:26">
      <c r="A855" s="422" t="str">
        <f t="shared" si="254"/>
        <v> 15.2 </v>
      </c>
      <c r="B855" s="423" t="str">
        <f t="shared" si="255"/>
        <v> 15.2 </v>
      </c>
      <c r="C855" s="441" t="s">
        <v>2328</v>
      </c>
      <c r="D855" s="442" t="s">
        <v>2329</v>
      </c>
      <c r="E855" s="441" t="s">
        <v>132</v>
      </c>
      <c r="F855" s="441" t="s">
        <v>2330</v>
      </c>
      <c r="G855" s="442" t="s">
        <v>134</v>
      </c>
      <c r="H855" s="443">
        <f t="shared" si="256"/>
        <v>1</v>
      </c>
      <c r="I855" s="443">
        <f>VLOOKUP(D855,'Orçamento Analitico'!D:L,9,FALSE())</f>
        <v>6394.99</v>
      </c>
      <c r="J855" s="443">
        <f t="shared" si="257"/>
        <v>8025.07</v>
      </c>
      <c r="K855" s="443">
        <f t="shared" si="258"/>
        <v>6394.99</v>
      </c>
      <c r="L855" s="443">
        <f t="shared" si="259"/>
        <v>8025.07</v>
      </c>
      <c r="M855" s="461" t="e">
        <f t="shared" si="260"/>
        <v>#N/A</v>
      </c>
      <c r="N855" s="464"/>
      <c r="O855" s="465"/>
      <c r="P855" s="465"/>
      <c r="Q855" s="465"/>
      <c r="R855" s="465"/>
      <c r="S855" s="465">
        <v>1</v>
      </c>
      <c r="T855" s="465"/>
      <c r="U855" s="479"/>
      <c r="V855" s="422"/>
      <c r="W855" s="422"/>
      <c r="X855" s="422"/>
      <c r="Y855" s="422"/>
      <c r="Z855" s="422"/>
    </row>
    <row r="856" ht="60.75" customHeight="1" spans="1:26">
      <c r="A856" s="422" t="str">
        <f t="shared" si="254"/>
        <v> 15.2 </v>
      </c>
      <c r="B856" s="423" t="str">
        <f t="shared" si="255"/>
        <v> 15.2 </v>
      </c>
      <c r="C856" s="441" t="s">
        <v>2331</v>
      </c>
      <c r="D856" s="442" t="s">
        <v>2332</v>
      </c>
      <c r="E856" s="441" t="s">
        <v>132</v>
      </c>
      <c r="F856" s="441" t="s">
        <v>2333</v>
      </c>
      <c r="G856" s="442" t="s">
        <v>134</v>
      </c>
      <c r="H856" s="443">
        <f t="shared" si="256"/>
        <v>1</v>
      </c>
      <c r="I856" s="443">
        <f>VLOOKUP(D856,'Orçamento Analitico'!D:L,9,FALSE())</f>
        <v>7033.42</v>
      </c>
      <c r="J856" s="443">
        <f t="shared" si="257"/>
        <v>8826.23</v>
      </c>
      <c r="K856" s="443">
        <f t="shared" si="258"/>
        <v>7033.42</v>
      </c>
      <c r="L856" s="443">
        <f t="shared" si="259"/>
        <v>8826.23</v>
      </c>
      <c r="M856" s="461" t="e">
        <f t="shared" si="260"/>
        <v>#N/A</v>
      </c>
      <c r="N856" s="464"/>
      <c r="O856" s="465"/>
      <c r="P856" s="465"/>
      <c r="Q856" s="465"/>
      <c r="R856" s="465"/>
      <c r="S856" s="465">
        <v>1</v>
      </c>
      <c r="T856" s="465"/>
      <c r="U856" s="479"/>
      <c r="V856" s="422"/>
      <c r="W856" s="422"/>
      <c r="X856" s="422"/>
      <c r="Y856" s="422"/>
      <c r="Z856" s="422"/>
    </row>
    <row r="857" ht="60.75" customHeight="1" spans="1:26">
      <c r="A857" s="422" t="str">
        <f t="shared" si="254"/>
        <v> 15.2 </v>
      </c>
      <c r="B857" s="423" t="str">
        <f t="shared" si="255"/>
        <v> 15.2 </v>
      </c>
      <c r="C857" s="441" t="s">
        <v>2334</v>
      </c>
      <c r="D857" s="442" t="s">
        <v>2335</v>
      </c>
      <c r="E857" s="441" t="s">
        <v>132</v>
      </c>
      <c r="F857" s="441" t="s">
        <v>2336</v>
      </c>
      <c r="G857" s="442" t="s">
        <v>134</v>
      </c>
      <c r="H857" s="443">
        <f t="shared" si="256"/>
        <v>24</v>
      </c>
      <c r="I857" s="443">
        <f>VLOOKUP(D857,'Orçamento Analitico'!D:L,9,FALSE())</f>
        <v>63.65</v>
      </c>
      <c r="J857" s="443">
        <f t="shared" si="257"/>
        <v>79.87</v>
      </c>
      <c r="K857" s="443">
        <f t="shared" si="258"/>
        <v>1527.6</v>
      </c>
      <c r="L857" s="443">
        <f t="shared" si="259"/>
        <v>1916.88</v>
      </c>
      <c r="M857" s="461" t="e">
        <f t="shared" si="260"/>
        <v>#N/A</v>
      </c>
      <c r="N857" s="464">
        <v>0</v>
      </c>
      <c r="O857" s="465"/>
      <c r="P857" s="465"/>
      <c r="Q857" s="465">
        <v>0</v>
      </c>
      <c r="R857" s="465">
        <v>24</v>
      </c>
      <c r="S857" s="465">
        <v>0</v>
      </c>
      <c r="T857" s="465">
        <v>0</v>
      </c>
      <c r="U857" s="479"/>
      <c r="V857" s="422"/>
      <c r="W857" s="422"/>
      <c r="X857" s="422"/>
      <c r="Y857" s="422"/>
      <c r="Z857" s="422"/>
    </row>
    <row r="858" ht="60.75" customHeight="1" spans="1:26">
      <c r="A858" s="422" t="str">
        <f t="shared" si="254"/>
        <v> 15.2 </v>
      </c>
      <c r="B858" s="423" t="str">
        <f t="shared" si="255"/>
        <v> 15.2 </v>
      </c>
      <c r="C858" s="441" t="s">
        <v>2337</v>
      </c>
      <c r="D858" s="442" t="s">
        <v>2338</v>
      </c>
      <c r="E858" s="441" t="s">
        <v>132</v>
      </c>
      <c r="F858" s="441" t="s">
        <v>2339</v>
      </c>
      <c r="G858" s="442" t="s">
        <v>134</v>
      </c>
      <c r="H858" s="443">
        <f t="shared" si="256"/>
        <v>37</v>
      </c>
      <c r="I858" s="443">
        <f>VLOOKUP(D858,'Orçamento Analitico'!D:L,9,FALSE())</f>
        <v>63.65</v>
      </c>
      <c r="J858" s="443">
        <f t="shared" si="257"/>
        <v>79.87</v>
      </c>
      <c r="K858" s="443">
        <f t="shared" si="258"/>
        <v>2355.05</v>
      </c>
      <c r="L858" s="443">
        <f t="shared" si="259"/>
        <v>2955.19</v>
      </c>
      <c r="M858" s="461" t="e">
        <f t="shared" si="260"/>
        <v>#N/A</v>
      </c>
      <c r="N858" s="464">
        <v>0</v>
      </c>
      <c r="O858" s="465"/>
      <c r="P858" s="465"/>
      <c r="Q858" s="465">
        <v>0</v>
      </c>
      <c r="R858" s="465">
        <v>37</v>
      </c>
      <c r="S858" s="465">
        <v>0</v>
      </c>
      <c r="T858" s="465">
        <v>0</v>
      </c>
      <c r="U858" s="479"/>
      <c r="V858" s="422"/>
      <c r="W858" s="422"/>
      <c r="X858" s="422"/>
      <c r="Y858" s="422"/>
      <c r="Z858" s="422"/>
    </row>
    <row r="859" ht="12.75" customHeight="1" spans="1:26">
      <c r="A859" s="422" t="str">
        <f t="shared" si="254"/>
        <v> 15.2 </v>
      </c>
      <c r="B859" s="423" t="str">
        <f t="shared" si="255"/>
        <v> 15.2 </v>
      </c>
      <c r="C859" s="441" t="s">
        <v>2340</v>
      </c>
      <c r="D859" s="442" t="s">
        <v>2341</v>
      </c>
      <c r="E859" s="441" t="s">
        <v>132</v>
      </c>
      <c r="F859" s="441" t="s">
        <v>2342</v>
      </c>
      <c r="G859" s="442" t="s">
        <v>134</v>
      </c>
      <c r="H859" s="443">
        <f t="shared" si="256"/>
        <v>76</v>
      </c>
      <c r="I859" s="443">
        <f>VLOOKUP(D859,'Orçamento Analitico'!D:L,9,FALSE())</f>
        <v>63.65</v>
      </c>
      <c r="J859" s="443">
        <f t="shared" si="257"/>
        <v>79.87</v>
      </c>
      <c r="K859" s="443">
        <f t="shared" si="258"/>
        <v>4837.4</v>
      </c>
      <c r="L859" s="443">
        <f t="shared" si="259"/>
        <v>6070.12</v>
      </c>
      <c r="M859" s="461" t="e">
        <f t="shared" si="260"/>
        <v>#N/A</v>
      </c>
      <c r="N859" s="464">
        <v>0</v>
      </c>
      <c r="O859" s="465"/>
      <c r="P859" s="465"/>
      <c r="Q859" s="465">
        <v>0</v>
      </c>
      <c r="R859" s="465">
        <v>76</v>
      </c>
      <c r="S859" s="465">
        <v>0</v>
      </c>
      <c r="T859" s="465">
        <v>0</v>
      </c>
      <c r="U859" s="479"/>
      <c r="V859" s="422"/>
      <c r="W859" s="422"/>
      <c r="X859" s="422"/>
      <c r="Y859" s="422"/>
      <c r="Z859" s="422"/>
    </row>
    <row r="860" ht="49.5" customHeight="1" spans="1:26">
      <c r="A860" s="422" t="str">
        <f t="shared" si="254"/>
        <v> 15.2 </v>
      </c>
      <c r="B860" s="423" t="str">
        <f t="shared" si="255"/>
        <v> 15.2 </v>
      </c>
      <c r="C860" s="441" t="s">
        <v>2343</v>
      </c>
      <c r="D860" s="442" t="s">
        <v>2344</v>
      </c>
      <c r="E860" s="441" t="s">
        <v>132</v>
      </c>
      <c r="F860" s="441" t="s">
        <v>2345</v>
      </c>
      <c r="G860" s="442" t="s">
        <v>134</v>
      </c>
      <c r="H860" s="443">
        <f t="shared" si="256"/>
        <v>9</v>
      </c>
      <c r="I860" s="443">
        <f>VLOOKUP(D860,'Orçamento Analitico'!D:L,9,FALSE())</f>
        <v>63.65</v>
      </c>
      <c r="J860" s="443">
        <f t="shared" si="257"/>
        <v>79.87</v>
      </c>
      <c r="K860" s="443">
        <f t="shared" si="258"/>
        <v>572.85</v>
      </c>
      <c r="L860" s="443">
        <f t="shared" si="259"/>
        <v>718.83</v>
      </c>
      <c r="M860" s="461" t="e">
        <f t="shared" si="260"/>
        <v>#N/A</v>
      </c>
      <c r="N860" s="464">
        <v>0</v>
      </c>
      <c r="O860" s="465"/>
      <c r="P860" s="465"/>
      <c r="Q860" s="465">
        <v>0</v>
      </c>
      <c r="R860" s="465">
        <v>9</v>
      </c>
      <c r="S860" s="465">
        <v>0</v>
      </c>
      <c r="T860" s="465">
        <v>0</v>
      </c>
      <c r="U860" s="479"/>
      <c r="V860" s="422"/>
      <c r="W860" s="422"/>
      <c r="X860" s="422"/>
      <c r="Y860" s="422"/>
      <c r="Z860" s="422"/>
    </row>
    <row r="861" ht="49.5" customHeight="1" spans="1:26">
      <c r="A861" s="422" t="str">
        <f t="shared" si="254"/>
        <v> 15.2 </v>
      </c>
      <c r="B861" s="423" t="str">
        <f t="shared" si="255"/>
        <v> 15.2 </v>
      </c>
      <c r="C861" s="441" t="s">
        <v>2346</v>
      </c>
      <c r="D861" s="442" t="s">
        <v>2347</v>
      </c>
      <c r="E861" s="441" t="s">
        <v>149</v>
      </c>
      <c r="F861" s="441" t="s">
        <v>2348</v>
      </c>
      <c r="G861" s="442" t="s">
        <v>134</v>
      </c>
      <c r="H861" s="443">
        <f t="shared" si="256"/>
        <v>22</v>
      </c>
      <c r="I861" s="443">
        <f>VLOOKUP(D861,'Orçamento Analitico'!D:L,9,FALSE())</f>
        <v>71.76</v>
      </c>
      <c r="J861" s="443">
        <f t="shared" si="257"/>
        <v>90.05</v>
      </c>
      <c r="K861" s="443">
        <f t="shared" si="258"/>
        <v>1578.72</v>
      </c>
      <c r="L861" s="443">
        <f t="shared" si="259"/>
        <v>1981.1</v>
      </c>
      <c r="M861" s="461" t="e">
        <f t="shared" si="260"/>
        <v>#N/A</v>
      </c>
      <c r="N861" s="464">
        <v>0</v>
      </c>
      <c r="O861" s="465"/>
      <c r="P861" s="465"/>
      <c r="Q861" s="465">
        <v>22</v>
      </c>
      <c r="R861" s="465">
        <v>0</v>
      </c>
      <c r="S861" s="465">
        <v>0</v>
      </c>
      <c r="T861" s="465">
        <v>0</v>
      </c>
      <c r="U861" s="479"/>
      <c r="V861" s="422"/>
      <c r="W861" s="422"/>
      <c r="X861" s="422"/>
      <c r="Y861" s="422"/>
      <c r="Z861" s="422"/>
    </row>
    <row r="862" ht="49.5" customHeight="1" spans="1:26">
      <c r="A862" s="422" t="str">
        <f t="shared" si="254"/>
        <v> 15.2 </v>
      </c>
      <c r="B862" s="423" t="str">
        <f t="shared" si="255"/>
        <v> 15.2 </v>
      </c>
      <c r="C862" s="441" t="s">
        <v>2349</v>
      </c>
      <c r="D862" s="442" t="s">
        <v>2350</v>
      </c>
      <c r="E862" s="441" t="s">
        <v>132</v>
      </c>
      <c r="F862" s="441" t="s">
        <v>2351</v>
      </c>
      <c r="G862" s="442" t="s">
        <v>134</v>
      </c>
      <c r="H862" s="443">
        <f t="shared" si="256"/>
        <v>10</v>
      </c>
      <c r="I862" s="443">
        <f>VLOOKUP(D862,'Orçamento Analitico'!D:L,9,FALSE())</f>
        <v>85.65</v>
      </c>
      <c r="J862" s="443">
        <f t="shared" si="257"/>
        <v>107.48</v>
      </c>
      <c r="K862" s="443">
        <f t="shared" si="258"/>
        <v>856.5</v>
      </c>
      <c r="L862" s="443">
        <f t="shared" si="259"/>
        <v>1074.8</v>
      </c>
      <c r="M862" s="461" t="e">
        <f t="shared" si="260"/>
        <v>#N/A</v>
      </c>
      <c r="N862" s="464">
        <v>0</v>
      </c>
      <c r="O862" s="465"/>
      <c r="P862" s="465"/>
      <c r="Q862" s="465">
        <v>10</v>
      </c>
      <c r="R862" s="465">
        <v>0</v>
      </c>
      <c r="S862" s="465">
        <v>0</v>
      </c>
      <c r="T862" s="465">
        <v>0</v>
      </c>
      <c r="U862" s="479"/>
      <c r="V862" s="422"/>
      <c r="W862" s="422"/>
      <c r="X862" s="422"/>
      <c r="Y862" s="422"/>
      <c r="Z862" s="422"/>
    </row>
    <row r="863" ht="49.5" customHeight="1" spans="1:26">
      <c r="A863" s="422" t="str">
        <f t="shared" si="254"/>
        <v> 15.2 </v>
      </c>
      <c r="B863" s="423" t="str">
        <f t="shared" si="255"/>
        <v> 15.2 </v>
      </c>
      <c r="C863" s="441" t="s">
        <v>2352</v>
      </c>
      <c r="D863" s="442" t="s">
        <v>2353</v>
      </c>
      <c r="E863" s="441" t="s">
        <v>132</v>
      </c>
      <c r="F863" s="441" t="s">
        <v>2354</v>
      </c>
      <c r="G863" s="442" t="s">
        <v>134</v>
      </c>
      <c r="H863" s="443">
        <f t="shared" si="256"/>
        <v>30</v>
      </c>
      <c r="I863" s="443">
        <f>VLOOKUP(D863,'Orçamento Analitico'!D:L,9,FALSE())</f>
        <v>86.65</v>
      </c>
      <c r="J863" s="443">
        <f t="shared" si="257"/>
        <v>108.73</v>
      </c>
      <c r="K863" s="443">
        <f t="shared" si="258"/>
        <v>2599.5</v>
      </c>
      <c r="L863" s="443">
        <f t="shared" si="259"/>
        <v>3261.9</v>
      </c>
      <c r="M863" s="461" t="e">
        <f t="shared" si="260"/>
        <v>#N/A</v>
      </c>
      <c r="N863" s="464">
        <v>0</v>
      </c>
      <c r="O863" s="465"/>
      <c r="P863" s="465"/>
      <c r="Q863" s="465">
        <v>30</v>
      </c>
      <c r="R863" s="465">
        <v>0</v>
      </c>
      <c r="S863" s="465">
        <v>0</v>
      </c>
      <c r="T863" s="465">
        <v>0</v>
      </c>
      <c r="U863" s="479"/>
      <c r="V863" s="422"/>
      <c r="W863" s="422"/>
      <c r="X863" s="422"/>
      <c r="Y863" s="422"/>
      <c r="Z863" s="422"/>
    </row>
    <row r="864" ht="49.5" customHeight="1" spans="1:26">
      <c r="A864" s="422" t="str">
        <f t="shared" si="254"/>
        <v> 15.2 </v>
      </c>
      <c r="B864" s="423" t="str">
        <f t="shared" si="255"/>
        <v> 15.2 </v>
      </c>
      <c r="C864" s="441" t="s">
        <v>2355</v>
      </c>
      <c r="D864" s="442" t="s">
        <v>2356</v>
      </c>
      <c r="E864" s="441" t="s">
        <v>132</v>
      </c>
      <c r="F864" s="441" t="s">
        <v>2357</v>
      </c>
      <c r="G864" s="442" t="s">
        <v>134</v>
      </c>
      <c r="H864" s="443">
        <f t="shared" si="256"/>
        <v>27</v>
      </c>
      <c r="I864" s="443">
        <f>VLOOKUP(D864,'Orçamento Analitico'!D:L,9,FALSE())</f>
        <v>87.65</v>
      </c>
      <c r="J864" s="443">
        <f t="shared" si="257"/>
        <v>109.99</v>
      </c>
      <c r="K864" s="443">
        <f t="shared" si="258"/>
        <v>2366.55</v>
      </c>
      <c r="L864" s="443">
        <f t="shared" si="259"/>
        <v>2969.73</v>
      </c>
      <c r="M864" s="461" t="e">
        <f t="shared" si="260"/>
        <v>#N/A</v>
      </c>
      <c r="N864" s="464">
        <v>0</v>
      </c>
      <c r="O864" s="465"/>
      <c r="P864" s="465"/>
      <c r="Q864" s="465">
        <v>27</v>
      </c>
      <c r="R864" s="465">
        <v>0</v>
      </c>
      <c r="S864" s="465">
        <v>0</v>
      </c>
      <c r="T864" s="465">
        <v>0</v>
      </c>
      <c r="U864" s="479"/>
      <c r="V864" s="422"/>
      <c r="W864" s="422"/>
      <c r="X864" s="422"/>
      <c r="Y864" s="422"/>
      <c r="Z864" s="422"/>
    </row>
    <row r="865" ht="49.5" customHeight="1" spans="1:26">
      <c r="A865" s="422" t="str">
        <f t="shared" si="254"/>
        <v> 15.2 </v>
      </c>
      <c r="B865" s="423" t="str">
        <f t="shared" si="255"/>
        <v> 15.2 </v>
      </c>
      <c r="C865" s="441" t="s">
        <v>2358</v>
      </c>
      <c r="D865" s="442" t="s">
        <v>2359</v>
      </c>
      <c r="E865" s="441" t="s">
        <v>149</v>
      </c>
      <c r="F865" s="441" t="s">
        <v>2360</v>
      </c>
      <c r="G865" s="442" t="s">
        <v>134</v>
      </c>
      <c r="H865" s="443">
        <f t="shared" si="256"/>
        <v>17</v>
      </c>
      <c r="I865" s="443">
        <f>VLOOKUP(D865,'Orçamento Analitico'!D:L,9,FALSE())</f>
        <v>87.36</v>
      </c>
      <c r="J865" s="443">
        <f t="shared" si="257"/>
        <v>109.62</v>
      </c>
      <c r="K865" s="443">
        <f t="shared" si="258"/>
        <v>1485.12</v>
      </c>
      <c r="L865" s="443">
        <f t="shared" si="259"/>
        <v>1863.54</v>
      </c>
      <c r="M865" s="461" t="e">
        <f t="shared" si="260"/>
        <v>#N/A</v>
      </c>
      <c r="N865" s="464">
        <v>0</v>
      </c>
      <c r="O865" s="465"/>
      <c r="P865" s="465"/>
      <c r="Q865" s="465">
        <v>17</v>
      </c>
      <c r="R865" s="465">
        <v>0</v>
      </c>
      <c r="S865" s="465">
        <v>0</v>
      </c>
      <c r="T865" s="465">
        <v>0</v>
      </c>
      <c r="U865" s="479"/>
      <c r="V865" s="422"/>
      <c r="W865" s="422"/>
      <c r="X865" s="422"/>
      <c r="Y865" s="422"/>
      <c r="Z865" s="422"/>
    </row>
    <row r="866" ht="49.5" customHeight="1" spans="1:26">
      <c r="A866" s="422" t="str">
        <f t="shared" si="254"/>
        <v> 15.2 </v>
      </c>
      <c r="B866" s="423" t="str">
        <f t="shared" si="255"/>
        <v> 15.2 </v>
      </c>
      <c r="C866" s="441" t="s">
        <v>2361</v>
      </c>
      <c r="D866" s="442" t="s">
        <v>2362</v>
      </c>
      <c r="E866" s="441" t="s">
        <v>132</v>
      </c>
      <c r="F866" s="441" t="s">
        <v>2363</v>
      </c>
      <c r="G866" s="442" t="s">
        <v>134</v>
      </c>
      <c r="H866" s="443">
        <f t="shared" si="256"/>
        <v>41</v>
      </c>
      <c r="I866" s="443">
        <f>VLOOKUP(D866,'Orçamento Analitico'!D:L,9,FALSE())</f>
        <v>99.65</v>
      </c>
      <c r="J866" s="443">
        <f t="shared" si="257"/>
        <v>125.05</v>
      </c>
      <c r="K866" s="443">
        <f t="shared" si="258"/>
        <v>4085.65</v>
      </c>
      <c r="L866" s="443">
        <f t="shared" si="259"/>
        <v>5127.05</v>
      </c>
      <c r="M866" s="461" t="e">
        <f t="shared" si="260"/>
        <v>#N/A</v>
      </c>
      <c r="N866" s="464">
        <v>0</v>
      </c>
      <c r="O866" s="465"/>
      <c r="P866" s="465"/>
      <c r="Q866" s="465">
        <v>41</v>
      </c>
      <c r="R866" s="465">
        <v>0</v>
      </c>
      <c r="S866" s="465">
        <v>0</v>
      </c>
      <c r="T866" s="465">
        <v>0</v>
      </c>
      <c r="U866" s="479"/>
      <c r="V866" s="422"/>
      <c r="W866" s="422"/>
      <c r="X866" s="422"/>
      <c r="Y866" s="422"/>
      <c r="Z866" s="422"/>
    </row>
    <row r="867" ht="49.5" customHeight="1" spans="1:26">
      <c r="A867" s="422" t="str">
        <f t="shared" si="254"/>
        <v> 15.2 </v>
      </c>
      <c r="B867" s="423" t="str">
        <f t="shared" si="255"/>
        <v> 15.2 </v>
      </c>
      <c r="C867" s="441" t="s">
        <v>2364</v>
      </c>
      <c r="D867" s="442" t="s">
        <v>2365</v>
      </c>
      <c r="E867" s="441" t="s">
        <v>132</v>
      </c>
      <c r="F867" s="441" t="s">
        <v>2366</v>
      </c>
      <c r="G867" s="442" t="s">
        <v>134</v>
      </c>
      <c r="H867" s="443">
        <f t="shared" si="256"/>
        <v>24</v>
      </c>
      <c r="I867" s="443">
        <f>VLOOKUP(D867,'Orçamento Analitico'!D:L,9,FALSE())</f>
        <v>65.61</v>
      </c>
      <c r="J867" s="443">
        <f t="shared" si="257"/>
        <v>82.33</v>
      </c>
      <c r="K867" s="443">
        <f t="shared" si="258"/>
        <v>1574.64</v>
      </c>
      <c r="L867" s="443">
        <f t="shared" si="259"/>
        <v>1975.92</v>
      </c>
      <c r="M867" s="461" t="e">
        <f t="shared" si="260"/>
        <v>#N/A</v>
      </c>
      <c r="N867" s="464">
        <v>0</v>
      </c>
      <c r="O867" s="465"/>
      <c r="P867" s="465"/>
      <c r="Q867" s="465">
        <v>0</v>
      </c>
      <c r="R867" s="465">
        <v>24</v>
      </c>
      <c r="S867" s="465">
        <v>0</v>
      </c>
      <c r="T867" s="465">
        <v>0</v>
      </c>
      <c r="U867" s="479"/>
      <c r="V867" s="422"/>
      <c r="W867" s="422"/>
      <c r="X867" s="422"/>
      <c r="Y867" s="422"/>
      <c r="Z867" s="422"/>
    </row>
    <row r="868" ht="49.5" customHeight="1" spans="1:26">
      <c r="A868" s="422" t="str">
        <f t="shared" si="254"/>
        <v> 15.2 </v>
      </c>
      <c r="B868" s="423" t="str">
        <f t="shared" si="255"/>
        <v> 15.2 </v>
      </c>
      <c r="C868" s="441" t="s">
        <v>2367</v>
      </c>
      <c r="D868" s="442" t="s">
        <v>2368</v>
      </c>
      <c r="E868" s="441" t="s">
        <v>132</v>
      </c>
      <c r="F868" s="441" t="s">
        <v>2369</v>
      </c>
      <c r="G868" s="442" t="s">
        <v>134</v>
      </c>
      <c r="H868" s="443">
        <f t="shared" si="256"/>
        <v>37</v>
      </c>
      <c r="I868" s="443">
        <f>VLOOKUP(D868,'Orçamento Analitico'!D:L,9,FALSE())</f>
        <v>63.65</v>
      </c>
      <c r="J868" s="443">
        <f t="shared" si="257"/>
        <v>79.87</v>
      </c>
      <c r="K868" s="443">
        <f t="shared" si="258"/>
        <v>2355.05</v>
      </c>
      <c r="L868" s="443">
        <f t="shared" si="259"/>
        <v>2955.19</v>
      </c>
      <c r="M868" s="461" t="e">
        <f t="shared" si="260"/>
        <v>#N/A</v>
      </c>
      <c r="N868" s="464">
        <v>0</v>
      </c>
      <c r="O868" s="465"/>
      <c r="P868" s="465"/>
      <c r="Q868" s="465">
        <v>0</v>
      </c>
      <c r="R868" s="465">
        <v>37</v>
      </c>
      <c r="S868" s="465">
        <v>0</v>
      </c>
      <c r="T868" s="465">
        <v>0</v>
      </c>
      <c r="U868" s="479"/>
      <c r="V868" s="422"/>
      <c r="W868" s="422"/>
      <c r="X868" s="422"/>
      <c r="Y868" s="422"/>
      <c r="Z868" s="422"/>
    </row>
    <row r="869" ht="12.75" customHeight="1" spans="1:26">
      <c r="A869" s="422" t="str">
        <f t="shared" si="254"/>
        <v> 15.2 </v>
      </c>
      <c r="B869" s="423" t="str">
        <f t="shared" si="255"/>
        <v> 15.2 </v>
      </c>
      <c r="C869" s="441" t="s">
        <v>2370</v>
      </c>
      <c r="D869" s="442" t="s">
        <v>2371</v>
      </c>
      <c r="E869" s="441" t="s">
        <v>132</v>
      </c>
      <c r="F869" s="441" t="s">
        <v>2372</v>
      </c>
      <c r="G869" s="442" t="s">
        <v>134</v>
      </c>
      <c r="H869" s="443">
        <f t="shared" si="256"/>
        <v>76</v>
      </c>
      <c r="I869" s="443">
        <f>VLOOKUP(D869,'Orçamento Analitico'!D:L,9,FALSE())</f>
        <v>63.65</v>
      </c>
      <c r="J869" s="443">
        <f t="shared" si="257"/>
        <v>79.87</v>
      </c>
      <c r="K869" s="443">
        <f t="shared" si="258"/>
        <v>4837.4</v>
      </c>
      <c r="L869" s="443">
        <f t="shared" si="259"/>
        <v>6070.12</v>
      </c>
      <c r="M869" s="461" t="e">
        <f t="shared" si="260"/>
        <v>#N/A</v>
      </c>
      <c r="N869" s="464"/>
      <c r="O869" s="465"/>
      <c r="P869" s="465"/>
      <c r="Q869" s="465"/>
      <c r="R869" s="465">
        <v>76</v>
      </c>
      <c r="S869" s="465">
        <v>0</v>
      </c>
      <c r="T869" s="465">
        <v>0</v>
      </c>
      <c r="U869" s="479"/>
      <c r="V869" s="422"/>
      <c r="W869" s="422"/>
      <c r="X869" s="422"/>
      <c r="Y869" s="422"/>
      <c r="Z869" s="422"/>
    </row>
    <row r="870" ht="12.75" customHeight="1" spans="1:26">
      <c r="A870" s="422" t="str">
        <f t="shared" si="254"/>
        <v> 15.2 </v>
      </c>
      <c r="B870" s="423" t="str">
        <f t="shared" si="255"/>
        <v> 15.2 </v>
      </c>
      <c r="C870" s="441" t="s">
        <v>2373</v>
      </c>
      <c r="D870" s="442" t="s">
        <v>2374</v>
      </c>
      <c r="E870" s="441" t="s">
        <v>132</v>
      </c>
      <c r="F870" s="441" t="s">
        <v>2375</v>
      </c>
      <c r="G870" s="442" t="s">
        <v>134</v>
      </c>
      <c r="H870" s="443">
        <f t="shared" si="256"/>
        <v>9</v>
      </c>
      <c r="I870" s="443">
        <f>VLOOKUP(D870,'Orçamento Analitico'!D:L,9,FALSE())</f>
        <v>63.65</v>
      </c>
      <c r="J870" s="443">
        <f t="shared" si="257"/>
        <v>79.87</v>
      </c>
      <c r="K870" s="443">
        <f t="shared" si="258"/>
        <v>572.85</v>
      </c>
      <c r="L870" s="443">
        <f t="shared" si="259"/>
        <v>718.83</v>
      </c>
      <c r="M870" s="461" t="e">
        <f t="shared" si="260"/>
        <v>#N/A</v>
      </c>
      <c r="N870" s="464">
        <v>0</v>
      </c>
      <c r="O870" s="465"/>
      <c r="P870" s="465"/>
      <c r="Q870" s="465">
        <v>0</v>
      </c>
      <c r="R870" s="465">
        <v>9</v>
      </c>
      <c r="S870" s="465">
        <v>0</v>
      </c>
      <c r="T870" s="465">
        <v>0</v>
      </c>
      <c r="U870" s="479"/>
      <c r="V870" s="422"/>
      <c r="W870" s="422"/>
      <c r="X870" s="422"/>
      <c r="Y870" s="422"/>
      <c r="Z870" s="422"/>
    </row>
    <row r="871" ht="49.5" customHeight="1" spans="1:26">
      <c r="A871" s="422" t="str">
        <f t="shared" ref="A871:A876" si="261">B871</f>
        <v> 15.2 </v>
      </c>
      <c r="B871" s="423" t="str">
        <f t="shared" ref="B871:B876" si="262">B870</f>
        <v> 15.2 </v>
      </c>
      <c r="C871" s="441" t="s">
        <v>2376</v>
      </c>
      <c r="D871" s="442" t="s">
        <v>2377</v>
      </c>
      <c r="E871" s="441" t="s">
        <v>149</v>
      </c>
      <c r="F871" s="441" t="s">
        <v>2378</v>
      </c>
      <c r="G871" s="442" t="s">
        <v>134</v>
      </c>
      <c r="H871" s="443">
        <f t="shared" ref="H871:H876" si="263">SUM(N871:T871)</f>
        <v>22</v>
      </c>
      <c r="I871" s="443">
        <f>VLOOKUP(D871,'Orçamento Analitico'!D:L,9,FALSE())</f>
        <v>64.76</v>
      </c>
      <c r="J871" s="443">
        <f t="shared" ref="J871:J876" si="264">ROUNDDOWN(I871*(1+$G$6),2)</f>
        <v>81.26</v>
      </c>
      <c r="K871" s="443">
        <f t="shared" ref="K871:K876" si="265">ROUNDDOWN(H871*I871,2)</f>
        <v>1424.72</v>
      </c>
      <c r="L871" s="443">
        <f t="shared" ref="L871:L876" si="266">ROUNDDOWN(H871*J871,2)</f>
        <v>1787.72</v>
      </c>
      <c r="M871" s="461" t="e">
        <f t="shared" si="260"/>
        <v>#N/A</v>
      </c>
      <c r="N871" s="464">
        <v>0</v>
      </c>
      <c r="O871" s="465"/>
      <c r="P871" s="465"/>
      <c r="Q871" s="465">
        <v>22</v>
      </c>
      <c r="R871" s="465">
        <v>0</v>
      </c>
      <c r="S871" s="465">
        <v>0</v>
      </c>
      <c r="T871" s="465">
        <v>0</v>
      </c>
      <c r="U871" s="479"/>
      <c r="V871" s="422"/>
      <c r="W871" s="422"/>
      <c r="X871" s="422"/>
      <c r="Y871" s="422"/>
      <c r="Z871" s="422"/>
    </row>
    <row r="872" ht="49.5" customHeight="1" spans="1:26">
      <c r="A872" s="422" t="str">
        <f t="shared" si="261"/>
        <v> 15.2 </v>
      </c>
      <c r="B872" s="423" t="str">
        <f t="shared" si="262"/>
        <v> 15.2 </v>
      </c>
      <c r="C872" s="441" t="s">
        <v>2379</v>
      </c>
      <c r="D872" s="442" t="s">
        <v>2380</v>
      </c>
      <c r="E872" s="441" t="s">
        <v>132</v>
      </c>
      <c r="F872" s="441" t="s">
        <v>2381</v>
      </c>
      <c r="G872" s="442" t="s">
        <v>134</v>
      </c>
      <c r="H872" s="443">
        <f t="shared" si="263"/>
        <v>10</v>
      </c>
      <c r="I872" s="443">
        <f>VLOOKUP(D872,'Orçamento Analitico'!D:L,9,FALSE())</f>
        <v>74.78</v>
      </c>
      <c r="J872" s="443">
        <f t="shared" si="264"/>
        <v>93.84</v>
      </c>
      <c r="K872" s="443">
        <f t="shared" si="265"/>
        <v>747.8</v>
      </c>
      <c r="L872" s="443">
        <f t="shared" si="266"/>
        <v>938.4</v>
      </c>
      <c r="M872" s="461" t="e">
        <f t="shared" si="260"/>
        <v>#N/A</v>
      </c>
      <c r="N872" s="464">
        <v>0</v>
      </c>
      <c r="O872" s="465"/>
      <c r="P872" s="465"/>
      <c r="Q872" s="465">
        <v>10</v>
      </c>
      <c r="R872" s="465">
        <v>0</v>
      </c>
      <c r="S872" s="465">
        <v>0</v>
      </c>
      <c r="T872" s="465">
        <v>0</v>
      </c>
      <c r="U872" s="479"/>
      <c r="V872" s="422"/>
      <c r="W872" s="422"/>
      <c r="X872" s="422"/>
      <c r="Y872" s="422"/>
      <c r="Z872" s="422"/>
    </row>
    <row r="873" ht="49.5" customHeight="1" spans="1:26">
      <c r="A873" s="422" t="str">
        <f t="shared" si="261"/>
        <v> 15.2 </v>
      </c>
      <c r="B873" s="423" t="str">
        <f t="shared" si="262"/>
        <v> 15.2 </v>
      </c>
      <c r="C873" s="441" t="s">
        <v>2382</v>
      </c>
      <c r="D873" s="442" t="s">
        <v>2383</v>
      </c>
      <c r="E873" s="441" t="s">
        <v>132</v>
      </c>
      <c r="F873" s="441" t="s">
        <v>2384</v>
      </c>
      <c r="G873" s="442" t="s">
        <v>134</v>
      </c>
      <c r="H873" s="443">
        <f t="shared" si="263"/>
        <v>30</v>
      </c>
      <c r="I873" s="443">
        <f>VLOOKUP(D873,'Orçamento Analitico'!D:L,9,FALSE())</f>
        <v>75.6</v>
      </c>
      <c r="J873" s="443">
        <f t="shared" si="264"/>
        <v>94.87</v>
      </c>
      <c r="K873" s="443">
        <f t="shared" si="265"/>
        <v>2268</v>
      </c>
      <c r="L873" s="443">
        <f t="shared" si="266"/>
        <v>2846.1</v>
      </c>
      <c r="M873" s="461" t="e">
        <f t="shared" si="260"/>
        <v>#N/A</v>
      </c>
      <c r="N873" s="464">
        <v>0</v>
      </c>
      <c r="O873" s="465"/>
      <c r="P873" s="465"/>
      <c r="Q873" s="465">
        <v>30</v>
      </c>
      <c r="R873" s="465">
        <v>0</v>
      </c>
      <c r="S873" s="465">
        <v>0</v>
      </c>
      <c r="T873" s="465">
        <v>0</v>
      </c>
      <c r="U873" s="479"/>
      <c r="V873" s="422"/>
      <c r="W873" s="422"/>
      <c r="X873" s="422"/>
      <c r="Y873" s="422"/>
      <c r="Z873" s="422"/>
    </row>
    <row r="874" ht="49.5" customHeight="1" spans="1:26">
      <c r="A874" s="422" t="str">
        <f t="shared" si="261"/>
        <v> 15.2 </v>
      </c>
      <c r="B874" s="423" t="str">
        <f t="shared" si="262"/>
        <v> 15.2 </v>
      </c>
      <c r="C874" s="441" t="s">
        <v>2385</v>
      </c>
      <c r="D874" s="442" t="s">
        <v>2386</v>
      </c>
      <c r="E874" s="441" t="s">
        <v>132</v>
      </c>
      <c r="F874" s="441" t="s">
        <v>2387</v>
      </c>
      <c r="G874" s="442" t="s">
        <v>134</v>
      </c>
      <c r="H874" s="443">
        <f t="shared" si="263"/>
        <v>27</v>
      </c>
      <c r="I874" s="443">
        <f>VLOOKUP(D874,'Orçamento Analitico'!D:L,9,FALSE())</f>
        <v>77.55</v>
      </c>
      <c r="J874" s="443">
        <f t="shared" si="264"/>
        <v>97.31</v>
      </c>
      <c r="K874" s="443">
        <f t="shared" si="265"/>
        <v>2093.85</v>
      </c>
      <c r="L874" s="443">
        <f t="shared" si="266"/>
        <v>2627.37</v>
      </c>
      <c r="M874" s="461" t="e">
        <f t="shared" si="260"/>
        <v>#N/A</v>
      </c>
      <c r="N874" s="464">
        <v>0</v>
      </c>
      <c r="O874" s="465"/>
      <c r="P874" s="465"/>
      <c r="Q874" s="465">
        <v>27</v>
      </c>
      <c r="R874" s="465">
        <v>0</v>
      </c>
      <c r="S874" s="465">
        <v>0</v>
      </c>
      <c r="T874" s="465">
        <v>0</v>
      </c>
      <c r="U874" s="479"/>
      <c r="V874" s="422"/>
      <c r="W874" s="422"/>
      <c r="X874" s="422"/>
      <c r="Y874" s="422"/>
      <c r="Z874" s="422"/>
    </row>
    <row r="875" ht="49.5" customHeight="1" spans="1:26">
      <c r="A875" s="422" t="str">
        <f t="shared" si="261"/>
        <v> 15.2 </v>
      </c>
      <c r="B875" s="423" t="str">
        <f t="shared" si="262"/>
        <v> 15.2 </v>
      </c>
      <c r="C875" s="441" t="s">
        <v>2388</v>
      </c>
      <c r="D875" s="442" t="s">
        <v>2389</v>
      </c>
      <c r="E875" s="441" t="s">
        <v>149</v>
      </c>
      <c r="F875" s="441" t="s">
        <v>2390</v>
      </c>
      <c r="G875" s="442" t="s">
        <v>134</v>
      </c>
      <c r="H875" s="443">
        <f t="shared" si="263"/>
        <v>17</v>
      </c>
      <c r="I875" s="443">
        <f>VLOOKUP(D875,'Orçamento Analitico'!D:L,9,FALSE())</f>
        <v>64.66</v>
      </c>
      <c r="J875" s="443">
        <f t="shared" si="264"/>
        <v>81.14</v>
      </c>
      <c r="K875" s="443">
        <f t="shared" si="265"/>
        <v>1099.22</v>
      </c>
      <c r="L875" s="443">
        <f t="shared" si="266"/>
        <v>1379.38</v>
      </c>
      <c r="M875" s="461" t="e">
        <f t="shared" si="260"/>
        <v>#N/A</v>
      </c>
      <c r="N875" s="464">
        <v>0</v>
      </c>
      <c r="O875" s="465"/>
      <c r="P875" s="465"/>
      <c r="Q875" s="465">
        <v>17</v>
      </c>
      <c r="R875" s="465">
        <v>0</v>
      </c>
      <c r="S875" s="465">
        <v>0</v>
      </c>
      <c r="T875" s="465">
        <v>0</v>
      </c>
      <c r="U875" s="479"/>
      <c r="V875" s="422"/>
      <c r="W875" s="422"/>
      <c r="X875" s="422"/>
      <c r="Y875" s="422"/>
      <c r="Z875" s="422"/>
    </row>
    <row r="876" ht="49.5" customHeight="1" spans="1:26">
      <c r="A876" s="422" t="str">
        <f t="shared" si="261"/>
        <v> 15.2 </v>
      </c>
      <c r="B876" s="423" t="str">
        <f t="shared" si="262"/>
        <v> 15.2 </v>
      </c>
      <c r="C876" s="441" t="s">
        <v>2391</v>
      </c>
      <c r="D876" s="442" t="s">
        <v>2392</v>
      </c>
      <c r="E876" s="441" t="s">
        <v>132</v>
      </c>
      <c r="F876" s="441" t="s">
        <v>2393</v>
      </c>
      <c r="G876" s="442" t="s">
        <v>134</v>
      </c>
      <c r="H876" s="443">
        <f t="shared" si="263"/>
        <v>41</v>
      </c>
      <c r="I876" s="443">
        <f>VLOOKUP(D876,'Orçamento Analitico'!D:L,9,FALSE())</f>
        <v>79.55</v>
      </c>
      <c r="J876" s="443">
        <f t="shared" si="264"/>
        <v>99.82</v>
      </c>
      <c r="K876" s="443">
        <f t="shared" si="265"/>
        <v>3261.55</v>
      </c>
      <c r="L876" s="443">
        <f t="shared" si="266"/>
        <v>4092.62</v>
      </c>
      <c r="M876" s="461" t="e">
        <f t="shared" si="260"/>
        <v>#N/A</v>
      </c>
      <c r="N876" s="464">
        <v>0</v>
      </c>
      <c r="O876" s="465"/>
      <c r="P876" s="465"/>
      <c r="Q876" s="465">
        <v>41</v>
      </c>
      <c r="R876" s="465">
        <v>0</v>
      </c>
      <c r="S876" s="465">
        <v>0</v>
      </c>
      <c r="T876" s="465">
        <v>0</v>
      </c>
      <c r="U876" s="479"/>
      <c r="V876" s="422"/>
      <c r="W876" s="422"/>
      <c r="X876" s="422"/>
      <c r="Y876" s="422"/>
      <c r="Z876" s="422"/>
    </row>
    <row r="877" ht="12.75" customHeight="1" spans="1:26">
      <c r="A877" s="422"/>
      <c r="B877" s="423" t="str">
        <f>C877</f>
        <v> 15.3 </v>
      </c>
      <c r="C877" s="444" t="s">
        <v>2394</v>
      </c>
      <c r="D877" s="445" t="s">
        <v>74</v>
      </c>
      <c r="E877" s="444"/>
      <c r="F877" s="444" t="s">
        <v>2395</v>
      </c>
      <c r="G877" s="445"/>
      <c r="H877" s="446"/>
      <c r="I877" s="446"/>
      <c r="J877" s="466"/>
      <c r="K877" s="466">
        <f>SUMIF(A:A,B877,K:K)</f>
        <v>296167.18</v>
      </c>
      <c r="L877" s="466">
        <f>SUMIF(A:A,C877,L:L)</f>
        <v>371619.23</v>
      </c>
      <c r="M877" s="467" t="e">
        <f t="shared" si="260"/>
        <v>#N/A</v>
      </c>
      <c r="N877" s="464"/>
      <c r="O877" s="465"/>
      <c r="P877" s="465"/>
      <c r="Q877" s="465"/>
      <c r="R877" s="465"/>
      <c r="S877" s="465"/>
      <c r="T877" s="465"/>
      <c r="U877" s="479"/>
      <c r="V877" s="422"/>
      <c r="W877" s="422"/>
      <c r="X877" s="422"/>
      <c r="Y877" s="422"/>
      <c r="Z877" s="422"/>
    </row>
    <row r="878" ht="27" customHeight="1" spans="1:26">
      <c r="A878" s="422" t="str">
        <f t="shared" ref="A878:A895" si="267">B878</f>
        <v> 15.3 </v>
      </c>
      <c r="B878" s="423" t="str">
        <f t="shared" ref="B878:B895" si="268">B877</f>
        <v> 15.3 </v>
      </c>
      <c r="C878" s="441" t="s">
        <v>2396</v>
      </c>
      <c r="D878" s="442" t="s">
        <v>2397</v>
      </c>
      <c r="E878" s="441" t="s">
        <v>132</v>
      </c>
      <c r="F878" s="441" t="s">
        <v>2398</v>
      </c>
      <c r="G878" s="442" t="s">
        <v>393</v>
      </c>
      <c r="H878" s="443">
        <f t="shared" ref="H878:H895" si="269">SUM(N878:T878)</f>
        <v>1115.23</v>
      </c>
      <c r="I878" s="443">
        <f>VLOOKUP(D878,'Orçamento Analitico'!D:L,9,FALSE())</f>
        <v>19.34</v>
      </c>
      <c r="J878" s="443">
        <f t="shared" ref="J878:J895" si="270">ROUNDDOWN(I878*(1+$G$6),2)</f>
        <v>24.26</v>
      </c>
      <c r="K878" s="443">
        <f t="shared" ref="K878:K895" si="271">ROUNDDOWN(H878*I878,2)</f>
        <v>21568.54</v>
      </c>
      <c r="L878" s="443">
        <f t="shared" ref="L878:L895" si="272">ROUNDDOWN(H878*J878,2)</f>
        <v>27055.47</v>
      </c>
      <c r="M878" s="461" t="e">
        <f t="shared" si="260"/>
        <v>#N/A</v>
      </c>
      <c r="N878" s="464"/>
      <c r="O878" s="465"/>
      <c r="P878" s="465"/>
      <c r="Q878" s="465"/>
      <c r="R878" s="465"/>
      <c r="S878" s="465">
        <v>1115.23</v>
      </c>
      <c r="T878" s="465"/>
      <c r="U878" s="479"/>
      <c r="V878" s="422"/>
      <c r="W878" s="422"/>
      <c r="X878" s="422"/>
      <c r="Y878" s="422"/>
      <c r="Z878" s="422"/>
    </row>
    <row r="879" ht="27" customHeight="1" spans="1:26">
      <c r="A879" s="422" t="str">
        <f t="shared" si="267"/>
        <v> 15.3 </v>
      </c>
      <c r="B879" s="423" t="str">
        <f t="shared" si="268"/>
        <v> 15.3 </v>
      </c>
      <c r="C879" s="441" t="s">
        <v>2399</v>
      </c>
      <c r="D879" s="442" t="s">
        <v>2400</v>
      </c>
      <c r="E879" s="441" t="s">
        <v>149</v>
      </c>
      <c r="F879" s="441" t="s">
        <v>2401</v>
      </c>
      <c r="G879" s="442" t="s">
        <v>393</v>
      </c>
      <c r="H879" s="443">
        <f t="shared" si="269"/>
        <v>1350.97</v>
      </c>
      <c r="I879" s="443">
        <f>VLOOKUP(D879,'Orçamento Analitico'!D:L,9,FALSE())</f>
        <v>17.97</v>
      </c>
      <c r="J879" s="443">
        <f t="shared" si="270"/>
        <v>22.55</v>
      </c>
      <c r="K879" s="443">
        <f t="shared" si="271"/>
        <v>24276.93</v>
      </c>
      <c r="L879" s="443">
        <f t="shared" si="272"/>
        <v>30464.37</v>
      </c>
      <c r="M879" s="461" t="e">
        <f t="shared" si="260"/>
        <v>#N/A</v>
      </c>
      <c r="N879" s="464">
        <v>0</v>
      </c>
      <c r="O879" s="465"/>
      <c r="P879" s="465"/>
      <c r="Q879" s="465">
        <v>299.57</v>
      </c>
      <c r="R879" s="465">
        <v>495</v>
      </c>
      <c r="S879" s="465">
        <v>556.4</v>
      </c>
      <c r="T879" s="465">
        <v>0</v>
      </c>
      <c r="U879" s="479"/>
      <c r="V879" s="422"/>
      <c r="W879" s="422"/>
      <c r="X879" s="422"/>
      <c r="Y879" s="422"/>
      <c r="Z879" s="422"/>
    </row>
    <row r="880" ht="27" customHeight="1" spans="1:26">
      <c r="A880" s="422" t="str">
        <f t="shared" si="267"/>
        <v> 15.3 </v>
      </c>
      <c r="B880" s="423" t="str">
        <f t="shared" si="268"/>
        <v> 15.3 </v>
      </c>
      <c r="C880" s="441" t="s">
        <v>2402</v>
      </c>
      <c r="D880" s="442" t="s">
        <v>2403</v>
      </c>
      <c r="E880" s="441" t="s">
        <v>149</v>
      </c>
      <c r="F880" s="441" t="s">
        <v>2404</v>
      </c>
      <c r="G880" s="442" t="s">
        <v>393</v>
      </c>
      <c r="H880" s="443">
        <f t="shared" si="269"/>
        <v>3301.27</v>
      </c>
      <c r="I880" s="443">
        <f>VLOOKUP(D880,'Orçamento Analitico'!D:L,9,FALSE())</f>
        <v>18.03</v>
      </c>
      <c r="J880" s="443">
        <f t="shared" si="270"/>
        <v>22.62</v>
      </c>
      <c r="K880" s="443">
        <f t="shared" si="271"/>
        <v>59521.89</v>
      </c>
      <c r="L880" s="443">
        <f t="shared" si="272"/>
        <v>74674.72</v>
      </c>
      <c r="M880" s="461" t="e">
        <f t="shared" si="260"/>
        <v>#N/A</v>
      </c>
      <c r="N880" s="464">
        <v>0</v>
      </c>
      <c r="O880" s="465"/>
      <c r="P880" s="465"/>
      <c r="Q880" s="465">
        <v>1631.87</v>
      </c>
      <c r="R880" s="465">
        <v>1620</v>
      </c>
      <c r="S880" s="465">
        <v>49.4</v>
      </c>
      <c r="T880" s="465">
        <v>0</v>
      </c>
      <c r="U880" s="479"/>
      <c r="V880" s="422"/>
      <c r="W880" s="422"/>
      <c r="X880" s="422"/>
      <c r="Y880" s="422"/>
      <c r="Z880" s="422"/>
    </row>
    <row r="881" ht="27" customHeight="1" spans="1:26">
      <c r="A881" s="422" t="str">
        <f t="shared" si="267"/>
        <v> 15.3 </v>
      </c>
      <c r="B881" s="423" t="str">
        <f t="shared" si="268"/>
        <v> 15.3 </v>
      </c>
      <c r="C881" s="441" t="s">
        <v>2405</v>
      </c>
      <c r="D881" s="442" t="s">
        <v>2406</v>
      </c>
      <c r="E881" s="441" t="s">
        <v>149</v>
      </c>
      <c r="F881" s="441" t="s">
        <v>2407</v>
      </c>
      <c r="G881" s="442" t="s">
        <v>393</v>
      </c>
      <c r="H881" s="443">
        <f t="shared" si="269"/>
        <v>2512.57</v>
      </c>
      <c r="I881" s="443">
        <f>VLOOKUP(D881,'Orçamento Analitico'!D:L,9,FALSE())</f>
        <v>17.97</v>
      </c>
      <c r="J881" s="443">
        <f t="shared" si="270"/>
        <v>22.55</v>
      </c>
      <c r="K881" s="443">
        <f t="shared" si="271"/>
        <v>45150.88</v>
      </c>
      <c r="L881" s="443">
        <f t="shared" si="272"/>
        <v>56658.45</v>
      </c>
      <c r="M881" s="461" t="e">
        <f t="shared" si="260"/>
        <v>#N/A</v>
      </c>
      <c r="N881" s="464">
        <v>0</v>
      </c>
      <c r="O881" s="465"/>
      <c r="P881" s="465"/>
      <c r="Q881" s="465">
        <v>1382.57</v>
      </c>
      <c r="R881" s="465">
        <v>1130</v>
      </c>
      <c r="S881" s="465">
        <v>0</v>
      </c>
      <c r="T881" s="465">
        <v>0</v>
      </c>
      <c r="U881" s="479"/>
      <c r="V881" s="422"/>
      <c r="W881" s="422"/>
      <c r="X881" s="422"/>
      <c r="Y881" s="422"/>
      <c r="Z881" s="422"/>
    </row>
    <row r="882" ht="27" customHeight="1" spans="1:26">
      <c r="A882" s="422" t="str">
        <f t="shared" si="267"/>
        <v> 15.3 </v>
      </c>
      <c r="B882" s="423" t="str">
        <f t="shared" si="268"/>
        <v> 15.3 </v>
      </c>
      <c r="C882" s="441" t="s">
        <v>2408</v>
      </c>
      <c r="D882" s="442" t="s">
        <v>2409</v>
      </c>
      <c r="E882" s="441" t="s">
        <v>149</v>
      </c>
      <c r="F882" s="441" t="s">
        <v>2410</v>
      </c>
      <c r="G882" s="442" t="s">
        <v>204</v>
      </c>
      <c r="H882" s="443">
        <f t="shared" si="269"/>
        <v>7.5</v>
      </c>
      <c r="I882" s="443">
        <f>VLOOKUP(D882,'Orçamento Analitico'!D:L,9,FALSE())</f>
        <v>40.48</v>
      </c>
      <c r="J882" s="443">
        <f t="shared" si="270"/>
        <v>50.79</v>
      </c>
      <c r="K882" s="443">
        <f t="shared" si="271"/>
        <v>303.6</v>
      </c>
      <c r="L882" s="443">
        <f t="shared" si="272"/>
        <v>380.92</v>
      </c>
      <c r="M882" s="461" t="e">
        <f t="shared" si="260"/>
        <v>#N/A</v>
      </c>
      <c r="N882" s="464">
        <v>0</v>
      </c>
      <c r="O882" s="465"/>
      <c r="P882" s="465"/>
      <c r="Q882" s="465">
        <v>7.5</v>
      </c>
      <c r="R882" s="465">
        <v>0</v>
      </c>
      <c r="S882" s="465">
        <v>0</v>
      </c>
      <c r="T882" s="465">
        <v>0</v>
      </c>
      <c r="U882" s="479"/>
      <c r="V882" s="422"/>
      <c r="W882" s="422"/>
      <c r="X882" s="422"/>
      <c r="Y882" s="422"/>
      <c r="Z882" s="422"/>
    </row>
    <row r="883" ht="27" customHeight="1" spans="1:26">
      <c r="A883" s="422" t="str">
        <f t="shared" si="267"/>
        <v> 15.3 </v>
      </c>
      <c r="B883" s="423" t="str">
        <f t="shared" si="268"/>
        <v> 15.3 </v>
      </c>
      <c r="C883" s="441" t="s">
        <v>2411</v>
      </c>
      <c r="D883" s="442" t="s">
        <v>2412</v>
      </c>
      <c r="E883" s="441" t="s">
        <v>149</v>
      </c>
      <c r="F883" s="441" t="s">
        <v>2413</v>
      </c>
      <c r="G883" s="442" t="s">
        <v>204</v>
      </c>
      <c r="H883" s="443">
        <f t="shared" si="269"/>
        <v>13.5</v>
      </c>
      <c r="I883" s="443">
        <f>VLOOKUP(D883,'Orçamento Analitico'!D:L,9,FALSE())</f>
        <v>138.96</v>
      </c>
      <c r="J883" s="443">
        <f t="shared" si="270"/>
        <v>174.38</v>
      </c>
      <c r="K883" s="443">
        <f t="shared" si="271"/>
        <v>1875.96</v>
      </c>
      <c r="L883" s="443">
        <f t="shared" si="272"/>
        <v>2354.13</v>
      </c>
      <c r="M883" s="461" t="e">
        <f t="shared" si="260"/>
        <v>#N/A</v>
      </c>
      <c r="N883" s="464">
        <v>0</v>
      </c>
      <c r="O883" s="465"/>
      <c r="P883" s="465"/>
      <c r="Q883" s="465">
        <v>13.5</v>
      </c>
      <c r="R883" s="465">
        <v>0</v>
      </c>
      <c r="S883" s="465">
        <v>0</v>
      </c>
      <c r="T883" s="465">
        <v>0</v>
      </c>
      <c r="U883" s="479"/>
      <c r="V883" s="422"/>
      <c r="W883" s="422"/>
      <c r="X883" s="422"/>
      <c r="Y883" s="422"/>
      <c r="Z883" s="422"/>
    </row>
    <row r="884" ht="27" customHeight="1" spans="1:26">
      <c r="A884" s="422" t="str">
        <f t="shared" si="267"/>
        <v> 15.3 </v>
      </c>
      <c r="B884" s="423" t="str">
        <f t="shared" si="268"/>
        <v> 15.3 </v>
      </c>
      <c r="C884" s="441" t="s">
        <v>2414</v>
      </c>
      <c r="D884" s="442" t="s">
        <v>2415</v>
      </c>
      <c r="E884" s="441" t="s">
        <v>149</v>
      </c>
      <c r="F884" s="441" t="s">
        <v>2416</v>
      </c>
      <c r="G884" s="442" t="s">
        <v>204</v>
      </c>
      <c r="H884" s="443">
        <f t="shared" si="269"/>
        <v>37.5</v>
      </c>
      <c r="I884" s="443">
        <f>VLOOKUP(D884,'Orçamento Analitico'!D:L,9,FALSE())</f>
        <v>41.99</v>
      </c>
      <c r="J884" s="443">
        <f t="shared" si="270"/>
        <v>52.69</v>
      </c>
      <c r="K884" s="443">
        <f t="shared" si="271"/>
        <v>1574.62</v>
      </c>
      <c r="L884" s="443">
        <f t="shared" si="272"/>
        <v>1975.87</v>
      </c>
      <c r="M884" s="461" t="e">
        <f t="shared" si="260"/>
        <v>#N/A</v>
      </c>
      <c r="N884" s="464">
        <v>0</v>
      </c>
      <c r="O884" s="465"/>
      <c r="P884" s="465"/>
      <c r="Q884" s="465">
        <v>37.5</v>
      </c>
      <c r="R884" s="465">
        <v>0</v>
      </c>
      <c r="S884" s="465">
        <v>0</v>
      </c>
      <c r="T884" s="465">
        <v>0</v>
      </c>
      <c r="U884" s="479"/>
      <c r="V884" s="422"/>
      <c r="W884" s="422"/>
      <c r="X884" s="422"/>
      <c r="Y884" s="422"/>
      <c r="Z884" s="422"/>
    </row>
    <row r="885" ht="27" customHeight="1" spans="1:26">
      <c r="A885" s="422" t="str">
        <f t="shared" si="267"/>
        <v> 15.3 </v>
      </c>
      <c r="B885" s="423" t="str">
        <f t="shared" si="268"/>
        <v> 15.3 </v>
      </c>
      <c r="C885" s="441" t="s">
        <v>2417</v>
      </c>
      <c r="D885" s="442" t="s">
        <v>2418</v>
      </c>
      <c r="E885" s="441" t="s">
        <v>149</v>
      </c>
      <c r="F885" s="441" t="s">
        <v>2419</v>
      </c>
      <c r="G885" s="442" t="s">
        <v>204</v>
      </c>
      <c r="H885" s="443">
        <f t="shared" si="269"/>
        <v>40.5</v>
      </c>
      <c r="I885" s="443">
        <f>VLOOKUP(D885,'Orçamento Analitico'!D:L,9,FALSE())</f>
        <v>55.94</v>
      </c>
      <c r="J885" s="443">
        <f t="shared" si="270"/>
        <v>70.19</v>
      </c>
      <c r="K885" s="443">
        <f t="shared" si="271"/>
        <v>2265.57</v>
      </c>
      <c r="L885" s="443">
        <f t="shared" si="272"/>
        <v>2842.69</v>
      </c>
      <c r="M885" s="461" t="e">
        <f t="shared" si="260"/>
        <v>#N/A</v>
      </c>
      <c r="N885" s="464">
        <v>0</v>
      </c>
      <c r="O885" s="465"/>
      <c r="P885" s="465"/>
      <c r="Q885" s="465">
        <v>40.5</v>
      </c>
      <c r="R885" s="465">
        <v>0</v>
      </c>
      <c r="S885" s="465">
        <v>0</v>
      </c>
      <c r="T885" s="465">
        <v>0</v>
      </c>
      <c r="U885" s="479"/>
      <c r="V885" s="422"/>
      <c r="W885" s="422"/>
      <c r="X885" s="422"/>
      <c r="Y885" s="422"/>
      <c r="Z885" s="422"/>
    </row>
    <row r="886" ht="27" customHeight="1" spans="1:26">
      <c r="A886" s="422" t="str">
        <f t="shared" si="267"/>
        <v> 15.3 </v>
      </c>
      <c r="B886" s="423" t="str">
        <f t="shared" si="268"/>
        <v> 15.3 </v>
      </c>
      <c r="C886" s="441" t="s">
        <v>2420</v>
      </c>
      <c r="D886" s="442" t="s">
        <v>2421</v>
      </c>
      <c r="E886" s="441" t="s">
        <v>149</v>
      </c>
      <c r="F886" s="441" t="s">
        <v>2422</v>
      </c>
      <c r="G886" s="442" t="s">
        <v>204</v>
      </c>
      <c r="H886" s="443">
        <f t="shared" si="269"/>
        <v>25.5</v>
      </c>
      <c r="I886" s="443">
        <f>VLOOKUP(D886,'Orçamento Analitico'!D:L,9,FALSE())</f>
        <v>47.68</v>
      </c>
      <c r="J886" s="443">
        <f t="shared" si="270"/>
        <v>59.83</v>
      </c>
      <c r="K886" s="443">
        <f t="shared" si="271"/>
        <v>1215.84</v>
      </c>
      <c r="L886" s="443">
        <f t="shared" si="272"/>
        <v>1525.66</v>
      </c>
      <c r="M886" s="461" t="e">
        <f t="shared" si="260"/>
        <v>#N/A</v>
      </c>
      <c r="N886" s="464">
        <v>0</v>
      </c>
      <c r="O886" s="465"/>
      <c r="P886" s="465"/>
      <c r="Q886" s="465">
        <v>25.5</v>
      </c>
      <c r="R886" s="465">
        <v>0</v>
      </c>
      <c r="S886" s="465">
        <v>0</v>
      </c>
      <c r="T886" s="465">
        <v>0</v>
      </c>
      <c r="U886" s="479"/>
      <c r="V886" s="422"/>
      <c r="W886" s="422"/>
      <c r="X886" s="422"/>
      <c r="Y886" s="422"/>
      <c r="Z886" s="422"/>
    </row>
    <row r="887" ht="12.75" customHeight="1" spans="1:26">
      <c r="A887" s="422" t="str">
        <f t="shared" si="267"/>
        <v> 15.3 </v>
      </c>
      <c r="B887" s="423" t="str">
        <f t="shared" si="268"/>
        <v> 15.3 </v>
      </c>
      <c r="C887" s="441" t="s">
        <v>2423</v>
      </c>
      <c r="D887" s="442" t="s">
        <v>2424</v>
      </c>
      <c r="E887" s="441" t="s">
        <v>132</v>
      </c>
      <c r="F887" s="441" t="s">
        <v>2425</v>
      </c>
      <c r="G887" s="442" t="s">
        <v>204</v>
      </c>
      <c r="H887" s="443">
        <f t="shared" si="269"/>
        <v>61.5</v>
      </c>
      <c r="I887" s="443">
        <f>VLOOKUP(D887,'Orçamento Analitico'!D:L,9,FALSE())</f>
        <v>80.03</v>
      </c>
      <c r="J887" s="443">
        <f t="shared" si="270"/>
        <v>100.42</v>
      </c>
      <c r="K887" s="443">
        <f t="shared" si="271"/>
        <v>4921.84</v>
      </c>
      <c r="L887" s="443">
        <f t="shared" si="272"/>
        <v>6175.83</v>
      </c>
      <c r="M887" s="461" t="e">
        <f t="shared" si="260"/>
        <v>#N/A</v>
      </c>
      <c r="N887" s="464">
        <v>0</v>
      </c>
      <c r="O887" s="465"/>
      <c r="P887" s="465"/>
      <c r="Q887" s="465">
        <v>61.5</v>
      </c>
      <c r="R887" s="465">
        <v>0</v>
      </c>
      <c r="S887" s="465">
        <v>0</v>
      </c>
      <c r="T887" s="465">
        <v>0</v>
      </c>
      <c r="U887" s="479"/>
      <c r="V887" s="422"/>
      <c r="W887" s="422"/>
      <c r="X887" s="422"/>
      <c r="Y887" s="422"/>
      <c r="Z887" s="422"/>
    </row>
    <row r="888" ht="12.75" customHeight="1" spans="1:26">
      <c r="A888" s="422" t="str">
        <f t="shared" si="267"/>
        <v> 15.3 </v>
      </c>
      <c r="B888" s="423" t="str">
        <f t="shared" si="268"/>
        <v> 15.3 </v>
      </c>
      <c r="C888" s="441" t="s">
        <v>2426</v>
      </c>
      <c r="D888" s="442" t="s">
        <v>2427</v>
      </c>
      <c r="E888" s="441" t="s">
        <v>132</v>
      </c>
      <c r="F888" s="441" t="s">
        <v>2428</v>
      </c>
      <c r="G888" s="442" t="s">
        <v>204</v>
      </c>
      <c r="H888" s="443">
        <f t="shared" si="269"/>
        <v>20</v>
      </c>
      <c r="I888" s="443">
        <f>VLOOKUP(D888,'Orçamento Analitico'!D:L,9,FALSE())</f>
        <v>30.94</v>
      </c>
      <c r="J888" s="443">
        <f t="shared" si="270"/>
        <v>38.82</v>
      </c>
      <c r="K888" s="443">
        <f t="shared" si="271"/>
        <v>618.8</v>
      </c>
      <c r="L888" s="443">
        <f t="shared" si="272"/>
        <v>776.4</v>
      </c>
      <c r="M888" s="461" t="e">
        <f t="shared" si="260"/>
        <v>#N/A</v>
      </c>
      <c r="N888" s="464">
        <v>0</v>
      </c>
      <c r="O888" s="465"/>
      <c r="P888" s="465"/>
      <c r="Q888" s="465">
        <v>0</v>
      </c>
      <c r="R888" s="465">
        <v>20</v>
      </c>
      <c r="S888" s="465">
        <v>0</v>
      </c>
      <c r="T888" s="465">
        <v>0</v>
      </c>
      <c r="U888" s="479"/>
      <c r="V888" s="422"/>
      <c r="W888" s="422"/>
      <c r="X888" s="422"/>
      <c r="Y888" s="422"/>
      <c r="Z888" s="422"/>
    </row>
    <row r="889" ht="12.75" customHeight="1" spans="1:26">
      <c r="A889" s="422" t="str">
        <f t="shared" si="267"/>
        <v> 15.3 </v>
      </c>
      <c r="B889" s="423" t="str">
        <f t="shared" si="268"/>
        <v> 15.3 </v>
      </c>
      <c r="C889" s="441" t="s">
        <v>2429</v>
      </c>
      <c r="D889" s="442" t="s">
        <v>2430</v>
      </c>
      <c r="E889" s="441" t="s">
        <v>132</v>
      </c>
      <c r="F889" s="441" t="s">
        <v>2431</v>
      </c>
      <c r="G889" s="442" t="s">
        <v>204</v>
      </c>
      <c r="H889" s="443">
        <f t="shared" si="269"/>
        <v>32</v>
      </c>
      <c r="I889" s="443">
        <f>VLOOKUP(D889,'Orçamento Analitico'!D:L,9,FALSE())</f>
        <v>30.94</v>
      </c>
      <c r="J889" s="443">
        <f t="shared" si="270"/>
        <v>38.82</v>
      </c>
      <c r="K889" s="443">
        <f t="shared" si="271"/>
        <v>990.08</v>
      </c>
      <c r="L889" s="443">
        <f t="shared" si="272"/>
        <v>1242.24</v>
      </c>
      <c r="M889" s="461" t="e">
        <f t="shared" si="260"/>
        <v>#N/A</v>
      </c>
      <c r="N889" s="464">
        <v>0</v>
      </c>
      <c r="O889" s="465"/>
      <c r="P889" s="465"/>
      <c r="Q889" s="465">
        <v>0</v>
      </c>
      <c r="R889" s="465">
        <v>32</v>
      </c>
      <c r="S889" s="465">
        <v>0</v>
      </c>
      <c r="T889" s="465">
        <v>0</v>
      </c>
      <c r="U889" s="479"/>
      <c r="V889" s="422"/>
      <c r="W889" s="422"/>
      <c r="X889" s="422"/>
      <c r="Y889" s="422"/>
      <c r="Z889" s="422"/>
    </row>
    <row r="890" ht="12.75" customHeight="1" spans="1:26">
      <c r="A890" s="422" t="str">
        <f t="shared" si="267"/>
        <v> 15.3 </v>
      </c>
      <c r="B890" s="423" t="str">
        <f t="shared" si="268"/>
        <v> 15.3 </v>
      </c>
      <c r="C890" s="441" t="s">
        <v>2432</v>
      </c>
      <c r="D890" s="442" t="s">
        <v>2433</v>
      </c>
      <c r="E890" s="441" t="s">
        <v>132</v>
      </c>
      <c r="F890" s="441" t="s">
        <v>2434</v>
      </c>
      <c r="G890" s="442" t="s">
        <v>204</v>
      </c>
      <c r="H890" s="443">
        <f t="shared" si="269"/>
        <v>3</v>
      </c>
      <c r="I890" s="443">
        <f>VLOOKUP(D890,'Orçamento Analitico'!D:L,9,FALSE())</f>
        <v>30.94</v>
      </c>
      <c r="J890" s="443">
        <f t="shared" si="270"/>
        <v>38.82</v>
      </c>
      <c r="K890" s="443">
        <f t="shared" si="271"/>
        <v>92.82</v>
      </c>
      <c r="L890" s="443">
        <f t="shared" si="272"/>
        <v>116.46</v>
      </c>
      <c r="M890" s="461" t="e">
        <f t="shared" si="260"/>
        <v>#N/A</v>
      </c>
      <c r="N890" s="464">
        <v>0</v>
      </c>
      <c r="O890" s="465"/>
      <c r="P890" s="465"/>
      <c r="Q890" s="465">
        <v>0</v>
      </c>
      <c r="R890" s="465">
        <v>3</v>
      </c>
      <c r="S890" s="465">
        <v>0</v>
      </c>
      <c r="T890" s="465">
        <v>0</v>
      </c>
      <c r="U890" s="479"/>
      <c r="V890" s="422"/>
      <c r="W890" s="422"/>
      <c r="X890" s="422"/>
      <c r="Y890" s="422"/>
      <c r="Z890" s="422"/>
    </row>
    <row r="891" ht="27" customHeight="1" spans="1:26">
      <c r="A891" s="422" t="str">
        <f t="shared" si="267"/>
        <v> 15.3 </v>
      </c>
      <c r="B891" s="423" t="str">
        <f t="shared" si="268"/>
        <v> 15.3 </v>
      </c>
      <c r="C891" s="441" t="s">
        <v>2435</v>
      </c>
      <c r="D891" s="442" t="s">
        <v>2436</v>
      </c>
      <c r="E891" s="441" t="s">
        <v>132</v>
      </c>
      <c r="F891" s="441" t="s">
        <v>2437</v>
      </c>
      <c r="G891" s="442" t="s">
        <v>204</v>
      </c>
      <c r="H891" s="443">
        <f t="shared" si="269"/>
        <v>20</v>
      </c>
      <c r="I891" s="443">
        <f>VLOOKUP(D891,'Orçamento Analitico'!D:L,9,FALSE())</f>
        <v>30.94</v>
      </c>
      <c r="J891" s="443">
        <f t="shared" si="270"/>
        <v>38.82</v>
      </c>
      <c r="K891" s="443">
        <f t="shared" si="271"/>
        <v>618.8</v>
      </c>
      <c r="L891" s="443">
        <f t="shared" si="272"/>
        <v>776.4</v>
      </c>
      <c r="M891" s="461" t="e">
        <f t="shared" si="260"/>
        <v>#N/A</v>
      </c>
      <c r="N891" s="464">
        <v>0</v>
      </c>
      <c r="O891" s="465"/>
      <c r="P891" s="465"/>
      <c r="Q891" s="465">
        <v>0</v>
      </c>
      <c r="R891" s="465">
        <v>20</v>
      </c>
      <c r="S891" s="465">
        <v>0</v>
      </c>
      <c r="T891" s="465">
        <v>0</v>
      </c>
      <c r="U891" s="479"/>
      <c r="V891" s="422"/>
      <c r="W891" s="422"/>
      <c r="X891" s="422"/>
      <c r="Y891" s="422"/>
      <c r="Z891" s="422"/>
    </row>
    <row r="892" ht="27" customHeight="1" spans="1:26">
      <c r="A892" s="422" t="str">
        <f t="shared" si="267"/>
        <v> 15.3 </v>
      </c>
      <c r="B892" s="423" t="str">
        <f t="shared" si="268"/>
        <v> 15.3 </v>
      </c>
      <c r="C892" s="441" t="s">
        <v>2438</v>
      </c>
      <c r="D892" s="442" t="s">
        <v>2439</v>
      </c>
      <c r="E892" s="441" t="s">
        <v>149</v>
      </c>
      <c r="F892" s="441" t="s">
        <v>2440</v>
      </c>
      <c r="G892" s="442" t="s">
        <v>204</v>
      </c>
      <c r="H892" s="443">
        <f t="shared" si="269"/>
        <v>25.5</v>
      </c>
      <c r="I892" s="443">
        <f>VLOOKUP(D892,'Orçamento Analitico'!D:L,9,FALSE())</f>
        <v>59.64</v>
      </c>
      <c r="J892" s="443">
        <f t="shared" si="270"/>
        <v>74.84</v>
      </c>
      <c r="K892" s="443">
        <f t="shared" si="271"/>
        <v>1520.82</v>
      </c>
      <c r="L892" s="443">
        <f t="shared" si="272"/>
        <v>1908.42</v>
      </c>
      <c r="M892" s="461" t="e">
        <f t="shared" si="260"/>
        <v>#N/A</v>
      </c>
      <c r="N892" s="464">
        <v>0</v>
      </c>
      <c r="O892" s="465"/>
      <c r="P892" s="465"/>
      <c r="Q892" s="465">
        <v>25.5</v>
      </c>
      <c r="R892" s="465">
        <v>0</v>
      </c>
      <c r="S892" s="465">
        <v>0</v>
      </c>
      <c r="T892" s="465">
        <v>0</v>
      </c>
      <c r="U892" s="479"/>
      <c r="V892" s="422"/>
      <c r="W892" s="422"/>
      <c r="X892" s="422"/>
      <c r="Y892" s="422"/>
      <c r="Z892" s="422"/>
    </row>
    <row r="893" ht="27" customHeight="1" spans="1:26">
      <c r="A893" s="422" t="str">
        <f t="shared" si="267"/>
        <v> 15.3 </v>
      </c>
      <c r="B893" s="423" t="str">
        <f t="shared" si="268"/>
        <v> 15.3 </v>
      </c>
      <c r="C893" s="441" t="s">
        <v>2441</v>
      </c>
      <c r="D893" s="442" t="s">
        <v>2442</v>
      </c>
      <c r="E893" s="441" t="s">
        <v>149</v>
      </c>
      <c r="F893" s="441" t="s">
        <v>2443</v>
      </c>
      <c r="G893" s="442" t="s">
        <v>204</v>
      </c>
      <c r="H893" s="443">
        <f t="shared" si="269"/>
        <v>1.5</v>
      </c>
      <c r="I893" s="443">
        <f>VLOOKUP(D893,'Orçamento Analitico'!D:L,9,FALSE())</f>
        <v>55.95</v>
      </c>
      <c r="J893" s="443">
        <f t="shared" si="270"/>
        <v>70.21</v>
      </c>
      <c r="K893" s="443">
        <f t="shared" si="271"/>
        <v>83.92</v>
      </c>
      <c r="L893" s="443">
        <f t="shared" si="272"/>
        <v>105.31</v>
      </c>
      <c r="M893" s="461" t="e">
        <f t="shared" si="260"/>
        <v>#N/A</v>
      </c>
      <c r="N893" s="464">
        <v>0</v>
      </c>
      <c r="O893" s="465"/>
      <c r="P893" s="465"/>
      <c r="Q893" s="465">
        <v>1.5</v>
      </c>
      <c r="R893" s="465">
        <v>0</v>
      </c>
      <c r="S893" s="465">
        <v>0</v>
      </c>
      <c r="T893" s="465">
        <v>0</v>
      </c>
      <c r="U893" s="479"/>
      <c r="V893" s="422"/>
      <c r="W893" s="422"/>
      <c r="X893" s="422"/>
      <c r="Y893" s="422"/>
      <c r="Z893" s="422"/>
    </row>
    <row r="894" ht="27" customHeight="1" spans="1:26">
      <c r="A894" s="422" t="str">
        <f t="shared" si="267"/>
        <v> 15.3 </v>
      </c>
      <c r="B894" s="423" t="str">
        <f t="shared" si="268"/>
        <v> 15.3 </v>
      </c>
      <c r="C894" s="441" t="s">
        <v>2444</v>
      </c>
      <c r="D894" s="442" t="s">
        <v>2445</v>
      </c>
      <c r="E894" s="441" t="s">
        <v>132</v>
      </c>
      <c r="F894" s="441" t="s">
        <v>2446</v>
      </c>
      <c r="G894" s="442" t="s">
        <v>204</v>
      </c>
      <c r="H894" s="443">
        <f t="shared" si="269"/>
        <v>7.5</v>
      </c>
      <c r="I894" s="443">
        <f>VLOOKUP(D894,'Orçamento Analitico'!D:L,9,FALSE())</f>
        <v>42.98</v>
      </c>
      <c r="J894" s="443">
        <f t="shared" si="270"/>
        <v>53.93</v>
      </c>
      <c r="K894" s="443">
        <f t="shared" si="271"/>
        <v>322.35</v>
      </c>
      <c r="L894" s="443">
        <f t="shared" si="272"/>
        <v>404.47</v>
      </c>
      <c r="M894" s="461" t="e">
        <f t="shared" si="260"/>
        <v>#N/A</v>
      </c>
      <c r="N894" s="464">
        <v>0</v>
      </c>
      <c r="O894" s="465"/>
      <c r="P894" s="465"/>
      <c r="Q894" s="465">
        <v>7.5</v>
      </c>
      <c r="R894" s="465">
        <v>0</v>
      </c>
      <c r="S894" s="465">
        <v>0</v>
      </c>
      <c r="T894" s="465">
        <v>0</v>
      </c>
      <c r="U894" s="479"/>
      <c r="V894" s="422"/>
      <c r="W894" s="422"/>
      <c r="X894" s="422"/>
      <c r="Y894" s="422"/>
      <c r="Z894" s="422"/>
    </row>
    <row r="895" ht="27" customHeight="1" spans="1:26">
      <c r="A895" s="422" t="str">
        <f t="shared" si="267"/>
        <v> 15.3 </v>
      </c>
      <c r="B895" s="423" t="str">
        <f t="shared" si="268"/>
        <v> 15.3 </v>
      </c>
      <c r="C895" s="441" t="s">
        <v>2447</v>
      </c>
      <c r="D895" s="442" t="s">
        <v>2448</v>
      </c>
      <c r="E895" s="441" t="s">
        <v>149</v>
      </c>
      <c r="F895" s="441" t="s">
        <v>2449</v>
      </c>
      <c r="G895" s="442" t="s">
        <v>141</v>
      </c>
      <c r="H895" s="443">
        <f t="shared" si="269"/>
        <v>1278.63</v>
      </c>
      <c r="I895" s="443">
        <f>VLOOKUP(D895,'Orçamento Analitico'!D:L,9,FALSE())</f>
        <v>101.08</v>
      </c>
      <c r="J895" s="443">
        <f t="shared" si="270"/>
        <v>126.84</v>
      </c>
      <c r="K895" s="443">
        <f t="shared" si="271"/>
        <v>129243.92</v>
      </c>
      <c r="L895" s="443">
        <f t="shared" si="272"/>
        <v>162181.42</v>
      </c>
      <c r="M895" s="461" t="e">
        <f t="shared" si="260"/>
        <v>#N/A</v>
      </c>
      <c r="N895" s="464">
        <f>ROUND(832.3875/6*2,2)</f>
        <v>277.46</v>
      </c>
      <c r="O895" s="465"/>
      <c r="P895" s="465"/>
      <c r="Q895" s="465">
        <v>581.19</v>
      </c>
      <c r="R895" s="465">
        <v>270</v>
      </c>
      <c r="S895" s="465">
        <v>149.98</v>
      </c>
      <c r="T895" s="465">
        <v>0</v>
      </c>
      <c r="U895" s="479"/>
      <c r="V895" s="422"/>
      <c r="W895" s="422"/>
      <c r="X895" s="422"/>
      <c r="Y895" s="422"/>
      <c r="Z895" s="422"/>
    </row>
    <row r="896" ht="12.75" customHeight="1" spans="1:26">
      <c r="A896" s="422"/>
      <c r="B896" s="423" t="str">
        <f>C896</f>
        <v> 15.4 </v>
      </c>
      <c r="C896" s="444" t="s">
        <v>2450</v>
      </c>
      <c r="D896" s="445" t="s">
        <v>74</v>
      </c>
      <c r="E896" s="444"/>
      <c r="F896" s="444" t="s">
        <v>2451</v>
      </c>
      <c r="G896" s="445"/>
      <c r="H896" s="446"/>
      <c r="I896" s="446"/>
      <c r="J896" s="466"/>
      <c r="K896" s="466">
        <f>SUMIF(A:A,B896,K:K)</f>
        <v>37661.11</v>
      </c>
      <c r="L896" s="466">
        <f>SUMIF(A:A,C896,L:L)</f>
        <v>47257.79</v>
      </c>
      <c r="M896" s="467" t="e">
        <f t="shared" si="260"/>
        <v>#N/A</v>
      </c>
      <c r="N896" s="464"/>
      <c r="O896" s="465"/>
      <c r="P896" s="465"/>
      <c r="Q896" s="465"/>
      <c r="R896" s="465"/>
      <c r="S896" s="465"/>
      <c r="T896" s="465"/>
      <c r="U896" s="479"/>
      <c r="V896" s="422"/>
      <c r="W896" s="422"/>
      <c r="X896" s="422"/>
      <c r="Y896" s="422"/>
      <c r="Z896" s="422"/>
    </row>
    <row r="897" ht="12.75" customHeight="1" spans="1:26">
      <c r="A897" s="422" t="str">
        <f t="shared" ref="A897:A904" si="273">B897</f>
        <v> 15.4 </v>
      </c>
      <c r="B897" s="423" t="str">
        <f t="shared" ref="B897:B904" si="274">B896</f>
        <v> 15.4 </v>
      </c>
      <c r="C897" s="441" t="s">
        <v>2452</v>
      </c>
      <c r="D897" s="442" t="s">
        <v>2453</v>
      </c>
      <c r="E897" s="441" t="s">
        <v>139</v>
      </c>
      <c r="F897" s="441" t="s">
        <v>2454</v>
      </c>
      <c r="G897" s="442" t="s">
        <v>204</v>
      </c>
      <c r="H897" s="443">
        <f t="shared" ref="H897:H904" si="275">SUM(N897:T897)</f>
        <v>57.6</v>
      </c>
      <c r="I897" s="443">
        <f>VLOOKUP(D897,'Orçamento Analitico'!D:L,9,FALSE())</f>
        <v>33.25</v>
      </c>
      <c r="J897" s="443">
        <f t="shared" ref="J897:J904" si="276">ROUNDDOWN(I897*(1+$G$6),2)</f>
        <v>41.72</v>
      </c>
      <c r="K897" s="443">
        <f t="shared" ref="K897:K904" si="277">ROUNDDOWN(H897*I897,2)</f>
        <v>1915.2</v>
      </c>
      <c r="L897" s="443">
        <f t="shared" ref="L897:L904" si="278">ROUNDDOWN(H897*J897,2)</f>
        <v>2403.07</v>
      </c>
      <c r="M897" s="461" t="e">
        <f t="shared" si="260"/>
        <v>#N/A</v>
      </c>
      <c r="N897" s="464">
        <v>40.8</v>
      </c>
      <c r="O897" s="465"/>
      <c r="P897" s="465"/>
      <c r="Q897" s="465">
        <v>16.8</v>
      </c>
      <c r="R897" s="465">
        <v>0</v>
      </c>
      <c r="S897" s="465">
        <v>0</v>
      </c>
      <c r="T897" s="465">
        <v>0</v>
      </c>
      <c r="U897" s="479"/>
      <c r="V897" s="422"/>
      <c r="W897" s="422"/>
      <c r="X897" s="422"/>
      <c r="Y897" s="422"/>
      <c r="Z897" s="422"/>
    </row>
    <row r="898" ht="12.75" customHeight="1" spans="1:26">
      <c r="A898" s="422" t="str">
        <f t="shared" si="273"/>
        <v> 15.4 </v>
      </c>
      <c r="B898" s="423" t="str">
        <f t="shared" si="274"/>
        <v> 15.4 </v>
      </c>
      <c r="C898" s="441" t="s">
        <v>2455</v>
      </c>
      <c r="D898" s="442" t="s">
        <v>2456</v>
      </c>
      <c r="E898" s="441" t="s">
        <v>139</v>
      </c>
      <c r="F898" s="441" t="s">
        <v>2457</v>
      </c>
      <c r="G898" s="442" t="s">
        <v>204</v>
      </c>
      <c r="H898" s="443">
        <f t="shared" si="275"/>
        <v>283.8</v>
      </c>
      <c r="I898" s="443">
        <f>VLOOKUP(D898,'Orçamento Analitico'!D:L,9,FALSE())</f>
        <v>52.04</v>
      </c>
      <c r="J898" s="443">
        <f t="shared" si="276"/>
        <v>65.3</v>
      </c>
      <c r="K898" s="443">
        <f t="shared" si="277"/>
        <v>14768.95</v>
      </c>
      <c r="L898" s="443">
        <f t="shared" si="278"/>
        <v>18532.14</v>
      </c>
      <c r="M898" s="461" t="e">
        <f t="shared" si="260"/>
        <v>#N/A</v>
      </c>
      <c r="N898" s="464">
        <f>159.6+84</f>
        <v>243.6</v>
      </c>
      <c r="O898" s="465"/>
      <c r="P898" s="465"/>
      <c r="Q898" s="465">
        <v>10.2</v>
      </c>
      <c r="R898" s="465"/>
      <c r="S898" s="465">
        <v>30</v>
      </c>
      <c r="T898" s="465"/>
      <c r="U898" s="479"/>
      <c r="V898" s="422"/>
      <c r="W898" s="422"/>
      <c r="X898" s="422"/>
      <c r="Y898" s="422"/>
      <c r="Z898" s="422"/>
    </row>
    <row r="899" ht="12.75" customHeight="1" spans="1:26">
      <c r="A899" s="422" t="str">
        <f t="shared" si="273"/>
        <v> 15.4 </v>
      </c>
      <c r="B899" s="423" t="str">
        <f t="shared" si="274"/>
        <v> 15.4 </v>
      </c>
      <c r="C899" s="441" t="s">
        <v>2458</v>
      </c>
      <c r="D899" s="442" t="s">
        <v>2459</v>
      </c>
      <c r="E899" s="441" t="s">
        <v>139</v>
      </c>
      <c r="F899" s="441" t="s">
        <v>2460</v>
      </c>
      <c r="G899" s="442" t="s">
        <v>204</v>
      </c>
      <c r="H899" s="443">
        <f t="shared" si="275"/>
        <v>69.6</v>
      </c>
      <c r="I899" s="443">
        <f>VLOOKUP(D899,'Orçamento Analitico'!D:L,9,FALSE())</f>
        <v>65.3</v>
      </c>
      <c r="J899" s="443">
        <f t="shared" si="276"/>
        <v>81.94</v>
      </c>
      <c r="K899" s="443">
        <f t="shared" si="277"/>
        <v>4544.88</v>
      </c>
      <c r="L899" s="443">
        <f t="shared" si="278"/>
        <v>5703.02</v>
      </c>
      <c r="M899" s="461" t="e">
        <f t="shared" si="260"/>
        <v>#N/A</v>
      </c>
      <c r="N899" s="464">
        <v>52.8</v>
      </c>
      <c r="O899" s="465"/>
      <c r="P899" s="465"/>
      <c r="Q899" s="465">
        <v>16.8</v>
      </c>
      <c r="R899" s="465">
        <v>0</v>
      </c>
      <c r="S899" s="465">
        <v>0</v>
      </c>
      <c r="T899" s="465"/>
      <c r="U899" s="479"/>
      <c r="V899" s="422"/>
      <c r="W899" s="422"/>
      <c r="X899" s="422"/>
      <c r="Y899" s="422"/>
      <c r="Z899" s="422"/>
    </row>
    <row r="900" ht="12.75" customHeight="1" spans="1:26">
      <c r="A900" s="422" t="str">
        <f t="shared" si="273"/>
        <v> 15.4 </v>
      </c>
      <c r="B900" s="423" t="str">
        <f t="shared" si="274"/>
        <v> 15.4 </v>
      </c>
      <c r="C900" s="441" t="s">
        <v>2461</v>
      </c>
      <c r="D900" s="442" t="s">
        <v>2462</v>
      </c>
      <c r="E900" s="441" t="s">
        <v>139</v>
      </c>
      <c r="F900" s="441" t="s">
        <v>2463</v>
      </c>
      <c r="G900" s="442" t="s">
        <v>204</v>
      </c>
      <c r="H900" s="443">
        <f t="shared" si="275"/>
        <v>75</v>
      </c>
      <c r="I900" s="443">
        <f>VLOOKUP(D900,'Orçamento Analitico'!D:L,9,FALSE())</f>
        <v>79.05</v>
      </c>
      <c r="J900" s="443">
        <f t="shared" si="276"/>
        <v>99.19</v>
      </c>
      <c r="K900" s="443">
        <f t="shared" si="277"/>
        <v>5928.75</v>
      </c>
      <c r="L900" s="443">
        <f t="shared" si="278"/>
        <v>7439.25</v>
      </c>
      <c r="M900" s="461" t="e">
        <f t="shared" si="260"/>
        <v>#N/A</v>
      </c>
      <c r="N900" s="464">
        <v>64.8</v>
      </c>
      <c r="O900" s="465"/>
      <c r="P900" s="465"/>
      <c r="Q900" s="465">
        <v>10.2</v>
      </c>
      <c r="R900" s="465">
        <v>0</v>
      </c>
      <c r="S900" s="465">
        <v>0</v>
      </c>
      <c r="T900" s="465"/>
      <c r="U900" s="479"/>
      <c r="V900" s="422"/>
      <c r="W900" s="422"/>
      <c r="X900" s="422"/>
      <c r="Y900" s="422"/>
      <c r="Z900" s="422"/>
    </row>
    <row r="901" ht="12.75" customHeight="1" spans="1:26">
      <c r="A901" s="422" t="str">
        <f t="shared" si="273"/>
        <v> 15.4 </v>
      </c>
      <c r="B901" s="423" t="str">
        <f t="shared" si="274"/>
        <v> 15.4 </v>
      </c>
      <c r="C901" s="441" t="s">
        <v>2464</v>
      </c>
      <c r="D901" s="442" t="s">
        <v>2465</v>
      </c>
      <c r="E901" s="441" t="s">
        <v>132</v>
      </c>
      <c r="F901" s="441" t="s">
        <v>2466</v>
      </c>
      <c r="G901" s="442" t="s">
        <v>204</v>
      </c>
      <c r="H901" s="443">
        <f t="shared" si="275"/>
        <v>10.8</v>
      </c>
      <c r="I901" s="443">
        <f>VLOOKUP(D901,'Orçamento Analitico'!D:L,9,FALSE())</f>
        <v>113.9</v>
      </c>
      <c r="J901" s="443">
        <f t="shared" si="276"/>
        <v>142.93</v>
      </c>
      <c r="K901" s="443">
        <f t="shared" si="277"/>
        <v>1230.12</v>
      </c>
      <c r="L901" s="443">
        <f t="shared" si="278"/>
        <v>1543.64</v>
      </c>
      <c r="M901" s="461" t="e">
        <f t="shared" si="260"/>
        <v>#N/A</v>
      </c>
      <c r="N901" s="464">
        <v>10.8</v>
      </c>
      <c r="O901" s="465"/>
      <c r="P901" s="465"/>
      <c r="Q901" s="465">
        <v>0</v>
      </c>
      <c r="R901" s="465">
        <v>0</v>
      </c>
      <c r="S901" s="465">
        <v>0</v>
      </c>
      <c r="T901" s="465"/>
      <c r="U901" s="479"/>
      <c r="V901" s="422"/>
      <c r="W901" s="422"/>
      <c r="X901" s="422"/>
      <c r="Y901" s="422"/>
      <c r="Z901" s="422"/>
    </row>
    <row r="902" ht="12.75" customHeight="1" spans="1:26">
      <c r="A902" s="422" t="str">
        <f t="shared" si="273"/>
        <v> 15.4 </v>
      </c>
      <c r="B902" s="423" t="str">
        <f t="shared" si="274"/>
        <v> 15.4 </v>
      </c>
      <c r="C902" s="441" t="s">
        <v>2467</v>
      </c>
      <c r="D902" s="442" t="s">
        <v>2468</v>
      </c>
      <c r="E902" s="441" t="s">
        <v>132</v>
      </c>
      <c r="F902" s="441" t="s">
        <v>2469</v>
      </c>
      <c r="G902" s="442" t="s">
        <v>204</v>
      </c>
      <c r="H902" s="443">
        <f t="shared" si="275"/>
        <v>12</v>
      </c>
      <c r="I902" s="443">
        <f>VLOOKUP(D902,'Orçamento Analitico'!D:L,9,FALSE())</f>
        <v>132.93</v>
      </c>
      <c r="J902" s="443">
        <f t="shared" si="276"/>
        <v>166.81</v>
      </c>
      <c r="K902" s="443">
        <f t="shared" si="277"/>
        <v>1595.16</v>
      </c>
      <c r="L902" s="443">
        <f t="shared" si="278"/>
        <v>2001.72</v>
      </c>
      <c r="M902" s="461" t="e">
        <f t="shared" si="260"/>
        <v>#N/A</v>
      </c>
      <c r="N902" s="464">
        <v>12</v>
      </c>
      <c r="O902" s="465"/>
      <c r="P902" s="465"/>
      <c r="Q902" s="465">
        <v>0</v>
      </c>
      <c r="R902" s="465">
        <v>0</v>
      </c>
      <c r="S902" s="465">
        <v>0</v>
      </c>
      <c r="T902" s="465"/>
      <c r="U902" s="479"/>
      <c r="V902" s="422"/>
      <c r="W902" s="422"/>
      <c r="X902" s="422"/>
      <c r="Y902" s="422"/>
      <c r="Z902" s="422"/>
    </row>
    <row r="903" ht="12.75" customHeight="1" spans="1:26">
      <c r="A903" s="422" t="str">
        <f t="shared" si="273"/>
        <v> 15.4 </v>
      </c>
      <c r="B903" s="423" t="str">
        <f t="shared" si="274"/>
        <v> 15.4 </v>
      </c>
      <c r="C903" s="441" t="s">
        <v>2470</v>
      </c>
      <c r="D903" s="442" t="s">
        <v>2471</v>
      </c>
      <c r="E903" s="441" t="s">
        <v>132</v>
      </c>
      <c r="F903" s="441" t="s">
        <v>2472</v>
      </c>
      <c r="G903" s="442" t="s">
        <v>204</v>
      </c>
      <c r="H903" s="443">
        <f t="shared" si="275"/>
        <v>30</v>
      </c>
      <c r="I903" s="443">
        <f>VLOOKUP(D903,'Orçamento Analitico'!D:L,9,FALSE())</f>
        <v>132.93</v>
      </c>
      <c r="J903" s="443">
        <f t="shared" si="276"/>
        <v>166.81</v>
      </c>
      <c r="K903" s="443">
        <f t="shared" si="277"/>
        <v>3987.9</v>
      </c>
      <c r="L903" s="443">
        <f t="shared" si="278"/>
        <v>5004.3</v>
      </c>
      <c r="M903" s="461" t="e">
        <f t="shared" si="260"/>
        <v>#N/A</v>
      </c>
      <c r="N903" s="464"/>
      <c r="O903" s="465"/>
      <c r="P903" s="465"/>
      <c r="Q903" s="465"/>
      <c r="R903" s="465"/>
      <c r="S903" s="465">
        <v>30</v>
      </c>
      <c r="T903" s="465"/>
      <c r="U903" s="479"/>
      <c r="V903" s="422"/>
      <c r="W903" s="422"/>
      <c r="X903" s="422"/>
      <c r="Y903" s="422"/>
      <c r="Z903" s="422"/>
    </row>
    <row r="904" ht="12.75" customHeight="1" spans="1:26">
      <c r="A904" s="422" t="str">
        <f t="shared" si="273"/>
        <v> 15.4 </v>
      </c>
      <c r="B904" s="423" t="str">
        <f t="shared" si="274"/>
        <v> 15.4 </v>
      </c>
      <c r="C904" s="441" t="s">
        <v>2473</v>
      </c>
      <c r="D904" s="442" t="s">
        <v>2474</v>
      </c>
      <c r="E904" s="441" t="s">
        <v>149</v>
      </c>
      <c r="F904" s="441" t="s">
        <v>2475</v>
      </c>
      <c r="G904" s="442" t="s">
        <v>141</v>
      </c>
      <c r="H904" s="443">
        <f t="shared" si="275"/>
        <v>15</v>
      </c>
      <c r="I904" s="443">
        <f>VLOOKUP(D904,'Orçamento Analitico'!D:L,9,FALSE())</f>
        <v>246.01</v>
      </c>
      <c r="J904" s="443">
        <f t="shared" si="276"/>
        <v>308.71</v>
      </c>
      <c r="K904" s="443">
        <f t="shared" si="277"/>
        <v>3690.15</v>
      </c>
      <c r="L904" s="443">
        <f t="shared" si="278"/>
        <v>4630.65</v>
      </c>
      <c r="M904" s="461" t="e">
        <f t="shared" ref="M904:M967" si="279">K904/$L$1062</f>
        <v>#N/A</v>
      </c>
      <c r="N904" s="464">
        <v>12</v>
      </c>
      <c r="O904" s="465"/>
      <c r="P904" s="465"/>
      <c r="Q904" s="465">
        <v>3</v>
      </c>
      <c r="R904" s="465">
        <v>0</v>
      </c>
      <c r="S904" s="465">
        <v>0</v>
      </c>
      <c r="T904" s="465">
        <v>0</v>
      </c>
      <c r="U904" s="479"/>
      <c r="V904" s="422"/>
      <c r="W904" s="422"/>
      <c r="X904" s="422"/>
      <c r="Y904" s="422"/>
      <c r="Z904" s="422"/>
    </row>
    <row r="905" ht="12.75" customHeight="1" spans="1:26">
      <c r="A905" s="422"/>
      <c r="B905" s="423" t="str">
        <f>C905</f>
        <v> 15.5 </v>
      </c>
      <c r="C905" s="444" t="s">
        <v>2476</v>
      </c>
      <c r="D905" s="445" t="s">
        <v>74</v>
      </c>
      <c r="E905" s="444"/>
      <c r="F905" s="444" t="s">
        <v>2477</v>
      </c>
      <c r="G905" s="445"/>
      <c r="H905" s="446"/>
      <c r="I905" s="446"/>
      <c r="J905" s="466"/>
      <c r="K905" s="466" t="e">
        <f>SUMIF(A:A,B905,K:K)</f>
        <v>#N/A</v>
      </c>
      <c r="L905" s="466" t="e">
        <f>SUMIF(A:A,C905,L:L)</f>
        <v>#N/A</v>
      </c>
      <c r="M905" s="467" t="e">
        <f t="shared" si="279"/>
        <v>#N/A</v>
      </c>
      <c r="N905" s="464"/>
      <c r="O905" s="465"/>
      <c r="P905" s="465"/>
      <c r="Q905" s="465"/>
      <c r="R905" s="465"/>
      <c r="S905" s="465"/>
      <c r="T905" s="465"/>
      <c r="U905" s="479"/>
      <c r="V905" s="422"/>
      <c r="W905" s="422"/>
      <c r="X905" s="422"/>
      <c r="Y905" s="422"/>
      <c r="Z905" s="422"/>
    </row>
    <row r="906" ht="12.75" customHeight="1" spans="1:26">
      <c r="A906" s="422" t="str">
        <f t="shared" ref="A906:A950" si="280">B906</f>
        <v> 15.5 </v>
      </c>
      <c r="B906" s="423" t="str">
        <f t="shared" ref="B906:B950" si="281">B905</f>
        <v> 15.5 </v>
      </c>
      <c r="C906" s="441" t="s">
        <v>2478</v>
      </c>
      <c r="D906" s="442" t="s">
        <v>2479</v>
      </c>
      <c r="E906" s="441" t="s">
        <v>139</v>
      </c>
      <c r="F906" s="441" t="s">
        <v>2480</v>
      </c>
      <c r="G906" s="442" t="s">
        <v>134</v>
      </c>
      <c r="H906" s="443">
        <f t="shared" ref="H906:H950" si="282">SUM(N906:T906)</f>
        <v>33</v>
      </c>
      <c r="I906" s="443">
        <f>VLOOKUP(D906,'Orçamento Analitico'!D:L,9,FALSE())</f>
        <v>50.3</v>
      </c>
      <c r="J906" s="443">
        <f t="shared" ref="J906:J950" si="283">ROUNDDOWN(I906*(1+$G$6),2)</f>
        <v>63.12</v>
      </c>
      <c r="K906" s="443">
        <f t="shared" ref="K906:K950" si="284">ROUNDDOWN(H906*I906,2)</f>
        <v>1659.9</v>
      </c>
      <c r="L906" s="443">
        <f t="shared" ref="L906:L950" si="285">ROUNDDOWN(H906*J906,2)</f>
        <v>2082.96</v>
      </c>
      <c r="M906" s="461" t="e">
        <f t="shared" si="279"/>
        <v>#N/A</v>
      </c>
      <c r="N906" s="464">
        <v>0</v>
      </c>
      <c r="O906" s="465"/>
      <c r="P906" s="465"/>
      <c r="Q906" s="465">
        <v>1</v>
      </c>
      <c r="R906" s="465">
        <v>32</v>
      </c>
      <c r="S906" s="465">
        <v>0</v>
      </c>
      <c r="T906" s="465">
        <v>0</v>
      </c>
      <c r="U906" s="479"/>
      <c r="V906" s="422"/>
      <c r="W906" s="422"/>
      <c r="X906" s="422"/>
      <c r="Y906" s="422"/>
      <c r="Z906" s="422"/>
    </row>
    <row r="907" ht="12.75" customHeight="1" spans="1:26">
      <c r="A907" s="422" t="str">
        <f t="shared" si="280"/>
        <v> 15.5 </v>
      </c>
      <c r="B907" s="423" t="str">
        <f t="shared" si="281"/>
        <v> 15.5 </v>
      </c>
      <c r="C907" s="441" t="s">
        <v>2481</v>
      </c>
      <c r="D907" s="442" t="s">
        <v>2482</v>
      </c>
      <c r="E907" s="441" t="s">
        <v>139</v>
      </c>
      <c r="F907" s="441" t="s">
        <v>2483</v>
      </c>
      <c r="G907" s="442" t="s">
        <v>134</v>
      </c>
      <c r="H907" s="443">
        <f t="shared" si="282"/>
        <v>15</v>
      </c>
      <c r="I907" s="443">
        <f>VLOOKUP(D907,'Orçamento Analitico'!D:L,9,FALSE())</f>
        <v>67.87</v>
      </c>
      <c r="J907" s="443">
        <f t="shared" si="283"/>
        <v>85.17</v>
      </c>
      <c r="K907" s="443">
        <f t="shared" si="284"/>
        <v>1018.05</v>
      </c>
      <c r="L907" s="443">
        <f t="shared" si="285"/>
        <v>1277.55</v>
      </c>
      <c r="M907" s="461" t="e">
        <f t="shared" si="279"/>
        <v>#N/A</v>
      </c>
      <c r="N907" s="464">
        <v>0</v>
      </c>
      <c r="O907" s="465"/>
      <c r="P907" s="465"/>
      <c r="Q907" s="465">
        <v>7</v>
      </c>
      <c r="R907" s="465">
        <v>8</v>
      </c>
      <c r="S907" s="465">
        <v>0</v>
      </c>
      <c r="T907" s="465">
        <v>0</v>
      </c>
      <c r="U907" s="479"/>
      <c r="V907" s="422"/>
      <c r="W907" s="422"/>
      <c r="X907" s="422"/>
      <c r="Y907" s="422"/>
      <c r="Z907" s="422"/>
    </row>
    <row r="908" ht="12.75" customHeight="1" spans="1:26">
      <c r="A908" s="422" t="str">
        <f t="shared" si="280"/>
        <v> 15.5 </v>
      </c>
      <c r="B908" s="423" t="str">
        <f t="shared" si="281"/>
        <v> 15.5 </v>
      </c>
      <c r="C908" s="441" t="s">
        <v>2484</v>
      </c>
      <c r="D908" s="442" t="s">
        <v>2485</v>
      </c>
      <c r="E908" s="441" t="s">
        <v>139</v>
      </c>
      <c r="F908" s="441" t="s">
        <v>2486</v>
      </c>
      <c r="G908" s="442" t="s">
        <v>134</v>
      </c>
      <c r="H908" s="443">
        <f t="shared" si="282"/>
        <v>26</v>
      </c>
      <c r="I908" s="443">
        <f>VLOOKUP(D908,'Orçamento Analitico'!D:L,9,FALSE())</f>
        <v>99.89</v>
      </c>
      <c r="J908" s="443">
        <f t="shared" si="283"/>
        <v>125.35</v>
      </c>
      <c r="K908" s="443">
        <f t="shared" si="284"/>
        <v>2597.14</v>
      </c>
      <c r="L908" s="443">
        <f t="shared" si="285"/>
        <v>3259.1</v>
      </c>
      <c r="M908" s="461" t="e">
        <f t="shared" si="279"/>
        <v>#N/A</v>
      </c>
      <c r="N908" s="464">
        <v>0</v>
      </c>
      <c r="O908" s="465"/>
      <c r="P908" s="465"/>
      <c r="Q908" s="465">
        <v>26</v>
      </c>
      <c r="R908" s="465">
        <v>0</v>
      </c>
      <c r="S908" s="465">
        <v>0</v>
      </c>
      <c r="T908" s="465">
        <v>0</v>
      </c>
      <c r="U908" s="479"/>
      <c r="V908" s="422"/>
      <c r="W908" s="422"/>
      <c r="X908" s="422"/>
      <c r="Y908" s="422"/>
      <c r="Z908" s="422"/>
    </row>
    <row r="909" ht="12.75" customHeight="1" spans="1:26">
      <c r="A909" s="422" t="str">
        <f t="shared" si="280"/>
        <v> 15.5 </v>
      </c>
      <c r="B909" s="423" t="str">
        <f t="shared" si="281"/>
        <v> 15.5 </v>
      </c>
      <c r="C909" s="441" t="s">
        <v>2487</v>
      </c>
      <c r="D909" s="442" t="s">
        <v>2488</v>
      </c>
      <c r="E909" s="441" t="s">
        <v>77</v>
      </c>
      <c r="F909" s="441" t="s">
        <v>2489</v>
      </c>
      <c r="G909" s="442" t="s">
        <v>134</v>
      </c>
      <c r="H909" s="443">
        <f t="shared" si="282"/>
        <v>33</v>
      </c>
      <c r="I909" s="443">
        <f>VLOOKUP(D909,'Orçamento Analitico'!D:L,9,FALSE())</f>
        <v>681.39</v>
      </c>
      <c r="J909" s="443">
        <f t="shared" si="283"/>
        <v>855.07</v>
      </c>
      <c r="K909" s="443">
        <f t="shared" si="284"/>
        <v>22485.87</v>
      </c>
      <c r="L909" s="443">
        <f t="shared" si="285"/>
        <v>28217.31</v>
      </c>
      <c r="M909" s="461" t="e">
        <f t="shared" si="279"/>
        <v>#N/A</v>
      </c>
      <c r="N909" s="464">
        <v>0</v>
      </c>
      <c r="O909" s="465"/>
      <c r="P909" s="465"/>
      <c r="Q909" s="465">
        <v>1</v>
      </c>
      <c r="R909" s="465">
        <v>32</v>
      </c>
      <c r="S909" s="465">
        <v>0</v>
      </c>
      <c r="T909" s="465">
        <v>0</v>
      </c>
      <c r="U909" s="479"/>
      <c r="V909" s="422"/>
      <c r="W909" s="422"/>
      <c r="X909" s="422"/>
      <c r="Y909" s="422"/>
      <c r="Z909" s="422"/>
    </row>
    <row r="910" ht="12.75" customHeight="1" spans="1:26">
      <c r="A910" s="422" t="str">
        <f t="shared" si="280"/>
        <v> 15.5 </v>
      </c>
      <c r="B910" s="423" t="str">
        <f t="shared" si="281"/>
        <v> 15.5 </v>
      </c>
      <c r="C910" s="441" t="s">
        <v>2490</v>
      </c>
      <c r="D910" s="442" t="s">
        <v>2491</v>
      </c>
      <c r="E910" s="441" t="s">
        <v>77</v>
      </c>
      <c r="F910" s="441" t="s">
        <v>2492</v>
      </c>
      <c r="G910" s="442" t="s">
        <v>134</v>
      </c>
      <c r="H910" s="443">
        <f t="shared" si="282"/>
        <v>15</v>
      </c>
      <c r="I910" s="443">
        <f>VLOOKUP(D910,'Orçamento Analitico'!D:L,9,FALSE())</f>
        <v>645.54</v>
      </c>
      <c r="J910" s="443">
        <f t="shared" si="283"/>
        <v>810.08</v>
      </c>
      <c r="K910" s="443">
        <f t="shared" si="284"/>
        <v>9683.1</v>
      </c>
      <c r="L910" s="443">
        <f t="shared" si="285"/>
        <v>12151.2</v>
      </c>
      <c r="M910" s="461" t="e">
        <f t="shared" si="279"/>
        <v>#N/A</v>
      </c>
      <c r="N910" s="464">
        <v>0</v>
      </c>
      <c r="O910" s="465"/>
      <c r="P910" s="465"/>
      <c r="Q910" s="465">
        <v>7</v>
      </c>
      <c r="R910" s="465">
        <v>8</v>
      </c>
      <c r="S910" s="465">
        <v>0</v>
      </c>
      <c r="T910" s="465">
        <v>0</v>
      </c>
      <c r="U910" s="479"/>
      <c r="V910" s="422"/>
      <c r="W910" s="422"/>
      <c r="X910" s="422"/>
      <c r="Y910" s="422"/>
      <c r="Z910" s="422"/>
    </row>
    <row r="911" ht="12.75" customHeight="1" spans="1:26">
      <c r="A911" s="422" t="str">
        <f t="shared" si="280"/>
        <v> 15.5 </v>
      </c>
      <c r="B911" s="423" t="str">
        <f t="shared" si="281"/>
        <v> 15.5 </v>
      </c>
      <c r="C911" s="441" t="s">
        <v>2493</v>
      </c>
      <c r="D911" s="442" t="s">
        <v>2494</v>
      </c>
      <c r="E911" s="441" t="s">
        <v>149</v>
      </c>
      <c r="F911" s="441" t="s">
        <v>2495</v>
      </c>
      <c r="G911" s="442" t="s">
        <v>134</v>
      </c>
      <c r="H911" s="443">
        <f t="shared" si="282"/>
        <v>4</v>
      </c>
      <c r="I911" s="443">
        <f>VLOOKUP(D911,'Orçamento Analitico'!D:L,9,FALSE())</f>
        <v>292.1</v>
      </c>
      <c r="J911" s="443">
        <f t="shared" si="283"/>
        <v>366.55</v>
      </c>
      <c r="K911" s="443">
        <f t="shared" si="284"/>
        <v>1168.4</v>
      </c>
      <c r="L911" s="443">
        <f t="shared" si="285"/>
        <v>1466.2</v>
      </c>
      <c r="M911" s="461" t="e">
        <f t="shared" si="279"/>
        <v>#N/A</v>
      </c>
      <c r="N911" s="464">
        <v>0</v>
      </c>
      <c r="O911" s="465"/>
      <c r="P911" s="465"/>
      <c r="Q911" s="465">
        <v>0</v>
      </c>
      <c r="R911" s="465">
        <v>4</v>
      </c>
      <c r="S911" s="465">
        <v>0</v>
      </c>
      <c r="T911" s="465">
        <v>0</v>
      </c>
      <c r="U911" s="479"/>
      <c r="V911" s="422"/>
      <c r="W911" s="422"/>
      <c r="X911" s="422"/>
      <c r="Y911" s="422"/>
      <c r="Z911" s="422"/>
    </row>
    <row r="912" ht="12.75" customHeight="1" spans="1:26">
      <c r="A912" s="422" t="str">
        <f t="shared" si="280"/>
        <v> 15.5 </v>
      </c>
      <c r="B912" s="423" t="str">
        <f t="shared" si="281"/>
        <v> 15.5 </v>
      </c>
      <c r="C912" s="441" t="s">
        <v>2496</v>
      </c>
      <c r="D912" s="442" t="s">
        <v>2497</v>
      </c>
      <c r="E912" s="441" t="s">
        <v>149</v>
      </c>
      <c r="F912" s="441" t="s">
        <v>2498</v>
      </c>
      <c r="G912" s="442" t="s">
        <v>134</v>
      </c>
      <c r="H912" s="443">
        <f t="shared" si="282"/>
        <v>16</v>
      </c>
      <c r="I912" s="443">
        <f>VLOOKUP(D912,'Orçamento Analitico'!D:L,9,FALSE())</f>
        <v>116.48</v>
      </c>
      <c r="J912" s="443">
        <f t="shared" si="283"/>
        <v>146.17</v>
      </c>
      <c r="K912" s="443">
        <f t="shared" si="284"/>
        <v>1863.68</v>
      </c>
      <c r="L912" s="443">
        <f t="shared" si="285"/>
        <v>2338.72</v>
      </c>
      <c r="M912" s="461" t="e">
        <f t="shared" si="279"/>
        <v>#N/A</v>
      </c>
      <c r="N912" s="464">
        <v>0</v>
      </c>
      <c r="O912" s="465"/>
      <c r="P912" s="465"/>
      <c r="Q912" s="465">
        <v>0</v>
      </c>
      <c r="R912" s="465">
        <v>0</v>
      </c>
      <c r="S912" s="465">
        <v>0</v>
      </c>
      <c r="T912" s="465">
        <v>16</v>
      </c>
      <c r="U912" s="479"/>
      <c r="V912" s="422"/>
      <c r="W912" s="422"/>
      <c r="X912" s="422"/>
      <c r="Y912" s="422"/>
      <c r="Z912" s="422"/>
    </row>
    <row r="913" ht="12.75" customHeight="1" spans="1:26">
      <c r="A913" s="422" t="str">
        <f t="shared" si="280"/>
        <v> 15.5 </v>
      </c>
      <c r="B913" s="423" t="str">
        <f t="shared" si="281"/>
        <v> 15.5 </v>
      </c>
      <c r="C913" s="441" t="s">
        <v>2499</v>
      </c>
      <c r="D913" s="442" t="s">
        <v>2500</v>
      </c>
      <c r="E913" s="441" t="s">
        <v>77</v>
      </c>
      <c r="F913" s="441" t="s">
        <v>2501</v>
      </c>
      <c r="G913" s="442" t="s">
        <v>134</v>
      </c>
      <c r="H913" s="443">
        <f t="shared" si="282"/>
        <v>33</v>
      </c>
      <c r="I913" s="443">
        <f>VLOOKUP(D913,'Orçamento Analitico'!D:L,9,FALSE())</f>
        <v>64.53</v>
      </c>
      <c r="J913" s="443">
        <f t="shared" si="283"/>
        <v>80.97</v>
      </c>
      <c r="K913" s="443">
        <f t="shared" si="284"/>
        <v>2129.49</v>
      </c>
      <c r="L913" s="443">
        <f t="shared" si="285"/>
        <v>2672.01</v>
      </c>
      <c r="M913" s="461" t="e">
        <f t="shared" si="279"/>
        <v>#N/A</v>
      </c>
      <c r="N913" s="464">
        <v>0</v>
      </c>
      <c r="O913" s="465"/>
      <c r="P913" s="465"/>
      <c r="Q913" s="465">
        <v>1</v>
      </c>
      <c r="R913" s="465">
        <v>32</v>
      </c>
      <c r="S913" s="465">
        <v>0</v>
      </c>
      <c r="T913" s="465">
        <v>0</v>
      </c>
      <c r="U913" s="479"/>
      <c r="V913" s="422"/>
      <c r="W913" s="422"/>
      <c r="X913" s="422"/>
      <c r="Y913" s="422"/>
      <c r="Z913" s="422"/>
    </row>
    <row r="914" ht="12.75" customHeight="1" spans="1:26">
      <c r="A914" s="422" t="str">
        <f t="shared" si="280"/>
        <v> 15.5 </v>
      </c>
      <c r="B914" s="423" t="str">
        <f t="shared" si="281"/>
        <v> 15.5 </v>
      </c>
      <c r="C914" s="441" t="s">
        <v>2502</v>
      </c>
      <c r="D914" s="442" t="s">
        <v>2503</v>
      </c>
      <c r="E914" s="441" t="s">
        <v>77</v>
      </c>
      <c r="F914" s="441" t="s">
        <v>2504</v>
      </c>
      <c r="G914" s="442" t="s">
        <v>134</v>
      </c>
      <c r="H914" s="443">
        <f t="shared" si="282"/>
        <v>15</v>
      </c>
      <c r="I914" s="443">
        <f>VLOOKUP(D914,'Orçamento Analitico'!D:L,9,FALSE())</f>
        <v>77.94</v>
      </c>
      <c r="J914" s="443">
        <f t="shared" si="283"/>
        <v>97.8</v>
      </c>
      <c r="K914" s="443">
        <f t="shared" si="284"/>
        <v>1169.1</v>
      </c>
      <c r="L914" s="443">
        <f t="shared" si="285"/>
        <v>1467</v>
      </c>
      <c r="M914" s="461" t="e">
        <f t="shared" si="279"/>
        <v>#N/A</v>
      </c>
      <c r="N914" s="464">
        <v>0</v>
      </c>
      <c r="O914" s="465"/>
      <c r="P914" s="465"/>
      <c r="Q914" s="465">
        <v>7</v>
      </c>
      <c r="R914" s="465">
        <v>8</v>
      </c>
      <c r="S914" s="465">
        <v>0</v>
      </c>
      <c r="T914" s="465">
        <v>0</v>
      </c>
      <c r="U914" s="479"/>
      <c r="V914" s="422"/>
      <c r="W914" s="422"/>
      <c r="X914" s="422"/>
      <c r="Y914" s="422"/>
      <c r="Z914" s="422"/>
    </row>
    <row r="915" ht="12.75" customHeight="1" spans="1:26">
      <c r="A915" s="422" t="str">
        <f t="shared" si="280"/>
        <v> 15.5 </v>
      </c>
      <c r="B915" s="423" t="str">
        <f t="shared" si="281"/>
        <v> 15.5 </v>
      </c>
      <c r="C915" s="441" t="s">
        <v>2505</v>
      </c>
      <c r="D915" s="442" t="s">
        <v>2506</v>
      </c>
      <c r="E915" s="441" t="s">
        <v>139</v>
      </c>
      <c r="F915" s="441" t="s">
        <v>2507</v>
      </c>
      <c r="G915" s="442" t="s">
        <v>134</v>
      </c>
      <c r="H915" s="443">
        <f t="shared" si="282"/>
        <v>66</v>
      </c>
      <c r="I915" s="443">
        <f>VLOOKUP(D915,'Orçamento Analitico'!D:L,9,FALSE())</f>
        <v>480.41</v>
      </c>
      <c r="J915" s="443">
        <f t="shared" si="283"/>
        <v>602.86</v>
      </c>
      <c r="K915" s="443">
        <f t="shared" si="284"/>
        <v>31707.06</v>
      </c>
      <c r="L915" s="443">
        <f t="shared" si="285"/>
        <v>39788.76</v>
      </c>
      <c r="M915" s="461" t="e">
        <f t="shared" si="279"/>
        <v>#N/A</v>
      </c>
      <c r="N915" s="464">
        <v>0</v>
      </c>
      <c r="O915" s="465"/>
      <c r="P915" s="465"/>
      <c r="Q915" s="465">
        <v>2</v>
      </c>
      <c r="R915" s="465">
        <v>64</v>
      </c>
      <c r="S915" s="465">
        <v>0</v>
      </c>
      <c r="T915" s="465">
        <v>0</v>
      </c>
      <c r="U915" s="479"/>
      <c r="V915" s="422"/>
      <c r="W915" s="422"/>
      <c r="X915" s="422"/>
      <c r="Y915" s="422"/>
      <c r="Z915" s="422"/>
    </row>
    <row r="916" ht="12.75" customHeight="1" spans="1:26">
      <c r="A916" s="422" t="str">
        <f t="shared" si="280"/>
        <v> 15.5 </v>
      </c>
      <c r="B916" s="423" t="str">
        <f t="shared" si="281"/>
        <v> 15.5 </v>
      </c>
      <c r="C916" s="441" t="s">
        <v>2508</v>
      </c>
      <c r="D916" s="442" t="s">
        <v>2509</v>
      </c>
      <c r="E916" s="441" t="s">
        <v>139</v>
      </c>
      <c r="F916" s="441" t="s">
        <v>2510</v>
      </c>
      <c r="G916" s="442" t="s">
        <v>134</v>
      </c>
      <c r="H916" s="443">
        <f t="shared" si="282"/>
        <v>82</v>
      </c>
      <c r="I916" s="443">
        <f>VLOOKUP(D916,'Orçamento Analitico'!D:L,9,FALSE())</f>
        <v>560.17</v>
      </c>
      <c r="J916" s="443">
        <f t="shared" si="283"/>
        <v>702.95</v>
      </c>
      <c r="K916" s="443">
        <f t="shared" si="284"/>
        <v>45933.94</v>
      </c>
      <c r="L916" s="443">
        <f t="shared" si="285"/>
        <v>57641.9</v>
      </c>
      <c r="M916" s="461" t="e">
        <f t="shared" si="279"/>
        <v>#N/A</v>
      </c>
      <c r="N916" s="464">
        <v>0</v>
      </c>
      <c r="O916" s="465"/>
      <c r="P916" s="465"/>
      <c r="Q916" s="465">
        <v>66</v>
      </c>
      <c r="R916" s="465">
        <v>16</v>
      </c>
      <c r="S916" s="465">
        <v>0</v>
      </c>
      <c r="T916" s="465">
        <v>0</v>
      </c>
      <c r="U916" s="479"/>
      <c r="V916" s="422"/>
      <c r="W916" s="422"/>
      <c r="X916" s="422"/>
      <c r="Y916" s="422"/>
      <c r="Z916" s="422"/>
    </row>
    <row r="917" ht="12.75" customHeight="1" spans="1:26">
      <c r="A917" s="422" t="str">
        <f t="shared" si="280"/>
        <v> 15.5 </v>
      </c>
      <c r="B917" s="423" t="str">
        <f t="shared" si="281"/>
        <v> 15.5 </v>
      </c>
      <c r="C917" s="441" t="s">
        <v>2511</v>
      </c>
      <c r="D917" s="442" t="s">
        <v>2512</v>
      </c>
      <c r="E917" s="441" t="s">
        <v>149</v>
      </c>
      <c r="F917" s="441" t="s">
        <v>2513</v>
      </c>
      <c r="G917" s="442" t="s">
        <v>134</v>
      </c>
      <c r="H917" s="443">
        <f t="shared" si="282"/>
        <v>3</v>
      </c>
      <c r="I917" s="443">
        <f>VLOOKUP(D917,'Orçamento Analitico'!D:L,9,FALSE())</f>
        <v>28.28</v>
      </c>
      <c r="J917" s="443">
        <f t="shared" si="283"/>
        <v>35.48</v>
      </c>
      <c r="K917" s="443">
        <f t="shared" si="284"/>
        <v>84.84</v>
      </c>
      <c r="L917" s="443">
        <f t="shared" si="285"/>
        <v>106.44</v>
      </c>
      <c r="M917" s="461" t="e">
        <f t="shared" si="279"/>
        <v>#N/A</v>
      </c>
      <c r="N917" s="464">
        <v>0</v>
      </c>
      <c r="O917" s="465"/>
      <c r="P917" s="465"/>
      <c r="Q917" s="465">
        <v>3</v>
      </c>
      <c r="R917" s="465">
        <v>0</v>
      </c>
      <c r="S917" s="465">
        <v>0</v>
      </c>
      <c r="T917" s="465">
        <v>0</v>
      </c>
      <c r="U917" s="479"/>
      <c r="V917" s="422"/>
      <c r="W917" s="422"/>
      <c r="X917" s="422"/>
      <c r="Y917" s="422"/>
      <c r="Z917" s="422"/>
    </row>
    <row r="918" ht="12.75" customHeight="1" spans="1:26">
      <c r="A918" s="422" t="str">
        <f t="shared" si="280"/>
        <v> 15.5 </v>
      </c>
      <c r="B918" s="423" t="str">
        <f t="shared" si="281"/>
        <v> 15.5 </v>
      </c>
      <c r="C918" s="441" t="s">
        <v>2514</v>
      </c>
      <c r="D918" s="442" t="s">
        <v>2515</v>
      </c>
      <c r="E918" s="441" t="s">
        <v>149</v>
      </c>
      <c r="F918" s="441" t="s">
        <v>2516</v>
      </c>
      <c r="G918" s="442" t="s">
        <v>134</v>
      </c>
      <c r="H918" s="443">
        <f t="shared" si="282"/>
        <v>17</v>
      </c>
      <c r="I918" s="443">
        <f>VLOOKUP(D918,'Orçamento Analitico'!D:L,9,FALSE())</f>
        <v>68.04</v>
      </c>
      <c r="J918" s="443">
        <f t="shared" si="283"/>
        <v>85.38</v>
      </c>
      <c r="K918" s="443">
        <f t="shared" si="284"/>
        <v>1156.68</v>
      </c>
      <c r="L918" s="443">
        <f t="shared" si="285"/>
        <v>1451.46</v>
      </c>
      <c r="M918" s="461" t="e">
        <f t="shared" si="279"/>
        <v>#N/A</v>
      </c>
      <c r="N918" s="464">
        <v>0</v>
      </c>
      <c r="O918" s="465"/>
      <c r="P918" s="465"/>
      <c r="Q918" s="465">
        <v>17</v>
      </c>
      <c r="R918" s="465">
        <v>0</v>
      </c>
      <c r="S918" s="465">
        <v>0</v>
      </c>
      <c r="T918" s="465">
        <v>0</v>
      </c>
      <c r="U918" s="479"/>
      <c r="V918" s="422"/>
      <c r="W918" s="422"/>
      <c r="X918" s="422"/>
      <c r="Y918" s="422"/>
      <c r="Z918" s="422"/>
    </row>
    <row r="919" ht="12.75" customHeight="1" spans="1:26">
      <c r="A919" s="422" t="str">
        <f t="shared" si="280"/>
        <v> 15.5 </v>
      </c>
      <c r="B919" s="423" t="str">
        <f t="shared" si="281"/>
        <v> 15.5 </v>
      </c>
      <c r="C919" s="441" t="s">
        <v>2517</v>
      </c>
      <c r="D919" s="442" t="s">
        <v>2518</v>
      </c>
      <c r="E919" s="441" t="s">
        <v>149</v>
      </c>
      <c r="F919" s="441" t="s">
        <v>2519</v>
      </c>
      <c r="G919" s="442" t="s">
        <v>134</v>
      </c>
      <c r="H919" s="443">
        <f t="shared" si="282"/>
        <v>72</v>
      </c>
      <c r="I919" s="443">
        <f>VLOOKUP(D919,'Orçamento Analitico'!D:L,9,FALSE())</f>
        <v>44.11</v>
      </c>
      <c r="J919" s="443">
        <f t="shared" si="283"/>
        <v>55.35</v>
      </c>
      <c r="K919" s="443">
        <f t="shared" si="284"/>
        <v>3175.92</v>
      </c>
      <c r="L919" s="443">
        <f t="shared" si="285"/>
        <v>3985.2</v>
      </c>
      <c r="M919" s="461" t="e">
        <f t="shared" si="279"/>
        <v>#N/A</v>
      </c>
      <c r="N919" s="464">
        <v>0</v>
      </c>
      <c r="O919" s="465"/>
      <c r="P919" s="465"/>
      <c r="Q919" s="465">
        <v>72</v>
      </c>
      <c r="R919" s="465">
        <v>0</v>
      </c>
      <c r="S919" s="465">
        <v>0</v>
      </c>
      <c r="T919" s="465">
        <v>0</v>
      </c>
      <c r="U919" s="479"/>
      <c r="V919" s="422"/>
      <c r="W919" s="422"/>
      <c r="X919" s="422"/>
      <c r="Y919" s="422"/>
      <c r="Z919" s="422"/>
    </row>
    <row r="920" ht="12.75" customHeight="1" spans="1:26">
      <c r="A920" s="422" t="str">
        <f t="shared" si="280"/>
        <v> 15.5 </v>
      </c>
      <c r="B920" s="423" t="str">
        <f t="shared" si="281"/>
        <v> 15.5 </v>
      </c>
      <c r="C920" s="441" t="s">
        <v>2520</v>
      </c>
      <c r="D920" s="442" t="s">
        <v>2521</v>
      </c>
      <c r="E920" s="441" t="s">
        <v>149</v>
      </c>
      <c r="F920" s="441" t="s">
        <v>2522</v>
      </c>
      <c r="G920" s="442" t="s">
        <v>134</v>
      </c>
      <c r="H920" s="443">
        <f t="shared" si="282"/>
        <v>2</v>
      </c>
      <c r="I920" s="443">
        <f>VLOOKUP(D920,'Orçamento Analitico'!D:L,9,FALSE())</f>
        <v>785.56</v>
      </c>
      <c r="J920" s="443">
        <f t="shared" si="283"/>
        <v>985.79</v>
      </c>
      <c r="K920" s="443">
        <f t="shared" si="284"/>
        <v>1571.12</v>
      </c>
      <c r="L920" s="443">
        <f t="shared" si="285"/>
        <v>1971.58</v>
      </c>
      <c r="M920" s="461" t="e">
        <f t="shared" si="279"/>
        <v>#N/A</v>
      </c>
      <c r="N920" s="464"/>
      <c r="O920" s="465"/>
      <c r="P920" s="465"/>
      <c r="Q920" s="465"/>
      <c r="R920" s="465"/>
      <c r="S920" s="465">
        <v>2</v>
      </c>
      <c r="T920" s="465"/>
      <c r="U920" s="479"/>
      <c r="V920" s="422"/>
      <c r="W920" s="422"/>
      <c r="X920" s="422"/>
      <c r="Y920" s="422"/>
      <c r="Z920" s="422"/>
    </row>
    <row r="921" ht="12.75" customHeight="1" spans="1:26">
      <c r="A921" s="422" t="str">
        <f t="shared" si="280"/>
        <v> 15.5 </v>
      </c>
      <c r="B921" s="423" t="str">
        <f t="shared" si="281"/>
        <v> 15.5 </v>
      </c>
      <c r="C921" s="441" t="s">
        <v>2523</v>
      </c>
      <c r="D921" s="442" t="s">
        <v>2524</v>
      </c>
      <c r="E921" s="441" t="s">
        <v>149</v>
      </c>
      <c r="F921" s="441" t="s">
        <v>2525</v>
      </c>
      <c r="G921" s="442" t="s">
        <v>134</v>
      </c>
      <c r="H921" s="443">
        <f t="shared" si="282"/>
        <v>46</v>
      </c>
      <c r="I921" s="443">
        <f>VLOOKUP(D921,'Orçamento Analitico'!D:L,9,FALSE())</f>
        <v>2095.62</v>
      </c>
      <c r="J921" s="443">
        <f t="shared" si="283"/>
        <v>2629.79</v>
      </c>
      <c r="K921" s="443">
        <f t="shared" si="284"/>
        <v>96398.52</v>
      </c>
      <c r="L921" s="443">
        <f t="shared" si="285"/>
        <v>120970.34</v>
      </c>
      <c r="M921" s="461" t="e">
        <f t="shared" si="279"/>
        <v>#N/A</v>
      </c>
      <c r="N921" s="464">
        <v>0</v>
      </c>
      <c r="O921" s="465"/>
      <c r="P921" s="465"/>
      <c r="Q921" s="465">
        <v>0</v>
      </c>
      <c r="R921" s="465">
        <v>0</v>
      </c>
      <c r="S921" s="465">
        <v>4</v>
      </c>
      <c r="T921" s="465">
        <v>42</v>
      </c>
      <c r="U921" s="479"/>
      <c r="V921" s="422"/>
      <c r="W921" s="422"/>
      <c r="X921" s="422"/>
      <c r="Y921" s="422"/>
      <c r="Z921" s="422"/>
    </row>
    <row r="922" ht="12.75" customHeight="1" spans="1:26">
      <c r="A922" s="422" t="str">
        <f t="shared" si="280"/>
        <v> 15.5 </v>
      </c>
      <c r="B922" s="423" t="str">
        <f t="shared" si="281"/>
        <v> 15.5 </v>
      </c>
      <c r="C922" s="441" t="s">
        <v>2526</v>
      </c>
      <c r="D922" s="442" t="s">
        <v>2527</v>
      </c>
      <c r="E922" s="441" t="s">
        <v>132</v>
      </c>
      <c r="F922" s="441" t="s">
        <v>2528</v>
      </c>
      <c r="G922" s="442" t="s">
        <v>204</v>
      </c>
      <c r="H922" s="443">
        <f t="shared" si="282"/>
        <v>2486</v>
      </c>
      <c r="I922" s="443">
        <f>VLOOKUP(D922,'Orçamento Analitico'!D:L,9,FALSE())</f>
        <v>23.54</v>
      </c>
      <c r="J922" s="443">
        <f t="shared" si="283"/>
        <v>29.54</v>
      </c>
      <c r="K922" s="443">
        <f t="shared" si="284"/>
        <v>58520.44</v>
      </c>
      <c r="L922" s="443">
        <f t="shared" si="285"/>
        <v>73436.44</v>
      </c>
      <c r="M922" s="461" t="e">
        <f t="shared" si="279"/>
        <v>#N/A</v>
      </c>
      <c r="N922" s="464">
        <v>0</v>
      </c>
      <c r="O922" s="465"/>
      <c r="P922" s="465"/>
      <c r="Q922" s="465">
        <v>1545</v>
      </c>
      <c r="R922" s="465">
        <v>360</v>
      </c>
      <c r="S922" s="465">
        <v>287</v>
      </c>
      <c r="T922" s="465">
        <v>294</v>
      </c>
      <c r="U922" s="479"/>
      <c r="V922" s="422"/>
      <c r="W922" s="422"/>
      <c r="X922" s="422"/>
      <c r="Y922" s="422"/>
      <c r="Z922" s="422"/>
    </row>
    <row r="923" ht="12.75" customHeight="1" spans="1:26">
      <c r="A923" s="422" t="str">
        <f t="shared" si="280"/>
        <v> 15.5 </v>
      </c>
      <c r="B923" s="423" t="str">
        <f t="shared" si="281"/>
        <v> 15.5 </v>
      </c>
      <c r="C923" s="441" t="s">
        <v>2529</v>
      </c>
      <c r="D923" s="442" t="s">
        <v>1065</v>
      </c>
      <c r="E923" s="441" t="s">
        <v>132</v>
      </c>
      <c r="F923" s="441" t="s">
        <v>1066</v>
      </c>
      <c r="G923" s="442" t="s">
        <v>204</v>
      </c>
      <c r="H923" s="443">
        <f t="shared" si="282"/>
        <v>857.4</v>
      </c>
      <c r="I923" s="443">
        <f>VLOOKUP(D923,'Orçamento Analitico'!D:L,9,FALSE())</f>
        <v>67.42</v>
      </c>
      <c r="J923" s="443">
        <f t="shared" si="283"/>
        <v>84.6</v>
      </c>
      <c r="K923" s="443">
        <f t="shared" si="284"/>
        <v>57805.9</v>
      </c>
      <c r="L923" s="443">
        <f t="shared" si="285"/>
        <v>72536.04</v>
      </c>
      <c r="M923" s="461" t="e">
        <f t="shared" si="279"/>
        <v>#N/A</v>
      </c>
      <c r="N923" s="464">
        <v>0</v>
      </c>
      <c r="O923" s="465"/>
      <c r="P923" s="465"/>
      <c r="Q923" s="465">
        <v>359.51</v>
      </c>
      <c r="R923" s="465">
        <v>350</v>
      </c>
      <c r="S923" s="465">
        <v>125.47</v>
      </c>
      <c r="T923" s="465">
        <v>22.42</v>
      </c>
      <c r="U923" s="479"/>
      <c r="V923" s="422"/>
      <c r="W923" s="422"/>
      <c r="X923" s="422"/>
      <c r="Y923" s="422"/>
      <c r="Z923" s="422"/>
    </row>
    <row r="924" ht="12.75" customHeight="1" spans="1:26">
      <c r="A924" s="422" t="str">
        <f t="shared" si="280"/>
        <v> 15.5 </v>
      </c>
      <c r="B924" s="423" t="str">
        <f t="shared" si="281"/>
        <v> 15.5 </v>
      </c>
      <c r="C924" s="441" t="s">
        <v>2530</v>
      </c>
      <c r="D924" s="442" t="s">
        <v>865</v>
      </c>
      <c r="E924" s="441" t="s">
        <v>132</v>
      </c>
      <c r="F924" s="441" t="s">
        <v>866</v>
      </c>
      <c r="G924" s="442" t="s">
        <v>134</v>
      </c>
      <c r="H924" s="443">
        <f t="shared" si="282"/>
        <v>4972</v>
      </c>
      <c r="I924" s="443">
        <f>VLOOKUP(D924,'Orçamento Analitico'!D:L,9,FALSE())</f>
        <v>0.12</v>
      </c>
      <c r="J924" s="443">
        <f t="shared" si="283"/>
        <v>0.15</v>
      </c>
      <c r="K924" s="443">
        <f t="shared" si="284"/>
        <v>596.64</v>
      </c>
      <c r="L924" s="443">
        <f t="shared" si="285"/>
        <v>745.8</v>
      </c>
      <c r="M924" s="461" t="e">
        <f t="shared" si="279"/>
        <v>#N/A</v>
      </c>
      <c r="N924" s="464">
        <f>N922*2</f>
        <v>0</v>
      </c>
      <c r="O924" s="465"/>
      <c r="P924" s="465"/>
      <c r="Q924" s="465">
        <f>Q922*2</f>
        <v>3090</v>
      </c>
      <c r="R924" s="465">
        <f>R922*2</f>
        <v>720</v>
      </c>
      <c r="S924" s="465">
        <f>S922*2</f>
        <v>574</v>
      </c>
      <c r="T924" s="465">
        <f>T922*2</f>
        <v>588</v>
      </c>
      <c r="U924" s="479"/>
      <c r="V924" s="422"/>
      <c r="W924" s="422"/>
      <c r="X924" s="422"/>
      <c r="Y924" s="422"/>
      <c r="Z924" s="422"/>
    </row>
    <row r="925" ht="12.75" customHeight="1" spans="1:26">
      <c r="A925" s="422" t="str">
        <f t="shared" si="280"/>
        <v> 15.5 </v>
      </c>
      <c r="B925" s="423" t="str">
        <f t="shared" si="281"/>
        <v> 15.5 </v>
      </c>
      <c r="C925" s="510" t="s">
        <v>2531</v>
      </c>
      <c r="D925" s="511" t="s">
        <v>2532</v>
      </c>
      <c r="E925" s="510" t="s">
        <v>796</v>
      </c>
      <c r="F925" s="510" t="s">
        <v>2533</v>
      </c>
      <c r="G925" s="511" t="s">
        <v>334</v>
      </c>
      <c r="H925" s="512">
        <f t="shared" si="282"/>
        <v>4972</v>
      </c>
      <c r="I925" s="512" t="e">
        <f>VLOOKUP(D925,'Orçamento Analitico'!D:L,9,FALSE())</f>
        <v>#N/A</v>
      </c>
      <c r="J925" s="512" t="e">
        <f t="shared" si="283"/>
        <v>#N/A</v>
      </c>
      <c r="K925" s="512" t="e">
        <f t="shared" si="284"/>
        <v>#N/A</v>
      </c>
      <c r="L925" s="512" t="e">
        <f t="shared" si="285"/>
        <v>#N/A</v>
      </c>
      <c r="M925" s="513" t="e">
        <f t="shared" si="279"/>
        <v>#N/A</v>
      </c>
      <c r="N925" s="464">
        <f>N924</f>
        <v>0</v>
      </c>
      <c r="O925" s="465"/>
      <c r="P925" s="465"/>
      <c r="Q925" s="465">
        <f>Q924</f>
        <v>3090</v>
      </c>
      <c r="R925" s="465">
        <f>R924</f>
        <v>720</v>
      </c>
      <c r="S925" s="465">
        <f>S924</f>
        <v>574</v>
      </c>
      <c r="T925" s="465">
        <f>T924</f>
        <v>588</v>
      </c>
      <c r="U925" s="479"/>
      <c r="V925" s="422"/>
      <c r="W925" s="422"/>
      <c r="X925" s="422"/>
      <c r="Y925" s="422"/>
      <c r="Z925" s="422"/>
    </row>
    <row r="926" ht="12.75" customHeight="1" spans="1:26">
      <c r="A926" s="422" t="str">
        <f t="shared" si="280"/>
        <v> 15.5 </v>
      </c>
      <c r="B926" s="423" t="str">
        <f t="shared" si="281"/>
        <v> 15.5 </v>
      </c>
      <c r="C926" s="441" t="s">
        <v>2534</v>
      </c>
      <c r="D926" s="442" t="s">
        <v>2535</v>
      </c>
      <c r="E926" s="441" t="s">
        <v>139</v>
      </c>
      <c r="F926" s="441" t="s">
        <v>2536</v>
      </c>
      <c r="G926" s="442" t="s">
        <v>134</v>
      </c>
      <c r="H926" s="443">
        <f t="shared" si="282"/>
        <v>2</v>
      </c>
      <c r="I926" s="443">
        <f>VLOOKUP(D926,'Orçamento Analitico'!D:L,9,FALSE())</f>
        <v>70.04</v>
      </c>
      <c r="J926" s="443">
        <f t="shared" si="283"/>
        <v>87.89</v>
      </c>
      <c r="K926" s="443">
        <f t="shared" si="284"/>
        <v>140.08</v>
      </c>
      <c r="L926" s="443">
        <f t="shared" si="285"/>
        <v>175.78</v>
      </c>
      <c r="M926" s="461" t="e">
        <f t="shared" si="279"/>
        <v>#N/A</v>
      </c>
      <c r="N926" s="464">
        <v>0</v>
      </c>
      <c r="O926" s="465"/>
      <c r="P926" s="465"/>
      <c r="Q926" s="465">
        <v>2</v>
      </c>
      <c r="R926" s="465">
        <v>0</v>
      </c>
      <c r="S926" s="465">
        <v>0</v>
      </c>
      <c r="T926" s="465">
        <v>0</v>
      </c>
      <c r="U926" s="479"/>
      <c r="V926" s="422"/>
      <c r="W926" s="422"/>
      <c r="X926" s="422"/>
      <c r="Y926" s="422"/>
      <c r="Z926" s="422"/>
    </row>
    <row r="927" ht="12.75" customHeight="1" spans="1:26">
      <c r="A927" s="422" t="str">
        <f t="shared" si="280"/>
        <v> 15.5 </v>
      </c>
      <c r="B927" s="423" t="str">
        <f t="shared" si="281"/>
        <v> 15.5 </v>
      </c>
      <c r="C927" s="441" t="s">
        <v>2537</v>
      </c>
      <c r="D927" s="442" t="s">
        <v>2538</v>
      </c>
      <c r="E927" s="441" t="s">
        <v>139</v>
      </c>
      <c r="F927" s="441" t="s">
        <v>2539</v>
      </c>
      <c r="G927" s="442" t="s">
        <v>134</v>
      </c>
      <c r="H927" s="443">
        <f t="shared" si="282"/>
        <v>2</v>
      </c>
      <c r="I927" s="443">
        <f>VLOOKUP(D927,'Orçamento Analitico'!D:L,9,FALSE())</f>
        <v>88.94</v>
      </c>
      <c r="J927" s="443">
        <f t="shared" si="283"/>
        <v>111.61</v>
      </c>
      <c r="K927" s="443">
        <f t="shared" si="284"/>
        <v>177.88</v>
      </c>
      <c r="L927" s="443">
        <f t="shared" si="285"/>
        <v>223.22</v>
      </c>
      <c r="M927" s="461" t="e">
        <f t="shared" si="279"/>
        <v>#N/A</v>
      </c>
      <c r="N927" s="464">
        <v>0</v>
      </c>
      <c r="O927" s="465"/>
      <c r="P927" s="465"/>
      <c r="Q927" s="465">
        <v>2</v>
      </c>
      <c r="R927" s="465">
        <v>0</v>
      </c>
      <c r="S927" s="465">
        <v>0</v>
      </c>
      <c r="T927" s="465">
        <v>0</v>
      </c>
      <c r="U927" s="479"/>
      <c r="V927" s="422"/>
      <c r="W927" s="422"/>
      <c r="X927" s="422"/>
      <c r="Y927" s="422"/>
      <c r="Z927" s="422"/>
    </row>
    <row r="928" ht="12.75" customHeight="1" spans="1:26">
      <c r="A928" s="422" t="str">
        <f t="shared" si="280"/>
        <v> 15.5 </v>
      </c>
      <c r="B928" s="423" t="str">
        <f t="shared" si="281"/>
        <v> 15.5 </v>
      </c>
      <c r="C928" s="441" t="s">
        <v>2540</v>
      </c>
      <c r="D928" s="442" t="s">
        <v>2541</v>
      </c>
      <c r="E928" s="441" t="s">
        <v>139</v>
      </c>
      <c r="F928" s="441" t="s">
        <v>2542</v>
      </c>
      <c r="G928" s="442" t="s">
        <v>134</v>
      </c>
      <c r="H928" s="443">
        <f t="shared" si="282"/>
        <v>4</v>
      </c>
      <c r="I928" s="443">
        <f>VLOOKUP(D928,'Orçamento Analitico'!D:L,9,FALSE())</f>
        <v>120.91</v>
      </c>
      <c r="J928" s="443">
        <f t="shared" si="283"/>
        <v>151.72</v>
      </c>
      <c r="K928" s="443">
        <f t="shared" si="284"/>
        <v>483.64</v>
      </c>
      <c r="L928" s="443">
        <f t="shared" si="285"/>
        <v>606.88</v>
      </c>
      <c r="M928" s="461" t="e">
        <f t="shared" si="279"/>
        <v>#N/A</v>
      </c>
      <c r="N928" s="464">
        <v>0</v>
      </c>
      <c r="O928" s="465"/>
      <c r="P928" s="465"/>
      <c r="Q928" s="465">
        <v>4</v>
      </c>
      <c r="R928" s="465">
        <v>0</v>
      </c>
      <c r="S928" s="465">
        <v>0</v>
      </c>
      <c r="T928" s="465">
        <v>0</v>
      </c>
      <c r="U928" s="479"/>
      <c r="V928" s="422"/>
      <c r="W928" s="422"/>
      <c r="X928" s="422"/>
      <c r="Y928" s="422"/>
      <c r="Z928" s="422"/>
    </row>
    <row r="929" ht="12.75" customHeight="1" spans="1:26">
      <c r="A929" s="422" t="str">
        <f t="shared" si="280"/>
        <v> 15.5 </v>
      </c>
      <c r="B929" s="423" t="str">
        <f t="shared" si="281"/>
        <v> 15.5 </v>
      </c>
      <c r="C929" s="441" t="s">
        <v>2543</v>
      </c>
      <c r="D929" s="442" t="s">
        <v>2544</v>
      </c>
      <c r="E929" s="441" t="s">
        <v>139</v>
      </c>
      <c r="F929" s="441" t="s">
        <v>2545</v>
      </c>
      <c r="G929" s="442" t="s">
        <v>134</v>
      </c>
      <c r="H929" s="443">
        <f t="shared" si="282"/>
        <v>2</v>
      </c>
      <c r="I929" s="443">
        <f>VLOOKUP(D929,'Orçamento Analitico'!D:L,9,FALSE())</f>
        <v>395.38</v>
      </c>
      <c r="J929" s="443">
        <f t="shared" si="283"/>
        <v>496.16</v>
      </c>
      <c r="K929" s="443">
        <f t="shared" si="284"/>
        <v>790.76</v>
      </c>
      <c r="L929" s="443">
        <f t="shared" si="285"/>
        <v>992.32</v>
      </c>
      <c r="M929" s="461" t="e">
        <f t="shared" si="279"/>
        <v>#N/A</v>
      </c>
      <c r="N929" s="464">
        <v>0</v>
      </c>
      <c r="O929" s="465"/>
      <c r="P929" s="465"/>
      <c r="Q929" s="465">
        <v>2</v>
      </c>
      <c r="R929" s="465">
        <v>0</v>
      </c>
      <c r="S929" s="465">
        <v>0</v>
      </c>
      <c r="T929" s="465">
        <v>0</v>
      </c>
      <c r="U929" s="479"/>
      <c r="V929" s="422"/>
      <c r="W929" s="422"/>
      <c r="X929" s="422"/>
      <c r="Y929" s="422"/>
      <c r="Z929" s="422"/>
    </row>
    <row r="930" ht="12.75" customHeight="1" spans="1:26">
      <c r="A930" s="422" t="str">
        <f t="shared" si="280"/>
        <v> 15.5 </v>
      </c>
      <c r="B930" s="423" t="str">
        <f t="shared" si="281"/>
        <v> 15.5 </v>
      </c>
      <c r="C930" s="441" t="s">
        <v>2546</v>
      </c>
      <c r="D930" s="442" t="s">
        <v>2547</v>
      </c>
      <c r="E930" s="441" t="s">
        <v>139</v>
      </c>
      <c r="F930" s="441" t="s">
        <v>2548</v>
      </c>
      <c r="G930" s="442" t="s">
        <v>134</v>
      </c>
      <c r="H930" s="443">
        <f t="shared" si="282"/>
        <v>16</v>
      </c>
      <c r="I930" s="443">
        <f>VLOOKUP(D930,'Orçamento Analitico'!D:L,9,FALSE())</f>
        <v>543.99</v>
      </c>
      <c r="J930" s="443">
        <f t="shared" si="283"/>
        <v>682.65</v>
      </c>
      <c r="K930" s="443">
        <f t="shared" si="284"/>
        <v>8703.84</v>
      </c>
      <c r="L930" s="443">
        <f t="shared" si="285"/>
        <v>10922.4</v>
      </c>
      <c r="M930" s="461" t="e">
        <f t="shared" si="279"/>
        <v>#N/A</v>
      </c>
      <c r="N930" s="464">
        <v>0</v>
      </c>
      <c r="O930" s="465"/>
      <c r="P930" s="465"/>
      <c r="Q930" s="465">
        <v>0</v>
      </c>
      <c r="R930" s="465">
        <v>0</v>
      </c>
      <c r="S930" s="465">
        <v>0</v>
      </c>
      <c r="T930" s="465">
        <v>16</v>
      </c>
      <c r="U930" s="479"/>
      <c r="V930" s="422"/>
      <c r="W930" s="422"/>
      <c r="X930" s="422"/>
      <c r="Y930" s="422"/>
      <c r="Z930" s="422"/>
    </row>
    <row r="931" ht="12.75" customHeight="1" spans="1:26">
      <c r="A931" s="422" t="str">
        <f t="shared" si="280"/>
        <v> 15.5 </v>
      </c>
      <c r="B931" s="423" t="str">
        <f t="shared" si="281"/>
        <v> 15.5 </v>
      </c>
      <c r="C931" s="441" t="s">
        <v>2549</v>
      </c>
      <c r="D931" s="442" t="s">
        <v>2550</v>
      </c>
      <c r="E931" s="441" t="s">
        <v>149</v>
      </c>
      <c r="F931" s="441" t="s">
        <v>2551</v>
      </c>
      <c r="G931" s="442" t="s">
        <v>134</v>
      </c>
      <c r="H931" s="443">
        <f t="shared" si="282"/>
        <v>1</v>
      </c>
      <c r="I931" s="443">
        <f>VLOOKUP(D931,'Orçamento Analitico'!D:L,9,FALSE())</f>
        <v>30.61</v>
      </c>
      <c r="J931" s="443">
        <f t="shared" si="283"/>
        <v>38.41</v>
      </c>
      <c r="K931" s="443">
        <f t="shared" si="284"/>
        <v>30.61</v>
      </c>
      <c r="L931" s="443">
        <f t="shared" si="285"/>
        <v>38.41</v>
      </c>
      <c r="M931" s="461" t="e">
        <f t="shared" si="279"/>
        <v>#N/A</v>
      </c>
      <c r="N931" s="464">
        <v>0</v>
      </c>
      <c r="O931" s="465"/>
      <c r="P931" s="465"/>
      <c r="Q931" s="465">
        <v>1</v>
      </c>
      <c r="R931" s="465">
        <v>0</v>
      </c>
      <c r="S931" s="465">
        <v>0</v>
      </c>
      <c r="T931" s="465">
        <v>0</v>
      </c>
      <c r="U931" s="479"/>
      <c r="V931" s="422"/>
      <c r="W931" s="422"/>
      <c r="X931" s="422"/>
      <c r="Y931" s="422"/>
      <c r="Z931" s="422"/>
    </row>
    <row r="932" ht="12.75" customHeight="1" spans="1:26">
      <c r="A932" s="422" t="str">
        <f t="shared" si="280"/>
        <v> 15.5 </v>
      </c>
      <c r="B932" s="423" t="str">
        <f t="shared" si="281"/>
        <v> 15.5 </v>
      </c>
      <c r="C932" s="441" t="s">
        <v>2552</v>
      </c>
      <c r="D932" s="442" t="s">
        <v>2553</v>
      </c>
      <c r="E932" s="441" t="s">
        <v>149</v>
      </c>
      <c r="F932" s="441" t="s">
        <v>2554</v>
      </c>
      <c r="G932" s="442" t="s">
        <v>134</v>
      </c>
      <c r="H932" s="443">
        <f t="shared" si="282"/>
        <v>7</v>
      </c>
      <c r="I932" s="443">
        <f>VLOOKUP(D932,'Orçamento Analitico'!D:L,9,FALSE())</f>
        <v>46.93</v>
      </c>
      <c r="J932" s="443">
        <f t="shared" si="283"/>
        <v>58.89</v>
      </c>
      <c r="K932" s="443">
        <f t="shared" si="284"/>
        <v>328.51</v>
      </c>
      <c r="L932" s="443">
        <f t="shared" si="285"/>
        <v>412.23</v>
      </c>
      <c r="M932" s="461" t="e">
        <f t="shared" si="279"/>
        <v>#N/A</v>
      </c>
      <c r="N932" s="464">
        <v>0</v>
      </c>
      <c r="O932" s="465"/>
      <c r="P932" s="465"/>
      <c r="Q932" s="465">
        <v>7</v>
      </c>
      <c r="R932" s="465">
        <v>0</v>
      </c>
      <c r="S932" s="465">
        <v>0</v>
      </c>
      <c r="T932" s="465">
        <v>0</v>
      </c>
      <c r="U932" s="479"/>
      <c r="V932" s="422"/>
      <c r="W932" s="422"/>
      <c r="X932" s="422"/>
      <c r="Y932" s="422"/>
      <c r="Z932" s="422"/>
    </row>
    <row r="933" ht="12.75" customHeight="1" spans="1:26">
      <c r="A933" s="422" t="str">
        <f t="shared" si="280"/>
        <v> 15.5 </v>
      </c>
      <c r="B933" s="423" t="str">
        <f t="shared" si="281"/>
        <v> 15.5 </v>
      </c>
      <c r="C933" s="441" t="s">
        <v>2555</v>
      </c>
      <c r="D933" s="442" t="s">
        <v>2556</v>
      </c>
      <c r="E933" s="441" t="s">
        <v>149</v>
      </c>
      <c r="F933" s="441" t="s">
        <v>2557</v>
      </c>
      <c r="G933" s="442" t="s">
        <v>134</v>
      </c>
      <c r="H933" s="443">
        <f t="shared" si="282"/>
        <v>7</v>
      </c>
      <c r="I933" s="443">
        <f>VLOOKUP(D933,'Orçamento Analitico'!D:L,9,FALSE())</f>
        <v>44.53</v>
      </c>
      <c r="J933" s="443">
        <f t="shared" si="283"/>
        <v>55.88</v>
      </c>
      <c r="K933" s="443">
        <f t="shared" si="284"/>
        <v>311.71</v>
      </c>
      <c r="L933" s="443">
        <f t="shared" si="285"/>
        <v>391.16</v>
      </c>
      <c r="M933" s="461" t="e">
        <f t="shared" si="279"/>
        <v>#N/A</v>
      </c>
      <c r="N933" s="464">
        <v>0</v>
      </c>
      <c r="O933" s="465"/>
      <c r="P933" s="465"/>
      <c r="Q933" s="465">
        <v>7</v>
      </c>
      <c r="R933" s="465">
        <v>0</v>
      </c>
      <c r="S933" s="465">
        <v>0</v>
      </c>
      <c r="T933" s="465">
        <v>0</v>
      </c>
      <c r="U933" s="479"/>
      <c r="V933" s="422"/>
      <c r="W933" s="422"/>
      <c r="X933" s="422"/>
      <c r="Y933" s="422"/>
      <c r="Z933" s="422"/>
    </row>
    <row r="934" ht="12.75" customHeight="1" spans="1:26">
      <c r="A934" s="422" t="str">
        <f t="shared" si="280"/>
        <v> 15.5 </v>
      </c>
      <c r="B934" s="423" t="str">
        <f t="shared" si="281"/>
        <v> 15.5 </v>
      </c>
      <c r="C934" s="441" t="s">
        <v>2558</v>
      </c>
      <c r="D934" s="442" t="s">
        <v>2559</v>
      </c>
      <c r="E934" s="441" t="s">
        <v>149</v>
      </c>
      <c r="F934" s="441" t="s">
        <v>2560</v>
      </c>
      <c r="G934" s="442" t="s">
        <v>134</v>
      </c>
      <c r="H934" s="443">
        <f t="shared" si="282"/>
        <v>26</v>
      </c>
      <c r="I934" s="443">
        <f>VLOOKUP(D934,'Orçamento Analitico'!D:L,9,FALSE())</f>
        <v>155.92</v>
      </c>
      <c r="J934" s="443">
        <f t="shared" si="283"/>
        <v>195.66</v>
      </c>
      <c r="K934" s="443">
        <f t="shared" si="284"/>
        <v>4053.92</v>
      </c>
      <c r="L934" s="443">
        <f t="shared" si="285"/>
        <v>5087.16</v>
      </c>
      <c r="M934" s="461" t="e">
        <f t="shared" si="279"/>
        <v>#N/A</v>
      </c>
      <c r="N934" s="464">
        <v>0</v>
      </c>
      <c r="O934" s="465"/>
      <c r="P934" s="465"/>
      <c r="Q934" s="465">
        <v>26</v>
      </c>
      <c r="R934" s="465">
        <v>0</v>
      </c>
      <c r="S934" s="465">
        <v>0</v>
      </c>
      <c r="T934" s="465">
        <v>0</v>
      </c>
      <c r="U934" s="479"/>
      <c r="V934" s="422"/>
      <c r="W934" s="422"/>
      <c r="X934" s="422"/>
      <c r="Y934" s="422"/>
      <c r="Z934" s="422"/>
    </row>
    <row r="935" ht="12.75" customHeight="1" spans="1:26">
      <c r="A935" s="422" t="str">
        <f t="shared" si="280"/>
        <v> 15.5 </v>
      </c>
      <c r="B935" s="423" t="str">
        <f t="shared" si="281"/>
        <v> 15.5 </v>
      </c>
      <c r="C935" s="441" t="s">
        <v>2561</v>
      </c>
      <c r="D935" s="442" t="s">
        <v>2562</v>
      </c>
      <c r="E935" s="441" t="s">
        <v>149</v>
      </c>
      <c r="F935" s="441" t="s">
        <v>2563</v>
      </c>
      <c r="G935" s="442" t="s">
        <v>134</v>
      </c>
      <c r="H935" s="443">
        <f t="shared" si="282"/>
        <v>26</v>
      </c>
      <c r="I935" s="443">
        <f>VLOOKUP(D935,'Orçamento Analitico'!D:L,9,FALSE())</f>
        <v>15.98</v>
      </c>
      <c r="J935" s="443">
        <f t="shared" si="283"/>
        <v>20.05</v>
      </c>
      <c r="K935" s="443">
        <f t="shared" si="284"/>
        <v>415.48</v>
      </c>
      <c r="L935" s="443">
        <f t="shared" si="285"/>
        <v>521.3</v>
      </c>
      <c r="M935" s="461" t="e">
        <f t="shared" si="279"/>
        <v>#N/A</v>
      </c>
      <c r="N935" s="464">
        <v>0</v>
      </c>
      <c r="O935" s="465"/>
      <c r="P935" s="465"/>
      <c r="Q935" s="465">
        <v>26</v>
      </c>
      <c r="R935" s="465">
        <v>0</v>
      </c>
      <c r="S935" s="465">
        <v>0</v>
      </c>
      <c r="T935" s="465">
        <v>0</v>
      </c>
      <c r="U935" s="479"/>
      <c r="V935" s="422"/>
      <c r="W935" s="422"/>
      <c r="X935" s="422"/>
      <c r="Y935" s="422"/>
      <c r="Z935" s="422"/>
    </row>
    <row r="936" ht="12.75" customHeight="1" spans="1:26">
      <c r="A936" s="422" t="str">
        <f t="shared" si="280"/>
        <v> 15.5 </v>
      </c>
      <c r="B936" s="423" t="str">
        <f t="shared" si="281"/>
        <v> 15.5 </v>
      </c>
      <c r="C936" s="441" t="s">
        <v>2564</v>
      </c>
      <c r="D936" s="442" t="s">
        <v>2565</v>
      </c>
      <c r="E936" s="441" t="s">
        <v>149</v>
      </c>
      <c r="F936" s="441" t="s">
        <v>2566</v>
      </c>
      <c r="G936" s="442" t="s">
        <v>134</v>
      </c>
      <c r="H936" s="443">
        <f t="shared" si="282"/>
        <v>6</v>
      </c>
      <c r="I936" s="443">
        <f>VLOOKUP(D936,'Orçamento Analitico'!D:L,9,FALSE())</f>
        <v>57.63</v>
      </c>
      <c r="J936" s="443">
        <f t="shared" si="283"/>
        <v>72.31</v>
      </c>
      <c r="K936" s="443">
        <f t="shared" si="284"/>
        <v>345.78</v>
      </c>
      <c r="L936" s="443">
        <f t="shared" si="285"/>
        <v>433.86</v>
      </c>
      <c r="M936" s="461" t="e">
        <f t="shared" si="279"/>
        <v>#N/A</v>
      </c>
      <c r="N936" s="464">
        <v>0</v>
      </c>
      <c r="O936" s="465"/>
      <c r="P936" s="465"/>
      <c r="Q936" s="465">
        <v>6</v>
      </c>
      <c r="R936" s="465">
        <v>0</v>
      </c>
      <c r="S936" s="465">
        <v>0</v>
      </c>
      <c r="T936" s="465">
        <v>0</v>
      </c>
      <c r="U936" s="479"/>
      <c r="V936" s="422"/>
      <c r="W936" s="422"/>
      <c r="X936" s="422"/>
      <c r="Y936" s="422"/>
      <c r="Z936" s="422"/>
    </row>
    <row r="937" ht="12.75" customHeight="1" spans="1:26">
      <c r="A937" s="422" t="str">
        <f t="shared" si="280"/>
        <v> 15.5 </v>
      </c>
      <c r="B937" s="423" t="str">
        <f t="shared" si="281"/>
        <v> 15.5 </v>
      </c>
      <c r="C937" s="441" t="s">
        <v>2567</v>
      </c>
      <c r="D937" s="442" t="s">
        <v>2568</v>
      </c>
      <c r="E937" s="441" t="s">
        <v>149</v>
      </c>
      <c r="F937" s="441" t="s">
        <v>2569</v>
      </c>
      <c r="G937" s="442" t="s">
        <v>134</v>
      </c>
      <c r="H937" s="443">
        <f t="shared" si="282"/>
        <v>2</v>
      </c>
      <c r="I937" s="443">
        <f>VLOOKUP(D937,'Orçamento Analitico'!D:L,9,FALSE())</f>
        <v>77.73</v>
      </c>
      <c r="J937" s="443">
        <f t="shared" si="283"/>
        <v>97.54</v>
      </c>
      <c r="K937" s="443">
        <f t="shared" si="284"/>
        <v>155.46</v>
      </c>
      <c r="L937" s="443">
        <f t="shared" si="285"/>
        <v>195.08</v>
      </c>
      <c r="M937" s="461" t="e">
        <f t="shared" si="279"/>
        <v>#N/A</v>
      </c>
      <c r="N937" s="464">
        <v>0</v>
      </c>
      <c r="O937" s="465"/>
      <c r="P937" s="465"/>
      <c r="Q937" s="465">
        <v>2</v>
      </c>
      <c r="R937" s="465">
        <v>0</v>
      </c>
      <c r="S937" s="465">
        <v>0</v>
      </c>
      <c r="T937" s="465">
        <v>0</v>
      </c>
      <c r="U937" s="479"/>
      <c r="V937" s="422"/>
      <c r="W937" s="422"/>
      <c r="X937" s="422"/>
      <c r="Y937" s="422"/>
      <c r="Z937" s="422"/>
    </row>
    <row r="938" ht="12.75" customHeight="1" spans="1:26">
      <c r="A938" s="422" t="str">
        <f t="shared" si="280"/>
        <v> 15.5 </v>
      </c>
      <c r="B938" s="423" t="str">
        <f t="shared" si="281"/>
        <v> 15.5 </v>
      </c>
      <c r="C938" s="441" t="s">
        <v>2570</v>
      </c>
      <c r="D938" s="442" t="s">
        <v>2571</v>
      </c>
      <c r="E938" s="441" t="s">
        <v>149</v>
      </c>
      <c r="F938" s="441" t="s">
        <v>2572</v>
      </c>
      <c r="G938" s="442" t="s">
        <v>134</v>
      </c>
      <c r="H938" s="443">
        <f t="shared" si="282"/>
        <v>4</v>
      </c>
      <c r="I938" s="443">
        <f>VLOOKUP(D938,'Orçamento Analitico'!D:L,9,FALSE())</f>
        <v>167.79</v>
      </c>
      <c r="J938" s="443">
        <f t="shared" si="283"/>
        <v>210.55</v>
      </c>
      <c r="K938" s="443">
        <f t="shared" si="284"/>
        <v>671.16</v>
      </c>
      <c r="L938" s="443">
        <f t="shared" si="285"/>
        <v>842.2</v>
      </c>
      <c r="M938" s="461" t="e">
        <f t="shared" si="279"/>
        <v>#N/A</v>
      </c>
      <c r="N938" s="464">
        <v>0</v>
      </c>
      <c r="O938" s="465"/>
      <c r="P938" s="465"/>
      <c r="Q938" s="465">
        <v>4</v>
      </c>
      <c r="R938" s="465">
        <v>0</v>
      </c>
      <c r="S938" s="465">
        <v>0</v>
      </c>
      <c r="T938" s="465">
        <v>0</v>
      </c>
      <c r="U938" s="479"/>
      <c r="V938" s="422"/>
      <c r="W938" s="422"/>
      <c r="X938" s="422"/>
      <c r="Y938" s="422"/>
      <c r="Z938" s="422"/>
    </row>
    <row r="939" ht="12.75" customHeight="1" spans="1:26">
      <c r="A939" s="422" t="str">
        <f t="shared" si="280"/>
        <v> 15.5 </v>
      </c>
      <c r="B939" s="423" t="str">
        <f t="shared" si="281"/>
        <v> 15.5 </v>
      </c>
      <c r="C939" s="441" t="s">
        <v>2573</v>
      </c>
      <c r="D939" s="442" t="s">
        <v>2574</v>
      </c>
      <c r="E939" s="441" t="s">
        <v>149</v>
      </c>
      <c r="F939" s="441" t="s">
        <v>2575</v>
      </c>
      <c r="G939" s="442" t="s">
        <v>134</v>
      </c>
      <c r="H939" s="443">
        <f t="shared" si="282"/>
        <v>2</v>
      </c>
      <c r="I939" s="443">
        <f>VLOOKUP(D939,'Orçamento Analitico'!D:L,9,FALSE())</f>
        <v>242.9</v>
      </c>
      <c r="J939" s="443">
        <f t="shared" si="283"/>
        <v>304.81</v>
      </c>
      <c r="K939" s="443">
        <f t="shared" si="284"/>
        <v>485.8</v>
      </c>
      <c r="L939" s="443">
        <f t="shared" si="285"/>
        <v>609.62</v>
      </c>
      <c r="M939" s="461" t="e">
        <f t="shared" si="279"/>
        <v>#N/A</v>
      </c>
      <c r="N939" s="464"/>
      <c r="O939" s="465"/>
      <c r="P939" s="465"/>
      <c r="Q939" s="465">
        <v>2</v>
      </c>
      <c r="R939" s="465">
        <v>0</v>
      </c>
      <c r="S939" s="465">
        <v>0</v>
      </c>
      <c r="T939" s="465">
        <v>0</v>
      </c>
      <c r="U939" s="479"/>
      <c r="V939" s="422"/>
      <c r="W939" s="422"/>
      <c r="X939" s="422"/>
      <c r="Y939" s="422"/>
      <c r="Z939" s="422"/>
    </row>
    <row r="940" ht="12.75" customHeight="1" spans="1:26">
      <c r="A940" s="422" t="str">
        <f t="shared" si="280"/>
        <v> 15.5 </v>
      </c>
      <c r="B940" s="423" t="str">
        <f t="shared" si="281"/>
        <v> 15.5 </v>
      </c>
      <c r="C940" s="441" t="s">
        <v>2576</v>
      </c>
      <c r="D940" s="442" t="s">
        <v>2577</v>
      </c>
      <c r="E940" s="441" t="s">
        <v>139</v>
      </c>
      <c r="F940" s="441" t="s">
        <v>2578</v>
      </c>
      <c r="G940" s="442" t="s">
        <v>134</v>
      </c>
      <c r="H940" s="443">
        <f t="shared" si="282"/>
        <v>14</v>
      </c>
      <c r="I940" s="443">
        <f>VLOOKUP(D940,'Orçamento Analitico'!D:L,9,FALSE())</f>
        <v>42.83</v>
      </c>
      <c r="J940" s="443">
        <f t="shared" si="283"/>
        <v>53.74</v>
      </c>
      <c r="K940" s="443">
        <f t="shared" si="284"/>
        <v>599.62</v>
      </c>
      <c r="L940" s="443">
        <f t="shared" si="285"/>
        <v>752.36</v>
      </c>
      <c r="M940" s="461" t="e">
        <f t="shared" si="279"/>
        <v>#N/A</v>
      </c>
      <c r="N940" s="464">
        <v>0</v>
      </c>
      <c r="O940" s="465"/>
      <c r="P940" s="465"/>
      <c r="Q940" s="465">
        <v>14</v>
      </c>
      <c r="R940" s="465">
        <v>0</v>
      </c>
      <c r="S940" s="465">
        <v>0</v>
      </c>
      <c r="T940" s="465">
        <v>0</v>
      </c>
      <c r="U940" s="479"/>
      <c r="V940" s="422"/>
      <c r="W940" s="422"/>
      <c r="X940" s="422"/>
      <c r="Y940" s="422"/>
      <c r="Z940" s="422"/>
    </row>
    <row r="941" ht="12.75" customHeight="1" spans="1:26">
      <c r="A941" s="422" t="str">
        <f t="shared" si="280"/>
        <v> 15.5 </v>
      </c>
      <c r="B941" s="423" t="str">
        <f t="shared" si="281"/>
        <v> 15.5 </v>
      </c>
      <c r="C941" s="441" t="s">
        <v>2579</v>
      </c>
      <c r="D941" s="442" t="s">
        <v>2580</v>
      </c>
      <c r="E941" s="441" t="s">
        <v>139</v>
      </c>
      <c r="F941" s="441" t="s">
        <v>2581</v>
      </c>
      <c r="G941" s="442" t="s">
        <v>134</v>
      </c>
      <c r="H941" s="443">
        <f t="shared" si="282"/>
        <v>52</v>
      </c>
      <c r="I941" s="443">
        <f>VLOOKUP(D941,'Orçamento Analitico'!D:L,9,FALSE())</f>
        <v>56.96</v>
      </c>
      <c r="J941" s="443">
        <f t="shared" si="283"/>
        <v>71.47</v>
      </c>
      <c r="K941" s="443">
        <f t="shared" si="284"/>
        <v>2961.92</v>
      </c>
      <c r="L941" s="443">
        <f t="shared" si="285"/>
        <v>3716.44</v>
      </c>
      <c r="M941" s="461" t="e">
        <f t="shared" si="279"/>
        <v>#N/A</v>
      </c>
      <c r="N941" s="464">
        <v>0</v>
      </c>
      <c r="O941" s="465"/>
      <c r="P941" s="465"/>
      <c r="Q941" s="465">
        <v>52</v>
      </c>
      <c r="R941" s="465">
        <v>0</v>
      </c>
      <c r="S941" s="465">
        <v>0</v>
      </c>
      <c r="T941" s="465">
        <v>0</v>
      </c>
      <c r="U941" s="479"/>
      <c r="V941" s="422"/>
      <c r="W941" s="422"/>
      <c r="X941" s="422"/>
      <c r="Y941" s="422"/>
      <c r="Z941" s="422"/>
    </row>
    <row r="942" ht="12.75" customHeight="1" spans="1:26">
      <c r="A942" s="422" t="str">
        <f t="shared" si="280"/>
        <v> 15.5 </v>
      </c>
      <c r="B942" s="423" t="str">
        <f t="shared" si="281"/>
        <v> 15.5 </v>
      </c>
      <c r="C942" s="441" t="s">
        <v>2582</v>
      </c>
      <c r="D942" s="442" t="s">
        <v>2583</v>
      </c>
      <c r="E942" s="441" t="s">
        <v>139</v>
      </c>
      <c r="F942" s="441" t="s">
        <v>2584</v>
      </c>
      <c r="G942" s="442" t="s">
        <v>134</v>
      </c>
      <c r="H942" s="443">
        <f t="shared" si="282"/>
        <v>2</v>
      </c>
      <c r="I942" s="443">
        <f>VLOOKUP(D942,'Orçamento Analitico'!D:L,9,FALSE())</f>
        <v>60.31</v>
      </c>
      <c r="J942" s="443">
        <f t="shared" si="283"/>
        <v>75.68</v>
      </c>
      <c r="K942" s="443">
        <f t="shared" si="284"/>
        <v>120.62</v>
      </c>
      <c r="L942" s="443">
        <f t="shared" si="285"/>
        <v>151.36</v>
      </c>
      <c r="M942" s="461" t="e">
        <f t="shared" si="279"/>
        <v>#N/A</v>
      </c>
      <c r="N942" s="464">
        <v>0</v>
      </c>
      <c r="O942" s="465"/>
      <c r="P942" s="465"/>
      <c r="Q942" s="465">
        <v>2</v>
      </c>
      <c r="R942" s="465">
        <v>0</v>
      </c>
      <c r="S942" s="465">
        <v>0</v>
      </c>
      <c r="T942" s="465">
        <v>0</v>
      </c>
      <c r="U942" s="479"/>
      <c r="V942" s="422"/>
      <c r="W942" s="422"/>
      <c r="X942" s="422"/>
      <c r="Y942" s="422"/>
      <c r="Z942" s="422"/>
    </row>
    <row r="943" ht="12.75" customHeight="1" spans="1:26">
      <c r="A943" s="422" t="str">
        <f t="shared" si="280"/>
        <v> 15.5 </v>
      </c>
      <c r="B943" s="423" t="str">
        <f t="shared" si="281"/>
        <v> 15.5 </v>
      </c>
      <c r="C943" s="441" t="s">
        <v>2585</v>
      </c>
      <c r="D943" s="442" t="s">
        <v>2586</v>
      </c>
      <c r="E943" s="441" t="s">
        <v>139</v>
      </c>
      <c r="F943" s="441" t="s">
        <v>2587</v>
      </c>
      <c r="G943" s="442" t="s">
        <v>134</v>
      </c>
      <c r="H943" s="443">
        <f t="shared" si="282"/>
        <v>2</v>
      </c>
      <c r="I943" s="443">
        <f>VLOOKUP(D943,'Orçamento Analitico'!D:L,9,FALSE())</f>
        <v>75.31</v>
      </c>
      <c r="J943" s="443">
        <f t="shared" si="283"/>
        <v>94.5</v>
      </c>
      <c r="K943" s="443">
        <f t="shared" si="284"/>
        <v>150.62</v>
      </c>
      <c r="L943" s="443">
        <f t="shared" si="285"/>
        <v>189</v>
      </c>
      <c r="M943" s="461" t="e">
        <f t="shared" si="279"/>
        <v>#N/A</v>
      </c>
      <c r="N943" s="464">
        <v>0</v>
      </c>
      <c r="O943" s="465"/>
      <c r="P943" s="465"/>
      <c r="Q943" s="465">
        <v>2</v>
      </c>
      <c r="R943" s="465">
        <v>0</v>
      </c>
      <c r="S943" s="465">
        <v>0</v>
      </c>
      <c r="T943" s="465">
        <v>0</v>
      </c>
      <c r="U943" s="479"/>
      <c r="V943" s="422"/>
      <c r="W943" s="422"/>
      <c r="X943" s="422"/>
      <c r="Y943" s="422"/>
      <c r="Z943" s="422"/>
    </row>
    <row r="944" ht="12.75" customHeight="1" spans="1:26">
      <c r="A944" s="422" t="str">
        <f t="shared" si="280"/>
        <v> 15.5 </v>
      </c>
      <c r="B944" s="423" t="str">
        <f t="shared" si="281"/>
        <v> 15.5 </v>
      </c>
      <c r="C944" s="441" t="s">
        <v>2588</v>
      </c>
      <c r="D944" s="442" t="s">
        <v>2589</v>
      </c>
      <c r="E944" s="441" t="s">
        <v>139</v>
      </c>
      <c r="F944" s="441" t="s">
        <v>2590</v>
      </c>
      <c r="G944" s="442" t="s">
        <v>134</v>
      </c>
      <c r="H944" s="443">
        <f t="shared" si="282"/>
        <v>2</v>
      </c>
      <c r="I944" s="443">
        <f>VLOOKUP(D944,'Orçamento Analitico'!D:L,9,FALSE())</f>
        <v>93.28</v>
      </c>
      <c r="J944" s="443">
        <f t="shared" si="283"/>
        <v>117.05</v>
      </c>
      <c r="K944" s="443">
        <f t="shared" si="284"/>
        <v>186.56</v>
      </c>
      <c r="L944" s="443">
        <f t="shared" si="285"/>
        <v>234.1</v>
      </c>
      <c r="M944" s="461" t="e">
        <f t="shared" si="279"/>
        <v>#N/A</v>
      </c>
      <c r="N944" s="464">
        <v>0</v>
      </c>
      <c r="O944" s="465"/>
      <c r="P944" s="465"/>
      <c r="Q944" s="465">
        <v>2</v>
      </c>
      <c r="R944" s="465">
        <v>0</v>
      </c>
      <c r="S944" s="465">
        <v>0</v>
      </c>
      <c r="T944" s="465">
        <v>0</v>
      </c>
      <c r="U944" s="479"/>
      <c r="V944" s="422"/>
      <c r="W944" s="422"/>
      <c r="X944" s="422"/>
      <c r="Y944" s="422"/>
      <c r="Z944" s="422"/>
    </row>
    <row r="945" ht="12.75" customHeight="1" spans="1:26">
      <c r="A945" s="422" t="str">
        <f t="shared" si="280"/>
        <v> 15.5 </v>
      </c>
      <c r="B945" s="423" t="str">
        <f t="shared" si="281"/>
        <v> 15.5 </v>
      </c>
      <c r="C945" s="441" t="s">
        <v>2591</v>
      </c>
      <c r="D945" s="442" t="s">
        <v>2592</v>
      </c>
      <c r="E945" s="441" t="s">
        <v>139</v>
      </c>
      <c r="F945" s="441" t="s">
        <v>2593</v>
      </c>
      <c r="G945" s="442" t="s">
        <v>134</v>
      </c>
      <c r="H945" s="443">
        <f t="shared" si="282"/>
        <v>2</v>
      </c>
      <c r="I945" s="443">
        <f>VLOOKUP(D945,'Orçamento Analitico'!D:L,9,FALSE())</f>
        <v>129.24</v>
      </c>
      <c r="J945" s="443">
        <f t="shared" si="283"/>
        <v>162.18</v>
      </c>
      <c r="K945" s="443">
        <f t="shared" si="284"/>
        <v>258.48</v>
      </c>
      <c r="L945" s="443">
        <f t="shared" si="285"/>
        <v>324.36</v>
      </c>
      <c r="M945" s="461" t="e">
        <f t="shared" si="279"/>
        <v>#N/A</v>
      </c>
      <c r="N945" s="464">
        <v>0</v>
      </c>
      <c r="O945" s="465"/>
      <c r="P945" s="465"/>
      <c r="Q945" s="465">
        <v>2</v>
      </c>
      <c r="R945" s="465">
        <v>0</v>
      </c>
      <c r="S945" s="465">
        <v>0</v>
      </c>
      <c r="T945" s="465">
        <v>0</v>
      </c>
      <c r="U945" s="479"/>
      <c r="V945" s="422"/>
      <c r="W945" s="422"/>
      <c r="X945" s="422"/>
      <c r="Y945" s="422"/>
      <c r="Z945" s="422"/>
    </row>
    <row r="946" ht="12.75" customHeight="1" spans="1:26">
      <c r="A946" s="422" t="str">
        <f t="shared" si="280"/>
        <v> 15.5 </v>
      </c>
      <c r="B946" s="423" t="str">
        <f t="shared" si="281"/>
        <v> 15.5 </v>
      </c>
      <c r="C946" s="441" t="s">
        <v>2594</v>
      </c>
      <c r="D946" s="442" t="s">
        <v>2595</v>
      </c>
      <c r="E946" s="441" t="s">
        <v>139</v>
      </c>
      <c r="F946" s="441" t="s">
        <v>2596</v>
      </c>
      <c r="G946" s="442" t="s">
        <v>134</v>
      </c>
      <c r="H946" s="443">
        <f t="shared" si="282"/>
        <v>2</v>
      </c>
      <c r="I946" s="443">
        <f>VLOOKUP(D946,'Orçamento Analitico'!D:L,9,FALSE())</f>
        <v>130.6</v>
      </c>
      <c r="J946" s="443">
        <f t="shared" si="283"/>
        <v>163.88</v>
      </c>
      <c r="K946" s="443">
        <f t="shared" si="284"/>
        <v>261.2</v>
      </c>
      <c r="L946" s="443">
        <f t="shared" si="285"/>
        <v>327.76</v>
      </c>
      <c r="M946" s="461" t="e">
        <f t="shared" si="279"/>
        <v>#N/A</v>
      </c>
      <c r="N946" s="464">
        <v>0</v>
      </c>
      <c r="O946" s="465"/>
      <c r="P946" s="465"/>
      <c r="Q946" s="465">
        <v>2</v>
      </c>
      <c r="R946" s="465">
        <v>0</v>
      </c>
      <c r="S946" s="465">
        <v>0</v>
      </c>
      <c r="T946" s="465">
        <v>0</v>
      </c>
      <c r="U946" s="479"/>
      <c r="V946" s="422"/>
      <c r="W946" s="422"/>
      <c r="X946" s="422"/>
      <c r="Y946" s="422"/>
      <c r="Z946" s="422"/>
    </row>
    <row r="947" ht="12.75" customHeight="1" spans="1:26">
      <c r="A947" s="422" t="str">
        <f t="shared" si="280"/>
        <v> 15.5 </v>
      </c>
      <c r="B947" s="423" t="str">
        <f t="shared" si="281"/>
        <v> 15.5 </v>
      </c>
      <c r="C947" s="441" t="s">
        <v>2597</v>
      </c>
      <c r="D947" s="442" t="s">
        <v>2598</v>
      </c>
      <c r="E947" s="441" t="s">
        <v>139</v>
      </c>
      <c r="F947" s="441" t="s">
        <v>2599</v>
      </c>
      <c r="G947" s="442" t="s">
        <v>134</v>
      </c>
      <c r="H947" s="443">
        <f t="shared" si="282"/>
        <v>4</v>
      </c>
      <c r="I947" s="443">
        <f>VLOOKUP(D947,'Orçamento Analitico'!D:L,9,FALSE())</f>
        <v>172.67</v>
      </c>
      <c r="J947" s="443">
        <f t="shared" si="283"/>
        <v>216.68</v>
      </c>
      <c r="K947" s="443">
        <f t="shared" si="284"/>
        <v>690.68</v>
      </c>
      <c r="L947" s="443">
        <f t="shared" si="285"/>
        <v>866.72</v>
      </c>
      <c r="M947" s="461" t="e">
        <f t="shared" si="279"/>
        <v>#N/A</v>
      </c>
      <c r="N947" s="464">
        <v>0</v>
      </c>
      <c r="O947" s="465"/>
      <c r="P947" s="465"/>
      <c r="Q947" s="465">
        <v>4</v>
      </c>
      <c r="R947" s="465">
        <v>0</v>
      </c>
      <c r="S947" s="465">
        <v>0</v>
      </c>
      <c r="T947" s="465">
        <v>0</v>
      </c>
      <c r="U947" s="479"/>
      <c r="V947" s="422"/>
      <c r="W947" s="422"/>
      <c r="X947" s="422"/>
      <c r="Y947" s="422"/>
      <c r="Z947" s="422"/>
    </row>
    <row r="948" ht="12.75" customHeight="1" spans="1:26">
      <c r="A948" s="422" t="str">
        <f t="shared" si="280"/>
        <v> 15.5 </v>
      </c>
      <c r="B948" s="423" t="str">
        <f t="shared" si="281"/>
        <v> 15.5 </v>
      </c>
      <c r="C948" s="441" t="s">
        <v>2600</v>
      </c>
      <c r="D948" s="442" t="s">
        <v>2601</v>
      </c>
      <c r="E948" s="441" t="s">
        <v>139</v>
      </c>
      <c r="F948" s="441" t="s">
        <v>2602</v>
      </c>
      <c r="G948" s="442" t="s">
        <v>134</v>
      </c>
      <c r="H948" s="443">
        <f t="shared" si="282"/>
        <v>4</v>
      </c>
      <c r="I948" s="443">
        <f>VLOOKUP(D948,'Orçamento Analitico'!D:L,9,FALSE())</f>
        <v>260.18</v>
      </c>
      <c r="J948" s="443">
        <f t="shared" si="283"/>
        <v>326.49</v>
      </c>
      <c r="K948" s="443">
        <f t="shared" si="284"/>
        <v>1040.72</v>
      </c>
      <c r="L948" s="443">
        <f t="shared" si="285"/>
        <v>1305.96</v>
      </c>
      <c r="M948" s="461" t="e">
        <f t="shared" si="279"/>
        <v>#N/A</v>
      </c>
      <c r="N948" s="464">
        <v>0</v>
      </c>
      <c r="O948" s="465"/>
      <c r="P948" s="465"/>
      <c r="Q948" s="465">
        <v>4</v>
      </c>
      <c r="R948" s="465">
        <v>0</v>
      </c>
      <c r="S948" s="465">
        <v>0</v>
      </c>
      <c r="T948" s="465">
        <v>0</v>
      </c>
      <c r="U948" s="479"/>
      <c r="V948" s="422"/>
      <c r="W948" s="422"/>
      <c r="X948" s="422"/>
      <c r="Y948" s="422"/>
      <c r="Z948" s="422"/>
    </row>
    <row r="949" ht="18" customHeight="1" spans="1:26">
      <c r="A949" s="422" t="str">
        <f t="shared" si="280"/>
        <v> 15.5 </v>
      </c>
      <c r="B949" s="423" t="str">
        <f t="shared" si="281"/>
        <v> 15.5 </v>
      </c>
      <c r="C949" s="441" t="s">
        <v>2603</v>
      </c>
      <c r="D949" s="442" t="s">
        <v>2604</v>
      </c>
      <c r="E949" s="441" t="s">
        <v>149</v>
      </c>
      <c r="F949" s="441" t="s">
        <v>2605</v>
      </c>
      <c r="G949" s="442" t="s">
        <v>393</v>
      </c>
      <c r="H949" s="443">
        <f t="shared" si="282"/>
        <v>9.2</v>
      </c>
      <c r="I949" s="443">
        <f>VLOOKUP(D949,'Orçamento Analitico'!D:L,9,FALSE())</f>
        <v>107.03</v>
      </c>
      <c r="J949" s="443">
        <f t="shared" si="283"/>
        <v>134.31</v>
      </c>
      <c r="K949" s="443">
        <f t="shared" si="284"/>
        <v>984.67</v>
      </c>
      <c r="L949" s="443">
        <f t="shared" si="285"/>
        <v>1235.65</v>
      </c>
      <c r="M949" s="461" t="e">
        <f t="shared" si="279"/>
        <v>#N/A</v>
      </c>
      <c r="N949" s="464">
        <v>0</v>
      </c>
      <c r="O949" s="465"/>
      <c r="P949" s="465"/>
      <c r="Q949" s="465">
        <v>4.2</v>
      </c>
      <c r="R949" s="465">
        <v>0</v>
      </c>
      <c r="S949" s="465">
        <v>5</v>
      </c>
      <c r="T949" s="465">
        <v>0</v>
      </c>
      <c r="U949" s="479"/>
      <c r="V949" s="422"/>
      <c r="W949" s="422"/>
      <c r="X949" s="422"/>
      <c r="Y949" s="422"/>
      <c r="Z949" s="422"/>
    </row>
    <row r="950" ht="18" customHeight="1" spans="1:26">
      <c r="A950" s="422" t="str">
        <f t="shared" si="280"/>
        <v> 15.5 </v>
      </c>
      <c r="B950" s="423" t="str">
        <f t="shared" si="281"/>
        <v> 15.5 </v>
      </c>
      <c r="C950" s="441" t="s">
        <v>2606</v>
      </c>
      <c r="D950" s="442" t="s">
        <v>2607</v>
      </c>
      <c r="E950" s="441" t="s">
        <v>149</v>
      </c>
      <c r="F950" s="441" t="s">
        <v>2608</v>
      </c>
      <c r="G950" s="442" t="s">
        <v>393</v>
      </c>
      <c r="H950" s="443">
        <f t="shared" si="282"/>
        <v>4.1</v>
      </c>
      <c r="I950" s="443">
        <f>VLOOKUP(D950,'Orçamento Analitico'!D:L,9,FALSE())</f>
        <v>84.45</v>
      </c>
      <c r="J950" s="443">
        <f t="shared" si="283"/>
        <v>105.97</v>
      </c>
      <c r="K950" s="443">
        <f t="shared" si="284"/>
        <v>346.24</v>
      </c>
      <c r="L950" s="443">
        <f t="shared" si="285"/>
        <v>434.47</v>
      </c>
      <c r="M950" s="461" t="e">
        <f t="shared" si="279"/>
        <v>#N/A</v>
      </c>
      <c r="N950" s="464">
        <v>0</v>
      </c>
      <c r="O950" s="465"/>
      <c r="P950" s="465"/>
      <c r="Q950" s="465">
        <v>1.94</v>
      </c>
      <c r="R950" s="465">
        <v>0</v>
      </c>
      <c r="S950" s="465">
        <v>2.16</v>
      </c>
      <c r="T950" s="465">
        <v>0</v>
      </c>
      <c r="U950" s="479"/>
      <c r="V950" s="422"/>
      <c r="W950" s="422"/>
      <c r="X950" s="422"/>
      <c r="Y950" s="422"/>
      <c r="Z950" s="422"/>
    </row>
    <row r="951" ht="12.75" customHeight="1" spans="1:26">
      <c r="A951" s="422"/>
      <c r="B951" s="423" t="str">
        <f>C951</f>
        <v> 15.6 </v>
      </c>
      <c r="C951" s="444" t="s">
        <v>2609</v>
      </c>
      <c r="D951" s="445" t="s">
        <v>74</v>
      </c>
      <c r="E951" s="444"/>
      <c r="F951" s="444" t="s">
        <v>2610</v>
      </c>
      <c r="G951" s="445"/>
      <c r="H951" s="446"/>
      <c r="I951" s="446"/>
      <c r="J951" s="466"/>
      <c r="K951" s="466">
        <f>SUMIF(A:A,B951,K:K)</f>
        <v>307485.22</v>
      </c>
      <c r="L951" s="466">
        <f>SUMIF(A:A,C951,L:L)</f>
        <v>385853.31</v>
      </c>
      <c r="M951" s="467" t="e">
        <f t="shared" si="279"/>
        <v>#N/A</v>
      </c>
      <c r="N951" s="532" t="s">
        <v>6121</v>
      </c>
      <c r="O951" s="533" t="s">
        <v>6122</v>
      </c>
      <c r="P951" s="533" t="s">
        <v>6123</v>
      </c>
      <c r="Q951" s="533" t="s">
        <v>6124</v>
      </c>
      <c r="R951" s="533" t="s">
        <v>6125</v>
      </c>
      <c r="S951" s="533" t="s">
        <v>6126</v>
      </c>
      <c r="T951" s="533" t="s">
        <v>6174</v>
      </c>
      <c r="U951" s="478"/>
      <c r="V951" s="422"/>
      <c r="W951" s="422"/>
      <c r="X951" s="422"/>
      <c r="Y951" s="422"/>
      <c r="Z951" s="422"/>
    </row>
    <row r="952" ht="12.75" customHeight="1" spans="1:26">
      <c r="A952" s="422" t="str">
        <f t="shared" ref="A952:A963" si="286">B952</f>
        <v> 15.6 </v>
      </c>
      <c r="B952" s="423" t="str">
        <f t="shared" ref="B952:B963" si="287">B951</f>
        <v> 15.6 </v>
      </c>
      <c r="C952" s="441" t="s">
        <v>2611</v>
      </c>
      <c r="D952" s="442" t="s">
        <v>1999</v>
      </c>
      <c r="E952" s="441" t="s">
        <v>139</v>
      </c>
      <c r="F952" s="441" t="s">
        <v>2000</v>
      </c>
      <c r="G952" s="442" t="s">
        <v>204</v>
      </c>
      <c r="H952" s="443">
        <f t="shared" ref="H952:H962" si="288">SUM(N952:T952)</f>
        <v>283.65</v>
      </c>
      <c r="I952" s="534">
        <f>VLOOKUP(D952,'Orçamento Analitico'!D:L,9,FALSE())</f>
        <v>43.95</v>
      </c>
      <c r="J952" s="443">
        <f t="shared" ref="J952:J963" si="289">ROUNDDOWN(I952*(1+$G$6),2)</f>
        <v>55.15</v>
      </c>
      <c r="K952" s="443">
        <f t="shared" ref="K952:K963" si="290">ROUNDDOWN(H952*I952,2)</f>
        <v>12466.41</v>
      </c>
      <c r="L952" s="443">
        <f t="shared" ref="L952:L963" si="291">ROUNDDOWN(H952*J952,2)</f>
        <v>15643.29</v>
      </c>
      <c r="M952" s="461" t="e">
        <f t="shared" si="279"/>
        <v>#N/A</v>
      </c>
      <c r="N952" s="464">
        <v>0</v>
      </c>
      <c r="O952" s="465"/>
      <c r="P952" s="465"/>
      <c r="Q952" s="465">
        <v>13.65</v>
      </c>
      <c r="R952" s="465">
        <v>270</v>
      </c>
      <c r="S952" s="465">
        <v>0</v>
      </c>
      <c r="T952" s="465">
        <v>0</v>
      </c>
      <c r="U952" s="479"/>
      <c r="V952" s="422"/>
      <c r="W952" s="422"/>
      <c r="X952" s="422"/>
      <c r="Y952" s="422"/>
      <c r="Z952" s="422"/>
    </row>
    <row r="953" ht="12.75" customHeight="1" spans="1:26">
      <c r="A953" s="422" t="str">
        <f t="shared" si="286"/>
        <v> 15.6 </v>
      </c>
      <c r="B953" s="423" t="str">
        <f t="shared" si="287"/>
        <v> 15.6 </v>
      </c>
      <c r="C953" s="441" t="s">
        <v>2612</v>
      </c>
      <c r="D953" s="442" t="s">
        <v>2613</v>
      </c>
      <c r="E953" s="441" t="s">
        <v>139</v>
      </c>
      <c r="F953" s="441" t="s">
        <v>2614</v>
      </c>
      <c r="G953" s="442" t="s">
        <v>204</v>
      </c>
      <c r="H953" s="443">
        <f t="shared" si="288"/>
        <v>10</v>
      </c>
      <c r="I953" s="534">
        <f>VLOOKUP(D953,'Orçamento Analitico'!D:L,9,FALSE())</f>
        <v>30.74</v>
      </c>
      <c r="J953" s="443">
        <f t="shared" si="289"/>
        <v>38.57</v>
      </c>
      <c r="K953" s="443">
        <f t="shared" si="290"/>
        <v>307.4</v>
      </c>
      <c r="L953" s="443">
        <f t="shared" si="291"/>
        <v>385.7</v>
      </c>
      <c r="M953" s="461" t="e">
        <f t="shared" si="279"/>
        <v>#N/A</v>
      </c>
      <c r="N953" s="464">
        <v>0</v>
      </c>
      <c r="O953" s="465"/>
      <c r="P953" s="465"/>
      <c r="Q953" s="465">
        <v>0</v>
      </c>
      <c r="R953" s="465">
        <v>10</v>
      </c>
      <c r="S953" s="465">
        <v>0</v>
      </c>
      <c r="T953" s="465">
        <v>0</v>
      </c>
      <c r="U953" s="479"/>
      <c r="V953" s="422"/>
      <c r="W953" s="422"/>
      <c r="X953" s="422"/>
      <c r="Y953" s="422"/>
      <c r="Z953" s="422"/>
    </row>
    <row r="954" ht="12.75" customHeight="1" spans="1:26">
      <c r="A954" s="422" t="str">
        <f t="shared" si="286"/>
        <v> 15.6 </v>
      </c>
      <c r="B954" s="423" t="str">
        <f t="shared" si="287"/>
        <v> 15.6 </v>
      </c>
      <c r="C954" s="441" t="s">
        <v>2615</v>
      </c>
      <c r="D954" s="442" t="s">
        <v>1870</v>
      </c>
      <c r="E954" s="441" t="s">
        <v>139</v>
      </c>
      <c r="F954" s="441" t="s">
        <v>1871</v>
      </c>
      <c r="G954" s="442" t="s">
        <v>204</v>
      </c>
      <c r="H954" s="443">
        <f t="shared" si="288"/>
        <v>171.6</v>
      </c>
      <c r="I954" s="534">
        <f>VLOOKUP(D954,'Orçamento Analitico'!D:L,9,FALSE())</f>
        <v>53.47</v>
      </c>
      <c r="J954" s="443">
        <f t="shared" si="289"/>
        <v>67.09</v>
      </c>
      <c r="K954" s="443">
        <f t="shared" si="290"/>
        <v>9175.45</v>
      </c>
      <c r="L954" s="443">
        <f t="shared" si="291"/>
        <v>11512.64</v>
      </c>
      <c r="M954" s="461" t="e">
        <f t="shared" si="279"/>
        <v>#N/A</v>
      </c>
      <c r="N954" s="464">
        <v>0</v>
      </c>
      <c r="O954" s="465"/>
      <c r="P954" s="465"/>
      <c r="Q954" s="465">
        <v>41.6</v>
      </c>
      <c r="R954" s="465">
        <v>130</v>
      </c>
      <c r="S954" s="465">
        <v>0</v>
      </c>
      <c r="T954" s="465">
        <v>0</v>
      </c>
      <c r="U954" s="479"/>
      <c r="V954" s="422"/>
      <c r="W954" s="422"/>
      <c r="X954" s="422"/>
      <c r="Y954" s="422"/>
      <c r="Z954" s="422"/>
    </row>
    <row r="955" ht="12.75" customHeight="1" spans="1:26">
      <c r="A955" s="422" t="str">
        <f t="shared" si="286"/>
        <v> 15.6 </v>
      </c>
      <c r="B955" s="423" t="str">
        <f t="shared" si="287"/>
        <v> 15.6 </v>
      </c>
      <c r="C955" s="441" t="s">
        <v>2616</v>
      </c>
      <c r="D955" s="442" t="s">
        <v>2617</v>
      </c>
      <c r="E955" s="441" t="s">
        <v>139</v>
      </c>
      <c r="F955" s="441" t="s">
        <v>2618</v>
      </c>
      <c r="G955" s="442" t="s">
        <v>204</v>
      </c>
      <c r="H955" s="443">
        <f t="shared" si="288"/>
        <v>173.9</v>
      </c>
      <c r="I955" s="534">
        <f>VLOOKUP(D955,'Orçamento Analitico'!D:L,9,FALSE())</f>
        <v>63.99</v>
      </c>
      <c r="J955" s="443">
        <f t="shared" si="289"/>
        <v>80.3</v>
      </c>
      <c r="K955" s="443">
        <f t="shared" si="290"/>
        <v>11127.86</v>
      </c>
      <c r="L955" s="443">
        <f t="shared" si="291"/>
        <v>13964.17</v>
      </c>
      <c r="M955" s="461" t="e">
        <f t="shared" si="279"/>
        <v>#N/A</v>
      </c>
      <c r="N955" s="464">
        <v>0</v>
      </c>
      <c r="O955" s="465"/>
      <c r="P955" s="465"/>
      <c r="Q955" s="465">
        <v>133.9</v>
      </c>
      <c r="R955" s="465">
        <v>40</v>
      </c>
      <c r="S955" s="465">
        <v>0</v>
      </c>
      <c r="T955" s="465">
        <v>0</v>
      </c>
      <c r="U955" s="479"/>
      <c r="V955" s="422"/>
      <c r="W955" s="422"/>
      <c r="X955" s="422"/>
      <c r="Y955" s="422"/>
      <c r="Z955" s="422"/>
    </row>
    <row r="956" ht="12.75" customHeight="1" spans="1:26">
      <c r="A956" s="422" t="str">
        <f t="shared" si="286"/>
        <v> 15.6 </v>
      </c>
      <c r="B956" s="423" t="str">
        <f t="shared" si="287"/>
        <v> 15.6 </v>
      </c>
      <c r="C956" s="441" t="s">
        <v>2619</v>
      </c>
      <c r="D956" s="442" t="s">
        <v>2620</v>
      </c>
      <c r="E956" s="441" t="s">
        <v>139</v>
      </c>
      <c r="F956" s="441" t="s">
        <v>2621</v>
      </c>
      <c r="G956" s="442" t="s">
        <v>204</v>
      </c>
      <c r="H956" s="443">
        <f t="shared" si="288"/>
        <v>60.4</v>
      </c>
      <c r="I956" s="534">
        <f>VLOOKUP(D956,'Orçamento Analitico'!D:L,9,FALSE())</f>
        <v>72.55</v>
      </c>
      <c r="J956" s="443">
        <f t="shared" si="289"/>
        <v>91.04</v>
      </c>
      <c r="K956" s="443">
        <f t="shared" si="290"/>
        <v>4382.02</v>
      </c>
      <c r="L956" s="443">
        <f t="shared" si="291"/>
        <v>5498.81</v>
      </c>
      <c r="M956" s="461" t="e">
        <f t="shared" si="279"/>
        <v>#N/A</v>
      </c>
      <c r="N956" s="464">
        <v>0</v>
      </c>
      <c r="O956" s="465"/>
      <c r="P956" s="465"/>
      <c r="Q956" s="465">
        <v>10.4</v>
      </c>
      <c r="R956" s="465">
        <v>50</v>
      </c>
      <c r="S956" s="465">
        <v>0</v>
      </c>
      <c r="T956" s="465">
        <v>0</v>
      </c>
      <c r="U956" s="479"/>
      <c r="V956" s="422"/>
      <c r="W956" s="422"/>
      <c r="X956" s="422"/>
      <c r="Y956" s="422"/>
      <c r="Z956" s="422"/>
    </row>
    <row r="957" ht="12.75" customHeight="1" spans="1:26">
      <c r="A957" s="422" t="str">
        <f t="shared" si="286"/>
        <v> 15.6 </v>
      </c>
      <c r="B957" s="423" t="str">
        <f t="shared" si="287"/>
        <v> 15.6 </v>
      </c>
      <c r="C957" s="441" t="s">
        <v>2622</v>
      </c>
      <c r="D957" s="442" t="s">
        <v>2623</v>
      </c>
      <c r="E957" s="441" t="s">
        <v>139</v>
      </c>
      <c r="F957" s="441" t="s">
        <v>2624</v>
      </c>
      <c r="G957" s="442" t="s">
        <v>204</v>
      </c>
      <c r="H957" s="443">
        <f t="shared" si="288"/>
        <v>98.2</v>
      </c>
      <c r="I957" s="534">
        <f>VLOOKUP(D957,'Orçamento Analitico'!D:L,9,FALSE())</f>
        <v>97.58</v>
      </c>
      <c r="J957" s="443">
        <f t="shared" si="289"/>
        <v>122.45</v>
      </c>
      <c r="K957" s="443">
        <f t="shared" si="290"/>
        <v>9582.35</v>
      </c>
      <c r="L957" s="443">
        <f t="shared" si="291"/>
        <v>12024.59</v>
      </c>
      <c r="M957" s="461" t="e">
        <f t="shared" si="279"/>
        <v>#N/A</v>
      </c>
      <c r="N957" s="464"/>
      <c r="O957" s="465"/>
      <c r="P957" s="465"/>
      <c r="Q957" s="465">
        <v>18.2</v>
      </c>
      <c r="R957" s="465">
        <v>80</v>
      </c>
      <c r="S957" s="465">
        <v>0</v>
      </c>
      <c r="T957" s="465">
        <v>0</v>
      </c>
      <c r="U957" s="479"/>
      <c r="V957" s="422"/>
      <c r="W957" s="422"/>
      <c r="X957" s="422"/>
      <c r="Y957" s="422"/>
      <c r="Z957" s="422"/>
    </row>
    <row r="958" ht="12.75" customHeight="1" spans="1:26">
      <c r="A958" s="422" t="str">
        <f t="shared" si="286"/>
        <v> 15.6 </v>
      </c>
      <c r="B958" s="423" t="str">
        <f t="shared" si="287"/>
        <v> 15.6 </v>
      </c>
      <c r="C958" s="441" t="s">
        <v>2625</v>
      </c>
      <c r="D958" s="442" t="s">
        <v>2626</v>
      </c>
      <c r="E958" s="441" t="s">
        <v>139</v>
      </c>
      <c r="F958" s="441" t="s">
        <v>2627</v>
      </c>
      <c r="G958" s="442" t="s">
        <v>204</v>
      </c>
      <c r="H958" s="443">
        <f t="shared" si="288"/>
        <v>40.55</v>
      </c>
      <c r="I958" s="534">
        <f>VLOOKUP(D958,'Orçamento Analitico'!D:L,9,FALSE())</f>
        <v>118.28</v>
      </c>
      <c r="J958" s="443">
        <f t="shared" si="289"/>
        <v>148.42</v>
      </c>
      <c r="K958" s="443">
        <f t="shared" si="290"/>
        <v>4796.25</v>
      </c>
      <c r="L958" s="443">
        <f t="shared" si="291"/>
        <v>6018.43</v>
      </c>
      <c r="M958" s="461" t="e">
        <f t="shared" si="279"/>
        <v>#N/A</v>
      </c>
      <c r="N958" s="464"/>
      <c r="O958" s="465"/>
      <c r="P958" s="465"/>
      <c r="Q958" s="465">
        <v>30.55</v>
      </c>
      <c r="R958" s="465">
        <v>10</v>
      </c>
      <c r="S958" s="465">
        <v>0</v>
      </c>
      <c r="T958" s="465">
        <v>0</v>
      </c>
      <c r="U958" s="479"/>
      <c r="V958" s="422"/>
      <c r="W958" s="422"/>
      <c r="X958" s="422"/>
      <c r="Y958" s="422"/>
      <c r="Z958" s="422"/>
    </row>
    <row r="959" ht="12.75" customHeight="1" spans="1:26">
      <c r="A959" s="422" t="str">
        <f t="shared" si="286"/>
        <v> 15.6 </v>
      </c>
      <c r="B959" s="423" t="str">
        <f t="shared" si="287"/>
        <v> 15.6 </v>
      </c>
      <c r="C959" s="441" t="s">
        <v>2628</v>
      </c>
      <c r="D959" s="442" t="s">
        <v>2629</v>
      </c>
      <c r="E959" s="441" t="s">
        <v>132</v>
      </c>
      <c r="F959" s="441" t="s">
        <v>2630</v>
      </c>
      <c r="G959" s="442" t="s">
        <v>204</v>
      </c>
      <c r="H959" s="443">
        <f t="shared" si="288"/>
        <v>169</v>
      </c>
      <c r="I959" s="534">
        <f>VLOOKUP(D959,'Orçamento Analitico'!D:L,9,FALSE())</f>
        <v>312.85</v>
      </c>
      <c r="J959" s="443">
        <f t="shared" si="289"/>
        <v>392.59</v>
      </c>
      <c r="K959" s="443">
        <f t="shared" si="290"/>
        <v>52871.65</v>
      </c>
      <c r="L959" s="443">
        <f t="shared" si="291"/>
        <v>66347.71</v>
      </c>
      <c r="M959" s="461" t="e">
        <f t="shared" si="279"/>
        <v>#N/A</v>
      </c>
      <c r="N959" s="464">
        <v>0</v>
      </c>
      <c r="O959" s="465"/>
      <c r="P959" s="465"/>
      <c r="Q959" s="465">
        <v>0</v>
      </c>
      <c r="R959" s="465">
        <v>0</v>
      </c>
      <c r="S959" s="465">
        <v>0</v>
      </c>
      <c r="T959" s="465">
        <v>169</v>
      </c>
      <c r="U959" s="479"/>
      <c r="V959" s="422"/>
      <c r="W959" s="422"/>
      <c r="X959" s="422"/>
      <c r="Y959" s="422"/>
      <c r="Z959" s="422"/>
    </row>
    <row r="960" ht="12.75" customHeight="1" spans="1:26">
      <c r="A960" s="422" t="str">
        <f t="shared" si="286"/>
        <v> 15.6 </v>
      </c>
      <c r="B960" s="423" t="str">
        <f t="shared" si="287"/>
        <v> 15.6 </v>
      </c>
      <c r="C960" s="441" t="s">
        <v>2631</v>
      </c>
      <c r="D960" s="442" t="s">
        <v>2632</v>
      </c>
      <c r="E960" s="441" t="s">
        <v>132</v>
      </c>
      <c r="F960" s="441" t="s">
        <v>2633</v>
      </c>
      <c r="G960" s="442" t="s">
        <v>204</v>
      </c>
      <c r="H960" s="443">
        <f t="shared" si="288"/>
        <v>44.45</v>
      </c>
      <c r="I960" s="534">
        <f>VLOOKUP(D960,'Orçamento Analitico'!D:L,9,FALSE())</f>
        <v>262.72</v>
      </c>
      <c r="J960" s="443">
        <f t="shared" si="289"/>
        <v>329.68</v>
      </c>
      <c r="K960" s="443">
        <f t="shared" si="290"/>
        <v>11677.9</v>
      </c>
      <c r="L960" s="443">
        <f t="shared" si="291"/>
        <v>14654.27</v>
      </c>
      <c r="M960" s="461" t="e">
        <f t="shared" si="279"/>
        <v>#N/A</v>
      </c>
      <c r="N960" s="464">
        <v>0</v>
      </c>
      <c r="O960" s="465"/>
      <c r="P960" s="465"/>
      <c r="Q960" s="465">
        <v>34.45</v>
      </c>
      <c r="R960" s="465">
        <v>10</v>
      </c>
      <c r="S960" s="465">
        <v>0</v>
      </c>
      <c r="T960" s="465">
        <v>0</v>
      </c>
      <c r="U960" s="479"/>
      <c r="V960" s="422"/>
      <c r="W960" s="422"/>
      <c r="X960" s="422"/>
      <c r="Y960" s="422"/>
      <c r="Z960" s="422"/>
    </row>
    <row r="961" ht="12.75" customHeight="1" spans="1:26">
      <c r="A961" s="422" t="str">
        <f t="shared" si="286"/>
        <v> 15.6 </v>
      </c>
      <c r="B961" s="423" t="str">
        <f t="shared" si="287"/>
        <v> 15.6 </v>
      </c>
      <c r="C961" s="441" t="s">
        <v>2634</v>
      </c>
      <c r="D961" s="442" t="s">
        <v>762</v>
      </c>
      <c r="E961" s="441" t="s">
        <v>132</v>
      </c>
      <c r="F961" s="441" t="s">
        <v>763</v>
      </c>
      <c r="G961" s="442" t="s">
        <v>204</v>
      </c>
      <c r="H961" s="443">
        <f t="shared" si="288"/>
        <v>60.45</v>
      </c>
      <c r="I961" s="534">
        <f>VLOOKUP(D961,'Orçamento Analitico'!D:L,9,FALSE())</f>
        <v>373.26</v>
      </c>
      <c r="J961" s="443">
        <f t="shared" si="289"/>
        <v>468.4</v>
      </c>
      <c r="K961" s="443">
        <f t="shared" si="290"/>
        <v>22563.56</v>
      </c>
      <c r="L961" s="443">
        <f t="shared" si="291"/>
        <v>28314.78</v>
      </c>
      <c r="M961" s="461" t="e">
        <f t="shared" si="279"/>
        <v>#N/A</v>
      </c>
      <c r="N961" s="464">
        <v>0</v>
      </c>
      <c r="O961" s="465"/>
      <c r="P961" s="465"/>
      <c r="Q961" s="465">
        <v>34.45</v>
      </c>
      <c r="R961" s="465">
        <v>0</v>
      </c>
      <c r="S961" s="465">
        <v>26</v>
      </c>
      <c r="T961" s="465">
        <v>0</v>
      </c>
      <c r="U961" s="479"/>
      <c r="V961" s="422"/>
      <c r="W961" s="422"/>
      <c r="X961" s="422"/>
      <c r="Y961" s="422"/>
      <c r="Z961" s="422"/>
    </row>
    <row r="962" ht="12.75" customHeight="1" spans="1:26">
      <c r="A962" s="422" t="str">
        <f t="shared" si="286"/>
        <v> 15.6 </v>
      </c>
      <c r="B962" s="423" t="str">
        <f t="shared" si="287"/>
        <v> 15.6 </v>
      </c>
      <c r="C962" s="441" t="s">
        <v>2635</v>
      </c>
      <c r="D962" s="442" t="s">
        <v>2636</v>
      </c>
      <c r="E962" s="441" t="s">
        <v>132</v>
      </c>
      <c r="F962" s="441" t="s">
        <v>2637</v>
      </c>
      <c r="G962" s="442" t="s">
        <v>204</v>
      </c>
      <c r="H962" s="443">
        <f t="shared" si="288"/>
        <v>32.5</v>
      </c>
      <c r="I962" s="534">
        <f>VLOOKUP(D962,'Orçamento Analitico'!D:L,9,FALSE())</f>
        <v>643.95</v>
      </c>
      <c r="J962" s="443">
        <f t="shared" si="289"/>
        <v>808.09</v>
      </c>
      <c r="K962" s="443">
        <f t="shared" si="290"/>
        <v>20928.37</v>
      </c>
      <c r="L962" s="443">
        <f t="shared" si="291"/>
        <v>26262.92</v>
      </c>
      <c r="M962" s="461" t="e">
        <f t="shared" si="279"/>
        <v>#N/A</v>
      </c>
      <c r="N962" s="464"/>
      <c r="O962" s="465"/>
      <c r="P962" s="465"/>
      <c r="Q962" s="465"/>
      <c r="R962" s="465"/>
      <c r="S962" s="465">
        <v>32.5</v>
      </c>
      <c r="T962" s="465"/>
      <c r="U962" s="479"/>
      <c r="V962" s="422"/>
      <c r="W962" s="422"/>
      <c r="X962" s="422"/>
      <c r="Y962" s="422"/>
      <c r="Z962" s="422"/>
    </row>
    <row r="963" ht="12.75" customHeight="1" spans="1:26">
      <c r="A963" s="422" t="str">
        <f t="shared" si="286"/>
        <v> 15.6 </v>
      </c>
      <c r="B963" s="423" t="str">
        <f t="shared" si="287"/>
        <v> 15.6 </v>
      </c>
      <c r="C963" s="441" t="s">
        <v>2638</v>
      </c>
      <c r="D963" s="442" t="s">
        <v>2474</v>
      </c>
      <c r="E963" s="441" t="s">
        <v>149</v>
      </c>
      <c r="F963" s="441" t="s">
        <v>2475</v>
      </c>
      <c r="G963" s="442" t="s">
        <v>141</v>
      </c>
      <c r="H963" s="443">
        <v>600</v>
      </c>
      <c r="I963" s="534">
        <f>VLOOKUP(D963,'Orçamento Analitico'!D:L,9,FALSE())</f>
        <v>246.01</v>
      </c>
      <c r="J963" s="443">
        <f t="shared" si="289"/>
        <v>308.71</v>
      </c>
      <c r="K963" s="443">
        <f t="shared" si="290"/>
        <v>147606</v>
      </c>
      <c r="L963" s="443">
        <f t="shared" si="291"/>
        <v>185226</v>
      </c>
      <c r="M963" s="461" t="e">
        <f t="shared" si="279"/>
        <v>#N/A</v>
      </c>
      <c r="N963" s="464"/>
      <c r="O963" s="465"/>
      <c r="P963" s="465"/>
      <c r="Q963" s="465"/>
      <c r="R963" s="465"/>
      <c r="S963" s="465"/>
      <c r="T963" s="492"/>
      <c r="U963" s="529"/>
      <c r="V963" s="422"/>
      <c r="W963" s="422"/>
      <c r="X963" s="422"/>
      <c r="Y963" s="422"/>
      <c r="Z963" s="422"/>
    </row>
    <row r="964" ht="12.75" customHeight="1" spans="1:26">
      <c r="A964" s="422"/>
      <c r="B964" s="423" t="str">
        <f>C964</f>
        <v> 15.7 </v>
      </c>
      <c r="C964" s="444" t="s">
        <v>2639</v>
      </c>
      <c r="D964" s="445" t="s">
        <v>74</v>
      </c>
      <c r="E964" s="444"/>
      <c r="F964" s="444" t="s">
        <v>2640</v>
      </c>
      <c r="G964" s="445"/>
      <c r="H964" s="446"/>
      <c r="I964" s="446"/>
      <c r="J964" s="466"/>
      <c r="K964" s="466">
        <f>SUMIF(A:A,B964,K:K)</f>
        <v>10992</v>
      </c>
      <c r="L964" s="466">
        <f>SUMIF(A:A,C964,L:L)</f>
        <v>13790.4</v>
      </c>
      <c r="M964" s="467" t="e">
        <f t="shared" si="279"/>
        <v>#N/A</v>
      </c>
      <c r="N964" s="459" t="s">
        <v>6121</v>
      </c>
      <c r="O964" s="460" t="s">
        <v>6122</v>
      </c>
      <c r="P964" s="460" t="s">
        <v>6123</v>
      </c>
      <c r="Q964" s="460" t="s">
        <v>6124</v>
      </c>
      <c r="R964" s="460" t="s">
        <v>6125</v>
      </c>
      <c r="S964" s="460" t="s">
        <v>6126</v>
      </c>
      <c r="T964" s="460" t="s">
        <v>6174</v>
      </c>
      <c r="U964" s="524"/>
      <c r="V964" s="422"/>
      <c r="W964" s="422"/>
      <c r="X964" s="422"/>
      <c r="Y964" s="422"/>
      <c r="Z964" s="422"/>
    </row>
    <row r="965" ht="24" customHeight="1" spans="1:26">
      <c r="A965" s="422" t="str">
        <f>B965</f>
        <v> 15.7 </v>
      </c>
      <c r="B965" s="423" t="str">
        <f>B964</f>
        <v> 15.7 </v>
      </c>
      <c r="C965" s="441" t="s">
        <v>2641</v>
      </c>
      <c r="D965" s="442" t="s">
        <v>2642</v>
      </c>
      <c r="E965" s="441" t="s">
        <v>149</v>
      </c>
      <c r="F965" s="441" t="s">
        <v>2643</v>
      </c>
      <c r="G965" s="442" t="s">
        <v>204</v>
      </c>
      <c r="H965" s="443">
        <f>SUM(N965:T965)</f>
        <v>480</v>
      </c>
      <c r="I965" s="443">
        <f>VLOOKUP(D965,'Orçamento Analitico'!D:L,9,FALSE())</f>
        <v>16.57</v>
      </c>
      <c r="J965" s="443">
        <f>ROUNDDOWN(I965*(1+$G$6),2)</f>
        <v>20.79</v>
      </c>
      <c r="K965" s="443">
        <f>ROUNDDOWN(H965*I965,2)</f>
        <v>7953.6</v>
      </c>
      <c r="L965" s="443">
        <f>ROUNDDOWN(H965*J965,2)</f>
        <v>9979.2</v>
      </c>
      <c r="M965" s="461" t="e">
        <f t="shared" si="279"/>
        <v>#N/A</v>
      </c>
      <c r="N965" s="464">
        <v>240</v>
      </c>
      <c r="O965" s="465">
        <v>0</v>
      </c>
      <c r="P965" s="465">
        <v>0</v>
      </c>
      <c r="Q965" s="465">
        <v>120</v>
      </c>
      <c r="R965" s="465">
        <v>120</v>
      </c>
      <c r="S965" s="465"/>
      <c r="T965" s="465"/>
      <c r="U965" s="479"/>
      <c r="V965" s="422"/>
      <c r="W965" s="422"/>
      <c r="X965" s="422"/>
      <c r="Y965" s="422"/>
      <c r="Z965" s="422"/>
    </row>
    <row r="966" ht="24" customHeight="1" spans="1:26">
      <c r="A966" s="422" t="str">
        <f>B966</f>
        <v> 15.7 </v>
      </c>
      <c r="B966" s="423" t="str">
        <f>B965</f>
        <v> 15.7 </v>
      </c>
      <c r="C966" s="441" t="s">
        <v>2644</v>
      </c>
      <c r="D966" s="442" t="s">
        <v>2645</v>
      </c>
      <c r="E966" s="441" t="s">
        <v>149</v>
      </c>
      <c r="F966" s="441" t="s">
        <v>2646</v>
      </c>
      <c r="G966" s="442" t="s">
        <v>204</v>
      </c>
      <c r="H966" s="443">
        <f>SUM(N966:T966)</f>
        <v>480</v>
      </c>
      <c r="I966" s="443">
        <f>VLOOKUP(D966,'Orçamento Analitico'!D:L,9,FALSE())</f>
        <v>6.33</v>
      </c>
      <c r="J966" s="443">
        <f>ROUNDDOWN(I966*(1+$G$6),2)</f>
        <v>7.94</v>
      </c>
      <c r="K966" s="443">
        <f>ROUNDDOWN(H966*I966,2)</f>
        <v>3038.4</v>
      </c>
      <c r="L966" s="443">
        <f>ROUNDDOWN(H966*J966,2)</f>
        <v>3811.2</v>
      </c>
      <c r="M966" s="461" t="e">
        <f t="shared" si="279"/>
        <v>#N/A</v>
      </c>
      <c r="N966" s="464">
        <v>240</v>
      </c>
      <c r="O966" s="465">
        <v>0</v>
      </c>
      <c r="P966" s="465">
        <v>0</v>
      </c>
      <c r="Q966" s="465">
        <v>120</v>
      </c>
      <c r="R966" s="465">
        <v>120</v>
      </c>
      <c r="S966" s="465"/>
      <c r="T966" s="465"/>
      <c r="U966" s="479"/>
      <c r="V966" s="422"/>
      <c r="W966" s="422"/>
      <c r="X966" s="422"/>
      <c r="Y966" s="422"/>
      <c r="Z966" s="422"/>
    </row>
    <row r="967" ht="12.75" customHeight="1" spans="1:26">
      <c r="A967" s="422"/>
      <c r="B967" s="423" t="str">
        <f>C967</f>
        <v> 16 </v>
      </c>
      <c r="C967" s="438" t="s">
        <v>48</v>
      </c>
      <c r="D967" s="439" t="s">
        <v>74</v>
      </c>
      <c r="E967" s="438"/>
      <c r="F967" s="438" t="s">
        <v>49</v>
      </c>
      <c r="G967" s="439"/>
      <c r="H967" s="440"/>
      <c r="I967" s="440"/>
      <c r="J967" s="440"/>
      <c r="K967" s="440">
        <f>SUMIF(A:A,B967,K:K)</f>
        <v>70856.26</v>
      </c>
      <c r="L967" s="440">
        <f>SUMIF(A:A,C967,L:L)</f>
        <v>88899.37</v>
      </c>
      <c r="M967" s="458" t="e">
        <f t="shared" si="279"/>
        <v>#N/A</v>
      </c>
      <c r="N967" s="464"/>
      <c r="O967" s="465"/>
      <c r="P967" s="465"/>
      <c r="Q967" s="465"/>
      <c r="R967" s="465"/>
      <c r="S967" s="465"/>
      <c r="T967" s="465"/>
      <c r="U967" s="479"/>
      <c r="V967" s="422"/>
      <c r="W967" s="422"/>
      <c r="X967" s="422"/>
      <c r="Y967" s="422"/>
      <c r="Z967" s="422"/>
    </row>
    <row r="968" ht="48.75" customHeight="1" spans="1:26">
      <c r="A968" s="422" t="str">
        <f>B968</f>
        <v> 16 </v>
      </c>
      <c r="B968" s="423" t="str">
        <f>B967</f>
        <v> 16 </v>
      </c>
      <c r="C968" s="441" t="s">
        <v>2647</v>
      </c>
      <c r="D968" s="442" t="s">
        <v>2648</v>
      </c>
      <c r="E968" s="441" t="s">
        <v>139</v>
      </c>
      <c r="F968" s="441" t="s">
        <v>2649</v>
      </c>
      <c r="G968" s="442" t="s">
        <v>141</v>
      </c>
      <c r="H968" s="443">
        <f>R968</f>
        <v>827.48</v>
      </c>
      <c r="I968" s="443">
        <f>VLOOKUP(D968,'Orçamento Analitico'!D:L,9,FALSE())</f>
        <v>72.3</v>
      </c>
      <c r="J968" s="443">
        <f>ROUNDDOWN(I968*(1+$G$6),2)</f>
        <v>90.72</v>
      </c>
      <c r="K968" s="443">
        <f>ROUNDDOWN(H968*I968,2)</f>
        <v>59826.8</v>
      </c>
      <c r="L968" s="443">
        <f>ROUNDDOWN(H968*J968,2)</f>
        <v>75068.98</v>
      </c>
      <c r="M968" s="461" t="e">
        <f t="shared" ref="M968:M1031" si="292">K968/$L$1062</f>
        <v>#N/A</v>
      </c>
      <c r="N968" s="464">
        <f>SUM($H$212)</f>
        <v>413.74</v>
      </c>
      <c r="O968" s="494" t="s">
        <v>6128</v>
      </c>
      <c r="P968" s="465">
        <v>2</v>
      </c>
      <c r="Q968" s="494" t="s">
        <v>6129</v>
      </c>
      <c r="R968" s="465">
        <f>ROUNDDOWN(N968*P968,2)</f>
        <v>827.48</v>
      </c>
      <c r="S968" s="465" t="s">
        <v>6195</v>
      </c>
      <c r="T968" s="465"/>
      <c r="U968" s="479"/>
      <c r="V968" s="422"/>
      <c r="W968" s="422"/>
      <c r="X968" s="422"/>
      <c r="Y968" s="422"/>
      <c r="Z968" s="422"/>
    </row>
    <row r="969" ht="48.75" customHeight="1" spans="1:26">
      <c r="A969" s="422" t="str">
        <f>B969</f>
        <v> 16 </v>
      </c>
      <c r="B969" s="423" t="str">
        <f>B968</f>
        <v> 16 </v>
      </c>
      <c r="C969" s="441" t="s">
        <v>2650</v>
      </c>
      <c r="D969" s="442" t="s">
        <v>2651</v>
      </c>
      <c r="E969" s="441" t="s">
        <v>139</v>
      </c>
      <c r="F969" s="441" t="s">
        <v>2652</v>
      </c>
      <c r="G969" s="442" t="s">
        <v>141</v>
      </c>
      <c r="H969" s="443">
        <f>R969</f>
        <v>827.48</v>
      </c>
      <c r="I969" s="443">
        <f>VLOOKUP(D969,'Orçamento Analitico'!D:L,9,FALSE())</f>
        <v>5.1</v>
      </c>
      <c r="J969" s="443">
        <f>ROUNDDOWN(I969*(1+$G$6),2)</f>
        <v>6.39</v>
      </c>
      <c r="K969" s="443">
        <f>ROUNDDOWN(H969*I969,2)</f>
        <v>4220.14</v>
      </c>
      <c r="L969" s="443">
        <f>ROUNDDOWN(H969*J969,2)</f>
        <v>5287.59</v>
      </c>
      <c r="M969" s="461" t="e">
        <f t="shared" si="292"/>
        <v>#N/A</v>
      </c>
      <c r="N969" s="464"/>
      <c r="O969" s="465"/>
      <c r="P969" s="465"/>
      <c r="Q969" s="494" t="s">
        <v>6129</v>
      </c>
      <c r="R969" s="465">
        <f>R968</f>
        <v>827.48</v>
      </c>
      <c r="S969" s="465"/>
      <c r="T969" s="465"/>
      <c r="U969" s="479"/>
      <c r="V969" s="422"/>
      <c r="W969" s="422"/>
      <c r="X969" s="422"/>
      <c r="Y969" s="422"/>
      <c r="Z969" s="422"/>
    </row>
    <row r="970" ht="48.75" customHeight="1" spans="1:26">
      <c r="A970" s="422" t="str">
        <f>B970</f>
        <v> 16 </v>
      </c>
      <c r="B970" s="423" t="str">
        <f>B969</f>
        <v> 16 </v>
      </c>
      <c r="C970" s="441" t="s">
        <v>2653</v>
      </c>
      <c r="D970" s="442" t="s">
        <v>2654</v>
      </c>
      <c r="E970" s="441" t="s">
        <v>77</v>
      </c>
      <c r="F970" s="441" t="s">
        <v>2655</v>
      </c>
      <c r="G970" s="442" t="s">
        <v>141</v>
      </c>
      <c r="H970" s="443">
        <f>R970</f>
        <v>1008</v>
      </c>
      <c r="I970" s="443">
        <f>VLOOKUP(D970,'Orçamento Analitico'!D:L,9,FALSE())</f>
        <v>2.95</v>
      </c>
      <c r="J970" s="443">
        <f>ROUNDDOWN(I970*(1+$G$6),2)</f>
        <v>3.7</v>
      </c>
      <c r="K970" s="443">
        <f>ROUNDDOWN(H970*I970,2)</f>
        <v>2973.6</v>
      </c>
      <c r="L970" s="443">
        <f>ROUNDDOWN(H970*J970,2)</f>
        <v>3729.6</v>
      </c>
      <c r="M970" s="461" t="e">
        <f t="shared" si="292"/>
        <v>#N/A</v>
      </c>
      <c r="N970" s="464">
        <f>ROUND((40.25*6*1.3)+(17.7*2*1.3),0)</f>
        <v>360</v>
      </c>
      <c r="O970" s="494" t="s">
        <v>6128</v>
      </c>
      <c r="P970" s="465">
        <v>2.8</v>
      </c>
      <c r="Q970" s="494" t="s">
        <v>6129</v>
      </c>
      <c r="R970" s="465">
        <f>ROUNDDOWN(N970*P970,2)</f>
        <v>1008</v>
      </c>
      <c r="S970" s="465" t="s">
        <v>6196</v>
      </c>
      <c r="T970" s="465"/>
      <c r="U970" s="479"/>
      <c r="V970" s="422"/>
      <c r="W970" s="422"/>
      <c r="X970" s="422"/>
      <c r="Y970" s="422"/>
      <c r="Z970" s="422"/>
    </row>
    <row r="971" ht="48.75" customHeight="1" spans="1:26">
      <c r="A971" s="422" t="str">
        <f>B971</f>
        <v> 16 </v>
      </c>
      <c r="B971" s="423" t="str">
        <f>B970</f>
        <v> 16 </v>
      </c>
      <c r="C971" s="441" t="s">
        <v>2656</v>
      </c>
      <c r="D971" s="442" t="s">
        <v>2657</v>
      </c>
      <c r="E971" s="441" t="s">
        <v>132</v>
      </c>
      <c r="F971" s="441" t="s">
        <v>2658</v>
      </c>
      <c r="G971" s="442" t="s">
        <v>204</v>
      </c>
      <c r="H971" s="443">
        <f>R971</f>
        <v>28</v>
      </c>
      <c r="I971" s="443">
        <f>VLOOKUP(D971,'Orçamento Analitico'!D:L,9,FALSE())</f>
        <v>136.99</v>
      </c>
      <c r="J971" s="443">
        <f>ROUNDDOWN(I971*(1+$G$6),2)</f>
        <v>171.9</v>
      </c>
      <c r="K971" s="443">
        <f>ROUNDDOWN(H971*I971,2)</f>
        <v>3835.72</v>
      </c>
      <c r="L971" s="443">
        <f>ROUNDDOWN(H971*J971,2)</f>
        <v>4813.2</v>
      </c>
      <c r="M971" s="461" t="e">
        <f t="shared" si="292"/>
        <v>#N/A</v>
      </c>
      <c r="N971" s="464">
        <v>7</v>
      </c>
      <c r="O971" s="494" t="s">
        <v>6128</v>
      </c>
      <c r="P971" s="536">
        <v>4</v>
      </c>
      <c r="Q971" s="494" t="s">
        <v>6129</v>
      </c>
      <c r="R971" s="465">
        <f>ROUNDDOWN(N971*P971,2)</f>
        <v>28</v>
      </c>
      <c r="S971" s="465" t="s">
        <v>6197</v>
      </c>
      <c r="T971" s="465"/>
      <c r="U971" s="479"/>
      <c r="V971" s="422"/>
      <c r="W971" s="422"/>
      <c r="X971" s="422"/>
      <c r="Y971" s="422"/>
      <c r="Z971" s="422"/>
    </row>
    <row r="972" ht="12.75" customHeight="1" spans="1:26">
      <c r="A972" s="422"/>
      <c r="B972" s="423"/>
      <c r="C972" s="438" t="s">
        <v>50</v>
      </c>
      <c r="D972" s="439" t="s">
        <v>74</v>
      </c>
      <c r="E972" s="438"/>
      <c r="F972" s="438" t="s">
        <v>51</v>
      </c>
      <c r="G972" s="439"/>
      <c r="H972" s="440"/>
      <c r="I972" s="440"/>
      <c r="J972" s="440"/>
      <c r="K972" s="440" t="e">
        <f>SUM(K973,K987)</f>
        <v>#N/A</v>
      </c>
      <c r="L972" s="440" t="e">
        <f>SUM(L973,L987)</f>
        <v>#N/A</v>
      </c>
      <c r="M972" s="458" t="e">
        <f t="shared" si="292"/>
        <v>#N/A</v>
      </c>
      <c r="N972" s="459" t="s">
        <v>6121</v>
      </c>
      <c r="O972" s="460" t="s">
        <v>6122</v>
      </c>
      <c r="P972" s="460" t="s">
        <v>6123</v>
      </c>
      <c r="Q972" s="460" t="s">
        <v>6124</v>
      </c>
      <c r="R972" s="460" t="s">
        <v>6125</v>
      </c>
      <c r="S972" s="460" t="s">
        <v>6126</v>
      </c>
      <c r="T972" s="460"/>
      <c r="U972" s="477"/>
      <c r="V972" s="422"/>
      <c r="W972" s="422"/>
      <c r="X972" s="422"/>
      <c r="Y972" s="422"/>
      <c r="Z972" s="422"/>
    </row>
    <row r="973" ht="12.75" customHeight="1" spans="1:26">
      <c r="A973" s="422"/>
      <c r="B973" s="423" t="str">
        <f>C973</f>
        <v> 17.1 </v>
      </c>
      <c r="C973" s="444" t="s">
        <v>2659</v>
      </c>
      <c r="D973" s="445" t="s">
        <v>74</v>
      </c>
      <c r="E973" s="444"/>
      <c r="F973" s="444" t="s">
        <v>2660</v>
      </c>
      <c r="G973" s="445"/>
      <c r="H973" s="446"/>
      <c r="I973" s="446"/>
      <c r="J973" s="466"/>
      <c r="K973" s="466">
        <f>SUMIF(A:A,B973,K:K)</f>
        <v>671038.93</v>
      </c>
      <c r="L973" s="466">
        <f>SUMIF(A:A,C973,L:L)</f>
        <v>842044.64</v>
      </c>
      <c r="M973" s="467" t="e">
        <f t="shared" si="292"/>
        <v>#N/A</v>
      </c>
      <c r="N973" s="464"/>
      <c r="O973" s="465"/>
      <c r="P973" s="465"/>
      <c r="Q973" s="465"/>
      <c r="R973" s="465"/>
      <c r="S973" s="465"/>
      <c r="T973" s="465"/>
      <c r="U973" s="479"/>
      <c r="V973" s="422"/>
      <c r="W973" s="422"/>
      <c r="X973" s="422"/>
      <c r="Y973" s="422"/>
      <c r="Z973" s="422"/>
    </row>
    <row r="974" ht="12.75" customHeight="1" spans="1:26">
      <c r="A974" s="422" t="str">
        <f t="shared" ref="A974:A986" si="293">B974</f>
        <v> 17.1 </v>
      </c>
      <c r="B974" s="423" t="str">
        <f t="shared" ref="B974:B986" si="294">B973</f>
        <v> 17.1 </v>
      </c>
      <c r="C974" s="441" t="s">
        <v>2661</v>
      </c>
      <c r="D974" s="442" t="s">
        <v>2662</v>
      </c>
      <c r="E974" s="441" t="s">
        <v>139</v>
      </c>
      <c r="F974" s="441" t="s">
        <v>2663</v>
      </c>
      <c r="G974" s="442" t="s">
        <v>141</v>
      </c>
      <c r="H974" s="443">
        <f t="shared" ref="H974:H986" si="295">SUM(N974:U974)</f>
        <v>822.46</v>
      </c>
      <c r="I974" s="443">
        <f>VLOOKUP(D974,'Orçamento Analitico'!D:L,9,FALSE())</f>
        <v>100.46</v>
      </c>
      <c r="J974" s="443">
        <f t="shared" ref="J974:J986" si="296">ROUNDDOWN(I974*(1+$G$6),2)</f>
        <v>126.06</v>
      </c>
      <c r="K974" s="443">
        <f t="shared" ref="K974:K986" si="297">ROUNDDOWN(H974*I974,2)</f>
        <v>82624.33</v>
      </c>
      <c r="L974" s="443">
        <f t="shared" ref="L974:L986" si="298">ROUNDDOWN(H974*J974,2)</f>
        <v>103679.3</v>
      </c>
      <c r="M974" s="461" t="e">
        <f t="shared" si="292"/>
        <v>#N/A</v>
      </c>
      <c r="N974" s="464"/>
      <c r="O974" s="465"/>
      <c r="P974" s="465"/>
      <c r="Q974" s="465">
        <f>ROUND(((2*30*3.1)+206.56),2)</f>
        <v>392.56</v>
      </c>
      <c r="R974" s="465">
        <f>ROUND((2*30*3.1)+243.9,2)</f>
        <v>429.9</v>
      </c>
      <c r="S974" s="465"/>
      <c r="T974" s="465"/>
      <c r="U974" s="479"/>
      <c r="V974" s="422"/>
      <c r="W974" s="422"/>
      <c r="X974" s="422"/>
      <c r="Y974" s="422"/>
      <c r="Z974" s="422"/>
    </row>
    <row r="975" ht="12.75" customHeight="1" spans="1:26">
      <c r="A975" s="422" t="str">
        <f t="shared" si="293"/>
        <v> 17.1 </v>
      </c>
      <c r="B975" s="423" t="str">
        <f t="shared" si="294"/>
        <v> 17.1 </v>
      </c>
      <c r="C975" s="441" t="s">
        <v>2664</v>
      </c>
      <c r="D975" s="442" t="s">
        <v>2665</v>
      </c>
      <c r="E975" s="441" t="s">
        <v>132</v>
      </c>
      <c r="F975" s="441" t="s">
        <v>2666</v>
      </c>
      <c r="G975" s="442" t="s">
        <v>141</v>
      </c>
      <c r="H975" s="443">
        <f t="shared" si="295"/>
        <v>1342.49</v>
      </c>
      <c r="I975" s="443">
        <f>VLOOKUP(D975,'Orçamento Analitico'!D:L,9,FALSE())</f>
        <v>61.23</v>
      </c>
      <c r="J975" s="443">
        <f t="shared" si="296"/>
        <v>76.83</v>
      </c>
      <c r="K975" s="443">
        <f t="shared" si="297"/>
        <v>82200.66</v>
      </c>
      <c r="L975" s="443">
        <f t="shared" si="298"/>
        <v>103143.5</v>
      </c>
      <c r="M975" s="461" t="e">
        <f t="shared" si="292"/>
        <v>#N/A</v>
      </c>
      <c r="N975" s="464">
        <f>ROUNDDOWN(296.5+(4*10.65*3.1)+(2*11.3*3.1)+(64.81*2)+(37.97*4)+(4.14*4),2)</f>
        <v>796.68</v>
      </c>
      <c r="O975" s="465">
        <v>0</v>
      </c>
      <c r="P975" s="465">
        <v>0</v>
      </c>
      <c r="Q975" s="465">
        <f>(504.54+(84.22+145.58))-Q974</f>
        <v>341.78</v>
      </c>
      <c r="R975" s="465">
        <f>(549.71+(84.22))-R974</f>
        <v>204.03</v>
      </c>
      <c r="S975" s="465"/>
      <c r="T975" s="465"/>
      <c r="U975" s="479"/>
      <c r="V975" s="422"/>
      <c r="W975" s="422"/>
      <c r="X975" s="422"/>
      <c r="Y975" s="422"/>
      <c r="Z975" s="422"/>
    </row>
    <row r="976" ht="12.75" customHeight="1" spans="1:26">
      <c r="A976" s="422" t="str">
        <f t="shared" si="293"/>
        <v> 17.1 </v>
      </c>
      <c r="B976" s="423" t="str">
        <f t="shared" si="294"/>
        <v> 17.1 </v>
      </c>
      <c r="C976" s="441" t="s">
        <v>2667</v>
      </c>
      <c r="D976" s="442" t="s">
        <v>2668</v>
      </c>
      <c r="E976" s="441" t="s">
        <v>77</v>
      </c>
      <c r="F976" s="441" t="s">
        <v>2669</v>
      </c>
      <c r="G976" s="442" t="s">
        <v>204</v>
      </c>
      <c r="H976" s="443">
        <f t="shared" si="295"/>
        <v>567</v>
      </c>
      <c r="I976" s="443">
        <f>VLOOKUP(D976,'Orçamento Analitico'!D:L,9,FALSE())</f>
        <v>80.82</v>
      </c>
      <c r="J976" s="443">
        <f t="shared" si="296"/>
        <v>101.42</v>
      </c>
      <c r="K976" s="443">
        <f t="shared" si="297"/>
        <v>45824.94</v>
      </c>
      <c r="L976" s="443">
        <f t="shared" si="298"/>
        <v>57505.14</v>
      </c>
      <c r="M976" s="461" t="e">
        <f t="shared" si="292"/>
        <v>#N/A</v>
      </c>
      <c r="N976" s="464"/>
      <c r="O976" s="465"/>
      <c r="P976" s="465"/>
      <c r="Q976" s="465">
        <v>295</v>
      </c>
      <c r="R976" s="465">
        <v>272</v>
      </c>
      <c r="S976" s="465"/>
      <c r="T976" s="465"/>
      <c r="U976" s="479"/>
      <c r="V976" s="422"/>
      <c r="W976" s="422"/>
      <c r="X976" s="422"/>
      <c r="Y976" s="422"/>
      <c r="Z976" s="422"/>
    </row>
    <row r="977" ht="39" customHeight="1" spans="1:26">
      <c r="A977" s="422" t="str">
        <f t="shared" si="293"/>
        <v> 17.1 </v>
      </c>
      <c r="B977" s="423" t="str">
        <f t="shared" si="294"/>
        <v> 17.1 </v>
      </c>
      <c r="C977" s="441" t="s">
        <v>2670</v>
      </c>
      <c r="D977" s="442" t="s">
        <v>2671</v>
      </c>
      <c r="E977" s="441" t="s">
        <v>139</v>
      </c>
      <c r="F977" s="441" t="s">
        <v>2672</v>
      </c>
      <c r="G977" s="442" t="s">
        <v>141</v>
      </c>
      <c r="H977" s="443">
        <f t="shared" si="295"/>
        <v>1366</v>
      </c>
      <c r="I977" s="443">
        <f>VLOOKUP(D977,'Orçamento Analitico'!D:L,9,FALSE())</f>
        <v>223.57</v>
      </c>
      <c r="J977" s="443">
        <f t="shared" si="296"/>
        <v>280.55</v>
      </c>
      <c r="K977" s="443">
        <f t="shared" si="297"/>
        <v>305396.62</v>
      </c>
      <c r="L977" s="443">
        <f t="shared" si="298"/>
        <v>383231.3</v>
      </c>
      <c r="M977" s="461" t="e">
        <f t="shared" si="292"/>
        <v>#N/A</v>
      </c>
      <c r="N977" s="464"/>
      <c r="O977" s="465"/>
      <c r="P977" s="465">
        <v>0</v>
      </c>
      <c r="Q977" s="465">
        <v>996</v>
      </c>
      <c r="R977" s="465">
        <v>370</v>
      </c>
      <c r="S977" s="465"/>
      <c r="T977" s="465"/>
      <c r="U977" s="479"/>
      <c r="V977" s="422"/>
      <c r="W977" s="422"/>
      <c r="X977" s="422"/>
      <c r="Y977" s="422"/>
      <c r="Z977" s="422"/>
    </row>
    <row r="978" ht="39" customHeight="1" spans="1:26">
      <c r="A978" s="422" t="str">
        <f t="shared" si="293"/>
        <v> 17.1 </v>
      </c>
      <c r="B978" s="423" t="str">
        <f t="shared" si="294"/>
        <v> 17.1 </v>
      </c>
      <c r="C978" s="441" t="s">
        <v>2673</v>
      </c>
      <c r="D978" s="442" t="s">
        <v>2674</v>
      </c>
      <c r="E978" s="441" t="s">
        <v>149</v>
      </c>
      <c r="F978" s="441" t="s">
        <v>2675</v>
      </c>
      <c r="G978" s="442" t="s">
        <v>134</v>
      </c>
      <c r="H978" s="443">
        <f t="shared" si="295"/>
        <v>1375</v>
      </c>
      <c r="I978" s="443">
        <f>VLOOKUP(D978,'Orçamento Analitico'!D:L,9,FALSE())</f>
        <v>27.57</v>
      </c>
      <c r="J978" s="443">
        <f t="shared" si="296"/>
        <v>34.59</v>
      </c>
      <c r="K978" s="443">
        <f t="shared" si="297"/>
        <v>37908.75</v>
      </c>
      <c r="L978" s="443">
        <f t="shared" si="298"/>
        <v>47561.25</v>
      </c>
      <c r="M978" s="461" t="e">
        <f t="shared" si="292"/>
        <v>#N/A</v>
      </c>
      <c r="N978" s="464"/>
      <c r="O978" s="465"/>
      <c r="P978" s="465"/>
      <c r="Q978" s="465">
        <v>665</v>
      </c>
      <c r="R978" s="465">
        <v>710</v>
      </c>
      <c r="S978" s="465"/>
      <c r="T978" s="465"/>
      <c r="U978" s="479"/>
      <c r="V978" s="422"/>
      <c r="W978" s="422"/>
      <c r="X978" s="422"/>
      <c r="Y978" s="422"/>
      <c r="Z978" s="422"/>
    </row>
    <row r="979" ht="39" customHeight="1" spans="1:26">
      <c r="A979" s="422" t="str">
        <f t="shared" si="293"/>
        <v> 17.1 </v>
      </c>
      <c r="B979" s="423" t="str">
        <f t="shared" si="294"/>
        <v> 17.1 </v>
      </c>
      <c r="C979" s="441" t="s">
        <v>2676</v>
      </c>
      <c r="D979" s="442" t="s">
        <v>2677</v>
      </c>
      <c r="E979" s="441" t="s">
        <v>139</v>
      </c>
      <c r="F979" s="441" t="s">
        <v>2678</v>
      </c>
      <c r="G979" s="442" t="s">
        <v>141</v>
      </c>
      <c r="H979" s="443">
        <f t="shared" si="295"/>
        <v>35.66</v>
      </c>
      <c r="I979" s="443">
        <f>VLOOKUP(D979,'Orçamento Analitico'!D:L,9,FALSE())</f>
        <v>57.38</v>
      </c>
      <c r="J979" s="443">
        <f t="shared" si="296"/>
        <v>72</v>
      </c>
      <c r="K979" s="443">
        <f t="shared" si="297"/>
        <v>2046.17</v>
      </c>
      <c r="L979" s="443">
        <f t="shared" si="298"/>
        <v>2567.52</v>
      </c>
      <c r="M979" s="461" t="e">
        <f t="shared" si="292"/>
        <v>#N/A</v>
      </c>
      <c r="N979" s="464">
        <f>5.56+30.1</f>
        <v>35.66</v>
      </c>
      <c r="O979" s="465"/>
      <c r="P979" s="465"/>
      <c r="Q979" s="465"/>
      <c r="R979" s="465"/>
      <c r="S979" s="465"/>
      <c r="T979" s="465"/>
      <c r="U979" s="479"/>
      <c r="V979" s="422"/>
      <c r="W979" s="422"/>
      <c r="X979" s="422"/>
      <c r="Y979" s="422"/>
      <c r="Z979" s="422"/>
    </row>
    <row r="980" ht="12.75" customHeight="1" spans="1:26">
      <c r="A980" s="422" t="str">
        <f t="shared" si="293"/>
        <v> 17.1 </v>
      </c>
      <c r="B980" s="423" t="str">
        <f t="shared" si="294"/>
        <v> 17.1 </v>
      </c>
      <c r="C980" s="441" t="s">
        <v>2679</v>
      </c>
      <c r="D980" s="442" t="s">
        <v>2680</v>
      </c>
      <c r="E980" s="441" t="s">
        <v>132</v>
      </c>
      <c r="F980" s="441" t="s">
        <v>2681</v>
      </c>
      <c r="G980" s="442" t="s">
        <v>141</v>
      </c>
      <c r="H980" s="443">
        <f t="shared" si="295"/>
        <v>53.42</v>
      </c>
      <c r="I980" s="443">
        <f>VLOOKUP(D980,'Orçamento Analitico'!D:L,9,FALSE())</f>
        <v>105.63</v>
      </c>
      <c r="J980" s="443">
        <f t="shared" si="296"/>
        <v>132.55</v>
      </c>
      <c r="K980" s="443">
        <f t="shared" si="297"/>
        <v>5642.75</v>
      </c>
      <c r="L980" s="443">
        <f t="shared" si="298"/>
        <v>7080.82</v>
      </c>
      <c r="M980" s="461" t="e">
        <f t="shared" si="292"/>
        <v>#N/A</v>
      </c>
      <c r="N980" s="464">
        <f>ROUNDDOWN((4*5.13)+(2*4.09)+15.42+9.3,2)</f>
        <v>53.42</v>
      </c>
      <c r="O980" s="465"/>
      <c r="P980" s="465"/>
      <c r="Q980" s="465"/>
      <c r="R980" s="465"/>
      <c r="S980" s="465"/>
      <c r="T980" s="465"/>
      <c r="U980" s="479"/>
      <c r="V980" s="422"/>
      <c r="W980" s="422"/>
      <c r="X980" s="422"/>
      <c r="Y980" s="422"/>
      <c r="Z980" s="422"/>
    </row>
    <row r="981" ht="39" customHeight="1" spans="1:26">
      <c r="A981" s="422" t="str">
        <f t="shared" si="293"/>
        <v> 17.1 </v>
      </c>
      <c r="B981" s="423" t="str">
        <f t="shared" si="294"/>
        <v> 17.1 </v>
      </c>
      <c r="C981" s="441" t="s">
        <v>2682</v>
      </c>
      <c r="D981" s="442" t="s">
        <v>2683</v>
      </c>
      <c r="E981" s="441" t="s">
        <v>139</v>
      </c>
      <c r="F981" s="441" t="s">
        <v>2684</v>
      </c>
      <c r="G981" s="442" t="s">
        <v>204</v>
      </c>
      <c r="H981" s="443">
        <f t="shared" si="295"/>
        <v>10.35</v>
      </c>
      <c r="I981" s="443">
        <f>VLOOKUP(D981,'Orçamento Analitico'!D:L,9,FALSE())</f>
        <v>8.42</v>
      </c>
      <c r="J981" s="443">
        <f t="shared" si="296"/>
        <v>10.56</v>
      </c>
      <c r="K981" s="443">
        <f t="shared" si="297"/>
        <v>87.14</v>
      </c>
      <c r="L981" s="443">
        <f t="shared" si="298"/>
        <v>109.29</v>
      </c>
      <c r="M981" s="461" t="e">
        <f t="shared" si="292"/>
        <v>#N/A</v>
      </c>
      <c r="N981" s="464"/>
      <c r="O981" s="465"/>
      <c r="P981" s="465"/>
      <c r="Q981" s="465">
        <v>10.35</v>
      </c>
      <c r="R981" s="465"/>
      <c r="S981" s="465"/>
      <c r="T981" s="465"/>
      <c r="U981" s="479"/>
      <c r="V981" s="422"/>
      <c r="W981" s="422"/>
      <c r="X981" s="422"/>
      <c r="Y981" s="422"/>
      <c r="Z981" s="422"/>
    </row>
    <row r="982" ht="39" customHeight="1" spans="1:26">
      <c r="A982" s="422" t="str">
        <f t="shared" si="293"/>
        <v> 17.1 </v>
      </c>
      <c r="B982" s="423" t="str">
        <f t="shared" si="294"/>
        <v> 17.1 </v>
      </c>
      <c r="C982" s="441" t="s">
        <v>2685</v>
      </c>
      <c r="D982" s="487" t="s">
        <v>2686</v>
      </c>
      <c r="E982" s="441" t="s">
        <v>132</v>
      </c>
      <c r="F982" s="441" t="s">
        <v>2687</v>
      </c>
      <c r="G982" s="442" t="s">
        <v>141</v>
      </c>
      <c r="H982" s="443">
        <f t="shared" si="295"/>
        <v>38.26</v>
      </c>
      <c r="I982" s="443">
        <f>VLOOKUP(D982,'Orçamento Analitico'!D:L,9,FALSE())</f>
        <v>242.13</v>
      </c>
      <c r="J982" s="443">
        <f t="shared" si="296"/>
        <v>303.84</v>
      </c>
      <c r="K982" s="443">
        <f t="shared" si="297"/>
        <v>9263.89</v>
      </c>
      <c r="L982" s="443">
        <f t="shared" si="298"/>
        <v>11624.91</v>
      </c>
      <c r="M982" s="461" t="e">
        <f t="shared" si="292"/>
        <v>#N/A</v>
      </c>
      <c r="N982" s="464"/>
      <c r="O982" s="465"/>
      <c r="P982" s="465"/>
      <c r="Q982" s="465"/>
      <c r="R982" s="465">
        <v>38.26</v>
      </c>
      <c r="S982" s="465"/>
      <c r="T982" s="465"/>
      <c r="U982" s="479"/>
      <c r="V982" s="497"/>
      <c r="W982" s="422"/>
      <c r="X982" s="422"/>
      <c r="Y982" s="422"/>
      <c r="Z982" s="422"/>
    </row>
    <row r="983" ht="39" customHeight="1" spans="1:26">
      <c r="A983" s="422" t="str">
        <f t="shared" si="293"/>
        <v> 17.1 </v>
      </c>
      <c r="B983" s="423" t="str">
        <f t="shared" si="294"/>
        <v> 17.1 </v>
      </c>
      <c r="C983" s="441" t="s">
        <v>2688</v>
      </c>
      <c r="D983" s="442" t="s">
        <v>2689</v>
      </c>
      <c r="E983" s="441" t="s">
        <v>139</v>
      </c>
      <c r="F983" s="441" t="s">
        <v>2690</v>
      </c>
      <c r="G983" s="442" t="s">
        <v>204</v>
      </c>
      <c r="H983" s="443">
        <f t="shared" si="295"/>
        <v>86.94</v>
      </c>
      <c r="I983" s="443">
        <f>VLOOKUP(D983,'Orçamento Analitico'!D:L,9,FALSE())</f>
        <v>191.3</v>
      </c>
      <c r="J983" s="443">
        <f t="shared" si="296"/>
        <v>240.06</v>
      </c>
      <c r="K983" s="443">
        <f t="shared" si="297"/>
        <v>16631.62</v>
      </c>
      <c r="L983" s="443">
        <f t="shared" si="298"/>
        <v>20870.81</v>
      </c>
      <c r="M983" s="461" t="e">
        <f t="shared" si="292"/>
        <v>#N/A</v>
      </c>
      <c r="N983" s="464">
        <v>37.26</v>
      </c>
      <c r="O983" s="465">
        <v>0</v>
      </c>
      <c r="P983" s="465">
        <v>0</v>
      </c>
      <c r="Q983" s="465">
        <v>28.08</v>
      </c>
      <c r="R983" s="465">
        <v>21.6</v>
      </c>
      <c r="S983" s="465"/>
      <c r="T983" s="465"/>
      <c r="U983" s="479"/>
      <c r="V983" s="422"/>
      <c r="W983" s="422"/>
      <c r="X983" s="422"/>
      <c r="Y983" s="422"/>
      <c r="Z983" s="422"/>
    </row>
    <row r="984" ht="39" customHeight="1" spans="1:26">
      <c r="A984" s="422" t="str">
        <f t="shared" si="293"/>
        <v> 17.1 </v>
      </c>
      <c r="B984" s="423" t="str">
        <f t="shared" si="294"/>
        <v> 17.1 </v>
      </c>
      <c r="C984" s="441" t="s">
        <v>2691</v>
      </c>
      <c r="D984" s="442" t="s">
        <v>2692</v>
      </c>
      <c r="E984" s="441" t="s">
        <v>139</v>
      </c>
      <c r="F984" s="441" t="s">
        <v>2693</v>
      </c>
      <c r="G984" s="442" t="s">
        <v>141</v>
      </c>
      <c r="H984" s="443">
        <f t="shared" si="295"/>
        <v>256.59</v>
      </c>
      <c r="I984" s="443">
        <f>VLOOKUP(D984,'Orçamento Analitico'!D:L,9,FALSE())</f>
        <v>176.14</v>
      </c>
      <c r="J984" s="443">
        <f t="shared" si="296"/>
        <v>221.03</v>
      </c>
      <c r="K984" s="443">
        <f t="shared" si="297"/>
        <v>45195.76</v>
      </c>
      <c r="L984" s="443">
        <f t="shared" si="298"/>
        <v>56714.08</v>
      </c>
      <c r="M984" s="461" t="e">
        <f t="shared" si="292"/>
        <v>#N/A</v>
      </c>
      <c r="N984" s="464">
        <f>4.95+145.98</f>
        <v>150.93</v>
      </c>
      <c r="O984" s="465">
        <v>0</v>
      </c>
      <c r="P984" s="465">
        <v>0</v>
      </c>
      <c r="Q984" s="465">
        <v>77.4</v>
      </c>
      <c r="R984" s="465">
        <v>28.26</v>
      </c>
      <c r="S984" s="465"/>
      <c r="T984" s="465"/>
      <c r="U984" s="479"/>
      <c r="V984" s="422"/>
      <c r="W984" s="422"/>
      <c r="X984" s="422"/>
      <c r="Y984" s="422"/>
      <c r="Z984" s="422"/>
    </row>
    <row r="985" ht="39" customHeight="1" spans="1:26">
      <c r="A985" s="422" t="str">
        <f t="shared" si="293"/>
        <v> 17.1 </v>
      </c>
      <c r="B985" s="423" t="str">
        <f t="shared" si="294"/>
        <v> 17.1 </v>
      </c>
      <c r="C985" s="441" t="s">
        <v>2694</v>
      </c>
      <c r="D985" s="442" t="s">
        <v>2695</v>
      </c>
      <c r="E985" s="441" t="s">
        <v>139</v>
      </c>
      <c r="F985" s="441" t="s">
        <v>2696</v>
      </c>
      <c r="G985" s="442" t="s">
        <v>204</v>
      </c>
      <c r="H985" s="443">
        <f t="shared" si="295"/>
        <v>235.46</v>
      </c>
      <c r="I985" s="443">
        <f>VLOOKUP(D985,'Orçamento Analitico'!D:L,9,FALSE())</f>
        <v>135.2</v>
      </c>
      <c r="J985" s="443">
        <f t="shared" si="296"/>
        <v>169.66</v>
      </c>
      <c r="K985" s="443">
        <f t="shared" si="297"/>
        <v>31834.19</v>
      </c>
      <c r="L985" s="443">
        <f t="shared" si="298"/>
        <v>39948.14</v>
      </c>
      <c r="M985" s="461" t="e">
        <f t="shared" si="292"/>
        <v>#N/A</v>
      </c>
      <c r="N985" s="464">
        <f>ROUNDDOWN(16.95/0.15,2)</f>
        <v>113</v>
      </c>
      <c r="O985" s="465">
        <v>0</v>
      </c>
      <c r="P985" s="465">
        <v>0</v>
      </c>
      <c r="Q985" s="465">
        <f>ROUNDDOWN(13.47/0.15,2)</f>
        <v>89.8</v>
      </c>
      <c r="R985" s="465">
        <f>ROUNDDOWN(4.9/0.15,2)</f>
        <v>32.66</v>
      </c>
      <c r="S985" s="465"/>
      <c r="T985" s="465"/>
      <c r="U985" s="479"/>
      <c r="V985" s="422"/>
      <c r="W985" s="422"/>
      <c r="X985" s="422"/>
      <c r="Y985" s="422"/>
      <c r="Z985" s="422"/>
    </row>
    <row r="986" ht="39" customHeight="1" spans="1:26">
      <c r="A986" s="422" t="str">
        <f t="shared" si="293"/>
        <v> 17.1 </v>
      </c>
      <c r="B986" s="423" t="str">
        <f t="shared" si="294"/>
        <v> 17.1 </v>
      </c>
      <c r="C986" s="441" t="s">
        <v>2697</v>
      </c>
      <c r="D986" s="442" t="s">
        <v>2698</v>
      </c>
      <c r="E986" s="441" t="s">
        <v>132</v>
      </c>
      <c r="F986" s="441" t="s">
        <v>2699</v>
      </c>
      <c r="G986" s="442" t="s">
        <v>204</v>
      </c>
      <c r="H986" s="443">
        <f t="shared" si="295"/>
        <v>176.79</v>
      </c>
      <c r="I986" s="443">
        <f>VLOOKUP(D986,'Orçamento Analitico'!D:L,9,FALSE())</f>
        <v>36.1</v>
      </c>
      <c r="J986" s="443">
        <f t="shared" si="296"/>
        <v>45.3</v>
      </c>
      <c r="K986" s="443">
        <f t="shared" si="297"/>
        <v>6382.11</v>
      </c>
      <c r="L986" s="443">
        <f t="shared" si="298"/>
        <v>8008.58</v>
      </c>
      <c r="M986" s="461" t="e">
        <f t="shared" si="292"/>
        <v>#N/A</v>
      </c>
      <c r="N986" s="464">
        <f>ROUNDDOWN(3.11/0.15,2)</f>
        <v>20.73</v>
      </c>
      <c r="O986" s="465">
        <v>0</v>
      </c>
      <c r="P986" s="465">
        <v>0</v>
      </c>
      <c r="Q986" s="465">
        <f>ROUNDDOWN(5.15/0.15,2)</f>
        <v>34.33</v>
      </c>
      <c r="R986" s="465">
        <f>ROUNDDOWN(18.26/0.15,2)</f>
        <v>121.73</v>
      </c>
      <c r="S986" s="465"/>
      <c r="T986" s="465"/>
      <c r="U986" s="479"/>
      <c r="V986" s="422"/>
      <c r="W986" s="422"/>
      <c r="X986" s="422"/>
      <c r="Y986" s="422"/>
      <c r="Z986" s="422"/>
    </row>
    <row r="987" ht="12.75" customHeight="1" spans="1:26">
      <c r="A987" s="422"/>
      <c r="B987" s="423" t="str">
        <f>C987</f>
        <v> 17.2 </v>
      </c>
      <c r="C987" s="444" t="s">
        <v>2700</v>
      </c>
      <c r="D987" s="445" t="s">
        <v>74</v>
      </c>
      <c r="E987" s="444"/>
      <c r="F987" s="444" t="s">
        <v>2701</v>
      </c>
      <c r="G987" s="445"/>
      <c r="H987" s="446"/>
      <c r="I987" s="446"/>
      <c r="J987" s="466"/>
      <c r="K987" s="466" t="e">
        <f>SUMIF(A:A,B987,K:K)</f>
        <v>#N/A</v>
      </c>
      <c r="L987" s="466" t="e">
        <f>SUMIF(A:A,C987,L:L)</f>
        <v>#N/A</v>
      </c>
      <c r="M987" s="467" t="e">
        <f t="shared" si="292"/>
        <v>#N/A</v>
      </c>
      <c r="N987" s="464"/>
      <c r="O987" s="465"/>
      <c r="P987" s="465"/>
      <c r="Q987" s="465"/>
      <c r="R987" s="465"/>
      <c r="S987" s="422"/>
      <c r="T987" s="465"/>
      <c r="U987" s="479"/>
      <c r="V987" s="422"/>
      <c r="W987" s="422"/>
      <c r="X987" s="422"/>
      <c r="Y987" s="422"/>
      <c r="Z987" s="422"/>
    </row>
    <row r="988" ht="35.25" customHeight="1" spans="1:26">
      <c r="A988" s="422" t="str">
        <f t="shared" ref="A988:A993" si="299">B988</f>
        <v> 17.2 </v>
      </c>
      <c r="B988" s="423" t="str">
        <f t="shared" ref="B988:B993" si="300">B987</f>
        <v> 17.2 </v>
      </c>
      <c r="C988" s="441" t="s">
        <v>2702</v>
      </c>
      <c r="D988" s="442" t="s">
        <v>2703</v>
      </c>
      <c r="E988" s="441" t="s">
        <v>139</v>
      </c>
      <c r="F988" s="441" t="s">
        <v>2704</v>
      </c>
      <c r="G988" s="442" t="s">
        <v>141</v>
      </c>
      <c r="H988" s="443">
        <f>SUM(N988)</f>
        <v>728.04</v>
      </c>
      <c r="I988" s="443">
        <f>VLOOKUP(D988,'Orçamento Analitico'!D:L,9,FALSE())</f>
        <v>112.06</v>
      </c>
      <c r="J988" s="443">
        <f t="shared" ref="J988:J993" si="301">ROUNDDOWN(I988*(1+$G$6),2)</f>
        <v>140.62</v>
      </c>
      <c r="K988" s="443">
        <f t="shared" ref="K988:K993" si="302">ROUNDDOWN(H988*I988,2)</f>
        <v>81584.16</v>
      </c>
      <c r="L988" s="443">
        <f t="shared" ref="L988:L993" si="303">ROUNDDOWN(H988*J988,2)</f>
        <v>102376.98</v>
      </c>
      <c r="M988" s="461" t="e">
        <f t="shared" si="292"/>
        <v>#N/A</v>
      </c>
      <c r="N988" s="464">
        <v>728.04</v>
      </c>
      <c r="O988" s="465"/>
      <c r="P988" s="465"/>
      <c r="Q988" s="465" t="s">
        <v>6198</v>
      </c>
      <c r="R988" s="465"/>
      <c r="S988" s="465"/>
      <c r="T988" s="465"/>
      <c r="U988" s="479"/>
      <c r="V988" s="422"/>
      <c r="W988" s="422"/>
      <c r="X988" s="422"/>
      <c r="Y988" s="422"/>
      <c r="Z988" s="422"/>
    </row>
    <row r="989" ht="12.75" customHeight="1" spans="1:26">
      <c r="A989" s="422" t="str">
        <f t="shared" si="299"/>
        <v> 17.2 </v>
      </c>
      <c r="B989" s="423" t="str">
        <f t="shared" si="300"/>
        <v> 17.2 </v>
      </c>
      <c r="C989" s="441" t="s">
        <v>2705</v>
      </c>
      <c r="D989" s="442" t="s">
        <v>2706</v>
      </c>
      <c r="E989" s="441" t="s">
        <v>139</v>
      </c>
      <c r="F989" s="441" t="s">
        <v>2707</v>
      </c>
      <c r="G989" s="442" t="s">
        <v>204</v>
      </c>
      <c r="H989" s="443">
        <f>SUM(N989)</f>
        <v>374.56</v>
      </c>
      <c r="I989" s="443">
        <f>VLOOKUP(D989,'Orçamento Analitico'!D:L,9,FALSE())</f>
        <v>45.6</v>
      </c>
      <c r="J989" s="443">
        <f t="shared" si="301"/>
        <v>57.22</v>
      </c>
      <c r="K989" s="443">
        <f t="shared" si="302"/>
        <v>17079.93</v>
      </c>
      <c r="L989" s="443">
        <f t="shared" si="303"/>
        <v>21432.32</v>
      </c>
      <c r="M989" s="461" t="e">
        <f t="shared" si="292"/>
        <v>#N/A</v>
      </c>
      <c r="N989" s="464">
        <v>374.56</v>
      </c>
      <c r="O989" s="465"/>
      <c r="P989" s="465"/>
      <c r="Q989" s="465" t="s">
        <v>6198</v>
      </c>
      <c r="R989" s="465"/>
      <c r="S989" s="465"/>
      <c r="T989" s="465"/>
      <c r="U989" s="479"/>
      <c r="V989" s="422"/>
      <c r="W989" s="422"/>
      <c r="X989" s="422"/>
      <c r="Y989" s="422"/>
      <c r="Z989" s="422"/>
    </row>
    <row r="990" ht="12.75" customHeight="1" spans="1:26">
      <c r="A990" s="422" t="str">
        <f t="shared" si="299"/>
        <v> 17.2 </v>
      </c>
      <c r="B990" s="423" t="str">
        <f t="shared" si="300"/>
        <v> 17.2 </v>
      </c>
      <c r="C990" s="441" t="s">
        <v>2708</v>
      </c>
      <c r="D990" s="442" t="s">
        <v>2709</v>
      </c>
      <c r="E990" s="441" t="s">
        <v>139</v>
      </c>
      <c r="F990" s="441" t="s">
        <v>2710</v>
      </c>
      <c r="G990" s="442" t="s">
        <v>141</v>
      </c>
      <c r="H990" s="443">
        <f>N990+S990</f>
        <v>1229.03</v>
      </c>
      <c r="I990" s="443">
        <f>VLOOKUP(D990,'Orçamento Analitico'!D:L,9,FALSE())</f>
        <v>90.35</v>
      </c>
      <c r="J990" s="443">
        <f t="shared" si="301"/>
        <v>113.38</v>
      </c>
      <c r="K990" s="443">
        <f t="shared" si="302"/>
        <v>111042.86</v>
      </c>
      <c r="L990" s="443">
        <f t="shared" si="303"/>
        <v>139347.42</v>
      </c>
      <c r="M990" s="461" t="e">
        <f t="shared" si="292"/>
        <v>#N/A</v>
      </c>
      <c r="N990" s="464">
        <f>ROUNDDOWN(287.2*4,2)</f>
        <v>1148.8</v>
      </c>
      <c r="O990" s="465" t="s">
        <v>6199</v>
      </c>
      <c r="P990" s="465"/>
      <c r="Q990" s="494"/>
      <c r="R990" s="422"/>
      <c r="S990" s="465">
        <f>ROUNDDOWN(66.86*1.2,2)</f>
        <v>80.23</v>
      </c>
      <c r="T990" s="465" t="s">
        <v>6200</v>
      </c>
      <c r="U990" s="479"/>
      <c r="V990" s="422"/>
      <c r="W990" s="422"/>
      <c r="X990" s="422"/>
      <c r="Y990" s="422"/>
      <c r="Z990" s="422"/>
    </row>
    <row r="991" ht="35.25" customHeight="1" spans="1:26">
      <c r="A991" s="422" t="str">
        <f t="shared" si="299"/>
        <v> 17.2 </v>
      </c>
      <c r="B991" s="423" t="str">
        <f t="shared" si="300"/>
        <v> 17.2 </v>
      </c>
      <c r="C991" s="441" t="s">
        <v>2711</v>
      </c>
      <c r="D991" s="442" t="s">
        <v>2712</v>
      </c>
      <c r="E991" s="441" t="s">
        <v>139</v>
      </c>
      <c r="F991" s="441" t="s">
        <v>2713</v>
      </c>
      <c r="G991" s="442" t="s">
        <v>141</v>
      </c>
      <c r="H991" s="443">
        <f>SUM(N991)</f>
        <v>1216.17</v>
      </c>
      <c r="I991" s="443">
        <f>VLOOKUP(D991,'Orçamento Analitico'!D:L,9,FALSE())</f>
        <v>22.37</v>
      </c>
      <c r="J991" s="443">
        <f t="shared" si="301"/>
        <v>28.07</v>
      </c>
      <c r="K991" s="443">
        <f t="shared" si="302"/>
        <v>27205.72</v>
      </c>
      <c r="L991" s="443">
        <f t="shared" si="303"/>
        <v>34137.89</v>
      </c>
      <c r="M991" s="461" t="e">
        <f t="shared" si="292"/>
        <v>#N/A</v>
      </c>
      <c r="N991" s="464">
        <f>1046.38+374.18-204.39</f>
        <v>1216.17</v>
      </c>
      <c r="O991" s="465"/>
      <c r="P991" s="465"/>
      <c r="Q991" s="465" t="s">
        <v>6198</v>
      </c>
      <c r="R991" s="465"/>
      <c r="S991" s="465"/>
      <c r="T991" s="465"/>
      <c r="U991" s="479"/>
      <c r="V991" s="422"/>
      <c r="W991" s="422"/>
      <c r="X991" s="422"/>
      <c r="Y991" s="422"/>
      <c r="Z991" s="422"/>
    </row>
    <row r="992" ht="12.75" customHeight="1" spans="1:26">
      <c r="A992" s="422" t="str">
        <f t="shared" si="299"/>
        <v> 17.2 </v>
      </c>
      <c r="B992" s="423" t="str">
        <f t="shared" si="300"/>
        <v> 17.2 </v>
      </c>
      <c r="C992" s="510" t="s">
        <v>2714</v>
      </c>
      <c r="D992" s="511" t="s">
        <v>2715</v>
      </c>
      <c r="E992" s="510" t="s">
        <v>139</v>
      </c>
      <c r="F992" s="510" t="s">
        <v>2716</v>
      </c>
      <c r="G992" s="511" t="s">
        <v>2717</v>
      </c>
      <c r="H992" s="512">
        <f>SUM(N992)</f>
        <v>61.6</v>
      </c>
      <c r="I992" s="512">
        <f>VLOOKUP(D992,'Orçamento Analitico'!D:L,9,FALSE())</f>
        <v>91.17</v>
      </c>
      <c r="J992" s="512">
        <f t="shared" si="301"/>
        <v>114.4</v>
      </c>
      <c r="K992" s="512">
        <f t="shared" si="302"/>
        <v>5616.07</v>
      </c>
      <c r="L992" s="512">
        <f t="shared" si="303"/>
        <v>7047.04</v>
      </c>
      <c r="M992" s="513" t="e">
        <f t="shared" si="292"/>
        <v>#N/A</v>
      </c>
      <c r="N992" s="464">
        <v>61.6</v>
      </c>
      <c r="O992" s="465"/>
      <c r="P992" s="465"/>
      <c r="Q992" s="465"/>
      <c r="R992" s="465"/>
      <c r="S992" s="465"/>
      <c r="T992" s="465"/>
      <c r="U992" s="479"/>
      <c r="V992" s="422"/>
      <c r="W992" s="422"/>
      <c r="X992" s="422"/>
      <c r="Y992" s="422"/>
      <c r="Z992" s="422"/>
    </row>
    <row r="993" ht="12.75" customHeight="1" spans="1:26">
      <c r="A993" s="422" t="str">
        <f t="shared" si="299"/>
        <v> 17.2 </v>
      </c>
      <c r="B993" s="423" t="str">
        <f t="shared" si="300"/>
        <v> 17.2 </v>
      </c>
      <c r="C993" s="510" t="s">
        <v>2718</v>
      </c>
      <c r="D993" s="511" t="s">
        <v>2719</v>
      </c>
      <c r="E993" s="510" t="s">
        <v>139</v>
      </c>
      <c r="F993" s="510" t="s">
        <v>2720</v>
      </c>
      <c r="G993" s="511" t="s">
        <v>2717</v>
      </c>
      <c r="H993" s="512">
        <f>SUM(N993)</f>
        <v>122.71</v>
      </c>
      <c r="I993" s="512" t="e">
        <f>VLOOKUP(D993,'Orçamento Analitico'!D:L,9,FALSE())</f>
        <v>#N/A</v>
      </c>
      <c r="J993" s="512" t="e">
        <f t="shared" si="301"/>
        <v>#N/A</v>
      </c>
      <c r="K993" s="512" t="e">
        <f t="shared" si="302"/>
        <v>#N/A</v>
      </c>
      <c r="L993" s="512" t="e">
        <f t="shared" si="303"/>
        <v>#N/A</v>
      </c>
      <c r="M993" s="513" t="e">
        <f t="shared" si="292"/>
        <v>#N/A</v>
      </c>
      <c r="N993" s="464">
        <v>122.71</v>
      </c>
      <c r="O993" s="465"/>
      <c r="P993" s="465"/>
      <c r="Q993" s="465"/>
      <c r="R993" s="465"/>
      <c r="S993" s="465"/>
      <c r="T993" s="465"/>
      <c r="U993" s="479"/>
      <c r="V993" s="422"/>
      <c r="W993" s="422"/>
      <c r="X993" s="422"/>
      <c r="Y993" s="422"/>
      <c r="Z993" s="422"/>
    </row>
    <row r="994" ht="12.75" customHeight="1" spans="1:26">
      <c r="A994" s="422"/>
      <c r="B994" s="423"/>
      <c r="C994" s="438" t="s">
        <v>52</v>
      </c>
      <c r="D994" s="439" t="s">
        <v>74</v>
      </c>
      <c r="E994" s="438"/>
      <c r="F994" s="438" t="s">
        <v>53</v>
      </c>
      <c r="G994" s="439"/>
      <c r="H994" s="440"/>
      <c r="I994" s="440"/>
      <c r="J994" s="440"/>
      <c r="K994" s="440">
        <f>SUM(K995,K999,K1005,K1011)</f>
        <v>499386.93</v>
      </c>
      <c r="L994" s="440">
        <f>SUM(L995,L999,L1005,L1011)</f>
        <v>626594.56</v>
      </c>
      <c r="M994" s="458" t="e">
        <f t="shared" si="292"/>
        <v>#N/A</v>
      </c>
      <c r="N994" s="459" t="s">
        <v>6121</v>
      </c>
      <c r="O994" s="460" t="s">
        <v>6122</v>
      </c>
      <c r="P994" s="460" t="s">
        <v>6123</v>
      </c>
      <c r="Q994" s="460" t="s">
        <v>6124</v>
      </c>
      <c r="R994" s="460" t="s">
        <v>6125</v>
      </c>
      <c r="S994" s="460" t="s">
        <v>6126</v>
      </c>
      <c r="T994" s="460" t="s">
        <v>6201</v>
      </c>
      <c r="U994" s="477"/>
      <c r="V994" s="422"/>
      <c r="W994" s="422"/>
      <c r="X994" s="422"/>
      <c r="Y994" s="422"/>
      <c r="Z994" s="422"/>
    </row>
    <row r="995" ht="12.75" customHeight="1" spans="1:26">
      <c r="A995" s="422"/>
      <c r="B995" s="423" t="str">
        <f>C995</f>
        <v> 18.1 </v>
      </c>
      <c r="C995" s="444" t="s">
        <v>2721</v>
      </c>
      <c r="D995" s="445" t="s">
        <v>74</v>
      </c>
      <c r="E995" s="444"/>
      <c r="F995" s="444" t="s">
        <v>2722</v>
      </c>
      <c r="G995" s="445"/>
      <c r="H995" s="446"/>
      <c r="I995" s="446"/>
      <c r="J995" s="466"/>
      <c r="K995" s="466">
        <f>SUMIF(A:A,B995,K:K)</f>
        <v>239179.97</v>
      </c>
      <c r="L995" s="466">
        <f>SUMIF(A:A,C995,L:L)</f>
        <v>300121.11</v>
      </c>
      <c r="M995" s="467" t="e">
        <f t="shared" si="292"/>
        <v>#N/A</v>
      </c>
      <c r="N995" s="464"/>
      <c r="O995" s="465"/>
      <c r="P995" s="465"/>
      <c r="Q995" s="465"/>
      <c r="R995" s="465"/>
      <c r="S995" s="465"/>
      <c r="T995" s="465"/>
      <c r="U995" s="479"/>
      <c r="V995" s="422"/>
      <c r="W995" s="422"/>
      <c r="X995" s="422"/>
      <c r="Y995" s="422"/>
      <c r="Z995" s="422"/>
    </row>
    <row r="996" ht="33.75" customHeight="1" spans="1:26">
      <c r="A996" s="422" t="str">
        <f>B996</f>
        <v> 18.1 </v>
      </c>
      <c r="B996" s="423" t="str">
        <f>B995</f>
        <v> 18.1 </v>
      </c>
      <c r="C996" s="441" t="s">
        <v>2723</v>
      </c>
      <c r="D996" s="442" t="s">
        <v>2724</v>
      </c>
      <c r="E996" s="441" t="s">
        <v>139</v>
      </c>
      <c r="F996" s="441" t="s">
        <v>2725</v>
      </c>
      <c r="G996" s="442" t="s">
        <v>141</v>
      </c>
      <c r="H996" s="443">
        <f>SUM(N996:T996)</f>
        <v>5590.93</v>
      </c>
      <c r="I996" s="443">
        <f>VLOOKUP(D996,'Orçamento Analitico'!D:L,9,FALSE())</f>
        <v>5.46</v>
      </c>
      <c r="J996" s="443">
        <f>ROUNDDOWN(I996*(1+$G$6),2)</f>
        <v>6.85</v>
      </c>
      <c r="K996" s="443">
        <f>ROUNDDOWN(H996*I996,2)</f>
        <v>30526.47</v>
      </c>
      <c r="L996" s="443">
        <f>ROUNDDOWN(H996*J996,2)</f>
        <v>38297.87</v>
      </c>
      <c r="M996" s="461" t="e">
        <f t="shared" si="292"/>
        <v>#N/A</v>
      </c>
      <c r="N996" s="464">
        <f>ROUNDDOWN(((2*(6.2+2.85)*2.8)+(2*(2.8+2)*2.8))+(2*(4.05+7.7)*2.8)+(2*(4.35+5.45)*2.8)+(8*(2.83+1.63)*2.8)+(2*(SUM($R$212:$R$214,$N$217))),2)</f>
        <v>533.26</v>
      </c>
      <c r="O996" s="465">
        <v>0</v>
      </c>
      <c r="P996" s="465">
        <v>0</v>
      </c>
      <c r="Q996" s="465">
        <f>1714.32+(2*SUM(Q217))</f>
        <v>2103.52</v>
      </c>
      <c r="R996" s="465">
        <f>1820.25+(2*(SUM(R217)))</f>
        <v>1820.25</v>
      </c>
      <c r="S996" s="465">
        <v>768.9</v>
      </c>
      <c r="T996" s="465">
        <f>$R$215</f>
        <v>365</v>
      </c>
      <c r="U996" s="479"/>
      <c r="V996" s="422"/>
      <c r="W996" s="422"/>
      <c r="X996" s="422"/>
      <c r="Y996" s="422"/>
      <c r="Z996" s="422"/>
    </row>
    <row r="997" ht="33.75" customHeight="1" spans="1:26">
      <c r="A997" s="422" t="str">
        <f>B997</f>
        <v> 18.1 </v>
      </c>
      <c r="B997" s="423" t="str">
        <f>B996</f>
        <v> 18.1 </v>
      </c>
      <c r="C997" s="441" t="s">
        <v>2726</v>
      </c>
      <c r="D997" s="442" t="s">
        <v>2727</v>
      </c>
      <c r="E997" s="441" t="s">
        <v>139</v>
      </c>
      <c r="F997" s="441" t="s">
        <v>2728</v>
      </c>
      <c r="G997" s="442" t="s">
        <v>141</v>
      </c>
      <c r="H997" s="443">
        <f>SUM(N997:T997)</f>
        <v>5590.93</v>
      </c>
      <c r="I997" s="443">
        <f>VLOOKUP(D997,'Orçamento Analitico'!D:L,9,FALSE())</f>
        <v>15.19</v>
      </c>
      <c r="J997" s="443">
        <f>ROUNDDOWN(I997*(1+$G$6),2)</f>
        <v>19.06</v>
      </c>
      <c r="K997" s="443">
        <f>ROUNDDOWN(H997*I997,2)</f>
        <v>84926.22</v>
      </c>
      <c r="L997" s="443">
        <f>ROUNDDOWN(H997*J997,2)</f>
        <v>106563.12</v>
      </c>
      <c r="M997" s="461" t="e">
        <f t="shared" si="292"/>
        <v>#N/A</v>
      </c>
      <c r="N997" s="464">
        <f t="shared" ref="N997:T997" si="304">N996</f>
        <v>533.26</v>
      </c>
      <c r="O997" s="465">
        <f t="shared" si="304"/>
        <v>0</v>
      </c>
      <c r="P997" s="465">
        <f t="shared" si="304"/>
        <v>0</v>
      </c>
      <c r="Q997" s="465">
        <f t="shared" si="304"/>
        <v>2103.52</v>
      </c>
      <c r="R997" s="465">
        <f t="shared" si="304"/>
        <v>1820.25</v>
      </c>
      <c r="S997" s="465">
        <f t="shared" si="304"/>
        <v>768.9</v>
      </c>
      <c r="T997" s="465">
        <f t="shared" si="304"/>
        <v>365</v>
      </c>
      <c r="U997" s="479"/>
      <c r="V997" s="422"/>
      <c r="W997" s="422"/>
      <c r="X997" s="422"/>
      <c r="Y997" s="422"/>
      <c r="Z997" s="422"/>
    </row>
    <row r="998" ht="33.75" customHeight="1" spans="1:26">
      <c r="A998" s="422" t="str">
        <f>B998</f>
        <v> 18.1 </v>
      </c>
      <c r="B998" s="423" t="str">
        <f>B997</f>
        <v> 18.1 </v>
      </c>
      <c r="C998" s="441" t="s">
        <v>2729</v>
      </c>
      <c r="D998" s="442" t="s">
        <v>2730</v>
      </c>
      <c r="E998" s="441" t="s">
        <v>139</v>
      </c>
      <c r="F998" s="441" t="s">
        <v>2731</v>
      </c>
      <c r="G998" s="442" t="s">
        <v>141</v>
      </c>
      <c r="H998" s="443">
        <f>SUM(N998:T998)</f>
        <v>5590.93</v>
      </c>
      <c r="I998" s="443">
        <f>VLOOKUP(D998,'Orçamento Analitico'!D:L,9,FALSE())</f>
        <v>22.13</v>
      </c>
      <c r="J998" s="443">
        <f>ROUNDDOWN(I998*(1+$G$6),2)</f>
        <v>27.77</v>
      </c>
      <c r="K998" s="443">
        <f>ROUNDDOWN(H998*I998,2)</f>
        <v>123727.28</v>
      </c>
      <c r="L998" s="443">
        <f>ROUNDDOWN(H998*J998,2)</f>
        <v>155260.12</v>
      </c>
      <c r="M998" s="461" t="e">
        <f t="shared" si="292"/>
        <v>#N/A</v>
      </c>
      <c r="N998" s="464">
        <f t="shared" ref="N998:T998" si="305">N997</f>
        <v>533.26</v>
      </c>
      <c r="O998" s="465">
        <f t="shared" si="305"/>
        <v>0</v>
      </c>
      <c r="P998" s="465">
        <f t="shared" si="305"/>
        <v>0</v>
      </c>
      <c r="Q998" s="465">
        <f t="shared" si="305"/>
        <v>2103.52</v>
      </c>
      <c r="R998" s="465">
        <f t="shared" si="305"/>
        <v>1820.25</v>
      </c>
      <c r="S998" s="465">
        <f t="shared" si="305"/>
        <v>768.9</v>
      </c>
      <c r="T998" s="465">
        <f t="shared" si="305"/>
        <v>365</v>
      </c>
      <c r="U998" s="479"/>
      <c r="V998" s="422"/>
      <c r="W998" s="422"/>
      <c r="X998" s="422"/>
      <c r="Y998" s="422"/>
      <c r="Z998" s="422"/>
    </row>
    <row r="999" ht="12.75" customHeight="1" spans="1:26">
      <c r="A999" s="422"/>
      <c r="B999" s="423" t="str">
        <f>C999</f>
        <v> 18.2 </v>
      </c>
      <c r="C999" s="444" t="s">
        <v>2732</v>
      </c>
      <c r="D999" s="445" t="s">
        <v>74</v>
      </c>
      <c r="E999" s="444"/>
      <c r="F999" s="444" t="s">
        <v>2733</v>
      </c>
      <c r="G999" s="445"/>
      <c r="H999" s="446"/>
      <c r="I999" s="446"/>
      <c r="J999" s="466"/>
      <c r="K999" s="466">
        <f>SUMIF(A:A,B999,K:K)</f>
        <v>24598.5</v>
      </c>
      <c r="L999" s="466">
        <f>SUMIF(A:A,C999,L:L)</f>
        <v>30861.16</v>
      </c>
      <c r="M999" s="467" t="e">
        <f t="shared" si="292"/>
        <v>#N/A</v>
      </c>
      <c r="N999" s="464"/>
      <c r="O999" s="465"/>
      <c r="P999" s="465"/>
      <c r="Q999" s="465"/>
      <c r="R999" s="465"/>
      <c r="S999" s="465"/>
      <c r="T999" s="465"/>
      <c r="U999" s="479"/>
      <c r="V999" s="422"/>
      <c r="W999" s="422"/>
      <c r="X999" s="422"/>
      <c r="Y999" s="422"/>
      <c r="Z999" s="422"/>
    </row>
    <row r="1000" ht="33.75" customHeight="1" spans="1:26">
      <c r="A1000" s="422" t="str">
        <f>B1000</f>
        <v> 18.2 </v>
      </c>
      <c r="B1000" s="423" t="str">
        <f>B999</f>
        <v> 18.2 </v>
      </c>
      <c r="C1000" s="441" t="s">
        <v>2734</v>
      </c>
      <c r="D1000" s="442" t="s">
        <v>2735</v>
      </c>
      <c r="E1000" s="441" t="s">
        <v>139</v>
      </c>
      <c r="F1000" s="441" t="s">
        <v>2736</v>
      </c>
      <c r="G1000" s="442" t="s">
        <v>141</v>
      </c>
      <c r="H1000" s="443">
        <f>T1000</f>
        <v>365</v>
      </c>
      <c r="I1000" s="443">
        <f>VLOOKUP(D1000,'Orçamento Analitico'!D:L,9,FALSE())</f>
        <v>6.46</v>
      </c>
      <c r="J1000" s="443">
        <f>ROUNDDOWN(I1000*(1+$G$6),2)</f>
        <v>8.1</v>
      </c>
      <c r="K1000" s="443">
        <f>ROUNDDOWN(H1000*I1000,2)</f>
        <v>2357.9</v>
      </c>
      <c r="L1000" s="443">
        <f>ROUNDDOWN(H1000*J1000,2)</f>
        <v>2956.5</v>
      </c>
      <c r="M1000" s="461" t="e">
        <f t="shared" si="292"/>
        <v>#N/A</v>
      </c>
      <c r="N1000" s="464"/>
      <c r="O1000" s="465"/>
      <c r="P1000" s="465"/>
      <c r="Q1000" s="465"/>
      <c r="R1000" s="539"/>
      <c r="S1000" s="539" t="s">
        <v>6202</v>
      </c>
      <c r="T1000" s="465">
        <f>T996</f>
        <v>365</v>
      </c>
      <c r="U1000" s="479"/>
      <c r="V1000" s="422"/>
      <c r="W1000" s="422"/>
      <c r="X1000" s="422"/>
      <c r="Y1000" s="422"/>
      <c r="Z1000" s="422"/>
    </row>
    <row r="1001" ht="33.75" customHeight="1" spans="1:26">
      <c r="A1001" s="422" t="str">
        <f>B1001</f>
        <v> 18.2 </v>
      </c>
      <c r="B1001" s="423" t="str">
        <f>B1000</f>
        <v> 18.2 </v>
      </c>
      <c r="C1001" s="441" t="s">
        <v>2737</v>
      </c>
      <c r="D1001" s="442" t="s">
        <v>2738</v>
      </c>
      <c r="E1001" s="441" t="s">
        <v>139</v>
      </c>
      <c r="F1001" s="441" t="s">
        <v>2739</v>
      </c>
      <c r="G1001" s="442" t="s">
        <v>141</v>
      </c>
      <c r="H1001" s="443">
        <f>T1001</f>
        <v>365</v>
      </c>
      <c r="I1001" s="443">
        <f>VLOOKUP(D1001,'Orçamento Analitico'!D:L,9,FALSE())</f>
        <v>18.94</v>
      </c>
      <c r="J1001" s="443">
        <f>ROUNDDOWN(I1001*(1+$G$6),2)</f>
        <v>23.76</v>
      </c>
      <c r="K1001" s="443">
        <f>ROUNDDOWN(H1001*I1001,2)</f>
        <v>6913.1</v>
      </c>
      <c r="L1001" s="443">
        <f>ROUNDDOWN(H1001*J1001,2)</f>
        <v>8672.4</v>
      </c>
      <c r="M1001" s="461" t="e">
        <f t="shared" si="292"/>
        <v>#N/A</v>
      </c>
      <c r="N1001" s="464"/>
      <c r="O1001" s="465"/>
      <c r="P1001" s="465"/>
      <c r="Q1001" s="465"/>
      <c r="R1001" s="465"/>
      <c r="S1001" s="465"/>
      <c r="T1001" s="465">
        <f>T1000</f>
        <v>365</v>
      </c>
      <c r="U1001" s="479"/>
      <c r="V1001" s="422"/>
      <c r="W1001" s="422"/>
      <c r="X1001" s="422"/>
      <c r="Y1001" s="422"/>
      <c r="Z1001" s="422"/>
    </row>
    <row r="1002" ht="33.75" customHeight="1" spans="1:26">
      <c r="A1002" s="422" t="str">
        <f>B1002</f>
        <v> 18.2 </v>
      </c>
      <c r="B1002" s="423" t="str">
        <f>B1001</f>
        <v> 18.2 </v>
      </c>
      <c r="C1002" s="441" t="s">
        <v>2740</v>
      </c>
      <c r="D1002" s="442" t="s">
        <v>2741</v>
      </c>
      <c r="E1002" s="441" t="s">
        <v>139</v>
      </c>
      <c r="F1002" s="441" t="s">
        <v>2742</v>
      </c>
      <c r="G1002" s="442" t="s">
        <v>141</v>
      </c>
      <c r="H1002" s="443">
        <f>T1002</f>
        <v>365</v>
      </c>
      <c r="I1002" s="443">
        <f>VLOOKUP(D1002,'Orçamento Analitico'!D:L,9,FALSE())</f>
        <v>36.19</v>
      </c>
      <c r="J1002" s="443">
        <f>ROUNDDOWN(I1002*(1+$G$6),2)</f>
        <v>45.41</v>
      </c>
      <c r="K1002" s="443">
        <f>ROUNDDOWN(H1002*I1002,2)</f>
        <v>13209.35</v>
      </c>
      <c r="L1002" s="443">
        <f>ROUNDDOWN(H1002*J1002,2)</f>
        <v>16574.65</v>
      </c>
      <c r="M1002" s="461" t="e">
        <f t="shared" si="292"/>
        <v>#N/A</v>
      </c>
      <c r="N1002" s="464"/>
      <c r="O1002" s="465"/>
      <c r="P1002" s="465"/>
      <c r="Q1002" s="465"/>
      <c r="R1002" s="465"/>
      <c r="S1002" s="465"/>
      <c r="T1002" s="465">
        <f>T1001</f>
        <v>365</v>
      </c>
      <c r="U1002" s="479"/>
      <c r="V1002" s="422"/>
      <c r="W1002" s="422"/>
      <c r="X1002" s="422"/>
      <c r="Y1002" s="422"/>
      <c r="Z1002" s="422"/>
    </row>
    <row r="1003" ht="48" customHeight="1" spans="1:26">
      <c r="A1003" s="422" t="str">
        <f>B1003</f>
        <v> 18.2 </v>
      </c>
      <c r="B1003" s="423" t="str">
        <f>B1002</f>
        <v> 18.2 </v>
      </c>
      <c r="C1003" s="441" t="s">
        <v>2743</v>
      </c>
      <c r="D1003" s="442" t="s">
        <v>594</v>
      </c>
      <c r="E1003" s="441" t="s">
        <v>139</v>
      </c>
      <c r="F1003" s="441" t="s">
        <v>595</v>
      </c>
      <c r="G1003" s="442" t="s">
        <v>141</v>
      </c>
      <c r="H1003" s="443">
        <f>T1003</f>
        <v>27</v>
      </c>
      <c r="I1003" s="443">
        <f>VLOOKUP(D1003,'Orçamento Analitico'!D:L,9,FALSE())</f>
        <v>14.31</v>
      </c>
      <c r="J1003" s="443">
        <f>ROUNDDOWN(I1003*(1+$G$6),2)</f>
        <v>17.95</v>
      </c>
      <c r="K1003" s="443">
        <f>ROUNDDOWN(H1003*I1003,2)</f>
        <v>386.37</v>
      </c>
      <c r="L1003" s="443">
        <f>ROUNDDOWN(H1003*J1003,2)</f>
        <v>484.65</v>
      </c>
      <c r="M1003" s="461" t="e">
        <f t="shared" si="292"/>
        <v>#N/A</v>
      </c>
      <c r="N1003" s="464"/>
      <c r="O1003" s="465"/>
      <c r="P1003" s="465"/>
      <c r="Q1003" s="465"/>
      <c r="R1003" s="539"/>
      <c r="S1003" s="539" t="s">
        <v>6203</v>
      </c>
      <c r="T1003" s="465">
        <v>27</v>
      </c>
      <c r="U1003" s="479"/>
      <c r="V1003" s="422"/>
      <c r="W1003" s="422"/>
      <c r="X1003" s="422"/>
      <c r="Y1003" s="422"/>
      <c r="Z1003" s="422"/>
    </row>
    <row r="1004" ht="48" customHeight="1" spans="1:26">
      <c r="A1004" s="422" t="str">
        <f>B1004</f>
        <v> 18.2 </v>
      </c>
      <c r="B1004" s="423" t="str">
        <f>B1003</f>
        <v> 18.2 </v>
      </c>
      <c r="C1004" s="441" t="s">
        <v>2744</v>
      </c>
      <c r="D1004" s="442" t="s">
        <v>2745</v>
      </c>
      <c r="E1004" s="441" t="s">
        <v>139</v>
      </c>
      <c r="F1004" s="441" t="s">
        <v>2746</v>
      </c>
      <c r="G1004" s="442" t="s">
        <v>141</v>
      </c>
      <c r="H1004" s="443">
        <f>T1004</f>
        <v>27</v>
      </c>
      <c r="I1004" s="443">
        <f>VLOOKUP(D1004,'Orçamento Analitico'!D:L,9,FALSE())</f>
        <v>64.14</v>
      </c>
      <c r="J1004" s="443">
        <f>ROUNDDOWN(I1004*(1+$G$6),2)</f>
        <v>80.48</v>
      </c>
      <c r="K1004" s="443">
        <f>ROUNDDOWN(H1004*I1004,2)</f>
        <v>1731.78</v>
      </c>
      <c r="L1004" s="443">
        <f>ROUNDDOWN(H1004*J1004,2)</f>
        <v>2172.96</v>
      </c>
      <c r="M1004" s="461" t="e">
        <f t="shared" si="292"/>
        <v>#N/A</v>
      </c>
      <c r="N1004" s="464"/>
      <c r="O1004" s="465"/>
      <c r="P1004" s="465"/>
      <c r="Q1004" s="465"/>
      <c r="R1004" s="465"/>
      <c r="S1004" s="465"/>
      <c r="T1004" s="465">
        <f>T1003</f>
        <v>27</v>
      </c>
      <c r="U1004" s="479"/>
      <c r="V1004" s="422"/>
      <c r="W1004" s="422"/>
      <c r="X1004" s="422"/>
      <c r="Y1004" s="422"/>
      <c r="Z1004" s="422"/>
    </row>
    <row r="1005" ht="12.75" customHeight="1" spans="1:26">
      <c r="A1005" s="422"/>
      <c r="B1005" s="423" t="str">
        <f>C1005</f>
        <v> 18.3 </v>
      </c>
      <c r="C1005" s="444" t="s">
        <v>2747</v>
      </c>
      <c r="D1005" s="445" t="s">
        <v>74</v>
      </c>
      <c r="E1005" s="444"/>
      <c r="F1005" s="444" t="s">
        <v>2748</v>
      </c>
      <c r="G1005" s="445"/>
      <c r="H1005" s="446"/>
      <c r="I1005" s="446"/>
      <c r="J1005" s="466"/>
      <c r="K1005" s="466">
        <f>SUMIF(A:A,B1005,K:K)</f>
        <v>230765.22</v>
      </c>
      <c r="L1005" s="466">
        <f>SUMIF(A:A,C1005,L:L)</f>
        <v>289535.03</v>
      </c>
      <c r="M1005" s="467" t="e">
        <f t="shared" si="292"/>
        <v>#N/A</v>
      </c>
      <c r="N1005" s="464"/>
      <c r="O1005" s="465"/>
      <c r="P1005" s="465"/>
      <c r="Q1005" s="465"/>
      <c r="R1005" s="465"/>
      <c r="S1005" s="465"/>
      <c r="T1005" s="465"/>
      <c r="U1005" s="479"/>
      <c r="V1005" s="422"/>
      <c r="W1005" s="422"/>
      <c r="X1005" s="422"/>
      <c r="Y1005" s="422"/>
      <c r="Z1005" s="422"/>
    </row>
    <row r="1006" ht="12.75" customHeight="1" spans="1:26">
      <c r="A1006" s="422" t="str">
        <f>B1006</f>
        <v> 18.3 </v>
      </c>
      <c r="B1006" s="423" t="str">
        <f>B1005</f>
        <v> 18.3 </v>
      </c>
      <c r="C1006" s="441" t="s">
        <v>2749</v>
      </c>
      <c r="D1006" s="442" t="s">
        <v>2750</v>
      </c>
      <c r="E1006" s="441" t="s">
        <v>139</v>
      </c>
      <c r="F1006" s="441" t="s">
        <v>2751</v>
      </c>
      <c r="G1006" s="442" t="s">
        <v>141</v>
      </c>
      <c r="H1006" s="443">
        <f>SUM(N1006:T1008)</f>
        <v>3536.09</v>
      </c>
      <c r="I1006" s="443">
        <f>VLOOKUP(D1006,'Orçamento Analitico'!D:L,9,FALSE())</f>
        <v>6.71</v>
      </c>
      <c r="J1006" s="443">
        <f>ROUNDDOWN(I1006*(1+$G$6),2)</f>
        <v>8.42</v>
      </c>
      <c r="K1006" s="443">
        <f>ROUNDDOWN(H1006*I1006,2)</f>
        <v>23727.16</v>
      </c>
      <c r="L1006" s="443">
        <f>ROUNDDOWN(H1006*J1006,2)</f>
        <v>29773.87</v>
      </c>
      <c r="M1006" s="461" t="e">
        <f t="shared" si="292"/>
        <v>#N/A</v>
      </c>
      <c r="N1006" s="464">
        <v>298.06</v>
      </c>
      <c r="O1006" s="465">
        <v>281.5</v>
      </c>
      <c r="P1006" s="465">
        <v>205.56</v>
      </c>
      <c r="Q1006" s="465">
        <v>234.84</v>
      </c>
      <c r="R1006" s="465">
        <v>84.22</v>
      </c>
      <c r="S1006" s="465">
        <v>473.62</v>
      </c>
      <c r="T1006" s="465"/>
      <c r="U1006" s="479" t="s">
        <v>6204</v>
      </c>
      <c r="V1006" s="422"/>
      <c r="W1006" s="422"/>
      <c r="X1006" s="422"/>
      <c r="Y1006" s="422"/>
      <c r="Z1006" s="422"/>
    </row>
    <row r="1007" ht="18" customHeight="1" spans="1:26">
      <c r="A1007" s="422"/>
      <c r="B1007" s="423"/>
      <c r="C1007" s="441"/>
      <c r="D1007" s="442"/>
      <c r="E1007" s="441"/>
      <c r="F1007" s="441"/>
      <c r="G1007" s="442"/>
      <c r="H1007" s="443"/>
      <c r="I1007" s="443"/>
      <c r="J1007" s="443"/>
      <c r="K1007" s="443"/>
      <c r="L1007" s="443"/>
      <c r="M1007" s="461" t="e">
        <f t="shared" si="292"/>
        <v>#N/A</v>
      </c>
      <c r="N1007" s="464">
        <f>SUM(N1018:N1020)</f>
        <v>399.25</v>
      </c>
      <c r="O1007" s="465">
        <v>0</v>
      </c>
      <c r="P1007" s="465">
        <v>0</v>
      </c>
      <c r="Q1007" s="465">
        <f>SUM(Q1018:Q1020)</f>
        <v>568.87</v>
      </c>
      <c r="R1007" s="465">
        <f>SUM(R1018:R1020)</f>
        <v>561.51</v>
      </c>
      <c r="S1007" s="465">
        <v>0</v>
      </c>
      <c r="T1007" s="465"/>
      <c r="U1007" s="479" t="s">
        <v>6205</v>
      </c>
      <c r="V1007" s="422"/>
      <c r="W1007" s="422"/>
      <c r="X1007" s="422"/>
      <c r="Y1007" s="422"/>
      <c r="Z1007" s="422"/>
    </row>
    <row r="1008" ht="18" customHeight="1" spans="1:26">
      <c r="A1008" s="422"/>
      <c r="B1008" s="423"/>
      <c r="C1008" s="441"/>
      <c r="D1008" s="442"/>
      <c r="E1008" s="441"/>
      <c r="F1008" s="441"/>
      <c r="G1008" s="442"/>
      <c r="H1008" s="443"/>
      <c r="I1008" s="443"/>
      <c r="J1008" s="443"/>
      <c r="K1008" s="443"/>
      <c r="L1008" s="443"/>
      <c r="M1008" s="461" t="e">
        <f t="shared" si="292"/>
        <v>#N/A</v>
      </c>
      <c r="N1008" s="464">
        <f>N1025</f>
        <v>189.61</v>
      </c>
      <c r="O1008" s="465">
        <v>0</v>
      </c>
      <c r="P1008" s="465">
        <v>0</v>
      </c>
      <c r="Q1008" s="465">
        <f>Q1025</f>
        <v>143.86</v>
      </c>
      <c r="R1008" s="465">
        <f>R1025</f>
        <v>95.19</v>
      </c>
      <c r="S1008" s="465">
        <v>0</v>
      </c>
      <c r="T1008" s="465"/>
      <c r="U1008" s="479" t="s">
        <v>6206</v>
      </c>
      <c r="V1008" s="422"/>
      <c r="W1008" s="422"/>
      <c r="X1008" s="422"/>
      <c r="Y1008" s="422"/>
      <c r="Z1008" s="422"/>
    </row>
    <row r="1009" ht="38.25" customHeight="1" spans="1:26">
      <c r="A1009" s="422" t="str">
        <f>B1009</f>
        <v> 18.3 </v>
      </c>
      <c r="B1009" s="423" t="str">
        <f>B1006</f>
        <v> 18.3 </v>
      </c>
      <c r="C1009" s="441" t="s">
        <v>2752</v>
      </c>
      <c r="D1009" s="442" t="s">
        <v>2753</v>
      </c>
      <c r="E1009" s="441" t="s">
        <v>139</v>
      </c>
      <c r="F1009" s="441" t="s">
        <v>2754</v>
      </c>
      <c r="G1009" s="442" t="s">
        <v>141</v>
      </c>
      <c r="H1009" s="443">
        <f>SUM(N1009:U1009)</f>
        <v>3536.09</v>
      </c>
      <c r="I1009" s="443">
        <f>VLOOKUP(D1009,'Orçamento Analitico'!D:L,9,FALSE())</f>
        <v>18.24</v>
      </c>
      <c r="J1009" s="443">
        <f>ROUNDDOWN(I1009*(1+$G$6),2)</f>
        <v>22.88</v>
      </c>
      <c r="K1009" s="443">
        <f>ROUNDDOWN(H1009*I1009,2)</f>
        <v>64498.28</v>
      </c>
      <c r="L1009" s="443">
        <f>ROUNDDOWN(H1009*J1009,2)</f>
        <v>80905.73</v>
      </c>
      <c r="M1009" s="461" t="e">
        <f t="shared" si="292"/>
        <v>#N/A</v>
      </c>
      <c r="N1009" s="464">
        <f t="shared" ref="N1009:T1009" si="306">SUM(N1006:N1008)</f>
        <v>886.92</v>
      </c>
      <c r="O1009" s="465">
        <f t="shared" si="306"/>
        <v>281.5</v>
      </c>
      <c r="P1009" s="465">
        <f t="shared" si="306"/>
        <v>205.56</v>
      </c>
      <c r="Q1009" s="465">
        <f t="shared" si="306"/>
        <v>947.57</v>
      </c>
      <c r="R1009" s="465">
        <f t="shared" si="306"/>
        <v>740.92</v>
      </c>
      <c r="S1009" s="465">
        <f t="shared" si="306"/>
        <v>473.62</v>
      </c>
      <c r="T1009" s="465">
        <f t="shared" si="306"/>
        <v>0</v>
      </c>
      <c r="U1009" s="479"/>
      <c r="V1009" s="422"/>
      <c r="W1009" s="422"/>
      <c r="X1009" s="422"/>
      <c r="Y1009" s="422"/>
      <c r="Z1009" s="422"/>
    </row>
    <row r="1010" ht="38.25" customHeight="1" spans="1:26">
      <c r="A1010" s="422" t="str">
        <f>B1010</f>
        <v> 18.3 </v>
      </c>
      <c r="B1010" s="423" t="str">
        <f>B1009</f>
        <v> 18.3 </v>
      </c>
      <c r="C1010" s="441" t="s">
        <v>2755</v>
      </c>
      <c r="D1010" s="442" t="s">
        <v>2756</v>
      </c>
      <c r="E1010" s="441" t="s">
        <v>139</v>
      </c>
      <c r="F1010" s="441" t="s">
        <v>2757</v>
      </c>
      <c r="G1010" s="442" t="s">
        <v>141</v>
      </c>
      <c r="H1010" s="443">
        <f>SUM(N1010:U1010)</f>
        <v>3536.09</v>
      </c>
      <c r="I1010" s="443">
        <f>VLOOKUP(D1010,'Orçamento Analitico'!D:L,9,FALSE())</f>
        <v>40.31</v>
      </c>
      <c r="J1010" s="443">
        <f>ROUNDDOWN(I1010*(1+$G$6),2)</f>
        <v>50.58</v>
      </c>
      <c r="K1010" s="443">
        <f>ROUNDDOWN(H1010*I1010,2)</f>
        <v>142539.78</v>
      </c>
      <c r="L1010" s="443">
        <f>ROUNDDOWN(H1010*J1010,2)</f>
        <v>178855.43</v>
      </c>
      <c r="M1010" s="461" t="e">
        <f t="shared" si="292"/>
        <v>#N/A</v>
      </c>
      <c r="N1010" s="464">
        <f t="shared" ref="N1010:T1010" si="307">N1009</f>
        <v>886.92</v>
      </c>
      <c r="O1010" s="465">
        <f t="shared" si="307"/>
        <v>281.5</v>
      </c>
      <c r="P1010" s="465">
        <f t="shared" si="307"/>
        <v>205.56</v>
      </c>
      <c r="Q1010" s="465">
        <f t="shared" si="307"/>
        <v>947.57</v>
      </c>
      <c r="R1010" s="465">
        <f t="shared" si="307"/>
        <v>740.92</v>
      </c>
      <c r="S1010" s="465">
        <f t="shared" si="307"/>
        <v>473.62</v>
      </c>
      <c r="T1010" s="465">
        <f t="shared" si="307"/>
        <v>0</v>
      </c>
      <c r="U1010" s="479"/>
      <c r="V1010" s="422"/>
      <c r="W1010" s="422"/>
      <c r="X1010" s="422"/>
      <c r="Y1010" s="422"/>
      <c r="Z1010" s="422"/>
    </row>
    <row r="1011" ht="12.75" customHeight="1" spans="1:26">
      <c r="A1011" s="422"/>
      <c r="B1011" s="423" t="str">
        <f>C1011</f>
        <v> 18.4 </v>
      </c>
      <c r="C1011" s="444" t="s">
        <v>2758</v>
      </c>
      <c r="D1011" s="445" t="s">
        <v>74</v>
      </c>
      <c r="E1011" s="444"/>
      <c r="F1011" s="444" t="s">
        <v>2759</v>
      </c>
      <c r="G1011" s="445"/>
      <c r="H1011" s="446"/>
      <c r="I1011" s="446"/>
      <c r="J1011" s="466"/>
      <c r="K1011" s="466">
        <f>SUMIF(A:A,B1011,K:K)</f>
        <v>4843.24</v>
      </c>
      <c r="L1011" s="466">
        <f>SUMIF(A:A,C1011,L:L)</f>
        <v>6077.26</v>
      </c>
      <c r="M1011" s="467" t="e">
        <f t="shared" si="292"/>
        <v>#N/A</v>
      </c>
      <c r="N1011" s="464"/>
      <c r="O1011" s="465"/>
      <c r="P1011" s="465"/>
      <c r="Q1011" s="465"/>
      <c r="R1011" s="465"/>
      <c r="S1011" s="465"/>
      <c r="T1011" s="465"/>
      <c r="U1011" s="479"/>
      <c r="V1011" s="422"/>
      <c r="W1011" s="422"/>
      <c r="X1011" s="422"/>
      <c r="Y1011" s="422"/>
      <c r="Z1011" s="422"/>
    </row>
    <row r="1012" ht="29.25" customHeight="1" spans="1:26">
      <c r="A1012" s="422" t="str">
        <f>B1012</f>
        <v> 18.4 </v>
      </c>
      <c r="B1012" s="423" t="str">
        <f>B1011</f>
        <v> 18.4 </v>
      </c>
      <c r="C1012" s="441" t="s">
        <v>2760</v>
      </c>
      <c r="D1012" s="442" t="s">
        <v>2761</v>
      </c>
      <c r="E1012" s="441" t="s">
        <v>149</v>
      </c>
      <c r="F1012" s="441" t="s">
        <v>2762</v>
      </c>
      <c r="G1012" s="442" t="s">
        <v>141</v>
      </c>
      <c r="H1012" s="443">
        <f>SUM(N1012:T1012)</f>
        <v>35.66</v>
      </c>
      <c r="I1012" s="443">
        <f>VLOOKUP(D1012,'Orçamento Analitico'!D:L,9,FALSE())</f>
        <v>23.69</v>
      </c>
      <c r="J1012" s="443">
        <f>ROUNDDOWN(I1012*(1+$G$6),2)</f>
        <v>29.72</v>
      </c>
      <c r="K1012" s="443">
        <f>ROUNDDOWN(H1012*I1012,2)</f>
        <v>844.78</v>
      </c>
      <c r="L1012" s="443">
        <f>ROUNDDOWN(H1012*J1012,2)</f>
        <v>1059.81</v>
      </c>
      <c r="M1012" s="461" t="e">
        <f t="shared" si="292"/>
        <v>#N/A</v>
      </c>
      <c r="N1012" s="464">
        <f>N979</f>
        <v>35.66</v>
      </c>
      <c r="O1012" s="465"/>
      <c r="P1012" s="465"/>
      <c r="Q1012" s="465"/>
      <c r="R1012" s="465"/>
      <c r="S1012" s="465"/>
      <c r="T1012" s="465"/>
      <c r="U1012" s="479"/>
      <c r="V1012" s="422"/>
      <c r="W1012" s="422"/>
      <c r="X1012" s="422"/>
      <c r="Y1012" s="422"/>
      <c r="Z1012" s="422"/>
    </row>
    <row r="1013" ht="29.25" customHeight="1" spans="1:26">
      <c r="A1013" s="422" t="str">
        <f>B1013</f>
        <v> 18.4 </v>
      </c>
      <c r="B1013" s="423" t="str">
        <f>B1012</f>
        <v> 18.4 </v>
      </c>
      <c r="C1013" s="441" t="s">
        <v>2763</v>
      </c>
      <c r="D1013" s="442" t="s">
        <v>2764</v>
      </c>
      <c r="E1013" s="441" t="s">
        <v>139</v>
      </c>
      <c r="F1013" s="441" t="s">
        <v>2765</v>
      </c>
      <c r="G1013" s="442" t="s">
        <v>141</v>
      </c>
      <c r="H1013" s="443">
        <f>SUM(N1013:T1013)</f>
        <v>47.84</v>
      </c>
      <c r="I1013" s="443">
        <f>VLOOKUP(D1013,'Orçamento Analitico'!D:L,9,FALSE())</f>
        <v>83.58</v>
      </c>
      <c r="J1013" s="443">
        <f>ROUNDDOWN(I1013*(1+$G$6),2)</f>
        <v>104.88</v>
      </c>
      <c r="K1013" s="443">
        <f>ROUNDDOWN(H1013*I1013,2)</f>
        <v>3998.46</v>
      </c>
      <c r="L1013" s="443">
        <f>ROUNDDOWN(H1013*J1013,2)</f>
        <v>5017.45</v>
      </c>
      <c r="M1013" s="461" t="e">
        <f t="shared" si="292"/>
        <v>#N/A</v>
      </c>
      <c r="N1013" s="464">
        <v>47.84</v>
      </c>
      <c r="O1013" s="465" t="s">
        <v>6207</v>
      </c>
      <c r="P1013" s="465"/>
      <c r="Q1013" s="465"/>
      <c r="R1013" s="465"/>
      <c r="S1013" s="465"/>
      <c r="T1013" s="465"/>
      <c r="U1013" s="479"/>
      <c r="V1013" s="422"/>
      <c r="W1013" s="422"/>
      <c r="X1013" s="422"/>
      <c r="Y1013" s="422"/>
      <c r="Z1013" s="422"/>
    </row>
    <row r="1014" ht="12.75" customHeight="1" spans="1:26">
      <c r="A1014" s="422"/>
      <c r="B1014" s="423" t="str">
        <f>C1014</f>
        <v> 19 </v>
      </c>
      <c r="C1014" s="438" t="s">
        <v>54</v>
      </c>
      <c r="D1014" s="439" t="s">
        <v>74</v>
      </c>
      <c r="E1014" s="438"/>
      <c r="F1014" s="438" t="s">
        <v>55</v>
      </c>
      <c r="G1014" s="439"/>
      <c r="H1014" s="440"/>
      <c r="I1014" s="440"/>
      <c r="J1014" s="440"/>
      <c r="K1014" s="440">
        <f>SUMIF(A:A,B1014,K:K)</f>
        <v>406359.04</v>
      </c>
      <c r="L1014" s="440">
        <f>SUMIF(A:A,C1014,L:L)</f>
        <v>472531.35</v>
      </c>
      <c r="M1014" s="458" t="e">
        <f t="shared" si="292"/>
        <v>#N/A</v>
      </c>
      <c r="N1014" s="464"/>
      <c r="O1014" s="465"/>
      <c r="P1014" s="465"/>
      <c r="Q1014" s="465"/>
      <c r="R1014" s="465"/>
      <c r="S1014" s="465"/>
      <c r="T1014" s="465"/>
      <c r="U1014" s="479"/>
      <c r="V1014" s="422"/>
      <c r="W1014" s="422"/>
      <c r="X1014" s="422"/>
      <c r="Y1014" s="422"/>
      <c r="Z1014" s="422"/>
    </row>
    <row r="1015" ht="12.75" customHeight="1" spans="1:26">
      <c r="A1015" s="422" t="str">
        <f>B1015</f>
        <v> 19 </v>
      </c>
      <c r="B1015" s="423" t="str">
        <f>B1014</f>
        <v> 19 </v>
      </c>
      <c r="C1015" s="441" t="s">
        <v>2766</v>
      </c>
      <c r="D1015" s="442" t="s">
        <v>2767</v>
      </c>
      <c r="E1015" s="441" t="s">
        <v>77</v>
      </c>
      <c r="F1015" s="441" t="s">
        <v>2768</v>
      </c>
      <c r="G1015" s="442" t="s">
        <v>134</v>
      </c>
      <c r="H1015" s="443">
        <f>SUM(N1015:U1015)</f>
        <v>8</v>
      </c>
      <c r="I1015" s="443">
        <f>VLOOKUP(D1015,'Orçamento Analitico'!D:L,9,FALSE())</f>
        <v>890.23</v>
      </c>
      <c r="J1015" s="443">
        <f>ROUNDDOWN(I1015*(1+$G$6),2)</f>
        <v>1117.14</v>
      </c>
      <c r="K1015" s="443">
        <f>ROUNDDOWN(H1015*I1015,2)</f>
        <v>7121.84</v>
      </c>
      <c r="L1015" s="443">
        <f>ROUNDDOWN(H1015*J1015,2)</f>
        <v>8937.12</v>
      </c>
      <c r="M1015" s="461" t="e">
        <f t="shared" si="292"/>
        <v>#N/A</v>
      </c>
      <c r="N1015" s="464">
        <v>4</v>
      </c>
      <c r="O1015" s="465"/>
      <c r="P1015" s="465"/>
      <c r="Q1015" s="465">
        <v>2</v>
      </c>
      <c r="R1015" s="465">
        <v>2</v>
      </c>
      <c r="S1015" s="465"/>
      <c r="T1015" s="465"/>
      <c r="U1015" s="479"/>
      <c r="V1015" s="422"/>
      <c r="W1015" s="422"/>
      <c r="X1015" s="422"/>
      <c r="Y1015" s="422"/>
      <c r="Z1015" s="422"/>
    </row>
    <row r="1016" ht="12.75" customHeight="1" spans="1:26">
      <c r="A1016" s="422" t="str">
        <f>B1016</f>
        <v> 19 </v>
      </c>
      <c r="B1016" s="423" t="str">
        <f>B1015</f>
        <v> 19 </v>
      </c>
      <c r="C1016" s="535" t="s">
        <v>2769</v>
      </c>
      <c r="D1016" s="487" t="s">
        <v>2770</v>
      </c>
      <c r="E1016" s="535" t="s">
        <v>132</v>
      </c>
      <c r="F1016" s="535" t="s">
        <v>2771</v>
      </c>
      <c r="G1016" s="487" t="s">
        <v>134</v>
      </c>
      <c r="H1016" s="443">
        <v>1</v>
      </c>
      <c r="I1016" s="537">
        <f>VLOOKUP(D1016,'Orçamento Analitico'!D:L,9,FALSE())</f>
        <v>399237.2</v>
      </c>
      <c r="J1016" s="525">
        <f>ROUNDDOWN(I1016*(1+$H$6),2)</f>
        <v>463594.23</v>
      </c>
      <c r="K1016" s="525">
        <f>ROUNDDOWN(H1016*I1016,2)</f>
        <v>399237.2</v>
      </c>
      <c r="L1016" s="537">
        <f>ROUNDDOWN(H1016*J1016,2)</f>
        <v>463594.23</v>
      </c>
      <c r="M1016" s="538" t="e">
        <f t="shared" si="292"/>
        <v>#N/A</v>
      </c>
      <c r="N1016" s="500"/>
      <c r="O1016" s="501"/>
      <c r="P1016" s="501"/>
      <c r="Q1016" s="501"/>
      <c r="R1016" s="501"/>
      <c r="S1016" s="501"/>
      <c r="T1016" s="501"/>
      <c r="U1016" s="505"/>
      <c r="V1016" s="422"/>
      <c r="W1016" s="422"/>
      <c r="X1016" s="422"/>
      <c r="Y1016" s="422"/>
      <c r="Z1016" s="422"/>
    </row>
    <row r="1017" ht="12.75" customHeight="1" spans="1:26">
      <c r="A1017" s="422"/>
      <c r="B1017" s="423" t="str">
        <f>C1017</f>
        <v> 20 </v>
      </c>
      <c r="C1017" s="438" t="s">
        <v>56</v>
      </c>
      <c r="D1017" s="439" t="s">
        <v>74</v>
      </c>
      <c r="E1017" s="438"/>
      <c r="F1017" s="438" t="s">
        <v>57</v>
      </c>
      <c r="G1017" s="439"/>
      <c r="H1017" s="440"/>
      <c r="I1017" s="440"/>
      <c r="J1017" s="440"/>
      <c r="K1017" s="440">
        <f>SUMIF(A:A,B1017,K:K)</f>
        <v>757866.69</v>
      </c>
      <c r="L1017" s="440">
        <f>SUMIF(A:A,C1017,L:L)</f>
        <v>951031.27</v>
      </c>
      <c r="M1017" s="458" t="e">
        <f t="shared" si="292"/>
        <v>#N/A</v>
      </c>
      <c r="N1017" s="459" t="s">
        <v>6121</v>
      </c>
      <c r="O1017" s="460" t="s">
        <v>6122</v>
      </c>
      <c r="P1017" s="460" t="s">
        <v>6123</v>
      </c>
      <c r="Q1017" s="460" t="s">
        <v>6124</v>
      </c>
      <c r="R1017" s="460" t="s">
        <v>6125</v>
      </c>
      <c r="S1017" s="460" t="s">
        <v>6126</v>
      </c>
      <c r="T1017" s="460"/>
      <c r="U1017" s="477"/>
      <c r="V1017" s="422"/>
      <c r="W1017" s="422"/>
      <c r="X1017" s="422"/>
      <c r="Y1017" s="422"/>
      <c r="Z1017" s="422"/>
    </row>
    <row r="1018" ht="12.75" customHeight="1" spans="1:26">
      <c r="A1018" s="422" t="str">
        <f>B1018</f>
        <v> 20 </v>
      </c>
      <c r="B1018" s="423" t="str">
        <f>B1017</f>
        <v> 20 </v>
      </c>
      <c r="C1018" s="441" t="s">
        <v>2773</v>
      </c>
      <c r="D1018" s="442" t="s">
        <v>2774</v>
      </c>
      <c r="E1018" s="441" t="s">
        <v>139</v>
      </c>
      <c r="F1018" s="441" t="s">
        <v>2775</v>
      </c>
      <c r="G1018" s="442" t="s">
        <v>141</v>
      </c>
      <c r="H1018" s="443">
        <f>SUM(N1018:S1020)</f>
        <v>1529.63</v>
      </c>
      <c r="I1018" s="443">
        <f>VLOOKUP(D1018,'Orçamento Analitico'!D:L,9,FALSE())</f>
        <v>73.05</v>
      </c>
      <c r="J1018" s="443">
        <f>ROUNDDOWN(I1018*(1+$G$6),2)</f>
        <v>91.67</v>
      </c>
      <c r="K1018" s="443">
        <f>ROUNDDOWN(H1018*I1018,2)</f>
        <v>111739.47</v>
      </c>
      <c r="L1018" s="443">
        <f>ROUNDDOWN(H1018*J1018,2)</f>
        <v>140221.18</v>
      </c>
      <c r="M1018" s="461" t="e">
        <f t="shared" si="292"/>
        <v>#N/A</v>
      </c>
      <c r="N1018" s="464">
        <f>ROUND(296.5+90+(4*10.65*3.1)+43.18+43,2)-N1021</f>
        <v>399.25</v>
      </c>
      <c r="O1018" s="465">
        <v>0</v>
      </c>
      <c r="P1018" s="465">
        <v>0</v>
      </c>
      <c r="Q1018" s="465">
        <f>576.96-Q1021</f>
        <v>329.53</v>
      </c>
      <c r="R1018" s="465">
        <f>549.71-R1021</f>
        <v>331.89</v>
      </c>
      <c r="S1018" s="465"/>
      <c r="T1018" s="479" t="s">
        <v>6208</v>
      </c>
      <c r="U1018" s="479"/>
      <c r="V1018" s="422"/>
      <c r="W1018" s="422"/>
      <c r="X1018" s="422"/>
      <c r="Y1018" s="422"/>
      <c r="Z1018" s="422"/>
    </row>
    <row r="1019" ht="19.5" customHeight="1" spans="1:26">
      <c r="A1019" s="422"/>
      <c r="B1019" s="423"/>
      <c r="C1019" s="441"/>
      <c r="D1019" s="442"/>
      <c r="E1019" s="441"/>
      <c r="F1019" s="441"/>
      <c r="G1019" s="442"/>
      <c r="H1019" s="443"/>
      <c r="I1019" s="443"/>
      <c r="J1019" s="443"/>
      <c r="K1019" s="443"/>
      <c r="L1019" s="443"/>
      <c r="M1019" s="461" t="e">
        <f t="shared" si="292"/>
        <v>#N/A</v>
      </c>
      <c r="N1019" s="464"/>
      <c r="O1019" s="465"/>
      <c r="P1019" s="465"/>
      <c r="Q1019" s="465">
        <f>899.26-Q1022</f>
        <v>216.67</v>
      </c>
      <c r="R1019" s="465">
        <f>567.7-R1022</f>
        <v>186.12</v>
      </c>
      <c r="S1019" s="465"/>
      <c r="T1019" s="479" t="s">
        <v>6209</v>
      </c>
      <c r="U1019" s="479"/>
      <c r="V1019" s="422"/>
      <c r="W1019" s="422"/>
      <c r="X1019" s="422"/>
      <c r="Y1019" s="422"/>
      <c r="Z1019" s="422"/>
    </row>
    <row r="1020" ht="19.5" customHeight="1" spans="1:26">
      <c r="A1020" s="422"/>
      <c r="B1020" s="423"/>
      <c r="C1020" s="441"/>
      <c r="D1020" s="442"/>
      <c r="E1020" s="441"/>
      <c r="F1020" s="441"/>
      <c r="G1020" s="442"/>
      <c r="H1020" s="443"/>
      <c r="I1020" s="443"/>
      <c r="J1020" s="443"/>
      <c r="K1020" s="443"/>
      <c r="L1020" s="443"/>
      <c r="M1020" s="461" t="e">
        <f t="shared" si="292"/>
        <v>#N/A</v>
      </c>
      <c r="N1020" s="464"/>
      <c r="O1020" s="465"/>
      <c r="P1020" s="465"/>
      <c r="Q1020" s="465">
        <f>207.59-Q1023</f>
        <v>22.67</v>
      </c>
      <c r="R1020" s="465">
        <f>193.72-R1023</f>
        <v>43.5</v>
      </c>
      <c r="S1020" s="465"/>
      <c r="T1020" s="479" t="s">
        <v>6210</v>
      </c>
      <c r="U1020" s="479"/>
      <c r="V1020" s="422"/>
      <c r="W1020" s="422"/>
      <c r="X1020" s="422"/>
      <c r="Y1020" s="422"/>
      <c r="Z1020" s="422"/>
    </row>
    <row r="1021" ht="12.75" customHeight="1" spans="1:26">
      <c r="A1021" s="422" t="str">
        <f>B1021</f>
        <v> 20 </v>
      </c>
      <c r="B1021" s="423" t="str">
        <f>B1018</f>
        <v> 20 </v>
      </c>
      <c r="C1021" s="441" t="s">
        <v>2776</v>
      </c>
      <c r="D1021" s="442" t="s">
        <v>2777</v>
      </c>
      <c r="E1021" s="441" t="s">
        <v>77</v>
      </c>
      <c r="F1021" s="441" t="s">
        <v>2778</v>
      </c>
      <c r="G1021" s="442" t="s">
        <v>141</v>
      </c>
      <c r="H1021" s="443">
        <f>ROUND(SUM(N1021:U1021),2)</f>
        <v>670.74</v>
      </c>
      <c r="I1021" s="443">
        <f>VLOOKUP(D1021,'Orçamento Analitico'!D:L,9,FALSE())</f>
        <v>442.66</v>
      </c>
      <c r="J1021" s="443">
        <f>ROUNDDOWN(I1021*(1+$G$6),2)</f>
        <v>555.49</v>
      </c>
      <c r="K1021" s="443">
        <f>ROUNDDOWN(H1021*I1021,2)</f>
        <v>296909.76</v>
      </c>
      <c r="L1021" s="443">
        <f>ROUNDDOWN(H1021*J1021,2)</f>
        <v>372589.36</v>
      </c>
      <c r="M1021" s="461" t="e">
        <f t="shared" si="292"/>
        <v>#N/A</v>
      </c>
      <c r="N1021" s="464">
        <f>((60*1.25*1.25)+(4*10*1.85)+(2*7.5*1.85)+(2*2.7*1.85))</f>
        <v>205.49</v>
      </c>
      <c r="O1021" s="465">
        <v>0</v>
      </c>
      <c r="P1021" s="465">
        <v>0</v>
      </c>
      <c r="Q1021" s="465">
        <v>247.43</v>
      </c>
      <c r="R1021" s="465">
        <f>ROUND((2*(7.5*1.85))+(6*(10*1.85))+(30*(1.25*1.25)+(4*(4.35*1.85))),2)</f>
        <v>217.82</v>
      </c>
      <c r="S1021" s="465"/>
      <c r="T1021" s="465"/>
      <c r="U1021" s="479"/>
      <c r="V1021" s="422"/>
      <c r="W1021" s="422"/>
      <c r="X1021" s="422"/>
      <c r="Y1021" s="422"/>
      <c r="Z1021" s="422"/>
    </row>
    <row r="1022" ht="12.75" customHeight="1" spans="1:26">
      <c r="A1022" s="422" t="str">
        <f>B1022</f>
        <v> 20 </v>
      </c>
      <c r="B1022" s="423" t="str">
        <f>B1021</f>
        <v> 20 </v>
      </c>
      <c r="C1022" s="441" t="s">
        <v>2779</v>
      </c>
      <c r="D1022" s="442" t="s">
        <v>2780</v>
      </c>
      <c r="E1022" s="441" t="s">
        <v>132</v>
      </c>
      <c r="F1022" s="441" t="s">
        <v>2781</v>
      </c>
      <c r="G1022" s="442" t="s">
        <v>141</v>
      </c>
      <c r="H1022" s="443">
        <f>SUM(N1022:U1022)</f>
        <v>1064.17</v>
      </c>
      <c r="I1022" s="443">
        <f>VLOOKUP(D1022,'Orçamento Analitico'!D:L,9,FALSE())</f>
        <v>203.32</v>
      </c>
      <c r="J1022" s="443">
        <f>ROUNDDOWN(I1022*(1+$G$6),2)</f>
        <v>255.14</v>
      </c>
      <c r="K1022" s="443">
        <f>ROUNDDOWN(H1022*I1022,2)</f>
        <v>216367.04</v>
      </c>
      <c r="L1022" s="443">
        <f>ROUNDDOWN(H1022*J1022,2)</f>
        <v>271512.33</v>
      </c>
      <c r="M1022" s="461" t="e">
        <f t="shared" si="292"/>
        <v>#N/A</v>
      </c>
      <c r="N1022" s="464">
        <v>0</v>
      </c>
      <c r="O1022" s="465"/>
      <c r="P1022" s="465">
        <v>0</v>
      </c>
      <c r="Q1022" s="465">
        <v>682.59</v>
      </c>
      <c r="R1022" s="465">
        <v>381.58</v>
      </c>
      <c r="S1022" s="465"/>
      <c r="T1022" s="465"/>
      <c r="U1022" s="479"/>
      <c r="V1022" s="422"/>
      <c r="W1022" s="422"/>
      <c r="X1022" s="422"/>
      <c r="Y1022" s="422"/>
      <c r="Z1022" s="422"/>
    </row>
    <row r="1023" ht="12.75" customHeight="1" spans="1:26">
      <c r="A1023" s="422" t="str">
        <f>B1023</f>
        <v> 20 </v>
      </c>
      <c r="B1023" s="423" t="str">
        <f>B1022</f>
        <v> 20 </v>
      </c>
      <c r="C1023" s="441" t="s">
        <v>2782</v>
      </c>
      <c r="D1023" s="487" t="s">
        <v>2783</v>
      </c>
      <c r="E1023" s="441" t="s">
        <v>132</v>
      </c>
      <c r="F1023" s="441" t="s">
        <v>2784</v>
      </c>
      <c r="G1023" s="442" t="s">
        <v>141</v>
      </c>
      <c r="H1023" s="443">
        <f>SUM(N1023:U1023)</f>
        <v>335.14</v>
      </c>
      <c r="I1023" s="443">
        <f>VLOOKUP(D1023,'Orçamento Analitico'!D:L,9,FALSE())</f>
        <v>316.62</v>
      </c>
      <c r="J1023" s="443">
        <f>ROUNDDOWN(I1023*(1+$G$6),2)</f>
        <v>397.32</v>
      </c>
      <c r="K1023" s="443">
        <f>ROUNDDOWN(H1023*I1023,2)</f>
        <v>106112.02</v>
      </c>
      <c r="L1023" s="443">
        <f>ROUNDDOWN(H1023*J1023,2)</f>
        <v>133157.82</v>
      </c>
      <c r="M1023" s="461" t="e">
        <f t="shared" si="292"/>
        <v>#N/A</v>
      </c>
      <c r="N1023" s="464">
        <v>0</v>
      </c>
      <c r="O1023" s="465"/>
      <c r="P1023" s="465">
        <v>0</v>
      </c>
      <c r="Q1023" s="465">
        <v>184.92</v>
      </c>
      <c r="R1023" s="465">
        <v>150.22</v>
      </c>
      <c r="S1023" s="465"/>
      <c r="T1023" s="465"/>
      <c r="U1023" s="479"/>
      <c r="V1023" s="497"/>
      <c r="W1023" s="422"/>
      <c r="X1023" s="422"/>
      <c r="Y1023" s="422"/>
      <c r="Z1023" s="422"/>
    </row>
    <row r="1024" ht="34.5" customHeight="1" spans="1:26">
      <c r="A1024" s="422" t="str">
        <f>B1024</f>
        <v> 20 </v>
      </c>
      <c r="B1024" s="423" t="str">
        <f>B1023</f>
        <v> 20 </v>
      </c>
      <c r="C1024" s="441" t="s">
        <v>2785</v>
      </c>
      <c r="D1024" s="442" t="s">
        <v>2786</v>
      </c>
      <c r="E1024" s="441" t="s">
        <v>132</v>
      </c>
      <c r="F1024" s="441" t="s">
        <v>2787</v>
      </c>
      <c r="G1024" s="442" t="s">
        <v>141</v>
      </c>
      <c r="H1024" s="443">
        <f>SUM(N1024:U1024)</f>
        <v>70.72</v>
      </c>
      <c r="I1024" s="443">
        <f>VLOOKUP(D1024,'Orçamento Analitico'!D:L,9,FALSE())</f>
        <v>34.53</v>
      </c>
      <c r="J1024" s="443">
        <f>ROUNDDOWN(I1024*(1+$G$6),2)</f>
        <v>43.33</v>
      </c>
      <c r="K1024" s="443">
        <f>ROUNDDOWN(H1024*I1024,2)</f>
        <v>2441.96</v>
      </c>
      <c r="L1024" s="443">
        <f>ROUNDDOWN(H1024*J1024,2)</f>
        <v>3064.29</v>
      </c>
      <c r="M1024" s="461" t="e">
        <f t="shared" si="292"/>
        <v>#N/A</v>
      </c>
      <c r="N1024" s="464">
        <f>4.09+4.09+15.42+5.56+16.9+9.3</f>
        <v>55.36</v>
      </c>
      <c r="O1024" s="465">
        <v>0</v>
      </c>
      <c r="P1024" s="465">
        <v>0</v>
      </c>
      <c r="Q1024" s="465">
        <v>4.09</v>
      </c>
      <c r="R1024" s="465">
        <f>4.09+3.66+3.52</f>
        <v>11.27</v>
      </c>
      <c r="S1024" s="465"/>
      <c r="T1024" s="465"/>
      <c r="U1024" s="479"/>
      <c r="V1024" s="422"/>
      <c r="W1024" s="422"/>
      <c r="X1024" s="422"/>
      <c r="Y1024" s="422"/>
      <c r="Z1024" s="422"/>
    </row>
    <row r="1025" ht="12.75" customHeight="1" spans="1:26">
      <c r="A1025" s="422" t="str">
        <f>B1025</f>
        <v> 20 </v>
      </c>
      <c r="B1025" s="423" t="str">
        <f>B1024</f>
        <v> 20 </v>
      </c>
      <c r="C1025" s="441" t="s">
        <v>2788</v>
      </c>
      <c r="D1025" s="442" t="s">
        <v>2789</v>
      </c>
      <c r="E1025" s="441" t="s">
        <v>139</v>
      </c>
      <c r="F1025" s="441" t="s">
        <v>2790</v>
      </c>
      <c r="G1025" s="442" t="s">
        <v>141</v>
      </c>
      <c r="H1025" s="443">
        <f>SUM(N1025:U1025)</f>
        <v>428.66</v>
      </c>
      <c r="I1025" s="443">
        <f>VLOOKUP(D1025,'Orçamento Analitico'!D:L,9,FALSE())</f>
        <v>56.68</v>
      </c>
      <c r="J1025" s="443">
        <f>ROUNDDOWN(I1025*(1+$G$6),2)</f>
        <v>71.12</v>
      </c>
      <c r="K1025" s="443">
        <f>ROUNDDOWN(H1025*I1025,2)</f>
        <v>24296.44</v>
      </c>
      <c r="L1025" s="443">
        <f>ROUNDDOWN(H1025*J1025,2)</f>
        <v>30486.29</v>
      </c>
      <c r="M1025" s="461" t="e">
        <f t="shared" si="292"/>
        <v>#N/A</v>
      </c>
      <c r="N1025" s="464">
        <f>22.9+3.67+3.67+24.66+24.64+3.57+3.57+18.6+23.24+24.63+18.05+18.41</f>
        <v>189.61</v>
      </c>
      <c r="O1025" s="465">
        <v>0</v>
      </c>
      <c r="P1025" s="465">
        <v>0</v>
      </c>
      <c r="Q1025" s="465">
        <v>143.86</v>
      </c>
      <c r="R1025" s="465">
        <f>18.6+3.57+3.57+25.52+18.41+25.52</f>
        <v>95.19</v>
      </c>
      <c r="S1025" s="465"/>
      <c r="T1025" s="465"/>
      <c r="U1025" s="479"/>
      <c r="V1025" s="422"/>
      <c r="W1025" s="422"/>
      <c r="X1025" s="422"/>
      <c r="Y1025" s="422"/>
      <c r="Z1025" s="422"/>
    </row>
    <row r="1026" ht="12.75" customHeight="1" spans="1:26">
      <c r="A1026" s="422"/>
      <c r="B1026" s="423"/>
      <c r="C1026" s="438" t="s">
        <v>58</v>
      </c>
      <c r="D1026" s="439" t="s">
        <v>74</v>
      </c>
      <c r="E1026" s="438"/>
      <c r="F1026" s="438" t="s">
        <v>59</v>
      </c>
      <c r="G1026" s="439"/>
      <c r="H1026" s="440"/>
      <c r="I1026" s="440"/>
      <c r="J1026" s="440"/>
      <c r="K1026" s="440">
        <f>SUM(,K1027,K1029,K1032,K1050,K1057)</f>
        <v>134934.09</v>
      </c>
      <c r="L1026" s="440">
        <f>SUM(,L1027,L1029,L1032,L1050,L1057)</f>
        <v>169272</v>
      </c>
      <c r="M1026" s="458" t="e">
        <f t="shared" si="292"/>
        <v>#N/A</v>
      </c>
      <c r="N1026" s="464"/>
      <c r="O1026" s="465"/>
      <c r="P1026" s="465"/>
      <c r="Q1026" s="465"/>
      <c r="R1026" s="465"/>
      <c r="S1026" s="465"/>
      <c r="T1026" s="465"/>
      <c r="U1026" s="479"/>
      <c r="V1026" s="422"/>
      <c r="W1026" s="422"/>
      <c r="X1026" s="422"/>
      <c r="Y1026" s="422"/>
      <c r="Z1026" s="422"/>
    </row>
    <row r="1027" ht="12.75" customHeight="1" spans="1:26">
      <c r="A1027" s="422"/>
      <c r="B1027" s="423" t="str">
        <f>C1027</f>
        <v> 21.1 </v>
      </c>
      <c r="C1027" s="444" t="s">
        <v>2791</v>
      </c>
      <c r="D1027" s="445" t="s">
        <v>74</v>
      </c>
      <c r="E1027" s="444"/>
      <c r="F1027" s="444" t="s">
        <v>2792</v>
      </c>
      <c r="G1027" s="445"/>
      <c r="H1027" s="446"/>
      <c r="I1027" s="446"/>
      <c r="J1027" s="466"/>
      <c r="K1027" s="466">
        <f>SUMIF(A:A,B1027,K:K)</f>
        <v>34736.64</v>
      </c>
      <c r="L1027" s="466">
        <f>SUMIF(A:A,C1027,L:L)</f>
        <v>43590.72</v>
      </c>
      <c r="M1027" s="467" t="e">
        <f t="shared" si="292"/>
        <v>#N/A</v>
      </c>
      <c r="N1027" s="464"/>
      <c r="O1027" s="465"/>
      <c r="P1027" s="465"/>
      <c r="Q1027" s="465"/>
      <c r="R1027" s="465"/>
      <c r="S1027" s="465"/>
      <c r="T1027" s="465"/>
      <c r="U1027" s="479"/>
      <c r="V1027" s="422"/>
      <c r="W1027" s="422"/>
      <c r="X1027" s="422"/>
      <c r="Y1027" s="422"/>
      <c r="Z1027" s="422"/>
    </row>
    <row r="1028" ht="12.75" customHeight="1" spans="1:26">
      <c r="A1028" s="422" t="str">
        <f>B1028</f>
        <v> 21.1 </v>
      </c>
      <c r="B1028" s="423" t="str">
        <f>B1027</f>
        <v> 21.1 </v>
      </c>
      <c r="C1028" s="441" t="s">
        <v>2793</v>
      </c>
      <c r="D1028" s="442" t="s">
        <v>2794</v>
      </c>
      <c r="E1028" s="441" t="s">
        <v>77</v>
      </c>
      <c r="F1028" s="441" t="s">
        <v>2795</v>
      </c>
      <c r="G1028" s="442" t="s">
        <v>134</v>
      </c>
      <c r="H1028" s="443">
        <f>R1028</f>
        <v>96</v>
      </c>
      <c r="I1028" s="443">
        <f>VLOOKUP(D1028,'Orçamento Analitico'!D:L,9,FALSE())</f>
        <v>361.84</v>
      </c>
      <c r="J1028" s="443">
        <f>ROUNDDOWN(I1028*(1+$G$6),2)</f>
        <v>454.07</v>
      </c>
      <c r="K1028" s="443">
        <f>ROUNDDOWN(H1028*I1028,2)</f>
        <v>34736.64</v>
      </c>
      <c r="L1028" s="443">
        <f>ROUNDDOWN(H1028*J1028,2)</f>
        <v>43590.72</v>
      </c>
      <c r="M1028" s="461" t="e">
        <f t="shared" si="292"/>
        <v>#N/A</v>
      </c>
      <c r="N1028" s="548">
        <f>2*4</f>
        <v>8</v>
      </c>
      <c r="O1028" s="474" t="s">
        <v>6128</v>
      </c>
      <c r="P1028" s="549">
        <v>12</v>
      </c>
      <c r="Q1028" s="474" t="s">
        <v>6129</v>
      </c>
      <c r="R1028" s="474">
        <f>ROUNDDOWN(N1028*P1028,2)</f>
        <v>96</v>
      </c>
      <c r="S1028" s="465"/>
      <c r="T1028" s="465"/>
      <c r="U1028" s="479"/>
      <c r="V1028" s="422"/>
      <c r="W1028" s="422"/>
      <c r="X1028" s="422"/>
      <c r="Y1028" s="422"/>
      <c r="Z1028" s="422"/>
    </row>
    <row r="1029" ht="12.75" customHeight="1" spans="1:26">
      <c r="A1029" s="422"/>
      <c r="B1029" s="423" t="str">
        <f>C1029</f>
        <v> 21.2 </v>
      </c>
      <c r="C1029" s="444" t="s">
        <v>2796</v>
      </c>
      <c r="D1029" s="445" t="s">
        <v>74</v>
      </c>
      <c r="E1029" s="444"/>
      <c r="F1029" s="444" t="s">
        <v>2797</v>
      </c>
      <c r="G1029" s="445"/>
      <c r="H1029" s="446"/>
      <c r="I1029" s="446"/>
      <c r="J1029" s="466"/>
      <c r="K1029" s="466">
        <f>SUMIF(A:A,B1029,K:K)</f>
        <v>600</v>
      </c>
      <c r="L1029" s="466">
        <f>SUMIF(A:A,C1029,L:L)</f>
        <v>752.94</v>
      </c>
      <c r="M1029" s="467" t="e">
        <f t="shared" si="292"/>
        <v>#N/A</v>
      </c>
      <c r="N1029" s="464"/>
      <c r="O1029" s="465"/>
      <c r="P1029" s="465"/>
      <c r="Q1029" s="465"/>
      <c r="R1029" s="465"/>
      <c r="S1029" s="465"/>
      <c r="T1029" s="465"/>
      <c r="U1029" s="479"/>
      <c r="V1029" s="422"/>
      <c r="W1029" s="422"/>
      <c r="X1029" s="422"/>
      <c r="Y1029" s="422"/>
      <c r="Z1029" s="422"/>
    </row>
    <row r="1030" ht="12.75" customHeight="1" spans="1:26">
      <c r="A1030" s="422" t="str">
        <f>B1030</f>
        <v> 21.2 </v>
      </c>
      <c r="B1030" s="423" t="str">
        <f>B1029</f>
        <v> 21.2 </v>
      </c>
      <c r="C1030" s="441" t="s">
        <v>2798</v>
      </c>
      <c r="D1030" s="442" t="s">
        <v>2799</v>
      </c>
      <c r="E1030" s="441" t="s">
        <v>132</v>
      </c>
      <c r="F1030" s="441" t="s">
        <v>2800</v>
      </c>
      <c r="G1030" s="442" t="s">
        <v>134</v>
      </c>
      <c r="H1030" s="443">
        <f>N1030</f>
        <v>1</v>
      </c>
      <c r="I1030" s="443">
        <f>VLOOKUP(D1030,'Orçamento Analitico'!D:L,9,FALSE())</f>
        <v>300</v>
      </c>
      <c r="J1030" s="443">
        <f>ROUNDDOWN(I1030*(1+$G$6),2)</f>
        <v>376.47</v>
      </c>
      <c r="K1030" s="443">
        <f>ROUNDDOWN(H1030*I1030,2)</f>
        <v>300</v>
      </c>
      <c r="L1030" s="443">
        <f>ROUNDDOWN(H1030*J1030,2)</f>
        <v>376.47</v>
      </c>
      <c r="M1030" s="461" t="e">
        <f t="shared" si="292"/>
        <v>#N/A</v>
      </c>
      <c r="N1030" s="500">
        <v>1</v>
      </c>
      <c r="O1030" s="501"/>
      <c r="P1030" s="501"/>
      <c r="Q1030" s="501"/>
      <c r="R1030" s="501"/>
      <c r="S1030" s="501"/>
      <c r="T1030" s="501"/>
      <c r="U1030" s="505"/>
      <c r="V1030" s="422"/>
      <c r="W1030" s="422"/>
      <c r="X1030" s="422"/>
      <c r="Y1030" s="422"/>
      <c r="Z1030" s="422"/>
    </row>
    <row r="1031" ht="21.75" customHeight="1" spans="1:26">
      <c r="A1031" s="422" t="str">
        <f>B1031</f>
        <v> 21.2 </v>
      </c>
      <c r="B1031" s="423" t="str">
        <f>B1030</f>
        <v> 21.2 </v>
      </c>
      <c r="C1031" s="441" t="s">
        <v>2801</v>
      </c>
      <c r="D1031" s="442" t="s">
        <v>2802</v>
      </c>
      <c r="E1031" s="441" t="s">
        <v>149</v>
      </c>
      <c r="F1031" s="441" t="s">
        <v>2803</v>
      </c>
      <c r="G1031" s="442" t="s">
        <v>134</v>
      </c>
      <c r="H1031" s="443">
        <f>N1031</f>
        <v>1</v>
      </c>
      <c r="I1031" s="443">
        <f>VLOOKUP(D1031,'Orçamento Analitico'!D:L,9,FALSE())</f>
        <v>300</v>
      </c>
      <c r="J1031" s="443">
        <f>ROUNDDOWN(I1031*(1+$G$6),2)</f>
        <v>376.47</v>
      </c>
      <c r="K1031" s="443">
        <f>ROUNDDOWN(H1031*I1031,2)</f>
        <v>300</v>
      </c>
      <c r="L1031" s="443">
        <f>ROUNDDOWN(H1031*J1031,2)</f>
        <v>376.47</v>
      </c>
      <c r="M1031" s="461" t="e">
        <f t="shared" si="292"/>
        <v>#N/A</v>
      </c>
      <c r="N1031" s="500">
        <v>1</v>
      </c>
      <c r="O1031" s="501"/>
      <c r="P1031" s="501"/>
      <c r="Q1031" s="501"/>
      <c r="R1031" s="501"/>
      <c r="S1031" s="501"/>
      <c r="T1031" s="501"/>
      <c r="U1031" s="505"/>
      <c r="V1031" s="422"/>
      <c r="W1031" s="422"/>
      <c r="X1031" s="422"/>
      <c r="Y1031" s="422"/>
      <c r="Z1031" s="422"/>
    </row>
    <row r="1032" ht="12.75" customHeight="1" spans="1:26">
      <c r="A1032" s="422"/>
      <c r="B1032" s="423" t="str">
        <f>C1032</f>
        <v> 21.3 </v>
      </c>
      <c r="C1032" s="444" t="s">
        <v>2804</v>
      </c>
      <c r="D1032" s="445" t="s">
        <v>74</v>
      </c>
      <c r="E1032" s="444"/>
      <c r="F1032" s="444" t="s">
        <v>2805</v>
      </c>
      <c r="G1032" s="445"/>
      <c r="H1032" s="446"/>
      <c r="I1032" s="446"/>
      <c r="J1032" s="466"/>
      <c r="K1032" s="466">
        <f>SUMIF(A:A,B1032,K:K)</f>
        <v>35274.21</v>
      </c>
      <c r="L1032" s="466">
        <f>SUMIF(A:A,C1032,L:L)</f>
        <v>44263.87</v>
      </c>
      <c r="M1032" s="467" t="e">
        <f t="shared" ref="M1032:M1060" si="308">K1032/$L$1062</f>
        <v>#N/A</v>
      </c>
      <c r="N1032" s="459" t="s">
        <v>6121</v>
      </c>
      <c r="O1032" s="460" t="s">
        <v>6122</v>
      </c>
      <c r="P1032" s="460" t="s">
        <v>6123</v>
      </c>
      <c r="Q1032" s="460" t="s">
        <v>6124</v>
      </c>
      <c r="R1032" s="460" t="s">
        <v>6125</v>
      </c>
      <c r="S1032" s="460" t="s">
        <v>6126</v>
      </c>
      <c r="T1032" s="460"/>
      <c r="U1032" s="477"/>
      <c r="V1032" s="422"/>
      <c r="W1032" s="422"/>
      <c r="X1032" s="422"/>
      <c r="Y1032" s="422"/>
      <c r="Z1032" s="422"/>
    </row>
    <row r="1033" ht="12.75" customHeight="1" spans="1:26">
      <c r="A1033" s="422" t="str">
        <f t="shared" ref="A1033:A1049" si="309">B1033</f>
        <v> 21.3 </v>
      </c>
      <c r="B1033" s="423" t="str">
        <f t="shared" ref="B1033:B1049" si="310">B1032</f>
        <v> 21.3 </v>
      </c>
      <c r="C1033" s="441" t="s">
        <v>2806</v>
      </c>
      <c r="D1033" s="442" t="s">
        <v>2807</v>
      </c>
      <c r="E1033" s="441" t="s">
        <v>132</v>
      </c>
      <c r="F1033" s="441" t="s">
        <v>2808</v>
      </c>
      <c r="G1033" s="442" t="s">
        <v>134</v>
      </c>
      <c r="H1033" s="443">
        <f t="shared" ref="H1033:H1043" si="311">SUM(N1033:U1033)</f>
        <v>3</v>
      </c>
      <c r="I1033" s="443">
        <f>VLOOKUP(D1033,'Orçamento Analitico'!D:L,9,FALSE())</f>
        <v>519.89</v>
      </c>
      <c r="J1033" s="443">
        <f t="shared" ref="J1033:J1049" si="312">ROUNDDOWN(I1033*(1+$G$6),2)</f>
        <v>652.4</v>
      </c>
      <c r="K1033" s="443">
        <f t="shared" ref="K1033:K1049" si="313">ROUNDDOWN(H1033*I1033,2)</f>
        <v>1559.67</v>
      </c>
      <c r="L1033" s="443">
        <f t="shared" ref="L1033:L1049" si="314">ROUNDDOWN(H1033*J1033,2)</f>
        <v>1957.2</v>
      </c>
      <c r="M1033" s="461" t="e">
        <f t="shared" si="308"/>
        <v>#N/A</v>
      </c>
      <c r="N1033" s="464">
        <v>1</v>
      </c>
      <c r="O1033" s="465">
        <v>0</v>
      </c>
      <c r="P1033" s="465">
        <v>0</v>
      </c>
      <c r="Q1033" s="465">
        <v>1</v>
      </c>
      <c r="R1033" s="465">
        <v>1</v>
      </c>
      <c r="S1033" s="465"/>
      <c r="T1033" s="465"/>
      <c r="U1033" s="479"/>
      <c r="V1033" s="422"/>
      <c r="W1033" s="422"/>
      <c r="X1033" s="422"/>
      <c r="Y1033" s="422"/>
      <c r="Z1033" s="422"/>
    </row>
    <row r="1034" ht="12.75" customHeight="1" spans="1:26">
      <c r="A1034" s="422" t="str">
        <f t="shared" si="309"/>
        <v> 21.3 </v>
      </c>
      <c r="B1034" s="423" t="str">
        <f t="shared" si="310"/>
        <v> 21.3 </v>
      </c>
      <c r="C1034" s="441" t="s">
        <v>2809</v>
      </c>
      <c r="D1034" s="442" t="s">
        <v>2810</v>
      </c>
      <c r="E1034" s="441" t="s">
        <v>132</v>
      </c>
      <c r="F1034" s="441" t="s">
        <v>2811</v>
      </c>
      <c r="G1034" s="442" t="s">
        <v>334</v>
      </c>
      <c r="H1034" s="443">
        <f t="shared" si="311"/>
        <v>6</v>
      </c>
      <c r="I1034" s="443">
        <f>VLOOKUP(D1034,'Orçamento Analitico'!D:L,9,FALSE())</f>
        <v>115.45</v>
      </c>
      <c r="J1034" s="443">
        <f t="shared" si="312"/>
        <v>144.87</v>
      </c>
      <c r="K1034" s="443">
        <f t="shared" si="313"/>
        <v>692.7</v>
      </c>
      <c r="L1034" s="443">
        <f t="shared" si="314"/>
        <v>869.22</v>
      </c>
      <c r="M1034" s="461" t="e">
        <f t="shared" si="308"/>
        <v>#N/A</v>
      </c>
      <c r="N1034" s="464">
        <v>2</v>
      </c>
      <c r="O1034" s="465">
        <v>0</v>
      </c>
      <c r="P1034" s="465">
        <v>0</v>
      </c>
      <c r="Q1034" s="465">
        <v>2</v>
      </c>
      <c r="R1034" s="465">
        <v>2</v>
      </c>
      <c r="S1034" s="465"/>
      <c r="T1034" s="465"/>
      <c r="U1034" s="479"/>
      <c r="V1034" s="422"/>
      <c r="W1034" s="422"/>
      <c r="X1034" s="422"/>
      <c r="Y1034" s="422"/>
      <c r="Z1034" s="422"/>
    </row>
    <row r="1035" ht="12.75" customHeight="1" spans="1:26">
      <c r="A1035" s="422" t="str">
        <f t="shared" si="309"/>
        <v> 21.3 </v>
      </c>
      <c r="B1035" s="423" t="str">
        <f t="shared" si="310"/>
        <v> 21.3 </v>
      </c>
      <c r="C1035" s="441" t="s">
        <v>2812</v>
      </c>
      <c r="D1035" s="442" t="s">
        <v>2813</v>
      </c>
      <c r="E1035" s="441" t="s">
        <v>132</v>
      </c>
      <c r="F1035" s="441" t="s">
        <v>2814</v>
      </c>
      <c r="G1035" s="442" t="s">
        <v>334</v>
      </c>
      <c r="H1035" s="443">
        <f t="shared" si="311"/>
        <v>16</v>
      </c>
      <c r="I1035" s="443">
        <f>VLOOKUP(D1035,'Orçamento Analitico'!D:L,9,FALSE())</f>
        <v>57.67</v>
      </c>
      <c r="J1035" s="443">
        <f t="shared" si="312"/>
        <v>72.37</v>
      </c>
      <c r="K1035" s="443">
        <f t="shared" si="313"/>
        <v>922.72</v>
      </c>
      <c r="L1035" s="443">
        <f t="shared" si="314"/>
        <v>1157.92</v>
      </c>
      <c r="M1035" s="461" t="e">
        <f t="shared" si="308"/>
        <v>#N/A</v>
      </c>
      <c r="N1035" s="464">
        <v>6</v>
      </c>
      <c r="O1035" s="465">
        <v>4</v>
      </c>
      <c r="P1035" s="465">
        <v>2</v>
      </c>
      <c r="Q1035" s="465">
        <v>2</v>
      </c>
      <c r="R1035" s="465">
        <v>2</v>
      </c>
      <c r="S1035" s="465"/>
      <c r="T1035" s="465"/>
      <c r="U1035" s="479"/>
      <c r="V1035" s="422"/>
      <c r="W1035" s="422"/>
      <c r="X1035" s="422"/>
      <c r="Y1035" s="422"/>
      <c r="Z1035" s="422"/>
    </row>
    <row r="1036" ht="12.75" customHeight="1" spans="1:26">
      <c r="A1036" s="422" t="str">
        <f t="shared" si="309"/>
        <v> 21.3 </v>
      </c>
      <c r="B1036" s="423" t="str">
        <f t="shared" si="310"/>
        <v> 21.3 </v>
      </c>
      <c r="C1036" s="441" t="s">
        <v>2815</v>
      </c>
      <c r="D1036" s="442" t="s">
        <v>2816</v>
      </c>
      <c r="E1036" s="441" t="s">
        <v>132</v>
      </c>
      <c r="F1036" s="441" t="s">
        <v>2817</v>
      </c>
      <c r="G1036" s="442" t="s">
        <v>134</v>
      </c>
      <c r="H1036" s="443">
        <f t="shared" si="311"/>
        <v>19</v>
      </c>
      <c r="I1036" s="443">
        <f>VLOOKUP(D1036,'Orçamento Analitico'!D:L,9,FALSE())</f>
        <v>11.98</v>
      </c>
      <c r="J1036" s="443">
        <f t="shared" si="312"/>
        <v>15.03</v>
      </c>
      <c r="K1036" s="443">
        <f t="shared" si="313"/>
        <v>227.62</v>
      </c>
      <c r="L1036" s="443">
        <f t="shared" si="314"/>
        <v>285.57</v>
      </c>
      <c r="M1036" s="461" t="e">
        <f t="shared" si="308"/>
        <v>#N/A</v>
      </c>
      <c r="N1036" s="464">
        <v>10</v>
      </c>
      <c r="O1036" s="465">
        <v>0</v>
      </c>
      <c r="P1036" s="465">
        <v>0</v>
      </c>
      <c r="Q1036" s="465">
        <v>9</v>
      </c>
      <c r="R1036" s="465"/>
      <c r="S1036" s="465"/>
      <c r="T1036" s="465"/>
      <c r="U1036" s="479"/>
      <c r="V1036" s="422"/>
      <c r="W1036" s="422"/>
      <c r="X1036" s="422"/>
      <c r="Y1036" s="422"/>
      <c r="Z1036" s="422"/>
    </row>
    <row r="1037" ht="12.75" customHeight="1" spans="1:26">
      <c r="A1037" s="422" t="str">
        <f t="shared" si="309"/>
        <v> 21.3 </v>
      </c>
      <c r="B1037" s="423" t="str">
        <f t="shared" si="310"/>
        <v> 21.3 </v>
      </c>
      <c r="C1037" s="441" t="s">
        <v>2818</v>
      </c>
      <c r="D1037" s="442" t="s">
        <v>2819</v>
      </c>
      <c r="E1037" s="441" t="s">
        <v>132</v>
      </c>
      <c r="F1037" s="441" t="s">
        <v>2820</v>
      </c>
      <c r="G1037" s="442" t="s">
        <v>134</v>
      </c>
      <c r="H1037" s="443">
        <f t="shared" si="311"/>
        <v>24</v>
      </c>
      <c r="I1037" s="443">
        <f>VLOOKUP(D1037,'Orçamento Analitico'!D:L,9,FALSE())</f>
        <v>15.75</v>
      </c>
      <c r="J1037" s="443">
        <f t="shared" si="312"/>
        <v>19.76</v>
      </c>
      <c r="K1037" s="443">
        <f t="shared" si="313"/>
        <v>378</v>
      </c>
      <c r="L1037" s="443">
        <f t="shared" si="314"/>
        <v>474.24</v>
      </c>
      <c r="M1037" s="461" t="e">
        <f t="shared" si="308"/>
        <v>#N/A</v>
      </c>
      <c r="N1037" s="464">
        <v>12</v>
      </c>
      <c r="O1037" s="465">
        <v>0</v>
      </c>
      <c r="P1037" s="465">
        <v>0</v>
      </c>
      <c r="Q1037" s="465">
        <v>6</v>
      </c>
      <c r="R1037" s="465">
        <v>6</v>
      </c>
      <c r="S1037" s="465"/>
      <c r="T1037" s="465"/>
      <c r="U1037" s="479"/>
      <c r="V1037" s="422"/>
      <c r="W1037" s="422"/>
      <c r="X1037" s="422"/>
      <c r="Y1037" s="422"/>
      <c r="Z1037" s="422"/>
    </row>
    <row r="1038" ht="12.75" customHeight="1" spans="1:26">
      <c r="A1038" s="422" t="str">
        <f t="shared" si="309"/>
        <v> 21.3 </v>
      </c>
      <c r="B1038" s="423" t="str">
        <f t="shared" si="310"/>
        <v> 21.3 </v>
      </c>
      <c r="C1038" s="441" t="s">
        <v>2821</v>
      </c>
      <c r="D1038" s="442" t="s">
        <v>2822</v>
      </c>
      <c r="E1038" s="441" t="s">
        <v>132</v>
      </c>
      <c r="F1038" s="441" t="s">
        <v>2823</v>
      </c>
      <c r="G1038" s="442" t="s">
        <v>134</v>
      </c>
      <c r="H1038" s="443">
        <f t="shared" si="311"/>
        <v>37</v>
      </c>
      <c r="I1038" s="443">
        <f>VLOOKUP(D1038,'Orçamento Analitico'!D:L,9,FALSE())</f>
        <v>14.41</v>
      </c>
      <c r="J1038" s="443">
        <f t="shared" si="312"/>
        <v>18.08</v>
      </c>
      <c r="K1038" s="443">
        <f t="shared" si="313"/>
        <v>533.17</v>
      </c>
      <c r="L1038" s="443">
        <f t="shared" si="314"/>
        <v>668.96</v>
      </c>
      <c r="M1038" s="461" t="e">
        <f t="shared" si="308"/>
        <v>#N/A</v>
      </c>
      <c r="N1038" s="464">
        <v>11</v>
      </c>
      <c r="O1038" s="465">
        <v>0</v>
      </c>
      <c r="P1038" s="465">
        <v>0</v>
      </c>
      <c r="Q1038" s="465">
        <v>18</v>
      </c>
      <c r="R1038" s="465">
        <v>8</v>
      </c>
      <c r="S1038" s="465"/>
      <c r="T1038" s="465"/>
      <c r="U1038" s="479"/>
      <c r="V1038" s="422"/>
      <c r="W1038" s="422"/>
      <c r="X1038" s="422"/>
      <c r="Y1038" s="422"/>
      <c r="Z1038" s="422"/>
    </row>
    <row r="1039" ht="12.75" customHeight="1" spans="1:26">
      <c r="A1039" s="422" t="str">
        <f t="shared" si="309"/>
        <v> 21.3 </v>
      </c>
      <c r="B1039" s="423" t="str">
        <f t="shared" si="310"/>
        <v> 21.3 </v>
      </c>
      <c r="C1039" s="441" t="s">
        <v>2824</v>
      </c>
      <c r="D1039" s="442" t="s">
        <v>2825</v>
      </c>
      <c r="E1039" s="441" t="s">
        <v>132</v>
      </c>
      <c r="F1039" s="441" t="s">
        <v>2826</v>
      </c>
      <c r="G1039" s="442" t="s">
        <v>134</v>
      </c>
      <c r="H1039" s="443">
        <f t="shared" si="311"/>
        <v>17</v>
      </c>
      <c r="I1039" s="443">
        <f>VLOOKUP(D1039,'Orçamento Analitico'!D:L,9,FALSE())</f>
        <v>12.76</v>
      </c>
      <c r="J1039" s="443">
        <f t="shared" si="312"/>
        <v>16.01</v>
      </c>
      <c r="K1039" s="443">
        <f t="shared" si="313"/>
        <v>216.92</v>
      </c>
      <c r="L1039" s="443">
        <f t="shared" si="314"/>
        <v>272.17</v>
      </c>
      <c r="M1039" s="461" t="e">
        <f t="shared" si="308"/>
        <v>#N/A</v>
      </c>
      <c r="N1039" s="464">
        <v>11</v>
      </c>
      <c r="O1039" s="465">
        <v>0</v>
      </c>
      <c r="P1039" s="465">
        <v>0</v>
      </c>
      <c r="Q1039" s="465">
        <v>4</v>
      </c>
      <c r="R1039" s="465">
        <v>2</v>
      </c>
      <c r="S1039" s="465"/>
      <c r="T1039" s="465"/>
      <c r="U1039" s="479"/>
      <c r="V1039" s="422"/>
      <c r="W1039" s="422"/>
      <c r="X1039" s="422"/>
      <c r="Y1039" s="422"/>
      <c r="Z1039" s="422"/>
    </row>
    <row r="1040" ht="12.75" customHeight="1" spans="1:26">
      <c r="A1040" s="422" t="str">
        <f t="shared" si="309"/>
        <v> 21.3 </v>
      </c>
      <c r="B1040" s="423" t="str">
        <f t="shared" si="310"/>
        <v> 21.3 </v>
      </c>
      <c r="C1040" s="441" t="s">
        <v>2827</v>
      </c>
      <c r="D1040" s="442" t="s">
        <v>2828</v>
      </c>
      <c r="E1040" s="441" t="s">
        <v>132</v>
      </c>
      <c r="F1040" s="441" t="s">
        <v>2829</v>
      </c>
      <c r="G1040" s="442" t="s">
        <v>134</v>
      </c>
      <c r="H1040" s="443">
        <f t="shared" si="311"/>
        <v>14</v>
      </c>
      <c r="I1040" s="443">
        <f>VLOOKUP(D1040,'Orçamento Analitico'!D:L,9,FALSE())</f>
        <v>13.91</v>
      </c>
      <c r="J1040" s="443">
        <f t="shared" si="312"/>
        <v>17.45</v>
      </c>
      <c r="K1040" s="443">
        <f t="shared" si="313"/>
        <v>194.74</v>
      </c>
      <c r="L1040" s="443">
        <f t="shared" si="314"/>
        <v>244.3</v>
      </c>
      <c r="M1040" s="461" t="e">
        <f t="shared" si="308"/>
        <v>#N/A</v>
      </c>
      <c r="N1040" s="464">
        <v>8</v>
      </c>
      <c r="O1040" s="465">
        <v>0</v>
      </c>
      <c r="P1040" s="465">
        <v>0</v>
      </c>
      <c r="Q1040" s="465">
        <v>4</v>
      </c>
      <c r="R1040" s="465">
        <v>2</v>
      </c>
      <c r="S1040" s="465"/>
      <c r="T1040" s="465"/>
      <c r="U1040" s="479"/>
      <c r="V1040" s="422"/>
      <c r="W1040" s="422"/>
      <c r="X1040" s="422"/>
      <c r="Y1040" s="422"/>
      <c r="Z1040" s="422"/>
    </row>
    <row r="1041" ht="12.75" customHeight="1" spans="1:26">
      <c r="A1041" s="422" t="str">
        <f t="shared" si="309"/>
        <v> 21.3 </v>
      </c>
      <c r="B1041" s="423" t="str">
        <f t="shared" si="310"/>
        <v> 21.3 </v>
      </c>
      <c r="C1041" s="441" t="s">
        <v>2830</v>
      </c>
      <c r="D1041" s="442" t="s">
        <v>2831</v>
      </c>
      <c r="E1041" s="441" t="s">
        <v>132</v>
      </c>
      <c r="F1041" s="441" t="s">
        <v>2832</v>
      </c>
      <c r="G1041" s="442" t="s">
        <v>334</v>
      </c>
      <c r="H1041" s="443">
        <f t="shared" si="311"/>
        <v>8</v>
      </c>
      <c r="I1041" s="443">
        <f>VLOOKUP(D1041,'Orçamento Analitico'!D:L,9,FALSE())</f>
        <v>76.87</v>
      </c>
      <c r="J1041" s="443">
        <f t="shared" si="312"/>
        <v>96.46</v>
      </c>
      <c r="K1041" s="443">
        <f t="shared" si="313"/>
        <v>614.96</v>
      </c>
      <c r="L1041" s="443">
        <f t="shared" si="314"/>
        <v>771.68</v>
      </c>
      <c r="M1041" s="461" t="e">
        <f t="shared" si="308"/>
        <v>#N/A</v>
      </c>
      <c r="N1041" s="464">
        <v>4</v>
      </c>
      <c r="O1041" s="465">
        <v>0</v>
      </c>
      <c r="P1041" s="465">
        <v>0</v>
      </c>
      <c r="Q1041" s="465">
        <v>2</v>
      </c>
      <c r="R1041" s="465">
        <v>2</v>
      </c>
      <c r="S1041" s="465"/>
      <c r="T1041" s="465"/>
      <c r="U1041" s="479"/>
      <c r="V1041" s="422"/>
      <c r="W1041" s="422"/>
      <c r="X1041" s="422"/>
      <c r="Y1041" s="422"/>
      <c r="Z1041" s="422"/>
    </row>
    <row r="1042" ht="12.75" customHeight="1" spans="1:26">
      <c r="A1042" s="422" t="str">
        <f t="shared" si="309"/>
        <v> 21.3 </v>
      </c>
      <c r="B1042" s="423" t="str">
        <f t="shared" si="310"/>
        <v> 21.3 </v>
      </c>
      <c r="C1042" s="441" t="s">
        <v>2833</v>
      </c>
      <c r="D1042" s="442" t="s">
        <v>2834</v>
      </c>
      <c r="E1042" s="441" t="s">
        <v>132</v>
      </c>
      <c r="F1042" s="441" t="s">
        <v>2835</v>
      </c>
      <c r="G1042" s="442" t="s">
        <v>134</v>
      </c>
      <c r="H1042" s="443">
        <f t="shared" si="311"/>
        <v>8</v>
      </c>
      <c r="I1042" s="443">
        <f>VLOOKUP(D1042,'Orçamento Analitico'!D:L,9,FALSE())</f>
        <v>149.13</v>
      </c>
      <c r="J1042" s="443">
        <f t="shared" si="312"/>
        <v>187.14</v>
      </c>
      <c r="K1042" s="443">
        <f t="shared" si="313"/>
        <v>1193.04</v>
      </c>
      <c r="L1042" s="443">
        <f t="shared" si="314"/>
        <v>1497.12</v>
      </c>
      <c r="M1042" s="461" t="e">
        <f t="shared" si="308"/>
        <v>#N/A</v>
      </c>
      <c r="N1042" s="464">
        <v>4</v>
      </c>
      <c r="O1042" s="465">
        <v>0</v>
      </c>
      <c r="P1042" s="465">
        <v>0</v>
      </c>
      <c r="Q1042" s="465">
        <v>2</v>
      </c>
      <c r="R1042" s="465">
        <v>2</v>
      </c>
      <c r="S1042" s="465"/>
      <c r="T1042" s="465"/>
      <c r="U1042" s="479"/>
      <c r="V1042" s="422"/>
      <c r="W1042" s="422"/>
      <c r="X1042" s="422"/>
      <c r="Y1042" s="422"/>
      <c r="Z1042" s="422"/>
    </row>
    <row r="1043" ht="12.75" customHeight="1" spans="1:26">
      <c r="A1043" s="422" t="str">
        <f t="shared" si="309"/>
        <v> 21.3 </v>
      </c>
      <c r="B1043" s="423" t="str">
        <f t="shared" si="310"/>
        <v> 21.3 </v>
      </c>
      <c r="C1043" s="441" t="s">
        <v>2836</v>
      </c>
      <c r="D1043" s="442" t="s">
        <v>2837</v>
      </c>
      <c r="E1043" s="441" t="s">
        <v>132</v>
      </c>
      <c r="F1043" s="441" t="s">
        <v>2838</v>
      </c>
      <c r="G1043" s="442" t="s">
        <v>134</v>
      </c>
      <c r="H1043" s="443">
        <f t="shared" si="311"/>
        <v>49</v>
      </c>
      <c r="I1043" s="443">
        <f>VLOOKUP(D1043,'Orçamento Analitico'!D:L,9,FALSE())</f>
        <v>70.59</v>
      </c>
      <c r="J1043" s="443">
        <f t="shared" si="312"/>
        <v>88.58</v>
      </c>
      <c r="K1043" s="443">
        <f t="shared" si="313"/>
        <v>3458.91</v>
      </c>
      <c r="L1043" s="443">
        <f t="shared" si="314"/>
        <v>4340.42</v>
      </c>
      <c r="M1043" s="461" t="e">
        <f t="shared" si="308"/>
        <v>#N/A</v>
      </c>
      <c r="N1043" s="464">
        <v>0</v>
      </c>
      <c r="O1043" s="465">
        <v>0</v>
      </c>
      <c r="P1043" s="465">
        <v>0</v>
      </c>
      <c r="Q1043" s="465">
        <v>10</v>
      </c>
      <c r="R1043" s="465">
        <v>39</v>
      </c>
      <c r="S1043" s="465"/>
      <c r="T1043" s="465"/>
      <c r="U1043" s="479"/>
      <c r="V1043" s="422"/>
      <c r="W1043" s="422"/>
      <c r="X1043" s="422"/>
      <c r="Y1043" s="422"/>
      <c r="Z1043" s="422"/>
    </row>
    <row r="1044" ht="49.5" customHeight="1" spans="1:26">
      <c r="A1044" s="422" t="str">
        <f t="shared" si="309"/>
        <v> 21.3 </v>
      </c>
      <c r="B1044" s="423" t="str">
        <f t="shared" si="310"/>
        <v> 21.3 </v>
      </c>
      <c r="C1044" s="441" t="s">
        <v>2839</v>
      </c>
      <c r="D1044" s="442" t="s">
        <v>2840</v>
      </c>
      <c r="E1044" s="441" t="s">
        <v>132</v>
      </c>
      <c r="F1044" s="441" t="s">
        <v>2841</v>
      </c>
      <c r="G1044" s="442" t="s">
        <v>134</v>
      </c>
      <c r="H1044" s="443">
        <f>SUM(N1044)</f>
        <v>10</v>
      </c>
      <c r="I1044" s="443">
        <f>VLOOKUP(D1044,'Orçamento Analitico'!D:L,9,FALSE())</f>
        <v>115.52</v>
      </c>
      <c r="J1044" s="443">
        <f t="shared" si="312"/>
        <v>144.96</v>
      </c>
      <c r="K1044" s="443">
        <f t="shared" si="313"/>
        <v>1155.2</v>
      </c>
      <c r="L1044" s="443">
        <f t="shared" si="314"/>
        <v>1449.6</v>
      </c>
      <c r="M1044" s="461" t="e">
        <f t="shared" si="308"/>
        <v>#N/A</v>
      </c>
      <c r="N1044" s="464">
        <v>10</v>
      </c>
      <c r="O1044" s="465" t="s">
        <v>6211</v>
      </c>
      <c r="P1044" s="465"/>
      <c r="Q1044" s="465"/>
      <c r="R1044" s="465"/>
      <c r="S1044" s="465"/>
      <c r="T1044" s="465"/>
      <c r="U1044" s="479"/>
      <c r="V1044" s="422"/>
      <c r="W1044" s="422"/>
      <c r="X1044" s="422"/>
      <c r="Y1044" s="422"/>
      <c r="Z1044" s="422"/>
    </row>
    <row r="1045" ht="45" customHeight="1" spans="1:26">
      <c r="A1045" s="422" t="str">
        <f t="shared" si="309"/>
        <v> 21.3 </v>
      </c>
      <c r="B1045" s="423" t="str">
        <f t="shared" si="310"/>
        <v> 21.3 </v>
      </c>
      <c r="C1045" s="441" t="s">
        <v>2842</v>
      </c>
      <c r="D1045" s="442" t="s">
        <v>2843</v>
      </c>
      <c r="E1045" s="441" t="s">
        <v>132</v>
      </c>
      <c r="F1045" s="441" t="s">
        <v>2844</v>
      </c>
      <c r="G1045" s="442" t="s">
        <v>134</v>
      </c>
      <c r="H1045" s="443">
        <f>SUM(N1045)</f>
        <v>2</v>
      </c>
      <c r="I1045" s="443">
        <f>VLOOKUP(D1045,'Orçamento Analitico'!D:L,9,FALSE())</f>
        <v>72.78</v>
      </c>
      <c r="J1045" s="443">
        <f t="shared" si="312"/>
        <v>91.33</v>
      </c>
      <c r="K1045" s="443">
        <f t="shared" si="313"/>
        <v>145.56</v>
      </c>
      <c r="L1045" s="443">
        <f t="shared" si="314"/>
        <v>182.66</v>
      </c>
      <c r="M1045" s="461" t="e">
        <f t="shared" si="308"/>
        <v>#N/A</v>
      </c>
      <c r="N1045" s="464">
        <v>2</v>
      </c>
      <c r="O1045" s="465" t="s">
        <v>6212</v>
      </c>
      <c r="P1045" s="465"/>
      <c r="Q1045" s="465"/>
      <c r="R1045" s="465"/>
      <c r="S1045" s="465"/>
      <c r="T1045" s="465"/>
      <c r="U1045" s="479"/>
      <c r="V1045" s="422"/>
      <c r="W1045" s="422"/>
      <c r="X1045" s="422"/>
      <c r="Y1045" s="422"/>
      <c r="Z1045" s="422"/>
    </row>
    <row r="1046" ht="12.75" customHeight="1" spans="1:26">
      <c r="A1046" s="422" t="str">
        <f t="shared" si="309"/>
        <v> 21.3 </v>
      </c>
      <c r="B1046" s="423" t="str">
        <f t="shared" si="310"/>
        <v> 21.3 </v>
      </c>
      <c r="C1046" s="441" t="s">
        <v>2845</v>
      </c>
      <c r="D1046" s="442" t="s">
        <v>2846</v>
      </c>
      <c r="E1046" s="441" t="s">
        <v>132</v>
      </c>
      <c r="F1046" s="441" t="s">
        <v>2847</v>
      </c>
      <c r="G1046" s="442" t="s">
        <v>134</v>
      </c>
      <c r="H1046" s="443">
        <f>SUM(N1046)</f>
        <v>2</v>
      </c>
      <c r="I1046" s="443">
        <f>VLOOKUP(D1046,'Orçamento Analitico'!D:L,9,FALSE())</f>
        <v>191.62</v>
      </c>
      <c r="J1046" s="443">
        <f t="shared" si="312"/>
        <v>240.46</v>
      </c>
      <c r="K1046" s="443">
        <f t="shared" si="313"/>
        <v>383.24</v>
      </c>
      <c r="L1046" s="443">
        <f t="shared" si="314"/>
        <v>480.92</v>
      </c>
      <c r="M1046" s="461" t="e">
        <f t="shared" si="308"/>
        <v>#N/A</v>
      </c>
      <c r="N1046" s="464">
        <v>2</v>
      </c>
      <c r="O1046" s="465"/>
      <c r="P1046" s="465"/>
      <c r="Q1046" s="465"/>
      <c r="R1046" s="465"/>
      <c r="S1046" s="465"/>
      <c r="T1046" s="465"/>
      <c r="U1046" s="479"/>
      <c r="V1046" s="422"/>
      <c r="W1046" s="422"/>
      <c r="X1046" s="422"/>
      <c r="Y1046" s="422"/>
      <c r="Z1046" s="422"/>
    </row>
    <row r="1047" ht="12.75" customHeight="1" spans="1:26">
      <c r="A1047" s="422" t="str">
        <f t="shared" si="309"/>
        <v> 21.3 </v>
      </c>
      <c r="B1047" s="423" t="str">
        <f t="shared" si="310"/>
        <v> 21.3 </v>
      </c>
      <c r="C1047" s="441" t="s">
        <v>2848</v>
      </c>
      <c r="D1047" s="442" t="s">
        <v>2849</v>
      </c>
      <c r="E1047" s="441" t="s">
        <v>132</v>
      </c>
      <c r="F1047" s="441" t="s">
        <v>2850</v>
      </c>
      <c r="G1047" s="442" t="s">
        <v>134</v>
      </c>
      <c r="H1047" s="443">
        <f>SUM(N1047)</f>
        <v>1</v>
      </c>
      <c r="I1047" s="443">
        <f>VLOOKUP(D1047,'Orçamento Analitico'!D:L,9,FALSE())</f>
        <v>518.73</v>
      </c>
      <c r="J1047" s="443">
        <f t="shared" si="312"/>
        <v>650.95</v>
      </c>
      <c r="K1047" s="443">
        <f t="shared" si="313"/>
        <v>518.73</v>
      </c>
      <c r="L1047" s="443">
        <f t="shared" si="314"/>
        <v>650.95</v>
      </c>
      <c r="M1047" s="461" t="e">
        <f t="shared" si="308"/>
        <v>#N/A</v>
      </c>
      <c r="N1047" s="464">
        <v>1</v>
      </c>
      <c r="O1047" s="465"/>
      <c r="P1047" s="465"/>
      <c r="Q1047" s="465"/>
      <c r="R1047" s="465"/>
      <c r="S1047" s="465"/>
      <c r="T1047" s="465"/>
      <c r="U1047" s="479"/>
      <c r="V1047" s="422"/>
      <c r="W1047" s="422"/>
      <c r="X1047" s="422"/>
      <c r="Y1047" s="422"/>
      <c r="Z1047" s="422"/>
    </row>
    <row r="1048" ht="12.75" customHeight="1" spans="1:26">
      <c r="A1048" s="422" t="str">
        <f t="shared" si="309"/>
        <v> 21.3 </v>
      </c>
      <c r="B1048" s="423" t="str">
        <f t="shared" si="310"/>
        <v> 21.3 </v>
      </c>
      <c r="C1048" s="441" t="s">
        <v>2851</v>
      </c>
      <c r="D1048" s="442" t="s">
        <v>2852</v>
      </c>
      <c r="E1048" s="441" t="s">
        <v>132</v>
      </c>
      <c r="F1048" s="441" t="s">
        <v>2853</v>
      </c>
      <c r="G1048" s="442" t="s">
        <v>134</v>
      </c>
      <c r="H1048" s="443">
        <f>SUM(N1048)</f>
        <v>125</v>
      </c>
      <c r="I1048" s="443">
        <f>VLOOKUP(D1048,'Orçamento Analitico'!D:L,9,FALSE())</f>
        <v>145.89</v>
      </c>
      <c r="J1048" s="443">
        <f t="shared" si="312"/>
        <v>183.07</v>
      </c>
      <c r="K1048" s="443">
        <f t="shared" si="313"/>
        <v>18236.25</v>
      </c>
      <c r="L1048" s="443">
        <f t="shared" si="314"/>
        <v>22883.75</v>
      </c>
      <c r="M1048" s="461" t="e">
        <f t="shared" si="308"/>
        <v>#N/A</v>
      </c>
      <c r="N1048" s="464">
        <f>SUM(H243:H251)</f>
        <v>125</v>
      </c>
      <c r="O1048" s="465"/>
      <c r="P1048" s="465"/>
      <c r="Q1048" s="465"/>
      <c r="R1048" s="465"/>
      <c r="S1048" s="465"/>
      <c r="T1048" s="465"/>
      <c r="U1048" s="479"/>
      <c r="V1048" s="422"/>
      <c r="W1048" s="422"/>
      <c r="X1048" s="422"/>
      <c r="Y1048" s="422"/>
      <c r="Z1048" s="422"/>
    </row>
    <row r="1049" ht="12.75" customHeight="1" spans="1:26">
      <c r="A1049" s="422" t="str">
        <f t="shared" si="309"/>
        <v> 21.3 </v>
      </c>
      <c r="B1049" s="423" t="str">
        <f t="shared" si="310"/>
        <v> 21.3 </v>
      </c>
      <c r="C1049" s="441" t="s">
        <v>2854</v>
      </c>
      <c r="D1049" s="442" t="s">
        <v>2855</v>
      </c>
      <c r="E1049" s="441" t="s">
        <v>149</v>
      </c>
      <c r="F1049" s="441" t="s">
        <v>2856</v>
      </c>
      <c r="G1049" s="442" t="s">
        <v>134</v>
      </c>
      <c r="H1049" s="443">
        <f>SUM(N1049:R1049)</f>
        <v>3</v>
      </c>
      <c r="I1049" s="443">
        <f>VLOOKUP(D1049,'Orçamento Analitico'!D:L,9,FALSE())</f>
        <v>1614.26</v>
      </c>
      <c r="J1049" s="443">
        <f t="shared" si="312"/>
        <v>2025.73</v>
      </c>
      <c r="K1049" s="443">
        <f t="shared" si="313"/>
        <v>4842.78</v>
      </c>
      <c r="L1049" s="443">
        <f t="shared" si="314"/>
        <v>6077.19</v>
      </c>
      <c r="M1049" s="461" t="e">
        <f t="shared" si="308"/>
        <v>#N/A</v>
      </c>
      <c r="N1049" s="464">
        <v>1</v>
      </c>
      <c r="O1049" s="465">
        <v>0</v>
      </c>
      <c r="P1049" s="465">
        <v>0</v>
      </c>
      <c r="Q1049" s="465">
        <v>1</v>
      </c>
      <c r="R1049" s="465">
        <v>1</v>
      </c>
      <c r="S1049" s="465"/>
      <c r="T1049" s="465"/>
      <c r="U1049" s="479"/>
      <c r="V1049" s="422"/>
      <c r="W1049" s="422"/>
      <c r="X1049" s="422"/>
      <c r="Y1049" s="422"/>
      <c r="Z1049" s="422"/>
    </row>
    <row r="1050" ht="12.75" customHeight="1" spans="1:26">
      <c r="A1050" s="422"/>
      <c r="B1050" s="423" t="str">
        <f>C1050</f>
        <v> 21.4 </v>
      </c>
      <c r="C1050" s="444" t="s">
        <v>2857</v>
      </c>
      <c r="D1050" s="445" t="s">
        <v>74</v>
      </c>
      <c r="E1050" s="444"/>
      <c r="F1050" s="444" t="s">
        <v>2858</v>
      </c>
      <c r="G1050" s="445"/>
      <c r="H1050" s="446"/>
      <c r="I1050" s="446"/>
      <c r="J1050" s="466"/>
      <c r="K1050" s="466">
        <f>SUMIF(A:A,B1050,K:K)</f>
        <v>15562.11</v>
      </c>
      <c r="L1050" s="466">
        <f>SUMIF(A:A,C1050,L:L)</f>
        <v>19511.51</v>
      </c>
      <c r="M1050" s="467" t="e">
        <f t="shared" si="308"/>
        <v>#N/A</v>
      </c>
      <c r="N1050" s="464"/>
      <c r="O1050" s="465"/>
      <c r="P1050" s="465"/>
      <c r="Q1050" s="465"/>
      <c r="R1050" s="465"/>
      <c r="S1050" s="465"/>
      <c r="T1050" s="465"/>
      <c r="U1050" s="479"/>
      <c r="V1050" s="422"/>
      <c r="W1050" s="422"/>
      <c r="X1050" s="422"/>
      <c r="Y1050" s="422"/>
      <c r="Z1050" s="422"/>
    </row>
    <row r="1051" ht="36" customHeight="1" spans="1:26">
      <c r="A1051" s="422" t="str">
        <f t="shared" ref="A1051:A1056" si="315">B1051</f>
        <v> 21.4 </v>
      </c>
      <c r="B1051" s="423" t="str">
        <f t="shared" ref="B1051:B1056" si="316">B1050</f>
        <v> 21.4 </v>
      </c>
      <c r="C1051" s="441" t="s">
        <v>2859</v>
      </c>
      <c r="D1051" s="442" t="s">
        <v>271</v>
      </c>
      <c r="E1051" s="441" t="s">
        <v>139</v>
      </c>
      <c r="F1051" s="441" t="s">
        <v>272</v>
      </c>
      <c r="G1051" s="442" t="s">
        <v>141</v>
      </c>
      <c r="H1051" s="443">
        <f>R1051</f>
        <v>366</v>
      </c>
      <c r="I1051" s="443">
        <f>VLOOKUP(D1051,'Orçamento Analitico'!D:L,9,FALSE())</f>
        <v>4.09</v>
      </c>
      <c r="J1051" s="443">
        <f t="shared" ref="J1051:J1056" si="317">ROUNDDOWN(I1051*(1+$G$6),2)</f>
        <v>5.13</v>
      </c>
      <c r="K1051" s="443">
        <f t="shared" ref="K1051:K1056" si="318">ROUNDDOWN(H1051*I1051,2)</f>
        <v>1496.94</v>
      </c>
      <c r="L1051" s="443">
        <f t="shared" ref="L1051:L1056" si="319">ROUNDDOWN(H1051*J1051,2)</f>
        <v>1877.58</v>
      </c>
      <c r="M1051" s="461" t="e">
        <f t="shared" si="308"/>
        <v>#N/A</v>
      </c>
      <c r="N1051" s="464">
        <f>80+(6*7)</f>
        <v>122</v>
      </c>
      <c r="O1051" s="494" t="s">
        <v>6128</v>
      </c>
      <c r="P1051" s="465">
        <v>3</v>
      </c>
      <c r="Q1051" s="494" t="s">
        <v>6129</v>
      </c>
      <c r="R1051" s="465">
        <f>ROUND(N1051*P1051,2)</f>
        <v>366</v>
      </c>
      <c r="S1051" s="465"/>
      <c r="T1051" s="465"/>
      <c r="U1051" s="479"/>
      <c r="V1051" s="422"/>
      <c r="W1051" s="422"/>
      <c r="X1051" s="422"/>
      <c r="Y1051" s="422"/>
      <c r="Z1051" s="422"/>
    </row>
    <row r="1052" ht="36" customHeight="1" spans="1:26">
      <c r="A1052" s="422" t="str">
        <f t="shared" si="315"/>
        <v> 21.4 </v>
      </c>
      <c r="B1052" s="423" t="str">
        <f t="shared" si="316"/>
        <v> 21.4 </v>
      </c>
      <c r="C1052" s="441" t="s">
        <v>2860</v>
      </c>
      <c r="D1052" s="442" t="s">
        <v>308</v>
      </c>
      <c r="E1052" s="441" t="s">
        <v>139</v>
      </c>
      <c r="F1052" s="441" t="s">
        <v>309</v>
      </c>
      <c r="G1052" s="442" t="s">
        <v>141</v>
      </c>
      <c r="H1052" s="443">
        <f>R1052</f>
        <v>560</v>
      </c>
      <c r="I1052" s="443">
        <f>VLOOKUP(D1052,'Orçamento Analitico'!D:L,9,FALSE())</f>
        <v>10.5</v>
      </c>
      <c r="J1052" s="443">
        <f t="shared" si="317"/>
        <v>13.17</v>
      </c>
      <c r="K1052" s="443">
        <f t="shared" si="318"/>
        <v>5880</v>
      </c>
      <c r="L1052" s="443">
        <f t="shared" si="319"/>
        <v>7375.2</v>
      </c>
      <c r="M1052" s="461" t="e">
        <f t="shared" si="308"/>
        <v>#N/A</v>
      </c>
      <c r="N1052" s="464"/>
      <c r="O1052" s="465"/>
      <c r="P1052" s="465"/>
      <c r="Q1052" s="494" t="s">
        <v>6129</v>
      </c>
      <c r="R1052" s="465">
        <f>R1053</f>
        <v>560</v>
      </c>
      <c r="S1052" s="465"/>
      <c r="T1052" s="465"/>
      <c r="U1052" s="479"/>
      <c r="V1052" s="422"/>
      <c r="W1052" s="422"/>
      <c r="X1052" s="422"/>
      <c r="Y1052" s="422"/>
      <c r="Z1052" s="422"/>
    </row>
    <row r="1053" ht="36" customHeight="1" spans="1:26">
      <c r="A1053" s="422" t="str">
        <f t="shared" si="315"/>
        <v> 21.4 </v>
      </c>
      <c r="B1053" s="423" t="str">
        <f t="shared" si="316"/>
        <v> 21.4 </v>
      </c>
      <c r="C1053" s="441" t="s">
        <v>2861</v>
      </c>
      <c r="D1053" s="442" t="s">
        <v>305</v>
      </c>
      <c r="E1053" s="441" t="s">
        <v>139</v>
      </c>
      <c r="F1053" s="441" t="s">
        <v>306</v>
      </c>
      <c r="G1053" s="442" t="s">
        <v>141</v>
      </c>
      <c r="H1053" s="443">
        <f>R1053</f>
        <v>560</v>
      </c>
      <c r="I1053" s="443">
        <f>VLOOKUP(D1053,'Orçamento Analitico'!D:L,9,FALSE())</f>
        <v>4.87</v>
      </c>
      <c r="J1053" s="443">
        <f t="shared" si="317"/>
        <v>6.11</v>
      </c>
      <c r="K1053" s="443">
        <f t="shared" si="318"/>
        <v>2727.2</v>
      </c>
      <c r="L1053" s="443">
        <f t="shared" si="319"/>
        <v>3421.6</v>
      </c>
      <c r="M1053" s="461" t="e">
        <f t="shared" si="308"/>
        <v>#N/A</v>
      </c>
      <c r="N1053" s="464">
        <v>80</v>
      </c>
      <c r="O1053" s="494" t="s">
        <v>6128</v>
      </c>
      <c r="P1053" s="465">
        <v>7</v>
      </c>
      <c r="Q1053" s="494" t="s">
        <v>6129</v>
      </c>
      <c r="R1053" s="465">
        <f>ROUND(N1053*P1053,2)</f>
        <v>560</v>
      </c>
      <c r="S1053" s="465"/>
      <c r="T1053" s="465"/>
      <c r="U1053" s="479"/>
      <c r="V1053" s="422"/>
      <c r="W1053" s="422"/>
      <c r="X1053" s="422"/>
      <c r="Y1053" s="422"/>
      <c r="Z1053" s="422"/>
    </row>
    <row r="1054" ht="36" customHeight="1" spans="1:26">
      <c r="A1054" s="422" t="str">
        <f t="shared" si="315"/>
        <v> 21.4 </v>
      </c>
      <c r="B1054" s="423" t="str">
        <f t="shared" si="316"/>
        <v> 21.4 </v>
      </c>
      <c r="C1054" s="441" t="s">
        <v>2862</v>
      </c>
      <c r="D1054" s="442" t="s">
        <v>293</v>
      </c>
      <c r="E1054" s="441" t="s">
        <v>139</v>
      </c>
      <c r="F1054" s="441" t="s">
        <v>294</v>
      </c>
      <c r="G1054" s="442" t="s">
        <v>141</v>
      </c>
      <c r="H1054" s="443">
        <f>R1054</f>
        <v>6</v>
      </c>
      <c r="I1054" s="443">
        <f>VLOOKUP(D1054,'Orçamento Analitico'!D:L,9,FALSE())</f>
        <v>12.97</v>
      </c>
      <c r="J1054" s="443">
        <f t="shared" si="317"/>
        <v>16.27</v>
      </c>
      <c r="K1054" s="443">
        <f t="shared" si="318"/>
        <v>77.82</v>
      </c>
      <c r="L1054" s="443">
        <f t="shared" si="319"/>
        <v>97.62</v>
      </c>
      <c r="M1054" s="461" t="e">
        <f t="shared" si="308"/>
        <v>#N/A</v>
      </c>
      <c r="N1054" s="464"/>
      <c r="O1054" s="465"/>
      <c r="P1054" s="465"/>
      <c r="Q1054" s="494" t="s">
        <v>6129</v>
      </c>
      <c r="R1054" s="465">
        <v>6</v>
      </c>
      <c r="S1054" s="465"/>
      <c r="T1054" s="465"/>
      <c r="U1054" s="479"/>
      <c r="V1054" s="422"/>
      <c r="W1054" s="422"/>
      <c r="X1054" s="422"/>
      <c r="Y1054" s="422"/>
      <c r="Z1054" s="422"/>
    </row>
    <row r="1055" ht="36" customHeight="1" spans="1:26">
      <c r="A1055" s="422" t="str">
        <f t="shared" si="315"/>
        <v> 21.4 </v>
      </c>
      <c r="B1055" s="423" t="str">
        <f t="shared" si="316"/>
        <v> 21.4 </v>
      </c>
      <c r="C1055" s="441" t="s">
        <v>2863</v>
      </c>
      <c r="D1055" s="442" t="s">
        <v>2864</v>
      </c>
      <c r="E1055" s="441" t="s">
        <v>139</v>
      </c>
      <c r="F1055" s="441" t="s">
        <v>2865</v>
      </c>
      <c r="G1055" s="442" t="s">
        <v>279</v>
      </c>
      <c r="H1055" s="443">
        <f>T1055</f>
        <v>28</v>
      </c>
      <c r="I1055" s="443">
        <f>VLOOKUP(D1055,'Orçamento Analitico'!D:L,9,FALSE())</f>
        <v>141.46</v>
      </c>
      <c r="J1055" s="443">
        <f t="shared" si="317"/>
        <v>177.51</v>
      </c>
      <c r="K1055" s="443">
        <f t="shared" si="318"/>
        <v>3960.88</v>
      </c>
      <c r="L1055" s="443">
        <f t="shared" si="319"/>
        <v>4970.28</v>
      </c>
      <c r="M1055" s="461" t="e">
        <f t="shared" si="308"/>
        <v>#N/A</v>
      </c>
      <c r="N1055" s="464">
        <v>80</v>
      </c>
      <c r="O1055" s="494" t="s">
        <v>6128</v>
      </c>
      <c r="P1055" s="465">
        <v>7</v>
      </c>
      <c r="Q1055" s="494" t="s">
        <v>6128</v>
      </c>
      <c r="R1055" s="465">
        <v>0.05</v>
      </c>
      <c r="S1055" s="494" t="s">
        <v>6129</v>
      </c>
      <c r="T1055" s="465">
        <f>ROUND(N1055*P1055*R1055,2)</f>
        <v>28</v>
      </c>
      <c r="U1055" s="479"/>
      <c r="V1055" s="422"/>
      <c r="W1055" s="422"/>
      <c r="X1055" s="422"/>
      <c r="Y1055" s="422"/>
      <c r="Z1055" s="422"/>
    </row>
    <row r="1056" ht="12.75" customHeight="1" spans="1:26">
      <c r="A1056" s="422" t="str">
        <f t="shared" si="315"/>
        <v> 21.4 </v>
      </c>
      <c r="B1056" s="423" t="str">
        <f t="shared" si="316"/>
        <v> 21.4 </v>
      </c>
      <c r="C1056" s="441" t="s">
        <v>2866</v>
      </c>
      <c r="D1056" s="442" t="s">
        <v>2867</v>
      </c>
      <c r="E1056" s="441" t="s">
        <v>139</v>
      </c>
      <c r="F1056" s="441" t="s">
        <v>2868</v>
      </c>
      <c r="G1056" s="442" t="s">
        <v>141</v>
      </c>
      <c r="H1056" s="443">
        <f>R1056</f>
        <v>1944.21</v>
      </c>
      <c r="I1056" s="443">
        <f>VLOOKUP(D1056,'Orçamento Analitico'!D:L,9,FALSE())</f>
        <v>0.73</v>
      </c>
      <c r="J1056" s="443">
        <f t="shared" si="317"/>
        <v>0.91</v>
      </c>
      <c r="K1056" s="443">
        <f t="shared" si="318"/>
        <v>1419.27</v>
      </c>
      <c r="L1056" s="443">
        <f t="shared" si="319"/>
        <v>1769.23</v>
      </c>
      <c r="M1056" s="461" t="e">
        <f t="shared" si="308"/>
        <v>#N/A</v>
      </c>
      <c r="N1056" s="464"/>
      <c r="O1056" s="465"/>
      <c r="P1056" s="465"/>
      <c r="Q1056" s="494" t="s">
        <v>6129</v>
      </c>
      <c r="R1056" s="465">
        <f>728.04+1216.17</f>
        <v>1944.21</v>
      </c>
      <c r="S1056" s="465" t="s">
        <v>6213</v>
      </c>
      <c r="T1056" s="465"/>
      <c r="U1056" s="479"/>
      <c r="V1056" s="422"/>
      <c r="W1056" s="422"/>
      <c r="X1056" s="422"/>
      <c r="Y1056" s="422"/>
      <c r="Z1056" s="422"/>
    </row>
    <row r="1057" ht="12.75" customHeight="1" spans="1:26">
      <c r="A1057" s="422"/>
      <c r="B1057" s="423" t="str">
        <f>C1057</f>
        <v> 21.5 </v>
      </c>
      <c r="C1057" s="444" t="s">
        <v>2869</v>
      </c>
      <c r="D1057" s="445" t="s">
        <v>74</v>
      </c>
      <c r="E1057" s="444"/>
      <c r="F1057" s="444" t="s">
        <v>2870</v>
      </c>
      <c r="G1057" s="445"/>
      <c r="H1057" s="446"/>
      <c r="I1057" s="446"/>
      <c r="J1057" s="466"/>
      <c r="K1057" s="466">
        <f>SUMIF(A:A,B1057,K:K)</f>
        <v>48761.13</v>
      </c>
      <c r="L1057" s="466">
        <f>SUMIF(A:A,C1057,L:L)</f>
        <v>61152.96</v>
      </c>
      <c r="M1057" s="467" t="e">
        <f t="shared" si="308"/>
        <v>#N/A</v>
      </c>
      <c r="N1057" s="464"/>
      <c r="O1057" s="465"/>
      <c r="P1057" s="465"/>
      <c r="Q1057" s="465"/>
      <c r="R1057" s="465"/>
      <c r="S1057" s="465"/>
      <c r="T1057" s="465"/>
      <c r="U1057" s="479"/>
      <c r="V1057" s="422"/>
      <c r="W1057" s="422"/>
      <c r="X1057" s="422"/>
      <c r="Y1057" s="422"/>
      <c r="Z1057" s="422"/>
    </row>
    <row r="1058" ht="21.75" customHeight="1" spans="1:26">
      <c r="A1058" s="422" t="str">
        <f>B1058</f>
        <v> 21.5 </v>
      </c>
      <c r="B1058" s="423" t="str">
        <f>B1057</f>
        <v> 21.5 </v>
      </c>
      <c r="C1058" s="441" t="s">
        <v>2871</v>
      </c>
      <c r="D1058" s="442" t="s">
        <v>2872</v>
      </c>
      <c r="E1058" s="441" t="s">
        <v>77</v>
      </c>
      <c r="F1058" s="441" t="s">
        <v>2873</v>
      </c>
      <c r="G1058" s="442" t="s">
        <v>134</v>
      </c>
      <c r="H1058" s="443">
        <f>N1058</f>
        <v>98</v>
      </c>
      <c r="I1058" s="443">
        <f>VLOOKUP(D1058,'Orçamento Analitico'!D:L,9,FALSE())</f>
        <v>11.84</v>
      </c>
      <c r="J1058" s="443">
        <f>ROUNDDOWN(I1058*(1+$G$6),2)</f>
        <v>14.85</v>
      </c>
      <c r="K1058" s="443">
        <f>ROUNDDOWN(H1058*I1058,2)</f>
        <v>1160.32</v>
      </c>
      <c r="L1058" s="443">
        <f>ROUNDDOWN(H1058*J1058,2)</f>
        <v>1455.3</v>
      </c>
      <c r="M1058" s="461" t="e">
        <f t="shared" si="308"/>
        <v>#N/A</v>
      </c>
      <c r="N1058" s="464">
        <v>98</v>
      </c>
      <c r="O1058" s="465"/>
      <c r="P1058" s="465"/>
      <c r="Q1058" s="465"/>
      <c r="R1058" s="465"/>
      <c r="S1058" s="465"/>
      <c r="T1058" s="465"/>
      <c r="U1058" s="479"/>
      <c r="V1058" s="422"/>
      <c r="W1058" s="422"/>
      <c r="X1058" s="422"/>
      <c r="Y1058" s="422"/>
      <c r="Z1058" s="422"/>
    </row>
    <row r="1059" ht="75.75" customHeight="1" spans="1:26">
      <c r="A1059" s="422" t="str">
        <f>B1059</f>
        <v> 21.5 </v>
      </c>
      <c r="B1059" s="423" t="str">
        <f>B1058</f>
        <v> 21.5 </v>
      </c>
      <c r="C1059" s="441" t="s">
        <v>2874</v>
      </c>
      <c r="D1059" s="442" t="s">
        <v>2875</v>
      </c>
      <c r="E1059" s="441" t="s">
        <v>77</v>
      </c>
      <c r="F1059" s="441" t="s">
        <v>2876</v>
      </c>
      <c r="G1059" s="442" t="s">
        <v>134</v>
      </c>
      <c r="H1059" s="443">
        <f>N1059</f>
        <v>5</v>
      </c>
      <c r="I1059" s="443">
        <f>VLOOKUP(D1059,'Orçamento Analitico'!D:L,9,FALSE())</f>
        <v>1084.78</v>
      </c>
      <c r="J1059" s="443">
        <f>ROUNDDOWN(I1059*(1+$G$6),2)</f>
        <v>1361.29</v>
      </c>
      <c r="K1059" s="443">
        <f>ROUNDDOWN(H1059*I1059,2)</f>
        <v>5423.9</v>
      </c>
      <c r="L1059" s="443">
        <f>ROUNDDOWN(H1059*J1059,2)</f>
        <v>6806.45</v>
      </c>
      <c r="M1059" s="461" t="e">
        <f t="shared" si="308"/>
        <v>#N/A</v>
      </c>
      <c r="N1059" s="464">
        <v>5</v>
      </c>
      <c r="O1059" s="465"/>
      <c r="P1059" s="465"/>
      <c r="Q1059" s="465"/>
      <c r="R1059" s="465"/>
      <c r="S1059" s="465"/>
      <c r="T1059" s="465"/>
      <c r="U1059" s="479"/>
      <c r="V1059" s="422"/>
      <c r="W1059" s="422"/>
      <c r="X1059" s="422"/>
      <c r="Y1059" s="422"/>
      <c r="Z1059" s="422"/>
    </row>
    <row r="1060" ht="34.5" customHeight="1" spans="1:26">
      <c r="A1060" s="422" t="str">
        <f>B1060</f>
        <v> 21.5 </v>
      </c>
      <c r="B1060" s="423" t="str">
        <f>B1059</f>
        <v> 21.5 </v>
      </c>
      <c r="C1060" s="540" t="s">
        <v>2877</v>
      </c>
      <c r="D1060" s="541" t="s">
        <v>2878</v>
      </c>
      <c r="E1060" s="540" t="s">
        <v>132</v>
      </c>
      <c r="F1060" s="540" t="s">
        <v>2879</v>
      </c>
      <c r="G1060" s="541" t="s">
        <v>141</v>
      </c>
      <c r="H1060" s="542">
        <f>SUM(N1060:T1060)</f>
        <v>8503.41</v>
      </c>
      <c r="I1060" s="542">
        <f>VLOOKUP(D1060,'Orçamento Analitico'!D:L,9,FALSE())</f>
        <v>4.96</v>
      </c>
      <c r="J1060" s="542">
        <f>ROUNDDOWN(I1060*(1+$G$6),2)</f>
        <v>6.22</v>
      </c>
      <c r="K1060" s="542">
        <f>ROUNDDOWN(H1060*I1060,2)</f>
        <v>42176.91</v>
      </c>
      <c r="L1060" s="542">
        <f>ROUNDDOWN(H1060*J1060,2)</f>
        <v>52891.21</v>
      </c>
      <c r="M1060" s="550" t="e">
        <f t="shared" si="308"/>
        <v>#N/A</v>
      </c>
      <c r="N1060" s="516">
        <f t="shared" ref="N1060:T1060" si="320">N11</f>
        <v>1612.63</v>
      </c>
      <c r="O1060" s="481">
        <f t="shared" si="320"/>
        <v>679.12</v>
      </c>
      <c r="P1060" s="481">
        <f t="shared" si="320"/>
        <v>237.1</v>
      </c>
      <c r="Q1060" s="481">
        <f t="shared" si="320"/>
        <v>3052.77</v>
      </c>
      <c r="R1060" s="481">
        <f t="shared" si="320"/>
        <v>2164.21</v>
      </c>
      <c r="S1060" s="481">
        <f t="shared" si="320"/>
        <v>757.58</v>
      </c>
      <c r="T1060" s="481">
        <f t="shared" si="320"/>
        <v>0</v>
      </c>
      <c r="U1060" s="482"/>
      <c r="V1060" s="422"/>
      <c r="W1060" s="422"/>
      <c r="X1060" s="422"/>
      <c r="Y1060" s="422"/>
      <c r="Z1060" s="422"/>
    </row>
    <row r="1061" ht="12.75" customHeight="1" spans="1:26">
      <c r="A1061" s="422"/>
      <c r="B1061" s="423"/>
      <c r="C1061" s="543"/>
      <c r="D1061" s="543"/>
      <c r="E1061" s="543"/>
      <c r="F1061" s="543"/>
      <c r="G1061" s="543"/>
      <c r="H1061" s="544"/>
      <c r="I1061" s="544"/>
      <c r="J1061" s="544"/>
      <c r="K1061" s="544"/>
      <c r="L1061" s="544"/>
      <c r="M1061" s="543"/>
      <c r="N1061" s="422"/>
      <c r="O1061" s="422"/>
      <c r="P1061" s="422"/>
      <c r="Q1061" s="422"/>
      <c r="R1061" s="422"/>
      <c r="S1061" s="422"/>
      <c r="T1061" s="501"/>
      <c r="U1061" s="422"/>
      <c r="V1061" s="422"/>
      <c r="W1061" s="422"/>
      <c r="X1061" s="422"/>
      <c r="Y1061" s="422"/>
      <c r="Z1061" s="422"/>
    </row>
    <row r="1062" ht="12.75" customHeight="1" spans="1:26">
      <c r="A1062" s="422"/>
      <c r="B1062" s="423"/>
      <c r="C1062" s="545"/>
      <c r="D1062" s="545"/>
      <c r="E1062" s="545"/>
      <c r="F1062" s="546"/>
      <c r="G1062" s="545"/>
      <c r="H1062" s="6" t="s">
        <v>2880</v>
      </c>
      <c r="I1062" s="6"/>
      <c r="J1062" s="544"/>
      <c r="K1062" s="544"/>
      <c r="L1062" s="551" t="e">
        <f>SUM(K8,K27,K29,K112,K122,K169,K210,K219,K225,K240,K281,K365,K622,K663,K770,K967,K972,K994,K1014,K1017,K1026)</f>
        <v>#N/A</v>
      </c>
      <c r="M1062" s="543"/>
      <c r="N1062" s="422"/>
      <c r="O1062" s="422"/>
      <c r="P1062" s="422"/>
      <c r="Q1062" s="422"/>
      <c r="R1062" s="422"/>
      <c r="S1062" s="422"/>
      <c r="T1062" s="501"/>
      <c r="U1062" s="422"/>
      <c r="V1062" s="422"/>
      <c r="W1062" s="422"/>
      <c r="X1062" s="422"/>
      <c r="Y1062" s="422"/>
      <c r="Z1062" s="422"/>
    </row>
    <row r="1063" ht="12.75" customHeight="1" spans="1:26">
      <c r="A1063" s="422"/>
      <c r="B1063" s="423"/>
      <c r="C1063" s="545"/>
      <c r="D1063" s="545"/>
      <c r="E1063" s="545"/>
      <c r="F1063" s="546"/>
      <c r="G1063" s="545"/>
      <c r="H1063" s="6" t="s">
        <v>2881</v>
      </c>
      <c r="I1063" s="6"/>
      <c r="J1063" s="544"/>
      <c r="K1063" s="544"/>
      <c r="L1063" s="552" t="e">
        <f>L1064-L1062</f>
        <v>#N/A</v>
      </c>
      <c r="M1063" s="553"/>
      <c r="N1063" s="422"/>
      <c r="O1063" s="422"/>
      <c r="P1063" s="422"/>
      <c r="Q1063" s="422"/>
      <c r="R1063" s="422"/>
      <c r="S1063" s="422"/>
      <c r="T1063" s="501"/>
      <c r="U1063" s="422"/>
      <c r="V1063" s="422"/>
      <c r="W1063" s="422"/>
      <c r="X1063" s="422"/>
      <c r="Y1063" s="422"/>
      <c r="Z1063" s="422"/>
    </row>
    <row r="1064" ht="12.75" customHeight="1" spans="1:26">
      <c r="A1064" s="422"/>
      <c r="B1064" s="423"/>
      <c r="C1064" s="545"/>
      <c r="D1064" s="545"/>
      <c r="E1064" s="545"/>
      <c r="F1064" s="546"/>
      <c r="G1064" s="545"/>
      <c r="H1064" s="6" t="s">
        <v>2882</v>
      </c>
      <c r="I1064" s="6"/>
      <c r="J1064" s="544"/>
      <c r="K1064" s="551"/>
      <c r="L1064" s="551" t="e">
        <f>SUM(L8,L27,L29,L112,L122,L169,L210,L219,L225,L240,L281,L365,L622,L663,L770,L967,L972,L994,L1014,L1017,L1026)</f>
        <v>#N/A</v>
      </c>
      <c r="M1064" s="554" t="e">
        <f>SUM(M8,M27,M29,M112,M122,M169,M210,M219,M225,M240,M281,M365,M622,M663,M770,M967,M972,M994,M1014,M1017,M1026)</f>
        <v>#N/A</v>
      </c>
      <c r="N1064" s="422"/>
      <c r="O1064" s="422"/>
      <c r="P1064" s="422"/>
      <c r="Q1064" s="422"/>
      <c r="R1064" s="422"/>
      <c r="S1064" s="422"/>
      <c r="T1064" s="501"/>
      <c r="U1064" s="422"/>
      <c r="V1064" s="422"/>
      <c r="W1064" s="422"/>
      <c r="X1064" s="422"/>
      <c r="Y1064" s="422"/>
      <c r="Z1064" s="422"/>
    </row>
    <row r="1065" ht="12.75" customHeight="1" spans="1:26">
      <c r="A1065" s="422"/>
      <c r="B1065" s="423"/>
      <c r="C1065" s="543"/>
      <c r="D1065" s="543"/>
      <c r="E1065" s="543"/>
      <c r="F1065" s="543"/>
      <c r="G1065" s="543"/>
      <c r="H1065" s="543"/>
      <c r="I1065" s="543"/>
      <c r="J1065" s="543"/>
      <c r="K1065" s="543"/>
      <c r="L1065" s="543"/>
      <c r="M1065" s="543"/>
      <c r="N1065" s="422"/>
      <c r="O1065" s="422"/>
      <c r="P1065" s="422"/>
      <c r="Q1065" s="422"/>
      <c r="R1065" s="422"/>
      <c r="S1065" s="422"/>
      <c r="T1065" s="501"/>
      <c r="U1065" s="422"/>
      <c r="V1065" s="422"/>
      <c r="W1065" s="422"/>
      <c r="X1065" s="422"/>
      <c r="Y1065" s="422"/>
      <c r="Z1065" s="422"/>
    </row>
    <row r="1066" ht="12.75" customHeight="1" spans="1:26">
      <c r="A1066" s="422"/>
      <c r="B1066" s="423"/>
      <c r="C1066" s="422"/>
      <c r="D1066" s="547"/>
      <c r="E1066" s="422"/>
      <c r="F1066" s="422"/>
      <c r="G1066" s="422"/>
      <c r="H1066" s="501"/>
      <c r="I1066" s="501"/>
      <c r="J1066" s="501"/>
      <c r="K1066" s="501"/>
      <c r="L1066" s="501">
        <f>'Orçamento Sintético'!J1048</f>
        <v>0</v>
      </c>
      <c r="M1066" s="422"/>
      <c r="N1066" s="422"/>
      <c r="O1066" s="422"/>
      <c r="P1066" s="422"/>
      <c r="Q1066" s="422"/>
      <c r="R1066" s="422"/>
      <c r="S1066" s="422"/>
      <c r="T1066" s="501"/>
      <c r="U1066" s="422"/>
      <c r="V1066" s="422"/>
      <c r="W1066" s="422"/>
      <c r="X1066" s="422"/>
      <c r="Y1066" s="422"/>
      <c r="Z1066" s="422"/>
    </row>
    <row r="1067" ht="12.75" customHeight="1" spans="1:26">
      <c r="A1067" s="422"/>
      <c r="B1067" s="423"/>
      <c r="C1067" s="422"/>
      <c r="D1067" s="547"/>
      <c r="E1067" s="422"/>
      <c r="F1067" s="422"/>
      <c r="G1067" s="422"/>
      <c r="H1067" s="501"/>
      <c r="I1067" s="501"/>
      <c r="J1067" s="501"/>
      <c r="K1067" s="501"/>
      <c r="L1067" s="555" t="e">
        <f>IF(L1066=L1064,"OK","DIF")</f>
        <v>#N/A</v>
      </c>
      <c r="M1067" s="422"/>
      <c r="N1067" s="422"/>
      <c r="O1067" s="422"/>
      <c r="P1067" s="422"/>
      <c r="Q1067" s="422"/>
      <c r="R1067" s="422"/>
      <c r="S1067" s="422"/>
      <c r="T1067" s="501"/>
      <c r="U1067" s="422"/>
      <c r="V1067" s="422"/>
      <c r="W1067" s="422"/>
      <c r="X1067" s="422"/>
      <c r="Y1067" s="422"/>
      <c r="Z1067" s="422"/>
    </row>
  </sheetData>
  <autoFilter xmlns:etc="http://www.wps.cn/officeDocument/2017/etCustomData" ref="A7:W1060" etc:filterBottomFollowUsedRange="0">
    <extLst/>
  </autoFilter>
  <mergeCells count="19">
    <mergeCell ref="C2:M2"/>
    <mergeCell ref="C3:F3"/>
    <mergeCell ref="G3:I3"/>
    <mergeCell ref="J3:M3"/>
    <mergeCell ref="C4:F4"/>
    <mergeCell ref="G4:I4"/>
    <mergeCell ref="J4:M4"/>
    <mergeCell ref="C5:F5"/>
    <mergeCell ref="L5:M5"/>
    <mergeCell ref="C6:F6"/>
    <mergeCell ref="L6:M6"/>
    <mergeCell ref="N6:U6"/>
    <mergeCell ref="C1062:E1062"/>
    <mergeCell ref="H1062:I1062"/>
    <mergeCell ref="C1063:E1063"/>
    <mergeCell ref="H1063:I1063"/>
    <mergeCell ref="C1064:E1064"/>
    <mergeCell ref="H1064:I1064"/>
    <mergeCell ref="C1065:M1065"/>
  </mergeCells>
  <printOptions horizontalCentered="1"/>
  <pageMargins left="0.511805555555556" right="0.511805555555556" top="0.511805555555556" bottom="0.7875" header="0" footer="0.511811023622047"/>
  <pageSetup paperSize="9" fitToHeight="0" orientation="landscape" horizontalDpi="300" verticalDpi="300"/>
  <headerFooter>
    <oddHeader>&amp;L </oddHeader>
  </headerFooter>
  <drawing r:id="rId2"/>
  <legacyDrawing r:id="rId3"/>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FF"/>
  </sheetPr>
  <dimension ref="A1:AB1003"/>
  <sheetViews>
    <sheetView zoomScale="50" zoomScaleNormal="50" workbookViewId="0">
      <selection activeCell="B1" sqref="B1:J1"/>
    </sheetView>
  </sheetViews>
  <sheetFormatPr defaultColWidth="12.625" defaultRowHeight="14.25"/>
  <cols>
    <col min="1" max="1" width="7.61666666666667" style="1" customWidth="1"/>
    <col min="2" max="2" width="7.25" style="1" customWidth="1"/>
    <col min="3" max="3" width="14.1166666666667" style="1" customWidth="1"/>
    <col min="4" max="4" width="62.3833333333333" style="1" customWidth="1"/>
    <col min="5" max="5" width="16.5" style="1" customWidth="1"/>
    <col min="6" max="6" width="14.75" style="1" customWidth="1"/>
    <col min="7" max="7" width="14.1166666666667" style="1" customWidth="1"/>
    <col min="8" max="8" width="12.25" style="1" customWidth="1"/>
    <col min="9" max="9" width="13.8833333333333" style="1" customWidth="1"/>
    <col min="10" max="10" width="14.5" style="1" customWidth="1"/>
    <col min="11" max="11" width="11" style="1" customWidth="1"/>
    <col min="12" max="26" width="7" style="1" customWidth="1"/>
  </cols>
  <sheetData>
    <row r="1" ht="101.25" customHeight="1" spans="1:28">
      <c r="A1" s="277"/>
      <c r="B1" s="61"/>
      <c r="C1" s="61"/>
      <c r="D1" s="61"/>
      <c r="E1" s="61"/>
      <c r="F1" s="61"/>
      <c r="G1" s="61"/>
      <c r="H1" s="61"/>
      <c r="I1" s="61"/>
      <c r="J1" s="61"/>
      <c r="K1" s="312">
        <v>0.1256</v>
      </c>
      <c r="L1" s="187"/>
      <c r="M1" s="96"/>
      <c r="N1" s="313" t="s">
        <v>6214</v>
      </c>
      <c r="O1" s="83"/>
      <c r="P1" s="83"/>
      <c r="Q1" s="83"/>
      <c r="R1" s="83"/>
      <c r="S1" s="83"/>
      <c r="T1" s="83"/>
      <c r="U1" s="83"/>
      <c r="V1" s="83"/>
      <c r="W1" s="83"/>
      <c r="X1" s="83"/>
      <c r="Y1" s="83"/>
      <c r="Z1" s="83"/>
      <c r="AA1" s="328"/>
      <c r="AB1" s="328"/>
    </row>
    <row r="2" ht="19.5" customHeight="1" spans="1:28">
      <c r="A2" s="278"/>
      <c r="B2" s="62" t="s">
        <v>6215</v>
      </c>
      <c r="C2" s="62"/>
      <c r="D2" s="62"/>
      <c r="E2" s="62"/>
      <c r="F2" s="62"/>
      <c r="G2" s="62"/>
      <c r="H2" s="62"/>
      <c r="I2" s="62"/>
      <c r="J2" s="62"/>
      <c r="K2" s="187"/>
      <c r="L2" s="187"/>
      <c r="M2" s="96"/>
      <c r="N2" s="83"/>
      <c r="O2" s="83"/>
      <c r="P2" s="83"/>
      <c r="Q2" s="83"/>
      <c r="R2" s="83"/>
      <c r="S2" s="83"/>
      <c r="T2" s="83"/>
      <c r="U2" s="83"/>
      <c r="V2" s="83"/>
      <c r="W2" s="83"/>
      <c r="X2" s="83"/>
      <c r="Y2" s="83"/>
      <c r="Z2" s="83"/>
      <c r="AA2" s="328"/>
      <c r="AB2" s="328"/>
    </row>
    <row r="3" ht="19.5" customHeight="1" spans="1:28">
      <c r="A3" s="279"/>
      <c r="B3" s="63" t="s">
        <v>1</v>
      </c>
      <c r="C3" s="63"/>
      <c r="D3" s="63"/>
      <c r="E3" s="63"/>
      <c r="F3" s="64" t="s">
        <v>2</v>
      </c>
      <c r="G3" s="64"/>
      <c r="H3" s="64"/>
      <c r="I3" s="135" t="s">
        <v>3</v>
      </c>
      <c r="J3" s="135"/>
      <c r="K3" s="187"/>
      <c r="L3" s="187"/>
      <c r="M3" s="96"/>
      <c r="N3" s="84"/>
      <c r="O3" s="84"/>
      <c r="P3" s="84"/>
      <c r="Q3" s="84"/>
      <c r="R3" s="84"/>
      <c r="S3" s="84"/>
      <c r="T3" s="84"/>
      <c r="U3" s="84"/>
      <c r="V3" s="84"/>
      <c r="W3" s="84"/>
      <c r="X3" s="93"/>
      <c r="Y3" s="83"/>
      <c r="Z3" s="83"/>
      <c r="AA3" s="328"/>
      <c r="AB3" s="328"/>
    </row>
    <row r="4" ht="19.5" customHeight="1" spans="1:28">
      <c r="A4" s="279"/>
      <c r="B4" s="66" t="s">
        <v>4</v>
      </c>
      <c r="C4" s="66"/>
      <c r="D4" s="66"/>
      <c r="E4" s="66"/>
      <c r="F4" s="280" t="s">
        <v>5</v>
      </c>
      <c r="G4" s="280"/>
      <c r="H4" s="280"/>
      <c r="I4" s="136" t="s">
        <v>6</v>
      </c>
      <c r="J4" s="136"/>
      <c r="L4" s="314" t="s">
        <v>6216</v>
      </c>
      <c r="M4" s="96">
        <v>1.0439</v>
      </c>
      <c r="N4" s="86"/>
      <c r="O4" s="86"/>
      <c r="P4" s="86"/>
      <c r="Q4" s="86"/>
      <c r="R4" s="86"/>
      <c r="S4" s="86"/>
      <c r="T4" s="86"/>
      <c r="U4" s="86"/>
      <c r="V4" s="86"/>
      <c r="W4" s="86"/>
      <c r="X4" s="94"/>
      <c r="Y4" s="83"/>
      <c r="Z4" s="83"/>
      <c r="AA4" s="328"/>
      <c r="AB4" s="328"/>
    </row>
    <row r="5" ht="19.5" customHeight="1" spans="1:28">
      <c r="A5" s="279"/>
      <c r="B5" s="66" t="s">
        <v>7</v>
      </c>
      <c r="C5" s="66"/>
      <c r="D5" s="66"/>
      <c r="E5" s="66"/>
      <c r="F5" s="62" t="s">
        <v>8</v>
      </c>
      <c r="G5" s="62" t="s">
        <v>9</v>
      </c>
      <c r="H5" s="62" t="s">
        <v>10</v>
      </c>
      <c r="I5" s="62" t="s">
        <v>11</v>
      </c>
      <c r="J5" s="62" t="s">
        <v>12</v>
      </c>
      <c r="K5" s="187"/>
      <c r="L5" s="187"/>
      <c r="M5" s="96"/>
      <c r="N5" s="88"/>
      <c r="O5" s="88"/>
      <c r="P5" s="88"/>
      <c r="Q5" s="88"/>
      <c r="R5" s="88"/>
      <c r="S5" s="84"/>
      <c r="T5" s="84"/>
      <c r="U5" s="84"/>
      <c r="V5" s="84"/>
      <c r="W5" s="84"/>
      <c r="X5" s="84"/>
      <c r="Y5" s="83"/>
      <c r="Z5" s="83"/>
      <c r="AA5" s="328"/>
      <c r="AB5" s="328"/>
    </row>
    <row r="6" ht="45" customHeight="1" spans="1:28">
      <c r="A6" s="281"/>
      <c r="B6" s="70" t="s">
        <v>6217</v>
      </c>
      <c r="C6" s="70"/>
      <c r="D6" s="70"/>
      <c r="E6" s="70"/>
      <c r="F6" s="138">
        <f>'Orçamento Analitico'!H6</f>
        <v>0.2549</v>
      </c>
      <c r="G6" s="138">
        <f>'Orçamento Analitico'!I6</f>
        <v>0.1612</v>
      </c>
      <c r="H6" s="73"/>
      <c r="I6" s="73">
        <f>'Orçamento Analitico'!K6</f>
        <v>45931</v>
      </c>
      <c r="J6" s="315" t="str">
        <f>'Orçamento Analitico'!L6</f>
        <v>R21</v>
      </c>
      <c r="K6" s="187"/>
      <c r="L6" s="187"/>
      <c r="M6" s="96"/>
      <c r="N6" s="88"/>
      <c r="O6" s="316">
        <v>35</v>
      </c>
      <c r="P6" s="88"/>
      <c r="Q6" s="88"/>
      <c r="R6" s="88"/>
      <c r="S6" s="95"/>
      <c r="T6" s="95"/>
      <c r="U6" s="96"/>
      <c r="V6" s="96"/>
      <c r="W6" s="97"/>
      <c r="X6" s="95"/>
      <c r="Y6" s="83"/>
      <c r="Z6" s="83"/>
      <c r="AA6" s="328"/>
      <c r="AB6" s="328"/>
    </row>
    <row r="7" ht="48" spans="1:28">
      <c r="A7" s="282" t="s">
        <v>6218</v>
      </c>
      <c r="B7" s="283" t="s">
        <v>15</v>
      </c>
      <c r="C7" s="284" t="s">
        <v>6219</v>
      </c>
      <c r="D7" s="284" t="s">
        <v>6220</v>
      </c>
      <c r="E7" s="284" t="s">
        <v>6221</v>
      </c>
      <c r="F7" s="284" t="s">
        <v>6222</v>
      </c>
      <c r="G7" s="284" t="s">
        <v>6223</v>
      </c>
      <c r="H7" s="284" t="s">
        <v>6224</v>
      </c>
      <c r="I7" s="284" t="s">
        <v>6225</v>
      </c>
      <c r="J7" s="317" t="s">
        <v>6226</v>
      </c>
      <c r="K7" s="318" t="s">
        <v>6227</v>
      </c>
      <c r="L7" s="319" t="s">
        <v>6228</v>
      </c>
      <c r="M7" s="319" t="s">
        <v>6229</v>
      </c>
      <c r="N7" s="320" t="s">
        <v>6230</v>
      </c>
      <c r="O7" s="321">
        <v>172</v>
      </c>
      <c r="P7" s="321"/>
      <c r="Q7" s="321"/>
      <c r="R7" s="321"/>
      <c r="S7" s="321"/>
      <c r="T7" s="321"/>
      <c r="U7" s="321"/>
      <c r="V7" s="321"/>
      <c r="W7" s="321"/>
      <c r="X7" s="321"/>
      <c r="Y7" s="83"/>
      <c r="Z7" s="83"/>
      <c r="AA7" s="328"/>
      <c r="AB7" s="328"/>
    </row>
    <row r="8" ht="24" spans="1:28">
      <c r="A8" s="285" t="e">
        <f>VLOOKUP(D8,'[2]2024 - Curva ABC de Insumos'!$E$6:$R$172,14,FALSE())</f>
        <v>#N/A</v>
      </c>
      <c r="B8" s="286" t="s">
        <v>678</v>
      </c>
      <c r="C8" s="287" t="s">
        <v>3547</v>
      </c>
      <c r="D8" s="288" t="e">
        <f>VLOOKUP(C8,'[2]2024 - Curva ABC de Insumos'!B6:E172,4,FALSE())</f>
        <v>#N/A</v>
      </c>
      <c r="E8" s="289" t="s">
        <v>6231</v>
      </c>
      <c r="F8" s="290" t="s">
        <v>6232</v>
      </c>
      <c r="G8" s="290" t="s">
        <v>6233</v>
      </c>
      <c r="H8" s="290"/>
      <c r="I8" s="290"/>
      <c r="J8" s="322">
        <f>SMALL(E9:I9,1)</f>
        <v>609.83</v>
      </c>
      <c r="K8" s="187"/>
      <c r="L8" s="187" t="e">
        <f>VLOOKUP(B8,[3]CPUs!D:L,9,FALSE())</f>
        <v>#N/A</v>
      </c>
      <c r="M8" s="96" t="e">
        <f>IF(J8=L8,"OK","DIF")</f>
        <v>#N/A</v>
      </c>
      <c r="N8" s="323" t="s">
        <v>6234</v>
      </c>
      <c r="O8" s="324" t="s">
        <v>6235</v>
      </c>
      <c r="P8" s="279"/>
      <c r="Q8" s="279"/>
      <c r="R8" s="324"/>
      <c r="S8" s="324"/>
      <c r="T8" s="324"/>
      <c r="U8" s="324"/>
      <c r="V8" s="324"/>
      <c r="W8" s="279"/>
      <c r="X8" s="279"/>
      <c r="Y8" s="83"/>
      <c r="Z8" s="83"/>
      <c r="AA8" s="328"/>
      <c r="AB8" s="328"/>
    </row>
    <row r="9" ht="15" spans="1:28">
      <c r="A9" s="285"/>
      <c r="B9" s="291"/>
      <c r="C9" s="292"/>
      <c r="D9" s="293" t="s">
        <v>6236</v>
      </c>
      <c r="E9" s="294">
        <f>ROUNDDOWN(3999.98/(2.2*2.4),2)</f>
        <v>757.57</v>
      </c>
      <c r="F9" s="295">
        <v>609.83</v>
      </c>
      <c r="G9" s="295">
        <v>1268.17</v>
      </c>
      <c r="H9" s="295"/>
      <c r="I9" s="295"/>
      <c r="J9" s="325"/>
      <c r="K9" s="187" t="str">
        <f>IF(A9="c",$M$4*J9,"")</f>
        <v/>
      </c>
      <c r="L9" s="83"/>
      <c r="M9" s="96"/>
      <c r="N9" s="326"/>
      <c r="O9" s="324"/>
      <c r="P9" s="279"/>
      <c r="Q9" s="279"/>
      <c r="R9" s="324"/>
      <c r="S9" s="324"/>
      <c r="T9" s="324"/>
      <c r="U9" s="324"/>
      <c r="V9" s="324"/>
      <c r="W9" s="279"/>
      <c r="X9" s="279"/>
      <c r="Y9" s="83"/>
      <c r="Z9" s="83"/>
      <c r="AA9" s="328"/>
      <c r="AB9" s="328"/>
    </row>
    <row r="10" ht="171" spans="1:28">
      <c r="A10" s="285"/>
      <c r="B10" s="291"/>
      <c r="C10" s="292"/>
      <c r="D10" s="293" t="s">
        <v>6237</v>
      </c>
      <c r="E10" s="296" t="s">
        <v>6238</v>
      </c>
      <c r="F10" s="296" t="s">
        <v>6239</v>
      </c>
      <c r="G10" s="296" t="s">
        <v>6240</v>
      </c>
      <c r="H10" s="296"/>
      <c r="I10" s="302"/>
      <c r="J10" s="325"/>
      <c r="K10" s="187" t="str">
        <f>IF(A10="c",$M$4*J10,"")</f>
        <v/>
      </c>
      <c r="L10" s="83"/>
      <c r="M10" s="96"/>
      <c r="N10" s="326"/>
      <c r="O10" s="324"/>
      <c r="P10" s="279"/>
      <c r="Q10" s="279"/>
      <c r="R10" s="324"/>
      <c r="S10" s="324"/>
      <c r="T10" s="324"/>
      <c r="U10" s="324"/>
      <c r="V10" s="324"/>
      <c r="W10" s="279"/>
      <c r="X10" s="279"/>
      <c r="Y10" s="83"/>
      <c r="Z10" s="83"/>
      <c r="AA10" s="328"/>
      <c r="AB10" s="328"/>
    </row>
    <row r="11" spans="1:28">
      <c r="A11" s="285"/>
      <c r="B11" s="297"/>
      <c r="C11" s="298"/>
      <c r="D11" s="298"/>
      <c r="E11" s="298"/>
      <c r="F11" s="299"/>
      <c r="G11" s="299"/>
      <c r="H11" s="299"/>
      <c r="I11" s="299"/>
      <c r="J11" s="327"/>
      <c r="K11" s="187" t="str">
        <f>IF(A11="c",$M$4*J11,"")</f>
        <v/>
      </c>
      <c r="L11" s="328"/>
      <c r="M11" s="329"/>
      <c r="N11" s="328"/>
      <c r="O11" s="328"/>
      <c r="P11" s="328"/>
      <c r="Q11" s="328"/>
      <c r="R11" s="328"/>
      <c r="S11" s="328"/>
      <c r="T11" s="328"/>
      <c r="U11" s="328"/>
      <c r="V11" s="328"/>
      <c r="W11" s="328"/>
      <c r="X11" s="328"/>
      <c r="Y11" s="328"/>
      <c r="Z11" s="328"/>
      <c r="AA11" s="328"/>
      <c r="AB11" s="328"/>
    </row>
    <row r="12" spans="1:28">
      <c r="A12" s="285" t="str">
        <f>VLOOKUP(D12,'[2]2024 - Curva ABC de Insumos'!$E$6:$R$172,14,FALSE())</f>
        <v>C</v>
      </c>
      <c r="B12" s="300" t="s">
        <v>764</v>
      </c>
      <c r="C12" s="287" t="s">
        <v>3640</v>
      </c>
      <c r="D12" s="288" t="s">
        <v>3641</v>
      </c>
      <c r="E12" s="289" t="s">
        <v>6241</v>
      </c>
      <c r="F12" s="290" t="s">
        <v>6242</v>
      </c>
      <c r="G12" s="290" t="s">
        <v>6243</v>
      </c>
      <c r="H12" s="290"/>
      <c r="I12" s="290"/>
      <c r="J12" s="322">
        <f>SMALL(E13:I13,1)</f>
        <v>63.87</v>
      </c>
      <c r="K12" s="187"/>
      <c r="L12" s="187" t="e">
        <f>VLOOKUP(B12,[3]CPUs!D:L,9,FALSE())</f>
        <v>#N/A</v>
      </c>
      <c r="M12" s="96" t="e">
        <f>IF(J12=L12,"OK","DIF")</f>
        <v>#N/A</v>
      </c>
      <c r="N12" s="326" t="s">
        <v>6244</v>
      </c>
      <c r="O12" s="324"/>
      <c r="P12" s="279"/>
      <c r="Q12" s="279"/>
      <c r="R12" s="324"/>
      <c r="S12" s="324"/>
      <c r="T12" s="324"/>
      <c r="U12" s="324"/>
      <c r="V12" s="324"/>
      <c r="W12" s="279"/>
      <c r="X12" s="279"/>
      <c r="Y12" s="83"/>
      <c r="Z12" s="83"/>
      <c r="AA12" s="328"/>
      <c r="AB12" s="328"/>
    </row>
    <row r="13" ht="15" spans="1:28">
      <c r="A13" s="285"/>
      <c r="B13" s="291"/>
      <c r="C13" s="292"/>
      <c r="D13" s="293" t="s">
        <v>6236</v>
      </c>
      <c r="E13" s="294">
        <v>90.75</v>
      </c>
      <c r="F13" s="295">
        <v>63.87</v>
      </c>
      <c r="G13" s="295">
        <v>127.06</v>
      </c>
      <c r="H13" s="295"/>
      <c r="I13" s="295"/>
      <c r="J13" s="325"/>
      <c r="K13" s="187" t="str">
        <f>IF(A13="c",$M$4*J13,"")</f>
        <v/>
      </c>
      <c r="L13" s="187"/>
      <c r="M13" s="96"/>
      <c r="N13" s="326"/>
      <c r="O13" s="324"/>
      <c r="P13" s="279"/>
      <c r="Q13" s="279"/>
      <c r="R13" s="324"/>
      <c r="S13" s="324"/>
      <c r="T13" s="324"/>
      <c r="U13" s="324"/>
      <c r="V13" s="324"/>
      <c r="W13" s="279"/>
      <c r="X13" s="279"/>
      <c r="Y13" s="83"/>
      <c r="Z13" s="83"/>
      <c r="AA13" s="328"/>
      <c r="AB13" s="328"/>
    </row>
    <row r="14" ht="225" spans="1:28">
      <c r="A14" s="285"/>
      <c r="B14" s="291"/>
      <c r="C14" s="292"/>
      <c r="D14" s="293" t="s">
        <v>6237</v>
      </c>
      <c r="E14" s="301" t="s">
        <v>6245</v>
      </c>
      <c r="F14" s="301" t="s">
        <v>6246</v>
      </c>
      <c r="G14" s="301" t="s">
        <v>6247</v>
      </c>
      <c r="H14" s="302"/>
      <c r="I14" s="302"/>
      <c r="J14" s="325"/>
      <c r="K14" s="187" t="str">
        <f>IF(A14="c",$M$4*J14,"")</f>
        <v/>
      </c>
      <c r="L14" s="187"/>
      <c r="M14" s="96"/>
      <c r="N14" s="326"/>
      <c r="O14" s="324"/>
      <c r="P14" s="279"/>
      <c r="Q14" s="279"/>
      <c r="R14" s="324"/>
      <c r="S14" s="324"/>
      <c r="T14" s="324"/>
      <c r="U14" s="324"/>
      <c r="V14" s="324"/>
      <c r="W14" s="279"/>
      <c r="X14" s="279"/>
      <c r="Y14" s="83"/>
      <c r="Z14" s="83"/>
      <c r="AA14" s="328"/>
      <c r="AB14" s="328"/>
    </row>
    <row r="15" spans="1:28">
      <c r="A15" s="285"/>
      <c r="B15" s="297"/>
      <c r="C15" s="298"/>
      <c r="D15" s="298"/>
      <c r="E15" s="298"/>
      <c r="F15" s="299"/>
      <c r="G15" s="299"/>
      <c r="H15" s="299"/>
      <c r="I15" s="299"/>
      <c r="J15" s="327"/>
      <c r="K15" s="187" t="str">
        <f>IF(A15="c",$M$4*J15,"")</f>
        <v/>
      </c>
      <c r="L15" s="328"/>
      <c r="M15" s="329"/>
      <c r="N15" s="328"/>
      <c r="O15" s="328"/>
      <c r="P15" s="328"/>
      <c r="Q15" s="328"/>
      <c r="R15" s="328"/>
      <c r="S15" s="328"/>
      <c r="T15" s="328"/>
      <c r="U15" s="328"/>
      <c r="V15" s="328"/>
      <c r="W15" s="328"/>
      <c r="X15" s="328"/>
      <c r="Y15" s="328"/>
      <c r="Z15" s="328"/>
      <c r="AA15" s="328"/>
      <c r="AB15" s="328"/>
    </row>
    <row r="16" ht="48" spans="1:28">
      <c r="A16" s="303" t="str">
        <f>VLOOKUP(D16,'[2]2024 - Curva ABC de Insumos'!$E$6:$R$172,14,FALSE())</f>
        <v>A</v>
      </c>
      <c r="B16" s="300" t="s">
        <v>801</v>
      </c>
      <c r="C16" s="287" t="s">
        <v>3683</v>
      </c>
      <c r="D16" s="288" t="s">
        <v>3684</v>
      </c>
      <c r="E16" s="289" t="s">
        <v>6248</v>
      </c>
      <c r="F16" s="290" t="s">
        <v>6249</v>
      </c>
      <c r="G16" s="290"/>
      <c r="H16" s="290"/>
      <c r="I16" s="290"/>
      <c r="J16" s="322">
        <f>SMALL(E17:I17,1)</f>
        <v>46620</v>
      </c>
      <c r="K16" s="330"/>
      <c r="L16" s="187" t="e">
        <f>VLOOKUP(B16,[3]CPUs!D:L,9,FALSE())</f>
        <v>#N/A</v>
      </c>
      <c r="M16" s="96" t="e">
        <f>IF(J16=L16,"OK","DIF")</f>
        <v>#N/A</v>
      </c>
      <c r="N16" s="326" t="s">
        <v>6244</v>
      </c>
      <c r="O16" s="324"/>
      <c r="P16" s="279"/>
      <c r="Q16" s="279"/>
      <c r="R16" s="324"/>
      <c r="S16" s="324"/>
      <c r="T16" s="324"/>
      <c r="U16" s="324"/>
      <c r="V16" s="324"/>
      <c r="W16" s="279"/>
      <c r="X16" s="279"/>
      <c r="Y16" s="83"/>
      <c r="Z16" s="83"/>
      <c r="AA16" s="328"/>
      <c r="AB16" s="328"/>
    </row>
    <row r="17" ht="15" spans="1:28">
      <c r="A17" s="303"/>
      <c r="B17" s="291"/>
      <c r="C17" s="292"/>
      <c r="D17" s="293" t="s">
        <v>6236</v>
      </c>
      <c r="E17" s="294">
        <v>64000</v>
      </c>
      <c r="F17" s="295">
        <v>46620</v>
      </c>
      <c r="G17" s="295"/>
      <c r="H17" s="295"/>
      <c r="I17" s="295"/>
      <c r="J17" s="325"/>
      <c r="K17" s="187" t="str">
        <f>IF(A17="c",$M$4*J17,"")</f>
        <v/>
      </c>
      <c r="L17" s="83"/>
      <c r="M17" s="96"/>
      <c r="N17" s="326"/>
      <c r="O17" s="324"/>
      <c r="P17" s="279"/>
      <c r="Q17" s="279"/>
      <c r="R17" s="324"/>
      <c r="S17" s="324"/>
      <c r="T17" s="324"/>
      <c r="U17" s="324"/>
      <c r="V17" s="324"/>
      <c r="W17" s="279"/>
      <c r="X17" s="279"/>
      <c r="Y17" s="83"/>
      <c r="Z17" s="83"/>
      <c r="AA17" s="328"/>
      <c r="AB17" s="328"/>
    </row>
    <row r="18" ht="28.5" spans="1:28">
      <c r="A18" s="303"/>
      <c r="B18" s="291"/>
      <c r="C18" s="292"/>
      <c r="D18" s="293" t="s">
        <v>6237</v>
      </c>
      <c r="E18" s="296" t="s">
        <v>6250</v>
      </c>
      <c r="F18" s="296" t="s">
        <v>6250</v>
      </c>
      <c r="G18" s="296"/>
      <c r="H18" s="302"/>
      <c r="I18" s="302"/>
      <c r="J18" s="325"/>
      <c r="K18" s="187" t="str">
        <f>IF(A18="c",$M$4*J18,"")</f>
        <v/>
      </c>
      <c r="L18" s="83"/>
      <c r="M18" s="96"/>
      <c r="N18" s="326"/>
      <c r="O18" s="324"/>
      <c r="P18" s="279"/>
      <c r="Q18" s="279"/>
      <c r="R18" s="324"/>
      <c r="S18" s="324"/>
      <c r="T18" s="324"/>
      <c r="U18" s="324"/>
      <c r="V18" s="324"/>
      <c r="W18" s="279"/>
      <c r="X18" s="279"/>
      <c r="Y18" s="83"/>
      <c r="Z18" s="83"/>
      <c r="AA18" s="328"/>
      <c r="AB18" s="328"/>
    </row>
    <row r="19" ht="52.2" customHeight="1" spans="1:28">
      <c r="A19" s="303"/>
      <c r="B19" s="291"/>
      <c r="C19" s="292"/>
      <c r="D19" s="293" t="s">
        <v>6251</v>
      </c>
      <c r="E19" s="304" t="s">
        <v>6252</v>
      </c>
      <c r="F19" s="304"/>
      <c r="G19" s="304"/>
      <c r="H19" s="304"/>
      <c r="I19" s="304"/>
      <c r="J19" s="304"/>
      <c r="K19" s="187" t="str">
        <f>IF(A19="c",$M$4*J19,"")</f>
        <v/>
      </c>
      <c r="L19" s="83"/>
      <c r="M19" s="96"/>
      <c r="N19" s="326"/>
      <c r="O19" s="324"/>
      <c r="P19" s="279"/>
      <c r="Q19" s="279"/>
      <c r="R19" s="324"/>
      <c r="S19" s="324"/>
      <c r="T19" s="324"/>
      <c r="U19" s="324"/>
      <c r="V19" s="324"/>
      <c r="W19" s="279"/>
      <c r="X19" s="279"/>
      <c r="Y19" s="83"/>
      <c r="Z19" s="83"/>
      <c r="AA19" s="328"/>
      <c r="AB19" s="328"/>
    </row>
    <row r="20" spans="1:28">
      <c r="A20" s="303"/>
      <c r="B20" s="297"/>
      <c r="C20" s="298"/>
      <c r="D20" s="298"/>
      <c r="E20" s="298"/>
      <c r="F20" s="299"/>
      <c r="G20" s="299"/>
      <c r="H20" s="299"/>
      <c r="I20" s="299"/>
      <c r="J20" s="327"/>
      <c r="K20" s="187" t="str">
        <f>IF(A20="c",$M$4*J20,"")</f>
        <v/>
      </c>
      <c r="L20" s="328"/>
      <c r="M20" s="329"/>
      <c r="N20" s="328"/>
      <c r="O20" s="328"/>
      <c r="P20" s="328"/>
      <c r="Q20" s="328"/>
      <c r="R20" s="328"/>
      <c r="S20" s="328"/>
      <c r="T20" s="328"/>
      <c r="U20" s="328"/>
      <c r="V20" s="328"/>
      <c r="W20" s="328"/>
      <c r="X20" s="328"/>
      <c r="Y20" s="328"/>
      <c r="Z20" s="328"/>
      <c r="AA20" s="328"/>
      <c r="AB20" s="328"/>
    </row>
    <row r="21" ht="48" spans="1:28">
      <c r="A21" s="285" t="str">
        <f>VLOOKUP(D21,'[2]2024 - Curva ABC de Insumos'!$E$6:$R$172,14,FALSE())</f>
        <v>C</v>
      </c>
      <c r="B21" s="300" t="s">
        <v>801</v>
      </c>
      <c r="C21" s="287" t="s">
        <v>3685</v>
      </c>
      <c r="D21" s="288" t="s">
        <v>3686</v>
      </c>
      <c r="E21" s="289" t="s">
        <v>6248</v>
      </c>
      <c r="F21" s="290" t="s">
        <v>6249</v>
      </c>
      <c r="G21" s="290"/>
      <c r="H21" s="290"/>
      <c r="I21" s="290"/>
      <c r="J21" s="322">
        <f>SMALL(E22:I22,1)</f>
        <v>844</v>
      </c>
      <c r="K21" s="187"/>
      <c r="L21" s="187" t="e">
        <f>VLOOKUP(B21,[3]CPUs!D:L,9,FALSE())</f>
        <v>#N/A</v>
      </c>
      <c r="M21" s="96" t="e">
        <f>IF(J21=L21,"OK","DIF")</f>
        <v>#N/A</v>
      </c>
      <c r="N21" s="326" t="s">
        <v>6244</v>
      </c>
      <c r="O21" s="324" t="s">
        <v>6253</v>
      </c>
      <c r="P21" s="279"/>
      <c r="Q21" s="279"/>
      <c r="R21" s="324"/>
      <c r="S21" s="324"/>
      <c r="T21" s="324"/>
      <c r="U21" s="324"/>
      <c r="V21" s="324"/>
      <c r="W21" s="279"/>
      <c r="X21" s="279"/>
      <c r="Y21" s="83"/>
      <c r="Z21" s="83"/>
      <c r="AA21" s="328"/>
      <c r="AB21" s="328"/>
    </row>
    <row r="22" ht="15" spans="1:28">
      <c r="A22" s="285"/>
      <c r="B22" s="291"/>
      <c r="C22" s="292"/>
      <c r="D22" s="293" t="s">
        <v>6236</v>
      </c>
      <c r="E22" s="294">
        <v>1299</v>
      </c>
      <c r="F22" s="295">
        <v>844</v>
      </c>
      <c r="G22" s="295"/>
      <c r="H22" s="295"/>
      <c r="I22" s="295"/>
      <c r="J22" s="325"/>
      <c r="K22" s="187" t="str">
        <f>IF(A22="c",$M$4*J22,"")</f>
        <v/>
      </c>
      <c r="L22" s="83"/>
      <c r="M22" s="96"/>
      <c r="N22" s="326"/>
      <c r="O22" s="324"/>
      <c r="P22" s="279"/>
      <c r="Q22" s="279"/>
      <c r="R22" s="324"/>
      <c r="S22" s="324"/>
      <c r="T22" s="324"/>
      <c r="U22" s="324"/>
      <c r="V22" s="324"/>
      <c r="W22" s="279"/>
      <c r="X22" s="279"/>
      <c r="Y22" s="83"/>
      <c r="Z22" s="83"/>
      <c r="AA22" s="328"/>
      <c r="AB22" s="328"/>
    </row>
    <row r="23" ht="28.5" spans="1:28">
      <c r="A23" s="285"/>
      <c r="B23" s="291"/>
      <c r="C23" s="292"/>
      <c r="D23" s="293" t="s">
        <v>6237</v>
      </c>
      <c r="E23" s="296" t="s">
        <v>6250</v>
      </c>
      <c r="F23" s="296" t="s">
        <v>6250</v>
      </c>
      <c r="G23" s="296"/>
      <c r="H23" s="302"/>
      <c r="I23" s="302"/>
      <c r="J23" s="325"/>
      <c r="K23" s="187" t="str">
        <f>IF(A23="c",$M$4*J23,"")</f>
        <v/>
      </c>
      <c r="L23" s="83"/>
      <c r="M23" s="96"/>
      <c r="N23" s="326"/>
      <c r="O23" s="324"/>
      <c r="P23" s="279"/>
      <c r="Q23" s="279"/>
      <c r="R23" s="324"/>
      <c r="S23" s="324"/>
      <c r="T23" s="324"/>
      <c r="U23" s="324"/>
      <c r="V23" s="324"/>
      <c r="W23" s="279"/>
      <c r="X23" s="279"/>
      <c r="Y23" s="83"/>
      <c r="Z23" s="83"/>
      <c r="AA23" s="328"/>
      <c r="AB23" s="328"/>
    </row>
    <row r="24" ht="52.2" customHeight="1" spans="1:28">
      <c r="A24" s="285"/>
      <c r="B24" s="291"/>
      <c r="C24" s="292"/>
      <c r="D24" s="293" t="s">
        <v>6251</v>
      </c>
      <c r="E24" s="304" t="s">
        <v>6252</v>
      </c>
      <c r="F24" s="304"/>
      <c r="G24" s="304"/>
      <c r="H24" s="304"/>
      <c r="I24" s="304"/>
      <c r="J24" s="304"/>
      <c r="K24" s="187" t="str">
        <f>IF(A24="c",$M$4*J24,"")</f>
        <v/>
      </c>
      <c r="L24" s="83"/>
      <c r="M24" s="96"/>
      <c r="N24" s="326"/>
      <c r="O24" s="324"/>
      <c r="P24" s="279"/>
      <c r="Q24" s="279"/>
      <c r="R24" s="324"/>
      <c r="S24" s="324"/>
      <c r="T24" s="324"/>
      <c r="U24" s="324"/>
      <c r="V24" s="324"/>
      <c r="W24" s="279"/>
      <c r="X24" s="279"/>
      <c r="Y24" s="83"/>
      <c r="Z24" s="83"/>
      <c r="AA24" s="328"/>
      <c r="AB24" s="328"/>
    </row>
    <row r="25" spans="1:28">
      <c r="A25" s="285"/>
      <c r="B25" s="297"/>
      <c r="C25" s="298"/>
      <c r="D25" s="298"/>
      <c r="E25" s="298"/>
      <c r="F25" s="299"/>
      <c r="G25" s="299"/>
      <c r="H25" s="299"/>
      <c r="I25" s="299"/>
      <c r="J25" s="327"/>
      <c r="K25" s="187" t="str">
        <f>IF(A25="c",$M$4*J25,"")</f>
        <v/>
      </c>
      <c r="L25" s="328"/>
      <c r="M25" s="329"/>
      <c r="N25" s="328"/>
      <c r="O25" s="328"/>
      <c r="P25" s="328"/>
      <c r="Q25" s="328"/>
      <c r="R25" s="328"/>
      <c r="S25" s="328"/>
      <c r="T25" s="328"/>
      <c r="U25" s="328"/>
      <c r="V25" s="328"/>
      <c r="W25" s="328"/>
      <c r="X25" s="328"/>
      <c r="Y25" s="328"/>
      <c r="Z25" s="328"/>
      <c r="AA25" s="328"/>
      <c r="AB25" s="328"/>
    </row>
    <row r="26" ht="48" spans="1:28">
      <c r="A26" s="285" t="str">
        <f>VLOOKUP(D26,'[2]2024 - Curva ABC de Insumos'!$E$6:$R$172,14,FALSE())</f>
        <v>C</v>
      </c>
      <c r="B26" s="300" t="s">
        <v>801</v>
      </c>
      <c r="C26" s="287" t="s">
        <v>3681</v>
      </c>
      <c r="D26" s="288" t="s">
        <v>3682</v>
      </c>
      <c r="E26" s="289" t="s">
        <v>6248</v>
      </c>
      <c r="F26" s="290" t="s">
        <v>6249</v>
      </c>
      <c r="G26" s="290"/>
      <c r="H26" s="290"/>
      <c r="I26" s="290"/>
      <c r="J26" s="322">
        <f>SMALL(E27:I27,1)</f>
        <v>4199</v>
      </c>
      <c r="K26" s="187"/>
      <c r="L26" s="187" t="e">
        <f>VLOOKUP(B26,[3]CPUs!D:L,9,FALSE())</f>
        <v>#N/A</v>
      </c>
      <c r="M26" s="96" t="e">
        <f>IF(J26=L26,"OK","DIF")</f>
        <v>#N/A</v>
      </c>
      <c r="N26" s="326" t="s">
        <v>6244</v>
      </c>
      <c r="O26" s="324" t="s">
        <v>6253</v>
      </c>
      <c r="P26" s="279"/>
      <c r="Q26" s="279"/>
      <c r="R26" s="324"/>
      <c r="S26" s="324"/>
      <c r="T26" s="324"/>
      <c r="U26" s="324"/>
      <c r="V26" s="324"/>
      <c r="W26" s="279"/>
      <c r="X26" s="279"/>
      <c r="Y26" s="83"/>
      <c r="Z26" s="83"/>
      <c r="AA26" s="328"/>
      <c r="AB26" s="328"/>
    </row>
    <row r="27" ht="15" spans="1:28">
      <c r="A27" s="285"/>
      <c r="B27" s="291"/>
      <c r="C27" s="292"/>
      <c r="D27" s="293" t="s">
        <v>6236</v>
      </c>
      <c r="E27" s="294">
        <v>4199</v>
      </c>
      <c r="F27" s="295">
        <v>4573</v>
      </c>
      <c r="G27" s="295"/>
      <c r="H27" s="295"/>
      <c r="I27" s="295"/>
      <c r="J27" s="325"/>
      <c r="K27" s="187" t="str">
        <f>IF(A27="c",$M$4*J27,"")</f>
        <v/>
      </c>
      <c r="L27" s="83"/>
      <c r="M27" s="96"/>
      <c r="N27" s="326"/>
      <c r="O27" s="324"/>
      <c r="P27" s="279"/>
      <c r="Q27" s="279"/>
      <c r="R27" s="324"/>
      <c r="S27" s="324"/>
      <c r="T27" s="324"/>
      <c r="U27" s="324"/>
      <c r="V27" s="324"/>
      <c r="W27" s="279"/>
      <c r="X27" s="279"/>
      <c r="Y27" s="83"/>
      <c r="Z27" s="83"/>
      <c r="AA27" s="328"/>
      <c r="AB27" s="328"/>
    </row>
    <row r="28" ht="28.5" spans="1:28">
      <c r="A28" s="285"/>
      <c r="B28" s="291"/>
      <c r="C28" s="292"/>
      <c r="D28" s="293" t="s">
        <v>6237</v>
      </c>
      <c r="E28" s="296" t="s">
        <v>6250</v>
      </c>
      <c r="F28" s="296" t="s">
        <v>6250</v>
      </c>
      <c r="G28" s="296"/>
      <c r="H28" s="302"/>
      <c r="I28" s="302"/>
      <c r="J28" s="325"/>
      <c r="K28" s="187" t="str">
        <f>IF(A28="c",$M$4*J28,"")</f>
        <v/>
      </c>
      <c r="L28" s="83"/>
      <c r="M28" s="96"/>
      <c r="N28" s="326"/>
      <c r="O28" s="324"/>
      <c r="P28" s="279"/>
      <c r="Q28" s="279"/>
      <c r="R28" s="324"/>
      <c r="S28" s="324"/>
      <c r="T28" s="324"/>
      <c r="U28" s="324"/>
      <c r="V28" s="324"/>
      <c r="W28" s="279"/>
      <c r="X28" s="279"/>
      <c r="Y28" s="83"/>
      <c r="Z28" s="83"/>
      <c r="AA28" s="328"/>
      <c r="AB28" s="328"/>
    </row>
    <row r="29" ht="52.2" customHeight="1" spans="1:28">
      <c r="A29" s="285"/>
      <c r="B29" s="291"/>
      <c r="C29" s="292"/>
      <c r="D29" s="293" t="s">
        <v>6251</v>
      </c>
      <c r="E29" s="304" t="s">
        <v>6252</v>
      </c>
      <c r="F29" s="304"/>
      <c r="G29" s="304"/>
      <c r="H29" s="304"/>
      <c r="I29" s="304"/>
      <c r="J29" s="304"/>
      <c r="K29" s="187" t="str">
        <f>IF(A29="c",$M$4*J29,"")</f>
        <v/>
      </c>
      <c r="L29" s="83"/>
      <c r="M29" s="96"/>
      <c r="N29" s="326"/>
      <c r="O29" s="324"/>
      <c r="P29" s="279"/>
      <c r="Q29" s="279"/>
      <c r="R29" s="324"/>
      <c r="S29" s="324"/>
      <c r="T29" s="324"/>
      <c r="U29" s="324"/>
      <c r="V29" s="324"/>
      <c r="W29" s="279"/>
      <c r="X29" s="279"/>
      <c r="Y29" s="83"/>
      <c r="Z29" s="83"/>
      <c r="AA29" s="328"/>
      <c r="AB29" s="328"/>
    </row>
    <row r="30" spans="1:28">
      <c r="A30" s="285"/>
      <c r="B30" s="297"/>
      <c r="C30" s="298"/>
      <c r="D30" s="298"/>
      <c r="E30" s="298"/>
      <c r="F30" s="299"/>
      <c r="G30" s="299"/>
      <c r="H30" s="299"/>
      <c r="I30" s="299"/>
      <c r="J30" s="327"/>
      <c r="K30" s="187" t="str">
        <f>IF(A30="c",$M$4*J30,"")</f>
        <v/>
      </c>
      <c r="L30" s="328"/>
      <c r="M30" s="329"/>
      <c r="N30" s="328"/>
      <c r="O30" s="328"/>
      <c r="P30" s="328"/>
      <c r="Q30" s="328"/>
      <c r="R30" s="328"/>
      <c r="S30" s="328"/>
      <c r="T30" s="328"/>
      <c r="U30" s="328"/>
      <c r="V30" s="328"/>
      <c r="W30" s="328"/>
      <c r="X30" s="328"/>
      <c r="Y30" s="328"/>
      <c r="Z30" s="328"/>
      <c r="AA30" s="328"/>
      <c r="AB30" s="328"/>
    </row>
    <row r="31" spans="1:28">
      <c r="A31" s="285" t="str">
        <f>VLOOKUP(D31,'[2]2024 - Curva ABC de Insumos'!$E$6:$R$172,14,FALSE())</f>
        <v>C</v>
      </c>
      <c r="B31" s="300" t="s">
        <v>822</v>
      </c>
      <c r="C31" s="305" t="s">
        <v>3730</v>
      </c>
      <c r="D31" s="288" t="s">
        <v>3731</v>
      </c>
      <c r="E31" s="289" t="s">
        <v>6254</v>
      </c>
      <c r="F31" s="290" t="s">
        <v>6255</v>
      </c>
      <c r="G31" s="290" t="s">
        <v>6256</v>
      </c>
      <c r="H31" s="290"/>
      <c r="I31" s="290"/>
      <c r="J31" s="322">
        <f>SMALL(E32:I32,1)</f>
        <v>59.9</v>
      </c>
      <c r="K31" s="187"/>
      <c r="L31" s="187" t="e">
        <f>VLOOKUP(B31,[3]CPUs!D:L,9,FALSE())</f>
        <v>#N/A</v>
      </c>
      <c r="M31" s="96" t="e">
        <f>IF(J31=L31,"OK","DIF")</f>
        <v>#N/A</v>
      </c>
      <c r="N31" s="326" t="s">
        <v>6244</v>
      </c>
      <c r="O31" s="324"/>
      <c r="P31" s="279"/>
      <c r="Q31" s="279"/>
      <c r="R31" s="324"/>
      <c r="S31" s="324"/>
      <c r="T31" s="324"/>
      <c r="U31" s="324"/>
      <c r="V31" s="324"/>
      <c r="W31" s="279"/>
      <c r="X31" s="279"/>
      <c r="Y31" s="83"/>
      <c r="Z31" s="83"/>
      <c r="AA31" s="328"/>
      <c r="AB31" s="328"/>
    </row>
    <row r="32" ht="15" spans="1:28">
      <c r="A32" s="285"/>
      <c r="B32" s="291"/>
      <c r="C32" s="292"/>
      <c r="D32" s="293" t="s">
        <v>6236</v>
      </c>
      <c r="E32" s="294">
        <v>59.9</v>
      </c>
      <c r="F32" s="294">
        <v>60.19</v>
      </c>
      <c r="G32" s="294">
        <v>62.53</v>
      </c>
      <c r="H32" s="295"/>
      <c r="I32" s="295"/>
      <c r="J32" s="325"/>
      <c r="K32" s="187" t="str">
        <f>IF(A32="c",$M$4*J32,"")</f>
        <v/>
      </c>
      <c r="L32" s="83"/>
      <c r="M32" s="96"/>
      <c r="N32" s="326"/>
      <c r="O32" s="324"/>
      <c r="P32" s="279"/>
      <c r="Q32" s="279"/>
      <c r="R32" s="324"/>
      <c r="S32" s="324"/>
      <c r="T32" s="324"/>
      <c r="U32" s="324"/>
      <c r="V32" s="324"/>
      <c r="W32" s="279"/>
      <c r="X32" s="279"/>
      <c r="Y32" s="83"/>
      <c r="Z32" s="83"/>
      <c r="AA32" s="328"/>
      <c r="AB32" s="328"/>
    </row>
    <row r="33" ht="128.25" spans="1:28">
      <c r="A33" s="285"/>
      <c r="B33" s="291"/>
      <c r="C33" s="292"/>
      <c r="D33" s="293" t="s">
        <v>6237</v>
      </c>
      <c r="E33" s="296" t="s">
        <v>6257</v>
      </c>
      <c r="F33" s="296" t="s">
        <v>6258</v>
      </c>
      <c r="G33" s="306" t="s">
        <v>6178</v>
      </c>
      <c r="H33" s="302"/>
      <c r="I33" s="302"/>
      <c r="J33" s="325"/>
      <c r="K33" s="187" t="str">
        <f>IF(A33="c",$M$4*J33,"")</f>
        <v/>
      </c>
      <c r="L33" s="83"/>
      <c r="M33" s="96"/>
      <c r="N33" s="326"/>
      <c r="O33" s="324"/>
      <c r="P33" s="279"/>
      <c r="Q33" s="279"/>
      <c r="R33" s="324"/>
      <c r="S33" s="324"/>
      <c r="T33" s="324"/>
      <c r="U33" s="279"/>
      <c r="V33" s="279"/>
      <c r="W33" s="279"/>
      <c r="X33" s="279"/>
      <c r="Y33" s="83"/>
      <c r="Z33" s="83"/>
      <c r="AA33" s="328"/>
      <c r="AB33" s="328"/>
    </row>
    <row r="34" spans="1:28">
      <c r="A34" s="285"/>
      <c r="B34" s="297"/>
      <c r="C34" s="298"/>
      <c r="D34" s="298"/>
      <c r="E34" s="298"/>
      <c r="F34" s="299"/>
      <c r="G34" s="299"/>
      <c r="H34" s="299"/>
      <c r="I34" s="299"/>
      <c r="J34" s="327"/>
      <c r="K34" s="187" t="str">
        <f>IF(A34="c",$M$4*J34,"")</f>
        <v/>
      </c>
      <c r="L34" s="328"/>
      <c r="M34" s="329"/>
      <c r="N34" s="328"/>
      <c r="O34" s="328"/>
      <c r="P34" s="328"/>
      <c r="Q34" s="328"/>
      <c r="R34" s="328"/>
      <c r="S34" s="328"/>
      <c r="T34" s="328"/>
      <c r="U34" s="328"/>
      <c r="V34" s="328"/>
      <c r="W34" s="328"/>
      <c r="X34" s="328"/>
      <c r="Y34" s="328"/>
      <c r="Z34" s="328"/>
      <c r="AA34" s="328"/>
      <c r="AB34" s="328"/>
    </row>
    <row r="35" spans="1:28">
      <c r="A35" s="285" t="str">
        <f>VLOOKUP(D35,'[2]2024 - Curva ABC de Insumos'!$E$6:$R$172,14,FALSE())</f>
        <v>C</v>
      </c>
      <c r="B35" s="300" t="s">
        <v>825</v>
      </c>
      <c r="C35" s="305" t="s">
        <v>3732</v>
      </c>
      <c r="D35" s="288" t="s">
        <v>3733</v>
      </c>
      <c r="E35" s="289" t="s">
        <v>6254</v>
      </c>
      <c r="F35" s="290" t="s">
        <v>6259</v>
      </c>
      <c r="G35" s="290" t="s">
        <v>6260</v>
      </c>
      <c r="H35" s="290"/>
      <c r="I35" s="290"/>
      <c r="J35" s="322">
        <f>SMALL(E36:I36,1)</f>
        <v>77.7</v>
      </c>
      <c r="K35" s="187"/>
      <c r="L35" s="187" t="e">
        <f>VLOOKUP(B35,[3]CPUs!D:L,9,FALSE())</f>
        <v>#N/A</v>
      </c>
      <c r="M35" s="96" t="e">
        <f>IF(J35=L35,"OK","DIF")</f>
        <v>#N/A</v>
      </c>
      <c r="N35" s="326" t="s">
        <v>6244</v>
      </c>
      <c r="O35" s="324"/>
      <c r="P35" s="279"/>
      <c r="Q35" s="279"/>
      <c r="R35" s="324"/>
      <c r="S35" s="324"/>
      <c r="T35" s="324"/>
      <c r="U35" s="324"/>
      <c r="V35" s="324"/>
      <c r="W35" s="279"/>
      <c r="X35" s="279"/>
      <c r="Y35" s="83"/>
      <c r="Z35" s="83"/>
      <c r="AA35" s="328"/>
      <c r="AB35" s="328"/>
    </row>
    <row r="36" ht="15" spans="1:28">
      <c r="A36" s="285"/>
      <c r="B36" s="291"/>
      <c r="C36" s="292"/>
      <c r="D36" s="293" t="s">
        <v>6236</v>
      </c>
      <c r="E36" s="294">
        <v>77.7</v>
      </c>
      <c r="F36" s="294">
        <v>83.5</v>
      </c>
      <c r="G36" s="295">
        <v>83.5</v>
      </c>
      <c r="H36" s="295"/>
      <c r="I36" s="295"/>
      <c r="J36" s="325"/>
      <c r="K36" s="187"/>
      <c r="L36" s="83"/>
      <c r="M36" s="96"/>
      <c r="N36" s="326"/>
      <c r="O36" s="324"/>
      <c r="P36" s="279"/>
      <c r="Q36" s="279"/>
      <c r="R36" s="324"/>
      <c r="S36" s="324"/>
      <c r="T36" s="324"/>
      <c r="U36" s="324"/>
      <c r="V36" s="324"/>
      <c r="W36" s="279"/>
      <c r="X36" s="279"/>
      <c r="Y36" s="83"/>
      <c r="Z36" s="83"/>
      <c r="AA36" s="328"/>
      <c r="AB36" s="328"/>
    </row>
    <row r="37" ht="384.75" spans="1:28">
      <c r="A37" s="285"/>
      <c r="B37" s="291"/>
      <c r="C37" s="292"/>
      <c r="D37" s="293" t="s">
        <v>6237</v>
      </c>
      <c r="E37" s="296" t="s">
        <v>6261</v>
      </c>
      <c r="F37" s="296" t="s">
        <v>6262</v>
      </c>
      <c r="G37" s="296" t="s">
        <v>6263</v>
      </c>
      <c r="H37" s="302"/>
      <c r="I37" s="302"/>
      <c r="J37" s="325"/>
      <c r="K37" s="187"/>
      <c r="L37" s="83"/>
      <c r="M37" s="96"/>
      <c r="N37" s="326"/>
      <c r="O37" s="324"/>
      <c r="P37" s="279"/>
      <c r="Q37" s="279"/>
      <c r="R37" s="324"/>
      <c r="S37" s="324"/>
      <c r="T37" s="324"/>
      <c r="U37" s="279"/>
      <c r="V37" s="279"/>
      <c r="W37" s="279"/>
      <c r="X37" s="279"/>
      <c r="Y37" s="83"/>
      <c r="Z37" s="83"/>
      <c r="AA37" s="328"/>
      <c r="AB37" s="328"/>
    </row>
    <row r="38" spans="1:28">
      <c r="A38" s="285"/>
      <c r="B38" s="297"/>
      <c r="C38" s="298"/>
      <c r="D38" s="298"/>
      <c r="E38" s="298"/>
      <c r="F38" s="299"/>
      <c r="G38" s="299"/>
      <c r="H38" s="299"/>
      <c r="I38" s="299"/>
      <c r="J38" s="327"/>
      <c r="K38" s="187"/>
      <c r="L38" s="328"/>
      <c r="M38" s="329"/>
      <c r="N38" s="328"/>
      <c r="O38" s="328"/>
      <c r="P38" s="328"/>
      <c r="Q38" s="328"/>
      <c r="R38" s="328"/>
      <c r="S38" s="328"/>
      <c r="T38" s="328"/>
      <c r="U38" s="328"/>
      <c r="V38" s="328"/>
      <c r="W38" s="328"/>
      <c r="X38" s="328"/>
      <c r="Y38" s="328"/>
      <c r="Z38" s="328"/>
      <c r="AA38" s="328"/>
      <c r="AB38" s="328"/>
    </row>
    <row r="39" spans="1:28">
      <c r="A39" s="285" t="str">
        <f>VLOOKUP(D39,'[2]2024 - Curva ABC de Insumos'!$E$6:$R$172,14,FALSE())</f>
        <v>C</v>
      </c>
      <c r="B39" s="300" t="s">
        <v>828</v>
      </c>
      <c r="C39" s="305" t="s">
        <v>3734</v>
      </c>
      <c r="D39" s="288" t="s">
        <v>3735</v>
      </c>
      <c r="E39" s="290" t="s">
        <v>6255</v>
      </c>
      <c r="F39" s="290" t="s">
        <v>6264</v>
      </c>
      <c r="G39" s="290" t="s">
        <v>6265</v>
      </c>
      <c r="H39" s="290"/>
      <c r="I39" s="290"/>
      <c r="J39" s="322">
        <f>SMALL(E40:I40,1)</f>
        <v>59.22</v>
      </c>
      <c r="K39" s="187"/>
      <c r="L39" s="187" t="e">
        <f>VLOOKUP(B39,[3]CPUs!D:L,9,FALSE())</f>
        <v>#N/A</v>
      </c>
      <c r="M39" s="96" t="e">
        <f>IF(J39=L39,"OK","DIF")</f>
        <v>#N/A</v>
      </c>
      <c r="N39" s="326" t="s">
        <v>6244</v>
      </c>
      <c r="O39" s="324"/>
      <c r="P39" s="279"/>
      <c r="Q39" s="279"/>
      <c r="R39" s="324"/>
      <c r="S39" s="324"/>
      <c r="T39" s="324"/>
      <c r="U39" s="324"/>
      <c r="V39" s="324"/>
      <c r="W39" s="279"/>
      <c r="X39" s="279"/>
      <c r="Y39" s="83"/>
      <c r="Z39" s="83"/>
      <c r="AA39" s="328"/>
      <c r="AB39" s="328"/>
    </row>
    <row r="40" ht="15" spans="1:28">
      <c r="A40" s="285"/>
      <c r="B40" s="291"/>
      <c r="C40" s="292"/>
      <c r="D40" s="293" t="s">
        <v>6236</v>
      </c>
      <c r="E40" s="294">
        <v>59.22</v>
      </c>
      <c r="F40" s="294">
        <v>60.22</v>
      </c>
      <c r="G40" s="295">
        <v>61.24</v>
      </c>
      <c r="H40" s="295"/>
      <c r="I40" s="295"/>
      <c r="J40" s="325"/>
      <c r="K40" s="187"/>
      <c r="L40" s="83"/>
      <c r="M40" s="96"/>
      <c r="N40" s="326"/>
      <c r="O40" s="324"/>
      <c r="P40" s="279"/>
      <c r="Q40" s="279"/>
      <c r="R40" s="324"/>
      <c r="S40" s="324"/>
      <c r="T40" s="324"/>
      <c r="U40" s="324"/>
      <c r="V40" s="324"/>
      <c r="W40" s="279"/>
      <c r="X40" s="279"/>
      <c r="Y40" s="83"/>
      <c r="Z40" s="83"/>
      <c r="AA40" s="328"/>
      <c r="AB40" s="328"/>
    </row>
    <row r="41" ht="409.5" spans="1:28">
      <c r="A41" s="285"/>
      <c r="B41" s="291"/>
      <c r="C41" s="292"/>
      <c r="D41" s="293" t="s">
        <v>6237</v>
      </c>
      <c r="E41" s="296" t="s">
        <v>6266</v>
      </c>
      <c r="F41" s="296" t="s">
        <v>6267</v>
      </c>
      <c r="G41" s="296" t="s">
        <v>6268</v>
      </c>
      <c r="H41" s="302"/>
      <c r="I41" s="302"/>
      <c r="J41" s="325"/>
      <c r="K41" s="187"/>
      <c r="L41" s="83"/>
      <c r="M41" s="96"/>
      <c r="N41" s="326"/>
      <c r="O41" s="324"/>
      <c r="P41" s="279"/>
      <c r="Q41" s="279"/>
      <c r="R41" s="324"/>
      <c r="S41" s="324"/>
      <c r="T41" s="324"/>
      <c r="U41" s="279"/>
      <c r="V41" s="279"/>
      <c r="W41" s="279"/>
      <c r="X41" s="279"/>
      <c r="Y41" s="83"/>
      <c r="Z41" s="83"/>
      <c r="AA41" s="328"/>
      <c r="AB41" s="328"/>
    </row>
    <row r="42" ht="15" spans="1:28">
      <c r="A42" s="285"/>
      <c r="B42" s="307"/>
      <c r="C42" s="308"/>
      <c r="D42" s="309"/>
      <c r="E42" s="310"/>
      <c r="F42" s="311"/>
      <c r="G42" s="311"/>
      <c r="H42" s="311"/>
      <c r="I42" s="311"/>
      <c r="J42" s="331"/>
      <c r="K42" s="187"/>
      <c r="L42" s="83"/>
      <c r="M42" s="96"/>
      <c r="N42" s="320"/>
      <c r="O42" s="321"/>
      <c r="P42" s="321"/>
      <c r="Q42" s="321"/>
      <c r="R42" s="321"/>
      <c r="S42" s="321"/>
      <c r="T42" s="321"/>
      <c r="U42" s="321"/>
      <c r="V42" s="321"/>
      <c r="W42" s="321"/>
      <c r="X42" s="321"/>
      <c r="Y42" s="83"/>
      <c r="Z42" s="83"/>
      <c r="AA42" s="98"/>
      <c r="AB42" s="98"/>
    </row>
    <row r="43" spans="1:28">
      <c r="A43" s="285" t="str">
        <f>VLOOKUP(D43,'[2]2024 - Curva ABC de Insumos'!$E$6:$R$172,14,FALSE())</f>
        <v>C</v>
      </c>
      <c r="B43" s="300" t="s">
        <v>878</v>
      </c>
      <c r="C43" s="305" t="s">
        <v>3785</v>
      </c>
      <c r="D43" s="288" t="s">
        <v>3786</v>
      </c>
      <c r="E43" s="289" t="s">
        <v>6269</v>
      </c>
      <c r="F43" s="289" t="s">
        <v>6270</v>
      </c>
      <c r="G43" s="290"/>
      <c r="H43" s="290"/>
      <c r="I43" s="290"/>
      <c r="J43" s="322">
        <f>SMALL(E44:I44,1)</f>
        <v>162.75</v>
      </c>
      <c r="K43" s="187"/>
      <c r="L43" s="187" t="e">
        <f>VLOOKUP(B43,[3]CPUs!D:L,9,FALSE())</f>
        <v>#N/A</v>
      </c>
      <c r="M43" s="96" t="e">
        <f>IF(J43=L43,"OK","DIF")</f>
        <v>#N/A</v>
      </c>
      <c r="N43" s="326" t="s">
        <v>6244</v>
      </c>
      <c r="O43" s="324"/>
      <c r="P43" s="279"/>
      <c r="Q43" s="279"/>
      <c r="R43" s="324"/>
      <c r="S43" s="324"/>
      <c r="T43" s="324"/>
      <c r="U43" s="324"/>
      <c r="V43" s="324"/>
      <c r="W43" s="279"/>
      <c r="X43" s="279"/>
      <c r="Y43" s="83"/>
      <c r="Z43" s="83"/>
      <c r="AA43" s="328"/>
      <c r="AB43" s="328"/>
    </row>
    <row r="44" ht="15" spans="1:28">
      <c r="A44" s="285"/>
      <c r="B44" s="291"/>
      <c r="C44" s="292"/>
      <c r="D44" s="293" t="s">
        <v>6236</v>
      </c>
      <c r="E44" s="294">
        <v>162.75</v>
      </c>
      <c r="F44" s="294">
        <f>211.91*1.0439</f>
        <v>221.212849</v>
      </c>
      <c r="G44" s="295"/>
      <c r="H44" s="295"/>
      <c r="I44" s="295"/>
      <c r="J44" s="325"/>
      <c r="K44" s="187"/>
      <c r="L44" s="83"/>
      <c r="M44" s="96"/>
      <c r="N44" s="326"/>
      <c r="O44" s="324"/>
      <c r="P44" s="279"/>
      <c r="Q44" s="279"/>
      <c r="R44" s="324"/>
      <c r="S44" s="324"/>
      <c r="T44" s="324"/>
      <c r="U44" s="324"/>
      <c r="V44" s="324"/>
      <c r="W44" s="279"/>
      <c r="X44" s="279"/>
      <c r="Y44" s="83"/>
      <c r="Z44" s="83"/>
      <c r="AA44" s="328"/>
      <c r="AB44" s="328"/>
    </row>
    <row r="45" ht="60" spans="1:28">
      <c r="A45" s="285"/>
      <c r="B45" s="291"/>
      <c r="C45" s="292"/>
      <c r="D45" s="293" t="s">
        <v>6237</v>
      </c>
      <c r="E45" s="301" t="s">
        <v>6271</v>
      </c>
      <c r="F45" s="296" t="s">
        <v>6250</v>
      </c>
      <c r="G45" s="296"/>
      <c r="H45" s="302"/>
      <c r="I45" s="302"/>
      <c r="J45" s="325"/>
      <c r="K45" s="187"/>
      <c r="L45" s="83"/>
      <c r="M45" s="96"/>
      <c r="N45" s="326"/>
      <c r="O45" s="324"/>
      <c r="P45" s="279"/>
      <c r="Q45" s="279"/>
      <c r="R45" s="324"/>
      <c r="S45" s="324"/>
      <c r="T45" s="324"/>
      <c r="U45" s="279"/>
      <c r="V45" s="279"/>
      <c r="W45" s="279"/>
      <c r="X45" s="279"/>
      <c r="Y45" s="83"/>
      <c r="Z45" s="83"/>
      <c r="AA45" s="328"/>
      <c r="AB45" s="328"/>
    </row>
    <row r="46" ht="52.2" customHeight="1" spans="1:28">
      <c r="A46" s="285"/>
      <c r="B46" s="291"/>
      <c r="C46" s="292"/>
      <c r="D46" s="293" t="s">
        <v>6251</v>
      </c>
      <c r="E46" s="304" t="s">
        <v>6272</v>
      </c>
      <c r="F46" s="304"/>
      <c r="G46" s="304"/>
      <c r="H46" s="304"/>
      <c r="I46" s="304"/>
      <c r="J46" s="304"/>
      <c r="K46" s="187"/>
      <c r="L46" s="83"/>
      <c r="M46" s="96"/>
      <c r="N46" s="326"/>
      <c r="O46" s="324"/>
      <c r="P46" s="279"/>
      <c r="Q46" s="279"/>
      <c r="R46" s="324"/>
      <c r="S46" s="324"/>
      <c r="T46" s="324"/>
      <c r="U46" s="324"/>
      <c r="V46" s="324"/>
      <c r="W46" s="279"/>
      <c r="X46" s="279"/>
      <c r="Y46" s="83"/>
      <c r="Z46" s="83"/>
      <c r="AA46" s="328"/>
      <c r="AB46" s="328"/>
    </row>
    <row r="47" ht="15" spans="1:28">
      <c r="A47" s="285"/>
      <c r="B47" s="307"/>
      <c r="C47" s="308"/>
      <c r="D47" s="309"/>
      <c r="E47" s="310"/>
      <c r="F47" s="311"/>
      <c r="G47" s="311"/>
      <c r="H47" s="311"/>
      <c r="I47" s="311"/>
      <c r="J47" s="331"/>
      <c r="K47" s="187"/>
      <c r="L47" s="83"/>
      <c r="M47" s="96"/>
      <c r="N47" s="320"/>
      <c r="O47" s="321"/>
      <c r="P47" s="321"/>
      <c r="Q47" s="321"/>
      <c r="R47" s="321"/>
      <c r="S47" s="321"/>
      <c r="T47" s="321"/>
      <c r="U47" s="321"/>
      <c r="V47" s="321"/>
      <c r="W47" s="321"/>
      <c r="X47" s="321"/>
      <c r="Y47" s="83"/>
      <c r="Z47" s="83"/>
      <c r="AA47" s="98"/>
      <c r="AB47" s="98"/>
    </row>
    <row r="48" spans="1:28">
      <c r="A48" s="285" t="str">
        <f>VLOOKUP(D48,'[2]2024 - Curva ABC de Insumos'!$E$6:$R$172,14,FALSE())</f>
        <v>C</v>
      </c>
      <c r="B48" s="300" t="s">
        <v>881</v>
      </c>
      <c r="C48" s="305" t="s">
        <v>3787</v>
      </c>
      <c r="D48" s="288" t="s">
        <v>3788</v>
      </c>
      <c r="E48" s="289" t="s">
        <v>6269</v>
      </c>
      <c r="F48" s="289" t="s">
        <v>6270</v>
      </c>
      <c r="G48" s="290"/>
      <c r="H48" s="290"/>
      <c r="I48" s="290"/>
      <c r="J48" s="322">
        <f>SMALL(E49:I49,1)</f>
        <v>2654.69</v>
      </c>
      <c r="K48" s="187"/>
      <c r="L48" s="187" t="e">
        <f>VLOOKUP(B48,[3]CPUs!D:L,9,FALSE())</f>
        <v>#N/A</v>
      </c>
      <c r="M48" s="96" t="e">
        <f>IF(J48=L48,"OK","DIF")</f>
        <v>#N/A</v>
      </c>
      <c r="N48" s="326" t="s">
        <v>6244</v>
      </c>
      <c r="O48" s="324"/>
      <c r="P48" s="279"/>
      <c r="Q48" s="279"/>
      <c r="R48" s="324"/>
      <c r="S48" s="324"/>
      <c r="T48" s="324"/>
      <c r="U48" s="324"/>
      <c r="V48" s="324"/>
      <c r="W48" s="279"/>
      <c r="X48" s="279"/>
      <c r="Y48" s="83"/>
      <c r="Z48" s="83"/>
      <c r="AA48" s="328"/>
      <c r="AB48" s="328"/>
    </row>
    <row r="49" ht="15" spans="1:28">
      <c r="A49" s="285"/>
      <c r="B49" s="291"/>
      <c r="C49" s="292"/>
      <c r="D49" s="293" t="s">
        <v>6236</v>
      </c>
      <c r="E49" s="294">
        <v>2654.69</v>
      </c>
      <c r="F49" s="294">
        <f>1.0439*2610</f>
        <v>2724.579</v>
      </c>
      <c r="G49" s="295"/>
      <c r="H49" s="295"/>
      <c r="I49" s="295"/>
      <c r="J49" s="325"/>
      <c r="K49" s="187"/>
      <c r="L49" s="83"/>
      <c r="M49" s="96"/>
      <c r="N49" s="326"/>
      <c r="O49" s="324"/>
      <c r="P49" s="279"/>
      <c r="Q49" s="279"/>
      <c r="R49" s="324"/>
      <c r="S49" s="324"/>
      <c r="T49" s="324"/>
      <c r="U49" s="324"/>
      <c r="V49" s="324"/>
      <c r="W49" s="279"/>
      <c r="X49" s="279"/>
      <c r="Y49" s="83"/>
      <c r="Z49" s="83"/>
      <c r="AA49" s="328"/>
      <c r="AB49" s="328"/>
    </row>
    <row r="50" ht="75" spans="1:28">
      <c r="A50" s="285"/>
      <c r="B50" s="291"/>
      <c r="C50" s="292"/>
      <c r="D50" s="293" t="s">
        <v>6237</v>
      </c>
      <c r="E50" s="301" t="s">
        <v>6273</v>
      </c>
      <c r="F50" s="296" t="s">
        <v>6250</v>
      </c>
      <c r="G50" s="296"/>
      <c r="H50" s="302"/>
      <c r="I50" s="302"/>
      <c r="J50" s="325"/>
      <c r="K50" s="187"/>
      <c r="L50" s="83"/>
      <c r="M50" s="96"/>
      <c r="N50" s="326"/>
      <c r="O50" s="324"/>
      <c r="P50" s="279"/>
      <c r="Q50" s="279"/>
      <c r="R50" s="324"/>
      <c r="S50" s="324"/>
      <c r="T50" s="324"/>
      <c r="U50" s="279"/>
      <c r="V50" s="279"/>
      <c r="W50" s="279"/>
      <c r="X50" s="279"/>
      <c r="Y50" s="83"/>
      <c r="Z50" s="83"/>
      <c r="AA50" s="328"/>
      <c r="AB50" s="328"/>
    </row>
    <row r="51" ht="52.2" customHeight="1" spans="1:28">
      <c r="A51" s="285"/>
      <c r="B51" s="291"/>
      <c r="C51" s="292"/>
      <c r="D51" s="293" t="s">
        <v>6251</v>
      </c>
      <c r="E51" s="304" t="s">
        <v>6272</v>
      </c>
      <c r="F51" s="304"/>
      <c r="G51" s="304"/>
      <c r="H51" s="304"/>
      <c r="I51" s="304"/>
      <c r="J51" s="304"/>
      <c r="K51" s="187"/>
      <c r="L51" s="83"/>
      <c r="M51" s="96"/>
      <c r="N51" s="326"/>
      <c r="O51" s="324"/>
      <c r="P51" s="279"/>
      <c r="Q51" s="279"/>
      <c r="R51" s="324"/>
      <c r="S51" s="324"/>
      <c r="T51" s="324"/>
      <c r="U51" s="324"/>
      <c r="V51" s="324"/>
      <c r="W51" s="279"/>
      <c r="X51" s="279"/>
      <c r="Y51" s="83"/>
      <c r="Z51" s="83"/>
      <c r="AA51" s="328"/>
      <c r="AB51" s="328"/>
    </row>
    <row r="52" ht="15" spans="1:28">
      <c r="A52" s="285"/>
      <c r="B52" s="307"/>
      <c r="C52" s="308"/>
      <c r="D52" s="309"/>
      <c r="E52" s="310"/>
      <c r="F52" s="311"/>
      <c r="G52" s="311"/>
      <c r="H52" s="311"/>
      <c r="I52" s="311"/>
      <c r="J52" s="331"/>
      <c r="K52" s="187"/>
      <c r="L52" s="83"/>
      <c r="M52" s="96"/>
      <c r="N52" s="320"/>
      <c r="O52" s="321"/>
      <c r="P52" s="321"/>
      <c r="Q52" s="321"/>
      <c r="R52" s="321"/>
      <c r="S52" s="321"/>
      <c r="T52" s="321"/>
      <c r="U52" s="321"/>
      <c r="V52" s="321"/>
      <c r="W52" s="321"/>
      <c r="X52" s="321"/>
      <c r="Y52" s="83"/>
      <c r="Z52" s="83"/>
      <c r="AA52" s="98"/>
      <c r="AB52" s="98"/>
    </row>
    <row r="53" ht="24" spans="1:28">
      <c r="A53" s="285" t="str">
        <f>VLOOKUP(D53,'[2]2024 - Curva ABC de Insumos'!$E$6:$R$172,14,FALSE())</f>
        <v>C</v>
      </c>
      <c r="B53" s="300" t="s">
        <v>1013</v>
      </c>
      <c r="C53" s="305" t="s">
        <v>3960</v>
      </c>
      <c r="D53" s="288" t="s">
        <v>3961</v>
      </c>
      <c r="E53" s="289" t="s">
        <v>6274</v>
      </c>
      <c r="F53" s="290" t="s">
        <v>6275</v>
      </c>
      <c r="G53" s="290" t="s">
        <v>6276</v>
      </c>
      <c r="H53" s="290"/>
      <c r="I53" s="290"/>
      <c r="J53" s="322">
        <f>SMALL(E54:I54,1)</f>
        <v>86.935992</v>
      </c>
      <c r="K53" s="187"/>
      <c r="L53" s="187" t="e">
        <f>VLOOKUP(B53,[3]CPUs!D:L,9,FALSE())</f>
        <v>#N/A</v>
      </c>
      <c r="M53" s="96" t="e">
        <f>IF(J53=L53,"OK","DIF")</f>
        <v>#N/A</v>
      </c>
      <c r="N53" s="326" t="s">
        <v>6244</v>
      </c>
      <c r="O53" s="324"/>
      <c r="P53" s="279"/>
      <c r="Q53" s="279"/>
      <c r="R53" s="324"/>
      <c r="S53" s="324"/>
      <c r="T53" s="324"/>
      <c r="U53" s="324"/>
      <c r="V53" s="324"/>
      <c r="W53" s="279"/>
      <c r="X53" s="279"/>
      <c r="Y53" s="83"/>
      <c r="Z53" s="83"/>
      <c r="AA53" s="328"/>
      <c r="AB53" s="328"/>
    </row>
    <row r="54" ht="15" spans="1:28">
      <c r="A54" s="285"/>
      <c r="B54" s="291"/>
      <c r="C54" s="292"/>
      <c r="D54" s="293" t="s">
        <v>6236</v>
      </c>
      <c r="E54" s="294">
        <f>83.28*1.0439</f>
        <v>86.935992</v>
      </c>
      <c r="F54" s="295">
        <f>120*1.0439</f>
        <v>125.268</v>
      </c>
      <c r="G54" s="295">
        <f>95.53*1.0439</f>
        <v>99.723767</v>
      </c>
      <c r="H54" s="295"/>
      <c r="I54" s="295"/>
      <c r="J54" s="325"/>
      <c r="K54" s="187"/>
      <c r="L54" s="83"/>
      <c r="M54" s="96"/>
      <c r="N54" s="326"/>
      <c r="O54" s="324"/>
      <c r="P54" s="279"/>
      <c r="Q54" s="279"/>
      <c r="R54" s="324"/>
      <c r="S54" s="324"/>
      <c r="T54" s="324"/>
      <c r="U54" s="324"/>
      <c r="V54" s="324"/>
      <c r="W54" s="279"/>
      <c r="X54" s="279"/>
      <c r="Y54" s="83"/>
      <c r="Z54" s="83"/>
      <c r="AA54" s="328"/>
      <c r="AB54" s="328"/>
    </row>
    <row r="55" ht="28.5" spans="1:28">
      <c r="A55" s="285"/>
      <c r="B55" s="291"/>
      <c r="C55" s="292"/>
      <c r="D55" s="293" t="s">
        <v>6237</v>
      </c>
      <c r="E55" s="296" t="s">
        <v>6250</v>
      </c>
      <c r="F55" s="296" t="s">
        <v>6250</v>
      </c>
      <c r="G55" s="296" t="s">
        <v>6250</v>
      </c>
      <c r="H55" s="302"/>
      <c r="I55" s="302"/>
      <c r="J55" s="325"/>
      <c r="K55" s="187"/>
      <c r="L55" s="83"/>
      <c r="M55" s="96"/>
      <c r="N55" s="326"/>
      <c r="O55" s="324"/>
      <c r="P55" s="279"/>
      <c r="Q55" s="279"/>
      <c r="R55" s="324"/>
      <c r="S55" s="324"/>
      <c r="T55" s="324"/>
      <c r="U55" s="279"/>
      <c r="V55" s="279"/>
      <c r="W55" s="279"/>
      <c r="X55" s="279"/>
      <c r="Y55" s="83"/>
      <c r="Z55" s="83"/>
      <c r="AA55" s="328"/>
      <c r="AB55" s="328"/>
    </row>
    <row r="56" ht="15" spans="1:28">
      <c r="A56" s="285"/>
      <c r="B56" s="307"/>
      <c r="C56" s="308"/>
      <c r="D56" s="309"/>
      <c r="E56" s="310"/>
      <c r="F56" s="311"/>
      <c r="G56" s="311"/>
      <c r="H56" s="311"/>
      <c r="I56" s="311"/>
      <c r="J56" s="331"/>
      <c r="K56" s="187"/>
      <c r="L56" s="83"/>
      <c r="M56" s="96"/>
      <c r="N56" s="320"/>
      <c r="O56" s="321"/>
      <c r="P56" s="321"/>
      <c r="Q56" s="321"/>
      <c r="R56" s="321"/>
      <c r="S56" s="321"/>
      <c r="T56" s="321"/>
      <c r="U56" s="321"/>
      <c r="V56" s="321"/>
      <c r="W56" s="321"/>
      <c r="X56" s="321"/>
      <c r="Y56" s="83"/>
      <c r="Z56" s="83"/>
      <c r="AA56" s="98"/>
      <c r="AB56" s="98"/>
    </row>
    <row r="57" ht="24" spans="1:28">
      <c r="A57" s="285" t="str">
        <f>VLOOKUP(D57,'[2]2024 - Curva ABC de Insumos'!$E$6:$R$172,14,FALSE())</f>
        <v>C</v>
      </c>
      <c r="B57" s="300" t="s">
        <v>1019</v>
      </c>
      <c r="C57" s="305" t="s">
        <v>3964</v>
      </c>
      <c r="D57" s="288" t="s">
        <v>3965</v>
      </c>
      <c r="E57" s="289" t="s">
        <v>6274</v>
      </c>
      <c r="F57" s="290" t="s">
        <v>6275</v>
      </c>
      <c r="G57" s="290" t="s">
        <v>6276</v>
      </c>
      <c r="H57" s="290"/>
      <c r="I57" s="290"/>
      <c r="J57" s="322">
        <f>SMALL(E58:I58,1)</f>
        <v>197.067442</v>
      </c>
      <c r="K57" s="187"/>
      <c r="L57" s="187" t="e">
        <f>VLOOKUP(B57,[3]CPUs!D:L,9,FALSE())</f>
        <v>#N/A</v>
      </c>
      <c r="M57" s="96" t="e">
        <f>IF(J57=L57,"OK","DIF")</f>
        <v>#N/A</v>
      </c>
      <c r="N57" s="326" t="s">
        <v>6244</v>
      </c>
      <c r="O57" s="324"/>
      <c r="P57" s="279"/>
      <c r="Q57" s="279"/>
      <c r="R57" s="324"/>
      <c r="S57" s="324"/>
      <c r="T57" s="324"/>
      <c r="U57" s="324"/>
      <c r="V57" s="324"/>
      <c r="W57" s="279"/>
      <c r="X57" s="279"/>
      <c r="Y57" s="83"/>
      <c r="Z57" s="83"/>
      <c r="AA57" s="328"/>
      <c r="AB57" s="328"/>
    </row>
    <row r="58" ht="15" spans="1:28">
      <c r="A58" s="285"/>
      <c r="B58" s="291"/>
      <c r="C58" s="292"/>
      <c r="D58" s="293" t="s">
        <v>6236</v>
      </c>
      <c r="E58" s="294">
        <f>188.78*1.0439</f>
        <v>197.067442</v>
      </c>
      <c r="F58" s="295">
        <f>195*1.0439</f>
        <v>203.5605</v>
      </c>
      <c r="G58" s="295">
        <f>191.75*1.0439</f>
        <v>200.167825</v>
      </c>
      <c r="H58" s="295"/>
      <c r="I58" s="295"/>
      <c r="J58" s="325"/>
      <c r="K58" s="187" t="str">
        <f>IF(A58="c",$M$4*J58,"")</f>
        <v/>
      </c>
      <c r="L58" s="83"/>
      <c r="M58" s="96"/>
      <c r="N58" s="326"/>
      <c r="O58" s="324"/>
      <c r="P58" s="279"/>
      <c r="Q58" s="279"/>
      <c r="R58" s="324"/>
      <c r="S58" s="324"/>
      <c r="T58" s="324"/>
      <c r="U58" s="324"/>
      <c r="V58" s="324"/>
      <c r="W58" s="279"/>
      <c r="X58" s="279"/>
      <c r="Y58" s="83"/>
      <c r="Z58" s="83"/>
      <c r="AA58" s="328"/>
      <c r="AB58" s="328"/>
    </row>
    <row r="59" ht="28.5" spans="1:28">
      <c r="A59" s="285"/>
      <c r="B59" s="291"/>
      <c r="C59" s="292"/>
      <c r="D59" s="293" t="s">
        <v>6237</v>
      </c>
      <c r="E59" s="296" t="s">
        <v>6250</v>
      </c>
      <c r="F59" s="296" t="s">
        <v>6250</v>
      </c>
      <c r="G59" s="296" t="s">
        <v>6250</v>
      </c>
      <c r="H59" s="302"/>
      <c r="I59" s="302"/>
      <c r="J59" s="325"/>
      <c r="K59" s="187" t="str">
        <f>IF(A59="c",$M$4*J59,"")</f>
        <v/>
      </c>
      <c r="L59" s="83"/>
      <c r="M59" s="96"/>
      <c r="N59" s="326"/>
      <c r="O59" s="324"/>
      <c r="P59" s="279"/>
      <c r="Q59" s="279"/>
      <c r="R59" s="324"/>
      <c r="S59" s="324"/>
      <c r="T59" s="324"/>
      <c r="U59" s="279"/>
      <c r="V59" s="279"/>
      <c r="W59" s="279"/>
      <c r="X59" s="279"/>
      <c r="Y59" s="83"/>
      <c r="Z59" s="83"/>
      <c r="AA59" s="328"/>
      <c r="AB59" s="328"/>
    </row>
    <row r="60" ht="15" spans="1:28">
      <c r="A60" s="285"/>
      <c r="B60" s="307"/>
      <c r="C60" s="308"/>
      <c r="D60" s="309"/>
      <c r="E60" s="310"/>
      <c r="F60" s="311"/>
      <c r="G60" s="311"/>
      <c r="H60" s="311"/>
      <c r="I60" s="311"/>
      <c r="J60" s="331"/>
      <c r="K60" s="187" t="str">
        <f>IF(A60="c",$M$4*J60,"")</f>
        <v/>
      </c>
      <c r="L60" s="83"/>
      <c r="M60" s="96"/>
      <c r="N60" s="320"/>
      <c r="O60" s="321"/>
      <c r="P60" s="321"/>
      <c r="Q60" s="321"/>
      <c r="R60" s="321"/>
      <c r="S60" s="321"/>
      <c r="T60" s="321"/>
      <c r="U60" s="321"/>
      <c r="V60" s="321"/>
      <c r="W60" s="321"/>
      <c r="X60" s="321"/>
      <c r="Y60" s="83"/>
      <c r="Z60" s="83"/>
      <c r="AA60" s="98"/>
      <c r="AB60" s="98"/>
    </row>
    <row r="61" ht="24" spans="1:28">
      <c r="A61" s="285" t="str">
        <f>VLOOKUP(D61,'[2]2024 - Curva ABC de Insumos'!$E$6:$R$172,14,FALSE())</f>
        <v>C</v>
      </c>
      <c r="B61" s="300" t="s">
        <v>1022</v>
      </c>
      <c r="C61" s="305" t="s">
        <v>3966</v>
      </c>
      <c r="D61" s="288" t="s">
        <v>3967</v>
      </c>
      <c r="E61" s="289" t="s">
        <v>6277</v>
      </c>
      <c r="F61" s="290" t="s">
        <v>6278</v>
      </c>
      <c r="G61" s="290" t="s">
        <v>6279</v>
      </c>
      <c r="H61" s="290"/>
      <c r="I61" s="290"/>
      <c r="J61" s="322">
        <f>SMALL(E62:I62,1)</f>
        <v>5.981547</v>
      </c>
      <c r="K61" s="187"/>
      <c r="L61" s="187" t="e">
        <f>VLOOKUP(B61,[3]CPUs!D:L,9,FALSE())</f>
        <v>#N/A</v>
      </c>
      <c r="M61" s="96" t="e">
        <f>IF(J61=L61,"OK","DIF")</f>
        <v>#N/A</v>
      </c>
      <c r="N61" s="326" t="s">
        <v>6244</v>
      </c>
      <c r="O61" s="324"/>
      <c r="P61" s="279"/>
      <c r="Q61" s="279"/>
      <c r="R61" s="324"/>
      <c r="S61" s="324"/>
      <c r="T61" s="324"/>
      <c r="U61" s="324"/>
      <c r="V61" s="324"/>
      <c r="W61" s="279"/>
      <c r="X61" s="279"/>
      <c r="Y61" s="83"/>
      <c r="Z61" s="83"/>
      <c r="AA61" s="328"/>
      <c r="AB61" s="328"/>
    </row>
    <row r="62" ht="15" spans="1:28">
      <c r="A62" s="285"/>
      <c r="B62" s="291"/>
      <c r="C62" s="292"/>
      <c r="D62" s="293" t="s">
        <v>6236</v>
      </c>
      <c r="E62" s="294">
        <f>6.66*1.0439</f>
        <v>6.952374</v>
      </c>
      <c r="F62" s="295">
        <f>5.73*1.0439</f>
        <v>5.981547</v>
      </c>
      <c r="G62" s="295">
        <f>8.1*1.0439</f>
        <v>8.45559</v>
      </c>
      <c r="H62" s="295"/>
      <c r="I62" s="295"/>
      <c r="J62" s="325"/>
      <c r="K62" s="187" t="str">
        <f>IF(A62="c",$M$4*J62,"")</f>
        <v/>
      </c>
      <c r="L62" s="83"/>
      <c r="M62" s="96"/>
      <c r="N62" s="326"/>
      <c r="O62" s="324"/>
      <c r="P62" s="279"/>
      <c r="Q62" s="279"/>
      <c r="R62" s="324"/>
      <c r="S62" s="324"/>
      <c r="T62" s="324"/>
      <c r="U62" s="324"/>
      <c r="V62" s="324"/>
      <c r="W62" s="279"/>
      <c r="X62" s="279"/>
      <c r="Y62" s="83"/>
      <c r="Z62" s="83"/>
      <c r="AA62" s="328"/>
      <c r="AB62" s="328"/>
    </row>
    <row r="63" ht="285" spans="1:28">
      <c r="A63" s="285"/>
      <c r="B63" s="291"/>
      <c r="C63" s="292"/>
      <c r="D63" s="293" t="s">
        <v>6237</v>
      </c>
      <c r="E63" s="301" t="s">
        <v>6280</v>
      </c>
      <c r="F63" s="301" t="s">
        <v>6281</v>
      </c>
      <c r="G63" s="301" t="s">
        <v>6282</v>
      </c>
      <c r="H63" s="302"/>
      <c r="I63" s="302"/>
      <c r="J63" s="325"/>
      <c r="K63" s="187" t="str">
        <f>IF(A63="c",$M$4*J63,"")</f>
        <v/>
      </c>
      <c r="L63" s="83"/>
      <c r="M63" s="96"/>
      <c r="N63" s="326"/>
      <c r="O63" s="324"/>
      <c r="P63" s="279"/>
      <c r="Q63" s="279"/>
      <c r="R63" s="324"/>
      <c r="S63" s="324"/>
      <c r="T63" s="324"/>
      <c r="U63" s="279"/>
      <c r="V63" s="279"/>
      <c r="W63" s="279"/>
      <c r="X63" s="279"/>
      <c r="Y63" s="83"/>
      <c r="Z63" s="83"/>
      <c r="AA63" s="328"/>
      <c r="AB63" s="328"/>
    </row>
    <row r="64" ht="15" spans="1:28">
      <c r="A64" s="285"/>
      <c r="B64" s="307"/>
      <c r="C64" s="308"/>
      <c r="D64" s="309"/>
      <c r="E64" s="310"/>
      <c r="F64" s="311"/>
      <c r="G64" s="311"/>
      <c r="H64" s="311"/>
      <c r="I64" s="311"/>
      <c r="J64" s="331"/>
      <c r="K64" s="187" t="str">
        <f>IF(A64="c",$M$4*J64,"")</f>
        <v/>
      </c>
      <c r="L64" s="83"/>
      <c r="M64" s="96"/>
      <c r="N64" s="320"/>
      <c r="O64" s="321"/>
      <c r="P64" s="321"/>
      <c r="Q64" s="321"/>
      <c r="R64" s="321"/>
      <c r="S64" s="321"/>
      <c r="T64" s="321"/>
      <c r="U64" s="321"/>
      <c r="V64" s="321"/>
      <c r="W64" s="321"/>
      <c r="X64" s="321"/>
      <c r="Y64" s="83"/>
      <c r="Z64" s="83"/>
      <c r="AA64" s="98"/>
      <c r="AB64" s="98"/>
    </row>
    <row r="65" ht="24" spans="1:28">
      <c r="A65" s="285" t="str">
        <f>VLOOKUP(D65,'[2]2024 - Curva ABC de Insumos'!$E$6:$R$172,14,FALSE())</f>
        <v>C</v>
      </c>
      <c r="B65" s="300" t="s">
        <v>1025</v>
      </c>
      <c r="C65" s="305" t="s">
        <v>3976</v>
      </c>
      <c r="D65" s="288" t="s">
        <v>3977</v>
      </c>
      <c r="E65" s="289" t="s">
        <v>6274</v>
      </c>
      <c r="F65" s="290" t="s">
        <v>6275</v>
      </c>
      <c r="G65" s="290" t="s">
        <v>6276</v>
      </c>
      <c r="H65" s="290"/>
      <c r="I65" s="290"/>
      <c r="J65" s="322">
        <f>SMALL(E66:I66,1)</f>
        <v>17.22435</v>
      </c>
      <c r="K65" s="187"/>
      <c r="L65" s="187" t="e">
        <f>VLOOKUP(B65,[3]CPUs!D:L,9,FALSE())</f>
        <v>#N/A</v>
      </c>
      <c r="M65" s="96" t="e">
        <f>IF(J65=L65,"OK","DIF")</f>
        <v>#N/A</v>
      </c>
      <c r="N65" s="326" t="s">
        <v>6244</v>
      </c>
      <c r="O65" s="324"/>
      <c r="P65" s="279"/>
      <c r="Q65" s="279"/>
      <c r="R65" s="324"/>
      <c r="S65" s="324"/>
      <c r="T65" s="324"/>
      <c r="U65" s="324"/>
      <c r="V65" s="324"/>
      <c r="W65" s="279"/>
      <c r="X65" s="279"/>
      <c r="Y65" s="83"/>
      <c r="Z65" s="83"/>
      <c r="AA65" s="328"/>
      <c r="AB65" s="328"/>
    </row>
    <row r="66" ht="15" spans="1:28">
      <c r="A66" s="285"/>
      <c r="B66" s="291"/>
      <c r="C66" s="292"/>
      <c r="D66" s="293" t="s">
        <v>6236</v>
      </c>
      <c r="E66" s="294">
        <f>16.5*1.0439</f>
        <v>17.22435</v>
      </c>
      <c r="F66" s="295">
        <f>47*1.0439</f>
        <v>49.0633</v>
      </c>
      <c r="G66" s="295">
        <f>1.0439*50</f>
        <v>52.195</v>
      </c>
      <c r="H66" s="295"/>
      <c r="I66" s="295"/>
      <c r="J66" s="325"/>
      <c r="K66" s="187" t="str">
        <f>IF(A66="c",$M$4*J66,"")</f>
        <v/>
      </c>
      <c r="L66" s="83"/>
      <c r="M66" s="96"/>
      <c r="N66" s="326"/>
      <c r="O66" s="324"/>
      <c r="P66" s="279"/>
      <c r="Q66" s="279"/>
      <c r="R66" s="324"/>
      <c r="S66" s="324"/>
      <c r="T66" s="324"/>
      <c r="U66" s="324"/>
      <c r="V66" s="324"/>
      <c r="W66" s="279"/>
      <c r="X66" s="279"/>
      <c r="Y66" s="83"/>
      <c r="Z66" s="83"/>
      <c r="AA66" s="328"/>
      <c r="AB66" s="328"/>
    </row>
    <row r="67" ht="28.5" spans="1:28">
      <c r="A67" s="285"/>
      <c r="B67" s="291"/>
      <c r="C67" s="292"/>
      <c r="D67" s="293" t="s">
        <v>6237</v>
      </c>
      <c r="E67" s="296" t="s">
        <v>6250</v>
      </c>
      <c r="F67" s="296" t="s">
        <v>6250</v>
      </c>
      <c r="G67" s="296" t="s">
        <v>6250</v>
      </c>
      <c r="H67" s="302"/>
      <c r="I67" s="302"/>
      <c r="J67" s="325"/>
      <c r="K67" s="187" t="str">
        <f>IF(A67="c",$M$4*J67,"")</f>
        <v/>
      </c>
      <c r="L67" s="83"/>
      <c r="M67" s="96"/>
      <c r="N67" s="326"/>
      <c r="O67" s="324"/>
      <c r="P67" s="279"/>
      <c r="Q67" s="279"/>
      <c r="R67" s="324"/>
      <c r="S67" s="324"/>
      <c r="T67" s="324"/>
      <c r="U67" s="279"/>
      <c r="V67" s="279"/>
      <c r="W67" s="279"/>
      <c r="X67" s="279"/>
      <c r="Y67" s="83"/>
      <c r="Z67" s="83"/>
      <c r="AA67" s="328"/>
      <c r="AB67" s="328"/>
    </row>
    <row r="68" ht="15" spans="1:28">
      <c r="A68" s="285"/>
      <c r="B68" s="307"/>
      <c r="C68" s="308"/>
      <c r="D68" s="309"/>
      <c r="E68" s="310"/>
      <c r="F68" s="311"/>
      <c r="G68" s="311"/>
      <c r="H68" s="311"/>
      <c r="I68" s="311"/>
      <c r="J68" s="331"/>
      <c r="K68" s="187" t="str">
        <f>IF(A68="c",$M$4*J68,"")</f>
        <v/>
      </c>
      <c r="L68" s="83"/>
      <c r="M68" s="96"/>
      <c r="N68" s="320"/>
      <c r="O68" s="321"/>
      <c r="P68" s="321"/>
      <c r="Q68" s="321"/>
      <c r="R68" s="321"/>
      <c r="S68" s="321"/>
      <c r="T68" s="321"/>
      <c r="U68" s="321"/>
      <c r="V68" s="321"/>
      <c r="W68" s="321"/>
      <c r="X68" s="321"/>
      <c r="Y68" s="83"/>
      <c r="Z68" s="83"/>
      <c r="AA68" s="98"/>
      <c r="AB68" s="98"/>
    </row>
    <row r="69" ht="24" spans="1:28">
      <c r="A69" s="285" t="str">
        <f>VLOOKUP(D69,'[2]2024 - Curva ABC de Insumos'!$E$6:$R$172,14,FALSE())</f>
        <v>C</v>
      </c>
      <c r="B69" s="300" t="s">
        <v>1028</v>
      </c>
      <c r="C69" s="305" t="s">
        <v>3978</v>
      </c>
      <c r="D69" s="288" t="s">
        <v>3979</v>
      </c>
      <c r="E69" s="289" t="s">
        <v>6274</v>
      </c>
      <c r="F69" s="290" t="s">
        <v>6275</v>
      </c>
      <c r="G69" s="290" t="s">
        <v>6276</v>
      </c>
      <c r="H69" s="290"/>
      <c r="I69" s="290"/>
      <c r="J69" s="322">
        <f>SMALL(E70:I70,1)</f>
        <v>15.261818</v>
      </c>
      <c r="K69" s="187"/>
      <c r="L69" s="187" t="e">
        <f>VLOOKUP(B69,[3]CPUs!D:L,9,FALSE())</f>
        <v>#N/A</v>
      </c>
      <c r="M69" s="96" t="e">
        <f>IF(J69=L69,"OK","DIF")</f>
        <v>#N/A</v>
      </c>
      <c r="N69" s="326" t="s">
        <v>6244</v>
      </c>
      <c r="O69" s="324"/>
      <c r="P69" s="279"/>
      <c r="Q69" s="279"/>
      <c r="R69" s="324"/>
      <c r="S69" s="324"/>
      <c r="T69" s="324"/>
      <c r="U69" s="324"/>
      <c r="V69" s="324"/>
      <c r="W69" s="279"/>
      <c r="X69" s="279"/>
      <c r="Y69" s="83"/>
      <c r="Z69" s="83"/>
      <c r="AA69" s="328"/>
      <c r="AB69" s="328"/>
    </row>
    <row r="70" ht="15" spans="1:28">
      <c r="A70" s="285"/>
      <c r="B70" s="291"/>
      <c r="C70" s="292"/>
      <c r="D70" s="293" t="s">
        <v>6236</v>
      </c>
      <c r="E70" s="294">
        <f>1.0439*14.62</f>
        <v>15.261818</v>
      </c>
      <c r="F70" s="295">
        <f>1.0439*42</f>
        <v>43.8438</v>
      </c>
      <c r="G70" s="295">
        <f>1.0439*42.13</f>
        <v>43.979507</v>
      </c>
      <c r="H70" s="295"/>
      <c r="I70" s="295"/>
      <c r="J70" s="325"/>
      <c r="K70" s="187"/>
      <c r="L70" s="83"/>
      <c r="M70" s="96"/>
      <c r="N70" s="326"/>
      <c r="O70" s="324"/>
      <c r="P70" s="279"/>
      <c r="Q70" s="279"/>
      <c r="R70" s="324"/>
      <c r="S70" s="324"/>
      <c r="T70" s="324"/>
      <c r="U70" s="324"/>
      <c r="V70" s="324"/>
      <c r="W70" s="279"/>
      <c r="X70" s="279"/>
      <c r="Y70" s="83"/>
      <c r="Z70" s="83"/>
      <c r="AA70" s="328"/>
      <c r="AB70" s="328"/>
    </row>
    <row r="71" ht="28.5" spans="1:28">
      <c r="A71" s="285"/>
      <c r="B71" s="291"/>
      <c r="C71" s="292"/>
      <c r="D71" s="293" t="s">
        <v>6237</v>
      </c>
      <c r="E71" s="296" t="s">
        <v>6250</v>
      </c>
      <c r="F71" s="296" t="s">
        <v>6250</v>
      </c>
      <c r="G71" s="296" t="s">
        <v>6250</v>
      </c>
      <c r="H71" s="302"/>
      <c r="I71" s="302"/>
      <c r="J71" s="325"/>
      <c r="K71" s="187"/>
      <c r="L71" s="83"/>
      <c r="M71" s="96"/>
      <c r="N71" s="326"/>
      <c r="O71" s="324"/>
      <c r="P71" s="279"/>
      <c r="Q71" s="279"/>
      <c r="R71" s="324"/>
      <c r="S71" s="324"/>
      <c r="T71" s="324"/>
      <c r="U71" s="279"/>
      <c r="V71" s="279"/>
      <c r="W71" s="279"/>
      <c r="X71" s="279"/>
      <c r="Y71" s="83"/>
      <c r="Z71" s="83"/>
      <c r="AA71" s="328"/>
      <c r="AB71" s="328"/>
    </row>
    <row r="72" ht="15" spans="1:28">
      <c r="A72" s="285"/>
      <c r="B72" s="307"/>
      <c r="C72" s="308"/>
      <c r="D72" s="309"/>
      <c r="E72" s="310"/>
      <c r="F72" s="311"/>
      <c r="G72" s="311"/>
      <c r="H72" s="311"/>
      <c r="I72" s="311"/>
      <c r="J72" s="331"/>
      <c r="K72" s="187"/>
      <c r="L72" s="83"/>
      <c r="M72" s="96"/>
      <c r="N72" s="320"/>
      <c r="O72" s="321"/>
      <c r="P72" s="321"/>
      <c r="Q72" s="321"/>
      <c r="R72" s="321"/>
      <c r="S72" s="321"/>
      <c r="T72" s="321"/>
      <c r="U72" s="321"/>
      <c r="V72" s="321"/>
      <c r="W72" s="321"/>
      <c r="X72" s="321"/>
      <c r="Y72" s="83"/>
      <c r="Z72" s="83"/>
      <c r="AA72" s="98"/>
      <c r="AB72" s="98"/>
    </row>
    <row r="73" ht="24" spans="1:28">
      <c r="A73" s="285" t="str">
        <f>VLOOKUP(D73,'[2]2024 - Curva ABC de Insumos'!$E$6:$R$172,14,FALSE())</f>
        <v>C</v>
      </c>
      <c r="B73" s="300" t="s">
        <v>1031</v>
      </c>
      <c r="C73" s="305" t="s">
        <v>3980</v>
      </c>
      <c r="D73" s="288" t="s">
        <v>3981</v>
      </c>
      <c r="E73" s="289" t="s">
        <v>6274</v>
      </c>
      <c r="F73" s="290" t="s">
        <v>6275</v>
      </c>
      <c r="G73" s="290" t="s">
        <v>6276</v>
      </c>
      <c r="H73" s="290"/>
      <c r="I73" s="290"/>
      <c r="J73" s="322">
        <f>SMALL(E74:I74,1)</f>
        <v>12.380654</v>
      </c>
      <c r="K73" s="187"/>
      <c r="L73" s="187" t="e">
        <f>VLOOKUP(B73,[3]CPUs!D:L,9,FALSE())</f>
        <v>#N/A</v>
      </c>
      <c r="M73" s="96" t="e">
        <f>IF(J73=L73,"OK","DIF")</f>
        <v>#N/A</v>
      </c>
      <c r="N73" s="326" t="s">
        <v>6244</v>
      </c>
      <c r="O73" s="324"/>
      <c r="P73" s="279"/>
      <c r="Q73" s="279"/>
      <c r="R73" s="324"/>
      <c r="S73" s="324"/>
      <c r="T73" s="324"/>
      <c r="U73" s="324"/>
      <c r="V73" s="324"/>
      <c r="W73" s="279"/>
      <c r="X73" s="279"/>
      <c r="Y73" s="83"/>
      <c r="Z73" s="83"/>
      <c r="AA73" s="328"/>
      <c r="AB73" s="328"/>
    </row>
    <row r="74" ht="15" spans="1:28">
      <c r="A74" s="285"/>
      <c r="B74" s="291"/>
      <c r="C74" s="292"/>
      <c r="D74" s="293" t="s">
        <v>6236</v>
      </c>
      <c r="E74" s="294">
        <f>11.86*1.0439</f>
        <v>12.380654</v>
      </c>
      <c r="F74" s="295">
        <f>39*1.0439</f>
        <v>40.7121</v>
      </c>
      <c r="G74" s="295">
        <f>34.27*1.0439</f>
        <v>35.774453</v>
      </c>
      <c r="H74" s="295"/>
      <c r="I74" s="295"/>
      <c r="J74" s="325"/>
      <c r="K74" s="187"/>
      <c r="L74" s="83"/>
      <c r="M74" s="96"/>
      <c r="N74" s="326"/>
      <c r="O74" s="324"/>
      <c r="P74" s="279"/>
      <c r="Q74" s="279"/>
      <c r="R74" s="324"/>
      <c r="S74" s="324"/>
      <c r="T74" s="324"/>
      <c r="U74" s="324"/>
      <c r="V74" s="324"/>
      <c r="W74" s="279"/>
      <c r="X74" s="279"/>
      <c r="Y74" s="83"/>
      <c r="Z74" s="83"/>
      <c r="AA74" s="328"/>
      <c r="AB74" s="328"/>
    </row>
    <row r="75" ht="28.5" spans="1:28">
      <c r="A75" s="285"/>
      <c r="B75" s="291"/>
      <c r="C75" s="292"/>
      <c r="D75" s="293" t="s">
        <v>6237</v>
      </c>
      <c r="E75" s="296" t="s">
        <v>6250</v>
      </c>
      <c r="F75" s="296" t="s">
        <v>6250</v>
      </c>
      <c r="G75" s="296" t="s">
        <v>6250</v>
      </c>
      <c r="H75" s="302"/>
      <c r="I75" s="302"/>
      <c r="J75" s="325"/>
      <c r="K75" s="187"/>
      <c r="L75" s="83"/>
      <c r="M75" s="96"/>
      <c r="N75" s="326"/>
      <c r="O75" s="324"/>
      <c r="P75" s="279"/>
      <c r="Q75" s="279"/>
      <c r="R75" s="324"/>
      <c r="S75" s="324"/>
      <c r="T75" s="324"/>
      <c r="U75" s="279"/>
      <c r="V75" s="279"/>
      <c r="W75" s="279"/>
      <c r="X75" s="279"/>
      <c r="Y75" s="83"/>
      <c r="Z75" s="83"/>
      <c r="AA75" s="328"/>
      <c r="AB75" s="328"/>
    </row>
    <row r="76" ht="15" spans="1:28">
      <c r="A76" s="285"/>
      <c r="B76" s="307"/>
      <c r="C76" s="308"/>
      <c r="D76" s="309"/>
      <c r="E76" s="310"/>
      <c r="F76" s="311"/>
      <c r="G76" s="311"/>
      <c r="H76" s="311"/>
      <c r="I76" s="311"/>
      <c r="J76" s="331"/>
      <c r="K76" s="187"/>
      <c r="L76" s="83"/>
      <c r="M76" s="96"/>
      <c r="N76" s="320"/>
      <c r="O76" s="321"/>
      <c r="P76" s="321"/>
      <c r="Q76" s="321"/>
      <c r="R76" s="321"/>
      <c r="S76" s="321"/>
      <c r="T76" s="321"/>
      <c r="U76" s="321"/>
      <c r="V76" s="321"/>
      <c r="W76" s="321"/>
      <c r="X76" s="321"/>
      <c r="Y76" s="83"/>
      <c r="Z76" s="83"/>
      <c r="AA76" s="98"/>
      <c r="AB76" s="98"/>
    </row>
    <row r="77" ht="24" spans="1:28">
      <c r="A77" s="285" t="str">
        <f>VLOOKUP(D77,'[2]2024 - Curva ABC de Insumos'!$E$6:$R$172,14,FALSE())</f>
        <v>C</v>
      </c>
      <c r="B77" s="300" t="s">
        <v>1034</v>
      </c>
      <c r="C77" s="305" t="s">
        <v>3982</v>
      </c>
      <c r="D77" s="288" t="s">
        <v>3983</v>
      </c>
      <c r="E77" s="289" t="s">
        <v>6274</v>
      </c>
      <c r="F77" s="290" t="s">
        <v>6275</v>
      </c>
      <c r="G77" s="290" t="s">
        <v>6276</v>
      </c>
      <c r="H77" s="290"/>
      <c r="I77" s="290"/>
      <c r="J77" s="322">
        <f>SMALL(E78:I78,1)</f>
        <v>86.935992</v>
      </c>
      <c r="K77" s="187"/>
      <c r="L77" s="187" t="e">
        <f>VLOOKUP(B77,[3]CPUs!D:L,9,FALSE())</f>
        <v>#N/A</v>
      </c>
      <c r="M77" s="96" t="e">
        <f>IF(J77=L77,"OK","DIF")</f>
        <v>#N/A</v>
      </c>
      <c r="N77" s="326" t="s">
        <v>6244</v>
      </c>
      <c r="O77" s="324"/>
      <c r="P77" s="279"/>
      <c r="Q77" s="279"/>
      <c r="R77" s="324"/>
      <c r="S77" s="324"/>
      <c r="T77" s="324"/>
      <c r="U77" s="324"/>
      <c r="V77" s="324"/>
      <c r="W77" s="279"/>
      <c r="X77" s="279"/>
      <c r="Y77" s="83"/>
      <c r="Z77" s="83"/>
      <c r="AA77" s="328"/>
      <c r="AB77" s="328"/>
    </row>
    <row r="78" ht="15" spans="1:28">
      <c r="A78" s="285"/>
      <c r="B78" s="291"/>
      <c r="C78" s="292"/>
      <c r="D78" s="293" t="s">
        <v>6236</v>
      </c>
      <c r="E78" s="294">
        <f>1.0439*83.28</f>
        <v>86.935992</v>
      </c>
      <c r="F78" s="295">
        <f>1.0439*180</f>
        <v>187.902</v>
      </c>
      <c r="G78" s="295">
        <f>1.0439*95.52</f>
        <v>99.713328</v>
      </c>
      <c r="H78" s="295"/>
      <c r="I78" s="295"/>
      <c r="J78" s="325"/>
      <c r="K78" s="187"/>
      <c r="L78" s="83"/>
      <c r="M78" s="96"/>
      <c r="N78" s="326"/>
      <c r="O78" s="324"/>
      <c r="P78" s="279"/>
      <c r="Q78" s="279"/>
      <c r="R78" s="324"/>
      <c r="S78" s="324"/>
      <c r="T78" s="324"/>
      <c r="U78" s="324"/>
      <c r="V78" s="324"/>
      <c r="W78" s="279"/>
      <c r="X78" s="279"/>
      <c r="Y78" s="83"/>
      <c r="Z78" s="83"/>
      <c r="AA78" s="328"/>
      <c r="AB78" s="328"/>
    </row>
    <row r="79" ht="28.5" spans="1:28">
      <c r="A79" s="285"/>
      <c r="B79" s="291"/>
      <c r="C79" s="292"/>
      <c r="D79" s="293" t="s">
        <v>6237</v>
      </c>
      <c r="E79" s="296" t="s">
        <v>6250</v>
      </c>
      <c r="F79" s="296" t="s">
        <v>6250</v>
      </c>
      <c r="G79" s="296" t="s">
        <v>6250</v>
      </c>
      <c r="H79" s="302"/>
      <c r="I79" s="302"/>
      <c r="J79" s="325"/>
      <c r="K79" s="187"/>
      <c r="L79" s="83"/>
      <c r="M79" s="96"/>
      <c r="N79" s="326"/>
      <c r="O79" s="324"/>
      <c r="P79" s="279"/>
      <c r="Q79" s="279"/>
      <c r="R79" s="324"/>
      <c r="S79" s="324"/>
      <c r="T79" s="324"/>
      <c r="U79" s="279"/>
      <c r="V79" s="279"/>
      <c r="W79" s="279"/>
      <c r="X79" s="279"/>
      <c r="Y79" s="83"/>
      <c r="Z79" s="83"/>
      <c r="AA79" s="328"/>
      <c r="AB79" s="328"/>
    </row>
    <row r="80" ht="15" spans="1:28">
      <c r="A80" s="285"/>
      <c r="B80" s="307"/>
      <c r="C80" s="308"/>
      <c r="D80" s="309"/>
      <c r="E80" s="310"/>
      <c r="F80" s="311"/>
      <c r="G80" s="311"/>
      <c r="H80" s="311"/>
      <c r="I80" s="311"/>
      <c r="J80" s="331"/>
      <c r="K80" s="187"/>
      <c r="L80" s="83"/>
      <c r="M80" s="96"/>
      <c r="N80" s="320"/>
      <c r="O80" s="321"/>
      <c r="P80" s="321"/>
      <c r="Q80" s="321"/>
      <c r="R80" s="321"/>
      <c r="S80" s="321"/>
      <c r="T80" s="321"/>
      <c r="U80" s="321"/>
      <c r="V80" s="321"/>
      <c r="W80" s="321"/>
      <c r="X80" s="321"/>
      <c r="Y80" s="83"/>
      <c r="Z80" s="83"/>
      <c r="AA80" s="98"/>
      <c r="AB80" s="98"/>
    </row>
    <row r="81" ht="24" spans="1:28">
      <c r="A81" s="285" t="str">
        <f>VLOOKUP(D81,'[2]2024 - Curva ABC de Insumos'!$E$6:$R$172,14,FALSE())</f>
        <v>C</v>
      </c>
      <c r="B81" s="300" t="s">
        <v>1037</v>
      </c>
      <c r="C81" s="305" t="s">
        <v>3984</v>
      </c>
      <c r="D81" s="288" t="s">
        <v>3985</v>
      </c>
      <c r="E81" s="289" t="s">
        <v>6274</v>
      </c>
      <c r="F81" s="290" t="s">
        <v>6275</v>
      </c>
      <c r="G81" s="290" t="s">
        <v>6276</v>
      </c>
      <c r="H81" s="290"/>
      <c r="I81" s="290"/>
      <c r="J81" s="322">
        <f>SMALL(E82:I82,1)</f>
        <v>80.944006</v>
      </c>
      <c r="K81" s="187"/>
      <c r="L81" s="187" t="e">
        <f>VLOOKUP(B81,[3]CPUs!D:L,9,FALSE())</f>
        <v>#N/A</v>
      </c>
      <c r="M81" s="96" t="e">
        <f>IF(J81=L81,"OK","DIF")</f>
        <v>#N/A</v>
      </c>
      <c r="N81" s="326" t="s">
        <v>6244</v>
      </c>
      <c r="O81" s="324"/>
      <c r="P81" s="279"/>
      <c r="Q81" s="279"/>
      <c r="R81" s="324"/>
      <c r="S81" s="324"/>
      <c r="T81" s="324"/>
      <c r="U81" s="324"/>
      <c r="V81" s="324"/>
      <c r="W81" s="279"/>
      <c r="X81" s="279"/>
      <c r="Y81" s="83"/>
      <c r="Z81" s="83"/>
      <c r="AA81" s="328"/>
      <c r="AB81" s="328"/>
    </row>
    <row r="82" ht="15" spans="1:28">
      <c r="A82" s="285"/>
      <c r="B82" s="291"/>
      <c r="C82" s="292"/>
      <c r="D82" s="293" t="s">
        <v>6236</v>
      </c>
      <c r="E82" s="294">
        <f>1.0439*77.54</f>
        <v>80.944006</v>
      </c>
      <c r="F82" s="295">
        <f>1.0439*165</f>
        <v>172.2435</v>
      </c>
      <c r="G82" s="295">
        <f>1.0439*88.79</f>
        <v>92.687881</v>
      </c>
      <c r="H82" s="295"/>
      <c r="I82" s="295"/>
      <c r="J82" s="325"/>
      <c r="K82" s="187" t="str">
        <f>IF(A82="c",$M$4*J82,"")</f>
        <v/>
      </c>
      <c r="L82" s="83"/>
      <c r="M82" s="96"/>
      <c r="N82" s="326"/>
      <c r="O82" s="324"/>
      <c r="P82" s="279"/>
      <c r="Q82" s="279"/>
      <c r="R82" s="324"/>
      <c r="S82" s="324"/>
      <c r="T82" s="324"/>
      <c r="U82" s="324"/>
      <c r="V82" s="324"/>
      <c r="W82" s="279"/>
      <c r="X82" s="279"/>
      <c r="Y82" s="83"/>
      <c r="Z82" s="83"/>
      <c r="AA82" s="328"/>
      <c r="AB82" s="328"/>
    </row>
    <row r="83" ht="28.5" spans="1:28">
      <c r="A83" s="285"/>
      <c r="B83" s="291"/>
      <c r="C83" s="292"/>
      <c r="D83" s="293" t="s">
        <v>6237</v>
      </c>
      <c r="E83" s="296" t="s">
        <v>6250</v>
      </c>
      <c r="F83" s="296" t="s">
        <v>6250</v>
      </c>
      <c r="G83" s="296" t="s">
        <v>6250</v>
      </c>
      <c r="H83" s="302"/>
      <c r="I83" s="302"/>
      <c r="J83" s="325"/>
      <c r="K83" s="187" t="str">
        <f>IF(A83="c",$M$4*J83,"")</f>
        <v/>
      </c>
      <c r="L83" s="83"/>
      <c r="M83" s="96"/>
      <c r="N83" s="326"/>
      <c r="O83" s="324"/>
      <c r="P83" s="279"/>
      <c r="Q83" s="279"/>
      <c r="R83" s="324"/>
      <c r="S83" s="324"/>
      <c r="T83" s="324"/>
      <c r="U83" s="279"/>
      <c r="V83" s="279"/>
      <c r="W83" s="279"/>
      <c r="X83" s="279"/>
      <c r="Y83" s="83"/>
      <c r="Z83" s="83"/>
      <c r="AA83" s="328"/>
      <c r="AB83" s="328"/>
    </row>
    <row r="84" ht="15" spans="1:28">
      <c r="A84" s="285"/>
      <c r="B84" s="307"/>
      <c r="C84" s="308"/>
      <c r="D84" s="309"/>
      <c r="E84" s="310"/>
      <c r="F84" s="311"/>
      <c r="G84" s="311"/>
      <c r="H84" s="311"/>
      <c r="I84" s="311"/>
      <c r="J84" s="331"/>
      <c r="K84" s="187" t="str">
        <f>IF(A84="c",$M$4*J84,"")</f>
        <v/>
      </c>
      <c r="L84" s="83"/>
      <c r="M84" s="96"/>
      <c r="N84" s="320"/>
      <c r="O84" s="321"/>
      <c r="P84" s="321"/>
      <c r="Q84" s="321"/>
      <c r="R84" s="321"/>
      <c r="S84" s="321"/>
      <c r="T84" s="321"/>
      <c r="U84" s="321"/>
      <c r="V84" s="321"/>
      <c r="W84" s="321"/>
      <c r="X84" s="321"/>
      <c r="Y84" s="83"/>
      <c r="Z84" s="83"/>
      <c r="AA84" s="98"/>
      <c r="AB84" s="98"/>
    </row>
    <row r="85" ht="24" spans="1:28">
      <c r="A85" s="285" t="str">
        <f>VLOOKUP(D85,'[2]2024 - Curva ABC de Insumos'!$E$6:$R$172,14,FALSE())</f>
        <v>C</v>
      </c>
      <c r="B85" s="300" t="s">
        <v>1040</v>
      </c>
      <c r="C85" s="305" t="s">
        <v>3986</v>
      </c>
      <c r="D85" s="288" t="s">
        <v>3987</v>
      </c>
      <c r="E85" s="289" t="s">
        <v>6274</v>
      </c>
      <c r="F85" s="290" t="s">
        <v>6275</v>
      </c>
      <c r="G85" s="290" t="s">
        <v>6276</v>
      </c>
      <c r="H85" s="290"/>
      <c r="I85" s="290"/>
      <c r="J85" s="322">
        <f>SMALL(E86:I86,1)</f>
        <v>74.95202</v>
      </c>
      <c r="K85" s="187"/>
      <c r="L85" s="187" t="e">
        <f>VLOOKUP(B85,[3]CPUs!D:L,9,FALSE())</f>
        <v>#N/A</v>
      </c>
      <c r="M85" s="96" t="e">
        <f>IF(J85=L85,"OK","DIF")</f>
        <v>#N/A</v>
      </c>
      <c r="N85" s="326" t="s">
        <v>6244</v>
      </c>
      <c r="O85" s="324"/>
      <c r="P85" s="279"/>
      <c r="Q85" s="279"/>
      <c r="R85" s="324"/>
      <c r="S85" s="324"/>
      <c r="T85" s="324"/>
      <c r="U85" s="324"/>
      <c r="V85" s="324"/>
      <c r="W85" s="279"/>
      <c r="X85" s="279"/>
      <c r="Y85" s="83"/>
      <c r="Z85" s="83"/>
      <c r="AA85" s="328"/>
      <c r="AB85" s="328"/>
    </row>
    <row r="86" ht="15" spans="1:28">
      <c r="A86" s="285"/>
      <c r="B86" s="291"/>
      <c r="C86" s="292"/>
      <c r="D86" s="293" t="s">
        <v>6236</v>
      </c>
      <c r="E86" s="294">
        <f>1.0439*71.8</f>
        <v>74.95202</v>
      </c>
      <c r="F86" s="295">
        <f>1.0439*155</f>
        <v>161.8045</v>
      </c>
      <c r="G86" s="295">
        <f>1.0439*82.08</f>
        <v>85.683312</v>
      </c>
      <c r="H86" s="295"/>
      <c r="I86" s="295"/>
      <c r="J86" s="325"/>
      <c r="K86" s="187" t="str">
        <f>IF(A86="c",$M$4*J86,"")</f>
        <v/>
      </c>
      <c r="L86" s="83"/>
      <c r="M86" s="96"/>
      <c r="N86" s="326"/>
      <c r="O86" s="324"/>
      <c r="P86" s="279"/>
      <c r="Q86" s="279"/>
      <c r="R86" s="324"/>
      <c r="S86" s="324"/>
      <c r="T86" s="324"/>
      <c r="U86" s="324"/>
      <c r="V86" s="324"/>
      <c r="W86" s="279"/>
      <c r="X86" s="279"/>
      <c r="Y86" s="83"/>
      <c r="Z86" s="83"/>
      <c r="AA86" s="328"/>
      <c r="AB86" s="328"/>
    </row>
    <row r="87" ht="28.5" spans="1:28">
      <c r="A87" s="285"/>
      <c r="B87" s="291"/>
      <c r="C87" s="292"/>
      <c r="D87" s="293" t="s">
        <v>6237</v>
      </c>
      <c r="E87" s="296" t="s">
        <v>6250</v>
      </c>
      <c r="F87" s="296" t="s">
        <v>6250</v>
      </c>
      <c r="G87" s="296" t="s">
        <v>6250</v>
      </c>
      <c r="H87" s="302"/>
      <c r="I87" s="302"/>
      <c r="J87" s="325"/>
      <c r="K87" s="187" t="str">
        <f>IF(A87="c",$M$4*J87,"")</f>
        <v/>
      </c>
      <c r="L87" s="83"/>
      <c r="M87" s="96"/>
      <c r="N87" s="326"/>
      <c r="O87" s="324"/>
      <c r="P87" s="279"/>
      <c r="Q87" s="279"/>
      <c r="R87" s="324"/>
      <c r="S87" s="324"/>
      <c r="T87" s="324"/>
      <c r="U87" s="279"/>
      <c r="V87" s="279"/>
      <c r="W87" s="279"/>
      <c r="X87" s="279"/>
      <c r="Y87" s="83"/>
      <c r="Z87" s="83"/>
      <c r="AA87" s="328"/>
      <c r="AB87" s="328"/>
    </row>
    <row r="88" ht="15" spans="1:28">
      <c r="A88" s="285"/>
      <c r="B88" s="307"/>
      <c r="C88" s="308"/>
      <c r="D88" s="309"/>
      <c r="E88" s="310"/>
      <c r="F88" s="311"/>
      <c r="G88" s="311"/>
      <c r="H88" s="311"/>
      <c r="I88" s="311"/>
      <c r="J88" s="331"/>
      <c r="K88" s="187" t="str">
        <f>IF(A88="c",$M$4*J88,"")</f>
        <v/>
      </c>
      <c r="L88" s="83"/>
      <c r="M88" s="96"/>
      <c r="N88" s="320"/>
      <c r="O88" s="321"/>
      <c r="P88" s="321"/>
      <c r="Q88" s="321"/>
      <c r="R88" s="321"/>
      <c r="S88" s="321"/>
      <c r="T88" s="321"/>
      <c r="U88" s="321"/>
      <c r="V88" s="321"/>
      <c r="W88" s="321"/>
      <c r="X88" s="321"/>
      <c r="Y88" s="83"/>
      <c r="Z88" s="83"/>
      <c r="AA88" s="98"/>
      <c r="AB88" s="98"/>
    </row>
    <row r="89" ht="24" spans="1:28">
      <c r="A89" s="285" t="str">
        <f>VLOOKUP(D89,'[2]2024 - Curva ABC de Insumos'!$E$6:$R$172,14,FALSE())</f>
        <v>C</v>
      </c>
      <c r="B89" s="300" t="s">
        <v>1055</v>
      </c>
      <c r="C89" s="305" t="s">
        <v>3994</v>
      </c>
      <c r="D89" s="288" t="s">
        <v>3995</v>
      </c>
      <c r="E89" s="289" t="s">
        <v>6274</v>
      </c>
      <c r="F89" s="290" t="s">
        <v>6275</v>
      </c>
      <c r="G89" s="290" t="s">
        <v>6276</v>
      </c>
      <c r="H89" s="290"/>
      <c r="I89" s="290"/>
      <c r="J89" s="322">
        <f>SMALL(E90:I90,1)</f>
        <v>86.935992</v>
      </c>
      <c r="K89" s="187"/>
      <c r="L89" s="187" t="e">
        <f>VLOOKUP(B89,[3]CPUs!D:L,9,FALSE())</f>
        <v>#N/A</v>
      </c>
      <c r="M89" s="96" t="e">
        <f>IF(J89=L89,"OK","DIF")</f>
        <v>#N/A</v>
      </c>
      <c r="N89" s="326" t="s">
        <v>6244</v>
      </c>
      <c r="O89" s="324"/>
      <c r="P89" s="279"/>
      <c r="Q89" s="279"/>
      <c r="R89" s="324"/>
      <c r="S89" s="324"/>
      <c r="T89" s="324"/>
      <c r="U89" s="324"/>
      <c r="V89" s="324"/>
      <c r="W89" s="279"/>
      <c r="X89" s="279"/>
      <c r="Y89" s="83"/>
      <c r="Z89" s="83"/>
      <c r="AA89" s="328"/>
      <c r="AB89" s="328"/>
    </row>
    <row r="90" ht="15" spans="1:28">
      <c r="A90" s="285"/>
      <c r="B90" s="291"/>
      <c r="C90" s="292"/>
      <c r="D90" s="293" t="s">
        <v>6236</v>
      </c>
      <c r="E90" s="294">
        <f>1.0439*83.28</f>
        <v>86.935992</v>
      </c>
      <c r="F90" s="295">
        <f>1.0439*120</f>
        <v>125.268</v>
      </c>
      <c r="G90" s="295">
        <f>1.0439*95.53</f>
        <v>99.723767</v>
      </c>
      <c r="H90" s="295"/>
      <c r="I90" s="295"/>
      <c r="J90" s="325"/>
      <c r="K90" s="187" t="str">
        <f>IF(A90="c",$M$4*J90,"")</f>
        <v/>
      </c>
      <c r="L90" s="83"/>
      <c r="M90" s="96"/>
      <c r="N90" s="326"/>
      <c r="O90" s="324"/>
      <c r="P90" s="279"/>
      <c r="Q90" s="279"/>
      <c r="R90" s="324"/>
      <c r="S90" s="324"/>
      <c r="T90" s="324"/>
      <c r="U90" s="324"/>
      <c r="V90" s="324"/>
      <c r="W90" s="279"/>
      <c r="X90" s="279"/>
      <c r="Y90" s="83"/>
      <c r="Z90" s="83"/>
      <c r="AA90" s="328"/>
      <c r="AB90" s="328"/>
    </row>
    <row r="91" ht="28.5" spans="1:28">
      <c r="A91" s="285"/>
      <c r="B91" s="291"/>
      <c r="C91" s="292"/>
      <c r="D91" s="293" t="s">
        <v>6237</v>
      </c>
      <c r="E91" s="296" t="s">
        <v>6250</v>
      </c>
      <c r="F91" s="296" t="s">
        <v>6250</v>
      </c>
      <c r="G91" s="296" t="s">
        <v>6250</v>
      </c>
      <c r="H91" s="302"/>
      <c r="I91" s="302"/>
      <c r="J91" s="325"/>
      <c r="K91" s="187" t="str">
        <f>IF(A91="c",$M$4*J91,"")</f>
        <v/>
      </c>
      <c r="L91" s="83"/>
      <c r="M91" s="96"/>
      <c r="N91" s="326"/>
      <c r="O91" s="324"/>
      <c r="P91" s="279"/>
      <c r="Q91" s="279"/>
      <c r="R91" s="324"/>
      <c r="S91" s="324"/>
      <c r="T91" s="324"/>
      <c r="U91" s="279"/>
      <c r="V91" s="279"/>
      <c r="W91" s="279"/>
      <c r="X91" s="279"/>
      <c r="Y91" s="83"/>
      <c r="Z91" s="83"/>
      <c r="AA91" s="328"/>
      <c r="AB91" s="328"/>
    </row>
    <row r="92" ht="15" spans="1:28">
      <c r="A92" s="285"/>
      <c r="B92" s="307"/>
      <c r="C92" s="308"/>
      <c r="D92" s="309"/>
      <c r="E92" s="310"/>
      <c r="F92" s="311"/>
      <c r="G92" s="311"/>
      <c r="H92" s="311"/>
      <c r="I92" s="311"/>
      <c r="J92" s="331"/>
      <c r="K92" s="187" t="str">
        <f>IF(A92="c",$M$4*J92,"")</f>
        <v/>
      </c>
      <c r="L92" s="83"/>
      <c r="M92" s="96"/>
      <c r="N92" s="320"/>
      <c r="O92" s="321"/>
      <c r="P92" s="321"/>
      <c r="Q92" s="321"/>
      <c r="R92" s="321"/>
      <c r="S92" s="321"/>
      <c r="T92" s="321"/>
      <c r="U92" s="321"/>
      <c r="V92" s="321"/>
      <c r="W92" s="321"/>
      <c r="X92" s="321"/>
      <c r="Y92" s="83"/>
      <c r="Z92" s="83"/>
      <c r="AA92" s="98"/>
      <c r="AB92" s="98"/>
    </row>
    <row r="93" ht="24" spans="1:28">
      <c r="A93" s="285"/>
      <c r="B93" s="300"/>
      <c r="C93" s="332" t="s">
        <v>6283</v>
      </c>
      <c r="D93" s="333" t="s">
        <v>6284</v>
      </c>
      <c r="E93" s="289"/>
      <c r="F93" s="290"/>
      <c r="G93" s="290"/>
      <c r="H93" s="290"/>
      <c r="I93" s="290"/>
      <c r="J93" s="322"/>
      <c r="K93" s="187" t="str">
        <f>IF(A93="c",$M$4*J93,"")</f>
        <v/>
      </c>
      <c r="L93" s="187"/>
      <c r="M93" s="96"/>
      <c r="N93" s="326"/>
      <c r="O93" s="324"/>
      <c r="P93" s="279"/>
      <c r="Q93" s="279"/>
      <c r="R93" s="324"/>
      <c r="S93" s="324"/>
      <c r="T93" s="324"/>
      <c r="U93" s="324"/>
      <c r="V93" s="324"/>
      <c r="W93" s="279"/>
      <c r="X93" s="279"/>
      <c r="Y93" s="83"/>
      <c r="Z93" s="83"/>
      <c r="AA93" s="328"/>
      <c r="AB93" s="328"/>
    </row>
    <row r="94" ht="15" spans="1:28">
      <c r="A94" s="285"/>
      <c r="B94" s="307"/>
      <c r="C94" s="308"/>
      <c r="D94" s="309"/>
      <c r="E94" s="310"/>
      <c r="F94" s="311"/>
      <c r="G94" s="311"/>
      <c r="H94" s="311"/>
      <c r="I94" s="311"/>
      <c r="J94" s="331"/>
      <c r="K94" s="187" t="str">
        <f>IF(A94="c",$M$4*J94,"")</f>
        <v/>
      </c>
      <c r="L94" s="83"/>
      <c r="M94" s="96"/>
      <c r="N94" s="320"/>
      <c r="O94" s="321"/>
      <c r="P94" s="321"/>
      <c r="Q94" s="321"/>
      <c r="R94" s="321"/>
      <c r="S94" s="321"/>
      <c r="T94" s="321"/>
      <c r="U94" s="321"/>
      <c r="V94" s="321"/>
      <c r="W94" s="321"/>
      <c r="X94" s="321"/>
      <c r="Y94" s="83"/>
      <c r="Z94" s="83"/>
      <c r="AA94" s="98"/>
      <c r="AB94" s="98"/>
    </row>
    <row r="95" ht="24" spans="1:28">
      <c r="A95" s="285" t="str">
        <f>VLOOKUP(D95,'[2]2024 - Curva ABC de Insumos'!$E$6:$R$172,14,FALSE())</f>
        <v>C</v>
      </c>
      <c r="B95" s="300" t="s">
        <v>1088</v>
      </c>
      <c r="C95" s="305" t="s">
        <v>4032</v>
      </c>
      <c r="D95" s="288" t="s">
        <v>4033</v>
      </c>
      <c r="E95" s="289" t="s">
        <v>6285</v>
      </c>
      <c r="F95" s="290" t="s">
        <v>6286</v>
      </c>
      <c r="G95" s="290" t="s">
        <v>6287</v>
      </c>
      <c r="H95" s="290"/>
      <c r="I95" s="290"/>
      <c r="J95" s="322">
        <f>SMALL(E96:I96,1)</f>
        <v>79</v>
      </c>
      <c r="K95" s="187"/>
      <c r="L95" s="187" t="e">
        <f>VLOOKUP(B95,[3]CPUs!D:L,9,FALSE())</f>
        <v>#N/A</v>
      </c>
      <c r="M95" s="96" t="e">
        <f>IF(J95=L95,"OK","DIF")</f>
        <v>#N/A</v>
      </c>
      <c r="N95" s="326" t="s">
        <v>6244</v>
      </c>
      <c r="O95" s="324"/>
      <c r="P95" s="279"/>
      <c r="Q95" s="279"/>
      <c r="R95" s="324"/>
      <c r="S95" s="324"/>
      <c r="T95" s="324"/>
      <c r="U95" s="324"/>
      <c r="V95" s="324"/>
      <c r="W95" s="279"/>
      <c r="X95" s="279"/>
      <c r="Y95" s="83"/>
      <c r="Z95" s="83"/>
      <c r="AA95" s="328"/>
      <c r="AB95" s="328"/>
    </row>
    <row r="96" ht="15" spans="1:28">
      <c r="A96" s="285"/>
      <c r="B96" s="291"/>
      <c r="C96" s="292"/>
      <c r="D96" s="293" t="s">
        <v>6236</v>
      </c>
      <c r="E96" s="294">
        <v>95.77</v>
      </c>
      <c r="F96" s="295">
        <v>79</v>
      </c>
      <c r="G96" s="295">
        <v>154.1</v>
      </c>
      <c r="H96" s="295"/>
      <c r="I96" s="295"/>
      <c r="J96" s="325"/>
      <c r="K96" s="187" t="str">
        <f>IF(A96="c",$M$4*J96,"")</f>
        <v/>
      </c>
      <c r="L96" s="83"/>
      <c r="M96" s="96"/>
      <c r="N96" s="326"/>
      <c r="O96" s="324"/>
      <c r="P96" s="279"/>
      <c r="Q96" s="279"/>
      <c r="R96" s="324"/>
      <c r="S96" s="324"/>
      <c r="T96" s="324"/>
      <c r="U96" s="324"/>
      <c r="V96" s="324"/>
      <c r="W96" s="279"/>
      <c r="X96" s="279"/>
      <c r="Y96" s="83"/>
      <c r="Z96" s="83"/>
      <c r="AA96" s="328"/>
      <c r="AB96" s="328"/>
    </row>
    <row r="97" ht="165" spans="1:28">
      <c r="A97" s="285"/>
      <c r="B97" s="291"/>
      <c r="C97" s="292"/>
      <c r="D97" s="293" t="s">
        <v>6237</v>
      </c>
      <c r="E97" s="301" t="s">
        <v>6288</v>
      </c>
      <c r="F97" s="301" t="s">
        <v>6289</v>
      </c>
      <c r="G97" s="301" t="s">
        <v>6290</v>
      </c>
      <c r="H97" s="302"/>
      <c r="I97" s="302"/>
      <c r="J97" s="325"/>
      <c r="K97" s="187" t="str">
        <f>IF(A97="c",$M$4*J97,"")</f>
        <v/>
      </c>
      <c r="L97" s="83"/>
      <c r="M97" s="96"/>
      <c r="N97" s="326"/>
      <c r="O97" s="324"/>
      <c r="P97" s="279"/>
      <c r="Q97" s="279"/>
      <c r="R97" s="324"/>
      <c r="S97" s="324"/>
      <c r="T97" s="324"/>
      <c r="U97" s="279"/>
      <c r="V97" s="279"/>
      <c r="W97" s="279"/>
      <c r="X97" s="279"/>
      <c r="Y97" s="83"/>
      <c r="Z97" s="83"/>
      <c r="AA97" s="328"/>
      <c r="AB97" s="328"/>
    </row>
    <row r="98" ht="15" spans="1:28">
      <c r="A98" s="285"/>
      <c r="B98" s="307"/>
      <c r="C98" s="308"/>
      <c r="D98" s="309"/>
      <c r="E98" s="310"/>
      <c r="F98" s="311"/>
      <c r="G98" s="311"/>
      <c r="H98" s="311"/>
      <c r="I98" s="311"/>
      <c r="J98" s="331"/>
      <c r="K98" s="187" t="str">
        <f>IF(A98="c",$M$4*J98,"")</f>
        <v/>
      </c>
      <c r="L98" s="83"/>
      <c r="M98" s="96"/>
      <c r="N98" s="320"/>
      <c r="O98" s="321"/>
      <c r="P98" s="321"/>
      <c r="Q98" s="321"/>
      <c r="R98" s="321"/>
      <c r="S98" s="321"/>
      <c r="T98" s="321"/>
      <c r="U98" s="321"/>
      <c r="V98" s="321"/>
      <c r="W98" s="321"/>
      <c r="X98" s="321"/>
      <c r="Y98" s="83"/>
      <c r="Z98" s="83"/>
      <c r="AA98" s="98"/>
      <c r="AB98" s="98"/>
    </row>
    <row r="99" ht="24" spans="1:28">
      <c r="A99" s="303" t="str">
        <f>VLOOKUP(D99,'[2]2024 - Curva ABC de Insumos'!$E$6:$R$172,14,FALSE())</f>
        <v>B</v>
      </c>
      <c r="B99" s="300" t="s">
        <v>1136</v>
      </c>
      <c r="C99" s="334" t="s">
        <v>4064</v>
      </c>
      <c r="D99" s="335" t="s">
        <v>4065</v>
      </c>
      <c r="E99" s="289" t="s">
        <v>6291</v>
      </c>
      <c r="F99" s="290" t="s">
        <v>6292</v>
      </c>
      <c r="G99" s="290" t="s">
        <v>6293</v>
      </c>
      <c r="H99" s="290"/>
      <c r="I99" s="290"/>
      <c r="J99" s="322">
        <f>SMALL(E100:I100,1)</f>
        <v>30.59</v>
      </c>
      <c r="K99" s="187" t="str">
        <f>IF(A99="c",$M$4*J99,"")</f>
        <v/>
      </c>
      <c r="L99" s="187" t="e">
        <f>VLOOKUP(B99,[3]CPUs!D:L,9,FALSE())</f>
        <v>#N/A</v>
      </c>
      <c r="M99" s="96" t="e">
        <f>IF(J99=L99,"OK","DIF")</f>
        <v>#N/A</v>
      </c>
      <c r="N99" s="326" t="s">
        <v>6244</v>
      </c>
      <c r="O99" s="324"/>
      <c r="P99" s="279"/>
      <c r="Q99" s="279"/>
      <c r="R99" s="324"/>
      <c r="S99" s="324"/>
      <c r="T99" s="324"/>
      <c r="U99" s="324"/>
      <c r="V99" s="324"/>
      <c r="W99" s="279"/>
      <c r="X99" s="279"/>
      <c r="Y99" s="83"/>
      <c r="Z99" s="83"/>
      <c r="AA99" s="328"/>
      <c r="AB99" s="328"/>
    </row>
    <row r="100" ht="15" spans="1:28">
      <c r="A100" s="303"/>
      <c r="B100" s="291"/>
      <c r="C100" s="292"/>
      <c r="D100" s="293" t="s">
        <v>6236</v>
      </c>
      <c r="E100" s="294">
        <v>30.59</v>
      </c>
      <c r="F100" s="295">
        <v>34.53</v>
      </c>
      <c r="G100" s="295">
        <v>34.21</v>
      </c>
      <c r="H100" s="295"/>
      <c r="I100" s="295"/>
      <c r="J100" s="325"/>
      <c r="K100" s="187" t="str">
        <f>IF(A100="c",$M$4*J100,"")</f>
        <v/>
      </c>
      <c r="L100" s="83"/>
      <c r="M100" s="96"/>
      <c r="N100" s="326"/>
      <c r="O100" s="324"/>
      <c r="P100" s="279"/>
      <c r="Q100" s="279"/>
      <c r="R100" s="324"/>
      <c r="S100" s="324"/>
      <c r="T100" s="324"/>
      <c r="U100" s="324"/>
      <c r="V100" s="324"/>
      <c r="W100" s="279"/>
      <c r="X100" s="279"/>
      <c r="Y100" s="83"/>
      <c r="Z100" s="83"/>
      <c r="AA100" s="328"/>
      <c r="AB100" s="328"/>
    </row>
    <row r="101" ht="114" spans="1:28">
      <c r="A101" s="303"/>
      <c r="B101" s="291"/>
      <c r="C101" s="292"/>
      <c r="D101" s="293" t="s">
        <v>6237</v>
      </c>
      <c r="E101" s="296" t="s">
        <v>6294</v>
      </c>
      <c r="F101" s="296" t="s">
        <v>6295</v>
      </c>
      <c r="G101" s="296" t="s">
        <v>6296</v>
      </c>
      <c r="H101" s="302"/>
      <c r="I101" s="302"/>
      <c r="J101" s="325"/>
      <c r="K101" s="187" t="str">
        <f>IF(A101="c",$M$4*J101,"")</f>
        <v/>
      </c>
      <c r="L101" s="83"/>
      <c r="M101" s="96"/>
      <c r="N101" s="326"/>
      <c r="O101" s="324"/>
      <c r="P101" s="279"/>
      <c r="Q101" s="279"/>
      <c r="R101" s="324"/>
      <c r="S101" s="324"/>
      <c r="T101" s="324"/>
      <c r="U101" s="279"/>
      <c r="V101" s="279"/>
      <c r="W101" s="279"/>
      <c r="X101" s="279"/>
      <c r="Y101" s="83"/>
      <c r="Z101" s="83"/>
      <c r="AA101" s="328"/>
      <c r="AB101" s="328"/>
    </row>
    <row r="102" spans="1:28">
      <c r="A102" s="303"/>
      <c r="B102" s="336"/>
      <c r="C102" s="299"/>
      <c r="D102" s="299"/>
      <c r="E102" s="299"/>
      <c r="F102" s="299"/>
      <c r="G102" s="299"/>
      <c r="H102" s="299"/>
      <c r="I102" s="299"/>
      <c r="J102" s="327"/>
      <c r="K102" s="187" t="str">
        <f>IF(A102="c",$M$4*J102,"")</f>
        <v/>
      </c>
      <c r="L102" s="338"/>
      <c r="M102" s="329"/>
      <c r="N102" s="328"/>
      <c r="O102" s="328"/>
      <c r="P102" s="328"/>
      <c r="Q102" s="328"/>
      <c r="R102" s="328"/>
      <c r="S102" s="328"/>
      <c r="T102" s="328"/>
      <c r="U102" s="328"/>
      <c r="V102" s="328"/>
      <c r="W102" s="328"/>
      <c r="X102" s="328"/>
      <c r="Y102" s="328"/>
      <c r="Z102" s="328"/>
      <c r="AA102" s="328"/>
      <c r="AB102" s="328"/>
    </row>
    <row r="103" ht="48" spans="1:28">
      <c r="A103" s="303" t="str">
        <f>VLOOKUP(D103,'[2]2024 - Curva ABC de Insumos'!$E$6:$R$172,14,FALSE())</f>
        <v>A</v>
      </c>
      <c r="B103" s="300" t="s">
        <v>1207</v>
      </c>
      <c r="C103" s="305" t="s">
        <v>4146</v>
      </c>
      <c r="D103" s="288" t="s">
        <v>4147</v>
      </c>
      <c r="E103" s="289" t="s">
        <v>6297</v>
      </c>
      <c r="F103" s="289"/>
      <c r="G103" s="290"/>
      <c r="H103" s="289"/>
      <c r="I103" s="290"/>
      <c r="J103" s="322">
        <f>SMALL(E104:I104,1)</f>
        <v>182766.3</v>
      </c>
      <c r="K103" s="187" t="str">
        <f>IF(A103="c",$M$4*J103,"")</f>
        <v/>
      </c>
      <c r="L103" s="187" t="e">
        <f>VLOOKUP(B103,[3]CPUs!D:L,9,FALSE())</f>
        <v>#N/A</v>
      </c>
      <c r="M103" s="96" t="e">
        <f>IF(J103=L103,"OK","DIF")</f>
        <v>#N/A</v>
      </c>
      <c r="N103" s="326" t="s">
        <v>6244</v>
      </c>
      <c r="O103" s="324"/>
      <c r="P103" s="279"/>
      <c r="Q103" s="279"/>
      <c r="R103" s="324"/>
      <c r="S103" s="324"/>
      <c r="T103" s="324"/>
      <c r="U103" s="324"/>
      <c r="V103" s="324"/>
      <c r="W103" s="279"/>
      <c r="X103" s="279"/>
      <c r="Y103" s="83"/>
      <c r="Z103" s="83"/>
      <c r="AA103" s="328"/>
      <c r="AB103" s="328"/>
    </row>
    <row r="104" ht="15" spans="1:28">
      <c r="A104" s="303"/>
      <c r="B104" s="291"/>
      <c r="C104" s="292"/>
      <c r="D104" s="293" t="s">
        <v>6236</v>
      </c>
      <c r="E104" s="294">
        <v>182766.3</v>
      </c>
      <c r="F104" s="294"/>
      <c r="G104" s="295"/>
      <c r="H104" s="294"/>
      <c r="I104" s="295"/>
      <c r="J104" s="325"/>
      <c r="K104" s="187" t="str">
        <f>IF(A104="c",$M$4*J104,"")</f>
        <v/>
      </c>
      <c r="L104" s="83"/>
      <c r="M104" s="96"/>
      <c r="N104" s="326"/>
      <c r="O104" s="324"/>
      <c r="P104" s="279"/>
      <c r="Q104" s="279"/>
      <c r="R104" s="324"/>
      <c r="S104" s="324"/>
      <c r="T104" s="324"/>
      <c r="U104" s="324"/>
      <c r="V104" s="324"/>
      <c r="W104" s="279"/>
      <c r="X104" s="279"/>
      <c r="Y104" s="83"/>
      <c r="Z104" s="83"/>
      <c r="AA104" s="328"/>
      <c r="AB104" s="328"/>
    </row>
    <row r="105" ht="15" spans="1:28">
      <c r="A105" s="303"/>
      <c r="B105" s="291"/>
      <c r="C105" s="292"/>
      <c r="D105" s="293" t="s">
        <v>6237</v>
      </c>
      <c r="E105" s="296" t="s">
        <v>6250</v>
      </c>
      <c r="F105" s="301"/>
      <c r="G105" s="301"/>
      <c r="H105" s="301"/>
      <c r="I105" s="302"/>
      <c r="J105" s="325"/>
      <c r="K105" s="187" t="str">
        <f>IF(A105="c",$M$4*J105,"")</f>
        <v/>
      </c>
      <c r="L105" s="83"/>
      <c r="M105" s="96"/>
      <c r="N105" s="326"/>
      <c r="O105" s="324"/>
      <c r="P105" s="279"/>
      <c r="Q105" s="279"/>
      <c r="R105" s="324"/>
      <c r="S105" s="324"/>
      <c r="T105" s="324"/>
      <c r="U105" s="279"/>
      <c r="V105" s="279"/>
      <c r="W105" s="279"/>
      <c r="X105" s="279"/>
      <c r="Y105" s="83"/>
      <c r="Z105" s="83"/>
      <c r="AA105" s="328"/>
      <c r="AB105" s="328"/>
    </row>
    <row r="106" ht="102.95" customHeight="1" spans="1:28">
      <c r="A106" s="303"/>
      <c r="B106" s="291"/>
      <c r="C106" s="292"/>
      <c r="D106" s="293" t="s">
        <v>6251</v>
      </c>
      <c r="E106" s="304" t="s">
        <v>6298</v>
      </c>
      <c r="F106" s="304"/>
      <c r="G106" s="304"/>
      <c r="H106" s="304"/>
      <c r="I106" s="304"/>
      <c r="J106" s="304"/>
      <c r="K106" s="187" t="str">
        <f>IF(A106="c",$M$4*J106,"")</f>
        <v/>
      </c>
      <c r="L106" s="83"/>
      <c r="M106" s="96"/>
      <c r="N106" s="326"/>
      <c r="O106" s="324"/>
      <c r="P106" s="279"/>
      <c r="Q106" s="279"/>
      <c r="R106" s="324"/>
      <c r="S106" s="324"/>
      <c r="T106" s="324"/>
      <c r="U106" s="324"/>
      <c r="V106" s="324"/>
      <c r="W106" s="279"/>
      <c r="X106" s="279"/>
      <c r="Y106" s="83"/>
      <c r="Z106" s="83"/>
      <c r="AA106" s="328"/>
      <c r="AB106" s="328"/>
    </row>
    <row r="107" spans="1:28">
      <c r="A107" s="303"/>
      <c r="B107" s="336"/>
      <c r="C107" s="299"/>
      <c r="D107" s="299"/>
      <c r="E107" s="299"/>
      <c r="F107" s="299"/>
      <c r="G107" s="299"/>
      <c r="H107" s="299"/>
      <c r="I107" s="299"/>
      <c r="J107" s="327"/>
      <c r="K107" s="187" t="str">
        <f>IF(A107="c",$M$4*J107,"")</f>
        <v/>
      </c>
      <c r="L107" s="338"/>
      <c r="M107" s="329"/>
      <c r="N107" s="328"/>
      <c r="O107" s="328"/>
      <c r="P107" s="328"/>
      <c r="Q107" s="328"/>
      <c r="R107" s="328"/>
      <c r="S107" s="328"/>
      <c r="T107" s="328"/>
      <c r="U107" s="328"/>
      <c r="V107" s="328"/>
      <c r="W107" s="328"/>
      <c r="X107" s="328"/>
      <c r="Y107" s="328"/>
      <c r="Z107" s="328"/>
      <c r="AA107" s="328"/>
      <c r="AB107" s="328"/>
    </row>
    <row r="108" ht="72" spans="1:28">
      <c r="A108" s="303" t="str">
        <f>VLOOKUP(D108,'[2]2024 - Curva ABC de Insumos'!$E$6:$R$172,14,FALSE())</f>
        <v>B</v>
      </c>
      <c r="B108" s="300" t="s">
        <v>1207</v>
      </c>
      <c r="C108" s="305" t="s">
        <v>4141</v>
      </c>
      <c r="D108" s="337" t="s">
        <v>4142</v>
      </c>
      <c r="E108" s="289" t="s">
        <v>6297</v>
      </c>
      <c r="F108" s="289"/>
      <c r="G108" s="290"/>
      <c r="H108" s="289"/>
      <c r="I108" s="290"/>
      <c r="J108" s="322">
        <f>SMALL(E109:I109,1)</f>
        <v>31016.32</v>
      </c>
      <c r="K108" s="187" t="str">
        <f>IF(A108="c",$M$4*J108,"")</f>
        <v/>
      </c>
      <c r="L108" s="187" t="e">
        <f>VLOOKUP(B108,[3]CPUs!D:L,9,FALSE())</f>
        <v>#N/A</v>
      </c>
      <c r="M108" s="96" t="e">
        <f>IF(J108=L108,"OK","DIF")</f>
        <v>#N/A</v>
      </c>
      <c r="N108" s="326" t="s">
        <v>6244</v>
      </c>
      <c r="O108" s="324"/>
      <c r="P108" s="279"/>
      <c r="Q108" s="279"/>
      <c r="R108" s="324"/>
      <c r="S108" s="324"/>
      <c r="T108" s="324"/>
      <c r="U108" s="324"/>
      <c r="V108" s="324"/>
      <c r="W108" s="279"/>
      <c r="X108" s="279"/>
      <c r="Y108" s="83"/>
      <c r="Z108" s="83"/>
      <c r="AA108" s="328"/>
      <c r="AB108" s="328"/>
    </row>
    <row r="109" ht="15" spans="1:28">
      <c r="A109" s="303"/>
      <c r="B109" s="291"/>
      <c r="C109" s="292"/>
      <c r="D109" s="293" t="s">
        <v>6236</v>
      </c>
      <c r="E109" s="295">
        <v>31016.32</v>
      </c>
      <c r="F109" s="294"/>
      <c r="G109" s="295"/>
      <c r="H109" s="294"/>
      <c r="I109" s="295"/>
      <c r="J109" s="325"/>
      <c r="K109" s="187" t="str">
        <f>IF(A109="c",$M$4*J109,"")</f>
        <v/>
      </c>
      <c r="L109" s="83"/>
      <c r="M109" s="96"/>
      <c r="N109" s="326"/>
      <c r="O109" s="324"/>
      <c r="P109" s="279"/>
      <c r="Q109" s="279"/>
      <c r="R109" s="324"/>
      <c r="S109" s="324"/>
      <c r="T109" s="324"/>
      <c r="U109" s="324"/>
      <c r="V109" s="324"/>
      <c r="W109" s="279"/>
      <c r="X109" s="279"/>
      <c r="Y109" s="83"/>
      <c r="Z109" s="83"/>
      <c r="AA109" s="328"/>
      <c r="AB109" s="328"/>
    </row>
    <row r="110" ht="15" spans="1:28">
      <c r="A110" s="303"/>
      <c r="B110" s="291"/>
      <c r="C110" s="292"/>
      <c r="D110" s="293" t="s">
        <v>6237</v>
      </c>
      <c r="E110" s="296" t="s">
        <v>6250</v>
      </c>
      <c r="F110" s="301"/>
      <c r="G110" s="301"/>
      <c r="H110" s="301"/>
      <c r="I110" s="302"/>
      <c r="J110" s="325"/>
      <c r="K110" s="187" t="str">
        <f>IF(A110="c",$M$4*J110,"")</f>
        <v/>
      </c>
      <c r="L110" s="83"/>
      <c r="M110" s="96"/>
      <c r="N110" s="326"/>
      <c r="O110" s="324"/>
      <c r="P110" s="279"/>
      <c r="Q110" s="279"/>
      <c r="R110" s="324"/>
      <c r="S110" s="324"/>
      <c r="T110" s="324"/>
      <c r="U110" s="279"/>
      <c r="V110" s="279"/>
      <c r="W110" s="279"/>
      <c r="X110" s="279"/>
      <c r="Y110" s="83"/>
      <c r="Z110" s="83"/>
      <c r="AA110" s="328"/>
      <c r="AB110" s="328"/>
    </row>
    <row r="111" ht="15" customHeight="1" spans="1:28">
      <c r="A111" s="303"/>
      <c r="B111" s="291"/>
      <c r="C111" s="292"/>
      <c r="D111" s="293" t="s">
        <v>6251</v>
      </c>
      <c r="E111" s="304" t="s">
        <v>6299</v>
      </c>
      <c r="F111" s="304"/>
      <c r="G111" s="304"/>
      <c r="H111" s="304"/>
      <c r="I111" s="304"/>
      <c r="J111" s="304"/>
      <c r="K111" s="187" t="str">
        <f>IF(A111="c",$M$4*J111,"")</f>
        <v/>
      </c>
      <c r="L111" s="83"/>
      <c r="M111" s="96"/>
      <c r="N111" s="326"/>
      <c r="O111" s="324"/>
      <c r="P111" s="279"/>
      <c r="Q111" s="279"/>
      <c r="R111" s="324"/>
      <c r="S111" s="324"/>
      <c r="T111" s="324"/>
      <c r="U111" s="324"/>
      <c r="V111" s="324"/>
      <c r="W111" s="279"/>
      <c r="X111" s="279"/>
      <c r="Y111" s="83"/>
      <c r="Z111" s="83"/>
      <c r="AA111" s="328"/>
      <c r="AB111" s="328"/>
    </row>
    <row r="112" spans="1:28">
      <c r="A112" s="303"/>
      <c r="B112" s="336"/>
      <c r="C112" s="299"/>
      <c r="D112" s="299"/>
      <c r="E112" s="299"/>
      <c r="F112" s="299"/>
      <c r="G112" s="299"/>
      <c r="H112" s="299"/>
      <c r="I112" s="299"/>
      <c r="J112" s="327"/>
      <c r="K112" s="187" t="str">
        <f>IF(A112="c",$M$4*J112,"")</f>
        <v/>
      </c>
      <c r="L112" s="338"/>
      <c r="M112" s="329"/>
      <c r="N112" s="328"/>
      <c r="O112" s="328"/>
      <c r="P112" s="328"/>
      <c r="Q112" s="328"/>
      <c r="R112" s="328"/>
      <c r="S112" s="328"/>
      <c r="T112" s="328"/>
      <c r="U112" s="328"/>
      <c r="V112" s="328"/>
      <c r="W112" s="328"/>
      <c r="X112" s="328"/>
      <c r="Y112" s="328"/>
      <c r="Z112" s="328"/>
      <c r="AA112" s="328"/>
      <c r="AB112" s="328"/>
    </row>
    <row r="113" spans="1:28">
      <c r="A113" s="303" t="str">
        <f>VLOOKUP(D113,'[2]2024 - Curva ABC de Insumos'!$E$6:$R$172,14,FALSE())</f>
        <v>B</v>
      </c>
      <c r="B113" s="300" t="s">
        <v>1207</v>
      </c>
      <c r="C113" s="305" t="s">
        <v>4143</v>
      </c>
      <c r="D113" s="288" t="s">
        <v>4144</v>
      </c>
      <c r="E113" s="289" t="s">
        <v>6297</v>
      </c>
      <c r="F113" s="289"/>
      <c r="G113" s="290"/>
      <c r="H113" s="289"/>
      <c r="I113" s="290"/>
      <c r="J113" s="322">
        <f>SMALL(E114:I114,1)</f>
        <v>52650</v>
      </c>
      <c r="K113" s="187" t="str">
        <f>IF(A113="c",$M$4*J113,"")</f>
        <v/>
      </c>
      <c r="L113" s="187" t="e">
        <f>VLOOKUP(B113,[3]CPUs!D:L,9,FALSE())</f>
        <v>#N/A</v>
      </c>
      <c r="M113" s="96" t="e">
        <f>IF(J113=L113,"OK","DIF")</f>
        <v>#N/A</v>
      </c>
      <c r="N113" s="326" t="s">
        <v>6244</v>
      </c>
      <c r="O113" s="324"/>
      <c r="P113" s="279"/>
      <c r="Q113" s="279"/>
      <c r="R113" s="324"/>
      <c r="S113" s="324"/>
      <c r="T113" s="324"/>
      <c r="U113" s="324"/>
      <c r="V113" s="324"/>
      <c r="W113" s="279"/>
      <c r="X113" s="279"/>
      <c r="Y113" s="83"/>
      <c r="Z113" s="83"/>
      <c r="AA113" s="328"/>
      <c r="AB113" s="328"/>
    </row>
    <row r="114" ht="15" spans="1:28">
      <c r="A114" s="303"/>
      <c r="B114" s="291"/>
      <c r="C114" s="292"/>
      <c r="D114" s="293" t="s">
        <v>6236</v>
      </c>
      <c r="E114" s="295">
        <v>52650</v>
      </c>
      <c r="F114" s="294"/>
      <c r="G114" s="295"/>
      <c r="H114" s="294"/>
      <c r="I114" s="295"/>
      <c r="J114" s="325"/>
      <c r="K114" s="187" t="str">
        <f>IF(A114="c",$M$4*J114,"")</f>
        <v/>
      </c>
      <c r="L114" s="83"/>
      <c r="M114" s="96"/>
      <c r="N114" s="326"/>
      <c r="O114" s="324"/>
      <c r="P114" s="279"/>
      <c r="Q114" s="279"/>
      <c r="R114" s="324"/>
      <c r="S114" s="324"/>
      <c r="T114" s="324"/>
      <c r="U114" s="324"/>
      <c r="V114" s="324"/>
      <c r="W114" s="279"/>
      <c r="X114" s="279"/>
      <c r="Y114" s="83"/>
      <c r="Z114" s="83"/>
      <c r="AA114" s="328"/>
      <c r="AB114" s="328"/>
    </row>
    <row r="115" ht="15" spans="1:28">
      <c r="A115" s="303"/>
      <c r="B115" s="291"/>
      <c r="C115" s="292"/>
      <c r="D115" s="293" t="s">
        <v>6237</v>
      </c>
      <c r="E115" s="296" t="s">
        <v>6250</v>
      </c>
      <c r="F115" s="301"/>
      <c r="G115" s="301"/>
      <c r="H115" s="301"/>
      <c r="I115" s="302"/>
      <c r="J115" s="325"/>
      <c r="K115" s="187" t="str">
        <f>IF(A115="c",$M$4*J115,"")</f>
        <v/>
      </c>
      <c r="L115" s="83"/>
      <c r="M115" s="96"/>
      <c r="N115" s="326"/>
      <c r="O115" s="324"/>
      <c r="P115" s="279"/>
      <c r="Q115" s="279"/>
      <c r="R115" s="324"/>
      <c r="S115" s="324"/>
      <c r="T115" s="324"/>
      <c r="U115" s="279"/>
      <c r="V115" s="279"/>
      <c r="W115" s="279"/>
      <c r="X115" s="279"/>
      <c r="Y115" s="83"/>
      <c r="Z115" s="83"/>
      <c r="AA115" s="328"/>
      <c r="AB115" s="328"/>
    </row>
    <row r="116" ht="15" customHeight="1" spans="1:28">
      <c r="A116" s="303"/>
      <c r="B116" s="291"/>
      <c r="C116" s="292"/>
      <c r="D116" s="293" t="s">
        <v>6251</v>
      </c>
      <c r="E116" s="304" t="s">
        <v>6299</v>
      </c>
      <c r="F116" s="304"/>
      <c r="G116" s="304"/>
      <c r="H116" s="304"/>
      <c r="I116" s="304"/>
      <c r="J116" s="304"/>
      <c r="K116" s="187" t="str">
        <f>IF(A116="c",$M$4*J116,"")</f>
        <v/>
      </c>
      <c r="L116" s="83"/>
      <c r="M116" s="96"/>
      <c r="N116" s="326"/>
      <c r="O116" s="324"/>
      <c r="P116" s="279"/>
      <c r="Q116" s="279"/>
      <c r="R116" s="324"/>
      <c r="S116" s="324"/>
      <c r="T116" s="324"/>
      <c r="U116" s="324"/>
      <c r="V116" s="324"/>
      <c r="W116" s="279"/>
      <c r="X116" s="279"/>
      <c r="Y116" s="83"/>
      <c r="Z116" s="83"/>
      <c r="AA116" s="328"/>
      <c r="AB116" s="328"/>
    </row>
    <row r="117" spans="1:28">
      <c r="A117" s="303"/>
      <c r="B117" s="336"/>
      <c r="C117" s="299"/>
      <c r="D117" s="299"/>
      <c r="E117" s="299"/>
      <c r="F117" s="299"/>
      <c r="G117" s="299"/>
      <c r="H117" s="299"/>
      <c r="I117" s="299"/>
      <c r="J117" s="327"/>
      <c r="K117" s="187" t="str">
        <f>IF(A117="c",$M$4*J117,"")</f>
        <v/>
      </c>
      <c r="L117" s="338"/>
      <c r="M117" s="329"/>
      <c r="N117" s="328"/>
      <c r="O117" s="328"/>
      <c r="P117" s="328"/>
      <c r="Q117" s="328"/>
      <c r="R117" s="328"/>
      <c r="S117" s="328"/>
      <c r="T117" s="328"/>
      <c r="U117" s="328"/>
      <c r="V117" s="328"/>
      <c r="W117" s="328"/>
      <c r="X117" s="328"/>
      <c r="Y117" s="328"/>
      <c r="Z117" s="328"/>
      <c r="AA117" s="328"/>
      <c r="AB117" s="328"/>
    </row>
    <row r="118" spans="1:28">
      <c r="A118" s="285" t="str">
        <f>VLOOKUP(D118,'[2]2024 - Curva ABC de Insumos'!$E$6:$R$172,14,FALSE())</f>
        <v>C</v>
      </c>
      <c r="B118" s="300" t="s">
        <v>1270</v>
      </c>
      <c r="C118" s="334" t="s">
        <v>4184</v>
      </c>
      <c r="D118" s="288" t="s">
        <v>4185</v>
      </c>
      <c r="E118" s="290" t="s">
        <v>6300</v>
      </c>
      <c r="F118" s="289" t="s">
        <v>6301</v>
      </c>
      <c r="G118" s="290" t="s">
        <v>6302</v>
      </c>
      <c r="H118" s="289"/>
      <c r="I118" s="290"/>
      <c r="J118" s="322">
        <f>SMALL(E119:I119,1)</f>
        <v>12.81</v>
      </c>
      <c r="K118" s="187"/>
      <c r="L118" s="187" t="e">
        <f>VLOOKUP(B118,[3]CPUs!D:L,9,FALSE())</f>
        <v>#N/A</v>
      </c>
      <c r="M118" s="96" t="e">
        <f>IF(J118=L118,"OK","DIF")</f>
        <v>#N/A</v>
      </c>
      <c r="N118" s="326" t="s">
        <v>6244</v>
      </c>
      <c r="O118" s="324"/>
      <c r="P118" s="279"/>
      <c r="Q118" s="279"/>
      <c r="R118" s="324"/>
      <c r="S118" s="324"/>
      <c r="T118" s="324"/>
      <c r="U118" s="324"/>
      <c r="V118" s="324"/>
      <c r="W118" s="279"/>
      <c r="X118" s="279"/>
      <c r="Y118" s="83"/>
      <c r="Z118" s="83"/>
      <c r="AA118" s="328"/>
      <c r="AB118" s="328"/>
    </row>
    <row r="119" ht="15" spans="1:28">
      <c r="A119" s="285"/>
      <c r="B119" s="291"/>
      <c r="C119" s="292"/>
      <c r="D119" s="293" t="s">
        <v>6236</v>
      </c>
      <c r="E119" s="295">
        <v>12.81</v>
      </c>
      <c r="F119" s="294">
        <v>14.23</v>
      </c>
      <c r="G119" s="295">
        <v>14.9</v>
      </c>
      <c r="H119" s="294"/>
      <c r="I119" s="295"/>
      <c r="J119" s="325"/>
      <c r="K119" s="187" t="str">
        <f>IF(A119="c",$M$4*J119,"")</f>
        <v/>
      </c>
      <c r="L119" s="83"/>
      <c r="M119" s="96"/>
      <c r="N119" s="326"/>
      <c r="O119" s="324"/>
      <c r="P119" s="279"/>
      <c r="Q119" s="279"/>
      <c r="R119" s="324"/>
      <c r="S119" s="324"/>
      <c r="T119" s="324"/>
      <c r="U119" s="324"/>
      <c r="V119" s="324"/>
      <c r="W119" s="279"/>
      <c r="X119" s="279"/>
      <c r="Y119" s="83"/>
      <c r="Z119" s="83"/>
      <c r="AA119" s="328"/>
      <c r="AB119" s="328"/>
    </row>
    <row r="120" ht="225" spans="1:28">
      <c r="A120" s="285"/>
      <c r="B120" s="291"/>
      <c r="C120" s="292"/>
      <c r="D120" s="293" t="s">
        <v>6237</v>
      </c>
      <c r="E120" s="301" t="s">
        <v>6303</v>
      </c>
      <c r="F120" s="301" t="s">
        <v>6304</v>
      </c>
      <c r="G120" s="301" t="s">
        <v>6305</v>
      </c>
      <c r="H120" s="301"/>
      <c r="I120" s="302"/>
      <c r="J120" s="325"/>
      <c r="K120" s="187" t="str">
        <f>IF(A120="c",$M$4*J120,"")</f>
        <v/>
      </c>
      <c r="L120" s="83"/>
      <c r="M120" s="96"/>
      <c r="N120" s="326"/>
      <c r="O120" s="324"/>
      <c r="P120" s="279"/>
      <c r="Q120" s="279"/>
      <c r="R120" s="324"/>
      <c r="S120" s="324"/>
      <c r="T120" s="324"/>
      <c r="U120" s="279"/>
      <c r="V120" s="279"/>
      <c r="W120" s="279"/>
      <c r="X120" s="279"/>
      <c r="Y120" s="83"/>
      <c r="Z120" s="83"/>
      <c r="AA120" s="328"/>
      <c r="AB120" s="328"/>
    </row>
    <row r="121" spans="1:28">
      <c r="A121" s="285"/>
      <c r="B121" s="336"/>
      <c r="C121" s="299"/>
      <c r="D121" s="299"/>
      <c r="E121" s="299"/>
      <c r="F121" s="299"/>
      <c r="G121" s="299"/>
      <c r="H121" s="299"/>
      <c r="I121" s="299"/>
      <c r="J121" s="327"/>
      <c r="K121" s="187" t="str">
        <f>IF(A121="c",$M$4*J121,"")</f>
        <v/>
      </c>
      <c r="L121" s="338"/>
      <c r="M121" s="329"/>
      <c r="N121" s="328"/>
      <c r="O121" s="328"/>
      <c r="P121" s="328"/>
      <c r="Q121" s="328"/>
      <c r="R121" s="328"/>
      <c r="S121" s="328"/>
      <c r="T121" s="328"/>
      <c r="U121" s="328"/>
      <c r="V121" s="328"/>
      <c r="W121" s="328"/>
      <c r="X121" s="328"/>
      <c r="Y121" s="328"/>
      <c r="Z121" s="328"/>
      <c r="AA121" s="328"/>
      <c r="AB121" s="328"/>
    </row>
    <row r="122" spans="1:28">
      <c r="A122" s="285" t="str">
        <f>VLOOKUP(D122,'[2]2024 - Curva ABC de Insumos'!$E$6:$R$172,14,FALSE())</f>
        <v>C</v>
      </c>
      <c r="B122" s="300" t="s">
        <v>1273</v>
      </c>
      <c r="C122" s="305" t="s">
        <v>4186</v>
      </c>
      <c r="D122" s="288" t="s">
        <v>4187</v>
      </c>
      <c r="E122" s="289" t="s">
        <v>6306</v>
      </c>
      <c r="F122" s="289" t="s">
        <v>6301</v>
      </c>
      <c r="G122" s="290" t="s">
        <v>6307</v>
      </c>
      <c r="H122" s="290"/>
      <c r="I122" s="290"/>
      <c r="J122" s="322">
        <f>SMALL(E123:I123,1)</f>
        <v>16.472742</v>
      </c>
      <c r="K122" s="187"/>
      <c r="L122" s="187" t="e">
        <f>VLOOKUP(B122,[3]CPUs!D:L,9,FALSE())</f>
        <v>#N/A</v>
      </c>
      <c r="M122" s="96" t="e">
        <f>IF(J122=L122,"OK","DIF")</f>
        <v>#N/A</v>
      </c>
      <c r="N122" s="326" t="s">
        <v>6244</v>
      </c>
      <c r="O122" s="324"/>
      <c r="P122" s="279"/>
      <c r="Q122" s="279"/>
      <c r="R122" s="324"/>
      <c r="S122" s="324"/>
      <c r="T122" s="324"/>
      <c r="U122" s="324"/>
      <c r="V122" s="324"/>
      <c r="W122" s="279"/>
      <c r="X122" s="279"/>
      <c r="Y122" s="83"/>
      <c r="Z122" s="83"/>
      <c r="AA122" s="328"/>
      <c r="AB122" s="328"/>
    </row>
    <row r="123" ht="15" spans="1:28">
      <c r="A123" s="285"/>
      <c r="B123" s="291"/>
      <c r="C123" s="292"/>
      <c r="D123" s="293" t="s">
        <v>6236</v>
      </c>
      <c r="E123" s="294">
        <v>16.59</v>
      </c>
      <c r="F123" s="295">
        <v>20.44</v>
      </c>
      <c r="G123" s="295">
        <f>15.78*1.0439</f>
        <v>16.472742</v>
      </c>
      <c r="H123" s="295"/>
      <c r="I123" s="295"/>
      <c r="J123" s="325"/>
      <c r="K123" s="187" t="str">
        <f>IF(A123="c",$M$4*J123,"")</f>
        <v/>
      </c>
      <c r="L123" s="83"/>
      <c r="M123" s="96"/>
      <c r="N123" s="326"/>
      <c r="O123" s="324"/>
      <c r="P123" s="279"/>
      <c r="Q123" s="279"/>
      <c r="R123" s="324"/>
      <c r="S123" s="324"/>
      <c r="T123" s="324"/>
      <c r="U123" s="324"/>
      <c r="V123" s="324"/>
      <c r="W123" s="279"/>
      <c r="X123" s="279"/>
      <c r="Y123" s="83"/>
      <c r="Z123" s="83"/>
      <c r="AA123" s="328"/>
      <c r="AB123" s="328"/>
    </row>
    <row r="124" ht="225" spans="1:28">
      <c r="A124" s="285"/>
      <c r="B124" s="291"/>
      <c r="C124" s="292"/>
      <c r="D124" s="293" t="s">
        <v>6237</v>
      </c>
      <c r="E124" s="301" t="s">
        <v>6308</v>
      </c>
      <c r="F124" s="301" t="s">
        <v>6309</v>
      </c>
      <c r="G124" s="301" t="s">
        <v>6310</v>
      </c>
      <c r="H124" s="302"/>
      <c r="I124" s="302"/>
      <c r="J124" s="325"/>
      <c r="K124" s="187" t="str">
        <f>IF(A124="c",$M$4*J124,"")</f>
        <v/>
      </c>
      <c r="L124" s="83"/>
      <c r="M124" s="96"/>
      <c r="N124" s="326"/>
      <c r="O124" s="324"/>
      <c r="P124" s="279"/>
      <c r="Q124" s="279"/>
      <c r="R124" s="324"/>
      <c r="S124" s="324"/>
      <c r="T124" s="324"/>
      <c r="U124" s="279"/>
      <c r="V124" s="279"/>
      <c r="W124" s="279"/>
      <c r="X124" s="279"/>
      <c r="Y124" s="83"/>
      <c r="Z124" s="83"/>
      <c r="AA124" s="328"/>
      <c r="AB124" s="328"/>
    </row>
    <row r="125" spans="1:28">
      <c r="A125" s="285"/>
      <c r="B125" s="336"/>
      <c r="C125" s="299"/>
      <c r="D125" s="299"/>
      <c r="E125" s="299"/>
      <c r="F125" s="299"/>
      <c r="G125" s="299"/>
      <c r="H125" s="299"/>
      <c r="I125" s="299"/>
      <c r="J125" s="327"/>
      <c r="K125" s="187" t="str">
        <f>IF(A125="c",$M$4*J125,"")</f>
        <v/>
      </c>
      <c r="L125" s="338"/>
      <c r="M125" s="329"/>
      <c r="N125" s="328"/>
      <c r="O125" s="328"/>
      <c r="P125" s="328"/>
      <c r="Q125" s="328"/>
      <c r="R125" s="328"/>
      <c r="S125" s="328"/>
      <c r="T125" s="328"/>
      <c r="U125" s="328"/>
      <c r="V125" s="328"/>
      <c r="W125" s="328"/>
      <c r="X125" s="328"/>
      <c r="Y125" s="328"/>
      <c r="Z125" s="328"/>
      <c r="AA125" s="328"/>
      <c r="AB125" s="328"/>
    </row>
    <row r="126" spans="1:28">
      <c r="A126" s="285"/>
      <c r="B126" s="300"/>
      <c r="C126" s="332" t="s">
        <v>6311</v>
      </c>
      <c r="D126" s="333" t="s">
        <v>6312</v>
      </c>
      <c r="E126" s="289"/>
      <c r="F126" s="290"/>
      <c r="G126" s="290"/>
      <c r="H126" s="290"/>
      <c r="I126" s="290"/>
      <c r="J126" s="322"/>
      <c r="K126" s="187" t="str">
        <f>IF(A126="c",$M$4*J126,"")</f>
        <v/>
      </c>
      <c r="L126" s="187"/>
      <c r="M126" s="96"/>
      <c r="N126" s="326"/>
      <c r="O126" s="324"/>
      <c r="P126" s="279"/>
      <c r="Q126" s="279"/>
      <c r="R126" s="324"/>
      <c r="S126" s="324"/>
      <c r="T126" s="324"/>
      <c r="U126" s="324"/>
      <c r="V126" s="324"/>
      <c r="W126" s="279"/>
      <c r="X126" s="279"/>
      <c r="Y126" s="83"/>
      <c r="Z126" s="83"/>
      <c r="AA126" s="328"/>
      <c r="AB126" s="328"/>
    </row>
    <row r="127" spans="1:28">
      <c r="A127" s="285"/>
      <c r="B127" s="336"/>
      <c r="C127" s="299"/>
      <c r="D127" s="299"/>
      <c r="E127" s="299"/>
      <c r="F127" s="299"/>
      <c r="G127" s="299"/>
      <c r="H127" s="299"/>
      <c r="I127" s="299"/>
      <c r="J127" s="327"/>
      <c r="K127" s="187" t="str">
        <f>IF(A127="c",$M$4*J127,"")</f>
        <v/>
      </c>
      <c r="L127" s="338"/>
      <c r="M127" s="329"/>
      <c r="N127" s="328"/>
      <c r="O127" s="328"/>
      <c r="P127" s="328"/>
      <c r="Q127" s="328"/>
      <c r="R127" s="328"/>
      <c r="S127" s="328"/>
      <c r="T127" s="328"/>
      <c r="U127" s="328"/>
      <c r="V127" s="328"/>
      <c r="W127" s="328"/>
      <c r="X127" s="328"/>
      <c r="Y127" s="328"/>
      <c r="Z127" s="328"/>
      <c r="AA127" s="328"/>
      <c r="AB127" s="328"/>
    </row>
    <row r="128" ht="24" spans="1:28">
      <c r="A128" s="285" t="str">
        <f>VLOOKUP(D128,'[2]2024 - Curva ABC de Insumos'!$E$6:$R$172,14,FALSE())</f>
        <v>C</v>
      </c>
      <c r="B128" s="300" t="s">
        <v>1279</v>
      </c>
      <c r="C128" s="305" t="s">
        <v>4192</v>
      </c>
      <c r="D128" s="288" t="s">
        <v>4193</v>
      </c>
      <c r="E128" s="289" t="s">
        <v>6313</v>
      </c>
      <c r="F128" s="290" t="s">
        <v>6314</v>
      </c>
      <c r="G128" s="290" t="s">
        <v>6315</v>
      </c>
      <c r="H128" s="290"/>
      <c r="I128" s="290"/>
      <c r="J128" s="322">
        <f>SMALL(E129:I129,1)</f>
        <v>4164.15</v>
      </c>
      <c r="K128" s="187"/>
      <c r="L128" s="187" t="e">
        <f>VLOOKUP(B128,[3]CPUs!D:L,9,FALSE())</f>
        <v>#N/A</v>
      </c>
      <c r="M128" s="96" t="e">
        <f>IF(J128=L128,"OK","DIF")</f>
        <v>#N/A</v>
      </c>
      <c r="N128" s="326" t="s">
        <v>6244</v>
      </c>
      <c r="O128" s="324"/>
      <c r="P128" s="279"/>
      <c r="Q128" s="279"/>
      <c r="R128" s="324"/>
      <c r="S128" s="324"/>
      <c r="T128" s="324"/>
      <c r="U128" s="324"/>
      <c r="V128" s="324"/>
      <c r="W128" s="279"/>
      <c r="X128" s="279"/>
      <c r="Y128" s="83"/>
      <c r="Z128" s="83"/>
      <c r="AA128" s="328"/>
      <c r="AB128" s="328"/>
    </row>
    <row r="129" ht="15" spans="1:28">
      <c r="A129" s="285"/>
      <c r="B129" s="291"/>
      <c r="C129" s="292"/>
      <c r="D129" s="293" t="s">
        <v>6236</v>
      </c>
      <c r="E129" s="294">
        <v>4164.15</v>
      </c>
      <c r="F129" s="295">
        <f>6189.26*1.0439</f>
        <v>6460.968514</v>
      </c>
      <c r="G129" s="295">
        <v>8700</v>
      </c>
      <c r="H129" s="295"/>
      <c r="I129" s="295"/>
      <c r="J129" s="325"/>
      <c r="K129" s="187" t="str">
        <f>IF(A129="c",$M$4*J129,"")</f>
        <v/>
      </c>
      <c r="L129" s="83"/>
      <c r="M129" s="96"/>
      <c r="N129" s="326"/>
      <c r="O129" s="324"/>
      <c r="P129" s="279"/>
      <c r="Q129" s="279"/>
      <c r="R129" s="324"/>
      <c r="S129" s="324"/>
      <c r="T129" s="324"/>
      <c r="U129" s="324"/>
      <c r="V129" s="324"/>
      <c r="W129" s="279"/>
      <c r="X129" s="279"/>
      <c r="Y129" s="83"/>
      <c r="Z129" s="83"/>
      <c r="AA129" s="328"/>
      <c r="AB129" s="328"/>
    </row>
    <row r="130" ht="313.5" spans="1:28">
      <c r="A130" s="285"/>
      <c r="B130" s="291"/>
      <c r="C130" s="292"/>
      <c r="D130" s="293" t="s">
        <v>6237</v>
      </c>
      <c r="E130" s="296" t="s">
        <v>6316</v>
      </c>
      <c r="F130" s="296" t="s">
        <v>6317</v>
      </c>
      <c r="G130" s="296" t="s">
        <v>6318</v>
      </c>
      <c r="H130" s="302"/>
      <c r="I130" s="302"/>
      <c r="J130" s="325"/>
      <c r="K130" s="187" t="str">
        <f>IF(A130="c",$M$4*J130,"")</f>
        <v/>
      </c>
      <c r="L130" s="83"/>
      <c r="M130" s="96"/>
      <c r="N130" s="326"/>
      <c r="O130" s="324"/>
      <c r="P130" s="279"/>
      <c r="Q130" s="279"/>
      <c r="R130" s="324"/>
      <c r="S130" s="324"/>
      <c r="T130" s="324"/>
      <c r="U130" s="279"/>
      <c r="V130" s="279"/>
      <c r="W130" s="279"/>
      <c r="X130" s="279"/>
      <c r="Y130" s="83"/>
      <c r="Z130" s="83"/>
      <c r="AA130" s="328"/>
      <c r="AB130" s="328"/>
    </row>
    <row r="131" ht="15" spans="1:28">
      <c r="A131" s="285"/>
      <c r="B131" s="307"/>
      <c r="C131" s="308"/>
      <c r="D131" s="309"/>
      <c r="E131" s="310"/>
      <c r="F131" s="311"/>
      <c r="G131" s="311"/>
      <c r="H131" s="311"/>
      <c r="I131" s="311"/>
      <c r="J131" s="331"/>
      <c r="K131" s="187" t="str">
        <f>IF(A131="c",$M$4*J131,"")</f>
        <v/>
      </c>
      <c r="L131" s="83"/>
      <c r="M131" s="96"/>
      <c r="N131" s="320"/>
      <c r="O131" s="321"/>
      <c r="P131" s="321"/>
      <c r="Q131" s="321"/>
      <c r="R131" s="321"/>
      <c r="S131" s="321"/>
      <c r="T131" s="321"/>
      <c r="U131" s="321"/>
      <c r="V131" s="321"/>
      <c r="W131" s="321"/>
      <c r="X131" s="321"/>
      <c r="Y131" s="83"/>
      <c r="Z131" s="83"/>
      <c r="AA131" s="98"/>
      <c r="AB131" s="98"/>
    </row>
    <row r="132" spans="1:28">
      <c r="A132" s="285" t="str">
        <f>VLOOKUP(D132,'[2]2024 - Curva ABC de Insumos'!$E$6:$R$172,14,FALSE())</f>
        <v>B</v>
      </c>
      <c r="B132" s="300" t="s">
        <v>1282</v>
      </c>
      <c r="C132" s="305" t="s">
        <v>4194</v>
      </c>
      <c r="D132" s="288" t="s">
        <v>1284</v>
      </c>
      <c r="E132" s="289" t="s">
        <v>6319</v>
      </c>
      <c r="F132" s="289" t="s">
        <v>6320</v>
      </c>
      <c r="G132" s="289" t="s">
        <v>6321</v>
      </c>
      <c r="H132" s="290"/>
      <c r="I132" s="290"/>
      <c r="J132" s="322">
        <f>SMALL(E133:I133,1)</f>
        <v>4.49</v>
      </c>
      <c r="K132" s="187"/>
      <c r="L132" s="187" t="e">
        <f>VLOOKUP(B132,[3]CPUs!D:L,9,FALSE())</f>
        <v>#N/A</v>
      </c>
      <c r="M132" s="96" t="e">
        <f>IF(J132=L132,"OK","DIF")</f>
        <v>#N/A</v>
      </c>
      <c r="N132" s="326" t="s">
        <v>6244</v>
      </c>
      <c r="O132" s="324"/>
      <c r="P132" s="279"/>
      <c r="Q132" s="279"/>
      <c r="R132" s="324"/>
      <c r="S132" s="324"/>
      <c r="T132" s="324"/>
      <c r="U132" s="324"/>
      <c r="V132" s="324"/>
      <c r="W132" s="279"/>
      <c r="X132" s="279"/>
      <c r="Y132" s="83"/>
      <c r="Z132" s="83"/>
      <c r="AA132" s="328"/>
      <c r="AB132" s="328"/>
    </row>
    <row r="133" ht="15" spans="1:28">
      <c r="A133" s="285"/>
      <c r="B133" s="291"/>
      <c r="C133" s="292"/>
      <c r="D133" s="293" t="s">
        <v>6236</v>
      </c>
      <c r="E133" s="294">
        <v>4.49</v>
      </c>
      <c r="F133" s="294">
        <v>8.17</v>
      </c>
      <c r="G133" s="294">
        <v>7.7</v>
      </c>
      <c r="H133" s="295"/>
      <c r="I133" s="295"/>
      <c r="J133" s="325"/>
      <c r="K133" s="187" t="str">
        <f>IF(A133="c",$M$4*J133,"")</f>
        <v/>
      </c>
      <c r="L133" s="83"/>
      <c r="M133" s="96"/>
      <c r="N133" s="326"/>
      <c r="O133" s="324"/>
      <c r="P133" s="279"/>
      <c r="Q133" s="279"/>
      <c r="R133" s="324"/>
      <c r="S133" s="324"/>
      <c r="T133" s="324"/>
      <c r="U133" s="324"/>
      <c r="V133" s="324"/>
      <c r="W133" s="279"/>
      <c r="X133" s="279"/>
      <c r="Y133" s="83"/>
      <c r="Z133" s="83"/>
      <c r="AA133" s="328"/>
      <c r="AB133" s="328"/>
    </row>
    <row r="134" ht="114" spans="1:28">
      <c r="A134" s="285"/>
      <c r="B134" s="291"/>
      <c r="C134" s="292"/>
      <c r="D134" s="293" t="s">
        <v>6237</v>
      </c>
      <c r="E134" s="339" t="s">
        <v>6322</v>
      </c>
      <c r="F134" s="296" t="s">
        <v>6250</v>
      </c>
      <c r="G134" s="296" t="s">
        <v>6250</v>
      </c>
      <c r="H134" s="302"/>
      <c r="I134" s="302"/>
      <c r="J134" s="325"/>
      <c r="K134" s="187" t="str">
        <f>IF(A134="c",$M$4*J134,"")</f>
        <v/>
      </c>
      <c r="L134" s="83"/>
      <c r="M134" s="96"/>
      <c r="N134" s="326"/>
      <c r="O134" s="324"/>
      <c r="P134" s="279"/>
      <c r="Q134" s="279"/>
      <c r="R134" s="324"/>
      <c r="S134" s="324"/>
      <c r="T134" s="324"/>
      <c r="U134" s="279"/>
      <c r="V134" s="279"/>
      <c r="W134" s="279"/>
      <c r="X134" s="279"/>
      <c r="Y134" s="83"/>
      <c r="Z134" s="83"/>
      <c r="AA134" s="328"/>
      <c r="AB134" s="328"/>
    </row>
    <row r="135" ht="64.9" customHeight="1" spans="1:28">
      <c r="A135" s="285"/>
      <c r="B135" s="291"/>
      <c r="C135" s="292"/>
      <c r="D135" s="293" t="s">
        <v>6251</v>
      </c>
      <c r="E135" s="304" t="s">
        <v>6323</v>
      </c>
      <c r="F135" s="304"/>
      <c r="G135" s="304"/>
      <c r="H135" s="304"/>
      <c r="I135" s="304"/>
      <c r="J135" s="304"/>
      <c r="K135" s="187" t="str">
        <f>IF(A135="c",$M$4*J135,"")</f>
        <v/>
      </c>
      <c r="L135" s="83"/>
      <c r="M135" s="96"/>
      <c r="N135" s="326"/>
      <c r="O135" s="324"/>
      <c r="P135" s="279"/>
      <c r="Q135" s="279"/>
      <c r="R135" s="324"/>
      <c r="S135" s="324"/>
      <c r="T135" s="324"/>
      <c r="U135" s="324"/>
      <c r="V135" s="324"/>
      <c r="W135" s="279"/>
      <c r="X135" s="279"/>
      <c r="Y135" s="83"/>
      <c r="Z135" s="83"/>
      <c r="AA135" s="328"/>
      <c r="AB135" s="328"/>
    </row>
    <row r="136" ht="15" spans="1:28">
      <c r="A136" s="340"/>
      <c r="B136" s="307"/>
      <c r="C136" s="308"/>
      <c r="D136" s="309"/>
      <c r="E136" s="310"/>
      <c r="F136" s="311"/>
      <c r="G136" s="311"/>
      <c r="H136" s="311"/>
      <c r="I136" s="311"/>
      <c r="J136" s="331"/>
      <c r="K136" s="187" t="str">
        <f>IF(A136="c",$M$4*J136,"")</f>
        <v/>
      </c>
      <c r="L136" s="83"/>
      <c r="M136" s="96"/>
      <c r="N136" s="320"/>
      <c r="O136" s="321"/>
      <c r="P136" s="321"/>
      <c r="Q136" s="321"/>
      <c r="R136" s="321"/>
      <c r="S136" s="321"/>
      <c r="T136" s="321"/>
      <c r="U136" s="321"/>
      <c r="V136" s="321"/>
      <c r="W136" s="321"/>
      <c r="X136" s="321"/>
      <c r="Y136" s="83"/>
      <c r="Z136" s="83"/>
      <c r="AA136" s="98"/>
      <c r="AB136" s="98"/>
    </row>
    <row r="137" spans="1:28">
      <c r="A137" s="285" t="str">
        <f>VLOOKUP(D137,'[2]2024 - Curva ABC de Insumos'!$E$6:$R$172,14,FALSE())</f>
        <v>C</v>
      </c>
      <c r="B137" s="300" t="s">
        <v>1285</v>
      </c>
      <c r="C137" s="305" t="s">
        <v>4195</v>
      </c>
      <c r="D137" s="288" t="s">
        <v>1287</v>
      </c>
      <c r="E137" s="289" t="s">
        <v>6302</v>
      </c>
      <c r="F137" s="289" t="s">
        <v>6324</v>
      </c>
      <c r="G137" s="290"/>
      <c r="H137" s="290"/>
      <c r="I137" s="290"/>
      <c r="J137" s="322">
        <f>SMALL(E138:I138,1)</f>
        <v>17.828104</v>
      </c>
      <c r="K137" s="187"/>
      <c r="L137" s="187" t="e">
        <f>VLOOKUP(B137,[3]CPUs!D:L,9,FALSE())</f>
        <v>#N/A</v>
      </c>
      <c r="M137" s="96" t="e">
        <f>IF(J137=L137,"OK","DIF")</f>
        <v>#N/A</v>
      </c>
      <c r="N137" s="326" t="s">
        <v>6244</v>
      </c>
      <c r="O137" s="324"/>
      <c r="P137" s="279"/>
      <c r="Q137" s="279"/>
      <c r="R137" s="324"/>
      <c r="S137" s="324"/>
      <c r="T137" s="324"/>
      <c r="U137" s="324"/>
      <c r="V137" s="324"/>
      <c r="W137" s="279"/>
      <c r="X137" s="279"/>
      <c r="Y137" s="83"/>
      <c r="Z137" s="83"/>
      <c r="AA137" s="328"/>
      <c r="AB137" s="328"/>
    </row>
    <row r="138" ht="15" spans="1:28">
      <c r="A138" s="285"/>
      <c r="B138" s="291"/>
      <c r="C138" s="292"/>
      <c r="D138" s="293" t="s">
        <v>6236</v>
      </c>
      <c r="E138" s="294">
        <v>22.9</v>
      </c>
      <c r="F138" s="294">
        <f>1708/100*1.0438</f>
        <v>17.828104</v>
      </c>
      <c r="G138" s="295"/>
      <c r="H138" s="295"/>
      <c r="I138" s="295"/>
      <c r="J138" s="325"/>
      <c r="K138" s="187" t="str">
        <f>IF(A138="c",$M$4*J138,"")</f>
        <v/>
      </c>
      <c r="L138" s="83"/>
      <c r="M138" s="96"/>
      <c r="N138" s="326"/>
      <c r="O138" s="324"/>
      <c r="P138" s="279"/>
      <c r="Q138" s="279"/>
      <c r="R138" s="324"/>
      <c r="S138" s="324"/>
      <c r="T138" s="324"/>
      <c r="U138" s="324"/>
      <c r="V138" s="324"/>
      <c r="W138" s="279"/>
      <c r="X138" s="279"/>
      <c r="Y138" s="83"/>
      <c r="Z138" s="83"/>
      <c r="AA138" s="328"/>
      <c r="AB138" s="328"/>
    </row>
    <row r="139" ht="85.5" spans="1:28">
      <c r="A139" s="285"/>
      <c r="B139" s="291"/>
      <c r="C139" s="292"/>
      <c r="D139" s="293" t="s">
        <v>6237</v>
      </c>
      <c r="E139" s="296" t="s">
        <v>6325</v>
      </c>
      <c r="F139" s="296" t="s">
        <v>6250</v>
      </c>
      <c r="G139" s="302"/>
      <c r="H139" s="302"/>
      <c r="I139" s="302"/>
      <c r="J139" s="325"/>
      <c r="K139" s="187" t="str">
        <f>IF(A139="c",$M$4*J139,"")</f>
        <v/>
      </c>
      <c r="L139" s="83"/>
      <c r="M139" s="96"/>
      <c r="N139" s="326"/>
      <c r="O139" s="324"/>
      <c r="P139" s="279"/>
      <c r="Q139" s="279"/>
      <c r="R139" s="324"/>
      <c r="S139" s="324"/>
      <c r="T139" s="324"/>
      <c r="U139" s="279"/>
      <c r="V139" s="279"/>
      <c r="W139" s="279"/>
      <c r="X139" s="279"/>
      <c r="Y139" s="83"/>
      <c r="Z139" s="83"/>
      <c r="AA139" s="328"/>
      <c r="AB139" s="328"/>
    </row>
    <row r="140" ht="64.9" customHeight="1" spans="1:28">
      <c r="A140" s="285"/>
      <c r="B140" s="291"/>
      <c r="C140" s="292"/>
      <c r="D140" s="293" t="s">
        <v>6251</v>
      </c>
      <c r="E140" s="304" t="s">
        <v>6323</v>
      </c>
      <c r="F140" s="304"/>
      <c r="G140" s="304"/>
      <c r="H140" s="304"/>
      <c r="I140" s="304"/>
      <c r="J140" s="304"/>
      <c r="K140" s="187" t="str">
        <f>IF(A140="c",$M$4*J140,"")</f>
        <v/>
      </c>
      <c r="L140" s="83"/>
      <c r="M140" s="96"/>
      <c r="N140" s="326"/>
      <c r="O140" s="324"/>
      <c r="P140" s="279"/>
      <c r="Q140" s="279"/>
      <c r="R140" s="324"/>
      <c r="S140" s="324"/>
      <c r="T140" s="324"/>
      <c r="U140" s="324"/>
      <c r="V140" s="324"/>
      <c r="W140" s="279"/>
      <c r="X140" s="279"/>
      <c r="Y140" s="83"/>
      <c r="Z140" s="83"/>
      <c r="AA140" s="328"/>
      <c r="AB140" s="328"/>
    </row>
    <row r="141" ht="15" spans="1:28">
      <c r="A141" s="285"/>
      <c r="B141" s="307"/>
      <c r="C141" s="308"/>
      <c r="D141" s="309"/>
      <c r="E141" s="310"/>
      <c r="F141" s="311"/>
      <c r="G141" s="311"/>
      <c r="H141" s="311"/>
      <c r="I141" s="311"/>
      <c r="J141" s="331"/>
      <c r="K141" s="187" t="str">
        <f>IF(A141="c",$M$4*J141,"")</f>
        <v/>
      </c>
      <c r="L141" s="83"/>
      <c r="M141" s="96"/>
      <c r="N141" s="320"/>
      <c r="O141" s="321"/>
      <c r="P141" s="321"/>
      <c r="Q141" s="321"/>
      <c r="R141" s="321"/>
      <c r="S141" s="321"/>
      <c r="T141" s="321"/>
      <c r="U141" s="321"/>
      <c r="V141" s="321"/>
      <c r="W141" s="321"/>
      <c r="X141" s="321"/>
      <c r="Y141" s="83"/>
      <c r="Z141" s="83"/>
      <c r="AA141" s="98"/>
      <c r="AB141" s="98"/>
    </row>
    <row r="142" spans="1:28">
      <c r="A142" s="341" t="str">
        <f>VLOOKUP(D142,'[2]2024 - Curva ABC de Insumos'!$E$6:$R$172,14,FALSE())</f>
        <v>A</v>
      </c>
      <c r="B142" s="300" t="s">
        <v>1288</v>
      </c>
      <c r="C142" s="305" t="s">
        <v>4198</v>
      </c>
      <c r="D142" s="288" t="s">
        <v>1290</v>
      </c>
      <c r="E142" s="289" t="s">
        <v>6326</v>
      </c>
      <c r="F142" s="290"/>
      <c r="G142" s="290"/>
      <c r="H142" s="290"/>
      <c r="I142" s="290"/>
      <c r="J142" s="322">
        <f>SMALL(E143:I143,1)</f>
        <v>61283.08901</v>
      </c>
      <c r="K142" s="187" t="str">
        <f>IF(A142="c",$M$4*J142,"")</f>
        <v/>
      </c>
      <c r="L142" s="187" t="e">
        <f>VLOOKUP(B142,[3]CPUs!D:L,9,FALSE())</f>
        <v>#N/A</v>
      </c>
      <c r="M142" s="96" t="e">
        <f>IF(J142=L142,"OK","DIF")</f>
        <v>#N/A</v>
      </c>
      <c r="N142" s="326" t="s">
        <v>6244</v>
      </c>
      <c r="O142" s="324"/>
      <c r="P142" s="279"/>
      <c r="Q142" s="279"/>
      <c r="R142" s="324"/>
      <c r="S142" s="324"/>
      <c r="T142" s="324"/>
      <c r="U142" s="324"/>
      <c r="V142" s="324"/>
      <c r="W142" s="279"/>
      <c r="X142" s="279"/>
      <c r="Y142" s="83"/>
      <c r="Z142" s="83"/>
      <c r="AA142" s="328"/>
      <c r="AB142" s="328"/>
    </row>
    <row r="143" ht="15" spans="1:28">
      <c r="A143" s="341"/>
      <c r="B143" s="291"/>
      <c r="C143" s="292"/>
      <c r="D143" s="293" t="s">
        <v>6236</v>
      </c>
      <c r="E143" s="294">
        <f>58705.9*1.0439</f>
        <v>61283.08901</v>
      </c>
      <c r="F143" s="295"/>
      <c r="G143" s="295"/>
      <c r="H143" s="295"/>
      <c r="I143" s="295"/>
      <c r="J143" s="325"/>
      <c r="K143" s="187" t="str">
        <f>IF(A143="c",$M$4*J143,"")</f>
        <v/>
      </c>
      <c r="L143" s="83"/>
      <c r="M143" s="96"/>
      <c r="N143" s="326"/>
      <c r="O143" s="324"/>
      <c r="P143" s="279"/>
      <c r="Q143" s="279"/>
      <c r="R143" s="324"/>
      <c r="S143" s="324"/>
      <c r="T143" s="324"/>
      <c r="U143" s="324"/>
      <c r="V143" s="324"/>
      <c r="W143" s="279"/>
      <c r="X143" s="279"/>
      <c r="Y143" s="83"/>
      <c r="Z143" s="83"/>
      <c r="AA143" s="328"/>
      <c r="AB143" s="328"/>
    </row>
    <row r="144" ht="99.75" spans="1:28">
      <c r="A144" s="341"/>
      <c r="B144" s="291"/>
      <c r="C144" s="292"/>
      <c r="D144" s="293" t="s">
        <v>6237</v>
      </c>
      <c r="E144" s="339" t="s">
        <v>6327</v>
      </c>
      <c r="F144" s="296"/>
      <c r="G144" s="296"/>
      <c r="H144" s="302"/>
      <c r="I144" s="302"/>
      <c r="J144" s="325"/>
      <c r="K144" s="187" t="str">
        <f>IF(A144="c",$M$4*J144,"")</f>
        <v/>
      </c>
      <c r="L144" s="83"/>
      <c r="M144" s="96"/>
      <c r="N144" s="343" t="s">
        <v>6328</v>
      </c>
      <c r="O144" s="324"/>
      <c r="P144" s="279"/>
      <c r="Q144" s="279"/>
      <c r="R144" s="324"/>
      <c r="S144" s="324"/>
      <c r="T144" s="324"/>
      <c r="U144" s="279"/>
      <c r="V144" s="279"/>
      <c r="W144" s="279"/>
      <c r="X144" s="279"/>
      <c r="Y144" s="83"/>
      <c r="Z144" s="83"/>
      <c r="AA144" s="328"/>
      <c r="AB144" s="328"/>
    </row>
    <row r="145" ht="64.9" customHeight="1" spans="1:28">
      <c r="A145" s="341"/>
      <c r="B145" s="291"/>
      <c r="C145" s="292"/>
      <c r="D145" s="293" t="s">
        <v>6251</v>
      </c>
      <c r="E145" s="304" t="s">
        <v>6323</v>
      </c>
      <c r="F145" s="304"/>
      <c r="G145" s="304"/>
      <c r="H145" s="304"/>
      <c r="I145" s="304"/>
      <c r="J145" s="304"/>
      <c r="K145" s="187" t="str">
        <f>IF(A145="c",$M$4*J145,"")</f>
        <v/>
      </c>
      <c r="L145" s="83"/>
      <c r="M145" s="96"/>
      <c r="N145" s="326"/>
      <c r="O145" s="324"/>
      <c r="P145" s="279"/>
      <c r="Q145" s="279"/>
      <c r="R145" s="324"/>
      <c r="S145" s="324"/>
      <c r="T145" s="324"/>
      <c r="U145" s="324"/>
      <c r="V145" s="324"/>
      <c r="W145" s="279"/>
      <c r="X145" s="279"/>
      <c r="Y145" s="83"/>
      <c r="Z145" s="83"/>
      <c r="AA145" s="328"/>
      <c r="AB145" s="328"/>
    </row>
    <row r="146" ht="15" spans="1:28">
      <c r="A146" s="341"/>
      <c r="B146" s="307"/>
      <c r="C146" s="308"/>
      <c r="D146" s="309"/>
      <c r="E146" s="310"/>
      <c r="F146" s="311"/>
      <c r="G146" s="311"/>
      <c r="H146" s="311"/>
      <c r="I146" s="311"/>
      <c r="J146" s="331"/>
      <c r="K146" s="187" t="str">
        <f>IF(A146="c",$M$4*J146,"")</f>
        <v/>
      </c>
      <c r="L146" s="83"/>
      <c r="M146" s="96"/>
      <c r="N146" s="320"/>
      <c r="O146" s="321"/>
      <c r="P146" s="321"/>
      <c r="Q146" s="321"/>
      <c r="R146" s="321"/>
      <c r="S146" s="321"/>
      <c r="T146" s="321"/>
      <c r="U146" s="321"/>
      <c r="V146" s="321"/>
      <c r="W146" s="321"/>
      <c r="X146" s="321"/>
      <c r="Y146" s="83"/>
      <c r="Z146" s="83"/>
      <c r="AA146" s="98"/>
      <c r="AB146" s="98"/>
    </row>
    <row r="147" spans="1:28">
      <c r="A147" s="285" t="str">
        <f>VLOOKUP(D147,'[2]2024 - Curva ABC de Insumos'!$E$6:$R$172,14,FALSE())</f>
        <v>C</v>
      </c>
      <c r="B147" s="300" t="s">
        <v>1291</v>
      </c>
      <c r="C147" s="305" t="s">
        <v>4201</v>
      </c>
      <c r="D147" s="288" t="s">
        <v>4202</v>
      </c>
      <c r="E147" s="289" t="s">
        <v>6329</v>
      </c>
      <c r="F147" s="290"/>
      <c r="G147" s="290"/>
      <c r="H147" s="290"/>
      <c r="I147" s="290"/>
      <c r="J147" s="322">
        <f>SMALL(E148:I148,1)</f>
        <v>3654.234584</v>
      </c>
      <c r="K147" s="187"/>
      <c r="L147" s="187" t="e">
        <f>VLOOKUP(B147,[3]CPUs!D:L,9,FALSE())</f>
        <v>#N/A</v>
      </c>
      <c r="M147" s="96" t="e">
        <f>IF(J147=L147,"OK","DIF")</f>
        <v>#N/A</v>
      </c>
      <c r="N147" s="326" t="s">
        <v>6244</v>
      </c>
      <c r="O147" s="324"/>
      <c r="P147" s="279"/>
      <c r="Q147" s="279"/>
      <c r="R147" s="324"/>
      <c r="S147" s="324"/>
      <c r="T147" s="324"/>
      <c r="U147" s="324"/>
      <c r="V147" s="324"/>
      <c r="W147" s="279"/>
      <c r="X147" s="279"/>
      <c r="Y147" s="83"/>
      <c r="Z147" s="83"/>
      <c r="AA147" s="328"/>
      <c r="AB147" s="328"/>
    </row>
    <row r="148" ht="15" spans="1:28">
      <c r="A148" s="285"/>
      <c r="B148" s="291"/>
      <c r="C148" s="292"/>
      <c r="D148" s="293" t="s">
        <v>6236</v>
      </c>
      <c r="E148" s="294">
        <f>3500.56*1.0439</f>
        <v>3654.234584</v>
      </c>
      <c r="F148" s="295"/>
      <c r="G148" s="295"/>
      <c r="H148" s="295"/>
      <c r="I148" s="295"/>
      <c r="J148" s="325"/>
      <c r="K148" s="187" t="str">
        <f>IF(A148="c",$M$4*J148,"")</f>
        <v/>
      </c>
      <c r="L148" s="83"/>
      <c r="M148" s="96"/>
      <c r="N148" s="320"/>
      <c r="O148" s="321"/>
      <c r="P148" s="321"/>
      <c r="Q148" s="321"/>
      <c r="R148" s="321"/>
      <c r="S148" s="321"/>
      <c r="T148" s="321"/>
      <c r="U148" s="321"/>
      <c r="V148" s="321"/>
      <c r="W148" s="321"/>
      <c r="X148" s="321"/>
      <c r="Y148" s="83"/>
      <c r="Z148" s="83"/>
      <c r="AA148" s="98"/>
      <c r="AB148" s="98"/>
    </row>
    <row r="149" ht="255" spans="1:28">
      <c r="A149" s="285"/>
      <c r="B149" s="291"/>
      <c r="C149" s="292"/>
      <c r="D149" s="293" t="s">
        <v>6237</v>
      </c>
      <c r="E149" s="301" t="s">
        <v>6330</v>
      </c>
      <c r="F149" s="296"/>
      <c r="G149" s="296"/>
      <c r="H149" s="302"/>
      <c r="I149" s="302"/>
      <c r="J149" s="325"/>
      <c r="K149" s="187" t="str">
        <f>IF(A149="c",$M$4*J149,"")</f>
        <v/>
      </c>
      <c r="L149" s="83"/>
      <c r="M149" s="96"/>
      <c r="N149" s="320"/>
      <c r="O149" s="321"/>
      <c r="P149" s="321"/>
      <c r="Q149" s="321"/>
      <c r="R149" s="321"/>
      <c r="S149" s="321"/>
      <c r="T149" s="321"/>
      <c r="U149" s="321"/>
      <c r="V149" s="321"/>
      <c r="W149" s="321"/>
      <c r="X149" s="321"/>
      <c r="Y149" s="83"/>
      <c r="Z149" s="83"/>
      <c r="AA149" s="98"/>
      <c r="AB149" s="98"/>
    </row>
    <row r="150" ht="64.9" customHeight="1" spans="1:28">
      <c r="A150" s="285"/>
      <c r="B150" s="291"/>
      <c r="C150" s="292"/>
      <c r="D150" s="293" t="s">
        <v>6251</v>
      </c>
      <c r="E150" s="304" t="s">
        <v>6323</v>
      </c>
      <c r="F150" s="304"/>
      <c r="G150" s="304"/>
      <c r="H150" s="304"/>
      <c r="I150" s="304"/>
      <c r="J150" s="304"/>
      <c r="K150" s="187" t="str">
        <f>IF(A150="c",$M$4*J150,"")</f>
        <v/>
      </c>
      <c r="L150" s="83"/>
      <c r="M150" s="96"/>
      <c r="N150" s="320"/>
      <c r="O150" s="321"/>
      <c r="P150" s="321"/>
      <c r="Q150" s="321"/>
      <c r="R150" s="321"/>
      <c r="S150" s="321"/>
      <c r="T150" s="321"/>
      <c r="U150" s="321"/>
      <c r="V150" s="321"/>
      <c r="W150" s="321"/>
      <c r="X150" s="321"/>
      <c r="Y150" s="83"/>
      <c r="Z150" s="83"/>
      <c r="AA150" s="98"/>
      <c r="AB150" s="98"/>
    </row>
    <row r="151" ht="15" spans="1:28">
      <c r="A151" s="285"/>
      <c r="B151" s="307"/>
      <c r="C151" s="308"/>
      <c r="D151" s="309"/>
      <c r="E151" s="310"/>
      <c r="F151" s="311"/>
      <c r="G151" s="311"/>
      <c r="H151" s="311"/>
      <c r="I151" s="311"/>
      <c r="J151" s="331"/>
      <c r="K151" s="187" t="str">
        <f>IF(A151="c",$M$4*J151,"")</f>
        <v/>
      </c>
      <c r="L151" s="83"/>
      <c r="M151" s="96"/>
      <c r="N151" s="320"/>
      <c r="O151" s="321"/>
      <c r="P151" s="321"/>
      <c r="Q151" s="321"/>
      <c r="R151" s="321"/>
      <c r="S151" s="321"/>
      <c r="T151" s="321"/>
      <c r="U151" s="321"/>
      <c r="V151" s="321"/>
      <c r="W151" s="321"/>
      <c r="X151" s="321"/>
      <c r="Y151" s="83"/>
      <c r="Z151" s="83"/>
      <c r="AA151" s="98"/>
      <c r="AB151" s="98"/>
    </row>
    <row r="152" spans="1:28">
      <c r="A152" s="285" t="str">
        <f>VLOOKUP(D152,'[2]2024 - Curva ABC de Insumos'!$E$6:$R$172,14,FALSE())</f>
        <v>C</v>
      </c>
      <c r="B152" s="300" t="s">
        <v>1297</v>
      </c>
      <c r="C152" s="305" t="s">
        <v>4208</v>
      </c>
      <c r="D152" s="288" t="s">
        <v>1299</v>
      </c>
      <c r="E152" s="289" t="s">
        <v>6331</v>
      </c>
      <c r="F152" s="290"/>
      <c r="G152" s="290"/>
      <c r="H152" s="290"/>
      <c r="I152" s="290"/>
      <c r="J152" s="322">
        <f>SMALL(E153:I153,1)</f>
        <v>5300</v>
      </c>
      <c r="K152" s="187"/>
      <c r="L152" s="187" t="e">
        <f>VLOOKUP(B152,[3]CPUs!D:L,9,FALSE())</f>
        <v>#N/A</v>
      </c>
      <c r="M152" s="96" t="e">
        <f>IF(J152=L152,"OK","DIF")</f>
        <v>#N/A</v>
      </c>
      <c r="N152" s="326" t="s">
        <v>6244</v>
      </c>
      <c r="O152" s="324"/>
      <c r="P152" s="279"/>
      <c r="Q152" s="279"/>
      <c r="R152" s="324"/>
      <c r="S152" s="324"/>
      <c r="T152" s="324"/>
      <c r="U152" s="324"/>
      <c r="V152" s="324"/>
      <c r="W152" s="279"/>
      <c r="X152" s="279"/>
      <c r="Y152" s="83"/>
      <c r="Z152" s="83"/>
      <c r="AA152" s="328"/>
      <c r="AB152" s="328"/>
    </row>
    <row r="153" ht="15" spans="1:28">
      <c r="A153" s="285"/>
      <c r="B153" s="291"/>
      <c r="C153" s="292"/>
      <c r="D153" s="293" t="s">
        <v>6236</v>
      </c>
      <c r="E153" s="294">
        <v>5300</v>
      </c>
      <c r="F153" s="295"/>
      <c r="G153" s="295"/>
      <c r="H153" s="295"/>
      <c r="I153" s="295"/>
      <c r="J153" s="325"/>
      <c r="K153" s="187" t="str">
        <f>IF(A153="c",$M$4*J153,"")</f>
        <v/>
      </c>
      <c r="L153" s="83"/>
      <c r="M153" s="96"/>
      <c r="N153" s="326"/>
      <c r="O153" s="324"/>
      <c r="P153" s="279"/>
      <c r="Q153" s="279"/>
      <c r="R153" s="324"/>
      <c r="S153" s="324"/>
      <c r="T153" s="324"/>
      <c r="U153" s="324"/>
      <c r="V153" s="324"/>
      <c r="W153" s="279"/>
      <c r="X153" s="279"/>
      <c r="Y153" s="83"/>
      <c r="Z153" s="83"/>
      <c r="AA153" s="328"/>
      <c r="AB153" s="328"/>
    </row>
    <row r="154" ht="71.25" spans="1:28">
      <c r="A154" s="285"/>
      <c r="B154" s="291"/>
      <c r="C154" s="292"/>
      <c r="D154" s="293" t="s">
        <v>6237</v>
      </c>
      <c r="E154" s="296" t="s">
        <v>6332</v>
      </c>
      <c r="F154" s="296"/>
      <c r="G154" s="296"/>
      <c r="H154" s="302"/>
      <c r="I154" s="302"/>
      <c r="J154" s="325"/>
      <c r="K154" s="187" t="str">
        <f>IF(A154="c",$M$4*J154,"")</f>
        <v/>
      </c>
      <c r="L154" s="83"/>
      <c r="M154" s="96"/>
      <c r="N154" s="326"/>
      <c r="O154" s="324"/>
      <c r="P154" s="279"/>
      <c r="Q154" s="279"/>
      <c r="R154" s="324"/>
      <c r="S154" s="324"/>
      <c r="T154" s="324"/>
      <c r="U154" s="279"/>
      <c r="V154" s="279"/>
      <c r="W154" s="279"/>
      <c r="X154" s="279"/>
      <c r="Y154" s="83"/>
      <c r="Z154" s="83"/>
      <c r="AA154" s="328"/>
      <c r="AB154" s="328"/>
    </row>
    <row r="155" ht="64.9" customHeight="1" spans="1:28">
      <c r="A155" s="285"/>
      <c r="B155" s="291"/>
      <c r="C155" s="292"/>
      <c r="D155" s="293" t="s">
        <v>6251</v>
      </c>
      <c r="E155" s="304" t="s">
        <v>6323</v>
      </c>
      <c r="F155" s="304"/>
      <c r="G155" s="304"/>
      <c r="H155" s="304"/>
      <c r="I155" s="304"/>
      <c r="J155" s="304"/>
      <c r="K155" s="187" t="str">
        <f>IF(A155="c",$M$4*J155,"")</f>
        <v/>
      </c>
      <c r="L155" s="83"/>
      <c r="M155" s="96"/>
      <c r="N155" s="326"/>
      <c r="O155" s="324"/>
      <c r="P155" s="279"/>
      <c r="Q155" s="279"/>
      <c r="R155" s="324"/>
      <c r="S155" s="324"/>
      <c r="T155" s="324"/>
      <c r="U155" s="324"/>
      <c r="V155" s="324"/>
      <c r="W155" s="279"/>
      <c r="X155" s="279"/>
      <c r="Y155" s="83"/>
      <c r="Z155" s="83"/>
      <c r="AA155" s="328"/>
      <c r="AB155" s="328"/>
    </row>
    <row r="156" ht="15" spans="1:28">
      <c r="A156" s="285"/>
      <c r="B156" s="307"/>
      <c r="C156" s="308"/>
      <c r="D156" s="309"/>
      <c r="E156" s="310"/>
      <c r="F156" s="311"/>
      <c r="G156" s="311"/>
      <c r="H156" s="311"/>
      <c r="I156" s="311"/>
      <c r="J156" s="331"/>
      <c r="K156" s="187" t="str">
        <f>IF(A156="c",$M$4*J156,"")</f>
        <v/>
      </c>
      <c r="L156" s="83"/>
      <c r="M156" s="96"/>
      <c r="N156" s="320"/>
      <c r="O156" s="321"/>
      <c r="P156" s="321"/>
      <c r="Q156" s="321"/>
      <c r="R156" s="321"/>
      <c r="S156" s="321"/>
      <c r="T156" s="321"/>
      <c r="U156" s="321"/>
      <c r="V156" s="321"/>
      <c r="W156" s="321"/>
      <c r="X156" s="321"/>
      <c r="Y156" s="83"/>
      <c r="Z156" s="83"/>
      <c r="AA156" s="98"/>
      <c r="AB156" s="98"/>
    </row>
    <row r="157" spans="1:28">
      <c r="A157" s="285" t="str">
        <f>VLOOKUP(D157,'[2]2024 - Curva ABC de Insumos'!$E$6:$R$172,14,FALSE())</f>
        <v>C</v>
      </c>
      <c r="B157" s="300" t="s">
        <v>1300</v>
      </c>
      <c r="C157" s="305" t="s">
        <v>4209</v>
      </c>
      <c r="D157" s="288" t="s">
        <v>1302</v>
      </c>
      <c r="E157" s="289" t="s">
        <v>6331</v>
      </c>
      <c r="F157" s="290"/>
      <c r="G157" s="290"/>
      <c r="H157" s="290"/>
      <c r="I157" s="290"/>
      <c r="J157" s="322">
        <f>SMALL(E158:I158,1)</f>
        <v>4540.17</v>
      </c>
      <c r="K157" s="187"/>
      <c r="L157" s="187" t="e">
        <f>VLOOKUP(B157,[3]CPUs!D:L,9,FALSE())</f>
        <v>#N/A</v>
      </c>
      <c r="M157" s="96" t="e">
        <f>IF(J157=L157,"OK","DIF")</f>
        <v>#N/A</v>
      </c>
      <c r="N157" s="326" t="s">
        <v>6244</v>
      </c>
      <c r="O157" s="324"/>
      <c r="P157" s="279"/>
      <c r="Q157" s="279"/>
      <c r="R157" s="324"/>
      <c r="S157" s="324"/>
      <c r="T157" s="324"/>
      <c r="U157" s="324"/>
      <c r="V157" s="324"/>
      <c r="W157" s="279"/>
      <c r="X157" s="279"/>
      <c r="Y157" s="83"/>
      <c r="Z157" s="83"/>
      <c r="AA157" s="328"/>
      <c r="AB157" s="328"/>
    </row>
    <row r="158" ht="15" spans="1:28">
      <c r="A158" s="285"/>
      <c r="B158" s="291"/>
      <c r="C158" s="292"/>
      <c r="D158" s="293" t="s">
        <v>6236</v>
      </c>
      <c r="E158" s="294">
        <v>4540.17</v>
      </c>
      <c r="F158" s="295"/>
      <c r="G158" s="295"/>
      <c r="H158" s="295"/>
      <c r="I158" s="295"/>
      <c r="J158" s="325"/>
      <c r="K158" s="187" t="str">
        <f>IF(A158="c",$M$4*J158,"")</f>
        <v/>
      </c>
      <c r="L158" s="83"/>
      <c r="M158" s="96"/>
      <c r="N158" s="326"/>
      <c r="O158" s="324"/>
      <c r="P158" s="279"/>
      <c r="Q158" s="279"/>
      <c r="R158" s="324"/>
      <c r="S158" s="324"/>
      <c r="T158" s="324"/>
      <c r="U158" s="324"/>
      <c r="V158" s="324"/>
      <c r="W158" s="279"/>
      <c r="X158" s="279"/>
      <c r="Y158" s="83"/>
      <c r="Z158" s="83"/>
      <c r="AA158" s="328"/>
      <c r="AB158" s="328"/>
    </row>
    <row r="159" ht="85.5" spans="1:28">
      <c r="A159" s="285"/>
      <c r="B159" s="291"/>
      <c r="C159" s="292"/>
      <c r="D159" s="293" t="s">
        <v>6237</v>
      </c>
      <c r="E159" s="296" t="s">
        <v>6333</v>
      </c>
      <c r="F159" s="296"/>
      <c r="G159" s="296"/>
      <c r="H159" s="302"/>
      <c r="I159" s="302"/>
      <c r="J159" s="325"/>
      <c r="K159" s="187" t="str">
        <f>IF(A159="c",$M$4*J159,"")</f>
        <v/>
      </c>
      <c r="L159" s="83"/>
      <c r="M159" s="96"/>
      <c r="N159" s="326"/>
      <c r="O159" s="324"/>
      <c r="P159" s="279"/>
      <c r="Q159" s="279"/>
      <c r="R159" s="324"/>
      <c r="S159" s="324"/>
      <c r="T159" s="324"/>
      <c r="U159" s="279"/>
      <c r="V159" s="279"/>
      <c r="W159" s="279"/>
      <c r="X159" s="279"/>
      <c r="Y159" s="83"/>
      <c r="Z159" s="83"/>
      <c r="AA159" s="328"/>
      <c r="AB159" s="328"/>
    </row>
    <row r="160" ht="64.9" customHeight="1" spans="1:28">
      <c r="A160" s="285"/>
      <c r="B160" s="291"/>
      <c r="C160" s="292"/>
      <c r="D160" s="293" t="s">
        <v>6251</v>
      </c>
      <c r="E160" s="304" t="s">
        <v>6323</v>
      </c>
      <c r="F160" s="304"/>
      <c r="G160" s="304"/>
      <c r="H160" s="304"/>
      <c r="I160" s="304"/>
      <c r="J160" s="304"/>
      <c r="K160" s="187" t="str">
        <f>IF(A160="c",$M$4*J160,"")</f>
        <v/>
      </c>
      <c r="L160" s="83"/>
      <c r="M160" s="96"/>
      <c r="N160" s="326"/>
      <c r="O160" s="324"/>
      <c r="P160" s="279"/>
      <c r="Q160" s="279"/>
      <c r="R160" s="324"/>
      <c r="S160" s="324"/>
      <c r="T160" s="324"/>
      <c r="U160" s="324"/>
      <c r="V160" s="324"/>
      <c r="W160" s="279"/>
      <c r="X160" s="279"/>
      <c r="Y160" s="83"/>
      <c r="Z160" s="83"/>
      <c r="AA160" s="328"/>
      <c r="AB160" s="328"/>
    </row>
    <row r="161" ht="15" spans="1:28">
      <c r="A161" s="285"/>
      <c r="B161" s="307"/>
      <c r="C161" s="308"/>
      <c r="D161" s="309"/>
      <c r="E161" s="310"/>
      <c r="F161" s="311"/>
      <c r="G161" s="311"/>
      <c r="H161" s="311"/>
      <c r="I161" s="311"/>
      <c r="J161" s="331"/>
      <c r="K161" s="187" t="str">
        <f>IF(A161="c",$M$4*J161,"")</f>
        <v/>
      </c>
      <c r="L161" s="83"/>
      <c r="M161" s="96"/>
      <c r="N161" s="320"/>
      <c r="O161" s="321"/>
      <c r="P161" s="321"/>
      <c r="Q161" s="321"/>
      <c r="R161" s="321"/>
      <c r="S161" s="321"/>
      <c r="T161" s="321"/>
      <c r="U161" s="321"/>
      <c r="V161" s="321"/>
      <c r="W161" s="321"/>
      <c r="X161" s="321"/>
      <c r="Y161" s="83"/>
      <c r="Z161" s="83"/>
      <c r="AA161" s="98"/>
      <c r="AB161" s="98"/>
    </row>
    <row r="162" spans="1:28">
      <c r="A162" s="303" t="str">
        <f>VLOOKUP(D162,'[2]2024 - Curva ABC de Insumos'!$E$6:$R$172,14,FALSE())</f>
        <v>B</v>
      </c>
      <c r="B162" s="300" t="s">
        <v>1303</v>
      </c>
      <c r="C162" s="342" t="s">
        <v>4210</v>
      </c>
      <c r="D162" s="288" t="s">
        <v>1305</v>
      </c>
      <c r="E162" s="289" t="s">
        <v>6334</v>
      </c>
      <c r="F162" s="290"/>
      <c r="G162" s="290"/>
      <c r="H162" s="290"/>
      <c r="I162" s="290"/>
      <c r="J162" s="322">
        <f>SMALL(E163:I163,1)</f>
        <v>17499.99</v>
      </c>
      <c r="K162" s="187" t="str">
        <f>IF(A162="c",$M$4*J162,"")</f>
        <v/>
      </c>
      <c r="L162" s="187" t="e">
        <f>VLOOKUP(B162,[3]CPUs!D:L,9,FALSE())</f>
        <v>#N/A</v>
      </c>
      <c r="M162" s="96" t="e">
        <f>IF(J162=L162,"OK","DIF")</f>
        <v>#N/A</v>
      </c>
      <c r="N162" s="326" t="s">
        <v>6244</v>
      </c>
      <c r="O162" s="324"/>
      <c r="P162" s="279"/>
      <c r="Q162" s="279"/>
      <c r="R162" s="324"/>
      <c r="S162" s="324"/>
      <c r="T162" s="324"/>
      <c r="U162" s="324"/>
      <c r="V162" s="324"/>
      <c r="W162" s="279"/>
      <c r="X162" s="279"/>
      <c r="Y162" s="83"/>
      <c r="Z162" s="83"/>
      <c r="AA162" s="328"/>
      <c r="AB162" s="328"/>
    </row>
    <row r="163" ht="15" spans="1:28">
      <c r="A163" s="303"/>
      <c r="B163" s="291"/>
      <c r="C163" s="292"/>
      <c r="D163" s="293" t="s">
        <v>6236</v>
      </c>
      <c r="E163" s="294">
        <v>17499.99</v>
      </c>
      <c r="F163" s="295"/>
      <c r="G163" s="295"/>
      <c r="H163" s="295"/>
      <c r="I163" s="295"/>
      <c r="J163" s="325"/>
      <c r="K163" s="187" t="str">
        <f>IF(A163="c",$M$4*J163,"")</f>
        <v/>
      </c>
      <c r="L163" s="83"/>
      <c r="M163" s="96"/>
      <c r="N163" s="326"/>
      <c r="O163" s="324"/>
      <c r="P163" s="279"/>
      <c r="Q163" s="279"/>
      <c r="R163" s="324"/>
      <c r="S163" s="324"/>
      <c r="T163" s="324"/>
      <c r="U163" s="324"/>
      <c r="V163" s="324"/>
      <c r="W163" s="279"/>
      <c r="X163" s="279"/>
      <c r="Y163" s="83"/>
      <c r="Z163" s="83"/>
      <c r="AA163" s="328"/>
      <c r="AB163" s="328"/>
    </row>
    <row r="164" ht="210" spans="1:28">
      <c r="A164" s="303"/>
      <c r="B164" s="291"/>
      <c r="C164" s="292"/>
      <c r="D164" s="293" t="s">
        <v>6237</v>
      </c>
      <c r="E164" s="301" t="s">
        <v>6335</v>
      </c>
      <c r="F164" s="296"/>
      <c r="G164" s="296"/>
      <c r="H164" s="302"/>
      <c r="I164" s="302"/>
      <c r="J164" s="325"/>
      <c r="K164" s="187" t="str">
        <f>IF(A164="c",$M$4*J164,"")</f>
        <v/>
      </c>
      <c r="L164" s="83"/>
      <c r="M164" s="96"/>
      <c r="N164" s="326"/>
      <c r="O164" s="324"/>
      <c r="P164" s="279"/>
      <c r="Q164" s="279"/>
      <c r="R164" s="324"/>
      <c r="S164" s="324"/>
      <c r="T164" s="324"/>
      <c r="U164" s="279"/>
      <c r="V164" s="279"/>
      <c r="W164" s="279"/>
      <c r="X164" s="279"/>
      <c r="Y164" s="83"/>
      <c r="Z164" s="83"/>
      <c r="AA164" s="328"/>
      <c r="AB164" s="328"/>
    </row>
    <row r="165" ht="64.9" customHeight="1" spans="1:28">
      <c r="A165" s="303"/>
      <c r="B165" s="291"/>
      <c r="C165" s="292"/>
      <c r="D165" s="293" t="s">
        <v>6251</v>
      </c>
      <c r="E165" s="304" t="s">
        <v>6323</v>
      </c>
      <c r="F165" s="304"/>
      <c r="G165" s="304"/>
      <c r="H165" s="304"/>
      <c r="I165" s="304"/>
      <c r="J165" s="304"/>
      <c r="K165" s="187" t="str">
        <f>IF(A165="c",$M$4*J165,"")</f>
        <v/>
      </c>
      <c r="L165" s="83"/>
      <c r="M165" s="96"/>
      <c r="N165" s="326"/>
      <c r="O165" s="324"/>
      <c r="P165" s="279"/>
      <c r="Q165" s="279"/>
      <c r="R165" s="324"/>
      <c r="S165" s="324"/>
      <c r="T165" s="324"/>
      <c r="U165" s="324"/>
      <c r="V165" s="324"/>
      <c r="W165" s="279"/>
      <c r="X165" s="279"/>
      <c r="Y165" s="83"/>
      <c r="Z165" s="83"/>
      <c r="AA165" s="328"/>
      <c r="AB165" s="328"/>
    </row>
    <row r="166" ht="15" spans="1:28">
      <c r="A166" s="303"/>
      <c r="B166" s="307"/>
      <c r="C166" s="308"/>
      <c r="D166" s="309"/>
      <c r="E166" s="310"/>
      <c r="F166" s="311"/>
      <c r="G166" s="311"/>
      <c r="H166" s="311"/>
      <c r="I166" s="311"/>
      <c r="J166" s="331"/>
      <c r="K166" s="187" t="str">
        <f>IF(A166="c",$M$4*J166,"")</f>
        <v/>
      </c>
      <c r="L166" s="83"/>
      <c r="M166" s="96"/>
      <c r="N166" s="320"/>
      <c r="O166" s="321"/>
      <c r="P166" s="321"/>
      <c r="Q166" s="321"/>
      <c r="R166" s="321"/>
      <c r="S166" s="321"/>
      <c r="T166" s="321"/>
      <c r="U166" s="321"/>
      <c r="V166" s="321"/>
      <c r="W166" s="321"/>
      <c r="X166" s="321"/>
      <c r="Y166" s="83"/>
      <c r="Z166" s="83"/>
      <c r="AA166" s="98"/>
      <c r="AB166" s="98"/>
    </row>
    <row r="167" spans="1:28">
      <c r="A167" s="285" t="str">
        <f>VLOOKUP(D167,'[2]2024 - Curva ABC de Insumos'!$E$6:$R$172,14,FALSE())</f>
        <v>C</v>
      </c>
      <c r="B167" s="300" t="s">
        <v>1306</v>
      </c>
      <c r="C167" s="305" t="s">
        <v>4211</v>
      </c>
      <c r="D167" s="288" t="s">
        <v>1308</v>
      </c>
      <c r="E167" s="289" t="s">
        <v>6336</v>
      </c>
      <c r="F167" s="290"/>
      <c r="G167" s="290"/>
      <c r="H167" s="290"/>
      <c r="I167" s="290"/>
      <c r="J167" s="322">
        <f>SMALL(E168:I168,1)</f>
        <v>1071</v>
      </c>
      <c r="K167" s="187"/>
      <c r="L167" s="187" t="e">
        <f>VLOOKUP(B167,[3]CPUs!D:L,9,FALSE())</f>
        <v>#N/A</v>
      </c>
      <c r="M167" s="96" t="e">
        <f>IF(J167=L167,"OK","DIF")</f>
        <v>#N/A</v>
      </c>
      <c r="N167" s="326" t="s">
        <v>6244</v>
      </c>
      <c r="O167" s="324"/>
      <c r="P167" s="279"/>
      <c r="Q167" s="279"/>
      <c r="R167" s="324"/>
      <c r="S167" s="324"/>
      <c r="T167" s="324"/>
      <c r="U167" s="324"/>
      <c r="V167" s="324"/>
      <c r="W167" s="279"/>
      <c r="X167" s="279"/>
      <c r="Y167" s="83"/>
      <c r="Z167" s="83"/>
      <c r="AA167" s="328"/>
      <c r="AB167" s="328"/>
    </row>
    <row r="168" ht="15" spans="1:28">
      <c r="A168" s="285"/>
      <c r="B168" s="291"/>
      <c r="C168" s="292"/>
      <c r="D168" s="293" t="s">
        <v>6236</v>
      </c>
      <c r="E168" s="294">
        <v>1071</v>
      </c>
      <c r="F168" s="295"/>
      <c r="G168" s="295"/>
      <c r="H168" s="295"/>
      <c r="I168" s="295"/>
      <c r="J168" s="325"/>
      <c r="K168" s="187" t="str">
        <f>IF(A168="c",$M$4*J168,"")</f>
        <v/>
      </c>
      <c r="L168" s="83"/>
      <c r="M168" s="96"/>
      <c r="N168" s="326"/>
      <c r="O168" s="324"/>
      <c r="P168" s="279"/>
      <c r="Q168" s="279"/>
      <c r="R168" s="324"/>
      <c r="S168" s="324"/>
      <c r="T168" s="324"/>
      <c r="U168" s="324"/>
      <c r="V168" s="324"/>
      <c r="W168" s="279"/>
      <c r="X168" s="279"/>
      <c r="Y168" s="83"/>
      <c r="Z168" s="83"/>
      <c r="AA168" s="328"/>
      <c r="AB168" s="328"/>
    </row>
    <row r="169" ht="99.75" spans="1:28">
      <c r="A169" s="285"/>
      <c r="B169" s="291"/>
      <c r="C169" s="292"/>
      <c r="D169" s="293" t="s">
        <v>6237</v>
      </c>
      <c r="E169" s="339" t="s">
        <v>6337</v>
      </c>
      <c r="F169" s="296"/>
      <c r="G169" s="296"/>
      <c r="H169" s="302"/>
      <c r="I169" s="302"/>
      <c r="J169" s="325"/>
      <c r="K169" s="187" t="str">
        <f>IF(A169="c",$M$4*J169,"")</f>
        <v/>
      </c>
      <c r="L169" s="83"/>
      <c r="M169" s="96"/>
      <c r="N169" s="326"/>
      <c r="O169" s="324"/>
      <c r="P169" s="279"/>
      <c r="Q169" s="279"/>
      <c r="R169" s="324"/>
      <c r="S169" s="324"/>
      <c r="T169" s="324"/>
      <c r="U169" s="279"/>
      <c r="V169" s="279"/>
      <c r="W169" s="279"/>
      <c r="X169" s="279"/>
      <c r="Y169" s="83"/>
      <c r="Z169" s="83"/>
      <c r="AA169" s="328"/>
      <c r="AB169" s="328"/>
    </row>
    <row r="170" ht="64.9" customHeight="1" spans="1:28">
      <c r="A170" s="285"/>
      <c r="B170" s="291"/>
      <c r="C170" s="292"/>
      <c r="D170" s="293" t="s">
        <v>6251</v>
      </c>
      <c r="E170" s="304" t="s">
        <v>6323</v>
      </c>
      <c r="F170" s="304"/>
      <c r="G170" s="304"/>
      <c r="H170" s="304"/>
      <c r="I170" s="304"/>
      <c r="J170" s="304"/>
      <c r="K170" s="187" t="str">
        <f>IF(A170="c",$M$4*J170,"")</f>
        <v/>
      </c>
      <c r="L170" s="83"/>
      <c r="M170" s="96"/>
      <c r="N170" s="326"/>
      <c r="O170" s="324"/>
      <c r="P170" s="279"/>
      <c r="Q170" s="279"/>
      <c r="R170" s="324"/>
      <c r="S170" s="324"/>
      <c r="T170" s="324"/>
      <c r="U170" s="324"/>
      <c r="V170" s="324"/>
      <c r="W170" s="279"/>
      <c r="X170" s="279"/>
      <c r="Y170" s="83"/>
      <c r="Z170" s="83"/>
      <c r="AA170" s="328"/>
      <c r="AB170" s="328"/>
    </row>
    <row r="171" ht="15" spans="1:28">
      <c r="A171" s="285"/>
      <c r="B171" s="307"/>
      <c r="C171" s="308"/>
      <c r="D171" s="309"/>
      <c r="E171" s="310"/>
      <c r="F171" s="311"/>
      <c r="G171" s="311"/>
      <c r="H171" s="311"/>
      <c r="I171" s="311"/>
      <c r="J171" s="331"/>
      <c r="K171" s="187" t="str">
        <f>IF(A171="c",$M$4*J171,"")</f>
        <v/>
      </c>
      <c r="L171" s="83"/>
      <c r="M171" s="96"/>
      <c r="N171" s="320"/>
      <c r="O171" s="321"/>
      <c r="P171" s="321"/>
      <c r="Q171" s="321"/>
      <c r="R171" s="321"/>
      <c r="S171" s="321"/>
      <c r="T171" s="321"/>
      <c r="U171" s="321"/>
      <c r="V171" s="321"/>
      <c r="W171" s="321"/>
      <c r="X171" s="321"/>
      <c r="Y171" s="83"/>
      <c r="Z171" s="83"/>
      <c r="AA171" s="98"/>
      <c r="AB171" s="98"/>
    </row>
    <row r="172" spans="1:28">
      <c r="A172" s="285" t="str">
        <f>VLOOKUP(D172,'[2]2024 - Curva ABC de Insumos'!$E$6:$R$172,14,FALSE())</f>
        <v>C</v>
      </c>
      <c r="B172" s="300" t="s">
        <v>1309</v>
      </c>
      <c r="C172" s="305" t="s">
        <v>4212</v>
      </c>
      <c r="D172" s="288" t="s">
        <v>1311</v>
      </c>
      <c r="E172" s="289" t="s">
        <v>6338</v>
      </c>
      <c r="F172" s="290"/>
      <c r="G172" s="290"/>
      <c r="H172" s="290"/>
      <c r="I172" s="290"/>
      <c r="J172" s="322">
        <f>SMALL(E173:I173,1)</f>
        <v>908.17</v>
      </c>
      <c r="K172" s="187"/>
      <c r="L172" s="187" t="e">
        <f>VLOOKUP(B172,[3]CPUs!D:L,9,FALSE())</f>
        <v>#N/A</v>
      </c>
      <c r="M172" s="96" t="e">
        <f>IF(J172=L172,"OK","DIF")</f>
        <v>#N/A</v>
      </c>
      <c r="N172" s="326" t="s">
        <v>6244</v>
      </c>
      <c r="O172" s="324"/>
      <c r="P172" s="279"/>
      <c r="Q172" s="279"/>
      <c r="R172" s="324"/>
      <c r="S172" s="324"/>
      <c r="T172" s="324"/>
      <c r="U172" s="324"/>
      <c r="V172" s="324"/>
      <c r="W172" s="279"/>
      <c r="X172" s="279"/>
      <c r="Y172" s="83"/>
      <c r="Z172" s="83"/>
      <c r="AA172" s="328"/>
      <c r="AB172" s="328"/>
    </row>
    <row r="173" ht="15" spans="1:28">
      <c r="A173" s="285"/>
      <c r="B173" s="291"/>
      <c r="C173" s="292"/>
      <c r="D173" s="293" t="s">
        <v>6236</v>
      </c>
      <c r="E173" s="294">
        <v>908.17</v>
      </c>
      <c r="F173" s="295"/>
      <c r="G173" s="295"/>
      <c r="H173" s="295"/>
      <c r="I173" s="295"/>
      <c r="J173" s="325"/>
      <c r="K173" s="187" t="str">
        <f>IF(A173="c",$M$4*J173,"")</f>
        <v/>
      </c>
      <c r="L173" s="83"/>
      <c r="M173" s="96"/>
      <c r="N173" s="326"/>
      <c r="O173" s="324"/>
      <c r="P173" s="279"/>
      <c r="Q173" s="279"/>
      <c r="R173" s="324"/>
      <c r="S173" s="324"/>
      <c r="T173" s="324"/>
      <c r="U173" s="324"/>
      <c r="V173" s="324"/>
      <c r="W173" s="279"/>
      <c r="X173" s="279"/>
      <c r="Y173" s="83"/>
      <c r="Z173" s="83"/>
      <c r="AA173" s="328"/>
      <c r="AB173" s="328"/>
    </row>
    <row r="174" ht="185.25" spans="1:28">
      <c r="A174" s="285"/>
      <c r="B174" s="291"/>
      <c r="C174" s="292"/>
      <c r="D174" s="293" t="s">
        <v>6237</v>
      </c>
      <c r="E174" s="296" t="s">
        <v>6339</v>
      </c>
      <c r="F174" s="296"/>
      <c r="G174" s="296"/>
      <c r="H174" s="302"/>
      <c r="I174" s="302"/>
      <c r="J174" s="325"/>
      <c r="K174" s="187" t="str">
        <f>IF(A174="c",$M$4*J174,"")</f>
        <v/>
      </c>
      <c r="L174" s="83"/>
      <c r="M174" s="96"/>
      <c r="N174" s="326"/>
      <c r="O174" s="324"/>
      <c r="P174" s="279"/>
      <c r="Q174" s="279"/>
      <c r="R174" s="324"/>
      <c r="S174" s="324"/>
      <c r="T174" s="324"/>
      <c r="U174" s="279"/>
      <c r="V174" s="279"/>
      <c r="W174" s="279"/>
      <c r="X174" s="279"/>
      <c r="Y174" s="83"/>
      <c r="Z174" s="83"/>
      <c r="AA174" s="328"/>
      <c r="AB174" s="328"/>
    </row>
    <row r="175" ht="64.9" customHeight="1" spans="1:28">
      <c r="A175" s="285"/>
      <c r="B175" s="291"/>
      <c r="C175" s="292"/>
      <c r="D175" s="293" t="s">
        <v>6251</v>
      </c>
      <c r="E175" s="304" t="s">
        <v>6323</v>
      </c>
      <c r="F175" s="304"/>
      <c r="G175" s="304"/>
      <c r="H175" s="304"/>
      <c r="I175" s="304"/>
      <c r="J175" s="304"/>
      <c r="K175" s="187" t="str">
        <f>IF(A175="c",$M$4*J175,"")</f>
        <v/>
      </c>
      <c r="L175" s="83"/>
      <c r="M175" s="96"/>
      <c r="N175" s="326"/>
      <c r="O175" s="324"/>
      <c r="P175" s="279"/>
      <c r="Q175" s="279"/>
      <c r="R175" s="324"/>
      <c r="S175" s="324"/>
      <c r="T175" s="324"/>
      <c r="U175" s="324"/>
      <c r="V175" s="324"/>
      <c r="W175" s="279"/>
      <c r="X175" s="279"/>
      <c r="Y175" s="83"/>
      <c r="Z175" s="83"/>
      <c r="AA175" s="328"/>
      <c r="AB175" s="328"/>
    </row>
    <row r="176" ht="15" spans="1:28">
      <c r="A176" s="285"/>
      <c r="B176" s="307"/>
      <c r="C176" s="308"/>
      <c r="D176" s="309"/>
      <c r="E176" s="310"/>
      <c r="F176" s="311"/>
      <c r="G176" s="311"/>
      <c r="H176" s="311"/>
      <c r="I176" s="311"/>
      <c r="J176" s="331"/>
      <c r="K176" s="187" t="str">
        <f>IF(A176="c",$M$4*J176,"")</f>
        <v/>
      </c>
      <c r="L176" s="83"/>
      <c r="M176" s="96"/>
      <c r="N176" s="320"/>
      <c r="O176" s="321"/>
      <c r="P176" s="321"/>
      <c r="Q176" s="321"/>
      <c r="R176" s="321"/>
      <c r="S176" s="321"/>
      <c r="T176" s="321"/>
      <c r="U176" s="321"/>
      <c r="V176" s="321"/>
      <c r="W176" s="321"/>
      <c r="X176" s="321"/>
      <c r="Y176" s="83"/>
      <c r="Z176" s="83"/>
      <c r="AA176" s="98"/>
      <c r="AB176" s="98"/>
    </row>
    <row r="177" spans="1:28">
      <c r="A177" s="285" t="str">
        <f>VLOOKUP(D177,'[2]2024 - Curva ABC de Insumos'!$E$6:$R$172,14,FALSE())</f>
        <v>C</v>
      </c>
      <c r="B177" s="300" t="s">
        <v>1312</v>
      </c>
      <c r="C177" s="305" t="s">
        <v>4213</v>
      </c>
      <c r="D177" s="288" t="s">
        <v>1314</v>
      </c>
      <c r="E177" s="289" t="s">
        <v>6338</v>
      </c>
      <c r="F177" s="290"/>
      <c r="G177" s="290"/>
      <c r="H177" s="290"/>
      <c r="I177" s="290"/>
      <c r="J177" s="322">
        <f>SMALL(E178:I178,1)</f>
        <v>954.81</v>
      </c>
      <c r="K177" s="187"/>
      <c r="L177" s="187" t="e">
        <f>VLOOKUP(B177,[3]CPUs!D:L,9,FALSE())</f>
        <v>#N/A</v>
      </c>
      <c r="M177" s="96" t="e">
        <f>IF(J177=L177,"OK","DIF")</f>
        <v>#N/A</v>
      </c>
      <c r="N177" s="326" t="s">
        <v>6244</v>
      </c>
      <c r="O177" s="324"/>
      <c r="P177" s="279"/>
      <c r="Q177" s="279"/>
      <c r="R177" s="324"/>
      <c r="S177" s="324"/>
      <c r="T177" s="324"/>
      <c r="U177" s="324"/>
      <c r="V177" s="324"/>
      <c r="W177" s="279"/>
      <c r="X177" s="279"/>
      <c r="Y177" s="83"/>
      <c r="Z177" s="83"/>
      <c r="AA177" s="328"/>
      <c r="AB177" s="328"/>
    </row>
    <row r="178" ht="15" spans="1:28">
      <c r="A178" s="285"/>
      <c r="B178" s="291"/>
      <c r="C178" s="292"/>
      <c r="D178" s="293" t="s">
        <v>6236</v>
      </c>
      <c r="E178" s="294">
        <v>954.81</v>
      </c>
      <c r="F178" s="295"/>
      <c r="G178" s="295"/>
      <c r="H178" s="295"/>
      <c r="I178" s="295"/>
      <c r="J178" s="325"/>
      <c r="K178" s="187" t="str">
        <f>IF(A178="c",$M$4*J178,"")</f>
        <v/>
      </c>
      <c r="L178" s="83"/>
      <c r="M178" s="96"/>
      <c r="N178" s="326"/>
      <c r="O178" s="324"/>
      <c r="P178" s="279"/>
      <c r="Q178" s="279"/>
      <c r="R178" s="324"/>
      <c r="S178" s="324"/>
      <c r="T178" s="324"/>
      <c r="U178" s="324"/>
      <c r="V178" s="324"/>
      <c r="W178" s="279"/>
      <c r="X178" s="279"/>
      <c r="Y178" s="83"/>
      <c r="Z178" s="83"/>
      <c r="AA178" s="328"/>
      <c r="AB178" s="328"/>
    </row>
    <row r="179" ht="57" spans="1:28">
      <c r="A179" s="285"/>
      <c r="B179" s="291"/>
      <c r="C179" s="292"/>
      <c r="D179" s="293" t="s">
        <v>6237</v>
      </c>
      <c r="E179" s="296" t="s">
        <v>6340</v>
      </c>
      <c r="F179" s="296"/>
      <c r="G179" s="296"/>
      <c r="H179" s="302"/>
      <c r="I179" s="302"/>
      <c r="J179" s="325"/>
      <c r="K179" s="187" t="str">
        <f>IF(A179="c",$M$4*J179,"")</f>
        <v/>
      </c>
      <c r="L179" s="83"/>
      <c r="M179" s="96"/>
      <c r="N179" s="326"/>
      <c r="O179" s="324"/>
      <c r="P179" s="279"/>
      <c r="Q179" s="279"/>
      <c r="R179" s="324"/>
      <c r="S179" s="324"/>
      <c r="T179" s="324"/>
      <c r="U179" s="279"/>
      <c r="V179" s="279"/>
      <c r="W179" s="279"/>
      <c r="X179" s="279"/>
      <c r="Y179" s="83"/>
      <c r="Z179" s="83"/>
      <c r="AA179" s="328"/>
      <c r="AB179" s="328"/>
    </row>
    <row r="180" ht="64.9" customHeight="1" spans="1:28">
      <c r="A180" s="285"/>
      <c r="B180" s="291"/>
      <c r="C180" s="292"/>
      <c r="D180" s="293" t="s">
        <v>6251</v>
      </c>
      <c r="E180" s="304" t="s">
        <v>6323</v>
      </c>
      <c r="F180" s="304"/>
      <c r="G180" s="304"/>
      <c r="H180" s="304"/>
      <c r="I180" s="304"/>
      <c r="J180" s="304"/>
      <c r="K180" s="187" t="str">
        <f>IF(A180="c",$M$4*J180,"")</f>
        <v/>
      </c>
      <c r="L180" s="83"/>
      <c r="M180" s="96"/>
      <c r="N180" s="326"/>
      <c r="O180" s="324"/>
      <c r="P180" s="279"/>
      <c r="Q180" s="279"/>
      <c r="R180" s="324"/>
      <c r="S180" s="324"/>
      <c r="T180" s="324"/>
      <c r="U180" s="324"/>
      <c r="V180" s="324"/>
      <c r="W180" s="279"/>
      <c r="X180" s="279"/>
      <c r="Y180" s="83"/>
      <c r="Z180" s="83"/>
      <c r="AA180" s="328"/>
      <c r="AB180" s="328"/>
    </row>
    <row r="181" ht="15" spans="1:28">
      <c r="A181" s="285"/>
      <c r="B181" s="307"/>
      <c r="C181" s="308"/>
      <c r="D181" s="309"/>
      <c r="E181" s="310"/>
      <c r="F181" s="311"/>
      <c r="G181" s="311"/>
      <c r="H181" s="311"/>
      <c r="I181" s="311"/>
      <c r="J181" s="331"/>
      <c r="K181" s="187" t="str">
        <f>IF(A181="c",$M$4*J181,"")</f>
        <v/>
      </c>
      <c r="L181" s="83"/>
      <c r="M181" s="96"/>
      <c r="N181" s="320"/>
      <c r="O181" s="321"/>
      <c r="P181" s="321"/>
      <c r="Q181" s="321"/>
      <c r="R181" s="321"/>
      <c r="S181" s="321"/>
      <c r="T181" s="321"/>
      <c r="U181" s="321"/>
      <c r="V181" s="321"/>
      <c r="W181" s="321"/>
      <c r="X181" s="321"/>
      <c r="Y181" s="83"/>
      <c r="Z181" s="83"/>
      <c r="AA181" s="98"/>
      <c r="AB181" s="98"/>
    </row>
    <row r="182" spans="1:28">
      <c r="A182" s="285" t="str">
        <f>VLOOKUP(D182,'[2]2024 - Curva ABC de Insumos'!$E$6:$R$172,14,FALSE())</f>
        <v>C</v>
      </c>
      <c r="B182" s="300" t="s">
        <v>1315</v>
      </c>
      <c r="C182" s="305" t="s">
        <v>4214</v>
      </c>
      <c r="D182" s="288" t="s">
        <v>1317</v>
      </c>
      <c r="E182" s="289" t="s">
        <v>6341</v>
      </c>
      <c r="F182" s="290"/>
      <c r="G182" s="290"/>
      <c r="H182" s="290"/>
      <c r="I182" s="290"/>
      <c r="J182" s="322">
        <f>SMALL(E183:I183,1)</f>
        <v>1874.9</v>
      </c>
      <c r="K182" s="187"/>
      <c r="L182" s="187" t="e">
        <f>VLOOKUP(B182,[3]CPUs!D:L,9,FALSE())</f>
        <v>#N/A</v>
      </c>
      <c r="M182" s="96" t="e">
        <f>IF(J182=L182,"OK","DIF")</f>
        <v>#N/A</v>
      </c>
      <c r="N182" s="326" t="s">
        <v>6244</v>
      </c>
      <c r="O182" s="324"/>
      <c r="P182" s="279"/>
      <c r="Q182" s="279"/>
      <c r="R182" s="324"/>
      <c r="S182" s="324"/>
      <c r="T182" s="324"/>
      <c r="U182" s="324"/>
      <c r="V182" s="324"/>
      <c r="W182" s="279"/>
      <c r="X182" s="279"/>
      <c r="Y182" s="83"/>
      <c r="Z182" s="83"/>
      <c r="AA182" s="328"/>
      <c r="AB182" s="328"/>
    </row>
    <row r="183" ht="15" spans="1:28">
      <c r="A183" s="285"/>
      <c r="B183" s="291"/>
      <c r="C183" s="292"/>
      <c r="D183" s="293" t="s">
        <v>6236</v>
      </c>
      <c r="E183" s="294">
        <v>1874.9</v>
      </c>
      <c r="F183" s="295"/>
      <c r="G183" s="295"/>
      <c r="H183" s="295"/>
      <c r="I183" s="295"/>
      <c r="J183" s="325"/>
      <c r="K183" s="187" t="str">
        <f>IF(A183="c",$M$4*J183,"")</f>
        <v/>
      </c>
      <c r="L183" s="83"/>
      <c r="M183" s="96"/>
      <c r="N183" s="326"/>
      <c r="O183" s="324"/>
      <c r="P183" s="279"/>
      <c r="Q183" s="279"/>
      <c r="R183" s="324"/>
      <c r="S183" s="324"/>
      <c r="T183" s="324"/>
      <c r="U183" s="324"/>
      <c r="V183" s="324"/>
      <c r="W183" s="279"/>
      <c r="X183" s="279"/>
      <c r="Y183" s="83"/>
      <c r="Z183" s="83"/>
      <c r="AA183" s="328"/>
      <c r="AB183" s="328"/>
    </row>
    <row r="184" ht="114" spans="1:28">
      <c r="A184" s="285"/>
      <c r="B184" s="291"/>
      <c r="C184" s="292"/>
      <c r="D184" s="293" t="s">
        <v>6237</v>
      </c>
      <c r="E184" s="296" t="s">
        <v>6342</v>
      </c>
      <c r="F184" s="296"/>
      <c r="G184" s="296"/>
      <c r="H184" s="302"/>
      <c r="I184" s="302"/>
      <c r="J184" s="325"/>
      <c r="K184" s="187" t="str">
        <f>IF(A184="c",$M$4*J184,"")</f>
        <v/>
      </c>
      <c r="L184" s="83"/>
      <c r="M184" s="96"/>
      <c r="N184" s="326"/>
      <c r="O184" s="324"/>
      <c r="P184" s="279"/>
      <c r="Q184" s="279"/>
      <c r="R184" s="324"/>
      <c r="S184" s="324"/>
      <c r="T184" s="324"/>
      <c r="U184" s="279"/>
      <c r="V184" s="279"/>
      <c r="W184" s="279"/>
      <c r="X184" s="279"/>
      <c r="Y184" s="83"/>
      <c r="Z184" s="83"/>
      <c r="AA184" s="328"/>
      <c r="AB184" s="328"/>
    </row>
    <row r="185" ht="64.9" customHeight="1" spans="1:28">
      <c r="A185" s="285"/>
      <c r="B185" s="291"/>
      <c r="C185" s="292"/>
      <c r="D185" s="293" t="s">
        <v>6251</v>
      </c>
      <c r="E185" s="304" t="s">
        <v>6323</v>
      </c>
      <c r="F185" s="304"/>
      <c r="G185" s="304"/>
      <c r="H185" s="304"/>
      <c r="I185" s="304"/>
      <c r="J185" s="304"/>
      <c r="K185" s="187" t="str">
        <f>IF(A185="c",$M$4*J185,"")</f>
        <v/>
      </c>
      <c r="L185" s="83"/>
      <c r="M185" s="96"/>
      <c r="N185" s="326"/>
      <c r="O185" s="324"/>
      <c r="P185" s="279"/>
      <c r="Q185" s="279"/>
      <c r="R185" s="324"/>
      <c r="S185" s="324"/>
      <c r="T185" s="324"/>
      <c r="U185" s="324"/>
      <c r="V185" s="324"/>
      <c r="W185" s="279"/>
      <c r="X185" s="279"/>
      <c r="Y185" s="83"/>
      <c r="Z185" s="83"/>
      <c r="AA185" s="328"/>
      <c r="AB185" s="328"/>
    </row>
    <row r="186" ht="15" spans="1:28">
      <c r="A186" s="285"/>
      <c r="B186" s="307"/>
      <c r="C186" s="308"/>
      <c r="D186" s="309"/>
      <c r="E186" s="310"/>
      <c r="F186" s="311"/>
      <c r="G186" s="311"/>
      <c r="H186" s="311"/>
      <c r="I186" s="311"/>
      <c r="J186" s="331"/>
      <c r="K186" s="187" t="str">
        <f>IF(A186="c",$M$4*J186,"")</f>
        <v/>
      </c>
      <c r="L186" s="83"/>
      <c r="M186" s="96"/>
      <c r="N186" s="320"/>
      <c r="O186" s="321"/>
      <c r="P186" s="321"/>
      <c r="Q186" s="321"/>
      <c r="R186" s="321"/>
      <c r="S186" s="321"/>
      <c r="T186" s="321"/>
      <c r="U186" s="321"/>
      <c r="V186" s="321"/>
      <c r="W186" s="321"/>
      <c r="X186" s="321"/>
      <c r="Y186" s="83"/>
      <c r="Z186" s="83"/>
      <c r="AA186" s="98"/>
      <c r="AB186" s="98"/>
    </row>
    <row r="187" spans="1:28">
      <c r="A187" s="303" t="str">
        <f>VLOOKUP(D187,'[2]2024 - Curva ABC de Insumos'!$E$6:$R$172,14,FALSE())</f>
        <v>B</v>
      </c>
      <c r="B187" s="300" t="s">
        <v>1318</v>
      </c>
      <c r="C187" s="305" t="s">
        <v>4217</v>
      </c>
      <c r="D187" s="288" t="s">
        <v>1320</v>
      </c>
      <c r="E187" s="289" t="s">
        <v>6343</v>
      </c>
      <c r="F187" s="290"/>
      <c r="G187" s="290"/>
      <c r="H187" s="290"/>
      <c r="I187" s="290"/>
      <c r="J187" s="322">
        <f>SMALL(E188:I188,1)</f>
        <v>167</v>
      </c>
      <c r="K187" s="187" t="str">
        <f>IF(A187="c",$M$4*J187,"")</f>
        <v/>
      </c>
      <c r="L187" s="187" t="e">
        <f>VLOOKUP(B187,[3]CPUs!D:L,9,FALSE())</f>
        <v>#N/A</v>
      </c>
      <c r="M187" s="96" t="e">
        <f>IF(J187=L187,"OK","DIF")</f>
        <v>#N/A</v>
      </c>
      <c r="N187" s="326" t="s">
        <v>6344</v>
      </c>
      <c r="O187" s="324"/>
      <c r="P187" s="279"/>
      <c r="Q187" s="279"/>
      <c r="R187" s="324"/>
      <c r="S187" s="324"/>
      <c r="T187" s="324"/>
      <c r="U187" s="324"/>
      <c r="V187" s="324"/>
      <c r="W187" s="279"/>
      <c r="X187" s="279"/>
      <c r="Y187" s="83"/>
      <c r="Z187" s="83"/>
      <c r="AA187" s="328"/>
      <c r="AB187" s="328"/>
    </row>
    <row r="188" ht="15" spans="1:28">
      <c r="A188" s="303"/>
      <c r="B188" s="291"/>
      <c r="C188" s="292"/>
      <c r="D188" s="293" t="s">
        <v>6236</v>
      </c>
      <c r="E188" s="294">
        <v>167</v>
      </c>
      <c r="F188" s="295"/>
      <c r="G188" s="295"/>
      <c r="H188" s="295"/>
      <c r="I188" s="295"/>
      <c r="J188" s="325"/>
      <c r="K188" s="187" t="str">
        <f>IF(A188="c",$M$4*J188,"")</f>
        <v/>
      </c>
      <c r="L188" s="83"/>
      <c r="M188" s="96"/>
      <c r="N188" s="326"/>
      <c r="O188" s="324"/>
      <c r="P188" s="279"/>
      <c r="Q188" s="279"/>
      <c r="R188" s="324"/>
      <c r="S188" s="324"/>
      <c r="T188" s="324"/>
      <c r="U188" s="324"/>
      <c r="V188" s="324"/>
      <c r="W188" s="279"/>
      <c r="X188" s="279"/>
      <c r="Y188" s="83"/>
      <c r="Z188" s="83"/>
      <c r="AA188" s="328"/>
      <c r="AB188" s="328"/>
    </row>
    <row r="189" ht="71.25" spans="1:28">
      <c r="A189" s="303"/>
      <c r="B189" s="291"/>
      <c r="C189" s="292"/>
      <c r="D189" s="293" t="s">
        <v>6237</v>
      </c>
      <c r="E189" s="339" t="s">
        <v>6345</v>
      </c>
      <c r="F189" s="296"/>
      <c r="G189" s="296"/>
      <c r="H189" s="302"/>
      <c r="I189" s="302"/>
      <c r="J189" s="325"/>
      <c r="K189" s="187" t="str">
        <f>IF(A189="c",$M$4*J189,"")</f>
        <v/>
      </c>
      <c r="L189" s="83"/>
      <c r="M189" s="96"/>
      <c r="N189" s="326"/>
      <c r="O189" s="324"/>
      <c r="P189" s="279"/>
      <c r="Q189" s="279"/>
      <c r="R189" s="324"/>
      <c r="S189" s="324"/>
      <c r="T189" s="324"/>
      <c r="U189" s="279"/>
      <c r="V189" s="279"/>
      <c r="W189" s="279"/>
      <c r="X189" s="279"/>
      <c r="Y189" s="83"/>
      <c r="Z189" s="83"/>
      <c r="AA189" s="328"/>
      <c r="AB189" s="328"/>
    </row>
    <row r="190" ht="64.9" customHeight="1" spans="1:28">
      <c r="A190" s="303"/>
      <c r="B190" s="291"/>
      <c r="C190" s="292"/>
      <c r="D190" s="293" t="s">
        <v>6251</v>
      </c>
      <c r="E190" s="304" t="s">
        <v>6323</v>
      </c>
      <c r="F190" s="304"/>
      <c r="G190" s="304"/>
      <c r="H190" s="304"/>
      <c r="I190" s="304"/>
      <c r="J190" s="304"/>
      <c r="K190" s="187" t="str">
        <f>IF(A190="c",$M$4*J190,"")</f>
        <v/>
      </c>
      <c r="L190" s="83"/>
      <c r="M190" s="96"/>
      <c r="N190" s="326"/>
      <c r="O190" s="324"/>
      <c r="P190" s="279"/>
      <c r="Q190" s="279"/>
      <c r="R190" s="324"/>
      <c r="S190" s="324"/>
      <c r="T190" s="324"/>
      <c r="U190" s="324"/>
      <c r="V190" s="324"/>
      <c r="W190" s="279"/>
      <c r="X190" s="279"/>
      <c r="Y190" s="83"/>
      <c r="Z190" s="83"/>
      <c r="AA190" s="328"/>
      <c r="AB190" s="328"/>
    </row>
    <row r="191" ht="15" spans="1:28">
      <c r="A191" s="303"/>
      <c r="B191" s="307"/>
      <c r="C191" s="308"/>
      <c r="D191" s="309"/>
      <c r="E191" s="310"/>
      <c r="F191" s="311"/>
      <c r="G191" s="311"/>
      <c r="H191" s="311"/>
      <c r="I191" s="311"/>
      <c r="J191" s="331"/>
      <c r="K191" s="187" t="str">
        <f>IF(A191="c",$M$4*J191,"")</f>
        <v/>
      </c>
      <c r="L191" s="83"/>
      <c r="M191" s="96"/>
      <c r="N191" s="320"/>
      <c r="O191" s="321"/>
      <c r="P191" s="321"/>
      <c r="Q191" s="321"/>
      <c r="R191" s="321"/>
      <c r="S191" s="321"/>
      <c r="T191" s="321"/>
      <c r="U191" s="321"/>
      <c r="V191" s="321"/>
      <c r="W191" s="321"/>
      <c r="X191" s="321"/>
      <c r="Y191" s="83"/>
      <c r="Z191" s="83"/>
      <c r="AA191" s="98"/>
      <c r="AB191" s="98"/>
    </row>
    <row r="192" spans="1:28">
      <c r="A192" s="285" t="str">
        <f>VLOOKUP(D192,'[2]2024 - Curva ABC de Insumos'!$E$6:$R$172,14,FALSE())</f>
        <v>C</v>
      </c>
      <c r="B192" s="300" t="s">
        <v>1321</v>
      </c>
      <c r="C192" s="305" t="s">
        <v>4218</v>
      </c>
      <c r="D192" s="288" t="s">
        <v>4219</v>
      </c>
      <c r="E192" s="289" t="s">
        <v>6329</v>
      </c>
      <c r="F192" s="290"/>
      <c r="G192" s="290"/>
      <c r="H192" s="290"/>
      <c r="I192" s="290"/>
      <c r="J192" s="322">
        <f>SMALL(E193:I193,1)</f>
        <v>1506.619114</v>
      </c>
      <c r="K192" s="187"/>
      <c r="L192" s="187" t="e">
        <f>VLOOKUP(B192,[3]CPUs!D:L,9,FALSE())</f>
        <v>#N/A</v>
      </c>
      <c r="M192" s="96" t="e">
        <f>IF(J192=L192,"OK","DIF")</f>
        <v>#N/A</v>
      </c>
      <c r="N192" s="326" t="s">
        <v>6244</v>
      </c>
      <c r="O192" s="324"/>
      <c r="P192" s="279"/>
      <c r="Q192" s="279"/>
      <c r="R192" s="324"/>
      <c r="S192" s="324"/>
      <c r="T192" s="324"/>
      <c r="U192" s="324"/>
      <c r="V192" s="324"/>
      <c r="W192" s="279"/>
      <c r="X192" s="279"/>
      <c r="Y192" s="83"/>
      <c r="Z192" s="83"/>
      <c r="AA192" s="328"/>
      <c r="AB192" s="328"/>
    </row>
    <row r="193" ht="15" spans="1:28">
      <c r="A193" s="285"/>
      <c r="B193" s="291"/>
      <c r="C193" s="292"/>
      <c r="D193" s="293" t="s">
        <v>6236</v>
      </c>
      <c r="E193" s="294">
        <f>1.0439*1443.26</f>
        <v>1506.619114</v>
      </c>
      <c r="F193" s="295"/>
      <c r="G193" s="295"/>
      <c r="H193" s="295"/>
      <c r="I193" s="295"/>
      <c r="J193" s="325"/>
      <c r="K193" s="187" t="str">
        <f>IF(A193="c",$M$4*J193,"")</f>
        <v/>
      </c>
      <c r="L193" s="83"/>
      <c r="M193" s="96"/>
      <c r="N193" s="326"/>
      <c r="O193" s="324"/>
      <c r="P193" s="279"/>
      <c r="Q193" s="279"/>
      <c r="R193" s="324"/>
      <c r="S193" s="324"/>
      <c r="T193" s="324"/>
      <c r="U193" s="324"/>
      <c r="V193" s="324"/>
      <c r="W193" s="279"/>
      <c r="X193" s="279"/>
      <c r="Y193" s="83"/>
      <c r="Z193" s="83"/>
      <c r="AA193" s="328"/>
      <c r="AB193" s="328"/>
    </row>
    <row r="194" ht="199.5" spans="1:28">
      <c r="A194" s="285"/>
      <c r="B194" s="291"/>
      <c r="C194" s="292"/>
      <c r="D194" s="293" t="s">
        <v>6237</v>
      </c>
      <c r="E194" s="344" t="s">
        <v>6346</v>
      </c>
      <c r="F194" s="296"/>
      <c r="G194" s="296"/>
      <c r="H194" s="302"/>
      <c r="I194" s="302"/>
      <c r="J194" s="325"/>
      <c r="K194" s="187" t="str">
        <f>IF(A194="c",$M$4*J194,"")</f>
        <v/>
      </c>
      <c r="L194" s="83"/>
      <c r="M194" s="96"/>
      <c r="N194" s="326"/>
      <c r="O194" s="324"/>
      <c r="P194" s="279"/>
      <c r="Q194" s="279"/>
      <c r="R194" s="324"/>
      <c r="S194" s="324"/>
      <c r="T194" s="324"/>
      <c r="U194" s="279"/>
      <c r="V194" s="279"/>
      <c r="W194" s="279"/>
      <c r="X194" s="279"/>
      <c r="Y194" s="83"/>
      <c r="Z194" s="83"/>
      <c r="AA194" s="328"/>
      <c r="AB194" s="328"/>
    </row>
    <row r="195" ht="64.9" customHeight="1" spans="1:28">
      <c r="A195" s="285"/>
      <c r="B195" s="291"/>
      <c r="C195" s="292"/>
      <c r="D195" s="293" t="s">
        <v>6251</v>
      </c>
      <c r="E195" s="304" t="s">
        <v>6323</v>
      </c>
      <c r="F195" s="304"/>
      <c r="G195" s="304"/>
      <c r="H195" s="304"/>
      <c r="I195" s="304"/>
      <c r="J195" s="304"/>
      <c r="K195" s="187" t="str">
        <f>IF(A195="c",$M$4*J195,"")</f>
        <v/>
      </c>
      <c r="L195" s="83"/>
      <c r="M195" s="96"/>
      <c r="N195" s="326"/>
      <c r="O195" s="324"/>
      <c r="P195" s="279"/>
      <c r="Q195" s="279"/>
      <c r="R195" s="324"/>
      <c r="S195" s="324"/>
      <c r="T195" s="324"/>
      <c r="U195" s="324"/>
      <c r="V195" s="324"/>
      <c r="W195" s="279"/>
      <c r="X195" s="279"/>
      <c r="Y195" s="83"/>
      <c r="Z195" s="83"/>
      <c r="AA195" s="328"/>
      <c r="AB195" s="328"/>
    </row>
    <row r="196" ht="15" spans="1:28">
      <c r="A196" s="285"/>
      <c r="B196" s="307"/>
      <c r="C196" s="308"/>
      <c r="D196" s="309"/>
      <c r="E196" s="310"/>
      <c r="F196" s="311"/>
      <c r="G196" s="311"/>
      <c r="H196" s="311"/>
      <c r="I196" s="311"/>
      <c r="J196" s="331"/>
      <c r="K196" s="187" t="str">
        <f>IF(A196="c",$M$4*J196,"")</f>
        <v/>
      </c>
      <c r="L196" s="83"/>
      <c r="M196" s="96"/>
      <c r="N196" s="320"/>
      <c r="O196" s="321"/>
      <c r="P196" s="321"/>
      <c r="Q196" s="321"/>
      <c r="R196" s="321"/>
      <c r="S196" s="321"/>
      <c r="T196" s="321"/>
      <c r="U196" s="321"/>
      <c r="V196" s="321"/>
      <c r="W196" s="321"/>
      <c r="X196" s="321"/>
      <c r="Y196" s="83"/>
      <c r="Z196" s="83"/>
      <c r="AA196" s="98"/>
      <c r="AB196" s="98"/>
    </row>
    <row r="197" ht="24" spans="1:28">
      <c r="A197" s="285" t="str">
        <f>VLOOKUP(D197,'[2]2024 - Curva ABC de Insumos'!$E$6:$R$172,14,FALSE())</f>
        <v>B</v>
      </c>
      <c r="B197" s="300" t="s">
        <v>1324</v>
      </c>
      <c r="C197" s="305" t="s">
        <v>4221</v>
      </c>
      <c r="D197" s="288" t="s">
        <v>1326</v>
      </c>
      <c r="E197" s="289" t="s">
        <v>6347</v>
      </c>
      <c r="F197" s="290"/>
      <c r="G197" s="290"/>
      <c r="H197" s="290"/>
      <c r="I197" s="290"/>
      <c r="J197" s="322">
        <f>SMALL(E198:I198,1)</f>
        <v>10544.7</v>
      </c>
      <c r="K197" s="187" t="str">
        <f>IF(A197="c",$M$4*J197,"")</f>
        <v/>
      </c>
      <c r="L197" s="187" t="e">
        <f>VLOOKUP(B197,[3]CPUs!D:L,9,FALSE())</f>
        <v>#N/A</v>
      </c>
      <c r="M197" s="96" t="e">
        <f>IF(J197=L197,"OK","DIF")</f>
        <v>#N/A</v>
      </c>
      <c r="N197" s="326" t="s">
        <v>6244</v>
      </c>
      <c r="O197" s="324"/>
      <c r="P197" s="279"/>
      <c r="Q197" s="279"/>
      <c r="R197" s="324"/>
      <c r="S197" s="324"/>
      <c r="T197" s="324"/>
      <c r="U197" s="324"/>
      <c r="V197" s="324"/>
      <c r="W197" s="279"/>
      <c r="X197" s="279"/>
      <c r="Y197" s="83"/>
      <c r="Z197" s="83"/>
      <c r="AA197" s="328"/>
      <c r="AB197" s="328"/>
    </row>
    <row r="198" ht="15" spans="1:28">
      <c r="A198" s="285"/>
      <c r="B198" s="291"/>
      <c r="C198" s="292"/>
      <c r="D198" s="293" t="s">
        <v>6236</v>
      </c>
      <c r="E198" s="294">
        <v>10544.7</v>
      </c>
      <c r="F198" s="295"/>
      <c r="G198" s="295"/>
      <c r="H198" s="295"/>
      <c r="I198" s="295"/>
      <c r="J198" s="325"/>
      <c r="K198" s="187" t="str">
        <f>IF(A198="c",$M$4*J198,"")</f>
        <v/>
      </c>
      <c r="L198" s="83"/>
      <c r="M198" s="96"/>
      <c r="N198" s="326"/>
      <c r="O198" s="324"/>
      <c r="P198" s="279"/>
      <c r="Q198" s="279"/>
      <c r="R198" s="324"/>
      <c r="S198" s="324"/>
      <c r="T198" s="324"/>
      <c r="U198" s="324"/>
      <c r="V198" s="324"/>
      <c r="W198" s="279"/>
      <c r="X198" s="279"/>
      <c r="Y198" s="83"/>
      <c r="Z198" s="83"/>
      <c r="AA198" s="328"/>
      <c r="AB198" s="328"/>
    </row>
    <row r="199" ht="213.75" spans="1:28">
      <c r="A199" s="285"/>
      <c r="B199" s="291"/>
      <c r="C199" s="292"/>
      <c r="D199" s="293" t="s">
        <v>6237</v>
      </c>
      <c r="E199" s="339" t="s">
        <v>6348</v>
      </c>
      <c r="F199" s="296"/>
      <c r="G199" s="296"/>
      <c r="H199" s="302"/>
      <c r="I199" s="302"/>
      <c r="J199" s="325"/>
      <c r="K199" s="187" t="str">
        <f>IF(A199="c",$M$4*J199,"")</f>
        <v/>
      </c>
      <c r="L199" s="83"/>
      <c r="M199" s="96"/>
      <c r="N199" s="326"/>
      <c r="O199" s="324"/>
      <c r="P199" s="279"/>
      <c r="Q199" s="279"/>
      <c r="R199" s="324"/>
      <c r="S199" s="324"/>
      <c r="T199" s="324"/>
      <c r="U199" s="279"/>
      <c r="V199" s="279"/>
      <c r="W199" s="279"/>
      <c r="X199" s="279"/>
      <c r="Y199" s="83"/>
      <c r="Z199" s="83"/>
      <c r="AA199" s="328"/>
      <c r="AB199" s="328"/>
    </row>
    <row r="200" ht="64.9" customHeight="1" spans="1:28">
      <c r="A200" s="285"/>
      <c r="B200" s="291"/>
      <c r="C200" s="292"/>
      <c r="D200" s="293" t="s">
        <v>6251</v>
      </c>
      <c r="E200" s="304" t="s">
        <v>6323</v>
      </c>
      <c r="F200" s="304"/>
      <c r="G200" s="304"/>
      <c r="H200" s="304"/>
      <c r="I200" s="304"/>
      <c r="J200" s="304"/>
      <c r="K200" s="187" t="str">
        <f>IF(A200="c",$M$4*J200,"")</f>
        <v/>
      </c>
      <c r="L200" s="83"/>
      <c r="M200" s="96"/>
      <c r="N200" s="326"/>
      <c r="O200" s="324"/>
      <c r="P200" s="279"/>
      <c r="Q200" s="279"/>
      <c r="R200" s="324"/>
      <c r="S200" s="324"/>
      <c r="T200" s="324"/>
      <c r="U200" s="324"/>
      <c r="V200" s="324"/>
      <c r="W200" s="279"/>
      <c r="X200" s="279"/>
      <c r="Y200" s="83"/>
      <c r="Z200" s="83"/>
      <c r="AA200" s="328"/>
      <c r="AB200" s="328"/>
    </row>
    <row r="201" ht="15" spans="1:28">
      <c r="A201" s="285"/>
      <c r="B201" s="307"/>
      <c r="C201" s="308"/>
      <c r="D201" s="309"/>
      <c r="E201" s="310"/>
      <c r="F201" s="311"/>
      <c r="G201" s="311"/>
      <c r="H201" s="311"/>
      <c r="I201" s="311"/>
      <c r="J201" s="331"/>
      <c r="K201" s="187" t="str">
        <f>IF(A201="c",$M$4*J201,"")</f>
        <v/>
      </c>
      <c r="L201" s="83"/>
      <c r="M201" s="96"/>
      <c r="N201" s="320"/>
      <c r="O201" s="321"/>
      <c r="P201" s="321"/>
      <c r="Q201" s="321"/>
      <c r="R201" s="321"/>
      <c r="S201" s="321"/>
      <c r="T201" s="321"/>
      <c r="U201" s="321"/>
      <c r="V201" s="321"/>
      <c r="W201" s="321"/>
      <c r="X201" s="321"/>
      <c r="Y201" s="83"/>
      <c r="Z201" s="83"/>
      <c r="AA201" s="98"/>
      <c r="AB201" s="98"/>
    </row>
    <row r="202" ht="24" spans="1:28">
      <c r="A202" s="285" t="str">
        <f>VLOOKUP(D202,'[2]2024 - Curva ABC de Insumos'!$E$6:$R$172,14,FALSE())</f>
        <v>C</v>
      </c>
      <c r="B202" s="300" t="s">
        <v>1327</v>
      </c>
      <c r="C202" s="305" t="s">
        <v>4222</v>
      </c>
      <c r="D202" s="288" t="s">
        <v>1329</v>
      </c>
      <c r="E202" s="289" t="s">
        <v>6347</v>
      </c>
      <c r="F202" s="290"/>
      <c r="G202" s="290"/>
      <c r="H202" s="290"/>
      <c r="I202" s="290"/>
      <c r="J202" s="322">
        <f>SMALL(E203:I203,1)</f>
        <v>2254.42</v>
      </c>
      <c r="K202" s="187"/>
      <c r="L202" s="187" t="e">
        <f>VLOOKUP(B202,[3]CPUs!D:L,9,FALSE())</f>
        <v>#N/A</v>
      </c>
      <c r="M202" s="96" t="e">
        <f>IF(J202=L202,"OK","DIF")</f>
        <v>#N/A</v>
      </c>
      <c r="N202" s="326" t="s">
        <v>6244</v>
      </c>
      <c r="O202" s="324"/>
      <c r="P202" s="279"/>
      <c r="Q202" s="279"/>
      <c r="R202" s="324"/>
      <c r="S202" s="324"/>
      <c r="T202" s="324"/>
      <c r="U202" s="324"/>
      <c r="V202" s="324"/>
      <c r="W202" s="279"/>
      <c r="X202" s="279"/>
      <c r="Y202" s="83"/>
      <c r="Z202" s="83"/>
      <c r="AA202" s="328"/>
      <c r="AB202" s="328"/>
    </row>
    <row r="203" ht="15" spans="1:28">
      <c r="A203" s="285"/>
      <c r="B203" s="291"/>
      <c r="C203" s="292"/>
      <c r="D203" s="293" t="s">
        <v>6236</v>
      </c>
      <c r="E203" s="294">
        <v>2254.42</v>
      </c>
      <c r="F203" s="295"/>
      <c r="G203" s="295"/>
      <c r="H203" s="295"/>
      <c r="I203" s="295"/>
      <c r="J203" s="325"/>
      <c r="K203" s="187" t="str">
        <f>IF(A203="c",$M$4*J203,"")</f>
        <v/>
      </c>
      <c r="L203" s="83"/>
      <c r="M203" s="96"/>
      <c r="N203" s="326"/>
      <c r="O203" s="324"/>
      <c r="P203" s="279"/>
      <c r="Q203" s="279"/>
      <c r="R203" s="324"/>
      <c r="S203" s="324"/>
      <c r="T203" s="324"/>
      <c r="U203" s="324"/>
      <c r="V203" s="324"/>
      <c r="W203" s="279"/>
      <c r="X203" s="279"/>
      <c r="Y203" s="83"/>
      <c r="Z203" s="83"/>
      <c r="AA203" s="328"/>
      <c r="AB203" s="328"/>
    </row>
    <row r="204" ht="114" spans="1:28">
      <c r="A204" s="285"/>
      <c r="B204" s="291"/>
      <c r="C204" s="292"/>
      <c r="D204" s="293" t="s">
        <v>6237</v>
      </c>
      <c r="E204" s="344" t="s">
        <v>6349</v>
      </c>
      <c r="F204" s="296"/>
      <c r="G204" s="296"/>
      <c r="H204" s="302"/>
      <c r="I204" s="302"/>
      <c r="J204" s="325"/>
      <c r="K204" s="187" t="str">
        <f>IF(A204="c",$M$4*J204,"")</f>
        <v/>
      </c>
      <c r="L204" s="83"/>
      <c r="M204" s="96"/>
      <c r="N204" s="326"/>
      <c r="O204" s="324"/>
      <c r="P204" s="279"/>
      <c r="Q204" s="279"/>
      <c r="R204" s="324"/>
      <c r="S204" s="324"/>
      <c r="T204" s="324"/>
      <c r="U204" s="279"/>
      <c r="V204" s="279"/>
      <c r="W204" s="279"/>
      <c r="X204" s="279"/>
      <c r="Y204" s="83"/>
      <c r="Z204" s="83"/>
      <c r="AA204" s="328"/>
      <c r="AB204" s="328"/>
    </row>
    <row r="205" ht="64.9" customHeight="1" spans="1:28">
      <c r="A205" s="285"/>
      <c r="B205" s="291"/>
      <c r="C205" s="292"/>
      <c r="D205" s="293" t="s">
        <v>6251</v>
      </c>
      <c r="E205" s="304" t="s">
        <v>6323</v>
      </c>
      <c r="F205" s="304"/>
      <c r="G205" s="304"/>
      <c r="H205" s="304"/>
      <c r="I205" s="304"/>
      <c r="J205" s="304"/>
      <c r="K205" s="187" t="str">
        <f>IF(A205="c",$M$4*J205,"")</f>
        <v/>
      </c>
      <c r="L205" s="83"/>
      <c r="M205" s="96"/>
      <c r="N205" s="326"/>
      <c r="O205" s="324"/>
      <c r="P205" s="279"/>
      <c r="Q205" s="279"/>
      <c r="R205" s="324"/>
      <c r="S205" s="324"/>
      <c r="T205" s="324"/>
      <c r="U205" s="324"/>
      <c r="V205" s="324"/>
      <c r="W205" s="279"/>
      <c r="X205" s="279"/>
      <c r="Y205" s="83"/>
      <c r="Z205" s="83"/>
      <c r="AA205" s="328"/>
      <c r="AB205" s="328"/>
    </row>
    <row r="206" ht="15" spans="1:28">
      <c r="A206" s="285"/>
      <c r="B206" s="307"/>
      <c r="C206" s="308"/>
      <c r="D206" s="309"/>
      <c r="E206" s="310"/>
      <c r="F206" s="311"/>
      <c r="G206" s="311"/>
      <c r="H206" s="311"/>
      <c r="I206" s="311"/>
      <c r="J206" s="331"/>
      <c r="K206" s="187" t="str">
        <f>IF(A206="c",$M$4*J206,"")</f>
        <v/>
      </c>
      <c r="L206" s="83"/>
      <c r="M206" s="96"/>
      <c r="N206" s="320"/>
      <c r="O206" s="321"/>
      <c r="P206" s="321"/>
      <c r="Q206" s="321"/>
      <c r="R206" s="321"/>
      <c r="S206" s="321"/>
      <c r="T206" s="321"/>
      <c r="U206" s="321"/>
      <c r="V206" s="321"/>
      <c r="W206" s="321"/>
      <c r="X206" s="321"/>
      <c r="Y206" s="83"/>
      <c r="Z206" s="83"/>
      <c r="AA206" s="98"/>
      <c r="AB206" s="98"/>
    </row>
    <row r="207" spans="1:28">
      <c r="A207" s="285" t="str">
        <f>VLOOKUP(D207,'[2]2024 - Curva ABC de Insumos'!$E$6:$R$172,14,FALSE())</f>
        <v>B</v>
      </c>
      <c r="B207" s="300" t="s">
        <v>1330</v>
      </c>
      <c r="C207" s="305" t="s">
        <v>4223</v>
      </c>
      <c r="D207" s="288" t="s">
        <v>1332</v>
      </c>
      <c r="E207" s="289" t="s">
        <v>6347</v>
      </c>
      <c r="F207" s="290"/>
      <c r="G207" s="290"/>
      <c r="H207" s="290"/>
      <c r="I207" s="290"/>
      <c r="J207" s="322">
        <f>SMALL(E208:I208,1)</f>
        <v>4117.92</v>
      </c>
      <c r="K207" s="187" t="str">
        <f>IF(A207="c",$M$4*J207,"")</f>
        <v/>
      </c>
      <c r="L207" s="187" t="e">
        <f>VLOOKUP(B207,[3]CPUs!D:L,9,FALSE())</f>
        <v>#N/A</v>
      </c>
      <c r="M207" s="96" t="e">
        <f>IF(J207=L207,"OK","DIF")</f>
        <v>#N/A</v>
      </c>
      <c r="N207" s="326" t="s">
        <v>6244</v>
      </c>
      <c r="O207" s="324"/>
      <c r="P207" s="279"/>
      <c r="Q207" s="279"/>
      <c r="R207" s="324"/>
      <c r="S207" s="324"/>
      <c r="T207" s="324"/>
      <c r="U207" s="324"/>
      <c r="V207" s="324"/>
      <c r="W207" s="279"/>
      <c r="X207" s="279"/>
      <c r="Y207" s="83"/>
      <c r="Z207" s="83"/>
      <c r="AA207" s="328"/>
      <c r="AB207" s="328"/>
    </row>
    <row r="208" ht="15" spans="1:28">
      <c r="A208" s="285"/>
      <c r="B208" s="291"/>
      <c r="C208" s="292"/>
      <c r="D208" s="293" t="s">
        <v>6236</v>
      </c>
      <c r="E208" s="294">
        <v>4117.92</v>
      </c>
      <c r="F208" s="295"/>
      <c r="G208" s="295"/>
      <c r="H208" s="295"/>
      <c r="I208" s="295"/>
      <c r="J208" s="325"/>
      <c r="K208" s="187" t="str">
        <f>IF(A208="c",$M$4*J208,"")</f>
        <v/>
      </c>
      <c r="L208" s="83"/>
      <c r="M208" s="96"/>
      <c r="N208" s="326"/>
      <c r="O208" s="324"/>
      <c r="P208" s="279"/>
      <c r="Q208" s="279"/>
      <c r="R208" s="324"/>
      <c r="S208" s="324"/>
      <c r="T208" s="324"/>
      <c r="U208" s="324"/>
      <c r="V208" s="324"/>
      <c r="W208" s="279"/>
      <c r="X208" s="279"/>
      <c r="Y208" s="83"/>
      <c r="Z208" s="83"/>
      <c r="AA208" s="328"/>
      <c r="AB208" s="328"/>
    </row>
    <row r="209" ht="99.75" spans="1:28">
      <c r="A209" s="285"/>
      <c r="B209" s="291"/>
      <c r="C209" s="292"/>
      <c r="D209" s="293" t="s">
        <v>6237</v>
      </c>
      <c r="E209" s="339" t="s">
        <v>6350</v>
      </c>
      <c r="F209" s="296"/>
      <c r="G209" s="296"/>
      <c r="H209" s="302"/>
      <c r="I209" s="302"/>
      <c r="J209" s="325"/>
      <c r="K209" s="187" t="str">
        <f>IF(A209="c",$M$4*J209,"")</f>
        <v/>
      </c>
      <c r="L209" s="83"/>
      <c r="M209" s="96"/>
      <c r="N209" s="326"/>
      <c r="O209" s="324"/>
      <c r="P209" s="279"/>
      <c r="Q209" s="279"/>
      <c r="R209" s="324"/>
      <c r="S209" s="324"/>
      <c r="T209" s="324"/>
      <c r="U209" s="279"/>
      <c r="V209" s="279"/>
      <c r="W209" s="279"/>
      <c r="X209" s="279"/>
      <c r="Y209" s="83"/>
      <c r="Z209" s="83"/>
      <c r="AA209" s="328"/>
      <c r="AB209" s="328"/>
    </row>
    <row r="210" ht="64.9" customHeight="1" spans="1:28">
      <c r="A210" s="285"/>
      <c r="B210" s="291"/>
      <c r="C210" s="292"/>
      <c r="D210" s="293" t="s">
        <v>6251</v>
      </c>
      <c r="E210" s="304" t="s">
        <v>6323</v>
      </c>
      <c r="F210" s="304"/>
      <c r="G210" s="304"/>
      <c r="H210" s="304"/>
      <c r="I210" s="304"/>
      <c r="J210" s="304"/>
      <c r="K210" s="187" t="str">
        <f>IF(A210="c",$M$4*J210,"")</f>
        <v/>
      </c>
      <c r="L210" s="83"/>
      <c r="M210" s="96"/>
      <c r="N210" s="326"/>
      <c r="O210" s="324"/>
      <c r="P210" s="279"/>
      <c r="Q210" s="279"/>
      <c r="R210" s="324"/>
      <c r="S210" s="324"/>
      <c r="T210" s="324"/>
      <c r="U210" s="324"/>
      <c r="V210" s="324"/>
      <c r="W210" s="279"/>
      <c r="X210" s="279"/>
      <c r="Y210" s="83"/>
      <c r="Z210" s="83"/>
      <c r="AA210" s="328"/>
      <c r="AB210" s="328"/>
    </row>
    <row r="211" ht="15" spans="1:28">
      <c r="A211" s="285"/>
      <c r="B211" s="307"/>
      <c r="C211" s="308"/>
      <c r="D211" s="309"/>
      <c r="E211" s="310"/>
      <c r="F211" s="311"/>
      <c r="G211" s="311"/>
      <c r="H211" s="311"/>
      <c r="I211" s="311"/>
      <c r="J211" s="331"/>
      <c r="K211" s="187" t="str">
        <f>IF(A211="c",$M$4*J211,"")</f>
        <v/>
      </c>
      <c r="L211" s="83"/>
      <c r="M211" s="96"/>
      <c r="N211" s="320"/>
      <c r="O211" s="321"/>
      <c r="P211" s="321"/>
      <c r="Q211" s="321"/>
      <c r="R211" s="321"/>
      <c r="S211" s="321"/>
      <c r="T211" s="321"/>
      <c r="U211" s="321"/>
      <c r="V211" s="321"/>
      <c r="W211" s="321"/>
      <c r="X211" s="321"/>
      <c r="Y211" s="83"/>
      <c r="Z211" s="83"/>
      <c r="AA211" s="98"/>
      <c r="AB211" s="98"/>
    </row>
    <row r="212" ht="24" spans="1:28">
      <c r="A212" s="285" t="str">
        <f>VLOOKUP(D212,'[2]2024 - Curva ABC de Insumos'!$E$6:$R$172,14,FALSE())</f>
        <v>A</v>
      </c>
      <c r="B212" s="300" t="s">
        <v>1333</v>
      </c>
      <c r="C212" s="305" t="s">
        <v>4224</v>
      </c>
      <c r="D212" s="288" t="s">
        <v>1335</v>
      </c>
      <c r="E212" s="289" t="s">
        <v>6347</v>
      </c>
      <c r="F212" s="290"/>
      <c r="G212" s="290"/>
      <c r="H212" s="290"/>
      <c r="I212" s="290"/>
      <c r="J212" s="322">
        <f>SMALL(E213:I213,1)</f>
        <v>1885.82</v>
      </c>
      <c r="K212" s="187" t="str">
        <f>IF(A212="c",$M$4*J212,"")</f>
        <v/>
      </c>
      <c r="L212" s="187" t="e">
        <f>VLOOKUP(B212,[3]CPUs!D:L,9,FALSE())</f>
        <v>#N/A</v>
      </c>
      <c r="M212" s="96" t="e">
        <f>IF(J212=L212,"OK","DIF")</f>
        <v>#N/A</v>
      </c>
      <c r="N212" s="326" t="s">
        <v>6244</v>
      </c>
      <c r="O212" s="324"/>
      <c r="P212" s="279"/>
      <c r="Q212" s="279"/>
      <c r="R212" s="324"/>
      <c r="S212" s="324"/>
      <c r="T212" s="324"/>
      <c r="U212" s="324"/>
      <c r="V212" s="324"/>
      <c r="W212" s="279"/>
      <c r="X212" s="279"/>
      <c r="Y212" s="83"/>
      <c r="Z212" s="83"/>
      <c r="AA212" s="328"/>
      <c r="AB212" s="328"/>
    </row>
    <row r="213" ht="15" spans="1:28">
      <c r="A213" s="285"/>
      <c r="B213" s="291"/>
      <c r="C213" s="292"/>
      <c r="D213" s="293" t="s">
        <v>6236</v>
      </c>
      <c r="E213" s="294">
        <v>1885.82</v>
      </c>
      <c r="F213" s="295"/>
      <c r="G213" s="295"/>
      <c r="H213" s="295"/>
      <c r="I213" s="295"/>
      <c r="J213" s="325"/>
      <c r="K213" s="187" t="str">
        <f>IF(A213="c",$M$4*J213,"")</f>
        <v/>
      </c>
      <c r="L213" s="83"/>
      <c r="M213" s="96"/>
      <c r="N213" s="326"/>
      <c r="O213" s="324"/>
      <c r="P213" s="279"/>
      <c r="Q213" s="279"/>
      <c r="R213" s="324"/>
      <c r="S213" s="324"/>
      <c r="T213" s="324"/>
      <c r="U213" s="324"/>
      <c r="V213" s="324"/>
      <c r="W213" s="279"/>
      <c r="X213" s="279"/>
      <c r="Y213" s="83"/>
      <c r="Z213" s="83"/>
      <c r="AA213" s="328"/>
      <c r="AB213" s="328"/>
    </row>
    <row r="214" ht="99.75" spans="1:28">
      <c r="A214" s="285"/>
      <c r="B214" s="291"/>
      <c r="C214" s="292"/>
      <c r="D214" s="293" t="s">
        <v>6237</v>
      </c>
      <c r="E214" s="339" t="s">
        <v>6351</v>
      </c>
      <c r="F214" s="296"/>
      <c r="G214" s="296"/>
      <c r="H214" s="302"/>
      <c r="I214" s="302"/>
      <c r="J214" s="325"/>
      <c r="K214" s="187" t="str">
        <f>IF(A214="c",$M$4*J214,"")</f>
        <v/>
      </c>
      <c r="L214" s="83"/>
      <c r="M214" s="96"/>
      <c r="N214" s="326"/>
      <c r="O214" s="324"/>
      <c r="P214" s="279"/>
      <c r="Q214" s="279"/>
      <c r="R214" s="324"/>
      <c r="S214" s="324"/>
      <c r="T214" s="324"/>
      <c r="U214" s="279"/>
      <c r="V214" s="279"/>
      <c r="W214" s="279"/>
      <c r="X214" s="279"/>
      <c r="Y214" s="83"/>
      <c r="Z214" s="83"/>
      <c r="AA214" s="328"/>
      <c r="AB214" s="328"/>
    </row>
    <row r="215" ht="64.9" customHeight="1" spans="1:28">
      <c r="A215" s="285"/>
      <c r="B215" s="291"/>
      <c r="C215" s="292"/>
      <c r="D215" s="293" t="s">
        <v>6251</v>
      </c>
      <c r="E215" s="304" t="s">
        <v>6323</v>
      </c>
      <c r="F215" s="304"/>
      <c r="G215" s="304"/>
      <c r="H215" s="304"/>
      <c r="I215" s="304"/>
      <c r="J215" s="304"/>
      <c r="K215" s="187" t="str">
        <f>IF(A215="c",$M$4*J215,"")</f>
        <v/>
      </c>
      <c r="L215" s="83"/>
      <c r="M215" s="96"/>
      <c r="N215" s="326"/>
      <c r="O215" s="324"/>
      <c r="P215" s="279"/>
      <c r="Q215" s="279"/>
      <c r="R215" s="324"/>
      <c r="S215" s="324"/>
      <c r="T215" s="324"/>
      <c r="U215" s="324"/>
      <c r="V215" s="324"/>
      <c r="W215" s="279"/>
      <c r="X215" s="279"/>
      <c r="Y215" s="83"/>
      <c r="Z215" s="83"/>
      <c r="AA215" s="328"/>
      <c r="AB215" s="328"/>
    </row>
    <row r="216" ht="15" spans="1:28">
      <c r="A216" s="285"/>
      <c r="B216" s="307"/>
      <c r="C216" s="308"/>
      <c r="D216" s="309"/>
      <c r="E216" s="310"/>
      <c r="F216" s="311"/>
      <c r="G216" s="311"/>
      <c r="H216" s="311"/>
      <c r="I216" s="311"/>
      <c r="J216" s="331"/>
      <c r="K216" s="187" t="str">
        <f>IF(A216="c",$M$4*J216,"")</f>
        <v/>
      </c>
      <c r="L216" s="83"/>
      <c r="M216" s="96"/>
      <c r="N216" s="320"/>
      <c r="O216" s="321"/>
      <c r="P216" s="321"/>
      <c r="Q216" s="321"/>
      <c r="R216" s="321"/>
      <c r="S216" s="321"/>
      <c r="T216" s="321"/>
      <c r="U216" s="321"/>
      <c r="V216" s="321"/>
      <c r="W216" s="321"/>
      <c r="X216" s="321"/>
      <c r="Y216" s="83"/>
      <c r="Z216" s="83"/>
      <c r="AA216" s="98"/>
      <c r="AB216" s="98"/>
    </row>
    <row r="217" spans="1:28">
      <c r="A217" s="285" t="str">
        <f>VLOOKUP(D217,'[2]2024 - Curva ABC de Insumos'!$E$6:$R$172,14,FALSE())</f>
        <v>B</v>
      </c>
      <c r="B217" s="300" t="s">
        <v>1336</v>
      </c>
      <c r="C217" s="305" t="s">
        <v>4225</v>
      </c>
      <c r="D217" s="288" t="s">
        <v>1338</v>
      </c>
      <c r="E217" s="289" t="s">
        <v>6347</v>
      </c>
      <c r="F217" s="290"/>
      <c r="G217" s="290"/>
      <c r="H217" s="290"/>
      <c r="I217" s="290"/>
      <c r="J217" s="322">
        <f>SMALL(E218:I218,1)</f>
        <v>6452.07</v>
      </c>
      <c r="K217" s="187" t="str">
        <f>IF(A217="c",$M$4*J217,"")</f>
        <v/>
      </c>
      <c r="L217" s="187" t="e">
        <f>VLOOKUP(B217,[3]CPUs!D:L,9,FALSE())</f>
        <v>#N/A</v>
      </c>
      <c r="M217" s="96" t="e">
        <f>IF(J217=L217,"OK","DIF")</f>
        <v>#N/A</v>
      </c>
      <c r="N217" s="326" t="s">
        <v>6244</v>
      </c>
      <c r="O217" s="324"/>
      <c r="P217" s="279"/>
      <c r="Q217" s="279"/>
      <c r="R217" s="324"/>
      <c r="S217" s="324"/>
      <c r="T217" s="324"/>
      <c r="U217" s="324"/>
      <c r="V217" s="324"/>
      <c r="W217" s="279"/>
      <c r="X217" s="279"/>
      <c r="Y217" s="83"/>
      <c r="Z217" s="83"/>
      <c r="AA217" s="328"/>
      <c r="AB217" s="328"/>
    </row>
    <row r="218" ht="15" spans="1:28">
      <c r="A218" s="285"/>
      <c r="B218" s="291"/>
      <c r="C218" s="292"/>
      <c r="D218" s="293" t="s">
        <v>6236</v>
      </c>
      <c r="E218" s="294">
        <v>6452.07</v>
      </c>
      <c r="F218" s="295"/>
      <c r="G218" s="295"/>
      <c r="H218" s="295"/>
      <c r="I218" s="295"/>
      <c r="J218" s="325"/>
      <c r="K218" s="187" t="str">
        <f>IF(A218="c",$M$4*J218,"")</f>
        <v/>
      </c>
      <c r="L218" s="83"/>
      <c r="M218" s="96"/>
      <c r="N218" s="326"/>
      <c r="O218" s="324"/>
      <c r="P218" s="279"/>
      <c r="Q218" s="279"/>
      <c r="R218" s="324"/>
      <c r="S218" s="324"/>
      <c r="T218" s="324"/>
      <c r="U218" s="324"/>
      <c r="V218" s="324"/>
      <c r="W218" s="279"/>
      <c r="X218" s="279"/>
      <c r="Y218" s="83"/>
      <c r="Z218" s="83"/>
      <c r="AA218" s="328"/>
      <c r="AB218" s="328"/>
    </row>
    <row r="219" ht="85.5" spans="1:28">
      <c r="A219" s="285"/>
      <c r="B219" s="291"/>
      <c r="C219" s="292"/>
      <c r="D219" s="293" t="s">
        <v>6237</v>
      </c>
      <c r="E219" s="339" t="s">
        <v>6352</v>
      </c>
      <c r="F219" s="296"/>
      <c r="G219" s="296"/>
      <c r="H219" s="302"/>
      <c r="I219" s="302"/>
      <c r="J219" s="325"/>
      <c r="K219" s="187" t="str">
        <f>IF(A219="c",$M$4*J219,"")</f>
        <v/>
      </c>
      <c r="L219" s="83"/>
      <c r="M219" s="96"/>
      <c r="N219" s="326"/>
      <c r="O219" s="324"/>
      <c r="P219" s="279"/>
      <c r="Q219" s="279"/>
      <c r="R219" s="324"/>
      <c r="S219" s="324"/>
      <c r="T219" s="324"/>
      <c r="U219" s="279"/>
      <c r="V219" s="279"/>
      <c r="W219" s="279"/>
      <c r="X219" s="279"/>
      <c r="Y219" s="83"/>
      <c r="Z219" s="83"/>
      <c r="AA219" s="328"/>
      <c r="AB219" s="328"/>
    </row>
    <row r="220" ht="64.9" customHeight="1" spans="1:28">
      <c r="A220" s="285"/>
      <c r="B220" s="291"/>
      <c r="C220" s="292"/>
      <c r="D220" s="293" t="s">
        <v>6251</v>
      </c>
      <c r="E220" s="304" t="s">
        <v>6323</v>
      </c>
      <c r="F220" s="304"/>
      <c r="G220" s="304"/>
      <c r="H220" s="304"/>
      <c r="I220" s="304"/>
      <c r="J220" s="304"/>
      <c r="K220" s="187" t="str">
        <f>IF(A220="c",$M$4*J220,"")</f>
        <v/>
      </c>
      <c r="L220" s="83"/>
      <c r="M220" s="96"/>
      <c r="N220" s="326"/>
      <c r="O220" s="324"/>
      <c r="P220" s="279"/>
      <c r="Q220" s="279"/>
      <c r="R220" s="324"/>
      <c r="S220" s="324"/>
      <c r="T220" s="324"/>
      <c r="U220" s="324"/>
      <c r="V220" s="324"/>
      <c r="W220" s="279"/>
      <c r="X220" s="279"/>
      <c r="Y220" s="83"/>
      <c r="Z220" s="83"/>
      <c r="AA220" s="328"/>
      <c r="AB220" s="328"/>
    </row>
    <row r="221" ht="15" spans="1:28">
      <c r="A221" s="285"/>
      <c r="B221" s="307"/>
      <c r="C221" s="308"/>
      <c r="D221" s="309"/>
      <c r="E221" s="310"/>
      <c r="F221" s="311"/>
      <c r="G221" s="311"/>
      <c r="H221" s="311"/>
      <c r="I221" s="311"/>
      <c r="J221" s="331"/>
      <c r="K221" s="187" t="str">
        <f>IF(A221="c",$M$4*J221,"")</f>
        <v/>
      </c>
      <c r="L221" s="83"/>
      <c r="M221" s="96"/>
      <c r="N221" s="320"/>
      <c r="O221" s="321"/>
      <c r="P221" s="321"/>
      <c r="Q221" s="321"/>
      <c r="R221" s="321"/>
      <c r="S221" s="321"/>
      <c r="T221" s="321"/>
      <c r="U221" s="321"/>
      <c r="V221" s="321"/>
      <c r="W221" s="321"/>
      <c r="X221" s="321"/>
      <c r="Y221" s="83"/>
      <c r="Z221" s="83"/>
      <c r="AA221" s="98"/>
      <c r="AB221" s="98"/>
    </row>
    <row r="222" spans="1:28">
      <c r="A222" s="285" t="str">
        <f>VLOOKUP(D222,'[2]2024 - Curva ABC de Insumos'!$E$6:$R$172,14,FALSE())</f>
        <v>B</v>
      </c>
      <c r="B222" s="300" t="s">
        <v>1339</v>
      </c>
      <c r="C222" s="305" t="s">
        <v>4226</v>
      </c>
      <c r="D222" s="288" t="s">
        <v>1341</v>
      </c>
      <c r="E222" s="289" t="s">
        <v>6347</v>
      </c>
      <c r="F222" s="290"/>
      <c r="G222" s="290"/>
      <c r="H222" s="290"/>
      <c r="I222" s="290"/>
      <c r="J222" s="322">
        <f>SMALL(E223:I223,1)</f>
        <v>11132.53</v>
      </c>
      <c r="K222" s="187" t="str">
        <f>IF(A222="c",$M$4*J222,"")</f>
        <v/>
      </c>
      <c r="L222" s="187" t="e">
        <f>VLOOKUP(B222,[3]CPUs!D:L,9,FALSE())</f>
        <v>#N/A</v>
      </c>
      <c r="M222" s="96" t="e">
        <f>IF(J222=L222,"OK","DIF")</f>
        <v>#N/A</v>
      </c>
      <c r="N222" s="326" t="s">
        <v>6244</v>
      </c>
      <c r="O222" s="324"/>
      <c r="P222" s="279"/>
      <c r="Q222" s="279"/>
      <c r="R222" s="324"/>
      <c r="S222" s="324"/>
      <c r="T222" s="324"/>
      <c r="U222" s="324"/>
      <c r="V222" s="324"/>
      <c r="W222" s="279"/>
      <c r="X222" s="279"/>
      <c r="Y222" s="83"/>
      <c r="Z222" s="83"/>
      <c r="AA222" s="328"/>
      <c r="AB222" s="328"/>
    </row>
    <row r="223" ht="15" spans="1:28">
      <c r="A223" s="285"/>
      <c r="B223" s="291"/>
      <c r="C223" s="292"/>
      <c r="D223" s="293" t="s">
        <v>6236</v>
      </c>
      <c r="E223" s="294">
        <v>11132.53</v>
      </c>
      <c r="F223" s="295"/>
      <c r="G223" s="295"/>
      <c r="H223" s="295"/>
      <c r="I223" s="295"/>
      <c r="J223" s="325"/>
      <c r="K223" s="187" t="str">
        <f>IF(A223="c",$M$4*J223,"")</f>
        <v/>
      </c>
      <c r="L223" s="83"/>
      <c r="M223" s="96"/>
      <c r="N223" s="326"/>
      <c r="O223" s="324"/>
      <c r="P223" s="279"/>
      <c r="Q223" s="279"/>
      <c r="R223" s="324"/>
      <c r="S223" s="324"/>
      <c r="T223" s="324"/>
      <c r="U223" s="324"/>
      <c r="V223" s="324"/>
      <c r="W223" s="279"/>
      <c r="X223" s="279"/>
      <c r="Y223" s="83"/>
      <c r="Z223" s="83"/>
      <c r="AA223" s="328"/>
      <c r="AB223" s="328"/>
    </row>
    <row r="224" ht="99.75" spans="1:28">
      <c r="A224" s="285"/>
      <c r="B224" s="291"/>
      <c r="C224" s="292"/>
      <c r="D224" s="293" t="s">
        <v>6237</v>
      </c>
      <c r="E224" s="339" t="s">
        <v>6353</v>
      </c>
      <c r="F224" s="296"/>
      <c r="G224" s="296"/>
      <c r="H224" s="302"/>
      <c r="I224" s="302"/>
      <c r="J224" s="325"/>
      <c r="K224" s="187" t="str">
        <f>IF(A224="c",$M$4*J224,"")</f>
        <v/>
      </c>
      <c r="L224" s="83"/>
      <c r="M224" s="96"/>
      <c r="N224" s="326"/>
      <c r="O224" s="324"/>
      <c r="P224" s="279"/>
      <c r="Q224" s="279"/>
      <c r="R224" s="324"/>
      <c r="S224" s="324"/>
      <c r="T224" s="324"/>
      <c r="U224" s="279"/>
      <c r="V224" s="279"/>
      <c r="W224" s="279"/>
      <c r="X224" s="279"/>
      <c r="Y224" s="83"/>
      <c r="Z224" s="83"/>
      <c r="AA224" s="328"/>
      <c r="AB224" s="328"/>
    </row>
    <row r="225" ht="64.9" customHeight="1" spans="1:28">
      <c r="A225" s="285"/>
      <c r="B225" s="291"/>
      <c r="C225" s="292"/>
      <c r="D225" s="293" t="s">
        <v>6251</v>
      </c>
      <c r="E225" s="304" t="s">
        <v>6323</v>
      </c>
      <c r="F225" s="304"/>
      <c r="G225" s="304"/>
      <c r="H225" s="304"/>
      <c r="I225" s="304"/>
      <c r="J225" s="304"/>
      <c r="K225" s="187" t="str">
        <f>IF(A225="c",$M$4*J225,"")</f>
        <v/>
      </c>
      <c r="L225" s="83"/>
      <c r="M225" s="96"/>
      <c r="N225" s="326"/>
      <c r="O225" s="324"/>
      <c r="P225" s="279"/>
      <c r="Q225" s="279"/>
      <c r="R225" s="324"/>
      <c r="S225" s="324"/>
      <c r="T225" s="324"/>
      <c r="U225" s="324"/>
      <c r="V225" s="324"/>
      <c r="W225" s="279"/>
      <c r="X225" s="279"/>
      <c r="Y225" s="83"/>
      <c r="Z225" s="83"/>
      <c r="AA225" s="328"/>
      <c r="AB225" s="328"/>
    </row>
    <row r="226" ht="15" spans="1:28">
      <c r="A226" s="285"/>
      <c r="B226" s="307"/>
      <c r="C226" s="308"/>
      <c r="D226" s="309"/>
      <c r="E226" s="310"/>
      <c r="F226" s="311"/>
      <c r="G226" s="311"/>
      <c r="H226" s="311"/>
      <c r="I226" s="311"/>
      <c r="J226" s="331"/>
      <c r="K226" s="187" t="str">
        <f>IF(A226="c",$M$4*J226,"")</f>
        <v/>
      </c>
      <c r="L226" s="83"/>
      <c r="M226" s="96"/>
      <c r="N226" s="320"/>
      <c r="O226" s="321"/>
      <c r="P226" s="321"/>
      <c r="Q226" s="321"/>
      <c r="R226" s="321"/>
      <c r="S226" s="321"/>
      <c r="T226" s="321"/>
      <c r="U226" s="321"/>
      <c r="V226" s="321"/>
      <c r="W226" s="321"/>
      <c r="X226" s="321"/>
      <c r="Y226" s="83"/>
      <c r="Z226" s="83"/>
      <c r="AA226" s="98"/>
      <c r="AB226" s="98"/>
    </row>
    <row r="227" spans="1:28">
      <c r="A227" s="285" t="str">
        <f>VLOOKUP(D227,'[2]2024 - Curva ABC de Insumos'!$E$6:$R$172,14,FALSE())</f>
        <v>A</v>
      </c>
      <c r="B227" s="300" t="s">
        <v>1342</v>
      </c>
      <c r="C227" s="305" t="s">
        <v>4228</v>
      </c>
      <c r="D227" s="288" t="s">
        <v>1344</v>
      </c>
      <c r="E227" s="289" t="s">
        <v>6347</v>
      </c>
      <c r="F227" s="290"/>
      <c r="G227" s="290"/>
      <c r="H227" s="290"/>
      <c r="I227" s="290"/>
      <c r="J227" s="322">
        <f>SMALL(E228:I228,1)</f>
        <v>4400.33</v>
      </c>
      <c r="K227" s="187" t="str">
        <f>IF(A227="c",$M$4*J227,"")</f>
        <v/>
      </c>
      <c r="L227" s="187" t="e">
        <f>VLOOKUP(B227,[3]CPUs!D:L,9,FALSE())</f>
        <v>#N/A</v>
      </c>
      <c r="M227" s="96" t="e">
        <f>IF(J227=L227,"OK","DIF")</f>
        <v>#N/A</v>
      </c>
      <c r="N227" s="326" t="s">
        <v>6244</v>
      </c>
      <c r="O227" s="324"/>
      <c r="P227" s="279"/>
      <c r="Q227" s="279"/>
      <c r="R227" s="324"/>
      <c r="S227" s="324"/>
      <c r="T227" s="324"/>
      <c r="U227" s="324"/>
      <c r="V227" s="324"/>
      <c r="W227" s="279"/>
      <c r="X227" s="279"/>
      <c r="Y227" s="83"/>
      <c r="Z227" s="83"/>
      <c r="AA227" s="328"/>
      <c r="AB227" s="328"/>
    </row>
    <row r="228" ht="15" spans="1:28">
      <c r="A228" s="285"/>
      <c r="B228" s="291"/>
      <c r="C228" s="292"/>
      <c r="D228" s="293" t="s">
        <v>6236</v>
      </c>
      <c r="E228" s="294">
        <v>4400.33</v>
      </c>
      <c r="F228" s="294"/>
      <c r="G228" s="295"/>
      <c r="H228" s="295"/>
      <c r="I228" s="295"/>
      <c r="J228" s="325"/>
      <c r="K228" s="187" t="str">
        <f>IF(A228="c",$M$4*J228,"")</f>
        <v/>
      </c>
      <c r="L228" s="83"/>
      <c r="M228" s="96"/>
      <c r="N228" s="326"/>
      <c r="O228" s="324"/>
      <c r="P228" s="279"/>
      <c r="Q228" s="279"/>
      <c r="R228" s="324"/>
      <c r="S228" s="324"/>
      <c r="T228" s="324"/>
      <c r="U228" s="324"/>
      <c r="V228" s="324"/>
      <c r="W228" s="279"/>
      <c r="X228" s="279"/>
      <c r="Y228" s="83"/>
      <c r="Z228" s="83"/>
      <c r="AA228" s="328"/>
      <c r="AB228" s="328"/>
    </row>
    <row r="229" ht="85.5" spans="1:28">
      <c r="A229" s="285"/>
      <c r="B229" s="291"/>
      <c r="C229" s="292"/>
      <c r="D229" s="293" t="s">
        <v>6237</v>
      </c>
      <c r="E229" s="339" t="s">
        <v>6354</v>
      </c>
      <c r="F229" s="301"/>
      <c r="G229" s="296"/>
      <c r="H229" s="302"/>
      <c r="I229" s="302"/>
      <c r="J229" s="325"/>
      <c r="K229" s="187" t="str">
        <f>IF(A229="c",$M$4*J229,"")</f>
        <v/>
      </c>
      <c r="L229" s="83"/>
      <c r="M229" s="96"/>
      <c r="N229" s="326"/>
      <c r="O229" s="324"/>
      <c r="P229" s="279"/>
      <c r="Q229" s="279"/>
      <c r="R229" s="324"/>
      <c r="S229" s="324"/>
      <c r="T229" s="324"/>
      <c r="U229" s="279"/>
      <c r="V229" s="279"/>
      <c r="W229" s="279"/>
      <c r="X229" s="279"/>
      <c r="Y229" s="83"/>
      <c r="Z229" s="83"/>
      <c r="AA229" s="328"/>
      <c r="AB229" s="328"/>
    </row>
    <row r="230" ht="64.9" customHeight="1" spans="1:28">
      <c r="A230" s="285"/>
      <c r="B230" s="291"/>
      <c r="C230" s="292"/>
      <c r="D230" s="293" t="s">
        <v>6251</v>
      </c>
      <c r="E230" s="304" t="s">
        <v>6323</v>
      </c>
      <c r="F230" s="304"/>
      <c r="G230" s="304"/>
      <c r="H230" s="304"/>
      <c r="I230" s="304"/>
      <c r="J230" s="304"/>
      <c r="K230" s="187" t="str">
        <f>IF(A230="c",$M$4*J230,"")</f>
        <v/>
      </c>
      <c r="L230" s="83"/>
      <c r="M230" s="96"/>
      <c r="N230" s="326"/>
      <c r="O230" s="324"/>
      <c r="P230" s="279"/>
      <c r="Q230" s="279"/>
      <c r="R230" s="324"/>
      <c r="S230" s="324"/>
      <c r="T230" s="324"/>
      <c r="U230" s="324"/>
      <c r="V230" s="324"/>
      <c r="W230" s="279"/>
      <c r="X230" s="279"/>
      <c r="Y230" s="83"/>
      <c r="Z230" s="83"/>
      <c r="AA230" s="328"/>
      <c r="AB230" s="328"/>
    </row>
    <row r="231" ht="15" spans="1:28">
      <c r="A231" s="285"/>
      <c r="B231" s="307"/>
      <c r="C231" s="308"/>
      <c r="D231" s="309"/>
      <c r="E231" s="310"/>
      <c r="F231" s="311"/>
      <c r="G231" s="311"/>
      <c r="H231" s="311"/>
      <c r="I231" s="311"/>
      <c r="J231" s="331"/>
      <c r="K231" s="187" t="str">
        <f>IF(A231="c",$M$4*J231,"")</f>
        <v/>
      </c>
      <c r="L231" s="83"/>
      <c r="M231" s="96"/>
      <c r="N231" s="320"/>
      <c r="O231" s="321"/>
      <c r="P231" s="321"/>
      <c r="Q231" s="321"/>
      <c r="R231" s="321"/>
      <c r="S231" s="321"/>
      <c r="T231" s="321"/>
      <c r="U231" s="321"/>
      <c r="V231" s="321"/>
      <c r="W231" s="321"/>
      <c r="X231" s="321"/>
      <c r="Y231" s="83"/>
      <c r="Z231" s="83"/>
      <c r="AA231" s="98"/>
      <c r="AB231" s="98"/>
    </row>
    <row r="232" ht="24" spans="1:28">
      <c r="A232" s="285" t="str">
        <f>VLOOKUP(D232,'[2]2024 - Curva ABC de Insumos'!$E$6:$R$172,14,FALSE())</f>
        <v>C</v>
      </c>
      <c r="B232" s="300" t="s">
        <v>1345</v>
      </c>
      <c r="C232" s="305" t="s">
        <v>4229</v>
      </c>
      <c r="D232" s="288" t="s">
        <v>1347</v>
      </c>
      <c r="E232" s="289" t="s">
        <v>6355</v>
      </c>
      <c r="F232" s="290" t="s">
        <v>6356</v>
      </c>
      <c r="G232" s="290" t="s">
        <v>6357</v>
      </c>
      <c r="H232" s="290"/>
      <c r="I232" s="290"/>
      <c r="J232" s="322">
        <f>SMALL(E233:I233,1)</f>
        <v>1412.99</v>
      </c>
      <c r="K232" s="187"/>
      <c r="L232" s="187" t="e">
        <f>VLOOKUP(B232,[3]CPUs!D:L,9,FALSE())</f>
        <v>#N/A</v>
      </c>
      <c r="M232" s="96" t="e">
        <f>IF(J232=L232,"OK","DIF")</f>
        <v>#N/A</v>
      </c>
      <c r="N232" s="326" t="s">
        <v>6244</v>
      </c>
      <c r="O232" s="324"/>
      <c r="P232" s="279"/>
      <c r="Q232" s="279"/>
      <c r="R232" s="324"/>
      <c r="S232" s="324"/>
      <c r="T232" s="324"/>
      <c r="U232" s="324"/>
      <c r="V232" s="324"/>
      <c r="W232" s="279"/>
      <c r="X232" s="279"/>
      <c r="Y232" s="83"/>
      <c r="Z232" s="83"/>
      <c r="AA232" s="328"/>
      <c r="AB232" s="328"/>
    </row>
    <row r="233" ht="15" spans="1:28">
      <c r="A233" s="285"/>
      <c r="B233" s="291"/>
      <c r="C233" s="292"/>
      <c r="D233" s="293" t="s">
        <v>6236</v>
      </c>
      <c r="E233" s="294">
        <v>1412.99</v>
      </c>
      <c r="F233" s="295">
        <v>1628.39</v>
      </c>
      <c r="G233" s="295">
        <v>1435.94</v>
      </c>
      <c r="H233" s="295"/>
      <c r="I233" s="295"/>
      <c r="J233" s="325"/>
      <c r="K233" s="187" t="str">
        <f>IF(A233="c",$M$4*J233,"")</f>
        <v/>
      </c>
      <c r="L233" s="83"/>
      <c r="M233" s="96"/>
      <c r="N233" s="326"/>
      <c r="O233" s="324"/>
      <c r="P233" s="279"/>
      <c r="Q233" s="279"/>
      <c r="R233" s="324"/>
      <c r="S233" s="324"/>
      <c r="T233" s="324"/>
      <c r="U233" s="324"/>
      <c r="V233" s="324"/>
      <c r="W233" s="279"/>
      <c r="X233" s="279"/>
      <c r="Y233" s="83"/>
      <c r="Z233" s="83"/>
      <c r="AA233" s="328"/>
      <c r="AB233" s="328"/>
    </row>
    <row r="234" ht="256.5" spans="1:28">
      <c r="A234" s="285"/>
      <c r="B234" s="291"/>
      <c r="C234" s="292"/>
      <c r="D234" s="293" t="s">
        <v>6237</v>
      </c>
      <c r="E234" s="296" t="s">
        <v>6358</v>
      </c>
      <c r="F234" s="301" t="s">
        <v>6359</v>
      </c>
      <c r="G234" s="301" t="s">
        <v>6360</v>
      </c>
      <c r="H234" s="302"/>
      <c r="I234" s="302"/>
      <c r="J234" s="325"/>
      <c r="K234" s="187" t="str">
        <f>IF(A234="c",$M$4*J234,"")</f>
        <v/>
      </c>
      <c r="L234" s="83"/>
      <c r="M234" s="96"/>
      <c r="N234" s="326"/>
      <c r="O234" s="324"/>
      <c r="P234" s="279"/>
      <c r="Q234" s="279"/>
      <c r="R234" s="324"/>
      <c r="S234" s="324"/>
      <c r="T234" s="324"/>
      <c r="U234" s="279"/>
      <c r="V234" s="279"/>
      <c r="W234" s="279"/>
      <c r="X234" s="279"/>
      <c r="Y234" s="83"/>
      <c r="Z234" s="83"/>
      <c r="AA234" s="328"/>
      <c r="AB234" s="328"/>
    </row>
    <row r="235" ht="15" spans="1:28">
      <c r="A235" s="285"/>
      <c r="B235" s="307"/>
      <c r="C235" s="308"/>
      <c r="D235" s="309"/>
      <c r="E235" s="310"/>
      <c r="F235" s="311"/>
      <c r="G235" s="311"/>
      <c r="H235" s="311"/>
      <c r="I235" s="311"/>
      <c r="J235" s="331"/>
      <c r="K235" s="187" t="str">
        <f>IF(A235="c",$M$4*J235,"")</f>
        <v/>
      </c>
      <c r="L235" s="83"/>
      <c r="M235" s="96"/>
      <c r="N235" s="320"/>
      <c r="O235" s="321"/>
      <c r="P235" s="321"/>
      <c r="Q235" s="321"/>
      <c r="R235" s="321"/>
      <c r="S235" s="321"/>
      <c r="T235" s="321"/>
      <c r="U235" s="321"/>
      <c r="V235" s="321"/>
      <c r="W235" s="321"/>
      <c r="X235" s="321"/>
      <c r="Y235" s="83"/>
      <c r="Z235" s="83"/>
      <c r="AA235" s="98"/>
      <c r="AB235" s="98"/>
    </row>
    <row r="236" ht="84" spans="1:28">
      <c r="A236" s="345" t="str">
        <f>VLOOKUP(D236,'[2]2024 - Curva ABC de Insumos'!$E$6:$R$172,14,FALSE())</f>
        <v>B</v>
      </c>
      <c r="B236" s="300" t="s">
        <v>1350</v>
      </c>
      <c r="C236" s="346" t="s">
        <v>4230</v>
      </c>
      <c r="D236" s="335" t="s">
        <v>4231</v>
      </c>
      <c r="E236" s="289" t="s">
        <v>6361</v>
      </c>
      <c r="F236" s="290"/>
      <c r="G236" s="290"/>
      <c r="H236" s="290"/>
      <c r="I236" s="290"/>
      <c r="J236" s="322">
        <f>SMALL(E237:I237,1)</f>
        <v>13553.3496</v>
      </c>
      <c r="K236" s="330" t="str">
        <f>IF(A236="c",$M$4*J236,"")</f>
        <v/>
      </c>
      <c r="L236" s="187" t="e">
        <f>VLOOKUP(B236,[3]CPUs!D:L,9,FALSE())</f>
        <v>#N/A</v>
      </c>
      <c r="M236" s="96" t="e">
        <f>IF(J236=L236,"OK","DIF")</f>
        <v>#N/A</v>
      </c>
      <c r="N236" s="326" t="s">
        <v>6244</v>
      </c>
      <c r="O236" s="324"/>
      <c r="P236" s="279"/>
      <c r="Q236" s="279"/>
      <c r="R236" s="324"/>
      <c r="S236" s="324"/>
      <c r="T236" s="324"/>
      <c r="U236" s="324"/>
      <c r="V236" s="324"/>
      <c r="W236" s="279"/>
      <c r="X236" s="279"/>
      <c r="Y236" s="83"/>
      <c r="Z236" s="83"/>
      <c r="AA236" s="328"/>
      <c r="AB236" s="328"/>
    </row>
    <row r="237" ht="15" spans="1:28">
      <c r="A237" s="345"/>
      <c r="B237" s="291"/>
      <c r="C237" s="292"/>
      <c r="D237" s="293" t="s">
        <v>6236</v>
      </c>
      <c r="E237" s="294">
        <f>12041*1.1256</f>
        <v>13553.3496</v>
      </c>
      <c r="F237" s="295"/>
      <c r="G237" s="295"/>
      <c r="H237" s="295"/>
      <c r="I237" s="295"/>
      <c r="J237" s="325"/>
      <c r="K237" s="187" t="str">
        <f>IF(A237="c",$M$4*J237,"")</f>
        <v/>
      </c>
      <c r="L237" s="83"/>
      <c r="M237" s="96"/>
      <c r="N237" s="326"/>
      <c r="O237" s="324"/>
      <c r="P237" s="279"/>
      <c r="Q237" s="279"/>
      <c r="R237" s="324"/>
      <c r="S237" s="324"/>
      <c r="T237" s="324"/>
      <c r="U237" s="324"/>
      <c r="V237" s="324"/>
      <c r="W237" s="279"/>
      <c r="X237" s="279"/>
      <c r="Y237" s="83"/>
      <c r="Z237" s="83"/>
      <c r="AA237" s="328"/>
      <c r="AB237" s="328"/>
    </row>
    <row r="238" ht="15" spans="1:28">
      <c r="A238" s="345"/>
      <c r="B238" s="291"/>
      <c r="C238" s="292"/>
      <c r="D238" s="293" t="s">
        <v>6237</v>
      </c>
      <c r="E238" s="296" t="s">
        <v>6250</v>
      </c>
      <c r="F238" s="296"/>
      <c r="G238" s="296"/>
      <c r="H238" s="302"/>
      <c r="I238" s="302"/>
      <c r="J238" s="325"/>
      <c r="K238" s="187" t="str">
        <f>IF(A238="c",$M$4*J238,"")</f>
        <v/>
      </c>
      <c r="L238" s="83"/>
      <c r="M238" s="96"/>
      <c r="N238" s="326"/>
      <c r="O238" s="324"/>
      <c r="P238" s="279"/>
      <c r="Q238" s="279"/>
      <c r="R238" s="324"/>
      <c r="S238" s="324"/>
      <c r="T238" s="324"/>
      <c r="U238" s="279"/>
      <c r="V238" s="279"/>
      <c r="W238" s="279"/>
      <c r="X238" s="279"/>
      <c r="Y238" s="83"/>
      <c r="Z238" s="83"/>
      <c r="AA238" s="328"/>
      <c r="AB238" s="328"/>
    </row>
    <row r="239" ht="115.65" customHeight="1" spans="1:28">
      <c r="A239" s="345"/>
      <c r="B239" s="291"/>
      <c r="C239" s="292"/>
      <c r="D239" s="293" t="s">
        <v>6251</v>
      </c>
      <c r="E239" s="304" t="s">
        <v>6362</v>
      </c>
      <c r="F239" s="304"/>
      <c r="G239" s="304"/>
      <c r="H239" s="304"/>
      <c r="I239" s="304"/>
      <c r="J239" s="304"/>
      <c r="K239" s="187" t="str">
        <f>IF(A239="c",$M$4*J239,"")</f>
        <v/>
      </c>
      <c r="L239" s="83"/>
      <c r="M239" s="96"/>
      <c r="N239" s="326"/>
      <c r="O239" s="324"/>
      <c r="P239" s="279"/>
      <c r="Q239" s="279"/>
      <c r="R239" s="324"/>
      <c r="S239" s="324"/>
      <c r="T239" s="324"/>
      <c r="U239" s="324"/>
      <c r="V239" s="324"/>
      <c r="W239" s="279"/>
      <c r="X239" s="279"/>
      <c r="Y239" s="83"/>
      <c r="Z239" s="83"/>
      <c r="AA239" s="328"/>
      <c r="AB239" s="328"/>
    </row>
    <row r="240" ht="15" spans="1:28">
      <c r="A240" s="345"/>
      <c r="B240" s="307"/>
      <c r="C240" s="308"/>
      <c r="D240" s="309"/>
      <c r="E240" s="310"/>
      <c r="F240" s="311"/>
      <c r="G240" s="311"/>
      <c r="H240" s="311"/>
      <c r="I240" s="311"/>
      <c r="J240" s="331"/>
      <c r="K240" s="187" t="str">
        <f>IF(A240="c",$M$4*J240,"")</f>
        <v/>
      </c>
      <c r="L240" s="83"/>
      <c r="M240" s="96"/>
      <c r="N240" s="320"/>
      <c r="O240" s="321"/>
      <c r="P240" s="321"/>
      <c r="Q240" s="321"/>
      <c r="R240" s="321"/>
      <c r="S240" s="321"/>
      <c r="T240" s="321"/>
      <c r="U240" s="321"/>
      <c r="V240" s="321"/>
      <c r="W240" s="321"/>
      <c r="X240" s="321"/>
      <c r="Y240" s="83"/>
      <c r="Z240" s="83"/>
      <c r="AA240" s="98"/>
      <c r="AB240" s="98"/>
    </row>
    <row r="241" ht="84" spans="1:28">
      <c r="A241" s="285" t="str">
        <f>VLOOKUP(D241,'[2]2024 - Curva ABC de Insumos'!$E$6:$R$172,14,FALSE())</f>
        <v>C</v>
      </c>
      <c r="B241" s="300" t="s">
        <v>1354</v>
      </c>
      <c r="C241" s="346" t="s">
        <v>4232</v>
      </c>
      <c r="D241" s="335" t="s">
        <v>4233</v>
      </c>
      <c r="E241" s="289" t="s">
        <v>6361</v>
      </c>
      <c r="F241" s="290"/>
      <c r="G241" s="290"/>
      <c r="H241" s="290"/>
      <c r="I241" s="290"/>
      <c r="J241" s="322">
        <f>SMALL(E242:I242,1)</f>
        <v>10950.9624</v>
      </c>
      <c r="K241" s="330"/>
      <c r="L241" s="187" t="e">
        <f>VLOOKUP(B241,[3]CPUs!D:L,9,FALSE())</f>
        <v>#N/A</v>
      </c>
      <c r="M241" s="96" t="e">
        <f>IF(J241=L241,"OK","DIF")</f>
        <v>#N/A</v>
      </c>
      <c r="N241" s="326" t="s">
        <v>6244</v>
      </c>
      <c r="O241" s="324"/>
      <c r="P241" s="279"/>
      <c r="Q241" s="279"/>
      <c r="R241" s="324"/>
      <c r="S241" s="324"/>
      <c r="T241" s="324"/>
      <c r="U241" s="324"/>
      <c r="V241" s="324"/>
      <c r="W241" s="279"/>
      <c r="X241" s="279"/>
      <c r="Y241" s="83"/>
      <c r="Z241" s="83"/>
      <c r="AA241" s="328"/>
      <c r="AB241" s="328"/>
    </row>
    <row r="242" ht="15" spans="1:28">
      <c r="A242" s="285"/>
      <c r="B242" s="291"/>
      <c r="C242" s="292"/>
      <c r="D242" s="293" t="s">
        <v>6236</v>
      </c>
      <c r="E242" s="294">
        <f>9729*1.1256</f>
        <v>10950.9624</v>
      </c>
      <c r="F242" s="295"/>
      <c r="G242" s="295"/>
      <c r="H242" s="295"/>
      <c r="I242" s="295"/>
      <c r="J242" s="325"/>
      <c r="K242" s="330" t="str">
        <f>IF(A242="c",$M$4*J242,"")</f>
        <v/>
      </c>
      <c r="L242" s="83"/>
      <c r="M242" s="96"/>
      <c r="N242" s="326"/>
      <c r="O242" s="324"/>
      <c r="P242" s="279"/>
      <c r="Q242" s="279"/>
      <c r="R242" s="324"/>
      <c r="S242" s="324"/>
      <c r="T242" s="324"/>
      <c r="U242" s="324"/>
      <c r="V242" s="324"/>
      <c r="W242" s="279"/>
      <c r="X242" s="279"/>
      <c r="Y242" s="83"/>
      <c r="Z242" s="83"/>
      <c r="AA242" s="328"/>
      <c r="AB242" s="328"/>
    </row>
    <row r="243" ht="15" spans="1:28">
      <c r="A243" s="285"/>
      <c r="B243" s="291"/>
      <c r="C243" s="292"/>
      <c r="D243" s="293" t="s">
        <v>6237</v>
      </c>
      <c r="E243" s="296" t="s">
        <v>6250</v>
      </c>
      <c r="F243" s="296"/>
      <c r="G243" s="296"/>
      <c r="H243" s="302"/>
      <c r="I243" s="302"/>
      <c r="J243" s="325"/>
      <c r="K243" s="330" t="str">
        <f>IF(A243="c",$M$4*J243,"")</f>
        <v/>
      </c>
      <c r="L243" s="83"/>
      <c r="M243" s="96"/>
      <c r="N243" s="326"/>
      <c r="O243" s="324"/>
      <c r="P243" s="279"/>
      <c r="Q243" s="279"/>
      <c r="R243" s="324"/>
      <c r="S243" s="324"/>
      <c r="T243" s="324"/>
      <c r="U243" s="279"/>
      <c r="V243" s="279"/>
      <c r="W243" s="279"/>
      <c r="X243" s="279"/>
      <c r="Y243" s="83"/>
      <c r="Z243" s="83"/>
      <c r="AA243" s="328"/>
      <c r="AB243" s="328"/>
    </row>
    <row r="244" ht="15" customHeight="1" spans="1:28">
      <c r="A244" s="285"/>
      <c r="B244" s="291"/>
      <c r="C244" s="292"/>
      <c r="D244" s="293" t="s">
        <v>6251</v>
      </c>
      <c r="E244" s="304" t="s">
        <v>6363</v>
      </c>
      <c r="F244" s="304"/>
      <c r="G244" s="304"/>
      <c r="H244" s="304"/>
      <c r="I244" s="304"/>
      <c r="J244" s="304"/>
      <c r="K244" s="330" t="str">
        <f>IF(A244="c",$M$4*J244,"")</f>
        <v/>
      </c>
      <c r="L244" s="83"/>
      <c r="M244" s="96"/>
      <c r="N244" s="326"/>
      <c r="O244" s="324"/>
      <c r="P244" s="279"/>
      <c r="Q244" s="279"/>
      <c r="R244" s="324"/>
      <c r="S244" s="324"/>
      <c r="T244" s="324"/>
      <c r="U244" s="324"/>
      <c r="V244" s="324"/>
      <c r="W244" s="279"/>
      <c r="X244" s="279"/>
      <c r="Y244" s="83"/>
      <c r="Z244" s="83"/>
      <c r="AA244" s="328"/>
      <c r="AB244" s="328"/>
    </row>
    <row r="245" ht="15" spans="1:28">
      <c r="A245" s="285"/>
      <c r="B245" s="347"/>
      <c r="C245" s="298"/>
      <c r="D245" s="348"/>
      <c r="E245" s="349"/>
      <c r="F245" s="349"/>
      <c r="G245" s="349"/>
      <c r="H245" s="350"/>
      <c r="I245" s="350"/>
      <c r="J245" s="331"/>
      <c r="K245" s="330" t="str">
        <f>IF(A245="c",$M$4*J245,"")</f>
        <v/>
      </c>
      <c r="L245" s="83"/>
      <c r="M245" s="96"/>
      <c r="N245" s="326"/>
      <c r="O245" s="324"/>
      <c r="P245" s="279"/>
      <c r="Q245" s="279"/>
      <c r="R245" s="324"/>
      <c r="S245" s="324"/>
      <c r="T245" s="324"/>
      <c r="U245" s="279"/>
      <c r="V245" s="279"/>
      <c r="W245" s="279"/>
      <c r="X245" s="279"/>
      <c r="Y245" s="83"/>
      <c r="Z245" s="83"/>
      <c r="AA245" s="328"/>
      <c r="AB245" s="328"/>
    </row>
    <row r="246" ht="84" spans="1:28">
      <c r="A246" s="285" t="str">
        <f>VLOOKUP(D246,'[2]2024 - Curva ABC de Insumos'!$E$6:$R$172,14,FALSE())</f>
        <v>C</v>
      </c>
      <c r="B246" s="300" t="s">
        <v>1358</v>
      </c>
      <c r="C246" s="346" t="s">
        <v>4234</v>
      </c>
      <c r="D246" s="335" t="s">
        <v>4235</v>
      </c>
      <c r="E246" s="289" t="s">
        <v>6361</v>
      </c>
      <c r="F246" s="290"/>
      <c r="G246" s="290"/>
      <c r="H246" s="290"/>
      <c r="I246" s="290"/>
      <c r="J246" s="322">
        <f>SMALL(E247:I247,1)</f>
        <v>7812.7896</v>
      </c>
      <c r="K246" s="330"/>
      <c r="L246" s="187" t="e">
        <f>VLOOKUP(B246,[3]CPUs!D:L,9,FALSE())</f>
        <v>#N/A</v>
      </c>
      <c r="M246" s="96" t="e">
        <f>IF(J246=L246,"OK","DIF")</f>
        <v>#N/A</v>
      </c>
      <c r="N246" s="326" t="s">
        <v>6244</v>
      </c>
      <c r="O246" s="324"/>
      <c r="P246" s="279"/>
      <c r="Q246" s="279"/>
      <c r="R246" s="324"/>
      <c r="S246" s="324"/>
      <c r="T246" s="324"/>
      <c r="U246" s="324"/>
      <c r="V246" s="324"/>
      <c r="W246" s="279"/>
      <c r="X246" s="279"/>
      <c r="Y246" s="83"/>
      <c r="Z246" s="83"/>
      <c r="AA246" s="328"/>
      <c r="AB246" s="328"/>
    </row>
    <row r="247" ht="15" spans="1:28">
      <c r="A247" s="285"/>
      <c r="B247" s="291"/>
      <c r="C247" s="292"/>
      <c r="D247" s="293" t="s">
        <v>6236</v>
      </c>
      <c r="E247" s="294">
        <f>6941*1.1256</f>
        <v>7812.7896</v>
      </c>
      <c r="F247" s="295"/>
      <c r="G247" s="295"/>
      <c r="H247" s="295"/>
      <c r="I247" s="295"/>
      <c r="J247" s="325"/>
      <c r="K247" s="187" t="str">
        <f>IF(A247="c",$M$4*J247,"")</f>
        <v/>
      </c>
      <c r="L247" s="83"/>
      <c r="M247" s="96"/>
      <c r="N247" s="326"/>
      <c r="O247" s="324"/>
      <c r="P247" s="279"/>
      <c r="Q247" s="279"/>
      <c r="R247" s="324"/>
      <c r="S247" s="324"/>
      <c r="T247" s="324"/>
      <c r="U247" s="324"/>
      <c r="V247" s="324"/>
      <c r="W247" s="279"/>
      <c r="X247" s="279"/>
      <c r="Y247" s="83"/>
      <c r="Z247" s="83"/>
      <c r="AA247" s="328"/>
      <c r="AB247" s="328"/>
    </row>
    <row r="248" ht="15" spans="1:28">
      <c r="A248" s="285"/>
      <c r="B248" s="291"/>
      <c r="C248" s="292"/>
      <c r="D248" s="293" t="s">
        <v>6237</v>
      </c>
      <c r="E248" s="296" t="s">
        <v>6250</v>
      </c>
      <c r="F248" s="296"/>
      <c r="G248" s="296"/>
      <c r="H248" s="302"/>
      <c r="I248" s="302"/>
      <c r="J248" s="325"/>
      <c r="K248" s="187" t="str">
        <f>IF(A248="c",$M$4*J248,"")</f>
        <v/>
      </c>
      <c r="L248" s="83"/>
      <c r="M248" s="96"/>
      <c r="N248" s="326"/>
      <c r="O248" s="324"/>
      <c r="P248" s="279"/>
      <c r="Q248" s="279"/>
      <c r="R248" s="324"/>
      <c r="S248" s="324"/>
      <c r="T248" s="324"/>
      <c r="U248" s="279"/>
      <c r="V248" s="279"/>
      <c r="W248" s="279"/>
      <c r="X248" s="279"/>
      <c r="Y248" s="83"/>
      <c r="Z248" s="83"/>
      <c r="AA248" s="328"/>
      <c r="AB248" s="328"/>
    </row>
    <row r="249" ht="15" customHeight="1" spans="1:28">
      <c r="A249" s="285"/>
      <c r="B249" s="291"/>
      <c r="C249" s="292"/>
      <c r="D249" s="293" t="s">
        <v>6251</v>
      </c>
      <c r="E249" s="304" t="s">
        <v>6363</v>
      </c>
      <c r="F249" s="304"/>
      <c r="G249" s="304"/>
      <c r="H249" s="304"/>
      <c r="I249" s="304"/>
      <c r="J249" s="304"/>
      <c r="K249" s="187" t="str">
        <f>IF(A249="c",$M$4*J249,"")</f>
        <v/>
      </c>
      <c r="L249" s="83"/>
      <c r="M249" s="96"/>
      <c r="N249" s="326"/>
      <c r="O249" s="324"/>
      <c r="P249" s="279"/>
      <c r="Q249" s="279"/>
      <c r="R249" s="324"/>
      <c r="S249" s="324"/>
      <c r="T249" s="324"/>
      <c r="U249" s="324"/>
      <c r="V249" s="324"/>
      <c r="W249" s="279"/>
      <c r="X249" s="279"/>
      <c r="Y249" s="83"/>
      <c r="Z249" s="83"/>
      <c r="AA249" s="328"/>
      <c r="AB249" s="328"/>
    </row>
    <row r="250" ht="15" spans="1:28">
      <c r="A250" s="285"/>
      <c r="B250" s="347"/>
      <c r="C250" s="298"/>
      <c r="D250" s="348"/>
      <c r="E250" s="349"/>
      <c r="F250" s="349"/>
      <c r="G250" s="349"/>
      <c r="H250" s="350"/>
      <c r="I250" s="350"/>
      <c r="J250" s="331"/>
      <c r="K250" s="187" t="str">
        <f>IF(A250="c",$M$4*J250,"")</f>
        <v/>
      </c>
      <c r="L250" s="83"/>
      <c r="M250" s="96"/>
      <c r="N250" s="326"/>
      <c r="O250" s="324"/>
      <c r="P250" s="279"/>
      <c r="Q250" s="279"/>
      <c r="R250" s="324"/>
      <c r="S250" s="324"/>
      <c r="T250" s="324"/>
      <c r="U250" s="279"/>
      <c r="V250" s="279"/>
      <c r="W250" s="279"/>
      <c r="X250" s="279"/>
      <c r="Y250" s="83"/>
      <c r="Z250" s="83"/>
      <c r="AA250" s="328"/>
      <c r="AB250" s="328"/>
    </row>
    <row r="251" ht="84" spans="1:28">
      <c r="A251" s="345" t="str">
        <f>VLOOKUP(D251,'[2]2024 - Curva ABC de Insumos'!$E$6:$R$172,14,FALSE())</f>
        <v>B</v>
      </c>
      <c r="B251" s="300" t="s">
        <v>1362</v>
      </c>
      <c r="C251" s="346" t="s">
        <v>4236</v>
      </c>
      <c r="D251" s="335" t="s">
        <v>4237</v>
      </c>
      <c r="E251" s="289" t="s">
        <v>6361</v>
      </c>
      <c r="F251" s="290"/>
      <c r="G251" s="290"/>
      <c r="H251" s="290"/>
      <c r="I251" s="290"/>
      <c r="J251" s="322">
        <f>SMALL(E252:I252,1)</f>
        <v>15216.9864</v>
      </c>
      <c r="K251" s="330" t="str">
        <f>IF(A251="c",$M$4*J251,"")</f>
        <v/>
      </c>
      <c r="L251" s="187" t="e">
        <f>VLOOKUP(B251,[3]CPUs!D:L,9,FALSE())</f>
        <v>#N/A</v>
      </c>
      <c r="M251" s="96" t="e">
        <f>IF(J251=L251,"OK","DIF")</f>
        <v>#N/A</v>
      </c>
      <c r="N251" s="326" t="s">
        <v>6244</v>
      </c>
      <c r="O251" s="324"/>
      <c r="P251" s="279"/>
      <c r="Q251" s="279"/>
      <c r="R251" s="324"/>
      <c r="S251" s="324"/>
      <c r="T251" s="324"/>
      <c r="U251" s="324"/>
      <c r="V251" s="324"/>
      <c r="W251" s="279"/>
      <c r="X251" s="279"/>
      <c r="Y251" s="83"/>
      <c r="Z251" s="83"/>
      <c r="AA251" s="328"/>
      <c r="AB251" s="328"/>
    </row>
    <row r="252" ht="15" spans="1:28">
      <c r="A252" s="345"/>
      <c r="B252" s="291"/>
      <c r="C252" s="292"/>
      <c r="D252" s="293" t="s">
        <v>6236</v>
      </c>
      <c r="E252" s="294">
        <f>13519*1.1256</f>
        <v>15216.9864</v>
      </c>
      <c r="F252" s="295"/>
      <c r="G252" s="295"/>
      <c r="H252" s="295"/>
      <c r="I252" s="295"/>
      <c r="J252" s="325"/>
      <c r="K252" s="187" t="str">
        <f>IF(A252="c",$M$4*J252,"")</f>
        <v/>
      </c>
      <c r="L252" s="83"/>
      <c r="M252" s="96"/>
      <c r="N252" s="326"/>
      <c r="O252" s="324"/>
      <c r="P252" s="279"/>
      <c r="Q252" s="279"/>
      <c r="R252" s="324"/>
      <c r="S252" s="324"/>
      <c r="T252" s="324"/>
      <c r="U252" s="324"/>
      <c r="V252" s="324"/>
      <c r="W252" s="279"/>
      <c r="X252" s="279"/>
      <c r="Y252" s="83"/>
      <c r="Z252" s="83"/>
      <c r="AA252" s="328"/>
      <c r="AB252" s="328"/>
    </row>
    <row r="253" ht="15" spans="1:28">
      <c r="A253" s="345"/>
      <c r="B253" s="291"/>
      <c r="C253" s="292"/>
      <c r="D253" s="293" t="s">
        <v>6237</v>
      </c>
      <c r="E253" s="296" t="s">
        <v>6250</v>
      </c>
      <c r="F253" s="296"/>
      <c r="G253" s="296"/>
      <c r="H253" s="302"/>
      <c r="I253" s="302"/>
      <c r="J253" s="325"/>
      <c r="K253" s="187" t="str">
        <f>IF(A253="c",$M$4*J253,"")</f>
        <v/>
      </c>
      <c r="L253" s="83"/>
      <c r="M253" s="96"/>
      <c r="N253" s="326"/>
      <c r="O253" s="324"/>
      <c r="P253" s="279"/>
      <c r="Q253" s="279"/>
      <c r="R253" s="324"/>
      <c r="S253" s="324"/>
      <c r="T253" s="324"/>
      <c r="U253" s="279"/>
      <c r="V253" s="279"/>
      <c r="W253" s="279"/>
      <c r="X253" s="279"/>
      <c r="Y253" s="83"/>
      <c r="Z253" s="83"/>
      <c r="AA253" s="328"/>
      <c r="AB253" s="328"/>
    </row>
    <row r="254" ht="15" customHeight="1" spans="1:28">
      <c r="A254" s="345"/>
      <c r="B254" s="291"/>
      <c r="C254" s="292"/>
      <c r="D254" s="293" t="s">
        <v>6251</v>
      </c>
      <c r="E254" s="304" t="s">
        <v>6363</v>
      </c>
      <c r="F254" s="304"/>
      <c r="G254" s="304"/>
      <c r="H254" s="304"/>
      <c r="I254" s="304"/>
      <c r="J254" s="304"/>
      <c r="K254" s="187" t="str">
        <f>IF(A254="c",$M$4*J254,"")</f>
        <v/>
      </c>
      <c r="L254" s="83"/>
      <c r="M254" s="96"/>
      <c r="N254" s="326"/>
      <c r="O254" s="324"/>
      <c r="P254" s="279"/>
      <c r="Q254" s="279"/>
      <c r="R254" s="324"/>
      <c r="S254" s="324"/>
      <c r="T254" s="324"/>
      <c r="U254" s="324"/>
      <c r="V254" s="324"/>
      <c r="W254" s="279"/>
      <c r="X254" s="279"/>
      <c r="Y254" s="83"/>
      <c r="Z254" s="83"/>
      <c r="AA254" s="328"/>
      <c r="AB254" s="328"/>
    </row>
    <row r="255" ht="15" spans="1:28">
      <c r="A255" s="345"/>
      <c r="B255" s="347"/>
      <c r="C255" s="298"/>
      <c r="D255" s="348"/>
      <c r="E255" s="349"/>
      <c r="F255" s="349"/>
      <c r="G255" s="349"/>
      <c r="H255" s="350"/>
      <c r="I255" s="350"/>
      <c r="J255" s="331"/>
      <c r="K255" s="187" t="str">
        <f>IF(A255="c",$M$4*J255,"")</f>
        <v/>
      </c>
      <c r="L255" s="83"/>
      <c r="M255" s="96"/>
      <c r="N255" s="326"/>
      <c r="O255" s="324"/>
      <c r="P255" s="279"/>
      <c r="Q255" s="279"/>
      <c r="R255" s="324"/>
      <c r="S255" s="324"/>
      <c r="T255" s="324"/>
      <c r="U255" s="279"/>
      <c r="V255" s="279"/>
      <c r="W255" s="279"/>
      <c r="X255" s="279"/>
      <c r="Y255" s="83"/>
      <c r="Z255" s="83"/>
      <c r="AA255" s="328"/>
      <c r="AB255" s="328"/>
    </row>
    <row r="256" ht="84" spans="1:28">
      <c r="A256" s="285" t="str">
        <f>VLOOKUP(D256,'[2]2024 - Curva ABC de Insumos'!$E$6:$R$172,14,FALSE())</f>
        <v>C</v>
      </c>
      <c r="B256" s="300" t="s">
        <v>1366</v>
      </c>
      <c r="C256" s="346" t="s">
        <v>4238</v>
      </c>
      <c r="D256" s="335" t="s">
        <v>4239</v>
      </c>
      <c r="E256" s="289" t="s">
        <v>6361</v>
      </c>
      <c r="F256" s="290"/>
      <c r="G256" s="290"/>
      <c r="H256" s="290"/>
      <c r="I256" s="290"/>
      <c r="J256" s="322">
        <f>SMALL(E257:I257,1)</f>
        <v>10783.248</v>
      </c>
      <c r="K256" s="330"/>
      <c r="L256" s="187" t="e">
        <f>VLOOKUP(B256,[3]CPUs!D:L,9,FALSE())</f>
        <v>#N/A</v>
      </c>
      <c r="M256" s="96" t="e">
        <f>IF(J256=L256,"OK","DIF")</f>
        <v>#N/A</v>
      </c>
      <c r="N256" s="326" t="s">
        <v>6244</v>
      </c>
      <c r="O256" s="324"/>
      <c r="P256" s="279"/>
      <c r="Q256" s="279"/>
      <c r="R256" s="324"/>
      <c r="S256" s="324"/>
      <c r="T256" s="324"/>
      <c r="U256" s="324"/>
      <c r="V256" s="324"/>
      <c r="W256" s="279"/>
      <c r="X256" s="279"/>
      <c r="Y256" s="83"/>
      <c r="Z256" s="83"/>
      <c r="AA256" s="328"/>
      <c r="AB256" s="328"/>
    </row>
    <row r="257" ht="15" spans="1:28">
      <c r="A257" s="285"/>
      <c r="B257" s="291"/>
      <c r="C257" s="292"/>
      <c r="D257" s="293" t="s">
        <v>6236</v>
      </c>
      <c r="E257" s="294">
        <f>9580*1.1256</f>
        <v>10783.248</v>
      </c>
      <c r="F257" s="295"/>
      <c r="G257" s="295"/>
      <c r="H257" s="295"/>
      <c r="I257" s="295"/>
      <c r="J257" s="325"/>
      <c r="K257" s="187" t="str">
        <f>IF(A257="c",$M$4*J257,"")</f>
        <v/>
      </c>
      <c r="L257" s="83"/>
      <c r="M257" s="96"/>
      <c r="N257" s="326"/>
      <c r="O257" s="324"/>
      <c r="P257" s="279"/>
      <c r="Q257" s="279"/>
      <c r="R257" s="324"/>
      <c r="S257" s="324"/>
      <c r="T257" s="324"/>
      <c r="U257" s="324"/>
      <c r="V257" s="324"/>
      <c r="W257" s="279"/>
      <c r="X257" s="279"/>
      <c r="Y257" s="83"/>
      <c r="Z257" s="83"/>
      <c r="AA257" s="328"/>
      <c r="AB257" s="328"/>
    </row>
    <row r="258" ht="15" spans="1:28">
      <c r="A258" s="285"/>
      <c r="B258" s="291"/>
      <c r="C258" s="292"/>
      <c r="D258" s="293" t="s">
        <v>6237</v>
      </c>
      <c r="E258" s="296" t="s">
        <v>6250</v>
      </c>
      <c r="F258" s="296"/>
      <c r="G258" s="296"/>
      <c r="H258" s="302"/>
      <c r="I258" s="302"/>
      <c r="J258" s="325"/>
      <c r="K258" s="187" t="str">
        <f>IF(A258="c",$M$4*J258,"")</f>
        <v/>
      </c>
      <c r="L258" s="83"/>
      <c r="M258" s="96"/>
      <c r="N258" s="326"/>
      <c r="O258" s="324"/>
      <c r="P258" s="279"/>
      <c r="Q258" s="279"/>
      <c r="R258" s="324"/>
      <c r="S258" s="324"/>
      <c r="T258" s="324"/>
      <c r="U258" s="279"/>
      <c r="V258" s="279"/>
      <c r="W258" s="279"/>
      <c r="X258" s="279"/>
      <c r="Y258" s="83"/>
      <c r="Z258" s="83"/>
      <c r="AA258" s="328"/>
      <c r="AB258" s="328"/>
    </row>
    <row r="259" ht="15" customHeight="1" spans="1:28">
      <c r="A259" s="285"/>
      <c r="B259" s="291"/>
      <c r="C259" s="292"/>
      <c r="D259" s="293" t="s">
        <v>6251</v>
      </c>
      <c r="E259" s="304" t="s">
        <v>6363</v>
      </c>
      <c r="F259" s="304"/>
      <c r="G259" s="304"/>
      <c r="H259" s="304"/>
      <c r="I259" s="304"/>
      <c r="J259" s="304"/>
      <c r="K259" s="187" t="str">
        <f>IF(A259="c",$M$4*J259,"")</f>
        <v/>
      </c>
      <c r="L259" s="83"/>
      <c r="M259" s="96"/>
      <c r="N259" s="326"/>
      <c r="O259" s="324"/>
      <c r="P259" s="279"/>
      <c r="Q259" s="279"/>
      <c r="R259" s="324"/>
      <c r="S259" s="324"/>
      <c r="T259" s="324"/>
      <c r="U259" s="324"/>
      <c r="V259" s="324"/>
      <c r="W259" s="279"/>
      <c r="X259" s="279"/>
      <c r="Y259" s="83"/>
      <c r="Z259" s="83"/>
      <c r="AA259" s="328"/>
      <c r="AB259" s="328"/>
    </row>
    <row r="260" ht="15" spans="1:28">
      <c r="A260" s="285"/>
      <c r="B260" s="347"/>
      <c r="C260" s="298"/>
      <c r="D260" s="348"/>
      <c r="E260" s="349"/>
      <c r="F260" s="349"/>
      <c r="G260" s="349"/>
      <c r="H260" s="350"/>
      <c r="I260" s="350"/>
      <c r="J260" s="331"/>
      <c r="K260" s="187" t="str">
        <f>IF(A260="c",$M$4*J260,"")</f>
        <v/>
      </c>
      <c r="L260" s="83"/>
      <c r="M260" s="96"/>
      <c r="N260" s="326"/>
      <c r="O260" s="324"/>
      <c r="P260" s="279"/>
      <c r="Q260" s="279"/>
      <c r="R260" s="324"/>
      <c r="S260" s="324"/>
      <c r="T260" s="324"/>
      <c r="U260" s="279"/>
      <c r="V260" s="279"/>
      <c r="W260" s="279"/>
      <c r="X260" s="279"/>
      <c r="Y260" s="83"/>
      <c r="Z260" s="83"/>
      <c r="AA260" s="328"/>
      <c r="AB260" s="328"/>
    </row>
    <row r="261" ht="84" spans="1:28">
      <c r="A261" s="285" t="str">
        <f>VLOOKUP(D261,'[2]2024 - Curva ABC de Insumos'!$E$6:$R$172,14,FALSE())</f>
        <v>C</v>
      </c>
      <c r="B261" s="300" t="s">
        <v>1370</v>
      </c>
      <c r="C261" s="346" t="s">
        <v>4240</v>
      </c>
      <c r="D261" s="335" t="s">
        <v>4241</v>
      </c>
      <c r="E261" s="289" t="s">
        <v>6361</v>
      </c>
      <c r="F261" s="290"/>
      <c r="G261" s="290"/>
      <c r="H261" s="290"/>
      <c r="I261" s="290"/>
      <c r="J261" s="322">
        <f>SMALL(E262:I262,1)</f>
        <v>7793.6544</v>
      </c>
      <c r="K261" s="330"/>
      <c r="L261" s="187" t="e">
        <f>VLOOKUP(B261,[3]CPUs!D:L,9,FALSE())</f>
        <v>#N/A</v>
      </c>
      <c r="M261" s="96" t="e">
        <f>IF(J261=L261,"OK","DIF")</f>
        <v>#N/A</v>
      </c>
      <c r="N261" s="326" t="s">
        <v>6244</v>
      </c>
      <c r="O261" s="324"/>
      <c r="P261" s="279"/>
      <c r="Q261" s="279"/>
      <c r="R261" s="324"/>
      <c r="S261" s="324"/>
      <c r="T261" s="324"/>
      <c r="U261" s="324"/>
      <c r="V261" s="324"/>
      <c r="W261" s="279"/>
      <c r="X261" s="279"/>
      <c r="Y261" s="83"/>
      <c r="Z261" s="83"/>
      <c r="AA261" s="328"/>
      <c r="AB261" s="328"/>
    </row>
    <row r="262" ht="15" spans="1:28">
      <c r="A262" s="285"/>
      <c r="B262" s="291"/>
      <c r="C262" s="292"/>
      <c r="D262" s="293" t="s">
        <v>6236</v>
      </c>
      <c r="E262" s="294">
        <f>6924*1.1256</f>
        <v>7793.6544</v>
      </c>
      <c r="F262" s="295"/>
      <c r="G262" s="295"/>
      <c r="H262" s="295"/>
      <c r="I262" s="295"/>
      <c r="J262" s="325"/>
      <c r="K262" s="187" t="str">
        <f>IF(A262="c",$M$4*J262,"")</f>
        <v/>
      </c>
      <c r="L262" s="83"/>
      <c r="M262" s="96"/>
      <c r="N262" s="326"/>
      <c r="O262" s="324"/>
      <c r="P262" s="279"/>
      <c r="Q262" s="279"/>
      <c r="R262" s="324"/>
      <c r="S262" s="324"/>
      <c r="T262" s="324"/>
      <c r="U262" s="324"/>
      <c r="V262" s="324"/>
      <c r="W262" s="279"/>
      <c r="X262" s="279"/>
      <c r="Y262" s="83"/>
      <c r="Z262" s="83"/>
      <c r="AA262" s="328"/>
      <c r="AB262" s="328"/>
    </row>
    <row r="263" ht="15" spans="1:28">
      <c r="A263" s="285"/>
      <c r="B263" s="291"/>
      <c r="C263" s="292"/>
      <c r="D263" s="293" t="s">
        <v>6237</v>
      </c>
      <c r="E263" s="296" t="s">
        <v>6250</v>
      </c>
      <c r="F263" s="296"/>
      <c r="G263" s="296"/>
      <c r="H263" s="302"/>
      <c r="I263" s="302"/>
      <c r="J263" s="325"/>
      <c r="K263" s="187" t="str">
        <f>IF(A263="c",$M$4*J263,"")</f>
        <v/>
      </c>
      <c r="L263" s="83"/>
      <c r="M263" s="96"/>
      <c r="N263" s="326"/>
      <c r="O263" s="324"/>
      <c r="P263" s="279"/>
      <c r="Q263" s="279"/>
      <c r="R263" s="324"/>
      <c r="S263" s="324"/>
      <c r="T263" s="324"/>
      <c r="U263" s="279"/>
      <c r="V263" s="279"/>
      <c r="W263" s="279"/>
      <c r="X263" s="279"/>
      <c r="Y263" s="83"/>
      <c r="Z263" s="83"/>
      <c r="AA263" s="328"/>
      <c r="AB263" s="328"/>
    </row>
    <row r="264" ht="15" customHeight="1" spans="1:28">
      <c r="A264" s="285"/>
      <c r="B264" s="291"/>
      <c r="C264" s="292"/>
      <c r="D264" s="293" t="s">
        <v>6251</v>
      </c>
      <c r="E264" s="304" t="s">
        <v>6363</v>
      </c>
      <c r="F264" s="304"/>
      <c r="G264" s="304"/>
      <c r="H264" s="304"/>
      <c r="I264" s="304"/>
      <c r="J264" s="304"/>
      <c r="K264" s="187" t="str">
        <f>IF(A264="c",$M$4*J264,"")</f>
        <v/>
      </c>
      <c r="L264" s="83"/>
      <c r="M264" s="96"/>
      <c r="N264" s="326"/>
      <c r="O264" s="324"/>
      <c r="P264" s="279"/>
      <c r="Q264" s="279"/>
      <c r="R264" s="324"/>
      <c r="S264" s="324"/>
      <c r="T264" s="324"/>
      <c r="U264" s="324"/>
      <c r="V264" s="324"/>
      <c r="W264" s="279"/>
      <c r="X264" s="279"/>
      <c r="Y264" s="83"/>
      <c r="Z264" s="83"/>
      <c r="AA264" s="328"/>
      <c r="AB264" s="328"/>
    </row>
    <row r="265" ht="15" spans="1:28">
      <c r="A265" s="285"/>
      <c r="B265" s="347"/>
      <c r="C265" s="298"/>
      <c r="D265" s="348"/>
      <c r="E265" s="349"/>
      <c r="F265" s="349"/>
      <c r="G265" s="349"/>
      <c r="H265" s="350"/>
      <c r="I265" s="350"/>
      <c r="J265" s="331"/>
      <c r="K265" s="187" t="str">
        <f>IF(A265="c",$M$4*J265,"")</f>
        <v/>
      </c>
      <c r="L265" s="83"/>
      <c r="M265" s="96"/>
      <c r="N265" s="326"/>
      <c r="O265" s="324"/>
      <c r="P265" s="279"/>
      <c r="Q265" s="279"/>
      <c r="R265" s="324"/>
      <c r="S265" s="324"/>
      <c r="T265" s="324"/>
      <c r="U265" s="279"/>
      <c r="V265" s="279"/>
      <c r="W265" s="279"/>
      <c r="X265" s="279"/>
      <c r="Y265" s="83"/>
      <c r="Z265" s="83"/>
      <c r="AA265" s="328"/>
      <c r="AB265" s="328"/>
    </row>
    <row r="266" ht="84" spans="1:28">
      <c r="A266" s="345" t="str">
        <f>VLOOKUP(D266,'[2]2024 - Curva ABC de Insumos'!$E$6:$R$172,14,FALSE())</f>
        <v>B</v>
      </c>
      <c r="B266" s="300" t="s">
        <v>1374</v>
      </c>
      <c r="C266" s="346" t="s">
        <v>4242</v>
      </c>
      <c r="D266" s="335" t="s">
        <v>4243</v>
      </c>
      <c r="E266" s="289" t="s">
        <v>6361</v>
      </c>
      <c r="F266" s="290"/>
      <c r="G266" s="290"/>
      <c r="H266" s="290"/>
      <c r="I266" s="290"/>
      <c r="J266" s="322">
        <f>SMALL(E267:I267,1)</f>
        <v>20026.6752</v>
      </c>
      <c r="K266" s="330" t="str">
        <f>IF(A266="c",$M$4*J266,"")</f>
        <v/>
      </c>
      <c r="L266" s="187" t="e">
        <f>VLOOKUP(B266,[3]CPUs!D:L,9,FALSE())</f>
        <v>#N/A</v>
      </c>
      <c r="M266" s="96" t="e">
        <f>IF(J266=L266,"OK","DIF")</f>
        <v>#N/A</v>
      </c>
      <c r="N266" s="326" t="s">
        <v>6244</v>
      </c>
      <c r="O266" s="324"/>
      <c r="P266" s="279"/>
      <c r="Q266" s="279"/>
      <c r="R266" s="324"/>
      <c r="S266" s="324"/>
      <c r="T266" s="324"/>
      <c r="U266" s="324"/>
      <c r="V266" s="324"/>
      <c r="W266" s="279"/>
      <c r="X266" s="279"/>
      <c r="Y266" s="83"/>
      <c r="Z266" s="83"/>
      <c r="AA266" s="328"/>
      <c r="AB266" s="328"/>
    </row>
    <row r="267" ht="15" spans="1:28">
      <c r="A267" s="345"/>
      <c r="B267" s="291"/>
      <c r="C267" s="292"/>
      <c r="D267" s="293" t="s">
        <v>6236</v>
      </c>
      <c r="E267" s="294">
        <f>17792*1.1256</f>
        <v>20026.6752</v>
      </c>
      <c r="F267" s="295"/>
      <c r="G267" s="295"/>
      <c r="H267" s="295"/>
      <c r="I267" s="295"/>
      <c r="J267" s="325"/>
      <c r="K267" s="187" t="str">
        <f>IF(A267="c",$M$4*J267,"")</f>
        <v/>
      </c>
      <c r="L267" s="83"/>
      <c r="M267" s="96"/>
      <c r="N267" s="326"/>
      <c r="O267" s="324"/>
      <c r="P267" s="279"/>
      <c r="Q267" s="279"/>
      <c r="R267" s="324"/>
      <c r="S267" s="324"/>
      <c r="T267" s="324"/>
      <c r="U267" s="324"/>
      <c r="V267" s="324"/>
      <c r="W267" s="279"/>
      <c r="X267" s="279"/>
      <c r="Y267" s="83"/>
      <c r="Z267" s="83"/>
      <c r="AA267" s="328"/>
      <c r="AB267" s="328"/>
    </row>
    <row r="268" ht="15" spans="1:28">
      <c r="A268" s="345"/>
      <c r="B268" s="291"/>
      <c r="C268" s="292"/>
      <c r="D268" s="293" t="s">
        <v>6237</v>
      </c>
      <c r="E268" s="296" t="s">
        <v>6250</v>
      </c>
      <c r="F268" s="296"/>
      <c r="G268" s="296"/>
      <c r="H268" s="302"/>
      <c r="I268" s="302"/>
      <c r="J268" s="325"/>
      <c r="K268" s="187" t="str">
        <f>IF(A268="c",$M$4*J268,"")</f>
        <v/>
      </c>
      <c r="L268" s="83"/>
      <c r="M268" s="96"/>
      <c r="N268" s="326"/>
      <c r="O268" s="324"/>
      <c r="P268" s="279"/>
      <c r="Q268" s="279"/>
      <c r="R268" s="324"/>
      <c r="S268" s="324"/>
      <c r="T268" s="324"/>
      <c r="U268" s="279"/>
      <c r="V268" s="279"/>
      <c r="W268" s="279"/>
      <c r="X268" s="279"/>
      <c r="Y268" s="83"/>
      <c r="Z268" s="83"/>
      <c r="AA268" s="328"/>
      <c r="AB268" s="328"/>
    </row>
    <row r="269" ht="15" customHeight="1" spans="1:28">
      <c r="A269" s="345"/>
      <c r="B269" s="291"/>
      <c r="C269" s="292"/>
      <c r="D269" s="293" t="s">
        <v>6251</v>
      </c>
      <c r="E269" s="304" t="s">
        <v>6363</v>
      </c>
      <c r="F269" s="304"/>
      <c r="G269" s="304"/>
      <c r="H269" s="304"/>
      <c r="I269" s="304"/>
      <c r="J269" s="304"/>
      <c r="K269" s="187" t="str">
        <f>IF(A269="c",$M$4*J269,"")</f>
        <v/>
      </c>
      <c r="L269" s="83"/>
      <c r="M269" s="96"/>
      <c r="N269" s="326"/>
      <c r="O269" s="324"/>
      <c r="P269" s="279"/>
      <c r="Q269" s="279"/>
      <c r="R269" s="324"/>
      <c r="S269" s="324"/>
      <c r="T269" s="324"/>
      <c r="U269" s="324"/>
      <c r="V269" s="324"/>
      <c r="W269" s="279"/>
      <c r="X269" s="279"/>
      <c r="Y269" s="83"/>
      <c r="Z269" s="83"/>
      <c r="AA269" s="328"/>
      <c r="AB269" s="328"/>
    </row>
    <row r="270" ht="15" spans="1:28">
      <c r="A270" s="345"/>
      <c r="B270" s="347"/>
      <c r="C270" s="298"/>
      <c r="D270" s="348"/>
      <c r="E270" s="349"/>
      <c r="F270" s="349"/>
      <c r="G270" s="349"/>
      <c r="H270" s="350"/>
      <c r="I270" s="350"/>
      <c r="J270" s="331"/>
      <c r="K270" s="187" t="str">
        <f>IF(A270="c",$M$4*J270,"")</f>
        <v/>
      </c>
      <c r="L270" s="83"/>
      <c r="M270" s="96"/>
      <c r="N270" s="326"/>
      <c r="O270" s="324"/>
      <c r="P270" s="279"/>
      <c r="Q270" s="279"/>
      <c r="R270" s="324"/>
      <c r="S270" s="324"/>
      <c r="T270" s="324"/>
      <c r="U270" s="279"/>
      <c r="V270" s="279"/>
      <c r="W270" s="279"/>
      <c r="X270" s="279"/>
      <c r="Y270" s="83"/>
      <c r="Z270" s="83"/>
      <c r="AA270" s="328"/>
      <c r="AB270" s="328"/>
    </row>
    <row r="271" ht="84" spans="1:28">
      <c r="A271" s="303" t="str">
        <f>VLOOKUP(D271,'[2]2024 - Curva ABC de Insumos'!$E$6:$R$172,14,FALSE())</f>
        <v>B</v>
      </c>
      <c r="B271" s="300" t="s">
        <v>1378</v>
      </c>
      <c r="C271" s="346" t="s">
        <v>4244</v>
      </c>
      <c r="D271" s="335" t="s">
        <v>4245</v>
      </c>
      <c r="E271" s="289" t="s">
        <v>6361</v>
      </c>
      <c r="F271" s="290"/>
      <c r="G271" s="290"/>
      <c r="H271" s="290"/>
      <c r="I271" s="290"/>
      <c r="J271" s="322">
        <f>SMALL(E272:I272,1)</f>
        <v>13969.8216</v>
      </c>
      <c r="K271" s="330" t="str">
        <f>IF(A271="c",$M$4*J271,"")</f>
        <v/>
      </c>
      <c r="L271" s="187" t="e">
        <f>VLOOKUP(B271,[3]CPUs!D:L,9,FALSE())</f>
        <v>#N/A</v>
      </c>
      <c r="M271" s="96" t="e">
        <f>IF(J271=L271,"OK","DIF")</f>
        <v>#N/A</v>
      </c>
      <c r="N271" s="326" t="s">
        <v>6244</v>
      </c>
      <c r="O271" s="324"/>
      <c r="P271" s="279"/>
      <c r="Q271" s="279"/>
      <c r="R271" s="324"/>
      <c r="S271" s="324"/>
      <c r="T271" s="324"/>
      <c r="U271" s="324"/>
      <c r="V271" s="324"/>
      <c r="W271" s="279"/>
      <c r="X271" s="279"/>
      <c r="Y271" s="83"/>
      <c r="Z271" s="83"/>
      <c r="AA271" s="328"/>
      <c r="AB271" s="328"/>
    </row>
    <row r="272" ht="15" spans="1:28">
      <c r="A272" s="303"/>
      <c r="B272" s="291"/>
      <c r="C272" s="292"/>
      <c r="D272" s="293" t="s">
        <v>6236</v>
      </c>
      <c r="E272" s="294">
        <f>12411*1.1256</f>
        <v>13969.8216</v>
      </c>
      <c r="F272" s="295"/>
      <c r="G272" s="295"/>
      <c r="H272" s="295"/>
      <c r="I272" s="295"/>
      <c r="J272" s="325"/>
      <c r="K272" s="187" t="str">
        <f>IF(A272="c",$M$4*J272,"")</f>
        <v/>
      </c>
      <c r="L272" s="83"/>
      <c r="M272" s="96"/>
      <c r="N272" s="326"/>
      <c r="O272" s="324"/>
      <c r="P272" s="279"/>
      <c r="Q272" s="279"/>
      <c r="R272" s="324"/>
      <c r="S272" s="324"/>
      <c r="T272" s="324"/>
      <c r="U272" s="324"/>
      <c r="V272" s="324"/>
      <c r="W272" s="279"/>
      <c r="X272" s="279"/>
      <c r="Y272" s="83"/>
      <c r="Z272" s="83"/>
      <c r="AA272" s="328"/>
      <c r="AB272" s="328"/>
    </row>
    <row r="273" ht="15" spans="1:28">
      <c r="A273" s="303"/>
      <c r="B273" s="291"/>
      <c r="C273" s="292"/>
      <c r="D273" s="293" t="s">
        <v>6237</v>
      </c>
      <c r="E273" s="296" t="s">
        <v>6250</v>
      </c>
      <c r="F273" s="296"/>
      <c r="G273" s="296"/>
      <c r="H273" s="302"/>
      <c r="I273" s="302"/>
      <c r="J273" s="325"/>
      <c r="K273" s="187" t="str">
        <f>IF(A273="c",$M$4*J273,"")</f>
        <v/>
      </c>
      <c r="L273" s="83"/>
      <c r="M273" s="96"/>
      <c r="N273" s="326"/>
      <c r="O273" s="324"/>
      <c r="P273" s="279"/>
      <c r="Q273" s="279"/>
      <c r="R273" s="324"/>
      <c r="S273" s="324"/>
      <c r="T273" s="324"/>
      <c r="U273" s="279"/>
      <c r="V273" s="279"/>
      <c r="W273" s="279"/>
      <c r="X273" s="279"/>
      <c r="Y273" s="83"/>
      <c r="Z273" s="83"/>
      <c r="AA273" s="328"/>
      <c r="AB273" s="328"/>
    </row>
    <row r="274" ht="15" customHeight="1" spans="1:28">
      <c r="A274" s="303"/>
      <c r="B274" s="291"/>
      <c r="C274" s="292"/>
      <c r="D274" s="293" t="s">
        <v>6251</v>
      </c>
      <c r="E274" s="304" t="s">
        <v>6363</v>
      </c>
      <c r="F274" s="304"/>
      <c r="G274" s="304"/>
      <c r="H274" s="304"/>
      <c r="I274" s="304"/>
      <c r="J274" s="304"/>
      <c r="K274" s="187" t="str">
        <f>IF(A274="c",$M$4*J274,"")</f>
        <v/>
      </c>
      <c r="L274" s="83"/>
      <c r="M274" s="96"/>
      <c r="N274" s="326"/>
      <c r="O274" s="324"/>
      <c r="P274" s="279"/>
      <c r="Q274" s="279"/>
      <c r="R274" s="324"/>
      <c r="S274" s="324"/>
      <c r="T274" s="324"/>
      <c r="U274" s="324"/>
      <c r="V274" s="324"/>
      <c r="W274" s="279"/>
      <c r="X274" s="279"/>
      <c r="Y274" s="83"/>
      <c r="Z274" s="83"/>
      <c r="AA274" s="328"/>
      <c r="AB274" s="328"/>
    </row>
    <row r="275" ht="15" spans="1:28">
      <c r="A275" s="303"/>
      <c r="B275" s="307"/>
      <c r="C275" s="308"/>
      <c r="D275" s="309"/>
      <c r="E275" s="310"/>
      <c r="F275" s="311"/>
      <c r="G275" s="311"/>
      <c r="H275" s="311"/>
      <c r="I275" s="311"/>
      <c r="J275" s="331"/>
      <c r="K275" s="187" t="str">
        <f>IF(A275="c",$M$4*J275,"")</f>
        <v/>
      </c>
      <c r="L275" s="83"/>
      <c r="M275" s="96"/>
      <c r="N275" s="320"/>
      <c r="O275" s="321"/>
      <c r="P275" s="321"/>
      <c r="Q275" s="321"/>
      <c r="R275" s="321"/>
      <c r="S275" s="321"/>
      <c r="T275" s="321"/>
      <c r="U275" s="321"/>
      <c r="V275" s="321"/>
      <c r="W275" s="321"/>
      <c r="X275" s="321"/>
      <c r="Y275" s="83"/>
      <c r="Z275" s="83"/>
      <c r="AA275" s="98"/>
      <c r="AB275" s="98"/>
    </row>
    <row r="276" ht="84" spans="1:28">
      <c r="A276" s="285" t="str">
        <f>VLOOKUP(D276,'[2]2024 - Curva ABC de Insumos'!$E$6:$R$172,14,FALSE())</f>
        <v>C</v>
      </c>
      <c r="B276" s="300" t="s">
        <v>1382</v>
      </c>
      <c r="C276" s="346" t="s">
        <v>4246</v>
      </c>
      <c r="D276" s="335" t="s">
        <v>4247</v>
      </c>
      <c r="E276" s="289" t="s">
        <v>6361</v>
      </c>
      <c r="F276" s="290"/>
      <c r="G276" s="290"/>
      <c r="H276" s="290"/>
      <c r="I276" s="290"/>
      <c r="J276" s="322">
        <f>SMALL(E277:I277,1)</f>
        <v>10115.7672</v>
      </c>
      <c r="K276" s="330"/>
      <c r="L276" s="187" t="e">
        <f>VLOOKUP(B276,[3]CPUs!D:L,9,FALSE())</f>
        <v>#N/A</v>
      </c>
      <c r="M276" s="96" t="e">
        <f>IF(J276=L276,"OK","DIF")</f>
        <v>#N/A</v>
      </c>
      <c r="N276" s="326" t="s">
        <v>6244</v>
      </c>
      <c r="O276" s="324"/>
      <c r="P276" s="279"/>
      <c r="Q276" s="279"/>
      <c r="R276" s="324"/>
      <c r="S276" s="324"/>
      <c r="T276" s="324"/>
      <c r="U276" s="324"/>
      <c r="V276" s="324"/>
      <c r="W276" s="279"/>
      <c r="X276" s="279"/>
      <c r="Y276" s="83"/>
      <c r="Z276" s="83"/>
      <c r="AA276" s="328"/>
      <c r="AB276" s="328"/>
    </row>
    <row r="277" ht="15" spans="1:28">
      <c r="A277" s="285"/>
      <c r="B277" s="291"/>
      <c r="C277" s="292"/>
      <c r="D277" s="293" t="s">
        <v>6236</v>
      </c>
      <c r="E277" s="294">
        <f>8987*1.1256</f>
        <v>10115.7672</v>
      </c>
      <c r="F277" s="295"/>
      <c r="G277" s="295"/>
      <c r="H277" s="295"/>
      <c r="I277" s="295"/>
      <c r="J277" s="325"/>
      <c r="K277" s="187" t="str">
        <f>IF(A277="c",$M$4*J277,"")</f>
        <v/>
      </c>
      <c r="L277" s="83"/>
      <c r="M277" s="96"/>
      <c r="N277" s="326"/>
      <c r="O277" s="324"/>
      <c r="P277" s="279"/>
      <c r="Q277" s="279"/>
      <c r="R277" s="324"/>
      <c r="S277" s="324"/>
      <c r="T277" s="324"/>
      <c r="U277" s="324"/>
      <c r="V277" s="324"/>
      <c r="W277" s="279"/>
      <c r="X277" s="279"/>
      <c r="Y277" s="83"/>
      <c r="Z277" s="83"/>
      <c r="AA277" s="328"/>
      <c r="AB277" s="328"/>
    </row>
    <row r="278" ht="15" spans="1:28">
      <c r="A278" s="285"/>
      <c r="B278" s="291"/>
      <c r="C278" s="292"/>
      <c r="D278" s="293" t="s">
        <v>6237</v>
      </c>
      <c r="E278" s="296" t="s">
        <v>6250</v>
      </c>
      <c r="F278" s="296"/>
      <c r="G278" s="296"/>
      <c r="H278" s="302"/>
      <c r="I278" s="302"/>
      <c r="J278" s="325"/>
      <c r="K278" s="187" t="str">
        <f>IF(A278="c",$M$4*J278,"")</f>
        <v/>
      </c>
      <c r="L278" s="83"/>
      <c r="M278" s="96"/>
      <c r="N278" s="326"/>
      <c r="O278" s="324"/>
      <c r="P278" s="279"/>
      <c r="Q278" s="279"/>
      <c r="R278" s="324"/>
      <c r="S278" s="324"/>
      <c r="T278" s="324"/>
      <c r="U278" s="279"/>
      <c r="V278" s="279"/>
      <c r="W278" s="279"/>
      <c r="X278" s="279"/>
      <c r="Y278" s="83"/>
      <c r="Z278" s="83"/>
      <c r="AA278" s="328"/>
      <c r="AB278" s="328"/>
    </row>
    <row r="279" ht="15" customHeight="1" spans="1:28">
      <c r="A279" s="285"/>
      <c r="B279" s="291"/>
      <c r="C279" s="292"/>
      <c r="D279" s="293" t="s">
        <v>6251</v>
      </c>
      <c r="E279" s="304" t="s">
        <v>6363</v>
      </c>
      <c r="F279" s="304"/>
      <c r="G279" s="304"/>
      <c r="H279" s="304"/>
      <c r="I279" s="304"/>
      <c r="J279" s="304"/>
      <c r="K279" s="187" t="str">
        <f>IF(A279="c",$M$4*J279,"")</f>
        <v/>
      </c>
      <c r="L279" s="83"/>
      <c r="M279" s="96"/>
      <c r="N279" s="326"/>
      <c r="O279" s="324"/>
      <c r="P279" s="279"/>
      <c r="Q279" s="279"/>
      <c r="R279" s="324"/>
      <c r="S279" s="324"/>
      <c r="T279" s="324"/>
      <c r="U279" s="324"/>
      <c r="V279" s="324"/>
      <c r="W279" s="279"/>
      <c r="X279" s="279"/>
      <c r="Y279" s="83"/>
      <c r="Z279" s="83"/>
      <c r="AA279" s="328"/>
      <c r="AB279" s="328"/>
    </row>
    <row r="280" ht="15" spans="1:28">
      <c r="A280" s="285"/>
      <c r="B280" s="307"/>
      <c r="C280" s="308"/>
      <c r="D280" s="309"/>
      <c r="E280" s="310"/>
      <c r="F280" s="311"/>
      <c r="G280" s="311"/>
      <c r="H280" s="311"/>
      <c r="I280" s="311"/>
      <c r="J280" s="331"/>
      <c r="K280" s="187" t="str">
        <f>IF(A280="c",$M$4*J280,"")</f>
        <v/>
      </c>
      <c r="L280" s="83"/>
      <c r="M280" s="96"/>
      <c r="N280" s="320"/>
      <c r="O280" s="321"/>
      <c r="P280" s="321"/>
      <c r="Q280" s="321"/>
      <c r="R280" s="321"/>
      <c r="S280" s="321"/>
      <c r="T280" s="321"/>
      <c r="U280" s="321"/>
      <c r="V280" s="321"/>
      <c r="W280" s="321"/>
      <c r="X280" s="321"/>
      <c r="Y280" s="83"/>
      <c r="Z280" s="83"/>
      <c r="AA280" s="98"/>
      <c r="AB280" s="98"/>
    </row>
    <row r="281" ht="84" spans="1:28">
      <c r="A281" s="285" t="str">
        <f>VLOOKUP(D281,'[2]2024 - Curva ABC de Insumos'!$E$6:$R$172,14,FALSE())</f>
        <v>C</v>
      </c>
      <c r="B281" s="300" t="s">
        <v>1386</v>
      </c>
      <c r="C281" s="346" t="s">
        <v>4248</v>
      </c>
      <c r="D281" s="335" t="s">
        <v>4249</v>
      </c>
      <c r="E281" s="289" t="s">
        <v>6361</v>
      </c>
      <c r="F281" s="290"/>
      <c r="G281" s="290"/>
      <c r="H281" s="290"/>
      <c r="I281" s="290"/>
      <c r="J281" s="322">
        <f>SMALL(E282:I282,1)</f>
        <v>7812.7896</v>
      </c>
      <c r="K281" s="330"/>
      <c r="L281" s="187" t="e">
        <f>VLOOKUP(B281,[3]CPUs!D:L,9,FALSE())</f>
        <v>#N/A</v>
      </c>
      <c r="M281" s="96" t="e">
        <f>IF(J281=L281,"OK","DIF")</f>
        <v>#N/A</v>
      </c>
      <c r="N281" s="326" t="s">
        <v>6244</v>
      </c>
      <c r="O281" s="324"/>
      <c r="P281" s="279"/>
      <c r="Q281" s="279"/>
      <c r="R281" s="324"/>
      <c r="S281" s="324"/>
      <c r="T281" s="324"/>
      <c r="U281" s="324"/>
      <c r="V281" s="324"/>
      <c r="W281" s="279"/>
      <c r="X281" s="279"/>
      <c r="Y281" s="83"/>
      <c r="Z281" s="83"/>
      <c r="AA281" s="328"/>
      <c r="AB281" s="328"/>
    </row>
    <row r="282" ht="15" spans="1:28">
      <c r="A282" s="285"/>
      <c r="B282" s="291"/>
      <c r="C282" s="292"/>
      <c r="D282" s="293" t="s">
        <v>6236</v>
      </c>
      <c r="E282" s="294">
        <f>6941*1.1256</f>
        <v>7812.7896</v>
      </c>
      <c r="F282" s="295"/>
      <c r="G282" s="295"/>
      <c r="H282" s="295"/>
      <c r="I282" s="295"/>
      <c r="J282" s="325"/>
      <c r="K282" s="187" t="str">
        <f>IF(A282="c",$M$4*J282,"")</f>
        <v/>
      </c>
      <c r="L282" s="83"/>
      <c r="M282" s="96"/>
      <c r="N282" s="326"/>
      <c r="O282" s="324"/>
      <c r="P282" s="279"/>
      <c r="Q282" s="279"/>
      <c r="R282" s="324"/>
      <c r="S282" s="324"/>
      <c r="T282" s="324"/>
      <c r="U282" s="324"/>
      <c r="V282" s="324"/>
      <c r="W282" s="279"/>
      <c r="X282" s="279"/>
      <c r="Y282" s="83"/>
      <c r="Z282" s="83"/>
      <c r="AA282" s="328"/>
      <c r="AB282" s="328"/>
    </row>
    <row r="283" ht="15" spans="1:28">
      <c r="A283" s="285"/>
      <c r="B283" s="291"/>
      <c r="C283" s="292"/>
      <c r="D283" s="293" t="s">
        <v>6237</v>
      </c>
      <c r="E283" s="296" t="s">
        <v>6250</v>
      </c>
      <c r="F283" s="296"/>
      <c r="G283" s="296"/>
      <c r="H283" s="302"/>
      <c r="I283" s="302"/>
      <c r="J283" s="325"/>
      <c r="K283" s="187" t="str">
        <f>IF(A283="c",$M$4*J283,"")</f>
        <v/>
      </c>
      <c r="L283" s="83"/>
      <c r="M283" s="96"/>
      <c r="N283" s="326"/>
      <c r="O283" s="324"/>
      <c r="P283" s="279"/>
      <c r="Q283" s="279"/>
      <c r="R283" s="324"/>
      <c r="S283" s="324"/>
      <c r="T283" s="324"/>
      <c r="U283" s="279"/>
      <c r="V283" s="279"/>
      <c r="W283" s="279"/>
      <c r="X283" s="279"/>
      <c r="Y283" s="83"/>
      <c r="Z283" s="83"/>
      <c r="AA283" s="328"/>
      <c r="AB283" s="328"/>
    </row>
    <row r="284" ht="15" customHeight="1" spans="1:28">
      <c r="A284" s="285"/>
      <c r="B284" s="291"/>
      <c r="C284" s="292"/>
      <c r="D284" s="293" t="s">
        <v>6251</v>
      </c>
      <c r="E284" s="304" t="s">
        <v>6363</v>
      </c>
      <c r="F284" s="304"/>
      <c r="G284" s="304"/>
      <c r="H284" s="304"/>
      <c r="I284" s="304"/>
      <c r="J284" s="304"/>
      <c r="K284" s="187" t="str">
        <f>IF(A284="c",$M$4*J284,"")</f>
        <v/>
      </c>
      <c r="L284" s="83"/>
      <c r="M284" s="96"/>
      <c r="N284" s="326"/>
      <c r="O284" s="324"/>
      <c r="P284" s="279"/>
      <c r="Q284" s="279"/>
      <c r="R284" s="324"/>
      <c r="S284" s="324"/>
      <c r="T284" s="324"/>
      <c r="U284" s="324"/>
      <c r="V284" s="324"/>
      <c r="W284" s="279"/>
      <c r="X284" s="279"/>
      <c r="Y284" s="83"/>
      <c r="Z284" s="83"/>
      <c r="AA284" s="328"/>
      <c r="AB284" s="328"/>
    </row>
    <row r="285" ht="15" spans="1:28">
      <c r="A285" s="285"/>
      <c r="B285" s="307"/>
      <c r="C285" s="308"/>
      <c r="D285" s="309"/>
      <c r="E285" s="310"/>
      <c r="F285" s="311"/>
      <c r="G285" s="311"/>
      <c r="H285" s="311"/>
      <c r="I285" s="311"/>
      <c r="J285" s="331"/>
      <c r="K285" s="187" t="str">
        <f>IF(A285="c",$M$4*J285,"")</f>
        <v/>
      </c>
      <c r="L285" s="83"/>
      <c r="M285" s="96"/>
      <c r="N285" s="320"/>
      <c r="O285" s="321"/>
      <c r="P285" s="321"/>
      <c r="Q285" s="321"/>
      <c r="R285" s="321"/>
      <c r="S285" s="321"/>
      <c r="T285" s="321"/>
      <c r="U285" s="321"/>
      <c r="V285" s="321"/>
      <c r="W285" s="321"/>
      <c r="X285" s="321"/>
      <c r="Y285" s="83"/>
      <c r="Z285" s="83"/>
      <c r="AA285" s="98"/>
      <c r="AB285" s="98"/>
    </row>
    <row r="286" ht="84" spans="1:28">
      <c r="A286" s="303" t="str">
        <f>VLOOKUP(D286,'[2]2024 - Curva ABC de Insumos'!$E$6:$R$172,14,FALSE())</f>
        <v>B</v>
      </c>
      <c r="B286" s="300" t="s">
        <v>1389</v>
      </c>
      <c r="C286" s="346" t="s">
        <v>4250</v>
      </c>
      <c r="D286" s="335" t="s">
        <v>4251</v>
      </c>
      <c r="E286" s="289" t="s">
        <v>6361</v>
      </c>
      <c r="F286" s="290"/>
      <c r="G286" s="290"/>
      <c r="H286" s="290"/>
      <c r="I286" s="290"/>
      <c r="J286" s="322">
        <f>SMALL(E287:I287,1)</f>
        <v>13511.7024</v>
      </c>
      <c r="K286" s="330" t="str">
        <f>IF(A286="c",$M$4*J286,"")</f>
        <v/>
      </c>
      <c r="L286" s="187" t="e">
        <f>VLOOKUP(B286,[3]CPUs!D:L,9,FALSE())</f>
        <v>#N/A</v>
      </c>
      <c r="M286" s="96" t="e">
        <f>IF(J286=L286,"OK","DIF")</f>
        <v>#N/A</v>
      </c>
      <c r="N286" s="326" t="s">
        <v>6244</v>
      </c>
      <c r="O286" s="324"/>
      <c r="P286" s="279"/>
      <c r="Q286" s="279"/>
      <c r="R286" s="324"/>
      <c r="S286" s="324"/>
      <c r="T286" s="324"/>
      <c r="U286" s="324"/>
      <c r="V286" s="324"/>
      <c r="W286" s="279"/>
      <c r="X286" s="279"/>
      <c r="Y286" s="83"/>
      <c r="Z286" s="83"/>
      <c r="AA286" s="328"/>
      <c r="AB286" s="328"/>
    </row>
    <row r="287" ht="15" spans="1:28">
      <c r="A287" s="303"/>
      <c r="B287" s="291"/>
      <c r="C287" s="292"/>
      <c r="D287" s="293" t="s">
        <v>6236</v>
      </c>
      <c r="E287" s="294">
        <f>12004*1.1256</f>
        <v>13511.7024</v>
      </c>
      <c r="F287" s="295"/>
      <c r="G287" s="295"/>
      <c r="H287" s="295"/>
      <c r="I287" s="295"/>
      <c r="J287" s="325"/>
      <c r="K287" s="187" t="str">
        <f>IF(A287="c",$M$4*J287,"")</f>
        <v/>
      </c>
      <c r="L287" s="83"/>
      <c r="M287" s="96"/>
      <c r="N287" s="326"/>
      <c r="O287" s="324"/>
      <c r="P287" s="279"/>
      <c r="Q287" s="279"/>
      <c r="R287" s="324"/>
      <c r="S287" s="324"/>
      <c r="T287" s="324"/>
      <c r="U287" s="324"/>
      <c r="V287" s="324"/>
      <c r="W287" s="279"/>
      <c r="X287" s="279"/>
      <c r="Y287" s="83"/>
      <c r="Z287" s="83"/>
      <c r="AA287" s="328"/>
      <c r="AB287" s="328"/>
    </row>
    <row r="288" ht="15" spans="1:28">
      <c r="A288" s="303"/>
      <c r="B288" s="291"/>
      <c r="C288" s="292"/>
      <c r="D288" s="293" t="s">
        <v>6237</v>
      </c>
      <c r="E288" s="296" t="s">
        <v>6250</v>
      </c>
      <c r="F288" s="296"/>
      <c r="G288" s="296"/>
      <c r="H288" s="302"/>
      <c r="I288" s="302"/>
      <c r="J288" s="325"/>
      <c r="K288" s="187" t="str">
        <f>IF(A288="c",$M$4*J288,"")</f>
        <v/>
      </c>
      <c r="L288" s="83"/>
      <c r="M288" s="96"/>
      <c r="N288" s="326"/>
      <c r="O288" s="324"/>
      <c r="P288" s="279"/>
      <c r="Q288" s="279"/>
      <c r="R288" s="324"/>
      <c r="S288" s="324"/>
      <c r="T288" s="324"/>
      <c r="U288" s="279"/>
      <c r="V288" s="279"/>
      <c r="W288" s="279"/>
      <c r="X288" s="279"/>
      <c r="Y288" s="83"/>
      <c r="Z288" s="83"/>
      <c r="AA288" s="328"/>
      <c r="AB288" s="328"/>
    </row>
    <row r="289" ht="15" customHeight="1" spans="1:28">
      <c r="A289" s="303"/>
      <c r="B289" s="291"/>
      <c r="C289" s="292"/>
      <c r="D289" s="293" t="s">
        <v>6251</v>
      </c>
      <c r="E289" s="304" t="s">
        <v>6363</v>
      </c>
      <c r="F289" s="304"/>
      <c r="G289" s="304"/>
      <c r="H289" s="304"/>
      <c r="I289" s="304"/>
      <c r="J289" s="304"/>
      <c r="K289" s="187" t="str">
        <f>IF(A289="c",$M$4*J289,"")</f>
        <v/>
      </c>
      <c r="L289" s="83"/>
      <c r="M289" s="96"/>
      <c r="N289" s="326"/>
      <c r="O289" s="324"/>
      <c r="P289" s="279"/>
      <c r="Q289" s="279"/>
      <c r="R289" s="324"/>
      <c r="S289" s="324"/>
      <c r="T289" s="324"/>
      <c r="U289" s="324"/>
      <c r="V289" s="324"/>
      <c r="W289" s="279"/>
      <c r="X289" s="279"/>
      <c r="Y289" s="83"/>
      <c r="Z289" s="83"/>
      <c r="AA289" s="328"/>
      <c r="AB289" s="328"/>
    </row>
    <row r="290" ht="15" spans="1:28">
      <c r="A290" s="303"/>
      <c r="B290" s="307"/>
      <c r="C290" s="308"/>
      <c r="D290" s="309"/>
      <c r="E290" s="310"/>
      <c r="F290" s="311"/>
      <c r="G290" s="311"/>
      <c r="H290" s="311"/>
      <c r="I290" s="311"/>
      <c r="J290" s="331"/>
      <c r="K290" s="187" t="str">
        <f>IF(A290="c",$M$4*J290,"")</f>
        <v/>
      </c>
      <c r="L290" s="83"/>
      <c r="M290" s="96"/>
      <c r="N290" s="320"/>
      <c r="O290" s="321"/>
      <c r="P290" s="321"/>
      <c r="Q290" s="321"/>
      <c r="R290" s="321"/>
      <c r="S290" s="321"/>
      <c r="T290" s="321"/>
      <c r="U290" s="321"/>
      <c r="V290" s="321"/>
      <c r="W290" s="321"/>
      <c r="X290" s="321"/>
      <c r="Y290" s="83"/>
      <c r="Z290" s="83"/>
      <c r="AA290" s="98"/>
      <c r="AB290" s="98"/>
    </row>
    <row r="291" ht="84" spans="1:28">
      <c r="A291" s="285" t="str">
        <f>VLOOKUP(D291,'[2]2024 - Curva ABC de Insumos'!$E$6:$R$172,14,FALSE())</f>
        <v>C</v>
      </c>
      <c r="B291" s="300" t="s">
        <v>1393</v>
      </c>
      <c r="C291" s="346" t="s">
        <v>4252</v>
      </c>
      <c r="D291" s="335" t="s">
        <v>4253</v>
      </c>
      <c r="E291" s="289" t="s">
        <v>6361</v>
      </c>
      <c r="F291" s="290"/>
      <c r="G291" s="290"/>
      <c r="H291" s="290"/>
      <c r="I291" s="290"/>
      <c r="J291" s="322">
        <f>SMALL(E292:I292,1)</f>
        <v>7663.0848</v>
      </c>
      <c r="K291" s="330"/>
      <c r="L291" s="187" t="e">
        <f>VLOOKUP(B291,[3]CPUs!D:L,9,FALSE())</f>
        <v>#N/A</v>
      </c>
      <c r="M291" s="96" t="e">
        <f>IF(J291=L291,"OK","DIF")</f>
        <v>#N/A</v>
      </c>
      <c r="N291" s="326" t="s">
        <v>6244</v>
      </c>
      <c r="O291" s="324"/>
      <c r="P291" s="279"/>
      <c r="Q291" s="279"/>
      <c r="R291" s="324"/>
      <c r="S291" s="324"/>
      <c r="T291" s="324"/>
      <c r="U291" s="324"/>
      <c r="V291" s="324"/>
      <c r="W291" s="279"/>
      <c r="X291" s="279"/>
      <c r="Y291" s="83"/>
      <c r="Z291" s="83"/>
      <c r="AA291" s="328"/>
      <c r="AB291" s="328"/>
    </row>
    <row r="292" ht="15" spans="1:28">
      <c r="A292" s="285"/>
      <c r="B292" s="291"/>
      <c r="C292" s="292"/>
      <c r="D292" s="293" t="s">
        <v>6236</v>
      </c>
      <c r="E292" s="294">
        <f>6808*1.1256</f>
        <v>7663.0848</v>
      </c>
      <c r="F292" s="295"/>
      <c r="G292" s="295"/>
      <c r="H292" s="295"/>
      <c r="I292" s="295"/>
      <c r="J292" s="325"/>
      <c r="K292" s="187" t="str">
        <f>IF(A292="c",$M$4*J292,"")</f>
        <v/>
      </c>
      <c r="L292" s="83"/>
      <c r="M292" s="96"/>
      <c r="N292" s="326"/>
      <c r="O292" s="324"/>
      <c r="P292" s="279"/>
      <c r="Q292" s="279"/>
      <c r="R292" s="324"/>
      <c r="S292" s="324"/>
      <c r="T292" s="324"/>
      <c r="U292" s="324"/>
      <c r="V292" s="324"/>
      <c r="W292" s="279"/>
      <c r="X292" s="279"/>
      <c r="Y292" s="83"/>
      <c r="Z292" s="83"/>
      <c r="AA292" s="328"/>
      <c r="AB292" s="328"/>
    </row>
    <row r="293" ht="15" spans="1:28">
      <c r="A293" s="285"/>
      <c r="B293" s="291"/>
      <c r="C293" s="292"/>
      <c r="D293" s="293" t="s">
        <v>6237</v>
      </c>
      <c r="E293" s="296" t="s">
        <v>6250</v>
      </c>
      <c r="F293" s="296"/>
      <c r="G293" s="296"/>
      <c r="H293" s="302"/>
      <c r="I293" s="302"/>
      <c r="J293" s="325"/>
      <c r="K293" s="187" t="str">
        <f>IF(A293="c",$M$4*J293,"")</f>
        <v/>
      </c>
      <c r="L293" s="83"/>
      <c r="M293" s="96"/>
      <c r="N293" s="326"/>
      <c r="O293" s="324"/>
      <c r="P293" s="279"/>
      <c r="Q293" s="279"/>
      <c r="R293" s="324"/>
      <c r="S293" s="324"/>
      <c r="T293" s="324"/>
      <c r="U293" s="279"/>
      <c r="V293" s="279"/>
      <c r="W293" s="279"/>
      <c r="X293" s="279"/>
      <c r="Y293" s="83"/>
      <c r="Z293" s="83"/>
      <c r="AA293" s="328"/>
      <c r="AB293" s="328"/>
    </row>
    <row r="294" ht="15" customHeight="1" spans="1:28">
      <c r="A294" s="285"/>
      <c r="B294" s="291"/>
      <c r="C294" s="292"/>
      <c r="D294" s="293" t="s">
        <v>6251</v>
      </c>
      <c r="E294" s="304" t="s">
        <v>6363</v>
      </c>
      <c r="F294" s="304"/>
      <c r="G294" s="304"/>
      <c r="H294" s="304"/>
      <c r="I294" s="304"/>
      <c r="J294" s="304"/>
      <c r="K294" s="187" t="str">
        <f>IF(A294="c",$M$4*J294,"")</f>
        <v/>
      </c>
      <c r="L294" s="83"/>
      <c r="M294" s="96"/>
      <c r="N294" s="326"/>
      <c r="O294" s="324"/>
      <c r="P294" s="279"/>
      <c r="Q294" s="279"/>
      <c r="R294" s="324"/>
      <c r="S294" s="324"/>
      <c r="T294" s="324"/>
      <c r="U294" s="324"/>
      <c r="V294" s="324"/>
      <c r="W294" s="279"/>
      <c r="X294" s="279"/>
      <c r="Y294" s="83"/>
      <c r="Z294" s="83"/>
      <c r="AA294" s="328"/>
      <c r="AB294" s="328"/>
    </row>
    <row r="295" ht="15" spans="1:28">
      <c r="A295" s="285"/>
      <c r="B295" s="307"/>
      <c r="C295" s="308"/>
      <c r="D295" s="309"/>
      <c r="E295" s="310"/>
      <c r="F295" s="311"/>
      <c r="G295" s="311"/>
      <c r="H295" s="311"/>
      <c r="I295" s="311"/>
      <c r="J295" s="331"/>
      <c r="K295" s="187" t="str">
        <f>IF(A295="c",$M$4*J295,"")</f>
        <v/>
      </c>
      <c r="L295" s="83"/>
      <c r="M295" s="96"/>
      <c r="N295" s="320"/>
      <c r="O295" s="321"/>
      <c r="P295" s="321"/>
      <c r="Q295" s="321"/>
      <c r="R295" s="321"/>
      <c r="S295" s="321"/>
      <c r="T295" s="321"/>
      <c r="U295" s="321"/>
      <c r="V295" s="321"/>
      <c r="W295" s="321"/>
      <c r="X295" s="321"/>
      <c r="Y295" s="83"/>
      <c r="Z295" s="83"/>
      <c r="AA295" s="98"/>
      <c r="AB295" s="98"/>
    </row>
    <row r="296" ht="84" spans="1:28">
      <c r="A296" s="285" t="str">
        <f>VLOOKUP(D296,'[2]2024 - Curva ABC de Insumos'!$E$6:$R$172,14,FALSE())</f>
        <v>C</v>
      </c>
      <c r="B296" s="300" t="s">
        <v>1397</v>
      </c>
      <c r="C296" s="346" t="s">
        <v>4254</v>
      </c>
      <c r="D296" s="335" t="s">
        <v>4255</v>
      </c>
      <c r="E296" s="289" t="s">
        <v>6361</v>
      </c>
      <c r="F296" s="290"/>
      <c r="G296" s="290"/>
      <c r="H296" s="290"/>
      <c r="I296" s="290"/>
      <c r="J296" s="322">
        <f>SMALL(E297:I297,1)</f>
        <v>7775.6448</v>
      </c>
      <c r="K296" s="330"/>
      <c r="L296" s="187" t="e">
        <f>VLOOKUP(B296,[3]CPUs!D:L,9,FALSE())</f>
        <v>#N/A</v>
      </c>
      <c r="M296" s="96" t="e">
        <f>IF(J296=L296,"OK","DIF")</f>
        <v>#N/A</v>
      </c>
      <c r="N296" s="326" t="s">
        <v>6244</v>
      </c>
      <c r="O296" s="324"/>
      <c r="P296" s="279"/>
      <c r="Q296" s="279"/>
      <c r="R296" s="324"/>
      <c r="S296" s="324"/>
      <c r="T296" s="324"/>
      <c r="U296" s="324"/>
      <c r="V296" s="324"/>
      <c r="W296" s="279"/>
      <c r="X296" s="279"/>
      <c r="Y296" s="83"/>
      <c r="Z296" s="83"/>
      <c r="AA296" s="328"/>
      <c r="AB296" s="328"/>
    </row>
    <row r="297" ht="15" spans="1:28">
      <c r="A297" s="285"/>
      <c r="B297" s="291"/>
      <c r="C297" s="292"/>
      <c r="D297" s="293" t="s">
        <v>6236</v>
      </c>
      <c r="E297" s="294">
        <f>6908*1.1256</f>
        <v>7775.6448</v>
      </c>
      <c r="F297" s="295"/>
      <c r="G297" s="295"/>
      <c r="H297" s="295"/>
      <c r="I297" s="295"/>
      <c r="J297" s="325"/>
      <c r="K297" s="187" t="str">
        <f>IF(A297="c",$M$4*J297,"")</f>
        <v/>
      </c>
      <c r="L297" s="83"/>
      <c r="M297" s="96"/>
      <c r="N297" s="326"/>
      <c r="O297" s="324"/>
      <c r="P297" s="279"/>
      <c r="Q297" s="279"/>
      <c r="R297" s="324"/>
      <c r="S297" s="324"/>
      <c r="T297" s="324"/>
      <c r="U297" s="324"/>
      <c r="V297" s="324"/>
      <c r="W297" s="279"/>
      <c r="X297" s="279"/>
      <c r="Y297" s="83"/>
      <c r="Z297" s="83"/>
      <c r="AA297" s="328"/>
      <c r="AB297" s="328"/>
    </row>
    <row r="298" ht="15" spans="1:28">
      <c r="A298" s="285"/>
      <c r="B298" s="291"/>
      <c r="C298" s="292"/>
      <c r="D298" s="293" t="s">
        <v>6237</v>
      </c>
      <c r="E298" s="296" t="s">
        <v>6250</v>
      </c>
      <c r="F298" s="296"/>
      <c r="G298" s="296"/>
      <c r="H298" s="302"/>
      <c r="I298" s="302"/>
      <c r="J298" s="325"/>
      <c r="K298" s="187" t="str">
        <f>IF(A298="c",$M$4*J298,"")</f>
        <v/>
      </c>
      <c r="L298" s="83"/>
      <c r="M298" s="96"/>
      <c r="N298" s="326"/>
      <c r="O298" s="324"/>
      <c r="P298" s="279"/>
      <c r="Q298" s="279"/>
      <c r="R298" s="324"/>
      <c r="S298" s="324"/>
      <c r="T298" s="324"/>
      <c r="U298" s="279"/>
      <c r="V298" s="279"/>
      <c r="W298" s="279"/>
      <c r="X298" s="279"/>
      <c r="Y298" s="83"/>
      <c r="Z298" s="83"/>
      <c r="AA298" s="328"/>
      <c r="AB298" s="328"/>
    </row>
    <row r="299" ht="15" customHeight="1" spans="1:28">
      <c r="A299" s="285"/>
      <c r="B299" s="291"/>
      <c r="C299" s="292"/>
      <c r="D299" s="293" t="s">
        <v>6251</v>
      </c>
      <c r="E299" s="304" t="s">
        <v>6363</v>
      </c>
      <c r="F299" s="304"/>
      <c r="G299" s="304"/>
      <c r="H299" s="304"/>
      <c r="I299" s="304"/>
      <c r="J299" s="304"/>
      <c r="K299" s="187" t="str">
        <f>IF(A299="c",$M$4*J299,"")</f>
        <v/>
      </c>
      <c r="L299" s="83"/>
      <c r="M299" s="96"/>
      <c r="N299" s="326"/>
      <c r="O299" s="324"/>
      <c r="P299" s="279"/>
      <c r="Q299" s="279"/>
      <c r="R299" s="324"/>
      <c r="S299" s="324"/>
      <c r="T299" s="324"/>
      <c r="U299" s="324"/>
      <c r="V299" s="324"/>
      <c r="W299" s="279"/>
      <c r="X299" s="279"/>
      <c r="Y299" s="83"/>
      <c r="Z299" s="83"/>
      <c r="AA299" s="328"/>
      <c r="AB299" s="328"/>
    </row>
    <row r="300" ht="15" spans="1:28">
      <c r="A300" s="285"/>
      <c r="B300" s="307"/>
      <c r="C300" s="308"/>
      <c r="D300" s="309"/>
      <c r="E300" s="310"/>
      <c r="F300" s="311"/>
      <c r="G300" s="311"/>
      <c r="H300" s="311"/>
      <c r="I300" s="311"/>
      <c r="J300" s="331"/>
      <c r="K300" s="187" t="str">
        <f>IF(A300="c",$M$4*J300,"")</f>
        <v/>
      </c>
      <c r="L300" s="83"/>
      <c r="M300" s="96"/>
      <c r="N300" s="320"/>
      <c r="O300" s="321"/>
      <c r="P300" s="321"/>
      <c r="Q300" s="321"/>
      <c r="R300" s="321"/>
      <c r="S300" s="321"/>
      <c r="T300" s="321"/>
      <c r="U300" s="321"/>
      <c r="V300" s="321"/>
      <c r="W300" s="321"/>
      <c r="X300" s="321"/>
      <c r="Y300" s="83"/>
      <c r="Z300" s="83"/>
      <c r="AA300" s="98"/>
      <c r="AB300" s="98"/>
    </row>
    <row r="301" ht="84" spans="1:28">
      <c r="A301" s="285" t="str">
        <f>VLOOKUP(D301,'[2]2024 - Curva ABC de Insumos'!$E$6:$R$172,14,FALSE())</f>
        <v>B</v>
      </c>
      <c r="B301" s="300" t="s">
        <v>1401</v>
      </c>
      <c r="C301" s="346" t="s">
        <v>4256</v>
      </c>
      <c r="D301" s="335" t="s">
        <v>4257</v>
      </c>
      <c r="E301" s="289" t="s">
        <v>6361</v>
      </c>
      <c r="F301" s="290"/>
      <c r="G301" s="290"/>
      <c r="H301" s="290"/>
      <c r="I301" s="290"/>
      <c r="J301" s="322">
        <f>SMALL(E302:I302,1)</f>
        <v>18190.8216</v>
      </c>
      <c r="K301" s="330" t="str">
        <f>IF(A301="c",$M$4*J301,"")</f>
        <v/>
      </c>
      <c r="L301" s="187" t="e">
        <f>VLOOKUP(B301,[3]CPUs!D:L,9,FALSE())</f>
        <v>#N/A</v>
      </c>
      <c r="M301" s="96" t="e">
        <f>IF(J301=L301,"OK","DIF")</f>
        <v>#N/A</v>
      </c>
      <c r="N301" s="326" t="s">
        <v>6244</v>
      </c>
      <c r="O301" s="324"/>
      <c r="P301" s="279"/>
      <c r="Q301" s="279"/>
      <c r="R301" s="324"/>
      <c r="S301" s="324"/>
      <c r="T301" s="324"/>
      <c r="U301" s="324"/>
      <c r="V301" s="324"/>
      <c r="W301" s="279"/>
      <c r="X301" s="279"/>
      <c r="Y301" s="83"/>
      <c r="Z301" s="83"/>
      <c r="AA301" s="328"/>
      <c r="AB301" s="328"/>
    </row>
    <row r="302" ht="15" spans="1:28">
      <c r="A302" s="285"/>
      <c r="B302" s="291"/>
      <c r="C302" s="292"/>
      <c r="D302" s="293" t="s">
        <v>6236</v>
      </c>
      <c r="E302" s="294">
        <f>16161*1.1256</f>
        <v>18190.8216</v>
      </c>
      <c r="F302" s="295"/>
      <c r="G302" s="295"/>
      <c r="H302" s="295"/>
      <c r="I302" s="295"/>
      <c r="J302" s="325"/>
      <c r="K302" s="187" t="str">
        <f>IF(A302="c",$M$4*J302,"")</f>
        <v/>
      </c>
      <c r="L302" s="83"/>
      <c r="M302" s="96"/>
      <c r="N302" s="326"/>
      <c r="O302" s="324"/>
      <c r="P302" s="279"/>
      <c r="Q302" s="279"/>
      <c r="R302" s="324"/>
      <c r="S302" s="324"/>
      <c r="T302" s="324"/>
      <c r="U302" s="324"/>
      <c r="V302" s="324"/>
      <c r="W302" s="279"/>
      <c r="X302" s="279"/>
      <c r="Y302" s="83"/>
      <c r="Z302" s="83"/>
      <c r="AA302" s="328"/>
      <c r="AB302" s="328"/>
    </row>
    <row r="303" ht="15" spans="1:28">
      <c r="A303" s="285"/>
      <c r="B303" s="291"/>
      <c r="C303" s="292"/>
      <c r="D303" s="293" t="s">
        <v>6237</v>
      </c>
      <c r="E303" s="296" t="s">
        <v>6250</v>
      </c>
      <c r="F303" s="296"/>
      <c r="G303" s="296"/>
      <c r="H303" s="302"/>
      <c r="I303" s="302"/>
      <c r="J303" s="325"/>
      <c r="K303" s="187" t="str">
        <f>IF(A303="c",$M$4*J303,"")</f>
        <v/>
      </c>
      <c r="L303" s="83"/>
      <c r="M303" s="96"/>
      <c r="N303" s="326"/>
      <c r="O303" s="324"/>
      <c r="P303" s="279"/>
      <c r="Q303" s="279"/>
      <c r="R303" s="324"/>
      <c r="S303" s="324"/>
      <c r="T303" s="324"/>
      <c r="U303" s="279"/>
      <c r="V303" s="279"/>
      <c r="W303" s="279"/>
      <c r="X303" s="279"/>
      <c r="Y303" s="83"/>
      <c r="Z303" s="83"/>
      <c r="AA303" s="328"/>
      <c r="AB303" s="328"/>
    </row>
    <row r="304" ht="15" customHeight="1" spans="1:28">
      <c r="A304" s="285"/>
      <c r="B304" s="291"/>
      <c r="C304" s="292"/>
      <c r="D304" s="293" t="s">
        <v>6251</v>
      </c>
      <c r="E304" s="304" t="s">
        <v>6363</v>
      </c>
      <c r="F304" s="304"/>
      <c r="G304" s="304"/>
      <c r="H304" s="304"/>
      <c r="I304" s="304"/>
      <c r="J304" s="304"/>
      <c r="K304" s="187" t="str">
        <f>IF(A304="c",$M$4*J304,"")</f>
        <v/>
      </c>
      <c r="L304" s="83"/>
      <c r="M304" s="96"/>
      <c r="N304" s="326"/>
      <c r="O304" s="324"/>
      <c r="P304" s="279"/>
      <c r="Q304" s="279"/>
      <c r="R304" s="324"/>
      <c r="S304" s="324"/>
      <c r="T304" s="324"/>
      <c r="U304" s="324"/>
      <c r="V304" s="324"/>
      <c r="W304" s="279"/>
      <c r="X304" s="279"/>
      <c r="Y304" s="83"/>
      <c r="Z304" s="83"/>
      <c r="AA304" s="328"/>
      <c r="AB304" s="328"/>
    </row>
    <row r="305" ht="15" spans="1:28">
      <c r="A305" s="285"/>
      <c r="B305" s="307"/>
      <c r="C305" s="308"/>
      <c r="D305" s="309"/>
      <c r="E305" s="310"/>
      <c r="F305" s="311"/>
      <c r="G305" s="311"/>
      <c r="H305" s="311"/>
      <c r="I305" s="311"/>
      <c r="J305" s="331"/>
      <c r="K305" s="187" t="str">
        <f>IF(A305="c",$M$4*J305,"")</f>
        <v/>
      </c>
      <c r="L305" s="83"/>
      <c r="M305" s="96"/>
      <c r="N305" s="320"/>
      <c r="O305" s="321"/>
      <c r="P305" s="321"/>
      <c r="Q305" s="321"/>
      <c r="R305" s="321"/>
      <c r="S305" s="321"/>
      <c r="T305" s="321"/>
      <c r="U305" s="321"/>
      <c r="V305" s="321"/>
      <c r="W305" s="321"/>
      <c r="X305" s="321"/>
      <c r="Y305" s="83"/>
      <c r="Z305" s="83"/>
      <c r="AA305" s="98"/>
      <c r="AB305" s="98"/>
    </row>
    <row r="306" ht="84" spans="1:28">
      <c r="A306" s="285" t="str">
        <f>VLOOKUP(D306,'[2]2024 - Curva ABC de Insumos'!$E$6:$R$172,14,FALSE())</f>
        <v>C</v>
      </c>
      <c r="B306" s="300" t="s">
        <v>1405</v>
      </c>
      <c r="C306" s="346" t="s">
        <v>4258</v>
      </c>
      <c r="D306" s="335" t="s">
        <v>1407</v>
      </c>
      <c r="E306" s="289" t="s">
        <v>6361</v>
      </c>
      <c r="F306" s="290"/>
      <c r="G306" s="290"/>
      <c r="H306" s="290"/>
      <c r="I306" s="290"/>
      <c r="J306" s="322">
        <f>SMALL(E307:I307,1)</f>
        <v>8583.8256</v>
      </c>
      <c r="K306" s="330"/>
      <c r="L306" s="187" t="e">
        <f>VLOOKUP(B306,[3]CPUs!D:L,9,FALSE())</f>
        <v>#N/A</v>
      </c>
      <c r="M306" s="96" t="e">
        <f>IF(J306=L306,"OK","DIF")</f>
        <v>#N/A</v>
      </c>
      <c r="N306" s="326" t="s">
        <v>6244</v>
      </c>
      <c r="O306" s="324"/>
      <c r="P306" s="279"/>
      <c r="Q306" s="279"/>
      <c r="R306" s="324"/>
      <c r="S306" s="324"/>
      <c r="T306" s="324"/>
      <c r="U306" s="324"/>
      <c r="V306" s="324"/>
      <c r="W306" s="279"/>
      <c r="X306" s="279"/>
      <c r="Y306" s="83"/>
      <c r="Z306" s="83"/>
      <c r="AA306" s="328"/>
      <c r="AB306" s="328"/>
    </row>
    <row r="307" ht="15" spans="1:28">
      <c r="A307" s="285"/>
      <c r="B307" s="291"/>
      <c r="C307" s="292"/>
      <c r="D307" s="293" t="s">
        <v>6236</v>
      </c>
      <c r="E307" s="294">
        <f>7626*1.1256</f>
        <v>8583.8256</v>
      </c>
      <c r="F307" s="295"/>
      <c r="G307" s="295"/>
      <c r="H307" s="295"/>
      <c r="I307" s="295"/>
      <c r="J307" s="325"/>
      <c r="K307" s="187" t="str">
        <f>IF(A307="c",$M$4*J307,"")</f>
        <v/>
      </c>
      <c r="L307" s="83"/>
      <c r="M307" s="96"/>
      <c r="N307" s="326"/>
      <c r="O307" s="324"/>
      <c r="P307" s="279"/>
      <c r="Q307" s="279"/>
      <c r="R307" s="324"/>
      <c r="S307" s="324"/>
      <c r="T307" s="324"/>
      <c r="U307" s="324"/>
      <c r="V307" s="324"/>
      <c r="W307" s="279"/>
      <c r="X307" s="279"/>
      <c r="Y307" s="83"/>
      <c r="Z307" s="83"/>
      <c r="AA307" s="328"/>
      <c r="AB307" s="328"/>
    </row>
    <row r="308" ht="15" spans="1:28">
      <c r="A308" s="285"/>
      <c r="B308" s="291"/>
      <c r="C308" s="292"/>
      <c r="D308" s="293" t="s">
        <v>6237</v>
      </c>
      <c r="E308" s="296" t="s">
        <v>6250</v>
      </c>
      <c r="F308" s="296"/>
      <c r="G308" s="296"/>
      <c r="H308" s="302"/>
      <c r="I308" s="302"/>
      <c r="J308" s="325"/>
      <c r="K308" s="187" t="str">
        <f>IF(A308="c",$M$4*J308,"")</f>
        <v/>
      </c>
      <c r="L308" s="83"/>
      <c r="M308" s="96"/>
      <c r="N308" s="326"/>
      <c r="O308" s="324"/>
      <c r="P308" s="279"/>
      <c r="Q308" s="279"/>
      <c r="R308" s="324"/>
      <c r="S308" s="324"/>
      <c r="T308" s="324"/>
      <c r="U308" s="279"/>
      <c r="V308" s="279"/>
      <c r="W308" s="279"/>
      <c r="X308" s="279"/>
      <c r="Y308" s="83"/>
      <c r="Z308" s="83"/>
      <c r="AA308" s="328"/>
      <c r="AB308" s="328"/>
    </row>
    <row r="309" ht="15" customHeight="1" spans="1:28">
      <c r="A309" s="285"/>
      <c r="B309" s="291"/>
      <c r="C309" s="292"/>
      <c r="D309" s="293" t="s">
        <v>6251</v>
      </c>
      <c r="E309" s="304" t="s">
        <v>6363</v>
      </c>
      <c r="F309" s="304"/>
      <c r="G309" s="304"/>
      <c r="H309" s="304"/>
      <c r="I309" s="304"/>
      <c r="J309" s="304"/>
      <c r="K309" s="187" t="str">
        <f>IF(A309="c",$M$4*J309,"")</f>
        <v/>
      </c>
      <c r="L309" s="83"/>
      <c r="M309" s="96"/>
      <c r="N309" s="326"/>
      <c r="O309" s="324"/>
      <c r="P309" s="279"/>
      <c r="Q309" s="279"/>
      <c r="R309" s="324"/>
      <c r="S309" s="324"/>
      <c r="T309" s="324"/>
      <c r="U309" s="324"/>
      <c r="V309" s="324"/>
      <c r="W309" s="279"/>
      <c r="X309" s="279"/>
      <c r="Y309" s="83"/>
      <c r="Z309" s="83"/>
      <c r="AA309" s="328"/>
      <c r="AB309" s="328"/>
    </row>
    <row r="310" ht="15" spans="1:28">
      <c r="A310" s="285"/>
      <c r="B310" s="307"/>
      <c r="C310" s="308"/>
      <c r="D310" s="309"/>
      <c r="E310" s="310"/>
      <c r="F310" s="311"/>
      <c r="G310" s="311"/>
      <c r="H310" s="311"/>
      <c r="I310" s="311"/>
      <c r="J310" s="331"/>
      <c r="K310" s="187" t="str">
        <f>IF(A310="c",$M$4*J310,"")</f>
        <v/>
      </c>
      <c r="L310" s="83"/>
      <c r="M310" s="96"/>
      <c r="N310" s="320"/>
      <c r="O310" s="321"/>
      <c r="P310" s="321"/>
      <c r="Q310" s="321"/>
      <c r="R310" s="321"/>
      <c r="S310" s="321"/>
      <c r="T310" s="321"/>
      <c r="U310" s="321"/>
      <c r="V310" s="321"/>
      <c r="W310" s="321"/>
      <c r="X310" s="321"/>
      <c r="Y310" s="83"/>
      <c r="Z310" s="83"/>
      <c r="AA310" s="98"/>
      <c r="AB310" s="98"/>
    </row>
    <row r="311" spans="1:28">
      <c r="A311" s="285" t="str">
        <f>VLOOKUP(D311,'[2]2024 - Curva ABC de Insumos'!$E$6:$R$172,14,FALSE())</f>
        <v>B</v>
      </c>
      <c r="B311" s="300" t="s">
        <v>1409</v>
      </c>
      <c r="C311" s="305" t="s">
        <v>4259</v>
      </c>
      <c r="D311" s="288" t="s">
        <v>4260</v>
      </c>
      <c r="E311" s="289" t="s">
        <v>6361</v>
      </c>
      <c r="F311" s="290"/>
      <c r="G311" s="290"/>
      <c r="H311" s="290"/>
      <c r="I311" s="290"/>
      <c r="J311" s="322">
        <f>SMALL(E312:I312,1)</f>
        <v>16537.3152</v>
      </c>
      <c r="K311" s="330" t="str">
        <f>IF(A311="c",$M$4*J311,"")</f>
        <v/>
      </c>
      <c r="L311" s="187" t="e">
        <f>VLOOKUP(B311,[3]CPUs!D:L,9,FALSE())</f>
        <v>#N/A</v>
      </c>
      <c r="M311" s="96" t="e">
        <f>IF(J311=L311,"OK","DIF")</f>
        <v>#N/A</v>
      </c>
      <c r="N311" s="326" t="s">
        <v>6244</v>
      </c>
      <c r="O311" s="324"/>
      <c r="P311" s="279"/>
      <c r="Q311" s="279"/>
      <c r="R311" s="324"/>
      <c r="S311" s="324"/>
      <c r="T311" s="324"/>
      <c r="U311" s="324"/>
      <c r="V311" s="324"/>
      <c r="W311" s="279"/>
      <c r="X311" s="279"/>
      <c r="Y311" s="83"/>
      <c r="Z311" s="83"/>
      <c r="AA311" s="328"/>
      <c r="AB311" s="328"/>
    </row>
    <row r="312" ht="15" spans="1:28">
      <c r="A312" s="285"/>
      <c r="B312" s="291"/>
      <c r="C312" s="292"/>
      <c r="D312" s="293" t="s">
        <v>6236</v>
      </c>
      <c r="E312" s="294">
        <f>14692*1.1256</f>
        <v>16537.3152</v>
      </c>
      <c r="F312" s="295"/>
      <c r="G312" s="295"/>
      <c r="H312" s="295"/>
      <c r="I312" s="295"/>
      <c r="J312" s="325"/>
      <c r="K312" s="187" t="str">
        <f>IF(A312="c",$M$4*J312,"")</f>
        <v/>
      </c>
      <c r="L312" s="83"/>
      <c r="M312" s="96"/>
      <c r="N312" s="326"/>
      <c r="O312" s="324"/>
      <c r="P312" s="279"/>
      <c r="Q312" s="279"/>
      <c r="R312" s="324"/>
      <c r="S312" s="324"/>
      <c r="T312" s="324"/>
      <c r="U312" s="324"/>
      <c r="V312" s="324"/>
      <c r="W312" s="279"/>
      <c r="X312" s="279"/>
      <c r="Y312" s="83"/>
      <c r="Z312" s="83"/>
      <c r="AA312" s="328"/>
      <c r="AB312" s="328"/>
    </row>
    <row r="313" ht="15" spans="1:28">
      <c r="A313" s="285"/>
      <c r="B313" s="291"/>
      <c r="C313" s="292"/>
      <c r="D313" s="293" t="s">
        <v>6237</v>
      </c>
      <c r="E313" s="296" t="s">
        <v>6250</v>
      </c>
      <c r="F313" s="296"/>
      <c r="G313" s="296"/>
      <c r="H313" s="302"/>
      <c r="I313" s="302"/>
      <c r="J313" s="325"/>
      <c r="K313" s="187" t="str">
        <f>IF(A313="c",$M$4*J313,"")</f>
        <v/>
      </c>
      <c r="L313" s="83"/>
      <c r="M313" s="96"/>
      <c r="N313" s="326"/>
      <c r="O313" s="324"/>
      <c r="P313" s="279"/>
      <c r="Q313" s="279"/>
      <c r="R313" s="324"/>
      <c r="S313" s="324"/>
      <c r="T313" s="324"/>
      <c r="U313" s="279"/>
      <c r="V313" s="279"/>
      <c r="W313" s="279"/>
      <c r="X313" s="279"/>
      <c r="Y313" s="83"/>
      <c r="Z313" s="83"/>
      <c r="AA313" s="328"/>
      <c r="AB313" s="328"/>
    </row>
    <row r="314" ht="15" customHeight="1" spans="1:28">
      <c r="A314" s="285"/>
      <c r="B314" s="291"/>
      <c r="C314" s="292"/>
      <c r="D314" s="293" t="s">
        <v>6251</v>
      </c>
      <c r="E314" s="304" t="s">
        <v>6363</v>
      </c>
      <c r="F314" s="304"/>
      <c r="G314" s="304"/>
      <c r="H314" s="304"/>
      <c r="I314" s="304"/>
      <c r="J314" s="304"/>
      <c r="K314" s="187" t="str">
        <f>IF(A314="c",$M$4*J314,"")</f>
        <v/>
      </c>
      <c r="L314" s="83"/>
      <c r="M314" s="96"/>
      <c r="N314" s="326"/>
      <c r="O314" s="324"/>
      <c r="P314" s="279"/>
      <c r="Q314" s="279"/>
      <c r="R314" s="324"/>
      <c r="S314" s="324"/>
      <c r="T314" s="324"/>
      <c r="U314" s="324"/>
      <c r="V314" s="324"/>
      <c r="W314" s="279"/>
      <c r="X314" s="279"/>
      <c r="Y314" s="83"/>
      <c r="Z314" s="83"/>
      <c r="AA314" s="328"/>
      <c r="AB314" s="328"/>
    </row>
    <row r="315" ht="15" spans="1:28">
      <c r="A315" s="285"/>
      <c r="B315" s="307"/>
      <c r="C315" s="308"/>
      <c r="D315" s="309"/>
      <c r="E315" s="310"/>
      <c r="F315" s="311"/>
      <c r="G315" s="311"/>
      <c r="H315" s="311"/>
      <c r="I315" s="311"/>
      <c r="J315" s="331"/>
      <c r="K315" s="187" t="str">
        <f>IF(A315="c",$M$4*J315,"")</f>
        <v/>
      </c>
      <c r="L315" s="83"/>
      <c r="M315" s="96"/>
      <c r="N315" s="320"/>
      <c r="O315" s="321"/>
      <c r="P315" s="321"/>
      <c r="Q315" s="321"/>
      <c r="R315" s="321"/>
      <c r="S315" s="321"/>
      <c r="T315" s="321"/>
      <c r="U315" s="321"/>
      <c r="V315" s="321"/>
      <c r="W315" s="321"/>
      <c r="X315" s="321"/>
      <c r="Y315" s="83"/>
      <c r="Z315" s="83"/>
      <c r="AA315" s="98"/>
      <c r="AB315" s="98"/>
    </row>
    <row r="316" spans="1:28">
      <c r="A316" s="285" t="str">
        <f>VLOOKUP(D316,'[2]2024 - Curva ABC de Insumos'!$E$6:$R$172,14,FALSE())</f>
        <v>B</v>
      </c>
      <c r="B316" s="300" t="s">
        <v>1413</v>
      </c>
      <c r="C316" s="305" t="s">
        <v>4261</v>
      </c>
      <c r="D316" s="288" t="s">
        <v>4262</v>
      </c>
      <c r="E316" s="289" t="s">
        <v>6361</v>
      </c>
      <c r="F316" s="290"/>
      <c r="G316" s="290"/>
      <c r="H316" s="290"/>
      <c r="I316" s="290"/>
      <c r="J316" s="322">
        <f>SMALL(E317:I317,1)</f>
        <v>16537.3152</v>
      </c>
      <c r="K316" s="330" t="str">
        <f>IF(A316="c",$M$4*J316,"")</f>
        <v/>
      </c>
      <c r="L316" s="187" t="e">
        <f>VLOOKUP(B316,[3]CPUs!D:L,9,FALSE())</f>
        <v>#N/A</v>
      </c>
      <c r="M316" s="96" t="e">
        <f>IF(J316=L316,"OK","DIF")</f>
        <v>#N/A</v>
      </c>
      <c r="N316" s="326" t="s">
        <v>6244</v>
      </c>
      <c r="O316" s="324"/>
      <c r="P316" s="279"/>
      <c r="Q316" s="279"/>
      <c r="R316" s="324"/>
      <c r="S316" s="324"/>
      <c r="T316" s="324"/>
      <c r="U316" s="324"/>
      <c r="V316" s="324"/>
      <c r="W316" s="279"/>
      <c r="X316" s="279"/>
      <c r="Y316" s="83"/>
      <c r="Z316" s="83"/>
      <c r="AA316" s="328"/>
      <c r="AB316" s="328"/>
    </row>
    <row r="317" ht="15" spans="1:28">
      <c r="A317" s="285"/>
      <c r="B317" s="291"/>
      <c r="C317" s="292"/>
      <c r="D317" s="293" t="s">
        <v>6236</v>
      </c>
      <c r="E317" s="294">
        <f>14692*1.1256</f>
        <v>16537.3152</v>
      </c>
      <c r="F317" s="295"/>
      <c r="G317" s="295"/>
      <c r="H317" s="295"/>
      <c r="I317" s="295"/>
      <c r="J317" s="325"/>
      <c r="K317" s="187" t="str">
        <f>IF(A317="c",$M$4*J317,"")</f>
        <v/>
      </c>
      <c r="L317" s="83"/>
      <c r="M317" s="96"/>
      <c r="N317" s="326"/>
      <c r="O317" s="324"/>
      <c r="P317" s="279"/>
      <c r="Q317" s="279"/>
      <c r="R317" s="324"/>
      <c r="S317" s="324"/>
      <c r="T317" s="324"/>
      <c r="U317" s="324"/>
      <c r="V317" s="324"/>
      <c r="W317" s="279"/>
      <c r="X317" s="279"/>
      <c r="Y317" s="83"/>
      <c r="Z317" s="83"/>
      <c r="AA317" s="328"/>
      <c r="AB317" s="328"/>
    </row>
    <row r="318" ht="15" spans="1:28">
      <c r="A318" s="285"/>
      <c r="B318" s="291"/>
      <c r="C318" s="292"/>
      <c r="D318" s="293" t="s">
        <v>6237</v>
      </c>
      <c r="E318" s="296" t="s">
        <v>6250</v>
      </c>
      <c r="F318" s="296"/>
      <c r="G318" s="296"/>
      <c r="H318" s="302"/>
      <c r="I318" s="302"/>
      <c r="J318" s="325"/>
      <c r="K318" s="187" t="str">
        <f>IF(A318="c",$M$4*J318,"")</f>
        <v/>
      </c>
      <c r="L318" s="83"/>
      <c r="M318" s="96"/>
      <c r="N318" s="326"/>
      <c r="O318" s="324"/>
      <c r="P318" s="279"/>
      <c r="Q318" s="279"/>
      <c r="R318" s="324"/>
      <c r="S318" s="324"/>
      <c r="T318" s="324"/>
      <c r="U318" s="279"/>
      <c r="V318" s="279"/>
      <c r="W318" s="279"/>
      <c r="X318" s="279"/>
      <c r="Y318" s="83"/>
      <c r="Z318" s="83"/>
      <c r="AA318" s="328"/>
      <c r="AB318" s="328"/>
    </row>
    <row r="319" ht="15" customHeight="1" spans="1:28">
      <c r="A319" s="285"/>
      <c r="B319" s="291"/>
      <c r="C319" s="292"/>
      <c r="D319" s="293" t="s">
        <v>6251</v>
      </c>
      <c r="E319" s="304" t="s">
        <v>6363</v>
      </c>
      <c r="F319" s="304"/>
      <c r="G319" s="304"/>
      <c r="H319" s="304"/>
      <c r="I319" s="304"/>
      <c r="J319" s="304"/>
      <c r="K319" s="187" t="str">
        <f>IF(A319="c",$M$4*J319,"")</f>
        <v/>
      </c>
      <c r="L319" s="83"/>
      <c r="M319" s="96"/>
      <c r="N319" s="326"/>
      <c r="O319" s="324"/>
      <c r="P319" s="279"/>
      <c r="Q319" s="279"/>
      <c r="R319" s="324"/>
      <c r="S319" s="324"/>
      <c r="T319" s="324"/>
      <c r="U319" s="324"/>
      <c r="V319" s="324"/>
      <c r="W319" s="279"/>
      <c r="X319" s="279"/>
      <c r="Y319" s="83"/>
      <c r="Z319" s="83"/>
      <c r="AA319" s="328"/>
      <c r="AB319" s="328"/>
    </row>
    <row r="320" ht="15" spans="1:28">
      <c r="A320" s="285"/>
      <c r="B320" s="307"/>
      <c r="C320" s="308"/>
      <c r="D320" s="309"/>
      <c r="E320" s="310"/>
      <c r="F320" s="311"/>
      <c r="G320" s="311"/>
      <c r="H320" s="311"/>
      <c r="I320" s="311"/>
      <c r="J320" s="331"/>
      <c r="K320" s="187" t="str">
        <f>IF(A320="c",$M$4*J320,"")</f>
        <v/>
      </c>
      <c r="L320" s="83"/>
      <c r="M320" s="96"/>
      <c r="N320" s="320"/>
      <c r="O320" s="321"/>
      <c r="P320" s="321"/>
      <c r="Q320" s="321"/>
      <c r="R320" s="321"/>
      <c r="S320" s="321"/>
      <c r="T320" s="321"/>
      <c r="U320" s="321"/>
      <c r="V320" s="321"/>
      <c r="W320" s="321"/>
      <c r="X320" s="321"/>
      <c r="Y320" s="83"/>
      <c r="Z320" s="83"/>
      <c r="AA320" s="98"/>
      <c r="AB320" s="98"/>
    </row>
    <row r="321" ht="22.35" customHeight="1" spans="1:28">
      <c r="A321" s="303" t="str">
        <f>VLOOKUP(D321,'[2]2024 - Curva ABC de Insumos'!$E$6:$R$172,14,FALSE())</f>
        <v>B</v>
      </c>
      <c r="B321" s="351" t="s">
        <v>1416</v>
      </c>
      <c r="C321" s="352" t="s">
        <v>6364</v>
      </c>
      <c r="D321" s="353" t="s">
        <v>6185</v>
      </c>
      <c r="E321" s="354" t="s">
        <v>6365</v>
      </c>
      <c r="F321" s="354"/>
      <c r="G321" s="354"/>
      <c r="H321" s="354"/>
      <c r="I321" s="354"/>
      <c r="J321" s="354"/>
      <c r="K321" s="187"/>
      <c r="L321" s="187" t="e">
        <f>VLOOKUP(B321,[3]CPUs!D:L,9,FALSE())</f>
        <v>#N/A</v>
      </c>
      <c r="M321" s="96" t="e">
        <f>IF(J321=L321,"OK","DIF")</f>
        <v>#N/A</v>
      </c>
      <c r="N321" s="326" t="s">
        <v>6344</v>
      </c>
      <c r="O321" s="324"/>
      <c r="P321" s="279"/>
      <c r="Q321" s="279"/>
      <c r="R321" s="324"/>
      <c r="S321" s="324"/>
      <c r="T321" s="324"/>
      <c r="U321" s="324"/>
      <c r="V321" s="324"/>
      <c r="W321" s="279"/>
      <c r="X321" s="279"/>
      <c r="Y321" s="83"/>
      <c r="Z321" s="83"/>
      <c r="AA321" s="328"/>
      <c r="AB321" s="328"/>
    </row>
    <row r="322" ht="15" spans="1:28">
      <c r="A322" s="303"/>
      <c r="B322" s="355"/>
      <c r="C322" s="356"/>
      <c r="D322" s="357" t="s">
        <v>6236</v>
      </c>
      <c r="E322" s="358"/>
      <c r="F322" s="359"/>
      <c r="G322" s="359"/>
      <c r="H322" s="359"/>
      <c r="I322" s="359"/>
      <c r="J322" s="363"/>
      <c r="K322" s="187" t="str">
        <f>IF(A322="c",$M$4*J322,"")</f>
        <v/>
      </c>
      <c r="L322" s="83"/>
      <c r="M322" s="96"/>
      <c r="N322" s="326"/>
      <c r="O322" s="324"/>
      <c r="P322" s="279"/>
      <c r="Q322" s="279"/>
      <c r="R322" s="324"/>
      <c r="S322" s="324"/>
      <c r="T322" s="324"/>
      <c r="U322" s="324"/>
      <c r="V322" s="324"/>
      <c r="W322" s="279"/>
      <c r="X322" s="279"/>
      <c r="Y322" s="83"/>
      <c r="Z322" s="83"/>
      <c r="AA322" s="328"/>
      <c r="AB322" s="328"/>
    </row>
    <row r="323" ht="15" spans="1:28">
      <c r="A323" s="303"/>
      <c r="B323" s="355"/>
      <c r="C323" s="356"/>
      <c r="D323" s="357" t="s">
        <v>6237</v>
      </c>
      <c r="E323" s="360"/>
      <c r="F323" s="360"/>
      <c r="G323" s="361"/>
      <c r="H323" s="362"/>
      <c r="I323" s="362"/>
      <c r="J323" s="363"/>
      <c r="K323" s="187" t="str">
        <f>IF(A323="c",$M$4*J323,"")</f>
        <v/>
      </c>
      <c r="L323" s="83"/>
      <c r="M323" s="96"/>
      <c r="N323" s="326"/>
      <c r="O323" s="324"/>
      <c r="P323" s="279"/>
      <c r="Q323" s="279"/>
      <c r="R323" s="324"/>
      <c r="S323" s="324"/>
      <c r="T323" s="324"/>
      <c r="U323" s="279"/>
      <c r="V323" s="279"/>
      <c r="W323" s="279"/>
      <c r="X323" s="279"/>
      <c r="Y323" s="83"/>
      <c r="Z323" s="83"/>
      <c r="AA323" s="328"/>
      <c r="AB323" s="328"/>
    </row>
    <row r="324" ht="15" spans="1:28">
      <c r="A324" s="303"/>
      <c r="B324" s="307"/>
      <c r="C324" s="308"/>
      <c r="D324" s="309"/>
      <c r="E324" s="310"/>
      <c r="F324" s="311"/>
      <c r="G324" s="311"/>
      <c r="H324" s="311"/>
      <c r="I324" s="311"/>
      <c r="J324" s="331"/>
      <c r="K324" s="187" t="str">
        <f>IF(A324="c",$M$4*J324,"")</f>
        <v/>
      </c>
      <c r="L324" s="83"/>
      <c r="M324" s="96"/>
      <c r="N324" s="320"/>
      <c r="O324" s="321"/>
      <c r="P324" s="321"/>
      <c r="Q324" s="321"/>
      <c r="R324" s="321"/>
      <c r="S324" s="321"/>
      <c r="T324" s="321"/>
      <c r="U324" s="321"/>
      <c r="V324" s="321"/>
      <c r="W324" s="321"/>
      <c r="X324" s="321"/>
      <c r="Y324" s="83"/>
      <c r="Z324" s="83"/>
      <c r="AA324" s="98"/>
      <c r="AB324" s="98"/>
    </row>
    <row r="325" ht="24" spans="1:28">
      <c r="A325" s="285"/>
      <c r="B325" s="300"/>
      <c r="C325" s="332" t="s">
        <v>6366</v>
      </c>
      <c r="D325" s="333" t="s">
        <v>6284</v>
      </c>
      <c r="E325" s="289"/>
      <c r="F325" s="290"/>
      <c r="G325" s="290"/>
      <c r="H325" s="290"/>
      <c r="I325" s="290"/>
      <c r="J325" s="322"/>
      <c r="K325" s="187" t="str">
        <f>IF(A325="c",$M$4*J325,"")</f>
        <v/>
      </c>
      <c r="L325" s="187"/>
      <c r="M325" s="96"/>
      <c r="N325" s="326"/>
      <c r="O325" s="324"/>
      <c r="P325" s="279"/>
      <c r="Q325" s="279"/>
      <c r="R325" s="324"/>
      <c r="S325" s="324"/>
      <c r="T325" s="324"/>
      <c r="U325" s="324"/>
      <c r="V325" s="324"/>
      <c r="W325" s="279"/>
      <c r="X325" s="279"/>
      <c r="Y325" s="83"/>
      <c r="Z325" s="83"/>
      <c r="AA325" s="328"/>
      <c r="AB325" s="328"/>
    </row>
    <row r="326" ht="15" spans="1:28">
      <c r="A326" s="285"/>
      <c r="B326" s="307"/>
      <c r="C326" s="308"/>
      <c r="D326" s="309"/>
      <c r="E326" s="310"/>
      <c r="F326" s="311"/>
      <c r="G326" s="311"/>
      <c r="H326" s="311"/>
      <c r="I326" s="311"/>
      <c r="J326" s="331"/>
      <c r="K326" s="187" t="str">
        <f>IF(A326="c",$M$4*J326,"")</f>
        <v/>
      </c>
      <c r="L326" s="83"/>
      <c r="M326" s="96"/>
      <c r="N326" s="320"/>
      <c r="O326" s="321"/>
      <c r="P326" s="321"/>
      <c r="Q326" s="321"/>
      <c r="R326" s="321"/>
      <c r="S326" s="321"/>
      <c r="T326" s="321"/>
      <c r="U326" s="321"/>
      <c r="V326" s="321"/>
      <c r="W326" s="321"/>
      <c r="X326" s="321"/>
      <c r="Y326" s="83"/>
      <c r="Z326" s="83"/>
      <c r="AA326" s="98"/>
      <c r="AB326" s="98"/>
    </row>
    <row r="327" ht="60" spans="1:28">
      <c r="A327" s="303" t="str">
        <f>VLOOKUP(D327,'[2]2024 - Curva ABC de Insumos'!$E$6:$R$172,14,FALSE())</f>
        <v>A</v>
      </c>
      <c r="B327" s="300" t="s">
        <v>1420</v>
      </c>
      <c r="C327" s="346" t="s">
        <v>4264</v>
      </c>
      <c r="D327" s="335" t="s">
        <v>4265</v>
      </c>
      <c r="E327" s="289" t="s">
        <v>6361</v>
      </c>
      <c r="F327" s="290"/>
      <c r="G327" s="290"/>
      <c r="H327" s="290"/>
      <c r="I327" s="290"/>
      <c r="J327" s="322">
        <f>SMALL(E328:I328,1)</f>
        <v>563976.252</v>
      </c>
      <c r="K327" s="187" t="str">
        <f>IF(A327="c",$M$4*J327,"")</f>
        <v/>
      </c>
      <c r="L327" s="187" t="e">
        <f>VLOOKUP(B327,[3]CPUs!D:L,9,FALSE())</f>
        <v>#N/A</v>
      </c>
      <c r="M327" s="96" t="e">
        <f>IF(J327=L327,"OK","DIF")</f>
        <v>#N/A</v>
      </c>
      <c r="N327" s="326" t="s">
        <v>6244</v>
      </c>
      <c r="O327" s="324"/>
      <c r="P327" s="279"/>
      <c r="Q327" s="279"/>
      <c r="R327" s="324"/>
      <c r="S327" s="324"/>
      <c r="T327" s="324"/>
      <c r="U327" s="324"/>
      <c r="V327" s="324"/>
      <c r="W327" s="279"/>
      <c r="X327" s="279"/>
      <c r="Y327" s="83"/>
      <c r="Z327" s="83"/>
      <c r="AA327" s="328"/>
      <c r="AB327" s="328"/>
    </row>
    <row r="328" ht="15" spans="1:28">
      <c r="A328" s="303"/>
      <c r="B328" s="291"/>
      <c r="C328" s="292"/>
      <c r="D328" s="293" t="s">
        <v>6236</v>
      </c>
      <c r="E328" s="294">
        <f>501045*1.1256</f>
        <v>563976.252</v>
      </c>
      <c r="F328" s="295"/>
      <c r="G328" s="295"/>
      <c r="H328" s="295"/>
      <c r="I328" s="295"/>
      <c r="J328" s="325"/>
      <c r="K328" s="187" t="str">
        <f>IF(A328="c",$M$4*J328,"")</f>
        <v/>
      </c>
      <c r="L328" s="83"/>
      <c r="M328" s="96"/>
      <c r="N328" s="326"/>
      <c r="O328" s="324"/>
      <c r="P328" s="279"/>
      <c r="Q328" s="279"/>
      <c r="R328" s="324"/>
      <c r="S328" s="324"/>
      <c r="T328" s="324"/>
      <c r="U328" s="324"/>
      <c r="V328" s="324"/>
      <c r="W328" s="279"/>
      <c r="X328" s="279"/>
      <c r="Y328" s="83"/>
      <c r="Z328" s="83"/>
      <c r="AA328" s="328"/>
      <c r="AB328" s="328"/>
    </row>
    <row r="329" ht="15" spans="1:28">
      <c r="A329" s="303"/>
      <c r="B329" s="291"/>
      <c r="C329" s="292"/>
      <c r="D329" s="293" t="s">
        <v>6237</v>
      </c>
      <c r="E329" s="296" t="s">
        <v>6250</v>
      </c>
      <c r="F329" s="296"/>
      <c r="G329" s="296"/>
      <c r="H329" s="302"/>
      <c r="I329" s="302"/>
      <c r="J329" s="325"/>
      <c r="K329" s="187" t="str">
        <f>IF(A329="c",$M$4*J329,"")</f>
        <v/>
      </c>
      <c r="L329" s="83"/>
      <c r="M329" s="96"/>
      <c r="N329" s="326"/>
      <c r="O329" s="324"/>
      <c r="P329" s="279"/>
      <c r="Q329" s="279"/>
      <c r="R329" s="324"/>
      <c r="S329" s="324"/>
      <c r="T329" s="324"/>
      <c r="U329" s="279"/>
      <c r="V329" s="279"/>
      <c r="W329" s="279"/>
      <c r="X329" s="279"/>
      <c r="Y329" s="83"/>
      <c r="Z329" s="83"/>
      <c r="AA329" s="328"/>
      <c r="AB329" s="328"/>
    </row>
    <row r="330" ht="15" customHeight="1" spans="1:28">
      <c r="A330" s="303"/>
      <c r="B330" s="291"/>
      <c r="C330" s="292"/>
      <c r="D330" s="293" t="s">
        <v>6251</v>
      </c>
      <c r="E330" s="304" t="s">
        <v>6363</v>
      </c>
      <c r="F330" s="304"/>
      <c r="G330" s="304"/>
      <c r="H330" s="304"/>
      <c r="I330" s="304"/>
      <c r="J330" s="304"/>
      <c r="K330" s="187" t="str">
        <f>IF(A330="c",$M$4*J330,"")</f>
        <v/>
      </c>
      <c r="L330" s="83"/>
      <c r="M330" s="96"/>
      <c r="N330" s="326"/>
      <c r="O330" s="324"/>
      <c r="P330" s="279"/>
      <c r="Q330" s="279"/>
      <c r="R330" s="324"/>
      <c r="S330" s="324"/>
      <c r="T330" s="324"/>
      <c r="U330" s="324"/>
      <c r="V330" s="324"/>
      <c r="W330" s="279"/>
      <c r="X330" s="279"/>
      <c r="Y330" s="83"/>
      <c r="Z330" s="83"/>
      <c r="AA330" s="328"/>
      <c r="AB330" s="328"/>
    </row>
    <row r="331" ht="15" spans="1:28">
      <c r="A331" s="303"/>
      <c r="B331" s="307"/>
      <c r="C331" s="308"/>
      <c r="D331" s="309"/>
      <c r="E331" s="310"/>
      <c r="F331" s="311"/>
      <c r="G331" s="311"/>
      <c r="H331" s="311"/>
      <c r="I331" s="311"/>
      <c r="J331" s="331"/>
      <c r="K331" s="187" t="str">
        <f>IF(A331="c",$M$4*J331,"")</f>
        <v/>
      </c>
      <c r="L331" s="83"/>
      <c r="M331" s="96"/>
      <c r="N331" s="320"/>
      <c r="O331" s="321"/>
      <c r="P331" s="321"/>
      <c r="Q331" s="321"/>
      <c r="R331" s="321"/>
      <c r="S331" s="321"/>
      <c r="T331" s="321"/>
      <c r="U331" s="321"/>
      <c r="V331" s="321"/>
      <c r="W331" s="321"/>
      <c r="X331" s="321"/>
      <c r="Y331" s="83"/>
      <c r="Z331" s="83"/>
      <c r="AA331" s="98"/>
      <c r="AB331" s="98"/>
    </row>
    <row r="332" ht="60" spans="1:28">
      <c r="A332" s="303" t="str">
        <f>VLOOKUP(D332,'[2]2024 - Curva ABC de Insumos'!$E$6:$R$172,14,FALSE())</f>
        <v>A</v>
      </c>
      <c r="B332" s="300" t="s">
        <v>1427</v>
      </c>
      <c r="C332" s="346" t="s">
        <v>4268</v>
      </c>
      <c r="D332" s="335" t="s">
        <v>4269</v>
      </c>
      <c r="E332" s="289" t="s">
        <v>6367</v>
      </c>
      <c r="F332" s="290" t="s">
        <v>6361</v>
      </c>
      <c r="G332" s="290"/>
      <c r="H332" s="290"/>
      <c r="I332" s="290"/>
      <c r="J332" s="322">
        <f>SMALL(E333:I333,1)</f>
        <v>83783.21</v>
      </c>
      <c r="K332" s="187" t="str">
        <f>IF(A332="c",$M$4*J332,"")</f>
        <v/>
      </c>
      <c r="L332" s="187" t="e">
        <f>VLOOKUP(B332,[3]CPUs!D:L,9,FALSE())</f>
        <v>#N/A</v>
      </c>
      <c r="M332" s="96" t="e">
        <f>IF(J332=L332,"OK","DIF")</f>
        <v>#N/A</v>
      </c>
      <c r="N332" s="326" t="s">
        <v>6344</v>
      </c>
      <c r="O332" s="324"/>
      <c r="P332" s="279"/>
      <c r="Q332" s="279"/>
      <c r="R332" s="324"/>
      <c r="S332" s="324"/>
      <c r="T332" s="324"/>
      <c r="U332" s="324"/>
      <c r="V332" s="324"/>
      <c r="W332" s="279"/>
      <c r="X332" s="279"/>
      <c r="Y332" s="83"/>
      <c r="Z332" s="83"/>
      <c r="AA332" s="328"/>
      <c r="AB332" s="328"/>
    </row>
    <row r="333" ht="15" spans="1:28">
      <c r="A333" s="303"/>
      <c r="B333" s="291"/>
      <c r="C333" s="292"/>
      <c r="D333" s="293" t="s">
        <v>6236</v>
      </c>
      <c r="E333" s="294">
        <v>83783.21</v>
      </c>
      <c r="F333" s="295">
        <f>92375*1.1256</f>
        <v>103977.3</v>
      </c>
      <c r="G333" s="295"/>
      <c r="H333" s="295"/>
      <c r="I333" s="295"/>
      <c r="J333" s="325"/>
      <c r="K333" s="187" t="str">
        <f>IF(A333="c",$M$4*J333,"")</f>
        <v/>
      </c>
      <c r="L333" s="83"/>
      <c r="M333" s="96"/>
      <c r="N333" s="326"/>
      <c r="O333" s="324"/>
      <c r="P333" s="279"/>
      <c r="Q333" s="279"/>
      <c r="R333" s="324"/>
      <c r="S333" s="324"/>
      <c r="T333" s="324"/>
      <c r="U333" s="324"/>
      <c r="V333" s="324"/>
      <c r="W333" s="279"/>
      <c r="X333" s="279"/>
      <c r="Y333" s="83"/>
      <c r="Z333" s="83"/>
      <c r="AA333" s="328"/>
      <c r="AB333" s="328"/>
    </row>
    <row r="334" ht="28.5" spans="1:28">
      <c r="A334" s="303"/>
      <c r="B334" s="291"/>
      <c r="C334" s="292"/>
      <c r="D334" s="293" t="s">
        <v>6237</v>
      </c>
      <c r="E334" s="296" t="s">
        <v>6250</v>
      </c>
      <c r="F334" s="296" t="s">
        <v>6250</v>
      </c>
      <c r="G334" s="296"/>
      <c r="H334" s="302"/>
      <c r="I334" s="302"/>
      <c r="J334" s="325"/>
      <c r="K334" s="187" t="str">
        <f>IF(A334="c",$M$4*J334,"")</f>
        <v/>
      </c>
      <c r="L334" s="83"/>
      <c r="M334" s="96"/>
      <c r="N334" s="326"/>
      <c r="O334" s="324"/>
      <c r="P334" s="279"/>
      <c r="Q334" s="279"/>
      <c r="R334" s="324"/>
      <c r="S334" s="324"/>
      <c r="T334" s="324"/>
      <c r="U334" s="279"/>
      <c r="V334" s="279"/>
      <c r="W334" s="279"/>
      <c r="X334" s="279"/>
      <c r="Y334" s="83"/>
      <c r="Z334" s="83"/>
      <c r="AA334" s="328"/>
      <c r="AB334" s="328"/>
    </row>
    <row r="335" ht="102.95" customHeight="1" spans="1:28">
      <c r="A335" s="303"/>
      <c r="B335" s="291"/>
      <c r="C335" s="292"/>
      <c r="D335" s="293" t="s">
        <v>6251</v>
      </c>
      <c r="E335" s="304" t="s">
        <v>6368</v>
      </c>
      <c r="F335" s="304"/>
      <c r="G335" s="304"/>
      <c r="H335" s="304"/>
      <c r="I335" s="304"/>
      <c r="J335" s="304"/>
      <c r="K335" s="187" t="str">
        <f>IF(A335="c",$M$4*J335,"")</f>
        <v/>
      </c>
      <c r="L335" s="83"/>
      <c r="M335" s="96"/>
      <c r="N335" s="326"/>
      <c r="O335" s="324"/>
      <c r="P335" s="279"/>
      <c r="Q335" s="279"/>
      <c r="R335" s="324"/>
      <c r="S335" s="324"/>
      <c r="T335" s="324"/>
      <c r="U335" s="324"/>
      <c r="V335" s="324"/>
      <c r="W335" s="279"/>
      <c r="X335" s="279"/>
      <c r="Y335" s="83"/>
      <c r="Z335" s="83"/>
      <c r="AA335" s="328"/>
      <c r="AB335" s="328"/>
    </row>
    <row r="336" ht="15" spans="1:28">
      <c r="A336" s="303"/>
      <c r="B336" s="307"/>
      <c r="C336" s="308"/>
      <c r="D336" s="309"/>
      <c r="E336" s="310"/>
      <c r="F336" s="311"/>
      <c r="G336" s="311"/>
      <c r="H336" s="311"/>
      <c r="I336" s="311"/>
      <c r="J336" s="331"/>
      <c r="K336" s="187" t="str">
        <f>IF(A336="c",$M$4*J336,"")</f>
        <v/>
      </c>
      <c r="L336" s="83"/>
      <c r="M336" s="96"/>
      <c r="N336" s="320"/>
      <c r="O336" s="321"/>
      <c r="P336" s="321"/>
      <c r="Q336" s="321"/>
      <c r="R336" s="321"/>
      <c r="S336" s="321"/>
      <c r="T336" s="321"/>
      <c r="U336" s="321"/>
      <c r="V336" s="321"/>
      <c r="W336" s="321"/>
      <c r="X336" s="321"/>
      <c r="Y336" s="83"/>
      <c r="Z336" s="83"/>
      <c r="AA336" s="98"/>
      <c r="AB336" s="98"/>
    </row>
    <row r="337" ht="60" spans="1:28">
      <c r="A337" s="303" t="str">
        <f>VLOOKUP(D337,'[2]2024 - Curva ABC de Insumos'!$E$6:$R$172,14,FALSE())</f>
        <v>A</v>
      </c>
      <c r="B337" s="300" t="s">
        <v>1431</v>
      </c>
      <c r="C337" s="346" t="s">
        <v>4270</v>
      </c>
      <c r="D337" s="335" t="s">
        <v>4271</v>
      </c>
      <c r="E337" s="289" t="s">
        <v>6367</v>
      </c>
      <c r="F337" s="290" t="s">
        <v>6361</v>
      </c>
      <c r="G337" s="290" t="s">
        <v>6369</v>
      </c>
      <c r="H337" s="290"/>
      <c r="I337" s="290"/>
      <c r="J337" s="322">
        <f>SMALL(E338:I338,1)</f>
        <v>968388.69</v>
      </c>
      <c r="K337" s="187" t="str">
        <f>IF(A337="c",$M$4*J337,"")</f>
        <v/>
      </c>
      <c r="L337" s="187" t="e">
        <f>VLOOKUP(B337,[3]CPUs!D:L,9,FALSE())</f>
        <v>#N/A</v>
      </c>
      <c r="M337" s="96" t="e">
        <f>IF(J337=L337,"OK","DIF")</f>
        <v>#N/A</v>
      </c>
      <c r="N337" s="326" t="s">
        <v>6244</v>
      </c>
      <c r="O337" s="324"/>
      <c r="P337" s="279"/>
      <c r="Q337" s="279"/>
      <c r="R337" s="324"/>
      <c r="S337" s="324"/>
      <c r="T337" s="324"/>
      <c r="U337" s="324"/>
      <c r="V337" s="324"/>
      <c r="W337" s="279"/>
      <c r="X337" s="279"/>
      <c r="Y337" s="83"/>
      <c r="Z337" s="83"/>
      <c r="AA337" s="328"/>
      <c r="AB337" s="328"/>
    </row>
    <row r="338" ht="15" spans="1:28">
      <c r="A338" s="303"/>
      <c r="B338" s="291"/>
      <c r="C338" s="292"/>
      <c r="D338" s="293" t="s">
        <v>6236</v>
      </c>
      <c r="E338" s="294">
        <v>968388.69</v>
      </c>
      <c r="F338" s="295">
        <f>1114398*1.1256</f>
        <v>1254366.3888</v>
      </c>
      <c r="G338" s="295">
        <f>976241.48*1.0439</f>
        <v>1019098.480972</v>
      </c>
      <c r="H338" s="295"/>
      <c r="I338" s="295"/>
      <c r="J338" s="325"/>
      <c r="K338" s="187" t="str">
        <f>IF(A338="c",$M$4*J338,"")</f>
        <v/>
      </c>
      <c r="L338" s="83"/>
      <c r="M338" s="96"/>
      <c r="N338" s="326"/>
      <c r="O338" s="324"/>
      <c r="P338" s="279"/>
      <c r="Q338" s="279"/>
      <c r="R338" s="324"/>
      <c r="S338" s="324"/>
      <c r="T338" s="324"/>
      <c r="U338" s="324"/>
      <c r="V338" s="324"/>
      <c r="W338" s="279"/>
      <c r="X338" s="279"/>
      <c r="Y338" s="83"/>
      <c r="Z338" s="83"/>
      <c r="AA338" s="328"/>
      <c r="AB338" s="328"/>
    </row>
    <row r="339" ht="28.5" spans="1:28">
      <c r="A339" s="303"/>
      <c r="B339" s="291"/>
      <c r="C339" s="292"/>
      <c r="D339" s="293" t="s">
        <v>6237</v>
      </c>
      <c r="E339" s="296" t="s">
        <v>6250</v>
      </c>
      <c r="F339" s="296" t="s">
        <v>6250</v>
      </c>
      <c r="G339" s="296" t="s">
        <v>6250</v>
      </c>
      <c r="H339" s="302"/>
      <c r="I339" s="302"/>
      <c r="J339" s="325"/>
      <c r="K339" s="187" t="str">
        <f>IF(A339="c",$M$4*J339,"")</f>
        <v/>
      </c>
      <c r="L339" s="83"/>
      <c r="M339" s="96"/>
      <c r="N339" s="326"/>
      <c r="O339" s="324"/>
      <c r="P339" s="279"/>
      <c r="Q339" s="279"/>
      <c r="R339" s="324"/>
      <c r="S339" s="324"/>
      <c r="T339" s="324"/>
      <c r="U339" s="279"/>
      <c r="V339" s="279"/>
      <c r="W339" s="279"/>
      <c r="X339" s="279"/>
      <c r="Y339" s="83"/>
      <c r="Z339" s="83"/>
      <c r="AA339" s="328"/>
      <c r="AB339" s="328"/>
    </row>
    <row r="340" ht="15" spans="1:28">
      <c r="A340" s="303"/>
      <c r="B340" s="307"/>
      <c r="C340" s="308"/>
      <c r="D340" s="309"/>
      <c r="E340" s="310"/>
      <c r="F340" s="311"/>
      <c r="G340" s="311"/>
      <c r="H340" s="311"/>
      <c r="I340" s="311"/>
      <c r="J340" s="331"/>
      <c r="K340" s="187" t="str">
        <f>IF(A340="c",$M$4*J340,"")</f>
        <v/>
      </c>
      <c r="L340" s="83"/>
      <c r="M340" s="96"/>
      <c r="N340" s="320"/>
      <c r="O340" s="321"/>
      <c r="P340" s="321"/>
      <c r="Q340" s="321"/>
      <c r="R340" s="321"/>
      <c r="S340" s="321"/>
      <c r="T340" s="321"/>
      <c r="U340" s="321"/>
      <c r="V340" s="321"/>
      <c r="W340" s="321"/>
      <c r="X340" s="321"/>
      <c r="Y340" s="83"/>
      <c r="Z340" s="83"/>
      <c r="AA340" s="98"/>
      <c r="AB340" s="98"/>
    </row>
    <row r="341" ht="24" spans="1:28">
      <c r="A341" s="303"/>
      <c r="B341" s="300"/>
      <c r="C341" s="332" t="s">
        <v>6370</v>
      </c>
      <c r="D341" s="333" t="s">
        <v>6312</v>
      </c>
      <c r="E341" s="289"/>
      <c r="F341" s="290"/>
      <c r="G341" s="290"/>
      <c r="H341" s="290"/>
      <c r="I341" s="290"/>
      <c r="J341" s="322"/>
      <c r="K341" s="187" t="str">
        <f>IF(A341="c",$M$4*J341,"")</f>
        <v/>
      </c>
      <c r="L341" s="187"/>
      <c r="M341" s="96"/>
      <c r="N341" s="326"/>
      <c r="O341" s="324"/>
      <c r="P341" s="279"/>
      <c r="Q341" s="279"/>
      <c r="R341" s="324"/>
      <c r="S341" s="324"/>
      <c r="T341" s="324"/>
      <c r="U341" s="324"/>
      <c r="V341" s="324"/>
      <c r="W341" s="279"/>
      <c r="X341" s="279"/>
      <c r="Y341" s="83"/>
      <c r="Z341" s="83"/>
      <c r="AA341" s="328"/>
      <c r="AB341" s="328"/>
    </row>
    <row r="342" ht="15" spans="1:28">
      <c r="A342" s="303"/>
      <c r="B342" s="307"/>
      <c r="C342" s="308"/>
      <c r="D342" s="309"/>
      <c r="E342" s="310"/>
      <c r="F342" s="311"/>
      <c r="G342" s="311"/>
      <c r="H342" s="311"/>
      <c r="I342" s="311"/>
      <c r="J342" s="331"/>
      <c r="K342" s="187" t="str">
        <f>IF(A342="c",$M$4*J342,"")</f>
        <v/>
      </c>
      <c r="L342" s="83"/>
      <c r="M342" s="96"/>
      <c r="N342" s="320"/>
      <c r="O342" s="321"/>
      <c r="P342" s="321"/>
      <c r="Q342" s="321"/>
      <c r="R342" s="321"/>
      <c r="S342" s="321"/>
      <c r="T342" s="321"/>
      <c r="U342" s="321"/>
      <c r="V342" s="321"/>
      <c r="W342" s="321"/>
      <c r="X342" s="321"/>
      <c r="Y342" s="83"/>
      <c r="Z342" s="83"/>
      <c r="AA342" s="98"/>
      <c r="AB342" s="98"/>
    </row>
    <row r="343" ht="60" spans="1:28">
      <c r="A343" s="303" t="str">
        <f>VLOOKUP(D343,'[2]2024 - Curva ABC de Insumos'!$E$6:$R$172,14,FALSE())</f>
        <v>A</v>
      </c>
      <c r="B343" s="300" t="s">
        <v>1438</v>
      </c>
      <c r="C343" s="346" t="s">
        <v>4272</v>
      </c>
      <c r="D343" s="335" t="s">
        <v>4273</v>
      </c>
      <c r="E343" s="289" t="s">
        <v>6361</v>
      </c>
      <c r="F343" s="290"/>
      <c r="G343" s="290"/>
      <c r="H343" s="290"/>
      <c r="I343" s="290"/>
      <c r="J343" s="322">
        <f>SMALL(E344:I344,1)</f>
        <v>94978.128</v>
      </c>
      <c r="K343" s="330" t="str">
        <f>IF(A343="c",$M$4*J343,"")</f>
        <v/>
      </c>
      <c r="L343" s="187" t="e">
        <f>VLOOKUP(B343,[3]CPUs!D:L,9,FALSE())</f>
        <v>#N/A</v>
      </c>
      <c r="M343" s="96" t="e">
        <f>IF(J343=L343,"OK","DIF")</f>
        <v>#N/A</v>
      </c>
      <c r="N343" s="326" t="s">
        <v>6244</v>
      </c>
      <c r="O343" s="324"/>
      <c r="P343" s="279"/>
      <c r="Q343" s="279"/>
      <c r="R343" s="324"/>
      <c r="S343" s="324"/>
      <c r="T343" s="324"/>
      <c r="U343" s="324"/>
      <c r="V343" s="324"/>
      <c r="W343" s="279"/>
      <c r="X343" s="279"/>
      <c r="Y343" s="83"/>
      <c r="Z343" s="83"/>
      <c r="AA343" s="328"/>
      <c r="AB343" s="328"/>
    </row>
    <row r="344" ht="15" spans="1:28">
      <c r="A344" s="303"/>
      <c r="B344" s="291"/>
      <c r="C344" s="292"/>
      <c r="D344" s="293" t="s">
        <v>6236</v>
      </c>
      <c r="E344" s="294">
        <f>84380*1.1256</f>
        <v>94978.128</v>
      </c>
      <c r="F344" s="295"/>
      <c r="G344" s="295"/>
      <c r="H344" s="295"/>
      <c r="I344" s="295"/>
      <c r="J344" s="325"/>
      <c r="K344" s="187" t="str">
        <f>IF(A344="c",$M$4*J344,"")</f>
        <v/>
      </c>
      <c r="L344" s="83"/>
      <c r="M344" s="96"/>
      <c r="N344" s="326"/>
      <c r="O344" s="324"/>
      <c r="P344" s="279"/>
      <c r="Q344" s="279"/>
      <c r="R344" s="324"/>
      <c r="S344" s="324"/>
      <c r="T344" s="324"/>
      <c r="U344" s="324"/>
      <c r="V344" s="324"/>
      <c r="W344" s="279"/>
      <c r="X344" s="279"/>
      <c r="Y344" s="83"/>
      <c r="Z344" s="83"/>
      <c r="AA344" s="328"/>
      <c r="AB344" s="328"/>
    </row>
    <row r="345" ht="15" spans="1:28">
      <c r="A345" s="303"/>
      <c r="B345" s="291"/>
      <c r="C345" s="292"/>
      <c r="D345" s="293" t="s">
        <v>6237</v>
      </c>
      <c r="E345" s="296" t="s">
        <v>6250</v>
      </c>
      <c r="F345" s="296"/>
      <c r="G345" s="296"/>
      <c r="H345" s="302"/>
      <c r="I345" s="302"/>
      <c r="J345" s="325"/>
      <c r="K345" s="187" t="str">
        <f>IF(A345="c",$M$4*J345,"")</f>
        <v/>
      </c>
      <c r="L345" s="83"/>
      <c r="M345" s="96"/>
      <c r="N345" s="326"/>
      <c r="O345" s="324"/>
      <c r="P345" s="279"/>
      <c r="Q345" s="279"/>
      <c r="R345" s="324"/>
      <c r="S345" s="324"/>
      <c r="T345" s="324"/>
      <c r="U345" s="279"/>
      <c r="V345" s="279"/>
      <c r="W345" s="279"/>
      <c r="X345" s="279"/>
      <c r="Y345" s="83"/>
      <c r="Z345" s="83"/>
      <c r="AA345" s="328"/>
      <c r="AB345" s="328"/>
    </row>
    <row r="346" ht="102.95" customHeight="1" spans="1:28">
      <c r="A346" s="303"/>
      <c r="B346" s="291"/>
      <c r="C346" s="292"/>
      <c r="D346" s="293" t="s">
        <v>6251</v>
      </c>
      <c r="E346" s="304" t="s">
        <v>6371</v>
      </c>
      <c r="F346" s="304"/>
      <c r="G346" s="304"/>
      <c r="H346" s="304"/>
      <c r="I346" s="304"/>
      <c r="J346" s="304"/>
      <c r="K346" s="187" t="str">
        <f>IF(A346="c",$M$4*J346,"")</f>
        <v/>
      </c>
      <c r="L346" s="83"/>
      <c r="M346" s="96"/>
      <c r="N346" s="326"/>
      <c r="O346" s="324"/>
      <c r="P346" s="279"/>
      <c r="Q346" s="279"/>
      <c r="R346" s="324"/>
      <c r="S346" s="324"/>
      <c r="T346" s="324"/>
      <c r="U346" s="324"/>
      <c r="V346" s="324"/>
      <c r="W346" s="279"/>
      <c r="X346" s="279"/>
      <c r="Y346" s="83"/>
      <c r="Z346" s="83"/>
      <c r="AA346" s="328"/>
      <c r="AB346" s="328"/>
    </row>
    <row r="347" ht="15" spans="1:28">
      <c r="A347" s="303"/>
      <c r="B347" s="307"/>
      <c r="C347" s="308"/>
      <c r="D347" s="309"/>
      <c r="E347" s="310"/>
      <c r="F347" s="311"/>
      <c r="G347" s="311"/>
      <c r="H347" s="311"/>
      <c r="I347" s="311"/>
      <c r="J347" s="331"/>
      <c r="K347" s="187" t="str">
        <f>IF(A347="c",$M$4*J347,"")</f>
        <v/>
      </c>
      <c r="L347" s="83"/>
      <c r="M347" s="96"/>
      <c r="N347" s="320"/>
      <c r="O347" s="321"/>
      <c r="P347" s="321"/>
      <c r="Q347" s="321"/>
      <c r="R347" s="321"/>
      <c r="S347" s="321"/>
      <c r="T347" s="321"/>
      <c r="U347" s="321"/>
      <c r="V347" s="321"/>
      <c r="W347" s="321"/>
      <c r="X347" s="321"/>
      <c r="Y347" s="83"/>
      <c r="Z347" s="83"/>
      <c r="AA347" s="98"/>
      <c r="AB347" s="98"/>
    </row>
    <row r="348" ht="36" spans="1:28">
      <c r="A348" s="285" t="str">
        <f>VLOOKUP(D348,'[2]2024 - Curva ABC de Insumos'!$E$6:$R$172,14,FALSE())</f>
        <v>C</v>
      </c>
      <c r="B348" s="300" t="s">
        <v>1442</v>
      </c>
      <c r="C348" s="346" t="s">
        <v>4274</v>
      </c>
      <c r="D348" s="335" t="s">
        <v>4275</v>
      </c>
      <c r="E348" s="289" t="s">
        <v>6361</v>
      </c>
      <c r="F348" s="290"/>
      <c r="G348" s="290"/>
      <c r="H348" s="290"/>
      <c r="I348" s="290"/>
      <c r="J348" s="322">
        <f>SMALL(E349:I349,1)</f>
        <v>11194.092</v>
      </c>
      <c r="K348" s="330"/>
      <c r="L348" s="187" t="e">
        <f>VLOOKUP(B348,[3]CPUs!D:L,9,FALSE())</f>
        <v>#N/A</v>
      </c>
      <c r="M348" s="96" t="e">
        <f>IF(J348=L348,"OK","DIF")</f>
        <v>#N/A</v>
      </c>
      <c r="N348" s="326" t="s">
        <v>6244</v>
      </c>
      <c r="O348" s="324"/>
      <c r="P348" s="279"/>
      <c r="Q348" s="279"/>
      <c r="R348" s="324"/>
      <c r="S348" s="324"/>
      <c r="T348" s="324"/>
      <c r="U348" s="324"/>
      <c r="V348" s="324"/>
      <c r="W348" s="279"/>
      <c r="X348" s="279"/>
      <c r="Y348" s="83"/>
      <c r="Z348" s="83"/>
      <c r="AA348" s="328"/>
      <c r="AB348" s="328"/>
    </row>
    <row r="349" ht="15" spans="1:28">
      <c r="A349" s="285"/>
      <c r="B349" s="291"/>
      <c r="C349" s="292"/>
      <c r="D349" s="293" t="s">
        <v>6236</v>
      </c>
      <c r="E349" s="294">
        <f>9945*1.1256</f>
        <v>11194.092</v>
      </c>
      <c r="F349" s="295"/>
      <c r="G349" s="295"/>
      <c r="H349" s="295"/>
      <c r="I349" s="295"/>
      <c r="J349" s="325"/>
      <c r="K349" s="187" t="str">
        <f>IF(A349="c",$M$4*J349,"")</f>
        <v/>
      </c>
      <c r="L349" s="83"/>
      <c r="M349" s="96"/>
      <c r="N349" s="326"/>
      <c r="O349" s="324"/>
      <c r="P349" s="279"/>
      <c r="Q349" s="279"/>
      <c r="R349" s="324"/>
      <c r="S349" s="324"/>
      <c r="T349" s="324"/>
      <c r="U349" s="324"/>
      <c r="V349" s="324"/>
      <c r="W349" s="279"/>
      <c r="X349" s="279"/>
      <c r="Y349" s="83"/>
      <c r="Z349" s="83"/>
      <c r="AA349" s="328"/>
      <c r="AB349" s="328"/>
    </row>
    <row r="350" ht="15" spans="1:28">
      <c r="A350" s="285"/>
      <c r="B350" s="291"/>
      <c r="C350" s="292"/>
      <c r="D350" s="293" t="s">
        <v>6237</v>
      </c>
      <c r="E350" s="296" t="s">
        <v>6250</v>
      </c>
      <c r="F350" s="296"/>
      <c r="G350" s="296"/>
      <c r="H350" s="302"/>
      <c r="I350" s="302"/>
      <c r="J350" s="325"/>
      <c r="K350" s="187" t="str">
        <f>IF(A350="c",$M$4*J350,"")</f>
        <v/>
      </c>
      <c r="L350" s="83"/>
      <c r="M350" s="96"/>
      <c r="N350" s="326"/>
      <c r="O350" s="324"/>
      <c r="P350" s="279"/>
      <c r="Q350" s="279"/>
      <c r="R350" s="324"/>
      <c r="S350" s="324"/>
      <c r="T350" s="324"/>
      <c r="U350" s="279"/>
      <c r="V350" s="279"/>
      <c r="W350" s="279"/>
      <c r="X350" s="279"/>
      <c r="Y350" s="83"/>
      <c r="Z350" s="83"/>
      <c r="AA350" s="328"/>
      <c r="AB350" s="328"/>
    </row>
    <row r="351" ht="15" customHeight="1" spans="1:28">
      <c r="A351" s="285"/>
      <c r="B351" s="291"/>
      <c r="C351" s="292"/>
      <c r="D351" s="293" t="s">
        <v>6251</v>
      </c>
      <c r="E351" s="304" t="s">
        <v>6372</v>
      </c>
      <c r="F351" s="304"/>
      <c r="G351" s="304"/>
      <c r="H351" s="304"/>
      <c r="I351" s="304"/>
      <c r="J351" s="304"/>
      <c r="K351" s="187" t="str">
        <f>IF(A351="c",$M$4*J351,"")</f>
        <v/>
      </c>
      <c r="L351" s="83"/>
      <c r="M351" s="96"/>
      <c r="N351" s="326"/>
      <c r="O351" s="324"/>
      <c r="P351" s="279"/>
      <c r="Q351" s="279"/>
      <c r="R351" s="324"/>
      <c r="S351" s="324"/>
      <c r="T351" s="324"/>
      <c r="U351" s="324"/>
      <c r="V351" s="324"/>
      <c r="W351" s="279"/>
      <c r="X351" s="279"/>
      <c r="Y351" s="83"/>
      <c r="Z351" s="83"/>
      <c r="AA351" s="328"/>
      <c r="AB351" s="328"/>
    </row>
    <row r="352" ht="15" spans="1:28">
      <c r="A352" s="285"/>
      <c r="B352" s="307"/>
      <c r="C352" s="308"/>
      <c r="D352" s="309"/>
      <c r="E352" s="310"/>
      <c r="F352" s="311"/>
      <c r="G352" s="311"/>
      <c r="H352" s="311"/>
      <c r="I352" s="311"/>
      <c r="J352" s="331"/>
      <c r="K352" s="187" t="str">
        <f>IF(A352="c",$M$4*J352,"")</f>
        <v/>
      </c>
      <c r="L352" s="83"/>
      <c r="M352" s="96"/>
      <c r="N352" s="320"/>
      <c r="O352" s="321"/>
      <c r="P352" s="321"/>
      <c r="Q352" s="321"/>
      <c r="R352" s="321"/>
      <c r="S352" s="321"/>
      <c r="T352" s="321"/>
      <c r="U352" s="321"/>
      <c r="V352" s="321"/>
      <c r="W352" s="321"/>
      <c r="X352" s="321"/>
      <c r="Y352" s="83"/>
      <c r="Z352" s="83"/>
      <c r="AA352" s="98"/>
      <c r="AB352" s="98"/>
    </row>
    <row r="353" ht="36" spans="1:28">
      <c r="A353" s="285" t="str">
        <f>VLOOKUP(D353,'[2]2024 - Curva ABC de Insumos'!$E$6:$R$172,14,FALSE())</f>
        <v>C</v>
      </c>
      <c r="B353" s="300" t="s">
        <v>1446</v>
      </c>
      <c r="C353" s="346" t="s">
        <v>4276</v>
      </c>
      <c r="D353" s="335" t="s">
        <v>4277</v>
      </c>
      <c r="E353" s="289" t="s">
        <v>6361</v>
      </c>
      <c r="F353" s="290"/>
      <c r="G353" s="290"/>
      <c r="H353" s="290"/>
      <c r="I353" s="290"/>
      <c r="J353" s="322">
        <f>SMALL(E354:I354,1)</f>
        <v>7532.5152</v>
      </c>
      <c r="K353" s="330"/>
      <c r="L353" s="187" t="e">
        <f>VLOOKUP(B353,[3]CPUs!D:L,9,FALSE())</f>
        <v>#N/A</v>
      </c>
      <c r="M353" s="96" t="e">
        <f>IF(J353=L353,"OK","DIF")</f>
        <v>#N/A</v>
      </c>
      <c r="N353" s="326" t="s">
        <v>6244</v>
      </c>
      <c r="O353" s="324"/>
      <c r="P353" s="279"/>
      <c r="Q353" s="279"/>
      <c r="R353" s="324"/>
      <c r="S353" s="324"/>
      <c r="T353" s="324"/>
      <c r="U353" s="324"/>
      <c r="V353" s="324"/>
      <c r="W353" s="279"/>
      <c r="X353" s="279"/>
      <c r="Y353" s="83"/>
      <c r="Z353" s="83"/>
      <c r="AA353" s="328"/>
      <c r="AB353" s="328"/>
    </row>
    <row r="354" ht="15" spans="1:28">
      <c r="A354" s="285"/>
      <c r="B354" s="291"/>
      <c r="C354" s="292"/>
      <c r="D354" s="293" t="s">
        <v>6236</v>
      </c>
      <c r="E354" s="294">
        <f>6692*1.1256</f>
        <v>7532.5152</v>
      </c>
      <c r="F354" s="295"/>
      <c r="G354" s="295"/>
      <c r="H354" s="295"/>
      <c r="I354" s="295"/>
      <c r="J354" s="325"/>
      <c r="K354" s="187" t="str">
        <f>IF(A354="c",$M$4*J354,"")</f>
        <v/>
      </c>
      <c r="L354" s="83"/>
      <c r="M354" s="96"/>
      <c r="N354" s="326"/>
      <c r="O354" s="324"/>
      <c r="P354" s="279"/>
      <c r="Q354" s="279"/>
      <c r="R354" s="324"/>
      <c r="S354" s="324"/>
      <c r="T354" s="324"/>
      <c r="U354" s="324"/>
      <c r="V354" s="324"/>
      <c r="W354" s="279"/>
      <c r="X354" s="279"/>
      <c r="Y354" s="83"/>
      <c r="Z354" s="83"/>
      <c r="AA354" s="328"/>
      <c r="AB354" s="328"/>
    </row>
    <row r="355" ht="15" spans="1:28">
      <c r="A355" s="285"/>
      <c r="B355" s="291"/>
      <c r="C355" s="292"/>
      <c r="D355" s="293" t="s">
        <v>6237</v>
      </c>
      <c r="E355" s="296" t="s">
        <v>6250</v>
      </c>
      <c r="F355" s="296"/>
      <c r="G355" s="296"/>
      <c r="H355" s="302"/>
      <c r="I355" s="302"/>
      <c r="J355" s="325"/>
      <c r="K355" s="187" t="str">
        <f>IF(A355="c",$M$4*J355,"")</f>
        <v/>
      </c>
      <c r="L355" s="83"/>
      <c r="M355" s="96"/>
      <c r="N355" s="326"/>
      <c r="O355" s="324"/>
      <c r="P355" s="279"/>
      <c r="Q355" s="279"/>
      <c r="R355" s="324"/>
      <c r="S355" s="324"/>
      <c r="T355" s="324"/>
      <c r="U355" s="279"/>
      <c r="V355" s="279"/>
      <c r="W355" s="279"/>
      <c r="X355" s="279"/>
      <c r="Y355" s="83"/>
      <c r="Z355" s="83"/>
      <c r="AA355" s="328"/>
      <c r="AB355" s="328"/>
    </row>
    <row r="356" ht="15" customHeight="1" spans="1:28">
      <c r="A356" s="285"/>
      <c r="B356" s="291"/>
      <c r="C356" s="292"/>
      <c r="D356" s="293" t="s">
        <v>6251</v>
      </c>
      <c r="E356" s="304" t="s">
        <v>6372</v>
      </c>
      <c r="F356" s="304"/>
      <c r="G356" s="304"/>
      <c r="H356" s="304"/>
      <c r="I356" s="304"/>
      <c r="J356" s="304"/>
      <c r="K356" s="187" t="str">
        <f>IF(A356="c",$M$4*J356,"")</f>
        <v/>
      </c>
      <c r="L356" s="83"/>
      <c r="M356" s="96"/>
      <c r="N356" s="326"/>
      <c r="O356" s="324"/>
      <c r="P356" s="279"/>
      <c r="Q356" s="279"/>
      <c r="R356" s="324"/>
      <c r="S356" s="324"/>
      <c r="T356" s="324"/>
      <c r="U356" s="324"/>
      <c r="V356" s="324"/>
      <c r="W356" s="279"/>
      <c r="X356" s="279"/>
      <c r="Y356" s="83"/>
      <c r="Z356" s="83"/>
      <c r="AA356" s="328"/>
      <c r="AB356" s="328"/>
    </row>
    <row r="357" ht="15" spans="1:28">
      <c r="A357" s="285"/>
      <c r="B357" s="307"/>
      <c r="C357" s="308"/>
      <c r="D357" s="309"/>
      <c r="E357" s="310"/>
      <c r="F357" s="311"/>
      <c r="G357" s="311"/>
      <c r="H357" s="311"/>
      <c r="I357" s="311"/>
      <c r="J357" s="331"/>
      <c r="K357" s="187" t="str">
        <f>IF(A357="c",$M$4*J357,"")</f>
        <v/>
      </c>
      <c r="L357" s="83"/>
      <c r="M357" s="96"/>
      <c r="N357" s="320"/>
      <c r="O357" s="321"/>
      <c r="P357" s="321"/>
      <c r="Q357" s="321"/>
      <c r="R357" s="321"/>
      <c r="S357" s="321"/>
      <c r="T357" s="321"/>
      <c r="U357" s="321"/>
      <c r="V357" s="321"/>
      <c r="W357" s="321"/>
      <c r="X357" s="321"/>
      <c r="Y357" s="83"/>
      <c r="Z357" s="83"/>
      <c r="AA357" s="98"/>
      <c r="AB357" s="98"/>
    </row>
    <row r="358" ht="36" spans="1:28">
      <c r="A358" s="285" t="str">
        <f>VLOOKUP(D358,'[2]2024 - Curva ABC de Insumos'!$E$6:$R$172,14,FALSE())</f>
        <v>C</v>
      </c>
      <c r="B358" s="300" t="s">
        <v>1450</v>
      </c>
      <c r="C358" s="346" t="s">
        <v>4278</v>
      </c>
      <c r="D358" s="335" t="s">
        <v>4279</v>
      </c>
      <c r="E358" s="289" t="s">
        <v>6361</v>
      </c>
      <c r="F358" s="290"/>
      <c r="G358" s="290"/>
      <c r="H358" s="290"/>
      <c r="I358" s="290"/>
      <c r="J358" s="322">
        <f>SMALL(E359:I359,1)</f>
        <v>7513.38</v>
      </c>
      <c r="K358" s="330"/>
      <c r="L358" s="187" t="e">
        <f>VLOOKUP(B358,[3]CPUs!D:L,9,FALSE())</f>
        <v>#N/A</v>
      </c>
      <c r="M358" s="96" t="e">
        <f>IF(J358=L358,"OK","DIF")</f>
        <v>#N/A</v>
      </c>
      <c r="N358" s="326" t="s">
        <v>6244</v>
      </c>
      <c r="O358" s="324"/>
      <c r="P358" s="279"/>
      <c r="Q358" s="279"/>
      <c r="R358" s="324"/>
      <c r="S358" s="324"/>
      <c r="T358" s="324"/>
      <c r="U358" s="324"/>
      <c r="V358" s="324"/>
      <c r="W358" s="279"/>
      <c r="X358" s="279"/>
      <c r="Y358" s="83"/>
      <c r="Z358" s="83"/>
      <c r="AA358" s="328"/>
      <c r="AB358" s="328"/>
    </row>
    <row r="359" ht="15" spans="1:28">
      <c r="A359" s="285"/>
      <c r="B359" s="291"/>
      <c r="C359" s="292"/>
      <c r="D359" s="293" t="s">
        <v>6236</v>
      </c>
      <c r="E359" s="294">
        <f>6675*1.1256</f>
        <v>7513.38</v>
      </c>
      <c r="F359" s="295"/>
      <c r="G359" s="295"/>
      <c r="H359" s="295"/>
      <c r="I359" s="295"/>
      <c r="J359" s="325"/>
      <c r="K359" s="187" t="str">
        <f>IF(A359="c",$M$4*J359,"")</f>
        <v/>
      </c>
      <c r="L359" s="83"/>
      <c r="M359" s="96"/>
      <c r="N359" s="326"/>
      <c r="O359" s="324"/>
      <c r="P359" s="279"/>
      <c r="Q359" s="279"/>
      <c r="R359" s="324"/>
      <c r="S359" s="324"/>
      <c r="T359" s="324"/>
      <c r="U359" s="324"/>
      <c r="V359" s="324"/>
      <c r="W359" s="279"/>
      <c r="X359" s="279"/>
      <c r="Y359" s="83"/>
      <c r="Z359" s="83"/>
      <c r="AA359" s="328"/>
      <c r="AB359" s="328"/>
    </row>
    <row r="360" ht="15" spans="1:28">
      <c r="A360" s="285"/>
      <c r="B360" s="291"/>
      <c r="C360" s="292"/>
      <c r="D360" s="293" t="s">
        <v>6237</v>
      </c>
      <c r="E360" s="296" t="s">
        <v>6250</v>
      </c>
      <c r="F360" s="296"/>
      <c r="G360" s="296"/>
      <c r="H360" s="302"/>
      <c r="I360" s="302"/>
      <c r="J360" s="325"/>
      <c r="K360" s="187" t="str">
        <f>IF(A360="c",$M$4*J360,"")</f>
        <v/>
      </c>
      <c r="L360" s="83"/>
      <c r="M360" s="96"/>
      <c r="N360" s="326"/>
      <c r="O360" s="324"/>
      <c r="P360" s="279"/>
      <c r="Q360" s="279"/>
      <c r="R360" s="324"/>
      <c r="S360" s="324"/>
      <c r="T360" s="324"/>
      <c r="U360" s="279"/>
      <c r="V360" s="279"/>
      <c r="W360" s="279"/>
      <c r="X360" s="279"/>
      <c r="Y360" s="83"/>
      <c r="Z360" s="83"/>
      <c r="AA360" s="328"/>
      <c r="AB360" s="328"/>
    </row>
    <row r="361" ht="15" customHeight="1" spans="1:28">
      <c r="A361" s="285"/>
      <c r="B361" s="291"/>
      <c r="C361" s="292"/>
      <c r="D361" s="293" t="s">
        <v>6251</v>
      </c>
      <c r="E361" s="304" t="s">
        <v>6372</v>
      </c>
      <c r="F361" s="304"/>
      <c r="G361" s="304"/>
      <c r="H361" s="304"/>
      <c r="I361" s="304"/>
      <c r="J361" s="304"/>
      <c r="K361" s="187" t="str">
        <f>IF(A361="c",$M$4*J361,"")</f>
        <v/>
      </c>
      <c r="L361" s="83"/>
      <c r="M361" s="96"/>
      <c r="N361" s="326"/>
      <c r="O361" s="324"/>
      <c r="P361" s="279"/>
      <c r="Q361" s="279"/>
      <c r="R361" s="324"/>
      <c r="S361" s="324"/>
      <c r="T361" s="324"/>
      <c r="U361" s="324"/>
      <c r="V361" s="324"/>
      <c r="W361" s="279"/>
      <c r="X361" s="279"/>
      <c r="Y361" s="83"/>
      <c r="Z361" s="83"/>
      <c r="AA361" s="328"/>
      <c r="AB361" s="328"/>
    </row>
    <row r="362" ht="15" spans="1:28">
      <c r="A362" s="285"/>
      <c r="B362" s="307"/>
      <c r="C362" s="308"/>
      <c r="D362" s="309"/>
      <c r="E362" s="310"/>
      <c r="F362" s="311"/>
      <c r="G362" s="311"/>
      <c r="H362" s="311"/>
      <c r="I362" s="311"/>
      <c r="J362" s="331"/>
      <c r="K362" s="187" t="str">
        <f>IF(A362="c",$M$4*J362,"")</f>
        <v/>
      </c>
      <c r="L362" s="83"/>
      <c r="M362" s="96"/>
      <c r="N362" s="320"/>
      <c r="O362" s="321"/>
      <c r="P362" s="321"/>
      <c r="Q362" s="321"/>
      <c r="R362" s="321"/>
      <c r="S362" s="321"/>
      <c r="T362" s="321"/>
      <c r="U362" s="321"/>
      <c r="V362" s="321"/>
      <c r="W362" s="321"/>
      <c r="X362" s="321"/>
      <c r="Y362" s="83"/>
      <c r="Z362" s="83"/>
      <c r="AA362" s="98"/>
      <c r="AB362" s="98"/>
    </row>
    <row r="363" ht="36" spans="1:28">
      <c r="A363" s="285" t="str">
        <f>VLOOKUP(D363,'[2]2024 - Curva ABC de Insumos'!$E$6:$R$172,14,FALSE())</f>
        <v>C</v>
      </c>
      <c r="B363" s="300" t="s">
        <v>1454</v>
      </c>
      <c r="C363" s="346" t="s">
        <v>4280</v>
      </c>
      <c r="D363" s="335" t="s">
        <v>4281</v>
      </c>
      <c r="E363" s="289" t="s">
        <v>6361</v>
      </c>
      <c r="F363" s="290"/>
      <c r="G363" s="290"/>
      <c r="H363" s="290"/>
      <c r="I363" s="290"/>
      <c r="J363" s="322">
        <f>SMALL(E364:I364,1)</f>
        <v>10358.8968</v>
      </c>
      <c r="K363" s="330"/>
      <c r="L363" s="187" t="e">
        <f>VLOOKUP(B363,[3]CPUs!D:L,9,FALSE())</f>
        <v>#N/A</v>
      </c>
      <c r="M363" s="96" t="e">
        <f>IF(J363=L363,"OK","DIF")</f>
        <v>#N/A</v>
      </c>
      <c r="N363" s="326" t="s">
        <v>6244</v>
      </c>
      <c r="O363" s="324"/>
      <c r="P363" s="279"/>
      <c r="Q363" s="279"/>
      <c r="R363" s="324"/>
      <c r="S363" s="324"/>
      <c r="T363" s="324"/>
      <c r="U363" s="324"/>
      <c r="V363" s="324"/>
      <c r="W363" s="279"/>
      <c r="X363" s="279"/>
      <c r="Y363" s="83"/>
      <c r="Z363" s="83"/>
      <c r="AA363" s="328"/>
      <c r="AB363" s="328"/>
    </row>
    <row r="364" ht="15" spans="1:28">
      <c r="A364" s="285"/>
      <c r="B364" s="291"/>
      <c r="C364" s="292"/>
      <c r="D364" s="293" t="s">
        <v>6236</v>
      </c>
      <c r="E364" s="294">
        <f>9203*1.1256</f>
        <v>10358.8968</v>
      </c>
      <c r="F364" s="295"/>
      <c r="G364" s="295"/>
      <c r="H364" s="295"/>
      <c r="I364" s="295"/>
      <c r="J364" s="325"/>
      <c r="K364" s="187" t="str">
        <f>IF(A364="c",$M$4*J364,"")</f>
        <v/>
      </c>
      <c r="L364" s="83"/>
      <c r="M364" s="96"/>
      <c r="N364" s="326"/>
      <c r="O364" s="324"/>
      <c r="P364" s="279"/>
      <c r="Q364" s="279"/>
      <c r="R364" s="324"/>
      <c r="S364" s="324"/>
      <c r="T364" s="324"/>
      <c r="U364" s="324"/>
      <c r="V364" s="324"/>
      <c r="W364" s="279"/>
      <c r="X364" s="279"/>
      <c r="Y364" s="83"/>
      <c r="Z364" s="83"/>
      <c r="AA364" s="328"/>
      <c r="AB364" s="328"/>
    </row>
    <row r="365" ht="15" spans="1:28">
      <c r="A365" s="285"/>
      <c r="B365" s="291"/>
      <c r="C365" s="292"/>
      <c r="D365" s="293" t="s">
        <v>6237</v>
      </c>
      <c r="E365" s="296" t="s">
        <v>6250</v>
      </c>
      <c r="F365" s="296"/>
      <c r="G365" s="296"/>
      <c r="H365" s="302"/>
      <c r="I365" s="302"/>
      <c r="J365" s="325"/>
      <c r="K365" s="187" t="str">
        <f>IF(A365="c",$M$4*J365,"")</f>
        <v/>
      </c>
      <c r="L365" s="83"/>
      <c r="M365" s="96"/>
      <c r="N365" s="326"/>
      <c r="O365" s="324"/>
      <c r="P365" s="279"/>
      <c r="Q365" s="279"/>
      <c r="R365" s="324"/>
      <c r="S365" s="324"/>
      <c r="T365" s="324"/>
      <c r="U365" s="279"/>
      <c r="V365" s="279"/>
      <c r="W365" s="279"/>
      <c r="X365" s="279"/>
      <c r="Y365" s="83"/>
      <c r="Z365" s="83"/>
      <c r="AA365" s="328"/>
      <c r="AB365" s="328"/>
    </row>
    <row r="366" ht="15" customHeight="1" spans="1:28">
      <c r="A366" s="285"/>
      <c r="B366" s="291"/>
      <c r="C366" s="292"/>
      <c r="D366" s="293" t="s">
        <v>6251</v>
      </c>
      <c r="E366" s="304" t="s">
        <v>6372</v>
      </c>
      <c r="F366" s="304"/>
      <c r="G366" s="304"/>
      <c r="H366" s="304"/>
      <c r="I366" s="304"/>
      <c r="J366" s="304"/>
      <c r="K366" s="187" t="str">
        <f>IF(A366="c",$M$4*J366,"")</f>
        <v/>
      </c>
      <c r="L366" s="83"/>
      <c r="M366" s="96"/>
      <c r="N366" s="326"/>
      <c r="O366" s="324"/>
      <c r="P366" s="279"/>
      <c r="Q366" s="279"/>
      <c r="R366" s="324"/>
      <c r="S366" s="324"/>
      <c r="T366" s="324"/>
      <c r="U366" s="324"/>
      <c r="V366" s="324"/>
      <c r="W366" s="279"/>
      <c r="X366" s="279"/>
      <c r="Y366" s="83"/>
      <c r="Z366" s="83"/>
      <c r="AA366" s="328"/>
      <c r="AB366" s="328"/>
    </row>
    <row r="367" ht="15" spans="1:28">
      <c r="A367" s="285"/>
      <c r="B367" s="307"/>
      <c r="C367" s="308"/>
      <c r="D367" s="309"/>
      <c r="E367" s="310"/>
      <c r="F367" s="311"/>
      <c r="G367" s="311"/>
      <c r="H367" s="311"/>
      <c r="I367" s="311"/>
      <c r="J367" s="331"/>
      <c r="K367" s="187" t="str">
        <f>IF(A367="c",$M$4*J367,"")</f>
        <v/>
      </c>
      <c r="L367" s="83"/>
      <c r="M367" s="96"/>
      <c r="N367" s="320"/>
      <c r="O367" s="321"/>
      <c r="P367" s="321"/>
      <c r="Q367" s="321"/>
      <c r="R367" s="321"/>
      <c r="S367" s="321"/>
      <c r="T367" s="321"/>
      <c r="U367" s="321"/>
      <c r="V367" s="321"/>
      <c r="W367" s="321"/>
      <c r="X367" s="321"/>
      <c r="Y367" s="83"/>
      <c r="Z367" s="83"/>
      <c r="AA367" s="98"/>
      <c r="AB367" s="98"/>
    </row>
    <row r="368" ht="36" spans="1:28">
      <c r="A368" s="285" t="str">
        <f>VLOOKUP(D368,'[2]2024 - Curva ABC de Insumos'!$E$6:$R$172,14,FALSE())</f>
        <v>C</v>
      </c>
      <c r="B368" s="300" t="s">
        <v>1458</v>
      </c>
      <c r="C368" s="346" t="s">
        <v>4282</v>
      </c>
      <c r="D368" s="335" t="s">
        <v>4283</v>
      </c>
      <c r="E368" s="289" t="s">
        <v>6361</v>
      </c>
      <c r="F368" s="290"/>
      <c r="G368" s="290"/>
      <c r="H368" s="290"/>
      <c r="I368" s="290"/>
      <c r="J368" s="322">
        <f>SMALL(E369:I369,1)</f>
        <v>8840.4624</v>
      </c>
      <c r="K368" s="330"/>
      <c r="L368" s="187" t="e">
        <f>VLOOKUP(B368,[3]CPUs!D:L,9,FALSE())</f>
        <v>#N/A</v>
      </c>
      <c r="M368" s="96" t="e">
        <f>IF(J368=L368,"OK","DIF")</f>
        <v>#N/A</v>
      </c>
      <c r="N368" s="326" t="s">
        <v>6244</v>
      </c>
      <c r="O368" s="324"/>
      <c r="P368" s="279"/>
      <c r="Q368" s="279"/>
      <c r="R368" s="324"/>
      <c r="S368" s="324"/>
      <c r="T368" s="324"/>
      <c r="U368" s="324"/>
      <c r="V368" s="324"/>
      <c r="W368" s="279"/>
      <c r="X368" s="279"/>
      <c r="Y368" s="83"/>
      <c r="Z368" s="83"/>
      <c r="AA368" s="328"/>
      <c r="AB368" s="328"/>
    </row>
    <row r="369" ht="15" spans="1:28">
      <c r="A369" s="285"/>
      <c r="B369" s="291"/>
      <c r="C369" s="292"/>
      <c r="D369" s="293" t="s">
        <v>6236</v>
      </c>
      <c r="E369" s="294">
        <f>7854*1.1256</f>
        <v>8840.4624</v>
      </c>
      <c r="F369" s="295"/>
      <c r="G369" s="295"/>
      <c r="H369" s="295"/>
      <c r="I369" s="295"/>
      <c r="J369" s="325"/>
      <c r="K369" s="187" t="str">
        <f>IF(A369="c",$M$4*J369,"")</f>
        <v/>
      </c>
      <c r="L369" s="83"/>
      <c r="M369" s="96"/>
      <c r="N369" s="326"/>
      <c r="O369" s="324"/>
      <c r="P369" s="279"/>
      <c r="Q369" s="279"/>
      <c r="R369" s="324"/>
      <c r="S369" s="324"/>
      <c r="T369" s="324"/>
      <c r="U369" s="324"/>
      <c r="V369" s="324"/>
      <c r="W369" s="279"/>
      <c r="X369" s="279"/>
      <c r="Y369" s="83"/>
      <c r="Z369" s="83"/>
      <c r="AA369" s="328"/>
      <c r="AB369" s="328"/>
    </row>
    <row r="370" ht="15" spans="1:28">
      <c r="A370" s="285"/>
      <c r="B370" s="291"/>
      <c r="C370" s="292"/>
      <c r="D370" s="293" t="s">
        <v>6237</v>
      </c>
      <c r="E370" s="296" t="s">
        <v>6250</v>
      </c>
      <c r="F370" s="296"/>
      <c r="G370" s="296"/>
      <c r="H370" s="302"/>
      <c r="I370" s="302"/>
      <c r="J370" s="325"/>
      <c r="K370" s="187" t="str">
        <f>IF(A370="c",$M$4*J370,"")</f>
        <v/>
      </c>
      <c r="L370" s="83"/>
      <c r="M370" s="96"/>
      <c r="N370" s="326"/>
      <c r="O370" s="324"/>
      <c r="P370" s="279"/>
      <c r="Q370" s="279"/>
      <c r="R370" s="324"/>
      <c r="S370" s="324"/>
      <c r="T370" s="324"/>
      <c r="U370" s="279"/>
      <c r="V370" s="279"/>
      <c r="W370" s="279"/>
      <c r="X370" s="279"/>
      <c r="Y370" s="83"/>
      <c r="Z370" s="83"/>
      <c r="AA370" s="328"/>
      <c r="AB370" s="328"/>
    </row>
    <row r="371" ht="15" customHeight="1" spans="1:28">
      <c r="A371" s="285"/>
      <c r="B371" s="291"/>
      <c r="C371" s="292"/>
      <c r="D371" s="293" t="s">
        <v>6251</v>
      </c>
      <c r="E371" s="304" t="s">
        <v>6372</v>
      </c>
      <c r="F371" s="304"/>
      <c r="G371" s="304"/>
      <c r="H371" s="304"/>
      <c r="I371" s="304"/>
      <c r="J371" s="304"/>
      <c r="K371" s="187" t="str">
        <f>IF(A371="c",$M$4*J371,"")</f>
        <v/>
      </c>
      <c r="L371" s="83"/>
      <c r="M371" s="96"/>
      <c r="N371" s="326"/>
      <c r="O371" s="324"/>
      <c r="P371" s="279"/>
      <c r="Q371" s="279"/>
      <c r="R371" s="324"/>
      <c r="S371" s="324"/>
      <c r="T371" s="324"/>
      <c r="U371" s="324"/>
      <c r="V371" s="324"/>
      <c r="W371" s="279"/>
      <c r="X371" s="279"/>
      <c r="Y371" s="83"/>
      <c r="Z371" s="83"/>
      <c r="AA371" s="328"/>
      <c r="AB371" s="328"/>
    </row>
    <row r="372" ht="15" spans="1:28">
      <c r="A372" s="285"/>
      <c r="B372" s="307"/>
      <c r="C372" s="308"/>
      <c r="D372" s="309"/>
      <c r="E372" s="310"/>
      <c r="F372" s="311"/>
      <c r="G372" s="311"/>
      <c r="H372" s="311"/>
      <c r="I372" s="311"/>
      <c r="J372" s="331"/>
      <c r="K372" s="187" t="str">
        <f>IF(A372="c",$M$4*J372,"")</f>
        <v/>
      </c>
      <c r="L372" s="83"/>
      <c r="M372" s="96"/>
      <c r="N372" s="320"/>
      <c r="O372" s="321"/>
      <c r="P372" s="321"/>
      <c r="Q372" s="321"/>
      <c r="R372" s="321"/>
      <c r="S372" s="321"/>
      <c r="T372" s="321"/>
      <c r="U372" s="321"/>
      <c r="V372" s="321"/>
      <c r="W372" s="321"/>
      <c r="X372" s="321"/>
      <c r="Y372" s="83"/>
      <c r="Z372" s="83"/>
      <c r="AA372" s="98"/>
      <c r="AB372" s="98"/>
    </row>
    <row r="373" ht="36" spans="1:28">
      <c r="A373" s="285" t="str">
        <f>VLOOKUP(D373,'[2]2024 - Curva ABC de Insumos'!$E$6:$R$172,14,FALSE())</f>
        <v>C</v>
      </c>
      <c r="B373" s="300" t="s">
        <v>1462</v>
      </c>
      <c r="C373" s="346" t="s">
        <v>4284</v>
      </c>
      <c r="D373" s="335" t="s">
        <v>4285</v>
      </c>
      <c r="E373" s="289" t="s">
        <v>6361</v>
      </c>
      <c r="F373" s="290"/>
      <c r="G373" s="290"/>
      <c r="H373" s="290"/>
      <c r="I373" s="290"/>
      <c r="J373" s="322">
        <f>SMALL(E374:I374,1)</f>
        <v>7337.7864</v>
      </c>
      <c r="K373" s="330"/>
      <c r="L373" s="187" t="e">
        <f>VLOOKUP(B373,[3]CPUs!D:L,9,FALSE())</f>
        <v>#N/A</v>
      </c>
      <c r="M373" s="96" t="e">
        <f>IF(J373=L373,"OK","DIF")</f>
        <v>#N/A</v>
      </c>
      <c r="N373" s="326" t="s">
        <v>6244</v>
      </c>
      <c r="O373" s="324"/>
      <c r="P373" s="279"/>
      <c r="Q373" s="279"/>
      <c r="R373" s="324"/>
      <c r="S373" s="324"/>
      <c r="T373" s="324"/>
      <c r="U373" s="324"/>
      <c r="V373" s="324"/>
      <c r="W373" s="279"/>
      <c r="X373" s="279"/>
      <c r="Y373" s="83"/>
      <c r="Z373" s="83"/>
      <c r="AA373" s="328"/>
      <c r="AB373" s="328"/>
    </row>
    <row r="374" ht="15" spans="1:28">
      <c r="A374" s="285"/>
      <c r="B374" s="291"/>
      <c r="C374" s="292"/>
      <c r="D374" s="293" t="s">
        <v>6236</v>
      </c>
      <c r="E374" s="294">
        <f>6519*1.1256</f>
        <v>7337.7864</v>
      </c>
      <c r="F374" s="295"/>
      <c r="G374" s="295"/>
      <c r="H374" s="295"/>
      <c r="I374" s="295"/>
      <c r="J374" s="325"/>
      <c r="K374" s="187" t="str">
        <f>IF(A374="c",$M$4*J374,"")</f>
        <v/>
      </c>
      <c r="L374" s="83"/>
      <c r="M374" s="96"/>
      <c r="N374" s="326"/>
      <c r="O374" s="324"/>
      <c r="P374" s="279"/>
      <c r="Q374" s="279"/>
      <c r="R374" s="324"/>
      <c r="S374" s="324"/>
      <c r="T374" s="324"/>
      <c r="U374" s="324"/>
      <c r="V374" s="324"/>
      <c r="W374" s="279"/>
      <c r="X374" s="279"/>
      <c r="Y374" s="83"/>
      <c r="Z374" s="83"/>
      <c r="AA374" s="328"/>
      <c r="AB374" s="328"/>
    </row>
    <row r="375" ht="15" spans="1:28">
      <c r="A375" s="285"/>
      <c r="B375" s="291"/>
      <c r="C375" s="292"/>
      <c r="D375" s="293" t="s">
        <v>6237</v>
      </c>
      <c r="E375" s="296" t="s">
        <v>6250</v>
      </c>
      <c r="F375" s="296"/>
      <c r="G375" s="296"/>
      <c r="H375" s="302"/>
      <c r="I375" s="302"/>
      <c r="J375" s="325"/>
      <c r="K375" s="187" t="str">
        <f>IF(A375="c",$M$4*J375,"")</f>
        <v/>
      </c>
      <c r="L375" s="83"/>
      <c r="M375" s="96"/>
      <c r="N375" s="326"/>
      <c r="O375" s="324"/>
      <c r="P375" s="279"/>
      <c r="Q375" s="279"/>
      <c r="R375" s="324"/>
      <c r="S375" s="324"/>
      <c r="T375" s="324"/>
      <c r="U375" s="279"/>
      <c r="V375" s="279"/>
      <c r="W375" s="279"/>
      <c r="X375" s="279"/>
      <c r="Y375" s="83"/>
      <c r="Z375" s="83"/>
      <c r="AA375" s="328"/>
      <c r="AB375" s="328"/>
    </row>
    <row r="376" ht="15" customHeight="1" spans="1:28">
      <c r="A376" s="285"/>
      <c r="B376" s="291"/>
      <c r="C376" s="292"/>
      <c r="D376" s="293" t="s">
        <v>6251</v>
      </c>
      <c r="E376" s="304" t="s">
        <v>6372</v>
      </c>
      <c r="F376" s="304"/>
      <c r="G376" s="304"/>
      <c r="H376" s="304"/>
      <c r="I376" s="304"/>
      <c r="J376" s="304"/>
      <c r="K376" s="187" t="str">
        <f>IF(A376="c",$M$4*J376,"")</f>
        <v/>
      </c>
      <c r="L376" s="83"/>
      <c r="M376" s="96"/>
      <c r="N376" s="326"/>
      <c r="O376" s="324"/>
      <c r="P376" s="279"/>
      <c r="Q376" s="279"/>
      <c r="R376" s="324"/>
      <c r="S376" s="324"/>
      <c r="T376" s="324"/>
      <c r="U376" s="324"/>
      <c r="V376" s="324"/>
      <c r="W376" s="279"/>
      <c r="X376" s="279"/>
      <c r="Y376" s="83"/>
      <c r="Z376" s="83"/>
      <c r="AA376" s="328"/>
      <c r="AB376" s="328"/>
    </row>
    <row r="377" ht="15" spans="1:28">
      <c r="A377" s="285"/>
      <c r="B377" s="307"/>
      <c r="C377" s="308"/>
      <c r="D377" s="309"/>
      <c r="E377" s="310"/>
      <c r="F377" s="311"/>
      <c r="G377" s="311"/>
      <c r="H377" s="311"/>
      <c r="I377" s="311"/>
      <c r="J377" s="331"/>
      <c r="K377" s="187" t="str">
        <f>IF(A377="c",$M$4*J377,"")</f>
        <v/>
      </c>
      <c r="L377" s="83"/>
      <c r="M377" s="96"/>
      <c r="N377" s="320"/>
      <c r="O377" s="321"/>
      <c r="P377" s="321"/>
      <c r="Q377" s="321"/>
      <c r="R377" s="321"/>
      <c r="S377" s="321"/>
      <c r="T377" s="321"/>
      <c r="U377" s="321"/>
      <c r="V377" s="321"/>
      <c r="W377" s="321"/>
      <c r="X377" s="321"/>
      <c r="Y377" s="83"/>
      <c r="Z377" s="83"/>
      <c r="AA377" s="98"/>
      <c r="AB377" s="98"/>
    </row>
    <row r="378" ht="24" spans="1:28">
      <c r="A378" s="285" t="str">
        <f>VLOOKUP(D378,'[2]2024 - Curva ABC de Insumos'!$E$6:$R$172,14,FALSE())</f>
        <v>A</v>
      </c>
      <c r="B378" s="300" t="s">
        <v>1488</v>
      </c>
      <c r="C378" s="305" t="s">
        <v>4302</v>
      </c>
      <c r="D378" s="335" t="s">
        <v>1490</v>
      </c>
      <c r="E378" s="289" t="s">
        <v>6367</v>
      </c>
      <c r="F378" s="290" t="s">
        <v>6373</v>
      </c>
      <c r="G378" s="290"/>
      <c r="H378" s="290"/>
      <c r="I378" s="290"/>
      <c r="J378" s="322">
        <f>SMALL(E379:I379,1)</f>
        <v>267355.8</v>
      </c>
      <c r="K378" s="187" t="str">
        <f>IF(A378="c",$M$4*J378,"")</f>
        <v/>
      </c>
      <c r="L378" s="187" t="e">
        <f>VLOOKUP(B378,[3]CPUs!D:L,9,FALSE())</f>
        <v>#N/A</v>
      </c>
      <c r="M378" s="96" t="e">
        <f>IF(J378=L378,"OK","DIF")</f>
        <v>#N/A</v>
      </c>
      <c r="N378" s="326" t="s">
        <v>6244</v>
      </c>
      <c r="O378" s="324"/>
      <c r="P378" s="279"/>
      <c r="Q378" s="279"/>
      <c r="R378" s="324"/>
      <c r="S378" s="324"/>
      <c r="T378" s="324"/>
      <c r="U378" s="324"/>
      <c r="V378" s="324"/>
      <c r="W378" s="279"/>
      <c r="X378" s="279"/>
      <c r="Y378" s="83"/>
      <c r="Z378" s="83"/>
      <c r="AA378" s="328"/>
      <c r="AB378" s="328"/>
    </row>
    <row r="379" ht="15" spans="1:28">
      <c r="A379" s="285"/>
      <c r="B379" s="291"/>
      <c r="C379" s="292"/>
      <c r="D379" s="293" t="s">
        <v>6236</v>
      </c>
      <c r="E379" s="294">
        <v>401019.5</v>
      </c>
      <c r="F379" s="294">
        <v>267355.8</v>
      </c>
      <c r="G379" s="295"/>
      <c r="H379" s="295"/>
      <c r="I379" s="295"/>
      <c r="J379" s="325"/>
      <c r="K379" s="187" t="str">
        <f>IF(A379="c",$M$4*J379,"")</f>
        <v/>
      </c>
      <c r="L379" s="83"/>
      <c r="M379" s="96"/>
      <c r="N379" s="326"/>
      <c r="O379" s="324"/>
      <c r="P379" s="279"/>
      <c r="Q379" s="279"/>
      <c r="R379" s="324"/>
      <c r="S379" s="324"/>
      <c r="T379" s="324"/>
      <c r="U379" s="324"/>
      <c r="V379" s="324"/>
      <c r="W379" s="279"/>
      <c r="X379" s="279"/>
      <c r="Y379" s="83"/>
      <c r="Z379" s="83"/>
      <c r="AA379" s="328"/>
      <c r="AB379" s="328"/>
    </row>
    <row r="380" ht="28.5" spans="1:28">
      <c r="A380" s="285"/>
      <c r="B380" s="291"/>
      <c r="C380" s="292"/>
      <c r="D380" s="293" t="s">
        <v>6237</v>
      </c>
      <c r="E380" s="296" t="s">
        <v>6250</v>
      </c>
      <c r="F380" s="296" t="s">
        <v>6250</v>
      </c>
      <c r="G380" s="296"/>
      <c r="H380" s="302"/>
      <c r="I380" s="302"/>
      <c r="J380" s="325"/>
      <c r="K380" s="187" t="str">
        <f>IF(A380="c",$M$4*J380,"")</f>
        <v/>
      </c>
      <c r="L380" s="83"/>
      <c r="M380" s="96"/>
      <c r="N380" s="326"/>
      <c r="O380" s="324"/>
      <c r="P380" s="279"/>
      <c r="Q380" s="279"/>
      <c r="R380" s="324"/>
      <c r="S380" s="324"/>
      <c r="T380" s="324"/>
      <c r="U380" s="279"/>
      <c r="V380" s="279"/>
      <c r="W380" s="279"/>
      <c r="X380" s="279"/>
      <c r="Y380" s="83"/>
      <c r="Z380" s="83"/>
      <c r="AA380" s="328"/>
      <c r="AB380" s="328"/>
    </row>
    <row r="381" ht="15" customHeight="1" spans="1:28">
      <c r="A381" s="285"/>
      <c r="B381" s="291"/>
      <c r="C381" s="292"/>
      <c r="D381" s="293" t="s">
        <v>6251</v>
      </c>
      <c r="E381" s="304" t="s">
        <v>6372</v>
      </c>
      <c r="F381" s="304"/>
      <c r="G381" s="304"/>
      <c r="H381" s="304"/>
      <c r="I381" s="304"/>
      <c r="J381" s="304"/>
      <c r="K381" s="187" t="str">
        <f>IF(A381="c",$M$4*J381,"")</f>
        <v/>
      </c>
      <c r="L381" s="83"/>
      <c r="M381" s="96"/>
      <c r="N381" s="326"/>
      <c r="O381" s="324"/>
      <c r="P381" s="279"/>
      <c r="Q381" s="279"/>
      <c r="R381" s="324"/>
      <c r="S381" s="324"/>
      <c r="T381" s="324"/>
      <c r="U381" s="324"/>
      <c r="V381" s="324"/>
      <c r="W381" s="279"/>
      <c r="X381" s="279"/>
      <c r="Y381" s="83"/>
      <c r="Z381" s="83"/>
      <c r="AA381" s="328"/>
      <c r="AB381" s="328"/>
    </row>
    <row r="382" ht="15" spans="1:28">
      <c r="A382" s="285"/>
      <c r="B382" s="307"/>
      <c r="C382" s="308"/>
      <c r="D382" s="309"/>
      <c r="E382" s="310"/>
      <c r="F382" s="311"/>
      <c r="G382" s="311"/>
      <c r="H382" s="311"/>
      <c r="I382" s="311"/>
      <c r="J382" s="331"/>
      <c r="K382" s="187" t="str">
        <f>IF(A382="c",$M$4*J382,"")</f>
        <v/>
      </c>
      <c r="L382" s="83"/>
      <c r="M382" s="96"/>
      <c r="N382" s="320"/>
      <c r="O382" s="321"/>
      <c r="P382" s="321"/>
      <c r="Q382" s="321"/>
      <c r="R382" s="321"/>
      <c r="S382" s="321"/>
      <c r="T382" s="321"/>
      <c r="U382" s="321"/>
      <c r="V382" s="321"/>
      <c r="W382" s="321"/>
      <c r="X382" s="321"/>
      <c r="Y382" s="83"/>
      <c r="Z382" s="83"/>
      <c r="AA382" s="98"/>
      <c r="AB382" s="98"/>
    </row>
    <row r="383" ht="96" spans="1:28">
      <c r="A383" s="285" t="str">
        <f>VLOOKUP(D383,'[2]2024 - Curva ABC de Insumos'!$E$6:$R$172,14,FALSE())</f>
        <v>C</v>
      </c>
      <c r="B383" s="300" t="s">
        <v>1541</v>
      </c>
      <c r="C383" s="346" t="s">
        <v>4374</v>
      </c>
      <c r="D383" s="335" t="s">
        <v>1543</v>
      </c>
      <c r="E383" s="289" t="s">
        <v>6374</v>
      </c>
      <c r="F383" s="290"/>
      <c r="G383" s="290"/>
      <c r="H383" s="290"/>
      <c r="I383" s="290"/>
      <c r="J383" s="322">
        <f>SMALL(E384:I384,1)</f>
        <v>5850</v>
      </c>
      <c r="K383" s="187"/>
      <c r="L383" s="187" t="e">
        <f>VLOOKUP(B383,[3]CPUs!D:L,9,FALSE())</f>
        <v>#N/A</v>
      </c>
      <c r="M383" s="96" t="e">
        <f>IF(J383=L383,"OK","DIF")</f>
        <v>#N/A</v>
      </c>
      <c r="N383" s="326" t="s">
        <v>6244</v>
      </c>
      <c r="O383" s="324" t="s">
        <v>6375</v>
      </c>
      <c r="P383" s="279"/>
      <c r="Q383" s="279"/>
      <c r="R383" s="324"/>
      <c r="S383" s="324"/>
      <c r="T383" s="324"/>
      <c r="U383" s="324"/>
      <c r="V383" s="324"/>
      <c r="W383" s="279"/>
      <c r="X383" s="279"/>
      <c r="Y383" s="83"/>
      <c r="Z383" s="83"/>
      <c r="AA383" s="328"/>
      <c r="AB383" s="328"/>
    </row>
    <row r="384" ht="15" spans="1:28">
      <c r="A384" s="285"/>
      <c r="B384" s="291"/>
      <c r="C384" s="292"/>
      <c r="D384" s="293" t="s">
        <v>6236</v>
      </c>
      <c r="E384" s="294">
        <v>5850</v>
      </c>
      <c r="F384" s="295"/>
      <c r="G384" s="295"/>
      <c r="H384" s="295"/>
      <c r="I384" s="295"/>
      <c r="J384" s="325"/>
      <c r="K384" s="187" t="str">
        <f>IF(A384="c",$M$4*J384,"")</f>
        <v/>
      </c>
      <c r="L384" s="83"/>
      <c r="M384" s="96"/>
      <c r="N384" s="326"/>
      <c r="O384" s="324"/>
      <c r="P384" s="279"/>
      <c r="Q384" s="279"/>
      <c r="R384" s="324"/>
      <c r="S384" s="324"/>
      <c r="T384" s="324"/>
      <c r="U384" s="324"/>
      <c r="V384" s="324"/>
      <c r="W384" s="279"/>
      <c r="X384" s="279"/>
      <c r="Y384" s="83"/>
      <c r="Z384" s="83"/>
      <c r="AA384" s="328"/>
      <c r="AB384" s="328"/>
    </row>
    <row r="385" ht="15" spans="1:28">
      <c r="A385" s="285"/>
      <c r="B385" s="291"/>
      <c r="C385" s="292"/>
      <c r="D385" s="293" t="s">
        <v>6237</v>
      </c>
      <c r="E385" s="296" t="s">
        <v>6250</v>
      </c>
      <c r="F385" s="296"/>
      <c r="G385" s="296"/>
      <c r="H385" s="302"/>
      <c r="I385" s="302"/>
      <c r="J385" s="325"/>
      <c r="K385" s="187" t="str">
        <f>IF(A385="c",$M$4*J385,"")</f>
        <v/>
      </c>
      <c r="L385" s="83"/>
      <c r="M385" s="96"/>
      <c r="N385" s="326"/>
      <c r="O385" s="324"/>
      <c r="P385" s="279"/>
      <c r="Q385" s="279"/>
      <c r="R385" s="324"/>
      <c r="S385" s="324"/>
      <c r="T385" s="324"/>
      <c r="U385" s="279"/>
      <c r="V385" s="279"/>
      <c r="W385" s="279"/>
      <c r="X385" s="279"/>
      <c r="Y385" s="83"/>
      <c r="Z385" s="83"/>
      <c r="AA385" s="328"/>
      <c r="AB385" s="328"/>
    </row>
    <row r="386" ht="15" customHeight="1" spans="1:28">
      <c r="A386" s="285"/>
      <c r="B386" s="291"/>
      <c r="C386" s="292"/>
      <c r="D386" s="293" t="s">
        <v>6251</v>
      </c>
      <c r="E386" s="304" t="s">
        <v>6372</v>
      </c>
      <c r="F386" s="304"/>
      <c r="G386" s="304"/>
      <c r="H386" s="304"/>
      <c r="I386" s="304"/>
      <c r="J386" s="304"/>
      <c r="K386" s="187" t="str">
        <f>IF(A386="c",$M$4*J386,"")</f>
        <v/>
      </c>
      <c r="L386" s="83"/>
      <c r="M386" s="96"/>
      <c r="N386" s="320"/>
      <c r="O386" s="321"/>
      <c r="P386" s="321"/>
      <c r="Q386" s="321"/>
      <c r="R386" s="321"/>
      <c r="S386" s="321"/>
      <c r="T386" s="321"/>
      <c r="U386" s="321"/>
      <c r="V386" s="321"/>
      <c r="W386" s="321"/>
      <c r="X386" s="321"/>
      <c r="Y386" s="83"/>
      <c r="Z386" s="83"/>
      <c r="AA386" s="98"/>
      <c r="AB386" s="98"/>
    </row>
    <row r="387" ht="15" spans="1:28">
      <c r="A387" s="285"/>
      <c r="B387" s="307"/>
      <c r="C387" s="308"/>
      <c r="D387" s="309"/>
      <c r="E387" s="310"/>
      <c r="F387" s="311"/>
      <c r="G387" s="311"/>
      <c r="H387" s="311"/>
      <c r="I387" s="311"/>
      <c r="J387" s="331"/>
      <c r="K387" s="187" t="str">
        <f>IF(A387="c",$M$4*J387,"")</f>
        <v/>
      </c>
      <c r="L387" s="83"/>
      <c r="M387" s="96"/>
      <c r="N387" s="320"/>
      <c r="O387" s="321"/>
      <c r="P387" s="321"/>
      <c r="Q387" s="321"/>
      <c r="R387" s="321"/>
      <c r="S387" s="321"/>
      <c r="T387" s="321"/>
      <c r="U387" s="321"/>
      <c r="V387" s="321"/>
      <c r="W387" s="321"/>
      <c r="X387" s="321"/>
      <c r="Y387" s="83"/>
      <c r="Z387" s="83"/>
      <c r="AA387" s="98"/>
      <c r="AB387" s="98"/>
    </row>
    <row r="388" ht="24" spans="1:28">
      <c r="A388" s="303" t="str">
        <f>VLOOKUP(D388,'[2]2024 - Curva ABC de Insumos'!$E$6:$R$172,14,FALSE())</f>
        <v>A</v>
      </c>
      <c r="B388" s="300" t="s">
        <v>1559</v>
      </c>
      <c r="C388" s="346" t="s">
        <v>4380</v>
      </c>
      <c r="D388" s="335" t="s">
        <v>4381</v>
      </c>
      <c r="E388" s="289" t="s">
        <v>6291</v>
      </c>
      <c r="F388" s="290" t="s">
        <v>6376</v>
      </c>
      <c r="G388" s="290" t="s">
        <v>6377</v>
      </c>
      <c r="H388" s="290"/>
      <c r="I388" s="290"/>
      <c r="J388" s="322">
        <f>SMALL(E389:I389,1)</f>
        <v>150.29</v>
      </c>
      <c r="K388" s="187" t="str">
        <f>IF(A388="c",$M$4*J388,"")</f>
        <v/>
      </c>
      <c r="L388" s="187" t="e">
        <f>VLOOKUP(B388,[3]CPUs!D:L,9,FALSE())</f>
        <v>#N/A</v>
      </c>
      <c r="M388" s="96" t="e">
        <f>IF(J388=L388,"OK","DIF")</f>
        <v>#N/A</v>
      </c>
      <c r="N388" s="326" t="s">
        <v>6244</v>
      </c>
      <c r="O388" s="324"/>
      <c r="P388" s="279"/>
      <c r="Q388" s="279"/>
      <c r="R388" s="324"/>
      <c r="S388" s="324"/>
      <c r="T388" s="324"/>
      <c r="U388" s="324"/>
      <c r="V388" s="324"/>
      <c r="W388" s="279"/>
      <c r="X388" s="279"/>
      <c r="Y388" s="83"/>
      <c r="Z388" s="83"/>
      <c r="AA388" s="328"/>
      <c r="AB388" s="328"/>
    </row>
    <row r="389" ht="15" spans="1:28">
      <c r="A389" s="303"/>
      <c r="B389" s="291"/>
      <c r="C389" s="292"/>
      <c r="D389" s="293" t="s">
        <v>6236</v>
      </c>
      <c r="E389" s="294">
        <v>150.29</v>
      </c>
      <c r="F389" s="295">
        <v>174.45</v>
      </c>
      <c r="G389" s="295">
        <f>336255.73/1459</f>
        <v>230.47</v>
      </c>
      <c r="H389" s="295"/>
      <c r="I389" s="295"/>
      <c r="J389" s="325"/>
      <c r="K389" s="187" t="str">
        <f>IF(A389="c",$M$4*J389,"")</f>
        <v/>
      </c>
      <c r="L389" s="83"/>
      <c r="M389" s="96"/>
      <c r="N389" s="326"/>
      <c r="O389" s="324"/>
      <c r="P389" s="279"/>
      <c r="Q389" s="279"/>
      <c r="R389" s="324"/>
      <c r="S389" s="324"/>
      <c r="T389" s="324"/>
      <c r="U389" s="324"/>
      <c r="V389" s="324"/>
      <c r="W389" s="279"/>
      <c r="X389" s="279"/>
      <c r="Y389" s="83"/>
      <c r="Z389" s="83"/>
      <c r="AA389" s="328"/>
      <c r="AB389" s="328"/>
    </row>
    <row r="390" ht="142.5" spans="1:28">
      <c r="A390" s="303"/>
      <c r="B390" s="291"/>
      <c r="C390" s="292"/>
      <c r="D390" s="293" t="s">
        <v>6237</v>
      </c>
      <c r="E390" s="296" t="s">
        <v>6378</v>
      </c>
      <c r="F390" s="296" t="s">
        <v>6250</v>
      </c>
      <c r="G390" s="296" t="s">
        <v>6250</v>
      </c>
      <c r="H390" s="302"/>
      <c r="I390" s="302"/>
      <c r="J390" s="325"/>
      <c r="K390" s="187" t="str">
        <f>IF(A390="c",$M$4*J390,"")</f>
        <v/>
      </c>
      <c r="L390" s="83"/>
      <c r="M390" s="96"/>
      <c r="N390" s="326"/>
      <c r="O390" s="324"/>
      <c r="P390" s="279"/>
      <c r="Q390" s="279"/>
      <c r="R390" s="324"/>
      <c r="S390" s="324"/>
      <c r="T390" s="324"/>
      <c r="U390" s="279"/>
      <c r="V390" s="279"/>
      <c r="W390" s="279"/>
      <c r="X390" s="279"/>
      <c r="Y390" s="83"/>
      <c r="Z390" s="83"/>
      <c r="AA390" s="328"/>
      <c r="AB390" s="328"/>
    </row>
    <row r="391" ht="15" spans="1:28">
      <c r="A391" s="303"/>
      <c r="B391" s="307"/>
      <c r="C391" s="308"/>
      <c r="D391" s="309"/>
      <c r="E391" s="310"/>
      <c r="F391" s="311"/>
      <c r="G391" s="311"/>
      <c r="H391" s="311"/>
      <c r="I391" s="311"/>
      <c r="J391" s="331"/>
      <c r="K391" s="187" t="str">
        <f>IF(A391="c",$M$4*J391,"")</f>
        <v/>
      </c>
      <c r="L391" s="83"/>
      <c r="M391" s="96"/>
      <c r="N391" s="320"/>
      <c r="O391" s="321"/>
      <c r="P391" s="321"/>
      <c r="Q391" s="321"/>
      <c r="R391" s="321"/>
      <c r="S391" s="321"/>
      <c r="T391" s="321"/>
      <c r="U391" s="321"/>
      <c r="V391" s="321"/>
      <c r="W391" s="321"/>
      <c r="X391" s="321"/>
      <c r="Y391" s="83"/>
      <c r="Z391" s="83"/>
      <c r="AA391" s="98"/>
      <c r="AB391" s="98"/>
    </row>
    <row r="392" ht="24" spans="1:28">
      <c r="A392" s="285" t="str">
        <f>VLOOKUP(D392,'[2]2024 - Curva ABC de Insumos'!$E$6:$R$172,14,FALSE())</f>
        <v>C</v>
      </c>
      <c r="B392" s="300" t="s">
        <v>1582</v>
      </c>
      <c r="C392" s="305" t="s">
        <v>4390</v>
      </c>
      <c r="D392" s="288" t="s">
        <v>1584</v>
      </c>
      <c r="E392" s="289" t="s">
        <v>6379</v>
      </c>
      <c r="F392" s="290" t="s">
        <v>6259</v>
      </c>
      <c r="G392" s="290" t="s">
        <v>6380</v>
      </c>
      <c r="H392" s="290"/>
      <c r="I392" s="290"/>
      <c r="J392" s="322">
        <f>SMALL(E393:I393,1)</f>
        <v>88.26</v>
      </c>
      <c r="K392" s="187"/>
      <c r="L392" s="187" t="e">
        <f>VLOOKUP(B392,[3]CPUs!D:L,9,FALSE())</f>
        <v>#N/A</v>
      </c>
      <c r="M392" s="96" t="e">
        <f>IF(J392=L392,"OK","DIF")</f>
        <v>#N/A</v>
      </c>
      <c r="N392" s="326" t="s">
        <v>6244</v>
      </c>
      <c r="O392" s="324"/>
      <c r="P392" s="279"/>
      <c r="Q392" s="279"/>
      <c r="R392" s="324"/>
      <c r="S392" s="324"/>
      <c r="T392" s="324"/>
      <c r="U392" s="324"/>
      <c r="V392" s="324"/>
      <c r="W392" s="279"/>
      <c r="X392" s="279"/>
      <c r="Y392" s="83"/>
      <c r="Z392" s="83"/>
      <c r="AA392" s="328"/>
      <c r="AB392" s="328"/>
    </row>
    <row r="393" ht="15" spans="1:28">
      <c r="A393" s="285"/>
      <c r="B393" s="291"/>
      <c r="C393" s="292"/>
      <c r="D393" s="293" t="s">
        <v>6236</v>
      </c>
      <c r="E393" s="294">
        <v>94.41</v>
      </c>
      <c r="F393" s="295">
        <v>124.9</v>
      </c>
      <c r="G393" s="295">
        <v>88.26</v>
      </c>
      <c r="H393" s="295"/>
      <c r="I393" s="295"/>
      <c r="J393" s="325"/>
      <c r="K393" s="187" t="str">
        <f>IF(A393="c",$M$4*J393,"")</f>
        <v/>
      </c>
      <c r="L393" s="83"/>
      <c r="M393" s="96"/>
      <c r="N393" s="326"/>
      <c r="O393" s="324"/>
      <c r="P393" s="279"/>
      <c r="Q393" s="279"/>
      <c r="R393" s="324"/>
      <c r="S393" s="324"/>
      <c r="T393" s="324"/>
      <c r="U393" s="324"/>
      <c r="V393" s="324"/>
      <c r="W393" s="279"/>
      <c r="X393" s="279"/>
      <c r="Y393" s="83"/>
      <c r="Z393" s="83"/>
      <c r="AA393" s="328"/>
      <c r="AB393" s="328"/>
    </row>
    <row r="394" ht="156.75" spans="1:28">
      <c r="A394" s="285"/>
      <c r="B394" s="291"/>
      <c r="C394" s="292"/>
      <c r="D394" s="293" t="s">
        <v>6237</v>
      </c>
      <c r="E394" s="296" t="s">
        <v>6381</v>
      </c>
      <c r="F394" s="296" t="s">
        <v>6382</v>
      </c>
      <c r="G394" s="296" t="s">
        <v>6383</v>
      </c>
      <c r="H394" s="302"/>
      <c r="I394" s="302"/>
      <c r="J394" s="325"/>
      <c r="K394" s="187" t="str">
        <f>IF(A394="c",$M$4*J394,"")</f>
        <v/>
      </c>
      <c r="L394" s="83"/>
      <c r="M394" s="96"/>
      <c r="N394" s="326"/>
      <c r="O394" s="324"/>
      <c r="P394" s="279"/>
      <c r="Q394" s="279"/>
      <c r="R394" s="324"/>
      <c r="S394" s="324"/>
      <c r="T394" s="324"/>
      <c r="U394" s="279"/>
      <c r="V394" s="279"/>
      <c r="W394" s="279"/>
      <c r="X394" s="279"/>
      <c r="Y394" s="83"/>
      <c r="Z394" s="83"/>
      <c r="AA394" s="328"/>
      <c r="AB394" s="328"/>
    </row>
    <row r="395" ht="15" spans="1:28">
      <c r="A395" s="285"/>
      <c r="B395" s="307"/>
      <c r="C395" s="308"/>
      <c r="D395" s="309"/>
      <c r="E395" s="310"/>
      <c r="F395" s="311"/>
      <c r="G395" s="311"/>
      <c r="H395" s="311"/>
      <c r="I395" s="311"/>
      <c r="J395" s="331"/>
      <c r="K395" s="187" t="str">
        <f>IF(A395="c",$M$4*J395,"")</f>
        <v/>
      </c>
      <c r="L395" s="83"/>
      <c r="M395" s="96"/>
      <c r="N395" s="320"/>
      <c r="O395" s="321"/>
      <c r="P395" s="321"/>
      <c r="Q395" s="321"/>
      <c r="R395" s="321"/>
      <c r="S395" s="321"/>
      <c r="T395" s="321"/>
      <c r="U395" s="321"/>
      <c r="V395" s="321"/>
      <c r="W395" s="321"/>
      <c r="X395" s="321"/>
      <c r="Y395" s="83"/>
      <c r="Z395" s="83"/>
      <c r="AA395" s="98"/>
      <c r="AB395" s="98"/>
    </row>
    <row r="396" ht="24" spans="1:28">
      <c r="A396" s="345" t="str">
        <f>VLOOKUP(D396,'[2]2024 - Curva ABC de Insumos'!$E$6:$R$172,14,FALSE())</f>
        <v>B</v>
      </c>
      <c r="B396" s="300" t="s">
        <v>1592</v>
      </c>
      <c r="C396" s="305" t="s">
        <v>4396</v>
      </c>
      <c r="D396" s="288" t="s">
        <v>4397</v>
      </c>
      <c r="E396" s="289" t="s">
        <v>6384</v>
      </c>
      <c r="F396" s="290" t="s">
        <v>6385</v>
      </c>
      <c r="G396" s="290" t="s">
        <v>6386</v>
      </c>
      <c r="H396" s="290" t="s">
        <v>6387</v>
      </c>
      <c r="I396" s="290"/>
      <c r="J396" s="322">
        <f>SMALL(E397:I397,1)</f>
        <v>32.74</v>
      </c>
      <c r="K396" s="187" t="str">
        <f>IF(A396="c",$M$4*J396,"")</f>
        <v/>
      </c>
      <c r="L396" s="187" t="e">
        <f>VLOOKUP(B396,[3]CPUs!D:L,9,FALSE())</f>
        <v>#N/A</v>
      </c>
      <c r="M396" s="96" t="e">
        <f>IF(J396=L396,"OK","DIF")</f>
        <v>#N/A</v>
      </c>
      <c r="N396" s="326" t="s">
        <v>6344</v>
      </c>
      <c r="O396" s="324"/>
      <c r="P396" s="279"/>
      <c r="Q396" s="279"/>
      <c r="R396" s="324"/>
      <c r="S396" s="324"/>
      <c r="T396" s="324"/>
      <c r="U396" s="324"/>
      <c r="V396" s="324"/>
      <c r="W396" s="279"/>
      <c r="X396" s="279"/>
      <c r="Y396" s="83"/>
      <c r="Z396" s="83"/>
      <c r="AA396" s="328"/>
      <c r="AB396" s="328"/>
    </row>
    <row r="397" ht="15" spans="1:28">
      <c r="A397" s="345"/>
      <c r="B397" s="291"/>
      <c r="C397" s="292"/>
      <c r="D397" s="293" t="s">
        <v>6236</v>
      </c>
      <c r="E397" s="294">
        <v>44.4</v>
      </c>
      <c r="F397" s="295">
        <v>32.74</v>
      </c>
      <c r="G397" s="295" t="s">
        <v>6178</v>
      </c>
      <c r="H397" s="294">
        <v>39.8</v>
      </c>
      <c r="I397" s="295"/>
      <c r="J397" s="325"/>
      <c r="K397" s="187" t="str">
        <f>IF(A397="c",$M$4*J397,"")</f>
        <v/>
      </c>
      <c r="L397" s="83"/>
      <c r="M397" s="96"/>
      <c r="N397" s="326"/>
      <c r="O397" s="324"/>
      <c r="P397" s="279"/>
      <c r="Q397" s="279"/>
      <c r="R397" s="324"/>
      <c r="S397" s="324"/>
      <c r="T397" s="324"/>
      <c r="U397" s="324"/>
      <c r="V397" s="324"/>
      <c r="W397" s="279"/>
      <c r="X397" s="279"/>
      <c r="Y397" s="83"/>
      <c r="Z397" s="83"/>
      <c r="AA397" s="328"/>
      <c r="AB397" s="328"/>
    </row>
    <row r="398" ht="409.5" spans="1:28">
      <c r="A398" s="345"/>
      <c r="B398" s="291"/>
      <c r="C398" s="292"/>
      <c r="D398" s="293" t="s">
        <v>6237</v>
      </c>
      <c r="E398" s="364" t="s">
        <v>6388</v>
      </c>
      <c r="F398" s="301" t="s">
        <v>6389</v>
      </c>
      <c r="G398" s="364" t="s">
        <v>6390</v>
      </c>
      <c r="H398" s="364" t="s">
        <v>6391</v>
      </c>
      <c r="I398" s="302"/>
      <c r="J398" s="325"/>
      <c r="K398" s="187" t="str">
        <f>IF(A398="c",$M$4*J398,"")</f>
        <v/>
      </c>
      <c r="L398" s="83"/>
      <c r="M398" s="96"/>
      <c r="N398" s="326"/>
      <c r="O398" s="324"/>
      <c r="P398" s="279"/>
      <c r="Q398" s="279"/>
      <c r="R398" s="324"/>
      <c r="S398" s="324"/>
      <c r="T398" s="324"/>
      <c r="U398" s="279"/>
      <c r="V398" s="279"/>
      <c r="W398" s="279"/>
      <c r="X398" s="279"/>
      <c r="Y398" s="83"/>
      <c r="Z398" s="83"/>
      <c r="AA398" s="328"/>
      <c r="AB398" s="328"/>
    </row>
    <row r="399" ht="15" spans="1:28">
      <c r="A399" s="345"/>
      <c r="B399" s="307"/>
      <c r="C399" s="308"/>
      <c r="D399" s="309"/>
      <c r="E399" s="310"/>
      <c r="F399" s="311"/>
      <c r="G399" s="311"/>
      <c r="H399" s="311"/>
      <c r="I399" s="311"/>
      <c r="J399" s="331"/>
      <c r="K399" s="187" t="str">
        <f>IF(A399="c",$M$4*J399,"")</f>
        <v/>
      </c>
      <c r="L399" s="83"/>
      <c r="M399" s="96"/>
      <c r="N399" s="320"/>
      <c r="O399" s="321"/>
      <c r="P399" s="321"/>
      <c r="Q399" s="321"/>
      <c r="R399" s="321"/>
      <c r="S399" s="321"/>
      <c r="T399" s="321"/>
      <c r="U399" s="321"/>
      <c r="V399" s="321"/>
      <c r="W399" s="321"/>
      <c r="X399" s="321"/>
      <c r="Y399" s="83"/>
      <c r="Z399" s="83"/>
      <c r="AA399" s="98"/>
      <c r="AB399" s="98"/>
    </row>
    <row r="400" ht="24" spans="1:28">
      <c r="A400" s="285" t="str">
        <f>VLOOKUP(D400,'[2]2024 - Curva ABC de Insumos'!$E$6:$R$172,14,FALSE())</f>
        <v>C</v>
      </c>
      <c r="B400" s="300" t="s">
        <v>1622</v>
      </c>
      <c r="C400" s="305" t="s">
        <v>4423</v>
      </c>
      <c r="D400" s="288" t="s">
        <v>4424</v>
      </c>
      <c r="E400" s="289" t="s">
        <v>6392</v>
      </c>
      <c r="F400" s="290" t="s">
        <v>6393</v>
      </c>
      <c r="G400" s="290" t="s">
        <v>6394</v>
      </c>
      <c r="H400" s="290"/>
      <c r="I400" s="290"/>
      <c r="J400" s="322">
        <f>SMALL(E401:I401,1)</f>
        <v>3.45</v>
      </c>
      <c r="K400" s="187"/>
      <c r="L400" s="187" t="e">
        <f>VLOOKUP(B400,[3]CPUs!D:L,9,FALSE())</f>
        <v>#N/A</v>
      </c>
      <c r="M400" s="96" t="e">
        <f>IF(J400=L400,"OK","DIF")</f>
        <v>#N/A</v>
      </c>
      <c r="N400" s="326" t="s">
        <v>6244</v>
      </c>
      <c r="O400" s="324"/>
      <c r="P400" s="279"/>
      <c r="Q400" s="279"/>
      <c r="R400" s="324"/>
      <c r="S400" s="324"/>
      <c r="T400" s="324"/>
      <c r="U400" s="324"/>
      <c r="V400" s="324"/>
      <c r="W400" s="279"/>
      <c r="X400" s="279"/>
      <c r="Y400" s="83"/>
      <c r="Z400" s="83"/>
      <c r="AA400" s="328"/>
      <c r="AB400" s="328"/>
    </row>
    <row r="401" ht="15" spans="1:28">
      <c r="A401" s="285"/>
      <c r="B401" s="291"/>
      <c r="C401" s="292"/>
      <c r="D401" s="293" t="s">
        <v>6236</v>
      </c>
      <c r="E401" s="294">
        <f>ROUND(34.5/10,2)</f>
        <v>3.45</v>
      </c>
      <c r="F401" s="295">
        <v>4.87</v>
      </c>
      <c r="G401" s="295">
        <v>7.4</v>
      </c>
      <c r="H401" s="295"/>
      <c r="I401" s="295"/>
      <c r="J401" s="325"/>
      <c r="K401" s="187" t="str">
        <f>IF(A401="c",$M$4*J401,"")</f>
        <v/>
      </c>
      <c r="L401" s="83"/>
      <c r="M401" s="96"/>
      <c r="N401" s="326"/>
      <c r="O401" s="324"/>
      <c r="P401" s="279"/>
      <c r="Q401" s="279"/>
      <c r="R401" s="324"/>
      <c r="S401" s="324"/>
      <c r="T401" s="324"/>
      <c r="U401" s="324"/>
      <c r="V401" s="324"/>
      <c r="W401" s="279"/>
      <c r="X401" s="279"/>
      <c r="Y401" s="83"/>
      <c r="Z401" s="83"/>
      <c r="AA401" s="328"/>
      <c r="AB401" s="328"/>
    </row>
    <row r="402" ht="225" spans="1:28">
      <c r="A402" s="285"/>
      <c r="B402" s="291"/>
      <c r="C402" s="292"/>
      <c r="D402" s="293" t="s">
        <v>6237</v>
      </c>
      <c r="E402" s="301" t="s">
        <v>6395</v>
      </c>
      <c r="F402" s="301" t="s">
        <v>6396</v>
      </c>
      <c r="G402" s="301" t="s">
        <v>6397</v>
      </c>
      <c r="H402" s="302"/>
      <c r="I402" s="302"/>
      <c r="J402" s="325"/>
      <c r="K402" s="187" t="str">
        <f>IF(A402="c",$M$4*J402,"")</f>
        <v/>
      </c>
      <c r="L402" s="83"/>
      <c r="M402" s="96"/>
      <c r="N402" s="326"/>
      <c r="O402" s="324"/>
      <c r="P402" s="279"/>
      <c r="Q402" s="279"/>
      <c r="R402" s="324"/>
      <c r="S402" s="324"/>
      <c r="T402" s="324"/>
      <c r="U402" s="279"/>
      <c r="V402" s="279"/>
      <c r="W402" s="279"/>
      <c r="X402" s="279"/>
      <c r="Y402" s="83"/>
      <c r="Z402" s="83"/>
      <c r="AA402" s="328"/>
      <c r="AB402" s="328"/>
    </row>
    <row r="403" ht="15" spans="1:28">
      <c r="A403" s="285"/>
      <c r="B403" s="307"/>
      <c r="C403" s="308"/>
      <c r="D403" s="309"/>
      <c r="E403" s="310"/>
      <c r="F403" s="311"/>
      <c r="G403" s="311"/>
      <c r="H403" s="311"/>
      <c r="I403" s="311"/>
      <c r="J403" s="331"/>
      <c r="K403" s="187" t="str">
        <f>IF(A403="c",$M$4*J403,"")</f>
        <v/>
      </c>
      <c r="L403" s="83"/>
      <c r="M403" s="96"/>
      <c r="N403" s="320"/>
      <c r="O403" s="321"/>
      <c r="P403" s="321"/>
      <c r="Q403" s="321"/>
      <c r="R403" s="321"/>
      <c r="S403" s="321"/>
      <c r="T403" s="321"/>
      <c r="U403" s="321"/>
      <c r="V403" s="321"/>
      <c r="W403" s="321"/>
      <c r="X403" s="321"/>
      <c r="Y403" s="83"/>
      <c r="Z403" s="83"/>
      <c r="AA403" s="98"/>
      <c r="AB403" s="98"/>
    </row>
    <row r="404" ht="24" spans="1:28">
      <c r="A404" s="285" t="str">
        <f>VLOOKUP(D404,'[2]2024 - Curva ABC de Insumos'!$E$6:$R$172,14,FALSE())</f>
        <v>C</v>
      </c>
      <c r="B404" s="300" t="s">
        <v>1667</v>
      </c>
      <c r="C404" s="305" t="s">
        <v>4454</v>
      </c>
      <c r="D404" s="288" t="s">
        <v>1669</v>
      </c>
      <c r="E404" s="289" t="s">
        <v>6398</v>
      </c>
      <c r="F404" s="290" t="s">
        <v>6399</v>
      </c>
      <c r="G404" s="290" t="s">
        <v>6291</v>
      </c>
      <c r="H404" s="290"/>
      <c r="I404" s="290"/>
      <c r="J404" s="322">
        <f>SMALL(E405:I405,1)</f>
        <v>15.94</v>
      </c>
      <c r="K404" s="187"/>
      <c r="L404" s="187" t="e">
        <f>VLOOKUP(B404,[3]CPUs!D:L,9,FALSE())</f>
        <v>#N/A</v>
      </c>
      <c r="M404" s="96" t="e">
        <f>IF(J404=L404,"OK","DIF")</f>
        <v>#N/A</v>
      </c>
      <c r="N404" s="377" t="s">
        <v>6344</v>
      </c>
      <c r="O404" s="324"/>
      <c r="P404" s="279"/>
      <c r="Q404" s="279"/>
      <c r="R404" s="324"/>
      <c r="S404" s="324"/>
      <c r="T404" s="324"/>
      <c r="U404" s="324"/>
      <c r="V404" s="324"/>
      <c r="W404" s="279"/>
      <c r="X404" s="279"/>
      <c r="Y404" s="83"/>
      <c r="Z404" s="83"/>
      <c r="AA404" s="328"/>
      <c r="AB404" s="328"/>
    </row>
    <row r="405" ht="15" spans="1:28">
      <c r="A405" s="285"/>
      <c r="B405" s="291"/>
      <c r="C405" s="292"/>
      <c r="D405" s="293" t="s">
        <v>6236</v>
      </c>
      <c r="E405" s="294">
        <v>33.9</v>
      </c>
      <c r="F405" s="295">
        <v>15.94</v>
      </c>
      <c r="G405" s="295">
        <v>27.89</v>
      </c>
      <c r="H405" s="295"/>
      <c r="I405" s="295"/>
      <c r="J405" s="325"/>
      <c r="K405" s="187" t="str">
        <f>IF(A405="c",$M$4*J405,"")</f>
        <v/>
      </c>
      <c r="L405" s="83"/>
      <c r="M405" s="96"/>
      <c r="N405" s="326"/>
      <c r="O405" s="324"/>
      <c r="P405" s="279"/>
      <c r="Q405" s="279"/>
      <c r="R405" s="324"/>
      <c r="S405" s="324"/>
      <c r="T405" s="324"/>
      <c r="U405" s="324"/>
      <c r="V405" s="324"/>
      <c r="W405" s="279"/>
      <c r="X405" s="279"/>
      <c r="Y405" s="83"/>
      <c r="Z405" s="83"/>
      <c r="AA405" s="328"/>
      <c r="AB405" s="328"/>
    </row>
    <row r="406" ht="270" spans="1:28">
      <c r="A406" s="285"/>
      <c r="B406" s="291"/>
      <c r="C406" s="292"/>
      <c r="D406" s="293" t="s">
        <v>6237</v>
      </c>
      <c r="E406" s="301" t="s">
        <v>6400</v>
      </c>
      <c r="F406" s="301" t="s">
        <v>6401</v>
      </c>
      <c r="G406" s="301" t="s">
        <v>6402</v>
      </c>
      <c r="H406" s="302"/>
      <c r="I406" s="302"/>
      <c r="J406" s="325"/>
      <c r="K406" s="187" t="str">
        <f>IF(A406="c",$M$4*J406,"")</f>
        <v/>
      </c>
      <c r="L406" s="83"/>
      <c r="M406" s="96"/>
      <c r="N406" s="326"/>
      <c r="O406" s="324"/>
      <c r="P406" s="279"/>
      <c r="Q406" s="279"/>
      <c r="R406" s="324"/>
      <c r="S406" s="324"/>
      <c r="T406" s="324"/>
      <c r="U406" s="279"/>
      <c r="V406" s="279"/>
      <c r="W406" s="279"/>
      <c r="X406" s="279"/>
      <c r="Y406" s="83"/>
      <c r="Z406" s="83"/>
      <c r="AA406" s="328"/>
      <c r="AB406" s="328"/>
    </row>
    <row r="407" ht="15" spans="1:28">
      <c r="A407" s="285"/>
      <c r="B407" s="307"/>
      <c r="C407" s="308"/>
      <c r="D407" s="309"/>
      <c r="E407" s="310"/>
      <c r="F407" s="311"/>
      <c r="G407" s="311"/>
      <c r="H407" s="311"/>
      <c r="I407" s="311"/>
      <c r="J407" s="331"/>
      <c r="K407" s="187" t="str">
        <f>IF(A407="c",$M$4*J407,"")</f>
        <v/>
      </c>
      <c r="L407" s="83"/>
      <c r="M407" s="96"/>
      <c r="N407" s="320"/>
      <c r="O407" s="321"/>
      <c r="P407" s="321"/>
      <c r="Q407" s="321"/>
      <c r="R407" s="321"/>
      <c r="S407" s="321"/>
      <c r="T407" s="321"/>
      <c r="U407" s="321"/>
      <c r="V407" s="321"/>
      <c r="W407" s="321"/>
      <c r="X407" s="321"/>
      <c r="Y407" s="83"/>
      <c r="Z407" s="83"/>
      <c r="AA407" s="98"/>
      <c r="AB407" s="98"/>
    </row>
    <row r="408" ht="24" spans="1:28">
      <c r="A408" s="285" t="str">
        <f>VLOOKUP(D408,'[2]2024 - Curva ABC de Insumos'!$E$6:$R$172,14,FALSE())</f>
        <v>C</v>
      </c>
      <c r="B408" s="300" t="s">
        <v>1752</v>
      </c>
      <c r="C408" s="305" t="s">
        <v>4513</v>
      </c>
      <c r="D408" s="288" t="s">
        <v>4514</v>
      </c>
      <c r="E408" s="289" t="s">
        <v>6403</v>
      </c>
      <c r="F408" s="290" t="s">
        <v>6404</v>
      </c>
      <c r="G408" s="290" t="s">
        <v>6291</v>
      </c>
      <c r="H408" s="290"/>
      <c r="I408" s="290"/>
      <c r="J408" s="322">
        <f>SMALL(E409:I409,1)</f>
        <v>6.49</v>
      </c>
      <c r="K408" s="187"/>
      <c r="L408" s="187" t="e">
        <f>VLOOKUP(B408,[3]CPUs!D:L,9,FALSE())</f>
        <v>#N/A</v>
      </c>
      <c r="M408" s="96" t="e">
        <f>IF(J408=L408,"OK","DIF")</f>
        <v>#N/A</v>
      </c>
      <c r="N408" s="377" t="s">
        <v>6344</v>
      </c>
      <c r="O408" s="324"/>
      <c r="P408" s="279"/>
      <c r="Q408" s="279"/>
      <c r="R408" s="324"/>
      <c r="S408" s="324"/>
      <c r="T408" s="324"/>
      <c r="U408" s="324"/>
      <c r="V408" s="324"/>
      <c r="W408" s="279"/>
      <c r="X408" s="279"/>
      <c r="Y408" s="83"/>
      <c r="Z408" s="83"/>
      <c r="AA408" s="328"/>
      <c r="AB408" s="328"/>
    </row>
    <row r="409" ht="15" spans="1:28">
      <c r="A409" s="285"/>
      <c r="B409" s="291"/>
      <c r="C409" s="292"/>
      <c r="D409" s="293" t="s">
        <v>6236</v>
      </c>
      <c r="E409" s="294">
        <f>8.77*1.0539</f>
        <v>9.242703</v>
      </c>
      <c r="F409" s="294">
        <f>ROUND(2400/300,2)</f>
        <v>8</v>
      </c>
      <c r="G409" s="294">
        <v>6.49</v>
      </c>
      <c r="H409" s="295"/>
      <c r="I409" s="295"/>
      <c r="J409" s="325"/>
      <c r="K409" s="187" t="str">
        <f>IF(A409="c",$M$4*J409,"")</f>
        <v/>
      </c>
      <c r="L409" s="83"/>
      <c r="M409" s="96"/>
      <c r="N409" s="326"/>
      <c r="O409" s="324"/>
      <c r="P409" s="279"/>
      <c r="Q409" s="279"/>
      <c r="R409" s="324"/>
      <c r="S409" s="324"/>
      <c r="T409" s="324"/>
      <c r="U409" s="324"/>
      <c r="V409" s="324"/>
      <c r="W409" s="279"/>
      <c r="X409" s="279"/>
      <c r="Y409" s="83"/>
      <c r="Z409" s="83"/>
      <c r="AA409" s="328"/>
      <c r="AB409" s="328"/>
    </row>
    <row r="410" ht="192" spans="1:28">
      <c r="A410" s="285"/>
      <c r="B410" s="291"/>
      <c r="C410" s="292"/>
      <c r="D410" s="293" t="s">
        <v>6237</v>
      </c>
      <c r="E410" s="365" t="s">
        <v>6405</v>
      </c>
      <c r="F410" s="365" t="s">
        <v>6406</v>
      </c>
      <c r="G410" s="365" t="s">
        <v>6407</v>
      </c>
      <c r="H410" s="302"/>
      <c r="I410" s="302"/>
      <c r="J410" s="325"/>
      <c r="K410" s="187" t="str">
        <f>IF(A410="c",$M$4*J410,"")</f>
        <v/>
      </c>
      <c r="L410" s="83"/>
      <c r="M410" s="96"/>
      <c r="N410" s="326"/>
      <c r="O410" s="324"/>
      <c r="P410" s="279"/>
      <c r="Q410" s="279"/>
      <c r="R410" s="324"/>
      <c r="S410" s="324"/>
      <c r="T410" s="324"/>
      <c r="U410" s="279"/>
      <c r="V410" s="279"/>
      <c r="W410" s="279"/>
      <c r="X410" s="279"/>
      <c r="Y410" s="83"/>
      <c r="Z410" s="83"/>
      <c r="AA410" s="328"/>
      <c r="AB410" s="328"/>
    </row>
    <row r="411" ht="15" spans="1:28">
      <c r="A411" s="285"/>
      <c r="B411" s="307"/>
      <c r="C411" s="308"/>
      <c r="D411" s="309"/>
      <c r="E411" s="310"/>
      <c r="F411" s="311"/>
      <c r="G411" s="311"/>
      <c r="H411" s="311"/>
      <c r="I411" s="311"/>
      <c r="J411" s="331"/>
      <c r="K411" s="187" t="str">
        <f>IF(A411="c",$M$4*J411,"")</f>
        <v/>
      </c>
      <c r="L411" s="83"/>
      <c r="M411" s="96"/>
      <c r="N411" s="320"/>
      <c r="O411" s="321"/>
      <c r="P411" s="321"/>
      <c r="Q411" s="321"/>
      <c r="R411" s="321"/>
      <c r="S411" s="321"/>
      <c r="T411" s="321"/>
      <c r="U411" s="321"/>
      <c r="V411" s="321"/>
      <c r="W411" s="321"/>
      <c r="X411" s="321"/>
      <c r="Y411" s="83"/>
      <c r="Z411" s="83"/>
      <c r="AA411" s="98"/>
      <c r="AB411" s="98"/>
    </row>
    <row r="412" ht="24" spans="1:28">
      <c r="A412" s="285"/>
      <c r="B412" s="300"/>
      <c r="C412" s="332" t="s">
        <v>6408</v>
      </c>
      <c r="D412" s="333" t="s">
        <v>6284</v>
      </c>
      <c r="E412" s="289"/>
      <c r="F412" s="290"/>
      <c r="G412" s="290"/>
      <c r="H412" s="290"/>
      <c r="I412" s="290"/>
      <c r="J412" s="322"/>
      <c r="K412" s="187" t="str">
        <f>IF(A412="c",$M$4*J412,"")</f>
        <v/>
      </c>
      <c r="L412" s="187"/>
      <c r="M412" s="96"/>
      <c r="N412" s="326"/>
      <c r="O412" s="324"/>
      <c r="P412" s="279"/>
      <c r="Q412" s="279"/>
      <c r="R412" s="324"/>
      <c r="S412" s="324"/>
      <c r="T412" s="324"/>
      <c r="U412" s="324"/>
      <c r="V412" s="324"/>
      <c r="W412" s="279"/>
      <c r="X412" s="279"/>
      <c r="Y412" s="83"/>
      <c r="Z412" s="83"/>
      <c r="AA412" s="328"/>
      <c r="AB412" s="328"/>
    </row>
    <row r="413" ht="15" spans="1:28">
      <c r="A413" s="285"/>
      <c r="B413" s="307"/>
      <c r="C413" s="308"/>
      <c r="D413" s="309"/>
      <c r="E413" s="310"/>
      <c r="F413" s="311"/>
      <c r="G413" s="311"/>
      <c r="H413" s="311"/>
      <c r="I413" s="311"/>
      <c r="J413" s="331"/>
      <c r="K413" s="187" t="str">
        <f>IF(A413="c",$M$4*J413,"")</f>
        <v/>
      </c>
      <c r="L413" s="83"/>
      <c r="M413" s="96"/>
      <c r="N413" s="320"/>
      <c r="O413" s="321"/>
      <c r="P413" s="321"/>
      <c r="Q413" s="321"/>
      <c r="R413" s="321"/>
      <c r="S413" s="321"/>
      <c r="T413" s="321"/>
      <c r="U413" s="321"/>
      <c r="V413" s="321"/>
      <c r="W413" s="321"/>
      <c r="X413" s="321"/>
      <c r="Y413" s="83"/>
      <c r="Z413" s="83"/>
      <c r="AA413" s="98"/>
      <c r="AB413" s="98"/>
    </row>
    <row r="414" ht="36" spans="1:28">
      <c r="A414" s="303" t="str">
        <f>VLOOKUP(D414,'[2]2024 - Curva ABC de Insumos'!$E$6:$R$172,14,FALSE())</f>
        <v>A</v>
      </c>
      <c r="B414" s="300" t="s">
        <v>1771</v>
      </c>
      <c r="C414" s="305" t="s">
        <v>4533</v>
      </c>
      <c r="D414" s="288" t="s">
        <v>4534</v>
      </c>
      <c r="E414" s="289" t="s">
        <v>6380</v>
      </c>
      <c r="F414" s="290" t="s">
        <v>6409</v>
      </c>
      <c r="G414" s="290" t="s">
        <v>6410</v>
      </c>
      <c r="H414" s="290"/>
      <c r="I414" s="290"/>
      <c r="J414" s="322">
        <f>SMALL(E415:I415,1)</f>
        <v>1570.03</v>
      </c>
      <c r="K414" s="187" t="str">
        <f>IF(A414="c",$M$4*J414,"")</f>
        <v/>
      </c>
      <c r="L414" s="187" t="e">
        <f>VLOOKUP(B414,[3]CPUs!D:L,9,FALSE())</f>
        <v>#N/A</v>
      </c>
      <c r="M414" s="96" t="e">
        <f>IF(J414=L414,"OK","DIF")</f>
        <v>#N/A</v>
      </c>
      <c r="N414" s="326" t="s">
        <v>6244</v>
      </c>
      <c r="O414" s="324"/>
      <c r="P414" s="279"/>
      <c r="Q414" s="279"/>
      <c r="R414" s="324"/>
      <c r="S414" s="324"/>
      <c r="T414" s="324"/>
      <c r="U414" s="324"/>
      <c r="V414" s="324"/>
      <c r="W414" s="279"/>
      <c r="X414" s="279"/>
      <c r="Y414" s="83"/>
      <c r="Z414" s="83"/>
      <c r="AA414" s="328"/>
      <c r="AB414" s="328"/>
    </row>
    <row r="415" ht="15" spans="1:28">
      <c r="A415" s="303"/>
      <c r="B415" s="291"/>
      <c r="C415" s="292"/>
      <c r="D415" s="293" t="s">
        <v>6236</v>
      </c>
      <c r="E415" s="294">
        <v>1605.41</v>
      </c>
      <c r="F415" s="295">
        <v>1599</v>
      </c>
      <c r="G415" s="295">
        <v>1570.03</v>
      </c>
      <c r="H415" s="295"/>
      <c r="I415" s="295"/>
      <c r="J415" s="325"/>
      <c r="K415" s="187" t="str">
        <f>IF(A415="c",$M$4*J415,"")</f>
        <v/>
      </c>
      <c r="L415" s="83"/>
      <c r="M415" s="96"/>
      <c r="N415" s="326"/>
      <c r="O415" s="324"/>
      <c r="P415" s="279"/>
      <c r="Q415" s="279"/>
      <c r="R415" s="324"/>
      <c r="S415" s="324"/>
      <c r="T415" s="324"/>
      <c r="U415" s="324"/>
      <c r="V415" s="324"/>
      <c r="W415" s="279"/>
      <c r="X415" s="279"/>
      <c r="Y415" s="83"/>
      <c r="Z415" s="83"/>
      <c r="AA415" s="328"/>
      <c r="AB415" s="328"/>
    </row>
    <row r="416" ht="372" spans="1:28">
      <c r="A416" s="303"/>
      <c r="B416" s="291"/>
      <c r="C416" s="292"/>
      <c r="D416" s="293" t="s">
        <v>6237</v>
      </c>
      <c r="E416" s="366" t="s">
        <v>6411</v>
      </c>
      <c r="F416" s="366" t="s">
        <v>6412</v>
      </c>
      <c r="G416" s="366" t="s">
        <v>6413</v>
      </c>
      <c r="H416" s="302"/>
      <c r="I416" s="302"/>
      <c r="J416" s="325"/>
      <c r="K416" s="187" t="str">
        <f>IF(A416="c",$M$4*J416,"")</f>
        <v/>
      </c>
      <c r="L416" s="83"/>
      <c r="M416" s="96"/>
      <c r="N416" s="326"/>
      <c r="O416" s="324"/>
      <c r="P416" s="279"/>
      <c r="Q416" s="279"/>
      <c r="R416" s="324"/>
      <c r="S416" s="324"/>
      <c r="T416" s="324"/>
      <c r="U416" s="279"/>
      <c r="V416" s="279"/>
      <c r="W416" s="279"/>
      <c r="X416" s="279"/>
      <c r="Y416" s="83"/>
      <c r="Z416" s="83"/>
      <c r="AA416" s="328"/>
      <c r="AB416" s="328"/>
    </row>
    <row r="417" ht="15" spans="1:28">
      <c r="A417" s="303"/>
      <c r="B417" s="307"/>
      <c r="C417" s="308"/>
      <c r="D417" s="309"/>
      <c r="E417" s="310"/>
      <c r="F417" s="311"/>
      <c r="G417" s="311"/>
      <c r="H417" s="311"/>
      <c r="I417" s="311"/>
      <c r="J417" s="331"/>
      <c r="K417" s="187" t="str">
        <f>IF(A417="c",$M$4*J417,"")</f>
        <v/>
      </c>
      <c r="L417" s="83"/>
      <c r="M417" s="96"/>
      <c r="N417" s="320"/>
      <c r="O417" s="321"/>
      <c r="P417" s="321"/>
      <c r="Q417" s="321"/>
      <c r="R417" s="321"/>
      <c r="S417" s="321"/>
      <c r="T417" s="321"/>
      <c r="U417" s="321"/>
      <c r="V417" s="321"/>
      <c r="W417" s="321"/>
      <c r="X417" s="321"/>
      <c r="Y417" s="83"/>
      <c r="Z417" s="83"/>
      <c r="AA417" s="98"/>
      <c r="AB417" s="98"/>
    </row>
    <row r="418" ht="24" spans="1:28">
      <c r="A418" s="285" t="str">
        <f>VLOOKUP(D418,'[2]2024 - Curva ABC de Insumos'!$E$6:$R$172,14,FALSE())</f>
        <v>C</v>
      </c>
      <c r="B418" s="300" t="s">
        <v>1789</v>
      </c>
      <c r="C418" s="305" t="s">
        <v>4535</v>
      </c>
      <c r="D418" s="288" t="s">
        <v>4536</v>
      </c>
      <c r="E418" s="289" t="s">
        <v>6414</v>
      </c>
      <c r="F418" s="290" t="s">
        <v>6291</v>
      </c>
      <c r="G418" s="290" t="s">
        <v>6415</v>
      </c>
      <c r="H418" s="290" t="s">
        <v>6416</v>
      </c>
      <c r="I418" s="290"/>
      <c r="J418" s="322">
        <f>SMALL(E419:I419,1)</f>
        <v>81.68</v>
      </c>
      <c r="K418" s="187"/>
      <c r="L418" s="187" t="e">
        <f>VLOOKUP(B418,[3]CPUs!D:L,9,FALSE())</f>
        <v>#N/A</v>
      </c>
      <c r="M418" s="96" t="e">
        <f>IF(J418=L418,"OK","DIF")</f>
        <v>#N/A</v>
      </c>
      <c r="N418" s="378" t="s">
        <v>6244</v>
      </c>
      <c r="O418" s="324"/>
      <c r="P418" s="279"/>
      <c r="Q418" s="279"/>
      <c r="R418" s="324"/>
      <c r="S418" s="324"/>
      <c r="T418" s="324"/>
      <c r="U418" s="324"/>
      <c r="V418" s="324"/>
      <c r="W418" s="279"/>
      <c r="X418" s="279"/>
      <c r="Y418" s="83"/>
      <c r="Z418" s="83"/>
      <c r="AA418" s="328"/>
      <c r="AB418" s="328"/>
    </row>
    <row r="419" ht="15" spans="1:28">
      <c r="A419" s="367"/>
      <c r="B419" s="291"/>
      <c r="C419" s="292"/>
      <c r="D419" s="293" t="s">
        <v>6236</v>
      </c>
      <c r="E419" s="294">
        <v>99.96</v>
      </c>
      <c r="F419" s="295" t="s">
        <v>6178</v>
      </c>
      <c r="G419" s="295">
        <v>81.68</v>
      </c>
      <c r="H419" s="295">
        <v>102.68</v>
      </c>
      <c r="I419" s="295"/>
      <c r="J419" s="325"/>
      <c r="K419" s="187" t="str">
        <f>IF(A421="c",$M$4*J419,"")</f>
        <v/>
      </c>
      <c r="L419" s="83"/>
      <c r="M419" s="96"/>
      <c r="N419" s="326"/>
      <c r="O419" s="324"/>
      <c r="P419" s="279"/>
      <c r="Q419" s="279"/>
      <c r="R419" s="324"/>
      <c r="S419" s="324"/>
      <c r="T419" s="324"/>
      <c r="U419" s="324"/>
      <c r="V419" s="324"/>
      <c r="W419" s="279"/>
      <c r="X419" s="279"/>
      <c r="Y419" s="83"/>
      <c r="Z419" s="83"/>
      <c r="AA419" s="328"/>
      <c r="AB419" s="328"/>
    </row>
    <row r="420" ht="192" spans="1:28">
      <c r="A420" s="285"/>
      <c r="B420" s="291"/>
      <c r="C420" s="292"/>
      <c r="D420" s="293" t="s">
        <v>6237</v>
      </c>
      <c r="E420" s="365" t="s">
        <v>6417</v>
      </c>
      <c r="F420" s="365" t="s">
        <v>6418</v>
      </c>
      <c r="G420" s="365" t="s">
        <v>6419</v>
      </c>
      <c r="H420" s="368" t="s">
        <v>6420</v>
      </c>
      <c r="I420" s="302"/>
      <c r="J420" s="325"/>
      <c r="K420" s="187" t="str">
        <f>IF(A420="c",$M$4*J420,"")</f>
        <v/>
      </c>
      <c r="L420" s="83"/>
      <c r="M420" s="96"/>
      <c r="N420" s="326"/>
      <c r="O420" s="324"/>
      <c r="P420" s="279"/>
      <c r="Q420" s="279"/>
      <c r="R420" s="324"/>
      <c r="S420" s="324"/>
      <c r="T420" s="324"/>
      <c r="U420" s="279"/>
      <c r="V420" s="279"/>
      <c r="W420" s="279"/>
      <c r="X420" s="279"/>
      <c r="Y420" s="83"/>
      <c r="Z420" s="83"/>
      <c r="AA420" s="328"/>
      <c r="AB420" s="328"/>
    </row>
    <row r="421" ht="15" spans="1:28">
      <c r="A421" s="285"/>
      <c r="B421" s="307"/>
      <c r="C421" s="308"/>
      <c r="D421" s="309"/>
      <c r="E421" s="310"/>
      <c r="F421" s="311"/>
      <c r="G421" s="311"/>
      <c r="H421" s="311"/>
      <c r="I421" s="311"/>
      <c r="J421" s="331"/>
      <c r="K421" s="187"/>
      <c r="L421" s="83"/>
      <c r="M421" s="96"/>
      <c r="N421" s="320"/>
      <c r="O421" s="321"/>
      <c r="P421" s="321"/>
      <c r="Q421" s="321"/>
      <c r="R421" s="321"/>
      <c r="S421" s="321"/>
      <c r="T421" s="321"/>
      <c r="U421" s="321"/>
      <c r="V421" s="321"/>
      <c r="W421" s="321"/>
      <c r="X421" s="321"/>
      <c r="Y421" s="83"/>
      <c r="Z421" s="83"/>
      <c r="AA421" s="98"/>
      <c r="AB421" s="98"/>
    </row>
    <row r="422" ht="32.8" customHeight="1" spans="1:28">
      <c r="A422" s="303" t="str">
        <f>VLOOKUP(D422,'[2]2024 - Curva ABC de Insumos'!$E$6:$R$172,14,FALSE())</f>
        <v>B</v>
      </c>
      <c r="B422" s="369" t="s">
        <v>1817</v>
      </c>
      <c r="C422" s="370" t="s">
        <v>6421</v>
      </c>
      <c r="D422" s="371" t="s">
        <v>6422</v>
      </c>
      <c r="E422" s="372" t="s">
        <v>6423</v>
      </c>
      <c r="F422" s="372"/>
      <c r="G422" s="372"/>
      <c r="H422" s="372"/>
      <c r="I422" s="372"/>
      <c r="J422" s="372"/>
      <c r="K422" s="379"/>
      <c r="L422" s="187" t="e">
        <f>VLOOKUP(B422,[3]CPUs!D:L,9,FALSE())</f>
        <v>#N/A</v>
      </c>
      <c r="M422" s="96" t="e">
        <f>IF(J422=L422,"OK","DIF")</f>
        <v>#N/A</v>
      </c>
      <c r="N422" s="378" t="s">
        <v>6244</v>
      </c>
      <c r="O422" s="380"/>
      <c r="P422" s="279"/>
      <c r="Q422" s="279"/>
      <c r="R422" s="324"/>
      <c r="S422" s="324"/>
      <c r="T422" s="324"/>
      <c r="U422" s="324"/>
      <c r="V422" s="324"/>
      <c r="W422" s="279"/>
      <c r="X422" s="279"/>
      <c r="Y422" s="83"/>
      <c r="Z422" s="83"/>
      <c r="AA422" s="328"/>
      <c r="AB422" s="328"/>
    </row>
    <row r="423" ht="15" spans="1:28">
      <c r="A423" s="303"/>
      <c r="B423" s="355"/>
      <c r="C423" s="356"/>
      <c r="D423" s="357" t="s">
        <v>6236</v>
      </c>
      <c r="E423" s="358"/>
      <c r="F423" s="359"/>
      <c r="G423" s="359"/>
      <c r="H423" s="359"/>
      <c r="I423" s="359"/>
      <c r="J423" s="363"/>
      <c r="K423" s="187" t="str">
        <f>IF(A423="c",$M$4*J423,"")</f>
        <v/>
      </c>
      <c r="L423" s="83"/>
      <c r="M423" s="96"/>
      <c r="N423" s="326"/>
      <c r="O423" s="324"/>
      <c r="P423" s="279"/>
      <c r="Q423" s="279"/>
      <c r="R423" s="324"/>
      <c r="S423" s="324"/>
      <c r="T423" s="324"/>
      <c r="U423" s="324"/>
      <c r="V423" s="324"/>
      <c r="W423" s="279"/>
      <c r="X423" s="279"/>
      <c r="Y423" s="83"/>
      <c r="Z423" s="83"/>
      <c r="AA423" s="328"/>
      <c r="AB423" s="328"/>
    </row>
    <row r="424" ht="15" spans="1:28">
      <c r="A424" s="303"/>
      <c r="B424" s="355"/>
      <c r="C424" s="356"/>
      <c r="D424" s="357" t="s">
        <v>6237</v>
      </c>
      <c r="E424" s="373"/>
      <c r="F424" s="373"/>
      <c r="G424" s="373"/>
      <c r="H424" s="362"/>
      <c r="I424" s="362"/>
      <c r="J424" s="363"/>
      <c r="K424" s="187" t="str">
        <f>IF(A424="c",$M$4*J424,"")</f>
        <v/>
      </c>
      <c r="L424" s="83"/>
      <c r="M424" s="96"/>
      <c r="N424" s="326"/>
      <c r="O424" s="324"/>
      <c r="P424" s="279"/>
      <c r="Q424" s="279"/>
      <c r="R424" s="324"/>
      <c r="S424" s="324"/>
      <c r="T424" s="324"/>
      <c r="U424" s="324"/>
      <c r="V424" s="324"/>
      <c r="W424" s="279"/>
      <c r="X424" s="279"/>
      <c r="Y424" s="83"/>
      <c r="Z424" s="83"/>
      <c r="AA424" s="328"/>
      <c r="AB424" s="328"/>
    </row>
    <row r="425" spans="1:28">
      <c r="A425" s="285"/>
      <c r="B425" s="297"/>
      <c r="C425" s="298"/>
      <c r="D425" s="298"/>
      <c r="E425" s="298"/>
      <c r="F425" s="299"/>
      <c r="G425" s="299"/>
      <c r="H425" s="299"/>
      <c r="I425" s="299"/>
      <c r="J425" s="327"/>
      <c r="K425" s="187" t="str">
        <f>IF(A425="c",$M$4*J425,"")</f>
        <v/>
      </c>
      <c r="L425" s="328"/>
      <c r="M425" s="329"/>
      <c r="N425" s="328"/>
      <c r="O425" s="328"/>
      <c r="P425" s="328"/>
      <c r="Q425" s="328"/>
      <c r="R425" s="328"/>
      <c r="S425" s="328"/>
      <c r="T425" s="328"/>
      <c r="U425" s="328"/>
      <c r="V425" s="328"/>
      <c r="W425" s="328"/>
      <c r="X425" s="328"/>
      <c r="Y425" s="328"/>
      <c r="Z425" s="328"/>
      <c r="AA425" s="328"/>
      <c r="AB425" s="328"/>
    </row>
    <row r="426" ht="36" spans="1:28">
      <c r="A426" s="374" t="str">
        <f>VLOOKUP(D426,'[2]2024 - Curva ABC de Insumos'!$E$6:$R$172,14,FALSE())</f>
        <v>B</v>
      </c>
      <c r="B426" s="300" t="s">
        <v>1820</v>
      </c>
      <c r="C426" s="305" t="s">
        <v>4550</v>
      </c>
      <c r="D426" s="288" t="s">
        <v>4551</v>
      </c>
      <c r="E426" s="289" t="s">
        <v>6424</v>
      </c>
      <c r="F426" s="290" t="s">
        <v>6425</v>
      </c>
      <c r="G426" s="290" t="s">
        <v>6426</v>
      </c>
      <c r="H426" s="290"/>
      <c r="I426" s="290"/>
      <c r="J426" s="322">
        <f>SMALL(E427:I427,1)</f>
        <v>47282.77</v>
      </c>
      <c r="K426" s="187" t="str">
        <f>IF(A426="c",$M$4*J426,"")</f>
        <v/>
      </c>
      <c r="L426" s="187" t="e">
        <f>VLOOKUP(B426,[3]CPUs!D:L,9,FALSE())</f>
        <v>#N/A</v>
      </c>
      <c r="M426" s="96" t="e">
        <f>IF(J426=L426,"OK","DIF")</f>
        <v>#N/A</v>
      </c>
      <c r="N426" s="326" t="s">
        <v>6244</v>
      </c>
      <c r="O426" s="324"/>
      <c r="P426" s="279"/>
      <c r="Q426" s="279"/>
      <c r="R426" s="324"/>
      <c r="S426" s="324"/>
      <c r="T426" s="324"/>
      <c r="U426" s="324"/>
      <c r="V426" s="324"/>
      <c r="W426" s="279"/>
      <c r="X426" s="279"/>
      <c r="Y426" s="83"/>
      <c r="Z426" s="83"/>
      <c r="AA426" s="328"/>
      <c r="AB426" s="328"/>
    </row>
    <row r="427" ht="15" spans="1:28">
      <c r="A427" s="374"/>
      <c r="B427" s="291"/>
      <c r="C427" s="292"/>
      <c r="D427" s="293" t="s">
        <v>6236</v>
      </c>
      <c r="E427" s="294">
        <v>65227.37</v>
      </c>
      <c r="F427" s="295">
        <v>53006.43</v>
      </c>
      <c r="G427" s="295">
        <v>47282.77</v>
      </c>
      <c r="H427" s="295"/>
      <c r="I427" s="295"/>
      <c r="J427" s="325"/>
      <c r="K427" s="187" t="str">
        <f>IF(A427="c",$M$4*J427,"")</f>
        <v/>
      </c>
      <c r="L427" s="83"/>
      <c r="M427" s="96"/>
      <c r="N427" s="326"/>
      <c r="O427" s="324"/>
      <c r="P427" s="279"/>
      <c r="Q427" s="279"/>
      <c r="R427" s="324"/>
      <c r="S427" s="324"/>
      <c r="T427" s="324"/>
      <c r="U427" s="324"/>
      <c r="V427" s="324"/>
      <c r="W427" s="279"/>
      <c r="X427" s="279"/>
      <c r="Y427" s="83"/>
      <c r="Z427" s="83"/>
      <c r="AA427" s="328"/>
      <c r="AB427" s="328"/>
    </row>
    <row r="428" ht="15" spans="1:28">
      <c r="A428" s="374"/>
      <c r="B428" s="291"/>
      <c r="C428" s="292"/>
      <c r="D428" s="293" t="s">
        <v>6237</v>
      </c>
      <c r="E428" s="375" t="s">
        <v>6427</v>
      </c>
      <c r="F428" s="375" t="s">
        <v>6427</v>
      </c>
      <c r="G428" s="375" t="s">
        <v>6427</v>
      </c>
      <c r="H428" s="302"/>
      <c r="I428" s="302"/>
      <c r="J428" s="325"/>
      <c r="K428" s="187" t="str">
        <f>IF(A428="c",$M$4*J428,"")</f>
        <v/>
      </c>
      <c r="L428" s="83"/>
      <c r="M428" s="96"/>
      <c r="N428" s="326"/>
      <c r="O428" s="324"/>
      <c r="P428" s="279"/>
      <c r="Q428" s="279"/>
      <c r="R428" s="324"/>
      <c r="S428" s="324"/>
      <c r="T428" s="324"/>
      <c r="U428" s="324"/>
      <c r="V428" s="324"/>
      <c r="W428" s="279"/>
      <c r="X428" s="279"/>
      <c r="Y428" s="83"/>
      <c r="Z428" s="83"/>
      <c r="AA428" s="328"/>
      <c r="AB428" s="328"/>
    </row>
    <row r="429" spans="1:28">
      <c r="A429" s="374"/>
      <c r="B429" s="297"/>
      <c r="C429" s="298"/>
      <c r="D429" s="298"/>
      <c r="E429" s="298"/>
      <c r="F429" s="299"/>
      <c r="G429" s="299"/>
      <c r="H429" s="299"/>
      <c r="I429" s="299"/>
      <c r="J429" s="327"/>
      <c r="K429" s="187" t="str">
        <f>IF(A429="c",$M$4*J429,"")</f>
        <v/>
      </c>
      <c r="L429" s="328"/>
      <c r="M429" s="329"/>
      <c r="N429" s="328"/>
      <c r="O429" s="328"/>
      <c r="P429" s="328"/>
      <c r="Q429" s="328"/>
      <c r="R429" s="328"/>
      <c r="S429" s="328"/>
      <c r="T429" s="328"/>
      <c r="U429" s="328"/>
      <c r="V429" s="328"/>
      <c r="W429" s="328"/>
      <c r="X429" s="328"/>
      <c r="Y429" s="328"/>
      <c r="Z429" s="328"/>
      <c r="AA429" s="328"/>
      <c r="AB429" s="328"/>
    </row>
    <row r="430" ht="24" spans="1:28">
      <c r="A430" s="374" t="str">
        <f>VLOOKUP(D430,'[2]2024 - Curva ABC de Insumos'!$E$6:$R$172,14,FALSE())</f>
        <v>B</v>
      </c>
      <c r="B430" s="300" t="s">
        <v>1824</v>
      </c>
      <c r="C430" s="334" t="s">
        <v>4552</v>
      </c>
      <c r="D430" s="288" t="s">
        <v>4553</v>
      </c>
      <c r="E430" s="290" t="s">
        <v>6424</v>
      </c>
      <c r="F430" s="290" t="s">
        <v>6428</v>
      </c>
      <c r="G430" s="290" t="s">
        <v>6429</v>
      </c>
      <c r="H430" s="290" t="s">
        <v>6430</v>
      </c>
      <c r="I430" s="290"/>
      <c r="J430" s="322">
        <f>SMALL(E431:I431,1)</f>
        <v>291.94</v>
      </c>
      <c r="K430" s="187" t="str">
        <f>IF(A430="c",$M$4*J430,"")</f>
        <v/>
      </c>
      <c r="L430" s="187" t="e">
        <f>VLOOKUP(B431,[3]CPUs!D:L,9,FALSE())</f>
        <v>#N/A</v>
      </c>
      <c r="M430" s="96" t="e">
        <f>IF(J430=L430,"OK","DIF")</f>
        <v>#N/A</v>
      </c>
      <c r="N430" s="326" t="s">
        <v>6244</v>
      </c>
      <c r="O430" s="324"/>
      <c r="P430" s="279"/>
      <c r="Q430" s="279"/>
      <c r="R430" s="324"/>
      <c r="S430" s="324"/>
      <c r="T430" s="324"/>
      <c r="U430" s="324"/>
      <c r="V430" s="324"/>
      <c r="W430" s="279"/>
      <c r="X430" s="279"/>
      <c r="Y430" s="83"/>
      <c r="Z430" s="83"/>
      <c r="AA430" s="328"/>
      <c r="AB430" s="328"/>
    </row>
    <row r="431" ht="15" spans="1:28">
      <c r="A431" s="374"/>
      <c r="B431" s="291"/>
      <c r="C431" s="292"/>
      <c r="D431" s="293" t="s">
        <v>6236</v>
      </c>
      <c r="E431" s="295">
        <v>367.66</v>
      </c>
      <c r="F431" s="295">
        <v>385.16</v>
      </c>
      <c r="G431" s="359">
        <v>291.94</v>
      </c>
      <c r="H431" s="295">
        <v>316.09</v>
      </c>
      <c r="I431" s="295"/>
      <c r="J431" s="325"/>
      <c r="K431" s="187" t="str">
        <f>IF(A431="c",$M$4*J431,"")</f>
        <v/>
      </c>
      <c r="L431" s="83"/>
      <c r="M431" s="96"/>
      <c r="N431" s="326"/>
      <c r="O431" s="324"/>
      <c r="P431" s="279"/>
      <c r="Q431" s="279"/>
      <c r="R431" s="324"/>
      <c r="S431" s="324"/>
      <c r="T431" s="324"/>
      <c r="U431" s="324"/>
      <c r="V431" s="324"/>
      <c r="W431" s="279"/>
      <c r="X431" s="279"/>
      <c r="Y431" s="83"/>
      <c r="Z431" s="83"/>
      <c r="AA431" s="328"/>
      <c r="AB431" s="328"/>
    </row>
    <row r="432" ht="48" spans="1:28">
      <c r="A432" s="374"/>
      <c r="B432" s="291"/>
      <c r="C432" s="292"/>
      <c r="D432" s="293" t="s">
        <v>6237</v>
      </c>
      <c r="E432" s="376" t="s">
        <v>6427</v>
      </c>
      <c r="F432" s="368" t="s">
        <v>6431</v>
      </c>
      <c r="G432" s="376" t="s">
        <v>6427</v>
      </c>
      <c r="H432" s="376" t="s">
        <v>6427</v>
      </c>
      <c r="I432" s="376"/>
      <c r="J432" s="325"/>
      <c r="K432" s="187" t="str">
        <f>IF(A432="c",$M$4*J432,"")</f>
        <v/>
      </c>
      <c r="L432" s="83"/>
      <c r="M432" s="96"/>
      <c r="N432" s="326"/>
      <c r="O432" s="324"/>
      <c r="P432" s="279"/>
      <c r="Q432" s="279"/>
      <c r="R432" s="324"/>
      <c r="S432" s="324"/>
      <c r="T432" s="324"/>
      <c r="U432" s="324"/>
      <c r="V432" s="324"/>
      <c r="W432" s="279"/>
      <c r="X432" s="279"/>
      <c r="Y432" s="83"/>
      <c r="Z432" s="83"/>
      <c r="AA432" s="328"/>
      <c r="AB432" s="328"/>
    </row>
    <row r="433" spans="1:28">
      <c r="A433" s="374"/>
      <c r="B433" s="297"/>
      <c r="C433" s="298"/>
      <c r="D433" s="298"/>
      <c r="E433" s="298"/>
      <c r="F433" s="299"/>
      <c r="G433" s="299"/>
      <c r="H433" s="299"/>
      <c r="I433" s="299"/>
      <c r="J433" s="327"/>
      <c r="K433" s="187" t="str">
        <f>IF(A433="c",$M$4*J433,"")</f>
        <v/>
      </c>
      <c r="L433" s="328"/>
      <c r="M433" s="329"/>
      <c r="N433" s="328"/>
      <c r="O433" s="328"/>
      <c r="P433" s="328"/>
      <c r="Q433" s="328"/>
      <c r="R433" s="328"/>
      <c r="S433" s="328"/>
      <c r="T433" s="328"/>
      <c r="U433" s="328"/>
      <c r="V433" s="328"/>
      <c r="W433" s="328"/>
      <c r="X433" s="328"/>
      <c r="Y433" s="328"/>
      <c r="Z433" s="328"/>
      <c r="AA433" s="328"/>
      <c r="AB433" s="328"/>
    </row>
    <row r="434" ht="24" spans="1:28">
      <c r="A434" s="374" t="str">
        <f>VLOOKUP(D434,'[2]2024 - Curva ABC de Insumos'!$E$6:$R$172,14,FALSE())</f>
        <v>B</v>
      </c>
      <c r="B434" s="300" t="s">
        <v>1827</v>
      </c>
      <c r="C434" s="334" t="s">
        <v>4554</v>
      </c>
      <c r="D434" s="288" t="s">
        <v>4555</v>
      </c>
      <c r="E434" s="289" t="s">
        <v>6428</v>
      </c>
      <c r="F434" s="290" t="s">
        <v>6424</v>
      </c>
      <c r="G434" s="290" t="s">
        <v>6429</v>
      </c>
      <c r="H434" s="290" t="s">
        <v>6430</v>
      </c>
      <c r="I434" s="290"/>
      <c r="J434" s="322">
        <f>SMALL(E435:I435,1)</f>
        <v>299.26</v>
      </c>
      <c r="K434" s="187" t="str">
        <f>IF(A434="c",$M$4*J434,"")</f>
        <v/>
      </c>
      <c r="L434" s="187" t="e">
        <f>VLOOKUP(B435,[3]CPUs!D:L,9,FALSE())</f>
        <v>#N/A</v>
      </c>
      <c r="M434" s="96" t="e">
        <f>IF(J434=L434,"OK","DIF")</f>
        <v>#N/A</v>
      </c>
      <c r="N434" s="326" t="s">
        <v>6244</v>
      </c>
      <c r="O434" s="324"/>
      <c r="P434" s="279"/>
      <c r="Q434" s="279"/>
      <c r="R434" s="324"/>
      <c r="S434" s="324"/>
      <c r="T434" s="324"/>
      <c r="U434" s="324"/>
      <c r="V434" s="324"/>
      <c r="W434" s="279"/>
      <c r="X434" s="279"/>
      <c r="Y434" s="83"/>
      <c r="Z434" s="83"/>
      <c r="AA434" s="328"/>
      <c r="AB434" s="328"/>
    </row>
    <row r="435" ht="15" spans="1:28">
      <c r="A435" s="374"/>
      <c r="B435" s="291"/>
      <c r="C435" s="292"/>
      <c r="D435" s="293" t="s">
        <v>6236</v>
      </c>
      <c r="E435" s="294" t="s">
        <v>6178</v>
      </c>
      <c r="F435" s="295">
        <v>341.02</v>
      </c>
      <c r="G435" s="295">
        <v>299.26</v>
      </c>
      <c r="H435" s="295">
        <v>314.55</v>
      </c>
      <c r="I435" s="295"/>
      <c r="J435" s="325"/>
      <c r="K435" s="187" t="str">
        <f>IF(A435="c",$M$4*J435,"")</f>
        <v/>
      </c>
      <c r="L435" s="83"/>
      <c r="M435" s="96"/>
      <c r="N435" s="326"/>
      <c r="O435" s="324"/>
      <c r="P435" s="279"/>
      <c r="Q435" s="279"/>
      <c r="R435" s="324"/>
      <c r="S435" s="324"/>
      <c r="T435" s="324"/>
      <c r="U435" s="324"/>
      <c r="V435" s="324"/>
      <c r="W435" s="279"/>
      <c r="X435" s="279"/>
      <c r="Y435" s="83"/>
      <c r="Z435" s="83"/>
      <c r="AA435" s="328"/>
      <c r="AB435" s="328"/>
    </row>
    <row r="436" ht="36" spans="1:28">
      <c r="A436" s="374"/>
      <c r="B436" s="291"/>
      <c r="C436" s="292"/>
      <c r="D436" s="293" t="s">
        <v>6237</v>
      </c>
      <c r="E436" s="365" t="s">
        <v>6432</v>
      </c>
      <c r="F436" s="376" t="s">
        <v>6427</v>
      </c>
      <c r="G436" s="376" t="s">
        <v>6427</v>
      </c>
      <c r="H436" s="376" t="s">
        <v>6427</v>
      </c>
      <c r="I436" s="302"/>
      <c r="J436" s="325"/>
      <c r="K436" s="187" t="str">
        <f>IF(A436="c",$M$4*J436,"")</f>
        <v/>
      </c>
      <c r="L436" s="83"/>
      <c r="M436" s="96"/>
      <c r="N436" s="326"/>
      <c r="O436" s="324"/>
      <c r="P436" s="279"/>
      <c r="Q436" s="279"/>
      <c r="R436" s="324"/>
      <c r="S436" s="324"/>
      <c r="T436" s="324"/>
      <c r="U436" s="279"/>
      <c r="V436" s="279"/>
      <c r="W436" s="279"/>
      <c r="X436" s="279"/>
      <c r="Y436" s="83"/>
      <c r="Z436" s="83"/>
      <c r="AA436" s="328"/>
      <c r="AB436" s="328"/>
    </row>
    <row r="437" ht="15" spans="1:28">
      <c r="A437" s="374"/>
      <c r="B437" s="307"/>
      <c r="C437" s="308"/>
      <c r="D437" s="309"/>
      <c r="E437" s="310"/>
      <c r="F437" s="311"/>
      <c r="G437" s="311"/>
      <c r="H437" s="311"/>
      <c r="I437" s="311"/>
      <c r="J437" s="331"/>
      <c r="K437" s="187" t="str">
        <f>IF(A437="c",$M$4*J437,"")</f>
        <v/>
      </c>
      <c r="L437" s="83"/>
      <c r="M437" s="96"/>
      <c r="N437" s="320"/>
      <c r="O437" s="321"/>
      <c r="P437" s="321"/>
      <c r="Q437" s="321"/>
      <c r="R437" s="321"/>
      <c r="S437" s="321"/>
      <c r="T437" s="321"/>
      <c r="U437" s="321"/>
      <c r="V437" s="321"/>
      <c r="W437" s="321"/>
      <c r="X437" s="321"/>
      <c r="Y437" s="83"/>
      <c r="Z437" s="83"/>
      <c r="AA437" s="98"/>
      <c r="AB437" s="98"/>
    </row>
    <row r="438" ht="24" spans="1:28">
      <c r="A438" s="374" t="str">
        <f>VLOOKUP(D438,'[2]2024 - Curva ABC de Insumos'!$E$6:$R$172,14,FALSE())</f>
        <v>A</v>
      </c>
      <c r="B438" s="300" t="s">
        <v>1830</v>
      </c>
      <c r="C438" s="334" t="s">
        <v>4556</v>
      </c>
      <c r="D438" s="288" t="s">
        <v>4557</v>
      </c>
      <c r="E438" s="289" t="s">
        <v>6428</v>
      </c>
      <c r="F438" s="290" t="s">
        <v>6424</v>
      </c>
      <c r="G438" s="290" t="s">
        <v>6429</v>
      </c>
      <c r="H438" s="290" t="s">
        <v>6430</v>
      </c>
      <c r="I438" s="290"/>
      <c r="J438" s="322">
        <f>SMALL(E439:I439,1)</f>
        <v>38.53</v>
      </c>
      <c r="K438" s="187"/>
      <c r="L438" s="187" t="e">
        <f>VLOOKUP(B439,[3]CPUs!D:L,9,FALSE())</f>
        <v>#N/A</v>
      </c>
      <c r="M438" s="96" t="e">
        <f>IF(J438=L438,"OK","DIF")</f>
        <v>#N/A</v>
      </c>
      <c r="N438" s="326" t="s">
        <v>6244</v>
      </c>
      <c r="O438" s="324"/>
      <c r="P438" s="279"/>
      <c r="Q438" s="279"/>
      <c r="R438" s="324"/>
      <c r="S438" s="324"/>
      <c r="T438" s="324"/>
      <c r="U438" s="324"/>
      <c r="V438" s="324"/>
      <c r="W438" s="279"/>
      <c r="X438" s="279"/>
      <c r="Y438" s="83"/>
      <c r="Z438" s="83"/>
      <c r="AA438" s="328"/>
      <c r="AB438" s="328"/>
    </row>
    <row r="439" ht="15" spans="1:28">
      <c r="A439" s="374"/>
      <c r="B439" s="291"/>
      <c r="C439" s="292"/>
      <c r="D439" s="293" t="s">
        <v>6236</v>
      </c>
      <c r="E439" s="294" t="s">
        <v>6178</v>
      </c>
      <c r="F439" s="295">
        <v>48.83</v>
      </c>
      <c r="G439" s="295">
        <v>38.53</v>
      </c>
      <c r="H439" s="295">
        <v>38.64</v>
      </c>
      <c r="I439" s="295"/>
      <c r="J439" s="325"/>
      <c r="K439" s="187" t="str">
        <f>IF(A439="c",$M$4*J439,"")</f>
        <v/>
      </c>
      <c r="L439" s="83"/>
      <c r="M439" s="96"/>
      <c r="N439" s="326"/>
      <c r="O439" s="324"/>
      <c r="P439" s="279"/>
      <c r="Q439" s="279"/>
      <c r="R439" s="324"/>
      <c r="S439" s="324"/>
      <c r="T439" s="324"/>
      <c r="U439" s="324"/>
      <c r="V439" s="324"/>
      <c r="W439" s="279"/>
      <c r="X439" s="279"/>
      <c r="Y439" s="83"/>
      <c r="Z439" s="83"/>
      <c r="AA439" s="328"/>
      <c r="AB439" s="328"/>
    </row>
    <row r="440" ht="48" spans="1:28">
      <c r="A440" s="374"/>
      <c r="B440" s="291"/>
      <c r="C440" s="292"/>
      <c r="D440" s="293" t="s">
        <v>6237</v>
      </c>
      <c r="E440" s="365" t="s">
        <v>6433</v>
      </c>
      <c r="F440" s="376" t="s">
        <v>6427</v>
      </c>
      <c r="G440" s="376" t="s">
        <v>6427</v>
      </c>
      <c r="H440" s="376" t="s">
        <v>6427</v>
      </c>
      <c r="I440" s="302"/>
      <c r="J440" s="325"/>
      <c r="K440" s="187" t="str">
        <f>IF(A440="c",$M$4*J440,"")</f>
        <v/>
      </c>
      <c r="L440" s="83"/>
      <c r="M440" s="96"/>
      <c r="N440" s="326"/>
      <c r="O440" s="324"/>
      <c r="P440" s="279"/>
      <c r="Q440" s="279"/>
      <c r="R440" s="324"/>
      <c r="S440" s="324"/>
      <c r="T440" s="324"/>
      <c r="U440" s="279"/>
      <c r="V440" s="279"/>
      <c r="W440" s="279"/>
      <c r="X440" s="279"/>
      <c r="Y440" s="83"/>
      <c r="Z440" s="83"/>
      <c r="AA440" s="328"/>
      <c r="AB440" s="328"/>
    </row>
    <row r="441" spans="1:28">
      <c r="A441" s="374"/>
      <c r="B441" s="307"/>
      <c r="C441" s="308"/>
      <c r="D441" s="309"/>
      <c r="E441" s="310"/>
      <c r="F441" s="311"/>
      <c r="G441" s="311"/>
      <c r="H441" s="311"/>
      <c r="I441" s="311"/>
      <c r="J441" s="331"/>
      <c r="K441" s="187" t="str">
        <f>IF(A441="c",$M$4*J441,"")</f>
        <v/>
      </c>
      <c r="L441" s="83"/>
      <c r="M441" s="96"/>
      <c r="N441" s="326"/>
      <c r="O441" s="324"/>
      <c r="P441" s="279"/>
      <c r="Q441" s="279"/>
      <c r="R441" s="324"/>
      <c r="S441" s="324"/>
      <c r="T441" s="324"/>
      <c r="U441" s="324"/>
      <c r="V441" s="324"/>
      <c r="W441" s="279"/>
      <c r="X441" s="279"/>
      <c r="Y441" s="83"/>
      <c r="Z441" s="83"/>
      <c r="AA441" s="328"/>
      <c r="AB441" s="328"/>
    </row>
    <row r="442" ht="24" spans="1:28">
      <c r="A442" s="285" t="str">
        <f>VLOOKUP(D442,'[2]2024 - Curva ABC de Insumos'!$E$6:$R$172,14,FALSE())</f>
        <v>A</v>
      </c>
      <c r="B442" s="300" t="s">
        <v>1833</v>
      </c>
      <c r="C442" s="334" t="s">
        <v>4558</v>
      </c>
      <c r="D442" s="288" t="s">
        <v>4559</v>
      </c>
      <c r="E442" s="289" t="s">
        <v>6434</v>
      </c>
      <c r="F442" s="290" t="s">
        <v>6424</v>
      </c>
      <c r="G442" s="290" t="s">
        <v>6429</v>
      </c>
      <c r="H442" s="290" t="s">
        <v>6430</v>
      </c>
      <c r="I442" s="290"/>
      <c r="J442" s="322">
        <f>SMALL(E443:I443,1)</f>
        <v>260.31</v>
      </c>
      <c r="K442" s="379"/>
      <c r="L442" s="187" t="e">
        <f>VLOOKUP(B443,[3]CPUs!D:L,9,FALSE())</f>
        <v>#N/A</v>
      </c>
      <c r="M442" s="96" t="e">
        <f>IF(J442=L442,"OK","DIF")</f>
        <v>#N/A</v>
      </c>
      <c r="N442" s="326" t="s">
        <v>6244</v>
      </c>
      <c r="O442" s="324"/>
      <c r="P442" s="279"/>
      <c r="Q442" s="279"/>
      <c r="R442" s="324"/>
      <c r="S442" s="324"/>
      <c r="T442" s="324"/>
      <c r="U442" s="324"/>
      <c r="V442" s="324"/>
      <c r="W442" s="279"/>
      <c r="X442" s="279"/>
      <c r="Y442" s="83"/>
      <c r="Z442" s="83"/>
      <c r="AA442" s="328"/>
      <c r="AB442" s="328"/>
    </row>
    <row r="443" ht="15" spans="1:28">
      <c r="A443" s="285"/>
      <c r="B443" s="291"/>
      <c r="C443" s="292"/>
      <c r="D443" s="293" t="s">
        <v>6236</v>
      </c>
      <c r="E443" s="294" t="s">
        <v>6178</v>
      </c>
      <c r="F443" s="295">
        <v>433.9</v>
      </c>
      <c r="G443" s="295">
        <v>260.31</v>
      </c>
      <c r="H443" s="295">
        <v>290.65</v>
      </c>
      <c r="I443" s="295"/>
      <c r="J443" s="325"/>
      <c r="K443" s="187" t="str">
        <f>IF(A443="c",$M$4*J443,"")</f>
        <v/>
      </c>
      <c r="L443" s="83"/>
      <c r="M443" s="96"/>
      <c r="N443" s="326"/>
      <c r="O443" s="324"/>
      <c r="P443" s="279"/>
      <c r="Q443" s="279"/>
      <c r="R443" s="324"/>
      <c r="S443" s="324"/>
      <c r="T443" s="324"/>
      <c r="U443" s="324"/>
      <c r="V443" s="324"/>
      <c r="W443" s="279"/>
      <c r="X443" s="279"/>
      <c r="Y443" s="83"/>
      <c r="Z443" s="83"/>
      <c r="AA443" s="328"/>
      <c r="AB443" s="328"/>
    </row>
    <row r="444" ht="48" spans="1:28">
      <c r="A444" s="285"/>
      <c r="B444" s="291"/>
      <c r="C444" s="292"/>
      <c r="D444" s="293" t="s">
        <v>6237</v>
      </c>
      <c r="E444" s="365" t="s">
        <v>6435</v>
      </c>
      <c r="F444" s="376" t="s">
        <v>6427</v>
      </c>
      <c r="G444" s="376" t="s">
        <v>6427</v>
      </c>
      <c r="H444" s="376" t="s">
        <v>6427</v>
      </c>
      <c r="I444" s="302"/>
      <c r="J444" s="325"/>
      <c r="K444" s="187" t="str">
        <f>IF(A444="c",$M$4*J444,"")</f>
        <v/>
      </c>
      <c r="L444" s="83"/>
      <c r="M444" s="96"/>
      <c r="N444" s="326"/>
      <c r="O444" s="324"/>
      <c r="P444" s="279"/>
      <c r="Q444" s="279"/>
      <c r="R444" s="324"/>
      <c r="S444" s="324"/>
      <c r="T444" s="324"/>
      <c r="U444" s="279"/>
      <c r="V444" s="279"/>
      <c r="W444" s="279"/>
      <c r="X444" s="279"/>
      <c r="Y444" s="83"/>
      <c r="Z444" s="83"/>
      <c r="AA444" s="328"/>
      <c r="AB444" s="328"/>
    </row>
    <row r="445" spans="1:28">
      <c r="A445" s="285"/>
      <c r="B445" s="307"/>
      <c r="C445" s="308"/>
      <c r="D445" s="309"/>
      <c r="E445" s="310"/>
      <c r="F445" s="311"/>
      <c r="G445" s="311"/>
      <c r="H445" s="311"/>
      <c r="I445" s="311"/>
      <c r="J445" s="331"/>
      <c r="K445" s="187" t="str">
        <f>IF(A445="c",$M$4*J445,"")</f>
        <v/>
      </c>
      <c r="L445" s="83"/>
      <c r="M445" s="96"/>
      <c r="N445" s="320"/>
      <c r="O445" s="321"/>
      <c r="P445" s="321"/>
      <c r="Q445" s="321"/>
      <c r="R445" s="321"/>
      <c r="S445" s="321"/>
      <c r="T445" s="321"/>
      <c r="U445" s="321"/>
      <c r="V445" s="321"/>
      <c r="W445" s="321"/>
      <c r="X445" s="321"/>
      <c r="Y445" s="83"/>
      <c r="Z445" s="83"/>
      <c r="AA445" s="328"/>
      <c r="AB445" s="328"/>
    </row>
    <row r="446" ht="24" spans="1:28">
      <c r="A446" s="285" t="str">
        <f>VLOOKUP(D446,'[2]2024 - Curva ABC de Insumos'!$E$6:$R$172,14,FALSE())</f>
        <v>C</v>
      </c>
      <c r="B446" s="300" t="s">
        <v>1836</v>
      </c>
      <c r="C446" s="305" t="s">
        <v>4560</v>
      </c>
      <c r="D446" s="288" t="s">
        <v>4561</v>
      </c>
      <c r="E446" s="289" t="s">
        <v>6428</v>
      </c>
      <c r="F446" s="290" t="s">
        <v>6424</v>
      </c>
      <c r="G446" s="290" t="s">
        <v>6429</v>
      </c>
      <c r="H446" s="290" t="s">
        <v>6430</v>
      </c>
      <c r="I446" s="290"/>
      <c r="J446" s="322">
        <f>SMALL(E447:I447,1)</f>
        <v>227.52</v>
      </c>
      <c r="K446" s="187"/>
      <c r="L446" s="187" t="e">
        <f>VLOOKUP(B447,[3]CPUs!D:L,9,FALSE())</f>
        <v>#N/A</v>
      </c>
      <c r="M446" s="96" t="e">
        <f>IF(J446=L446,"OK","DIF")</f>
        <v>#N/A</v>
      </c>
      <c r="N446" s="326" t="s">
        <v>6244</v>
      </c>
      <c r="O446" s="321"/>
      <c r="P446" s="321"/>
      <c r="Q446" s="321"/>
      <c r="R446" s="321"/>
      <c r="S446" s="321"/>
      <c r="T446" s="321"/>
      <c r="U446" s="321"/>
      <c r="V446" s="321"/>
      <c r="W446" s="321"/>
      <c r="X446" s="321"/>
      <c r="Y446" s="83"/>
      <c r="Z446" s="83"/>
      <c r="AA446" s="98"/>
      <c r="AB446" s="98"/>
    </row>
    <row r="447" ht="15" spans="1:28">
      <c r="A447" s="285"/>
      <c r="B447" s="291"/>
      <c r="C447" s="292"/>
      <c r="D447" s="293" t="s">
        <v>6236</v>
      </c>
      <c r="E447" s="294">
        <v>322.51</v>
      </c>
      <c r="F447" s="295">
        <v>316.84</v>
      </c>
      <c r="G447" s="295">
        <v>227.52</v>
      </c>
      <c r="H447" s="295">
        <v>245.91</v>
      </c>
      <c r="I447" s="295"/>
      <c r="J447" s="325"/>
      <c r="K447" s="187" t="str">
        <f>IF(A447="c",$M$4*J447,"")</f>
        <v/>
      </c>
      <c r="L447" s="83"/>
      <c r="M447" s="96"/>
      <c r="N447" s="320"/>
      <c r="O447" s="321"/>
      <c r="P447" s="321"/>
      <c r="Q447" s="321"/>
      <c r="R447" s="321"/>
      <c r="S447" s="321"/>
      <c r="T447" s="321"/>
      <c r="U447" s="321"/>
      <c r="V447" s="321"/>
      <c r="W447" s="321"/>
      <c r="X447" s="321"/>
      <c r="Y447" s="83"/>
      <c r="Z447" s="83"/>
      <c r="AA447" s="98"/>
      <c r="AB447" s="98"/>
    </row>
    <row r="448" ht="48" spans="1:28">
      <c r="A448" s="285"/>
      <c r="B448" s="291"/>
      <c r="C448" s="292"/>
      <c r="D448" s="293" t="s">
        <v>6237</v>
      </c>
      <c r="E448" s="365" t="s">
        <v>6436</v>
      </c>
      <c r="F448" s="376" t="s">
        <v>6427</v>
      </c>
      <c r="G448" s="376" t="s">
        <v>6427</v>
      </c>
      <c r="H448" s="376" t="s">
        <v>6427</v>
      </c>
      <c r="I448" s="302"/>
      <c r="J448" s="325"/>
      <c r="K448" s="187" t="str">
        <f>IF(A448="c",$M$4*J448,"")</f>
        <v/>
      </c>
      <c r="L448" s="83"/>
      <c r="M448" s="96"/>
      <c r="N448" s="320"/>
      <c r="O448" s="321"/>
      <c r="P448" s="321"/>
      <c r="Q448" s="321"/>
      <c r="R448" s="321"/>
      <c r="S448" s="321"/>
      <c r="T448" s="321"/>
      <c r="U448" s="321"/>
      <c r="V448" s="321"/>
      <c r="W448" s="321"/>
      <c r="X448" s="321"/>
      <c r="Y448" s="83"/>
      <c r="Z448" s="83"/>
      <c r="AA448" s="98"/>
      <c r="AB448" s="98"/>
    </row>
    <row r="449" ht="15" spans="1:28">
      <c r="A449" s="285"/>
      <c r="B449" s="307"/>
      <c r="C449" s="308"/>
      <c r="D449" s="309"/>
      <c r="E449" s="310"/>
      <c r="F449" s="311"/>
      <c r="G449" s="311"/>
      <c r="H449" s="311"/>
      <c r="I449" s="311"/>
      <c r="J449" s="331"/>
      <c r="K449" s="187" t="str">
        <f>IF(A449="c",$M$4*J449,"")</f>
        <v/>
      </c>
      <c r="L449" s="83"/>
      <c r="M449" s="96"/>
      <c r="N449" s="320"/>
      <c r="O449" s="321"/>
      <c r="P449" s="321"/>
      <c r="Q449" s="321"/>
      <c r="R449" s="321"/>
      <c r="S449" s="321"/>
      <c r="T449" s="321"/>
      <c r="U449" s="321"/>
      <c r="V449" s="321"/>
      <c r="W449" s="321"/>
      <c r="X449" s="321"/>
      <c r="Y449" s="83"/>
      <c r="Z449" s="83"/>
      <c r="AA449" s="98"/>
      <c r="AB449" s="98"/>
    </row>
    <row r="450" ht="24" spans="1:28">
      <c r="A450" s="285"/>
      <c r="B450" s="300"/>
      <c r="C450" s="332" t="s">
        <v>6437</v>
      </c>
      <c r="D450" s="333" t="s">
        <v>6312</v>
      </c>
      <c r="E450" s="289"/>
      <c r="F450" s="290"/>
      <c r="G450" s="290"/>
      <c r="H450" s="290"/>
      <c r="I450" s="290"/>
      <c r="J450" s="322"/>
      <c r="K450" s="187" t="str">
        <f>IF(A450="c",$M$4*J450,"")</f>
        <v/>
      </c>
      <c r="L450" s="187"/>
      <c r="M450" s="96"/>
      <c r="N450" s="326"/>
      <c r="O450" s="324"/>
      <c r="P450" s="279"/>
      <c r="Q450" s="279"/>
      <c r="R450" s="324"/>
      <c r="S450" s="324"/>
      <c r="T450" s="324"/>
      <c r="U450" s="324"/>
      <c r="V450" s="324"/>
      <c r="W450" s="279"/>
      <c r="X450" s="279"/>
      <c r="Y450" s="83"/>
      <c r="Z450" s="83"/>
      <c r="AA450" s="328"/>
      <c r="AB450" s="328"/>
    </row>
    <row r="451" ht="15" spans="1:28">
      <c r="A451" s="285"/>
      <c r="B451" s="307"/>
      <c r="C451" s="308"/>
      <c r="D451" s="309"/>
      <c r="E451" s="310"/>
      <c r="F451" s="311"/>
      <c r="G451" s="311"/>
      <c r="H451" s="311"/>
      <c r="I451" s="311"/>
      <c r="J451" s="331"/>
      <c r="K451" s="187" t="str">
        <f>IF(A451="c",$M$4*J451,"")</f>
        <v/>
      </c>
      <c r="L451" s="83"/>
      <c r="M451" s="96"/>
      <c r="N451" s="320"/>
      <c r="O451" s="321"/>
      <c r="P451" s="321"/>
      <c r="Q451" s="321"/>
      <c r="R451" s="321"/>
      <c r="S451" s="321"/>
      <c r="T451" s="321"/>
      <c r="U451" s="321"/>
      <c r="V451" s="321"/>
      <c r="W451" s="321"/>
      <c r="X451" s="321"/>
      <c r="Y451" s="83"/>
      <c r="Z451" s="83"/>
      <c r="AA451" s="98"/>
      <c r="AB451" s="98"/>
    </row>
    <row r="452" ht="24" spans="1:28">
      <c r="A452" s="285" t="str">
        <f>VLOOKUP(D452,'[2]2024 - Curva ABC de Insumos'!$E$6:$R$172,14,FALSE())</f>
        <v>B</v>
      </c>
      <c r="B452" s="300" t="s">
        <v>1839</v>
      </c>
      <c r="C452" s="305" t="s">
        <v>4562</v>
      </c>
      <c r="D452" s="288" t="s">
        <v>4563</v>
      </c>
      <c r="E452" s="290" t="s">
        <v>6429</v>
      </c>
      <c r="F452" s="290" t="s">
        <v>6430</v>
      </c>
      <c r="G452" s="290" t="s">
        <v>6438</v>
      </c>
      <c r="H452" s="290"/>
      <c r="I452" s="290"/>
      <c r="J452" s="322">
        <f>SMALL(E453:I453,1)</f>
        <v>1567.67</v>
      </c>
      <c r="K452" s="187"/>
      <c r="L452" s="187" t="e">
        <f>VLOOKUP(B453,[3]CPUs!D:L,9,FALSE())</f>
        <v>#N/A</v>
      </c>
      <c r="M452" s="96" t="e">
        <f>IF(J452=L452,"OK","DIF")</f>
        <v>#N/A</v>
      </c>
      <c r="N452" s="326" t="s">
        <v>6244</v>
      </c>
      <c r="O452" s="324"/>
      <c r="P452" s="279"/>
      <c r="Q452" s="279"/>
      <c r="R452" s="324"/>
      <c r="S452" s="324"/>
      <c r="T452" s="324"/>
      <c r="U452" s="324"/>
      <c r="V452" s="324"/>
      <c r="W452" s="279"/>
      <c r="X452" s="279"/>
      <c r="Y452" s="83"/>
      <c r="Z452" s="83"/>
      <c r="AA452" s="328"/>
      <c r="AB452" s="328"/>
    </row>
    <row r="453" ht="15" spans="1:28">
      <c r="A453" s="285"/>
      <c r="B453" s="291"/>
      <c r="C453" s="292"/>
      <c r="D453" s="293" t="s">
        <v>6236</v>
      </c>
      <c r="E453" s="294">
        <v>2770.83</v>
      </c>
      <c r="F453" s="295">
        <v>1567.67</v>
      </c>
      <c r="G453" s="359">
        <f>2950*1.0439</f>
        <v>3079.505</v>
      </c>
      <c r="H453" s="295"/>
      <c r="I453" s="295"/>
      <c r="J453" s="325"/>
      <c r="K453" s="187"/>
      <c r="L453" s="83"/>
      <c r="M453" s="96"/>
      <c r="N453" s="326"/>
      <c r="O453" s="324"/>
      <c r="P453" s="279"/>
      <c r="Q453" s="279"/>
      <c r="R453" s="324"/>
      <c r="S453" s="324"/>
      <c r="T453" s="324"/>
      <c r="U453" s="324"/>
      <c r="V453" s="324"/>
      <c r="W453" s="279"/>
      <c r="X453" s="279"/>
      <c r="Y453" s="83"/>
      <c r="Z453" s="83"/>
      <c r="AA453" s="328"/>
      <c r="AB453" s="328"/>
    </row>
    <row r="454" ht="28.5" spans="1:28">
      <c r="A454" s="285"/>
      <c r="B454" s="291"/>
      <c r="C454" s="292"/>
      <c r="D454" s="293" t="s">
        <v>6237</v>
      </c>
      <c r="E454" s="376" t="s">
        <v>6427</v>
      </c>
      <c r="F454" s="376" t="s">
        <v>6427</v>
      </c>
      <c r="G454" s="296" t="s">
        <v>6250</v>
      </c>
      <c r="H454" s="302"/>
      <c r="I454" s="302"/>
      <c r="J454" s="325"/>
      <c r="K454" s="187" t="str">
        <f>IF(A454="c",$M$4*J454,"")</f>
        <v/>
      </c>
      <c r="L454" s="83"/>
      <c r="M454" s="96"/>
      <c r="N454" s="326"/>
      <c r="O454" s="324"/>
      <c r="P454" s="279"/>
      <c r="Q454" s="279"/>
      <c r="R454" s="324"/>
      <c r="S454" s="324"/>
      <c r="T454" s="324"/>
      <c r="U454" s="279"/>
      <c r="V454" s="279"/>
      <c r="W454" s="279"/>
      <c r="X454" s="279"/>
      <c r="Y454" s="83"/>
      <c r="Z454" s="83"/>
      <c r="AA454" s="328"/>
      <c r="AB454" s="328"/>
    </row>
    <row r="455" ht="15" spans="1:28">
      <c r="A455" s="285"/>
      <c r="B455" s="307"/>
      <c r="C455" s="308"/>
      <c r="D455" s="309"/>
      <c r="E455" s="310"/>
      <c r="F455" s="311"/>
      <c r="G455" s="311"/>
      <c r="H455" s="311"/>
      <c r="I455" s="311"/>
      <c r="J455" s="331"/>
      <c r="K455" s="187" t="str">
        <f>IF(A455="c",$M$4*J455,"")</f>
        <v/>
      </c>
      <c r="L455" s="83"/>
      <c r="M455" s="96"/>
      <c r="N455" s="320"/>
      <c r="O455" s="321"/>
      <c r="P455" s="321"/>
      <c r="Q455" s="321"/>
      <c r="R455" s="321"/>
      <c r="S455" s="321"/>
      <c r="T455" s="321"/>
      <c r="U455" s="321"/>
      <c r="V455" s="321"/>
      <c r="W455" s="321"/>
      <c r="X455" s="321"/>
      <c r="Y455" s="83"/>
      <c r="Z455" s="83"/>
      <c r="AA455" s="98"/>
      <c r="AB455" s="98"/>
    </row>
    <row r="456" ht="24" spans="1:28">
      <c r="A456" s="285" t="str">
        <f>VLOOKUP(D456,'[2]2024 - Curva ABC de Insumos'!$E$6:$R$172,14,FALSE())</f>
        <v>C</v>
      </c>
      <c r="B456" s="300" t="s">
        <v>1842</v>
      </c>
      <c r="C456" s="305" t="s">
        <v>4564</v>
      </c>
      <c r="D456" s="288" t="s">
        <v>4565</v>
      </c>
      <c r="E456" s="289" t="s">
        <v>6439</v>
      </c>
      <c r="F456" s="290" t="s">
        <v>6440</v>
      </c>
      <c r="G456" s="290" t="s">
        <v>6424</v>
      </c>
      <c r="H456" s="290"/>
      <c r="I456" s="290"/>
      <c r="J456" s="322">
        <f>SMALL(E457:I457,1)</f>
        <v>3388.81</v>
      </c>
      <c r="K456" s="187"/>
      <c r="L456" s="187" t="e">
        <f>VLOOKUP(B457,[3]CPUs!D:L,9,FALSE())</f>
        <v>#N/A</v>
      </c>
      <c r="M456" s="96" t="e">
        <f>IF(J456=L456,"OK","DIF")</f>
        <v>#N/A</v>
      </c>
      <c r="N456" s="326" t="s">
        <v>6244</v>
      </c>
      <c r="O456" s="324"/>
      <c r="P456" s="279"/>
      <c r="Q456" s="279"/>
      <c r="R456" s="324"/>
      <c r="S456" s="324"/>
      <c r="T456" s="324"/>
      <c r="U456" s="324"/>
      <c r="V456" s="324"/>
      <c r="W456" s="279"/>
      <c r="X456" s="279"/>
      <c r="Y456" s="83"/>
      <c r="Z456" s="83"/>
      <c r="AA456" s="328"/>
      <c r="AB456" s="328"/>
    </row>
    <row r="457" ht="15" spans="1:28">
      <c r="A457" s="285"/>
      <c r="B457" s="291"/>
      <c r="C457" s="292"/>
      <c r="D457" s="293" t="s">
        <v>6236</v>
      </c>
      <c r="E457" s="358">
        <v>3585.32</v>
      </c>
      <c r="F457" s="381">
        <v>3388.81</v>
      </c>
      <c r="G457" s="295">
        <v>4313.78</v>
      </c>
      <c r="H457" s="295"/>
      <c r="I457" s="295"/>
      <c r="J457" s="325"/>
      <c r="K457" s="187"/>
      <c r="L457" s="83"/>
      <c r="M457" s="96"/>
      <c r="N457" s="326"/>
      <c r="O457" s="324"/>
      <c r="P457" s="279"/>
      <c r="Q457" s="279"/>
      <c r="R457" s="324"/>
      <c r="S457" s="324"/>
      <c r="T457" s="324"/>
      <c r="U457" s="324"/>
      <c r="V457" s="324"/>
      <c r="W457" s="279"/>
      <c r="X457" s="279"/>
      <c r="Y457" s="83"/>
      <c r="Z457" s="83"/>
      <c r="AA457" s="328"/>
      <c r="AB457" s="328"/>
    </row>
    <row r="458" ht="60" spans="1:28">
      <c r="A458" s="285"/>
      <c r="B458" s="291"/>
      <c r="C458" s="292"/>
      <c r="D458" s="293" t="s">
        <v>6237</v>
      </c>
      <c r="E458" s="376" t="s">
        <v>6427</v>
      </c>
      <c r="F458" s="368" t="s">
        <v>6441</v>
      </c>
      <c r="G458" s="376" t="s">
        <v>6427</v>
      </c>
      <c r="H458" s="382"/>
      <c r="I458" s="302"/>
      <c r="J458" s="325"/>
      <c r="K458" s="330"/>
      <c r="L458" s="83"/>
      <c r="M458" s="96"/>
      <c r="N458" s="326"/>
      <c r="O458" s="324"/>
      <c r="P458" s="279"/>
      <c r="Q458" s="279"/>
      <c r="R458" s="324"/>
      <c r="S458" s="324"/>
      <c r="T458" s="324"/>
      <c r="U458" s="279"/>
      <c r="V458" s="279"/>
      <c r="W458" s="279"/>
      <c r="X458" s="279"/>
      <c r="Y458" s="83"/>
      <c r="Z458" s="83"/>
      <c r="AA458" s="328"/>
      <c r="AB458" s="328"/>
    </row>
    <row r="459" ht="15" spans="1:28">
      <c r="A459" s="285"/>
      <c r="B459" s="307"/>
      <c r="C459" s="308"/>
      <c r="D459" s="309"/>
      <c r="E459" s="310"/>
      <c r="F459" s="311"/>
      <c r="G459" s="311"/>
      <c r="H459" s="311"/>
      <c r="I459" s="311"/>
      <c r="J459" s="331"/>
      <c r="K459" s="187" t="str">
        <f>IF(A459="c",$M$4*J459,"")</f>
        <v/>
      </c>
      <c r="L459" s="83"/>
      <c r="M459" s="96"/>
      <c r="N459" s="320"/>
      <c r="O459" s="321"/>
      <c r="P459" s="321"/>
      <c r="Q459" s="321"/>
      <c r="R459" s="321"/>
      <c r="S459" s="321"/>
      <c r="T459" s="321"/>
      <c r="U459" s="321"/>
      <c r="V459" s="321"/>
      <c r="W459" s="321"/>
      <c r="X459" s="321"/>
      <c r="Y459" s="83"/>
      <c r="Z459" s="83"/>
      <c r="AA459" s="98"/>
      <c r="AB459" s="98"/>
    </row>
    <row r="460" ht="24" spans="1:28">
      <c r="A460" s="285" t="str">
        <f>VLOOKUP(D460,'[2]2024 - Curva ABC de Insumos'!$E$6:$R$172,14,FALSE())</f>
        <v>B</v>
      </c>
      <c r="B460" s="300" t="s">
        <v>1845</v>
      </c>
      <c r="C460" s="334" t="s">
        <v>4566</v>
      </c>
      <c r="D460" s="288" t="s">
        <v>4567</v>
      </c>
      <c r="E460" s="289" t="s">
        <v>6428</v>
      </c>
      <c r="F460" s="290" t="s">
        <v>6424</v>
      </c>
      <c r="G460" s="290" t="s">
        <v>6429</v>
      </c>
      <c r="H460" s="290" t="s">
        <v>6430</v>
      </c>
      <c r="I460" s="290"/>
      <c r="J460" s="322">
        <f>SMALL(E461:I461,1)</f>
        <v>269.18</v>
      </c>
      <c r="K460" s="187" t="str">
        <f>IF(A460="c",$M$4*J460,"")</f>
        <v/>
      </c>
      <c r="L460" s="187" t="e">
        <f>VLOOKUP(B461,[3]CPUs!D:L,9,FALSE())</f>
        <v>#N/A</v>
      </c>
      <c r="M460" s="96" t="e">
        <f>IF(J460=L460,"OK","DIF")</f>
        <v>#N/A</v>
      </c>
      <c r="N460" s="326" t="s">
        <v>6244</v>
      </c>
      <c r="O460" s="324"/>
      <c r="P460" s="279"/>
      <c r="Q460" s="279"/>
      <c r="R460" s="324"/>
      <c r="S460" s="324"/>
      <c r="T460" s="324"/>
      <c r="U460" s="324"/>
      <c r="V460" s="324"/>
      <c r="W460" s="279"/>
      <c r="X460" s="279"/>
      <c r="Y460" s="83"/>
      <c r="Z460" s="83"/>
      <c r="AA460" s="328"/>
      <c r="AB460" s="328"/>
    </row>
    <row r="461" ht="15" spans="1:28">
      <c r="A461" s="285"/>
      <c r="B461" s="291"/>
      <c r="C461" s="292"/>
      <c r="D461" s="293" t="s">
        <v>6236</v>
      </c>
      <c r="E461" s="294">
        <v>388.76</v>
      </c>
      <c r="F461" s="295">
        <v>410.97</v>
      </c>
      <c r="G461" s="295">
        <v>269.18</v>
      </c>
      <c r="H461" s="295">
        <v>318.99</v>
      </c>
      <c r="I461" s="295"/>
      <c r="J461" s="325"/>
      <c r="K461" s="187"/>
      <c r="L461" s="83"/>
      <c r="M461" s="96"/>
      <c r="N461" s="326"/>
      <c r="O461" s="324"/>
      <c r="P461" s="279"/>
      <c r="Q461" s="279"/>
      <c r="R461" s="324"/>
      <c r="S461" s="324"/>
      <c r="T461" s="324"/>
      <c r="U461" s="324"/>
      <c r="V461" s="324"/>
      <c r="W461" s="279"/>
      <c r="X461" s="279"/>
      <c r="Y461" s="83"/>
      <c r="Z461" s="83"/>
      <c r="AA461" s="328"/>
      <c r="AB461" s="328"/>
    </row>
    <row r="462" ht="36" spans="1:28">
      <c r="A462" s="285"/>
      <c r="B462" s="291"/>
      <c r="C462" s="292"/>
      <c r="D462" s="293" t="s">
        <v>6237</v>
      </c>
      <c r="E462" s="365" t="s">
        <v>6442</v>
      </c>
      <c r="F462" s="376" t="s">
        <v>6427</v>
      </c>
      <c r="G462" s="376" t="s">
        <v>6427</v>
      </c>
      <c r="H462" s="376" t="s">
        <v>6427</v>
      </c>
      <c r="I462" s="302"/>
      <c r="J462" s="325"/>
      <c r="K462" s="187" t="str">
        <f>IF(A462="c",$M$4*J462,"")</f>
        <v/>
      </c>
      <c r="L462" s="83"/>
      <c r="M462" s="96"/>
      <c r="N462" s="326"/>
      <c r="O462" s="324"/>
      <c r="P462" s="279"/>
      <c r="Q462" s="279"/>
      <c r="R462" s="324"/>
      <c r="S462" s="324"/>
      <c r="T462" s="324"/>
      <c r="U462" s="279"/>
      <c r="V462" s="279"/>
      <c r="W462" s="279"/>
      <c r="X462" s="279"/>
      <c r="Y462" s="83"/>
      <c r="Z462" s="83"/>
      <c r="AA462" s="328"/>
      <c r="AB462" s="328"/>
    </row>
    <row r="463" ht="15" spans="1:28">
      <c r="A463" s="285"/>
      <c r="B463" s="307"/>
      <c r="C463" s="308"/>
      <c r="D463" s="309"/>
      <c r="E463" s="310"/>
      <c r="F463" s="311"/>
      <c r="G463" s="311"/>
      <c r="H463" s="311"/>
      <c r="I463" s="311"/>
      <c r="J463" s="331"/>
      <c r="K463" s="187" t="str">
        <f>IF(A463="c",$M$4*J463,"")</f>
        <v/>
      </c>
      <c r="L463" s="83"/>
      <c r="M463" s="96"/>
      <c r="N463" s="320"/>
      <c r="O463" s="321"/>
      <c r="P463" s="321"/>
      <c r="Q463" s="321"/>
      <c r="R463" s="321"/>
      <c r="S463" s="321"/>
      <c r="T463" s="321"/>
      <c r="U463" s="321"/>
      <c r="V463" s="321"/>
      <c r="W463" s="321"/>
      <c r="X463" s="321"/>
      <c r="Y463" s="83"/>
      <c r="Z463" s="83"/>
      <c r="AA463" s="98"/>
      <c r="AB463" s="98"/>
    </row>
    <row r="464" ht="24" spans="1:28">
      <c r="A464" s="285" t="str">
        <f>VLOOKUP(D464,'[2]2024 - Curva ABC de Insumos'!$E$6:$R$172,14,FALSE())</f>
        <v>C</v>
      </c>
      <c r="B464" s="300" t="s">
        <v>1890</v>
      </c>
      <c r="C464" s="305" t="s">
        <v>4592</v>
      </c>
      <c r="D464" s="288" t="s">
        <v>4593</v>
      </c>
      <c r="E464" s="289" t="s">
        <v>6443</v>
      </c>
      <c r="F464" s="290" t="s">
        <v>6444</v>
      </c>
      <c r="G464" s="290" t="s">
        <v>6445</v>
      </c>
      <c r="H464" s="290" t="s">
        <v>6446</v>
      </c>
      <c r="I464" s="290"/>
      <c r="J464" s="322">
        <f>SMALL(E465:I465,1)</f>
        <v>22.72</v>
      </c>
      <c r="K464" s="187"/>
      <c r="L464" s="187" t="e">
        <f>VLOOKUP(B465,[3]CPUs!D:L,9,FALSE())</f>
        <v>#N/A</v>
      </c>
      <c r="M464" s="96" t="e">
        <f>IF(J464=L464,"OK","DIF")</f>
        <v>#N/A</v>
      </c>
      <c r="N464" s="378" t="s">
        <v>6244</v>
      </c>
      <c r="O464" s="324"/>
      <c r="P464" s="279"/>
      <c r="Q464" s="279"/>
      <c r="R464" s="324"/>
      <c r="S464" s="324"/>
      <c r="T464" s="324"/>
      <c r="U464" s="324"/>
      <c r="V464" s="324"/>
      <c r="W464" s="279"/>
      <c r="X464" s="279"/>
      <c r="Y464" s="83"/>
      <c r="Z464" s="83"/>
      <c r="AA464" s="328"/>
      <c r="AB464" s="328"/>
    </row>
    <row r="465" ht="15" spans="1:28">
      <c r="A465" s="285"/>
      <c r="B465" s="291"/>
      <c r="C465" s="292"/>
      <c r="D465" s="293" t="s">
        <v>6236</v>
      </c>
      <c r="E465" s="294">
        <v>28</v>
      </c>
      <c r="F465" s="359">
        <v>22.72</v>
      </c>
      <c r="G465" s="295">
        <v>27</v>
      </c>
      <c r="H465" s="295">
        <v>30.9</v>
      </c>
      <c r="I465" s="295"/>
      <c r="J465" s="325"/>
      <c r="L465" s="83"/>
      <c r="M465" s="96"/>
      <c r="N465" s="386"/>
      <c r="O465" s="324"/>
      <c r="P465" s="279"/>
      <c r="Q465" s="279"/>
      <c r="R465" s="324"/>
      <c r="S465" s="324"/>
      <c r="T465" s="324"/>
      <c r="U465" s="324"/>
      <c r="V465" s="324"/>
      <c r="W465" s="279"/>
      <c r="X465" s="279"/>
      <c r="Y465" s="83"/>
      <c r="Z465" s="83"/>
      <c r="AA465" s="328"/>
      <c r="AB465" s="328"/>
    </row>
    <row r="466" ht="132" spans="1:28">
      <c r="A466" s="285"/>
      <c r="B466" s="291"/>
      <c r="C466" s="292"/>
      <c r="D466" s="293" t="s">
        <v>6237</v>
      </c>
      <c r="E466" s="365" t="s">
        <v>6447</v>
      </c>
      <c r="F466" s="376" t="s">
        <v>6427</v>
      </c>
      <c r="G466" s="365" t="s">
        <v>6448</v>
      </c>
      <c r="H466" s="366" t="s">
        <v>6449</v>
      </c>
      <c r="I466" s="376"/>
      <c r="J466" s="325"/>
      <c r="L466" s="83"/>
      <c r="M466" s="96"/>
      <c r="N466" s="326"/>
      <c r="O466" s="324"/>
      <c r="P466" s="279"/>
      <c r="Q466" s="279"/>
      <c r="R466" s="324"/>
      <c r="S466" s="324"/>
      <c r="T466" s="324"/>
      <c r="U466" s="279"/>
      <c r="V466" s="279"/>
      <c r="W466" s="279"/>
      <c r="X466" s="279"/>
      <c r="Y466" s="83"/>
      <c r="Z466" s="83"/>
      <c r="AA466" s="328"/>
      <c r="AB466" s="328"/>
    </row>
    <row r="467" ht="15" spans="1:28">
      <c r="A467" s="285"/>
      <c r="B467" s="307"/>
      <c r="C467" s="308"/>
      <c r="D467" s="309"/>
      <c r="E467" s="310"/>
      <c r="F467" s="311"/>
      <c r="G467" s="311"/>
      <c r="H467" s="311"/>
      <c r="I467" s="311"/>
      <c r="J467" s="331"/>
      <c r="K467" s="187" t="str">
        <f>IF(A467="c",$M$4*J467,"")</f>
        <v/>
      </c>
      <c r="L467" s="83"/>
      <c r="M467" s="96"/>
      <c r="N467" s="320"/>
      <c r="O467" s="321"/>
      <c r="P467" s="321"/>
      <c r="Q467" s="321"/>
      <c r="R467" s="321"/>
      <c r="S467" s="321"/>
      <c r="T467" s="321"/>
      <c r="U467" s="321"/>
      <c r="V467" s="321"/>
      <c r="W467" s="321"/>
      <c r="X467" s="321"/>
      <c r="Y467" s="83"/>
      <c r="Z467" s="83"/>
      <c r="AA467" s="98"/>
      <c r="AB467" s="98"/>
    </row>
    <row r="468" ht="24" spans="1:28">
      <c r="A468" s="285" t="str">
        <f>VLOOKUP(D468,'[2]2024 - Curva ABC de Insumos'!$E$6:$R$172,14,FALSE())</f>
        <v>B</v>
      </c>
      <c r="B468" s="300" t="s">
        <v>1944</v>
      </c>
      <c r="C468" s="334" t="s">
        <v>4638</v>
      </c>
      <c r="D468" s="288" t="s">
        <v>1946</v>
      </c>
      <c r="E468" s="289" t="s">
        <v>6450</v>
      </c>
      <c r="F468" s="290" t="s">
        <v>6451</v>
      </c>
      <c r="G468" s="289" t="s">
        <v>6452</v>
      </c>
      <c r="H468" s="290"/>
      <c r="I468" s="289"/>
      <c r="J468" s="322">
        <f>SMALL(E469:I469,1)</f>
        <v>5990</v>
      </c>
      <c r="K468" s="187" t="str">
        <f>IF(A468="c",$M$4*J468,"")</f>
        <v/>
      </c>
      <c r="L468" s="187" t="e">
        <f>VLOOKUP(B469,[3]CPUs!D:L,9,FALSE())</f>
        <v>#N/A</v>
      </c>
      <c r="M468" s="96" t="e">
        <f>IF(J468=L468,"OK","DIF")</f>
        <v>#N/A</v>
      </c>
      <c r="N468" s="378" t="s">
        <v>6244</v>
      </c>
      <c r="O468" s="324"/>
      <c r="P468" s="279"/>
      <c r="Q468" s="279"/>
      <c r="R468" s="324"/>
      <c r="S468" s="324"/>
      <c r="T468" s="324"/>
      <c r="U468" s="324"/>
      <c r="V468" s="324"/>
      <c r="W468" s="279"/>
      <c r="X468" s="279"/>
      <c r="Y468" s="83"/>
      <c r="Z468" s="83"/>
      <c r="AA468" s="328"/>
      <c r="AB468" s="328"/>
    </row>
    <row r="469" ht="15" spans="1:28">
      <c r="A469" s="285"/>
      <c r="B469" s="291"/>
      <c r="C469" s="292"/>
      <c r="D469" s="293" t="s">
        <v>6236</v>
      </c>
      <c r="E469" s="294">
        <v>5990</v>
      </c>
      <c r="F469" s="295">
        <v>6868</v>
      </c>
      <c r="G469" s="294">
        <v>7120</v>
      </c>
      <c r="H469" s="295"/>
      <c r="I469" s="295"/>
      <c r="J469" s="325"/>
      <c r="K469" s="187" t="str">
        <f>IF(A469="c",$M$4*J469,"")</f>
        <v/>
      </c>
      <c r="L469" s="83"/>
      <c r="M469" s="96"/>
      <c r="N469" s="326"/>
      <c r="O469" s="324"/>
      <c r="P469" s="279"/>
      <c r="Q469" s="279"/>
      <c r="R469" s="324"/>
      <c r="S469" s="324"/>
      <c r="T469" s="324"/>
      <c r="U469" s="324"/>
      <c r="V469" s="324"/>
      <c r="W469" s="279"/>
      <c r="X469" s="279"/>
      <c r="Y469" s="83"/>
      <c r="Z469" s="83"/>
      <c r="AA469" s="328"/>
      <c r="AB469" s="328"/>
    </row>
    <row r="470" ht="15" spans="1:28">
      <c r="A470" s="285"/>
      <c r="B470" s="291"/>
      <c r="C470" s="292"/>
      <c r="D470" s="293" t="s">
        <v>6237</v>
      </c>
      <c r="E470" s="376" t="s">
        <v>6427</v>
      </c>
      <c r="F470" s="376" t="s">
        <v>6427</v>
      </c>
      <c r="G470" s="376" t="s">
        <v>6427</v>
      </c>
      <c r="H470" s="302"/>
      <c r="I470" s="302"/>
      <c r="J470" s="325"/>
      <c r="K470" s="187" t="str">
        <f>IF(A470="c",$M$4*J470,"")</f>
        <v/>
      </c>
      <c r="L470" s="83"/>
      <c r="M470" s="96"/>
      <c r="N470" s="326"/>
      <c r="O470" s="324"/>
      <c r="P470" s="279"/>
      <c r="Q470" s="279"/>
      <c r="R470" s="324"/>
      <c r="S470" s="324"/>
      <c r="T470" s="324"/>
      <c r="U470" s="279"/>
      <c r="V470" s="279"/>
      <c r="W470" s="279"/>
      <c r="X470" s="279"/>
      <c r="Y470" s="83"/>
      <c r="Z470" s="83"/>
      <c r="AA470" s="328"/>
      <c r="AB470" s="328"/>
    </row>
    <row r="471" ht="15" spans="1:28">
      <c r="A471" s="285"/>
      <c r="B471" s="307"/>
      <c r="C471" s="308"/>
      <c r="D471" s="309"/>
      <c r="E471" s="310"/>
      <c r="F471" s="311"/>
      <c r="G471" s="311"/>
      <c r="H471" s="311"/>
      <c r="I471" s="311"/>
      <c r="J471" s="331"/>
      <c r="K471" s="187" t="str">
        <f>IF(A471="c",$M$4*J471,"")</f>
        <v/>
      </c>
      <c r="L471" s="83"/>
      <c r="M471" s="96"/>
      <c r="N471" s="320"/>
      <c r="O471" s="321"/>
      <c r="P471" s="321"/>
      <c r="Q471" s="321"/>
      <c r="R471" s="321"/>
      <c r="S471" s="321"/>
      <c r="T471" s="321"/>
      <c r="U471" s="321"/>
      <c r="V471" s="321"/>
      <c r="W471" s="321"/>
      <c r="X471" s="321"/>
      <c r="Y471" s="83"/>
      <c r="Z471" s="83"/>
      <c r="AA471" s="98"/>
      <c r="AB471" s="98"/>
    </row>
    <row r="472" ht="22.35" customHeight="1" spans="1:28">
      <c r="A472" s="303" t="str">
        <f>VLOOKUP(D472,'[2]2024 - Curva ABC de Insumos'!$E$6:$R$172,14,FALSE())</f>
        <v>B</v>
      </c>
      <c r="B472" s="369" t="s">
        <v>1947</v>
      </c>
      <c r="C472" s="370" t="s">
        <v>6453</v>
      </c>
      <c r="D472" s="371" t="s">
        <v>6454</v>
      </c>
      <c r="E472" s="372" t="s">
        <v>6423</v>
      </c>
      <c r="F472" s="372"/>
      <c r="G472" s="372"/>
      <c r="H472" s="372"/>
      <c r="I472" s="372"/>
      <c r="J472" s="372"/>
      <c r="K472" s="379"/>
      <c r="L472" s="187" t="e">
        <f>VLOOKUP(B474,[3]CPUs!D:L,9,FALSE())</f>
        <v>#N/A</v>
      </c>
      <c r="M472" s="96" t="e">
        <f>IF(J472=L472,"OK","DIF")</f>
        <v>#N/A</v>
      </c>
      <c r="N472" s="326" t="s">
        <v>6344</v>
      </c>
      <c r="O472" s="324"/>
      <c r="P472" s="279"/>
      <c r="Q472" s="279"/>
      <c r="R472" s="324"/>
      <c r="S472" s="324"/>
      <c r="T472" s="324"/>
      <c r="U472" s="324"/>
      <c r="V472" s="324"/>
      <c r="W472" s="279"/>
      <c r="X472" s="279"/>
      <c r="Y472" s="83"/>
      <c r="Z472" s="83"/>
      <c r="AA472" s="328"/>
      <c r="AB472" s="328"/>
    </row>
    <row r="473" ht="15" spans="1:28">
      <c r="A473" s="303"/>
      <c r="B473" s="355"/>
      <c r="C473" s="356"/>
      <c r="D473" s="357" t="s">
        <v>6236</v>
      </c>
      <c r="E473" s="358"/>
      <c r="F473" s="359"/>
      <c r="G473" s="359"/>
      <c r="H473" s="359"/>
      <c r="I473" s="359"/>
      <c r="J473" s="363"/>
      <c r="K473" s="187" t="str">
        <f>IF(A473="c",$M$4*J473,"")</f>
        <v/>
      </c>
      <c r="L473" s="83"/>
      <c r="M473" s="96"/>
      <c r="N473" s="326"/>
      <c r="O473" s="324"/>
      <c r="P473" s="279"/>
      <c r="Q473" s="279"/>
      <c r="R473" s="324"/>
      <c r="S473" s="324"/>
      <c r="T473" s="324"/>
      <c r="U473" s="324"/>
      <c r="V473" s="324"/>
      <c r="W473" s="279"/>
      <c r="X473" s="279"/>
      <c r="Y473" s="83"/>
      <c r="Z473" s="83"/>
      <c r="AA473" s="328"/>
      <c r="AB473" s="328"/>
    </row>
    <row r="474" ht="15" spans="1:28">
      <c r="A474" s="303"/>
      <c r="B474" s="355"/>
      <c r="C474" s="356"/>
      <c r="D474" s="357" t="s">
        <v>6237</v>
      </c>
      <c r="E474" s="360"/>
      <c r="F474" s="373"/>
      <c r="G474" s="383"/>
      <c r="H474" s="362"/>
      <c r="I474" s="362"/>
      <c r="J474" s="363"/>
      <c r="K474" s="187" t="str">
        <f>IF(A474="c",$M$4*J474,"")</f>
        <v/>
      </c>
      <c r="L474" s="83"/>
      <c r="M474" s="96"/>
      <c r="N474" s="326"/>
      <c r="O474" s="324"/>
      <c r="P474" s="279"/>
      <c r="Q474" s="279"/>
      <c r="R474" s="324"/>
      <c r="S474" s="324"/>
      <c r="T474" s="324"/>
      <c r="U474" s="279"/>
      <c r="V474" s="279"/>
      <c r="W474" s="279"/>
      <c r="X474" s="279"/>
      <c r="Y474" s="83"/>
      <c r="Z474" s="83"/>
      <c r="AA474" s="328"/>
      <c r="AB474" s="328"/>
    </row>
    <row r="475" ht="15" spans="1:28">
      <c r="A475" s="285"/>
      <c r="B475" s="307"/>
      <c r="C475" s="308"/>
      <c r="D475" s="309"/>
      <c r="E475" s="310"/>
      <c r="F475" s="311"/>
      <c r="G475" s="311"/>
      <c r="H475" s="311"/>
      <c r="I475" s="311"/>
      <c r="J475" s="331"/>
      <c r="K475" s="187" t="str">
        <f>IF(A475="c",$M$4*J475,"")</f>
        <v/>
      </c>
      <c r="L475" s="83"/>
      <c r="M475" s="96"/>
      <c r="N475" s="320"/>
      <c r="O475" s="321"/>
      <c r="P475" s="321"/>
      <c r="Q475" s="321"/>
      <c r="R475" s="321"/>
      <c r="S475" s="321"/>
      <c r="T475" s="321"/>
      <c r="U475" s="321"/>
      <c r="V475" s="321"/>
      <c r="W475" s="321"/>
      <c r="X475" s="321"/>
      <c r="Y475" s="83"/>
      <c r="Z475" s="83"/>
      <c r="AA475" s="98"/>
      <c r="AB475" s="98"/>
    </row>
    <row r="476" ht="24" spans="1:28">
      <c r="A476" s="285" t="str">
        <f>VLOOKUP(D476,'[2]2024 - Curva ABC de Insumos'!$E$6:$R$172,14,FALSE())</f>
        <v>C</v>
      </c>
      <c r="B476" s="300" t="s">
        <v>1950</v>
      </c>
      <c r="C476" s="305" t="s">
        <v>4641</v>
      </c>
      <c r="D476" s="288" t="s">
        <v>4642</v>
      </c>
      <c r="E476" s="289" t="s">
        <v>6455</v>
      </c>
      <c r="F476" s="384" t="s">
        <v>6456</v>
      </c>
      <c r="G476" s="290" t="s">
        <v>6428</v>
      </c>
      <c r="H476" s="290"/>
      <c r="I476" s="290"/>
      <c r="J476" s="322">
        <f>SMALL(E477:I477,1)</f>
        <v>163</v>
      </c>
      <c r="K476" s="187"/>
      <c r="L476" s="187" t="e">
        <f>VLOOKUP(B478,[3]CPUs!D:L,9,FALSE())</f>
        <v>#N/A</v>
      </c>
      <c r="M476" s="96" t="e">
        <f>IF(J476=L476,"OK","DIF")</f>
        <v>#N/A</v>
      </c>
      <c r="N476" s="326" t="s">
        <v>6344</v>
      </c>
      <c r="O476" s="324"/>
      <c r="P476" s="279"/>
      <c r="Q476" s="279"/>
      <c r="R476" s="324"/>
      <c r="S476" s="324"/>
      <c r="T476" s="324"/>
      <c r="U476" s="324"/>
      <c r="V476" s="324"/>
      <c r="W476" s="279"/>
      <c r="X476" s="279"/>
      <c r="Y476" s="83"/>
      <c r="Z476" s="83"/>
      <c r="AA476" s="328"/>
      <c r="AB476" s="328"/>
    </row>
    <row r="477" ht="15" spans="1:28">
      <c r="A477" s="285"/>
      <c r="B477" s="291"/>
      <c r="C477" s="292"/>
      <c r="D477" s="293" t="s">
        <v>6236</v>
      </c>
      <c r="E477" s="294">
        <v>480.16</v>
      </c>
      <c r="F477" s="359">
        <v>163</v>
      </c>
      <c r="G477" s="295">
        <v>216.56</v>
      </c>
      <c r="H477" s="295"/>
      <c r="I477" s="295"/>
      <c r="J477" s="325"/>
      <c r="K477" s="187"/>
      <c r="L477" s="83"/>
      <c r="M477" s="96"/>
      <c r="O477" s="324"/>
      <c r="P477" s="279"/>
      <c r="Q477" s="279"/>
      <c r="R477" s="324"/>
      <c r="S477" s="324"/>
      <c r="T477" s="324"/>
      <c r="U477" s="324"/>
      <c r="V477" s="324"/>
      <c r="W477" s="279"/>
      <c r="X477" s="279"/>
      <c r="Y477" s="83"/>
      <c r="Z477" s="83"/>
      <c r="AA477" s="328"/>
      <c r="AB477" s="328"/>
    </row>
    <row r="478" ht="144" spans="1:28">
      <c r="A478" s="285"/>
      <c r="B478" s="291"/>
      <c r="C478" s="292"/>
      <c r="D478" s="293" t="s">
        <v>6237</v>
      </c>
      <c r="E478" s="365" t="s">
        <v>6457</v>
      </c>
      <c r="F478" s="376" t="s">
        <v>6427</v>
      </c>
      <c r="G478" s="365" t="s">
        <v>6458</v>
      </c>
      <c r="H478" s="302"/>
      <c r="I478" s="302"/>
      <c r="J478" s="325"/>
      <c r="K478" s="187" t="str">
        <f>IF(A478="c",$M$4*J478,"")</f>
        <v/>
      </c>
      <c r="L478" s="83"/>
      <c r="M478" s="96"/>
      <c r="N478" s="326"/>
      <c r="O478" s="324"/>
      <c r="P478" s="279"/>
      <c r="Q478" s="279"/>
      <c r="R478" s="324"/>
      <c r="S478" s="324"/>
      <c r="T478" s="324"/>
      <c r="U478" s="279"/>
      <c r="V478" s="279"/>
      <c r="W478" s="279"/>
      <c r="X478" s="279"/>
      <c r="Y478" s="83"/>
      <c r="Z478" s="83"/>
      <c r="AA478" s="328"/>
      <c r="AB478" s="328"/>
    </row>
    <row r="479" ht="15" spans="1:28">
      <c r="A479" s="285"/>
      <c r="B479" s="307"/>
      <c r="C479" s="308"/>
      <c r="D479" s="309"/>
      <c r="E479" s="310"/>
      <c r="F479" s="311"/>
      <c r="G479" s="311"/>
      <c r="H479" s="311"/>
      <c r="I479" s="311"/>
      <c r="J479" s="331"/>
      <c r="K479" s="187" t="str">
        <f>IF(A479="c",$M$4*J479,"")</f>
        <v/>
      </c>
      <c r="L479" s="83"/>
      <c r="M479" s="96"/>
      <c r="N479" s="320"/>
      <c r="O479" s="321"/>
      <c r="P479" s="321"/>
      <c r="Q479" s="321"/>
      <c r="R479" s="321"/>
      <c r="S479" s="321"/>
      <c r="T479" s="321"/>
      <c r="U479" s="321"/>
      <c r="V479" s="321"/>
      <c r="W479" s="321"/>
      <c r="X479" s="321"/>
      <c r="Y479" s="83"/>
      <c r="Z479" s="83"/>
      <c r="AA479" s="98"/>
      <c r="AB479" s="98"/>
    </row>
    <row r="480" ht="22.35" customHeight="1" spans="1:28">
      <c r="A480" s="303" t="str">
        <f>VLOOKUP(D480,'[2]2024 - Curva ABC de Insumos'!$E$6:$R$172,14,FALSE())</f>
        <v>A</v>
      </c>
      <c r="B480" s="369" t="s">
        <v>1953</v>
      </c>
      <c r="C480" s="370" t="s">
        <v>6459</v>
      </c>
      <c r="D480" s="371" t="s">
        <v>6460</v>
      </c>
      <c r="E480" s="372" t="s">
        <v>6423</v>
      </c>
      <c r="F480" s="372"/>
      <c r="G480" s="372"/>
      <c r="H480" s="372"/>
      <c r="I480" s="372"/>
      <c r="J480" s="372"/>
      <c r="K480" s="379"/>
      <c r="L480" s="187" t="e">
        <f>VLOOKUP(B483,[3]CPUs!D:L,9,FALSE())</f>
        <v>#N/A</v>
      </c>
      <c r="M480" s="96" t="e">
        <f>IF(J480=L480,"OK","DIF")</f>
        <v>#N/A</v>
      </c>
      <c r="N480" s="326" t="s">
        <v>6344</v>
      </c>
      <c r="O480" s="324"/>
      <c r="P480" s="279"/>
      <c r="Q480" s="279"/>
      <c r="R480" s="324"/>
      <c r="S480" s="324"/>
      <c r="T480" s="324"/>
      <c r="U480" s="324"/>
      <c r="V480" s="324"/>
      <c r="W480" s="279"/>
      <c r="X480" s="279"/>
      <c r="Y480" s="83"/>
      <c r="Z480" s="83"/>
      <c r="AA480" s="328"/>
      <c r="AB480" s="328"/>
    </row>
    <row r="481" ht="15" spans="1:28">
      <c r="A481" s="303"/>
      <c r="B481" s="355"/>
      <c r="C481" s="356"/>
      <c r="D481" s="357" t="s">
        <v>6236</v>
      </c>
      <c r="E481" s="358"/>
      <c r="F481" s="359"/>
      <c r="G481" s="359"/>
      <c r="H481" s="359"/>
      <c r="I481" s="359"/>
      <c r="J481" s="363"/>
      <c r="K481" s="187" t="str">
        <f>IF(A481="c",$M$4*J481,"")</f>
        <v/>
      </c>
      <c r="L481" s="83"/>
      <c r="M481" s="96"/>
      <c r="N481" s="326"/>
      <c r="O481" s="324"/>
      <c r="P481" s="279"/>
      <c r="Q481" s="279"/>
      <c r="R481" s="324"/>
      <c r="S481" s="324"/>
      <c r="T481" s="324"/>
      <c r="U481" s="324"/>
      <c r="V481" s="324"/>
      <c r="W481" s="279"/>
      <c r="X481" s="279"/>
      <c r="Y481" s="83"/>
      <c r="Z481" s="83"/>
      <c r="AA481" s="328"/>
      <c r="AB481" s="328"/>
    </row>
    <row r="482" ht="15" spans="1:28">
      <c r="A482" s="303"/>
      <c r="B482" s="355"/>
      <c r="C482" s="356"/>
      <c r="D482" s="357" t="s">
        <v>6237</v>
      </c>
      <c r="E482" s="360"/>
      <c r="F482" s="373"/>
      <c r="G482" s="383"/>
      <c r="H482" s="362"/>
      <c r="I482" s="362"/>
      <c r="J482" s="363"/>
      <c r="K482" s="187" t="str">
        <f>IF(A482="c",$M$4*J482,"")</f>
        <v/>
      </c>
      <c r="L482" s="83"/>
      <c r="M482" s="96"/>
      <c r="N482" s="326"/>
      <c r="O482" s="324"/>
      <c r="P482" s="279"/>
      <c r="Q482" s="279"/>
      <c r="R482" s="324"/>
      <c r="S482" s="324"/>
      <c r="T482" s="324"/>
      <c r="U482" s="279"/>
      <c r="V482" s="279"/>
      <c r="W482" s="279"/>
      <c r="X482" s="279"/>
      <c r="Y482" s="83"/>
      <c r="Z482" s="83"/>
      <c r="AA482" s="328"/>
      <c r="AB482" s="328"/>
    </row>
    <row r="483" ht="15" spans="1:28">
      <c r="A483" s="285"/>
      <c r="B483" s="307"/>
      <c r="C483" s="308"/>
      <c r="D483" s="309"/>
      <c r="E483" s="310"/>
      <c r="F483" s="311"/>
      <c r="G483" s="311"/>
      <c r="H483" s="311"/>
      <c r="I483" s="311"/>
      <c r="J483" s="331"/>
      <c r="K483" s="187" t="str">
        <f>IF(A483="c",$M$4*J483,"")</f>
        <v/>
      </c>
      <c r="L483" s="83"/>
      <c r="M483" s="96"/>
      <c r="N483" s="320"/>
      <c r="O483" s="321"/>
      <c r="P483" s="321"/>
      <c r="Q483" s="321"/>
      <c r="R483" s="321"/>
      <c r="S483" s="321"/>
      <c r="T483" s="321"/>
      <c r="U483" s="321"/>
      <c r="V483" s="321"/>
      <c r="W483" s="321"/>
      <c r="X483" s="321"/>
      <c r="Y483" s="83"/>
      <c r="Z483" s="83"/>
      <c r="AA483" s="98"/>
      <c r="AB483" s="98"/>
    </row>
    <row r="484" ht="36" spans="1:28">
      <c r="A484" s="285" t="str">
        <f>VLOOKUP(D484,'[2]2024 - Curva ABC de Insumos'!$E$6:$R$172,14,FALSE())</f>
        <v>B</v>
      </c>
      <c r="B484" s="300" t="s">
        <v>1956</v>
      </c>
      <c r="C484" s="305" t="s">
        <v>4645</v>
      </c>
      <c r="D484" s="288" t="s">
        <v>1958</v>
      </c>
      <c r="E484" s="289" t="s">
        <v>6461</v>
      </c>
      <c r="F484" s="290" t="s">
        <v>6462</v>
      </c>
      <c r="G484" s="290"/>
      <c r="H484" s="290"/>
      <c r="I484" s="290"/>
      <c r="J484" s="322">
        <f>SMALL(E485:I485,1)</f>
        <v>428.32</v>
      </c>
      <c r="K484" s="187" t="str">
        <f>IF(A484="c",$M$4*J484,"")</f>
        <v/>
      </c>
      <c r="L484" s="187" t="e">
        <f>VLOOKUP(B487,[3]CPUs!D:L,9,FALSE())</f>
        <v>#N/A</v>
      </c>
      <c r="M484" s="96" t="e">
        <f>IF(J484=L484,"OK","DIF")</f>
        <v>#N/A</v>
      </c>
      <c r="N484" s="326" t="s">
        <v>6344</v>
      </c>
      <c r="O484" s="324"/>
      <c r="P484" s="279"/>
      <c r="Q484" s="279"/>
      <c r="R484" s="324"/>
      <c r="S484" s="324"/>
      <c r="T484" s="324"/>
      <c r="U484" s="324"/>
      <c r="V484" s="324"/>
      <c r="W484" s="279"/>
      <c r="X484" s="279"/>
      <c r="Y484" s="83"/>
      <c r="Z484" s="83"/>
      <c r="AA484" s="328"/>
      <c r="AB484" s="328"/>
    </row>
    <row r="485" ht="15" spans="1:28">
      <c r="A485" s="285"/>
      <c r="B485" s="291"/>
      <c r="C485" s="292"/>
      <c r="D485" s="293" t="s">
        <v>6236</v>
      </c>
      <c r="E485" s="294">
        <v>429.9</v>
      </c>
      <c r="F485" s="295">
        <v>428.32</v>
      </c>
      <c r="G485" s="295"/>
      <c r="H485" s="295"/>
      <c r="I485" s="295"/>
      <c r="J485" s="325"/>
      <c r="K485" s="187" t="str">
        <f>IF(A485="c",$M$4*J485,"")</f>
        <v/>
      </c>
      <c r="L485" s="83"/>
      <c r="M485" s="96"/>
      <c r="N485" s="326"/>
      <c r="O485" s="324"/>
      <c r="P485" s="279"/>
      <c r="Q485" s="279"/>
      <c r="R485" s="324"/>
      <c r="S485" s="324"/>
      <c r="T485" s="324"/>
      <c r="U485" s="324"/>
      <c r="V485" s="324"/>
      <c r="W485" s="279"/>
      <c r="X485" s="279"/>
      <c r="Y485" s="83"/>
      <c r="Z485" s="83"/>
      <c r="AA485" s="328"/>
      <c r="AB485" s="328"/>
    </row>
    <row r="486" ht="409.5" spans="1:28">
      <c r="A486" s="285"/>
      <c r="B486" s="291"/>
      <c r="C486" s="292"/>
      <c r="D486" s="293" t="s">
        <v>6237</v>
      </c>
      <c r="E486" s="296" t="s">
        <v>6463</v>
      </c>
      <c r="F486" s="296" t="s">
        <v>6464</v>
      </c>
      <c r="G486" s="296"/>
      <c r="H486" s="302"/>
      <c r="I486" s="302"/>
      <c r="J486" s="325"/>
      <c r="K486" s="187" t="str">
        <f>IF(A486="c",$M$4*J486,"")</f>
        <v/>
      </c>
      <c r="L486" s="83"/>
      <c r="M486" s="96"/>
      <c r="N486" s="326"/>
      <c r="O486" s="324"/>
      <c r="P486" s="279"/>
      <c r="Q486" s="279"/>
      <c r="R486" s="324"/>
      <c r="S486" s="324"/>
      <c r="T486" s="324"/>
      <c r="U486" s="279"/>
      <c r="V486" s="279"/>
      <c r="W486" s="279"/>
      <c r="X486" s="279"/>
      <c r="Y486" s="83"/>
      <c r="Z486" s="83"/>
      <c r="AA486" s="328"/>
      <c r="AB486" s="328"/>
    </row>
    <row r="487" ht="52.2" customHeight="1" spans="1:28">
      <c r="A487" s="285"/>
      <c r="B487" s="291"/>
      <c r="C487" s="292"/>
      <c r="D487" s="293" t="s">
        <v>6251</v>
      </c>
      <c r="E487" s="304" t="s">
        <v>6465</v>
      </c>
      <c r="F487" s="304"/>
      <c r="G487" s="304"/>
      <c r="H487" s="304"/>
      <c r="I487" s="304"/>
      <c r="J487" s="304"/>
      <c r="K487" s="187" t="str">
        <f>IF(A487="c",$M$4*J487,"")</f>
        <v/>
      </c>
      <c r="L487" s="83"/>
      <c r="M487" s="96"/>
      <c r="N487" s="326"/>
      <c r="O487" s="324"/>
      <c r="P487" s="279"/>
      <c r="Q487" s="279"/>
      <c r="R487" s="324"/>
      <c r="S487" s="324"/>
      <c r="T487" s="324"/>
      <c r="U487" s="324"/>
      <c r="V487" s="324"/>
      <c r="W487" s="279"/>
      <c r="X487" s="279"/>
      <c r="Y487" s="83"/>
      <c r="Z487" s="83"/>
      <c r="AA487" s="328"/>
      <c r="AB487" s="328"/>
    </row>
    <row r="488" ht="15" spans="1:28">
      <c r="A488" s="285"/>
      <c r="B488" s="307"/>
      <c r="C488" s="308"/>
      <c r="D488" s="309"/>
      <c r="E488" s="310"/>
      <c r="F488" s="311"/>
      <c r="G488" s="311"/>
      <c r="H488" s="311"/>
      <c r="I488" s="311"/>
      <c r="J488" s="331"/>
      <c r="K488" s="187" t="str">
        <f>IF(A488="c",$M$4*J488,"")</f>
        <v/>
      </c>
      <c r="L488" s="83"/>
      <c r="M488" s="96"/>
      <c r="N488" s="320"/>
      <c r="O488" s="321"/>
      <c r="P488" s="321"/>
      <c r="Q488" s="321"/>
      <c r="R488" s="321"/>
      <c r="S488" s="321"/>
      <c r="T488" s="321"/>
      <c r="U488" s="321"/>
      <c r="V488" s="321"/>
      <c r="W488" s="321"/>
      <c r="X488" s="321"/>
      <c r="Y488" s="83"/>
      <c r="Z488" s="83"/>
      <c r="AA488" s="98"/>
      <c r="AB488" s="98"/>
    </row>
    <row r="489" ht="36" spans="1:28">
      <c r="A489" s="285" t="str">
        <f>VLOOKUP(D489,'[2]2024 - Curva ABC de Insumos'!$E$6:$R$172,14,FALSE())</f>
        <v>B</v>
      </c>
      <c r="B489" s="300" t="s">
        <v>1959</v>
      </c>
      <c r="C489" s="305" t="s">
        <v>4646</v>
      </c>
      <c r="D489" s="288" t="s">
        <v>1961</v>
      </c>
      <c r="E489" s="385" t="s">
        <v>6461</v>
      </c>
      <c r="F489" s="385"/>
      <c r="G489" s="290"/>
      <c r="H489" s="290"/>
      <c r="I489" s="290"/>
      <c r="J489" s="322">
        <f>SMALL(E490:I490,1)</f>
        <v>825</v>
      </c>
      <c r="K489" s="187" t="str">
        <f>IF(A489="c",$M$4*J489,"")</f>
        <v/>
      </c>
      <c r="L489" s="187" t="e">
        <f>VLOOKUP(B492,[3]CPUs!D:L,9,FALSE())</f>
        <v>#N/A</v>
      </c>
      <c r="M489" s="96" t="e">
        <f>IF(J489=L489,"OK","DIF")</f>
        <v>#N/A</v>
      </c>
      <c r="N489" s="326" t="s">
        <v>6344</v>
      </c>
      <c r="O489" s="324"/>
      <c r="P489" s="279"/>
      <c r="Q489" s="279"/>
      <c r="R489" s="324"/>
      <c r="S489" s="324"/>
      <c r="T489" s="324"/>
      <c r="U489" s="324"/>
      <c r="V489" s="324"/>
      <c r="W489" s="279"/>
      <c r="X489" s="279"/>
      <c r="Y489" s="83"/>
      <c r="Z489" s="83"/>
      <c r="AA489" s="328"/>
      <c r="AB489" s="328"/>
    </row>
    <row r="490" ht="15" spans="1:28">
      <c r="A490" s="285"/>
      <c r="B490" s="291"/>
      <c r="C490" s="292"/>
      <c r="D490" s="293" t="s">
        <v>6236</v>
      </c>
      <c r="E490" s="295">
        <v>825</v>
      </c>
      <c r="F490" s="295"/>
      <c r="G490" s="295"/>
      <c r="H490" s="295"/>
      <c r="I490" s="295"/>
      <c r="J490" s="325"/>
      <c r="K490" s="187" t="str">
        <f>IF(A490="c",$M$4*J490,"")</f>
        <v/>
      </c>
      <c r="L490" s="83"/>
      <c r="M490" s="96"/>
      <c r="N490" s="326"/>
      <c r="O490" s="324"/>
      <c r="P490" s="279"/>
      <c r="Q490" s="279"/>
      <c r="R490" s="324"/>
      <c r="S490" s="324"/>
      <c r="T490" s="324"/>
      <c r="U490" s="324"/>
      <c r="V490" s="324"/>
      <c r="W490" s="279"/>
      <c r="X490" s="279"/>
      <c r="Y490" s="83"/>
      <c r="Z490" s="83"/>
      <c r="AA490" s="328"/>
      <c r="AB490" s="328"/>
    </row>
    <row r="491" ht="15" spans="1:28">
      <c r="A491" s="285"/>
      <c r="B491" s="291"/>
      <c r="C491" s="292"/>
      <c r="D491" s="293" t="s">
        <v>6237</v>
      </c>
      <c r="E491" s="376" t="s">
        <v>6427</v>
      </c>
      <c r="F491" s="376"/>
      <c r="G491" s="296"/>
      <c r="H491" s="302"/>
      <c r="I491" s="302"/>
      <c r="J491" s="325"/>
      <c r="K491" s="187" t="str">
        <f>IF(A491="c",$M$4*J491,"")</f>
        <v/>
      </c>
      <c r="L491" s="83"/>
      <c r="M491" s="96"/>
      <c r="N491" s="326"/>
      <c r="O491" s="324"/>
      <c r="P491" s="279"/>
      <c r="Q491" s="279"/>
      <c r="R491" s="324"/>
      <c r="S491" s="324"/>
      <c r="T491" s="324"/>
      <c r="U491" s="279"/>
      <c r="V491" s="279"/>
      <c r="W491" s="279"/>
      <c r="X491" s="279"/>
      <c r="Y491" s="83"/>
      <c r="Z491" s="83"/>
      <c r="AA491" s="328"/>
      <c r="AB491" s="328"/>
    </row>
    <row r="492" ht="52.2" customHeight="1" spans="1:28">
      <c r="A492" s="285"/>
      <c r="B492" s="291"/>
      <c r="C492" s="292"/>
      <c r="D492" s="293" t="s">
        <v>6251</v>
      </c>
      <c r="E492" s="304" t="s">
        <v>6465</v>
      </c>
      <c r="F492" s="304"/>
      <c r="G492" s="304"/>
      <c r="H492" s="304"/>
      <c r="I492" s="304"/>
      <c r="J492" s="304"/>
      <c r="K492" s="187" t="str">
        <f>IF(A492="c",$M$4*J492,"")</f>
        <v/>
      </c>
      <c r="L492" s="83"/>
      <c r="M492" s="96"/>
      <c r="N492" s="326"/>
      <c r="O492" s="324"/>
      <c r="P492" s="279"/>
      <c r="Q492" s="279"/>
      <c r="R492" s="324"/>
      <c r="S492" s="324"/>
      <c r="T492" s="324"/>
      <c r="U492" s="324"/>
      <c r="V492" s="324"/>
      <c r="W492" s="279"/>
      <c r="X492" s="279"/>
      <c r="Y492" s="83"/>
      <c r="Z492" s="83"/>
      <c r="AA492" s="328"/>
      <c r="AB492" s="328"/>
    </row>
    <row r="493" ht="15" spans="1:28">
      <c r="A493" s="285"/>
      <c r="B493" s="307"/>
      <c r="C493" s="308"/>
      <c r="D493" s="309"/>
      <c r="E493" s="310"/>
      <c r="F493" s="311"/>
      <c r="G493" s="311"/>
      <c r="H493" s="311"/>
      <c r="I493" s="311"/>
      <c r="J493" s="331"/>
      <c r="K493" s="187" t="str">
        <f>IF(A493="c",$M$4*J493,"")</f>
        <v/>
      </c>
      <c r="L493" s="83"/>
      <c r="M493" s="96"/>
      <c r="N493" s="320"/>
      <c r="O493" s="321"/>
      <c r="P493" s="321"/>
      <c r="Q493" s="321"/>
      <c r="R493" s="321"/>
      <c r="S493" s="321"/>
      <c r="T493" s="321"/>
      <c r="U493" s="321"/>
      <c r="V493" s="321"/>
      <c r="W493" s="321"/>
      <c r="X493" s="321"/>
      <c r="Y493" s="83"/>
      <c r="Z493" s="83"/>
      <c r="AA493" s="98"/>
      <c r="AB493" s="98"/>
    </row>
    <row r="494" ht="24" spans="1:28">
      <c r="A494" s="285" t="str">
        <f>VLOOKUP(D494,'[2]2024 - Curva ABC de Insumos'!$E$6:$R$172,14,FALSE())</f>
        <v>C</v>
      </c>
      <c r="B494" s="300" t="s">
        <v>1965</v>
      </c>
      <c r="C494" s="305" t="s">
        <v>4651</v>
      </c>
      <c r="D494" s="288" t="s">
        <v>1967</v>
      </c>
      <c r="E494" s="289" t="s">
        <v>6466</v>
      </c>
      <c r="F494" s="290" t="s">
        <v>6467</v>
      </c>
      <c r="G494" s="290" t="s">
        <v>6468</v>
      </c>
      <c r="H494" s="290" t="s">
        <v>6469</v>
      </c>
      <c r="I494" s="290"/>
      <c r="J494" s="322">
        <f>SMALL(E495:I495,1)</f>
        <v>3195.08</v>
      </c>
      <c r="K494" s="187"/>
      <c r="L494" s="187" t="e">
        <f>VLOOKUP(B497,[3]CPUs!D:L,9,FALSE())</f>
        <v>#N/A</v>
      </c>
      <c r="M494" s="96" t="e">
        <f>IF(J494=L494,"OK","DIF")</f>
        <v>#N/A</v>
      </c>
      <c r="N494" s="378" t="s">
        <v>6344</v>
      </c>
      <c r="O494" s="324"/>
      <c r="P494" s="279"/>
      <c r="Q494" s="279"/>
      <c r="R494" s="324"/>
      <c r="S494" s="324"/>
      <c r="T494" s="324"/>
      <c r="U494" s="324"/>
      <c r="V494" s="324"/>
      <c r="W494" s="279"/>
      <c r="X494" s="279"/>
      <c r="Y494" s="83"/>
      <c r="Z494" s="83"/>
      <c r="AA494" s="328"/>
      <c r="AB494" s="328"/>
    </row>
    <row r="495" ht="15" spans="1:28">
      <c r="A495" s="285"/>
      <c r="B495" s="291"/>
      <c r="C495" s="292"/>
      <c r="D495" s="293" t="s">
        <v>6236</v>
      </c>
      <c r="E495" s="294">
        <v>3195.08</v>
      </c>
      <c r="F495" s="295">
        <v>3404.39</v>
      </c>
      <c r="G495" s="295">
        <v>3195.08</v>
      </c>
      <c r="H495" s="295">
        <v>3222</v>
      </c>
      <c r="I495" s="295"/>
      <c r="J495" s="325"/>
      <c r="K495" s="187" t="str">
        <f>IF(A495="c",$M$4*J495,"")</f>
        <v/>
      </c>
      <c r="L495" s="83"/>
      <c r="M495" s="96"/>
      <c r="N495" s="326"/>
      <c r="O495" s="324"/>
      <c r="P495" s="279"/>
      <c r="Q495" s="279"/>
      <c r="R495" s="324"/>
      <c r="S495" s="324"/>
      <c r="T495" s="324"/>
      <c r="U495" s="324"/>
      <c r="V495" s="324"/>
      <c r="W495" s="279"/>
      <c r="X495" s="279"/>
      <c r="Y495" s="83"/>
      <c r="Z495" s="83"/>
      <c r="AA495" s="328"/>
      <c r="AB495" s="328"/>
    </row>
    <row r="496" ht="228" spans="1:28">
      <c r="A496" s="285"/>
      <c r="B496" s="291"/>
      <c r="C496" s="292"/>
      <c r="D496" s="293" t="s">
        <v>6237</v>
      </c>
      <c r="E496" s="296" t="s">
        <v>6470</v>
      </c>
      <c r="F496" s="296" t="s">
        <v>6471</v>
      </c>
      <c r="G496" s="296" t="s">
        <v>6472</v>
      </c>
      <c r="H496" s="366" t="s">
        <v>6473</v>
      </c>
      <c r="I496" s="302"/>
      <c r="J496" s="325"/>
      <c r="K496" s="187" t="str">
        <f>IF(A496="c",$M$4*J496,"")</f>
        <v/>
      </c>
      <c r="L496" s="83"/>
      <c r="M496" s="96"/>
      <c r="N496" s="326"/>
      <c r="O496" s="324"/>
      <c r="P496" s="279"/>
      <c r="Q496" s="279"/>
      <c r="R496" s="324"/>
      <c r="S496" s="324"/>
      <c r="T496" s="324"/>
      <c r="U496" s="279"/>
      <c r="V496" s="279"/>
      <c r="W496" s="279"/>
      <c r="X496" s="279"/>
      <c r="Y496" s="83"/>
      <c r="Z496" s="83"/>
      <c r="AA496" s="328"/>
      <c r="AB496" s="328"/>
    </row>
    <row r="497" ht="15" spans="1:28">
      <c r="A497" s="285"/>
      <c r="B497" s="307"/>
      <c r="C497" s="308"/>
      <c r="D497" s="309"/>
      <c r="E497" s="310"/>
      <c r="F497" s="311"/>
      <c r="G497" s="311"/>
      <c r="H497" s="311"/>
      <c r="I497" s="311"/>
      <c r="J497" s="331"/>
      <c r="K497" s="187" t="str">
        <f>IF(A497="c",$M$4*J497,"")</f>
        <v/>
      </c>
      <c r="L497" s="83"/>
      <c r="M497" s="96"/>
      <c r="N497" s="320"/>
      <c r="O497" s="321"/>
      <c r="P497" s="321"/>
      <c r="Q497" s="321"/>
      <c r="R497" s="321"/>
      <c r="S497" s="321"/>
      <c r="T497" s="321"/>
      <c r="U497" s="321"/>
      <c r="V497" s="321"/>
      <c r="W497" s="321"/>
      <c r="X497" s="321"/>
      <c r="Y497" s="83"/>
      <c r="Z497" s="83"/>
      <c r="AA497" s="98"/>
      <c r="AB497" s="98"/>
    </row>
    <row r="498" ht="24" spans="1:28">
      <c r="A498" s="285" t="str">
        <f>VLOOKUP(D498,'[2]2024 - Curva ABC de Insumos'!$E$6:$R$172,14,FALSE())</f>
        <v>C</v>
      </c>
      <c r="B498" s="300" t="s">
        <v>1968</v>
      </c>
      <c r="C498" s="305" t="s">
        <v>4652</v>
      </c>
      <c r="D498" s="288" t="s">
        <v>1970</v>
      </c>
      <c r="E498" s="289" t="s">
        <v>6466</v>
      </c>
      <c r="F498" s="290" t="s">
        <v>6474</v>
      </c>
      <c r="G498" s="290" t="s">
        <v>6475</v>
      </c>
      <c r="H498" s="290" t="s">
        <v>6469</v>
      </c>
      <c r="I498" s="290"/>
      <c r="J498" s="322">
        <f>SMALL(E499:I499,1)</f>
        <v>4972.45</v>
      </c>
      <c r="K498" s="187"/>
      <c r="L498" s="187" t="e">
        <f>VLOOKUP(B501,[3]CPUs!D:L,9,FALSE())</f>
        <v>#N/A</v>
      </c>
      <c r="M498" s="96" t="e">
        <f>IF(J498=L498,"OK","DIF")</f>
        <v>#N/A</v>
      </c>
      <c r="N498" s="378" t="s">
        <v>6344</v>
      </c>
      <c r="O498" s="324"/>
      <c r="P498" s="279"/>
      <c r="Q498" s="279"/>
      <c r="R498" s="324"/>
      <c r="S498" s="324"/>
      <c r="T498" s="324"/>
      <c r="U498" s="324"/>
      <c r="V498" s="324"/>
      <c r="W498" s="279"/>
      <c r="X498" s="279"/>
      <c r="Y498" s="83"/>
      <c r="Z498" s="83"/>
      <c r="AA498" s="328"/>
      <c r="AB498" s="328"/>
    </row>
    <row r="499" ht="15" spans="1:28">
      <c r="A499" s="285"/>
      <c r="B499" s="291"/>
      <c r="C499" s="292"/>
      <c r="D499" s="293" t="s">
        <v>6236</v>
      </c>
      <c r="E499" s="294">
        <v>4972.45</v>
      </c>
      <c r="F499" s="295">
        <v>4972.45</v>
      </c>
      <c r="G499" s="295">
        <v>4972.45</v>
      </c>
      <c r="H499" s="295">
        <v>5018.4</v>
      </c>
      <c r="I499" s="295"/>
      <c r="J499" s="325"/>
      <c r="K499" s="187" t="str">
        <f>IF(A499="c",$M$4*J499,"")</f>
        <v/>
      </c>
      <c r="L499" s="83"/>
      <c r="M499" s="96"/>
      <c r="N499" s="326"/>
      <c r="O499" s="324"/>
      <c r="P499" s="279"/>
      <c r="Q499" s="279"/>
      <c r="R499" s="324"/>
      <c r="S499" s="324"/>
      <c r="T499" s="324"/>
      <c r="U499" s="324"/>
      <c r="V499" s="324"/>
      <c r="W499" s="279"/>
      <c r="X499" s="279"/>
      <c r="Y499" s="83"/>
      <c r="Z499" s="83"/>
      <c r="AA499" s="328"/>
      <c r="AB499" s="328"/>
    </row>
    <row r="500" ht="192" spans="1:28">
      <c r="A500" s="285"/>
      <c r="B500" s="291"/>
      <c r="C500" s="292"/>
      <c r="D500" s="293" t="s">
        <v>6237</v>
      </c>
      <c r="E500" s="301" t="s">
        <v>6476</v>
      </c>
      <c r="F500" s="301" t="s">
        <v>6477</v>
      </c>
      <c r="G500" s="364" t="s">
        <v>6478</v>
      </c>
      <c r="H500" s="366" t="s">
        <v>6479</v>
      </c>
      <c r="I500" s="302"/>
      <c r="J500" s="325"/>
      <c r="K500" s="187" t="str">
        <f>IF(A500="c",$M$4*J500,"")</f>
        <v/>
      </c>
      <c r="L500" s="83"/>
      <c r="M500" s="96"/>
      <c r="N500" s="326"/>
      <c r="O500" s="324"/>
      <c r="P500" s="279"/>
      <c r="Q500" s="279"/>
      <c r="R500" s="324"/>
      <c r="S500" s="324"/>
      <c r="T500" s="324"/>
      <c r="U500" s="279"/>
      <c r="V500" s="279"/>
      <c r="W500" s="279"/>
      <c r="X500" s="279"/>
      <c r="Y500" s="83"/>
      <c r="Z500" s="83"/>
      <c r="AA500" s="328"/>
      <c r="AB500" s="328"/>
    </row>
    <row r="501" ht="15" spans="1:28">
      <c r="A501" s="285"/>
      <c r="B501" s="307"/>
      <c r="C501" s="308"/>
      <c r="D501" s="309"/>
      <c r="E501" s="310"/>
      <c r="F501" s="311"/>
      <c r="G501" s="311"/>
      <c r="H501" s="311"/>
      <c r="I501" s="311"/>
      <c r="J501" s="331"/>
      <c r="K501" s="187" t="str">
        <f>IF(A501="c",$M$4*J501,"")</f>
        <v/>
      </c>
      <c r="L501" s="83"/>
      <c r="M501" s="96"/>
      <c r="N501" s="320"/>
      <c r="O501" s="321"/>
      <c r="P501" s="321"/>
      <c r="Q501" s="321"/>
      <c r="R501" s="321"/>
      <c r="S501" s="321"/>
      <c r="T501" s="321"/>
      <c r="U501" s="321"/>
      <c r="V501" s="321"/>
      <c r="W501" s="321"/>
      <c r="X501" s="321"/>
      <c r="Y501" s="83"/>
      <c r="Z501" s="83"/>
      <c r="AA501" s="98"/>
      <c r="AB501" s="98"/>
    </row>
    <row r="502" ht="24" spans="1:28">
      <c r="A502" s="285" t="str">
        <f>VLOOKUP(D502,'[2]2024 - Curva ABC de Insumos'!$E$6:$R$172,14,FALSE())</f>
        <v>B</v>
      </c>
      <c r="B502" s="300" t="s">
        <v>1974</v>
      </c>
      <c r="C502" s="334" t="s">
        <v>4655</v>
      </c>
      <c r="D502" s="288" t="s">
        <v>4656</v>
      </c>
      <c r="E502" s="289" t="s">
        <v>6480</v>
      </c>
      <c r="F502" s="290" t="s">
        <v>6481</v>
      </c>
      <c r="G502" s="290" t="s">
        <v>6482</v>
      </c>
      <c r="H502" s="290" t="s">
        <v>6483</v>
      </c>
      <c r="I502" s="290" t="s">
        <v>6484</v>
      </c>
      <c r="J502" s="322">
        <f>SMALL(E503:I503,1)</f>
        <v>9004</v>
      </c>
      <c r="K502" s="187" t="str">
        <f>IF(A502="c",$M$4*J502,"")</f>
        <v/>
      </c>
      <c r="L502" s="187" t="e">
        <f>VLOOKUP(B505,[3]CPUs!D:L,9,FALSE())</f>
        <v>#N/A</v>
      </c>
      <c r="M502" s="96" t="e">
        <f>IF(J502=L502,"OK","DIF")</f>
        <v>#N/A</v>
      </c>
      <c r="N502" s="378" t="s">
        <v>6344</v>
      </c>
      <c r="O502" s="324"/>
      <c r="P502" s="279"/>
      <c r="Q502" s="279"/>
      <c r="R502" s="324"/>
      <c r="S502" s="324"/>
      <c r="T502" s="324"/>
      <c r="U502" s="324"/>
      <c r="V502" s="324"/>
      <c r="W502" s="279"/>
      <c r="X502" s="279"/>
      <c r="Y502" s="83"/>
      <c r="Z502" s="83"/>
      <c r="AA502" s="328"/>
      <c r="AB502" s="328"/>
    </row>
    <row r="503" ht="15" spans="1:28">
      <c r="A503" s="285"/>
      <c r="B503" s="291"/>
      <c r="C503" s="292"/>
      <c r="D503" s="293" t="s">
        <v>6236</v>
      </c>
      <c r="E503" s="358" t="s">
        <v>6178</v>
      </c>
      <c r="F503" s="359">
        <v>11148</v>
      </c>
      <c r="G503" s="359" t="s">
        <v>6178</v>
      </c>
      <c r="H503" s="295">
        <v>10229.07</v>
      </c>
      <c r="I503" s="295">
        <v>9004</v>
      </c>
      <c r="J503" s="325"/>
      <c r="K503" s="187"/>
      <c r="L503" s="83"/>
      <c r="M503" s="96"/>
      <c r="N503" s="326"/>
      <c r="O503" s="324"/>
      <c r="P503" s="279"/>
      <c r="Q503" s="279"/>
      <c r="R503" s="324"/>
      <c r="S503" s="324"/>
      <c r="T503" s="324"/>
      <c r="U503" s="324"/>
      <c r="V503" s="324"/>
      <c r="W503" s="279"/>
      <c r="X503" s="279"/>
      <c r="Y503" s="83"/>
      <c r="Z503" s="83"/>
      <c r="AA503" s="328"/>
      <c r="AB503" s="328"/>
    </row>
    <row r="504" ht="360" spans="1:28">
      <c r="A504" s="285"/>
      <c r="B504" s="291"/>
      <c r="C504" s="292"/>
      <c r="D504" s="293" t="s">
        <v>6237</v>
      </c>
      <c r="E504" s="364" t="s">
        <v>6485</v>
      </c>
      <c r="F504" s="364" t="s">
        <v>6486</v>
      </c>
      <c r="G504" s="301" t="s">
        <v>6487</v>
      </c>
      <c r="H504" s="366" t="s">
        <v>6488</v>
      </c>
      <c r="I504" s="366" t="s">
        <v>6489</v>
      </c>
      <c r="J504" s="325"/>
      <c r="K504" s="187"/>
      <c r="L504" s="83"/>
      <c r="M504" s="96"/>
      <c r="N504" s="326"/>
      <c r="O504" s="324"/>
      <c r="P504" s="279"/>
      <c r="Q504" s="279"/>
      <c r="R504" s="324"/>
      <c r="S504" s="324"/>
      <c r="T504" s="324"/>
      <c r="U504" s="279"/>
      <c r="V504" s="279"/>
      <c r="W504" s="279"/>
      <c r="X504" s="279"/>
      <c r="Y504" s="83"/>
      <c r="Z504" s="83"/>
      <c r="AA504" s="328"/>
      <c r="AB504" s="328"/>
    </row>
    <row r="505" ht="15" spans="1:28">
      <c r="A505" s="285"/>
      <c r="B505" s="307"/>
      <c r="C505" s="308"/>
      <c r="D505" s="309"/>
      <c r="E505" s="310"/>
      <c r="F505" s="311"/>
      <c r="G505" s="311"/>
      <c r="H505" s="311"/>
      <c r="I505" s="311"/>
      <c r="J505" s="331"/>
      <c r="K505" s="187"/>
      <c r="L505" s="83"/>
      <c r="M505" s="96"/>
      <c r="N505" s="320"/>
      <c r="O505" s="321"/>
      <c r="P505" s="321"/>
      <c r="Q505" s="321"/>
      <c r="R505" s="321"/>
      <c r="S505" s="321"/>
      <c r="T505" s="321"/>
      <c r="U505" s="321"/>
      <c r="V505" s="321"/>
      <c r="W505" s="321"/>
      <c r="X505" s="321"/>
      <c r="Y505" s="83"/>
      <c r="Z505" s="83"/>
      <c r="AA505" s="98"/>
      <c r="AB505" s="98"/>
    </row>
    <row r="506" ht="24" spans="1:28">
      <c r="A506" s="285" t="str">
        <f>VLOOKUP(D506,'[2]2024 - Curva ABC de Insumos'!$E$6:$R$172,14,FALSE())</f>
        <v>B</v>
      </c>
      <c r="B506" s="300" t="s">
        <v>1977</v>
      </c>
      <c r="C506" s="305" t="s">
        <v>4657</v>
      </c>
      <c r="D506" s="288" t="s">
        <v>4658</v>
      </c>
      <c r="E506" s="289" t="s">
        <v>6361</v>
      </c>
      <c r="F506" s="290"/>
      <c r="G506" s="290"/>
      <c r="H506" s="290"/>
      <c r="I506" s="290"/>
      <c r="J506" s="322">
        <f>SMALL(E507:I507,1)</f>
        <v>16476.5328</v>
      </c>
      <c r="K506" s="187" t="str">
        <f>IF(A506="c",$M$4*J506,"")</f>
        <v/>
      </c>
      <c r="L506" s="187" t="e">
        <f>VLOOKUP(B509,[3]CPUs!D:L,9,FALSE())</f>
        <v>#N/A</v>
      </c>
      <c r="M506" s="96" t="e">
        <f>IF(J506=L506,"OK","DIF")</f>
        <v>#N/A</v>
      </c>
      <c r="N506" s="326" t="s">
        <v>6344</v>
      </c>
      <c r="O506" s="324"/>
      <c r="P506" s="279"/>
      <c r="Q506" s="279"/>
      <c r="R506" s="324"/>
      <c r="S506" s="324"/>
      <c r="T506" s="324"/>
      <c r="U506" s="324"/>
      <c r="V506" s="324"/>
      <c r="W506" s="279"/>
      <c r="X506" s="279"/>
      <c r="Y506" s="83"/>
      <c r="Z506" s="83"/>
      <c r="AA506" s="328"/>
      <c r="AB506" s="328"/>
    </row>
    <row r="507" ht="15" spans="1:28">
      <c r="A507" s="285"/>
      <c r="B507" s="291"/>
      <c r="C507" s="292"/>
      <c r="D507" s="293" t="s">
        <v>6236</v>
      </c>
      <c r="E507" s="358">
        <f>14638*1.1256</f>
        <v>16476.5328</v>
      </c>
      <c r="F507" s="295"/>
      <c r="G507" s="295"/>
      <c r="H507" s="295"/>
      <c r="I507" s="295"/>
      <c r="J507" s="325"/>
      <c r="K507" s="187"/>
      <c r="L507" s="83"/>
      <c r="M507" s="96"/>
      <c r="N507" s="326"/>
      <c r="O507" s="324"/>
      <c r="P507" s="279"/>
      <c r="Q507" s="279"/>
      <c r="R507" s="324"/>
      <c r="S507" s="324"/>
      <c r="T507" s="324"/>
      <c r="U507" s="324"/>
      <c r="V507" s="324"/>
      <c r="W507" s="279"/>
      <c r="X507" s="279"/>
      <c r="Y507" s="83"/>
      <c r="Z507" s="83"/>
      <c r="AA507" s="328"/>
      <c r="AB507" s="328"/>
    </row>
    <row r="508" ht="15" spans="1:28">
      <c r="A508" s="285"/>
      <c r="B508" s="291"/>
      <c r="C508" s="292"/>
      <c r="D508" s="293" t="s">
        <v>6237</v>
      </c>
      <c r="E508" s="376" t="s">
        <v>6427</v>
      </c>
      <c r="F508" s="296"/>
      <c r="G508" s="296"/>
      <c r="H508" s="302"/>
      <c r="I508" s="302"/>
      <c r="J508" s="325"/>
      <c r="K508" s="187" t="str">
        <f>IF(A508="c",$M$4*J508,"")</f>
        <v/>
      </c>
      <c r="L508" s="83"/>
      <c r="M508" s="96"/>
      <c r="N508" s="326"/>
      <c r="O508" s="324"/>
      <c r="P508" s="279"/>
      <c r="Q508" s="279"/>
      <c r="R508" s="324"/>
      <c r="S508" s="324"/>
      <c r="T508" s="324"/>
      <c r="U508" s="279"/>
      <c r="V508" s="279"/>
      <c r="W508" s="279"/>
      <c r="X508" s="279"/>
      <c r="Y508" s="83"/>
      <c r="Z508" s="83"/>
      <c r="AA508" s="328"/>
      <c r="AB508" s="328"/>
    </row>
    <row r="509" ht="52.2" customHeight="1" spans="1:28">
      <c r="A509" s="285"/>
      <c r="B509" s="291"/>
      <c r="C509" s="292"/>
      <c r="D509" s="293" t="s">
        <v>6251</v>
      </c>
      <c r="E509" s="304" t="s">
        <v>6465</v>
      </c>
      <c r="F509" s="304"/>
      <c r="G509" s="304"/>
      <c r="H509" s="304"/>
      <c r="I509" s="304"/>
      <c r="J509" s="304"/>
      <c r="K509" s="187" t="str">
        <f>IF(A509="c",$M$4*J509,"")</f>
        <v/>
      </c>
      <c r="L509" s="83"/>
      <c r="M509" s="96"/>
      <c r="N509" s="326"/>
      <c r="O509" s="324"/>
      <c r="P509" s="279"/>
      <c r="Q509" s="279"/>
      <c r="R509" s="324"/>
      <c r="S509" s="324"/>
      <c r="T509" s="324"/>
      <c r="U509" s="324"/>
      <c r="V509" s="324"/>
      <c r="W509" s="279"/>
      <c r="X509" s="279"/>
      <c r="Y509" s="83"/>
      <c r="Z509" s="83"/>
      <c r="AA509" s="328"/>
      <c r="AB509" s="328"/>
    </row>
    <row r="510" ht="15" spans="1:28">
      <c r="A510" s="285"/>
      <c r="B510" s="307"/>
      <c r="C510" s="308"/>
      <c r="D510" s="309"/>
      <c r="E510" s="310"/>
      <c r="F510" s="311"/>
      <c r="G510" s="311"/>
      <c r="H510" s="311"/>
      <c r="I510" s="311"/>
      <c r="J510" s="331"/>
      <c r="K510" s="187" t="str">
        <f>IF(A510="c",$M$4*J510,"")</f>
        <v/>
      </c>
      <c r="L510" s="83"/>
      <c r="M510" s="96"/>
      <c r="N510" s="320"/>
      <c r="O510" s="321"/>
      <c r="P510" s="321"/>
      <c r="Q510" s="321"/>
      <c r="R510" s="321"/>
      <c r="S510" s="321"/>
      <c r="T510" s="321"/>
      <c r="U510" s="321"/>
      <c r="V510" s="321"/>
      <c r="W510" s="321"/>
      <c r="X510" s="321"/>
      <c r="Y510" s="83"/>
      <c r="Z510" s="83"/>
      <c r="AA510" s="98"/>
      <c r="AB510" s="98"/>
    </row>
    <row r="511" ht="24" spans="1:28">
      <c r="A511" s="285" t="str">
        <f>VLOOKUP(D511,'[2]2024 - Curva ABC de Insumos'!$E$6:$R$172,14,FALSE())</f>
        <v>B</v>
      </c>
      <c r="B511" s="300" t="s">
        <v>1981</v>
      </c>
      <c r="C511" s="305" t="s">
        <v>4659</v>
      </c>
      <c r="D511" s="288" t="s">
        <v>4660</v>
      </c>
      <c r="E511" s="289" t="s">
        <v>6361</v>
      </c>
      <c r="F511" s="290"/>
      <c r="G511" s="290"/>
      <c r="H511" s="290"/>
      <c r="I511" s="290"/>
      <c r="J511" s="322">
        <f>SMALL(E512:I512,1)</f>
        <v>15525.4008</v>
      </c>
      <c r="K511" s="187" t="str">
        <f>IF(A511="c",$M$4*J511,"")</f>
        <v/>
      </c>
      <c r="L511" s="187" t="e">
        <f>VLOOKUP(B514,[3]CPUs!D:L,9,FALSE())</f>
        <v>#N/A</v>
      </c>
      <c r="M511" s="96" t="e">
        <f>IF(J511=L511,"OK","DIF")</f>
        <v>#N/A</v>
      </c>
      <c r="N511" s="326"/>
      <c r="O511" s="324"/>
      <c r="P511" s="279"/>
      <c r="Q511" s="279"/>
      <c r="R511" s="324"/>
      <c r="S511" s="324"/>
      <c r="T511" s="324"/>
      <c r="U511" s="324"/>
      <c r="V511" s="324"/>
      <c r="W511" s="279"/>
      <c r="X511" s="279"/>
      <c r="Y511" s="83"/>
      <c r="Z511" s="83"/>
      <c r="AA511" s="328"/>
      <c r="AB511" s="328"/>
    </row>
    <row r="512" ht="15" spans="1:28">
      <c r="A512" s="285"/>
      <c r="B512" s="291"/>
      <c r="C512" s="292"/>
      <c r="D512" s="293" t="s">
        <v>6236</v>
      </c>
      <c r="E512" s="358">
        <f>13793*1.1256</f>
        <v>15525.4008</v>
      </c>
      <c r="F512" s="295"/>
      <c r="G512" s="295"/>
      <c r="H512" s="295"/>
      <c r="I512" s="295"/>
      <c r="J512" s="325"/>
      <c r="K512" s="187"/>
      <c r="L512" s="83"/>
      <c r="M512" s="96"/>
      <c r="N512" s="326" t="s">
        <v>6344</v>
      </c>
      <c r="O512" s="324"/>
      <c r="P512" s="279"/>
      <c r="Q512" s="279"/>
      <c r="R512" s="324"/>
      <c r="S512" s="324"/>
      <c r="T512" s="324"/>
      <c r="U512" s="324"/>
      <c r="V512" s="324"/>
      <c r="W512" s="279"/>
      <c r="X512" s="279"/>
      <c r="Y512" s="83"/>
      <c r="Z512" s="83"/>
      <c r="AA512" s="328"/>
      <c r="AB512" s="328"/>
    </row>
    <row r="513" ht="15" spans="1:28">
      <c r="A513" s="285"/>
      <c r="B513" s="291"/>
      <c r="C513" s="292"/>
      <c r="D513" s="293" t="s">
        <v>6237</v>
      </c>
      <c r="E513" s="376" t="s">
        <v>6427</v>
      </c>
      <c r="F513" s="296"/>
      <c r="G513" s="296"/>
      <c r="H513" s="302"/>
      <c r="I513" s="302"/>
      <c r="J513" s="325"/>
      <c r="K513" s="187" t="str">
        <f>IF(A513="c",$M$4*J513,"")</f>
        <v/>
      </c>
      <c r="L513" s="83"/>
      <c r="M513" s="96"/>
      <c r="N513" s="326"/>
      <c r="O513" s="324"/>
      <c r="P513" s="279"/>
      <c r="Q513" s="279"/>
      <c r="R513" s="324"/>
      <c r="S513" s="324"/>
      <c r="T513" s="324"/>
      <c r="U513" s="279"/>
      <c r="V513" s="279"/>
      <c r="W513" s="279"/>
      <c r="X513" s="279"/>
      <c r="Y513" s="83"/>
      <c r="Z513" s="83"/>
      <c r="AA513" s="328"/>
      <c r="AB513" s="328"/>
    </row>
    <row r="514" ht="52.2" customHeight="1" spans="1:28">
      <c r="A514" s="285"/>
      <c r="B514" s="291"/>
      <c r="C514" s="292"/>
      <c r="D514" s="293" t="s">
        <v>6251</v>
      </c>
      <c r="E514" s="304" t="s">
        <v>6465</v>
      </c>
      <c r="F514" s="304"/>
      <c r="G514" s="304"/>
      <c r="H514" s="304"/>
      <c r="I514" s="304"/>
      <c r="J514" s="304"/>
      <c r="K514" s="187" t="str">
        <f>IF(A514="c",$M$4*J514,"")</f>
        <v/>
      </c>
      <c r="L514" s="83"/>
      <c r="M514" s="96"/>
      <c r="N514" s="326"/>
      <c r="O514" s="324"/>
      <c r="P514" s="279"/>
      <c r="Q514" s="279"/>
      <c r="R514" s="324"/>
      <c r="S514" s="324"/>
      <c r="T514" s="324"/>
      <c r="U514" s="324"/>
      <c r="V514" s="324"/>
      <c r="W514" s="279"/>
      <c r="X514" s="279"/>
      <c r="Y514" s="83"/>
      <c r="Z514" s="83"/>
      <c r="AA514" s="328"/>
      <c r="AB514" s="328"/>
    </row>
    <row r="515" ht="15" spans="1:28">
      <c r="A515" s="285"/>
      <c r="B515" s="307"/>
      <c r="C515" s="308"/>
      <c r="D515" s="309"/>
      <c r="E515" s="310"/>
      <c r="F515" s="311"/>
      <c r="G515" s="311"/>
      <c r="H515" s="311"/>
      <c r="I515" s="311"/>
      <c r="J515" s="331"/>
      <c r="K515" s="187" t="str">
        <f>IF(A515="c",$M$4*J515,"")</f>
        <v/>
      </c>
      <c r="L515" s="83"/>
      <c r="M515" s="96"/>
      <c r="N515" s="320"/>
      <c r="O515" s="321"/>
      <c r="P515" s="321"/>
      <c r="Q515" s="321"/>
      <c r="R515" s="321"/>
      <c r="S515" s="321"/>
      <c r="T515" s="321"/>
      <c r="U515" s="321"/>
      <c r="V515" s="321"/>
      <c r="W515" s="321"/>
      <c r="X515" s="321"/>
      <c r="Y515" s="83"/>
      <c r="Z515" s="83"/>
      <c r="AA515" s="98"/>
      <c r="AB515" s="98"/>
    </row>
    <row r="516" ht="24" spans="1:28">
      <c r="A516" s="285" t="str">
        <f>VLOOKUP(D516,'[2]2024 - Curva ABC de Insumos'!$E$6:$R$172,14,FALSE())</f>
        <v>C</v>
      </c>
      <c r="B516" s="300" t="s">
        <v>1985</v>
      </c>
      <c r="C516" s="305" t="s">
        <v>4661</v>
      </c>
      <c r="D516" s="288" t="s">
        <v>4662</v>
      </c>
      <c r="E516" s="289" t="s">
        <v>6361</v>
      </c>
      <c r="F516" s="290"/>
      <c r="G516" s="290"/>
      <c r="H516" s="290"/>
      <c r="I516" s="290"/>
      <c r="J516" s="322">
        <f>SMALL(E517:I517,1)</f>
        <v>9485.4312</v>
      </c>
      <c r="K516" s="187"/>
      <c r="L516" s="187" t="e">
        <f>VLOOKUP(B519,[3]CPUs!D:L,9,FALSE())</f>
        <v>#N/A</v>
      </c>
      <c r="M516" s="96" t="e">
        <f>IF(J516=L516,"OK","DIF")</f>
        <v>#N/A</v>
      </c>
      <c r="N516" s="378" t="s">
        <v>6344</v>
      </c>
      <c r="O516" s="324"/>
      <c r="P516" s="279"/>
      <c r="Q516" s="279"/>
      <c r="R516" s="324"/>
      <c r="S516" s="324"/>
      <c r="T516" s="324"/>
      <c r="U516" s="324"/>
      <c r="V516" s="324"/>
      <c r="W516" s="279"/>
      <c r="X516" s="279"/>
      <c r="Y516" s="83"/>
      <c r="Z516" s="83"/>
      <c r="AA516" s="328"/>
      <c r="AB516" s="328"/>
    </row>
    <row r="517" ht="15" spans="1:28">
      <c r="A517" s="285"/>
      <c r="B517" s="291"/>
      <c r="C517" s="292"/>
      <c r="D517" s="293" t="s">
        <v>6236</v>
      </c>
      <c r="E517" s="358">
        <f>8427*1.1256</f>
        <v>9485.4312</v>
      </c>
      <c r="F517" s="295"/>
      <c r="G517" s="295"/>
      <c r="H517" s="295"/>
      <c r="I517" s="295"/>
      <c r="J517" s="325"/>
      <c r="K517" s="187"/>
      <c r="L517" s="83"/>
      <c r="M517" s="96"/>
      <c r="N517" s="326"/>
      <c r="O517" s="324"/>
      <c r="P517" s="279"/>
      <c r="Q517" s="279"/>
      <c r="R517" s="324"/>
      <c r="S517" s="324"/>
      <c r="T517" s="324"/>
      <c r="U517" s="324"/>
      <c r="V517" s="324"/>
      <c r="W517" s="279"/>
      <c r="X517" s="279"/>
      <c r="Y517" s="83"/>
      <c r="Z517" s="83"/>
      <c r="AA517" s="328"/>
      <c r="AB517" s="328"/>
    </row>
    <row r="518" ht="15" spans="1:28">
      <c r="A518" s="285"/>
      <c r="B518" s="291"/>
      <c r="C518" s="292"/>
      <c r="D518" s="293" t="s">
        <v>6237</v>
      </c>
      <c r="E518" s="376" t="s">
        <v>6427</v>
      </c>
      <c r="F518" s="296"/>
      <c r="G518" s="296"/>
      <c r="H518" s="302"/>
      <c r="I518" s="302"/>
      <c r="J518" s="325"/>
      <c r="K518" s="187" t="str">
        <f>IF(A518="c",$M$4*J518,"")</f>
        <v/>
      </c>
      <c r="L518" s="83"/>
      <c r="M518" s="96"/>
      <c r="N518" s="326"/>
      <c r="O518" s="324"/>
      <c r="P518" s="279"/>
      <c r="Q518" s="279"/>
      <c r="R518" s="324"/>
      <c r="S518" s="324"/>
      <c r="T518" s="324"/>
      <c r="U518" s="279"/>
      <c r="V518" s="279"/>
      <c r="W518" s="279"/>
      <c r="X518" s="279"/>
      <c r="Y518" s="83"/>
      <c r="Z518" s="83"/>
      <c r="AA518" s="328"/>
      <c r="AB518" s="328"/>
    </row>
    <row r="519" ht="52.2" customHeight="1" spans="1:28">
      <c r="A519" s="285"/>
      <c r="B519" s="291"/>
      <c r="C519" s="292"/>
      <c r="D519" s="293" t="s">
        <v>6251</v>
      </c>
      <c r="E519" s="304" t="s">
        <v>6465</v>
      </c>
      <c r="F519" s="304"/>
      <c r="G519" s="304"/>
      <c r="H519" s="304"/>
      <c r="I519" s="304"/>
      <c r="J519" s="304"/>
      <c r="K519" s="187" t="str">
        <f>IF(A519="c",$M$4*J519,"")</f>
        <v/>
      </c>
      <c r="L519" s="83"/>
      <c r="M519" s="96"/>
      <c r="N519" s="326"/>
      <c r="O519" s="324"/>
      <c r="P519" s="279"/>
      <c r="Q519" s="279"/>
      <c r="R519" s="324"/>
      <c r="S519" s="324"/>
      <c r="T519" s="324"/>
      <c r="U519" s="324"/>
      <c r="V519" s="324"/>
      <c r="W519" s="279"/>
      <c r="X519" s="279"/>
      <c r="Y519" s="83"/>
      <c r="Z519" s="83"/>
      <c r="AA519" s="328"/>
      <c r="AB519" s="328"/>
    </row>
    <row r="520" ht="15" spans="1:28">
      <c r="A520" s="285"/>
      <c r="B520" s="307"/>
      <c r="C520" s="308"/>
      <c r="D520" s="309"/>
      <c r="E520" s="310"/>
      <c r="F520" s="311"/>
      <c r="G520" s="311"/>
      <c r="H520" s="311"/>
      <c r="I520" s="311"/>
      <c r="J520" s="331"/>
      <c r="K520" s="187" t="str">
        <f>IF(A520="c",$M$4*J520,"")</f>
        <v/>
      </c>
      <c r="L520" s="83"/>
      <c r="M520" s="96"/>
      <c r="N520" s="320"/>
      <c r="O520" s="321"/>
      <c r="P520" s="321"/>
      <c r="Q520" s="321"/>
      <c r="R520" s="321"/>
      <c r="S520" s="321"/>
      <c r="T520" s="321"/>
      <c r="U520" s="321"/>
      <c r="V520" s="321"/>
      <c r="W520" s="321"/>
      <c r="X520" s="321"/>
      <c r="Y520" s="83"/>
      <c r="Z520" s="83"/>
      <c r="AA520" s="98"/>
      <c r="AB520" s="98"/>
    </row>
    <row r="521" ht="24" spans="1:28">
      <c r="A521" s="285" t="str">
        <f>VLOOKUP(D521,'[2]2024 - Curva ABC de Insumos'!$E$6:$R$172,14,FALSE())</f>
        <v>C</v>
      </c>
      <c r="B521" s="300" t="s">
        <v>1989</v>
      </c>
      <c r="C521" s="305" t="s">
        <v>4663</v>
      </c>
      <c r="D521" s="288" t="s">
        <v>4664</v>
      </c>
      <c r="E521" s="289" t="s">
        <v>6361</v>
      </c>
      <c r="F521" s="290"/>
      <c r="G521" s="290"/>
      <c r="H521" s="290"/>
      <c r="I521" s="290"/>
      <c r="J521" s="322">
        <f>SMALL(E522:I522,1)</f>
        <v>10085.376</v>
      </c>
      <c r="K521" s="187"/>
      <c r="L521" s="187" t="e">
        <f>VLOOKUP(B524,[3]CPUs!D:L,9,FALSE())</f>
        <v>#N/A</v>
      </c>
      <c r="M521" s="96" t="e">
        <f>IF(J521=L521,"OK","DIF")</f>
        <v>#N/A</v>
      </c>
      <c r="N521" s="378" t="s">
        <v>6344</v>
      </c>
      <c r="O521" s="324"/>
      <c r="P521" s="279"/>
      <c r="Q521" s="279"/>
      <c r="R521" s="324"/>
      <c r="S521" s="324"/>
      <c r="T521" s="324"/>
      <c r="U521" s="324"/>
      <c r="V521" s="324"/>
      <c r="W521" s="279"/>
      <c r="X521" s="279"/>
      <c r="Y521" s="83"/>
      <c r="Z521" s="83"/>
      <c r="AA521" s="328"/>
      <c r="AB521" s="328"/>
    </row>
    <row r="522" ht="15" spans="1:28">
      <c r="A522" s="285"/>
      <c r="B522" s="291"/>
      <c r="C522" s="292"/>
      <c r="D522" s="293" t="s">
        <v>6236</v>
      </c>
      <c r="E522" s="358">
        <f>8960*1.1256</f>
        <v>10085.376</v>
      </c>
      <c r="F522" s="295"/>
      <c r="G522" s="295"/>
      <c r="H522" s="295"/>
      <c r="I522" s="295"/>
      <c r="J522" s="325"/>
      <c r="K522" s="187"/>
      <c r="L522" s="83"/>
      <c r="M522" s="96"/>
      <c r="N522" s="326"/>
      <c r="O522" s="324"/>
      <c r="P522" s="279"/>
      <c r="Q522" s="279"/>
      <c r="R522" s="324"/>
      <c r="S522" s="324"/>
      <c r="T522" s="324"/>
      <c r="U522" s="324"/>
      <c r="V522" s="324"/>
      <c r="W522" s="279"/>
      <c r="X522" s="279"/>
      <c r="Y522" s="83"/>
      <c r="Z522" s="83"/>
      <c r="AA522" s="328"/>
      <c r="AB522" s="328"/>
    </row>
    <row r="523" ht="15" spans="1:28">
      <c r="A523" s="285"/>
      <c r="B523" s="291"/>
      <c r="C523" s="292"/>
      <c r="D523" s="293" t="s">
        <v>6237</v>
      </c>
      <c r="E523" s="376" t="s">
        <v>6427</v>
      </c>
      <c r="F523" s="296"/>
      <c r="G523" s="296"/>
      <c r="H523" s="302"/>
      <c r="I523" s="302"/>
      <c r="J523" s="325"/>
      <c r="K523" s="187" t="str">
        <f>IF(A523="c",$M$4*J523,"")</f>
        <v/>
      </c>
      <c r="L523" s="83"/>
      <c r="M523" s="96"/>
      <c r="N523" s="326"/>
      <c r="O523" s="324"/>
      <c r="P523" s="279"/>
      <c r="Q523" s="279"/>
      <c r="R523" s="324"/>
      <c r="S523" s="324"/>
      <c r="T523" s="324"/>
      <c r="U523" s="279"/>
      <c r="V523" s="279"/>
      <c r="W523" s="279"/>
      <c r="X523" s="279"/>
      <c r="Y523" s="83"/>
      <c r="Z523" s="83"/>
      <c r="AA523" s="328"/>
      <c r="AB523" s="328"/>
    </row>
    <row r="524" ht="52.2" customHeight="1" spans="1:28">
      <c r="A524" s="285"/>
      <c r="B524" s="291"/>
      <c r="C524" s="292"/>
      <c r="D524" s="293" t="s">
        <v>6251</v>
      </c>
      <c r="E524" s="304" t="s">
        <v>6465</v>
      </c>
      <c r="F524" s="304"/>
      <c r="G524" s="304"/>
      <c r="H524" s="304"/>
      <c r="I524" s="304"/>
      <c r="J524" s="304"/>
      <c r="K524" s="187" t="str">
        <f>IF(A524="c",$M$4*J524,"")</f>
        <v/>
      </c>
      <c r="L524" s="83"/>
      <c r="M524" s="96"/>
      <c r="N524" s="326"/>
      <c r="O524" s="324"/>
      <c r="P524" s="279"/>
      <c r="Q524" s="279"/>
      <c r="R524" s="324"/>
      <c r="S524" s="324"/>
      <c r="T524" s="324"/>
      <c r="U524" s="324"/>
      <c r="V524" s="324"/>
      <c r="W524" s="279"/>
      <c r="X524" s="279"/>
      <c r="Y524" s="83"/>
      <c r="Z524" s="83"/>
      <c r="AA524" s="328"/>
      <c r="AB524" s="328"/>
    </row>
    <row r="525" ht="15" spans="1:28">
      <c r="A525" s="285"/>
      <c r="B525" s="307"/>
      <c r="C525" s="308"/>
      <c r="D525" s="309"/>
      <c r="E525" s="310"/>
      <c r="F525" s="311"/>
      <c r="G525" s="311"/>
      <c r="H525" s="311"/>
      <c r="I525" s="311"/>
      <c r="J525" s="331"/>
      <c r="K525" s="187" t="str">
        <f>IF(A525="c",$M$4*J525,"")</f>
        <v/>
      </c>
      <c r="L525" s="83"/>
      <c r="M525" s="96"/>
      <c r="N525" s="320"/>
      <c r="O525" s="321"/>
      <c r="P525" s="321"/>
      <c r="Q525" s="321"/>
      <c r="R525" s="321"/>
      <c r="S525" s="321"/>
      <c r="T525" s="321"/>
      <c r="U525" s="321"/>
      <c r="V525" s="321"/>
      <c r="W525" s="321"/>
      <c r="X525" s="321"/>
      <c r="Y525" s="83"/>
      <c r="Z525" s="83"/>
      <c r="AA525" s="98"/>
      <c r="AB525" s="98"/>
    </row>
    <row r="526" ht="24" spans="1:28">
      <c r="A526" s="285" t="str">
        <f>VLOOKUP(D526,'[2]2024 - Curva ABC de Insumos'!$E$6:$R$172,14,FALSE())</f>
        <v>C</v>
      </c>
      <c r="B526" s="300" t="s">
        <v>2017</v>
      </c>
      <c r="C526" s="305" t="s">
        <v>4679</v>
      </c>
      <c r="D526" s="288" t="s">
        <v>4680</v>
      </c>
      <c r="E526" s="289" t="s">
        <v>6490</v>
      </c>
      <c r="F526" s="290" t="s">
        <v>6399</v>
      </c>
      <c r="G526" s="290" t="s">
        <v>6491</v>
      </c>
      <c r="H526" s="290"/>
      <c r="I526" s="290"/>
      <c r="J526" s="322">
        <f>SMALL(E527:I527,1)</f>
        <v>16.2</v>
      </c>
      <c r="K526" s="187"/>
      <c r="L526" s="187" t="e">
        <f>VLOOKUP(B529,[3]CPUs!D:L,9,FALSE())</f>
        <v>#N/A</v>
      </c>
      <c r="M526" s="96" t="e">
        <f>IF(J526=L526,"OK","DIF")</f>
        <v>#N/A</v>
      </c>
      <c r="N526" s="377" t="s">
        <v>6344</v>
      </c>
      <c r="O526" s="324"/>
      <c r="P526" s="279"/>
      <c r="Q526" s="279"/>
      <c r="R526" s="324"/>
      <c r="S526" s="324"/>
      <c r="T526" s="324"/>
      <c r="U526" s="324"/>
      <c r="V526" s="324"/>
      <c r="W526" s="279"/>
      <c r="X526" s="279"/>
      <c r="Y526" s="83"/>
      <c r="Z526" s="83"/>
      <c r="AA526" s="328"/>
      <c r="AB526" s="328"/>
    </row>
    <row r="527" ht="15" spans="1:28">
      <c r="A527" s="285"/>
      <c r="B527" s="291"/>
      <c r="C527" s="292"/>
      <c r="D527" s="293" t="s">
        <v>6236</v>
      </c>
      <c r="E527" s="294">
        <v>16.2</v>
      </c>
      <c r="F527" s="295">
        <v>20.29</v>
      </c>
      <c r="G527" s="295">
        <v>19.87</v>
      </c>
      <c r="H527" s="295"/>
      <c r="I527" s="295"/>
      <c r="J527" s="325"/>
      <c r="K527" s="187"/>
      <c r="L527" s="83"/>
      <c r="M527" s="96"/>
      <c r="N527" s="326"/>
      <c r="O527" s="324"/>
      <c r="P527" s="279"/>
      <c r="Q527" s="279"/>
      <c r="R527" s="324"/>
      <c r="S527" s="324"/>
      <c r="T527" s="324"/>
      <c r="U527" s="324"/>
      <c r="V527" s="324"/>
      <c r="W527" s="279"/>
      <c r="X527" s="279"/>
      <c r="Y527" s="83"/>
      <c r="Z527" s="83"/>
      <c r="AA527" s="328"/>
      <c r="AB527" s="328"/>
    </row>
    <row r="528" ht="199.5" spans="1:28">
      <c r="A528" s="285"/>
      <c r="B528" s="291"/>
      <c r="C528" s="292"/>
      <c r="D528" s="293" t="s">
        <v>6237</v>
      </c>
      <c r="E528" s="296" t="s">
        <v>6492</v>
      </c>
      <c r="F528" s="296" t="s">
        <v>6493</v>
      </c>
      <c r="G528" s="296" t="s">
        <v>6494</v>
      </c>
      <c r="H528" s="302"/>
      <c r="I528" s="302"/>
      <c r="J528" s="325"/>
      <c r="K528" s="187"/>
      <c r="L528" s="83"/>
      <c r="M528" s="96"/>
      <c r="N528" s="326"/>
      <c r="O528" s="324"/>
      <c r="P528" s="279"/>
      <c r="Q528" s="279"/>
      <c r="R528" s="324"/>
      <c r="S528" s="324"/>
      <c r="T528" s="324"/>
      <c r="U528" s="279"/>
      <c r="V528" s="279"/>
      <c r="W528" s="279"/>
      <c r="X528" s="279"/>
      <c r="Y528" s="83"/>
      <c r="Z528" s="83"/>
      <c r="AA528" s="328"/>
      <c r="AB528" s="328"/>
    </row>
    <row r="529" ht="15" spans="1:28">
      <c r="A529" s="285"/>
      <c r="B529" s="307"/>
      <c r="C529" s="308"/>
      <c r="D529" s="309"/>
      <c r="E529" s="310"/>
      <c r="F529" s="311"/>
      <c r="G529" s="311"/>
      <c r="H529" s="311"/>
      <c r="I529" s="311"/>
      <c r="J529" s="331"/>
      <c r="K529" s="187"/>
      <c r="L529" s="83"/>
      <c r="M529" s="96"/>
      <c r="N529" s="320"/>
      <c r="O529" s="321"/>
      <c r="P529" s="321"/>
      <c r="Q529" s="321"/>
      <c r="R529" s="321"/>
      <c r="S529" s="321"/>
      <c r="T529" s="321"/>
      <c r="U529" s="321"/>
      <c r="V529" s="321"/>
      <c r="W529" s="321"/>
      <c r="X529" s="321"/>
      <c r="Y529" s="83"/>
      <c r="Z529" s="83"/>
      <c r="AA529" s="98"/>
      <c r="AB529" s="98"/>
    </row>
    <row r="530" ht="24" spans="1:28">
      <c r="A530" s="285" t="str">
        <f>VLOOKUP(D530,'[2]2024 - Curva ABC de Insumos'!$E$6:$R$172,14,FALSE())</f>
        <v>C</v>
      </c>
      <c r="B530" s="300" t="s">
        <v>2032</v>
      </c>
      <c r="C530" s="305" t="s">
        <v>4689</v>
      </c>
      <c r="D530" s="288" t="s">
        <v>4690</v>
      </c>
      <c r="E530" s="289" t="s">
        <v>6495</v>
      </c>
      <c r="F530" s="290" t="s">
        <v>6496</v>
      </c>
      <c r="G530" s="290" t="s">
        <v>6497</v>
      </c>
      <c r="H530" s="290"/>
      <c r="I530" s="290"/>
      <c r="J530" s="322">
        <f>SMALL(E531:I531,1)</f>
        <v>3.43</v>
      </c>
      <c r="K530" s="187"/>
      <c r="L530" s="187" t="e">
        <f>VLOOKUP(B533,[3]CPUs!D:L,9,FALSE())</f>
        <v>#N/A</v>
      </c>
      <c r="M530" s="96" t="e">
        <f>IF(J530=L530,"OK","DIF")</f>
        <v>#N/A</v>
      </c>
      <c r="N530" s="377" t="s">
        <v>6344</v>
      </c>
      <c r="O530" s="324"/>
      <c r="P530" s="279"/>
      <c r="Q530" s="279"/>
      <c r="R530" s="324"/>
      <c r="S530" s="324"/>
      <c r="T530" s="324"/>
      <c r="U530" s="324"/>
      <c r="V530" s="324"/>
      <c r="W530" s="279"/>
      <c r="X530" s="279"/>
      <c r="Y530" s="83"/>
      <c r="Z530" s="83"/>
      <c r="AA530" s="328"/>
      <c r="AB530" s="328"/>
    </row>
    <row r="531" ht="15" spans="1:28">
      <c r="A531" s="285"/>
      <c r="B531" s="291"/>
      <c r="C531" s="292"/>
      <c r="D531" s="293" t="s">
        <v>6236</v>
      </c>
      <c r="E531" s="294">
        <v>3.43</v>
      </c>
      <c r="F531" s="295">
        <v>4.41</v>
      </c>
      <c r="G531" s="295">
        <v>18.6</v>
      </c>
      <c r="H531" s="295"/>
      <c r="I531" s="295"/>
      <c r="J531" s="325"/>
      <c r="K531" s="187"/>
      <c r="L531" s="83"/>
      <c r="M531" s="96"/>
      <c r="N531" s="326"/>
      <c r="O531" s="324"/>
      <c r="P531" s="279"/>
      <c r="Q531" s="279"/>
      <c r="R531" s="324"/>
      <c r="S531" s="324"/>
      <c r="T531" s="324"/>
      <c r="U531" s="324"/>
      <c r="V531" s="324"/>
      <c r="W531" s="279"/>
      <c r="X531" s="279"/>
      <c r="Y531" s="83"/>
      <c r="Z531" s="83"/>
      <c r="AA531" s="328"/>
      <c r="AB531" s="328"/>
    </row>
    <row r="532" ht="242.25" spans="1:28">
      <c r="A532" s="285"/>
      <c r="B532" s="291"/>
      <c r="C532" s="292"/>
      <c r="D532" s="293" t="s">
        <v>6237</v>
      </c>
      <c r="E532" s="296" t="s">
        <v>6498</v>
      </c>
      <c r="F532" s="296" t="s">
        <v>6499</v>
      </c>
      <c r="G532" s="296" t="s">
        <v>6500</v>
      </c>
      <c r="H532" s="302"/>
      <c r="I532" s="302"/>
      <c r="J532" s="325"/>
      <c r="K532" s="187"/>
      <c r="L532" s="83"/>
      <c r="M532" s="96"/>
      <c r="N532" s="326"/>
      <c r="O532" s="324"/>
      <c r="P532" s="279"/>
      <c r="Q532" s="279"/>
      <c r="R532" s="324"/>
      <c r="S532" s="324"/>
      <c r="T532" s="324"/>
      <c r="U532" s="279"/>
      <c r="V532" s="279"/>
      <c r="W532" s="279"/>
      <c r="X532" s="279"/>
      <c r="Y532" s="83"/>
      <c r="Z532" s="83"/>
      <c r="AA532" s="328"/>
      <c r="AB532" s="328"/>
    </row>
    <row r="533" ht="15" spans="1:28">
      <c r="A533" s="285"/>
      <c r="B533" s="307"/>
      <c r="C533" s="308"/>
      <c r="D533" s="309"/>
      <c r="E533" s="310"/>
      <c r="F533" s="311"/>
      <c r="G533" s="311"/>
      <c r="H533" s="311"/>
      <c r="I533" s="311"/>
      <c r="J533" s="331"/>
      <c r="K533" s="187"/>
      <c r="L533" s="83"/>
      <c r="M533" s="96"/>
      <c r="N533" s="320"/>
      <c r="O533" s="321"/>
      <c r="P533" s="321"/>
      <c r="Q533" s="321"/>
      <c r="R533" s="321"/>
      <c r="S533" s="321"/>
      <c r="T533" s="321"/>
      <c r="U533" s="321"/>
      <c r="V533" s="321"/>
      <c r="W533" s="321"/>
      <c r="X533" s="321"/>
      <c r="Y533" s="83"/>
      <c r="Z533" s="83"/>
      <c r="AA533" s="98"/>
      <c r="AB533" s="98"/>
    </row>
    <row r="534" ht="24" spans="1:28">
      <c r="A534" s="285" t="str">
        <f>VLOOKUP(D534,'[2]2024 - Curva ABC de Insumos'!$E$6:$R$172,14,FALSE())</f>
        <v>C</v>
      </c>
      <c r="B534" s="300" t="s">
        <v>2035</v>
      </c>
      <c r="C534" s="305" t="s">
        <v>4691</v>
      </c>
      <c r="D534" s="288" t="s">
        <v>4692</v>
      </c>
      <c r="E534" s="289" t="s">
        <v>6495</v>
      </c>
      <c r="F534" s="290" t="s">
        <v>6490</v>
      </c>
      <c r="G534" s="290" t="s">
        <v>6501</v>
      </c>
      <c r="H534" s="290"/>
      <c r="I534" s="290"/>
      <c r="J534" s="322">
        <f>SMALL(E535:I535,1)</f>
        <v>3.65</v>
      </c>
      <c r="K534" s="187"/>
      <c r="L534" s="187" t="e">
        <f>VLOOKUP(B537,[3]CPUs!D:L,9,FALSE())</f>
        <v>#N/A</v>
      </c>
      <c r="M534" s="96" t="e">
        <f>IF(J534=L534,"OK","DIF")</f>
        <v>#N/A</v>
      </c>
      <c r="N534" s="377" t="s">
        <v>6344</v>
      </c>
      <c r="O534" s="324"/>
      <c r="P534" s="279"/>
      <c r="Q534" s="279"/>
      <c r="R534" s="324"/>
      <c r="S534" s="324"/>
      <c r="T534" s="324"/>
      <c r="U534" s="324"/>
      <c r="V534" s="324"/>
      <c r="W534" s="279"/>
      <c r="X534" s="279"/>
      <c r="Y534" s="83"/>
      <c r="Z534" s="83"/>
      <c r="AA534" s="328"/>
      <c r="AB534" s="328"/>
    </row>
    <row r="535" ht="15" spans="1:28">
      <c r="A535" s="285"/>
      <c r="B535" s="291"/>
      <c r="C535" s="292"/>
      <c r="D535" s="293" t="s">
        <v>6236</v>
      </c>
      <c r="E535" s="294">
        <v>3.65</v>
      </c>
      <c r="F535" s="295">
        <v>4.18</v>
      </c>
      <c r="G535" s="295">
        <v>6.76</v>
      </c>
      <c r="H535" s="295"/>
      <c r="I535" s="295"/>
      <c r="J535" s="325"/>
      <c r="K535" s="187"/>
      <c r="L535" s="83"/>
      <c r="M535" s="96"/>
      <c r="N535" s="326"/>
      <c r="O535" s="324"/>
      <c r="P535" s="279"/>
      <c r="Q535" s="279"/>
      <c r="R535" s="324"/>
      <c r="S535" s="324"/>
      <c r="T535" s="324"/>
      <c r="U535" s="324"/>
      <c r="V535" s="324"/>
      <c r="W535" s="279"/>
      <c r="X535" s="279"/>
      <c r="Y535" s="83"/>
      <c r="Z535" s="83"/>
      <c r="AA535" s="328"/>
      <c r="AB535" s="328"/>
    </row>
    <row r="536" ht="299.25" spans="1:28">
      <c r="A536" s="285"/>
      <c r="B536" s="291"/>
      <c r="C536" s="292"/>
      <c r="D536" s="293" t="s">
        <v>6237</v>
      </c>
      <c r="E536" s="296" t="s">
        <v>6502</v>
      </c>
      <c r="F536" s="296" t="s">
        <v>6503</v>
      </c>
      <c r="G536" s="296" t="s">
        <v>6504</v>
      </c>
      <c r="H536" s="302"/>
      <c r="I536" s="302"/>
      <c r="J536" s="325"/>
      <c r="K536" s="187"/>
      <c r="L536" s="83"/>
      <c r="M536" s="96"/>
      <c r="N536" s="326"/>
      <c r="O536" s="324"/>
      <c r="P536" s="279"/>
      <c r="Q536" s="279"/>
      <c r="R536" s="324"/>
      <c r="S536" s="324"/>
      <c r="T536" s="324"/>
      <c r="U536" s="279"/>
      <c r="V536" s="279"/>
      <c r="W536" s="279"/>
      <c r="X536" s="279"/>
      <c r="Y536" s="83"/>
      <c r="Z536" s="83"/>
      <c r="AA536" s="328"/>
      <c r="AB536" s="328"/>
    </row>
    <row r="537" ht="15" spans="1:28">
      <c r="A537" s="285"/>
      <c r="B537" s="307"/>
      <c r="C537" s="308"/>
      <c r="D537" s="309"/>
      <c r="E537" s="310"/>
      <c r="F537" s="311"/>
      <c r="G537" s="311"/>
      <c r="H537" s="311"/>
      <c r="I537" s="311"/>
      <c r="J537" s="331"/>
      <c r="K537" s="187"/>
      <c r="L537" s="83"/>
      <c r="M537" s="96"/>
      <c r="N537" s="320"/>
      <c r="O537" s="321"/>
      <c r="P537" s="321"/>
      <c r="Q537" s="321"/>
      <c r="R537" s="321"/>
      <c r="S537" s="321"/>
      <c r="T537" s="321"/>
      <c r="U537" s="321"/>
      <c r="V537" s="321"/>
      <c r="W537" s="321"/>
      <c r="X537" s="321"/>
      <c r="Y537" s="83"/>
      <c r="Z537" s="83"/>
      <c r="AA537" s="98"/>
      <c r="AB537" s="98"/>
    </row>
    <row r="538" ht="15" spans="1:28">
      <c r="A538" s="285"/>
      <c r="B538" s="307"/>
      <c r="C538" s="308"/>
      <c r="D538" s="309"/>
      <c r="E538" s="310"/>
      <c r="F538" s="311"/>
      <c r="G538" s="311"/>
      <c r="H538" s="311"/>
      <c r="I538" s="311"/>
      <c r="J538" s="331"/>
      <c r="K538" s="187"/>
      <c r="L538" s="83"/>
      <c r="M538" s="96"/>
      <c r="N538" s="320"/>
      <c r="O538" s="321"/>
      <c r="P538" s="321"/>
      <c r="Q538" s="321"/>
      <c r="R538" s="321"/>
      <c r="S538" s="321"/>
      <c r="T538" s="321"/>
      <c r="U538" s="321"/>
      <c r="V538" s="321"/>
      <c r="W538" s="321"/>
      <c r="X538" s="321"/>
      <c r="Y538" s="83"/>
      <c r="Z538" s="83"/>
      <c r="AA538" s="98"/>
      <c r="AB538" s="98"/>
    </row>
    <row r="539" ht="24" spans="1:28">
      <c r="A539" s="285" t="str">
        <f>VLOOKUP(D539,'[2]2024 - Curva ABC de Insumos'!$E$6:$R$172,14,FALSE())</f>
        <v>C</v>
      </c>
      <c r="B539" s="300" t="s">
        <v>2053</v>
      </c>
      <c r="C539" s="305" t="s">
        <v>4703</v>
      </c>
      <c r="D539" s="288" t="s">
        <v>4704</v>
      </c>
      <c r="E539" s="289" t="s">
        <v>6505</v>
      </c>
      <c r="F539" s="290" t="s">
        <v>6506</v>
      </c>
      <c r="G539" s="290"/>
      <c r="H539" s="290"/>
      <c r="I539" s="290"/>
      <c r="J539" s="322">
        <f>SMALL(E540:I540,1)</f>
        <v>20.878</v>
      </c>
      <c r="K539" s="187"/>
      <c r="L539" s="187" t="e">
        <f>VLOOKUP(B542,[3]CPUs!D:L,9,FALSE())</f>
        <v>#N/A</v>
      </c>
      <c r="M539" s="96" t="e">
        <f>IF(J539=L539,"OK","DIF")</f>
        <v>#N/A</v>
      </c>
      <c r="N539" s="377" t="s">
        <v>6344</v>
      </c>
      <c r="O539" s="324"/>
      <c r="P539" s="279"/>
      <c r="Q539" s="279"/>
      <c r="R539" s="324"/>
      <c r="S539" s="324"/>
      <c r="T539" s="324"/>
      <c r="U539" s="324"/>
      <c r="V539" s="324"/>
      <c r="W539" s="279"/>
      <c r="X539" s="279"/>
      <c r="Y539" s="83"/>
      <c r="Z539" s="83"/>
      <c r="AA539" s="328"/>
      <c r="AB539" s="328"/>
    </row>
    <row r="540" ht="15" spans="1:28">
      <c r="A540" s="285"/>
      <c r="B540" s="291"/>
      <c r="C540" s="292"/>
      <c r="D540" s="293" t="s">
        <v>6236</v>
      </c>
      <c r="E540" s="294">
        <f>20*1.0439</f>
        <v>20.878</v>
      </c>
      <c r="F540" s="294">
        <f>20*1.0439</f>
        <v>20.878</v>
      </c>
      <c r="G540" s="295"/>
      <c r="H540" s="295"/>
      <c r="I540" s="295"/>
      <c r="J540" s="325"/>
      <c r="K540" s="187"/>
      <c r="L540" s="83"/>
      <c r="M540" s="96"/>
      <c r="N540" s="326"/>
      <c r="O540" s="324"/>
      <c r="P540" s="279"/>
      <c r="Q540" s="279"/>
      <c r="R540" s="324"/>
      <c r="S540" s="324"/>
      <c r="T540" s="324"/>
      <c r="U540" s="324"/>
      <c r="V540" s="324"/>
      <c r="W540" s="279"/>
      <c r="X540" s="279"/>
      <c r="Y540" s="83"/>
      <c r="Z540" s="83"/>
      <c r="AA540" s="328"/>
      <c r="AB540" s="328"/>
    </row>
    <row r="541" ht="28.5" spans="1:28">
      <c r="A541" s="285"/>
      <c r="B541" s="291"/>
      <c r="C541" s="292"/>
      <c r="D541" s="293" t="s">
        <v>6237</v>
      </c>
      <c r="E541" s="296" t="s">
        <v>6250</v>
      </c>
      <c r="F541" s="296" t="s">
        <v>6250</v>
      </c>
      <c r="G541" s="296"/>
      <c r="H541" s="302"/>
      <c r="I541" s="302"/>
      <c r="J541" s="325"/>
      <c r="K541" s="187"/>
      <c r="L541" s="83"/>
      <c r="M541" s="96"/>
      <c r="N541" s="326"/>
      <c r="O541" s="324"/>
      <c r="P541" s="279"/>
      <c r="Q541" s="279"/>
      <c r="R541" s="324"/>
      <c r="S541" s="324"/>
      <c r="T541" s="324"/>
      <c r="U541" s="279"/>
      <c r="V541" s="279"/>
      <c r="W541" s="279"/>
      <c r="X541" s="279"/>
      <c r="Y541" s="83"/>
      <c r="Z541" s="83"/>
      <c r="AA541" s="328"/>
      <c r="AB541" s="328"/>
    </row>
    <row r="542" ht="52.2" customHeight="1" spans="1:28">
      <c r="A542" s="285"/>
      <c r="B542" s="291"/>
      <c r="C542" s="292"/>
      <c r="D542" s="293" t="s">
        <v>6251</v>
      </c>
      <c r="E542" s="304" t="s">
        <v>6252</v>
      </c>
      <c r="F542" s="304"/>
      <c r="G542" s="304"/>
      <c r="H542" s="304"/>
      <c r="I542" s="304"/>
      <c r="J542" s="304"/>
      <c r="K542" s="187"/>
      <c r="L542" s="83"/>
      <c r="M542" s="96"/>
      <c r="N542" s="326"/>
      <c r="O542" s="324"/>
      <c r="P542" s="279"/>
      <c r="Q542" s="279"/>
      <c r="R542" s="324"/>
      <c r="S542" s="324"/>
      <c r="T542" s="324"/>
      <c r="U542" s="324"/>
      <c r="V542" s="324"/>
      <c r="W542" s="279"/>
      <c r="X542" s="279"/>
      <c r="Y542" s="83"/>
      <c r="Z542" s="83"/>
      <c r="AA542" s="328"/>
      <c r="AB542" s="328"/>
    </row>
    <row r="543" ht="15" spans="1:28">
      <c r="A543" s="285"/>
      <c r="B543" s="307"/>
      <c r="C543" s="308"/>
      <c r="D543" s="309"/>
      <c r="E543" s="310"/>
      <c r="F543" s="311"/>
      <c r="G543" s="311"/>
      <c r="H543" s="311"/>
      <c r="I543" s="311"/>
      <c r="J543" s="331"/>
      <c r="K543" s="187"/>
      <c r="L543" s="83"/>
      <c r="M543" s="96"/>
      <c r="N543" s="320"/>
      <c r="O543" s="321"/>
      <c r="P543" s="321"/>
      <c r="Q543" s="321"/>
      <c r="R543" s="321"/>
      <c r="S543" s="321"/>
      <c r="T543" s="321"/>
      <c r="U543" s="321"/>
      <c r="V543" s="321"/>
      <c r="W543" s="321"/>
      <c r="X543" s="321"/>
      <c r="Y543" s="83"/>
      <c r="Z543" s="83"/>
      <c r="AA543" s="98"/>
      <c r="AB543" s="98"/>
    </row>
    <row r="544" ht="24" spans="1:28">
      <c r="A544" s="285" t="str">
        <f>VLOOKUP(D544,'[2]2024 - Curva ABC de Insumos'!$E$6:$R$172,14,FALSE())</f>
        <v>C</v>
      </c>
      <c r="B544" s="300" t="s">
        <v>2059</v>
      </c>
      <c r="C544" s="305" t="s">
        <v>4707</v>
      </c>
      <c r="D544" s="288" t="s">
        <v>4708</v>
      </c>
      <c r="E544" s="289" t="s">
        <v>6505</v>
      </c>
      <c r="F544" s="290" t="s">
        <v>6506</v>
      </c>
      <c r="G544" s="290"/>
      <c r="H544" s="290"/>
      <c r="I544" s="290"/>
      <c r="J544" s="322">
        <f>SMALL(E545:I545,1)</f>
        <v>25.0536</v>
      </c>
      <c r="K544" s="187"/>
      <c r="L544" s="187" t="e">
        <f>VLOOKUP(B547,[3]CPUs!D:L,9,FALSE())</f>
        <v>#N/A</v>
      </c>
      <c r="M544" s="96" t="e">
        <f>IF(J544=L544,"OK","DIF")</f>
        <v>#N/A</v>
      </c>
      <c r="N544" s="377" t="s">
        <v>6344</v>
      </c>
      <c r="O544" s="324"/>
      <c r="P544" s="279"/>
      <c r="Q544" s="279"/>
      <c r="R544" s="324"/>
      <c r="S544" s="324"/>
      <c r="T544" s="324"/>
      <c r="U544" s="324"/>
      <c r="V544" s="324"/>
      <c r="W544" s="279"/>
      <c r="X544" s="279"/>
      <c r="Y544" s="83"/>
      <c r="Z544" s="83"/>
      <c r="AA544" s="328"/>
      <c r="AB544" s="328"/>
    </row>
    <row r="545" ht="15" spans="1:28">
      <c r="A545" s="285"/>
      <c r="B545" s="291"/>
      <c r="C545" s="292"/>
      <c r="D545" s="293" t="s">
        <v>6236</v>
      </c>
      <c r="E545" s="294">
        <f>1.0439*36</f>
        <v>37.5804</v>
      </c>
      <c r="F545" s="295">
        <f>1.0439*24</f>
        <v>25.0536</v>
      </c>
      <c r="G545" s="295"/>
      <c r="H545" s="295"/>
      <c r="I545" s="295"/>
      <c r="J545" s="325"/>
      <c r="K545" s="187" t="str">
        <f>IF(A545="c",$M$4*J545,"")</f>
        <v/>
      </c>
      <c r="L545" s="83"/>
      <c r="M545" s="96"/>
      <c r="N545" s="326"/>
      <c r="O545" s="324"/>
      <c r="P545" s="279"/>
      <c r="Q545" s="279"/>
      <c r="R545" s="324"/>
      <c r="S545" s="324"/>
      <c r="T545" s="324"/>
      <c r="U545" s="324"/>
      <c r="V545" s="324"/>
      <c r="W545" s="279"/>
      <c r="X545" s="279"/>
      <c r="Y545" s="83"/>
      <c r="Z545" s="83"/>
      <c r="AA545" s="328"/>
      <c r="AB545" s="328"/>
    </row>
    <row r="546" ht="28.5" spans="1:28">
      <c r="A546" s="285"/>
      <c r="B546" s="291"/>
      <c r="C546" s="292"/>
      <c r="D546" s="293" t="s">
        <v>6237</v>
      </c>
      <c r="E546" s="296" t="s">
        <v>6250</v>
      </c>
      <c r="F546" s="296" t="s">
        <v>6250</v>
      </c>
      <c r="G546" s="296"/>
      <c r="H546" s="302"/>
      <c r="I546" s="302"/>
      <c r="J546" s="325"/>
      <c r="K546" s="187" t="str">
        <f>IF(A546="c",$M$4*J546,"")</f>
        <v/>
      </c>
      <c r="L546" s="83"/>
      <c r="M546" s="96"/>
      <c r="N546" s="326"/>
      <c r="O546" s="324"/>
      <c r="P546" s="279"/>
      <c r="Q546" s="279"/>
      <c r="R546" s="324"/>
      <c r="S546" s="324"/>
      <c r="T546" s="324"/>
      <c r="U546" s="279"/>
      <c r="V546" s="279"/>
      <c r="W546" s="279"/>
      <c r="X546" s="279"/>
      <c r="Y546" s="83"/>
      <c r="Z546" s="83"/>
      <c r="AA546" s="328"/>
      <c r="AB546" s="328"/>
    </row>
    <row r="547" ht="52.2" customHeight="1" spans="1:28">
      <c r="A547" s="285"/>
      <c r="B547" s="291"/>
      <c r="C547" s="292"/>
      <c r="D547" s="293" t="s">
        <v>6251</v>
      </c>
      <c r="E547" s="304" t="s">
        <v>6252</v>
      </c>
      <c r="F547" s="304"/>
      <c r="G547" s="304"/>
      <c r="H547" s="304"/>
      <c r="I547" s="304"/>
      <c r="J547" s="304"/>
      <c r="K547" s="187" t="str">
        <f>IF(A547="c",$M$4*J547,"")</f>
        <v/>
      </c>
      <c r="L547" s="83"/>
      <c r="M547" s="96"/>
      <c r="N547" s="326"/>
      <c r="O547" s="324"/>
      <c r="P547" s="279"/>
      <c r="Q547" s="279"/>
      <c r="R547" s="324"/>
      <c r="S547" s="324"/>
      <c r="T547" s="324"/>
      <c r="U547" s="324"/>
      <c r="V547" s="324"/>
      <c r="W547" s="279"/>
      <c r="X547" s="279"/>
      <c r="Y547" s="83"/>
      <c r="Z547" s="83"/>
      <c r="AA547" s="328"/>
      <c r="AB547" s="328"/>
    </row>
    <row r="548" ht="15" spans="1:28">
      <c r="A548" s="285"/>
      <c r="B548" s="307"/>
      <c r="C548" s="308"/>
      <c r="D548" s="309"/>
      <c r="E548" s="310"/>
      <c r="F548" s="311"/>
      <c r="G548" s="311"/>
      <c r="H548" s="311"/>
      <c r="I548" s="311"/>
      <c r="J548" s="331"/>
      <c r="K548" s="187" t="str">
        <f>IF(A548="c",$M$4*J548,"")</f>
        <v/>
      </c>
      <c r="L548" s="83"/>
      <c r="M548" s="96"/>
      <c r="N548" s="320"/>
      <c r="O548" s="321"/>
      <c r="P548" s="321"/>
      <c r="Q548" s="321"/>
      <c r="R548" s="321"/>
      <c r="S548" s="321"/>
      <c r="T548" s="321"/>
      <c r="U548" s="321"/>
      <c r="V548" s="321"/>
      <c r="W548" s="321"/>
      <c r="X548" s="321"/>
      <c r="Y548" s="83"/>
      <c r="Z548" s="83"/>
      <c r="AA548" s="98"/>
      <c r="AB548" s="98"/>
    </row>
    <row r="549" ht="24" spans="1:28">
      <c r="A549" s="285"/>
      <c r="B549" s="300"/>
      <c r="C549" s="332" t="s">
        <v>6507</v>
      </c>
      <c r="D549" s="333" t="s">
        <v>6284</v>
      </c>
      <c r="E549" s="289"/>
      <c r="F549" s="290"/>
      <c r="G549" s="290"/>
      <c r="H549" s="290"/>
      <c r="I549" s="290"/>
      <c r="J549" s="322"/>
      <c r="K549" s="187" t="str">
        <f>IF(A549="c",$M$4*J549,"")</f>
        <v/>
      </c>
      <c r="L549" s="187"/>
      <c r="M549" s="96"/>
      <c r="N549" s="326"/>
      <c r="O549" s="324"/>
      <c r="P549" s="279"/>
      <c r="Q549" s="279"/>
      <c r="R549" s="324"/>
      <c r="S549" s="324"/>
      <c r="T549" s="324"/>
      <c r="U549" s="324"/>
      <c r="V549" s="324"/>
      <c r="W549" s="279"/>
      <c r="X549" s="279"/>
      <c r="Y549" s="83"/>
      <c r="Z549" s="83"/>
      <c r="AA549" s="328"/>
      <c r="AB549" s="328"/>
    </row>
    <row r="550" ht="15" spans="1:28">
      <c r="A550" s="285"/>
      <c r="B550" s="307"/>
      <c r="C550" s="308"/>
      <c r="D550" s="309"/>
      <c r="E550" s="310"/>
      <c r="F550" s="311"/>
      <c r="G550" s="311"/>
      <c r="H550" s="311"/>
      <c r="I550" s="311"/>
      <c r="J550" s="331"/>
      <c r="K550" s="187" t="str">
        <f>IF(A550="c",$M$4*J550,"")</f>
        <v/>
      </c>
      <c r="L550" s="83"/>
      <c r="M550" s="96"/>
      <c r="N550" s="320"/>
      <c r="O550" s="321"/>
      <c r="P550" s="321"/>
      <c r="Q550" s="321"/>
      <c r="R550" s="321"/>
      <c r="S550" s="321"/>
      <c r="T550" s="321"/>
      <c r="U550" s="321"/>
      <c r="V550" s="321"/>
      <c r="W550" s="321"/>
      <c r="X550" s="321"/>
      <c r="Y550" s="83"/>
      <c r="Z550" s="83"/>
      <c r="AA550" s="98"/>
      <c r="AB550" s="98"/>
    </row>
    <row r="551" ht="36" spans="1:28">
      <c r="A551" s="285" t="str">
        <f>VLOOKUP(D551,'[2]2024 - Curva ABC de Insumos'!$E$6:$R$172,14,FALSE())</f>
        <v>C</v>
      </c>
      <c r="B551" s="300" t="s">
        <v>2069</v>
      </c>
      <c r="C551" s="305" t="s">
        <v>4715</v>
      </c>
      <c r="D551" s="335" t="s">
        <v>4716</v>
      </c>
      <c r="E551" s="289" t="s">
        <v>6508</v>
      </c>
      <c r="F551" s="290" t="s">
        <v>6509</v>
      </c>
      <c r="G551" s="290" t="s">
        <v>6510</v>
      </c>
      <c r="H551" s="290"/>
      <c r="I551" s="290"/>
      <c r="J551" s="322">
        <f>SMALL(E552:I552,1)</f>
        <v>2911.103052</v>
      </c>
      <c r="K551" s="81"/>
      <c r="L551" s="187" t="e">
        <f>VLOOKUP(B554,[3]CPUs!D:L,9,FALSE())</f>
        <v>#N/A</v>
      </c>
      <c r="M551" s="96" t="e">
        <f>IF(J551=L551,"OK","DIF")</f>
        <v>#N/A</v>
      </c>
      <c r="N551" s="377" t="s">
        <v>6344</v>
      </c>
      <c r="O551" s="324"/>
      <c r="P551" s="279"/>
      <c r="Q551" s="279"/>
      <c r="R551" s="324"/>
      <c r="S551" s="324"/>
      <c r="T551" s="324"/>
      <c r="U551" s="324"/>
      <c r="V551" s="324"/>
      <c r="W551" s="279"/>
      <c r="X551" s="279"/>
      <c r="Y551" s="83"/>
      <c r="Z551" s="83"/>
      <c r="AA551" s="328"/>
      <c r="AB551" s="328"/>
    </row>
    <row r="552" ht="15" spans="1:28">
      <c r="A552" s="285"/>
      <c r="B552" s="291"/>
      <c r="C552" s="292"/>
      <c r="D552" s="293" t="s">
        <v>6236</v>
      </c>
      <c r="E552" s="294">
        <f>(3293-184.72-319.6)*1.0439</f>
        <v>2911.103052</v>
      </c>
      <c r="F552" s="295">
        <f>(3457.65-184.72-319.6)*1.0439</f>
        <v>3082.981187</v>
      </c>
      <c r="G552" s="295">
        <f>(3622.3-184.72-319.6)*1.0439</f>
        <v>3254.859322</v>
      </c>
      <c r="H552" s="295"/>
      <c r="I552" s="295"/>
      <c r="J552" s="325"/>
      <c r="K552" s="81"/>
      <c r="L552" s="83"/>
      <c r="M552" s="96"/>
      <c r="N552" s="326"/>
      <c r="O552" s="324"/>
      <c r="P552" s="279"/>
      <c r="Q552" s="279"/>
      <c r="R552" s="324"/>
      <c r="S552" s="324"/>
      <c r="T552" s="324"/>
      <c r="U552" s="324"/>
      <c r="V552" s="324"/>
      <c r="W552" s="279"/>
      <c r="X552" s="279"/>
      <c r="Y552" s="83"/>
      <c r="Z552" s="83"/>
      <c r="AA552" s="328"/>
      <c r="AB552" s="328"/>
    </row>
    <row r="553" ht="28.5" spans="1:28">
      <c r="A553" s="285"/>
      <c r="B553" s="291"/>
      <c r="C553" s="292"/>
      <c r="D553" s="293" t="s">
        <v>6237</v>
      </c>
      <c r="E553" s="296" t="s">
        <v>6250</v>
      </c>
      <c r="F553" s="296" t="s">
        <v>6250</v>
      </c>
      <c r="G553" s="296" t="s">
        <v>6250</v>
      </c>
      <c r="H553" s="302"/>
      <c r="I553" s="302"/>
      <c r="J553" s="325"/>
      <c r="K553" s="81"/>
      <c r="L553" s="83"/>
      <c r="M553" s="96"/>
      <c r="N553" s="326"/>
      <c r="O553" s="324"/>
      <c r="P553" s="279"/>
      <c r="Q553" s="279"/>
      <c r="R553" s="324"/>
      <c r="S553" s="324"/>
      <c r="T553" s="324"/>
      <c r="U553" s="279"/>
      <c r="V553" s="279"/>
      <c r="W553" s="279"/>
      <c r="X553" s="279"/>
      <c r="Y553" s="83"/>
      <c r="Z553" s="83"/>
      <c r="AA553" s="328"/>
      <c r="AB553" s="328"/>
    </row>
    <row r="554" ht="15" spans="1:28">
      <c r="A554" s="285"/>
      <c r="B554" s="307"/>
      <c r="C554" s="308"/>
      <c r="D554" s="309"/>
      <c r="E554" s="310"/>
      <c r="F554" s="311"/>
      <c r="G554" s="311"/>
      <c r="H554" s="311"/>
      <c r="I554" s="311"/>
      <c r="J554" s="331"/>
      <c r="K554" s="81"/>
      <c r="L554" s="83"/>
      <c r="M554" s="96"/>
      <c r="N554" s="320"/>
      <c r="O554" s="321"/>
      <c r="P554" s="321"/>
      <c r="Q554" s="321"/>
      <c r="R554" s="321"/>
      <c r="S554" s="321"/>
      <c r="T554" s="321"/>
      <c r="U554" s="321"/>
      <c r="V554" s="321"/>
      <c r="W554" s="321"/>
      <c r="X554" s="321"/>
      <c r="Y554" s="83"/>
      <c r="Z554" s="83"/>
      <c r="AA554" s="98"/>
      <c r="AB554" s="98"/>
    </row>
    <row r="555" ht="24" spans="1:28">
      <c r="A555" s="285"/>
      <c r="B555" s="300"/>
      <c r="C555" s="332" t="s">
        <v>6511</v>
      </c>
      <c r="D555" s="333" t="s">
        <v>6312</v>
      </c>
      <c r="E555" s="289"/>
      <c r="F555" s="290"/>
      <c r="G555" s="290"/>
      <c r="H555" s="290"/>
      <c r="I555" s="290"/>
      <c r="J555" s="322"/>
      <c r="K555" s="81"/>
      <c r="L555" s="187"/>
      <c r="M555" s="96"/>
      <c r="N555" s="326"/>
      <c r="O555" s="324"/>
      <c r="P555" s="279"/>
      <c r="Q555" s="279"/>
      <c r="R555" s="324"/>
      <c r="S555" s="324"/>
      <c r="T555" s="324"/>
      <c r="U555" s="324"/>
      <c r="V555" s="324"/>
      <c r="W555" s="279"/>
      <c r="X555" s="279"/>
      <c r="Y555" s="83"/>
      <c r="Z555" s="83"/>
      <c r="AA555" s="328"/>
      <c r="AB555" s="328"/>
    </row>
    <row r="556" ht="15" spans="1:28">
      <c r="A556" s="285"/>
      <c r="B556" s="307"/>
      <c r="C556" s="308"/>
      <c r="D556" s="309"/>
      <c r="E556" s="310"/>
      <c r="F556" s="311"/>
      <c r="G556" s="311"/>
      <c r="H556" s="311"/>
      <c r="I556" s="311"/>
      <c r="J556" s="331"/>
      <c r="K556" s="81"/>
      <c r="L556" s="83"/>
      <c r="M556" s="96"/>
      <c r="N556" s="320"/>
      <c r="O556" s="321"/>
      <c r="P556" s="321"/>
      <c r="Q556" s="321"/>
      <c r="R556" s="321"/>
      <c r="S556" s="321"/>
      <c r="T556" s="321"/>
      <c r="U556" s="321"/>
      <c r="V556" s="321"/>
      <c r="W556" s="321"/>
      <c r="X556" s="321"/>
      <c r="Y556" s="83"/>
      <c r="Z556" s="83"/>
      <c r="AA556" s="98"/>
      <c r="AB556" s="98"/>
    </row>
    <row r="557" ht="36" spans="1:28">
      <c r="A557" s="285" t="str">
        <f>VLOOKUP(D557,'[2]2024 - Curva ABC de Insumos'!$E$6:$R$172,14,FALSE())</f>
        <v>C</v>
      </c>
      <c r="B557" s="300" t="s">
        <v>2073</v>
      </c>
      <c r="C557" s="305" t="s">
        <v>4717</v>
      </c>
      <c r="D557" s="335" t="s">
        <v>4718</v>
      </c>
      <c r="E557" s="289" t="s">
        <v>6508</v>
      </c>
      <c r="F557" s="290" t="s">
        <v>6509</v>
      </c>
      <c r="G557" s="290" t="s">
        <v>6510</v>
      </c>
      <c r="H557" s="290"/>
      <c r="I557" s="290"/>
      <c r="J557" s="322">
        <f>SMALL(E558:I558,1)</f>
        <v>3300.477752</v>
      </c>
      <c r="K557" s="81"/>
      <c r="L557" s="187" t="e">
        <f>VLOOKUP(B560,[3]CPUs!D:L,9,FALSE())</f>
        <v>#N/A</v>
      </c>
      <c r="M557" s="96" t="e">
        <f>IF(J557=L557,"OK","DIF")</f>
        <v>#N/A</v>
      </c>
      <c r="N557" s="377" t="s">
        <v>6344</v>
      </c>
      <c r="O557" s="324"/>
      <c r="P557" s="279"/>
      <c r="Q557" s="279"/>
      <c r="R557" s="324"/>
      <c r="S557" s="324"/>
      <c r="T557" s="324"/>
      <c r="U557" s="324"/>
      <c r="V557" s="324"/>
      <c r="W557" s="279"/>
      <c r="X557" s="279"/>
      <c r="Y557" s="83"/>
      <c r="Z557" s="83"/>
      <c r="AA557" s="328"/>
      <c r="AB557" s="328"/>
    </row>
    <row r="558" ht="15" spans="1:28">
      <c r="A558" s="285"/>
      <c r="B558" s="291"/>
      <c r="C558" s="292"/>
      <c r="D558" s="293" t="s">
        <v>6236</v>
      </c>
      <c r="E558" s="294">
        <f>(3666-184.72-319.6)*1.0439</f>
        <v>3300.477752</v>
      </c>
      <c r="F558" s="295">
        <f>(3849.3-184.72-319.6)*1.0439</f>
        <v>3491.824622</v>
      </c>
      <c r="G558" s="295">
        <f>(4032.6-184.72-319.6)*1.0439</f>
        <v>3683.171492</v>
      </c>
      <c r="H558" s="295"/>
      <c r="I558" s="295"/>
      <c r="J558" s="325"/>
      <c r="K558" s="187" t="str">
        <f>IF(A558="c",$M$4*J558,"")</f>
        <v/>
      </c>
      <c r="L558" s="83"/>
      <c r="M558" s="96"/>
      <c r="N558" s="326"/>
      <c r="O558" s="324"/>
      <c r="P558" s="279"/>
      <c r="Q558" s="279"/>
      <c r="R558" s="324"/>
      <c r="S558" s="324"/>
      <c r="T558" s="324"/>
      <c r="U558" s="324"/>
      <c r="V558" s="324"/>
      <c r="W558" s="279"/>
      <c r="X558" s="279"/>
      <c r="Y558" s="83"/>
      <c r="Z558" s="83"/>
      <c r="AA558" s="328"/>
      <c r="AB558" s="328"/>
    </row>
    <row r="559" ht="28.5" spans="1:28">
      <c r="A559" s="285"/>
      <c r="B559" s="291"/>
      <c r="C559" s="292"/>
      <c r="D559" s="293" t="s">
        <v>6237</v>
      </c>
      <c r="E559" s="296" t="s">
        <v>6250</v>
      </c>
      <c r="F559" s="296" t="s">
        <v>6250</v>
      </c>
      <c r="G559" s="296" t="s">
        <v>6250</v>
      </c>
      <c r="H559" s="302"/>
      <c r="I559" s="302"/>
      <c r="J559" s="325"/>
      <c r="K559" s="187" t="str">
        <f>IF(A559="c",$M$4*J559,"")</f>
        <v/>
      </c>
      <c r="L559" s="83"/>
      <c r="M559" s="96"/>
      <c r="N559" s="326"/>
      <c r="O559" s="324"/>
      <c r="P559" s="279"/>
      <c r="Q559" s="279"/>
      <c r="R559" s="324"/>
      <c r="S559" s="324"/>
      <c r="T559" s="324"/>
      <c r="U559" s="279"/>
      <c r="V559" s="279"/>
      <c r="W559" s="279"/>
      <c r="X559" s="279"/>
      <c r="Y559" s="83"/>
      <c r="Z559" s="83"/>
      <c r="AA559" s="328"/>
      <c r="AB559" s="328"/>
    </row>
    <row r="560" ht="15" spans="1:28">
      <c r="A560" s="285"/>
      <c r="B560" s="307"/>
      <c r="C560" s="308"/>
      <c r="D560" s="309"/>
      <c r="E560" s="310"/>
      <c r="F560" s="311"/>
      <c r="G560" s="311"/>
      <c r="H560" s="311"/>
      <c r="I560" s="311"/>
      <c r="J560" s="331"/>
      <c r="K560" s="187" t="str">
        <f>IF(A560="c",$M$4*J560,"")</f>
        <v/>
      </c>
      <c r="L560" s="83"/>
      <c r="M560" s="96"/>
      <c r="N560" s="320"/>
      <c r="O560" s="321"/>
      <c r="P560" s="321"/>
      <c r="Q560" s="321"/>
      <c r="R560" s="321"/>
      <c r="S560" s="321"/>
      <c r="T560" s="321"/>
      <c r="U560" s="321"/>
      <c r="V560" s="321"/>
      <c r="W560" s="321"/>
      <c r="X560" s="321"/>
      <c r="Y560" s="83"/>
      <c r="Z560" s="83"/>
      <c r="AA560" s="98"/>
      <c r="AB560" s="98"/>
    </row>
    <row r="561" ht="36" spans="1:28">
      <c r="A561" s="285" t="str">
        <f>VLOOKUP(D561,'[2]2024 - Curva ABC de Insumos'!$E$6:$R$172,14,FALSE())</f>
        <v>C</v>
      </c>
      <c r="B561" s="300" t="s">
        <v>2076</v>
      </c>
      <c r="C561" s="305" t="s">
        <v>4719</v>
      </c>
      <c r="D561" s="335" t="s">
        <v>4720</v>
      </c>
      <c r="E561" s="289" t="s">
        <v>6508</v>
      </c>
      <c r="F561" s="290" t="s">
        <v>6509</v>
      </c>
      <c r="G561" s="290" t="s">
        <v>6510</v>
      </c>
      <c r="H561" s="290"/>
      <c r="I561" s="290"/>
      <c r="J561" s="322">
        <f>SMALL(E562:I562,1)</f>
        <v>3220.68</v>
      </c>
      <c r="K561" s="81"/>
      <c r="L561" s="187" t="e">
        <f>VLOOKUP(B564,[3]CPUs!D:L,9,FALSE())</f>
        <v>#N/A</v>
      </c>
      <c r="M561" s="96" t="e">
        <f>IF(J561=L561,"OK","DIF")</f>
        <v>#N/A</v>
      </c>
      <c r="N561" s="377" t="s">
        <v>6344</v>
      </c>
      <c r="O561" s="324"/>
      <c r="P561" s="279"/>
      <c r="Q561" s="279"/>
      <c r="R561" s="324"/>
      <c r="S561" s="324"/>
      <c r="T561" s="324"/>
      <c r="U561" s="324"/>
      <c r="V561" s="324"/>
      <c r="W561" s="279"/>
      <c r="X561" s="279"/>
      <c r="Y561" s="83"/>
      <c r="Z561" s="83"/>
      <c r="AA561" s="328"/>
      <c r="AB561" s="328"/>
    </row>
    <row r="562" ht="15" spans="1:28">
      <c r="A562" s="285"/>
      <c r="B562" s="291"/>
      <c r="C562" s="292"/>
      <c r="D562" s="293" t="s">
        <v>6236</v>
      </c>
      <c r="E562" s="294">
        <f>3725-184.72-319.6</f>
        <v>3220.68</v>
      </c>
      <c r="F562" s="294">
        <f>3911.25-184.72-319.6</f>
        <v>3406.93</v>
      </c>
      <c r="G562" s="294">
        <f>(4097.5-184.72-319.6)*1.0439</f>
        <v>3750.920602</v>
      </c>
      <c r="H562" s="295"/>
      <c r="I562" s="295"/>
      <c r="J562" s="325"/>
      <c r="K562" s="187" t="str">
        <f>IF(A562="c",$M$4*J562,"")</f>
        <v/>
      </c>
      <c r="L562" s="83"/>
      <c r="M562" s="96"/>
      <c r="N562" s="326"/>
      <c r="O562" s="324"/>
      <c r="P562" s="279"/>
      <c r="Q562" s="279"/>
      <c r="R562" s="324"/>
      <c r="S562" s="324"/>
      <c r="T562" s="324"/>
      <c r="U562" s="324"/>
      <c r="V562" s="324"/>
      <c r="W562" s="279"/>
      <c r="X562" s="279"/>
      <c r="Y562" s="83"/>
      <c r="Z562" s="83"/>
      <c r="AA562" s="328"/>
      <c r="AB562" s="328"/>
    </row>
    <row r="563" ht="28.5" spans="1:28">
      <c r="A563" s="285"/>
      <c r="B563" s="291"/>
      <c r="C563" s="292"/>
      <c r="D563" s="293" t="s">
        <v>6237</v>
      </c>
      <c r="E563" s="296" t="s">
        <v>6250</v>
      </c>
      <c r="F563" s="296" t="s">
        <v>6250</v>
      </c>
      <c r="G563" s="296" t="s">
        <v>6250</v>
      </c>
      <c r="H563" s="302"/>
      <c r="I563" s="302"/>
      <c r="J563" s="325"/>
      <c r="K563" s="187" t="str">
        <f>IF(A563="c",$M$4*J563,"")</f>
        <v/>
      </c>
      <c r="L563" s="83"/>
      <c r="M563" s="96"/>
      <c r="N563" s="326"/>
      <c r="O563" s="324"/>
      <c r="P563" s="279"/>
      <c r="Q563" s="279"/>
      <c r="R563" s="324"/>
      <c r="S563" s="324"/>
      <c r="T563" s="324"/>
      <c r="U563" s="279"/>
      <c r="V563" s="279"/>
      <c r="W563" s="279"/>
      <c r="X563" s="279"/>
      <c r="Y563" s="83"/>
      <c r="Z563" s="83"/>
      <c r="AA563" s="328"/>
      <c r="AB563" s="328"/>
    </row>
    <row r="564" ht="15" spans="1:28">
      <c r="A564" s="285"/>
      <c r="B564" s="307"/>
      <c r="C564" s="308"/>
      <c r="D564" s="309"/>
      <c r="E564" s="310"/>
      <c r="F564" s="311"/>
      <c r="G564" s="311"/>
      <c r="H564" s="311"/>
      <c r="I564" s="311"/>
      <c r="J564" s="331"/>
      <c r="K564" s="187" t="str">
        <f>IF(A564="c",$M$4*J564,"")</f>
        <v/>
      </c>
      <c r="L564" s="83"/>
      <c r="M564" s="96"/>
      <c r="N564" s="320"/>
      <c r="O564" s="321"/>
      <c r="P564" s="321"/>
      <c r="Q564" s="321"/>
      <c r="R564" s="321"/>
      <c r="S564" s="321"/>
      <c r="T564" s="321"/>
      <c r="U564" s="321"/>
      <c r="V564" s="321"/>
      <c r="W564" s="321"/>
      <c r="X564" s="321"/>
      <c r="Y564" s="83"/>
      <c r="Z564" s="83"/>
      <c r="AA564" s="98"/>
      <c r="AB564" s="98"/>
    </row>
    <row r="565" ht="48" spans="1:28">
      <c r="A565" s="285" t="str">
        <f>VLOOKUP(D565,'[2]2024 - Curva ABC de Insumos'!$E$6:$R$172,14,FALSE())</f>
        <v>C</v>
      </c>
      <c r="B565" s="300" t="s">
        <v>2079</v>
      </c>
      <c r="C565" s="305" t="s">
        <v>4723</v>
      </c>
      <c r="D565" s="335" t="s">
        <v>4724</v>
      </c>
      <c r="E565" s="289" t="s">
        <v>6508</v>
      </c>
      <c r="F565" s="290" t="s">
        <v>6509</v>
      </c>
      <c r="G565" s="290" t="s">
        <v>6510</v>
      </c>
      <c r="H565" s="290"/>
      <c r="I565" s="290"/>
      <c r="J565" s="322">
        <f>SMALL(E566:I566,1)</f>
        <v>3725.846124</v>
      </c>
      <c r="K565" s="81"/>
      <c r="L565" s="187" t="e">
        <f>VLOOKUP(B568,[3]CPUs!D:L,9,FALSE())</f>
        <v>#N/A</v>
      </c>
      <c r="M565" s="96" t="e">
        <f>IF(J565=L565,"OK","DIF")</f>
        <v>#N/A</v>
      </c>
      <c r="N565" s="377" t="s">
        <v>6344</v>
      </c>
      <c r="O565" s="324"/>
      <c r="P565" s="279"/>
      <c r="Q565" s="279"/>
      <c r="R565" s="324"/>
      <c r="S565" s="324"/>
      <c r="T565" s="324"/>
      <c r="U565" s="324"/>
      <c r="V565" s="324"/>
      <c r="W565" s="279"/>
      <c r="X565" s="279"/>
      <c r="Y565" s="83"/>
      <c r="Z565" s="83"/>
      <c r="AA565" s="328"/>
      <c r="AB565" s="328"/>
    </row>
    <row r="566" ht="15" spans="1:28">
      <c r="A566" s="285"/>
      <c r="B566" s="291"/>
      <c r="C566" s="292"/>
      <c r="D566" s="293" t="s">
        <v>6236</v>
      </c>
      <c r="E566" s="294">
        <f>(4335-765.84)*1.0439</f>
        <v>3725.846124</v>
      </c>
      <c r="F566" s="294">
        <f>(4551.75-765.84)*1.0439</f>
        <v>3952.111449</v>
      </c>
      <c r="G566" s="294">
        <f>(4768.5-765.84)*1.0439</f>
        <v>4178.376774</v>
      </c>
      <c r="H566" s="295"/>
      <c r="I566" s="295"/>
      <c r="J566" s="325"/>
      <c r="K566" s="187" t="str">
        <f>IF(A566="c",$M$4*J566,"")</f>
        <v/>
      </c>
      <c r="L566" s="83"/>
      <c r="M566" s="96"/>
      <c r="N566" s="326"/>
      <c r="O566" s="324"/>
      <c r="P566" s="279"/>
      <c r="Q566" s="279"/>
      <c r="R566" s="324"/>
      <c r="S566" s="324"/>
      <c r="T566" s="324"/>
      <c r="U566" s="324"/>
      <c r="V566" s="324"/>
      <c r="W566" s="279"/>
      <c r="X566" s="279"/>
      <c r="Y566" s="83"/>
      <c r="Z566" s="83"/>
      <c r="AA566" s="328"/>
      <c r="AB566" s="328"/>
    </row>
    <row r="567" ht="28.5" spans="1:28">
      <c r="A567" s="285"/>
      <c r="B567" s="291"/>
      <c r="C567" s="292"/>
      <c r="D567" s="293" t="s">
        <v>6237</v>
      </c>
      <c r="E567" s="296" t="s">
        <v>6250</v>
      </c>
      <c r="F567" s="296" t="s">
        <v>6250</v>
      </c>
      <c r="G567" s="296" t="s">
        <v>6250</v>
      </c>
      <c r="H567" s="302"/>
      <c r="I567" s="302"/>
      <c r="J567" s="325"/>
      <c r="K567" s="187" t="str">
        <f>IF(A567="c",$M$4*J567,"")</f>
        <v/>
      </c>
      <c r="L567" s="83"/>
      <c r="M567" s="96"/>
      <c r="N567" s="326"/>
      <c r="O567" s="324"/>
      <c r="P567" s="279"/>
      <c r="Q567" s="279"/>
      <c r="R567" s="324"/>
      <c r="S567" s="324"/>
      <c r="T567" s="324"/>
      <c r="U567" s="279"/>
      <c r="V567" s="279"/>
      <c r="W567" s="279"/>
      <c r="X567" s="279"/>
      <c r="Y567" s="83"/>
      <c r="Z567" s="83"/>
      <c r="AA567" s="328"/>
      <c r="AB567" s="328"/>
    </row>
    <row r="568" ht="15" spans="1:28">
      <c r="A568" s="285"/>
      <c r="B568" s="307"/>
      <c r="C568" s="308"/>
      <c r="D568" s="309"/>
      <c r="E568" s="310"/>
      <c r="F568" s="311"/>
      <c r="G568" s="311"/>
      <c r="H568" s="311"/>
      <c r="I568" s="311"/>
      <c r="J568" s="331"/>
      <c r="K568" s="187" t="str">
        <f>IF(A568="c",$M$4*J568,"")</f>
        <v/>
      </c>
      <c r="L568" s="83"/>
      <c r="M568" s="96"/>
      <c r="N568" s="320"/>
      <c r="O568" s="321"/>
      <c r="P568" s="321"/>
      <c r="Q568" s="321"/>
      <c r="R568" s="321"/>
      <c r="S568" s="321"/>
      <c r="T568" s="321"/>
      <c r="U568" s="321"/>
      <c r="V568" s="321"/>
      <c r="W568" s="321"/>
      <c r="X568" s="321"/>
      <c r="Y568" s="83"/>
      <c r="Z568" s="83"/>
      <c r="AA568" s="98"/>
      <c r="AB568" s="98"/>
    </row>
    <row r="569" ht="48" spans="1:28">
      <c r="A569" s="285" t="str">
        <f>VLOOKUP(D569,'[2]2024 - Curva ABC de Insumos'!$E$6:$R$172,14,FALSE())</f>
        <v>C</v>
      </c>
      <c r="B569" s="300" t="s">
        <v>2082</v>
      </c>
      <c r="C569" s="305" t="s">
        <v>4725</v>
      </c>
      <c r="D569" s="335" t="s">
        <v>4726</v>
      </c>
      <c r="E569" s="289" t="s">
        <v>6508</v>
      </c>
      <c r="F569" s="290" t="s">
        <v>6509</v>
      </c>
      <c r="G569" s="290" t="s">
        <v>6510</v>
      </c>
      <c r="H569" s="290"/>
      <c r="I569" s="290"/>
      <c r="J569" s="322">
        <f>SMALL(E570:I570,1)</f>
        <v>3946.109024</v>
      </c>
      <c r="K569" s="81"/>
      <c r="L569" s="187" t="e">
        <f>VLOOKUP(B572,[3]CPUs!D:L,9,FALSE())</f>
        <v>#N/A</v>
      </c>
      <c r="M569" s="96" t="e">
        <f>IF(J569=L569,"OK","DIF")</f>
        <v>#N/A</v>
      </c>
      <c r="N569" s="377" t="s">
        <v>6344</v>
      </c>
      <c r="O569" s="324"/>
      <c r="P569" s="279"/>
      <c r="Q569" s="279"/>
      <c r="R569" s="324"/>
      <c r="S569" s="324"/>
      <c r="T569" s="324"/>
      <c r="U569" s="324"/>
      <c r="V569" s="324"/>
      <c r="W569" s="279"/>
      <c r="X569" s="279"/>
      <c r="Y569" s="83"/>
      <c r="Z569" s="83"/>
      <c r="AA569" s="328"/>
      <c r="AB569" s="328"/>
    </row>
    <row r="570" ht="15" spans="1:28">
      <c r="A570" s="285"/>
      <c r="B570" s="291"/>
      <c r="C570" s="292"/>
      <c r="D570" s="293" t="s">
        <v>6236</v>
      </c>
      <c r="E570" s="294">
        <f>(4546-765.84)*1.0439</f>
        <v>3946.109024</v>
      </c>
      <c r="F570" s="294">
        <f>(4773.3-765.84)*1.0439</f>
        <v>4183.387494</v>
      </c>
      <c r="G570" s="294">
        <f>(5000.6-765.84)*1.0439</f>
        <v>4420.665964</v>
      </c>
      <c r="H570" s="295"/>
      <c r="I570" s="295"/>
      <c r="J570" s="325"/>
      <c r="K570" s="187" t="str">
        <f>IF(A570="c",$M$4*J570,"")</f>
        <v/>
      </c>
      <c r="L570" s="83"/>
      <c r="M570" s="96"/>
      <c r="N570" s="326"/>
      <c r="O570" s="324"/>
      <c r="P570" s="279"/>
      <c r="Q570" s="279"/>
      <c r="R570" s="324"/>
      <c r="S570" s="324"/>
      <c r="T570" s="324"/>
      <c r="U570" s="324"/>
      <c r="V570" s="324"/>
      <c r="W570" s="279"/>
      <c r="X570" s="279"/>
      <c r="Y570" s="83"/>
      <c r="Z570" s="83"/>
      <c r="AA570" s="328"/>
      <c r="AB570" s="328"/>
    </row>
    <row r="571" ht="28.5" spans="1:28">
      <c r="A571" s="285"/>
      <c r="B571" s="291"/>
      <c r="C571" s="292"/>
      <c r="D571" s="293" t="s">
        <v>6237</v>
      </c>
      <c r="E571" s="296" t="s">
        <v>6250</v>
      </c>
      <c r="F571" s="296" t="s">
        <v>6250</v>
      </c>
      <c r="G571" s="296" t="s">
        <v>6250</v>
      </c>
      <c r="H571" s="302"/>
      <c r="I571" s="302"/>
      <c r="J571" s="325"/>
      <c r="K571" s="187" t="str">
        <f>IF(A571="c",$M$4*J571,"")</f>
        <v/>
      </c>
      <c r="L571" s="83"/>
      <c r="M571" s="96"/>
      <c r="N571" s="326"/>
      <c r="O571" s="324"/>
      <c r="P571" s="279"/>
      <c r="Q571" s="279"/>
      <c r="R571" s="324"/>
      <c r="S571" s="324"/>
      <c r="T571" s="324"/>
      <c r="U571" s="279"/>
      <c r="V571" s="279"/>
      <c r="W571" s="279"/>
      <c r="X571" s="279"/>
      <c r="Y571" s="83"/>
      <c r="Z571" s="83"/>
      <c r="AA571" s="328"/>
      <c r="AB571" s="328"/>
    </row>
    <row r="572" ht="15" spans="1:28">
      <c r="A572" s="285"/>
      <c r="B572" s="307"/>
      <c r="C572" s="308"/>
      <c r="D572" s="309"/>
      <c r="E572" s="310"/>
      <c r="F572" s="311"/>
      <c r="G572" s="311"/>
      <c r="H572" s="311"/>
      <c r="I572" s="311"/>
      <c r="J572" s="331"/>
      <c r="K572" s="187" t="str">
        <f>IF(A572="c",$M$4*J572,"")</f>
        <v/>
      </c>
      <c r="L572" s="83"/>
      <c r="M572" s="96"/>
      <c r="N572" s="320"/>
      <c r="O572" s="321"/>
      <c r="P572" s="321"/>
      <c r="Q572" s="321"/>
      <c r="R572" s="321"/>
      <c r="S572" s="321"/>
      <c r="T572" s="321"/>
      <c r="U572" s="321"/>
      <c r="V572" s="321"/>
      <c r="W572" s="321"/>
      <c r="X572" s="321"/>
      <c r="Y572" s="83"/>
      <c r="Z572" s="83"/>
      <c r="AA572" s="98"/>
      <c r="AB572" s="98"/>
    </row>
    <row r="573" ht="24" spans="1:28">
      <c r="A573" s="285"/>
      <c r="B573" s="300"/>
      <c r="C573" s="332" t="s">
        <v>6512</v>
      </c>
      <c r="D573" s="333" t="s">
        <v>6312</v>
      </c>
      <c r="E573" s="289"/>
      <c r="F573" s="290"/>
      <c r="G573" s="290"/>
      <c r="H573" s="290"/>
      <c r="I573" s="290"/>
      <c r="J573" s="322"/>
      <c r="K573" s="187" t="str">
        <f>IF(A573="c",$M$4*J573,"")</f>
        <v/>
      </c>
      <c r="L573" s="187"/>
      <c r="M573" s="96"/>
      <c r="N573" s="326"/>
      <c r="O573" s="324"/>
      <c r="P573" s="279"/>
      <c r="Q573" s="279"/>
      <c r="R573" s="324"/>
      <c r="S573" s="324"/>
      <c r="T573" s="324"/>
      <c r="U573" s="324"/>
      <c r="V573" s="324"/>
      <c r="W573" s="279"/>
      <c r="X573" s="279"/>
      <c r="Y573" s="83"/>
      <c r="Z573" s="83"/>
      <c r="AA573" s="328"/>
      <c r="AB573" s="328"/>
    </row>
    <row r="574" ht="15" spans="1:28">
      <c r="A574" s="285"/>
      <c r="B574" s="307"/>
      <c r="C574" s="308"/>
      <c r="D574" s="309"/>
      <c r="E574" s="310"/>
      <c r="F574" s="311"/>
      <c r="G574" s="311"/>
      <c r="H574" s="311"/>
      <c r="I574" s="311"/>
      <c r="J574" s="331"/>
      <c r="K574" s="187" t="str">
        <f>IF(A574="c",$M$4*J574,"")</f>
        <v/>
      </c>
      <c r="L574" s="83"/>
      <c r="M574" s="96"/>
      <c r="N574" s="320"/>
      <c r="O574" s="321"/>
      <c r="P574" s="321"/>
      <c r="Q574" s="321"/>
      <c r="R574" s="321"/>
      <c r="S574" s="321"/>
      <c r="T574" s="321"/>
      <c r="U574" s="321"/>
      <c r="V574" s="321"/>
      <c r="W574" s="321"/>
      <c r="X574" s="321"/>
      <c r="Y574" s="83"/>
      <c r="Z574" s="83"/>
      <c r="AA574" s="98"/>
      <c r="AB574" s="98"/>
    </row>
    <row r="575" ht="48" spans="1:28">
      <c r="A575" s="285" t="str">
        <f>VLOOKUP(D575,'[2]2024 - Curva ABC de Insumos'!$E$6:$R$172,14,FALSE())</f>
        <v>C</v>
      </c>
      <c r="B575" s="300" t="s">
        <v>2097</v>
      </c>
      <c r="C575" s="305" t="s">
        <v>4727</v>
      </c>
      <c r="D575" s="335" t="s">
        <v>4728</v>
      </c>
      <c r="E575" s="289" t="s">
        <v>6508</v>
      </c>
      <c r="F575" s="290" t="s">
        <v>6509</v>
      </c>
      <c r="G575" s="290" t="s">
        <v>6510</v>
      </c>
      <c r="H575" s="290"/>
      <c r="I575" s="290"/>
      <c r="J575" s="322">
        <f>SMALL(E576:I576,1)</f>
        <v>3999.431436</v>
      </c>
      <c r="K575" s="81"/>
      <c r="L575" s="187" t="e">
        <f>VLOOKUP(B578,[3]CPUs!D:L,9,FALSE())</f>
        <v>#N/A</v>
      </c>
      <c r="M575" s="96" t="e">
        <f>IF(J575=L575,"OK","DIF")</f>
        <v>#N/A</v>
      </c>
      <c r="N575" s="377" t="s">
        <v>6344</v>
      </c>
      <c r="O575" s="324"/>
      <c r="P575" s="279"/>
      <c r="Q575" s="279"/>
      <c r="R575" s="324"/>
      <c r="S575" s="324"/>
      <c r="T575" s="324"/>
      <c r="U575" s="324"/>
      <c r="V575" s="324"/>
      <c r="W575" s="279"/>
      <c r="X575" s="279"/>
      <c r="Y575" s="83"/>
      <c r="Z575" s="83"/>
      <c r="AA575" s="328"/>
      <c r="AB575" s="328"/>
    </row>
    <row r="576" ht="15" spans="1:28">
      <c r="A576" s="285"/>
      <c r="B576" s="291"/>
      <c r="C576" s="292"/>
      <c r="D576" s="293" t="s">
        <v>6236</v>
      </c>
      <c r="E576" s="294">
        <f>(4980-1148.76)*1.0439</f>
        <v>3999.431436</v>
      </c>
      <c r="F576" s="295">
        <f>(5229-1148.76)*1.0439</f>
        <v>4259.362536</v>
      </c>
      <c r="G576" s="295">
        <f>(5478-1148.76)*1.0439</f>
        <v>4519.293636</v>
      </c>
      <c r="H576" s="295"/>
      <c r="I576" s="295"/>
      <c r="J576" s="325"/>
      <c r="K576" s="187" t="str">
        <f>IF(A576="c",$M$4*J576,"")</f>
        <v/>
      </c>
      <c r="L576" s="83"/>
      <c r="M576" s="96"/>
      <c r="N576" s="326"/>
      <c r="O576" s="324"/>
      <c r="P576" s="279"/>
      <c r="Q576" s="279"/>
      <c r="R576" s="324"/>
      <c r="S576" s="324"/>
      <c r="T576" s="324"/>
      <c r="U576" s="324"/>
      <c r="V576" s="324"/>
      <c r="W576" s="279"/>
      <c r="X576" s="279"/>
      <c r="Y576" s="83"/>
      <c r="Z576" s="83"/>
      <c r="AA576" s="328"/>
      <c r="AB576" s="328"/>
    </row>
    <row r="577" ht="28.5" spans="1:28">
      <c r="A577" s="285"/>
      <c r="B577" s="291"/>
      <c r="C577" s="292"/>
      <c r="D577" s="293" t="s">
        <v>6237</v>
      </c>
      <c r="E577" s="296" t="s">
        <v>6250</v>
      </c>
      <c r="F577" s="296" t="s">
        <v>6250</v>
      </c>
      <c r="G577" s="296" t="s">
        <v>6250</v>
      </c>
      <c r="H577" s="302"/>
      <c r="I577" s="302"/>
      <c r="J577" s="325"/>
      <c r="K577" s="187" t="str">
        <f>IF(A577="c",$M$4*J577,"")</f>
        <v/>
      </c>
      <c r="L577" s="83"/>
      <c r="M577" s="96"/>
      <c r="N577" s="326"/>
      <c r="O577" s="324"/>
      <c r="P577" s="279"/>
      <c r="Q577" s="279"/>
      <c r="R577" s="324"/>
      <c r="S577" s="324"/>
      <c r="T577" s="324"/>
      <c r="U577" s="279"/>
      <c r="V577" s="279"/>
      <c r="W577" s="279"/>
      <c r="X577" s="279"/>
      <c r="Y577" s="83"/>
      <c r="Z577" s="83"/>
      <c r="AA577" s="328"/>
      <c r="AB577" s="328"/>
    </row>
    <row r="578" ht="15" spans="1:28">
      <c r="A578" s="285"/>
      <c r="B578" s="307"/>
      <c r="C578" s="308"/>
      <c r="D578" s="309"/>
      <c r="E578" s="310"/>
      <c r="F578" s="311"/>
      <c r="G578" s="311"/>
      <c r="H578" s="311"/>
      <c r="I578" s="311"/>
      <c r="J578" s="331"/>
      <c r="K578" s="187" t="str">
        <f>IF(A578="c",$M$4*J578,"")</f>
        <v/>
      </c>
      <c r="L578" s="83"/>
      <c r="M578" s="96"/>
      <c r="N578" s="320"/>
      <c r="O578" s="321"/>
      <c r="P578" s="321"/>
      <c r="Q578" s="321"/>
      <c r="R578" s="321"/>
      <c r="S578" s="321"/>
      <c r="T578" s="321"/>
      <c r="U578" s="321"/>
      <c r="V578" s="321"/>
      <c r="W578" s="321"/>
      <c r="X578" s="321"/>
      <c r="Y578" s="83"/>
      <c r="Z578" s="83"/>
      <c r="AA578" s="98"/>
      <c r="AB578" s="98"/>
    </row>
    <row r="579" ht="48" spans="1:28">
      <c r="A579" s="345" t="str">
        <f>VLOOKUP(D579,'[2]2024 - Curva ABC de Insumos'!$E$6:$R$172,14,FALSE())</f>
        <v>B</v>
      </c>
      <c r="B579" s="300" t="s">
        <v>2100</v>
      </c>
      <c r="C579" s="305" t="s">
        <v>4729</v>
      </c>
      <c r="D579" s="335" t="s">
        <v>4730</v>
      </c>
      <c r="E579" s="289" t="s">
        <v>6508</v>
      </c>
      <c r="F579" s="290" t="s">
        <v>6509</v>
      </c>
      <c r="G579" s="290" t="s">
        <v>6510</v>
      </c>
      <c r="H579" s="290"/>
      <c r="I579" s="290"/>
      <c r="J579" s="322">
        <f>SMALL(E580:I580,1)</f>
        <v>4103.821436</v>
      </c>
      <c r="K579" s="187" t="str">
        <f>IF(A579="c",$M$4*J579,"")</f>
        <v/>
      </c>
      <c r="L579" s="187" t="e">
        <f>VLOOKUP(B582,[3]CPUs!D:L,9,FALSE())</f>
        <v>#N/A</v>
      </c>
      <c r="M579" s="96" t="e">
        <f>IF(J579=L579,"OK","DIF")</f>
        <v>#N/A</v>
      </c>
      <c r="N579" s="326" t="s">
        <v>6244</v>
      </c>
      <c r="O579" s="324"/>
      <c r="P579" s="279"/>
      <c r="Q579" s="279"/>
      <c r="R579" s="324"/>
      <c r="S579" s="324"/>
      <c r="T579" s="324"/>
      <c r="U579" s="324"/>
      <c r="V579" s="324"/>
      <c r="W579" s="279"/>
      <c r="X579" s="279"/>
      <c r="Y579" s="83"/>
      <c r="Z579" s="83"/>
      <c r="AA579" s="328"/>
      <c r="AB579" s="328"/>
    </row>
    <row r="580" ht="15" spans="1:28">
      <c r="A580" s="345"/>
      <c r="B580" s="291"/>
      <c r="C580" s="292"/>
      <c r="D580" s="293" t="s">
        <v>6236</v>
      </c>
      <c r="E580" s="358">
        <f>(5080-1148.76)*1.0439</f>
        <v>4103.821436</v>
      </c>
      <c r="F580" s="359">
        <f>(5334-1148.76)*1.0439</f>
        <v>4368.972036</v>
      </c>
      <c r="G580" s="295">
        <f>(5588-1148.76)*1.0439</f>
        <v>4634.122636</v>
      </c>
      <c r="H580" s="295"/>
      <c r="I580" s="295"/>
      <c r="J580" s="325"/>
      <c r="K580" s="187" t="str">
        <f>IF(A580="c",$M$4*J580,"")</f>
        <v/>
      </c>
      <c r="L580" s="83"/>
      <c r="M580" s="96"/>
      <c r="N580" s="326"/>
      <c r="O580" s="324"/>
      <c r="P580" s="279"/>
      <c r="Q580" s="279"/>
      <c r="R580" s="324"/>
      <c r="S580" s="324"/>
      <c r="T580" s="324"/>
      <c r="U580" s="324"/>
      <c r="V580" s="324"/>
      <c r="W580" s="279"/>
      <c r="X580" s="279"/>
      <c r="Y580" s="83"/>
      <c r="Z580" s="83"/>
      <c r="AA580" s="328"/>
      <c r="AB580" s="328"/>
    </row>
    <row r="581" ht="28.5" spans="1:28">
      <c r="A581" s="345"/>
      <c r="B581" s="291"/>
      <c r="C581" s="292"/>
      <c r="D581" s="293" t="s">
        <v>6237</v>
      </c>
      <c r="E581" s="296" t="s">
        <v>6250</v>
      </c>
      <c r="F581" s="296" t="s">
        <v>6250</v>
      </c>
      <c r="G581" s="296" t="s">
        <v>6250</v>
      </c>
      <c r="H581" s="302"/>
      <c r="I581" s="302"/>
      <c r="J581" s="325"/>
      <c r="K581" s="187" t="str">
        <f>IF(A581="c",$M$4*J581,"")</f>
        <v/>
      </c>
      <c r="L581" s="83"/>
      <c r="M581" s="96"/>
      <c r="N581" s="326"/>
      <c r="O581" s="324"/>
      <c r="P581" s="279"/>
      <c r="Q581" s="279"/>
      <c r="R581" s="324"/>
      <c r="S581" s="324"/>
      <c r="T581" s="324"/>
      <c r="U581" s="279"/>
      <c r="V581" s="279"/>
      <c r="W581" s="279"/>
      <c r="X581" s="279"/>
      <c r="Y581" s="83"/>
      <c r="Z581" s="83"/>
      <c r="AA581" s="328"/>
      <c r="AB581" s="328"/>
    </row>
    <row r="582" ht="15" spans="1:28">
      <c r="A582" s="345"/>
      <c r="B582" s="307"/>
      <c r="C582" s="308"/>
      <c r="D582" s="309"/>
      <c r="E582" s="310"/>
      <c r="F582" s="311"/>
      <c r="G582" s="311"/>
      <c r="H582" s="311"/>
      <c r="I582" s="311"/>
      <c r="J582" s="331"/>
      <c r="K582" s="187" t="str">
        <f>IF(A582="c",$M$4*J582,"")</f>
        <v/>
      </c>
      <c r="L582" s="83"/>
      <c r="M582" s="96"/>
      <c r="N582" s="320"/>
      <c r="O582" s="321"/>
      <c r="P582" s="321"/>
      <c r="Q582" s="321"/>
      <c r="R582" s="321"/>
      <c r="S582" s="321"/>
      <c r="T582" s="321"/>
      <c r="U582" s="321"/>
      <c r="V582" s="321"/>
      <c r="W582" s="321"/>
      <c r="X582" s="321"/>
      <c r="Y582" s="83"/>
      <c r="Z582" s="83"/>
      <c r="AA582" s="98"/>
      <c r="AB582" s="98"/>
    </row>
    <row r="583" ht="48" spans="1:28">
      <c r="A583" s="345" t="str">
        <f>VLOOKUP(D583,'[2]2024 - Curva ABC de Insumos'!$E$6:$R$172,14,FALSE())</f>
        <v>A</v>
      </c>
      <c r="B583" s="300" t="s">
        <v>2103</v>
      </c>
      <c r="C583" s="305" t="s">
        <v>4731</v>
      </c>
      <c r="D583" s="335" t="s">
        <v>4732</v>
      </c>
      <c r="E583" s="289" t="s">
        <v>6508</v>
      </c>
      <c r="F583" s="290" t="s">
        <v>6509</v>
      </c>
      <c r="G583" s="290" t="s">
        <v>6510</v>
      </c>
      <c r="H583" s="290"/>
      <c r="I583" s="290"/>
      <c r="J583" s="322">
        <f>SMALL(E584:I584,1)</f>
        <v>5632.372889</v>
      </c>
      <c r="K583" s="187" t="str">
        <f>IF(A583="c",$M$4*J583,"")</f>
        <v/>
      </c>
      <c r="L583" s="187" t="e">
        <f>VLOOKUP(B586,[3]CPUs!D:L,9,FALSE())</f>
        <v>#N/A</v>
      </c>
      <c r="M583" s="96" t="e">
        <f>IF(J583=L583,"OK","DIF")</f>
        <v>#N/A</v>
      </c>
      <c r="N583" s="326" t="s">
        <v>6244</v>
      </c>
      <c r="O583" s="324"/>
      <c r="P583" s="279"/>
      <c r="Q583" s="279"/>
      <c r="R583" s="324"/>
      <c r="S583" s="324"/>
      <c r="T583" s="324"/>
      <c r="U583" s="324"/>
      <c r="V583" s="324"/>
      <c r="W583" s="279"/>
      <c r="X583" s="279"/>
      <c r="Y583" s="83"/>
      <c r="Z583" s="83"/>
      <c r="AA583" s="328"/>
      <c r="AB583" s="328"/>
    </row>
    <row r="584" ht="15" spans="1:28">
      <c r="A584" s="345"/>
      <c r="B584" s="291"/>
      <c r="C584" s="292"/>
      <c r="D584" s="293" t="s">
        <v>6236</v>
      </c>
      <c r="E584" s="358">
        <f>(6640-1244.49)*1.0439</f>
        <v>5632.372889</v>
      </c>
      <c r="F584" s="359">
        <f>(6972-1244.49)*1.0439</f>
        <v>5978.947689</v>
      </c>
      <c r="G584" s="295">
        <f>(7304-1244.49)*1.0439</f>
        <v>6325.522489</v>
      </c>
      <c r="H584" s="295"/>
      <c r="I584" s="295"/>
      <c r="J584" s="325"/>
      <c r="K584" s="187" t="str">
        <f>IF(A584="c",$M$4*J584,"")</f>
        <v/>
      </c>
      <c r="L584" s="83"/>
      <c r="M584" s="96"/>
      <c r="N584" s="326"/>
      <c r="O584" s="324"/>
      <c r="P584" s="279"/>
      <c r="Q584" s="279"/>
      <c r="R584" s="324"/>
      <c r="S584" s="324"/>
      <c r="T584" s="324"/>
      <c r="U584" s="324"/>
      <c r="V584" s="324"/>
      <c r="W584" s="279"/>
      <c r="X584" s="279"/>
      <c r="Y584" s="83"/>
      <c r="Z584" s="83"/>
      <c r="AA584" s="328"/>
      <c r="AB584" s="328"/>
    </row>
    <row r="585" ht="28.5" spans="1:28">
      <c r="A585" s="345"/>
      <c r="B585" s="291"/>
      <c r="C585" s="292"/>
      <c r="D585" s="293" t="s">
        <v>6237</v>
      </c>
      <c r="E585" s="296" t="s">
        <v>6250</v>
      </c>
      <c r="F585" s="296" t="s">
        <v>6250</v>
      </c>
      <c r="G585" s="296" t="s">
        <v>6250</v>
      </c>
      <c r="H585" s="302"/>
      <c r="I585" s="302"/>
      <c r="J585" s="325"/>
      <c r="K585" s="187" t="str">
        <f>IF(A585="c",$M$4*J585,"")</f>
        <v/>
      </c>
      <c r="L585" s="83"/>
      <c r="M585" s="96"/>
      <c r="N585" s="326"/>
      <c r="O585" s="324"/>
      <c r="P585" s="279"/>
      <c r="Q585" s="279"/>
      <c r="R585" s="324"/>
      <c r="S585" s="324"/>
      <c r="T585" s="324"/>
      <c r="U585" s="279"/>
      <c r="V585" s="279"/>
      <c r="W585" s="279"/>
      <c r="X585" s="279"/>
      <c r="Y585" s="83"/>
      <c r="Z585" s="83"/>
      <c r="AA585" s="328"/>
      <c r="AB585" s="328"/>
    </row>
    <row r="586" ht="15" spans="1:28">
      <c r="A586" s="345"/>
      <c r="B586" s="307"/>
      <c r="C586" s="308"/>
      <c r="D586" s="309"/>
      <c r="E586" s="310"/>
      <c r="F586" s="311"/>
      <c r="G586" s="311"/>
      <c r="H586" s="311"/>
      <c r="I586" s="311"/>
      <c r="J586" s="331"/>
      <c r="K586" s="187" t="str">
        <f>IF(A586="c",$M$4*J586,"")</f>
        <v/>
      </c>
      <c r="L586" s="83"/>
      <c r="M586" s="96"/>
      <c r="N586" s="320"/>
      <c r="O586" s="321"/>
      <c r="P586" s="321"/>
      <c r="Q586" s="321"/>
      <c r="R586" s="321"/>
      <c r="S586" s="321"/>
      <c r="T586" s="321"/>
      <c r="U586" s="321"/>
      <c r="V586" s="321"/>
      <c r="W586" s="321"/>
      <c r="X586" s="321"/>
      <c r="Y586" s="83"/>
      <c r="Z586" s="83"/>
      <c r="AA586" s="98"/>
      <c r="AB586" s="98"/>
    </row>
    <row r="587" ht="48" spans="1:28">
      <c r="A587" s="345" t="str">
        <f>VLOOKUP(D587,'[2]2024 - Curva ABC de Insumos'!$E$6:$R$172,14,FALSE())</f>
        <v>B</v>
      </c>
      <c r="B587" s="300" t="s">
        <v>2106</v>
      </c>
      <c r="C587" s="305" t="s">
        <v>4733</v>
      </c>
      <c r="D587" s="335" t="s">
        <v>4734</v>
      </c>
      <c r="E587" s="289" t="s">
        <v>6508</v>
      </c>
      <c r="F587" s="290" t="s">
        <v>6509</v>
      </c>
      <c r="G587" s="290" t="s">
        <v>6510</v>
      </c>
      <c r="H587" s="290"/>
      <c r="I587" s="290"/>
      <c r="J587" s="322">
        <f>SMALL(E588:I588,1)</f>
        <v>5799.396889</v>
      </c>
      <c r="K587" s="187" t="str">
        <f>IF(A587="c",$M$4*J587,"")</f>
        <v/>
      </c>
      <c r="L587" s="187" t="e">
        <f>VLOOKUP(B590,[3]CPUs!D:L,9,FALSE())</f>
        <v>#N/A</v>
      </c>
      <c r="M587" s="96" t="e">
        <f>IF(J587=L587,"OK","DIF")</f>
        <v>#N/A</v>
      </c>
      <c r="N587" s="326" t="s">
        <v>6244</v>
      </c>
      <c r="O587" s="324"/>
      <c r="P587" s="279"/>
      <c r="Q587" s="279"/>
      <c r="R587" s="324"/>
      <c r="S587" s="324"/>
      <c r="T587" s="324"/>
      <c r="U587" s="324"/>
      <c r="V587" s="324"/>
      <c r="W587" s="279"/>
      <c r="X587" s="279"/>
      <c r="Y587" s="83"/>
      <c r="Z587" s="83"/>
      <c r="AA587" s="328"/>
      <c r="AB587" s="328"/>
    </row>
    <row r="588" ht="15" spans="1:28">
      <c r="A588" s="345"/>
      <c r="B588" s="291"/>
      <c r="C588" s="292"/>
      <c r="D588" s="293" t="s">
        <v>6236</v>
      </c>
      <c r="E588" s="358">
        <f>(6800-1244.49)*1.0439</f>
        <v>5799.396889</v>
      </c>
      <c r="F588" s="359">
        <f>(7140-1244.49)*1.0439</f>
        <v>6154.322889</v>
      </c>
      <c r="G588" s="295">
        <f>(7480-1244.49)*1.0439</f>
        <v>6509.248889</v>
      </c>
      <c r="H588" s="295"/>
      <c r="I588" s="295"/>
      <c r="J588" s="325"/>
      <c r="K588" s="187" t="str">
        <f>IF(A588="c",$M$4*J588,"")</f>
        <v/>
      </c>
      <c r="L588" s="83"/>
      <c r="M588" s="96"/>
      <c r="N588" s="326"/>
      <c r="O588" s="324"/>
      <c r="P588" s="279"/>
      <c r="Q588" s="279"/>
      <c r="R588" s="324"/>
      <c r="S588" s="324"/>
      <c r="T588" s="324"/>
      <c r="U588" s="324"/>
      <c r="V588" s="324"/>
      <c r="W588" s="279"/>
      <c r="X588" s="279"/>
      <c r="Y588" s="83"/>
      <c r="Z588" s="83"/>
      <c r="AA588" s="328"/>
      <c r="AB588" s="328"/>
    </row>
    <row r="589" ht="28.5" spans="1:28">
      <c r="A589" s="345"/>
      <c r="B589" s="291"/>
      <c r="C589" s="292"/>
      <c r="D589" s="293" t="s">
        <v>6237</v>
      </c>
      <c r="E589" s="296" t="s">
        <v>6250</v>
      </c>
      <c r="F589" s="296" t="s">
        <v>6250</v>
      </c>
      <c r="G589" s="296" t="s">
        <v>6250</v>
      </c>
      <c r="H589" s="302"/>
      <c r="I589" s="302"/>
      <c r="J589" s="325"/>
      <c r="K589" s="187" t="str">
        <f>IF(A589="c",$M$4*J589,"")</f>
        <v/>
      </c>
      <c r="L589" s="83"/>
      <c r="M589" s="96"/>
      <c r="N589" s="326"/>
      <c r="O589" s="324"/>
      <c r="P589" s="279"/>
      <c r="Q589" s="279"/>
      <c r="R589" s="324"/>
      <c r="S589" s="324"/>
      <c r="T589" s="324"/>
      <c r="U589" s="279"/>
      <c r="V589" s="279"/>
      <c r="W589" s="279"/>
      <c r="X589" s="279"/>
      <c r="Y589" s="83"/>
      <c r="Z589" s="83"/>
      <c r="AA589" s="328"/>
      <c r="AB589" s="328"/>
    </row>
    <row r="590" ht="15" spans="1:28">
      <c r="A590" s="345"/>
      <c r="B590" s="307"/>
      <c r="C590" s="308"/>
      <c r="D590" s="309"/>
      <c r="E590" s="310"/>
      <c r="F590" s="311"/>
      <c r="G590" s="311"/>
      <c r="H590" s="311"/>
      <c r="I590" s="311"/>
      <c r="J590" s="331"/>
      <c r="K590" s="187" t="str">
        <f>IF(A590="c",$M$4*J590,"")</f>
        <v/>
      </c>
      <c r="L590" s="83"/>
      <c r="M590" s="96"/>
      <c r="N590" s="320"/>
      <c r="O590" s="321"/>
      <c r="P590" s="321"/>
      <c r="Q590" s="321"/>
      <c r="R590" s="321"/>
      <c r="S590" s="321"/>
      <c r="T590" s="321"/>
      <c r="U590" s="321"/>
      <c r="V590" s="321"/>
      <c r="W590" s="321"/>
      <c r="X590" s="321"/>
      <c r="Y590" s="83"/>
      <c r="Z590" s="83"/>
      <c r="AA590" s="98"/>
      <c r="AB590" s="98"/>
    </row>
    <row r="591" ht="36" spans="1:28">
      <c r="A591" s="285" t="str">
        <f>VLOOKUP(D591,'[2]2024 - Curva ABC de Insumos'!$E$6:$R$172,14,FALSE())</f>
        <v>C</v>
      </c>
      <c r="B591" s="300" t="s">
        <v>2109</v>
      </c>
      <c r="C591" s="305" t="s">
        <v>4735</v>
      </c>
      <c r="D591" s="335" t="s">
        <v>4736</v>
      </c>
      <c r="E591" s="289" t="s">
        <v>6508</v>
      </c>
      <c r="F591" s="290" t="s">
        <v>6509</v>
      </c>
      <c r="G591" s="290" t="s">
        <v>6510</v>
      </c>
      <c r="H591" s="290"/>
      <c r="I591" s="290"/>
      <c r="J591" s="322">
        <f>SMALL(E592:I592,1)</f>
        <v>2660.535735</v>
      </c>
      <c r="K591" s="187"/>
      <c r="L591" s="187" t="e">
        <f>VLOOKUP(B594,[3]CPUs!D:L,9,FALSE())</f>
        <v>#N/A</v>
      </c>
      <c r="M591" s="96" t="e">
        <f>IF(J591=L591,"OK","DIF")</f>
        <v>#N/A</v>
      </c>
      <c r="N591" s="377" t="s">
        <v>6344</v>
      </c>
      <c r="O591" s="324"/>
      <c r="P591" s="279"/>
      <c r="Q591" s="279"/>
      <c r="R591" s="324"/>
      <c r="S591" s="324"/>
      <c r="T591" s="324"/>
      <c r="U591" s="324"/>
      <c r="V591" s="324"/>
      <c r="W591" s="279"/>
      <c r="X591" s="279"/>
      <c r="Y591" s="83"/>
      <c r="Z591" s="83"/>
      <c r="AA591" s="328"/>
      <c r="AB591" s="328"/>
    </row>
    <row r="592" ht="15" spans="1:28">
      <c r="A592" s="285"/>
      <c r="B592" s="291"/>
      <c r="C592" s="292"/>
      <c r="D592" s="293" t="s">
        <v>6236</v>
      </c>
      <c r="E592" s="358">
        <f>(3150-601.35)*1.0439</f>
        <v>2660.535735</v>
      </c>
      <c r="F592" s="359">
        <f>(3307.5-601.35)*1.0439</f>
        <v>2824.949985</v>
      </c>
      <c r="G592" s="295">
        <f>(3465-601.35)*1.0439</f>
        <v>2989.364235</v>
      </c>
      <c r="H592" s="295"/>
      <c r="I592" s="295"/>
      <c r="J592" s="325"/>
      <c r="K592" s="187"/>
      <c r="L592" s="83"/>
      <c r="M592" s="96"/>
      <c r="N592" s="326"/>
      <c r="O592" s="324"/>
      <c r="P592" s="279"/>
      <c r="Q592" s="279"/>
      <c r="R592" s="324"/>
      <c r="S592" s="324"/>
      <c r="T592" s="324"/>
      <c r="U592" s="324"/>
      <c r="V592" s="324"/>
      <c r="W592" s="279"/>
      <c r="X592" s="279"/>
      <c r="Y592" s="83"/>
      <c r="Z592" s="83"/>
      <c r="AA592" s="328"/>
      <c r="AB592" s="328"/>
    </row>
    <row r="593" ht="28.5" spans="1:28">
      <c r="A593" s="285"/>
      <c r="B593" s="291"/>
      <c r="C593" s="292"/>
      <c r="D593" s="293" t="s">
        <v>6237</v>
      </c>
      <c r="E593" s="296" t="s">
        <v>6250</v>
      </c>
      <c r="F593" s="296" t="s">
        <v>6250</v>
      </c>
      <c r="G593" s="296" t="s">
        <v>6250</v>
      </c>
      <c r="H593" s="302"/>
      <c r="I593" s="302"/>
      <c r="J593" s="325"/>
      <c r="K593" s="187"/>
      <c r="L593" s="83"/>
      <c r="M593" s="96"/>
      <c r="N593" s="326"/>
      <c r="O593" s="324"/>
      <c r="P593" s="279"/>
      <c r="Q593" s="279"/>
      <c r="R593" s="324"/>
      <c r="S593" s="324"/>
      <c r="T593" s="324"/>
      <c r="U593" s="279"/>
      <c r="V593" s="279"/>
      <c r="W593" s="279"/>
      <c r="X593" s="279"/>
      <c r="Y593" s="83"/>
      <c r="Z593" s="83"/>
      <c r="AA593" s="328"/>
      <c r="AB593" s="328"/>
    </row>
    <row r="594" ht="15" spans="1:28">
      <c r="A594" s="285"/>
      <c r="B594" s="307"/>
      <c r="C594" s="308"/>
      <c r="D594" s="309"/>
      <c r="E594" s="310"/>
      <c r="F594" s="311"/>
      <c r="G594" s="311"/>
      <c r="H594" s="311"/>
      <c r="I594" s="311"/>
      <c r="J594" s="331"/>
      <c r="K594" s="187"/>
      <c r="L594" s="83"/>
      <c r="M594" s="96"/>
      <c r="N594" s="320"/>
      <c r="O594" s="321"/>
      <c r="P594" s="321"/>
      <c r="Q594" s="321"/>
      <c r="R594" s="321"/>
      <c r="S594" s="321"/>
      <c r="T594" s="321"/>
      <c r="U594" s="321"/>
      <c r="V594" s="321"/>
      <c r="W594" s="321"/>
      <c r="X594" s="321"/>
      <c r="Y594" s="83"/>
      <c r="Z594" s="83"/>
      <c r="AA594" s="98"/>
      <c r="AB594" s="98"/>
    </row>
    <row r="595" ht="36" spans="1:28">
      <c r="A595" s="285" t="str">
        <f>VLOOKUP(D595,'[2]2024 - Curva ABC de Insumos'!$E$6:$R$172,14,FALSE())</f>
        <v>C</v>
      </c>
      <c r="B595" s="300" t="s">
        <v>2112</v>
      </c>
      <c r="C595" s="305" t="s">
        <v>4737</v>
      </c>
      <c r="D595" s="335" t="s">
        <v>4738</v>
      </c>
      <c r="E595" s="289" t="s">
        <v>6508</v>
      </c>
      <c r="F595" s="290" t="s">
        <v>6509</v>
      </c>
      <c r="G595" s="290" t="s">
        <v>6510</v>
      </c>
      <c r="H595" s="290"/>
      <c r="I595" s="290"/>
      <c r="J595" s="322">
        <f>SMALL(E596:I596,1)</f>
        <v>3025.900735</v>
      </c>
      <c r="K595" s="187"/>
      <c r="L595" s="187" t="e">
        <f>VLOOKUP(B598,[3]CPUs!D:L,9,FALSE())</f>
        <v>#N/A</v>
      </c>
      <c r="M595" s="96" t="e">
        <f>IF(J595=L595,"OK","DIF")</f>
        <v>#N/A</v>
      </c>
      <c r="N595" s="377" t="s">
        <v>6344</v>
      </c>
      <c r="O595" s="324"/>
      <c r="P595" s="279"/>
      <c r="Q595" s="279"/>
      <c r="R595" s="324"/>
      <c r="S595" s="324"/>
      <c r="T595" s="324"/>
      <c r="U595" s="324"/>
      <c r="V595" s="324"/>
      <c r="W595" s="279"/>
      <c r="X595" s="279"/>
      <c r="Y595" s="83"/>
      <c r="Z595" s="83"/>
      <c r="AA595" s="328"/>
      <c r="AB595" s="328"/>
    </row>
    <row r="596" ht="15" spans="1:28">
      <c r="A596" s="285"/>
      <c r="B596" s="291"/>
      <c r="C596" s="292"/>
      <c r="D596" s="293" t="s">
        <v>6236</v>
      </c>
      <c r="E596" s="358">
        <f>(3500-601.35)*1.0439</f>
        <v>3025.900735</v>
      </c>
      <c r="F596" s="359">
        <f>(3675-601.35)*1.0439</f>
        <v>3208.583235</v>
      </c>
      <c r="G596" s="295">
        <f>(3850-601.35)*1.0439</f>
        <v>3391.265735</v>
      </c>
      <c r="H596" s="295"/>
      <c r="I596" s="295"/>
      <c r="J596" s="325"/>
      <c r="K596" s="187"/>
      <c r="L596" s="83"/>
      <c r="M596" s="96"/>
      <c r="N596" s="326"/>
      <c r="O596" s="324"/>
      <c r="P596" s="279"/>
      <c r="Q596" s="279"/>
      <c r="R596" s="324"/>
      <c r="S596" s="324"/>
      <c r="T596" s="324"/>
      <c r="U596" s="324"/>
      <c r="V596" s="324"/>
      <c r="W596" s="279"/>
      <c r="X596" s="279"/>
      <c r="Y596" s="83"/>
      <c r="Z596" s="83"/>
      <c r="AA596" s="328"/>
      <c r="AB596" s="328"/>
    </row>
    <row r="597" ht="28.5" spans="1:28">
      <c r="A597" s="285"/>
      <c r="B597" s="291"/>
      <c r="C597" s="292"/>
      <c r="D597" s="293" t="s">
        <v>6237</v>
      </c>
      <c r="E597" s="296" t="s">
        <v>6250</v>
      </c>
      <c r="F597" s="296" t="s">
        <v>6250</v>
      </c>
      <c r="G597" s="296" t="s">
        <v>6250</v>
      </c>
      <c r="H597" s="302"/>
      <c r="I597" s="302"/>
      <c r="J597" s="325"/>
      <c r="K597" s="187"/>
      <c r="L597" s="83"/>
      <c r="M597" s="96"/>
      <c r="N597" s="326"/>
      <c r="O597" s="324"/>
      <c r="P597" s="279"/>
      <c r="Q597" s="279"/>
      <c r="R597" s="324"/>
      <c r="S597" s="324"/>
      <c r="T597" s="324"/>
      <c r="U597" s="279"/>
      <c r="V597" s="279"/>
      <c r="W597" s="279"/>
      <c r="X597" s="279"/>
      <c r="Y597" s="83"/>
      <c r="Z597" s="83"/>
      <c r="AA597" s="328"/>
      <c r="AB597" s="328"/>
    </row>
    <row r="598" ht="15" spans="1:28">
      <c r="A598" s="285"/>
      <c r="B598" s="307"/>
      <c r="C598" s="308"/>
      <c r="D598" s="309"/>
      <c r="E598" s="310"/>
      <c r="F598" s="311"/>
      <c r="G598" s="311"/>
      <c r="H598" s="311"/>
      <c r="I598" s="311"/>
      <c r="J598" s="331"/>
      <c r="K598" s="187"/>
      <c r="L598" s="83"/>
      <c r="M598" s="96"/>
      <c r="N598" s="320"/>
      <c r="O598" s="321"/>
      <c r="P598" s="321"/>
      <c r="Q598" s="321"/>
      <c r="R598" s="321"/>
      <c r="S598" s="321"/>
      <c r="T598" s="321"/>
      <c r="U598" s="321"/>
      <c r="V598" s="321"/>
      <c r="W598" s="321"/>
      <c r="X598" s="321"/>
      <c r="Y598" s="83"/>
      <c r="Z598" s="83"/>
      <c r="AA598" s="98"/>
      <c r="AB598" s="98"/>
    </row>
    <row r="599" ht="24" spans="1:28">
      <c r="A599" s="285"/>
      <c r="B599" s="300"/>
      <c r="C599" s="332" t="s">
        <v>6513</v>
      </c>
      <c r="D599" s="333" t="s">
        <v>6312</v>
      </c>
      <c r="E599" s="289"/>
      <c r="F599" s="290"/>
      <c r="G599" s="290"/>
      <c r="H599" s="290"/>
      <c r="I599" s="290"/>
      <c r="J599" s="322"/>
      <c r="K599" s="187"/>
      <c r="L599" s="187"/>
      <c r="M599" s="96"/>
      <c r="N599" s="326"/>
      <c r="O599" s="324"/>
      <c r="P599" s="279"/>
      <c r="Q599" s="279"/>
      <c r="R599" s="324"/>
      <c r="S599" s="324"/>
      <c r="T599" s="324"/>
      <c r="U599" s="324"/>
      <c r="V599" s="324"/>
      <c r="W599" s="279"/>
      <c r="X599" s="279"/>
      <c r="Y599" s="83"/>
      <c r="Z599" s="83"/>
      <c r="AA599" s="328"/>
      <c r="AB599" s="328"/>
    </row>
    <row r="600" ht="15" spans="1:28">
      <c r="A600" s="285"/>
      <c r="B600" s="307"/>
      <c r="C600" s="308"/>
      <c r="D600" s="309"/>
      <c r="E600" s="310"/>
      <c r="F600" s="311"/>
      <c r="G600" s="311"/>
      <c r="H600" s="311"/>
      <c r="I600" s="311"/>
      <c r="J600" s="331"/>
      <c r="K600" s="187"/>
      <c r="L600" s="83"/>
      <c r="M600" s="96"/>
      <c r="N600" s="320"/>
      <c r="O600" s="321"/>
      <c r="P600" s="321"/>
      <c r="Q600" s="321"/>
      <c r="R600" s="321"/>
      <c r="S600" s="321"/>
      <c r="T600" s="321"/>
      <c r="U600" s="321"/>
      <c r="V600" s="321"/>
      <c r="W600" s="321"/>
      <c r="X600" s="321"/>
      <c r="Y600" s="83"/>
      <c r="Z600" s="83"/>
      <c r="AA600" s="98"/>
      <c r="AB600" s="98"/>
    </row>
    <row r="601" ht="36" spans="1:28">
      <c r="A601" s="285" t="str">
        <f>VLOOKUP(D601,'[2]2024 - Curva ABC de Insumos'!$E$6:$R$172,14,FALSE())</f>
        <v>C</v>
      </c>
      <c r="B601" s="300" t="s">
        <v>2115</v>
      </c>
      <c r="C601" s="305" t="s">
        <v>4739</v>
      </c>
      <c r="D601" s="335" t="s">
        <v>4740</v>
      </c>
      <c r="E601" s="289" t="s">
        <v>6508</v>
      </c>
      <c r="F601" s="290" t="s">
        <v>6509</v>
      </c>
      <c r="G601" s="290" t="s">
        <v>6510</v>
      </c>
      <c r="H601" s="290"/>
      <c r="I601" s="290"/>
      <c r="J601" s="322">
        <f>SMALL(E602:I602,1)</f>
        <v>184.645032</v>
      </c>
      <c r="K601" s="187"/>
      <c r="L601" s="187" t="e">
        <f>VLOOKUP(B604,[3]CPUs!D:L,9,FALSE())</f>
        <v>#N/A</v>
      </c>
      <c r="M601" s="96" t="e">
        <f>IF(J601=L601,"OK","DIF")</f>
        <v>#N/A</v>
      </c>
      <c r="N601" s="377" t="s">
        <v>6344</v>
      </c>
      <c r="O601" s="324"/>
      <c r="P601" s="279"/>
      <c r="Q601" s="279"/>
      <c r="R601" s="324"/>
      <c r="S601" s="324"/>
      <c r="T601" s="324"/>
      <c r="U601" s="324"/>
      <c r="V601" s="324"/>
      <c r="W601" s="279"/>
      <c r="X601" s="279"/>
      <c r="Y601" s="83"/>
      <c r="Z601" s="83"/>
      <c r="AA601" s="328"/>
      <c r="AB601" s="328"/>
    </row>
    <row r="602" ht="15" spans="1:28">
      <c r="A602" s="285"/>
      <c r="B602" s="291"/>
      <c r="C602" s="292"/>
      <c r="D602" s="293" t="s">
        <v>6236</v>
      </c>
      <c r="E602" s="358">
        <f>(235.9-59.02)*1.0439</f>
        <v>184.645032</v>
      </c>
      <c r="F602" s="359">
        <f>(247.7-59.02)*1.0439</f>
        <v>196.963052</v>
      </c>
      <c r="G602" s="295">
        <f>(259.49-59.02)*1.0439</f>
        <v>209.270633</v>
      </c>
      <c r="H602" s="295"/>
      <c r="I602" s="295"/>
      <c r="J602" s="325"/>
      <c r="K602" s="187"/>
      <c r="L602" s="83"/>
      <c r="M602" s="96"/>
      <c r="N602" s="326"/>
      <c r="O602" s="324"/>
      <c r="P602" s="279"/>
      <c r="Q602" s="279"/>
      <c r="R602" s="324"/>
      <c r="S602" s="324"/>
      <c r="T602" s="324"/>
      <c r="U602" s="324"/>
      <c r="V602" s="324"/>
      <c r="W602" s="279"/>
      <c r="X602" s="279"/>
      <c r="Y602" s="83"/>
      <c r="Z602" s="83"/>
      <c r="AA602" s="328"/>
      <c r="AB602" s="328"/>
    </row>
    <row r="603" ht="28.5" spans="1:28">
      <c r="A603" s="285"/>
      <c r="B603" s="291"/>
      <c r="C603" s="292"/>
      <c r="D603" s="293" t="s">
        <v>6237</v>
      </c>
      <c r="E603" s="296" t="s">
        <v>6250</v>
      </c>
      <c r="F603" s="296" t="s">
        <v>6250</v>
      </c>
      <c r="G603" s="296" t="s">
        <v>6250</v>
      </c>
      <c r="H603" s="302"/>
      <c r="I603" s="302"/>
      <c r="J603" s="325"/>
      <c r="K603" s="187"/>
      <c r="L603" s="83"/>
      <c r="M603" s="96"/>
      <c r="N603" s="326"/>
      <c r="O603" s="324"/>
      <c r="P603" s="279"/>
      <c r="Q603" s="279"/>
      <c r="R603" s="324"/>
      <c r="S603" s="324"/>
      <c r="T603" s="324"/>
      <c r="U603" s="279"/>
      <c r="V603" s="279"/>
      <c r="W603" s="279"/>
      <c r="X603" s="279"/>
      <c r="Y603" s="83"/>
      <c r="Z603" s="83"/>
      <c r="AA603" s="328"/>
      <c r="AB603" s="328"/>
    </row>
    <row r="604" ht="15" spans="1:28">
      <c r="A604" s="285"/>
      <c r="B604" s="307"/>
      <c r="C604" s="308"/>
      <c r="D604" s="309"/>
      <c r="E604" s="310"/>
      <c r="F604" s="311"/>
      <c r="G604" s="311"/>
      <c r="H604" s="311"/>
      <c r="I604" s="311"/>
      <c r="J604" s="331"/>
      <c r="K604" s="187"/>
      <c r="L604" s="83"/>
      <c r="M604" s="96"/>
      <c r="N604" s="320"/>
      <c r="O604" s="321"/>
      <c r="P604" s="321"/>
      <c r="Q604" s="321"/>
      <c r="R604" s="321"/>
      <c r="S604" s="321"/>
      <c r="T604" s="321"/>
      <c r="U604" s="321"/>
      <c r="V604" s="321"/>
      <c r="W604" s="321"/>
      <c r="X604" s="321"/>
      <c r="Y604" s="83"/>
      <c r="Z604" s="83"/>
      <c r="AA604" s="98"/>
      <c r="AB604" s="98"/>
    </row>
    <row r="605" ht="60" spans="1:28">
      <c r="A605" s="345" t="str">
        <f>VLOOKUP(D605,'[2]2024 - Curva ABC de Insumos'!$E$6:$R$172,14,FALSE())</f>
        <v>A</v>
      </c>
      <c r="B605" s="300" t="s">
        <v>2118</v>
      </c>
      <c r="C605" s="305" t="s">
        <v>4741</v>
      </c>
      <c r="D605" s="335" t="s">
        <v>4742</v>
      </c>
      <c r="E605" s="289" t="s">
        <v>6508</v>
      </c>
      <c r="F605" s="290" t="s">
        <v>6509</v>
      </c>
      <c r="G605" s="290" t="s">
        <v>6510</v>
      </c>
      <c r="H605" s="290"/>
      <c r="I605" s="290"/>
      <c r="J605" s="322">
        <f>SMALL(E606:I606,1)</f>
        <v>75550.80104</v>
      </c>
      <c r="K605" s="187"/>
      <c r="L605" s="187" t="e">
        <f>VLOOKUP(B608,[3]CPUs!D:L,9,FALSE())</f>
        <v>#N/A</v>
      </c>
      <c r="M605" s="96" t="e">
        <f>IF(J605=L605,"OK","DIF")</f>
        <v>#N/A</v>
      </c>
      <c r="N605" s="326" t="s">
        <v>6244</v>
      </c>
      <c r="O605" s="324"/>
      <c r="P605" s="279"/>
      <c r="Q605" s="279"/>
      <c r="R605" s="324"/>
      <c r="S605" s="324"/>
      <c r="T605" s="324"/>
      <c r="U605" s="324"/>
      <c r="V605" s="324"/>
      <c r="W605" s="279"/>
      <c r="X605" s="279"/>
      <c r="Y605" s="83"/>
      <c r="Z605" s="83"/>
      <c r="AA605" s="328"/>
      <c r="AB605" s="328"/>
    </row>
    <row r="606" ht="15" spans="1:28">
      <c r="A606" s="345"/>
      <c r="B606" s="291"/>
      <c r="C606" s="292"/>
      <c r="D606" s="293" t="s">
        <v>6236</v>
      </c>
      <c r="E606" s="294">
        <f>(72533.04-159.44)*1.0439</f>
        <v>75550.80104</v>
      </c>
      <c r="F606" s="295">
        <f>(72533.04-159.44)*1.0439</f>
        <v>75550.80104</v>
      </c>
      <c r="G606" s="295">
        <f>(72533.04-159.44)*1.0439</f>
        <v>75550.80104</v>
      </c>
      <c r="H606" s="295"/>
      <c r="I606" s="295"/>
      <c r="J606" s="325"/>
      <c r="K606" s="187"/>
      <c r="L606" s="83"/>
      <c r="M606" s="96"/>
      <c r="N606" s="326"/>
      <c r="O606" s="324"/>
      <c r="P606" s="279"/>
      <c r="Q606" s="279"/>
      <c r="R606" s="324"/>
      <c r="S606" s="324"/>
      <c r="T606" s="324"/>
      <c r="U606" s="324"/>
      <c r="V606" s="324"/>
      <c r="W606" s="279"/>
      <c r="X606" s="279"/>
      <c r="Y606" s="83"/>
      <c r="Z606" s="83"/>
      <c r="AA606" s="328"/>
      <c r="AB606" s="328"/>
    </row>
    <row r="607" ht="28.5" spans="1:28">
      <c r="A607" s="345"/>
      <c r="B607" s="291"/>
      <c r="C607" s="292"/>
      <c r="D607" s="293" t="s">
        <v>6237</v>
      </c>
      <c r="E607" s="296" t="s">
        <v>6250</v>
      </c>
      <c r="F607" s="296" t="s">
        <v>6250</v>
      </c>
      <c r="G607" s="296" t="s">
        <v>6250</v>
      </c>
      <c r="H607" s="302"/>
      <c r="I607" s="302"/>
      <c r="J607" s="325"/>
      <c r="K607" s="187"/>
      <c r="L607" s="83"/>
      <c r="M607" s="96"/>
      <c r="N607" s="326"/>
      <c r="O607" s="324"/>
      <c r="P607" s="279"/>
      <c r="Q607" s="279"/>
      <c r="R607" s="324"/>
      <c r="S607" s="324"/>
      <c r="T607" s="324"/>
      <c r="U607" s="279"/>
      <c r="V607" s="279"/>
      <c r="W607" s="279"/>
      <c r="X607" s="279"/>
      <c r="Y607" s="83"/>
      <c r="Z607" s="83"/>
      <c r="AA607" s="328"/>
      <c r="AB607" s="328"/>
    </row>
    <row r="608" ht="15" spans="1:28">
      <c r="A608" s="345"/>
      <c r="B608" s="307"/>
      <c r="C608" s="308"/>
      <c r="D608" s="309"/>
      <c r="E608" s="310"/>
      <c r="F608" s="311"/>
      <c r="G608" s="311"/>
      <c r="H608" s="311"/>
      <c r="I608" s="311"/>
      <c r="J608" s="331"/>
      <c r="K608" s="187"/>
      <c r="L608" s="83"/>
      <c r="M608" s="96"/>
      <c r="N608" s="320"/>
      <c r="O608" s="321"/>
      <c r="P608" s="321"/>
      <c r="Q608" s="321"/>
      <c r="R608" s="321"/>
      <c r="S608" s="321"/>
      <c r="T608" s="321"/>
      <c r="U608" s="321"/>
      <c r="V608" s="321"/>
      <c r="W608" s="321"/>
      <c r="X608" s="321"/>
      <c r="Y608" s="83"/>
      <c r="Z608" s="83"/>
      <c r="AA608" s="98"/>
      <c r="AB608" s="98"/>
    </row>
    <row r="609" ht="60" spans="1:28">
      <c r="A609" s="345" t="str">
        <f>VLOOKUP(D609,'[2]2024 - Curva ABC de Insumos'!$E$6:$R$172,14,FALSE())</f>
        <v>A</v>
      </c>
      <c r="B609" s="300" t="s">
        <v>2125</v>
      </c>
      <c r="C609" s="305" t="s">
        <v>4743</v>
      </c>
      <c r="D609" s="335" t="s">
        <v>4744</v>
      </c>
      <c r="E609" s="289" t="s">
        <v>6508</v>
      </c>
      <c r="F609" s="290" t="s">
        <v>6509</v>
      </c>
      <c r="G609" s="290" t="s">
        <v>6510</v>
      </c>
      <c r="H609" s="290"/>
      <c r="I609" s="290"/>
      <c r="J609" s="322">
        <f>SMALL(E610:I610,1)</f>
        <v>75550.80104</v>
      </c>
      <c r="K609" s="187"/>
      <c r="L609" s="187" t="e">
        <f>VLOOKUP(B612,[3]CPUs!D:L,9,FALSE())</f>
        <v>#N/A</v>
      </c>
      <c r="M609" s="96" t="e">
        <f>IF(J609=L609,"OK","DIF")</f>
        <v>#N/A</v>
      </c>
      <c r="N609" s="326" t="s">
        <v>6244</v>
      </c>
      <c r="O609" s="324"/>
      <c r="P609" s="279"/>
      <c r="Q609" s="279"/>
      <c r="R609" s="324"/>
      <c r="S609" s="324"/>
      <c r="T609" s="324"/>
      <c r="U609" s="324"/>
      <c r="V609" s="324"/>
      <c r="W609" s="279"/>
      <c r="X609" s="279"/>
      <c r="Y609" s="83"/>
      <c r="Z609" s="83"/>
      <c r="AA609" s="328"/>
      <c r="AB609" s="328"/>
    </row>
    <row r="610" ht="15" spans="1:28">
      <c r="A610" s="345"/>
      <c r="B610" s="291"/>
      <c r="C610" s="292"/>
      <c r="D610" s="293" t="s">
        <v>6236</v>
      </c>
      <c r="E610" s="294">
        <f>(72533.04-159.44)*1.0439</f>
        <v>75550.80104</v>
      </c>
      <c r="F610" s="295">
        <f>(72533.04-159.44)*1.0439</f>
        <v>75550.80104</v>
      </c>
      <c r="G610" s="295">
        <f>(72533.04-159.44)*1.0439</f>
        <v>75550.80104</v>
      </c>
      <c r="H610" s="295"/>
      <c r="I610" s="295"/>
      <c r="J610" s="325"/>
      <c r="K610" s="187"/>
      <c r="L610" s="83"/>
      <c r="M610" s="96"/>
      <c r="N610" s="326"/>
      <c r="O610" s="324"/>
      <c r="P610" s="279"/>
      <c r="Q610" s="279"/>
      <c r="R610" s="324"/>
      <c r="S610" s="324"/>
      <c r="T610" s="324"/>
      <c r="U610" s="324"/>
      <c r="V610" s="324"/>
      <c r="W610" s="279"/>
      <c r="X610" s="279"/>
      <c r="Y610" s="83"/>
      <c r="Z610" s="83"/>
      <c r="AA610" s="328"/>
      <c r="AB610" s="328"/>
    </row>
    <row r="611" ht="28.5" spans="1:28">
      <c r="A611" s="345"/>
      <c r="B611" s="291"/>
      <c r="C611" s="292"/>
      <c r="D611" s="293" t="s">
        <v>6237</v>
      </c>
      <c r="E611" s="296" t="s">
        <v>6250</v>
      </c>
      <c r="F611" s="296" t="s">
        <v>6250</v>
      </c>
      <c r="G611" s="296" t="s">
        <v>6250</v>
      </c>
      <c r="H611" s="302"/>
      <c r="I611" s="302"/>
      <c r="J611" s="325"/>
      <c r="K611" s="187"/>
      <c r="L611" s="83"/>
      <c r="M611" s="96"/>
      <c r="N611" s="326"/>
      <c r="O611" s="324"/>
      <c r="P611" s="279"/>
      <c r="Q611" s="279"/>
      <c r="R611" s="324"/>
      <c r="S611" s="324"/>
      <c r="T611" s="324"/>
      <c r="U611" s="279"/>
      <c r="V611" s="279"/>
      <c r="W611" s="279"/>
      <c r="X611" s="279"/>
      <c r="Y611" s="83"/>
      <c r="Z611" s="83"/>
      <c r="AA611" s="328"/>
      <c r="AB611" s="328"/>
    </row>
    <row r="612" ht="15" spans="1:28">
      <c r="A612" s="345"/>
      <c r="B612" s="307"/>
      <c r="C612" s="308"/>
      <c r="D612" s="309"/>
      <c r="E612" s="310"/>
      <c r="F612" s="311"/>
      <c r="G612" s="311"/>
      <c r="H612" s="311"/>
      <c r="I612" s="311"/>
      <c r="J612" s="331"/>
      <c r="K612" s="187"/>
      <c r="L612" s="83"/>
      <c r="M612" s="96"/>
      <c r="N612" s="320"/>
      <c r="O612" s="321"/>
      <c r="P612" s="321"/>
      <c r="Q612" s="321"/>
      <c r="R612" s="321"/>
      <c r="S612" s="321"/>
      <c r="T612" s="321"/>
      <c r="U612" s="321"/>
      <c r="V612" s="321"/>
      <c r="W612" s="321"/>
      <c r="X612" s="321"/>
      <c r="Y612" s="83"/>
      <c r="Z612" s="83"/>
      <c r="AA612" s="98"/>
      <c r="AB612" s="98"/>
    </row>
    <row r="613" ht="60" spans="1:28">
      <c r="A613" s="341" t="str">
        <f>VLOOKUP(D613,'[2]2024 - Curva ABC de Insumos'!$E$6:$R$172,14,FALSE())</f>
        <v>A</v>
      </c>
      <c r="B613" s="300" t="s">
        <v>2131</v>
      </c>
      <c r="C613" s="305" t="s">
        <v>4745</v>
      </c>
      <c r="D613" s="335" t="s">
        <v>4746</v>
      </c>
      <c r="E613" s="289" t="s">
        <v>6508</v>
      </c>
      <c r="F613" s="290" t="s">
        <v>6509</v>
      </c>
      <c r="G613" s="290" t="s">
        <v>6510</v>
      </c>
      <c r="H613" s="290"/>
      <c r="I613" s="290"/>
      <c r="J613" s="322">
        <f>SMALL(E614:I614,1)</f>
        <v>79111.54394</v>
      </c>
      <c r="K613" s="187"/>
      <c r="L613" s="187" t="e">
        <f>VLOOKUP(B616,[3]CPUs!D:L,9,FALSE())</f>
        <v>#N/A</v>
      </c>
      <c r="M613" s="96" t="e">
        <f>IF(J613=L613,"OK","DIF")</f>
        <v>#N/A</v>
      </c>
      <c r="N613" s="326" t="s">
        <v>6244</v>
      </c>
      <c r="O613" s="324"/>
      <c r="P613" s="279"/>
      <c r="Q613" s="279"/>
      <c r="R613" s="324"/>
      <c r="S613" s="324"/>
      <c r="T613" s="324"/>
      <c r="U613" s="324"/>
      <c r="V613" s="324"/>
      <c r="W613" s="279"/>
      <c r="X613" s="279"/>
      <c r="Y613" s="83"/>
      <c r="Z613" s="83"/>
      <c r="AA613" s="328"/>
      <c r="AB613" s="328"/>
    </row>
    <row r="614" ht="15" spans="1:28">
      <c r="A614" s="341"/>
      <c r="B614" s="291"/>
      <c r="C614" s="292"/>
      <c r="D614" s="293" t="s">
        <v>6236</v>
      </c>
      <c r="E614" s="294">
        <f>(75944.04-159.44)*1.0439</f>
        <v>79111.54394</v>
      </c>
      <c r="F614" s="295">
        <f>(75944.04-159.44)*1.0439</f>
        <v>79111.54394</v>
      </c>
      <c r="G614" s="295">
        <f>(75944.04-159.44)*1.0439</f>
        <v>79111.54394</v>
      </c>
      <c r="H614" s="295"/>
      <c r="I614" s="295"/>
      <c r="J614" s="325"/>
      <c r="K614" s="187"/>
      <c r="L614" s="83"/>
      <c r="M614" s="96"/>
      <c r="N614" s="326"/>
      <c r="O614" s="324"/>
      <c r="P614" s="279"/>
      <c r="Q614" s="279"/>
      <c r="R614" s="324"/>
      <c r="S614" s="324"/>
      <c r="T614" s="324"/>
      <c r="U614" s="324"/>
      <c r="V614" s="324"/>
      <c r="W614" s="279"/>
      <c r="X614" s="279"/>
      <c r="Y614" s="83"/>
      <c r="Z614" s="83"/>
      <c r="AA614" s="328"/>
      <c r="AB614" s="328"/>
    </row>
    <row r="615" ht="28.5" spans="1:28">
      <c r="A615" s="341"/>
      <c r="B615" s="291"/>
      <c r="C615" s="292"/>
      <c r="D615" s="293" t="s">
        <v>6237</v>
      </c>
      <c r="E615" s="296" t="s">
        <v>6250</v>
      </c>
      <c r="F615" s="296" t="s">
        <v>6250</v>
      </c>
      <c r="G615" s="296" t="s">
        <v>6250</v>
      </c>
      <c r="H615" s="302"/>
      <c r="I615" s="302"/>
      <c r="J615" s="325"/>
      <c r="K615" s="187"/>
      <c r="L615" s="83"/>
      <c r="M615" s="96"/>
      <c r="N615" s="326"/>
      <c r="O615" s="324"/>
      <c r="P615" s="279"/>
      <c r="Q615" s="279"/>
      <c r="R615" s="324"/>
      <c r="S615" s="324"/>
      <c r="T615" s="324"/>
      <c r="U615" s="279"/>
      <c r="V615" s="279"/>
      <c r="W615" s="279"/>
      <c r="X615" s="279"/>
      <c r="Y615" s="83"/>
      <c r="Z615" s="83"/>
      <c r="AA615" s="328"/>
      <c r="AB615" s="328"/>
    </row>
    <row r="616" ht="15" spans="1:28">
      <c r="A616" s="341"/>
      <c r="B616" s="307"/>
      <c r="C616" s="308"/>
      <c r="D616" s="309"/>
      <c r="E616" s="310"/>
      <c r="F616" s="311"/>
      <c r="G616" s="311"/>
      <c r="H616" s="311"/>
      <c r="I616" s="311"/>
      <c r="J616" s="331"/>
      <c r="K616" s="187"/>
      <c r="L616" s="83"/>
      <c r="M616" s="96"/>
      <c r="N616" s="320"/>
      <c r="O616" s="321"/>
      <c r="P616" s="321"/>
      <c r="Q616" s="321"/>
      <c r="R616" s="321"/>
      <c r="S616" s="321"/>
      <c r="T616" s="321"/>
      <c r="U616" s="321"/>
      <c r="V616" s="321"/>
      <c r="W616" s="321"/>
      <c r="X616" s="321"/>
      <c r="Y616" s="83"/>
      <c r="Z616" s="83"/>
      <c r="AA616" s="98"/>
      <c r="AB616" s="98"/>
    </row>
    <row r="617" ht="60" spans="1:28">
      <c r="A617" s="345" t="str">
        <f>VLOOKUP(D617,'[2]2024 - Curva ABC de Insumos'!$E$6:$R$172,14,FALSE())</f>
        <v>A</v>
      </c>
      <c r="B617" s="300" t="s">
        <v>2138</v>
      </c>
      <c r="C617" s="305" t="s">
        <v>4747</v>
      </c>
      <c r="D617" s="335" t="s">
        <v>4748</v>
      </c>
      <c r="E617" s="289" t="s">
        <v>6508</v>
      </c>
      <c r="F617" s="290" t="s">
        <v>6509</v>
      </c>
      <c r="G617" s="290" t="s">
        <v>6510</v>
      </c>
      <c r="H617" s="290"/>
      <c r="I617" s="290"/>
      <c r="J617" s="322">
        <f>SMALL(E618:I618,1)</f>
        <v>79111.54394</v>
      </c>
      <c r="K617" s="187"/>
      <c r="L617" s="187" t="e">
        <f>VLOOKUP(B620,[3]CPUs!D:L,9,FALSE())</f>
        <v>#N/A</v>
      </c>
      <c r="M617" s="96" t="e">
        <f>IF(J617=L617,"OK","DIF")</f>
        <v>#N/A</v>
      </c>
      <c r="N617" s="326" t="s">
        <v>6244</v>
      </c>
      <c r="O617" s="324"/>
      <c r="P617" s="279"/>
      <c r="Q617" s="279"/>
      <c r="R617" s="324"/>
      <c r="S617" s="324"/>
      <c r="T617" s="324"/>
      <c r="U617" s="324"/>
      <c r="V617" s="324"/>
      <c r="W617" s="279"/>
      <c r="X617" s="279"/>
      <c r="Y617" s="83"/>
      <c r="Z617" s="83"/>
      <c r="AA617" s="328"/>
      <c r="AB617" s="328"/>
    </row>
    <row r="618" ht="15" spans="1:28">
      <c r="A618" s="345"/>
      <c r="B618" s="291"/>
      <c r="C618" s="292"/>
      <c r="D618" s="293" t="s">
        <v>6236</v>
      </c>
      <c r="E618" s="294">
        <f>(75944.04-159.44)*1.0439</f>
        <v>79111.54394</v>
      </c>
      <c r="F618" s="295">
        <f>(75944.04-159.44)*1.0439</f>
        <v>79111.54394</v>
      </c>
      <c r="G618" s="295">
        <f>(75944.04-159.44)*1.0439</f>
        <v>79111.54394</v>
      </c>
      <c r="H618" s="295"/>
      <c r="I618" s="295"/>
      <c r="J618" s="325"/>
      <c r="K618" s="187"/>
      <c r="L618" s="83"/>
      <c r="M618" s="96"/>
      <c r="N618" s="326"/>
      <c r="O618" s="324"/>
      <c r="P618" s="279"/>
      <c r="Q618" s="279"/>
      <c r="R618" s="324"/>
      <c r="S618" s="324"/>
      <c r="T618" s="324"/>
      <c r="U618" s="324"/>
      <c r="V618" s="324"/>
      <c r="W618" s="279"/>
      <c r="X618" s="279"/>
      <c r="Y618" s="83"/>
      <c r="Z618" s="83"/>
      <c r="AA618" s="328"/>
      <c r="AB618" s="328"/>
    </row>
    <row r="619" ht="28.5" spans="1:28">
      <c r="A619" s="345"/>
      <c r="B619" s="291"/>
      <c r="C619" s="292"/>
      <c r="D619" s="293" t="s">
        <v>6237</v>
      </c>
      <c r="E619" s="296" t="s">
        <v>6250</v>
      </c>
      <c r="F619" s="296" t="s">
        <v>6250</v>
      </c>
      <c r="G619" s="296" t="s">
        <v>6250</v>
      </c>
      <c r="H619" s="302"/>
      <c r="I619" s="302"/>
      <c r="J619" s="325"/>
      <c r="K619" s="187"/>
      <c r="L619" s="83"/>
      <c r="M619" s="96"/>
      <c r="N619" s="326"/>
      <c r="O619" s="324"/>
      <c r="P619" s="279"/>
      <c r="Q619" s="279"/>
      <c r="R619" s="324"/>
      <c r="S619" s="324"/>
      <c r="T619" s="324"/>
      <c r="U619" s="279"/>
      <c r="V619" s="279"/>
      <c r="W619" s="279"/>
      <c r="X619" s="279"/>
      <c r="Y619" s="83"/>
      <c r="Z619" s="83"/>
      <c r="AA619" s="328"/>
      <c r="AB619" s="328"/>
    </row>
    <row r="620" ht="15" spans="1:28">
      <c r="A620" s="345"/>
      <c r="B620" s="307"/>
      <c r="C620" s="308"/>
      <c r="D620" s="309"/>
      <c r="E620" s="310"/>
      <c r="F620" s="311"/>
      <c r="G620" s="311"/>
      <c r="H620" s="311"/>
      <c r="I620" s="311"/>
      <c r="J620" s="331"/>
      <c r="K620" s="187"/>
      <c r="L620" s="83"/>
      <c r="M620" s="96"/>
      <c r="N620" s="320"/>
      <c r="O620" s="321"/>
      <c r="P620" s="321"/>
      <c r="Q620" s="321"/>
      <c r="R620" s="321"/>
      <c r="S620" s="321"/>
      <c r="T620" s="321"/>
      <c r="U620" s="321"/>
      <c r="V620" s="321"/>
      <c r="W620" s="321"/>
      <c r="X620" s="321"/>
      <c r="Y620" s="83"/>
      <c r="Z620" s="83"/>
      <c r="AA620" s="98"/>
      <c r="AB620" s="98"/>
    </row>
    <row r="621" ht="60" spans="1:28">
      <c r="A621" s="303" t="str">
        <f>VLOOKUP(D621,'[2]2024 - Curva ABC de Insumos'!$E$6:$R$172,14,FALSE())</f>
        <v>A</v>
      </c>
      <c r="B621" s="300" t="s">
        <v>2144</v>
      </c>
      <c r="C621" s="305" t="s">
        <v>4749</v>
      </c>
      <c r="D621" s="335" t="s">
        <v>4750</v>
      </c>
      <c r="E621" s="289" t="s">
        <v>6508</v>
      </c>
      <c r="F621" s="290" t="s">
        <v>6509</v>
      </c>
      <c r="G621" s="290" t="s">
        <v>6510</v>
      </c>
      <c r="H621" s="290"/>
      <c r="I621" s="290"/>
      <c r="J621" s="322">
        <f>SMALL(E622:I622,1)</f>
        <v>853878.726415</v>
      </c>
      <c r="K621" s="187"/>
      <c r="L621" s="187" t="e">
        <f>VLOOKUP(B624,[3]CPUs!D:L,9,FALSE())</f>
        <v>#N/A</v>
      </c>
      <c r="M621" s="96" t="e">
        <f>IF(J621=L621,"OK","DIF")</f>
        <v>#N/A</v>
      </c>
      <c r="N621" s="326" t="s">
        <v>6244</v>
      </c>
      <c r="O621" s="324"/>
      <c r="P621" s="279"/>
      <c r="Q621" s="279"/>
      <c r="R621" s="324"/>
      <c r="S621" s="324"/>
      <c r="T621" s="324"/>
      <c r="U621" s="324"/>
      <c r="V621" s="324"/>
      <c r="W621" s="279"/>
      <c r="X621" s="279"/>
      <c r="Y621" s="83"/>
      <c r="Z621" s="83"/>
      <c r="AA621" s="328"/>
      <c r="AB621" s="328"/>
    </row>
    <row r="622" ht="15" spans="1:28">
      <c r="A622" s="303"/>
      <c r="B622" s="291"/>
      <c r="C622" s="292"/>
      <c r="D622" s="293" t="s">
        <v>6236</v>
      </c>
      <c r="E622" s="294">
        <f>(858300-36805.65-3524.5)*1.0439</f>
        <v>853878.726415</v>
      </c>
      <c r="F622" s="295">
        <f>(858300-36805.65-3524.5)*1.0439</f>
        <v>853878.726415</v>
      </c>
      <c r="G622" s="295">
        <f>(858300-36805.65-3524.5)*1.0439</f>
        <v>853878.726415</v>
      </c>
      <c r="H622" s="295"/>
      <c r="I622" s="295"/>
      <c r="J622" s="325"/>
      <c r="K622" s="187"/>
      <c r="L622" s="83"/>
      <c r="M622" s="96"/>
      <c r="N622" s="326"/>
      <c r="O622" s="324"/>
      <c r="P622" s="279"/>
      <c r="Q622" s="279"/>
      <c r="R622" s="324"/>
      <c r="S622" s="324"/>
      <c r="T622" s="324"/>
      <c r="U622" s="324"/>
      <c r="V622" s="324"/>
      <c r="W622" s="279"/>
      <c r="X622" s="279"/>
      <c r="Y622" s="83"/>
      <c r="Z622" s="83"/>
      <c r="AA622" s="328"/>
      <c r="AB622" s="328"/>
    </row>
    <row r="623" ht="28.5" spans="1:28">
      <c r="A623" s="303"/>
      <c r="B623" s="291"/>
      <c r="C623" s="292"/>
      <c r="D623" s="293" t="s">
        <v>6237</v>
      </c>
      <c r="E623" s="296" t="s">
        <v>6250</v>
      </c>
      <c r="F623" s="296" t="s">
        <v>6250</v>
      </c>
      <c r="G623" s="296" t="s">
        <v>6250</v>
      </c>
      <c r="H623" s="302"/>
      <c r="I623" s="302"/>
      <c r="J623" s="325"/>
      <c r="K623" s="187"/>
      <c r="L623" s="83"/>
      <c r="M623" s="96"/>
      <c r="N623" s="326"/>
      <c r="O623" s="324"/>
      <c r="P623" s="279"/>
      <c r="Q623" s="279"/>
      <c r="R623" s="324"/>
      <c r="S623" s="324"/>
      <c r="T623" s="324"/>
      <c r="U623" s="279"/>
      <c r="V623" s="279"/>
      <c r="W623" s="279"/>
      <c r="X623" s="279"/>
      <c r="Y623" s="83"/>
      <c r="Z623" s="83"/>
      <c r="AA623" s="328"/>
      <c r="AB623" s="328"/>
    </row>
    <row r="624" ht="15" spans="1:28">
      <c r="A624" s="303"/>
      <c r="B624" s="307"/>
      <c r="C624" s="308"/>
      <c r="D624" s="309"/>
      <c r="E624" s="310"/>
      <c r="F624" s="311"/>
      <c r="G624" s="311"/>
      <c r="H624" s="311"/>
      <c r="I624" s="311"/>
      <c r="J624" s="331"/>
      <c r="K624" s="187"/>
      <c r="L624" s="83"/>
      <c r="M624" s="96"/>
      <c r="N624" s="320"/>
      <c r="O624" s="321"/>
      <c r="P624" s="321"/>
      <c r="Q624" s="321"/>
      <c r="R624" s="321"/>
      <c r="S624" s="321"/>
      <c r="T624" s="321"/>
      <c r="U624" s="321"/>
      <c r="V624" s="321"/>
      <c r="W624" s="321"/>
      <c r="X624" s="321"/>
      <c r="Y624" s="83"/>
      <c r="Z624" s="83"/>
      <c r="AA624" s="98"/>
      <c r="AB624" s="98"/>
    </row>
    <row r="625" ht="36" spans="1:28">
      <c r="A625" s="303" t="str">
        <f>VLOOKUP(D625,'[2]2024 - Curva ABC de Insumos'!$E$6:$R$172,14,FALSE())</f>
        <v>A</v>
      </c>
      <c r="B625" s="300" t="s">
        <v>2151</v>
      </c>
      <c r="C625" s="305" t="s">
        <v>4751</v>
      </c>
      <c r="D625" s="335" t="s">
        <v>4752</v>
      </c>
      <c r="E625" s="289" t="s">
        <v>6508</v>
      </c>
      <c r="F625" s="290" t="s">
        <v>6509</v>
      </c>
      <c r="G625" s="290" t="s">
        <v>6510</v>
      </c>
      <c r="H625" s="290"/>
      <c r="I625" s="290"/>
      <c r="J625" s="322">
        <f>SMALL(E626:I626,1)</f>
        <v>155966.186519</v>
      </c>
      <c r="K625" s="187"/>
      <c r="L625" s="187" t="e">
        <f>VLOOKUP(B628,[3]CPUs!D:L,9,FALSE())</f>
        <v>#N/A</v>
      </c>
      <c r="M625" s="96" t="e">
        <f>IF(J625=L625,"OK","DIF")</f>
        <v>#N/A</v>
      </c>
      <c r="N625" s="326" t="s">
        <v>6244</v>
      </c>
      <c r="O625" s="324"/>
      <c r="P625" s="279"/>
      <c r="Q625" s="279"/>
      <c r="R625" s="324"/>
      <c r="S625" s="324"/>
      <c r="T625" s="324"/>
      <c r="U625" s="324"/>
      <c r="V625" s="324"/>
      <c r="W625" s="279"/>
      <c r="X625" s="279"/>
      <c r="Y625" s="83"/>
      <c r="Z625" s="83"/>
      <c r="AA625" s="328"/>
      <c r="AB625" s="328"/>
    </row>
    <row r="626" ht="15" spans="1:28">
      <c r="A626" s="303"/>
      <c r="B626" s="291"/>
      <c r="C626" s="292"/>
      <c r="D626" s="293" t="s">
        <v>6236</v>
      </c>
      <c r="E626" s="294">
        <f>(150182.17-774.96)*1.0439</f>
        <v>155966.186519</v>
      </c>
      <c r="F626" s="295">
        <f>(157691.28-774.96)*1.0439</f>
        <v>163804.946448</v>
      </c>
      <c r="G626" s="295">
        <f>(165200.39-774.96)*1.0439</f>
        <v>171643.706377</v>
      </c>
      <c r="H626" s="295"/>
      <c r="I626" s="295"/>
      <c r="J626" s="325"/>
      <c r="K626" s="187"/>
      <c r="L626" s="83"/>
      <c r="M626" s="96"/>
      <c r="N626" s="326"/>
      <c r="O626" s="324"/>
      <c r="P626" s="279"/>
      <c r="Q626" s="279"/>
      <c r="R626" s="324"/>
      <c r="S626" s="324"/>
      <c r="T626" s="324"/>
      <c r="U626" s="324"/>
      <c r="V626" s="324"/>
      <c r="W626" s="279"/>
      <c r="X626" s="279"/>
      <c r="Y626" s="83"/>
      <c r="Z626" s="83"/>
      <c r="AA626" s="328"/>
      <c r="AB626" s="328"/>
    </row>
    <row r="627" ht="28.5" spans="1:28">
      <c r="A627" s="303"/>
      <c r="B627" s="291"/>
      <c r="C627" s="292"/>
      <c r="D627" s="293" t="s">
        <v>6237</v>
      </c>
      <c r="E627" s="296" t="s">
        <v>6250</v>
      </c>
      <c r="F627" s="296" t="s">
        <v>6250</v>
      </c>
      <c r="G627" s="296" t="s">
        <v>6250</v>
      </c>
      <c r="H627" s="302"/>
      <c r="I627" s="302"/>
      <c r="J627" s="325"/>
      <c r="K627" s="187"/>
      <c r="L627" s="83"/>
      <c r="M627" s="96"/>
      <c r="N627" s="326"/>
      <c r="O627" s="324"/>
      <c r="P627" s="279"/>
      <c r="Q627" s="279"/>
      <c r="R627" s="324"/>
      <c r="S627" s="324"/>
      <c r="T627" s="324"/>
      <c r="U627" s="279"/>
      <c r="V627" s="279"/>
      <c r="W627" s="279"/>
      <c r="X627" s="279"/>
      <c r="Y627" s="83"/>
      <c r="Z627" s="83"/>
      <c r="AA627" s="328"/>
      <c r="AB627" s="328"/>
    </row>
    <row r="628" ht="15" spans="1:28">
      <c r="A628" s="303"/>
      <c r="B628" s="307"/>
      <c r="C628" s="308"/>
      <c r="D628" s="309"/>
      <c r="E628" s="310"/>
      <c r="F628" s="311"/>
      <c r="G628" s="311"/>
      <c r="H628" s="311"/>
      <c r="I628" s="311"/>
      <c r="J628" s="331"/>
      <c r="K628" s="187"/>
      <c r="L628" s="83"/>
      <c r="M628" s="96"/>
      <c r="N628" s="320"/>
      <c r="O628" s="321"/>
      <c r="P628" s="321"/>
      <c r="Q628" s="321"/>
      <c r="R628" s="321"/>
      <c r="S628" s="321"/>
      <c r="T628" s="321"/>
      <c r="U628" s="321"/>
      <c r="V628" s="321"/>
      <c r="W628" s="321"/>
      <c r="X628" s="321"/>
      <c r="Y628" s="83"/>
      <c r="Z628" s="83"/>
      <c r="AA628" s="98"/>
      <c r="AB628" s="98"/>
    </row>
    <row r="629" ht="72" spans="1:28">
      <c r="A629" s="303" t="str">
        <f>VLOOKUP(D629,'[2]2024 - Curva ABC de Insumos'!$E$6:$R$172,14,FALSE())</f>
        <v>A</v>
      </c>
      <c r="B629" s="300" t="s">
        <v>2158</v>
      </c>
      <c r="C629" s="305" t="s">
        <v>4753</v>
      </c>
      <c r="D629" s="335" t="s">
        <v>4754</v>
      </c>
      <c r="E629" s="289" t="s">
        <v>6508</v>
      </c>
      <c r="F629" s="290" t="s">
        <v>6509</v>
      </c>
      <c r="G629" s="290" t="s">
        <v>6510</v>
      </c>
      <c r="H629" s="290"/>
      <c r="I629" s="290"/>
      <c r="J629" s="322">
        <f>SMALL(E630:I630,1)</f>
        <v>184998.757515</v>
      </c>
      <c r="K629" s="187"/>
      <c r="L629" s="187" t="e">
        <f>VLOOKUP(B632,[3]CPUs!D:L,9,FALSE())</f>
        <v>#N/A</v>
      </c>
      <c r="M629" s="96" t="e">
        <f>IF(J629=L629,"OK","DIF")</f>
        <v>#N/A</v>
      </c>
      <c r="N629" s="326" t="s">
        <v>6244</v>
      </c>
      <c r="O629" s="324"/>
      <c r="P629" s="279"/>
      <c r="Q629" s="279"/>
      <c r="R629" s="324"/>
      <c r="S629" s="324"/>
      <c r="T629" s="324"/>
      <c r="U629" s="324"/>
      <c r="V629" s="324"/>
      <c r="W629" s="279"/>
      <c r="X629" s="279"/>
      <c r="Y629" s="83"/>
      <c r="Z629" s="83"/>
      <c r="AA629" s="328"/>
      <c r="AB629" s="328"/>
    </row>
    <row r="630" ht="15" spans="1:28">
      <c r="A630" s="303"/>
      <c r="B630" s="291"/>
      <c r="C630" s="292"/>
      <c r="D630" s="293" t="s">
        <v>6236</v>
      </c>
      <c r="E630" s="294">
        <f>(190255.25-12294.4-742)*1.0439</f>
        <v>184998.757515</v>
      </c>
      <c r="F630" s="295">
        <f>(190255.25-12294.4-742)*1.0439</f>
        <v>184998.757515</v>
      </c>
      <c r="G630" s="295">
        <f>(190255.25-12294.4-742)*1.0439</f>
        <v>184998.757515</v>
      </c>
      <c r="H630" s="295"/>
      <c r="I630" s="295"/>
      <c r="J630" s="325"/>
      <c r="K630" s="187"/>
      <c r="L630" s="83"/>
      <c r="M630" s="96"/>
      <c r="N630" s="326"/>
      <c r="O630" s="324"/>
      <c r="P630" s="279"/>
      <c r="Q630" s="279"/>
      <c r="R630" s="324"/>
      <c r="S630" s="324"/>
      <c r="T630" s="324"/>
      <c r="U630" s="324"/>
      <c r="V630" s="324"/>
      <c r="W630" s="279"/>
      <c r="X630" s="279"/>
      <c r="Y630" s="83"/>
      <c r="Z630" s="83"/>
      <c r="AA630" s="328"/>
      <c r="AB630" s="328"/>
    </row>
    <row r="631" ht="28.5" spans="1:28">
      <c r="A631" s="303"/>
      <c r="B631" s="291"/>
      <c r="C631" s="292"/>
      <c r="D631" s="293" t="s">
        <v>6237</v>
      </c>
      <c r="E631" s="296" t="s">
        <v>6250</v>
      </c>
      <c r="F631" s="296" t="s">
        <v>6250</v>
      </c>
      <c r="G631" s="296" t="s">
        <v>6250</v>
      </c>
      <c r="H631" s="302"/>
      <c r="I631" s="302"/>
      <c r="J631" s="325"/>
      <c r="K631" s="187"/>
      <c r="L631" s="83"/>
      <c r="M631" s="96"/>
      <c r="N631" s="326"/>
      <c r="O631" s="324"/>
      <c r="P631" s="279"/>
      <c r="Q631" s="279"/>
      <c r="R631" s="324"/>
      <c r="S631" s="324"/>
      <c r="T631" s="324"/>
      <c r="U631" s="279"/>
      <c r="V631" s="279"/>
      <c r="W631" s="279"/>
      <c r="X631" s="279"/>
      <c r="Y631" s="83"/>
      <c r="Z631" s="83"/>
      <c r="AA631" s="328"/>
      <c r="AB631" s="328"/>
    </row>
    <row r="632" ht="15" spans="1:28">
      <c r="A632" s="303"/>
      <c r="B632" s="307"/>
      <c r="C632" s="308"/>
      <c r="D632" s="309"/>
      <c r="E632" s="310"/>
      <c r="F632" s="311"/>
      <c r="G632" s="311"/>
      <c r="H632" s="311"/>
      <c r="I632" s="311"/>
      <c r="J632" s="331"/>
      <c r="K632" s="187"/>
      <c r="L632" s="83"/>
      <c r="M632" s="96"/>
      <c r="N632" s="320"/>
      <c r="O632" s="321"/>
      <c r="P632" s="321"/>
      <c r="Q632" s="321"/>
      <c r="R632" s="321"/>
      <c r="S632" s="321"/>
      <c r="T632" s="321"/>
      <c r="U632" s="321"/>
      <c r="V632" s="321"/>
      <c r="W632" s="321"/>
      <c r="X632" s="321"/>
      <c r="Y632" s="83"/>
      <c r="Z632" s="83"/>
      <c r="AA632" s="98"/>
      <c r="AB632" s="98"/>
    </row>
    <row r="633" ht="72" spans="1:28">
      <c r="A633" s="345" t="str">
        <f>VLOOKUP(D633,'[2]2024 - Curva ABC de Insumos'!$E$6:$R$172,14,FALSE())</f>
        <v>A</v>
      </c>
      <c r="B633" s="300" t="s">
        <v>2165</v>
      </c>
      <c r="C633" s="305" t="s">
        <v>4755</v>
      </c>
      <c r="D633" s="335" t="s">
        <v>4756</v>
      </c>
      <c r="E633" s="289" t="s">
        <v>6508</v>
      </c>
      <c r="F633" s="290" t="s">
        <v>6509</v>
      </c>
      <c r="G633" s="290" t="s">
        <v>6510</v>
      </c>
      <c r="H633" s="290"/>
      <c r="I633" s="290"/>
      <c r="J633" s="322">
        <f>SMALL(E634:I634,1)</f>
        <v>204859.508282</v>
      </c>
      <c r="K633" s="187"/>
      <c r="L633" s="187" t="e">
        <f>VLOOKUP(B636,[3]CPUs!D:L,9,FALSE())</f>
        <v>#N/A</v>
      </c>
      <c r="M633" s="96" t="e">
        <f>IF(J633=L633,"OK","DIF")</f>
        <v>#N/A</v>
      </c>
      <c r="N633" s="387" t="s">
        <v>6244</v>
      </c>
      <c r="O633" s="324"/>
      <c r="P633" s="279"/>
      <c r="Q633" s="279"/>
      <c r="R633" s="324"/>
      <c r="S633" s="324"/>
      <c r="T633" s="324"/>
      <c r="U633" s="324"/>
      <c r="V633" s="324"/>
      <c r="W633" s="279"/>
      <c r="X633" s="279"/>
      <c r="Y633" s="83"/>
      <c r="Z633" s="83"/>
      <c r="AA633" s="328"/>
      <c r="AB633" s="328"/>
    </row>
    <row r="634" ht="15" spans="1:28">
      <c r="A634" s="345"/>
      <c r="B634" s="291"/>
      <c r="C634" s="292"/>
      <c r="D634" s="293" t="s">
        <v>6236</v>
      </c>
      <c r="E634" s="294">
        <f>(209280.78-12294.4-742)*1.0439</f>
        <v>204859.508282</v>
      </c>
      <c r="F634" s="295">
        <f>(209280.78-12294.4-742)*1.0439</f>
        <v>204859.508282</v>
      </c>
      <c r="G634" s="295">
        <f>(209280.78-12294.4-742)*1.0439</f>
        <v>204859.508282</v>
      </c>
      <c r="H634" s="295"/>
      <c r="I634" s="295"/>
      <c r="J634" s="325"/>
      <c r="K634" s="187"/>
      <c r="L634" s="83"/>
      <c r="M634" s="96"/>
      <c r="N634" s="326"/>
      <c r="O634" s="324"/>
      <c r="P634" s="279"/>
      <c r="Q634" s="279"/>
      <c r="R634" s="324"/>
      <c r="S634" s="324"/>
      <c r="T634" s="324"/>
      <c r="U634" s="324"/>
      <c r="V634" s="324"/>
      <c r="W634" s="279"/>
      <c r="X634" s="279"/>
      <c r="Y634" s="83"/>
      <c r="Z634" s="83"/>
      <c r="AA634" s="328"/>
      <c r="AB634" s="328"/>
    </row>
    <row r="635" ht="28.5" spans="1:28">
      <c r="A635" s="345"/>
      <c r="B635" s="291"/>
      <c r="C635" s="292"/>
      <c r="D635" s="293" t="s">
        <v>6237</v>
      </c>
      <c r="E635" s="296" t="s">
        <v>6250</v>
      </c>
      <c r="F635" s="296" t="s">
        <v>6250</v>
      </c>
      <c r="G635" s="296" t="s">
        <v>6250</v>
      </c>
      <c r="H635" s="302"/>
      <c r="I635" s="302"/>
      <c r="J635" s="325"/>
      <c r="K635" s="187"/>
      <c r="L635" s="83"/>
      <c r="M635" s="96"/>
      <c r="N635" s="326"/>
      <c r="O635" s="324"/>
      <c r="P635" s="279"/>
      <c r="Q635" s="279"/>
      <c r="R635" s="324"/>
      <c r="S635" s="324"/>
      <c r="T635" s="324"/>
      <c r="U635" s="279"/>
      <c r="V635" s="279"/>
      <c r="W635" s="279"/>
      <c r="X635" s="279"/>
      <c r="Y635" s="83"/>
      <c r="Z635" s="83"/>
      <c r="AA635" s="328"/>
      <c r="AB635" s="328"/>
    </row>
    <row r="636" ht="15" spans="1:28">
      <c r="A636" s="345"/>
      <c r="B636" s="307"/>
      <c r="C636" s="308"/>
      <c r="D636" s="309"/>
      <c r="E636" s="310"/>
      <c r="F636" s="311"/>
      <c r="G636" s="311"/>
      <c r="H636" s="311"/>
      <c r="I636" s="311"/>
      <c r="J636" s="331"/>
      <c r="K636" s="187"/>
      <c r="L636" s="83"/>
      <c r="M636" s="96"/>
      <c r="N636" s="320"/>
      <c r="O636" s="321"/>
      <c r="P636" s="321"/>
      <c r="Q636" s="321"/>
      <c r="R636" s="321"/>
      <c r="S636" s="321"/>
      <c r="T636" s="321"/>
      <c r="U636" s="321"/>
      <c r="V636" s="321"/>
      <c r="W636" s="321"/>
      <c r="X636" s="321"/>
      <c r="Y636" s="83"/>
      <c r="Z636" s="83"/>
      <c r="AA636" s="98"/>
      <c r="AB636" s="98"/>
    </row>
    <row r="637" ht="48" spans="1:28">
      <c r="A637" s="303" t="str">
        <f>VLOOKUP(D637,'[2]2024 - Curva ABC de Insumos'!$E$6:$R$172,14,FALSE())</f>
        <v>B</v>
      </c>
      <c r="B637" s="300" t="s">
        <v>2172</v>
      </c>
      <c r="C637" s="305" t="s">
        <v>4757</v>
      </c>
      <c r="D637" s="335" t="s">
        <v>4758</v>
      </c>
      <c r="E637" s="289" t="s">
        <v>6508</v>
      </c>
      <c r="F637" s="290" t="s">
        <v>6509</v>
      </c>
      <c r="G637" s="290" t="s">
        <v>6510</v>
      </c>
      <c r="H637" s="290"/>
      <c r="I637" s="290"/>
      <c r="J637" s="322">
        <f>SMALL(E638:I638,1)</f>
        <v>34749.217932</v>
      </c>
      <c r="K637" s="187"/>
      <c r="L637" s="187" t="e">
        <f>VLOOKUP(B640,[3]CPUs!D:L,9,FALSE())</f>
        <v>#N/A</v>
      </c>
      <c r="M637" s="96" t="e">
        <f>IF(J637=L637,"OK","DIF")</f>
        <v>#N/A</v>
      </c>
      <c r="N637" s="326" t="s">
        <v>6244</v>
      </c>
      <c r="O637" s="324"/>
      <c r="P637" s="279"/>
      <c r="Q637" s="279"/>
      <c r="R637" s="324"/>
      <c r="S637" s="324"/>
      <c r="T637" s="324"/>
      <c r="U637" s="324"/>
      <c r="V637" s="324"/>
      <c r="W637" s="279"/>
      <c r="X637" s="279"/>
      <c r="Y637" s="83"/>
      <c r="Z637" s="83"/>
      <c r="AA637" s="328"/>
      <c r="AB637" s="328"/>
    </row>
    <row r="638" ht="15" spans="1:28">
      <c r="A638" s="303"/>
      <c r="B638" s="291"/>
      <c r="C638" s="292"/>
      <c r="D638" s="293" t="s">
        <v>6236</v>
      </c>
      <c r="E638" s="294">
        <f>(33650.1-362.22)*1.0439</f>
        <v>34749.217932</v>
      </c>
      <c r="F638" s="295">
        <f>(35332.61-362.22)*1.0439</f>
        <v>36505.590121</v>
      </c>
      <c r="G638" s="295">
        <f>(37015.11-362.22)*1.0439</f>
        <v>38261.951871</v>
      </c>
      <c r="H638" s="295"/>
      <c r="I638" s="295"/>
      <c r="J638" s="325"/>
      <c r="K638" s="187"/>
      <c r="L638" s="83"/>
      <c r="M638" s="96"/>
      <c r="N638" s="326"/>
      <c r="O638" s="324"/>
      <c r="P638" s="279"/>
      <c r="Q638" s="279"/>
      <c r="R638" s="324"/>
      <c r="S638" s="324"/>
      <c r="T638" s="324"/>
      <c r="U638" s="324"/>
      <c r="V638" s="324"/>
      <c r="W638" s="279"/>
      <c r="X638" s="279"/>
      <c r="Y638" s="83"/>
      <c r="Z638" s="83"/>
      <c r="AA638" s="328"/>
      <c r="AB638" s="328"/>
    </row>
    <row r="639" ht="28.5" spans="1:28">
      <c r="A639" s="303"/>
      <c r="B639" s="291"/>
      <c r="C639" s="292"/>
      <c r="D639" s="293" t="s">
        <v>6237</v>
      </c>
      <c r="E639" s="296" t="s">
        <v>6250</v>
      </c>
      <c r="F639" s="296" t="s">
        <v>6250</v>
      </c>
      <c r="G639" s="296" t="s">
        <v>6250</v>
      </c>
      <c r="H639" s="302"/>
      <c r="I639" s="302"/>
      <c r="J639" s="325"/>
      <c r="K639" s="187"/>
      <c r="L639" s="83"/>
      <c r="M639" s="96"/>
      <c r="N639" s="326"/>
      <c r="O639" s="324"/>
      <c r="P639" s="279"/>
      <c r="Q639" s="279"/>
      <c r="R639" s="324"/>
      <c r="S639" s="324"/>
      <c r="T639" s="324"/>
      <c r="U639" s="279"/>
      <c r="V639" s="279"/>
      <c r="W639" s="279"/>
      <c r="X639" s="279"/>
      <c r="Y639" s="83"/>
      <c r="Z639" s="83"/>
      <c r="AA639" s="328"/>
      <c r="AB639" s="328"/>
    </row>
    <row r="640" ht="15" spans="1:28">
      <c r="A640" s="303"/>
      <c r="B640" s="307"/>
      <c r="C640" s="308"/>
      <c r="D640" s="309"/>
      <c r="E640" s="310"/>
      <c r="F640" s="311"/>
      <c r="G640" s="311"/>
      <c r="H640" s="311"/>
      <c r="I640" s="311"/>
      <c r="J640" s="331"/>
      <c r="K640" s="187"/>
      <c r="L640" s="83"/>
      <c r="M640" s="96"/>
      <c r="N640" s="320"/>
      <c r="O640" s="321"/>
      <c r="P640" s="321"/>
      <c r="Q640" s="321"/>
      <c r="R640" s="321"/>
      <c r="S640" s="321"/>
      <c r="T640" s="321"/>
      <c r="U640" s="321"/>
      <c r="V640" s="321"/>
      <c r="W640" s="321"/>
      <c r="X640" s="321"/>
      <c r="Y640" s="83"/>
      <c r="Z640" s="83"/>
      <c r="AA640" s="98"/>
      <c r="AB640" s="98"/>
    </row>
    <row r="641" ht="48" spans="1:28">
      <c r="A641" s="303" t="str">
        <f>VLOOKUP(D641,'[2]2024 - Curva ABC de Insumos'!$E$6:$R$172,14,FALSE())</f>
        <v>B</v>
      </c>
      <c r="B641" s="300" t="s">
        <v>2175</v>
      </c>
      <c r="C641" s="305" t="s">
        <v>4759</v>
      </c>
      <c r="D641" s="335" t="s">
        <v>4760</v>
      </c>
      <c r="E641" s="289" t="s">
        <v>6508</v>
      </c>
      <c r="F641" s="290" t="s">
        <v>6509</v>
      </c>
      <c r="G641" s="290" t="s">
        <v>6510</v>
      </c>
      <c r="H641" s="290"/>
      <c r="I641" s="290"/>
      <c r="J641" s="322">
        <f>SMALL(E642:I642,1)</f>
        <v>24983.011482</v>
      </c>
      <c r="K641" s="187"/>
      <c r="L641" s="187" t="e">
        <f>VLOOKUP(B644,[3]CPUs!D:L,9,FALSE())</f>
        <v>#N/A</v>
      </c>
      <c r="M641" s="96" t="e">
        <f>IF(J641=L641,"OK","DIF")</f>
        <v>#N/A</v>
      </c>
      <c r="N641" s="326" t="s">
        <v>6244</v>
      </c>
      <c r="O641" s="321"/>
      <c r="P641" s="321"/>
      <c r="Q641" s="321"/>
      <c r="R641" s="321"/>
      <c r="S641" s="321"/>
      <c r="T641" s="321"/>
      <c r="U641" s="321"/>
      <c r="V641" s="321"/>
      <c r="W641" s="321"/>
      <c r="X641" s="321"/>
      <c r="Y641" s="83"/>
      <c r="Z641" s="83"/>
      <c r="AA641" s="98"/>
      <c r="AB641" s="98"/>
    </row>
    <row r="642" ht="15" spans="1:28">
      <c r="A642" s="303"/>
      <c r="B642" s="291"/>
      <c r="C642" s="292"/>
      <c r="D642" s="293" t="s">
        <v>6236</v>
      </c>
      <c r="E642" s="294">
        <f>(24294.6-362.22)*1.0439</f>
        <v>24983.011482</v>
      </c>
      <c r="F642" s="295">
        <f>(25509.33-362.22)*1.0439</f>
        <v>26251.068129</v>
      </c>
      <c r="G642" s="295">
        <f>(26724.06-362.22)*1.0439</f>
        <v>27519.124776</v>
      </c>
      <c r="H642" s="295"/>
      <c r="I642" s="295"/>
      <c r="J642" s="325"/>
      <c r="K642" s="187"/>
      <c r="L642" s="83"/>
      <c r="M642" s="96"/>
      <c r="N642" s="320"/>
      <c r="O642" s="321"/>
      <c r="P642" s="321"/>
      <c r="Q642" s="321"/>
      <c r="R642" s="321"/>
      <c r="S642" s="321"/>
      <c r="T642" s="321"/>
      <c r="U642" s="321"/>
      <c r="V642" s="321"/>
      <c r="W642" s="321"/>
      <c r="X642" s="321"/>
      <c r="Y642" s="83"/>
      <c r="Z642" s="83"/>
      <c r="AA642" s="98"/>
      <c r="AB642" s="98"/>
    </row>
    <row r="643" ht="28.5" spans="1:28">
      <c r="A643" s="303"/>
      <c r="B643" s="291"/>
      <c r="C643" s="292"/>
      <c r="D643" s="293" t="s">
        <v>6237</v>
      </c>
      <c r="E643" s="296" t="s">
        <v>6250</v>
      </c>
      <c r="F643" s="296" t="s">
        <v>6250</v>
      </c>
      <c r="G643" s="296" t="s">
        <v>6250</v>
      </c>
      <c r="H643" s="302"/>
      <c r="I643" s="302"/>
      <c r="J643" s="325"/>
      <c r="K643" s="187"/>
      <c r="L643" s="83"/>
      <c r="M643" s="96"/>
      <c r="N643" s="320"/>
      <c r="O643" s="321"/>
      <c r="P643" s="321"/>
      <c r="Q643" s="321"/>
      <c r="R643" s="321"/>
      <c r="S643" s="321"/>
      <c r="T643" s="321"/>
      <c r="U643" s="321"/>
      <c r="V643" s="321"/>
      <c r="W643" s="321"/>
      <c r="X643" s="321"/>
      <c r="Y643" s="83"/>
      <c r="Z643" s="83"/>
      <c r="AA643" s="98"/>
      <c r="AB643" s="98"/>
    </row>
    <row r="644" ht="15" spans="1:28">
      <c r="A644" s="303"/>
      <c r="B644" s="307"/>
      <c r="C644" s="308"/>
      <c r="D644" s="309"/>
      <c r="E644" s="310"/>
      <c r="F644" s="311"/>
      <c r="G644" s="311"/>
      <c r="H644" s="311"/>
      <c r="I644" s="311"/>
      <c r="J644" s="331"/>
      <c r="K644" s="187"/>
      <c r="L644" s="83"/>
      <c r="M644" s="96"/>
      <c r="N644" s="320"/>
      <c r="O644" s="321"/>
      <c r="P644" s="321"/>
      <c r="Q644" s="321"/>
      <c r="R644" s="321"/>
      <c r="S644" s="321"/>
      <c r="T644" s="321"/>
      <c r="U644" s="321"/>
      <c r="V644" s="321"/>
      <c r="W644" s="321"/>
      <c r="X644" s="321"/>
      <c r="Y644" s="83"/>
      <c r="Z644" s="83"/>
      <c r="AA644" s="98"/>
      <c r="AB644" s="98"/>
    </row>
    <row r="645" ht="24" spans="1:28">
      <c r="A645" s="285" t="str">
        <f>VLOOKUP(D645,'[2]2024 - Curva ABC de Insumos'!$E$6:$R$172,14,FALSE())</f>
        <v>C</v>
      </c>
      <c r="B645" s="300" t="s">
        <v>2210</v>
      </c>
      <c r="C645" s="305" t="s">
        <v>4774</v>
      </c>
      <c r="D645" s="335" t="s">
        <v>4775</v>
      </c>
      <c r="E645" s="289" t="s">
        <v>6508</v>
      </c>
      <c r="F645" s="290" t="s">
        <v>6509</v>
      </c>
      <c r="G645" s="290" t="s">
        <v>6510</v>
      </c>
      <c r="H645" s="290"/>
      <c r="I645" s="290"/>
      <c r="J645" s="322">
        <f>SMALL(E646:I646,1)</f>
        <v>895.154689</v>
      </c>
      <c r="K645" s="187"/>
      <c r="L645" s="187" t="e">
        <f>VLOOKUP(B648,[3]CPUs!D:L,9,FALSE())</f>
        <v>#N/A</v>
      </c>
      <c r="M645" s="96" t="e">
        <f>IF(J645=L645,"OK","DIF")</f>
        <v>#N/A</v>
      </c>
      <c r="N645" s="377" t="s">
        <v>6344</v>
      </c>
      <c r="O645" s="324"/>
      <c r="P645" s="279"/>
      <c r="Q645" s="279"/>
      <c r="R645" s="324"/>
      <c r="S645" s="324"/>
      <c r="T645" s="324"/>
      <c r="U645" s="324"/>
      <c r="V645" s="324"/>
      <c r="W645" s="279"/>
      <c r="X645" s="279"/>
      <c r="Y645" s="83"/>
      <c r="Z645" s="83"/>
      <c r="AA645" s="328"/>
      <c r="AB645" s="328"/>
    </row>
    <row r="646" ht="15" spans="1:28">
      <c r="A646" s="285"/>
      <c r="B646" s="291"/>
      <c r="C646" s="292"/>
      <c r="D646" s="293" t="s">
        <v>6236</v>
      </c>
      <c r="E646" s="294">
        <f>(1054.7-165.55)*1.0439</f>
        <v>928.183685</v>
      </c>
      <c r="F646" s="295">
        <f>(1023.06-165.55)*1.0439</f>
        <v>895.154689</v>
      </c>
      <c r="G646" s="295">
        <f>(1160.17-165.55)*1.0439</f>
        <v>1038.283818</v>
      </c>
      <c r="H646" s="295"/>
      <c r="I646" s="295"/>
      <c r="J646" s="325"/>
      <c r="K646" s="187"/>
      <c r="L646" s="83"/>
      <c r="M646" s="96"/>
      <c r="N646" s="326"/>
      <c r="O646" s="324"/>
      <c r="P646" s="279"/>
      <c r="Q646" s="279"/>
      <c r="R646" s="324"/>
      <c r="S646" s="324"/>
      <c r="T646" s="324"/>
      <c r="U646" s="324"/>
      <c r="V646" s="324"/>
      <c r="W646" s="279"/>
      <c r="X646" s="279"/>
      <c r="Y646" s="83"/>
      <c r="Z646" s="83"/>
      <c r="AA646" s="328"/>
      <c r="AB646" s="328"/>
    </row>
    <row r="647" ht="28.5" spans="1:28">
      <c r="A647" s="285"/>
      <c r="B647" s="291"/>
      <c r="C647" s="292"/>
      <c r="D647" s="293" t="s">
        <v>6237</v>
      </c>
      <c r="E647" s="296" t="s">
        <v>6250</v>
      </c>
      <c r="F647" s="296" t="s">
        <v>6250</v>
      </c>
      <c r="G647" s="296" t="s">
        <v>6250</v>
      </c>
      <c r="H647" s="302"/>
      <c r="I647" s="302"/>
      <c r="J647" s="325"/>
      <c r="K647" s="187"/>
      <c r="L647" s="83"/>
      <c r="M647" s="96"/>
      <c r="N647" s="326"/>
      <c r="O647" s="324"/>
      <c r="P647" s="279"/>
      <c r="Q647" s="279"/>
      <c r="R647" s="324"/>
      <c r="S647" s="324"/>
      <c r="T647" s="324"/>
      <c r="U647" s="279"/>
      <c r="V647" s="279"/>
      <c r="W647" s="279"/>
      <c r="X647" s="279"/>
      <c r="Y647" s="83"/>
      <c r="Z647" s="83"/>
      <c r="AA647" s="328"/>
      <c r="AB647" s="328"/>
    </row>
    <row r="648" ht="15" spans="1:28">
      <c r="A648" s="285"/>
      <c r="B648" s="307"/>
      <c r="C648" s="308"/>
      <c r="D648" s="309"/>
      <c r="E648" s="310"/>
      <c r="F648" s="311"/>
      <c r="G648" s="311"/>
      <c r="H648" s="311"/>
      <c r="I648" s="311"/>
      <c r="J648" s="331"/>
      <c r="K648" s="187"/>
      <c r="L648" s="83"/>
      <c r="M648" s="96"/>
      <c r="N648" s="320"/>
      <c r="O648" s="321"/>
      <c r="P648" s="321"/>
      <c r="Q648" s="321"/>
      <c r="R648" s="321"/>
      <c r="S648" s="321"/>
      <c r="T648" s="321"/>
      <c r="U648" s="321"/>
      <c r="V648" s="321"/>
      <c r="W648" s="321"/>
      <c r="X648" s="321"/>
      <c r="Y648" s="83"/>
      <c r="Z648" s="83"/>
      <c r="AA648" s="98"/>
      <c r="AB648" s="98"/>
    </row>
    <row r="649" ht="24" spans="1:28">
      <c r="A649" s="285" t="str">
        <f>VLOOKUP(D649,'[2]2024 - Curva ABC de Insumos'!$E$6:$R$172,14,FALSE())</f>
        <v>C</v>
      </c>
      <c r="B649" s="300" t="s">
        <v>2213</v>
      </c>
      <c r="C649" s="305" t="s">
        <v>4776</v>
      </c>
      <c r="D649" s="335" t="s">
        <v>4777</v>
      </c>
      <c r="E649" s="289" t="s">
        <v>6508</v>
      </c>
      <c r="F649" s="290" t="s">
        <v>6509</v>
      </c>
      <c r="G649" s="290" t="s">
        <v>6510</v>
      </c>
      <c r="H649" s="290"/>
      <c r="I649" s="290"/>
      <c r="J649" s="322">
        <f>SMALL(E650:I650,1)</f>
        <v>30.2731</v>
      </c>
      <c r="K649" s="187"/>
      <c r="L649" s="187" t="e">
        <f>VLOOKUP(B652,[3]CPUs!D:L,9,FALSE())</f>
        <v>#N/A</v>
      </c>
      <c r="M649" s="96" t="e">
        <f>IF(J649=L649,"OK","DIF")</f>
        <v>#N/A</v>
      </c>
      <c r="N649" s="377" t="s">
        <v>6344</v>
      </c>
      <c r="O649" s="324"/>
      <c r="P649" s="279"/>
      <c r="Q649" s="279"/>
      <c r="R649" s="324"/>
      <c r="S649" s="324"/>
      <c r="T649" s="324"/>
      <c r="U649" s="324"/>
      <c r="V649" s="324"/>
      <c r="W649" s="279"/>
      <c r="X649" s="279"/>
      <c r="Y649" s="83"/>
      <c r="Z649" s="83"/>
      <c r="AA649" s="328"/>
      <c r="AB649" s="328"/>
    </row>
    <row r="650" ht="15" spans="1:28">
      <c r="A650" s="285"/>
      <c r="B650" s="291"/>
      <c r="C650" s="292"/>
      <c r="D650" s="293" t="s">
        <v>6236</v>
      </c>
      <c r="E650" s="294">
        <f>(41-10.77)*1.0439</f>
        <v>31.557097</v>
      </c>
      <c r="F650" s="295">
        <f>(39.77-10.77)*1.0439</f>
        <v>30.2731</v>
      </c>
      <c r="G650" s="295">
        <f>(45.1-10.77)*1.0439</f>
        <v>35.837087</v>
      </c>
      <c r="H650" s="295"/>
      <c r="I650" s="295"/>
      <c r="J650" s="325"/>
      <c r="K650" s="187"/>
      <c r="L650" s="83"/>
      <c r="M650" s="96"/>
      <c r="N650" s="326"/>
      <c r="O650" s="324"/>
      <c r="P650" s="279"/>
      <c r="Q650" s="279"/>
      <c r="R650" s="324"/>
      <c r="S650" s="324"/>
      <c r="T650" s="324"/>
      <c r="U650" s="324"/>
      <c r="V650" s="324"/>
      <c r="W650" s="279"/>
      <c r="X650" s="279"/>
      <c r="Y650" s="83"/>
      <c r="Z650" s="83"/>
      <c r="AA650" s="328"/>
      <c r="AB650" s="328"/>
    </row>
    <row r="651" ht="28.5" spans="1:28">
      <c r="A651" s="285"/>
      <c r="B651" s="291"/>
      <c r="C651" s="292"/>
      <c r="D651" s="293" t="s">
        <v>6237</v>
      </c>
      <c r="E651" s="296" t="s">
        <v>6250</v>
      </c>
      <c r="F651" s="296" t="s">
        <v>6250</v>
      </c>
      <c r="G651" s="296" t="s">
        <v>6250</v>
      </c>
      <c r="H651" s="302"/>
      <c r="I651" s="302"/>
      <c r="J651" s="325"/>
      <c r="K651" s="187"/>
      <c r="L651" s="83"/>
      <c r="M651" s="96"/>
      <c r="N651" s="326"/>
      <c r="O651" s="324"/>
      <c r="P651" s="279"/>
      <c r="Q651" s="279"/>
      <c r="R651" s="324"/>
      <c r="S651" s="324"/>
      <c r="T651" s="324"/>
      <c r="U651" s="279"/>
      <c r="V651" s="279"/>
      <c r="W651" s="279"/>
      <c r="X651" s="279"/>
      <c r="Y651" s="83"/>
      <c r="Z651" s="83"/>
      <c r="AA651" s="328"/>
      <c r="AB651" s="328"/>
    </row>
    <row r="652" ht="15" spans="1:28">
      <c r="A652" s="285"/>
      <c r="B652" s="307"/>
      <c r="C652" s="308"/>
      <c r="D652" s="309"/>
      <c r="E652" s="310"/>
      <c r="F652" s="311"/>
      <c r="G652" s="311"/>
      <c r="H652" s="311"/>
      <c r="I652" s="311"/>
      <c r="J652" s="331"/>
      <c r="K652" s="187"/>
      <c r="L652" s="83"/>
      <c r="M652" s="96"/>
      <c r="N652" s="320"/>
      <c r="O652" s="321"/>
      <c r="P652" s="321"/>
      <c r="Q652" s="321"/>
      <c r="R652" s="321"/>
      <c r="S652" s="321"/>
      <c r="T652" s="321"/>
      <c r="U652" s="321"/>
      <c r="V652" s="321"/>
      <c r="W652" s="321"/>
      <c r="X652" s="321"/>
      <c r="Y652" s="83"/>
      <c r="Z652" s="83"/>
      <c r="AA652" s="98"/>
      <c r="AB652" s="98"/>
    </row>
    <row r="653" ht="36" spans="1:28">
      <c r="A653" s="345" t="str">
        <f>VLOOKUP(D653,'[2]2024 - Curva ABC de Insumos'!$E$6:$R$172,14,FALSE())</f>
        <v>B</v>
      </c>
      <c r="B653" s="300" t="s">
        <v>2216</v>
      </c>
      <c r="C653" s="305" t="s">
        <v>4778</v>
      </c>
      <c r="D653" s="335" t="s">
        <v>4779</v>
      </c>
      <c r="E653" s="289" t="s">
        <v>6508</v>
      </c>
      <c r="F653" s="290" t="s">
        <v>6509</v>
      </c>
      <c r="G653" s="290" t="s">
        <v>6510</v>
      </c>
      <c r="H653" s="290"/>
      <c r="I653" s="290"/>
      <c r="J653" s="322">
        <f>SMALL(E654:I654,1)</f>
        <v>13820.129466</v>
      </c>
      <c r="K653" s="187"/>
      <c r="L653" s="187" t="e">
        <f>VLOOKUP(B656,[3]CPUs!D:L,9,FALSE())</f>
        <v>#N/A</v>
      </c>
      <c r="M653" s="96" t="e">
        <f>IF(J653=L653,"OK","DIF")</f>
        <v>#N/A</v>
      </c>
      <c r="N653" s="326" t="s">
        <v>6244</v>
      </c>
      <c r="O653" s="324"/>
      <c r="P653" s="279"/>
      <c r="Q653" s="279"/>
      <c r="R653" s="324"/>
      <c r="S653" s="324"/>
      <c r="T653" s="324"/>
      <c r="U653" s="324"/>
      <c r="V653" s="324"/>
      <c r="W653" s="279"/>
      <c r="X653" s="279"/>
      <c r="Y653" s="83"/>
      <c r="Z653" s="83"/>
      <c r="AA653" s="328"/>
      <c r="AB653" s="328"/>
    </row>
    <row r="654" ht="15" spans="1:28">
      <c r="A654" s="345"/>
      <c r="B654" s="291"/>
      <c r="C654" s="292"/>
      <c r="D654" s="293" t="s">
        <v>6236</v>
      </c>
      <c r="E654" s="294">
        <f>(13783.2-130.77)*1.0439</f>
        <v>14251.771677</v>
      </c>
      <c r="F654" s="295">
        <f>(13369.71-130.77)*1.0439</f>
        <v>13820.129466</v>
      </c>
      <c r="G654" s="295">
        <f>(15161.52-130.77)*1.0439</f>
        <v>15690.599925</v>
      </c>
      <c r="H654" s="295"/>
      <c r="I654" s="295"/>
      <c r="J654" s="325"/>
      <c r="K654" s="187"/>
      <c r="L654" s="83"/>
      <c r="M654" s="96"/>
      <c r="N654" s="326"/>
      <c r="O654" s="324"/>
      <c r="P654" s="279"/>
      <c r="Q654" s="279"/>
      <c r="R654" s="324"/>
      <c r="S654" s="324"/>
      <c r="T654" s="324"/>
      <c r="U654" s="324"/>
      <c r="V654" s="324"/>
      <c r="W654" s="279"/>
      <c r="X654" s="279"/>
      <c r="Y654" s="83"/>
      <c r="Z654" s="83"/>
      <c r="AA654" s="328"/>
      <c r="AB654" s="328"/>
    </row>
    <row r="655" ht="28.5" spans="1:28">
      <c r="A655" s="345"/>
      <c r="B655" s="291"/>
      <c r="C655" s="292"/>
      <c r="D655" s="293" t="s">
        <v>6237</v>
      </c>
      <c r="E655" s="296" t="s">
        <v>6250</v>
      </c>
      <c r="F655" s="296" t="s">
        <v>6250</v>
      </c>
      <c r="G655" s="296" t="s">
        <v>6250</v>
      </c>
      <c r="H655" s="302"/>
      <c r="I655" s="302"/>
      <c r="J655" s="325"/>
      <c r="K655" s="187"/>
      <c r="L655" s="83"/>
      <c r="M655" s="96"/>
      <c r="N655" s="326"/>
      <c r="O655" s="324"/>
      <c r="P655" s="279"/>
      <c r="Q655" s="279"/>
      <c r="R655" s="324"/>
      <c r="S655" s="324"/>
      <c r="T655" s="324"/>
      <c r="U655" s="279"/>
      <c r="V655" s="279"/>
      <c r="W655" s="279"/>
      <c r="X655" s="279"/>
      <c r="Y655" s="83"/>
      <c r="Z655" s="83"/>
      <c r="AA655" s="328"/>
      <c r="AB655" s="328"/>
    </row>
    <row r="656" ht="15" spans="1:28">
      <c r="A656" s="345"/>
      <c r="B656" s="307"/>
      <c r="C656" s="308"/>
      <c r="D656" s="309"/>
      <c r="E656" s="310"/>
      <c r="F656" s="311"/>
      <c r="G656" s="311"/>
      <c r="H656" s="311"/>
      <c r="I656" s="311"/>
      <c r="J656" s="331"/>
      <c r="K656" s="187"/>
      <c r="L656" s="83"/>
      <c r="M656" s="96"/>
      <c r="N656" s="320"/>
      <c r="O656" s="321"/>
      <c r="P656" s="321"/>
      <c r="Q656" s="321"/>
      <c r="R656" s="321"/>
      <c r="S656" s="321"/>
      <c r="T656" s="321"/>
      <c r="U656" s="321"/>
      <c r="V656" s="321"/>
      <c r="W656" s="321"/>
      <c r="X656" s="321"/>
      <c r="Y656" s="83"/>
      <c r="Z656" s="83"/>
      <c r="AA656" s="98"/>
      <c r="AB656" s="98"/>
    </row>
    <row r="657" ht="36" spans="1:28">
      <c r="A657" s="345" t="str">
        <f>VLOOKUP(D657,'[2]2024 - Curva ABC de Insumos'!$E$6:$R$172,14,FALSE())</f>
        <v>B</v>
      </c>
      <c r="B657" s="300" t="s">
        <v>2220</v>
      </c>
      <c r="C657" s="305" t="s">
        <v>4780</v>
      </c>
      <c r="D657" s="335" t="s">
        <v>4781</v>
      </c>
      <c r="E657" s="289" t="s">
        <v>6508</v>
      </c>
      <c r="F657" s="290" t="s">
        <v>6509</v>
      </c>
      <c r="G657" s="290" t="s">
        <v>6510</v>
      </c>
      <c r="H657" s="290"/>
      <c r="I657" s="290"/>
      <c r="J657" s="322">
        <f>SMALL(E658:I658,1)</f>
        <v>15370.863794</v>
      </c>
      <c r="K657" s="187"/>
      <c r="L657" s="187" t="e">
        <f>VLOOKUP(B660,[3]CPUs!D:L,9,FALSE())</f>
        <v>#N/A</v>
      </c>
      <c r="M657" s="96" t="e">
        <f>IF(J657=L657,"OK","DIF")</f>
        <v>#N/A</v>
      </c>
      <c r="N657" s="326" t="s">
        <v>6244</v>
      </c>
      <c r="O657" s="324"/>
      <c r="P657" s="279"/>
      <c r="Q657" s="279"/>
      <c r="R657" s="324"/>
      <c r="S657" s="324"/>
      <c r="T657" s="324"/>
      <c r="U657" s="324"/>
      <c r="V657" s="324"/>
      <c r="W657" s="279"/>
      <c r="X657" s="279"/>
      <c r="Y657" s="83"/>
      <c r="Z657" s="83"/>
      <c r="AA657" s="328"/>
      <c r="AB657" s="328"/>
    </row>
    <row r="658" ht="15" spans="1:28">
      <c r="A658" s="345"/>
      <c r="B658" s="291"/>
      <c r="C658" s="292"/>
      <c r="D658" s="293" t="s">
        <v>6236</v>
      </c>
      <c r="E658" s="294">
        <f>(15314.67-130.77)*1.0439</f>
        <v>15850.47321</v>
      </c>
      <c r="F658" s="295">
        <f>(14855.23-130.77)*1.0439</f>
        <v>15370.863794</v>
      </c>
      <c r="G658" s="295">
        <f>16846.14-130.77</f>
        <v>16715.37</v>
      </c>
      <c r="H658" s="295"/>
      <c r="I658" s="295"/>
      <c r="J658" s="325"/>
      <c r="K658" s="187"/>
      <c r="L658" s="83"/>
      <c r="M658" s="96"/>
      <c r="N658" s="326"/>
      <c r="O658" s="324"/>
      <c r="P658" s="279"/>
      <c r="Q658" s="279"/>
      <c r="R658" s="324"/>
      <c r="S658" s="324"/>
      <c r="T658" s="324"/>
      <c r="U658" s="324"/>
      <c r="V658" s="324"/>
      <c r="W658" s="279"/>
      <c r="X658" s="279"/>
      <c r="Y658" s="83"/>
      <c r="Z658" s="83"/>
      <c r="AA658" s="328"/>
      <c r="AB658" s="328"/>
    </row>
    <row r="659" ht="28.5" spans="1:28">
      <c r="A659" s="345"/>
      <c r="B659" s="291"/>
      <c r="C659" s="292"/>
      <c r="D659" s="293" t="s">
        <v>6237</v>
      </c>
      <c r="E659" s="296" t="s">
        <v>6250</v>
      </c>
      <c r="F659" s="296" t="s">
        <v>6250</v>
      </c>
      <c r="G659" s="296" t="s">
        <v>6250</v>
      </c>
      <c r="H659" s="302"/>
      <c r="I659" s="302"/>
      <c r="J659" s="325"/>
      <c r="K659" s="187"/>
      <c r="L659" s="83"/>
      <c r="M659" s="96"/>
      <c r="N659" s="326"/>
      <c r="O659" s="324"/>
      <c r="P659" s="279"/>
      <c r="Q659" s="279"/>
      <c r="R659" s="324"/>
      <c r="S659" s="324"/>
      <c r="T659" s="324"/>
      <c r="U659" s="279"/>
      <c r="V659" s="279"/>
      <c r="W659" s="279"/>
      <c r="X659" s="279"/>
      <c r="Y659" s="83"/>
      <c r="Z659" s="83"/>
      <c r="AA659" s="328"/>
      <c r="AB659" s="328"/>
    </row>
    <row r="660" ht="15" spans="1:28">
      <c r="A660" s="345"/>
      <c r="B660" s="307"/>
      <c r="C660" s="308"/>
      <c r="D660" s="309"/>
      <c r="E660" s="310"/>
      <c r="F660" s="311"/>
      <c r="G660" s="311"/>
      <c r="H660" s="311"/>
      <c r="I660" s="311"/>
      <c r="J660" s="331"/>
      <c r="K660" s="187"/>
      <c r="L660" s="83"/>
      <c r="M660" s="96"/>
      <c r="N660" s="320"/>
      <c r="O660" s="321"/>
      <c r="P660" s="321"/>
      <c r="Q660" s="321"/>
      <c r="R660" s="321"/>
      <c r="S660" s="321"/>
      <c r="T660" s="321"/>
      <c r="U660" s="321"/>
      <c r="V660" s="321"/>
      <c r="W660" s="321"/>
      <c r="X660" s="321"/>
      <c r="Y660" s="83"/>
      <c r="Z660" s="83"/>
      <c r="AA660" s="98"/>
      <c r="AB660" s="98"/>
    </row>
    <row r="661" ht="36" spans="1:28">
      <c r="A661" s="345" t="str">
        <f>VLOOKUP(D661,'[2]2024 - Curva ABC de Insumos'!$E$6:$R$172,14,FALSE())</f>
        <v>B</v>
      </c>
      <c r="B661" s="300" t="s">
        <v>2224</v>
      </c>
      <c r="C661" s="305" t="s">
        <v>4782</v>
      </c>
      <c r="D661" s="335" t="s">
        <v>4783</v>
      </c>
      <c r="E661" s="289" t="s">
        <v>6508</v>
      </c>
      <c r="F661" s="290" t="s">
        <v>6509</v>
      </c>
      <c r="G661" s="290" t="s">
        <v>6510</v>
      </c>
      <c r="H661" s="290"/>
      <c r="I661" s="290"/>
      <c r="J661" s="322">
        <f>SMALL(E662:I662,1)</f>
        <v>25367.960046</v>
      </c>
      <c r="K661" s="187"/>
      <c r="L661" s="187" t="e">
        <f>VLOOKUP(B664,[3]CPUs!D:L,9,FALSE())</f>
        <v>#N/A</v>
      </c>
      <c r="M661" s="96" t="e">
        <f>IF(J661=L661,"OK","DIF")</f>
        <v>#N/A</v>
      </c>
      <c r="N661" s="326" t="s">
        <v>6244</v>
      </c>
      <c r="O661" s="324"/>
      <c r="P661" s="279"/>
      <c r="Q661" s="279"/>
      <c r="R661" s="324"/>
      <c r="S661" s="324"/>
      <c r="T661" s="324"/>
      <c r="U661" s="324"/>
      <c r="V661" s="324"/>
      <c r="W661" s="279"/>
      <c r="X661" s="279"/>
      <c r="Y661" s="83"/>
      <c r="Z661" s="83"/>
      <c r="AA661" s="328"/>
      <c r="AB661" s="328"/>
    </row>
    <row r="662" ht="15" spans="1:28">
      <c r="A662" s="345"/>
      <c r="B662" s="291"/>
      <c r="C662" s="292"/>
      <c r="D662" s="293" t="s">
        <v>6236</v>
      </c>
      <c r="E662" s="294">
        <f>(25187.54-130.77)*1.0439</f>
        <v>26156.762203</v>
      </c>
      <c r="F662" s="295">
        <f>(24431.91-130.77)*1.0439</f>
        <v>25367.960046</v>
      </c>
      <c r="G662" s="295">
        <f>(27706.29-130.77)*1.0439</f>
        <v>28786.085328</v>
      </c>
      <c r="H662" s="295"/>
      <c r="I662" s="295"/>
      <c r="J662" s="325"/>
      <c r="K662" s="187"/>
      <c r="L662" s="83"/>
      <c r="M662" s="96"/>
      <c r="N662" s="326"/>
      <c r="O662" s="324"/>
      <c r="P662" s="279"/>
      <c r="Q662" s="279"/>
      <c r="R662" s="324"/>
      <c r="S662" s="324"/>
      <c r="T662" s="324"/>
      <c r="U662" s="324"/>
      <c r="V662" s="324"/>
      <c r="W662" s="279"/>
      <c r="X662" s="279"/>
      <c r="Y662" s="83"/>
      <c r="Z662" s="83"/>
      <c r="AA662" s="328"/>
      <c r="AB662" s="328"/>
    </row>
    <row r="663" ht="28.5" spans="1:28">
      <c r="A663" s="345"/>
      <c r="B663" s="291"/>
      <c r="C663" s="292"/>
      <c r="D663" s="293" t="s">
        <v>6237</v>
      </c>
      <c r="E663" s="296" t="s">
        <v>6250</v>
      </c>
      <c r="F663" s="296" t="s">
        <v>6250</v>
      </c>
      <c r="G663" s="296" t="s">
        <v>6250</v>
      </c>
      <c r="H663" s="302"/>
      <c r="I663" s="302"/>
      <c r="J663" s="325"/>
      <c r="K663" s="187"/>
      <c r="L663" s="83"/>
      <c r="M663" s="96"/>
      <c r="N663" s="326"/>
      <c r="O663" s="324"/>
      <c r="P663" s="279"/>
      <c r="Q663" s="279"/>
      <c r="R663" s="324"/>
      <c r="S663" s="324"/>
      <c r="T663" s="324"/>
      <c r="U663" s="279"/>
      <c r="V663" s="279"/>
      <c r="W663" s="279"/>
      <c r="X663" s="279"/>
      <c r="Y663" s="83"/>
      <c r="Z663" s="83"/>
      <c r="AA663" s="328"/>
      <c r="AB663" s="328"/>
    </row>
    <row r="664" ht="15" spans="1:28">
      <c r="A664" s="345"/>
      <c r="B664" s="307"/>
      <c r="C664" s="308"/>
      <c r="D664" s="309"/>
      <c r="E664" s="310"/>
      <c r="F664" s="311"/>
      <c r="G664" s="311"/>
      <c r="H664" s="311"/>
      <c r="I664" s="311"/>
      <c r="J664" s="331"/>
      <c r="K664" s="187"/>
      <c r="L664" s="83"/>
      <c r="M664" s="96"/>
      <c r="N664" s="320"/>
      <c r="O664" s="321"/>
      <c r="P664" s="321"/>
      <c r="Q664" s="321"/>
      <c r="R664" s="321"/>
      <c r="S664" s="321"/>
      <c r="T664" s="321"/>
      <c r="U664" s="321"/>
      <c r="V664" s="321"/>
      <c r="W664" s="321"/>
      <c r="X664" s="321"/>
      <c r="Y664" s="83"/>
      <c r="Z664" s="83"/>
      <c r="AA664" s="98"/>
      <c r="AB664" s="98"/>
    </row>
    <row r="665" ht="36" spans="1:28">
      <c r="A665" s="345" t="str">
        <f>VLOOKUP(D665,'[2]2024 - Curva ABC de Insumos'!$E$6:$R$172,14,FALSE())</f>
        <v>B</v>
      </c>
      <c r="B665" s="300" t="s">
        <v>2228</v>
      </c>
      <c r="C665" s="305" t="s">
        <v>4784</v>
      </c>
      <c r="D665" s="335" t="s">
        <v>4785</v>
      </c>
      <c r="E665" s="289" t="s">
        <v>6508</v>
      </c>
      <c r="F665" s="290" t="s">
        <v>6509</v>
      </c>
      <c r="G665" s="290" t="s">
        <v>6510</v>
      </c>
      <c r="H665" s="290"/>
      <c r="I665" s="290"/>
      <c r="J665" s="322">
        <f>SMALL(E666:I666,1)</f>
        <v>29193.634327</v>
      </c>
      <c r="K665" s="187"/>
      <c r="L665" s="187" t="e">
        <f>VLOOKUP(B668,[3]CPUs!D:L,9,FALSE())</f>
        <v>#N/A</v>
      </c>
      <c r="M665" s="96" t="e">
        <f>IF(J665=L665,"OK","DIF")</f>
        <v>#N/A</v>
      </c>
      <c r="N665" s="326" t="s">
        <v>6244</v>
      </c>
      <c r="O665" s="324"/>
      <c r="P665" s="279"/>
      <c r="Q665" s="279"/>
      <c r="R665" s="324"/>
      <c r="S665" s="324"/>
      <c r="T665" s="324"/>
      <c r="U665" s="324"/>
      <c r="V665" s="324"/>
      <c r="W665" s="279"/>
      <c r="X665" s="279"/>
      <c r="Y665" s="83"/>
      <c r="Z665" s="83"/>
      <c r="AA665" s="328"/>
      <c r="AB665" s="328"/>
    </row>
    <row r="666" ht="15" spans="1:28">
      <c r="A666" s="345"/>
      <c r="B666" s="291"/>
      <c r="C666" s="292"/>
      <c r="D666" s="293" t="s">
        <v>6236</v>
      </c>
      <c r="E666" s="294">
        <f>(28965.67-130.77)*1.0439</f>
        <v>30100.75211</v>
      </c>
      <c r="F666" s="295">
        <f>(28096.7-130.77)*1.0439</f>
        <v>29193.634327</v>
      </c>
      <c r="G666" s="295">
        <f>(31862.24-130.77)*1.0439</f>
        <v>33124.481533</v>
      </c>
      <c r="H666" s="295"/>
      <c r="I666" s="295"/>
      <c r="J666" s="325"/>
      <c r="K666" s="187"/>
      <c r="L666" s="83"/>
      <c r="M666" s="96"/>
      <c r="N666" s="326"/>
      <c r="O666" s="324"/>
      <c r="P666" s="279"/>
      <c r="Q666" s="279"/>
      <c r="R666" s="324"/>
      <c r="S666" s="324"/>
      <c r="T666" s="324"/>
      <c r="U666" s="324"/>
      <c r="V666" s="324"/>
      <c r="W666" s="279"/>
      <c r="X666" s="279"/>
      <c r="Y666" s="83"/>
      <c r="Z666" s="83"/>
      <c r="AA666" s="328"/>
      <c r="AB666" s="328"/>
    </row>
    <row r="667" ht="28.5" spans="1:28">
      <c r="A667" s="345"/>
      <c r="B667" s="291"/>
      <c r="C667" s="292"/>
      <c r="D667" s="293" t="s">
        <v>6237</v>
      </c>
      <c r="E667" s="296" t="s">
        <v>6250</v>
      </c>
      <c r="F667" s="296" t="s">
        <v>6250</v>
      </c>
      <c r="G667" s="296" t="s">
        <v>6250</v>
      </c>
      <c r="H667" s="302"/>
      <c r="I667" s="302"/>
      <c r="J667" s="325"/>
      <c r="K667" s="187"/>
      <c r="L667" s="83"/>
      <c r="M667" s="96"/>
      <c r="N667" s="326"/>
      <c r="O667" s="324"/>
      <c r="P667" s="279"/>
      <c r="Q667" s="279"/>
      <c r="R667" s="324"/>
      <c r="S667" s="324"/>
      <c r="T667" s="324"/>
      <c r="U667" s="279"/>
      <c r="V667" s="279"/>
      <c r="W667" s="279"/>
      <c r="X667" s="279"/>
      <c r="Y667" s="83"/>
      <c r="Z667" s="83"/>
      <c r="AA667" s="328"/>
      <c r="AB667" s="328"/>
    </row>
    <row r="668" ht="15" spans="1:28">
      <c r="A668" s="345"/>
      <c r="B668" s="307"/>
      <c r="C668" s="308"/>
      <c r="D668" s="309"/>
      <c r="E668" s="310"/>
      <c r="F668" s="311"/>
      <c r="G668" s="311"/>
      <c r="H668" s="311"/>
      <c r="I668" s="311"/>
      <c r="J668" s="331"/>
      <c r="K668" s="187"/>
      <c r="L668" s="83"/>
      <c r="M668" s="96"/>
      <c r="N668" s="320"/>
      <c r="O668" s="321"/>
      <c r="P668" s="321"/>
      <c r="Q668" s="321"/>
      <c r="R668" s="321"/>
      <c r="S668" s="321"/>
      <c r="T668" s="321"/>
      <c r="U668" s="321"/>
      <c r="V668" s="321"/>
      <c r="W668" s="321"/>
      <c r="X668" s="321"/>
      <c r="Y668" s="83"/>
      <c r="Z668" s="83"/>
      <c r="AA668" s="98"/>
      <c r="AB668" s="98"/>
    </row>
    <row r="669" ht="24" spans="1:28">
      <c r="A669" s="285" t="str">
        <f>VLOOKUP(D669,'[2]2024 - Curva ABC de Insumos'!$E$6:$R$172,14,FALSE())</f>
        <v>C</v>
      </c>
      <c r="B669" s="300" t="s">
        <v>2265</v>
      </c>
      <c r="C669" s="305" t="s">
        <v>4798</v>
      </c>
      <c r="D669" s="335" t="s">
        <v>4799</v>
      </c>
      <c r="E669" s="289" t="s">
        <v>6508</v>
      </c>
      <c r="F669" s="290" t="s">
        <v>6509</v>
      </c>
      <c r="G669" s="290" t="s">
        <v>6510</v>
      </c>
      <c r="H669" s="290"/>
      <c r="I669" s="290"/>
      <c r="J669" s="322">
        <f>SMALL(E670:I670,1)</f>
        <v>788.916986</v>
      </c>
      <c r="K669" s="187"/>
      <c r="L669" s="187" t="e">
        <f>VLOOKUP(B672,[3]CPUs!D:L,9,FALSE())</f>
        <v>#N/A</v>
      </c>
      <c r="M669" s="96" t="e">
        <f>IF(J669=L669,"OK","DIF")</f>
        <v>#N/A</v>
      </c>
      <c r="N669" s="377" t="s">
        <v>6344</v>
      </c>
      <c r="O669" s="324"/>
      <c r="P669" s="279"/>
      <c r="Q669" s="279"/>
      <c r="R669" s="324"/>
      <c r="S669" s="324"/>
      <c r="T669" s="324"/>
      <c r="U669" s="324"/>
      <c r="V669" s="324"/>
      <c r="W669" s="279"/>
      <c r="X669" s="279"/>
      <c r="Y669" s="83"/>
      <c r="Z669" s="83"/>
      <c r="AA669" s="328"/>
      <c r="AB669" s="328"/>
    </row>
    <row r="670" ht="15" spans="1:28">
      <c r="A670" s="285"/>
      <c r="B670" s="291"/>
      <c r="C670" s="292"/>
      <c r="D670" s="293" t="s">
        <v>6236</v>
      </c>
      <c r="E670" s="294">
        <f>(925.65-142.14)*1.0439</f>
        <v>817.906089</v>
      </c>
      <c r="F670" s="295">
        <f>(897.88-142.14)*1.0439</f>
        <v>788.916986</v>
      </c>
      <c r="G670" s="295">
        <f>(1018.22-142.14)*1.0439</f>
        <v>914.539912</v>
      </c>
      <c r="H670" s="295"/>
      <c r="I670" s="295"/>
      <c r="J670" s="325"/>
      <c r="K670" s="187"/>
      <c r="L670" s="83"/>
      <c r="M670" s="96"/>
      <c r="N670" s="326"/>
      <c r="O670" s="324"/>
      <c r="P670" s="279"/>
      <c r="Q670" s="279"/>
      <c r="R670" s="324"/>
      <c r="S670" s="324"/>
      <c r="T670" s="324"/>
      <c r="U670" s="324"/>
      <c r="V670" s="324"/>
      <c r="W670" s="279"/>
      <c r="X670" s="279"/>
      <c r="Y670" s="83"/>
      <c r="Z670" s="83"/>
      <c r="AA670" s="328"/>
      <c r="AB670" s="328"/>
    </row>
    <row r="671" ht="28.5" spans="1:28">
      <c r="A671" s="285"/>
      <c r="B671" s="291"/>
      <c r="C671" s="292"/>
      <c r="D671" s="293" t="s">
        <v>6237</v>
      </c>
      <c r="E671" s="296" t="s">
        <v>6250</v>
      </c>
      <c r="F671" s="296" t="s">
        <v>6250</v>
      </c>
      <c r="G671" s="296" t="s">
        <v>6250</v>
      </c>
      <c r="H671" s="302"/>
      <c r="I671" s="302"/>
      <c r="J671" s="325"/>
      <c r="K671" s="187"/>
      <c r="L671" s="83"/>
      <c r="M671" s="96"/>
      <c r="N671" s="326"/>
      <c r="O671" s="324"/>
      <c r="P671" s="279"/>
      <c r="Q671" s="279"/>
      <c r="R671" s="324"/>
      <c r="S671" s="324"/>
      <c r="T671" s="324"/>
      <c r="U671" s="279"/>
      <c r="V671" s="279"/>
      <c r="W671" s="279"/>
      <c r="X671" s="279"/>
      <c r="Y671" s="83"/>
      <c r="Z671" s="83"/>
      <c r="AA671" s="328"/>
      <c r="AB671" s="328"/>
    </row>
    <row r="672" ht="15" spans="1:28">
      <c r="A672" s="285"/>
      <c r="B672" s="307"/>
      <c r="C672" s="308"/>
      <c r="D672" s="309"/>
      <c r="E672" s="310"/>
      <c r="F672" s="311"/>
      <c r="G672" s="311"/>
      <c r="H672" s="311"/>
      <c r="I672" s="311"/>
      <c r="J672" s="331"/>
      <c r="K672" s="187"/>
      <c r="L672" s="83"/>
      <c r="M672" s="96"/>
      <c r="N672" s="320"/>
      <c r="O672" s="321"/>
      <c r="P672" s="321"/>
      <c r="Q672" s="321"/>
      <c r="R672" s="321"/>
      <c r="S672" s="321"/>
      <c r="T672" s="321"/>
      <c r="U672" s="321"/>
      <c r="V672" s="321"/>
      <c r="W672" s="321"/>
      <c r="X672" s="321"/>
      <c r="Y672" s="83"/>
      <c r="Z672" s="83"/>
      <c r="AA672" s="98"/>
      <c r="AB672" s="98"/>
    </row>
    <row r="673" ht="24" spans="1:28">
      <c r="A673" s="285" t="str">
        <f>VLOOKUP(D673,'[2]2024 - Curva ABC de Insumos'!$E$6:$R$172,14,FALSE())</f>
        <v>C</v>
      </c>
      <c r="B673" s="300" t="s">
        <v>2268</v>
      </c>
      <c r="C673" s="305" t="s">
        <v>4800</v>
      </c>
      <c r="D673" s="335" t="s">
        <v>4801</v>
      </c>
      <c r="E673" s="289" t="s">
        <v>6508</v>
      </c>
      <c r="F673" s="290" t="s">
        <v>6509</v>
      </c>
      <c r="G673" s="290" t="s">
        <v>6510</v>
      </c>
      <c r="H673" s="290"/>
      <c r="I673" s="290"/>
      <c r="J673" s="322">
        <f>SMALL(E674:I674,1)</f>
        <v>831.727325</v>
      </c>
      <c r="K673" s="187"/>
      <c r="L673" s="187" t="e">
        <f>VLOOKUP(B676,[3]CPUs!D:L,9,FALSE())</f>
        <v>#N/A</v>
      </c>
      <c r="M673" s="96" t="e">
        <f>IF(J673=L673,"OK","DIF")</f>
        <v>#N/A</v>
      </c>
      <c r="N673" s="377" t="s">
        <v>6344</v>
      </c>
      <c r="O673" s="324"/>
      <c r="P673" s="279"/>
      <c r="Q673" s="279"/>
      <c r="R673" s="324"/>
      <c r="S673" s="324"/>
      <c r="T673" s="324"/>
      <c r="U673" s="324"/>
      <c r="V673" s="324"/>
      <c r="W673" s="279"/>
      <c r="X673" s="279"/>
      <c r="Y673" s="83"/>
      <c r="Z673" s="83"/>
      <c r="AA673" s="328"/>
      <c r="AB673" s="328"/>
    </row>
    <row r="674" ht="15" spans="1:28">
      <c r="A674" s="285"/>
      <c r="B674" s="291"/>
      <c r="C674" s="292"/>
      <c r="D674" s="293" t="s">
        <v>6236</v>
      </c>
      <c r="E674" s="294">
        <f>(967.93-142.14)*1.0439</f>
        <v>862.042181</v>
      </c>
      <c r="F674" s="295">
        <f>(938.89-142.14)*1.0439</f>
        <v>831.727325</v>
      </c>
      <c r="G674" s="295">
        <f>(1064.73-142.14)*1.0439</f>
        <v>963.091701</v>
      </c>
      <c r="H674" s="295"/>
      <c r="I674" s="295"/>
      <c r="J674" s="325"/>
      <c r="K674" s="187"/>
      <c r="L674" s="83"/>
      <c r="M674" s="96"/>
      <c r="N674" s="326"/>
      <c r="O674" s="324"/>
      <c r="P674" s="279"/>
      <c r="Q674" s="279"/>
      <c r="R674" s="324"/>
      <c r="S674" s="324"/>
      <c r="T674" s="324"/>
      <c r="U674" s="324"/>
      <c r="V674" s="324"/>
      <c r="W674" s="279"/>
      <c r="X674" s="279"/>
      <c r="Y674" s="83"/>
      <c r="Z674" s="83"/>
      <c r="AA674" s="328"/>
      <c r="AB674" s="328"/>
    </row>
    <row r="675" ht="28.5" spans="1:28">
      <c r="A675" s="285"/>
      <c r="B675" s="291"/>
      <c r="C675" s="292"/>
      <c r="D675" s="293" t="s">
        <v>6237</v>
      </c>
      <c r="E675" s="296" t="s">
        <v>6250</v>
      </c>
      <c r="F675" s="296" t="s">
        <v>6250</v>
      </c>
      <c r="G675" s="296" t="s">
        <v>6250</v>
      </c>
      <c r="H675" s="302"/>
      <c r="I675" s="302"/>
      <c r="J675" s="325"/>
      <c r="K675" s="187"/>
      <c r="L675" s="83"/>
      <c r="M675" s="96"/>
      <c r="N675" s="326"/>
      <c r="O675" s="324"/>
      <c r="P675" s="279"/>
      <c r="Q675" s="279"/>
      <c r="R675" s="324"/>
      <c r="S675" s="324"/>
      <c r="T675" s="324"/>
      <c r="U675" s="279"/>
      <c r="V675" s="279"/>
      <c r="W675" s="279"/>
      <c r="X675" s="279"/>
      <c r="Y675" s="83"/>
      <c r="Z675" s="83"/>
      <c r="AA675" s="328"/>
      <c r="AB675" s="328"/>
    </row>
    <row r="676" ht="15" spans="1:28">
      <c r="A676" s="285"/>
      <c r="B676" s="307"/>
      <c r="C676" s="308"/>
      <c r="D676" s="309"/>
      <c r="E676" s="310"/>
      <c r="F676" s="311"/>
      <c r="G676" s="311"/>
      <c r="H676" s="311"/>
      <c r="I676" s="311"/>
      <c r="J676" s="331"/>
      <c r="K676" s="187"/>
      <c r="L676" s="83"/>
      <c r="M676" s="96"/>
      <c r="N676" s="320"/>
      <c r="O676" s="321"/>
      <c r="P676" s="321"/>
      <c r="Q676" s="321"/>
      <c r="R676" s="321"/>
      <c r="S676" s="321"/>
      <c r="T676" s="321"/>
      <c r="U676" s="321"/>
      <c r="V676" s="321"/>
      <c r="W676" s="321"/>
      <c r="X676" s="321"/>
      <c r="Y676" s="83"/>
      <c r="Z676" s="83"/>
      <c r="AA676" s="98"/>
      <c r="AB676" s="98"/>
    </row>
    <row r="677" ht="24" spans="1:28">
      <c r="A677" s="285" t="str">
        <f>VLOOKUP(D677,'[2]2024 - Curva ABC de Insumos'!$E$6:$R$172,14,FALSE())</f>
        <v>C</v>
      </c>
      <c r="B677" s="300" t="s">
        <v>2271</v>
      </c>
      <c r="C677" s="305" t="s">
        <v>4802</v>
      </c>
      <c r="D677" s="335" t="s">
        <v>4803</v>
      </c>
      <c r="E677" s="289" t="s">
        <v>6508</v>
      </c>
      <c r="F677" s="290" t="s">
        <v>6509</v>
      </c>
      <c r="G677" s="290" t="s">
        <v>6510</v>
      </c>
      <c r="H677" s="290"/>
      <c r="I677" s="290"/>
      <c r="J677" s="322">
        <f>SMALL(E678:I678,1)</f>
        <v>846.435876</v>
      </c>
      <c r="K677" s="187"/>
      <c r="L677" s="187" t="e">
        <f>VLOOKUP(B680,[3]CPUs!D:L,9,FALSE())</f>
        <v>#N/A</v>
      </c>
      <c r="M677" s="96" t="e">
        <f>IF(J677=L677,"OK","DIF")</f>
        <v>#N/A</v>
      </c>
      <c r="N677" s="377" t="s">
        <v>6344</v>
      </c>
      <c r="O677" s="324"/>
      <c r="P677" s="279"/>
      <c r="Q677" s="279"/>
      <c r="R677" s="324"/>
      <c r="S677" s="324"/>
      <c r="T677" s="324"/>
      <c r="U677" s="324"/>
      <c r="V677" s="324"/>
      <c r="W677" s="279"/>
      <c r="X677" s="279"/>
      <c r="Y677" s="83"/>
      <c r="Z677" s="83"/>
      <c r="AA677" s="328"/>
      <c r="AB677" s="328"/>
    </row>
    <row r="678" ht="15" spans="1:28">
      <c r="A678" s="285"/>
      <c r="B678" s="291"/>
      <c r="C678" s="292"/>
      <c r="D678" s="293" t="s">
        <v>6236</v>
      </c>
      <c r="E678" s="294">
        <f>(982.45-142.14)*1.0439</f>
        <v>877.199609</v>
      </c>
      <c r="F678" s="295">
        <f>(952.98-142.14)*1.0439</f>
        <v>846.435876</v>
      </c>
      <c r="G678" s="295">
        <f>(1080.7-142.14)*1.0439</f>
        <v>979.762784</v>
      </c>
      <c r="H678" s="295"/>
      <c r="I678" s="295"/>
      <c r="J678" s="325"/>
      <c r="K678" s="187"/>
      <c r="L678" s="83"/>
      <c r="M678" s="96"/>
      <c r="N678" s="326"/>
      <c r="O678" s="324"/>
      <c r="P678" s="279"/>
      <c r="Q678" s="279"/>
      <c r="R678" s="324"/>
      <c r="S678" s="324"/>
      <c r="T678" s="324"/>
      <c r="U678" s="324"/>
      <c r="V678" s="324"/>
      <c r="W678" s="279"/>
      <c r="X678" s="279"/>
      <c r="Y678" s="83"/>
      <c r="Z678" s="83"/>
      <c r="AA678" s="328"/>
      <c r="AB678" s="328"/>
    </row>
    <row r="679" ht="28.5" spans="1:28">
      <c r="A679" s="285"/>
      <c r="B679" s="291"/>
      <c r="C679" s="292"/>
      <c r="D679" s="293" t="s">
        <v>6237</v>
      </c>
      <c r="E679" s="296" t="s">
        <v>6250</v>
      </c>
      <c r="F679" s="296" t="s">
        <v>6250</v>
      </c>
      <c r="G679" s="296" t="s">
        <v>6250</v>
      </c>
      <c r="H679" s="302"/>
      <c r="I679" s="302"/>
      <c r="J679" s="325"/>
      <c r="K679" s="187"/>
      <c r="L679" s="83"/>
      <c r="M679" s="96"/>
      <c r="N679" s="326"/>
      <c r="O679" s="324"/>
      <c r="P679" s="279"/>
      <c r="Q679" s="279"/>
      <c r="R679" s="324"/>
      <c r="S679" s="324"/>
      <c r="T679" s="324"/>
      <c r="U679" s="279"/>
      <c r="V679" s="279"/>
      <c r="W679" s="279"/>
      <c r="X679" s="279"/>
      <c r="Y679" s="83"/>
      <c r="Z679" s="83"/>
      <c r="AA679" s="328"/>
      <c r="AB679" s="328"/>
    </row>
    <row r="680" ht="15" spans="1:28">
      <c r="A680" s="285"/>
      <c r="B680" s="307"/>
      <c r="C680" s="308"/>
      <c r="D680" s="309"/>
      <c r="E680" s="310"/>
      <c r="F680" s="311"/>
      <c r="G680" s="311"/>
      <c r="H680" s="311"/>
      <c r="I680" s="311"/>
      <c r="J680" s="331"/>
      <c r="K680" s="187"/>
      <c r="L680" s="83"/>
      <c r="M680" s="96"/>
      <c r="N680" s="320"/>
      <c r="O680" s="321"/>
      <c r="P680" s="321"/>
      <c r="Q680" s="321"/>
      <c r="R680" s="321"/>
      <c r="S680" s="321"/>
      <c r="T680" s="321"/>
      <c r="U680" s="321"/>
      <c r="V680" s="321"/>
      <c r="W680" s="321"/>
      <c r="X680" s="321"/>
      <c r="Y680" s="83"/>
      <c r="Z680" s="83"/>
      <c r="AA680" s="98"/>
      <c r="AB680" s="98"/>
    </row>
    <row r="681" ht="24" spans="1:28">
      <c r="A681" s="285" t="str">
        <f>VLOOKUP(D681,'[2]2024 - Curva ABC de Insumos'!$E$6:$R$172,14,FALSE())</f>
        <v>C</v>
      </c>
      <c r="B681" s="300" t="s">
        <v>2274</v>
      </c>
      <c r="C681" s="305" t="s">
        <v>4804</v>
      </c>
      <c r="D681" s="335" t="s">
        <v>4805</v>
      </c>
      <c r="E681" s="289" t="s">
        <v>6508</v>
      </c>
      <c r="F681" s="290" t="s">
        <v>6509</v>
      </c>
      <c r="G681" s="290" t="s">
        <v>6510</v>
      </c>
      <c r="H681" s="290"/>
      <c r="I681" s="290"/>
      <c r="J681" s="322">
        <f>SMALL(E682:I682,1)</f>
        <v>871.458159</v>
      </c>
      <c r="K681" s="187"/>
      <c r="L681" s="187" t="e">
        <f>VLOOKUP(B684,[3]CPUs!D:L,9,FALSE())</f>
        <v>#N/A</v>
      </c>
      <c r="M681" s="96" t="e">
        <f>IF(J681=L681,"OK","DIF")</f>
        <v>#N/A</v>
      </c>
      <c r="N681" s="377" t="s">
        <v>6344</v>
      </c>
      <c r="O681" s="324"/>
      <c r="P681" s="279"/>
      <c r="Q681" s="279"/>
      <c r="R681" s="324"/>
      <c r="S681" s="324"/>
      <c r="T681" s="324"/>
      <c r="U681" s="324"/>
      <c r="V681" s="324"/>
      <c r="W681" s="279"/>
      <c r="X681" s="279"/>
      <c r="Y681" s="83"/>
      <c r="Z681" s="83"/>
      <c r="AA681" s="328"/>
      <c r="AB681" s="328"/>
    </row>
    <row r="682" ht="15" spans="1:28">
      <c r="A682" s="285"/>
      <c r="B682" s="291"/>
      <c r="C682" s="292"/>
      <c r="D682" s="293" t="s">
        <v>6236</v>
      </c>
      <c r="E682" s="294">
        <f>(1007.16-142.14)*1.0439</f>
        <v>902.994378</v>
      </c>
      <c r="F682" s="295">
        <f>(976.95-142.14)*1.0439</f>
        <v>871.458159</v>
      </c>
      <c r="G682" s="295">
        <f>(1107.88-142.14)*1.0439</f>
        <v>1008.135986</v>
      </c>
      <c r="H682" s="295"/>
      <c r="I682" s="295"/>
      <c r="J682" s="325"/>
      <c r="K682" s="187"/>
      <c r="L682" s="83"/>
      <c r="M682" s="96"/>
      <c r="N682" s="326"/>
      <c r="O682" s="324"/>
      <c r="P682" s="279"/>
      <c r="Q682" s="279"/>
      <c r="R682" s="324"/>
      <c r="S682" s="324"/>
      <c r="T682" s="324"/>
      <c r="U682" s="324"/>
      <c r="V682" s="324"/>
      <c r="W682" s="279"/>
      <c r="X682" s="279"/>
      <c r="Y682" s="83"/>
      <c r="Z682" s="83"/>
      <c r="AA682" s="328"/>
      <c r="AB682" s="328"/>
    </row>
    <row r="683" ht="28.5" spans="1:28">
      <c r="A683" s="285"/>
      <c r="B683" s="291"/>
      <c r="C683" s="292"/>
      <c r="D683" s="293" t="s">
        <v>6237</v>
      </c>
      <c r="E683" s="296" t="s">
        <v>6250</v>
      </c>
      <c r="F683" s="296" t="s">
        <v>6250</v>
      </c>
      <c r="G683" s="296" t="s">
        <v>6250</v>
      </c>
      <c r="H683" s="302"/>
      <c r="I683" s="302"/>
      <c r="J683" s="325"/>
      <c r="K683" s="187"/>
      <c r="L683" s="83"/>
      <c r="M683" s="96"/>
      <c r="N683" s="326"/>
      <c r="O683" s="324"/>
      <c r="P683" s="279"/>
      <c r="Q683" s="279"/>
      <c r="R683" s="324"/>
      <c r="S683" s="324"/>
      <c r="T683" s="324"/>
      <c r="U683" s="279"/>
      <c r="V683" s="279"/>
      <c r="W683" s="279"/>
      <c r="X683" s="279"/>
      <c r="Y683" s="83"/>
      <c r="Z683" s="83"/>
      <c r="AA683" s="328"/>
      <c r="AB683" s="328"/>
    </row>
    <row r="684" ht="15" spans="1:28">
      <c r="A684" s="285"/>
      <c r="B684" s="307"/>
      <c r="C684" s="308"/>
      <c r="D684" s="309"/>
      <c r="E684" s="310"/>
      <c r="F684" s="311"/>
      <c r="G684" s="311"/>
      <c r="H684" s="311"/>
      <c r="I684" s="311"/>
      <c r="J684" s="331"/>
      <c r="K684" s="187"/>
      <c r="L684" s="83"/>
      <c r="M684" s="96"/>
      <c r="N684" s="320"/>
      <c r="O684" s="321"/>
      <c r="P684" s="321"/>
      <c r="Q684" s="321"/>
      <c r="R684" s="321"/>
      <c r="S684" s="321"/>
      <c r="T684" s="321"/>
      <c r="U684" s="321"/>
      <c r="V684" s="321"/>
      <c r="W684" s="321"/>
      <c r="X684" s="321"/>
      <c r="Y684" s="83"/>
      <c r="Z684" s="83"/>
      <c r="AA684" s="98"/>
      <c r="AB684" s="98"/>
    </row>
    <row r="685" ht="24" spans="1:28">
      <c r="A685" s="285"/>
      <c r="B685" s="300"/>
      <c r="C685" s="332" t="s">
        <v>6514</v>
      </c>
      <c r="D685" s="333" t="s">
        <v>6312</v>
      </c>
      <c r="E685" s="289"/>
      <c r="F685" s="290"/>
      <c r="G685" s="290"/>
      <c r="H685" s="290"/>
      <c r="I685" s="290"/>
      <c r="J685" s="322"/>
      <c r="K685" s="187"/>
      <c r="L685" s="187"/>
      <c r="M685" s="96"/>
      <c r="N685" s="326"/>
      <c r="O685" s="324"/>
      <c r="P685" s="279"/>
      <c r="Q685" s="279"/>
      <c r="R685" s="324"/>
      <c r="S685" s="324"/>
      <c r="T685" s="324"/>
      <c r="U685" s="324"/>
      <c r="V685" s="324"/>
      <c r="W685" s="279"/>
      <c r="X685" s="279"/>
      <c r="Y685" s="83"/>
      <c r="Z685" s="83"/>
      <c r="AA685" s="328"/>
      <c r="AB685" s="328"/>
    </row>
    <row r="686" ht="15" spans="1:28">
      <c r="A686" s="285"/>
      <c r="B686" s="307"/>
      <c r="C686" s="308"/>
      <c r="D686" s="309"/>
      <c r="E686" s="310"/>
      <c r="F686" s="311"/>
      <c r="G686" s="311"/>
      <c r="H686" s="311"/>
      <c r="I686" s="311"/>
      <c r="J686" s="331"/>
      <c r="K686" s="187"/>
      <c r="L686" s="83"/>
      <c r="M686" s="96"/>
      <c r="N686" s="320"/>
      <c r="O686" s="321"/>
      <c r="P686" s="321"/>
      <c r="Q686" s="321"/>
      <c r="R686" s="321"/>
      <c r="S686" s="321"/>
      <c r="T686" s="321"/>
      <c r="U686" s="321"/>
      <c r="V686" s="321"/>
      <c r="W686" s="321"/>
      <c r="X686" s="321"/>
      <c r="Y686" s="83"/>
      <c r="Z686" s="83"/>
      <c r="AA686" s="98"/>
      <c r="AB686" s="98"/>
    </row>
    <row r="687" ht="24" spans="1:28">
      <c r="A687" s="285" t="str">
        <f>VLOOKUP(D687,'[2]2024 - Curva ABC de Insumos'!$E$6:$R$172,14,FALSE())</f>
        <v>C</v>
      </c>
      <c r="B687" s="300" t="s">
        <v>2277</v>
      </c>
      <c r="C687" s="305" t="s">
        <v>4806</v>
      </c>
      <c r="D687" s="335" t="s">
        <v>4807</v>
      </c>
      <c r="E687" s="289" t="s">
        <v>6508</v>
      </c>
      <c r="F687" s="290" t="s">
        <v>6509</v>
      </c>
      <c r="G687" s="290" t="s">
        <v>6510</v>
      </c>
      <c r="H687" s="290"/>
      <c r="I687" s="290"/>
      <c r="J687" s="322">
        <f>SMALL(E688:I688,1)</f>
        <v>891.876843</v>
      </c>
      <c r="K687" s="187"/>
      <c r="L687" s="187" t="e">
        <f>VLOOKUP(B690,[3]CPUs!D:L,9,FALSE())</f>
        <v>#N/A</v>
      </c>
      <c r="M687" s="96" t="e">
        <f>IF(J687=L687,"OK","DIF")</f>
        <v>#N/A</v>
      </c>
      <c r="N687" s="377" t="s">
        <v>6344</v>
      </c>
      <c r="O687" s="324"/>
      <c r="P687" s="279"/>
      <c r="Q687" s="279"/>
      <c r="R687" s="324"/>
      <c r="S687" s="324"/>
      <c r="T687" s="324"/>
      <c r="U687" s="324"/>
      <c r="V687" s="324"/>
      <c r="W687" s="279"/>
      <c r="X687" s="279"/>
      <c r="Y687" s="83"/>
      <c r="Z687" s="83"/>
      <c r="AA687" s="328"/>
      <c r="AB687" s="328"/>
    </row>
    <row r="688" ht="15" spans="1:28">
      <c r="A688" s="285"/>
      <c r="B688" s="291"/>
      <c r="C688" s="292"/>
      <c r="D688" s="293" t="s">
        <v>6236</v>
      </c>
      <c r="E688" s="294">
        <f>(1027.33-142.14)*1.0439</f>
        <v>924.049841</v>
      </c>
      <c r="F688" s="295">
        <f>(996.51-142.14)*1.0439</f>
        <v>891.876843</v>
      </c>
      <c r="G688" s="295">
        <f>(1130.06-142.14)*1.0439</f>
        <v>1031.289688</v>
      </c>
      <c r="H688" s="295"/>
      <c r="I688" s="295"/>
      <c r="J688" s="325"/>
      <c r="K688" s="187"/>
      <c r="L688" s="83"/>
      <c r="M688" s="96"/>
      <c r="N688" s="326"/>
      <c r="O688" s="324"/>
      <c r="P688" s="279"/>
      <c r="Q688" s="279"/>
      <c r="R688" s="324"/>
      <c r="S688" s="324"/>
      <c r="T688" s="324"/>
      <c r="U688" s="324"/>
      <c r="V688" s="324"/>
      <c r="W688" s="279"/>
      <c r="X688" s="279"/>
      <c r="Y688" s="83"/>
      <c r="Z688" s="83"/>
      <c r="AA688" s="328"/>
      <c r="AB688" s="328"/>
    </row>
    <row r="689" ht="28.5" spans="1:28">
      <c r="A689" s="285"/>
      <c r="B689" s="291"/>
      <c r="C689" s="292"/>
      <c r="D689" s="293" t="s">
        <v>6237</v>
      </c>
      <c r="E689" s="296" t="s">
        <v>6250</v>
      </c>
      <c r="F689" s="296" t="s">
        <v>6250</v>
      </c>
      <c r="G689" s="296" t="s">
        <v>6250</v>
      </c>
      <c r="H689" s="302"/>
      <c r="I689" s="302"/>
      <c r="J689" s="325"/>
      <c r="K689" s="187"/>
      <c r="L689" s="83"/>
      <c r="M689" s="96"/>
      <c r="N689" s="326"/>
      <c r="O689" s="324"/>
      <c r="P689" s="279"/>
      <c r="Q689" s="279"/>
      <c r="R689" s="324"/>
      <c r="S689" s="324"/>
      <c r="T689" s="324"/>
      <c r="U689" s="279"/>
      <c r="V689" s="279"/>
      <c r="W689" s="279"/>
      <c r="X689" s="279"/>
      <c r="Y689" s="83"/>
      <c r="Z689" s="83"/>
      <c r="AA689" s="328"/>
      <c r="AB689" s="328"/>
    </row>
    <row r="690" ht="15" spans="1:28">
      <c r="A690" s="285"/>
      <c r="B690" s="307"/>
      <c r="C690" s="308"/>
      <c r="D690" s="309"/>
      <c r="E690" s="310"/>
      <c r="F690" s="311"/>
      <c r="G690" s="311"/>
      <c r="H690" s="311"/>
      <c r="I690" s="311"/>
      <c r="J690" s="331"/>
      <c r="K690" s="187"/>
      <c r="L690" s="83"/>
      <c r="M690" s="96"/>
      <c r="N690" s="320"/>
      <c r="O690" s="321"/>
      <c r="P690" s="321"/>
      <c r="Q690" s="321"/>
      <c r="R690" s="321"/>
      <c r="S690" s="321"/>
      <c r="T690" s="321"/>
      <c r="U690" s="321"/>
      <c r="V690" s="321"/>
      <c r="W690" s="321"/>
      <c r="X690" s="321"/>
      <c r="Y690" s="83"/>
      <c r="Z690" s="83"/>
      <c r="AA690" s="98"/>
      <c r="AB690" s="98"/>
    </row>
    <row r="691" ht="24" spans="1:28">
      <c r="A691" s="285"/>
      <c r="B691" s="300"/>
      <c r="C691" s="332" t="s">
        <v>6515</v>
      </c>
      <c r="D691" s="333" t="s">
        <v>6312</v>
      </c>
      <c r="E691" s="289"/>
      <c r="F691" s="290"/>
      <c r="G691" s="290"/>
      <c r="H691" s="290"/>
      <c r="I691" s="290"/>
      <c r="J691" s="322"/>
      <c r="K691" s="187"/>
      <c r="L691" s="187"/>
      <c r="M691" s="96"/>
      <c r="N691" s="326"/>
      <c r="O691" s="324"/>
      <c r="P691" s="279"/>
      <c r="Q691" s="279"/>
      <c r="R691" s="324"/>
      <c r="S691" s="324"/>
      <c r="T691" s="324"/>
      <c r="U691" s="324"/>
      <c r="V691" s="324"/>
      <c r="W691" s="279"/>
      <c r="X691" s="279"/>
      <c r="Y691" s="83"/>
      <c r="Z691" s="83"/>
      <c r="AA691" s="328"/>
      <c r="AB691" s="328"/>
    </row>
    <row r="692" ht="15" spans="1:28">
      <c r="A692" s="285"/>
      <c r="B692" s="307"/>
      <c r="C692" s="308"/>
      <c r="D692" s="309"/>
      <c r="E692" s="310"/>
      <c r="F692" s="311"/>
      <c r="G692" s="311"/>
      <c r="H692" s="311"/>
      <c r="I692" s="311"/>
      <c r="J692" s="331"/>
      <c r="K692" s="187"/>
      <c r="L692" s="83"/>
      <c r="M692" s="96"/>
      <c r="N692" s="320"/>
      <c r="O692" s="321"/>
      <c r="P692" s="321"/>
      <c r="Q692" s="321"/>
      <c r="R692" s="321"/>
      <c r="S692" s="321"/>
      <c r="T692" s="321"/>
      <c r="U692" s="321"/>
      <c r="V692" s="321"/>
      <c r="W692" s="321"/>
      <c r="X692" s="321"/>
      <c r="Y692" s="83"/>
      <c r="Z692" s="83"/>
      <c r="AA692" s="98"/>
      <c r="AB692" s="98"/>
    </row>
    <row r="693" ht="24" spans="1:28">
      <c r="A693" s="285" t="str">
        <f>VLOOKUP(D693,'[2]2024 - Curva ABC de Insumos'!$E$6:$R$172,14,FALSE())</f>
        <v>C</v>
      </c>
      <c r="B693" s="300" t="s">
        <v>2280</v>
      </c>
      <c r="C693" s="305" t="s">
        <v>4808</v>
      </c>
      <c r="D693" s="335" t="s">
        <v>4809</v>
      </c>
      <c r="E693" s="289" t="s">
        <v>6508</v>
      </c>
      <c r="F693" s="290" t="s">
        <v>6509</v>
      </c>
      <c r="G693" s="290" t="s">
        <v>6510</v>
      </c>
      <c r="H693" s="290"/>
      <c r="I693" s="290"/>
      <c r="J693" s="322">
        <f>SMALL(E694:I694,1)</f>
        <v>918.036977</v>
      </c>
      <c r="K693" s="187"/>
      <c r="L693" s="187" t="e">
        <f>VLOOKUP(B696,[3]CPUs!D:L,9,FALSE())</f>
        <v>#N/A</v>
      </c>
      <c r="M693" s="96" t="e">
        <f>IF(J693=L693,"OK","DIF")</f>
        <v>#N/A</v>
      </c>
      <c r="N693" s="377" t="s">
        <v>6344</v>
      </c>
      <c r="O693" s="324"/>
      <c r="P693" s="279"/>
      <c r="Q693" s="279"/>
      <c r="R693" s="324"/>
      <c r="S693" s="324"/>
      <c r="T693" s="324"/>
      <c r="U693" s="324"/>
      <c r="V693" s="324"/>
      <c r="W693" s="279"/>
      <c r="X693" s="279"/>
      <c r="Y693" s="83"/>
      <c r="Z693" s="83"/>
      <c r="AA693" s="328"/>
      <c r="AB693" s="328"/>
    </row>
    <row r="694" ht="15" spans="1:28">
      <c r="A694" s="285"/>
      <c r="B694" s="291"/>
      <c r="C694" s="292"/>
      <c r="D694" s="293" t="s">
        <v>6236</v>
      </c>
      <c r="E694" s="294">
        <f>(1053.17-142.14)*1.0439</f>
        <v>951.024217</v>
      </c>
      <c r="F694" s="295">
        <f>(1021.57-142.14)*1.0439</f>
        <v>918.036977</v>
      </c>
      <c r="G694" s="295">
        <f>(1158.48-142.14)*1.0439</f>
        <v>1060.957326</v>
      </c>
      <c r="H694" s="295"/>
      <c r="I694" s="295"/>
      <c r="J694" s="325"/>
      <c r="K694" s="187"/>
      <c r="L694" s="83"/>
      <c r="M694" s="96"/>
      <c r="N694" s="326"/>
      <c r="O694" s="324"/>
      <c r="P694" s="279"/>
      <c r="Q694" s="279"/>
      <c r="R694" s="324"/>
      <c r="S694" s="324"/>
      <c r="T694" s="324"/>
      <c r="U694" s="324"/>
      <c r="V694" s="324"/>
      <c r="W694" s="279"/>
      <c r="X694" s="279"/>
      <c r="Y694" s="83"/>
      <c r="Z694" s="83"/>
      <c r="AA694" s="328"/>
      <c r="AB694" s="328"/>
    </row>
    <row r="695" ht="28.5" spans="1:28">
      <c r="A695" s="285"/>
      <c r="B695" s="291"/>
      <c r="C695" s="292"/>
      <c r="D695" s="293" t="s">
        <v>6237</v>
      </c>
      <c r="E695" s="296" t="s">
        <v>6250</v>
      </c>
      <c r="F695" s="296" t="s">
        <v>6250</v>
      </c>
      <c r="G695" s="296" t="s">
        <v>6250</v>
      </c>
      <c r="H695" s="302"/>
      <c r="I695" s="302"/>
      <c r="J695" s="325"/>
      <c r="K695" s="187"/>
      <c r="L695" s="83"/>
      <c r="M695" s="96"/>
      <c r="N695" s="326"/>
      <c r="O695" s="324"/>
      <c r="P695" s="279"/>
      <c r="Q695" s="279"/>
      <c r="R695" s="324"/>
      <c r="S695" s="324"/>
      <c r="T695" s="324"/>
      <c r="U695" s="279"/>
      <c r="V695" s="279"/>
      <c r="W695" s="279"/>
      <c r="X695" s="279"/>
      <c r="Y695" s="83"/>
      <c r="Z695" s="83"/>
      <c r="AA695" s="328"/>
      <c r="AB695" s="328"/>
    </row>
    <row r="696" ht="15" spans="1:28">
      <c r="A696" s="285"/>
      <c r="B696" s="307"/>
      <c r="C696" s="308"/>
      <c r="D696" s="309"/>
      <c r="E696" s="310"/>
      <c r="F696" s="311"/>
      <c r="G696" s="311"/>
      <c r="H696" s="311"/>
      <c r="I696" s="311"/>
      <c r="J696" s="331"/>
      <c r="K696" s="187"/>
      <c r="L696" s="83"/>
      <c r="M696" s="96"/>
      <c r="N696" s="320"/>
      <c r="O696" s="321"/>
      <c r="P696" s="321"/>
      <c r="Q696" s="321"/>
      <c r="R696" s="321"/>
      <c r="S696" s="321"/>
      <c r="T696" s="321"/>
      <c r="U696" s="321"/>
      <c r="V696" s="321"/>
      <c r="W696" s="321"/>
      <c r="X696" s="321"/>
      <c r="Y696" s="83"/>
      <c r="Z696" s="83"/>
      <c r="AA696" s="98"/>
      <c r="AB696" s="98"/>
    </row>
    <row r="697" ht="24" spans="1:28">
      <c r="A697" s="285" t="str">
        <f>VLOOKUP(D697,'[2]2024 - Curva ABC de Insumos'!$E$6:$R$172,14,FALSE())</f>
        <v>C</v>
      </c>
      <c r="B697" s="300" t="s">
        <v>2283</v>
      </c>
      <c r="C697" s="305" t="s">
        <v>4810</v>
      </c>
      <c r="D697" s="335" t="s">
        <v>2285</v>
      </c>
      <c r="E697" s="289" t="s">
        <v>6508</v>
      </c>
      <c r="F697" s="290" t="s">
        <v>6509</v>
      </c>
      <c r="G697" s="290" t="s">
        <v>6510</v>
      </c>
      <c r="H697" s="290"/>
      <c r="I697" s="290"/>
      <c r="J697" s="322">
        <f>SMALL(E698:I698,1)</f>
        <v>923.319111</v>
      </c>
      <c r="K697" s="187"/>
      <c r="L697" s="187" t="e">
        <f>VLOOKUP(B700,[3]CPUs!D:L,9,FALSE())</f>
        <v>#N/A</v>
      </c>
      <c r="M697" s="96" t="e">
        <f>IF(J697=L697,"OK","DIF")</f>
        <v>#N/A</v>
      </c>
      <c r="N697" s="377" t="s">
        <v>6344</v>
      </c>
      <c r="O697" s="324"/>
      <c r="P697" s="279"/>
      <c r="Q697" s="279"/>
      <c r="R697" s="324"/>
      <c r="S697" s="324"/>
      <c r="T697" s="324"/>
      <c r="U697" s="324"/>
      <c r="V697" s="324"/>
      <c r="W697" s="279"/>
      <c r="X697" s="279"/>
      <c r="Y697" s="83"/>
      <c r="Z697" s="83"/>
      <c r="AA697" s="328"/>
      <c r="AB697" s="328"/>
    </row>
    <row r="698" ht="15" spans="1:28">
      <c r="A698" s="285"/>
      <c r="B698" s="291"/>
      <c r="C698" s="292"/>
      <c r="D698" s="293" t="s">
        <v>6236</v>
      </c>
      <c r="E698" s="294">
        <f>(1058.38-142.14)*1.0439</f>
        <v>956.462936</v>
      </c>
      <c r="F698" s="295">
        <f>(1026.63-142.14)*1.0439</f>
        <v>923.319111</v>
      </c>
      <c r="G698" s="295">
        <f>(1164.22-142.14)*1.0439</f>
        <v>1066.949312</v>
      </c>
      <c r="H698" s="295"/>
      <c r="I698" s="295"/>
      <c r="J698" s="325"/>
      <c r="K698" s="187"/>
      <c r="L698" s="83"/>
      <c r="M698" s="96"/>
      <c r="N698" s="326"/>
      <c r="O698" s="324"/>
      <c r="P698" s="279"/>
      <c r="Q698" s="279"/>
      <c r="R698" s="324"/>
      <c r="S698" s="324"/>
      <c r="T698" s="324"/>
      <c r="U698" s="324"/>
      <c r="V698" s="324"/>
      <c r="W698" s="279"/>
      <c r="X698" s="279"/>
      <c r="Y698" s="83"/>
      <c r="Z698" s="83"/>
      <c r="AA698" s="328"/>
      <c r="AB698" s="328"/>
    </row>
    <row r="699" ht="28.5" spans="1:28">
      <c r="A699" s="285"/>
      <c r="B699" s="291"/>
      <c r="C699" s="292"/>
      <c r="D699" s="293" t="s">
        <v>6237</v>
      </c>
      <c r="E699" s="296" t="s">
        <v>6250</v>
      </c>
      <c r="F699" s="296" t="s">
        <v>6250</v>
      </c>
      <c r="G699" s="296" t="s">
        <v>6250</v>
      </c>
      <c r="H699" s="302"/>
      <c r="I699" s="302"/>
      <c r="J699" s="325"/>
      <c r="K699" s="187"/>
      <c r="L699" s="83"/>
      <c r="M699" s="96"/>
      <c r="N699" s="326"/>
      <c r="O699" s="324"/>
      <c r="P699" s="279"/>
      <c r="Q699" s="279"/>
      <c r="R699" s="324"/>
      <c r="S699" s="324"/>
      <c r="T699" s="324"/>
      <c r="U699" s="279"/>
      <c r="V699" s="279"/>
      <c r="W699" s="279"/>
      <c r="X699" s="279"/>
      <c r="Y699" s="83"/>
      <c r="Z699" s="83"/>
      <c r="AA699" s="328"/>
      <c r="AB699" s="328"/>
    </row>
    <row r="700" ht="15" spans="1:28">
      <c r="A700" s="285"/>
      <c r="B700" s="307"/>
      <c r="C700" s="308"/>
      <c r="D700" s="309"/>
      <c r="E700" s="310"/>
      <c r="F700" s="311"/>
      <c r="G700" s="311"/>
      <c r="H700" s="311"/>
      <c r="I700" s="311"/>
      <c r="J700" s="331"/>
      <c r="K700" s="187"/>
      <c r="L700" s="83"/>
      <c r="M700" s="96"/>
      <c r="N700" s="320"/>
      <c r="O700" s="321"/>
      <c r="P700" s="321"/>
      <c r="Q700" s="321"/>
      <c r="R700" s="321"/>
      <c r="S700" s="321"/>
      <c r="T700" s="321"/>
      <c r="U700" s="321"/>
      <c r="V700" s="321"/>
      <c r="W700" s="321"/>
      <c r="X700" s="321"/>
      <c r="Y700" s="83"/>
      <c r="Z700" s="83"/>
      <c r="AA700" s="98"/>
      <c r="AB700" s="98"/>
    </row>
    <row r="701" ht="24" spans="1:28">
      <c r="A701" s="285" t="str">
        <f>VLOOKUP(D701,'[2]2024 - Curva ABC de Insumos'!$E$6:$R$172,14,FALSE())</f>
        <v>C</v>
      </c>
      <c r="B701" s="300" t="s">
        <v>2286</v>
      </c>
      <c r="C701" s="305" t="s">
        <v>4811</v>
      </c>
      <c r="D701" s="335" t="s">
        <v>4812</v>
      </c>
      <c r="E701" s="289" t="s">
        <v>6508</v>
      </c>
      <c r="F701" s="290" t="s">
        <v>6509</v>
      </c>
      <c r="G701" s="290" t="s">
        <v>6510</v>
      </c>
      <c r="H701" s="290"/>
      <c r="I701" s="290"/>
      <c r="J701" s="322">
        <f>SMALL(E702:I702,1)</f>
        <v>946.097009</v>
      </c>
      <c r="K701" s="187"/>
      <c r="L701" s="187" t="e">
        <f>VLOOKUP(B704,[3]CPUs!D:L,9,FALSE())</f>
        <v>#N/A</v>
      </c>
      <c r="M701" s="96" t="e">
        <f>IF(J701=L701,"OK","DIF")</f>
        <v>#N/A</v>
      </c>
      <c r="N701" s="377" t="s">
        <v>6344</v>
      </c>
      <c r="O701" s="324"/>
      <c r="P701" s="279"/>
      <c r="Q701" s="279"/>
      <c r="R701" s="324"/>
      <c r="S701" s="324"/>
      <c r="T701" s="324"/>
      <c r="U701" s="324"/>
      <c r="V701" s="324"/>
      <c r="W701" s="279"/>
      <c r="X701" s="279"/>
      <c r="Y701" s="83"/>
      <c r="Z701" s="83"/>
      <c r="AA701" s="328"/>
      <c r="AB701" s="328"/>
    </row>
    <row r="702" ht="15" spans="1:28">
      <c r="A702" s="285"/>
      <c r="B702" s="291"/>
      <c r="C702" s="292"/>
      <c r="D702" s="293" t="s">
        <v>6236</v>
      </c>
      <c r="E702" s="294">
        <f>(1080.88-142.14)*1.0439</f>
        <v>979.950686</v>
      </c>
      <c r="F702" s="295">
        <f>(1048.45-142.14)*1.0439</f>
        <v>946.097009</v>
      </c>
      <c r="G702" s="295">
        <f>(1188.97-142.14)*1.0439</f>
        <v>1092.785837</v>
      </c>
      <c r="H702" s="295"/>
      <c r="I702" s="295"/>
      <c r="J702" s="325"/>
      <c r="K702" s="187"/>
      <c r="L702" s="83"/>
      <c r="M702" s="96"/>
      <c r="N702" s="326"/>
      <c r="O702" s="324"/>
      <c r="P702" s="279"/>
      <c r="Q702" s="279"/>
      <c r="R702" s="324"/>
      <c r="S702" s="324"/>
      <c r="T702" s="324"/>
      <c r="U702" s="324"/>
      <c r="V702" s="324"/>
      <c r="W702" s="279"/>
      <c r="X702" s="279"/>
      <c r="Y702" s="83"/>
      <c r="Z702" s="83"/>
      <c r="AA702" s="328"/>
      <c r="AB702" s="328"/>
    </row>
    <row r="703" ht="28.5" spans="1:28">
      <c r="A703" s="285"/>
      <c r="B703" s="291"/>
      <c r="C703" s="292"/>
      <c r="D703" s="293" t="s">
        <v>6237</v>
      </c>
      <c r="E703" s="296" t="s">
        <v>6250</v>
      </c>
      <c r="F703" s="296" t="s">
        <v>6250</v>
      </c>
      <c r="G703" s="296" t="s">
        <v>6250</v>
      </c>
      <c r="H703" s="302"/>
      <c r="I703" s="302"/>
      <c r="J703" s="325"/>
      <c r="K703" s="187"/>
      <c r="L703" s="83"/>
      <c r="M703" s="96"/>
      <c r="N703" s="326"/>
      <c r="O703" s="324"/>
      <c r="P703" s="279"/>
      <c r="Q703" s="279"/>
      <c r="R703" s="324"/>
      <c r="S703" s="324"/>
      <c r="T703" s="324"/>
      <c r="U703" s="279"/>
      <c r="V703" s="279"/>
      <c r="W703" s="279"/>
      <c r="X703" s="279"/>
      <c r="Y703" s="83"/>
      <c r="Z703" s="83"/>
      <c r="AA703" s="328"/>
      <c r="AB703" s="328"/>
    </row>
    <row r="704" ht="15" spans="1:28">
      <c r="A704" s="285"/>
      <c r="B704" s="307"/>
      <c r="C704" s="308"/>
      <c r="D704" s="309"/>
      <c r="E704" s="310"/>
      <c r="F704" s="311"/>
      <c r="G704" s="311"/>
      <c r="H704" s="311"/>
      <c r="I704" s="311"/>
      <c r="J704" s="331"/>
      <c r="K704" s="187"/>
      <c r="L704" s="83"/>
      <c r="M704" s="96"/>
      <c r="N704" s="320"/>
      <c r="O704" s="321"/>
      <c r="P704" s="321"/>
      <c r="Q704" s="321"/>
      <c r="R704" s="321"/>
      <c r="S704" s="321"/>
      <c r="T704" s="321"/>
      <c r="U704" s="321"/>
      <c r="V704" s="321"/>
      <c r="W704" s="321"/>
      <c r="X704" s="321"/>
      <c r="Y704" s="83"/>
      <c r="Z704" s="83"/>
      <c r="AA704" s="98"/>
      <c r="AB704" s="98"/>
    </row>
    <row r="705" ht="24" spans="1:28">
      <c r="A705" s="285" t="str">
        <f>VLOOKUP(D705,'[2]2024 - Curva ABC de Insumos'!$E$6:$R$172,14,FALSE())</f>
        <v>C</v>
      </c>
      <c r="B705" s="300" t="s">
        <v>2289</v>
      </c>
      <c r="C705" s="305" t="s">
        <v>4813</v>
      </c>
      <c r="D705" s="335" t="s">
        <v>4814</v>
      </c>
      <c r="E705" s="289" t="s">
        <v>6508</v>
      </c>
      <c r="F705" s="290" t="s">
        <v>6509</v>
      </c>
      <c r="G705" s="290" t="s">
        <v>6510</v>
      </c>
      <c r="H705" s="290"/>
      <c r="I705" s="290"/>
      <c r="J705" s="322">
        <f>SMALL(E706:I706,1)</f>
        <v>972.267582</v>
      </c>
      <c r="K705" s="187"/>
      <c r="L705" s="187" t="e">
        <f>VLOOKUP(B708,[3]CPUs!D:L,9,FALSE())</f>
        <v>#N/A</v>
      </c>
      <c r="M705" s="96" t="e">
        <f>IF(J705=L705,"OK","DIF")</f>
        <v>#N/A</v>
      </c>
      <c r="N705" s="377" t="s">
        <v>6344</v>
      </c>
      <c r="O705" s="324"/>
      <c r="P705" s="279"/>
      <c r="Q705" s="279"/>
      <c r="R705" s="324"/>
      <c r="S705" s="324"/>
      <c r="T705" s="324"/>
      <c r="U705" s="324"/>
      <c r="V705" s="324"/>
      <c r="W705" s="279"/>
      <c r="X705" s="279"/>
      <c r="Y705" s="83"/>
      <c r="Z705" s="83"/>
      <c r="AA705" s="328"/>
      <c r="AB705" s="328"/>
    </row>
    <row r="706" ht="15" spans="1:28">
      <c r="A706" s="285"/>
      <c r="B706" s="291"/>
      <c r="C706" s="292"/>
      <c r="D706" s="293" t="s">
        <v>6236</v>
      </c>
      <c r="E706" s="294">
        <f>(1106.72-142.14)*1.0439</f>
        <v>1006.925062</v>
      </c>
      <c r="F706" s="295">
        <f>(1073.52-142.14)*1.0439</f>
        <v>972.267582</v>
      </c>
      <c r="G706" s="295">
        <f>(1217.4-142.14)*1.0439</f>
        <v>1122.463914</v>
      </c>
      <c r="H706" s="295"/>
      <c r="I706" s="295"/>
      <c r="J706" s="325"/>
      <c r="K706" s="187"/>
      <c r="L706" s="83"/>
      <c r="M706" s="96"/>
      <c r="N706" s="326"/>
      <c r="O706" s="324"/>
      <c r="P706" s="279"/>
      <c r="Q706" s="279"/>
      <c r="R706" s="324"/>
      <c r="S706" s="324"/>
      <c r="T706" s="324"/>
      <c r="U706" s="324"/>
      <c r="V706" s="324"/>
      <c r="W706" s="279"/>
      <c r="X706" s="279"/>
      <c r="Y706" s="83"/>
      <c r="Z706" s="83"/>
      <c r="AA706" s="328"/>
      <c r="AB706" s="328"/>
    </row>
    <row r="707" ht="28.5" spans="1:28">
      <c r="A707" s="285"/>
      <c r="B707" s="291"/>
      <c r="C707" s="292"/>
      <c r="D707" s="293" t="s">
        <v>6237</v>
      </c>
      <c r="E707" s="296" t="s">
        <v>6250</v>
      </c>
      <c r="F707" s="296" t="s">
        <v>6250</v>
      </c>
      <c r="G707" s="296" t="s">
        <v>6250</v>
      </c>
      <c r="H707" s="302"/>
      <c r="I707" s="302"/>
      <c r="J707" s="325"/>
      <c r="K707" s="187"/>
      <c r="L707" s="83"/>
      <c r="M707" s="96"/>
      <c r="N707" s="326"/>
      <c r="O707" s="324"/>
      <c r="P707" s="279"/>
      <c r="Q707" s="279"/>
      <c r="R707" s="324"/>
      <c r="S707" s="324"/>
      <c r="T707" s="324"/>
      <c r="U707" s="279"/>
      <c r="V707" s="279"/>
      <c r="W707" s="279"/>
      <c r="X707" s="279"/>
      <c r="Y707" s="83"/>
      <c r="Z707" s="83"/>
      <c r="AA707" s="328"/>
      <c r="AB707" s="328"/>
    </row>
    <row r="708" ht="15" spans="1:28">
      <c r="A708" s="285"/>
      <c r="B708" s="307"/>
      <c r="C708" s="308"/>
      <c r="D708" s="309"/>
      <c r="E708" s="310"/>
      <c r="F708" s="311"/>
      <c r="G708" s="311"/>
      <c r="H708" s="311"/>
      <c r="I708" s="311"/>
      <c r="J708" s="331"/>
      <c r="K708" s="187"/>
      <c r="L708" s="83"/>
      <c r="M708" s="96"/>
      <c r="N708" s="320"/>
      <c r="O708" s="321"/>
      <c r="P708" s="321"/>
      <c r="Q708" s="321"/>
      <c r="R708" s="321"/>
      <c r="S708" s="321"/>
      <c r="T708" s="321"/>
      <c r="U708" s="321"/>
      <c r="V708" s="321"/>
      <c r="W708" s="321"/>
      <c r="X708" s="321"/>
      <c r="Y708" s="83"/>
      <c r="Z708" s="83"/>
      <c r="AA708" s="98"/>
      <c r="AB708" s="98"/>
    </row>
    <row r="709" ht="24" spans="1:28">
      <c r="A709" s="285"/>
      <c r="B709" s="300"/>
      <c r="C709" s="332" t="s">
        <v>6516</v>
      </c>
      <c r="D709" s="333" t="s">
        <v>6312</v>
      </c>
      <c r="E709" s="289"/>
      <c r="F709" s="290"/>
      <c r="G709" s="290"/>
      <c r="H709" s="290"/>
      <c r="I709" s="290"/>
      <c r="J709" s="322"/>
      <c r="K709" s="187"/>
      <c r="L709" s="187"/>
      <c r="M709" s="96"/>
      <c r="N709" s="326"/>
      <c r="O709" s="324"/>
      <c r="P709" s="279"/>
      <c r="Q709" s="279"/>
      <c r="R709" s="324"/>
      <c r="S709" s="324"/>
      <c r="T709" s="324"/>
      <c r="U709" s="324"/>
      <c r="V709" s="324"/>
      <c r="W709" s="279"/>
      <c r="X709" s="279"/>
      <c r="Y709" s="83"/>
      <c r="Z709" s="83"/>
      <c r="AA709" s="328"/>
      <c r="AB709" s="328"/>
    </row>
    <row r="710" ht="15" spans="1:28">
      <c r="A710" s="285"/>
      <c r="B710" s="307"/>
      <c r="C710" s="308"/>
      <c r="D710" s="309"/>
      <c r="E710" s="310"/>
      <c r="F710" s="311"/>
      <c r="G710" s="311"/>
      <c r="H710" s="311"/>
      <c r="I710" s="311"/>
      <c r="J710" s="331"/>
      <c r="K710" s="187"/>
      <c r="L710" s="83"/>
      <c r="M710" s="96"/>
      <c r="N710" s="320"/>
      <c r="O710" s="321"/>
      <c r="P710" s="321"/>
      <c r="Q710" s="321"/>
      <c r="R710" s="321"/>
      <c r="S710" s="321"/>
      <c r="T710" s="321"/>
      <c r="U710" s="321"/>
      <c r="V710" s="321"/>
      <c r="W710" s="321"/>
      <c r="X710" s="321"/>
      <c r="Y710" s="83"/>
      <c r="Z710" s="83"/>
      <c r="AA710" s="98"/>
      <c r="AB710" s="98"/>
    </row>
    <row r="711" ht="24" spans="1:28">
      <c r="A711" s="285" t="str">
        <f>VLOOKUP(D711,'[2]2024 - Curva ABC de Insumos'!$E$6:$R$172,14,FALSE())</f>
        <v>C</v>
      </c>
      <c r="B711" s="300" t="s">
        <v>2292</v>
      </c>
      <c r="C711" s="305" t="s">
        <v>4815</v>
      </c>
      <c r="D711" s="335" t="s">
        <v>4816</v>
      </c>
      <c r="E711" s="289" t="s">
        <v>6508</v>
      </c>
      <c r="F711" s="290" t="s">
        <v>6509</v>
      </c>
      <c r="G711" s="290" t="s">
        <v>6510</v>
      </c>
      <c r="H711" s="290"/>
      <c r="I711" s="290"/>
      <c r="J711" s="322">
        <f>SMALL(E712:I712,1)</f>
        <v>1006.142137</v>
      </c>
      <c r="K711" s="187">
        <v>1006.142137</v>
      </c>
      <c r="L711" s="187" t="e">
        <f>VLOOKUP(B714,[3]CPUs!D:L,9,FALSE())</f>
        <v>#N/A</v>
      </c>
      <c r="M711" s="96" t="e">
        <f>IF(J711=L711,"OK","DIF")</f>
        <v>#N/A</v>
      </c>
      <c r="N711" s="377" t="s">
        <v>6344</v>
      </c>
      <c r="O711" s="324"/>
      <c r="P711" s="279"/>
      <c r="Q711" s="279"/>
      <c r="R711" s="324"/>
      <c r="S711" s="324"/>
      <c r="T711" s="324"/>
      <c r="U711" s="324"/>
      <c r="V711" s="324"/>
      <c r="W711" s="279"/>
      <c r="X711" s="279"/>
      <c r="Y711" s="83"/>
      <c r="Z711" s="83"/>
      <c r="AA711" s="328"/>
      <c r="AB711" s="328"/>
    </row>
    <row r="712" ht="15" spans="1:28">
      <c r="A712" s="285"/>
      <c r="B712" s="291"/>
      <c r="C712" s="292"/>
      <c r="D712" s="293" t="s">
        <v>6236</v>
      </c>
      <c r="E712" s="294">
        <f>(1140.17-142.14)*1.0439</f>
        <v>1041.843517</v>
      </c>
      <c r="F712" s="295">
        <f>(1105.97-142.14)*1.0439</f>
        <v>1006.142137</v>
      </c>
      <c r="G712" s="295">
        <f>(1254.19-142.14)*1.0439</f>
        <v>1160.868995</v>
      </c>
      <c r="H712" s="295"/>
      <c r="I712" s="295"/>
      <c r="J712" s="325"/>
      <c r="K712" s="187"/>
      <c r="L712" s="83"/>
      <c r="M712" s="96"/>
      <c r="N712" s="326"/>
      <c r="O712" s="324"/>
      <c r="P712" s="279"/>
      <c r="Q712" s="279"/>
      <c r="R712" s="324"/>
      <c r="S712" s="324"/>
      <c r="T712" s="324"/>
      <c r="U712" s="324"/>
      <c r="V712" s="324"/>
      <c r="W712" s="279"/>
      <c r="X712" s="279"/>
      <c r="Y712" s="83"/>
      <c r="Z712" s="83"/>
      <c r="AA712" s="328"/>
      <c r="AB712" s="328"/>
    </row>
    <row r="713" ht="28.5" spans="1:28">
      <c r="A713" s="285"/>
      <c r="B713" s="291"/>
      <c r="C713" s="292"/>
      <c r="D713" s="293" t="s">
        <v>6237</v>
      </c>
      <c r="E713" s="296" t="s">
        <v>6250</v>
      </c>
      <c r="F713" s="296" t="s">
        <v>6250</v>
      </c>
      <c r="G713" s="296" t="s">
        <v>6250</v>
      </c>
      <c r="H713" s="302"/>
      <c r="I713" s="302"/>
      <c r="J713" s="325"/>
      <c r="K713" s="187"/>
      <c r="L713" s="83"/>
      <c r="M713" s="96"/>
      <c r="N713" s="326"/>
      <c r="O713" s="324"/>
      <c r="P713" s="279"/>
      <c r="Q713" s="279"/>
      <c r="R713" s="324"/>
      <c r="S713" s="324"/>
      <c r="T713" s="324"/>
      <c r="U713" s="279"/>
      <c r="V713" s="279"/>
      <c r="W713" s="279"/>
      <c r="X713" s="279"/>
      <c r="Y713" s="83"/>
      <c r="Z713" s="83"/>
      <c r="AA713" s="328"/>
      <c r="AB713" s="328"/>
    </row>
    <row r="714" ht="15" spans="1:28">
      <c r="A714" s="285"/>
      <c r="B714" s="307"/>
      <c r="C714" s="308"/>
      <c r="D714" s="309"/>
      <c r="E714" s="310"/>
      <c r="F714" s="311"/>
      <c r="G714" s="311"/>
      <c r="H714" s="311"/>
      <c r="I714" s="311"/>
      <c r="J714" s="331"/>
      <c r="K714" s="187"/>
      <c r="L714" s="83"/>
      <c r="M714" s="96"/>
      <c r="N714" s="320"/>
      <c r="O714" s="321"/>
      <c r="P714" s="321"/>
      <c r="Q714" s="321"/>
      <c r="R714" s="321"/>
      <c r="S714" s="321"/>
      <c r="T714" s="321"/>
      <c r="U714" s="321"/>
      <c r="V714" s="321"/>
      <c r="W714" s="321"/>
      <c r="X714" s="321"/>
      <c r="Y714" s="83"/>
      <c r="Z714" s="83"/>
      <c r="AA714" s="98"/>
      <c r="AB714" s="98"/>
    </row>
    <row r="715" ht="24" spans="1:28">
      <c r="A715" s="285"/>
      <c r="B715" s="300"/>
      <c r="C715" s="332" t="s">
        <v>6517</v>
      </c>
      <c r="D715" s="333" t="s">
        <v>6284</v>
      </c>
      <c r="E715" s="289"/>
      <c r="F715" s="290"/>
      <c r="G715" s="290"/>
      <c r="H715" s="290"/>
      <c r="I715" s="290"/>
      <c r="J715" s="322"/>
      <c r="K715" s="187"/>
      <c r="L715" s="187"/>
      <c r="M715" s="96"/>
      <c r="N715" s="326"/>
      <c r="O715" s="324"/>
      <c r="P715" s="279"/>
      <c r="Q715" s="279"/>
      <c r="R715" s="324"/>
      <c r="S715" s="324"/>
      <c r="T715" s="324"/>
      <c r="U715" s="324"/>
      <c r="V715" s="324"/>
      <c r="W715" s="279"/>
      <c r="X715" s="279"/>
      <c r="Y715" s="83"/>
      <c r="Z715" s="83"/>
      <c r="AA715" s="328"/>
      <c r="AB715" s="328"/>
    </row>
    <row r="716" ht="15" spans="1:28">
      <c r="A716" s="285"/>
      <c r="B716" s="307"/>
      <c r="C716" s="308"/>
      <c r="D716" s="309"/>
      <c r="E716" s="310"/>
      <c r="F716" s="311"/>
      <c r="G716" s="311"/>
      <c r="H716" s="311"/>
      <c r="I716" s="311"/>
      <c r="J716" s="331"/>
      <c r="K716" s="187"/>
      <c r="L716" s="83"/>
      <c r="M716" s="96"/>
      <c r="N716" s="320"/>
      <c r="O716" s="321"/>
      <c r="P716" s="321"/>
      <c r="Q716" s="321"/>
      <c r="R716" s="321"/>
      <c r="S716" s="321"/>
      <c r="T716" s="321"/>
      <c r="U716" s="321"/>
      <c r="V716" s="321"/>
      <c r="W716" s="321"/>
      <c r="X716" s="321"/>
      <c r="Y716" s="83"/>
      <c r="Z716" s="83"/>
      <c r="AA716" s="98"/>
      <c r="AB716" s="98"/>
    </row>
    <row r="717" ht="24" spans="1:28">
      <c r="A717" s="285" t="str">
        <f>VLOOKUP(D717,'[2]2024 - Curva ABC de Insumos'!$E$6:$R$172,14,FALSE())</f>
        <v>C</v>
      </c>
      <c r="B717" s="300" t="s">
        <v>2295</v>
      </c>
      <c r="C717" s="305" t="s">
        <v>4817</v>
      </c>
      <c r="D717" s="335" t="s">
        <v>4818</v>
      </c>
      <c r="E717" s="289" t="s">
        <v>6508</v>
      </c>
      <c r="F717" s="290" t="s">
        <v>6509</v>
      </c>
      <c r="G717" s="290" t="s">
        <v>6510</v>
      </c>
      <c r="H717" s="290"/>
      <c r="I717" s="290"/>
      <c r="J717" s="322">
        <f>SMALL(E718:I718,1)</f>
        <v>980.890196</v>
      </c>
      <c r="K717" s="187"/>
      <c r="L717" s="187" t="e">
        <f>VLOOKUP(B720,[3]CPUs!D:L,9,FALSE())</f>
        <v>#N/A</v>
      </c>
      <c r="M717" s="96" t="e">
        <f>IF(J717=L717,"OK","DIF")</f>
        <v>#N/A</v>
      </c>
      <c r="N717" s="377" t="s">
        <v>6344</v>
      </c>
      <c r="O717" s="324"/>
      <c r="P717" s="279"/>
      <c r="Q717" s="279"/>
      <c r="R717" s="324"/>
      <c r="S717" s="324"/>
      <c r="T717" s="324"/>
      <c r="U717" s="324"/>
      <c r="V717" s="324"/>
      <c r="W717" s="279"/>
      <c r="X717" s="279"/>
      <c r="Y717" s="83"/>
      <c r="Z717" s="83"/>
      <c r="AA717" s="328"/>
      <c r="AB717" s="328"/>
    </row>
    <row r="718" ht="15" spans="1:28">
      <c r="A718" s="285"/>
      <c r="B718" s="291"/>
      <c r="C718" s="292"/>
      <c r="D718" s="293" t="s">
        <v>6236</v>
      </c>
      <c r="E718" s="294">
        <f>(1201.97-142.14)*1.0439</f>
        <v>1106.356537</v>
      </c>
      <c r="F718" s="295">
        <f>(1262.07-142.14)*1.0439</f>
        <v>1169.094927</v>
      </c>
      <c r="G718" s="295">
        <f>(1081.78-142.14)*1.0439</f>
        <v>980.890196</v>
      </c>
      <c r="H718" s="295"/>
      <c r="I718" s="295"/>
      <c r="J718" s="325"/>
      <c r="K718" s="187"/>
      <c r="L718" s="83"/>
      <c r="M718" s="96"/>
      <c r="N718" s="326"/>
      <c r="O718" s="324"/>
      <c r="P718" s="279"/>
      <c r="Q718" s="279"/>
      <c r="R718" s="324"/>
      <c r="S718" s="324"/>
      <c r="T718" s="324"/>
      <c r="U718" s="324"/>
      <c r="V718" s="324"/>
      <c r="W718" s="279"/>
      <c r="X718" s="279"/>
      <c r="Y718" s="83"/>
      <c r="Z718" s="83"/>
      <c r="AA718" s="328"/>
      <c r="AB718" s="328"/>
    </row>
    <row r="719" ht="28.5" spans="1:28">
      <c r="A719" s="285"/>
      <c r="B719" s="291"/>
      <c r="C719" s="292"/>
      <c r="D719" s="293" t="s">
        <v>6237</v>
      </c>
      <c r="E719" s="296" t="s">
        <v>6250</v>
      </c>
      <c r="F719" s="296" t="s">
        <v>6250</v>
      </c>
      <c r="G719" s="296" t="s">
        <v>6250</v>
      </c>
      <c r="H719" s="302"/>
      <c r="I719" s="302"/>
      <c r="J719" s="325"/>
      <c r="K719" s="187"/>
      <c r="L719" s="83"/>
      <c r="M719" s="96"/>
      <c r="N719" s="326"/>
      <c r="O719" s="324"/>
      <c r="P719" s="279"/>
      <c r="Q719" s="279"/>
      <c r="R719" s="324"/>
      <c r="S719" s="324"/>
      <c r="T719" s="324"/>
      <c r="U719" s="279"/>
      <c r="V719" s="279"/>
      <c r="W719" s="279"/>
      <c r="X719" s="279"/>
      <c r="Y719" s="83"/>
      <c r="Z719" s="83"/>
      <c r="AA719" s="328"/>
      <c r="AB719" s="328"/>
    </row>
    <row r="720" ht="15" spans="1:28">
      <c r="A720" s="285"/>
      <c r="B720" s="307"/>
      <c r="C720" s="308"/>
      <c r="D720" s="309"/>
      <c r="E720" s="310"/>
      <c r="F720" s="311"/>
      <c r="G720" s="311"/>
      <c r="H720" s="311"/>
      <c r="I720" s="311"/>
      <c r="J720" s="331"/>
      <c r="K720" s="187"/>
      <c r="L720" s="83"/>
      <c r="M720" s="96"/>
      <c r="N720" s="320"/>
      <c r="O720" s="321"/>
      <c r="P720" s="321"/>
      <c r="Q720" s="321"/>
      <c r="R720" s="321"/>
      <c r="S720" s="321"/>
      <c r="T720" s="321"/>
      <c r="U720" s="321"/>
      <c r="V720" s="321"/>
      <c r="W720" s="321"/>
      <c r="X720" s="321"/>
      <c r="Y720" s="83"/>
      <c r="Z720" s="83"/>
      <c r="AA720" s="98"/>
      <c r="AB720" s="98"/>
    </row>
    <row r="721" ht="24" spans="1:28">
      <c r="A721" s="285" t="str">
        <f>VLOOKUP(D721,'[2]2024 - Curva ABC de Insumos'!$E$6:$R$172,14,FALSE())</f>
        <v>C</v>
      </c>
      <c r="B721" s="300" t="s">
        <v>2298</v>
      </c>
      <c r="C721" s="305" t="s">
        <v>4819</v>
      </c>
      <c r="D721" s="335" t="s">
        <v>4820</v>
      </c>
      <c r="E721" s="289" t="s">
        <v>6508</v>
      </c>
      <c r="F721" s="290" t="s">
        <v>6509</v>
      </c>
      <c r="G721" s="290" t="s">
        <v>6510</v>
      </c>
      <c r="H721" s="290"/>
      <c r="I721" s="290"/>
      <c r="J721" s="322">
        <f>SMALL(E722:I722,1)</f>
        <v>1095.36427</v>
      </c>
      <c r="K721" s="187"/>
      <c r="L721" s="187" t="e">
        <f>VLOOKUP(B724,[3]CPUs!D:L,9,FALSE())</f>
        <v>#N/A</v>
      </c>
      <c r="M721" s="96" t="e">
        <f>IF(J721=L721,"OK","DIF")</f>
        <v>#N/A</v>
      </c>
      <c r="N721" s="377" t="s">
        <v>6344</v>
      </c>
      <c r="O721" s="324"/>
      <c r="P721" s="279"/>
      <c r="Q721" s="279"/>
      <c r="R721" s="324"/>
      <c r="S721" s="324"/>
      <c r="T721" s="324"/>
      <c r="U721" s="324"/>
      <c r="V721" s="324"/>
      <c r="W721" s="279"/>
      <c r="X721" s="279"/>
      <c r="Y721" s="83"/>
      <c r="Z721" s="83"/>
      <c r="AA721" s="328"/>
      <c r="AB721" s="328"/>
    </row>
    <row r="722" ht="15" spans="1:28">
      <c r="A722" s="285"/>
      <c r="B722" s="291"/>
      <c r="C722" s="292"/>
      <c r="D722" s="293" t="s">
        <v>6236</v>
      </c>
      <c r="E722" s="294">
        <f>(1228.29-142.14)*1.0439</f>
        <v>1133.831985</v>
      </c>
      <c r="F722" s="295">
        <f>(1191.44-142.14)*1.0439</f>
        <v>1095.36427</v>
      </c>
      <c r="G722" s="295">
        <f>(1351.12-142.14)*1.0439</f>
        <v>1262.054222</v>
      </c>
      <c r="H722" s="295"/>
      <c r="I722" s="295"/>
      <c r="J722" s="325"/>
      <c r="K722" s="187"/>
      <c r="L722" s="83"/>
      <c r="M722" s="96"/>
      <c r="N722" s="326"/>
      <c r="O722" s="324"/>
      <c r="P722" s="279"/>
      <c r="Q722" s="279"/>
      <c r="R722" s="324"/>
      <c r="S722" s="324"/>
      <c r="T722" s="324"/>
      <c r="U722" s="324"/>
      <c r="V722" s="324"/>
      <c r="W722" s="279"/>
      <c r="X722" s="279"/>
      <c r="Y722" s="83"/>
      <c r="Z722" s="83"/>
      <c r="AA722" s="328"/>
      <c r="AB722" s="328"/>
    </row>
    <row r="723" ht="28.5" spans="1:28">
      <c r="A723" s="285"/>
      <c r="B723" s="291"/>
      <c r="C723" s="292"/>
      <c r="D723" s="293" t="s">
        <v>6237</v>
      </c>
      <c r="E723" s="296" t="s">
        <v>6250</v>
      </c>
      <c r="F723" s="296" t="s">
        <v>6250</v>
      </c>
      <c r="G723" s="296" t="s">
        <v>6250</v>
      </c>
      <c r="H723" s="302"/>
      <c r="I723" s="302"/>
      <c r="J723" s="325"/>
      <c r="K723" s="187"/>
      <c r="L723" s="83"/>
      <c r="M723" s="96"/>
      <c r="N723" s="326"/>
      <c r="O723" s="324"/>
      <c r="P723" s="279"/>
      <c r="Q723" s="279"/>
      <c r="R723" s="324"/>
      <c r="S723" s="324"/>
      <c r="T723" s="324"/>
      <c r="U723" s="279"/>
      <c r="V723" s="279"/>
      <c r="W723" s="279"/>
      <c r="X723" s="279"/>
      <c r="Y723" s="83"/>
      <c r="Z723" s="83"/>
      <c r="AA723" s="328"/>
      <c r="AB723" s="328"/>
    </row>
    <row r="724" ht="15" spans="1:28">
      <c r="A724" s="285"/>
      <c r="B724" s="307"/>
      <c r="C724" s="308"/>
      <c r="D724" s="309"/>
      <c r="E724" s="310"/>
      <c r="F724" s="311"/>
      <c r="G724" s="311"/>
      <c r="H724" s="311"/>
      <c r="I724" s="311"/>
      <c r="J724" s="331"/>
      <c r="K724" s="187"/>
      <c r="L724" s="83"/>
      <c r="M724" s="96"/>
      <c r="N724" s="320"/>
      <c r="O724" s="321"/>
      <c r="P724" s="321"/>
      <c r="Q724" s="321"/>
      <c r="R724" s="321"/>
      <c r="S724" s="321"/>
      <c r="T724" s="321"/>
      <c r="U724" s="321"/>
      <c r="V724" s="321"/>
      <c r="W724" s="321"/>
      <c r="X724" s="321"/>
      <c r="Y724" s="83"/>
      <c r="Z724" s="83"/>
      <c r="AA724" s="98"/>
      <c r="AB724" s="98"/>
    </row>
    <row r="725" ht="24" spans="1:28">
      <c r="A725" s="285"/>
      <c r="B725" s="300"/>
      <c r="C725" s="332" t="s">
        <v>6518</v>
      </c>
      <c r="D725" s="333" t="s">
        <v>6312</v>
      </c>
      <c r="E725" s="289"/>
      <c r="F725" s="290"/>
      <c r="G725" s="290"/>
      <c r="H725" s="290"/>
      <c r="I725" s="290"/>
      <c r="J725" s="322"/>
      <c r="K725" s="187"/>
      <c r="L725" s="187"/>
      <c r="M725" s="96"/>
      <c r="N725" s="326"/>
      <c r="O725" s="324"/>
      <c r="P725" s="279"/>
      <c r="Q725" s="279"/>
      <c r="R725" s="324"/>
      <c r="S725" s="324"/>
      <c r="T725" s="324"/>
      <c r="U725" s="324"/>
      <c r="V725" s="324"/>
      <c r="W725" s="279"/>
      <c r="X725" s="279"/>
      <c r="Y725" s="83"/>
      <c r="Z725" s="83"/>
      <c r="AA725" s="328"/>
      <c r="AB725" s="328"/>
    </row>
    <row r="726" ht="15" spans="1:28">
      <c r="A726" s="285"/>
      <c r="B726" s="307"/>
      <c r="C726" s="308"/>
      <c r="D726" s="309"/>
      <c r="E726" s="310"/>
      <c r="F726" s="311"/>
      <c r="G726" s="311"/>
      <c r="H726" s="311"/>
      <c r="I726" s="311"/>
      <c r="J726" s="331"/>
      <c r="K726" s="187"/>
      <c r="L726" s="83"/>
      <c r="M726" s="96"/>
      <c r="N726" s="320"/>
      <c r="O726" s="321"/>
      <c r="P726" s="321"/>
      <c r="Q726" s="321"/>
      <c r="R726" s="321"/>
      <c r="S726" s="321"/>
      <c r="T726" s="321"/>
      <c r="U726" s="321"/>
      <c r="V726" s="321"/>
      <c r="W726" s="321"/>
      <c r="X726" s="321"/>
      <c r="Y726" s="83"/>
      <c r="Z726" s="83"/>
      <c r="AA726" s="98"/>
      <c r="AB726" s="98"/>
    </row>
    <row r="727" ht="24" spans="1:28">
      <c r="A727" s="285" t="str">
        <f>VLOOKUP(D727,'[2]2024 - Curva ABC de Insumos'!$E$6:$R$172,14,FALSE())</f>
        <v>C</v>
      </c>
      <c r="B727" s="300" t="s">
        <v>2301</v>
      </c>
      <c r="C727" s="305" t="s">
        <v>4821</v>
      </c>
      <c r="D727" s="335" t="s">
        <v>4822</v>
      </c>
      <c r="E727" s="289" t="s">
        <v>6508</v>
      </c>
      <c r="F727" s="290" t="s">
        <v>6509</v>
      </c>
      <c r="G727" s="290" t="s">
        <v>6510</v>
      </c>
      <c r="H727" s="290"/>
      <c r="I727" s="290"/>
      <c r="J727" s="322">
        <f>SMALL(E728:I728,1)</f>
        <v>1132.955109</v>
      </c>
      <c r="K727" s="187"/>
      <c r="L727" s="187" t="e">
        <f>VLOOKUP(B730,[3]CPUs!D:L,9,FALSE())</f>
        <v>#N/A</v>
      </c>
      <c r="M727" s="96" t="e">
        <f>IF(J727=L727,"OK","DIF")</f>
        <v>#N/A</v>
      </c>
      <c r="N727" s="377" t="s">
        <v>6344</v>
      </c>
      <c r="O727" s="324"/>
      <c r="P727" s="279"/>
      <c r="Q727" s="279"/>
      <c r="R727" s="324"/>
      <c r="S727" s="324"/>
      <c r="T727" s="324"/>
      <c r="U727" s="324"/>
      <c r="V727" s="324"/>
      <c r="W727" s="279"/>
      <c r="X727" s="279"/>
      <c r="Y727" s="83"/>
      <c r="Z727" s="83"/>
      <c r="AA727" s="328"/>
      <c r="AB727" s="328"/>
    </row>
    <row r="728" ht="15" spans="1:28">
      <c r="A728" s="285"/>
      <c r="B728" s="291"/>
      <c r="C728" s="292"/>
      <c r="D728" s="293" t="s">
        <v>6236</v>
      </c>
      <c r="E728" s="294">
        <f>(1265.42-142.14)*1.0439</f>
        <v>1172.591992</v>
      </c>
      <c r="F728" s="295">
        <f>(1227.45-142.14)*1.0439</f>
        <v>1132.955109</v>
      </c>
      <c r="G728" s="295">
        <f>(1391.96-142.14)*1.0439</f>
        <v>1304.687098</v>
      </c>
      <c r="H728" s="295"/>
      <c r="I728" s="295"/>
      <c r="J728" s="325"/>
      <c r="K728" s="187"/>
      <c r="L728" s="83"/>
      <c r="M728" s="96"/>
      <c r="N728" s="326"/>
      <c r="O728" s="324"/>
      <c r="P728" s="279"/>
      <c r="Q728" s="279"/>
      <c r="R728" s="324"/>
      <c r="S728" s="324"/>
      <c r="T728" s="324"/>
      <c r="U728" s="324"/>
      <c r="V728" s="324"/>
      <c r="W728" s="279"/>
      <c r="X728" s="279"/>
      <c r="Y728" s="83"/>
      <c r="Z728" s="83"/>
      <c r="AA728" s="328"/>
      <c r="AB728" s="328"/>
    </row>
    <row r="729" ht="28.5" spans="1:28">
      <c r="A729" s="285"/>
      <c r="B729" s="291"/>
      <c r="C729" s="292"/>
      <c r="D729" s="293" t="s">
        <v>6237</v>
      </c>
      <c r="E729" s="296" t="s">
        <v>6250</v>
      </c>
      <c r="F729" s="296" t="s">
        <v>6250</v>
      </c>
      <c r="G729" s="296" t="s">
        <v>6250</v>
      </c>
      <c r="H729" s="302"/>
      <c r="I729" s="302"/>
      <c r="J729" s="325"/>
      <c r="K729" s="187"/>
      <c r="L729" s="83"/>
      <c r="M729" s="96"/>
      <c r="N729" s="326"/>
      <c r="O729" s="324"/>
      <c r="P729" s="279"/>
      <c r="Q729" s="279"/>
      <c r="R729" s="324"/>
      <c r="S729" s="324"/>
      <c r="T729" s="324"/>
      <c r="U729" s="279"/>
      <c r="V729" s="279"/>
      <c r="W729" s="279"/>
      <c r="X729" s="279"/>
      <c r="Y729" s="83"/>
      <c r="Z729" s="83"/>
      <c r="AA729" s="328"/>
      <c r="AB729" s="328"/>
    </row>
    <row r="730" ht="15" spans="1:28">
      <c r="A730" s="285"/>
      <c r="B730" s="307"/>
      <c r="C730" s="308"/>
      <c r="D730" s="309"/>
      <c r="E730" s="310"/>
      <c r="F730" s="311"/>
      <c r="G730" s="311"/>
      <c r="H730" s="311"/>
      <c r="I730" s="311"/>
      <c r="J730" s="331"/>
      <c r="K730" s="187"/>
      <c r="L730" s="83"/>
      <c r="M730" s="96"/>
      <c r="N730" s="320"/>
      <c r="O730" s="321"/>
      <c r="P730" s="321"/>
      <c r="Q730" s="321"/>
      <c r="R730" s="321"/>
      <c r="S730" s="321"/>
      <c r="T730" s="321"/>
      <c r="U730" s="321"/>
      <c r="V730" s="321"/>
      <c r="W730" s="321"/>
      <c r="X730" s="321"/>
      <c r="Y730" s="83"/>
      <c r="Z730" s="83"/>
      <c r="AA730" s="98"/>
      <c r="AB730" s="98"/>
    </row>
    <row r="731" ht="24" spans="1:28">
      <c r="A731" s="285" t="str">
        <f>VLOOKUP(D731,'[2]2024 - Curva ABC de Insumos'!$E$6:$R$172,14,FALSE())</f>
        <v>C</v>
      </c>
      <c r="B731" s="300" t="s">
        <v>2304</v>
      </c>
      <c r="C731" s="305" t="s">
        <v>4823</v>
      </c>
      <c r="D731" s="335" t="s">
        <v>4824</v>
      </c>
      <c r="E731" s="289" t="s">
        <v>6508</v>
      </c>
      <c r="F731" s="290" t="s">
        <v>6509</v>
      </c>
      <c r="G731" s="290" t="s">
        <v>6510</v>
      </c>
      <c r="H731" s="290"/>
      <c r="I731" s="290"/>
      <c r="J731" s="322">
        <f>SMALL(E732:I732,1)</f>
        <v>1171.683799</v>
      </c>
      <c r="K731" s="187"/>
      <c r="L731" s="187" t="e">
        <f>VLOOKUP(B734,[3]CPUs!D:L,9,FALSE())</f>
        <v>#N/A</v>
      </c>
      <c r="M731" s="96" t="e">
        <f>IF(J731=L731,"OK","DIF")</f>
        <v>#N/A</v>
      </c>
      <c r="N731" s="377" t="s">
        <v>6344</v>
      </c>
      <c r="O731" s="324"/>
      <c r="P731" s="279"/>
      <c r="Q731" s="279"/>
      <c r="R731" s="324"/>
      <c r="S731" s="324"/>
      <c r="T731" s="324"/>
      <c r="U731" s="324"/>
      <c r="V731" s="324"/>
      <c r="W731" s="279"/>
      <c r="X731" s="279"/>
      <c r="Y731" s="83"/>
      <c r="Z731" s="83"/>
      <c r="AA731" s="328"/>
      <c r="AB731" s="328"/>
    </row>
    <row r="732" ht="15" spans="1:28">
      <c r="A732" s="285"/>
      <c r="B732" s="291"/>
      <c r="C732" s="292"/>
      <c r="D732" s="293" t="s">
        <v>6236</v>
      </c>
      <c r="E732" s="294">
        <f>(1303.66-142.14)*1.0439</f>
        <v>1212.510728</v>
      </c>
      <c r="F732" s="295">
        <f>(1264.55-142.14)*1.0439</f>
        <v>1171.683799</v>
      </c>
      <c r="G732" s="295">
        <f>(1434.03-142.14)*1.0439</f>
        <v>1348.603971</v>
      </c>
      <c r="H732" s="295"/>
      <c r="I732" s="295"/>
      <c r="J732" s="325"/>
      <c r="K732" s="187"/>
      <c r="L732" s="83"/>
      <c r="M732" s="96"/>
      <c r="N732" s="326"/>
      <c r="O732" s="324"/>
      <c r="P732" s="279"/>
      <c r="Q732" s="279"/>
      <c r="R732" s="324"/>
      <c r="S732" s="324"/>
      <c r="T732" s="324"/>
      <c r="U732" s="324"/>
      <c r="V732" s="324"/>
      <c r="W732" s="279"/>
      <c r="X732" s="279"/>
      <c r="Y732" s="83"/>
      <c r="Z732" s="83"/>
      <c r="AA732" s="328"/>
      <c r="AB732" s="328"/>
    </row>
    <row r="733" ht="28.5" spans="1:28">
      <c r="A733" s="285"/>
      <c r="B733" s="291"/>
      <c r="C733" s="292"/>
      <c r="D733" s="293" t="s">
        <v>6237</v>
      </c>
      <c r="E733" s="296" t="s">
        <v>6250</v>
      </c>
      <c r="F733" s="296" t="s">
        <v>6250</v>
      </c>
      <c r="G733" s="296" t="s">
        <v>6250</v>
      </c>
      <c r="H733" s="302"/>
      <c r="I733" s="302"/>
      <c r="J733" s="325"/>
      <c r="K733" s="187"/>
      <c r="L733" s="83"/>
      <c r="M733" s="96"/>
      <c r="N733" s="326"/>
      <c r="O733" s="324"/>
      <c r="P733" s="279"/>
      <c r="Q733" s="279"/>
      <c r="R733" s="324"/>
      <c r="S733" s="324"/>
      <c r="T733" s="324"/>
      <c r="U733" s="279"/>
      <c r="V733" s="279"/>
      <c r="W733" s="279"/>
      <c r="X733" s="279"/>
      <c r="Y733" s="83"/>
      <c r="Z733" s="83"/>
      <c r="AA733" s="328"/>
      <c r="AB733" s="328"/>
    </row>
    <row r="734" ht="15" spans="1:28">
      <c r="A734" s="285"/>
      <c r="B734" s="307"/>
      <c r="C734" s="308"/>
      <c r="D734" s="309"/>
      <c r="E734" s="310"/>
      <c r="F734" s="311"/>
      <c r="G734" s="311"/>
      <c r="H734" s="311"/>
      <c r="I734" s="311"/>
      <c r="J734" s="331"/>
      <c r="K734" s="187"/>
      <c r="L734" s="83"/>
      <c r="M734" s="96"/>
      <c r="N734" s="320"/>
      <c r="O734" s="321"/>
      <c r="P734" s="321"/>
      <c r="Q734" s="321"/>
      <c r="R734" s="321"/>
      <c r="S734" s="321"/>
      <c r="T734" s="321"/>
      <c r="U734" s="321"/>
      <c r="V734" s="321"/>
      <c r="W734" s="321"/>
      <c r="X734" s="321"/>
      <c r="Y734" s="83"/>
      <c r="Z734" s="83"/>
      <c r="AA734" s="98"/>
      <c r="AB734" s="98"/>
    </row>
    <row r="735" ht="24" spans="1:28">
      <c r="A735" s="285"/>
      <c r="B735" s="300"/>
      <c r="C735" s="332" t="s">
        <v>6519</v>
      </c>
      <c r="D735" s="333" t="s">
        <v>6284</v>
      </c>
      <c r="E735" s="289"/>
      <c r="F735" s="290"/>
      <c r="G735" s="290"/>
      <c r="H735" s="290"/>
      <c r="I735" s="290"/>
      <c r="J735" s="322"/>
      <c r="K735" s="187"/>
      <c r="L735" s="187"/>
      <c r="M735" s="96"/>
      <c r="N735" s="326"/>
      <c r="O735" s="324"/>
      <c r="P735" s="279"/>
      <c r="Q735" s="279"/>
      <c r="R735" s="324"/>
      <c r="S735" s="324"/>
      <c r="T735" s="324"/>
      <c r="U735" s="324"/>
      <c r="V735" s="324"/>
      <c r="W735" s="279"/>
      <c r="X735" s="279"/>
      <c r="Y735" s="83"/>
      <c r="Z735" s="83"/>
      <c r="AA735" s="328"/>
      <c r="AB735" s="328"/>
    </row>
    <row r="736" ht="15" spans="1:28">
      <c r="A736" s="285"/>
      <c r="B736" s="307"/>
      <c r="C736" s="308"/>
      <c r="D736" s="309"/>
      <c r="E736" s="310"/>
      <c r="F736" s="311"/>
      <c r="G736" s="311"/>
      <c r="H736" s="311"/>
      <c r="I736" s="311"/>
      <c r="J736" s="331"/>
      <c r="K736" s="187"/>
      <c r="L736" s="83"/>
      <c r="M736" s="96"/>
      <c r="N736" s="320"/>
      <c r="O736" s="321"/>
      <c r="P736" s="321"/>
      <c r="Q736" s="321"/>
      <c r="R736" s="321"/>
      <c r="S736" s="321"/>
      <c r="T736" s="321"/>
      <c r="U736" s="321"/>
      <c r="V736" s="321"/>
      <c r="W736" s="321"/>
      <c r="X736" s="321"/>
      <c r="Y736" s="83"/>
      <c r="Z736" s="83"/>
      <c r="AA736" s="98"/>
      <c r="AB736" s="98"/>
    </row>
    <row r="737" ht="24" spans="1:28">
      <c r="A737" s="285" t="str">
        <f>VLOOKUP(D737,'[2]2024 - Curva ABC de Insumos'!$E$6:$R$172,14,FALSE())</f>
        <v>C</v>
      </c>
      <c r="B737" s="300" t="s">
        <v>2307</v>
      </c>
      <c r="C737" s="305" t="s">
        <v>4825</v>
      </c>
      <c r="D737" s="335" t="s">
        <v>4826</v>
      </c>
      <c r="E737" s="289" t="s">
        <v>6508</v>
      </c>
      <c r="F737" s="290" t="s">
        <v>6509</v>
      </c>
      <c r="G737" s="290" t="s">
        <v>6510</v>
      </c>
      <c r="H737" s="290"/>
      <c r="I737" s="290"/>
      <c r="J737" s="322">
        <f>SMALL(E738:I738,1)</f>
        <v>1206.737961</v>
      </c>
      <c r="K737" s="187"/>
      <c r="L737" s="187" t="e">
        <f>VLOOKUP(B740,[3]CPUs!D:L,9,FALSE())</f>
        <v>#N/A</v>
      </c>
      <c r="M737" s="96" t="e">
        <f>IF(J737=L737,"OK","DIF")</f>
        <v>#N/A</v>
      </c>
      <c r="N737" s="377" t="s">
        <v>6344</v>
      </c>
      <c r="O737" s="324"/>
      <c r="P737" s="279"/>
      <c r="Q737" s="279"/>
      <c r="R737" s="324"/>
      <c r="S737" s="324"/>
      <c r="T737" s="324"/>
      <c r="U737" s="324"/>
      <c r="V737" s="324"/>
      <c r="W737" s="279"/>
      <c r="X737" s="279"/>
      <c r="Y737" s="83"/>
      <c r="Z737" s="83"/>
      <c r="AA737" s="328"/>
      <c r="AB737" s="328"/>
    </row>
    <row r="738" ht="15" spans="1:28">
      <c r="A738" s="285"/>
      <c r="B738" s="291"/>
      <c r="C738" s="292"/>
      <c r="D738" s="293" t="s">
        <v>6236</v>
      </c>
      <c r="E738" s="294">
        <f>(1442.37-142.14)*1.0439</f>
        <v>1357.310097</v>
      </c>
      <c r="F738" s="295">
        <f>(1514.49-142.14)*1.0439</f>
        <v>1432.596165</v>
      </c>
      <c r="G738" s="295">
        <f>(1298.13-142.14)*1.0439</f>
        <v>1206.737961</v>
      </c>
      <c r="H738" s="295"/>
      <c r="I738" s="295"/>
      <c r="J738" s="325"/>
      <c r="K738" s="187"/>
      <c r="L738" s="83"/>
      <c r="M738" s="96"/>
      <c r="N738" s="326"/>
      <c r="O738" s="324"/>
      <c r="P738" s="279"/>
      <c r="Q738" s="279"/>
      <c r="R738" s="324"/>
      <c r="S738" s="324"/>
      <c r="T738" s="324"/>
      <c r="U738" s="324"/>
      <c r="V738" s="324"/>
      <c r="W738" s="279"/>
      <c r="X738" s="279"/>
      <c r="Y738" s="83"/>
      <c r="Z738" s="83"/>
      <c r="AA738" s="328"/>
      <c r="AB738" s="328"/>
    </row>
    <row r="739" ht="28.5" spans="1:28">
      <c r="A739" s="285"/>
      <c r="B739" s="291"/>
      <c r="C739" s="292"/>
      <c r="D739" s="293" t="s">
        <v>6237</v>
      </c>
      <c r="E739" s="296" t="s">
        <v>6250</v>
      </c>
      <c r="F739" s="296" t="s">
        <v>6250</v>
      </c>
      <c r="G739" s="296" t="s">
        <v>6250</v>
      </c>
      <c r="H739" s="302"/>
      <c r="I739" s="302"/>
      <c r="J739" s="325"/>
      <c r="K739" s="187"/>
      <c r="L739" s="83"/>
      <c r="M739" s="96"/>
      <c r="N739" s="326"/>
      <c r="O739" s="324"/>
      <c r="P739" s="279"/>
      <c r="Q739" s="279"/>
      <c r="R739" s="324"/>
      <c r="S739" s="324"/>
      <c r="T739" s="324"/>
      <c r="U739" s="279"/>
      <c r="V739" s="279"/>
      <c r="W739" s="279"/>
      <c r="X739" s="279"/>
      <c r="Y739" s="83"/>
      <c r="Z739" s="83"/>
      <c r="AA739" s="328"/>
      <c r="AB739" s="328"/>
    </row>
    <row r="740" ht="15" spans="1:28">
      <c r="A740" s="285"/>
      <c r="B740" s="307"/>
      <c r="C740" s="308"/>
      <c r="D740" s="309"/>
      <c r="E740" s="310"/>
      <c r="F740" s="311"/>
      <c r="G740" s="311"/>
      <c r="H740" s="311"/>
      <c r="I740" s="311"/>
      <c r="J740" s="331"/>
      <c r="K740" s="187"/>
      <c r="L740" s="83"/>
      <c r="M740" s="96"/>
      <c r="N740" s="320"/>
      <c r="O740" s="321"/>
      <c r="P740" s="321"/>
      <c r="Q740" s="321"/>
      <c r="R740" s="321"/>
      <c r="S740" s="321"/>
      <c r="T740" s="321"/>
      <c r="U740" s="321"/>
      <c r="V740" s="321"/>
      <c r="W740" s="321"/>
      <c r="X740" s="321"/>
      <c r="Y740" s="83"/>
      <c r="Z740" s="83"/>
      <c r="AA740" s="98"/>
      <c r="AB740" s="98"/>
    </row>
    <row r="741" ht="24" spans="1:28">
      <c r="A741" s="285"/>
      <c r="B741" s="300"/>
      <c r="C741" s="332" t="s">
        <v>6520</v>
      </c>
      <c r="D741" s="333" t="s">
        <v>6284</v>
      </c>
      <c r="E741" s="289"/>
      <c r="F741" s="290"/>
      <c r="G741" s="290"/>
      <c r="H741" s="290"/>
      <c r="I741" s="290"/>
      <c r="J741" s="322"/>
      <c r="K741" s="187"/>
      <c r="L741" s="187"/>
      <c r="M741" s="96"/>
      <c r="N741" s="326"/>
      <c r="O741" s="324"/>
      <c r="P741" s="279"/>
      <c r="Q741" s="279"/>
      <c r="R741" s="324"/>
      <c r="S741" s="324"/>
      <c r="T741" s="324"/>
      <c r="U741" s="324"/>
      <c r="V741" s="324"/>
      <c r="W741" s="279"/>
      <c r="X741" s="279"/>
      <c r="Y741" s="83"/>
      <c r="Z741" s="83"/>
      <c r="AA741" s="328"/>
      <c r="AB741" s="328"/>
    </row>
    <row r="742" ht="15" spans="1:28">
      <c r="A742" s="285"/>
      <c r="B742" s="307"/>
      <c r="C742" s="308"/>
      <c r="D742" s="309"/>
      <c r="E742" s="310"/>
      <c r="F742" s="311"/>
      <c r="G742" s="311"/>
      <c r="H742" s="311"/>
      <c r="I742" s="311"/>
      <c r="J742" s="331"/>
      <c r="K742" s="187"/>
      <c r="L742" s="83"/>
      <c r="M742" s="96"/>
      <c r="N742" s="320"/>
      <c r="O742" s="321"/>
      <c r="P742" s="321"/>
      <c r="Q742" s="321"/>
      <c r="R742" s="321"/>
      <c r="S742" s="321"/>
      <c r="T742" s="321"/>
      <c r="U742" s="321"/>
      <c r="V742" s="321"/>
      <c r="W742" s="321"/>
      <c r="X742" s="321"/>
      <c r="Y742" s="83"/>
      <c r="Z742" s="83"/>
      <c r="AA742" s="98"/>
      <c r="AB742" s="98"/>
    </row>
    <row r="743" ht="24" spans="1:28">
      <c r="A743" s="285" t="str">
        <f>VLOOKUP(D743,'[2]2024 - Curva ABC de Insumos'!$E$6:$R$172,14,FALSE())</f>
        <v>C</v>
      </c>
      <c r="B743" s="300" t="s">
        <v>2328</v>
      </c>
      <c r="C743" s="305" t="s">
        <v>4837</v>
      </c>
      <c r="D743" s="335" t="s">
        <v>4838</v>
      </c>
      <c r="E743" s="289" t="s">
        <v>6508</v>
      </c>
      <c r="F743" s="290" t="s">
        <v>6509</v>
      </c>
      <c r="G743" s="290" t="s">
        <v>6510</v>
      </c>
      <c r="H743" s="290"/>
      <c r="I743" s="290"/>
      <c r="J743" s="322">
        <f>SMALL(E744:I744,1)</f>
        <v>6242.490683</v>
      </c>
      <c r="K743" s="187"/>
      <c r="L743" s="187" t="e">
        <f>VLOOKUP(B746,[3]CPUs!D:L,9,FALSE())</f>
        <v>#N/A</v>
      </c>
      <c r="M743" s="96" t="e">
        <f>IF(J743=L743,"OK","DIF")</f>
        <v>#N/A</v>
      </c>
      <c r="N743" s="377" t="s">
        <v>6344</v>
      </c>
      <c r="O743" s="324"/>
      <c r="P743" s="279"/>
      <c r="Q743" s="279"/>
      <c r="R743" s="324"/>
      <c r="S743" s="324"/>
      <c r="T743" s="324"/>
      <c r="U743" s="324"/>
      <c r="V743" s="324"/>
      <c r="W743" s="279"/>
      <c r="X743" s="279"/>
      <c r="Y743" s="83"/>
      <c r="Z743" s="83"/>
      <c r="AA743" s="328"/>
      <c r="AB743" s="328"/>
    </row>
    <row r="744" ht="15" spans="1:28">
      <c r="A744" s="285"/>
      <c r="B744" s="291"/>
      <c r="C744" s="292"/>
      <c r="D744" s="293" t="s">
        <v>6236</v>
      </c>
      <c r="E744" s="294">
        <f>(6304.98-135.86)*1.0439</f>
        <v>6439.944368</v>
      </c>
      <c r="F744" s="295">
        <f>(6115.83-135.86)*1.0439</f>
        <v>6242.490683</v>
      </c>
      <c r="G744" s="295">
        <f>(6935.47-135.86)*1.0439</f>
        <v>7098.112879</v>
      </c>
      <c r="H744" s="295"/>
      <c r="I744" s="295"/>
      <c r="J744" s="325"/>
      <c r="K744" s="187"/>
      <c r="L744" s="83"/>
      <c r="M744" s="96"/>
      <c r="N744" s="326"/>
      <c r="O744" s="324"/>
      <c r="P744" s="279"/>
      <c r="Q744" s="279"/>
      <c r="R744" s="324"/>
      <c r="S744" s="324"/>
      <c r="T744" s="324"/>
      <c r="U744" s="324"/>
      <c r="V744" s="324"/>
      <c r="W744" s="279"/>
      <c r="X744" s="279"/>
      <c r="Y744" s="83"/>
      <c r="Z744" s="83"/>
      <c r="AA744" s="328"/>
      <c r="AB744" s="328"/>
    </row>
    <row r="745" ht="28.5" spans="1:28">
      <c r="A745" s="285"/>
      <c r="B745" s="291"/>
      <c r="C745" s="292"/>
      <c r="D745" s="293" t="s">
        <v>6237</v>
      </c>
      <c r="E745" s="296" t="s">
        <v>6250</v>
      </c>
      <c r="F745" s="296" t="s">
        <v>6250</v>
      </c>
      <c r="G745" s="296" t="s">
        <v>6250</v>
      </c>
      <c r="H745" s="302"/>
      <c r="I745" s="302"/>
      <c r="J745" s="325"/>
      <c r="K745" s="187"/>
      <c r="L745" s="83"/>
      <c r="M745" s="96"/>
      <c r="N745" s="326"/>
      <c r="O745" s="324"/>
      <c r="P745" s="279"/>
      <c r="Q745" s="279"/>
      <c r="R745" s="324"/>
      <c r="S745" s="324"/>
      <c r="T745" s="324"/>
      <c r="U745" s="279"/>
      <c r="V745" s="279"/>
      <c r="W745" s="279"/>
      <c r="X745" s="279"/>
      <c r="Y745" s="83"/>
      <c r="Z745" s="83"/>
      <c r="AA745" s="328"/>
      <c r="AB745" s="328"/>
    </row>
    <row r="746" ht="15" spans="1:28">
      <c r="A746" s="285"/>
      <c r="B746" s="307"/>
      <c r="C746" s="308"/>
      <c r="D746" s="309"/>
      <c r="E746" s="310"/>
      <c r="F746" s="311"/>
      <c r="G746" s="311"/>
      <c r="H746" s="311"/>
      <c r="I746" s="311"/>
      <c r="J746" s="331"/>
      <c r="K746" s="187"/>
      <c r="L746" s="83"/>
      <c r="M746" s="96"/>
      <c r="N746" s="320"/>
      <c r="O746" s="321"/>
      <c r="P746" s="321"/>
      <c r="Q746" s="321"/>
      <c r="R746" s="321"/>
      <c r="S746" s="321"/>
      <c r="T746" s="321"/>
      <c r="U746" s="321"/>
      <c r="V746" s="321"/>
      <c r="W746" s="321"/>
      <c r="X746" s="321"/>
      <c r="Y746" s="83"/>
      <c r="Z746" s="83"/>
      <c r="AA746" s="98"/>
      <c r="AB746" s="98"/>
    </row>
    <row r="747" ht="24" spans="1:28">
      <c r="A747" s="285" t="str">
        <f>VLOOKUP(D747,'[2]2024 - Curva ABC de Insumos'!$E$6:$R$172,14,FALSE())</f>
        <v>C</v>
      </c>
      <c r="B747" s="300" t="s">
        <v>2331</v>
      </c>
      <c r="C747" s="305" t="s">
        <v>4839</v>
      </c>
      <c r="D747" s="335" t="s">
        <v>4840</v>
      </c>
      <c r="E747" s="289" t="s">
        <v>6508</v>
      </c>
      <c r="F747" s="290" t="s">
        <v>6509</v>
      </c>
      <c r="G747" s="290" t="s">
        <v>6510</v>
      </c>
      <c r="H747" s="290"/>
      <c r="I747" s="290"/>
      <c r="J747" s="322">
        <f>SMALL(E748:I748,1)</f>
        <v>6880.919045</v>
      </c>
      <c r="K747" s="187"/>
      <c r="L747" s="187" t="e">
        <f>VLOOKUP(B750,[3]CPUs!D:L,9,FALSE())</f>
        <v>#N/A</v>
      </c>
      <c r="M747" s="96" t="e">
        <f>IF(J747=L747,"OK","DIF")</f>
        <v>#N/A</v>
      </c>
      <c r="N747" s="377" t="s">
        <v>6344</v>
      </c>
      <c r="O747" s="324"/>
      <c r="P747" s="279"/>
      <c r="Q747" s="279"/>
      <c r="R747" s="324"/>
      <c r="S747" s="324"/>
      <c r="T747" s="324"/>
      <c r="U747" s="324"/>
      <c r="V747" s="324"/>
      <c r="W747" s="279"/>
      <c r="X747" s="279"/>
      <c r="Y747" s="83"/>
      <c r="Z747" s="83"/>
      <c r="AA747" s="328"/>
      <c r="AB747" s="328"/>
    </row>
    <row r="748" ht="15" spans="1:28">
      <c r="A748" s="285"/>
      <c r="B748" s="291"/>
      <c r="C748" s="292"/>
      <c r="D748" s="293" t="s">
        <v>6236</v>
      </c>
      <c r="E748" s="294">
        <f>(6935.47-135.86)*1.0439</f>
        <v>7098.112879</v>
      </c>
      <c r="F748" s="295">
        <f>(6727.41-135.86)*1.0439</f>
        <v>6880.919045</v>
      </c>
      <c r="G748" s="295">
        <f>(7629.02-135.86)*1.0439</f>
        <v>7822.109724</v>
      </c>
      <c r="H748" s="295"/>
      <c r="I748" s="295"/>
      <c r="J748" s="325"/>
      <c r="K748" s="187"/>
      <c r="L748" s="83"/>
      <c r="M748" s="96"/>
      <c r="N748" s="326"/>
      <c r="O748" s="324"/>
      <c r="P748" s="279"/>
      <c r="Q748" s="279"/>
      <c r="R748" s="324"/>
      <c r="S748" s="324"/>
      <c r="T748" s="324"/>
      <c r="U748" s="324"/>
      <c r="V748" s="324"/>
      <c r="W748" s="279"/>
      <c r="X748" s="279"/>
      <c r="Y748" s="83"/>
      <c r="Z748" s="83"/>
      <c r="AA748" s="328"/>
      <c r="AB748" s="328"/>
    </row>
    <row r="749" ht="28.5" spans="1:28">
      <c r="A749" s="285"/>
      <c r="B749" s="291"/>
      <c r="C749" s="292"/>
      <c r="D749" s="293" t="s">
        <v>6237</v>
      </c>
      <c r="E749" s="296" t="s">
        <v>6250</v>
      </c>
      <c r="F749" s="296" t="s">
        <v>6250</v>
      </c>
      <c r="G749" s="296" t="s">
        <v>6250</v>
      </c>
      <c r="H749" s="302"/>
      <c r="I749" s="302"/>
      <c r="J749" s="325"/>
      <c r="K749" s="187"/>
      <c r="L749" s="83"/>
      <c r="M749" s="96"/>
      <c r="N749" s="326"/>
      <c r="O749" s="324"/>
      <c r="P749" s="279"/>
      <c r="Q749" s="279"/>
      <c r="R749" s="324"/>
      <c r="S749" s="324"/>
      <c r="T749" s="324"/>
      <c r="U749" s="279"/>
      <c r="V749" s="279"/>
      <c r="W749" s="279"/>
      <c r="X749" s="279"/>
      <c r="Y749" s="83"/>
      <c r="Z749" s="83"/>
      <c r="AA749" s="328"/>
      <c r="AB749" s="328"/>
    </row>
    <row r="750" ht="15" spans="1:28">
      <c r="A750" s="285"/>
      <c r="B750" s="307"/>
      <c r="C750" s="308"/>
      <c r="D750" s="309"/>
      <c r="E750" s="310"/>
      <c r="F750" s="311"/>
      <c r="G750" s="311"/>
      <c r="H750" s="311"/>
      <c r="I750" s="311"/>
      <c r="J750" s="331"/>
      <c r="K750" s="187"/>
      <c r="L750" s="83"/>
      <c r="M750" s="96"/>
      <c r="N750" s="320"/>
      <c r="O750" s="321"/>
      <c r="P750" s="321"/>
      <c r="Q750" s="321"/>
      <c r="R750" s="321"/>
      <c r="S750" s="321"/>
      <c r="T750" s="321"/>
      <c r="U750" s="321"/>
      <c r="V750" s="321"/>
      <c r="W750" s="321"/>
      <c r="X750" s="321"/>
      <c r="Y750" s="83"/>
      <c r="Z750" s="83"/>
      <c r="AA750" s="98"/>
      <c r="AB750" s="98"/>
    </row>
    <row r="751" ht="24" spans="1:28">
      <c r="A751" s="285"/>
      <c r="B751" s="300"/>
      <c r="C751" s="332" t="s">
        <v>6521</v>
      </c>
      <c r="D751" s="333" t="s">
        <v>6284</v>
      </c>
      <c r="E751" s="289"/>
      <c r="F751" s="290"/>
      <c r="G751" s="290"/>
      <c r="H751" s="290"/>
      <c r="I751" s="290"/>
      <c r="J751" s="322"/>
      <c r="K751" s="187"/>
      <c r="L751" s="187"/>
      <c r="M751" s="96"/>
      <c r="N751" s="326"/>
      <c r="O751" s="324"/>
      <c r="P751" s="279"/>
      <c r="Q751" s="279"/>
      <c r="R751" s="324"/>
      <c r="S751" s="324"/>
      <c r="T751" s="324"/>
      <c r="U751" s="324"/>
      <c r="V751" s="324"/>
      <c r="W751" s="279"/>
      <c r="X751" s="279"/>
      <c r="Y751" s="83"/>
      <c r="Z751" s="83"/>
      <c r="AA751" s="328"/>
      <c r="AB751" s="328"/>
    </row>
    <row r="752" ht="15" spans="1:28">
      <c r="A752" s="285"/>
      <c r="B752" s="307"/>
      <c r="C752" s="308"/>
      <c r="D752" s="309"/>
      <c r="E752" s="310"/>
      <c r="F752" s="311"/>
      <c r="G752" s="311"/>
      <c r="H752" s="311"/>
      <c r="I752" s="311"/>
      <c r="J752" s="331"/>
      <c r="K752" s="187"/>
      <c r="L752" s="83"/>
      <c r="M752" s="96"/>
      <c r="N752" s="320"/>
      <c r="O752" s="321"/>
      <c r="P752" s="321"/>
      <c r="Q752" s="321"/>
      <c r="R752" s="321"/>
      <c r="S752" s="321"/>
      <c r="T752" s="321"/>
      <c r="U752" s="321"/>
      <c r="V752" s="321"/>
      <c r="W752" s="321"/>
      <c r="X752" s="321"/>
      <c r="Y752" s="83"/>
      <c r="Z752" s="83"/>
      <c r="AA752" s="98"/>
      <c r="AB752" s="98"/>
    </row>
    <row r="753" ht="24" spans="1:28">
      <c r="A753" s="285" t="str">
        <f>VLOOKUP(D753,'[2]2024 - Curva ABC de Insumos'!$E$6:$R$172,14,FALSE())</f>
        <v>C</v>
      </c>
      <c r="B753" s="300" t="s">
        <v>2685</v>
      </c>
      <c r="C753" s="305" t="s">
        <v>5126</v>
      </c>
      <c r="D753" s="288" t="s">
        <v>5127</v>
      </c>
      <c r="E753" s="289" t="s">
        <v>6522</v>
      </c>
      <c r="F753" s="290" t="s">
        <v>6523</v>
      </c>
      <c r="G753" s="290" t="s">
        <v>6524</v>
      </c>
      <c r="H753" s="290"/>
      <c r="I753" s="290"/>
      <c r="J753" s="322">
        <f>SMALL(E754:I754,1)</f>
        <v>72.509294</v>
      </c>
      <c r="K753" s="187"/>
      <c r="L753" s="187" t="e">
        <f>VLOOKUP(B756,[3]CPUs!D:L,9,FALSE())</f>
        <v>#N/A</v>
      </c>
      <c r="M753" s="96" t="e">
        <f>IF(J753=L753,"OK","DIF")</f>
        <v>#N/A</v>
      </c>
      <c r="N753" s="377" t="s">
        <v>6344</v>
      </c>
      <c r="O753" s="324"/>
      <c r="P753" s="279"/>
      <c r="Q753" s="279"/>
      <c r="R753" s="324"/>
      <c r="S753" s="324"/>
      <c r="T753" s="324"/>
      <c r="U753" s="324"/>
      <c r="V753" s="324"/>
      <c r="W753" s="279"/>
      <c r="X753" s="279"/>
      <c r="Y753" s="83"/>
      <c r="Z753" s="83"/>
      <c r="AA753" s="328"/>
      <c r="AB753" s="328"/>
    </row>
    <row r="754" ht="15" spans="1:28">
      <c r="A754" s="285"/>
      <c r="B754" s="291"/>
      <c r="C754" s="292"/>
      <c r="D754" s="293" t="s">
        <v>6236</v>
      </c>
      <c r="E754" s="294">
        <f>117.28*1.0439</f>
        <v>122.428592</v>
      </c>
      <c r="F754" s="295">
        <f>86.24*1.0439</f>
        <v>90.025936</v>
      </c>
      <c r="G754" s="295">
        <f>1.0439*69.46</f>
        <v>72.509294</v>
      </c>
      <c r="H754" s="295"/>
      <c r="I754" s="295"/>
      <c r="J754" s="325"/>
      <c r="K754" s="187"/>
      <c r="L754" s="83"/>
      <c r="M754" s="96"/>
      <c r="N754" s="326"/>
      <c r="O754" s="324"/>
      <c r="P754" s="279"/>
      <c r="Q754" s="279"/>
      <c r="R754" s="324"/>
      <c r="S754" s="324"/>
      <c r="T754" s="324"/>
      <c r="U754" s="324"/>
      <c r="V754" s="324"/>
      <c r="W754" s="279"/>
      <c r="X754" s="279"/>
      <c r="Y754" s="83"/>
      <c r="Z754" s="83"/>
      <c r="AA754" s="328"/>
      <c r="AB754" s="328"/>
    </row>
    <row r="755" ht="128.25" spans="1:28">
      <c r="A755" s="285"/>
      <c r="B755" s="291"/>
      <c r="C755" s="292"/>
      <c r="D755" s="293" t="s">
        <v>6237</v>
      </c>
      <c r="E755" s="344" t="s">
        <v>6525</v>
      </c>
      <c r="F755" s="296" t="s">
        <v>6526</v>
      </c>
      <c r="G755" s="296" t="s">
        <v>6527</v>
      </c>
      <c r="H755" s="302"/>
      <c r="I755" s="302"/>
      <c r="J755" s="325"/>
      <c r="K755" s="187"/>
      <c r="L755" s="83"/>
      <c r="M755" s="96"/>
      <c r="N755" s="326"/>
      <c r="O755" s="324"/>
      <c r="P755" s="279"/>
      <c r="Q755" s="279"/>
      <c r="R755" s="324"/>
      <c r="S755" s="324"/>
      <c r="T755" s="324"/>
      <c r="U755" s="279"/>
      <c r="V755" s="279"/>
      <c r="W755" s="279"/>
      <c r="X755" s="279"/>
      <c r="Y755" s="83"/>
      <c r="Z755" s="83"/>
      <c r="AA755" s="328"/>
      <c r="AB755" s="328"/>
    </row>
    <row r="756" ht="15" spans="1:28">
      <c r="A756" s="285"/>
      <c r="B756" s="307"/>
      <c r="C756" s="308"/>
      <c r="D756" s="309"/>
      <c r="E756" s="310"/>
      <c r="F756" s="311"/>
      <c r="G756" s="311"/>
      <c r="H756" s="311"/>
      <c r="I756" s="311"/>
      <c r="J756" s="331"/>
      <c r="K756" s="187"/>
      <c r="L756" s="83"/>
      <c r="M756" s="96"/>
      <c r="N756" s="320"/>
      <c r="O756" s="321"/>
      <c r="P756" s="321"/>
      <c r="Q756" s="321"/>
      <c r="R756" s="321"/>
      <c r="S756" s="321"/>
      <c r="T756" s="321"/>
      <c r="U756" s="321"/>
      <c r="V756" s="321"/>
      <c r="W756" s="321"/>
      <c r="X756" s="321"/>
      <c r="Y756" s="83"/>
      <c r="Z756" s="83"/>
      <c r="AA756" s="98"/>
      <c r="AB756" s="98"/>
    </row>
    <row r="757" ht="60" spans="1:28">
      <c r="A757" s="345" t="str">
        <f>VLOOKUP(D757,'[2]2024 - Curva ABC de Insumos'!$E$6:$R$172,14,FALSE())</f>
        <v>A</v>
      </c>
      <c r="B757" s="300" t="s">
        <v>2769</v>
      </c>
      <c r="C757" s="305" t="s">
        <v>5194</v>
      </c>
      <c r="D757" s="337" t="s">
        <v>2771</v>
      </c>
      <c r="E757" s="289" t="s">
        <v>6528</v>
      </c>
      <c r="F757" s="290"/>
      <c r="G757" s="290"/>
      <c r="H757" s="290"/>
      <c r="I757" s="290"/>
      <c r="J757" s="322" t="str">
        <f>E758</f>
        <v>R$ 399.237,20</v>
      </c>
      <c r="K757" s="330"/>
      <c r="L757" s="187" t="e">
        <f>VLOOKUP(B760,[3]CPUs!D:L,9,FALSE())</f>
        <v>#N/A</v>
      </c>
      <c r="M757" s="96" t="e">
        <f>IF(J757=L757,"OK","DIF")</f>
        <v>#N/A</v>
      </c>
      <c r="N757" s="326" t="s">
        <v>6244</v>
      </c>
      <c r="O757" s="324"/>
      <c r="P757" s="279"/>
      <c r="Q757" s="279"/>
      <c r="R757" s="324"/>
      <c r="S757" s="324"/>
      <c r="T757" s="324"/>
      <c r="U757" s="324"/>
      <c r="V757" s="324"/>
      <c r="W757" s="279"/>
      <c r="X757" s="279"/>
      <c r="Y757" s="83"/>
      <c r="Z757" s="83"/>
      <c r="AA757" s="328"/>
      <c r="AB757" s="328"/>
    </row>
    <row r="758" ht="15" spans="1:28">
      <c r="A758" s="345"/>
      <c r="B758" s="291"/>
      <c r="C758" s="292"/>
      <c r="D758" s="293" t="s">
        <v>6236</v>
      </c>
      <c r="E758" s="294" t="s">
        <v>6529</v>
      </c>
      <c r="F758" s="295"/>
      <c r="G758" s="295"/>
      <c r="H758" s="295"/>
      <c r="I758" s="295"/>
      <c r="J758" s="325"/>
      <c r="K758" s="187"/>
      <c r="L758" s="83"/>
      <c r="M758" s="96"/>
      <c r="N758" s="326"/>
      <c r="O758" s="324"/>
      <c r="P758" s="279"/>
      <c r="Q758" s="279"/>
      <c r="R758" s="324"/>
      <c r="S758" s="324"/>
      <c r="T758" s="324"/>
      <c r="U758" s="324"/>
      <c r="V758" s="324"/>
      <c r="W758" s="279"/>
      <c r="X758" s="279"/>
      <c r="Y758" s="83"/>
      <c r="Z758" s="83"/>
      <c r="AA758" s="328"/>
      <c r="AB758" s="328"/>
    </row>
    <row r="759" ht="15" spans="1:28">
      <c r="A759" s="345"/>
      <c r="B759" s="291"/>
      <c r="C759" s="292"/>
      <c r="D759" s="293" t="s">
        <v>6237</v>
      </c>
      <c r="E759" s="306" t="s">
        <v>6530</v>
      </c>
      <c r="F759" s="296"/>
      <c r="G759" s="296"/>
      <c r="H759" s="302"/>
      <c r="I759" s="302"/>
      <c r="J759" s="325"/>
      <c r="K759" s="187"/>
      <c r="L759" s="83"/>
      <c r="M759" s="96"/>
      <c r="N759" s="326"/>
      <c r="O759" s="324"/>
      <c r="P759" s="279"/>
      <c r="Q759" s="279"/>
      <c r="R759" s="324"/>
      <c r="S759" s="324"/>
      <c r="T759" s="324"/>
      <c r="U759" s="279"/>
      <c r="V759" s="279"/>
      <c r="W759" s="279"/>
      <c r="X759" s="279"/>
      <c r="Y759" s="83"/>
      <c r="Z759" s="83"/>
      <c r="AA759" s="328"/>
      <c r="AB759" s="328"/>
    </row>
    <row r="760" ht="77.6" customHeight="1" spans="1:28">
      <c r="A760" s="345"/>
      <c r="B760" s="291"/>
      <c r="C760" s="292"/>
      <c r="D760" s="293" t="s">
        <v>6251</v>
      </c>
      <c r="E760" s="304" t="s">
        <v>6531</v>
      </c>
      <c r="F760" s="304"/>
      <c r="G760" s="304"/>
      <c r="H760" s="304"/>
      <c r="I760" s="304"/>
      <c r="J760" s="304"/>
      <c r="K760" s="187"/>
      <c r="L760" s="83"/>
      <c r="M760" s="96"/>
      <c r="N760" s="326"/>
      <c r="O760" s="324"/>
      <c r="P760" s="279"/>
      <c r="Q760" s="279"/>
      <c r="R760" s="324"/>
      <c r="S760" s="324"/>
      <c r="T760" s="324"/>
      <c r="U760" s="324"/>
      <c r="V760" s="324"/>
      <c r="W760" s="279"/>
      <c r="X760" s="279"/>
      <c r="Y760" s="83"/>
      <c r="Z760" s="83"/>
      <c r="AA760" s="328"/>
      <c r="AB760" s="328"/>
    </row>
    <row r="761" spans="1:28">
      <c r="A761" s="345"/>
      <c r="B761" s="336"/>
      <c r="C761" s="299"/>
      <c r="D761" s="299"/>
      <c r="E761" s="299"/>
      <c r="F761" s="299"/>
      <c r="G761" s="299"/>
      <c r="H761" s="299"/>
      <c r="I761" s="299"/>
      <c r="J761" s="327"/>
      <c r="K761" s="187"/>
      <c r="L761" s="338"/>
      <c r="M761" s="329"/>
      <c r="N761" s="328"/>
      <c r="O761" s="328"/>
      <c r="P761" s="328"/>
      <c r="Q761" s="328"/>
      <c r="R761" s="328"/>
      <c r="S761" s="328"/>
      <c r="T761" s="328"/>
      <c r="U761" s="328"/>
      <c r="V761" s="328"/>
      <c r="W761" s="328"/>
      <c r="X761" s="328"/>
      <c r="Y761" s="328"/>
      <c r="Z761" s="328"/>
      <c r="AA761" s="328"/>
      <c r="AB761" s="328"/>
    </row>
    <row r="762" ht="24" spans="1:28">
      <c r="A762" s="285" t="str">
        <f>VLOOKUP(D762,'[2]2024 - Curva ABC de Insumos'!$E$6:$R$172,14,FALSE())</f>
        <v>C</v>
      </c>
      <c r="B762" s="300" t="s">
        <v>6532</v>
      </c>
      <c r="C762" s="305" t="s">
        <v>5243</v>
      </c>
      <c r="D762" s="288" t="s">
        <v>5244</v>
      </c>
      <c r="E762" s="289" t="s">
        <v>6533</v>
      </c>
      <c r="F762" s="290" t="s">
        <v>6534</v>
      </c>
      <c r="G762" s="290" t="s">
        <v>6535</v>
      </c>
      <c r="H762" s="290"/>
      <c r="I762" s="290"/>
      <c r="J762" s="322">
        <f>SMALL(E763:I763,1)</f>
        <v>99.1705</v>
      </c>
      <c r="K762" s="187"/>
      <c r="L762" s="187" t="e">
        <f>VLOOKUP(B765,[3]CPUs!D:L,9,FALSE())</f>
        <v>#N/A</v>
      </c>
      <c r="M762" s="96" t="e">
        <f>IF(J762=L762,"OK","DIF")</f>
        <v>#N/A</v>
      </c>
      <c r="N762" s="377" t="s">
        <v>6344</v>
      </c>
      <c r="O762" s="324"/>
      <c r="P762" s="279"/>
      <c r="Q762" s="279"/>
      <c r="R762" s="324"/>
      <c r="S762" s="324"/>
      <c r="T762" s="324"/>
      <c r="U762" s="324"/>
      <c r="V762" s="324"/>
      <c r="W762" s="279"/>
      <c r="X762" s="279"/>
      <c r="Y762" s="83"/>
      <c r="Z762" s="83"/>
      <c r="AA762" s="328"/>
      <c r="AB762" s="328"/>
    </row>
    <row r="763" ht="15" spans="1:28">
      <c r="A763" s="285"/>
      <c r="B763" s="291"/>
      <c r="C763" s="292"/>
      <c r="D763" s="293" t="s">
        <v>6236</v>
      </c>
      <c r="E763" s="294">
        <f>95*1.0439</f>
        <v>99.1705</v>
      </c>
      <c r="F763" s="295">
        <f>105*1.0439</f>
        <v>109.6095</v>
      </c>
      <c r="G763" s="295">
        <f>106*1.0439</f>
        <v>110.6534</v>
      </c>
      <c r="H763" s="295"/>
      <c r="I763" s="295"/>
      <c r="J763" s="325"/>
      <c r="K763" s="187"/>
      <c r="L763" s="83"/>
      <c r="M763" s="96"/>
      <c r="N763" s="326"/>
      <c r="O763" s="324"/>
      <c r="P763" s="279"/>
      <c r="Q763" s="279"/>
      <c r="R763" s="324"/>
      <c r="S763" s="324"/>
      <c r="T763" s="324"/>
      <c r="U763" s="324"/>
      <c r="V763" s="324"/>
      <c r="W763" s="279"/>
      <c r="X763" s="279"/>
      <c r="Y763" s="83"/>
      <c r="Z763" s="83"/>
      <c r="AA763" s="328"/>
      <c r="AB763" s="328"/>
    </row>
    <row r="764" ht="128.25" spans="1:28">
      <c r="A764" s="285"/>
      <c r="B764" s="291"/>
      <c r="C764" s="292"/>
      <c r="D764" s="293" t="s">
        <v>6237</v>
      </c>
      <c r="E764" s="296" t="s">
        <v>6536</v>
      </c>
      <c r="F764" s="296" t="s">
        <v>6537</v>
      </c>
      <c r="G764" s="296" t="s">
        <v>6538</v>
      </c>
      <c r="H764" s="302"/>
      <c r="I764" s="302"/>
      <c r="J764" s="325"/>
      <c r="K764" s="187"/>
      <c r="L764" s="83"/>
      <c r="M764" s="96"/>
      <c r="N764" s="326"/>
      <c r="O764" s="324"/>
      <c r="P764" s="279"/>
      <c r="Q764" s="279"/>
      <c r="R764" s="324"/>
      <c r="S764" s="324"/>
      <c r="T764" s="324"/>
      <c r="U764" s="279"/>
      <c r="V764" s="279"/>
      <c r="W764" s="279"/>
      <c r="X764" s="279"/>
      <c r="Y764" s="83"/>
      <c r="Z764" s="83"/>
      <c r="AA764" s="328"/>
      <c r="AB764" s="328"/>
    </row>
    <row r="765" ht="15" spans="1:28">
      <c r="A765" s="285"/>
      <c r="B765" s="307"/>
      <c r="C765" s="308"/>
      <c r="D765" s="309"/>
      <c r="E765" s="310"/>
      <c r="F765" s="311"/>
      <c r="G765" s="311"/>
      <c r="H765" s="311"/>
      <c r="I765" s="311"/>
      <c r="J765" s="331"/>
      <c r="K765" s="187"/>
      <c r="L765" s="83"/>
      <c r="M765" s="96"/>
      <c r="N765" s="320"/>
      <c r="O765" s="321"/>
      <c r="P765" s="321"/>
      <c r="Q765" s="321"/>
      <c r="R765" s="321"/>
      <c r="S765" s="321"/>
      <c r="T765" s="321"/>
      <c r="U765" s="321"/>
      <c r="V765" s="321"/>
      <c r="W765" s="321"/>
      <c r="X765" s="321"/>
      <c r="Y765" s="83"/>
      <c r="Z765" s="83"/>
      <c r="AA765" s="98"/>
      <c r="AB765" s="98"/>
    </row>
    <row r="766" ht="24" spans="1:28">
      <c r="A766" s="285" t="str">
        <f>VLOOKUP(D766,'[2]2024 - Curva ABC de Insumos'!$E$6:$R$172,14,FALSE())</f>
        <v>C</v>
      </c>
      <c r="B766" s="300" t="s">
        <v>2815</v>
      </c>
      <c r="C766" s="305" t="s">
        <v>5253</v>
      </c>
      <c r="D766" s="288" t="s">
        <v>5254</v>
      </c>
      <c r="E766" s="289" t="s">
        <v>6539</v>
      </c>
      <c r="F766" s="290" t="s">
        <v>6540</v>
      </c>
      <c r="G766" s="290" t="s">
        <v>6269</v>
      </c>
      <c r="H766" s="290"/>
      <c r="I766" s="290"/>
      <c r="J766" s="322">
        <f>SMALL(E767:I767,1)</f>
        <v>156.146562</v>
      </c>
      <c r="K766" s="187"/>
      <c r="L766" s="187" t="e">
        <f>VLOOKUP(B769,[3]CPUs!D:L,9,FALSE())</f>
        <v>#N/A</v>
      </c>
      <c r="M766" s="96" t="e">
        <f>IF(J766=L766,"OK","DIF")</f>
        <v>#N/A</v>
      </c>
      <c r="N766" s="377" t="s">
        <v>6344</v>
      </c>
      <c r="O766" s="324"/>
      <c r="P766" s="279"/>
      <c r="Q766" s="279"/>
      <c r="R766" s="324"/>
      <c r="S766" s="324"/>
      <c r="T766" s="324"/>
      <c r="U766" s="324"/>
      <c r="V766" s="324"/>
      <c r="W766" s="279"/>
      <c r="X766" s="279"/>
      <c r="Y766" s="83"/>
      <c r="Z766" s="83"/>
      <c r="AA766" s="328"/>
      <c r="AB766" s="328"/>
    </row>
    <row r="767" ht="15" spans="1:28">
      <c r="A767" s="285"/>
      <c r="B767" s="291"/>
      <c r="C767" s="292"/>
      <c r="D767" s="293" t="s">
        <v>6236</v>
      </c>
      <c r="E767" s="294">
        <v>342.7</v>
      </c>
      <c r="F767" s="295">
        <f>149.58*1.0439</f>
        <v>156.146562</v>
      </c>
      <c r="G767" s="295">
        <v>665.4</v>
      </c>
      <c r="H767" s="295"/>
      <c r="I767" s="295"/>
      <c r="J767" s="325"/>
      <c r="K767" s="187"/>
      <c r="L767" s="83"/>
      <c r="M767" s="96"/>
      <c r="N767" s="326"/>
      <c r="O767" s="324"/>
      <c r="P767" s="279"/>
      <c r="Q767" s="279"/>
      <c r="R767" s="324"/>
      <c r="S767" s="324"/>
      <c r="T767" s="324"/>
      <c r="U767" s="324"/>
      <c r="V767" s="324"/>
      <c r="W767" s="279"/>
      <c r="X767" s="279"/>
      <c r="Y767" s="83"/>
      <c r="Z767" s="83"/>
      <c r="AA767" s="328"/>
      <c r="AB767" s="328"/>
    </row>
    <row r="768" ht="225" spans="1:28">
      <c r="A768" s="285"/>
      <c r="B768" s="291"/>
      <c r="C768" s="292"/>
      <c r="D768" s="293" t="s">
        <v>6237</v>
      </c>
      <c r="E768" s="296" t="s">
        <v>6541</v>
      </c>
      <c r="F768" s="301" t="s">
        <v>6542</v>
      </c>
      <c r="G768" s="296" t="s">
        <v>6543</v>
      </c>
      <c r="H768" s="302"/>
      <c r="I768" s="302"/>
      <c r="J768" s="325"/>
      <c r="K768" s="187"/>
      <c r="L768" s="83"/>
      <c r="M768" s="96"/>
      <c r="N768" s="326"/>
      <c r="O768" s="324"/>
      <c r="P768" s="279"/>
      <c r="Q768" s="279"/>
      <c r="R768" s="324"/>
      <c r="S768" s="324"/>
      <c r="T768" s="324"/>
      <c r="U768" s="279"/>
      <c r="V768" s="279"/>
      <c r="W768" s="279"/>
      <c r="X768" s="279"/>
      <c r="Y768" s="83"/>
      <c r="Z768" s="83"/>
      <c r="AA768" s="328"/>
      <c r="AB768" s="328"/>
    </row>
    <row r="769" ht="15" spans="1:28">
      <c r="A769" s="285"/>
      <c r="B769" s="307"/>
      <c r="C769" s="308"/>
      <c r="D769" s="309"/>
      <c r="E769" s="310"/>
      <c r="F769" s="311"/>
      <c r="G769" s="311"/>
      <c r="H769" s="311"/>
      <c r="I769" s="311"/>
      <c r="J769" s="331"/>
      <c r="K769" s="187"/>
      <c r="L769" s="83"/>
      <c r="M769" s="96"/>
      <c r="N769" s="320"/>
      <c r="O769" s="321"/>
      <c r="P769" s="321"/>
      <c r="Q769" s="321"/>
      <c r="R769" s="321"/>
      <c r="S769" s="321"/>
      <c r="T769" s="321"/>
      <c r="U769" s="321"/>
      <c r="V769" s="321"/>
      <c r="W769" s="321"/>
      <c r="X769" s="321"/>
      <c r="Y769" s="83"/>
      <c r="Z769" s="83"/>
      <c r="AA769" s="98"/>
      <c r="AB769" s="98"/>
    </row>
    <row r="770" ht="24" spans="1:28">
      <c r="A770" s="285" t="str">
        <f>VLOOKUP(D770,'[2]2024 - Curva ABC de Insumos'!$E$6:$R$172,14,FALSE())</f>
        <v>C</v>
      </c>
      <c r="B770" s="300" t="s">
        <v>2833</v>
      </c>
      <c r="C770" s="305" t="s">
        <v>5257</v>
      </c>
      <c r="D770" s="288" t="s">
        <v>5258</v>
      </c>
      <c r="E770" s="289" t="s">
        <v>6544</v>
      </c>
      <c r="F770" s="290" t="s">
        <v>6545</v>
      </c>
      <c r="G770" s="290" t="s">
        <v>6546</v>
      </c>
      <c r="H770" s="290"/>
      <c r="I770" s="290"/>
      <c r="J770" s="322">
        <f>SMALL(E771:I771,1)</f>
        <v>108</v>
      </c>
      <c r="K770" s="187"/>
      <c r="L770" s="187" t="e">
        <f>VLOOKUP(B773,[3]CPUs!D:L,9,FALSE())</f>
        <v>#N/A</v>
      </c>
      <c r="M770" s="96" t="e">
        <f>IF(J770=L770,"OK","DIF")</f>
        <v>#N/A</v>
      </c>
      <c r="N770" s="377" t="s">
        <v>6344</v>
      </c>
      <c r="O770" s="324"/>
      <c r="P770" s="279"/>
      <c r="Q770" s="279"/>
      <c r="R770" s="324"/>
      <c r="S770" s="324"/>
      <c r="T770" s="324"/>
      <c r="U770" s="324"/>
      <c r="V770" s="324"/>
      <c r="W770" s="279"/>
      <c r="X770" s="279"/>
      <c r="Y770" s="83"/>
      <c r="Z770" s="83"/>
      <c r="AA770" s="328"/>
      <c r="AB770" s="328"/>
    </row>
    <row r="771" ht="15" spans="1:28">
      <c r="A771" s="285"/>
      <c r="B771" s="291"/>
      <c r="C771" s="292"/>
      <c r="D771" s="293" t="s">
        <v>6236</v>
      </c>
      <c r="E771" s="294">
        <f>109.55*1.0439</f>
        <v>114.359245</v>
      </c>
      <c r="F771" s="295">
        <v>108</v>
      </c>
      <c r="G771" s="295">
        <f>113.85*1.0439</f>
        <v>118.848015</v>
      </c>
      <c r="H771" s="295"/>
      <c r="I771" s="295"/>
      <c r="J771" s="325"/>
      <c r="K771" s="187"/>
      <c r="L771" s="83"/>
      <c r="M771" s="96"/>
      <c r="N771" s="326"/>
      <c r="O771" s="324"/>
      <c r="P771" s="279"/>
      <c r="Q771" s="279"/>
      <c r="R771" s="324"/>
      <c r="S771" s="324"/>
      <c r="T771" s="324"/>
      <c r="U771" s="324"/>
      <c r="V771" s="324"/>
      <c r="W771" s="279"/>
      <c r="X771" s="279"/>
      <c r="Y771" s="83"/>
      <c r="Z771" s="83"/>
      <c r="AA771" s="328"/>
      <c r="AB771" s="328"/>
    </row>
    <row r="772" ht="142.5" spans="1:28">
      <c r="A772" s="285"/>
      <c r="B772" s="291"/>
      <c r="C772" s="292"/>
      <c r="D772" s="293" t="s">
        <v>6237</v>
      </c>
      <c r="E772" s="296" t="s">
        <v>6547</v>
      </c>
      <c r="F772" s="296" t="s">
        <v>6548</v>
      </c>
      <c r="G772" s="296" t="s">
        <v>6549</v>
      </c>
      <c r="H772" s="302"/>
      <c r="I772" s="302"/>
      <c r="J772" s="325"/>
      <c r="K772" s="187"/>
      <c r="L772" s="83"/>
      <c r="M772" s="96"/>
      <c r="N772" s="326"/>
      <c r="O772" s="324"/>
      <c r="P772" s="279"/>
      <c r="Q772" s="279"/>
      <c r="R772" s="324"/>
      <c r="S772" s="324"/>
      <c r="T772" s="324"/>
      <c r="U772" s="279"/>
      <c r="V772" s="279"/>
      <c r="W772" s="279"/>
      <c r="X772" s="279"/>
      <c r="Y772" s="83"/>
      <c r="Z772" s="83"/>
      <c r="AA772" s="328"/>
      <c r="AB772" s="328"/>
    </row>
    <row r="773" ht="15" spans="1:28">
      <c r="A773" s="285"/>
      <c r="B773" s="307"/>
      <c r="C773" s="308"/>
      <c r="D773" s="309"/>
      <c r="E773" s="310"/>
      <c r="F773" s="311"/>
      <c r="G773" s="311"/>
      <c r="H773" s="311"/>
      <c r="I773" s="311"/>
      <c r="J773" s="331"/>
      <c r="K773" s="187"/>
      <c r="L773" s="83"/>
      <c r="M773" s="96"/>
      <c r="N773" s="320"/>
      <c r="O773" s="321"/>
      <c r="P773" s="321"/>
      <c r="Q773" s="321"/>
      <c r="R773" s="321"/>
      <c r="S773" s="321"/>
      <c r="T773" s="321"/>
      <c r="U773" s="321"/>
      <c r="V773" s="321"/>
      <c r="W773" s="321"/>
      <c r="X773" s="321"/>
      <c r="Y773" s="83"/>
      <c r="Z773" s="83"/>
      <c r="AA773" s="98"/>
      <c r="AB773" s="98"/>
    </row>
    <row r="774" ht="24" spans="1:28">
      <c r="A774" s="285" t="str">
        <f>VLOOKUP(D774,'[2]2024 - Curva ABC de Insumos'!$E$6:$R$172,14,FALSE())</f>
        <v>C</v>
      </c>
      <c r="B774" s="300" t="s">
        <v>2833</v>
      </c>
      <c r="C774" s="305" t="s">
        <v>5259</v>
      </c>
      <c r="D774" s="288" t="s">
        <v>5260</v>
      </c>
      <c r="E774" s="289" t="s">
        <v>6550</v>
      </c>
      <c r="F774" s="290" t="s">
        <v>6551</v>
      </c>
      <c r="G774" s="290" t="s">
        <v>6552</v>
      </c>
      <c r="H774" s="290"/>
      <c r="I774" s="290"/>
      <c r="J774" s="322">
        <f>SMALL(E775:I775,1)</f>
        <v>5.89</v>
      </c>
      <c r="K774" s="187"/>
      <c r="L774" s="187" t="e">
        <f>VLOOKUP(B777,[3]CPUs!D:L,9,FALSE())</f>
        <v>#N/A</v>
      </c>
      <c r="M774" s="96" t="e">
        <f>IF(J774=L774,"OK","DIF")</f>
        <v>#N/A</v>
      </c>
      <c r="N774" s="377" t="s">
        <v>6344</v>
      </c>
      <c r="O774" s="324"/>
      <c r="P774" s="279"/>
      <c r="Q774" s="279"/>
      <c r="R774" s="324"/>
      <c r="S774" s="324"/>
      <c r="T774" s="324"/>
      <c r="U774" s="324"/>
      <c r="V774" s="324"/>
      <c r="W774" s="279"/>
      <c r="X774" s="279"/>
      <c r="Y774" s="83"/>
      <c r="Z774" s="83"/>
      <c r="AA774" s="328"/>
      <c r="AB774" s="328"/>
    </row>
    <row r="775" ht="15" spans="1:28">
      <c r="A775" s="388"/>
      <c r="B775" s="291"/>
      <c r="C775" s="292"/>
      <c r="D775" s="293" t="s">
        <v>6236</v>
      </c>
      <c r="E775" s="294">
        <v>5.89</v>
      </c>
      <c r="F775" s="295">
        <v>15</v>
      </c>
      <c r="G775" s="295">
        <f>12*1.0439</f>
        <v>12.5268</v>
      </c>
      <c r="H775" s="295"/>
      <c r="I775" s="295"/>
      <c r="J775" s="325"/>
      <c r="K775" s="83"/>
      <c r="L775" s="83"/>
      <c r="M775" s="96"/>
      <c r="N775" s="326"/>
      <c r="O775" s="324"/>
      <c r="P775" s="279"/>
      <c r="Q775" s="279"/>
      <c r="R775" s="324"/>
      <c r="S775" s="324"/>
      <c r="T775" s="324"/>
      <c r="U775" s="324"/>
      <c r="V775" s="324"/>
      <c r="W775" s="279"/>
      <c r="X775" s="279"/>
      <c r="Y775" s="83"/>
      <c r="Z775" s="83"/>
      <c r="AA775" s="328"/>
      <c r="AB775" s="328"/>
    </row>
    <row r="776" ht="128.25" spans="1:28">
      <c r="A776" s="388"/>
      <c r="B776" s="389"/>
      <c r="C776" s="390"/>
      <c r="D776" s="293" t="s">
        <v>6237</v>
      </c>
      <c r="E776" s="296" t="s">
        <v>6553</v>
      </c>
      <c r="F776" s="296" t="s">
        <v>6554</v>
      </c>
      <c r="G776" s="296" t="s">
        <v>6555</v>
      </c>
      <c r="H776" s="302"/>
      <c r="I776" s="302"/>
      <c r="J776" s="325"/>
      <c r="K776" s="83"/>
      <c r="L776" s="83"/>
      <c r="M776" s="96"/>
      <c r="N776" s="326"/>
      <c r="O776" s="324"/>
      <c r="P776" s="279"/>
      <c r="Q776" s="279"/>
      <c r="R776" s="324"/>
      <c r="S776" s="324"/>
      <c r="T776" s="324"/>
      <c r="U776" s="279"/>
      <c r="V776" s="279"/>
      <c r="W776" s="279"/>
      <c r="X776" s="279"/>
      <c r="Y776" s="83"/>
      <c r="Z776" s="83"/>
      <c r="AA776" s="328"/>
      <c r="AB776" s="328"/>
    </row>
    <row r="777" ht="24" spans="1:28">
      <c r="A777" s="341" t="s">
        <v>6556</v>
      </c>
      <c r="B777" s="391" t="s">
        <v>6557</v>
      </c>
      <c r="C777" s="305" t="s">
        <v>6558</v>
      </c>
      <c r="D777" s="288" t="s">
        <v>4575</v>
      </c>
      <c r="E777" s="289" t="s">
        <v>6426</v>
      </c>
      <c r="F777" s="290" t="s">
        <v>6425</v>
      </c>
      <c r="G777" s="290" t="s">
        <v>6424</v>
      </c>
      <c r="H777" s="290"/>
      <c r="I777" s="290"/>
      <c r="J777" s="322">
        <f>SMALL(E778:I778,1)</f>
        <v>4525.03</v>
      </c>
      <c r="K777" s="187"/>
      <c r="L777" s="187" t="e">
        <f>VLOOKUP(B777,[3]CPUs!D:L,9,FALSE())</f>
        <v>#N/A</v>
      </c>
      <c r="M777" s="96" t="e">
        <f>IF(J777=L777,"OK","DIF")</f>
        <v>#N/A</v>
      </c>
      <c r="N777" s="378" t="s">
        <v>6244</v>
      </c>
      <c r="O777" s="324"/>
      <c r="P777" s="279"/>
      <c r="Q777" s="279"/>
      <c r="R777" s="324"/>
      <c r="S777" s="324"/>
      <c r="T777" s="324"/>
      <c r="U777" s="324"/>
      <c r="V777" s="324"/>
      <c r="W777" s="279"/>
      <c r="X777" s="279"/>
      <c r="Y777" s="83"/>
      <c r="Z777" s="83"/>
      <c r="AA777" s="328"/>
      <c r="AB777" s="328"/>
    </row>
    <row r="778" ht="15" spans="1:28">
      <c r="A778" s="388"/>
      <c r="B778" s="291"/>
      <c r="C778" s="292"/>
      <c r="D778" s="293" t="s">
        <v>6236</v>
      </c>
      <c r="E778" s="294">
        <v>4811.09</v>
      </c>
      <c r="F778" s="295">
        <v>5726.55</v>
      </c>
      <c r="G778" s="295">
        <v>4525.03</v>
      </c>
      <c r="H778" s="295"/>
      <c r="I778" s="295"/>
      <c r="J778" s="325"/>
      <c r="K778" s="83"/>
      <c r="L778" s="83"/>
      <c r="M778" s="96"/>
      <c r="N778" s="326"/>
      <c r="O778" s="324"/>
      <c r="P778" s="279"/>
      <c r="Q778" s="279"/>
      <c r="R778" s="324"/>
      <c r="S778" s="324"/>
      <c r="T778" s="324"/>
      <c r="U778" s="324"/>
      <c r="V778" s="324"/>
      <c r="W778" s="279"/>
      <c r="X778" s="279"/>
      <c r="Y778" s="83"/>
      <c r="Z778" s="83"/>
      <c r="AA778" s="328"/>
      <c r="AB778" s="328"/>
    </row>
    <row r="779" ht="15.75" spans="1:28">
      <c r="A779" s="388"/>
      <c r="B779" s="392"/>
      <c r="C779" s="393"/>
      <c r="D779" s="293" t="s">
        <v>6237</v>
      </c>
      <c r="E779" s="376" t="s">
        <v>6427</v>
      </c>
      <c r="F779" s="376" t="s">
        <v>6427</v>
      </c>
      <c r="G779" s="376" t="s">
        <v>6427</v>
      </c>
      <c r="H779" s="302"/>
      <c r="I779" s="302"/>
      <c r="J779" s="325"/>
      <c r="K779" s="83"/>
      <c r="L779" s="83"/>
      <c r="M779" s="96"/>
      <c r="N779" s="326"/>
      <c r="O779" s="324"/>
      <c r="P779" s="279"/>
      <c r="Q779" s="279"/>
      <c r="R779" s="324"/>
      <c r="S779" s="324"/>
      <c r="T779" s="324"/>
      <c r="U779" s="279"/>
      <c r="V779" s="279"/>
      <c r="W779" s="279"/>
      <c r="X779" s="279"/>
      <c r="Y779" s="83"/>
      <c r="Z779" s="83"/>
      <c r="AA779" s="328"/>
      <c r="AB779" s="328"/>
    </row>
    <row r="780" ht="24" spans="1:28">
      <c r="A780" s="394" t="s">
        <v>6556</v>
      </c>
      <c r="B780" s="395" t="s">
        <v>6559</v>
      </c>
      <c r="C780" s="396" t="s">
        <v>6560</v>
      </c>
      <c r="D780" s="371" t="s">
        <v>1418</v>
      </c>
      <c r="E780" s="397" t="s">
        <v>6561</v>
      </c>
      <c r="F780" s="398" t="s">
        <v>6562</v>
      </c>
      <c r="G780" s="398" t="s">
        <v>6563</v>
      </c>
      <c r="H780" s="398" t="s">
        <v>6564</v>
      </c>
      <c r="I780" s="398" t="s">
        <v>6565</v>
      </c>
      <c r="J780" s="417">
        <f>SMALL(E781:I781,1)</f>
        <v>25000</v>
      </c>
      <c r="K780" s="187"/>
      <c r="L780" s="187" t="e">
        <f>VLOOKUP(B777,[3]CPUs!D:L,9,FALSE())</f>
        <v>#N/A</v>
      </c>
      <c r="M780" s="96" t="e">
        <f>IF(J780=L780,"OK","DIF")</f>
        <v>#N/A</v>
      </c>
      <c r="N780" s="378" t="s">
        <v>6344</v>
      </c>
      <c r="O780" s="324"/>
      <c r="P780" s="279"/>
      <c r="Q780" s="279"/>
      <c r="R780" s="324"/>
      <c r="S780" s="324"/>
      <c r="T780" s="324"/>
      <c r="U780" s="324"/>
      <c r="V780" s="324"/>
      <c r="W780" s="279"/>
      <c r="X780" s="279"/>
      <c r="Y780" s="83"/>
      <c r="Z780" s="83"/>
      <c r="AA780" s="328"/>
      <c r="AB780" s="328"/>
    </row>
    <row r="781" ht="15" spans="1:28">
      <c r="A781" s="399"/>
      <c r="B781" s="291"/>
      <c r="C781" s="292"/>
      <c r="D781" s="293" t="s">
        <v>6236</v>
      </c>
      <c r="E781" s="295">
        <v>50900</v>
      </c>
      <c r="F781" s="295">
        <v>71998</v>
      </c>
      <c r="G781" s="295">
        <v>49515.39</v>
      </c>
      <c r="H781" s="295">
        <v>25000</v>
      </c>
      <c r="I781" s="295">
        <v>29980</v>
      </c>
      <c r="J781" s="325"/>
      <c r="K781" s="83"/>
      <c r="L781" s="83"/>
      <c r="M781" s="96"/>
      <c r="N781" s="326"/>
      <c r="O781" s="324"/>
      <c r="P781" s="279"/>
      <c r="Q781" s="279"/>
      <c r="R781" s="324"/>
      <c r="S781" s="324"/>
      <c r="T781" s="324"/>
      <c r="U781" s="324"/>
      <c r="V781" s="324"/>
      <c r="W781" s="279"/>
      <c r="X781" s="279"/>
      <c r="Y781" s="83"/>
      <c r="Z781" s="83"/>
      <c r="AA781" s="328"/>
      <c r="AB781" s="328"/>
    </row>
    <row r="782" ht="15.75" spans="1:28">
      <c r="A782" s="399"/>
      <c r="B782" s="392"/>
      <c r="C782" s="393"/>
      <c r="D782" s="293" t="s">
        <v>6237</v>
      </c>
      <c r="E782" s="376" t="s">
        <v>6427</v>
      </c>
      <c r="F782" s="376" t="s">
        <v>6427</v>
      </c>
      <c r="G782" s="376" t="s">
        <v>6427</v>
      </c>
      <c r="H782" s="376" t="s">
        <v>6427</v>
      </c>
      <c r="I782" s="376" t="s">
        <v>6427</v>
      </c>
      <c r="J782" s="325"/>
      <c r="K782" s="83"/>
      <c r="L782" s="83"/>
      <c r="M782" s="96"/>
      <c r="N782" s="326"/>
      <c r="O782" s="324"/>
      <c r="P782" s="279"/>
      <c r="Q782" s="279"/>
      <c r="R782" s="324"/>
      <c r="S782" s="324"/>
      <c r="T782" s="324"/>
      <c r="U782" s="279"/>
      <c r="V782" s="279"/>
      <c r="W782" s="279"/>
      <c r="X782" s="279"/>
      <c r="Y782" s="83"/>
      <c r="Z782" s="83"/>
      <c r="AA782" s="328"/>
      <c r="AB782" s="328"/>
    </row>
    <row r="783" ht="16.5" customHeight="1" spans="1:28">
      <c r="A783" s="400"/>
      <c r="B783" s="401" t="s">
        <v>6566</v>
      </c>
      <c r="C783" s="401"/>
      <c r="D783" s="401"/>
      <c r="E783" s="401"/>
      <c r="F783" s="401"/>
      <c r="G783" s="401"/>
      <c r="H783" s="401"/>
      <c r="I783" s="401"/>
      <c r="J783" s="401"/>
      <c r="K783" s="83"/>
      <c r="L783" s="83"/>
      <c r="M783" s="96"/>
      <c r="N783" s="326"/>
      <c r="O783" s="324"/>
      <c r="P783" s="279"/>
      <c r="Q783" s="279"/>
      <c r="R783" s="324"/>
      <c r="S783" s="324"/>
      <c r="T783" s="324"/>
      <c r="U783" s="324"/>
      <c r="V783" s="324"/>
      <c r="W783" s="279"/>
      <c r="X783" s="279"/>
      <c r="Y783" s="83"/>
      <c r="Z783" s="83"/>
      <c r="AA783" s="328"/>
      <c r="AB783" s="328"/>
    </row>
    <row r="784" ht="30" customHeight="1" spans="1:28">
      <c r="A784" s="400"/>
      <c r="B784" s="402" t="s">
        <v>6567</v>
      </c>
      <c r="C784" s="402"/>
      <c r="D784" s="402"/>
      <c r="E784" s="402"/>
      <c r="F784" s="402"/>
      <c r="G784" s="402"/>
      <c r="H784" s="402"/>
      <c r="I784" s="402"/>
      <c r="J784" s="402"/>
      <c r="K784" s="83"/>
      <c r="L784" s="83"/>
      <c r="M784" s="96"/>
      <c r="N784" s="326"/>
      <c r="O784" s="324"/>
      <c r="P784" s="279"/>
      <c r="Q784" s="279"/>
      <c r="R784" s="324"/>
      <c r="S784" s="324"/>
      <c r="T784" s="324"/>
      <c r="U784" s="324"/>
      <c r="V784" s="324"/>
      <c r="W784" s="279"/>
      <c r="X784" s="279"/>
      <c r="Y784" s="83"/>
      <c r="Z784" s="83"/>
      <c r="AA784" s="328"/>
      <c r="AB784" s="328"/>
    </row>
    <row r="785" ht="15" spans="1:28">
      <c r="A785" s="403"/>
      <c r="B785" s="404"/>
      <c r="C785" s="404"/>
      <c r="D785" s="404"/>
      <c r="E785" s="404"/>
      <c r="F785" s="404"/>
      <c r="G785" s="404"/>
      <c r="H785" s="404"/>
      <c r="I785" s="404"/>
      <c r="J785" s="404"/>
      <c r="K785" s="83"/>
      <c r="L785" s="83"/>
      <c r="M785" s="96"/>
      <c r="N785" s="326"/>
      <c r="O785" s="324"/>
      <c r="P785" s="279"/>
      <c r="Q785" s="279"/>
      <c r="R785" s="324"/>
      <c r="S785" s="324"/>
      <c r="T785" s="324"/>
      <c r="U785" s="279"/>
      <c r="V785" s="279"/>
      <c r="W785" s="279"/>
      <c r="X785" s="279"/>
      <c r="Y785" s="83"/>
      <c r="Z785" s="83"/>
      <c r="AA785" s="328"/>
      <c r="AB785" s="328"/>
    </row>
    <row r="786" spans="1:28">
      <c r="A786" s="321"/>
      <c r="B786" s="405"/>
      <c r="C786" s="405"/>
      <c r="D786" s="405"/>
      <c r="E786" s="405"/>
      <c r="F786" s="405"/>
      <c r="G786" s="405"/>
      <c r="H786" s="405"/>
      <c r="I786" s="405"/>
      <c r="J786" s="405"/>
      <c r="K786" s="83"/>
      <c r="L786" s="83"/>
      <c r="M786" s="96"/>
      <c r="N786" s="326"/>
      <c r="O786" s="324"/>
      <c r="P786" s="279"/>
      <c r="Q786" s="279"/>
      <c r="R786" s="324"/>
      <c r="S786" s="324"/>
      <c r="T786" s="324"/>
      <c r="U786" s="324"/>
      <c r="V786" s="324"/>
      <c r="W786" s="279"/>
      <c r="X786" s="279"/>
      <c r="Y786" s="83"/>
      <c r="Z786" s="83"/>
      <c r="AA786" s="328"/>
      <c r="AB786" s="328"/>
    </row>
    <row r="787" spans="1:28">
      <c r="A787" s="406"/>
      <c r="B787" s="407"/>
      <c r="C787" s="408"/>
      <c r="D787" s="408"/>
      <c r="E787" s="311"/>
      <c r="F787" s="311"/>
      <c r="G787" s="311"/>
      <c r="H787" s="311"/>
      <c r="I787" s="311"/>
      <c r="J787" s="418"/>
      <c r="K787" s="187"/>
      <c r="L787" s="187"/>
      <c r="M787" s="96"/>
      <c r="N787" s="326"/>
      <c r="O787" s="324"/>
      <c r="P787" s="279"/>
      <c r="Q787" s="279"/>
      <c r="R787" s="324"/>
      <c r="S787" s="324"/>
      <c r="T787" s="324"/>
      <c r="U787" s="324"/>
      <c r="V787" s="324"/>
      <c r="W787" s="279"/>
      <c r="X787" s="279"/>
      <c r="Y787" s="83"/>
      <c r="Z787" s="83"/>
      <c r="AA787" s="328"/>
      <c r="AB787" s="328"/>
    </row>
    <row r="788" spans="1:28">
      <c r="A788" s="406"/>
      <c r="B788" s="407"/>
      <c r="C788" s="408"/>
      <c r="D788" s="408"/>
      <c r="E788" s="311"/>
      <c r="F788" s="311"/>
      <c r="G788" s="311"/>
      <c r="H788" s="311"/>
      <c r="I788" s="311"/>
      <c r="J788" s="418"/>
      <c r="K788" s="187"/>
      <c r="L788" s="187"/>
      <c r="M788" s="96"/>
      <c r="N788" s="326"/>
      <c r="O788" s="324"/>
      <c r="P788" s="279"/>
      <c r="Q788" s="279"/>
      <c r="R788" s="324"/>
      <c r="S788" s="324"/>
      <c r="T788" s="324"/>
      <c r="U788" s="324"/>
      <c r="V788" s="324"/>
      <c r="W788" s="279"/>
      <c r="X788" s="279"/>
      <c r="Y788" s="83"/>
      <c r="Z788" s="83"/>
      <c r="AA788" s="328"/>
      <c r="AB788" s="328"/>
    </row>
    <row r="789" ht="15" spans="1:28">
      <c r="A789" s="406"/>
      <c r="B789" s="409"/>
      <c r="C789" s="410"/>
      <c r="D789" s="410"/>
      <c r="E789" s="411"/>
      <c r="F789" s="411"/>
      <c r="G789" s="411"/>
      <c r="H789" s="411"/>
      <c r="I789" s="411"/>
      <c r="J789" s="419"/>
      <c r="K789" s="187"/>
      <c r="L789" s="187"/>
      <c r="M789" s="96"/>
      <c r="N789" s="326"/>
      <c r="O789" s="324"/>
      <c r="P789" s="279"/>
      <c r="Q789" s="279"/>
      <c r="R789" s="324"/>
      <c r="S789" s="324"/>
      <c r="T789" s="324"/>
      <c r="U789" s="279"/>
      <c r="V789" s="279"/>
      <c r="W789" s="279"/>
      <c r="X789" s="279"/>
      <c r="Y789" s="83"/>
      <c r="Z789" s="83"/>
      <c r="AA789" s="328"/>
      <c r="AB789" s="328"/>
    </row>
    <row r="790" spans="1:28">
      <c r="A790" s="406"/>
      <c r="B790" s="412"/>
      <c r="C790" s="413"/>
      <c r="D790" s="413"/>
      <c r="E790" s="414"/>
      <c r="F790" s="414"/>
      <c r="G790" s="414"/>
      <c r="H790" s="414"/>
      <c r="I790" s="414"/>
      <c r="J790" s="414"/>
      <c r="K790" s="187"/>
      <c r="L790" s="187"/>
      <c r="M790" s="96"/>
      <c r="N790" s="326"/>
      <c r="O790" s="324"/>
      <c r="P790" s="279"/>
      <c r="Q790" s="279"/>
      <c r="R790" s="324"/>
      <c r="S790" s="324"/>
      <c r="T790" s="324"/>
      <c r="U790" s="324"/>
      <c r="V790" s="324"/>
      <c r="W790" s="279"/>
      <c r="X790" s="279"/>
      <c r="Y790" s="83"/>
      <c r="Z790" s="83"/>
      <c r="AA790" s="328"/>
      <c r="AB790" s="328"/>
    </row>
    <row r="791" spans="1:28">
      <c r="A791" s="326"/>
      <c r="B791" s="415"/>
      <c r="C791" s="324"/>
      <c r="D791" s="279"/>
      <c r="E791" s="279"/>
      <c r="F791" s="324"/>
      <c r="G791" s="324"/>
      <c r="H791" s="324"/>
      <c r="I791" s="324"/>
      <c r="J791" s="324"/>
      <c r="K791" s="187"/>
      <c r="L791" s="187"/>
      <c r="M791" s="96"/>
      <c r="N791" s="326"/>
      <c r="O791" s="324"/>
      <c r="P791" s="279"/>
      <c r="Q791" s="279"/>
      <c r="R791" s="324"/>
      <c r="S791" s="324"/>
      <c r="T791" s="324"/>
      <c r="U791" s="324"/>
      <c r="V791" s="324"/>
      <c r="W791" s="279"/>
      <c r="X791" s="279"/>
      <c r="Y791" s="83"/>
      <c r="Z791" s="83"/>
      <c r="AA791" s="328"/>
      <c r="AB791" s="328"/>
    </row>
    <row r="792" spans="1:28">
      <c r="A792" s="279"/>
      <c r="B792" s="416"/>
      <c r="C792" s="324"/>
      <c r="D792" s="324"/>
      <c r="E792" s="83"/>
      <c r="F792" s="324"/>
      <c r="G792" s="324"/>
      <c r="H792" s="324"/>
      <c r="I792" s="324"/>
      <c r="J792" s="324"/>
      <c r="K792" s="187"/>
      <c r="L792" s="187"/>
      <c r="M792" s="96"/>
      <c r="N792" s="83"/>
      <c r="O792" s="83"/>
      <c r="P792" s="83"/>
      <c r="Q792" s="83"/>
      <c r="R792" s="83"/>
      <c r="S792" s="83"/>
      <c r="T792" s="83"/>
      <c r="U792" s="83"/>
      <c r="V792" s="83"/>
      <c r="W792" s="83"/>
      <c r="X792" s="83"/>
      <c r="Y792" s="83"/>
      <c r="Z792" s="83"/>
      <c r="AA792" s="328"/>
      <c r="AB792" s="328"/>
    </row>
    <row r="793" spans="1:28">
      <c r="A793" s="279"/>
      <c r="B793" s="416"/>
      <c r="C793" s="324"/>
      <c r="D793" s="324"/>
      <c r="E793" s="324"/>
      <c r="F793" s="324"/>
      <c r="G793" s="324"/>
      <c r="H793" s="324"/>
      <c r="I793" s="279"/>
      <c r="J793" s="279"/>
      <c r="K793" s="187"/>
      <c r="L793" s="187"/>
      <c r="M793" s="96"/>
      <c r="N793" s="83"/>
      <c r="O793" s="83"/>
      <c r="P793" s="83"/>
      <c r="Q793" s="83"/>
      <c r="R793" s="83"/>
      <c r="S793" s="83"/>
      <c r="T793" s="83"/>
      <c r="U793" s="83"/>
      <c r="V793" s="83"/>
      <c r="W793" s="83"/>
      <c r="X793" s="83"/>
      <c r="Y793" s="83"/>
      <c r="Z793" s="83"/>
      <c r="AA793" s="328"/>
      <c r="AB793" s="328"/>
    </row>
    <row r="794" spans="1:28">
      <c r="A794" s="279"/>
      <c r="B794" s="416"/>
      <c r="C794" s="324"/>
      <c r="D794" s="324"/>
      <c r="E794" s="324"/>
      <c r="F794" s="324"/>
      <c r="G794" s="324"/>
      <c r="H794" s="324"/>
      <c r="I794" s="324"/>
      <c r="J794" s="324"/>
      <c r="K794" s="187"/>
      <c r="L794" s="187"/>
      <c r="M794" s="96"/>
      <c r="N794" s="83"/>
      <c r="O794" s="83"/>
      <c r="P794" s="83"/>
      <c r="Q794" s="83"/>
      <c r="R794" s="83"/>
      <c r="S794" s="83"/>
      <c r="T794" s="83"/>
      <c r="U794" s="83"/>
      <c r="V794" s="83"/>
      <c r="W794" s="83"/>
      <c r="X794" s="83"/>
      <c r="Y794" s="83"/>
      <c r="Z794" s="83"/>
      <c r="AA794" s="328"/>
      <c r="AB794" s="328"/>
    </row>
    <row r="795" spans="1:28">
      <c r="A795" s="279"/>
      <c r="B795" s="416"/>
      <c r="C795" s="324"/>
      <c r="D795" s="324"/>
      <c r="E795" s="324"/>
      <c r="F795" s="324"/>
      <c r="G795" s="324"/>
      <c r="H795" s="324"/>
      <c r="I795" s="324"/>
      <c r="J795" s="324"/>
      <c r="K795" s="187"/>
      <c r="L795" s="187"/>
      <c r="M795" s="96"/>
      <c r="N795" s="83"/>
      <c r="O795" s="83"/>
      <c r="P795" s="83"/>
      <c r="Q795" s="83"/>
      <c r="R795" s="83"/>
      <c r="S795" s="83"/>
      <c r="T795" s="83"/>
      <c r="U795" s="83"/>
      <c r="V795" s="83"/>
      <c r="W795" s="83"/>
      <c r="X795" s="83"/>
      <c r="Y795" s="83"/>
      <c r="Z795" s="83"/>
      <c r="AA795" s="328"/>
      <c r="AB795" s="328"/>
    </row>
    <row r="796" spans="1:28">
      <c r="A796" s="279"/>
      <c r="B796" s="416"/>
      <c r="C796" s="324"/>
      <c r="D796" s="324"/>
      <c r="E796" s="324"/>
      <c r="F796" s="324"/>
      <c r="G796" s="324"/>
      <c r="H796" s="324"/>
      <c r="I796" s="324"/>
      <c r="J796" s="324"/>
      <c r="K796" s="187"/>
      <c r="L796" s="187"/>
      <c r="M796" s="96"/>
      <c r="N796" s="83"/>
      <c r="O796" s="83"/>
      <c r="P796" s="83"/>
      <c r="Q796" s="83"/>
      <c r="R796" s="83"/>
      <c r="S796" s="83"/>
      <c r="T796" s="83"/>
      <c r="U796" s="83"/>
      <c r="V796" s="83"/>
      <c r="W796" s="83"/>
      <c r="X796" s="83"/>
      <c r="Y796" s="83"/>
      <c r="Z796" s="83"/>
      <c r="AA796" s="328"/>
      <c r="AB796" s="328"/>
    </row>
    <row r="797" spans="1:28">
      <c r="A797" s="279"/>
      <c r="B797" s="416"/>
      <c r="C797" s="324"/>
      <c r="D797" s="324"/>
      <c r="E797" s="324"/>
      <c r="F797" s="324"/>
      <c r="G797" s="324"/>
      <c r="H797" s="324"/>
      <c r="I797" s="279"/>
      <c r="J797" s="279"/>
      <c r="K797" s="187"/>
      <c r="L797" s="187"/>
      <c r="M797" s="96"/>
      <c r="N797" s="83"/>
      <c r="O797" s="83"/>
      <c r="P797" s="83"/>
      <c r="Q797" s="83"/>
      <c r="R797" s="83"/>
      <c r="S797" s="83"/>
      <c r="T797" s="83"/>
      <c r="U797" s="83"/>
      <c r="V797" s="83"/>
      <c r="W797" s="83"/>
      <c r="X797" s="83"/>
      <c r="Y797" s="83"/>
      <c r="Z797" s="83"/>
      <c r="AA797" s="328"/>
      <c r="AB797" s="328"/>
    </row>
    <row r="798" spans="1:28">
      <c r="A798" s="279"/>
      <c r="B798" s="416"/>
      <c r="C798" s="324"/>
      <c r="D798" s="324"/>
      <c r="E798" s="324"/>
      <c r="F798" s="324"/>
      <c r="G798" s="324"/>
      <c r="H798" s="324"/>
      <c r="I798" s="324"/>
      <c r="J798" s="324"/>
      <c r="K798" s="187"/>
      <c r="L798" s="187"/>
      <c r="M798" s="96"/>
      <c r="N798" s="83"/>
      <c r="O798" s="83"/>
      <c r="P798" s="83"/>
      <c r="Q798" s="83"/>
      <c r="R798" s="83"/>
      <c r="S798" s="83"/>
      <c r="T798" s="83"/>
      <c r="U798" s="83"/>
      <c r="V798" s="83"/>
      <c r="W798" s="83"/>
      <c r="X798" s="83"/>
      <c r="Y798" s="83"/>
      <c r="Z798" s="83"/>
      <c r="AA798" s="328"/>
      <c r="AB798" s="328"/>
    </row>
    <row r="799" spans="1:28">
      <c r="A799" s="279"/>
      <c r="B799" s="416"/>
      <c r="C799" s="324"/>
      <c r="D799" s="324"/>
      <c r="E799" s="324"/>
      <c r="F799" s="324"/>
      <c r="G799" s="324"/>
      <c r="H799" s="324"/>
      <c r="I799" s="324"/>
      <c r="J799" s="324"/>
      <c r="K799" s="187"/>
      <c r="L799" s="187"/>
      <c r="M799" s="96"/>
      <c r="N799" s="83"/>
      <c r="O799" s="83"/>
      <c r="P799" s="83"/>
      <c r="Q799" s="83"/>
      <c r="R799" s="83"/>
      <c r="S799" s="83"/>
      <c r="T799" s="83"/>
      <c r="U799" s="83"/>
      <c r="V799" s="83"/>
      <c r="W799" s="83"/>
      <c r="X799" s="83"/>
      <c r="Y799" s="83"/>
      <c r="Z799" s="83"/>
      <c r="AA799" s="328"/>
      <c r="AB799" s="328"/>
    </row>
    <row r="800" spans="1:28">
      <c r="A800" s="279"/>
      <c r="B800" s="416"/>
      <c r="C800" s="324"/>
      <c r="D800" s="324"/>
      <c r="E800" s="324"/>
      <c r="F800" s="324"/>
      <c r="G800" s="324"/>
      <c r="H800" s="324"/>
      <c r="I800" s="324"/>
      <c r="J800" s="324"/>
      <c r="K800" s="187"/>
      <c r="L800" s="187"/>
      <c r="M800" s="96"/>
      <c r="N800" s="83"/>
      <c r="O800" s="83"/>
      <c r="P800" s="83"/>
      <c r="Q800" s="83"/>
      <c r="R800" s="83"/>
      <c r="S800" s="83"/>
      <c r="T800" s="83"/>
      <c r="U800" s="83"/>
      <c r="V800" s="83"/>
      <c r="W800" s="83"/>
      <c r="X800" s="83"/>
      <c r="Y800" s="83"/>
      <c r="Z800" s="83"/>
      <c r="AA800" s="328"/>
      <c r="AB800" s="328"/>
    </row>
    <row r="801" spans="1:28">
      <c r="A801" s="279"/>
      <c r="B801" s="416"/>
      <c r="C801" s="324"/>
      <c r="D801" s="324"/>
      <c r="E801" s="324"/>
      <c r="F801" s="324"/>
      <c r="G801" s="324"/>
      <c r="H801" s="324"/>
      <c r="I801" s="279"/>
      <c r="J801" s="279"/>
      <c r="K801" s="187"/>
      <c r="L801" s="187"/>
      <c r="M801" s="96"/>
      <c r="N801" s="83"/>
      <c r="O801" s="83"/>
      <c r="P801" s="83"/>
      <c r="Q801" s="83"/>
      <c r="R801" s="83"/>
      <c r="S801" s="83"/>
      <c r="T801" s="83"/>
      <c r="U801" s="83"/>
      <c r="V801" s="83"/>
      <c r="W801" s="83"/>
      <c r="X801" s="83"/>
      <c r="Y801" s="83"/>
      <c r="Z801" s="83"/>
      <c r="AA801" s="328"/>
      <c r="AB801" s="328"/>
    </row>
    <row r="802" spans="1:28">
      <c r="A802" s="279"/>
      <c r="B802" s="416"/>
      <c r="C802" s="324"/>
      <c r="D802" s="324"/>
      <c r="E802" s="324"/>
      <c r="F802" s="324"/>
      <c r="G802" s="324"/>
      <c r="H802" s="324"/>
      <c r="I802" s="324"/>
      <c r="J802" s="324"/>
      <c r="K802" s="187"/>
      <c r="L802" s="187"/>
      <c r="M802" s="96"/>
      <c r="N802" s="83"/>
      <c r="O802" s="83"/>
      <c r="P802" s="83"/>
      <c r="Q802" s="83"/>
      <c r="R802" s="83"/>
      <c r="S802" s="83"/>
      <c r="T802" s="83"/>
      <c r="U802" s="83"/>
      <c r="V802" s="83"/>
      <c r="W802" s="83"/>
      <c r="X802" s="83"/>
      <c r="Y802" s="83"/>
      <c r="Z802" s="83"/>
      <c r="AA802" s="328"/>
      <c r="AB802" s="328"/>
    </row>
    <row r="803" spans="1:28">
      <c r="A803" s="279"/>
      <c r="B803" s="416"/>
      <c r="C803" s="324"/>
      <c r="D803" s="324"/>
      <c r="E803" s="324"/>
      <c r="F803" s="324"/>
      <c r="G803" s="324"/>
      <c r="H803" s="324"/>
      <c r="I803" s="324"/>
      <c r="J803" s="324"/>
      <c r="K803" s="187"/>
      <c r="L803" s="187"/>
      <c r="M803" s="96"/>
      <c r="N803" s="83"/>
      <c r="O803" s="83"/>
      <c r="P803" s="83"/>
      <c r="Q803" s="83"/>
      <c r="R803" s="83"/>
      <c r="S803" s="83"/>
      <c r="T803" s="83"/>
      <c r="U803" s="83"/>
      <c r="V803" s="83"/>
      <c r="W803" s="83"/>
      <c r="X803" s="83"/>
      <c r="Y803" s="83"/>
      <c r="Z803" s="83"/>
      <c r="AA803" s="328"/>
      <c r="AB803" s="328"/>
    </row>
    <row r="804" spans="1:28">
      <c r="A804" s="279"/>
      <c r="B804" s="416"/>
      <c r="C804" s="324"/>
      <c r="D804" s="324"/>
      <c r="E804" s="324"/>
      <c r="F804" s="324"/>
      <c r="G804" s="324"/>
      <c r="H804" s="324"/>
      <c r="I804" s="324"/>
      <c r="J804" s="324"/>
      <c r="K804" s="187"/>
      <c r="L804" s="187"/>
      <c r="M804" s="96"/>
      <c r="N804" s="83"/>
      <c r="O804" s="83"/>
      <c r="P804" s="83"/>
      <c r="Q804" s="83"/>
      <c r="R804" s="83"/>
      <c r="S804" s="83"/>
      <c r="T804" s="83"/>
      <c r="U804" s="83"/>
      <c r="V804" s="83"/>
      <c r="W804" s="83"/>
      <c r="X804" s="83"/>
      <c r="Y804" s="83"/>
      <c r="Z804" s="83"/>
      <c r="AA804" s="328"/>
      <c r="AB804" s="328"/>
    </row>
    <row r="805" spans="1:28">
      <c r="A805" s="279"/>
      <c r="B805" s="416"/>
      <c r="C805" s="324"/>
      <c r="D805" s="324"/>
      <c r="E805" s="324"/>
      <c r="F805" s="324"/>
      <c r="G805" s="324"/>
      <c r="H805" s="324"/>
      <c r="I805" s="279"/>
      <c r="J805" s="279"/>
      <c r="K805" s="187"/>
      <c r="L805" s="187"/>
      <c r="M805" s="96"/>
      <c r="N805" s="83"/>
      <c r="O805" s="83"/>
      <c r="P805" s="83"/>
      <c r="Q805" s="83"/>
      <c r="R805" s="83"/>
      <c r="S805" s="83"/>
      <c r="T805" s="83"/>
      <c r="U805" s="83"/>
      <c r="V805" s="83"/>
      <c r="W805" s="83"/>
      <c r="X805" s="83"/>
      <c r="Y805" s="83"/>
      <c r="Z805" s="83"/>
      <c r="AA805" s="328"/>
      <c r="AB805" s="328"/>
    </row>
    <row r="806" spans="1:28">
      <c r="A806" s="279"/>
      <c r="B806" s="416"/>
      <c r="C806" s="324"/>
      <c r="D806" s="324"/>
      <c r="E806" s="324"/>
      <c r="F806" s="324"/>
      <c r="G806" s="324"/>
      <c r="H806" s="324"/>
      <c r="I806" s="324"/>
      <c r="J806" s="324"/>
      <c r="K806" s="187"/>
      <c r="L806" s="187"/>
      <c r="M806" s="96"/>
      <c r="N806" s="83"/>
      <c r="O806" s="83"/>
      <c r="P806" s="83"/>
      <c r="Q806" s="83"/>
      <c r="R806" s="83"/>
      <c r="S806" s="83"/>
      <c r="T806" s="83"/>
      <c r="U806" s="83"/>
      <c r="V806" s="83"/>
      <c r="W806" s="83"/>
      <c r="X806" s="83"/>
      <c r="Y806" s="83"/>
      <c r="Z806" s="83"/>
      <c r="AA806" s="328"/>
      <c r="AB806" s="328"/>
    </row>
    <row r="807" spans="1:28">
      <c r="A807" s="279"/>
      <c r="B807" s="416"/>
      <c r="C807" s="324"/>
      <c r="D807" s="324"/>
      <c r="E807" s="324"/>
      <c r="F807" s="324"/>
      <c r="G807" s="324"/>
      <c r="H807" s="324"/>
      <c r="I807" s="324"/>
      <c r="J807" s="324"/>
      <c r="K807" s="187"/>
      <c r="L807" s="187"/>
      <c r="M807" s="96"/>
      <c r="N807" s="83"/>
      <c r="O807" s="83"/>
      <c r="P807" s="83"/>
      <c r="Q807" s="83"/>
      <c r="R807" s="83"/>
      <c r="S807" s="83"/>
      <c r="T807" s="83"/>
      <c r="U807" s="83"/>
      <c r="V807" s="83"/>
      <c r="W807" s="83"/>
      <c r="X807" s="83"/>
      <c r="Y807" s="83"/>
      <c r="Z807" s="83"/>
      <c r="AA807" s="328"/>
      <c r="AB807" s="328"/>
    </row>
    <row r="808" spans="1:28">
      <c r="A808" s="279"/>
      <c r="B808" s="416"/>
      <c r="C808" s="324"/>
      <c r="D808" s="324"/>
      <c r="E808" s="324"/>
      <c r="F808" s="324"/>
      <c r="G808" s="324"/>
      <c r="H808" s="324"/>
      <c r="I808" s="324"/>
      <c r="J808" s="324"/>
      <c r="K808" s="187"/>
      <c r="L808" s="187"/>
      <c r="M808" s="96"/>
      <c r="N808" s="83"/>
      <c r="O808" s="83"/>
      <c r="P808" s="83"/>
      <c r="Q808" s="83"/>
      <c r="R808" s="83"/>
      <c r="S808" s="83"/>
      <c r="T808" s="83"/>
      <c r="U808" s="83"/>
      <c r="V808" s="83"/>
      <c r="W808" s="83"/>
      <c r="X808" s="83"/>
      <c r="Y808" s="83"/>
      <c r="Z808" s="83"/>
      <c r="AA808" s="328"/>
      <c r="AB808" s="328"/>
    </row>
    <row r="809" spans="1:28">
      <c r="A809" s="279"/>
      <c r="B809" s="416"/>
      <c r="C809" s="324"/>
      <c r="D809" s="324"/>
      <c r="E809" s="324"/>
      <c r="F809" s="324"/>
      <c r="G809" s="324"/>
      <c r="H809" s="324"/>
      <c r="I809" s="279"/>
      <c r="J809" s="279"/>
      <c r="K809" s="187"/>
      <c r="L809" s="187"/>
      <c r="M809" s="96"/>
      <c r="N809" s="83"/>
      <c r="O809" s="83"/>
      <c r="P809" s="83"/>
      <c r="Q809" s="83"/>
      <c r="R809" s="83"/>
      <c r="S809" s="83"/>
      <c r="T809" s="83"/>
      <c r="U809" s="83"/>
      <c r="V809" s="83"/>
      <c r="W809" s="83"/>
      <c r="X809" s="83"/>
      <c r="Y809" s="83"/>
      <c r="Z809" s="83"/>
      <c r="AA809" s="328"/>
      <c r="AB809" s="328"/>
    </row>
    <row r="810" spans="1:28">
      <c r="A810" s="279"/>
      <c r="B810" s="416"/>
      <c r="C810" s="324"/>
      <c r="D810" s="324"/>
      <c r="E810" s="324"/>
      <c r="F810" s="324"/>
      <c r="G810" s="324"/>
      <c r="H810" s="324"/>
      <c r="I810" s="324"/>
      <c r="J810" s="324"/>
      <c r="K810" s="187"/>
      <c r="L810" s="187"/>
      <c r="M810" s="96"/>
      <c r="N810" s="83"/>
      <c r="O810" s="83"/>
      <c r="P810" s="83"/>
      <c r="Q810" s="83"/>
      <c r="R810" s="83"/>
      <c r="S810" s="83"/>
      <c r="T810" s="83"/>
      <c r="U810" s="83"/>
      <c r="V810" s="83"/>
      <c r="W810" s="83"/>
      <c r="X810" s="83"/>
      <c r="Y810" s="83"/>
      <c r="Z810" s="83"/>
      <c r="AA810" s="328"/>
      <c r="AB810" s="328"/>
    </row>
    <row r="811" spans="1:28">
      <c r="A811" s="279"/>
      <c r="B811" s="416"/>
      <c r="C811" s="324"/>
      <c r="D811" s="324"/>
      <c r="E811" s="324"/>
      <c r="F811" s="324"/>
      <c r="G811" s="324"/>
      <c r="H811" s="324"/>
      <c r="I811" s="324"/>
      <c r="J811" s="324"/>
      <c r="K811" s="187"/>
      <c r="L811" s="187"/>
      <c r="M811" s="96"/>
      <c r="N811" s="83"/>
      <c r="O811" s="83"/>
      <c r="P811" s="83"/>
      <c r="Q811" s="83"/>
      <c r="R811" s="83"/>
      <c r="S811" s="83"/>
      <c r="T811" s="83"/>
      <c r="U811" s="83"/>
      <c r="V811" s="83"/>
      <c r="W811" s="83"/>
      <c r="X811" s="83"/>
      <c r="Y811" s="83"/>
      <c r="Z811" s="83"/>
      <c r="AA811" s="328"/>
      <c r="AB811" s="328"/>
    </row>
    <row r="812" spans="1:28">
      <c r="A812" s="279"/>
      <c r="B812" s="416"/>
      <c r="C812" s="324"/>
      <c r="D812" s="324"/>
      <c r="E812" s="324"/>
      <c r="F812" s="324"/>
      <c r="G812" s="324"/>
      <c r="H812" s="324"/>
      <c r="I812" s="324"/>
      <c r="J812" s="324"/>
      <c r="K812" s="187"/>
      <c r="L812" s="187"/>
      <c r="M812" s="96"/>
      <c r="N812" s="83"/>
      <c r="O812" s="83"/>
      <c r="P812" s="83"/>
      <c r="Q812" s="83"/>
      <c r="R812" s="83"/>
      <c r="S812" s="83"/>
      <c r="T812" s="83"/>
      <c r="U812" s="83"/>
      <c r="V812" s="83"/>
      <c r="W812" s="83"/>
      <c r="X812" s="83"/>
      <c r="Y812" s="83"/>
      <c r="Z812" s="83"/>
      <c r="AA812" s="328"/>
      <c r="AB812" s="328"/>
    </row>
    <row r="813" spans="1:28">
      <c r="A813" s="279"/>
      <c r="B813" s="416"/>
      <c r="C813" s="324"/>
      <c r="D813" s="324"/>
      <c r="E813" s="324"/>
      <c r="F813" s="324"/>
      <c r="G813" s="324"/>
      <c r="H813" s="324"/>
      <c r="I813" s="279"/>
      <c r="J813" s="279"/>
      <c r="K813" s="187"/>
      <c r="L813" s="187"/>
      <c r="M813" s="96"/>
      <c r="N813" s="83"/>
      <c r="O813" s="83"/>
      <c r="P813" s="83"/>
      <c r="Q813" s="83"/>
      <c r="R813" s="83"/>
      <c r="S813" s="83"/>
      <c r="T813" s="83"/>
      <c r="U813" s="83"/>
      <c r="V813" s="83"/>
      <c r="W813" s="83"/>
      <c r="X813" s="83"/>
      <c r="Y813" s="83"/>
      <c r="Z813" s="83"/>
      <c r="AA813" s="328"/>
      <c r="AB813" s="328"/>
    </row>
    <row r="814" spans="1:28">
      <c r="A814" s="279"/>
      <c r="B814" s="416"/>
      <c r="C814" s="324"/>
      <c r="D814" s="324"/>
      <c r="E814" s="324"/>
      <c r="F814" s="324"/>
      <c r="G814" s="324"/>
      <c r="H814" s="324"/>
      <c r="I814" s="324"/>
      <c r="J814" s="324"/>
      <c r="K814" s="187"/>
      <c r="L814" s="187"/>
      <c r="M814" s="96"/>
      <c r="N814" s="83"/>
      <c r="O814" s="83"/>
      <c r="P814" s="83"/>
      <c r="Q814" s="83"/>
      <c r="R814" s="83"/>
      <c r="S814" s="83"/>
      <c r="T814" s="83"/>
      <c r="U814" s="83"/>
      <c r="V814" s="83"/>
      <c r="W814" s="83"/>
      <c r="X814" s="83"/>
      <c r="Y814" s="83"/>
      <c r="Z814" s="83"/>
      <c r="AA814" s="328"/>
      <c r="AB814" s="328"/>
    </row>
    <row r="815" spans="1:28">
      <c r="A815" s="279"/>
      <c r="B815" s="416"/>
      <c r="C815" s="324"/>
      <c r="D815" s="324"/>
      <c r="E815" s="324"/>
      <c r="F815" s="324"/>
      <c r="G815" s="324"/>
      <c r="H815" s="324"/>
      <c r="I815" s="324"/>
      <c r="J815" s="324"/>
      <c r="K815" s="187"/>
      <c r="L815" s="187"/>
      <c r="M815" s="96"/>
      <c r="N815" s="83"/>
      <c r="O815" s="83"/>
      <c r="P815" s="83"/>
      <c r="Q815" s="83"/>
      <c r="R815" s="83"/>
      <c r="S815" s="83"/>
      <c r="T815" s="83"/>
      <c r="U815" s="83"/>
      <c r="V815" s="83"/>
      <c r="W815" s="83"/>
      <c r="X815" s="83"/>
      <c r="Y815" s="83"/>
      <c r="Z815" s="83"/>
      <c r="AA815" s="328"/>
      <c r="AB815" s="328"/>
    </row>
    <row r="816" spans="1:28">
      <c r="A816" s="279"/>
      <c r="B816" s="416"/>
      <c r="C816" s="324"/>
      <c r="D816" s="324"/>
      <c r="E816" s="324"/>
      <c r="F816" s="324"/>
      <c r="G816" s="324"/>
      <c r="H816" s="324"/>
      <c r="I816" s="324"/>
      <c r="J816" s="324"/>
      <c r="K816" s="187"/>
      <c r="L816" s="187"/>
      <c r="M816" s="96"/>
      <c r="N816" s="83"/>
      <c r="O816" s="83"/>
      <c r="P816" s="83"/>
      <c r="Q816" s="83"/>
      <c r="R816" s="83"/>
      <c r="S816" s="83"/>
      <c r="T816" s="83"/>
      <c r="U816" s="83"/>
      <c r="V816" s="83"/>
      <c r="W816" s="83"/>
      <c r="X816" s="83"/>
      <c r="Y816" s="83"/>
      <c r="Z816" s="83"/>
      <c r="AA816" s="328"/>
      <c r="AB816" s="328"/>
    </row>
    <row r="817" spans="1:28">
      <c r="A817" s="279"/>
      <c r="B817" s="416"/>
      <c r="C817" s="324"/>
      <c r="D817" s="324"/>
      <c r="E817" s="324"/>
      <c r="F817" s="324"/>
      <c r="G817" s="324"/>
      <c r="H817" s="324"/>
      <c r="I817" s="279"/>
      <c r="J817" s="279"/>
      <c r="K817" s="187"/>
      <c r="L817" s="187"/>
      <c r="M817" s="96"/>
      <c r="N817" s="83"/>
      <c r="O817" s="83"/>
      <c r="P817" s="83"/>
      <c r="Q817" s="83"/>
      <c r="R817" s="83"/>
      <c r="S817" s="83"/>
      <c r="T817" s="83"/>
      <c r="U817" s="83"/>
      <c r="V817" s="83"/>
      <c r="W817" s="83"/>
      <c r="X817" s="83"/>
      <c r="Y817" s="83"/>
      <c r="Z817" s="83"/>
      <c r="AA817" s="328"/>
      <c r="AB817" s="328"/>
    </row>
    <row r="818" spans="1:28">
      <c r="A818" s="279"/>
      <c r="B818" s="416"/>
      <c r="C818" s="324"/>
      <c r="D818" s="324"/>
      <c r="E818" s="324"/>
      <c r="F818" s="324"/>
      <c r="G818" s="324"/>
      <c r="H818" s="324"/>
      <c r="I818" s="324"/>
      <c r="J818" s="324"/>
      <c r="K818" s="187"/>
      <c r="L818" s="187"/>
      <c r="M818" s="96"/>
      <c r="N818" s="83"/>
      <c r="O818" s="83"/>
      <c r="P818" s="83"/>
      <c r="Q818" s="83"/>
      <c r="R818" s="83"/>
      <c r="S818" s="83"/>
      <c r="T818" s="83"/>
      <c r="U818" s="83"/>
      <c r="V818" s="83"/>
      <c r="W818" s="83"/>
      <c r="X818" s="83"/>
      <c r="Y818" s="83"/>
      <c r="Z818" s="83"/>
      <c r="AA818" s="328"/>
      <c r="AB818" s="328"/>
    </row>
    <row r="819" spans="1:28">
      <c r="A819" s="279"/>
      <c r="B819" s="416"/>
      <c r="C819" s="324"/>
      <c r="D819" s="324"/>
      <c r="E819" s="324"/>
      <c r="F819" s="324"/>
      <c r="G819" s="324"/>
      <c r="H819" s="324"/>
      <c r="I819" s="324"/>
      <c r="J819" s="324"/>
      <c r="K819" s="187"/>
      <c r="L819" s="187"/>
      <c r="M819" s="96"/>
      <c r="N819" s="83"/>
      <c r="O819" s="83"/>
      <c r="P819" s="83"/>
      <c r="Q819" s="83"/>
      <c r="R819" s="83"/>
      <c r="S819" s="83"/>
      <c r="T819" s="83"/>
      <c r="U819" s="83"/>
      <c r="V819" s="83"/>
      <c r="W819" s="83"/>
      <c r="X819" s="83"/>
      <c r="Y819" s="83"/>
      <c r="Z819" s="83"/>
      <c r="AA819" s="328"/>
      <c r="AB819" s="328"/>
    </row>
    <row r="820" spans="1:28">
      <c r="A820" s="279"/>
      <c r="B820" s="416"/>
      <c r="C820" s="324"/>
      <c r="D820" s="324"/>
      <c r="E820" s="324"/>
      <c r="F820" s="324"/>
      <c r="G820" s="324"/>
      <c r="H820" s="324"/>
      <c r="I820" s="324"/>
      <c r="J820" s="324"/>
      <c r="K820" s="187"/>
      <c r="L820" s="187"/>
      <c r="M820" s="96"/>
      <c r="N820" s="83"/>
      <c r="O820" s="83"/>
      <c r="P820" s="83"/>
      <c r="Q820" s="83"/>
      <c r="R820" s="83"/>
      <c r="S820" s="83"/>
      <c r="T820" s="83"/>
      <c r="U820" s="83"/>
      <c r="V820" s="83"/>
      <c r="W820" s="83"/>
      <c r="X820" s="83"/>
      <c r="Y820" s="83"/>
      <c r="Z820" s="83"/>
      <c r="AA820" s="328"/>
      <c r="AB820" s="328"/>
    </row>
    <row r="821" spans="1:28">
      <c r="A821" s="279"/>
      <c r="B821" s="416"/>
      <c r="C821" s="324"/>
      <c r="D821" s="324"/>
      <c r="E821" s="324"/>
      <c r="F821" s="324"/>
      <c r="G821" s="324"/>
      <c r="H821" s="324"/>
      <c r="I821" s="279"/>
      <c r="J821" s="279"/>
      <c r="K821" s="187"/>
      <c r="L821" s="187"/>
      <c r="M821" s="96"/>
      <c r="N821" s="83"/>
      <c r="O821" s="83"/>
      <c r="P821" s="83"/>
      <c r="Q821" s="83"/>
      <c r="R821" s="83"/>
      <c r="S821" s="83"/>
      <c r="T821" s="83"/>
      <c r="U821" s="83"/>
      <c r="V821" s="83"/>
      <c r="W821" s="83"/>
      <c r="X821" s="83"/>
      <c r="Y821" s="83"/>
      <c r="Z821" s="83"/>
      <c r="AA821" s="328"/>
      <c r="AB821" s="328"/>
    </row>
    <row r="822" spans="1:28">
      <c r="A822" s="279"/>
      <c r="B822" s="416"/>
      <c r="C822" s="324"/>
      <c r="D822" s="324"/>
      <c r="E822" s="324"/>
      <c r="F822" s="324"/>
      <c r="G822" s="324"/>
      <c r="H822" s="324"/>
      <c r="I822" s="324"/>
      <c r="J822" s="324"/>
      <c r="K822" s="187"/>
      <c r="L822" s="187"/>
      <c r="M822" s="96"/>
      <c r="N822" s="83"/>
      <c r="O822" s="83"/>
      <c r="P822" s="83"/>
      <c r="Q822" s="83"/>
      <c r="R822" s="83"/>
      <c r="S822" s="83"/>
      <c r="T822" s="83"/>
      <c r="U822" s="83"/>
      <c r="V822" s="83"/>
      <c r="W822" s="83"/>
      <c r="X822" s="83"/>
      <c r="Y822" s="83"/>
      <c r="Z822" s="83"/>
      <c r="AA822" s="328"/>
      <c r="AB822" s="328"/>
    </row>
    <row r="823" spans="1:28">
      <c r="A823" s="279"/>
      <c r="B823" s="416"/>
      <c r="C823" s="324"/>
      <c r="D823" s="324"/>
      <c r="E823" s="324"/>
      <c r="F823" s="324"/>
      <c r="G823" s="324"/>
      <c r="H823" s="324"/>
      <c r="I823" s="324"/>
      <c r="J823" s="324"/>
      <c r="K823" s="187"/>
      <c r="L823" s="187"/>
      <c r="M823" s="96"/>
      <c r="N823" s="83"/>
      <c r="O823" s="83"/>
      <c r="P823" s="83"/>
      <c r="Q823" s="83"/>
      <c r="R823" s="83"/>
      <c r="S823" s="83"/>
      <c r="T823" s="83"/>
      <c r="U823" s="83"/>
      <c r="V823" s="83"/>
      <c r="W823" s="83"/>
      <c r="X823" s="83"/>
      <c r="Y823" s="83"/>
      <c r="Z823" s="83"/>
      <c r="AA823" s="328"/>
      <c r="AB823" s="328"/>
    </row>
    <row r="824" spans="1:28">
      <c r="A824" s="279"/>
      <c r="B824" s="416"/>
      <c r="C824" s="324"/>
      <c r="D824" s="324"/>
      <c r="E824" s="324"/>
      <c r="F824" s="324"/>
      <c r="G824" s="324"/>
      <c r="H824" s="324"/>
      <c r="I824" s="324"/>
      <c r="J824" s="324"/>
      <c r="K824" s="187"/>
      <c r="L824" s="187"/>
      <c r="M824" s="96"/>
      <c r="N824" s="83"/>
      <c r="O824" s="83"/>
      <c r="P824" s="83"/>
      <c r="Q824" s="83"/>
      <c r="R824" s="83"/>
      <c r="S824" s="83"/>
      <c r="T824" s="83"/>
      <c r="U824" s="83"/>
      <c r="V824" s="83"/>
      <c r="W824" s="83"/>
      <c r="X824" s="83"/>
      <c r="Y824" s="83"/>
      <c r="Z824" s="83"/>
      <c r="AA824" s="328"/>
      <c r="AB824" s="328"/>
    </row>
    <row r="825" spans="1:28">
      <c r="A825" s="279"/>
      <c r="B825" s="416"/>
      <c r="C825" s="324"/>
      <c r="D825" s="324"/>
      <c r="E825" s="324"/>
      <c r="F825" s="324"/>
      <c r="G825" s="324"/>
      <c r="H825" s="324"/>
      <c r="I825" s="279"/>
      <c r="J825" s="279"/>
      <c r="K825" s="187"/>
      <c r="L825" s="187"/>
      <c r="M825" s="96"/>
      <c r="N825" s="83"/>
      <c r="O825" s="83"/>
      <c r="P825" s="83"/>
      <c r="Q825" s="83"/>
      <c r="R825" s="83"/>
      <c r="S825" s="83"/>
      <c r="T825" s="83"/>
      <c r="U825" s="83"/>
      <c r="V825" s="83"/>
      <c r="W825" s="83"/>
      <c r="X825" s="83"/>
      <c r="Y825" s="83"/>
      <c r="Z825" s="83"/>
      <c r="AA825" s="328"/>
      <c r="AB825" s="328"/>
    </row>
    <row r="826" spans="1:28">
      <c r="A826" s="279"/>
      <c r="B826" s="416"/>
      <c r="C826" s="324"/>
      <c r="D826" s="324"/>
      <c r="E826" s="324"/>
      <c r="F826" s="324"/>
      <c r="G826" s="324"/>
      <c r="H826" s="324"/>
      <c r="I826" s="324"/>
      <c r="J826" s="324"/>
      <c r="K826" s="187"/>
      <c r="L826" s="187"/>
      <c r="M826" s="96"/>
      <c r="N826" s="83"/>
      <c r="O826" s="83"/>
      <c r="P826" s="83"/>
      <c r="Q826" s="83"/>
      <c r="R826" s="83"/>
      <c r="S826" s="83"/>
      <c r="T826" s="83"/>
      <c r="U826" s="83"/>
      <c r="V826" s="83"/>
      <c r="W826" s="83"/>
      <c r="X826" s="83"/>
      <c r="Y826" s="83"/>
      <c r="Z826" s="83"/>
      <c r="AA826" s="328"/>
      <c r="AB826" s="328"/>
    </row>
    <row r="827" spans="1:28">
      <c r="A827" s="279"/>
      <c r="B827" s="416"/>
      <c r="C827" s="324"/>
      <c r="D827" s="324"/>
      <c r="E827" s="324"/>
      <c r="F827" s="324"/>
      <c r="G827" s="324"/>
      <c r="H827" s="324"/>
      <c r="I827" s="324"/>
      <c r="J827" s="324"/>
      <c r="K827" s="187"/>
      <c r="L827" s="187"/>
      <c r="M827" s="96"/>
      <c r="N827" s="83"/>
      <c r="O827" s="83"/>
      <c r="P827" s="83"/>
      <c r="Q827" s="83"/>
      <c r="R827" s="83"/>
      <c r="S827" s="83"/>
      <c r="T827" s="83"/>
      <c r="U827" s="83"/>
      <c r="V827" s="83"/>
      <c r="W827" s="83"/>
      <c r="X827" s="83"/>
      <c r="Y827" s="83"/>
      <c r="Z827" s="83"/>
      <c r="AA827" s="328"/>
      <c r="AB827" s="328"/>
    </row>
    <row r="828" spans="1:28">
      <c r="A828" s="279"/>
      <c r="B828" s="416"/>
      <c r="C828" s="324"/>
      <c r="D828" s="324"/>
      <c r="E828" s="324"/>
      <c r="F828" s="324"/>
      <c r="G828" s="324"/>
      <c r="H828" s="324"/>
      <c r="I828" s="324"/>
      <c r="J828" s="324"/>
      <c r="K828" s="187"/>
      <c r="L828" s="187"/>
      <c r="M828" s="96"/>
      <c r="N828" s="83"/>
      <c r="O828" s="83"/>
      <c r="P828" s="83"/>
      <c r="Q828" s="83"/>
      <c r="R828" s="83"/>
      <c r="S828" s="83"/>
      <c r="T828" s="83"/>
      <c r="U828" s="83"/>
      <c r="V828" s="83"/>
      <c r="W828" s="83"/>
      <c r="X828" s="83"/>
      <c r="Y828" s="83"/>
      <c r="Z828" s="83"/>
      <c r="AA828" s="328"/>
      <c r="AB828" s="328"/>
    </row>
    <row r="829" spans="1:28">
      <c r="A829" s="279"/>
      <c r="B829" s="416"/>
      <c r="C829" s="324"/>
      <c r="D829" s="324"/>
      <c r="E829" s="324"/>
      <c r="F829" s="324"/>
      <c r="G829" s="324"/>
      <c r="H829" s="324"/>
      <c r="I829" s="279"/>
      <c r="J829" s="279"/>
      <c r="K829" s="187"/>
      <c r="L829" s="187"/>
      <c r="M829" s="96"/>
      <c r="N829" s="83"/>
      <c r="O829" s="83"/>
      <c r="P829" s="83"/>
      <c r="Q829" s="83"/>
      <c r="R829" s="83"/>
      <c r="S829" s="83"/>
      <c r="T829" s="83"/>
      <c r="U829" s="83"/>
      <c r="V829" s="83"/>
      <c r="W829" s="83"/>
      <c r="X829" s="83"/>
      <c r="Y829" s="83"/>
      <c r="Z829" s="83"/>
      <c r="AA829" s="328"/>
      <c r="AB829" s="328"/>
    </row>
    <row r="830" spans="1:28">
      <c r="A830" s="279"/>
      <c r="B830" s="416"/>
      <c r="C830" s="324"/>
      <c r="D830" s="324"/>
      <c r="E830" s="324"/>
      <c r="F830" s="324"/>
      <c r="G830" s="324"/>
      <c r="H830" s="324"/>
      <c r="I830" s="324"/>
      <c r="J830" s="324"/>
      <c r="K830" s="187"/>
      <c r="L830" s="187"/>
      <c r="M830" s="96"/>
      <c r="N830" s="83"/>
      <c r="O830" s="83"/>
      <c r="P830" s="83"/>
      <c r="Q830" s="83"/>
      <c r="R830" s="83"/>
      <c r="S830" s="83"/>
      <c r="T830" s="83"/>
      <c r="U830" s="83"/>
      <c r="V830" s="83"/>
      <c r="W830" s="83"/>
      <c r="X830" s="83"/>
      <c r="Y830" s="83"/>
      <c r="Z830" s="83"/>
      <c r="AA830" s="328"/>
      <c r="AB830" s="328"/>
    </row>
    <row r="831" spans="1:28">
      <c r="A831" s="279"/>
      <c r="B831" s="416"/>
      <c r="C831" s="324"/>
      <c r="D831" s="324"/>
      <c r="E831" s="324"/>
      <c r="F831" s="324"/>
      <c r="G831" s="324"/>
      <c r="H831" s="324"/>
      <c r="I831" s="324"/>
      <c r="J831" s="324"/>
      <c r="K831" s="187"/>
      <c r="L831" s="187"/>
      <c r="M831" s="96"/>
      <c r="N831" s="83"/>
      <c r="O831" s="83"/>
      <c r="P831" s="83"/>
      <c r="Q831" s="83"/>
      <c r="R831" s="83"/>
      <c r="S831" s="83"/>
      <c r="T831" s="83"/>
      <c r="U831" s="83"/>
      <c r="V831" s="83"/>
      <c r="W831" s="83"/>
      <c r="X831" s="83"/>
      <c r="Y831" s="83"/>
      <c r="Z831" s="83"/>
      <c r="AA831" s="328"/>
      <c r="AB831" s="328"/>
    </row>
    <row r="832" spans="1:28">
      <c r="A832" s="279"/>
      <c r="B832" s="416"/>
      <c r="C832" s="324"/>
      <c r="D832" s="324"/>
      <c r="E832" s="324"/>
      <c r="F832" s="324"/>
      <c r="G832" s="324"/>
      <c r="H832" s="324"/>
      <c r="I832" s="324"/>
      <c r="J832" s="324"/>
      <c r="K832" s="187"/>
      <c r="L832" s="187"/>
      <c r="M832" s="96"/>
      <c r="N832" s="83"/>
      <c r="O832" s="83"/>
      <c r="P832" s="83"/>
      <c r="Q832" s="83"/>
      <c r="R832" s="83"/>
      <c r="S832" s="83"/>
      <c r="T832" s="83"/>
      <c r="U832" s="83"/>
      <c r="V832" s="83"/>
      <c r="W832" s="83"/>
      <c r="X832" s="83"/>
      <c r="Y832" s="83"/>
      <c r="Z832" s="83"/>
      <c r="AA832" s="328"/>
      <c r="AB832" s="328"/>
    </row>
    <row r="833" spans="1:28">
      <c r="A833" s="279"/>
      <c r="B833" s="416"/>
      <c r="C833" s="324"/>
      <c r="D833" s="324"/>
      <c r="E833" s="324"/>
      <c r="F833" s="324"/>
      <c r="G833" s="324"/>
      <c r="H833" s="324"/>
      <c r="I833" s="279"/>
      <c r="J833" s="279"/>
      <c r="K833" s="187"/>
      <c r="L833" s="187"/>
      <c r="M833" s="96"/>
      <c r="N833" s="83"/>
      <c r="O833" s="83"/>
      <c r="P833" s="83"/>
      <c r="Q833" s="83"/>
      <c r="R833" s="83"/>
      <c r="S833" s="83"/>
      <c r="T833" s="83"/>
      <c r="U833" s="83"/>
      <c r="V833" s="83"/>
      <c r="W833" s="83"/>
      <c r="X833" s="83"/>
      <c r="Y833" s="83"/>
      <c r="Z833" s="83"/>
      <c r="AA833" s="328"/>
      <c r="AB833" s="328"/>
    </row>
    <row r="834" spans="1:28">
      <c r="A834" s="279"/>
      <c r="B834" s="416"/>
      <c r="C834" s="324"/>
      <c r="D834" s="324"/>
      <c r="E834" s="324"/>
      <c r="F834" s="324"/>
      <c r="G834" s="324"/>
      <c r="H834" s="324"/>
      <c r="I834" s="324"/>
      <c r="J834" s="324"/>
      <c r="K834" s="187"/>
      <c r="L834" s="187"/>
      <c r="M834" s="96"/>
      <c r="N834" s="83"/>
      <c r="O834" s="83"/>
      <c r="P834" s="83"/>
      <c r="Q834" s="83"/>
      <c r="R834" s="83"/>
      <c r="S834" s="83"/>
      <c r="T834" s="83"/>
      <c r="U834" s="83"/>
      <c r="V834" s="83"/>
      <c r="W834" s="83"/>
      <c r="X834" s="83"/>
      <c r="Y834" s="83"/>
      <c r="Z834" s="83"/>
      <c r="AA834" s="328"/>
      <c r="AB834" s="328"/>
    </row>
    <row r="835" spans="1:28">
      <c r="A835" s="279"/>
      <c r="B835" s="416"/>
      <c r="C835" s="324"/>
      <c r="D835" s="324"/>
      <c r="E835" s="324"/>
      <c r="F835" s="324"/>
      <c r="G835" s="324"/>
      <c r="H835" s="324"/>
      <c r="I835" s="324"/>
      <c r="J835" s="324"/>
      <c r="K835" s="187"/>
      <c r="L835" s="187"/>
      <c r="M835" s="96"/>
      <c r="N835" s="83"/>
      <c r="O835" s="83"/>
      <c r="P835" s="83"/>
      <c r="Q835" s="83"/>
      <c r="R835" s="83"/>
      <c r="S835" s="83"/>
      <c r="T835" s="83"/>
      <c r="U835" s="83"/>
      <c r="V835" s="83"/>
      <c r="W835" s="83"/>
      <c r="X835" s="83"/>
      <c r="Y835" s="83"/>
      <c r="Z835" s="83"/>
      <c r="AA835" s="328"/>
      <c r="AB835" s="328"/>
    </row>
    <row r="836" spans="1:28">
      <c r="A836" s="279"/>
      <c r="B836" s="416"/>
      <c r="C836" s="324"/>
      <c r="D836" s="324"/>
      <c r="E836" s="324"/>
      <c r="F836" s="324"/>
      <c r="G836" s="324"/>
      <c r="H836" s="324"/>
      <c r="I836" s="324"/>
      <c r="J836" s="324"/>
      <c r="K836" s="187"/>
      <c r="L836" s="187"/>
      <c r="M836" s="96"/>
      <c r="N836" s="83"/>
      <c r="O836" s="83"/>
      <c r="P836" s="83"/>
      <c r="Q836" s="83"/>
      <c r="R836" s="83"/>
      <c r="S836" s="83"/>
      <c r="T836" s="83"/>
      <c r="U836" s="83"/>
      <c r="V836" s="83"/>
      <c r="W836" s="83"/>
      <c r="X836" s="83"/>
      <c r="Y836" s="83"/>
      <c r="Z836" s="83"/>
      <c r="AA836" s="328"/>
      <c r="AB836" s="328"/>
    </row>
    <row r="837" spans="1:28">
      <c r="A837" s="96"/>
      <c r="B837" s="420"/>
      <c r="C837" s="83"/>
      <c r="D837" s="83"/>
      <c r="E837" s="83"/>
      <c r="F837" s="83"/>
      <c r="G837" s="83"/>
      <c r="H837" s="83"/>
      <c r="I837" s="83"/>
      <c r="J837" s="83"/>
      <c r="K837" s="187"/>
      <c r="L837" s="187"/>
      <c r="M837" s="96"/>
      <c r="N837" s="83"/>
      <c r="O837" s="83"/>
      <c r="P837" s="83"/>
      <c r="Q837" s="83"/>
      <c r="R837" s="83"/>
      <c r="S837" s="83"/>
      <c r="T837" s="83"/>
      <c r="U837" s="83"/>
      <c r="V837" s="83"/>
      <c r="W837" s="83"/>
      <c r="X837" s="83"/>
      <c r="Y837" s="83"/>
      <c r="Z837" s="83"/>
      <c r="AA837" s="328"/>
      <c r="AB837" s="328"/>
    </row>
    <row r="838" spans="1:28">
      <c r="A838" s="96"/>
      <c r="B838" s="420"/>
      <c r="C838" s="83"/>
      <c r="D838" s="83"/>
      <c r="E838" s="83"/>
      <c r="F838" s="83"/>
      <c r="G838" s="83"/>
      <c r="H838" s="83"/>
      <c r="I838" s="83"/>
      <c r="J838" s="83"/>
      <c r="K838" s="187"/>
      <c r="L838" s="187"/>
      <c r="M838" s="96"/>
      <c r="N838" s="83"/>
      <c r="O838" s="83"/>
      <c r="P838" s="83"/>
      <c r="Q838" s="83"/>
      <c r="R838" s="83"/>
      <c r="S838" s="83"/>
      <c r="T838" s="83"/>
      <c r="U838" s="83"/>
      <c r="V838" s="83"/>
      <c r="W838" s="83"/>
      <c r="X838" s="83"/>
      <c r="Y838" s="83"/>
      <c r="Z838" s="83"/>
      <c r="AA838" s="328"/>
      <c r="AB838" s="328"/>
    </row>
    <row r="839" spans="1:28">
      <c r="A839" s="96"/>
      <c r="B839" s="420"/>
      <c r="C839" s="83"/>
      <c r="D839" s="83"/>
      <c r="E839" s="83"/>
      <c r="F839" s="83"/>
      <c r="G839" s="83"/>
      <c r="H839" s="83"/>
      <c r="I839" s="83"/>
      <c r="J839" s="83"/>
      <c r="K839" s="187"/>
      <c r="L839" s="187"/>
      <c r="M839" s="96"/>
      <c r="N839" s="83"/>
      <c r="O839" s="83"/>
      <c r="P839" s="83"/>
      <c r="Q839" s="83"/>
      <c r="R839" s="83"/>
      <c r="S839" s="83"/>
      <c r="T839" s="83"/>
      <c r="U839" s="83"/>
      <c r="V839" s="83"/>
      <c r="W839" s="83"/>
      <c r="X839" s="83"/>
      <c r="Y839" s="83"/>
      <c r="Z839" s="83"/>
      <c r="AA839" s="328"/>
      <c r="AB839" s="328"/>
    </row>
    <row r="840" spans="1:28">
      <c r="A840" s="96"/>
      <c r="B840" s="420"/>
      <c r="C840" s="83"/>
      <c r="D840" s="83"/>
      <c r="E840" s="83"/>
      <c r="F840" s="83"/>
      <c r="G840" s="83"/>
      <c r="H840" s="83"/>
      <c r="I840" s="83"/>
      <c r="J840" s="83"/>
      <c r="K840" s="187"/>
      <c r="L840" s="187"/>
      <c r="M840" s="96"/>
      <c r="N840" s="83"/>
      <c r="O840" s="83"/>
      <c r="P840" s="83"/>
      <c r="Q840" s="83"/>
      <c r="R840" s="83"/>
      <c r="S840" s="83"/>
      <c r="T840" s="83"/>
      <c r="U840" s="83"/>
      <c r="V840" s="83"/>
      <c r="W840" s="83"/>
      <c r="X840" s="83"/>
      <c r="Y840" s="83"/>
      <c r="Z840" s="83"/>
      <c r="AA840" s="328"/>
      <c r="AB840" s="328"/>
    </row>
    <row r="841" spans="1:28">
      <c r="A841" s="96"/>
      <c r="B841" s="420"/>
      <c r="C841" s="83"/>
      <c r="D841" s="83"/>
      <c r="E841" s="83"/>
      <c r="F841" s="83"/>
      <c r="G841" s="83"/>
      <c r="H841" s="83"/>
      <c r="I841" s="83"/>
      <c r="J841" s="83"/>
      <c r="K841" s="187"/>
      <c r="L841" s="187"/>
      <c r="M841" s="96"/>
      <c r="N841" s="83"/>
      <c r="O841" s="83"/>
      <c r="P841" s="83"/>
      <c r="Q841" s="83"/>
      <c r="R841" s="83"/>
      <c r="S841" s="83"/>
      <c r="T841" s="83"/>
      <c r="U841" s="83"/>
      <c r="V841" s="83"/>
      <c r="W841" s="83"/>
      <c r="X841" s="83"/>
      <c r="Y841" s="83"/>
      <c r="Z841" s="83"/>
      <c r="AA841" s="328"/>
      <c r="AB841" s="328"/>
    </row>
    <row r="842" spans="1:28">
      <c r="A842" s="96"/>
      <c r="B842" s="420"/>
      <c r="C842" s="83"/>
      <c r="D842" s="83"/>
      <c r="E842" s="83"/>
      <c r="F842" s="83"/>
      <c r="G842" s="83"/>
      <c r="H842" s="83"/>
      <c r="I842" s="83"/>
      <c r="J842" s="83"/>
      <c r="K842" s="187"/>
      <c r="L842" s="187"/>
      <c r="M842" s="96"/>
      <c r="N842" s="83"/>
      <c r="O842" s="83"/>
      <c r="P842" s="83"/>
      <c r="Q842" s="83"/>
      <c r="R842" s="83"/>
      <c r="S842" s="83"/>
      <c r="T842" s="83"/>
      <c r="U842" s="83"/>
      <c r="V842" s="83"/>
      <c r="W842" s="83"/>
      <c r="X842" s="83"/>
      <c r="Y842" s="83"/>
      <c r="Z842" s="83"/>
      <c r="AA842" s="328"/>
      <c r="AB842" s="328"/>
    </row>
    <row r="843" spans="1:28">
      <c r="A843" s="96"/>
      <c r="B843" s="420"/>
      <c r="C843" s="83"/>
      <c r="D843" s="83"/>
      <c r="E843" s="83"/>
      <c r="F843" s="83"/>
      <c r="G843" s="83"/>
      <c r="H843" s="83"/>
      <c r="I843" s="83"/>
      <c r="J843" s="83"/>
      <c r="K843" s="187"/>
      <c r="L843" s="187"/>
      <c r="M843" s="96"/>
      <c r="N843" s="83"/>
      <c r="O843" s="83"/>
      <c r="P843" s="83"/>
      <c r="Q843" s="83"/>
      <c r="R843" s="83"/>
      <c r="S843" s="83"/>
      <c r="T843" s="83"/>
      <c r="U843" s="83"/>
      <c r="V843" s="83"/>
      <c r="W843" s="83"/>
      <c r="X843" s="83"/>
      <c r="Y843" s="83"/>
      <c r="Z843" s="83"/>
      <c r="AA843" s="328"/>
      <c r="AB843" s="328"/>
    </row>
    <row r="844" spans="1:28">
      <c r="A844" s="96"/>
      <c r="B844" s="420"/>
      <c r="C844" s="83"/>
      <c r="D844" s="83"/>
      <c r="E844" s="83"/>
      <c r="F844" s="83"/>
      <c r="G844" s="83"/>
      <c r="H844" s="83"/>
      <c r="I844" s="83"/>
      <c r="J844" s="83"/>
      <c r="K844" s="187"/>
      <c r="L844" s="187"/>
      <c r="M844" s="96"/>
      <c r="N844" s="83"/>
      <c r="O844" s="83"/>
      <c r="P844" s="83"/>
      <c r="Q844" s="83"/>
      <c r="R844" s="83"/>
      <c r="S844" s="83"/>
      <c r="T844" s="83"/>
      <c r="U844" s="83"/>
      <c r="V844" s="83"/>
      <c r="W844" s="83"/>
      <c r="X844" s="83"/>
      <c r="Y844" s="83"/>
      <c r="Z844" s="83"/>
      <c r="AA844" s="328"/>
      <c r="AB844" s="328"/>
    </row>
    <row r="845" spans="1:28">
      <c r="A845" s="96"/>
      <c r="B845" s="420"/>
      <c r="C845" s="83"/>
      <c r="D845" s="83"/>
      <c r="E845" s="83"/>
      <c r="F845" s="83"/>
      <c r="G845" s="83"/>
      <c r="H845" s="83"/>
      <c r="I845" s="83"/>
      <c r="J845" s="83"/>
      <c r="K845" s="187"/>
      <c r="L845" s="187"/>
      <c r="M845" s="96"/>
      <c r="N845" s="83"/>
      <c r="O845" s="83"/>
      <c r="P845" s="83"/>
      <c r="Q845" s="83"/>
      <c r="R845" s="83"/>
      <c r="S845" s="83"/>
      <c r="T845" s="83"/>
      <c r="U845" s="83"/>
      <c r="V845" s="83"/>
      <c r="W845" s="83"/>
      <c r="X845" s="83"/>
      <c r="Y845" s="83"/>
      <c r="Z845" s="83"/>
      <c r="AA845" s="328"/>
      <c r="AB845" s="328"/>
    </row>
    <row r="846" spans="1:28">
      <c r="A846" s="96"/>
      <c r="B846" s="420"/>
      <c r="C846" s="83"/>
      <c r="D846" s="83"/>
      <c r="E846" s="83"/>
      <c r="F846" s="83"/>
      <c r="G846" s="83"/>
      <c r="H846" s="83"/>
      <c r="I846" s="83"/>
      <c r="J846" s="83"/>
      <c r="K846" s="187"/>
      <c r="L846" s="187"/>
      <c r="M846" s="96"/>
      <c r="N846" s="83"/>
      <c r="O846" s="83"/>
      <c r="P846" s="83"/>
      <c r="Q846" s="83"/>
      <c r="R846" s="83"/>
      <c r="S846" s="83"/>
      <c r="T846" s="83"/>
      <c r="U846" s="83"/>
      <c r="V846" s="83"/>
      <c r="W846" s="83"/>
      <c r="X846" s="83"/>
      <c r="Y846" s="83"/>
      <c r="Z846" s="83"/>
      <c r="AA846" s="328"/>
      <c r="AB846" s="328"/>
    </row>
    <row r="847" spans="1:28">
      <c r="A847" s="96"/>
      <c r="B847" s="420"/>
      <c r="C847" s="83"/>
      <c r="D847" s="83"/>
      <c r="E847" s="83"/>
      <c r="F847" s="83"/>
      <c r="G847" s="83"/>
      <c r="H847" s="83"/>
      <c r="I847" s="83"/>
      <c r="J847" s="83"/>
      <c r="K847" s="187"/>
      <c r="L847" s="187"/>
      <c r="M847" s="96"/>
      <c r="N847" s="83"/>
      <c r="O847" s="83"/>
      <c r="P847" s="83"/>
      <c r="Q847" s="83"/>
      <c r="R847" s="83"/>
      <c r="S847" s="83"/>
      <c r="T847" s="83"/>
      <c r="U847" s="83"/>
      <c r="V847" s="83"/>
      <c r="W847" s="83"/>
      <c r="X847" s="83"/>
      <c r="Y847" s="83"/>
      <c r="Z847" s="83"/>
      <c r="AA847" s="328"/>
      <c r="AB847" s="328"/>
    </row>
    <row r="848" spans="1:28">
      <c r="A848" s="96"/>
      <c r="B848" s="420"/>
      <c r="C848" s="83"/>
      <c r="D848" s="83"/>
      <c r="E848" s="83"/>
      <c r="F848" s="83"/>
      <c r="G848" s="83"/>
      <c r="H848" s="83"/>
      <c r="I848" s="83"/>
      <c r="J848" s="83"/>
      <c r="K848" s="187"/>
      <c r="L848" s="187"/>
      <c r="M848" s="96"/>
      <c r="N848" s="83"/>
      <c r="O848" s="83"/>
      <c r="P848" s="83"/>
      <c r="Q848" s="83"/>
      <c r="R848" s="83"/>
      <c r="S848" s="83"/>
      <c r="T848" s="83"/>
      <c r="U848" s="83"/>
      <c r="V848" s="83"/>
      <c r="W848" s="83"/>
      <c r="X848" s="83"/>
      <c r="Y848" s="83"/>
      <c r="Z848" s="83"/>
      <c r="AA848" s="328"/>
      <c r="AB848" s="328"/>
    </row>
    <row r="849" spans="1:28">
      <c r="A849" s="96"/>
      <c r="B849" s="420"/>
      <c r="C849" s="83"/>
      <c r="D849" s="83"/>
      <c r="E849" s="83"/>
      <c r="F849" s="83"/>
      <c r="G849" s="83"/>
      <c r="H849" s="83"/>
      <c r="I849" s="83"/>
      <c r="J849" s="83"/>
      <c r="K849" s="187"/>
      <c r="L849" s="187"/>
      <c r="M849" s="96"/>
      <c r="N849" s="83"/>
      <c r="O849" s="83"/>
      <c r="P849" s="83"/>
      <c r="Q849" s="83"/>
      <c r="R849" s="83"/>
      <c r="S849" s="83"/>
      <c r="T849" s="83"/>
      <c r="U849" s="83"/>
      <c r="V849" s="83"/>
      <c r="W849" s="83"/>
      <c r="X849" s="83"/>
      <c r="Y849" s="83"/>
      <c r="Z849" s="83"/>
      <c r="AA849" s="328"/>
      <c r="AB849" s="328"/>
    </row>
    <row r="850" spans="1:28">
      <c r="A850" s="96"/>
      <c r="B850" s="420"/>
      <c r="C850" s="83"/>
      <c r="D850" s="83"/>
      <c r="E850" s="83"/>
      <c r="F850" s="83"/>
      <c r="G850" s="83"/>
      <c r="H850" s="83"/>
      <c r="I850" s="83"/>
      <c r="J850" s="83"/>
      <c r="K850" s="187"/>
      <c r="L850" s="187"/>
      <c r="M850" s="96"/>
      <c r="N850" s="83"/>
      <c r="O850" s="83"/>
      <c r="P850" s="83"/>
      <c r="Q850" s="83"/>
      <c r="R850" s="83"/>
      <c r="S850" s="83"/>
      <c r="T850" s="83"/>
      <c r="U850" s="83"/>
      <c r="V850" s="83"/>
      <c r="W850" s="83"/>
      <c r="X850" s="83"/>
      <c r="Y850" s="83"/>
      <c r="Z850" s="83"/>
      <c r="AA850" s="328"/>
      <c r="AB850" s="328"/>
    </row>
    <row r="851" spans="1:28">
      <c r="A851" s="96"/>
      <c r="B851" s="420"/>
      <c r="C851" s="83"/>
      <c r="D851" s="83"/>
      <c r="E851" s="83"/>
      <c r="F851" s="83"/>
      <c r="G851" s="83"/>
      <c r="H851" s="83"/>
      <c r="I851" s="83"/>
      <c r="J851" s="83"/>
      <c r="K851" s="187"/>
      <c r="L851" s="187"/>
      <c r="M851" s="96"/>
      <c r="N851" s="83"/>
      <c r="O851" s="83"/>
      <c r="P851" s="83"/>
      <c r="Q851" s="83"/>
      <c r="R851" s="83"/>
      <c r="S851" s="83"/>
      <c r="T851" s="83"/>
      <c r="U851" s="83"/>
      <c r="V851" s="83"/>
      <c r="W851" s="83"/>
      <c r="X851" s="83"/>
      <c r="Y851" s="83"/>
      <c r="Z851" s="83"/>
      <c r="AA851" s="328"/>
      <c r="AB851" s="328"/>
    </row>
    <row r="852" ht="15.75" customHeight="1" spans="1:28">
      <c r="A852" s="96"/>
      <c r="B852" s="420"/>
      <c r="C852" s="83"/>
      <c r="D852" s="83"/>
      <c r="E852" s="83"/>
      <c r="F852" s="83"/>
      <c r="G852" s="83"/>
      <c r="H852" s="83"/>
      <c r="I852" s="83"/>
      <c r="J852" s="83"/>
      <c r="K852" s="187"/>
      <c r="L852" s="187"/>
      <c r="M852" s="96"/>
      <c r="N852" s="83"/>
      <c r="O852" s="83"/>
      <c r="P852" s="83"/>
      <c r="Q852" s="83"/>
      <c r="R852" s="83"/>
      <c r="S852" s="83"/>
      <c r="T852" s="83"/>
      <c r="U852" s="83"/>
      <c r="V852" s="83"/>
      <c r="W852" s="83"/>
      <c r="X852" s="83"/>
      <c r="Y852" s="83"/>
      <c r="Z852" s="83"/>
      <c r="AA852" s="328"/>
      <c r="AB852" s="328"/>
    </row>
    <row r="853" ht="15.75" customHeight="1" spans="1:28">
      <c r="A853" s="96"/>
      <c r="B853" s="420"/>
      <c r="C853" s="83"/>
      <c r="D853" s="83"/>
      <c r="E853" s="83"/>
      <c r="F853" s="83"/>
      <c r="G853" s="83"/>
      <c r="H853" s="83"/>
      <c r="I853" s="83"/>
      <c r="J853" s="83"/>
      <c r="K853" s="187"/>
      <c r="L853" s="187"/>
      <c r="M853" s="96"/>
      <c r="N853" s="83"/>
      <c r="O853" s="83"/>
      <c r="P853" s="83"/>
      <c r="Q853" s="83"/>
      <c r="R853" s="83"/>
      <c r="S853" s="83"/>
      <c r="T853" s="83"/>
      <c r="U853" s="83"/>
      <c r="V853" s="83"/>
      <c r="W853" s="83"/>
      <c r="X853" s="83"/>
      <c r="Y853" s="83"/>
      <c r="Z853" s="83"/>
      <c r="AA853" s="328"/>
      <c r="AB853" s="328"/>
    </row>
    <row r="854" ht="15.75" customHeight="1" spans="1:28">
      <c r="A854" s="96"/>
      <c r="B854" s="420"/>
      <c r="C854" s="83"/>
      <c r="D854" s="83"/>
      <c r="E854" s="83"/>
      <c r="F854" s="83"/>
      <c r="G854" s="83"/>
      <c r="H854" s="83"/>
      <c r="I854" s="83"/>
      <c r="J854" s="83"/>
      <c r="K854" s="187"/>
      <c r="L854" s="187"/>
      <c r="M854" s="96"/>
      <c r="N854" s="83"/>
      <c r="O854" s="83"/>
      <c r="P854" s="83"/>
      <c r="Q854" s="83"/>
      <c r="R854" s="83"/>
      <c r="S854" s="83"/>
      <c r="T854" s="83"/>
      <c r="U854" s="83"/>
      <c r="V854" s="83"/>
      <c r="W854" s="83"/>
      <c r="X854" s="83"/>
      <c r="Y854" s="83"/>
      <c r="Z854" s="83"/>
      <c r="AA854" s="328"/>
      <c r="AB854" s="328"/>
    </row>
    <row r="855" ht="15.75" customHeight="1" spans="1:28">
      <c r="A855" s="96"/>
      <c r="B855" s="420"/>
      <c r="C855" s="83"/>
      <c r="D855" s="83"/>
      <c r="E855" s="83"/>
      <c r="F855" s="83"/>
      <c r="G855" s="83"/>
      <c r="H855" s="83"/>
      <c r="I855" s="83"/>
      <c r="J855" s="83"/>
      <c r="K855" s="187"/>
      <c r="L855" s="187"/>
      <c r="M855" s="96"/>
      <c r="N855" s="83"/>
      <c r="O855" s="83"/>
      <c r="P855" s="83"/>
      <c r="Q855" s="83"/>
      <c r="R855" s="83"/>
      <c r="S855" s="83"/>
      <c r="T855" s="83"/>
      <c r="U855" s="83"/>
      <c r="V855" s="83"/>
      <c r="W855" s="83"/>
      <c r="X855" s="83"/>
      <c r="Y855" s="83"/>
      <c r="Z855" s="83"/>
      <c r="AA855" s="328"/>
      <c r="AB855" s="328"/>
    </row>
    <row r="856" ht="15.75" customHeight="1" spans="1:28">
      <c r="A856" s="96"/>
      <c r="B856" s="420"/>
      <c r="C856" s="83"/>
      <c r="D856" s="83"/>
      <c r="E856" s="83"/>
      <c r="F856" s="83"/>
      <c r="G856" s="83"/>
      <c r="H856" s="83"/>
      <c r="I856" s="83"/>
      <c r="J856" s="83"/>
      <c r="K856" s="187"/>
      <c r="L856" s="187"/>
      <c r="M856" s="96"/>
      <c r="N856" s="83"/>
      <c r="O856" s="83"/>
      <c r="P856" s="83"/>
      <c r="Q856" s="83"/>
      <c r="R856" s="83"/>
      <c r="S856" s="83"/>
      <c r="T856" s="83"/>
      <c r="U856" s="83"/>
      <c r="V856" s="83"/>
      <c r="W856" s="83"/>
      <c r="X856" s="83"/>
      <c r="Y856" s="83"/>
      <c r="Z856" s="83"/>
      <c r="AA856" s="328"/>
      <c r="AB856" s="328"/>
    </row>
    <row r="857" ht="15.75" customHeight="1" spans="1:28">
      <c r="A857" s="96"/>
      <c r="B857" s="420"/>
      <c r="C857" s="83"/>
      <c r="D857" s="83"/>
      <c r="E857" s="83"/>
      <c r="F857" s="83"/>
      <c r="G857" s="83"/>
      <c r="H857" s="83"/>
      <c r="I857" s="83"/>
      <c r="J857" s="83"/>
      <c r="K857" s="187"/>
      <c r="L857" s="187"/>
      <c r="M857" s="96"/>
      <c r="N857" s="83"/>
      <c r="O857" s="83"/>
      <c r="P857" s="83"/>
      <c r="Q857" s="83"/>
      <c r="R857" s="83"/>
      <c r="S857" s="83"/>
      <c r="T857" s="83"/>
      <c r="U857" s="83"/>
      <c r="V857" s="83"/>
      <c r="W857" s="83"/>
      <c r="X857" s="83"/>
      <c r="Y857" s="83"/>
      <c r="Z857" s="83"/>
      <c r="AA857" s="328"/>
      <c r="AB857" s="328"/>
    </row>
    <row r="858" ht="15.75" customHeight="1" spans="1:28">
      <c r="A858" s="96"/>
      <c r="B858" s="420"/>
      <c r="C858" s="83"/>
      <c r="D858" s="83"/>
      <c r="E858" s="83"/>
      <c r="F858" s="83"/>
      <c r="G858" s="83"/>
      <c r="H858" s="83"/>
      <c r="I858" s="83"/>
      <c r="J858" s="83"/>
      <c r="K858" s="187"/>
      <c r="L858" s="187"/>
      <c r="M858" s="96"/>
      <c r="N858" s="83"/>
      <c r="O858" s="83"/>
      <c r="P858" s="83"/>
      <c r="Q858" s="83"/>
      <c r="R858" s="83"/>
      <c r="S858" s="83"/>
      <c r="T858" s="83"/>
      <c r="U858" s="83"/>
      <c r="V858" s="83"/>
      <c r="W858" s="83"/>
      <c r="X858" s="83"/>
      <c r="Y858" s="83"/>
      <c r="Z858" s="83"/>
      <c r="AA858" s="328"/>
      <c r="AB858" s="328"/>
    </row>
    <row r="859" ht="15.75" customHeight="1" spans="1:28">
      <c r="A859" s="96"/>
      <c r="B859" s="420"/>
      <c r="C859" s="83"/>
      <c r="D859" s="83"/>
      <c r="E859" s="83"/>
      <c r="F859" s="83"/>
      <c r="G859" s="83"/>
      <c r="H859" s="83"/>
      <c r="I859" s="83"/>
      <c r="J859" s="83"/>
      <c r="K859" s="187"/>
      <c r="L859" s="187"/>
      <c r="M859" s="96"/>
      <c r="N859" s="83"/>
      <c r="O859" s="83"/>
      <c r="P859" s="83"/>
      <c r="Q859" s="83"/>
      <c r="R859" s="83"/>
      <c r="S859" s="83"/>
      <c r="T859" s="83"/>
      <c r="U859" s="83"/>
      <c r="V859" s="83"/>
      <c r="W859" s="83"/>
      <c r="X859" s="83"/>
      <c r="Y859" s="83"/>
      <c r="Z859" s="83"/>
      <c r="AA859" s="328"/>
      <c r="AB859" s="328"/>
    </row>
    <row r="860" ht="15.75" customHeight="1" spans="1:28">
      <c r="A860" s="96"/>
      <c r="B860" s="420"/>
      <c r="C860" s="83"/>
      <c r="D860" s="83"/>
      <c r="E860" s="83"/>
      <c r="F860" s="83"/>
      <c r="G860" s="83"/>
      <c r="H860" s="83"/>
      <c r="I860" s="83"/>
      <c r="J860" s="83"/>
      <c r="K860" s="187"/>
      <c r="L860" s="187"/>
      <c r="M860" s="96"/>
      <c r="N860" s="83"/>
      <c r="O860" s="83"/>
      <c r="P860" s="83"/>
      <c r="Q860" s="83"/>
      <c r="R860" s="83"/>
      <c r="S860" s="83"/>
      <c r="T860" s="83"/>
      <c r="U860" s="83"/>
      <c r="V860" s="83"/>
      <c r="W860" s="83"/>
      <c r="X860" s="83"/>
      <c r="Y860" s="83"/>
      <c r="Z860" s="83"/>
      <c r="AA860" s="328"/>
      <c r="AB860" s="328"/>
    </row>
    <row r="861" ht="15.75" customHeight="1" spans="1:28">
      <c r="A861" s="96"/>
      <c r="B861" s="420"/>
      <c r="C861" s="83"/>
      <c r="D861" s="83"/>
      <c r="E861" s="83"/>
      <c r="F861" s="83"/>
      <c r="G861" s="83"/>
      <c r="H861" s="83"/>
      <c r="I861" s="83"/>
      <c r="J861" s="83"/>
      <c r="K861" s="187"/>
      <c r="L861" s="187"/>
      <c r="M861" s="96"/>
      <c r="N861" s="83"/>
      <c r="O861" s="83"/>
      <c r="P861" s="83"/>
      <c r="Q861" s="83"/>
      <c r="R861" s="83"/>
      <c r="S861" s="83"/>
      <c r="T861" s="83"/>
      <c r="U861" s="83"/>
      <c r="V861" s="83"/>
      <c r="W861" s="83"/>
      <c r="X861" s="83"/>
      <c r="Y861" s="83"/>
      <c r="Z861" s="83"/>
      <c r="AA861" s="328"/>
      <c r="AB861" s="328"/>
    </row>
    <row r="862" ht="15.75" customHeight="1" spans="1:28">
      <c r="A862" s="96"/>
      <c r="B862" s="420"/>
      <c r="C862" s="83"/>
      <c r="D862" s="83"/>
      <c r="E862" s="83"/>
      <c r="F862" s="83"/>
      <c r="G862" s="83"/>
      <c r="H862" s="83"/>
      <c r="I862" s="83"/>
      <c r="J862" s="83"/>
      <c r="K862" s="187"/>
      <c r="L862" s="187"/>
      <c r="M862" s="96"/>
      <c r="N862" s="83"/>
      <c r="O862" s="83"/>
      <c r="P862" s="83"/>
      <c r="Q862" s="83"/>
      <c r="R862" s="83"/>
      <c r="S862" s="83"/>
      <c r="T862" s="83"/>
      <c r="U862" s="83"/>
      <c r="V862" s="83"/>
      <c r="W862" s="83"/>
      <c r="X862" s="83"/>
      <c r="Y862" s="83"/>
      <c r="Z862" s="83"/>
      <c r="AA862" s="328"/>
      <c r="AB862" s="328"/>
    </row>
    <row r="863" ht="15.75" customHeight="1" spans="1:28">
      <c r="A863" s="96"/>
      <c r="B863" s="420"/>
      <c r="C863" s="83"/>
      <c r="D863" s="83"/>
      <c r="E863" s="83"/>
      <c r="F863" s="83"/>
      <c r="G863" s="83"/>
      <c r="H863" s="83"/>
      <c r="I863" s="83"/>
      <c r="J863" s="83"/>
      <c r="K863" s="187"/>
      <c r="L863" s="187"/>
      <c r="M863" s="96"/>
      <c r="N863" s="83"/>
      <c r="O863" s="83"/>
      <c r="P863" s="83"/>
      <c r="Q863" s="83"/>
      <c r="R863" s="83"/>
      <c r="S863" s="83"/>
      <c r="T863" s="83"/>
      <c r="U863" s="83"/>
      <c r="V863" s="83"/>
      <c r="W863" s="83"/>
      <c r="X863" s="83"/>
      <c r="Y863" s="83"/>
      <c r="Z863" s="83"/>
      <c r="AA863" s="328"/>
      <c r="AB863" s="328"/>
    </row>
    <row r="864" ht="15.75" customHeight="1" spans="1:28">
      <c r="A864" s="96"/>
      <c r="B864" s="420"/>
      <c r="C864" s="83"/>
      <c r="D864" s="83"/>
      <c r="E864" s="83"/>
      <c r="F864" s="83"/>
      <c r="G864" s="83"/>
      <c r="H864" s="83"/>
      <c r="I864" s="83"/>
      <c r="J864" s="83"/>
      <c r="K864" s="187"/>
      <c r="L864" s="187"/>
      <c r="M864" s="96"/>
      <c r="N864" s="83"/>
      <c r="O864" s="83"/>
      <c r="P864" s="83"/>
      <c r="Q864" s="83"/>
      <c r="R864" s="83"/>
      <c r="S864" s="83"/>
      <c r="T864" s="83"/>
      <c r="U864" s="83"/>
      <c r="V864" s="83"/>
      <c r="W864" s="83"/>
      <c r="X864" s="83"/>
      <c r="Y864" s="83"/>
      <c r="Z864" s="83"/>
      <c r="AA864" s="328"/>
      <c r="AB864" s="328"/>
    </row>
    <row r="865" ht="15.75" customHeight="1" spans="1:28">
      <c r="A865" s="96"/>
      <c r="B865" s="420"/>
      <c r="C865" s="83"/>
      <c r="D865" s="83"/>
      <c r="E865" s="83"/>
      <c r="F865" s="83"/>
      <c r="G865" s="83"/>
      <c r="H865" s="83"/>
      <c r="I865" s="83"/>
      <c r="J865" s="83"/>
      <c r="K865" s="187"/>
      <c r="L865" s="187"/>
      <c r="M865" s="96"/>
      <c r="N865" s="83"/>
      <c r="O865" s="83"/>
      <c r="P865" s="83"/>
      <c r="Q865" s="83"/>
      <c r="R865" s="83"/>
      <c r="S865" s="83"/>
      <c r="T865" s="83"/>
      <c r="U865" s="83"/>
      <c r="V865" s="83"/>
      <c r="W865" s="83"/>
      <c r="X865" s="83"/>
      <c r="Y865" s="83"/>
      <c r="Z865" s="83"/>
      <c r="AA865" s="328"/>
      <c r="AB865" s="328"/>
    </row>
    <row r="866" ht="15.75" customHeight="1" spans="1:28">
      <c r="A866" s="96"/>
      <c r="B866" s="420"/>
      <c r="C866" s="83"/>
      <c r="D866" s="83"/>
      <c r="E866" s="83"/>
      <c r="F866" s="83"/>
      <c r="G866" s="83"/>
      <c r="H866" s="83"/>
      <c r="I866" s="83"/>
      <c r="J866" s="83"/>
      <c r="K866" s="187"/>
      <c r="L866" s="187"/>
      <c r="M866" s="96"/>
      <c r="N866" s="83"/>
      <c r="O866" s="83"/>
      <c r="P866" s="83"/>
      <c r="Q866" s="83"/>
      <c r="R866" s="83"/>
      <c r="S866" s="83"/>
      <c r="T866" s="83"/>
      <c r="U866" s="83"/>
      <c r="V866" s="83"/>
      <c r="W866" s="83"/>
      <c r="X866" s="83"/>
      <c r="Y866" s="83"/>
      <c r="Z866" s="83"/>
      <c r="AA866" s="328"/>
      <c r="AB866" s="328"/>
    </row>
    <row r="867" ht="15.75" customHeight="1" spans="1:28">
      <c r="A867" s="96"/>
      <c r="B867" s="420"/>
      <c r="C867" s="83"/>
      <c r="D867" s="83"/>
      <c r="E867" s="83"/>
      <c r="F867" s="83"/>
      <c r="G867" s="83"/>
      <c r="H867" s="83"/>
      <c r="I867" s="83"/>
      <c r="J867" s="83"/>
      <c r="K867" s="187"/>
      <c r="L867" s="187"/>
      <c r="M867" s="96"/>
      <c r="N867" s="83"/>
      <c r="O867" s="83"/>
      <c r="P867" s="83"/>
      <c r="Q867" s="83"/>
      <c r="R867" s="83"/>
      <c r="S867" s="83"/>
      <c r="T867" s="83"/>
      <c r="U867" s="83"/>
      <c r="V867" s="83"/>
      <c r="W867" s="83"/>
      <c r="X867" s="83"/>
      <c r="Y867" s="83"/>
      <c r="Z867" s="83"/>
      <c r="AA867" s="328"/>
      <c r="AB867" s="328"/>
    </row>
    <row r="868" ht="15.75" customHeight="1" spans="1:28">
      <c r="A868" s="96"/>
      <c r="B868" s="420"/>
      <c r="C868" s="83"/>
      <c r="D868" s="83"/>
      <c r="E868" s="83"/>
      <c r="F868" s="83"/>
      <c r="G868" s="83"/>
      <c r="H868" s="83"/>
      <c r="I868" s="83"/>
      <c r="J868" s="83"/>
      <c r="K868" s="187"/>
      <c r="L868" s="187"/>
      <c r="M868" s="96"/>
      <c r="N868" s="83"/>
      <c r="O868" s="83"/>
      <c r="P868" s="83"/>
      <c r="Q868" s="83"/>
      <c r="R868" s="83"/>
      <c r="S868" s="83"/>
      <c r="T868" s="83"/>
      <c r="U868" s="83"/>
      <c r="V868" s="83"/>
      <c r="W868" s="83"/>
      <c r="X868" s="83"/>
      <c r="Y868" s="83"/>
      <c r="Z868" s="83"/>
      <c r="AA868" s="328"/>
      <c r="AB868" s="328"/>
    </row>
    <row r="869" ht="15.75" customHeight="1" spans="1:28">
      <c r="A869" s="96"/>
      <c r="B869" s="420"/>
      <c r="C869" s="83"/>
      <c r="D869" s="83"/>
      <c r="E869" s="83"/>
      <c r="F869" s="83"/>
      <c r="G869" s="83"/>
      <c r="H869" s="83"/>
      <c r="I869" s="83"/>
      <c r="J869" s="83"/>
      <c r="K869" s="187"/>
      <c r="L869" s="187"/>
      <c r="M869" s="96"/>
      <c r="N869" s="83"/>
      <c r="O869" s="83"/>
      <c r="P869" s="83"/>
      <c r="Q869" s="83"/>
      <c r="R869" s="83"/>
      <c r="S869" s="83"/>
      <c r="T869" s="83"/>
      <c r="U869" s="83"/>
      <c r="V869" s="83"/>
      <c r="W869" s="83"/>
      <c r="X869" s="83"/>
      <c r="Y869" s="83"/>
      <c r="Z869" s="83"/>
      <c r="AA869" s="328"/>
      <c r="AB869" s="328"/>
    </row>
    <row r="870" ht="15.75" customHeight="1" spans="1:28">
      <c r="A870" s="96"/>
      <c r="B870" s="420"/>
      <c r="C870" s="83"/>
      <c r="D870" s="83"/>
      <c r="E870" s="83"/>
      <c r="F870" s="83"/>
      <c r="G870" s="83"/>
      <c r="H870" s="83"/>
      <c r="I870" s="83"/>
      <c r="J870" s="83"/>
      <c r="K870" s="187"/>
      <c r="L870" s="187"/>
      <c r="M870" s="96"/>
      <c r="N870" s="83"/>
      <c r="O870" s="83"/>
      <c r="P870" s="83"/>
      <c r="Q870" s="83"/>
      <c r="R870" s="83"/>
      <c r="S870" s="83"/>
      <c r="T870" s="83"/>
      <c r="U870" s="83"/>
      <c r="V870" s="83"/>
      <c r="W870" s="83"/>
      <c r="X870" s="83"/>
      <c r="Y870" s="83"/>
      <c r="Z870" s="83"/>
      <c r="AA870" s="328"/>
      <c r="AB870" s="328"/>
    </row>
    <row r="871" ht="15.75" customHeight="1" spans="1:28">
      <c r="A871" s="96"/>
      <c r="B871" s="420"/>
      <c r="C871" s="83"/>
      <c r="D871" s="83"/>
      <c r="E871" s="83"/>
      <c r="F871" s="83"/>
      <c r="G871" s="83"/>
      <c r="H871" s="83"/>
      <c r="I871" s="83"/>
      <c r="J871" s="83"/>
      <c r="K871" s="187"/>
      <c r="L871" s="187"/>
      <c r="M871" s="96"/>
      <c r="N871" s="83"/>
      <c r="O871" s="83"/>
      <c r="P871" s="83"/>
      <c r="Q871" s="83"/>
      <c r="R871" s="83"/>
      <c r="S871" s="83"/>
      <c r="T871" s="83"/>
      <c r="U871" s="83"/>
      <c r="V871" s="83"/>
      <c r="W871" s="83"/>
      <c r="X871" s="83"/>
      <c r="Y871" s="83"/>
      <c r="Z871" s="83"/>
      <c r="AA871" s="328"/>
      <c r="AB871" s="328"/>
    </row>
    <row r="872" ht="15.75" customHeight="1" spans="1:28">
      <c r="A872" s="96"/>
      <c r="B872" s="420"/>
      <c r="C872" s="83"/>
      <c r="D872" s="83"/>
      <c r="E872" s="83"/>
      <c r="F872" s="83"/>
      <c r="G872" s="83"/>
      <c r="H872" s="83"/>
      <c r="I872" s="83"/>
      <c r="J872" s="83"/>
      <c r="K872" s="187"/>
      <c r="L872" s="187"/>
      <c r="M872" s="96"/>
      <c r="N872" s="83"/>
      <c r="O872" s="83"/>
      <c r="P872" s="83"/>
      <c r="Q872" s="83"/>
      <c r="R872" s="83"/>
      <c r="S872" s="83"/>
      <c r="T872" s="83"/>
      <c r="U872" s="83"/>
      <c r="V872" s="83"/>
      <c r="W872" s="83"/>
      <c r="X872" s="83"/>
      <c r="Y872" s="83"/>
      <c r="Z872" s="83"/>
      <c r="AA872" s="328"/>
      <c r="AB872" s="328"/>
    </row>
    <row r="873" ht="15.75" customHeight="1" spans="1:28">
      <c r="A873" s="96"/>
      <c r="B873" s="420"/>
      <c r="C873" s="83"/>
      <c r="D873" s="83"/>
      <c r="E873" s="83"/>
      <c r="F873" s="83"/>
      <c r="G873" s="83"/>
      <c r="H873" s="83"/>
      <c r="I873" s="83"/>
      <c r="J873" s="83"/>
      <c r="K873" s="187"/>
      <c r="L873" s="187"/>
      <c r="M873" s="96"/>
      <c r="N873" s="83"/>
      <c r="O873" s="83"/>
      <c r="P873" s="83"/>
      <c r="Q873" s="83"/>
      <c r="R873" s="83"/>
      <c r="S873" s="83"/>
      <c r="T873" s="83"/>
      <c r="U873" s="83"/>
      <c r="V873" s="83"/>
      <c r="W873" s="83"/>
      <c r="X873" s="83"/>
      <c r="Y873" s="83"/>
      <c r="Z873" s="83"/>
      <c r="AA873" s="328"/>
      <c r="AB873" s="328"/>
    </row>
    <row r="874" ht="15.75" customHeight="1" spans="1:28">
      <c r="A874" s="96"/>
      <c r="B874" s="420"/>
      <c r="C874" s="83"/>
      <c r="D874" s="83"/>
      <c r="E874" s="83"/>
      <c r="F874" s="83"/>
      <c r="G874" s="83"/>
      <c r="H874" s="83"/>
      <c r="I874" s="83"/>
      <c r="J874" s="83"/>
      <c r="K874" s="187"/>
      <c r="L874" s="187"/>
      <c r="M874" s="96"/>
      <c r="N874" s="83"/>
      <c r="O874" s="83"/>
      <c r="P874" s="83"/>
      <c r="Q874" s="83"/>
      <c r="R874" s="83"/>
      <c r="S874" s="83"/>
      <c r="T874" s="83"/>
      <c r="U874" s="83"/>
      <c r="V874" s="83"/>
      <c r="W874" s="83"/>
      <c r="X874" s="83"/>
      <c r="Y874" s="83"/>
      <c r="Z874" s="83"/>
      <c r="AA874" s="328"/>
      <c r="AB874" s="328"/>
    </row>
    <row r="875" ht="15.75" customHeight="1" spans="1:28">
      <c r="A875" s="96"/>
      <c r="B875" s="420"/>
      <c r="C875" s="83"/>
      <c r="D875" s="83"/>
      <c r="E875" s="83"/>
      <c r="F875" s="83"/>
      <c r="G875" s="83"/>
      <c r="H875" s="83"/>
      <c r="I875" s="83"/>
      <c r="J875" s="83"/>
      <c r="K875" s="187"/>
      <c r="L875" s="187"/>
      <c r="M875" s="96"/>
      <c r="N875" s="83"/>
      <c r="O875" s="83"/>
      <c r="P875" s="83"/>
      <c r="Q875" s="83"/>
      <c r="R875" s="83"/>
      <c r="S875" s="83"/>
      <c r="T875" s="83"/>
      <c r="U875" s="83"/>
      <c r="V875" s="83"/>
      <c r="W875" s="83"/>
      <c r="X875" s="83"/>
      <c r="Y875" s="83"/>
      <c r="Z875" s="83"/>
      <c r="AA875" s="328"/>
      <c r="AB875" s="328"/>
    </row>
    <row r="876" ht="15.75" customHeight="1" spans="1:28">
      <c r="A876" s="96"/>
      <c r="B876" s="420"/>
      <c r="C876" s="83"/>
      <c r="D876" s="83"/>
      <c r="E876" s="83"/>
      <c r="F876" s="83"/>
      <c r="G876" s="83"/>
      <c r="H876" s="83"/>
      <c r="I876" s="83"/>
      <c r="J876" s="83"/>
      <c r="K876" s="187"/>
      <c r="L876" s="187"/>
      <c r="M876" s="96"/>
      <c r="N876" s="83"/>
      <c r="O876" s="83"/>
      <c r="P876" s="83"/>
      <c r="Q876" s="83"/>
      <c r="R876" s="83"/>
      <c r="S876" s="83"/>
      <c r="T876" s="83"/>
      <c r="U876" s="83"/>
      <c r="V876" s="83"/>
      <c r="W876" s="83"/>
      <c r="X876" s="83"/>
      <c r="Y876" s="83"/>
      <c r="Z876" s="83"/>
      <c r="AA876" s="328"/>
      <c r="AB876" s="328"/>
    </row>
    <row r="877" ht="15.75" customHeight="1" spans="1:28">
      <c r="A877" s="96"/>
      <c r="B877" s="420"/>
      <c r="C877" s="83"/>
      <c r="D877" s="83"/>
      <c r="E877" s="83"/>
      <c r="F877" s="83"/>
      <c r="G877" s="83"/>
      <c r="H877" s="83"/>
      <c r="I877" s="83"/>
      <c r="J877" s="83"/>
      <c r="K877" s="187"/>
      <c r="L877" s="187"/>
      <c r="M877" s="96"/>
      <c r="N877" s="83"/>
      <c r="O877" s="83"/>
      <c r="P877" s="83"/>
      <c r="Q877" s="83"/>
      <c r="R877" s="83"/>
      <c r="S877" s="83"/>
      <c r="T877" s="83"/>
      <c r="U877" s="83"/>
      <c r="V877" s="83"/>
      <c r="W877" s="83"/>
      <c r="X877" s="83"/>
      <c r="Y877" s="83"/>
      <c r="Z877" s="83"/>
      <c r="AA877" s="328"/>
      <c r="AB877" s="328"/>
    </row>
    <row r="878" ht="15.75" customHeight="1" spans="1:28">
      <c r="A878" s="96"/>
      <c r="B878" s="420"/>
      <c r="C878" s="83"/>
      <c r="D878" s="83"/>
      <c r="E878" s="83"/>
      <c r="F878" s="83"/>
      <c r="G878" s="83"/>
      <c r="H878" s="83"/>
      <c r="I878" s="83"/>
      <c r="J878" s="83"/>
      <c r="K878" s="187"/>
      <c r="L878" s="187"/>
      <c r="M878" s="96"/>
      <c r="N878" s="83"/>
      <c r="O878" s="83"/>
      <c r="P878" s="83"/>
      <c r="Q878" s="83"/>
      <c r="R878" s="83"/>
      <c r="S878" s="83"/>
      <c r="T878" s="83"/>
      <c r="U878" s="83"/>
      <c r="V878" s="83"/>
      <c r="W878" s="83"/>
      <c r="X878" s="83"/>
      <c r="Y878" s="83"/>
      <c r="Z878" s="83"/>
      <c r="AA878" s="328"/>
      <c r="AB878" s="328"/>
    </row>
    <row r="879" ht="15.75" customHeight="1" spans="1:28">
      <c r="A879" s="96"/>
      <c r="B879" s="420"/>
      <c r="C879" s="83"/>
      <c r="D879" s="83"/>
      <c r="E879" s="83"/>
      <c r="F879" s="83"/>
      <c r="G879" s="83"/>
      <c r="H879" s="83"/>
      <c r="I879" s="83"/>
      <c r="J879" s="83"/>
      <c r="K879" s="187"/>
      <c r="L879" s="187"/>
      <c r="M879" s="96"/>
      <c r="N879" s="83"/>
      <c r="O879" s="83"/>
      <c r="P879" s="83"/>
      <c r="Q879" s="83"/>
      <c r="R879" s="83"/>
      <c r="S879" s="83"/>
      <c r="T879" s="83"/>
      <c r="U879" s="83"/>
      <c r="V879" s="83"/>
      <c r="W879" s="83"/>
      <c r="X879" s="83"/>
      <c r="Y879" s="83"/>
      <c r="Z879" s="83"/>
      <c r="AA879" s="328"/>
      <c r="AB879" s="328"/>
    </row>
    <row r="880" ht="15.75" customHeight="1" spans="1:28">
      <c r="A880" s="96"/>
      <c r="B880" s="420"/>
      <c r="C880" s="83"/>
      <c r="D880" s="83"/>
      <c r="E880" s="83"/>
      <c r="F880" s="83"/>
      <c r="G880" s="83"/>
      <c r="H880" s="83"/>
      <c r="I880" s="83"/>
      <c r="J880" s="83"/>
      <c r="K880" s="187"/>
      <c r="L880" s="187"/>
      <c r="M880" s="96"/>
      <c r="N880" s="83"/>
      <c r="O880" s="83"/>
      <c r="P880" s="83"/>
      <c r="Q880" s="83"/>
      <c r="R880" s="83"/>
      <c r="S880" s="83"/>
      <c r="T880" s="83"/>
      <c r="U880" s="83"/>
      <c r="V880" s="83"/>
      <c r="W880" s="83"/>
      <c r="X880" s="83"/>
      <c r="Y880" s="83"/>
      <c r="Z880" s="83"/>
      <c r="AA880" s="328"/>
      <c r="AB880" s="328"/>
    </row>
    <row r="881" ht="15.75" customHeight="1" spans="1:28">
      <c r="A881" s="96"/>
      <c r="B881" s="420"/>
      <c r="C881" s="83"/>
      <c r="D881" s="83"/>
      <c r="E881" s="83"/>
      <c r="F881" s="83"/>
      <c r="G881" s="83"/>
      <c r="H881" s="83"/>
      <c r="I881" s="83"/>
      <c r="J881" s="83"/>
      <c r="K881" s="187"/>
      <c r="L881" s="187"/>
      <c r="M881" s="96"/>
      <c r="N881" s="83"/>
      <c r="O881" s="83"/>
      <c r="P881" s="83"/>
      <c r="Q881" s="83"/>
      <c r="R881" s="83"/>
      <c r="S881" s="83"/>
      <c r="T881" s="83"/>
      <c r="U881" s="83"/>
      <c r="V881" s="83"/>
      <c r="W881" s="83"/>
      <c r="X881" s="83"/>
      <c r="Y881" s="83"/>
      <c r="Z881" s="83"/>
      <c r="AA881" s="328"/>
      <c r="AB881" s="328"/>
    </row>
    <row r="882" ht="15.75" customHeight="1" spans="1:28">
      <c r="A882" s="96"/>
      <c r="B882" s="420"/>
      <c r="C882" s="83"/>
      <c r="D882" s="83"/>
      <c r="E882" s="83"/>
      <c r="F882" s="83"/>
      <c r="G882" s="83"/>
      <c r="H882" s="83"/>
      <c r="I882" s="83"/>
      <c r="J882" s="83"/>
      <c r="K882" s="187"/>
      <c r="L882" s="187"/>
      <c r="M882" s="96"/>
      <c r="N882" s="83"/>
      <c r="O882" s="83"/>
      <c r="P882" s="83"/>
      <c r="Q882" s="83"/>
      <c r="R882" s="83"/>
      <c r="S882" s="83"/>
      <c r="T882" s="83"/>
      <c r="U882" s="83"/>
      <c r="V882" s="83"/>
      <c r="W882" s="83"/>
      <c r="X882" s="83"/>
      <c r="Y882" s="83"/>
      <c r="Z882" s="83"/>
      <c r="AA882" s="328"/>
      <c r="AB882" s="328"/>
    </row>
    <row r="883" ht="15.75" customHeight="1" spans="1:28">
      <c r="A883" s="96"/>
      <c r="B883" s="420"/>
      <c r="C883" s="83"/>
      <c r="D883" s="83"/>
      <c r="E883" s="83"/>
      <c r="F883" s="83"/>
      <c r="G883" s="83"/>
      <c r="H883" s="83"/>
      <c r="I883" s="83"/>
      <c r="J883" s="83"/>
      <c r="K883" s="187"/>
      <c r="L883" s="187"/>
      <c r="M883" s="96"/>
      <c r="N883" s="83"/>
      <c r="O883" s="83"/>
      <c r="P883" s="83"/>
      <c r="Q883" s="83"/>
      <c r="R883" s="83"/>
      <c r="S883" s="83"/>
      <c r="T883" s="83"/>
      <c r="U883" s="83"/>
      <c r="V883" s="83"/>
      <c r="W883" s="83"/>
      <c r="X883" s="83"/>
      <c r="Y883" s="83"/>
      <c r="Z883" s="83"/>
      <c r="AA883" s="328"/>
      <c r="AB883" s="328"/>
    </row>
    <row r="884" ht="15.75" customHeight="1" spans="1:28">
      <c r="A884" s="96"/>
      <c r="B884" s="420"/>
      <c r="C884" s="83"/>
      <c r="D884" s="83"/>
      <c r="E884" s="83"/>
      <c r="F884" s="83"/>
      <c r="G884" s="83"/>
      <c r="H884" s="83"/>
      <c r="I884" s="83"/>
      <c r="J884" s="83"/>
      <c r="K884" s="187"/>
      <c r="L884" s="187"/>
      <c r="M884" s="96"/>
      <c r="N884" s="83"/>
      <c r="O884" s="83"/>
      <c r="P884" s="83"/>
      <c r="Q884" s="83"/>
      <c r="R884" s="83"/>
      <c r="S884" s="83"/>
      <c r="T884" s="83"/>
      <c r="U884" s="83"/>
      <c r="V884" s="83"/>
      <c r="W884" s="83"/>
      <c r="X884" s="83"/>
      <c r="Y884" s="83"/>
      <c r="Z884" s="83"/>
      <c r="AA884" s="328"/>
      <c r="AB884" s="328"/>
    </row>
    <row r="885" ht="15.75" customHeight="1" spans="1:28">
      <c r="A885" s="96"/>
      <c r="B885" s="420"/>
      <c r="C885" s="83"/>
      <c r="D885" s="83"/>
      <c r="E885" s="83"/>
      <c r="F885" s="83"/>
      <c r="G885" s="83"/>
      <c r="H885" s="83"/>
      <c r="I885" s="83"/>
      <c r="J885" s="83"/>
      <c r="K885" s="187"/>
      <c r="L885" s="187"/>
      <c r="M885" s="96"/>
      <c r="N885" s="83"/>
      <c r="O885" s="83"/>
      <c r="P885" s="83"/>
      <c r="Q885" s="83"/>
      <c r="R885" s="83"/>
      <c r="S885" s="83"/>
      <c r="T885" s="83"/>
      <c r="U885" s="83"/>
      <c r="V885" s="83"/>
      <c r="W885" s="83"/>
      <c r="X885" s="83"/>
      <c r="Y885" s="83"/>
      <c r="Z885" s="83"/>
      <c r="AA885" s="328"/>
      <c r="AB885" s="328"/>
    </row>
    <row r="886" ht="15.75" customHeight="1" spans="1:28">
      <c r="A886" s="96"/>
      <c r="B886" s="420"/>
      <c r="C886" s="83"/>
      <c r="D886" s="83"/>
      <c r="E886" s="83"/>
      <c r="F886" s="83"/>
      <c r="G886" s="83"/>
      <c r="H886" s="83"/>
      <c r="I886" s="83"/>
      <c r="J886" s="83"/>
      <c r="K886" s="187"/>
      <c r="L886" s="187"/>
      <c r="M886" s="96"/>
      <c r="N886" s="83"/>
      <c r="O886" s="83"/>
      <c r="P886" s="83"/>
      <c r="Q886" s="83"/>
      <c r="R886" s="83"/>
      <c r="S886" s="83"/>
      <c r="T886" s="83"/>
      <c r="U886" s="83"/>
      <c r="V886" s="83"/>
      <c r="W886" s="83"/>
      <c r="X886" s="83"/>
      <c r="Y886" s="83"/>
      <c r="Z886" s="83"/>
      <c r="AA886" s="328"/>
      <c r="AB886" s="328"/>
    </row>
    <row r="887" ht="15.75" customHeight="1" spans="1:28">
      <c r="A887" s="96"/>
      <c r="B887" s="420"/>
      <c r="C887" s="83"/>
      <c r="D887" s="83"/>
      <c r="E887" s="83"/>
      <c r="F887" s="83"/>
      <c r="G887" s="83"/>
      <c r="H887" s="83"/>
      <c r="I887" s="83"/>
      <c r="J887" s="83"/>
      <c r="K887" s="187"/>
      <c r="L887" s="187"/>
      <c r="M887" s="96"/>
      <c r="N887" s="83"/>
      <c r="O887" s="83"/>
      <c r="P887" s="83"/>
      <c r="Q887" s="83"/>
      <c r="R887" s="83"/>
      <c r="S887" s="83"/>
      <c r="T887" s="83"/>
      <c r="U887" s="83"/>
      <c r="V887" s="83"/>
      <c r="W887" s="83"/>
      <c r="X887" s="83"/>
      <c r="Y887" s="83"/>
      <c r="Z887" s="83"/>
      <c r="AA887" s="328"/>
      <c r="AB887" s="328"/>
    </row>
    <row r="888" ht="15.75" customHeight="1" spans="1:28">
      <c r="A888" s="96"/>
      <c r="B888" s="420"/>
      <c r="C888" s="83"/>
      <c r="D888" s="83"/>
      <c r="E888" s="83"/>
      <c r="F888" s="83"/>
      <c r="G888" s="83"/>
      <c r="H888" s="83"/>
      <c r="I888" s="83"/>
      <c r="J888" s="83"/>
      <c r="K888" s="187"/>
      <c r="L888" s="187"/>
      <c r="M888" s="96"/>
      <c r="N888" s="83"/>
      <c r="O888" s="83"/>
      <c r="P888" s="83"/>
      <c r="Q888" s="83"/>
      <c r="R888" s="83"/>
      <c r="S888" s="83"/>
      <c r="T888" s="83"/>
      <c r="U888" s="83"/>
      <c r="V888" s="83"/>
      <c r="W888" s="83"/>
      <c r="X888" s="83"/>
      <c r="Y888" s="83"/>
      <c r="Z888" s="83"/>
      <c r="AA888" s="328"/>
      <c r="AB888" s="328"/>
    </row>
    <row r="889" ht="15.75" customHeight="1" spans="1:28">
      <c r="A889" s="96"/>
      <c r="B889" s="420"/>
      <c r="C889" s="83"/>
      <c r="D889" s="83"/>
      <c r="E889" s="83"/>
      <c r="F889" s="83"/>
      <c r="G889" s="83"/>
      <c r="H889" s="83"/>
      <c r="I889" s="83"/>
      <c r="J889" s="83"/>
      <c r="K889" s="187"/>
      <c r="L889" s="187"/>
      <c r="M889" s="96"/>
      <c r="N889" s="83"/>
      <c r="O889" s="83"/>
      <c r="P889" s="83"/>
      <c r="Q889" s="83"/>
      <c r="R889" s="83"/>
      <c r="S889" s="83"/>
      <c r="T889" s="83"/>
      <c r="U889" s="83"/>
      <c r="V889" s="83"/>
      <c r="W889" s="83"/>
      <c r="X889" s="83"/>
      <c r="Y889" s="83"/>
      <c r="Z889" s="83"/>
      <c r="AA889" s="328"/>
      <c r="AB889" s="328"/>
    </row>
    <row r="890" ht="15.75" customHeight="1" spans="1:28">
      <c r="A890" s="96"/>
      <c r="B890" s="420"/>
      <c r="C890" s="83"/>
      <c r="D890" s="83"/>
      <c r="E890" s="83"/>
      <c r="F890" s="83"/>
      <c r="G890" s="83"/>
      <c r="H890" s="83"/>
      <c r="I890" s="83"/>
      <c r="J890" s="83"/>
      <c r="K890" s="187"/>
      <c r="L890" s="187"/>
      <c r="M890" s="96"/>
      <c r="N890" s="83"/>
      <c r="O890" s="83"/>
      <c r="P890" s="83"/>
      <c r="Q890" s="83"/>
      <c r="R890" s="83"/>
      <c r="S890" s="83"/>
      <c r="T890" s="83"/>
      <c r="U890" s="83"/>
      <c r="V890" s="83"/>
      <c r="W890" s="83"/>
      <c r="X890" s="83"/>
      <c r="Y890" s="83"/>
      <c r="Z890" s="83"/>
      <c r="AA890" s="328"/>
      <c r="AB890" s="328"/>
    </row>
    <row r="891" ht="15.75" customHeight="1" spans="1:28">
      <c r="A891" s="96"/>
      <c r="B891" s="420"/>
      <c r="C891" s="83"/>
      <c r="D891" s="83"/>
      <c r="E891" s="83"/>
      <c r="F891" s="83"/>
      <c r="G891" s="83"/>
      <c r="H891" s="83"/>
      <c r="I891" s="83"/>
      <c r="J891" s="83"/>
      <c r="K891" s="187"/>
      <c r="L891" s="187"/>
      <c r="M891" s="96"/>
      <c r="N891" s="83"/>
      <c r="O891" s="83"/>
      <c r="P891" s="83"/>
      <c r="Q891" s="83"/>
      <c r="R891" s="83"/>
      <c r="S891" s="83"/>
      <c r="T891" s="83"/>
      <c r="U891" s="83"/>
      <c r="V891" s="83"/>
      <c r="W891" s="83"/>
      <c r="X891" s="83"/>
      <c r="Y891" s="83"/>
      <c r="Z891" s="83"/>
      <c r="AA891" s="328"/>
      <c r="AB891" s="328"/>
    </row>
    <row r="892" ht="15.75" customHeight="1" spans="1:28">
      <c r="A892" s="96"/>
      <c r="B892" s="420"/>
      <c r="C892" s="83"/>
      <c r="D892" s="83"/>
      <c r="E892" s="83"/>
      <c r="F892" s="83"/>
      <c r="G892" s="83"/>
      <c r="H892" s="83"/>
      <c r="I892" s="83"/>
      <c r="J892" s="83"/>
      <c r="K892" s="187"/>
      <c r="L892" s="187"/>
      <c r="M892" s="96"/>
      <c r="N892" s="83"/>
      <c r="O892" s="83"/>
      <c r="P892" s="83"/>
      <c r="Q892" s="83"/>
      <c r="R892" s="83"/>
      <c r="S892" s="83"/>
      <c r="T892" s="83"/>
      <c r="U892" s="83"/>
      <c r="V892" s="83"/>
      <c r="W892" s="83"/>
      <c r="X892" s="83"/>
      <c r="Y892" s="83"/>
      <c r="Z892" s="83"/>
      <c r="AA892" s="328"/>
      <c r="AB892" s="328"/>
    </row>
    <row r="893" ht="15.75" customHeight="1" spans="1:28">
      <c r="A893" s="96"/>
      <c r="B893" s="420"/>
      <c r="C893" s="83"/>
      <c r="D893" s="83"/>
      <c r="E893" s="83"/>
      <c r="F893" s="83"/>
      <c r="G893" s="83"/>
      <c r="H893" s="83"/>
      <c r="I893" s="83"/>
      <c r="J893" s="83"/>
      <c r="K893" s="187"/>
      <c r="L893" s="187"/>
      <c r="M893" s="96"/>
      <c r="N893" s="83"/>
      <c r="O893" s="83"/>
      <c r="P893" s="83"/>
      <c r="Q893" s="83"/>
      <c r="R893" s="83"/>
      <c r="S893" s="83"/>
      <c r="T893" s="83"/>
      <c r="U893" s="83"/>
      <c r="V893" s="83"/>
      <c r="W893" s="83"/>
      <c r="X893" s="83"/>
      <c r="Y893" s="83"/>
      <c r="Z893" s="83"/>
      <c r="AA893" s="328"/>
      <c r="AB893" s="328"/>
    </row>
    <row r="894" ht="15.75" customHeight="1" spans="1:28">
      <c r="A894" s="96"/>
      <c r="B894" s="420"/>
      <c r="C894" s="83"/>
      <c r="D894" s="83"/>
      <c r="E894" s="83"/>
      <c r="F894" s="83"/>
      <c r="G894" s="83"/>
      <c r="H894" s="83"/>
      <c r="I894" s="83"/>
      <c r="J894" s="83"/>
      <c r="K894" s="187"/>
      <c r="L894" s="187"/>
      <c r="M894" s="96"/>
      <c r="N894" s="83"/>
      <c r="O894" s="83"/>
      <c r="P894" s="83"/>
      <c r="Q894" s="83"/>
      <c r="R894" s="83"/>
      <c r="S894" s="83"/>
      <c r="T894" s="83"/>
      <c r="U894" s="83"/>
      <c r="V894" s="83"/>
      <c r="W894" s="83"/>
      <c r="X894" s="83"/>
      <c r="Y894" s="83"/>
      <c r="Z894" s="83"/>
      <c r="AA894" s="328"/>
      <c r="AB894" s="328"/>
    </row>
    <row r="895" ht="15.75" customHeight="1" spans="1:28">
      <c r="A895" s="96"/>
      <c r="B895" s="420"/>
      <c r="C895" s="83"/>
      <c r="D895" s="83"/>
      <c r="E895" s="83"/>
      <c r="F895" s="83"/>
      <c r="G895" s="83"/>
      <c r="H895" s="83"/>
      <c r="I895" s="83"/>
      <c r="J895" s="83"/>
      <c r="K895" s="187"/>
      <c r="L895" s="187"/>
      <c r="M895" s="96"/>
      <c r="N895" s="83"/>
      <c r="O895" s="83"/>
      <c r="P895" s="83"/>
      <c r="Q895" s="83"/>
      <c r="R895" s="83"/>
      <c r="S895" s="83"/>
      <c r="T895" s="83"/>
      <c r="U895" s="83"/>
      <c r="V895" s="83"/>
      <c r="W895" s="83"/>
      <c r="X895" s="83"/>
      <c r="Y895" s="83"/>
      <c r="Z895" s="83"/>
      <c r="AA895" s="328"/>
      <c r="AB895" s="328"/>
    </row>
    <row r="896" ht="15.75" customHeight="1" spans="1:28">
      <c r="A896" s="96"/>
      <c r="B896" s="420"/>
      <c r="C896" s="83"/>
      <c r="D896" s="83"/>
      <c r="E896" s="83"/>
      <c r="F896" s="83"/>
      <c r="G896" s="83"/>
      <c r="H896" s="83"/>
      <c r="I896" s="83"/>
      <c r="J896" s="83"/>
      <c r="K896" s="187"/>
      <c r="L896" s="187"/>
      <c r="M896" s="96"/>
      <c r="N896" s="83"/>
      <c r="O896" s="83"/>
      <c r="P896" s="83"/>
      <c r="Q896" s="83"/>
      <c r="R896" s="83"/>
      <c r="S896" s="83"/>
      <c r="T896" s="83"/>
      <c r="U896" s="83"/>
      <c r="V896" s="83"/>
      <c r="W896" s="83"/>
      <c r="X896" s="83"/>
      <c r="Y896" s="83"/>
      <c r="Z896" s="83"/>
      <c r="AA896" s="328"/>
      <c r="AB896" s="328"/>
    </row>
    <row r="897" ht="15.75" customHeight="1" spans="1:28">
      <c r="A897" s="96"/>
      <c r="B897" s="420"/>
      <c r="C897" s="83"/>
      <c r="D897" s="83"/>
      <c r="E897" s="83"/>
      <c r="F897" s="83"/>
      <c r="G897" s="83"/>
      <c r="H897" s="83"/>
      <c r="I897" s="83"/>
      <c r="J897" s="83"/>
      <c r="K897" s="187"/>
      <c r="L897" s="187"/>
      <c r="M897" s="96"/>
      <c r="N897" s="83"/>
      <c r="O897" s="83"/>
      <c r="P897" s="83"/>
      <c r="Q897" s="83"/>
      <c r="R897" s="83"/>
      <c r="S897" s="83"/>
      <c r="T897" s="83"/>
      <c r="U897" s="83"/>
      <c r="V897" s="83"/>
      <c r="W897" s="83"/>
      <c r="X897" s="83"/>
      <c r="Y897" s="83"/>
      <c r="Z897" s="83"/>
      <c r="AA897" s="328"/>
      <c r="AB897" s="328"/>
    </row>
    <row r="898" ht="15.75" customHeight="1" spans="1:28">
      <c r="A898" s="96"/>
      <c r="B898" s="420"/>
      <c r="C898" s="83"/>
      <c r="D898" s="83"/>
      <c r="E898" s="83"/>
      <c r="F898" s="83"/>
      <c r="G898" s="83"/>
      <c r="H898" s="83"/>
      <c r="I898" s="83"/>
      <c r="J898" s="83"/>
      <c r="K898" s="187"/>
      <c r="L898" s="187"/>
      <c r="M898" s="96"/>
      <c r="N898" s="83"/>
      <c r="O898" s="83"/>
      <c r="P898" s="83"/>
      <c r="Q898" s="83"/>
      <c r="R898" s="83"/>
      <c r="S898" s="83"/>
      <c r="T898" s="83"/>
      <c r="U898" s="83"/>
      <c r="V898" s="83"/>
      <c r="W898" s="83"/>
      <c r="X898" s="83"/>
      <c r="Y898" s="83"/>
      <c r="Z898" s="83"/>
      <c r="AA898" s="328"/>
      <c r="AB898" s="328"/>
    </row>
    <row r="899" ht="15.75" customHeight="1" spans="1:28">
      <c r="A899" s="96"/>
      <c r="B899" s="420"/>
      <c r="C899" s="83"/>
      <c r="D899" s="83"/>
      <c r="E899" s="83"/>
      <c r="F899" s="83"/>
      <c r="G899" s="83"/>
      <c r="H899" s="83"/>
      <c r="I899" s="83"/>
      <c r="J899" s="83"/>
      <c r="K899" s="187"/>
      <c r="L899" s="187"/>
      <c r="M899" s="96"/>
      <c r="N899" s="83"/>
      <c r="O899" s="83"/>
      <c r="P899" s="83"/>
      <c r="Q899" s="83"/>
      <c r="R899" s="83"/>
      <c r="S899" s="83"/>
      <c r="T899" s="83"/>
      <c r="U899" s="83"/>
      <c r="V899" s="83"/>
      <c r="W899" s="83"/>
      <c r="X899" s="83"/>
      <c r="Y899" s="83"/>
      <c r="Z899" s="83"/>
      <c r="AA899" s="328"/>
      <c r="AB899" s="328"/>
    </row>
    <row r="900" ht="15.75" customHeight="1" spans="1:28">
      <c r="A900" s="96"/>
      <c r="B900" s="420"/>
      <c r="C900" s="83"/>
      <c r="D900" s="83"/>
      <c r="E900" s="83"/>
      <c r="F900" s="83"/>
      <c r="G900" s="83"/>
      <c r="H900" s="83"/>
      <c r="I900" s="83"/>
      <c r="J900" s="83"/>
      <c r="K900" s="187"/>
      <c r="L900" s="187"/>
      <c r="M900" s="96"/>
      <c r="N900" s="83"/>
      <c r="O900" s="83"/>
      <c r="P900" s="83"/>
      <c r="Q900" s="83"/>
      <c r="R900" s="83"/>
      <c r="S900" s="83"/>
      <c r="T900" s="83"/>
      <c r="U900" s="83"/>
      <c r="V900" s="83"/>
      <c r="W900" s="83"/>
      <c r="X900" s="83"/>
      <c r="Y900" s="83"/>
      <c r="Z900" s="83"/>
      <c r="AA900" s="328"/>
      <c r="AB900" s="328"/>
    </row>
    <row r="901" ht="15.75" customHeight="1" spans="1:28">
      <c r="A901" s="96"/>
      <c r="B901" s="420"/>
      <c r="C901" s="83"/>
      <c r="D901" s="83"/>
      <c r="E901" s="83"/>
      <c r="F901" s="83"/>
      <c r="G901" s="83"/>
      <c r="H901" s="83"/>
      <c r="I901" s="83"/>
      <c r="J901" s="83"/>
      <c r="K901" s="187"/>
      <c r="L901" s="187"/>
      <c r="M901" s="96"/>
      <c r="N901" s="83"/>
      <c r="O901" s="83"/>
      <c r="P901" s="83"/>
      <c r="Q901" s="83"/>
      <c r="R901" s="83"/>
      <c r="S901" s="83"/>
      <c r="T901" s="83"/>
      <c r="U901" s="83"/>
      <c r="V901" s="83"/>
      <c r="W901" s="83"/>
      <c r="X901" s="83"/>
      <c r="Y901" s="83"/>
      <c r="Z901" s="83"/>
      <c r="AA901" s="328"/>
      <c r="AB901" s="328"/>
    </row>
    <row r="902" ht="15.75" customHeight="1" spans="1:28">
      <c r="A902" s="96"/>
      <c r="B902" s="420"/>
      <c r="C902" s="83"/>
      <c r="D902" s="83"/>
      <c r="E902" s="83"/>
      <c r="F902" s="83"/>
      <c r="G902" s="83"/>
      <c r="H902" s="83"/>
      <c r="I902" s="83"/>
      <c r="J902" s="83"/>
      <c r="K902" s="187"/>
      <c r="L902" s="187"/>
      <c r="M902" s="96"/>
      <c r="N902" s="83"/>
      <c r="O902" s="83"/>
      <c r="P902" s="83"/>
      <c r="Q902" s="83"/>
      <c r="R902" s="83"/>
      <c r="S902" s="83"/>
      <c r="T902" s="83"/>
      <c r="U902" s="83"/>
      <c r="V902" s="83"/>
      <c r="W902" s="83"/>
      <c r="X902" s="83"/>
      <c r="Y902" s="83"/>
      <c r="Z902" s="83"/>
      <c r="AA902" s="328"/>
      <c r="AB902" s="328"/>
    </row>
    <row r="903" ht="15.75" customHeight="1" spans="1:28">
      <c r="A903" s="96"/>
      <c r="B903" s="420"/>
      <c r="C903" s="83"/>
      <c r="D903" s="83"/>
      <c r="E903" s="83"/>
      <c r="F903" s="83"/>
      <c r="G903" s="83"/>
      <c r="H903" s="83"/>
      <c r="I903" s="83"/>
      <c r="J903" s="83"/>
      <c r="K903" s="187"/>
      <c r="L903" s="187"/>
      <c r="M903" s="96"/>
      <c r="N903" s="83"/>
      <c r="O903" s="83"/>
      <c r="P903" s="83"/>
      <c r="Q903" s="83"/>
      <c r="R903" s="83"/>
      <c r="S903" s="83"/>
      <c r="T903" s="83"/>
      <c r="U903" s="83"/>
      <c r="V903" s="83"/>
      <c r="W903" s="83"/>
      <c r="X903" s="83"/>
      <c r="Y903" s="83"/>
      <c r="Z903" s="83"/>
      <c r="AA903" s="328"/>
      <c r="AB903" s="328"/>
    </row>
    <row r="904" ht="15.75" customHeight="1" spans="1:28">
      <c r="A904" s="96"/>
      <c r="B904" s="420"/>
      <c r="C904" s="83"/>
      <c r="D904" s="83"/>
      <c r="E904" s="83"/>
      <c r="F904" s="83"/>
      <c r="G904" s="83"/>
      <c r="H904" s="83"/>
      <c r="I904" s="83"/>
      <c r="J904" s="83"/>
      <c r="K904" s="187"/>
      <c r="L904" s="187"/>
      <c r="M904" s="96"/>
      <c r="N904" s="83"/>
      <c r="O904" s="83"/>
      <c r="P904" s="83"/>
      <c r="Q904" s="83"/>
      <c r="R904" s="83"/>
      <c r="S904" s="83"/>
      <c r="T904" s="83"/>
      <c r="U904" s="83"/>
      <c r="V904" s="83"/>
      <c r="W904" s="83"/>
      <c r="X904" s="83"/>
      <c r="Y904" s="83"/>
      <c r="Z904" s="83"/>
      <c r="AA904" s="328"/>
      <c r="AB904" s="328"/>
    </row>
    <row r="905" ht="15.75" customHeight="1" spans="1:28">
      <c r="A905" s="96"/>
      <c r="B905" s="420"/>
      <c r="C905" s="83"/>
      <c r="D905" s="83"/>
      <c r="E905" s="83"/>
      <c r="F905" s="83"/>
      <c r="G905" s="83"/>
      <c r="H905" s="83"/>
      <c r="I905" s="83"/>
      <c r="J905" s="83"/>
      <c r="K905" s="187"/>
      <c r="L905" s="187"/>
      <c r="M905" s="96"/>
      <c r="N905" s="83"/>
      <c r="O905" s="83"/>
      <c r="P905" s="83"/>
      <c r="Q905" s="83"/>
      <c r="R905" s="83"/>
      <c r="S905" s="83"/>
      <c r="T905" s="83"/>
      <c r="U905" s="83"/>
      <c r="V905" s="83"/>
      <c r="W905" s="83"/>
      <c r="X905" s="83"/>
      <c r="Y905" s="83"/>
      <c r="Z905" s="83"/>
      <c r="AA905" s="328"/>
      <c r="AB905" s="328"/>
    </row>
    <row r="906" ht="15.75" customHeight="1" spans="1:28">
      <c r="A906" s="96"/>
      <c r="B906" s="420"/>
      <c r="C906" s="83"/>
      <c r="D906" s="83"/>
      <c r="E906" s="83"/>
      <c r="F906" s="83"/>
      <c r="G906" s="83"/>
      <c r="H906" s="83"/>
      <c r="I906" s="83"/>
      <c r="J906" s="83"/>
      <c r="K906" s="187"/>
      <c r="L906" s="187"/>
      <c r="M906" s="96"/>
      <c r="N906" s="83"/>
      <c r="O906" s="83"/>
      <c r="P906" s="83"/>
      <c r="Q906" s="83"/>
      <c r="R906" s="83"/>
      <c r="S906" s="83"/>
      <c r="T906" s="83"/>
      <c r="U906" s="83"/>
      <c r="V906" s="83"/>
      <c r="W906" s="83"/>
      <c r="X906" s="83"/>
      <c r="Y906" s="83"/>
      <c r="Z906" s="83"/>
      <c r="AA906" s="328"/>
      <c r="AB906" s="328"/>
    </row>
    <row r="907" ht="15.75" customHeight="1" spans="1:28">
      <c r="A907" s="96"/>
      <c r="B907" s="420"/>
      <c r="C907" s="83"/>
      <c r="D907" s="83"/>
      <c r="E907" s="83"/>
      <c r="F907" s="83"/>
      <c r="G907" s="83"/>
      <c r="H907" s="83"/>
      <c r="I907" s="83"/>
      <c r="J907" s="83"/>
      <c r="K907" s="187"/>
      <c r="L907" s="187"/>
      <c r="M907" s="96"/>
      <c r="N907" s="83"/>
      <c r="O907" s="83"/>
      <c r="P907" s="83"/>
      <c r="Q907" s="83"/>
      <c r="R907" s="83"/>
      <c r="S907" s="83"/>
      <c r="T907" s="83"/>
      <c r="U907" s="83"/>
      <c r="V907" s="83"/>
      <c r="W907" s="83"/>
      <c r="X907" s="83"/>
      <c r="Y907" s="83"/>
      <c r="Z907" s="83"/>
      <c r="AA907" s="328"/>
      <c r="AB907" s="328"/>
    </row>
    <row r="908" ht="15.75" customHeight="1" spans="1:28">
      <c r="A908" s="96"/>
      <c r="B908" s="420"/>
      <c r="C908" s="83"/>
      <c r="D908" s="83"/>
      <c r="E908" s="83"/>
      <c r="F908" s="83"/>
      <c r="G908" s="83"/>
      <c r="H908" s="83"/>
      <c r="I908" s="83"/>
      <c r="J908" s="83"/>
      <c r="K908" s="187"/>
      <c r="L908" s="187"/>
      <c r="M908" s="96"/>
      <c r="N908" s="83"/>
      <c r="O908" s="83"/>
      <c r="P908" s="83"/>
      <c r="Q908" s="83"/>
      <c r="R908" s="83"/>
      <c r="S908" s="83"/>
      <c r="T908" s="83"/>
      <c r="U908" s="83"/>
      <c r="V908" s="83"/>
      <c r="W908" s="83"/>
      <c r="X908" s="83"/>
      <c r="Y908" s="83"/>
      <c r="Z908" s="83"/>
      <c r="AA908" s="328"/>
      <c r="AB908" s="328"/>
    </row>
    <row r="909" ht="15.75" customHeight="1" spans="1:28">
      <c r="A909" s="96"/>
      <c r="B909" s="420"/>
      <c r="C909" s="83"/>
      <c r="D909" s="83"/>
      <c r="E909" s="83"/>
      <c r="F909" s="83"/>
      <c r="G909" s="83"/>
      <c r="H909" s="83"/>
      <c r="I909" s="83"/>
      <c r="J909" s="83"/>
      <c r="K909" s="187"/>
      <c r="L909" s="187"/>
      <c r="M909" s="96"/>
      <c r="N909" s="83"/>
      <c r="O909" s="83"/>
      <c r="P909" s="83"/>
      <c r="Q909" s="83"/>
      <c r="R909" s="83"/>
      <c r="S909" s="83"/>
      <c r="T909" s="83"/>
      <c r="U909" s="83"/>
      <c r="V909" s="83"/>
      <c r="W909" s="83"/>
      <c r="X909" s="83"/>
      <c r="Y909" s="83"/>
      <c r="Z909" s="83"/>
      <c r="AA909" s="328"/>
      <c r="AB909" s="328"/>
    </row>
    <row r="910" ht="15.75" customHeight="1" spans="1:28">
      <c r="A910" s="96"/>
      <c r="B910" s="420"/>
      <c r="C910" s="83"/>
      <c r="D910" s="83"/>
      <c r="E910" s="83"/>
      <c r="F910" s="83"/>
      <c r="G910" s="83"/>
      <c r="H910" s="83"/>
      <c r="I910" s="83"/>
      <c r="J910" s="83"/>
      <c r="K910" s="187"/>
      <c r="L910" s="187"/>
      <c r="M910" s="96"/>
      <c r="N910" s="83"/>
      <c r="O910" s="83"/>
      <c r="P910" s="83"/>
      <c r="Q910" s="83"/>
      <c r="R910" s="83"/>
      <c r="S910" s="83"/>
      <c r="T910" s="83"/>
      <c r="U910" s="83"/>
      <c r="V910" s="83"/>
      <c r="W910" s="83"/>
      <c r="X910" s="83"/>
      <c r="Y910" s="83"/>
      <c r="Z910" s="83"/>
      <c r="AA910" s="328"/>
      <c r="AB910" s="328"/>
    </row>
    <row r="911" ht="15.75" customHeight="1" spans="1:28">
      <c r="A911" s="96"/>
      <c r="B911" s="420"/>
      <c r="C911" s="83"/>
      <c r="D911" s="83"/>
      <c r="E911" s="83"/>
      <c r="F911" s="83"/>
      <c r="G911" s="83"/>
      <c r="H911" s="83"/>
      <c r="I911" s="83"/>
      <c r="J911" s="83"/>
      <c r="K911" s="187"/>
      <c r="L911" s="187"/>
      <c r="M911" s="96"/>
      <c r="N911" s="83"/>
      <c r="O911" s="83"/>
      <c r="P911" s="83"/>
      <c r="Q911" s="83"/>
      <c r="R911" s="83"/>
      <c r="S911" s="83"/>
      <c r="T911" s="83"/>
      <c r="U911" s="83"/>
      <c r="V911" s="83"/>
      <c r="W911" s="83"/>
      <c r="X911" s="83"/>
      <c r="Y911" s="83"/>
      <c r="Z911" s="83"/>
      <c r="AA911" s="328"/>
      <c r="AB911" s="328"/>
    </row>
    <row r="912" ht="15.75" customHeight="1" spans="1:28">
      <c r="A912" s="96"/>
      <c r="B912" s="420"/>
      <c r="C912" s="83"/>
      <c r="D912" s="83"/>
      <c r="E912" s="83"/>
      <c r="F912" s="83"/>
      <c r="G912" s="83"/>
      <c r="H912" s="83"/>
      <c r="I912" s="83"/>
      <c r="J912" s="83"/>
      <c r="K912" s="187"/>
      <c r="L912" s="187"/>
      <c r="M912" s="96"/>
      <c r="N912" s="83"/>
      <c r="O912" s="83"/>
      <c r="P912" s="83"/>
      <c r="Q912" s="83"/>
      <c r="R912" s="83"/>
      <c r="S912" s="83"/>
      <c r="T912" s="83"/>
      <c r="U912" s="83"/>
      <c r="V912" s="83"/>
      <c r="W912" s="83"/>
      <c r="X912" s="83"/>
      <c r="Y912" s="83"/>
      <c r="Z912" s="83"/>
      <c r="AA912" s="328"/>
      <c r="AB912" s="328"/>
    </row>
    <row r="913" ht="15.75" customHeight="1" spans="1:28">
      <c r="A913" s="96"/>
      <c r="B913" s="420"/>
      <c r="C913" s="83"/>
      <c r="D913" s="83"/>
      <c r="E913" s="83"/>
      <c r="F913" s="83"/>
      <c r="G913" s="83"/>
      <c r="H913" s="83"/>
      <c r="I913" s="83"/>
      <c r="J913" s="83"/>
      <c r="K913" s="187"/>
      <c r="L913" s="187"/>
      <c r="M913" s="96"/>
      <c r="N913" s="83"/>
      <c r="O913" s="83"/>
      <c r="P913" s="83"/>
      <c r="Q913" s="83"/>
      <c r="R913" s="83"/>
      <c r="S913" s="83"/>
      <c r="T913" s="83"/>
      <c r="U913" s="83"/>
      <c r="V913" s="83"/>
      <c r="W913" s="83"/>
      <c r="X913" s="83"/>
      <c r="Y913" s="83"/>
      <c r="Z913" s="83"/>
      <c r="AA913" s="328"/>
      <c r="AB913" s="328"/>
    </row>
    <row r="914" ht="15.75" customHeight="1" spans="1:28">
      <c r="A914" s="96"/>
      <c r="B914" s="420"/>
      <c r="C914" s="83"/>
      <c r="D914" s="83"/>
      <c r="E914" s="83"/>
      <c r="F914" s="83"/>
      <c r="G914" s="83"/>
      <c r="H914" s="83"/>
      <c r="I914" s="83"/>
      <c r="J914" s="83"/>
      <c r="K914" s="187"/>
      <c r="L914" s="187"/>
      <c r="M914" s="96"/>
      <c r="N914" s="83"/>
      <c r="O914" s="83"/>
      <c r="P914" s="83"/>
      <c r="Q914" s="83"/>
      <c r="R914" s="83"/>
      <c r="S914" s="83"/>
      <c r="T914" s="83"/>
      <c r="U914" s="83"/>
      <c r="V914" s="83"/>
      <c r="W914" s="83"/>
      <c r="X914" s="83"/>
      <c r="Y914" s="83"/>
      <c r="Z914" s="83"/>
      <c r="AA914" s="328"/>
      <c r="AB914" s="328"/>
    </row>
    <row r="915" ht="15.75" customHeight="1" spans="1:28">
      <c r="A915" s="96"/>
      <c r="B915" s="420"/>
      <c r="C915" s="83"/>
      <c r="D915" s="83"/>
      <c r="E915" s="83"/>
      <c r="F915" s="83"/>
      <c r="G915" s="83"/>
      <c r="H915" s="83"/>
      <c r="I915" s="83"/>
      <c r="J915" s="83"/>
      <c r="K915" s="187"/>
      <c r="L915" s="187"/>
      <c r="M915" s="96"/>
      <c r="N915" s="83"/>
      <c r="O915" s="83"/>
      <c r="P915" s="83"/>
      <c r="Q915" s="83"/>
      <c r="R915" s="83"/>
      <c r="S915" s="83"/>
      <c r="T915" s="83"/>
      <c r="U915" s="83"/>
      <c r="V915" s="83"/>
      <c r="W915" s="83"/>
      <c r="X915" s="83"/>
      <c r="Y915" s="83"/>
      <c r="Z915" s="83"/>
      <c r="AA915" s="328"/>
      <c r="AB915" s="328"/>
    </row>
    <row r="916" ht="15.75" customHeight="1" spans="1:28">
      <c r="A916" s="96"/>
      <c r="B916" s="420"/>
      <c r="C916" s="83"/>
      <c r="D916" s="83"/>
      <c r="E916" s="83"/>
      <c r="F916" s="83"/>
      <c r="G916" s="83"/>
      <c r="H916" s="83"/>
      <c r="I916" s="83"/>
      <c r="J916" s="83"/>
      <c r="K916" s="187"/>
      <c r="L916" s="187"/>
      <c r="M916" s="96"/>
      <c r="N916" s="83"/>
      <c r="O916" s="83"/>
      <c r="P916" s="83"/>
      <c r="Q916" s="83"/>
      <c r="R916" s="83"/>
      <c r="S916" s="83"/>
      <c r="T916" s="83"/>
      <c r="U916" s="83"/>
      <c r="V916" s="83"/>
      <c r="W916" s="83"/>
      <c r="X916" s="83"/>
      <c r="Y916" s="83"/>
      <c r="Z916" s="83"/>
      <c r="AA916" s="328"/>
      <c r="AB916" s="328"/>
    </row>
    <row r="917" ht="15.75" customHeight="1" spans="1:28">
      <c r="A917" s="96"/>
      <c r="B917" s="420"/>
      <c r="C917" s="83"/>
      <c r="D917" s="83"/>
      <c r="E917" s="83"/>
      <c r="F917" s="83"/>
      <c r="G917" s="83"/>
      <c r="H917" s="83"/>
      <c r="I917" s="83"/>
      <c r="J917" s="83"/>
      <c r="K917" s="187"/>
      <c r="L917" s="187"/>
      <c r="M917" s="96"/>
      <c r="N917" s="83"/>
      <c r="O917" s="83"/>
      <c r="P917" s="83"/>
      <c r="Q917" s="83"/>
      <c r="R917" s="83"/>
      <c r="S917" s="83"/>
      <c r="T917" s="83"/>
      <c r="U917" s="83"/>
      <c r="V917" s="83"/>
      <c r="W917" s="83"/>
      <c r="X917" s="83"/>
      <c r="Y917" s="83"/>
      <c r="Z917" s="83"/>
      <c r="AA917" s="328"/>
      <c r="AB917" s="328"/>
    </row>
    <row r="918" ht="15.75" customHeight="1" spans="1:28">
      <c r="A918" s="96"/>
      <c r="B918" s="420"/>
      <c r="C918" s="83"/>
      <c r="D918" s="83"/>
      <c r="E918" s="83"/>
      <c r="F918" s="83"/>
      <c r="G918" s="83"/>
      <c r="H918" s="83"/>
      <c r="I918" s="83"/>
      <c r="J918" s="83"/>
      <c r="K918" s="187"/>
      <c r="L918" s="187"/>
      <c r="M918" s="96"/>
      <c r="N918" s="83"/>
      <c r="O918" s="83"/>
      <c r="P918" s="83"/>
      <c r="Q918" s="83"/>
      <c r="R918" s="83"/>
      <c r="S918" s="83"/>
      <c r="T918" s="83"/>
      <c r="U918" s="83"/>
      <c r="V918" s="83"/>
      <c r="W918" s="83"/>
      <c r="X918" s="83"/>
      <c r="Y918" s="83"/>
      <c r="Z918" s="83"/>
      <c r="AA918" s="328"/>
      <c r="AB918" s="328"/>
    </row>
    <row r="919" ht="15.75" customHeight="1" spans="1:28">
      <c r="A919" s="96"/>
      <c r="B919" s="420"/>
      <c r="C919" s="83"/>
      <c r="D919" s="83"/>
      <c r="E919" s="83"/>
      <c r="F919" s="83"/>
      <c r="G919" s="83"/>
      <c r="H919" s="83"/>
      <c r="I919" s="83"/>
      <c r="J919" s="83"/>
      <c r="K919" s="187"/>
      <c r="L919" s="187"/>
      <c r="M919" s="96"/>
      <c r="N919" s="83"/>
      <c r="O919" s="83"/>
      <c r="P919" s="83"/>
      <c r="Q919" s="83"/>
      <c r="R919" s="83"/>
      <c r="S919" s="83"/>
      <c r="T919" s="83"/>
      <c r="U919" s="83"/>
      <c r="V919" s="83"/>
      <c r="W919" s="83"/>
      <c r="X919" s="83"/>
      <c r="Y919" s="83"/>
      <c r="Z919" s="83"/>
      <c r="AA919" s="328"/>
      <c r="AB919" s="328"/>
    </row>
    <row r="920" ht="15.75" customHeight="1" spans="1:28">
      <c r="A920" s="96"/>
      <c r="B920" s="420"/>
      <c r="C920" s="83"/>
      <c r="D920" s="83"/>
      <c r="E920" s="83"/>
      <c r="F920" s="83"/>
      <c r="G920" s="83"/>
      <c r="H920" s="83"/>
      <c r="I920" s="83"/>
      <c r="J920" s="83"/>
      <c r="K920" s="187"/>
      <c r="L920" s="187"/>
      <c r="M920" s="96"/>
      <c r="N920" s="83"/>
      <c r="O920" s="83"/>
      <c r="P920" s="83"/>
      <c r="Q920" s="83"/>
      <c r="R920" s="83"/>
      <c r="S920" s="83"/>
      <c r="T920" s="83"/>
      <c r="U920" s="83"/>
      <c r="V920" s="83"/>
      <c r="W920" s="83"/>
      <c r="X920" s="83"/>
      <c r="Y920" s="83"/>
      <c r="Z920" s="83"/>
      <c r="AA920" s="328"/>
      <c r="AB920" s="328"/>
    </row>
    <row r="921" ht="15.75" customHeight="1" spans="1:28">
      <c r="A921" s="96"/>
      <c r="B921" s="420"/>
      <c r="C921" s="83"/>
      <c r="D921" s="83"/>
      <c r="E921" s="83"/>
      <c r="F921" s="83"/>
      <c r="G921" s="83"/>
      <c r="H921" s="83"/>
      <c r="I921" s="83"/>
      <c r="J921" s="83"/>
      <c r="K921" s="187"/>
      <c r="L921" s="187"/>
      <c r="M921" s="96"/>
      <c r="N921" s="83"/>
      <c r="O921" s="83"/>
      <c r="P921" s="83"/>
      <c r="Q921" s="83"/>
      <c r="R921" s="83"/>
      <c r="S921" s="83"/>
      <c r="T921" s="83"/>
      <c r="U921" s="83"/>
      <c r="V921" s="83"/>
      <c r="W921" s="83"/>
      <c r="X921" s="83"/>
      <c r="Y921" s="83"/>
      <c r="Z921" s="83"/>
      <c r="AA921" s="328"/>
      <c r="AB921" s="328"/>
    </row>
    <row r="922" ht="15.75" customHeight="1" spans="1:28">
      <c r="A922" s="96"/>
      <c r="B922" s="420"/>
      <c r="C922" s="83"/>
      <c r="D922" s="83"/>
      <c r="E922" s="83"/>
      <c r="F922" s="83"/>
      <c r="G922" s="83"/>
      <c r="H922" s="83"/>
      <c r="I922" s="83"/>
      <c r="J922" s="83"/>
      <c r="K922" s="187"/>
      <c r="L922" s="187"/>
      <c r="M922" s="96"/>
      <c r="N922" s="83"/>
      <c r="O922" s="83"/>
      <c r="P922" s="83"/>
      <c r="Q922" s="83"/>
      <c r="R922" s="83"/>
      <c r="S922" s="83"/>
      <c r="T922" s="83"/>
      <c r="U922" s="83"/>
      <c r="V922" s="83"/>
      <c r="W922" s="83"/>
      <c r="X922" s="83"/>
      <c r="Y922" s="83"/>
      <c r="Z922" s="83"/>
      <c r="AA922" s="328"/>
      <c r="AB922" s="328"/>
    </row>
    <row r="923" ht="15.75" customHeight="1" spans="1:28">
      <c r="A923" s="96"/>
      <c r="B923" s="420"/>
      <c r="C923" s="83"/>
      <c r="D923" s="83"/>
      <c r="E923" s="83"/>
      <c r="F923" s="83"/>
      <c r="G923" s="83"/>
      <c r="H923" s="83"/>
      <c r="I923" s="83"/>
      <c r="J923" s="83"/>
      <c r="K923" s="187"/>
      <c r="L923" s="187"/>
      <c r="M923" s="96"/>
      <c r="N923" s="83"/>
      <c r="O923" s="83"/>
      <c r="P923" s="83"/>
      <c r="Q923" s="83"/>
      <c r="R923" s="83"/>
      <c r="S923" s="83"/>
      <c r="T923" s="83"/>
      <c r="U923" s="83"/>
      <c r="V923" s="83"/>
      <c r="W923" s="83"/>
      <c r="X923" s="83"/>
      <c r="Y923" s="83"/>
      <c r="Z923" s="83"/>
      <c r="AA923" s="328"/>
      <c r="AB923" s="328"/>
    </row>
    <row r="924" ht="15.75" customHeight="1" spans="1:28">
      <c r="A924" s="96"/>
      <c r="B924" s="420"/>
      <c r="C924" s="83"/>
      <c r="D924" s="83"/>
      <c r="E924" s="83"/>
      <c r="F924" s="83"/>
      <c r="G924" s="83"/>
      <c r="H924" s="83"/>
      <c r="I924" s="83"/>
      <c r="J924" s="83"/>
      <c r="K924" s="187"/>
      <c r="L924" s="187"/>
      <c r="M924" s="96"/>
      <c r="N924" s="83"/>
      <c r="O924" s="83"/>
      <c r="P924" s="83"/>
      <c r="Q924" s="83"/>
      <c r="R924" s="83"/>
      <c r="S924" s="83"/>
      <c r="T924" s="83"/>
      <c r="U924" s="83"/>
      <c r="V924" s="83"/>
      <c r="W924" s="83"/>
      <c r="X924" s="83"/>
      <c r="Y924" s="83"/>
      <c r="Z924" s="83"/>
      <c r="AA924" s="328"/>
      <c r="AB924" s="328"/>
    </row>
    <row r="925" ht="15.75" customHeight="1" spans="1:28">
      <c r="A925" s="96"/>
      <c r="B925" s="420"/>
      <c r="C925" s="83"/>
      <c r="D925" s="83"/>
      <c r="E925" s="83"/>
      <c r="F925" s="83"/>
      <c r="G925" s="83"/>
      <c r="H925" s="83"/>
      <c r="I925" s="83"/>
      <c r="J925" s="83"/>
      <c r="K925" s="187"/>
      <c r="L925" s="187"/>
      <c r="M925" s="96"/>
      <c r="N925" s="83"/>
      <c r="O925" s="83"/>
      <c r="P925" s="83"/>
      <c r="Q925" s="83"/>
      <c r="R925" s="83"/>
      <c r="S925" s="83"/>
      <c r="T925" s="83"/>
      <c r="U925" s="83"/>
      <c r="V925" s="83"/>
      <c r="W925" s="83"/>
      <c r="X925" s="83"/>
      <c r="Y925" s="83"/>
      <c r="Z925" s="83"/>
      <c r="AA925" s="328"/>
      <c r="AB925" s="328"/>
    </row>
    <row r="926" ht="15.75" customHeight="1" spans="1:28">
      <c r="A926" s="96"/>
      <c r="B926" s="420"/>
      <c r="C926" s="83"/>
      <c r="D926" s="83"/>
      <c r="E926" s="83"/>
      <c r="F926" s="83"/>
      <c r="G926" s="83"/>
      <c r="H926" s="83"/>
      <c r="I926" s="83"/>
      <c r="J926" s="83"/>
      <c r="K926" s="187"/>
      <c r="L926" s="187"/>
      <c r="M926" s="96"/>
      <c r="N926" s="83"/>
      <c r="O926" s="83"/>
      <c r="P926" s="83"/>
      <c r="Q926" s="83"/>
      <c r="R926" s="83"/>
      <c r="S926" s="83"/>
      <c r="T926" s="83"/>
      <c r="U926" s="83"/>
      <c r="V926" s="83"/>
      <c r="W926" s="83"/>
      <c r="X926" s="83"/>
      <c r="Y926" s="83"/>
      <c r="Z926" s="83"/>
      <c r="AA926" s="328"/>
      <c r="AB926" s="328"/>
    </row>
    <row r="927" ht="15.75" customHeight="1" spans="1:28">
      <c r="A927" s="96"/>
      <c r="B927" s="420"/>
      <c r="C927" s="83"/>
      <c r="D927" s="83"/>
      <c r="E927" s="83"/>
      <c r="F927" s="83"/>
      <c r="G927" s="83"/>
      <c r="H927" s="83"/>
      <c r="I927" s="83"/>
      <c r="J927" s="83"/>
      <c r="K927" s="187"/>
      <c r="L927" s="187"/>
      <c r="M927" s="96"/>
      <c r="N927" s="83"/>
      <c r="O927" s="83"/>
      <c r="P927" s="83"/>
      <c r="Q927" s="83"/>
      <c r="R927" s="83"/>
      <c r="S927" s="83"/>
      <c r="T927" s="83"/>
      <c r="U927" s="83"/>
      <c r="V927" s="83"/>
      <c r="W927" s="83"/>
      <c r="X927" s="83"/>
      <c r="Y927" s="83"/>
      <c r="Z927" s="83"/>
      <c r="AA927" s="328"/>
      <c r="AB927" s="328"/>
    </row>
    <row r="928" ht="15.75" customHeight="1" spans="1:28">
      <c r="A928" s="96"/>
      <c r="B928" s="420"/>
      <c r="C928" s="83"/>
      <c r="D928" s="83"/>
      <c r="E928" s="83"/>
      <c r="F928" s="83"/>
      <c r="G928" s="83"/>
      <c r="H928" s="83"/>
      <c r="I928" s="83"/>
      <c r="J928" s="83"/>
      <c r="K928" s="187"/>
      <c r="L928" s="187"/>
      <c r="M928" s="96"/>
      <c r="N928" s="83"/>
      <c r="O928" s="83"/>
      <c r="P928" s="83"/>
      <c r="Q928" s="83"/>
      <c r="R928" s="83"/>
      <c r="S928" s="83"/>
      <c r="T928" s="83"/>
      <c r="U928" s="83"/>
      <c r="V928" s="83"/>
      <c r="W928" s="83"/>
      <c r="X928" s="83"/>
      <c r="Y928" s="83"/>
      <c r="Z928" s="83"/>
      <c r="AA928" s="328"/>
      <c r="AB928" s="328"/>
    </row>
    <row r="929" ht="15.75" customHeight="1" spans="1:28">
      <c r="A929" s="96"/>
      <c r="B929" s="420"/>
      <c r="C929" s="83"/>
      <c r="D929" s="83"/>
      <c r="E929" s="83"/>
      <c r="F929" s="83"/>
      <c r="G929" s="83"/>
      <c r="H929" s="83"/>
      <c r="I929" s="83"/>
      <c r="J929" s="83"/>
      <c r="K929" s="187"/>
      <c r="L929" s="187"/>
      <c r="M929" s="96"/>
      <c r="N929" s="83"/>
      <c r="O929" s="83"/>
      <c r="P929" s="83"/>
      <c r="Q929" s="83"/>
      <c r="R929" s="83"/>
      <c r="S929" s="83"/>
      <c r="T929" s="83"/>
      <c r="U929" s="83"/>
      <c r="V929" s="83"/>
      <c r="W929" s="83"/>
      <c r="X929" s="83"/>
      <c r="Y929" s="83"/>
      <c r="Z929" s="83"/>
      <c r="AA929" s="328"/>
      <c r="AB929" s="328"/>
    </row>
    <row r="930" ht="15.75" customHeight="1" spans="1:28">
      <c r="A930" s="96"/>
      <c r="B930" s="420"/>
      <c r="C930" s="83"/>
      <c r="D930" s="83"/>
      <c r="E930" s="83"/>
      <c r="F930" s="83"/>
      <c r="G930" s="83"/>
      <c r="H930" s="83"/>
      <c r="I930" s="83"/>
      <c r="J930" s="83"/>
      <c r="K930" s="187"/>
      <c r="L930" s="187"/>
      <c r="M930" s="96"/>
      <c r="N930" s="83"/>
      <c r="O930" s="83"/>
      <c r="P930" s="83"/>
      <c r="Q930" s="83"/>
      <c r="R930" s="83"/>
      <c r="S930" s="83"/>
      <c r="T930" s="83"/>
      <c r="U930" s="83"/>
      <c r="V930" s="83"/>
      <c r="W930" s="83"/>
      <c r="X930" s="83"/>
      <c r="Y930" s="83"/>
      <c r="Z930" s="83"/>
      <c r="AA930" s="328"/>
      <c r="AB930" s="328"/>
    </row>
    <row r="931" ht="15.75" customHeight="1" spans="1:28">
      <c r="A931" s="96"/>
      <c r="B931" s="420"/>
      <c r="C931" s="83"/>
      <c r="D931" s="83"/>
      <c r="E931" s="83"/>
      <c r="F931" s="83"/>
      <c r="G931" s="83"/>
      <c r="H931" s="83"/>
      <c r="I931" s="83"/>
      <c r="J931" s="83"/>
      <c r="K931" s="187"/>
      <c r="L931" s="187"/>
      <c r="M931" s="96"/>
      <c r="N931" s="83"/>
      <c r="O931" s="83"/>
      <c r="P931" s="83"/>
      <c r="Q931" s="83"/>
      <c r="R931" s="83"/>
      <c r="S931" s="83"/>
      <c r="T931" s="83"/>
      <c r="U931" s="83"/>
      <c r="V931" s="83"/>
      <c r="W931" s="83"/>
      <c r="X931" s="83"/>
      <c r="Y931" s="83"/>
      <c r="Z931" s="83"/>
      <c r="AA931" s="328"/>
      <c r="AB931" s="328"/>
    </row>
    <row r="932" ht="15.75" customHeight="1" spans="1:28">
      <c r="A932" s="96"/>
      <c r="B932" s="420"/>
      <c r="C932" s="83"/>
      <c r="D932" s="83"/>
      <c r="E932" s="83"/>
      <c r="F932" s="83"/>
      <c r="G932" s="83"/>
      <c r="H932" s="83"/>
      <c r="I932" s="83"/>
      <c r="J932" s="83"/>
      <c r="K932" s="187"/>
      <c r="L932" s="187"/>
      <c r="M932" s="96"/>
      <c r="N932" s="83"/>
      <c r="O932" s="83"/>
      <c r="P932" s="83"/>
      <c r="Q932" s="83"/>
      <c r="R932" s="83"/>
      <c r="S932" s="83"/>
      <c r="T932" s="83"/>
      <c r="U932" s="83"/>
      <c r="V932" s="83"/>
      <c r="W932" s="83"/>
      <c r="X932" s="83"/>
      <c r="Y932" s="83"/>
      <c r="Z932" s="83"/>
      <c r="AA932" s="328"/>
      <c r="AB932" s="328"/>
    </row>
    <row r="933" ht="15.75" customHeight="1" spans="1:28">
      <c r="A933" s="96"/>
      <c r="B933" s="420"/>
      <c r="C933" s="83"/>
      <c r="D933" s="83"/>
      <c r="E933" s="83"/>
      <c r="F933" s="83"/>
      <c r="G933" s="83"/>
      <c r="H933" s="83"/>
      <c r="I933" s="83"/>
      <c r="J933" s="83"/>
      <c r="K933" s="187"/>
      <c r="L933" s="187"/>
      <c r="M933" s="96"/>
      <c r="N933" s="83"/>
      <c r="O933" s="83"/>
      <c r="P933" s="83"/>
      <c r="Q933" s="83"/>
      <c r="R933" s="83"/>
      <c r="S933" s="83"/>
      <c r="T933" s="83"/>
      <c r="U933" s="83"/>
      <c r="V933" s="83"/>
      <c r="W933" s="83"/>
      <c r="X933" s="83"/>
      <c r="Y933" s="83"/>
      <c r="Z933" s="83"/>
      <c r="AA933" s="328"/>
      <c r="AB933" s="328"/>
    </row>
    <row r="934" ht="15.75" customHeight="1" spans="1:28">
      <c r="A934" s="96"/>
      <c r="B934" s="420"/>
      <c r="C934" s="83"/>
      <c r="D934" s="83"/>
      <c r="E934" s="83"/>
      <c r="F934" s="83"/>
      <c r="G934" s="83"/>
      <c r="H934" s="83"/>
      <c r="I934" s="83"/>
      <c r="J934" s="83"/>
      <c r="K934" s="187"/>
      <c r="L934" s="187"/>
      <c r="M934" s="96"/>
      <c r="N934" s="83"/>
      <c r="O934" s="83"/>
      <c r="P934" s="83"/>
      <c r="Q934" s="83"/>
      <c r="R934" s="83"/>
      <c r="S934" s="83"/>
      <c r="T934" s="83"/>
      <c r="U934" s="83"/>
      <c r="V934" s="83"/>
      <c r="W934" s="83"/>
      <c r="X934" s="83"/>
      <c r="Y934" s="83"/>
      <c r="Z934" s="83"/>
      <c r="AA934" s="328"/>
      <c r="AB934" s="328"/>
    </row>
    <row r="935" ht="15.75" customHeight="1" spans="1:28">
      <c r="A935" s="96"/>
      <c r="B935" s="420"/>
      <c r="C935" s="83"/>
      <c r="D935" s="83"/>
      <c r="E935" s="83"/>
      <c r="F935" s="83"/>
      <c r="G935" s="83"/>
      <c r="H935" s="83"/>
      <c r="I935" s="83"/>
      <c r="J935" s="83"/>
      <c r="K935" s="187"/>
      <c r="L935" s="187"/>
      <c r="M935" s="96"/>
      <c r="N935" s="83"/>
      <c r="O935" s="83"/>
      <c r="P935" s="83"/>
      <c r="Q935" s="83"/>
      <c r="R935" s="83"/>
      <c r="S935" s="83"/>
      <c r="T935" s="83"/>
      <c r="U935" s="83"/>
      <c r="V935" s="83"/>
      <c r="W935" s="83"/>
      <c r="X935" s="83"/>
      <c r="Y935" s="83"/>
      <c r="Z935" s="83"/>
      <c r="AA935" s="328"/>
      <c r="AB935" s="328"/>
    </row>
    <row r="936" ht="15.75" customHeight="1" spans="1:28">
      <c r="A936" s="96"/>
      <c r="B936" s="420"/>
      <c r="C936" s="83"/>
      <c r="D936" s="83"/>
      <c r="E936" s="83"/>
      <c r="F936" s="83"/>
      <c r="G936" s="83"/>
      <c r="H936" s="83"/>
      <c r="I936" s="83"/>
      <c r="J936" s="83"/>
      <c r="K936" s="187"/>
      <c r="L936" s="187"/>
      <c r="M936" s="96"/>
      <c r="N936" s="83"/>
      <c r="O936" s="83"/>
      <c r="P936" s="83"/>
      <c r="Q936" s="83"/>
      <c r="R936" s="83"/>
      <c r="S936" s="83"/>
      <c r="T936" s="83"/>
      <c r="U936" s="83"/>
      <c r="V936" s="83"/>
      <c r="W936" s="83"/>
      <c r="X936" s="83"/>
      <c r="Y936" s="83"/>
      <c r="Z936" s="83"/>
      <c r="AA936" s="328"/>
      <c r="AB936" s="328"/>
    </row>
    <row r="937" ht="15.75" customHeight="1" spans="1:28">
      <c r="A937" s="96"/>
      <c r="B937" s="420"/>
      <c r="C937" s="83"/>
      <c r="D937" s="83"/>
      <c r="E937" s="83"/>
      <c r="F937" s="83"/>
      <c r="G937" s="83"/>
      <c r="H937" s="83"/>
      <c r="I937" s="83"/>
      <c r="J937" s="83"/>
      <c r="K937" s="187"/>
      <c r="L937" s="187"/>
      <c r="M937" s="96"/>
      <c r="N937" s="83"/>
      <c r="O937" s="83"/>
      <c r="P937" s="83"/>
      <c r="Q937" s="83"/>
      <c r="R937" s="83"/>
      <c r="S937" s="83"/>
      <c r="T937" s="83"/>
      <c r="U937" s="83"/>
      <c r="V937" s="83"/>
      <c r="W937" s="83"/>
      <c r="X937" s="83"/>
      <c r="Y937" s="83"/>
      <c r="Z937" s="83"/>
      <c r="AA937" s="328"/>
      <c r="AB937" s="328"/>
    </row>
    <row r="938" ht="15.75" customHeight="1" spans="1:28">
      <c r="A938" s="96"/>
      <c r="B938" s="420"/>
      <c r="C938" s="83"/>
      <c r="D938" s="83"/>
      <c r="E938" s="83"/>
      <c r="F938" s="83"/>
      <c r="G938" s="83"/>
      <c r="H938" s="83"/>
      <c r="I938" s="83"/>
      <c r="J938" s="83"/>
      <c r="K938" s="187"/>
      <c r="L938" s="187"/>
      <c r="M938" s="96"/>
      <c r="N938" s="83"/>
      <c r="O938" s="83"/>
      <c r="P938" s="83"/>
      <c r="Q938" s="83"/>
      <c r="R938" s="83"/>
      <c r="S938" s="83"/>
      <c r="T938" s="83"/>
      <c r="U938" s="83"/>
      <c r="V938" s="83"/>
      <c r="W938" s="83"/>
      <c r="X938" s="83"/>
      <c r="Y938" s="83"/>
      <c r="Z938" s="83"/>
      <c r="AA938" s="328"/>
      <c r="AB938" s="328"/>
    </row>
    <row r="939" ht="15.75" customHeight="1" spans="1:28">
      <c r="A939" s="96"/>
      <c r="B939" s="420"/>
      <c r="C939" s="83"/>
      <c r="D939" s="83"/>
      <c r="E939" s="83"/>
      <c r="F939" s="83"/>
      <c r="G939" s="83"/>
      <c r="H939" s="83"/>
      <c r="I939" s="83"/>
      <c r="J939" s="83"/>
      <c r="K939" s="187"/>
      <c r="L939" s="187"/>
      <c r="M939" s="96"/>
      <c r="N939" s="83"/>
      <c r="O939" s="83"/>
      <c r="P939" s="83"/>
      <c r="Q939" s="83"/>
      <c r="R939" s="83"/>
      <c r="S939" s="83"/>
      <c r="T939" s="83"/>
      <c r="U939" s="83"/>
      <c r="V939" s="83"/>
      <c r="W939" s="83"/>
      <c r="X939" s="83"/>
      <c r="Y939" s="83"/>
      <c r="Z939" s="83"/>
      <c r="AA939" s="328"/>
      <c r="AB939" s="328"/>
    </row>
    <row r="940" ht="15.75" customHeight="1" spans="1:28">
      <c r="A940" s="96"/>
      <c r="B940" s="420"/>
      <c r="C940" s="83"/>
      <c r="D940" s="83"/>
      <c r="E940" s="83"/>
      <c r="F940" s="83"/>
      <c r="G940" s="83"/>
      <c r="H940" s="83"/>
      <c r="I940" s="83"/>
      <c r="J940" s="83"/>
      <c r="K940" s="187"/>
      <c r="L940" s="187"/>
      <c r="M940" s="96"/>
      <c r="N940" s="83"/>
      <c r="O940" s="83"/>
      <c r="P940" s="83"/>
      <c r="Q940" s="83"/>
      <c r="R940" s="83"/>
      <c r="S940" s="83"/>
      <c r="T940" s="83"/>
      <c r="U940" s="83"/>
      <c r="V940" s="83"/>
      <c r="W940" s="83"/>
      <c r="X940" s="83"/>
      <c r="Y940" s="83"/>
      <c r="Z940" s="83"/>
      <c r="AA940" s="328"/>
      <c r="AB940" s="328"/>
    </row>
    <row r="941" ht="15.75" customHeight="1" spans="1:28">
      <c r="A941" s="96"/>
      <c r="B941" s="420"/>
      <c r="C941" s="83"/>
      <c r="D941" s="83"/>
      <c r="E941" s="83"/>
      <c r="F941" s="83"/>
      <c r="G941" s="83"/>
      <c r="H941" s="83"/>
      <c r="I941" s="83"/>
      <c r="J941" s="83"/>
      <c r="K941" s="187"/>
      <c r="L941" s="187"/>
      <c r="M941" s="96"/>
      <c r="N941" s="83"/>
      <c r="O941" s="83"/>
      <c r="P941" s="83"/>
      <c r="Q941" s="83"/>
      <c r="R941" s="83"/>
      <c r="S941" s="83"/>
      <c r="T941" s="83"/>
      <c r="U941" s="83"/>
      <c r="V941" s="83"/>
      <c r="W941" s="83"/>
      <c r="X941" s="83"/>
      <c r="Y941" s="83"/>
      <c r="Z941" s="83"/>
      <c r="AA941" s="328"/>
      <c r="AB941" s="328"/>
    </row>
    <row r="942" ht="15.75" customHeight="1" spans="1:28">
      <c r="A942" s="96"/>
      <c r="B942" s="420"/>
      <c r="C942" s="83"/>
      <c r="D942" s="83"/>
      <c r="E942" s="83"/>
      <c r="F942" s="83"/>
      <c r="G942" s="83"/>
      <c r="H942" s="83"/>
      <c r="I942" s="83"/>
      <c r="J942" s="83"/>
      <c r="K942" s="187"/>
      <c r="L942" s="187"/>
      <c r="M942" s="96"/>
      <c r="N942" s="83"/>
      <c r="O942" s="83"/>
      <c r="P942" s="83"/>
      <c r="Q942" s="83"/>
      <c r="R942" s="83"/>
      <c r="S942" s="83"/>
      <c r="T942" s="83"/>
      <c r="U942" s="83"/>
      <c r="V942" s="83"/>
      <c r="W942" s="83"/>
      <c r="X942" s="83"/>
      <c r="Y942" s="83"/>
      <c r="Z942" s="83"/>
      <c r="AA942" s="328"/>
      <c r="AB942" s="328"/>
    </row>
    <row r="943" ht="15.75" customHeight="1" spans="1:28">
      <c r="A943" s="96"/>
      <c r="B943" s="420"/>
      <c r="C943" s="83"/>
      <c r="D943" s="83"/>
      <c r="E943" s="83"/>
      <c r="F943" s="83"/>
      <c r="G943" s="83"/>
      <c r="H943" s="83"/>
      <c r="I943" s="83"/>
      <c r="J943" s="83"/>
      <c r="K943" s="187"/>
      <c r="L943" s="187"/>
      <c r="M943" s="96"/>
      <c r="N943" s="83"/>
      <c r="O943" s="83"/>
      <c r="P943" s="83"/>
      <c r="Q943" s="83"/>
      <c r="R943" s="83"/>
      <c r="S943" s="83"/>
      <c r="T943" s="83"/>
      <c r="U943" s="83"/>
      <c r="V943" s="83"/>
      <c r="W943" s="83"/>
      <c r="X943" s="83"/>
      <c r="Y943" s="83"/>
      <c r="Z943" s="83"/>
      <c r="AA943" s="328"/>
      <c r="AB943" s="328"/>
    </row>
    <row r="944" ht="15.75" customHeight="1" spans="1:28">
      <c r="A944" s="96"/>
      <c r="B944" s="420"/>
      <c r="C944" s="83"/>
      <c r="D944" s="83"/>
      <c r="E944" s="83"/>
      <c r="F944" s="83"/>
      <c r="G944" s="83"/>
      <c r="H944" s="83"/>
      <c r="I944" s="83"/>
      <c r="J944" s="83"/>
      <c r="K944" s="187"/>
      <c r="L944" s="187"/>
      <c r="M944" s="96"/>
      <c r="N944" s="83"/>
      <c r="O944" s="83"/>
      <c r="P944" s="83"/>
      <c r="Q944" s="83"/>
      <c r="R944" s="83"/>
      <c r="S944" s="83"/>
      <c r="T944" s="83"/>
      <c r="U944" s="83"/>
      <c r="V944" s="83"/>
      <c r="W944" s="83"/>
      <c r="X944" s="83"/>
      <c r="Y944" s="83"/>
      <c r="Z944" s="83"/>
      <c r="AA944" s="328"/>
      <c r="AB944" s="328"/>
    </row>
    <row r="945" ht="15.75" customHeight="1" spans="1:28">
      <c r="A945" s="96"/>
      <c r="B945" s="420"/>
      <c r="C945" s="83"/>
      <c r="D945" s="83"/>
      <c r="E945" s="83"/>
      <c r="F945" s="83"/>
      <c r="G945" s="83"/>
      <c r="H945" s="83"/>
      <c r="I945" s="83"/>
      <c r="J945" s="83"/>
      <c r="K945" s="187"/>
      <c r="L945" s="187"/>
      <c r="M945" s="96"/>
      <c r="N945" s="83"/>
      <c r="O945" s="83"/>
      <c r="P945" s="83"/>
      <c r="Q945" s="83"/>
      <c r="R945" s="83"/>
      <c r="S945" s="83"/>
      <c r="T945" s="83"/>
      <c r="U945" s="83"/>
      <c r="V945" s="83"/>
      <c r="W945" s="83"/>
      <c r="X945" s="83"/>
      <c r="Y945" s="83"/>
      <c r="Z945" s="83"/>
      <c r="AA945" s="328"/>
      <c r="AB945" s="328"/>
    </row>
    <row r="946" ht="15.75" customHeight="1" spans="1:28">
      <c r="A946" s="96"/>
      <c r="B946" s="420"/>
      <c r="C946" s="83"/>
      <c r="D946" s="83"/>
      <c r="E946" s="83"/>
      <c r="F946" s="83"/>
      <c r="G946" s="83"/>
      <c r="H946" s="83"/>
      <c r="I946" s="83"/>
      <c r="J946" s="83"/>
      <c r="K946" s="187"/>
      <c r="L946" s="187"/>
      <c r="M946" s="96"/>
      <c r="N946" s="83"/>
      <c r="O946" s="83"/>
      <c r="P946" s="83"/>
      <c r="Q946" s="83"/>
      <c r="R946" s="83"/>
      <c r="S946" s="83"/>
      <c r="T946" s="83"/>
      <c r="U946" s="83"/>
      <c r="V946" s="83"/>
      <c r="W946" s="83"/>
      <c r="X946" s="83"/>
      <c r="Y946" s="83"/>
      <c r="Z946" s="83"/>
      <c r="AA946" s="328"/>
      <c r="AB946" s="328"/>
    </row>
    <row r="947" ht="15.75" customHeight="1" spans="1:28">
      <c r="A947" s="96"/>
      <c r="B947" s="420"/>
      <c r="C947" s="83"/>
      <c r="D947" s="83"/>
      <c r="E947" s="83"/>
      <c r="F947" s="83"/>
      <c r="G947" s="83"/>
      <c r="H947" s="83"/>
      <c r="I947" s="83"/>
      <c r="J947" s="83"/>
      <c r="K947" s="187"/>
      <c r="L947" s="187"/>
      <c r="M947" s="96"/>
      <c r="N947" s="83"/>
      <c r="O947" s="83"/>
      <c r="P947" s="83"/>
      <c r="Q947" s="83"/>
      <c r="R947" s="83"/>
      <c r="S947" s="83"/>
      <c r="T947" s="83"/>
      <c r="U947" s="83"/>
      <c r="V947" s="83"/>
      <c r="W947" s="83"/>
      <c r="X947" s="83"/>
      <c r="Y947" s="83"/>
      <c r="Z947" s="83"/>
      <c r="AA947" s="328"/>
      <c r="AB947" s="328"/>
    </row>
    <row r="948" ht="15.75" customHeight="1" spans="1:28">
      <c r="A948" s="96"/>
      <c r="B948" s="420"/>
      <c r="C948" s="83"/>
      <c r="D948" s="83"/>
      <c r="E948" s="83"/>
      <c r="F948" s="83"/>
      <c r="G948" s="83"/>
      <c r="H948" s="83"/>
      <c r="I948" s="83"/>
      <c r="J948" s="83"/>
      <c r="K948" s="187"/>
      <c r="L948" s="187"/>
      <c r="M948" s="96"/>
      <c r="N948" s="83"/>
      <c r="O948" s="83"/>
      <c r="P948" s="83"/>
      <c r="Q948" s="83"/>
      <c r="R948" s="83"/>
      <c r="S948" s="83"/>
      <c r="T948" s="83"/>
      <c r="U948" s="83"/>
      <c r="V948" s="83"/>
      <c r="W948" s="83"/>
      <c r="X948" s="83"/>
      <c r="Y948" s="83"/>
      <c r="Z948" s="83"/>
      <c r="AA948" s="328"/>
      <c r="AB948" s="328"/>
    </row>
    <row r="949" ht="15.75" customHeight="1" spans="1:28">
      <c r="A949" s="96"/>
      <c r="B949" s="420"/>
      <c r="C949" s="83"/>
      <c r="D949" s="83"/>
      <c r="E949" s="83"/>
      <c r="F949" s="83"/>
      <c r="G949" s="83"/>
      <c r="H949" s="83"/>
      <c r="I949" s="83"/>
      <c r="J949" s="83"/>
      <c r="K949" s="187"/>
      <c r="L949" s="187"/>
      <c r="M949" s="96"/>
      <c r="N949" s="83"/>
      <c r="O949" s="83"/>
      <c r="P949" s="83"/>
      <c r="Q949" s="83"/>
      <c r="R949" s="83"/>
      <c r="S949" s="83"/>
      <c r="T949" s="83"/>
      <c r="U949" s="83"/>
      <c r="V949" s="83"/>
      <c r="W949" s="83"/>
      <c r="X949" s="83"/>
      <c r="Y949" s="83"/>
      <c r="Z949" s="83"/>
      <c r="AA949" s="328"/>
      <c r="AB949" s="328"/>
    </row>
    <row r="950" ht="15.75" customHeight="1" spans="1:28">
      <c r="A950" s="96"/>
      <c r="B950" s="420"/>
      <c r="C950" s="83"/>
      <c r="D950" s="83"/>
      <c r="E950" s="83"/>
      <c r="F950" s="83"/>
      <c r="G950" s="83"/>
      <c r="H950" s="83"/>
      <c r="I950" s="83"/>
      <c r="J950" s="83"/>
      <c r="K950" s="187"/>
      <c r="L950" s="187"/>
      <c r="M950" s="96"/>
      <c r="N950" s="83"/>
      <c r="O950" s="83"/>
      <c r="P950" s="83"/>
      <c r="Q950" s="83"/>
      <c r="R950" s="83"/>
      <c r="S950" s="83"/>
      <c r="T950" s="83"/>
      <c r="U950" s="83"/>
      <c r="V950" s="83"/>
      <c r="W950" s="83"/>
      <c r="X950" s="83"/>
      <c r="Y950" s="83"/>
      <c r="Z950" s="83"/>
      <c r="AA950" s="328"/>
      <c r="AB950" s="328"/>
    </row>
    <row r="951" ht="15.75" customHeight="1" spans="1:28">
      <c r="A951" s="96"/>
      <c r="B951" s="420"/>
      <c r="C951" s="83"/>
      <c r="D951" s="83"/>
      <c r="E951" s="83"/>
      <c r="F951" s="83"/>
      <c r="G951" s="83"/>
      <c r="H951" s="83"/>
      <c r="I951" s="83"/>
      <c r="J951" s="83"/>
      <c r="K951" s="187"/>
      <c r="L951" s="187"/>
      <c r="M951" s="96"/>
      <c r="N951" s="83"/>
      <c r="O951" s="83"/>
      <c r="P951" s="83"/>
      <c r="Q951" s="83"/>
      <c r="R951" s="83"/>
      <c r="S951" s="83"/>
      <c r="T951" s="83"/>
      <c r="U951" s="83"/>
      <c r="V951" s="83"/>
      <c r="W951" s="83"/>
      <c r="X951" s="83"/>
      <c r="Y951" s="83"/>
      <c r="Z951" s="83"/>
      <c r="AA951" s="328"/>
      <c r="AB951" s="328"/>
    </row>
    <row r="952" ht="15.75" customHeight="1" spans="1:28">
      <c r="A952" s="96"/>
      <c r="B952" s="420"/>
      <c r="C952" s="83"/>
      <c r="D952" s="83"/>
      <c r="E952" s="83"/>
      <c r="F952" s="83"/>
      <c r="G952" s="83"/>
      <c r="H952" s="83"/>
      <c r="I952" s="83"/>
      <c r="J952" s="83"/>
      <c r="K952" s="187"/>
      <c r="L952" s="187"/>
      <c r="M952" s="96"/>
      <c r="N952" s="83"/>
      <c r="O952" s="83"/>
      <c r="P952" s="83"/>
      <c r="Q952" s="83"/>
      <c r="R952" s="83"/>
      <c r="S952" s="83"/>
      <c r="T952" s="83"/>
      <c r="U952" s="83"/>
      <c r="V952" s="83"/>
      <c r="W952" s="83"/>
      <c r="X952" s="83"/>
      <c r="Y952" s="83"/>
      <c r="Z952" s="83"/>
      <c r="AA952" s="328"/>
      <c r="AB952" s="328"/>
    </row>
    <row r="953" ht="15.75" customHeight="1" spans="1:28">
      <c r="A953" s="96"/>
      <c r="B953" s="420"/>
      <c r="C953" s="83"/>
      <c r="D953" s="83"/>
      <c r="E953" s="83"/>
      <c r="F953" s="83"/>
      <c r="G953" s="83"/>
      <c r="H953" s="83"/>
      <c r="I953" s="83"/>
      <c r="J953" s="83"/>
      <c r="K953" s="187"/>
      <c r="L953" s="187"/>
      <c r="M953" s="96"/>
      <c r="N953" s="83"/>
      <c r="O953" s="83"/>
      <c r="P953" s="83"/>
      <c r="Q953" s="83"/>
      <c r="R953" s="83"/>
      <c r="S953" s="83"/>
      <c r="T953" s="83"/>
      <c r="U953" s="83"/>
      <c r="V953" s="83"/>
      <c r="W953" s="83"/>
      <c r="X953" s="83"/>
      <c r="Y953" s="83"/>
      <c r="Z953" s="83"/>
      <c r="AA953" s="328"/>
      <c r="AB953" s="328"/>
    </row>
    <row r="954" ht="15.75" customHeight="1" spans="1:28">
      <c r="A954" s="96"/>
      <c r="B954" s="420"/>
      <c r="C954" s="83"/>
      <c r="D954" s="83"/>
      <c r="E954" s="83"/>
      <c r="F954" s="83"/>
      <c r="G954" s="83"/>
      <c r="H954" s="83"/>
      <c r="I954" s="83"/>
      <c r="J954" s="83"/>
      <c r="K954" s="187"/>
      <c r="L954" s="187"/>
      <c r="M954" s="96"/>
      <c r="N954" s="83"/>
      <c r="O954" s="83"/>
      <c r="P954" s="83"/>
      <c r="Q954" s="83"/>
      <c r="R954" s="83"/>
      <c r="S954" s="83"/>
      <c r="T954" s="83"/>
      <c r="U954" s="83"/>
      <c r="V954" s="83"/>
      <c r="W954" s="83"/>
      <c r="X954" s="83"/>
      <c r="Y954" s="83"/>
      <c r="Z954" s="83"/>
      <c r="AA954" s="328"/>
      <c r="AB954" s="328"/>
    </row>
    <row r="955" ht="15.75" customHeight="1" spans="1:28">
      <c r="A955" s="96"/>
      <c r="B955" s="420"/>
      <c r="C955" s="83"/>
      <c r="D955" s="83"/>
      <c r="E955" s="83"/>
      <c r="F955" s="83"/>
      <c r="G955" s="83"/>
      <c r="H955" s="83"/>
      <c r="I955" s="83"/>
      <c r="J955" s="83"/>
      <c r="K955" s="187"/>
      <c r="L955" s="187"/>
      <c r="M955" s="96"/>
      <c r="N955" s="83"/>
      <c r="O955" s="83"/>
      <c r="P955" s="83"/>
      <c r="Q955" s="83"/>
      <c r="R955" s="83"/>
      <c r="S955" s="83"/>
      <c r="T955" s="83"/>
      <c r="U955" s="83"/>
      <c r="V955" s="83"/>
      <c r="W955" s="83"/>
      <c r="X955" s="83"/>
      <c r="Y955" s="83"/>
      <c r="Z955" s="83"/>
      <c r="AA955" s="328"/>
      <c r="AB955" s="328"/>
    </row>
    <row r="956" ht="15.75" customHeight="1" spans="1:28">
      <c r="A956" s="96"/>
      <c r="B956" s="420"/>
      <c r="C956" s="83"/>
      <c r="D956" s="83"/>
      <c r="E956" s="83"/>
      <c r="F956" s="83"/>
      <c r="G956" s="83"/>
      <c r="H956" s="83"/>
      <c r="I956" s="83"/>
      <c r="J956" s="83"/>
      <c r="K956" s="187"/>
      <c r="L956" s="187"/>
      <c r="M956" s="96"/>
      <c r="N956" s="83"/>
      <c r="O956" s="83"/>
      <c r="P956" s="83"/>
      <c r="Q956" s="83"/>
      <c r="R956" s="83"/>
      <c r="S956" s="83"/>
      <c r="T956" s="83"/>
      <c r="U956" s="83"/>
      <c r="V956" s="83"/>
      <c r="W956" s="83"/>
      <c r="X956" s="83"/>
      <c r="Y956" s="83"/>
      <c r="Z956" s="83"/>
      <c r="AA956" s="328"/>
      <c r="AB956" s="328"/>
    </row>
    <row r="957" ht="15.75" customHeight="1" spans="1:28">
      <c r="A957" s="96"/>
      <c r="B957" s="420"/>
      <c r="C957" s="83"/>
      <c r="D957" s="83"/>
      <c r="E957" s="83"/>
      <c r="F957" s="83"/>
      <c r="G957" s="83"/>
      <c r="H957" s="83"/>
      <c r="I957" s="83"/>
      <c r="J957" s="83"/>
      <c r="K957" s="187"/>
      <c r="L957" s="187"/>
      <c r="M957" s="96"/>
      <c r="N957" s="83"/>
      <c r="O957" s="83"/>
      <c r="P957" s="83"/>
      <c r="Q957" s="83"/>
      <c r="R957" s="83"/>
      <c r="S957" s="83"/>
      <c r="T957" s="83"/>
      <c r="U957" s="83"/>
      <c r="V957" s="83"/>
      <c r="W957" s="83"/>
      <c r="X957" s="83"/>
      <c r="Y957" s="83"/>
      <c r="Z957" s="83"/>
      <c r="AA957" s="328"/>
      <c r="AB957" s="328"/>
    </row>
    <row r="958" ht="15.75" customHeight="1" spans="1:28">
      <c r="A958" s="96"/>
      <c r="B958" s="420"/>
      <c r="C958" s="83"/>
      <c r="D958" s="83"/>
      <c r="E958" s="83"/>
      <c r="F958" s="83"/>
      <c r="G958" s="83"/>
      <c r="H958" s="83"/>
      <c r="I958" s="83"/>
      <c r="J958" s="83"/>
      <c r="K958" s="187"/>
      <c r="L958" s="187"/>
      <c r="M958" s="96"/>
      <c r="N958" s="83"/>
      <c r="O958" s="83"/>
      <c r="P958" s="83"/>
      <c r="Q958" s="83"/>
      <c r="R958" s="83"/>
      <c r="S958" s="83"/>
      <c r="T958" s="83"/>
      <c r="U958" s="83"/>
      <c r="V958" s="83"/>
      <c r="W958" s="83"/>
      <c r="X958" s="83"/>
      <c r="Y958" s="83"/>
      <c r="Z958" s="83"/>
      <c r="AA958" s="328"/>
      <c r="AB958" s="328"/>
    </row>
    <row r="959" ht="15.75" customHeight="1" spans="1:28">
      <c r="A959" s="96"/>
      <c r="B959" s="420"/>
      <c r="C959" s="83"/>
      <c r="D959" s="83"/>
      <c r="E959" s="83"/>
      <c r="F959" s="83"/>
      <c r="G959" s="83"/>
      <c r="H959" s="83"/>
      <c r="I959" s="83"/>
      <c r="J959" s="83"/>
      <c r="K959" s="187"/>
      <c r="L959" s="187"/>
      <c r="M959" s="96"/>
      <c r="N959" s="83"/>
      <c r="O959" s="83"/>
      <c r="P959" s="83"/>
      <c r="Q959" s="83"/>
      <c r="R959" s="83"/>
      <c r="S959" s="83"/>
      <c r="T959" s="83"/>
      <c r="U959" s="83"/>
      <c r="V959" s="83"/>
      <c r="W959" s="83"/>
      <c r="X959" s="83"/>
      <c r="Y959" s="83"/>
      <c r="Z959" s="83"/>
      <c r="AA959" s="328"/>
      <c r="AB959" s="328"/>
    </row>
    <row r="960" ht="15.75" customHeight="1" spans="1:28">
      <c r="A960" s="96"/>
      <c r="B960" s="420"/>
      <c r="C960" s="83"/>
      <c r="D960" s="83"/>
      <c r="E960" s="83"/>
      <c r="F960" s="83"/>
      <c r="G960" s="83"/>
      <c r="H960" s="83"/>
      <c r="I960" s="83"/>
      <c r="J960" s="83"/>
      <c r="K960" s="187"/>
      <c r="L960" s="187"/>
      <c r="M960" s="96"/>
      <c r="N960" s="83"/>
      <c r="O960" s="83"/>
      <c r="P960" s="83"/>
      <c r="Q960" s="83"/>
      <c r="R960" s="83"/>
      <c r="S960" s="83"/>
      <c r="T960" s="83"/>
      <c r="U960" s="83"/>
      <c r="V960" s="83"/>
      <c r="W960" s="83"/>
      <c r="X960" s="83"/>
      <c r="Y960" s="83"/>
      <c r="Z960" s="83"/>
      <c r="AA960" s="328"/>
      <c r="AB960" s="328"/>
    </row>
    <row r="961" ht="15.75" customHeight="1" spans="1:28">
      <c r="A961" s="96"/>
      <c r="B961" s="420"/>
      <c r="C961" s="83"/>
      <c r="D961" s="83"/>
      <c r="E961" s="83"/>
      <c r="F961" s="83"/>
      <c r="G961" s="83"/>
      <c r="H961" s="83"/>
      <c r="I961" s="83"/>
      <c r="J961" s="83"/>
      <c r="K961" s="187"/>
      <c r="L961" s="187"/>
      <c r="M961" s="96"/>
      <c r="N961" s="83"/>
      <c r="O961" s="83"/>
      <c r="P961" s="83"/>
      <c r="Q961" s="83"/>
      <c r="R961" s="83"/>
      <c r="S961" s="83"/>
      <c r="T961" s="83"/>
      <c r="U961" s="83"/>
      <c r="V961" s="83"/>
      <c r="W961" s="83"/>
      <c r="X961" s="83"/>
      <c r="Y961" s="83"/>
      <c r="Z961" s="83"/>
      <c r="AA961" s="328"/>
      <c r="AB961" s="328"/>
    </row>
    <row r="962" ht="15.75" customHeight="1" spans="1:28">
      <c r="A962" s="96"/>
      <c r="B962" s="420"/>
      <c r="C962" s="83"/>
      <c r="D962" s="83"/>
      <c r="E962" s="83"/>
      <c r="F962" s="83"/>
      <c r="G962" s="83"/>
      <c r="H962" s="83"/>
      <c r="I962" s="83"/>
      <c r="J962" s="83"/>
      <c r="K962" s="187"/>
      <c r="L962" s="187"/>
      <c r="M962" s="96"/>
      <c r="N962" s="83"/>
      <c r="O962" s="83"/>
      <c r="P962" s="83"/>
      <c r="Q962" s="83"/>
      <c r="R962" s="83"/>
      <c r="S962" s="83"/>
      <c r="T962" s="83"/>
      <c r="U962" s="83"/>
      <c r="V962" s="83"/>
      <c r="W962" s="83"/>
      <c r="X962" s="83"/>
      <c r="Y962" s="83"/>
      <c r="Z962" s="83"/>
      <c r="AA962" s="328"/>
      <c r="AB962" s="328"/>
    </row>
    <row r="963" ht="15.75" customHeight="1" spans="1:28">
      <c r="A963" s="96"/>
      <c r="B963" s="420"/>
      <c r="C963" s="83"/>
      <c r="D963" s="83"/>
      <c r="E963" s="83"/>
      <c r="F963" s="83"/>
      <c r="G963" s="83"/>
      <c r="H963" s="83"/>
      <c r="I963" s="83"/>
      <c r="J963" s="83"/>
      <c r="K963" s="187"/>
      <c r="L963" s="187"/>
      <c r="M963" s="96"/>
      <c r="N963" s="83"/>
      <c r="O963" s="83"/>
      <c r="P963" s="83"/>
      <c r="Q963" s="83"/>
      <c r="R963" s="83"/>
      <c r="S963" s="83"/>
      <c r="T963" s="83"/>
      <c r="U963" s="83"/>
      <c r="V963" s="83"/>
      <c r="W963" s="83"/>
      <c r="X963" s="83"/>
      <c r="Y963" s="83"/>
      <c r="Z963" s="83"/>
      <c r="AA963" s="328"/>
      <c r="AB963" s="328"/>
    </row>
    <row r="964" ht="15.75" customHeight="1" spans="1:28">
      <c r="A964" s="96"/>
      <c r="B964" s="420"/>
      <c r="C964" s="83"/>
      <c r="D964" s="83"/>
      <c r="E964" s="83"/>
      <c r="F964" s="83"/>
      <c r="G964" s="83"/>
      <c r="H964" s="83"/>
      <c r="I964" s="83"/>
      <c r="J964" s="83"/>
      <c r="K964" s="187"/>
      <c r="L964" s="187"/>
      <c r="M964" s="96"/>
      <c r="N964" s="83"/>
      <c r="O964" s="83"/>
      <c r="P964" s="83"/>
      <c r="Q964" s="83"/>
      <c r="R964" s="83"/>
      <c r="S964" s="83"/>
      <c r="T964" s="83"/>
      <c r="U964" s="83"/>
      <c r="V964" s="83"/>
      <c r="W964" s="83"/>
      <c r="X964" s="83"/>
      <c r="Y964" s="83"/>
      <c r="Z964" s="83"/>
      <c r="AA964" s="328"/>
      <c r="AB964" s="328"/>
    </row>
    <row r="965" ht="15.75" customHeight="1" spans="1:28">
      <c r="A965" s="96"/>
      <c r="B965" s="420"/>
      <c r="C965" s="83"/>
      <c r="D965" s="83"/>
      <c r="E965" s="83"/>
      <c r="F965" s="83"/>
      <c r="G965" s="83"/>
      <c r="H965" s="83"/>
      <c r="I965" s="83"/>
      <c r="J965" s="83"/>
      <c r="K965" s="187"/>
      <c r="L965" s="187"/>
      <c r="M965" s="96"/>
      <c r="N965" s="83"/>
      <c r="O965" s="83"/>
      <c r="P965" s="83"/>
      <c r="Q965" s="83"/>
      <c r="R965" s="83"/>
      <c r="S965" s="83"/>
      <c r="T965" s="83"/>
      <c r="U965" s="83"/>
      <c r="V965" s="83"/>
      <c r="W965" s="83"/>
      <c r="X965" s="83"/>
      <c r="Y965" s="83"/>
      <c r="Z965" s="83"/>
      <c r="AA965" s="328"/>
      <c r="AB965" s="328"/>
    </row>
    <row r="966" ht="15.75" customHeight="1" spans="1:28">
      <c r="A966" s="96"/>
      <c r="B966" s="420"/>
      <c r="C966" s="83"/>
      <c r="D966" s="83"/>
      <c r="E966" s="83"/>
      <c r="F966" s="83"/>
      <c r="G966" s="83"/>
      <c r="H966" s="83"/>
      <c r="I966" s="83"/>
      <c r="J966" s="83"/>
      <c r="K966" s="187"/>
      <c r="L966" s="187"/>
      <c r="M966" s="96"/>
      <c r="N966" s="83"/>
      <c r="O966" s="83"/>
      <c r="P966" s="83"/>
      <c r="Q966" s="83"/>
      <c r="R966" s="83"/>
      <c r="S966" s="83"/>
      <c r="T966" s="83"/>
      <c r="U966" s="83"/>
      <c r="V966" s="83"/>
      <c r="W966" s="83"/>
      <c r="X966" s="83"/>
      <c r="Y966" s="83"/>
      <c r="Z966" s="83"/>
      <c r="AA966" s="328"/>
      <c r="AB966" s="328"/>
    </row>
    <row r="967" ht="15.75" customHeight="1" spans="1:28">
      <c r="A967" s="96"/>
      <c r="B967" s="420"/>
      <c r="C967" s="83"/>
      <c r="D967" s="83"/>
      <c r="E967" s="83"/>
      <c r="F967" s="83"/>
      <c r="G967" s="83"/>
      <c r="H967" s="83"/>
      <c r="I967" s="83"/>
      <c r="J967" s="83"/>
      <c r="K967" s="187"/>
      <c r="L967" s="187"/>
      <c r="M967" s="96"/>
      <c r="N967" s="83"/>
      <c r="O967" s="83"/>
      <c r="P967" s="83"/>
      <c r="Q967" s="83"/>
      <c r="R967" s="83"/>
      <c r="S967" s="83"/>
      <c r="T967" s="83"/>
      <c r="U967" s="83"/>
      <c r="V967" s="83"/>
      <c r="W967" s="83"/>
      <c r="X967" s="83"/>
      <c r="Y967" s="83"/>
      <c r="Z967" s="83"/>
      <c r="AA967" s="328"/>
      <c r="AB967" s="328"/>
    </row>
    <row r="968" ht="15.75" customHeight="1" spans="1:28">
      <c r="A968" s="96"/>
      <c r="B968" s="420"/>
      <c r="C968" s="83"/>
      <c r="D968" s="83"/>
      <c r="E968" s="83"/>
      <c r="F968" s="83"/>
      <c r="G968" s="83"/>
      <c r="H968" s="83"/>
      <c r="I968" s="83"/>
      <c r="J968" s="83"/>
      <c r="K968" s="187"/>
      <c r="L968" s="187"/>
      <c r="M968" s="96"/>
      <c r="N968" s="83"/>
      <c r="O968" s="83"/>
      <c r="P968" s="83"/>
      <c r="Q968" s="83"/>
      <c r="R968" s="83"/>
      <c r="S968" s="83"/>
      <c r="T968" s="83"/>
      <c r="U968" s="83"/>
      <c r="V968" s="83"/>
      <c r="W968" s="83"/>
      <c r="X968" s="83"/>
      <c r="Y968" s="83"/>
      <c r="Z968" s="83"/>
      <c r="AA968" s="328"/>
      <c r="AB968" s="328"/>
    </row>
    <row r="969" ht="15.75" customHeight="1" spans="1:28">
      <c r="A969" s="96"/>
      <c r="B969" s="420"/>
      <c r="C969" s="83"/>
      <c r="D969" s="83"/>
      <c r="E969" s="83"/>
      <c r="F969" s="83"/>
      <c r="G969" s="83"/>
      <c r="H969" s="83"/>
      <c r="I969" s="83"/>
      <c r="J969" s="83"/>
      <c r="K969" s="187"/>
      <c r="L969" s="187"/>
      <c r="M969" s="96"/>
      <c r="N969" s="83"/>
      <c r="O969" s="83"/>
      <c r="P969" s="83"/>
      <c r="Q969" s="83"/>
      <c r="R969" s="83"/>
      <c r="S969" s="83"/>
      <c r="T969" s="83"/>
      <c r="U969" s="83"/>
      <c r="V969" s="83"/>
      <c r="W969" s="83"/>
      <c r="X969" s="83"/>
      <c r="Y969" s="83"/>
      <c r="Z969" s="83"/>
      <c r="AA969" s="328"/>
      <c r="AB969" s="328"/>
    </row>
    <row r="970" ht="15.75" customHeight="1" spans="1:28">
      <c r="A970" s="96"/>
      <c r="B970" s="420"/>
      <c r="C970" s="83"/>
      <c r="D970" s="83"/>
      <c r="E970" s="83"/>
      <c r="F970" s="83"/>
      <c r="G970" s="83"/>
      <c r="H970" s="83"/>
      <c r="I970" s="83"/>
      <c r="J970" s="83"/>
      <c r="K970" s="187"/>
      <c r="L970" s="187"/>
      <c r="M970" s="96"/>
      <c r="N970" s="83"/>
      <c r="O970" s="83"/>
      <c r="P970" s="83"/>
      <c r="Q970" s="83"/>
      <c r="R970" s="83"/>
      <c r="S970" s="83"/>
      <c r="T970" s="83"/>
      <c r="U970" s="83"/>
      <c r="V970" s="83"/>
      <c r="W970" s="83"/>
      <c r="X970" s="83"/>
      <c r="Y970" s="83"/>
      <c r="Z970" s="83"/>
      <c r="AA970" s="328"/>
      <c r="AB970" s="328"/>
    </row>
    <row r="971" ht="15.75" customHeight="1" spans="1:28">
      <c r="A971" s="96"/>
      <c r="B971" s="420"/>
      <c r="C971" s="83"/>
      <c r="D971" s="83"/>
      <c r="E971" s="83"/>
      <c r="F971" s="83"/>
      <c r="G971" s="83"/>
      <c r="H971" s="83"/>
      <c r="I971" s="83"/>
      <c r="J971" s="83"/>
      <c r="K971" s="187"/>
      <c r="L971" s="187"/>
      <c r="M971" s="96"/>
      <c r="N971" s="83"/>
      <c r="O971" s="83"/>
      <c r="P971" s="83"/>
      <c r="Q971" s="83"/>
      <c r="R971" s="83"/>
      <c r="S971" s="83"/>
      <c r="T971" s="83"/>
      <c r="U971" s="83"/>
      <c r="V971" s="83"/>
      <c r="W971" s="83"/>
      <c r="X971" s="83"/>
      <c r="Y971" s="83"/>
      <c r="Z971" s="83"/>
      <c r="AA971" s="328"/>
      <c r="AB971" s="328"/>
    </row>
    <row r="972" ht="15.75" customHeight="1" spans="1:28">
      <c r="A972" s="96"/>
      <c r="B972" s="420"/>
      <c r="C972" s="83"/>
      <c r="D972" s="83"/>
      <c r="E972" s="83"/>
      <c r="F972" s="83"/>
      <c r="G972" s="83"/>
      <c r="H972" s="83"/>
      <c r="I972" s="83"/>
      <c r="J972" s="83"/>
      <c r="K972" s="187"/>
      <c r="L972" s="187"/>
      <c r="M972" s="96"/>
      <c r="N972" s="83"/>
      <c r="O972" s="83"/>
      <c r="P972" s="83"/>
      <c r="Q972" s="83"/>
      <c r="R972" s="83"/>
      <c r="S972" s="83"/>
      <c r="T972" s="83"/>
      <c r="U972" s="83"/>
      <c r="V972" s="83"/>
      <c r="W972" s="83"/>
      <c r="X972" s="83"/>
      <c r="Y972" s="83"/>
      <c r="Z972" s="83"/>
      <c r="AA972" s="328"/>
      <c r="AB972" s="328"/>
    </row>
    <row r="973" ht="15.75" customHeight="1" spans="1:28">
      <c r="A973" s="96"/>
      <c r="B973" s="420"/>
      <c r="C973" s="83"/>
      <c r="D973" s="83"/>
      <c r="E973" s="83"/>
      <c r="F973" s="83"/>
      <c r="G973" s="83"/>
      <c r="H973" s="83"/>
      <c r="I973" s="83"/>
      <c r="J973" s="83"/>
      <c r="K973" s="187"/>
      <c r="L973" s="187"/>
      <c r="M973" s="96"/>
      <c r="N973" s="83"/>
      <c r="O973" s="83"/>
      <c r="P973" s="83"/>
      <c r="Q973" s="83"/>
      <c r="R973" s="83"/>
      <c r="S973" s="83"/>
      <c r="T973" s="83"/>
      <c r="U973" s="83"/>
      <c r="V973" s="83"/>
      <c r="W973" s="83"/>
      <c r="X973" s="83"/>
      <c r="Y973" s="83"/>
      <c r="Z973" s="83"/>
      <c r="AA973" s="328"/>
      <c r="AB973" s="328"/>
    </row>
    <row r="974" ht="15.75" customHeight="1" spans="1:28">
      <c r="A974" s="96"/>
      <c r="B974" s="420"/>
      <c r="C974" s="83"/>
      <c r="D974" s="83"/>
      <c r="E974" s="83"/>
      <c r="F974" s="83"/>
      <c r="G974" s="83"/>
      <c r="H974" s="83"/>
      <c r="I974" s="83"/>
      <c r="J974" s="83"/>
      <c r="K974" s="187"/>
      <c r="L974" s="187"/>
      <c r="M974" s="96"/>
      <c r="N974" s="83"/>
      <c r="O974" s="83"/>
      <c r="P974" s="83"/>
      <c r="Q974" s="83"/>
      <c r="R974" s="83"/>
      <c r="S974" s="83"/>
      <c r="T974" s="83"/>
      <c r="U974" s="83"/>
      <c r="V974" s="83"/>
      <c r="W974" s="83"/>
      <c r="X974" s="83"/>
      <c r="Y974" s="83"/>
      <c r="Z974" s="83"/>
      <c r="AA974" s="328"/>
      <c r="AB974" s="328"/>
    </row>
    <row r="975" ht="15.75" customHeight="1" spans="1:28">
      <c r="A975" s="96"/>
      <c r="B975" s="420"/>
      <c r="C975" s="83"/>
      <c r="D975" s="83"/>
      <c r="E975" s="83"/>
      <c r="F975" s="83"/>
      <c r="G975" s="83"/>
      <c r="H975" s="83"/>
      <c r="I975" s="83"/>
      <c r="J975" s="83"/>
      <c r="K975" s="187"/>
      <c r="L975" s="187"/>
      <c r="M975" s="96"/>
      <c r="N975" s="83"/>
      <c r="O975" s="83"/>
      <c r="P975" s="83"/>
      <c r="Q975" s="83"/>
      <c r="R975" s="83"/>
      <c r="S975" s="83"/>
      <c r="T975" s="83"/>
      <c r="U975" s="83"/>
      <c r="V975" s="83"/>
      <c r="W975" s="83"/>
      <c r="X975" s="83"/>
      <c r="Y975" s="83"/>
      <c r="Z975" s="83"/>
      <c r="AA975" s="328"/>
      <c r="AB975" s="328"/>
    </row>
    <row r="976" ht="15.75" customHeight="1" spans="1:28">
      <c r="A976" s="96"/>
      <c r="B976" s="420"/>
      <c r="C976" s="83"/>
      <c r="D976" s="83"/>
      <c r="E976" s="83"/>
      <c r="F976" s="83"/>
      <c r="G976" s="83"/>
      <c r="H976" s="83"/>
      <c r="I976" s="83"/>
      <c r="J976" s="83"/>
      <c r="K976" s="187"/>
      <c r="L976" s="187"/>
      <c r="M976" s="96"/>
      <c r="N976" s="83"/>
      <c r="O976" s="83"/>
      <c r="P976" s="83"/>
      <c r="Q976" s="83"/>
      <c r="R976" s="83"/>
      <c r="S976" s="83"/>
      <c r="T976" s="83"/>
      <c r="U976" s="83"/>
      <c r="V976" s="83"/>
      <c r="W976" s="83"/>
      <c r="X976" s="83"/>
      <c r="Y976" s="83"/>
      <c r="Z976" s="83"/>
      <c r="AA976" s="328"/>
      <c r="AB976" s="328"/>
    </row>
    <row r="977" ht="15.75" customHeight="1" spans="1:28">
      <c r="A977" s="96"/>
      <c r="B977" s="420"/>
      <c r="C977" s="83"/>
      <c r="D977" s="83"/>
      <c r="E977" s="83"/>
      <c r="F977" s="83"/>
      <c r="G977" s="83"/>
      <c r="H977" s="83"/>
      <c r="I977" s="83"/>
      <c r="J977" s="83"/>
      <c r="K977" s="187"/>
      <c r="L977" s="187"/>
      <c r="M977" s="96"/>
      <c r="N977" s="83"/>
      <c r="O977" s="83"/>
      <c r="P977" s="83"/>
      <c r="Q977" s="83"/>
      <c r="R977" s="83"/>
      <c r="S977" s="83"/>
      <c r="T977" s="83"/>
      <c r="U977" s="83"/>
      <c r="V977" s="83"/>
      <c r="W977" s="83"/>
      <c r="X977" s="83"/>
      <c r="Y977" s="83"/>
      <c r="Z977" s="83"/>
      <c r="AA977" s="328"/>
      <c r="AB977" s="328"/>
    </row>
    <row r="978" ht="15.75" customHeight="1" spans="1:28">
      <c r="A978" s="96"/>
      <c r="B978" s="420"/>
      <c r="C978" s="83"/>
      <c r="D978" s="83"/>
      <c r="E978" s="83"/>
      <c r="F978" s="83"/>
      <c r="G978" s="83"/>
      <c r="H978" s="83"/>
      <c r="I978" s="83"/>
      <c r="J978" s="83"/>
      <c r="K978" s="187"/>
      <c r="L978" s="187"/>
      <c r="M978" s="96"/>
      <c r="N978" s="83"/>
      <c r="O978" s="83"/>
      <c r="P978" s="83"/>
      <c r="Q978" s="83"/>
      <c r="R978" s="83"/>
      <c r="S978" s="83"/>
      <c r="T978" s="83"/>
      <c r="U978" s="83"/>
      <c r="V978" s="83"/>
      <c r="W978" s="83"/>
      <c r="X978" s="83"/>
      <c r="Y978" s="83"/>
      <c r="Z978" s="83"/>
      <c r="AA978" s="328"/>
      <c r="AB978" s="328"/>
    </row>
    <row r="979" ht="15.75" customHeight="1" spans="1:28">
      <c r="A979" s="96"/>
      <c r="B979" s="420"/>
      <c r="C979" s="83"/>
      <c r="D979" s="83"/>
      <c r="E979" s="83"/>
      <c r="F979" s="83"/>
      <c r="G979" s="83"/>
      <c r="H979" s="83"/>
      <c r="I979" s="83"/>
      <c r="J979" s="83"/>
      <c r="K979" s="187"/>
      <c r="L979" s="187"/>
      <c r="M979" s="96"/>
      <c r="N979" s="83"/>
      <c r="O979" s="83"/>
      <c r="P979" s="83"/>
      <c r="Q979" s="83"/>
      <c r="R979" s="83"/>
      <c r="S979" s="83"/>
      <c r="T979" s="83"/>
      <c r="U979" s="83"/>
      <c r="V979" s="83"/>
      <c r="W979" s="83"/>
      <c r="X979" s="83"/>
      <c r="Y979" s="83"/>
      <c r="Z979" s="83"/>
      <c r="AA979" s="328"/>
      <c r="AB979" s="328"/>
    </row>
    <row r="980" ht="15.75" customHeight="1" spans="1:28">
      <c r="A980" s="96"/>
      <c r="B980" s="420"/>
      <c r="C980" s="83"/>
      <c r="D980" s="83"/>
      <c r="E980" s="83"/>
      <c r="F980" s="83"/>
      <c r="G980" s="83"/>
      <c r="H980" s="83"/>
      <c r="I980" s="83"/>
      <c r="J980" s="83"/>
      <c r="K980" s="187"/>
      <c r="L980" s="187"/>
      <c r="M980" s="96"/>
      <c r="N980" s="83"/>
      <c r="O980" s="83"/>
      <c r="P980" s="83"/>
      <c r="Q980" s="83"/>
      <c r="R980" s="83"/>
      <c r="S980" s="83"/>
      <c r="T980" s="83"/>
      <c r="U980" s="83"/>
      <c r="V980" s="83"/>
      <c r="W980" s="83"/>
      <c r="X980" s="83"/>
      <c r="Y980" s="83"/>
      <c r="Z980" s="83"/>
      <c r="AA980" s="328"/>
      <c r="AB980" s="328"/>
    </row>
    <row r="981" ht="15.75" customHeight="1" spans="1:28">
      <c r="A981" s="96"/>
      <c r="B981" s="420"/>
      <c r="C981" s="83"/>
      <c r="D981" s="83"/>
      <c r="E981" s="83"/>
      <c r="F981" s="83"/>
      <c r="G981" s="83"/>
      <c r="H981" s="83"/>
      <c r="I981" s="83"/>
      <c r="J981" s="83"/>
      <c r="K981" s="187"/>
      <c r="L981" s="187"/>
      <c r="M981" s="96"/>
      <c r="N981" s="83"/>
      <c r="O981" s="83"/>
      <c r="P981" s="83"/>
      <c r="Q981" s="83"/>
      <c r="R981" s="83"/>
      <c r="S981" s="83"/>
      <c r="T981" s="83"/>
      <c r="U981" s="83"/>
      <c r="V981" s="83"/>
      <c r="W981" s="83"/>
      <c r="X981" s="83"/>
      <c r="Y981" s="83"/>
      <c r="Z981" s="83"/>
      <c r="AA981" s="328"/>
      <c r="AB981" s="328"/>
    </row>
    <row r="982" ht="15.75" customHeight="1" spans="1:28">
      <c r="A982" s="96"/>
      <c r="B982" s="420"/>
      <c r="C982" s="83"/>
      <c r="D982" s="83"/>
      <c r="E982" s="83"/>
      <c r="F982" s="83"/>
      <c r="G982" s="83"/>
      <c r="H982" s="83"/>
      <c r="I982" s="83"/>
      <c r="J982" s="83"/>
      <c r="K982" s="187"/>
      <c r="L982" s="187"/>
      <c r="M982" s="96"/>
      <c r="N982" s="83"/>
      <c r="O982" s="83"/>
      <c r="P982" s="83"/>
      <c r="Q982" s="83"/>
      <c r="R982" s="83"/>
      <c r="S982" s="83"/>
      <c r="T982" s="83"/>
      <c r="U982" s="83"/>
      <c r="V982" s="83"/>
      <c r="W982" s="83"/>
      <c r="X982" s="83"/>
      <c r="Y982" s="83"/>
      <c r="Z982" s="83"/>
      <c r="AA982" s="328"/>
      <c r="AB982" s="328"/>
    </row>
    <row r="983" ht="15.75" customHeight="1" spans="1:28">
      <c r="A983" s="96"/>
      <c r="B983" s="420"/>
      <c r="C983" s="83"/>
      <c r="D983" s="83"/>
      <c r="E983" s="83"/>
      <c r="F983" s="83"/>
      <c r="G983" s="83"/>
      <c r="H983" s="83"/>
      <c r="I983" s="83"/>
      <c r="J983" s="83"/>
      <c r="K983" s="187"/>
      <c r="L983" s="187"/>
      <c r="M983" s="96"/>
      <c r="N983" s="83"/>
      <c r="O983" s="83"/>
      <c r="P983" s="83"/>
      <c r="Q983" s="83"/>
      <c r="R983" s="83"/>
      <c r="S983" s="83"/>
      <c r="T983" s="83"/>
      <c r="U983" s="83"/>
      <c r="V983" s="83"/>
      <c r="W983" s="83"/>
      <c r="X983" s="83"/>
      <c r="Y983" s="83"/>
      <c r="Z983" s="83"/>
      <c r="AA983" s="328"/>
      <c r="AB983" s="328"/>
    </row>
    <row r="984" ht="15.75" customHeight="1" spans="1:28">
      <c r="A984" s="96"/>
      <c r="B984" s="420"/>
      <c r="C984" s="83"/>
      <c r="D984" s="83"/>
      <c r="E984" s="83"/>
      <c r="F984" s="83"/>
      <c r="G984" s="83"/>
      <c r="H984" s="83"/>
      <c r="I984" s="83"/>
      <c r="J984" s="83"/>
      <c r="K984" s="187"/>
      <c r="L984" s="187"/>
      <c r="M984" s="96"/>
      <c r="N984" s="83"/>
      <c r="O984" s="83"/>
      <c r="P984" s="83"/>
      <c r="Q984" s="83"/>
      <c r="R984" s="83"/>
      <c r="S984" s="83"/>
      <c r="T984" s="83"/>
      <c r="U984" s="83"/>
      <c r="V984" s="83"/>
      <c r="W984" s="83"/>
      <c r="X984" s="83"/>
      <c r="Y984" s="83"/>
      <c r="Z984" s="83"/>
      <c r="AA984" s="328"/>
      <c r="AB984" s="328"/>
    </row>
    <row r="985" ht="15.75" customHeight="1" spans="1:28">
      <c r="A985" s="96"/>
      <c r="B985" s="420"/>
      <c r="C985" s="83"/>
      <c r="D985" s="83"/>
      <c r="E985" s="83"/>
      <c r="F985" s="83"/>
      <c r="G985" s="83"/>
      <c r="H985" s="83"/>
      <c r="I985" s="83"/>
      <c r="J985" s="83"/>
      <c r="K985" s="187"/>
      <c r="L985" s="187"/>
      <c r="M985" s="96"/>
      <c r="N985" s="83"/>
      <c r="O985" s="83"/>
      <c r="P985" s="83"/>
      <c r="Q985" s="83"/>
      <c r="R985" s="83"/>
      <c r="S985" s="83"/>
      <c r="T985" s="83"/>
      <c r="U985" s="83"/>
      <c r="V985" s="83"/>
      <c r="W985" s="83"/>
      <c r="X985" s="83"/>
      <c r="Y985" s="83"/>
      <c r="Z985" s="83"/>
      <c r="AA985" s="328"/>
      <c r="AB985" s="328"/>
    </row>
    <row r="986" ht="15.75" customHeight="1" spans="1:28">
      <c r="A986" s="329"/>
      <c r="B986" s="421"/>
      <c r="C986" s="328"/>
      <c r="D986" s="328"/>
      <c r="E986" s="328"/>
      <c r="F986" s="328"/>
      <c r="G986" s="328"/>
      <c r="H986" s="328"/>
      <c r="I986" s="328"/>
      <c r="J986" s="328"/>
      <c r="K986" s="338"/>
      <c r="L986" s="338"/>
      <c r="M986" s="329"/>
      <c r="N986" s="328"/>
      <c r="O986" s="328"/>
      <c r="P986" s="328"/>
      <c r="Q986" s="328"/>
      <c r="R986" s="328"/>
      <c r="S986" s="328"/>
      <c r="T986" s="328"/>
      <c r="U986" s="328"/>
      <c r="V986" s="328"/>
      <c r="W986" s="328"/>
      <c r="X986" s="328"/>
      <c r="Y986" s="328"/>
      <c r="Z986" s="328"/>
      <c r="AA986" s="328"/>
      <c r="AB986" s="328"/>
    </row>
    <row r="987" ht="15.75" customHeight="1" spans="1:28">
      <c r="A987" s="329"/>
      <c r="B987" s="421"/>
      <c r="C987" s="328"/>
      <c r="D987" s="328"/>
      <c r="E987" s="328"/>
      <c r="F987" s="328"/>
      <c r="G987" s="328"/>
      <c r="H987" s="328"/>
      <c r="I987" s="328"/>
      <c r="J987" s="328"/>
      <c r="K987" s="338"/>
      <c r="L987" s="338"/>
      <c r="M987" s="329"/>
      <c r="N987" s="328"/>
      <c r="O987" s="328"/>
      <c r="P987" s="328"/>
      <c r="Q987" s="328"/>
      <c r="R987" s="328"/>
      <c r="S987" s="328"/>
      <c r="T987" s="328"/>
      <c r="U987" s="328"/>
      <c r="V987" s="328"/>
      <c r="W987" s="328"/>
      <c r="X987" s="328"/>
      <c r="Y987" s="328"/>
      <c r="Z987" s="328"/>
      <c r="AA987" s="328"/>
      <c r="AB987" s="328"/>
    </row>
    <row r="988" ht="15.75" customHeight="1" spans="1:28">
      <c r="A988" s="329"/>
      <c r="B988" s="421"/>
      <c r="C988" s="328"/>
      <c r="D988" s="328"/>
      <c r="E988" s="328"/>
      <c r="F988" s="328"/>
      <c r="G988" s="328"/>
      <c r="H988" s="328"/>
      <c r="I988" s="328"/>
      <c r="J988" s="328"/>
      <c r="K988" s="338"/>
      <c r="L988" s="338"/>
      <c r="M988" s="329"/>
      <c r="N988" s="328"/>
      <c r="O988" s="328"/>
      <c r="P988" s="328"/>
      <c r="Q988" s="328"/>
      <c r="R988" s="328"/>
      <c r="S988" s="328"/>
      <c r="T988" s="328"/>
      <c r="U988" s="328"/>
      <c r="V988" s="328"/>
      <c r="W988" s="328"/>
      <c r="X988" s="328"/>
      <c r="Y988" s="328"/>
      <c r="Z988" s="328"/>
      <c r="AA988" s="328"/>
      <c r="AB988" s="328"/>
    </row>
    <row r="989" ht="15.75" customHeight="1" spans="1:28">
      <c r="A989" s="329"/>
      <c r="B989" s="421"/>
      <c r="C989" s="421"/>
      <c r="D989" s="421"/>
      <c r="E989" s="421"/>
      <c r="F989" s="421"/>
      <c r="G989" s="421"/>
      <c r="H989" s="421"/>
      <c r="I989" s="421"/>
      <c r="J989" s="421"/>
      <c r="K989" s="421"/>
      <c r="L989" s="421"/>
      <c r="M989" s="421"/>
      <c r="N989" s="421"/>
      <c r="O989" s="421"/>
      <c r="P989" s="421"/>
      <c r="Q989" s="421"/>
      <c r="R989" s="421"/>
      <c r="S989" s="421"/>
      <c r="T989" s="421"/>
      <c r="U989" s="421"/>
      <c r="V989" s="421"/>
      <c r="W989" s="421"/>
      <c r="X989" s="421"/>
      <c r="Y989" s="421"/>
      <c r="Z989" s="421"/>
      <c r="AA989" s="421"/>
      <c r="AB989" s="421"/>
    </row>
    <row r="990" ht="15.75" customHeight="1" spans="1:28">
      <c r="A990" s="329"/>
      <c r="B990" s="421"/>
      <c r="C990" s="421"/>
      <c r="D990" s="421"/>
      <c r="E990" s="421"/>
      <c r="F990" s="421"/>
      <c r="G990" s="421"/>
      <c r="H990" s="421"/>
      <c r="I990" s="421"/>
      <c r="J990" s="421"/>
      <c r="K990" s="421"/>
      <c r="L990" s="421"/>
      <c r="M990" s="421"/>
      <c r="N990" s="421"/>
      <c r="O990" s="421"/>
      <c r="P990" s="421"/>
      <c r="Q990" s="421"/>
      <c r="R990" s="421"/>
      <c r="S990" s="421"/>
      <c r="T990" s="421"/>
      <c r="U990" s="421"/>
      <c r="V990" s="421"/>
      <c r="W990" s="421"/>
      <c r="X990" s="421"/>
      <c r="Y990" s="421"/>
      <c r="Z990" s="421"/>
      <c r="AA990" s="421"/>
      <c r="AB990" s="421"/>
    </row>
    <row r="991" ht="15.75" customHeight="1" spans="1:28">
      <c r="A991" s="329"/>
      <c r="B991" s="421"/>
      <c r="C991" s="421"/>
      <c r="D991" s="421"/>
      <c r="E991" s="421"/>
      <c r="F991" s="421"/>
      <c r="G991" s="421"/>
      <c r="H991" s="421"/>
      <c r="I991" s="421"/>
      <c r="J991" s="421"/>
      <c r="K991" s="421"/>
      <c r="L991" s="421"/>
      <c r="M991" s="421"/>
      <c r="N991" s="421"/>
      <c r="O991" s="421"/>
      <c r="P991" s="421"/>
      <c r="Q991" s="421"/>
      <c r="R991" s="421"/>
      <c r="S991" s="421"/>
      <c r="T991" s="421"/>
      <c r="U991" s="421"/>
      <c r="V991" s="421"/>
      <c r="W991" s="421"/>
      <c r="X991" s="421"/>
      <c r="Y991" s="421"/>
      <c r="Z991" s="421"/>
      <c r="AA991" s="421"/>
      <c r="AB991" s="421"/>
    </row>
    <row r="992" ht="15.75" customHeight="1" spans="1:28">
      <c r="A992" s="329"/>
      <c r="B992" s="421"/>
      <c r="C992" s="421"/>
      <c r="D992" s="421"/>
      <c r="E992" s="421"/>
      <c r="F992" s="421"/>
      <c r="G992" s="421"/>
      <c r="H992" s="421"/>
      <c r="I992" s="421"/>
      <c r="J992" s="421"/>
      <c r="K992" s="421"/>
      <c r="L992" s="421"/>
      <c r="M992" s="421"/>
      <c r="N992" s="421"/>
      <c r="O992" s="421"/>
      <c r="P992" s="421"/>
      <c r="Q992" s="421"/>
      <c r="R992" s="421"/>
      <c r="S992" s="421"/>
      <c r="T992" s="421"/>
      <c r="U992" s="421"/>
      <c r="V992" s="421"/>
      <c r="W992" s="421"/>
      <c r="X992" s="421"/>
      <c r="Y992" s="421"/>
      <c r="Z992" s="421"/>
      <c r="AA992" s="421"/>
      <c r="AB992" s="421"/>
    </row>
    <row r="993" ht="15.75" customHeight="1" spans="1:28">
      <c r="A993" s="329"/>
      <c r="B993" s="421"/>
      <c r="C993" s="421"/>
      <c r="D993" s="421"/>
      <c r="E993" s="421"/>
      <c r="F993" s="421"/>
      <c r="G993" s="421"/>
      <c r="H993" s="421"/>
      <c r="I993" s="421"/>
      <c r="J993" s="421"/>
      <c r="K993" s="421"/>
      <c r="L993" s="421"/>
      <c r="M993" s="421"/>
      <c r="N993" s="421"/>
      <c r="O993" s="421"/>
      <c r="P993" s="421"/>
      <c r="Q993" s="421"/>
      <c r="R993" s="421"/>
      <c r="S993" s="421"/>
      <c r="T993" s="421"/>
      <c r="U993" s="421"/>
      <c r="V993" s="421"/>
      <c r="W993" s="421"/>
      <c r="X993" s="421"/>
      <c r="Y993" s="421"/>
      <c r="Z993" s="421"/>
      <c r="AA993" s="421"/>
      <c r="AB993" s="421"/>
    </row>
    <row r="994" ht="15.75" customHeight="1" spans="1:28">
      <c r="A994" s="329"/>
      <c r="B994" s="421"/>
      <c r="C994" s="421"/>
      <c r="D994" s="421"/>
      <c r="E994" s="421"/>
      <c r="F994" s="421"/>
      <c r="G994" s="421"/>
      <c r="H994" s="421"/>
      <c r="I994" s="421"/>
      <c r="J994" s="421"/>
      <c r="K994" s="421"/>
      <c r="L994" s="421"/>
      <c r="M994" s="421"/>
      <c r="N994" s="421"/>
      <c r="O994" s="421"/>
      <c r="P994" s="421"/>
      <c r="Q994" s="421"/>
      <c r="R994" s="421"/>
      <c r="S994" s="421"/>
      <c r="T994" s="421"/>
      <c r="U994" s="421"/>
      <c r="V994" s="421"/>
      <c r="W994" s="421"/>
      <c r="X994" s="421"/>
      <c r="Y994" s="421"/>
      <c r="Z994" s="421"/>
      <c r="AA994" s="421"/>
      <c r="AB994" s="421"/>
    </row>
    <row r="995" ht="15.75" customHeight="1" spans="1:28">
      <c r="A995" s="329"/>
      <c r="B995" s="421"/>
      <c r="C995" s="421"/>
      <c r="D995" s="421"/>
      <c r="E995" s="421"/>
      <c r="F995" s="421"/>
      <c r="G995" s="421"/>
      <c r="H995" s="421"/>
      <c r="I995" s="421"/>
      <c r="J995" s="421"/>
      <c r="K995" s="421"/>
      <c r="L995" s="421"/>
      <c r="M995" s="421"/>
      <c r="N995" s="421"/>
      <c r="O995" s="421"/>
      <c r="P995" s="421"/>
      <c r="Q995" s="421"/>
      <c r="R995" s="421"/>
      <c r="S995" s="421"/>
      <c r="T995" s="421"/>
      <c r="U995" s="421"/>
      <c r="V995" s="421"/>
      <c r="W995" s="421"/>
      <c r="X995" s="421"/>
      <c r="Y995" s="421"/>
      <c r="Z995" s="421"/>
      <c r="AA995" s="421"/>
      <c r="AB995" s="421"/>
    </row>
    <row r="996" ht="15.75" customHeight="1" spans="1:28">
      <c r="A996" s="329"/>
      <c r="B996" s="421"/>
      <c r="C996" s="421"/>
      <c r="D996" s="421"/>
      <c r="E996" s="421"/>
      <c r="F996" s="421"/>
      <c r="G996" s="421"/>
      <c r="H996" s="421"/>
      <c r="I996" s="421"/>
      <c r="J996" s="421"/>
      <c r="K996" s="421"/>
      <c r="L996" s="421"/>
      <c r="M996" s="421"/>
      <c r="N996" s="421"/>
      <c r="O996" s="421"/>
      <c r="P996" s="421"/>
      <c r="Q996" s="421"/>
      <c r="R996" s="421"/>
      <c r="S996" s="421"/>
      <c r="T996" s="421"/>
      <c r="U996" s="421"/>
      <c r="V996" s="421"/>
      <c r="W996" s="421"/>
      <c r="X996" s="421"/>
      <c r="Y996" s="421"/>
      <c r="Z996" s="421"/>
      <c r="AA996" s="421"/>
      <c r="AB996" s="421"/>
    </row>
    <row r="997" ht="15.75" customHeight="1" spans="1:28">
      <c r="A997" s="329"/>
      <c r="B997" s="421"/>
      <c r="C997" s="421"/>
      <c r="D997" s="421"/>
      <c r="E997" s="421"/>
      <c r="F997" s="421"/>
      <c r="G997" s="421"/>
      <c r="H997" s="421"/>
      <c r="I997" s="421"/>
      <c r="J997" s="421"/>
      <c r="K997" s="421"/>
      <c r="L997" s="421"/>
      <c r="M997" s="421"/>
      <c r="N997" s="421"/>
      <c r="O997" s="421"/>
      <c r="P997" s="421"/>
      <c r="Q997" s="421"/>
      <c r="R997" s="421"/>
      <c r="S997" s="421"/>
      <c r="T997" s="421"/>
      <c r="U997" s="421"/>
      <c r="V997" s="421"/>
      <c r="W997" s="421"/>
      <c r="X997" s="421"/>
      <c r="Y997" s="421"/>
      <c r="Z997" s="421"/>
      <c r="AA997" s="421"/>
      <c r="AB997" s="421"/>
    </row>
    <row r="998" ht="15.75" customHeight="1" spans="1:28">
      <c r="A998" s="329"/>
      <c r="B998" s="421"/>
      <c r="C998" s="421"/>
      <c r="D998" s="421"/>
      <c r="E998" s="421"/>
      <c r="F998" s="421"/>
      <c r="G998" s="421"/>
      <c r="H998" s="421"/>
      <c r="I998" s="421"/>
      <c r="J998" s="421"/>
      <c r="K998" s="421"/>
      <c r="L998" s="421"/>
      <c r="M998" s="421"/>
      <c r="N998" s="421"/>
      <c r="O998" s="421"/>
      <c r="P998" s="421"/>
      <c r="Q998" s="421"/>
      <c r="R998" s="421"/>
      <c r="S998" s="421"/>
      <c r="T998" s="421"/>
      <c r="U998" s="421"/>
      <c r="V998" s="421"/>
      <c r="W998" s="421"/>
      <c r="X998" s="421"/>
      <c r="Y998" s="421"/>
      <c r="Z998" s="421"/>
      <c r="AA998" s="421"/>
      <c r="AB998" s="421"/>
    </row>
    <row r="999" ht="15.75" customHeight="1" spans="1:28">
      <c r="A999" s="329"/>
      <c r="B999" s="421"/>
      <c r="C999" s="421"/>
      <c r="D999" s="421"/>
      <c r="E999" s="421"/>
      <c r="F999" s="421"/>
      <c r="G999" s="421"/>
      <c r="H999" s="421"/>
      <c r="I999" s="421"/>
      <c r="J999" s="421"/>
      <c r="K999" s="421"/>
      <c r="L999" s="421"/>
      <c r="M999" s="421"/>
      <c r="N999" s="421"/>
      <c r="O999" s="421"/>
      <c r="P999" s="421"/>
      <c r="Q999" s="421"/>
      <c r="R999" s="421"/>
      <c r="S999" s="421"/>
      <c r="T999" s="421"/>
      <c r="U999" s="421"/>
      <c r="V999" s="421"/>
      <c r="W999" s="421"/>
      <c r="X999" s="421"/>
      <c r="Y999" s="421"/>
      <c r="Z999" s="421"/>
      <c r="AA999" s="421"/>
      <c r="AB999" s="421"/>
    </row>
    <row r="1000" ht="15.75" customHeight="1" spans="1:28">
      <c r="A1000" s="329"/>
      <c r="B1000" s="421"/>
      <c r="C1000" s="421"/>
      <c r="D1000" s="421"/>
      <c r="E1000" s="421"/>
      <c r="F1000" s="421"/>
      <c r="G1000" s="421"/>
      <c r="H1000" s="421"/>
      <c r="I1000" s="421"/>
      <c r="J1000" s="421"/>
      <c r="K1000" s="421"/>
      <c r="L1000" s="421"/>
      <c r="M1000" s="421"/>
      <c r="N1000" s="421"/>
      <c r="O1000" s="421"/>
      <c r="P1000" s="421"/>
      <c r="Q1000" s="421"/>
      <c r="R1000" s="421"/>
      <c r="S1000" s="421"/>
      <c r="T1000" s="421"/>
      <c r="U1000" s="421"/>
      <c r="V1000" s="421"/>
      <c r="W1000" s="421"/>
      <c r="X1000" s="421"/>
      <c r="Y1000" s="421"/>
      <c r="Z1000" s="421"/>
      <c r="AA1000" s="421"/>
      <c r="AB1000" s="421"/>
    </row>
    <row r="1001" ht="15" customHeight="1" spans="1:28">
      <c r="A1001" s="329"/>
      <c r="B1001" s="421"/>
      <c r="C1001" s="421"/>
      <c r="D1001" s="421"/>
      <c r="E1001" s="421"/>
      <c r="F1001" s="421"/>
      <c r="G1001" s="421"/>
      <c r="H1001" s="421"/>
      <c r="I1001" s="421"/>
      <c r="J1001" s="421"/>
      <c r="K1001" s="421"/>
      <c r="L1001" s="421"/>
      <c r="M1001" s="421"/>
      <c r="N1001" s="421"/>
      <c r="O1001" s="421"/>
      <c r="P1001" s="421"/>
      <c r="Q1001" s="421"/>
      <c r="R1001" s="421"/>
      <c r="S1001" s="421"/>
      <c r="T1001" s="421"/>
      <c r="U1001" s="421"/>
      <c r="V1001" s="421"/>
      <c r="W1001" s="421"/>
      <c r="X1001" s="421"/>
      <c r="Y1001" s="421"/>
      <c r="Z1001" s="421"/>
      <c r="AA1001" s="421"/>
      <c r="AB1001" s="421"/>
    </row>
    <row r="1002" ht="15" customHeight="1" spans="1:28">
      <c r="A1002" s="329"/>
      <c r="B1002" s="421"/>
      <c r="C1002" s="421"/>
      <c r="D1002" s="421"/>
      <c r="E1002" s="421"/>
      <c r="F1002" s="421"/>
      <c r="G1002" s="421"/>
      <c r="H1002" s="421"/>
      <c r="I1002" s="421"/>
      <c r="J1002" s="421"/>
      <c r="K1002" s="421"/>
      <c r="L1002" s="421"/>
      <c r="M1002" s="421"/>
      <c r="N1002" s="421"/>
      <c r="O1002" s="421"/>
      <c r="P1002" s="421"/>
      <c r="Q1002" s="421"/>
      <c r="R1002" s="421"/>
      <c r="S1002" s="421"/>
      <c r="T1002" s="421"/>
      <c r="U1002" s="421"/>
      <c r="V1002" s="421"/>
      <c r="W1002" s="421"/>
      <c r="X1002" s="421"/>
      <c r="Y1002" s="421"/>
      <c r="Z1002" s="421"/>
      <c r="AA1002" s="421"/>
      <c r="AB1002" s="421"/>
    </row>
    <row r="1003" ht="15" customHeight="1" spans="1:28">
      <c r="A1003" s="329"/>
      <c r="B1003" s="421"/>
      <c r="C1003" s="421"/>
      <c r="D1003" s="421"/>
      <c r="E1003" s="421"/>
      <c r="F1003" s="421"/>
      <c r="G1003" s="421"/>
      <c r="H1003" s="421"/>
      <c r="I1003" s="421"/>
      <c r="J1003" s="421"/>
      <c r="K1003" s="421"/>
      <c r="L1003" s="421"/>
      <c r="M1003" s="421"/>
      <c r="N1003" s="421"/>
      <c r="O1003" s="421"/>
      <c r="P1003" s="421"/>
      <c r="Q1003" s="421"/>
      <c r="R1003" s="421"/>
      <c r="S1003" s="421"/>
      <c r="T1003" s="421"/>
      <c r="U1003" s="421"/>
      <c r="V1003" s="421"/>
      <c r="W1003" s="421"/>
      <c r="X1003" s="421"/>
      <c r="Y1003" s="421"/>
      <c r="Z1003" s="421"/>
      <c r="AA1003" s="421"/>
      <c r="AB1003" s="421"/>
    </row>
  </sheetData>
  <autoFilter xmlns:etc="http://www.wps.cn/officeDocument/2017/etCustomData" ref="A7:K784" etc:filterBottomFollowUsedRange="0">
    <extLst/>
  </autoFilter>
  <mergeCells count="83">
    <mergeCell ref="B1:J1"/>
    <mergeCell ref="B2:J2"/>
    <mergeCell ref="B3:E3"/>
    <mergeCell ref="F3:H3"/>
    <mergeCell ref="I3:J3"/>
    <mergeCell ref="B4:E4"/>
    <mergeCell ref="F4:H4"/>
    <mergeCell ref="I4:J4"/>
    <mergeCell ref="B5:E5"/>
    <mergeCell ref="B6:E6"/>
    <mergeCell ref="E19:J19"/>
    <mergeCell ref="E24:J24"/>
    <mergeCell ref="E29:J29"/>
    <mergeCell ref="E46:J46"/>
    <mergeCell ref="E51:J51"/>
    <mergeCell ref="E106:J106"/>
    <mergeCell ref="E111:J111"/>
    <mergeCell ref="E116:J116"/>
    <mergeCell ref="E135:J135"/>
    <mergeCell ref="E140:J140"/>
    <mergeCell ref="E145:J145"/>
    <mergeCell ref="E150:J150"/>
    <mergeCell ref="E155:J155"/>
    <mergeCell ref="E160:J160"/>
    <mergeCell ref="E165:J165"/>
    <mergeCell ref="E170:J170"/>
    <mergeCell ref="E175:J175"/>
    <mergeCell ref="E180:J180"/>
    <mergeCell ref="E185:J185"/>
    <mergeCell ref="E190:J190"/>
    <mergeCell ref="E195:J195"/>
    <mergeCell ref="E200:J200"/>
    <mergeCell ref="E205:J205"/>
    <mergeCell ref="E210:J210"/>
    <mergeCell ref="E215:J215"/>
    <mergeCell ref="E220:J220"/>
    <mergeCell ref="E225:J225"/>
    <mergeCell ref="E230:J230"/>
    <mergeCell ref="E239:J239"/>
    <mergeCell ref="E244:J244"/>
    <mergeCell ref="E249:J249"/>
    <mergeCell ref="E254:J254"/>
    <mergeCell ref="E259:J259"/>
    <mergeCell ref="E264:J264"/>
    <mergeCell ref="E269:J269"/>
    <mergeCell ref="E274:J274"/>
    <mergeCell ref="E279:J279"/>
    <mergeCell ref="E284:J284"/>
    <mergeCell ref="E289:J289"/>
    <mergeCell ref="E294:J294"/>
    <mergeCell ref="E299:J299"/>
    <mergeCell ref="E304:J304"/>
    <mergeCell ref="E309:J309"/>
    <mergeCell ref="E314:J314"/>
    <mergeCell ref="E319:J319"/>
    <mergeCell ref="E321:J321"/>
    <mergeCell ref="E330:J330"/>
    <mergeCell ref="E335:J335"/>
    <mergeCell ref="E346:J346"/>
    <mergeCell ref="E351:J351"/>
    <mergeCell ref="E356:J356"/>
    <mergeCell ref="E361:J361"/>
    <mergeCell ref="E366:J366"/>
    <mergeCell ref="E371:J371"/>
    <mergeCell ref="E376:J376"/>
    <mergeCell ref="E381:J381"/>
    <mergeCell ref="E386:J386"/>
    <mergeCell ref="E422:J422"/>
    <mergeCell ref="E472:J472"/>
    <mergeCell ref="E480:J480"/>
    <mergeCell ref="E487:J487"/>
    <mergeCell ref="E492:J492"/>
    <mergeCell ref="E509:J509"/>
    <mergeCell ref="E514:J514"/>
    <mergeCell ref="E519:J519"/>
    <mergeCell ref="E524:J524"/>
    <mergeCell ref="E542:J542"/>
    <mergeCell ref="E547:J547"/>
    <mergeCell ref="E760:J760"/>
    <mergeCell ref="B783:J783"/>
    <mergeCell ref="B784:J784"/>
    <mergeCell ref="B785:J785"/>
    <mergeCell ref="B786:J786"/>
  </mergeCells>
  <hyperlinks>
    <hyperlink ref="E10" r:id="rId4" display="https://www.madeiramadeira.com.br/portao-de-aco-contrapeso-com-painel-em-chapa-frisada-220x240x8-7-868297.html"/>
    <hyperlink ref="F10" r:id="rId5" display="https://www.taqi.com.br/portao-contrapeso-mecal-esquerdo-p402-1/185635"/>
    <hyperlink ref="G10" r:id="rId6" display="https://www.webcontinental.com.br/portao-de-aco-galvanizado-contrapeso-com-painel-chapa-frisada-220cmx240cmx8-7cm-cinza-000628298008/p"/>
    <hyperlink ref="E14" r:id="rId7" display="https://lojaidealrv.com.br/curva-90o-rl-4-sch40-a-234-s-c"/>
    <hyperlink ref="F14" r:id="rId8" display="https://loja.acepilinox.com.br/acc-90rl-curva-cotovelo-90-graus-aco-carbono-a234-wpb-asme-b16-9-sch-40/?sku=2329681.134092.0.242333"/>
    <hyperlink ref="G14" r:id="rId9" location="derivacao=85/77" display="https://www.lojabrasilvapor.com.br/curva-aco-carbono-90-1-sch40-soldavel?utm_source=google&amp;utm_medium=Shopping&amp;utm_campaign=curva-aco-carbono-90-1-sch40-soldavel&amp;inStock#derivacao=85/77"/>
    <hyperlink ref="E33" r:id="rId10" display="https://www.casahydro.com.br/deca/pecas-e-reparos-deca/pecas-e-reparos-registro-deca/volante-de-registro-gaveta-bruto-deca-1502b-1-12-4464084"/>
    <hyperlink ref="F33" r:id="rId11" display="https://www.hidroshop.com.br/valvulas-em-geral/pecas-e-reparos/volante-de-registro-gaveta-bruto-deca-1502b-1-12"/>
    <hyperlink ref="E37" r:id="rId12" display="https://www.casahydro.com.br/deca/banheiro/acabamentos-e-registro-deca/volante-de-registro-gaveta-bruto-deca-1502b-2-4464104?parceiro=1&amp;gad_source=1&amp;gclid=Cj0KCQjwyL24BhCtARIsALo0fSAJ_2qG-IYuIigBSo2KqXSXloPO-2c6ktpIRjGNoOaqlEFJS_7qvNkaAjPNEALw_wcB"/>
    <hyperlink ref="F37" r:id="rId13" display="https://www.leroymerlin.com.br/volante-de-registro-gaveta-bruto-deca-1502b-2--4464104_1571439110?region=outros&amp;gad_source=1&amp;gclid=Cj0KCQjwyL24BhCtARIsALo0fSA07lAUcH2SnUA827pfc1ykmWJ3HjripH9z6XBXTepzdo5m15Pzg-kaArYjEALw_wcB"/>
    <hyperlink ref="G37" r:id="rId14" display="https://www.hidroshop.com.br/metais-sanitarios/bases-e-registros/registro-de-gaveta/volante-de-registro-gaveta-bruto-deca-1502b-2?parceiro=5882&amp;gad_source=1&amp;gad_campaignid=22350096876&amp;gbraid=0AAAAA9XnEVBl3CK2s4MniQ1f6trwv9nZd&amp;gclid=Cj0KCQjw267GBhCSARIsAOjVJ4GEZ9b1whpwwoBc-LGALEUL7x8cJEdEX-dd7Zbx-h4JkjxR3o2dlksaAjJ-EALw_wcB"/>
    <hyperlink ref="E41" r:id="rId15" display="https://www.hidroshop.com.br/metais-sanitarios/bases-e-registros/registro-de-gaveta/volante-de-registro-gaveta-bruto-deca-1502b-2-12"/>
    <hyperlink ref="F41" r:id="rId16" display="https://www.casahydro.com.br/deca/banheiro/acabamentos-e-registro-deca/volante-de-registro-gaveta-bruto-deca-1502b-2-12-4464124?parceiro=1&amp;gad_source=1&amp;gad_campaignid=19143189075&amp;gbraid=0AAAAACwtwpd-rZOCyTxPm2fj_j5cRcLOq&amp;gclid=Cj0KCQjw267GBhCSARIsAOjVJ4FU8oCkaynRrNNSZjfGS3QqqEaN2OICTLC2LsTd7ndMkF-r0jqJB_EaAmFJEALw_wcB"/>
    <hyperlink ref="G41" r:id="rId17" display="https://www.mercadolivre.com.br/volante-p-registro-gaveta-bruto-deca-1501-1502-212-polega-cor-amarelo/p/MLB32607593?pdp_filters=item_id%3AMLB3856012103&amp;from=gshop&amp;matt_tool=29457868&amp;matt_internal_campaign_id=&amp;matt_word=&amp;matt_source=google&amp;matt_campaign_id=22090354295&amp;matt_ad_group_id=173090578996&amp;matt_match_type=&amp;matt_network=g&amp;matt_device=c&amp;matt_creative=727882730820&amp;matt_keyword=&amp;matt_ad_position=&amp;matt_ad_type=pla&amp;matt_merchant_id=735098639&amp;matt_product_id=MLB32607593-product&amp;matt_product_partition_id=2391454777588&amp;matt_target_id=pla-2391454777588&amp;cq_src=google_ads&amp;cq_cmp=22090354295&amp;cq_net=g&amp;cq_plt=gp&amp;cq_med=pla&amp;gad_source=1&amp;gad_campaignid=22090354295&amp;gbraid=0AAAAAD93qcATy0G3dQhHsZ8CUZLsQ-RjD&amp;gclid=Cj0KCQjw267GBhCSARIsAOjVJ4GUdfvHNbR0h06EGr-RYm1_4B1tEcl1kMN93-AsnhbNMNzFpdmKrtUaAtZtEALw_wcB"/>
    <hyperlink ref="E45" r:id="rId18" display="https://www.plastolandia.com.br/curva-90-polipropileno-solda-preto-110-mm"/>
    <hyperlink ref="E50" r:id="rId19" display="https://www.plastolandia.com.br/valvula-esfera-polipropileno-flange-viton-4"/>
    <hyperlink ref="E63" r:id="rId20" display="https://www.plenobras.com.br/6503c7a1df6973c3d9cb3007/juncao-simples-galvanizado-a-fogo-pleito-100mm?srsltid=AfmBOoptYR5RmYkSPWo2fQlyilrLnAKdQh4YEpsZmIqSFGNcm6dEEqGw"/>
    <hyperlink ref="G63" r:id="rId21" display="https://scharftecnologia.com.br/produto/juncao-simples-p-leito-c-aba-100-mm/"/>
    <hyperlink ref="E97" r:id="rId22" display="https://www.marmota.com.br/sealtubo-eletroduto-flexivel-revestido-preto-4-ekoflex-p51469?srsltid=AfmBOoqyGtFgy_lVw_8-BbYvHFUOa_AooInM3H2dNCHo7LF3Del7cswz"/>
    <hyperlink ref="F97" r:id="rId23" display="https://www.mercadolivre.com.br/conduite-flexivel-seal-tubo-de-4--preco-por-metro/up/MLBU3062031773?pdp_filters=item_id:MLB5315509368"/>
    <hyperlink ref="G97" r:id="rId24" display="https://www.mercadolivre.com.br/sealtubo-eletroduto-flexivel-revestido-preto-4-por-metro-/up/MLBU3131343726?pdp_filters=item_id:MLB4034813393"/>
    <hyperlink ref="E101" r:id="rId25" display="https://www.dimensional.com.br/acessorio-porta-equipamento-3-blocos-branco-canaleta-dt6444410-dutotec/p"/>
    <hyperlink ref="F101" r:id="rId26" display="https://www.lojaeletrica.com.br/porta-equipamento-3-blocos-branco-dt-64444-10-dutotec.html"/>
    <hyperlink ref="G101" r:id="rId27" display="https://www.andra.com.br/porta-equipamento-abs-dt-64444-10-para-3-modulos-branco-112777-dutotec/p"/>
    <hyperlink ref="E120" r:id="rId28" display="https://www.teky.com.br/650a5bad59524cbc725fda04/cabo-cobre-isolado-pvc-70g-500v-8x-100-mm2-controle-blindado-preto-nbr-7289-classe-5-vias-numeradas-com-fita-aluminio+dreno?srsltid=AfmBOopN5wkcwRtWCNWtQB5qi5lUTokxTFHTUS63ffdL52DKmlmx7Wdi1bc"/>
    <hyperlink ref="F120" r:id="rId29" display="https://loja.conduscamp.com.br/produto/cabo-comandocontrole-8x100-mm%c2%b2-blindado-fita-aluminizada-preto/5415792?idSku=5422494"/>
    <hyperlink ref="G120" r:id="rId30" display="https://www.edcabos.com/cabos/cabo-comando/cabo-controle-8x1-00mm-vias-pretas-numeradas--p?srsltid=AfmBOoq-_DnXDL9KJtUzHErCClSgcNUQyTUwn6MqfIfeYYvKW7_UZOrs"/>
    <hyperlink ref="E124" r:id="rId31" display="https://loja.ccabos.com.br/produtos/cabo-comando-e-controle-8x150mm-sem-blindagem-preto/?variant=870686700&amp;pf=mc&amp;gad_source=4&amp;gclid=CjwKCAjwg-24BhB_EiwA1ZOx8raMWoEahE26gHXDxpNum4CTYv2DlgmYer-ilLGfV_so9VKZrXI6HxoC0UsQAvD_BwE"/>
    <hyperlink ref="F124" r:id="rId32" display="https://loja.conduscamp.com.br/produto/cabo-comandocontrole-8x150-mm%c2%b2-sem-blindagem-preto/5415448?idSku=6092257"/>
    <hyperlink ref="G124" r:id="rId33" display="https://www.subgrave.com.br/MLB-3069920031-fio-cabo-pp-cobre-8-vias-8x150mm-5-metros-_JM"/>
    <hyperlink ref="E130" r:id="rId34" display="https://www.fourserv.com.br/produto/switch-industrial-delta-8-portas-10100-base-t-x-1x-gigabit-gerenciavel-mpn-dvs-109w02-1ge/979848?gad_source=1&amp;gclid=CjwKCAjw9eO3BhBNEiwAoc0-jUWfFGf-J-nowdJqVJKbC7Z2DrzNAPPLUnycC46XPJZ-TQbRW4DMcBoCOQMQAvD_BwE"/>
    <hyperlink ref="G130" r:id="rId35" display="https://netcomputadores.com.br/gs/igs10020pt--planet--switch-industrial-8/91228?srsltid=AfmBOoo26qAw9t5KBoF2tK1dtO3f2zcLxbGB0sCk71jZijfPoYF2bPZLNRQ"/>
    <hyperlink ref="E134" r:id="rId36" display="https://loja.conduscamp.com.br/produto/cabo-instrumentacaosinal-1x2x100-mm-blindagem-total-dreno-preto/5415739"/>
    <hyperlink ref="E144" r:id="rId37" display="https://www.rsa-sensors.com.br/produtos/ev400su-317grx24-ev-belimo-energy-valve-de-4-de-180-a-317-gpm-24vac1/"/>
    <hyperlink ref="E164" r:id="rId38" display="https://www.fertronshop.com.br/medidores/medidor-de-vazao-vortex-vfm-tamanho-6?parceiro=4194&amp;gad_source=4&amp;gclid=Cj0KCQiA57G5BhDUARIsACgCYnx0iTKLKIngWz6-T250tFyGYXQ9c7kp1O8axiZaWnbNCHHiRlkpYH8aAqwfEALw_wcB"/>
    <hyperlink ref="E169" r:id="rId39" display="https://loja.lefoo.com.br/transmissores-de-pressao/diferencial-de-ar/transmissor-de-pressao-diferencial"/>
    <hyperlink ref="E189" r:id="rId40" display="https://www.addtherm.com.br/loja/produto/termostato-capilar-de-seguranca/"/>
    <hyperlink ref="E194" r:id="rId41" display="https://www.rsa-sensors.com.br/produtos/530-dwyer-chave-de-fluxo-para-ar/?pf=gs&amp;variant=371594612&amp;gad_source=1&amp;gclid=Cj0KCQjwq_G1BhCSARIsACc7NxpGciBCMYbrqxJs257Tf_a_F2HRlsbhsF0TuUhuvtM4Oiy5GrDm4iUaAi9-EALw_wcB"/>
    <hyperlink ref="E199" r:id="rId42" display="https://www.lojamaisindustrial.com.br/tm241ce24r-controlador-logico-programavel-m241-24io/p/43161?c=2&amp;t=1&amp;gad_source=4&amp;gclid=Cj0KCQjwzva1BhD3ARIsADQuPnX_xP6h5UByKserxd6RetaHpq8WjUz8kPWPfOJKPuJbVUBIKZHTtV4aAv-vEALw_wcB"/>
    <hyperlink ref="E204" r:id="rId43" display="https://www.lojamaisindustrial.com.br/tm3aq4-modulo-de-saidas-analogicas-4-saidas-12bits-24-vdc-tensao-e-corrente-terminal-parafuso/p/52112"/>
    <hyperlink ref="E209" r:id="rId44" display="https://www.lojamaisindustrial.com.br/bmxdra1605-modulo-x80-16-saidas-digitais-a-rele-2a-conect-borne/p/44625"/>
    <hyperlink ref="E214" r:id="rId45" display="https://www.lojamaisindustrial.com.br/tm3ai2h-modulo-de-expansao-tm3-2-entradas-analogicas-alta-resistencia/p/52086"/>
    <hyperlink ref="E219" r:id="rId46" display="https://www.lojamaisindustrial.com.br/tm251mese-controller-m251-ethernet-proc-unit/p/52253"/>
    <hyperlink ref="E224" r:id="rId47" display="https://www.lojamaisindustrial.com.br/bmxnom0200h-modulo-x80-comunicacao-com-2-portas-rs/p/59410"/>
    <hyperlink ref="E229" r:id="rId48" display="https://www.lojamaisindustrial.com.br/bmexbp1200-rack-para-controlador-m580-12-slots/p/52648"/>
    <hyperlink ref="F234" r:id="rId49" display="https://www.eletrotrafo.com.br/painel-comando-1000-x-600-x-250-ce-10060-25-c-flange-901129-cemar-05050115/p?idsku=6786&amp;gad_source=1&amp;gclid=Cj0KCQjw99e4BhDiARIsAISE7P-Y27i7jZO2ISm8RthfKLYfKROPp-OiauSb3tFg6jonspOVVTFXvGwaAhJyEALw_wcB"/>
    <hyperlink ref="G234" r:id="rId50" display="https://express.nortel.com.br/legrand%E2%88%92ce1208025/p"/>
    <hyperlink ref="E313" r:id="rId51" display="ver proposta anexo"/>
    <hyperlink ref="E318" r:id="rId51" display="ver proposta anexo"/>
    <hyperlink ref="E390" r:id="rId52" display="https://www.dimensional.com.br/cabo-mt-8-7-15kv-105g-epr-120mm2-pt-eprotenaxcompact105-part-number-26564254-fab-prysmian-ref-fab-eprotenaxcompact105/p"/>
    <hyperlink ref="E394" r:id="rId53" display="https://loja.intelbras.com.br/interruptor-sensor-de-presenca-para-ilumunacao-intelbras-esp-360-a-/p"/>
    <hyperlink ref="F394" r:id="rId54" display="https://www.leroymerlin.com.br/interruptor-de-sensor-de-presenca-para-iluminacao-bivolt-branco-esp-360--intelbras_92245132"/>
    <hyperlink ref="G394" r:id="rId55" display="https://www.upperseg.com.br/material-eletrico/sensor-de-iluminacao/sensor-de-presenca-para-iluminacao-esp-360-plus-intelbras/"/>
    <hyperlink ref="E398" r:id="rId56" display="https://www.inspirehome.com.br/lampada-led-ar111-gu10-4000k-12w-bivolt-avant-282130574/p?utm_source=google&amp;utm_medium=cpc&amp;utm_campaign=Pmax_Revenda_Importado&amp;gad_source=1&amp;gclid=Cj0KCQjw7Py4BhCbARIsAMMx-_KR6ve8RAh9EGbraQBO4zEzGQVNTwXyshXr0V1TTTW2NOXRpW0_7wcaAkXkEALw_wcB"/>
    <hyperlink ref="F398" r:id="rId57" display="https://www.lojamaeto.com/lampada-ar111-led-12w?gad_source=1&amp;gclid=Cj0KCQjw7Py4BhCbARIsAMMx-_IDegC_PqzhbLz_qwA6WnVWqVnE9dBGhhD-eanqIw64wXuPqew8xNwaAuTxEALw_wcB"/>
    <hyperlink ref="G398" r:id="rId58" display="https://www.eletrodecora.com.br/lampada-led-a111-12w-2700k?utm_source=google&amp;utm_medium=Shopping&amp;utm_campaign=lampada-led-a111-12w-2700k&amp;inStock&amp;gad_source=1&amp;gclid=Cj0KCQjw7Py4BhCbARIsAMMx-_IN2TB1bF_6JbSTmC5-9ZDuJUkws0-eYqrDBqOvMl3N4nzdfjWNUR4aAobOEALw_wcB"/>
    <hyperlink ref="H398" r:id="rId59" display="https://www.mercadolivre.com.br/lmpada-de-led-ar111-12-gu10-12w-4000k-luz-neutra-avant-cor-da-luz-branco-neutro/p/MLB22756814?pdp_filters=item_id%3AMLB3347438903&amp;from=gshop&amp;matt_tool=69440161&amp;matt_internal_campaign_id=&amp;matt_word=&amp;matt_source=google&amp;matt_campaign_id=22090354307&amp;matt_ad_group_id=173090584516&amp;matt_match_type=&amp;matt_network=g&amp;matt_device=c&amp;matt_creative=727882731552&amp;matt_keyword=&amp;matt_ad_position=&amp;matt_ad_type=pla&amp;matt_merchant_id=735128761&amp;matt_product_id=MLB22756814-product&amp;matt_product_partition_id=2392065248078&amp;matt_target_id=pla-2392065248078&amp;cq_src=google_ads&amp;cq_cmp=22090354307&amp;cq_net=g&amp;cq_plt=gp&amp;cq_med=pla&amp;gad_source=1&amp;gad_campaignid=22090354307&amp;gbraid=0AAAAAD93qcBdhy-5Aho_7ZPRR6wwEsgDL&amp;gclid=Cj0KCQjwuKnGBhD5ARIsAD19RsZ8EGB2kR6o3TPXyS1WSAnacV8BuBGVRTiJzRA0pgxhd0UI_cC27zYaAgw3EALw_wcB"/>
    <hyperlink ref="E402" r:id="rId60" display="https://www.ezcomp.com.br/MLB-2986496209-prensa-cabo-pg16-preto-p-cabos-85-14mm-10-unidades-_JM"/>
    <hyperlink ref="F402" r:id="rId61" display="https://www.eletrorastro.com.br/produto/prensa-cabo-preta-pg16-metaltex-81475?utm_source=google&amp;utm_medium=cpc&amp;gad_source=1&amp;gclid=CjwKCAjwyfe4BhAWEiwAkIL8sIvfy80zVcA1bESqQBj9q5JSlzdJ0qAFvfhwe5jUsbZcj4e0KurtVBoCCEMQAvD_BwE"/>
    <hyperlink ref="G402" r:id="rId62" display="https://www.multcomercial.com.br/prensa-cabo-pg16-preto.html?gad_source=1&amp;gclid=CjwKCAjwyfe4BhAWEiwAkIL8sMdCPwFLQ3-otJVfteAlVt_G8ugn48vLcjBsbIouXIYYA2liGZoiPRoCmMkQAvD_BwE"/>
    <hyperlink ref="E406" r:id="rId63" display="https://www.cseshop.com.br/MLB-4186034184-grampo-terra-duplo-parafuso-tipo-u-38-16-70-58-34-intelli-_JM?gad_source=4&amp;gclid=CjwKCAjwyfe4BhAWEiwAkIL8sCtKa3sTIZTFheYTHLnrBIXUXY0d-XlweFfQhUu0hcILsi3iUa5fARoCIaMQAvD_BwE"/>
    <hyperlink ref="F406" r:id="rId64" display="https://www.multiseg.com.br/1303/grampo-duplo-para-haste-de-aterramento-gtdu?gad_source=4&amp;gclid=CjwKCAjwyfe4BhAWEiwAkIL8sNijtTBHiE8cfrAZvTDkGVMEVDaWnnW8aIDafeUQF2E_ABjZtGJWVBoCZIQQAvD_BwE"/>
    <hyperlink ref="G406" r:id="rId65" display="https://www.dimensional.com.br/grampo-terra-duplo-cobre-25-a-70-mm2-acessorios-aco-zincado-gtdu38ips420-intelli/p?idsku=429642&amp;gad_source=4&amp;gclid=CjwKCAjwyfe4BhAWEiwAkIL8sEsn0zeTrjlDuaUsPo4xAhRULHXi6uk_kPmpwcT6AvXh_0StcnrDzBoCwMQQAvD_BwE"/>
    <hyperlink ref="E410" r:id="rId66" display="https://www.solucaocabos.com.br/cabo-optico-monomodo-12fo-eo-cog/p?idsku=17437&amp;skuId=17434&amp;srsltid=AfmBOopwiWWF6SX3Uf0WwwvNtvFLerDqHz2j8XtXkHMq_p2-NwTZdl1j9io"/>
    <hyperlink ref="F410" r:id="rId67" display="https://www.unicaserv.com.br/cabos/cabos-optico/cabo-de-fibra-optica-12fo-cfot-multimodo-50-ut-cog-furukawa-300-metros?parceiro=3738&amp;gad_source=4&amp;gclid=CjwKCAjwyfe4BhAWEiwAkIL8sARUB8iOglVFPnT1C2NK0smHnNFjCSfeJeLeHEoxIT_8pETBf9CGsBoCOdEQAvD_BwE"/>
    <hyperlink ref="E416" r:id="rId68" display="https://www.upperseg.com.br/cftv/cameras-de-seguranca/cameras-ip/camera-ip-com-fio/camera-ip-intelbras-vip-3830-ia-inteligencia-artificial-8-megapixel-4k-c-microfone/?gad_source=1&amp;gad_campaignid=17071887064&amp;gbraid=0AAAAADtWOg_sSaX7VGa-ojv_jrV-C_Yc2&amp;gclid=CjwKCAjwlaTGBhANEiwAoRgXBRHjWBan-UXbfBg2zL9-a9cTUCDlo3EyyDOyfnmljLK9cpHMzGDnehoCAH4QAvD_BwE"/>
    <hyperlink ref="F416" r:id="rId69" display="https://www.magazineluiza.com.br/camera-vip-3830-ia-ir-30m-lente-3-6mm-resol-4k-8mp-case-metal-intelig-perimetral-det-mov-microfone-intelbras/p/ef41cgd734/cj/caip/?&amp;seller_id=visiotecnologia&amp;utm_source=google&amp;utm_medium=cpc&amp;utm_term=80674&amp;utm_campaign=google_eco_per_ven_pla_ca_sor_3p_ci-cj-csp&amp;utm_content=&amp;partner_id=80674&amp;gclsrc=aw.ds&amp;gad_source=1&amp;gad_campaignid=22825521530&amp;gbraid=0AAAAAD4zZmRhGrIwviz0_Y7n81pmoQBnA&amp;gclid=CjwKCAjwlaTGBhANEiwAoRgXBdnjuz-7rKwgotlAf7wqkDQEtAOdi32yDbgXfAtmvSvfeOsLnWUGjRoCPiIQAvD_BwE"/>
    <hyperlink ref="G416" r:id="rId70" display="https://www.cftvclube.com.br/cameras/cameras-para-uso-externo/camera-com-imagem-de-8-megapixel-4k/camera-bullet-vip-3830-b"/>
    <hyperlink ref="E420" r:id="rId71" display="https://www.tekdistribuidor.com.br/eletroduto-em-aluminio-elecon-3/4o-com-rosca-bsp-schendule-40-sem-costura?parceiro=4158&amp;gad_source=4&amp;gclid=CjwKCAjw9p24BhB_EiwA8ID5Bgi-bcWkmVJMOm8P0X2MjiA3_F6d7x_HRnm1Cvtc4U5j_xWpC4K2qBoCjPAQAvD_BwE"/>
    <hyperlink ref="F420" r:id="rId72" display="https://www.dimensional.com.br/eletroduto-aluminio-com-luva-287mm-34-rosca-npt-3m-eceda2-elecon/p?idsku=476690&amp;gad_source=4&amp;gclid=CjwKCAjw9p24BhB_EiwA8ID5BubC7iBGSK3KgDXME_KpZWFhpjwGE6FTShZdsLeznvseBjRpyrfZhRoC7Q8QAvD_BwE"/>
    <hyperlink ref="G420" r:id="rId73" display="https://express.nortel.com.br/eletroduto-rigido-metalico-aluminio-com-1-luva-2-87mm-3-4-npt-3000mm-schedule-40/p?srsltid=AfmBOoqGa72VM3rJMHhGviGeOAJAK_SpLwf2StPJk-EBicUq7PKnIR4g"/>
    <hyperlink ref="H420" r:id="rId74" display="https://www.plenobras.com.br/6867edf78466665a1942b1c5/eletroduto-leve-aluminio-parede-300mm-34%22x3m-com-rosca-bsp-com-um-luva?srsltid=AfmBOoop5IwdruXtQGWHO_9xgZby1ikHNY0qhHRsVV4M7cPmyhimWkdf"/>
    <hyperlink ref="F432" r:id="rId75" display="https://loja.tecandtec.com.br/produtos/nbg-12lxp-acionador-manual/"/>
    <hyperlink ref="E436" r:id="rId76" display="https://loja.tecandtec.com.br/produtos/p2rl-sirene-audiovisual/"/>
    <hyperlink ref="E440" r:id="rId77" display="https://loja.tecandtec.com.br/produtos/b501-e-b501w-base-para-detectores/"/>
    <hyperlink ref="E444" r:id="rId78" display="https://loja.sinalert.com.br/fsp-851-detector-optico-enderecavel-notifier"/>
    <hyperlink ref="E448" r:id="rId79" display="https://loja.tecandtec.com.br/produtos/fst-951-detectores-termicos/"/>
    <hyperlink ref="F458" r:id="rId80" display="https://loja.tecandtec.com.br/produtos/hpf-ps6-e-hpf-ps10-fonte-de-alimentacao-notifier/"/>
    <hyperlink ref="E462" r:id="rId81" display="https://loja.tecandtec.com.br/produtos/iso-x-modulo-isolador/"/>
    <hyperlink ref="E466" r:id="rId82" display="https://loja.shopfire.com.br/sprinkler-padrao-k80-1-2-crom-68oc-para-cima-upright"/>
    <hyperlink ref="G466" r:id="rId83" display="https://www.lojaagrometal.com.br/produto/sprinkler-vermelho-cromado-68-1-2-r0110-up-right-87095?srsltid=AfmBOooX8LDqPcdmLWpn7tA0g4B0qydfhRpke4QfgP6_HbQed8OqnOAA"/>
    <hyperlink ref="H466" r:id="rId84" display="https://epizeus.com.br/sprinkler-upright-68-1-2-pol-cromado-vermelho-k5-6"/>
    <hyperlink ref="E478" r:id="rId85" display="https://www.hilti.com.br/c/CLS_FIRESTOP_PROTECTION_7131/CLS_FIRESTOP_SEALANTS_SPRAY_7131/r361?CHA_COLOR_PM_REVIEW=Branco&amp;CHA_PACKAGING=Cartucho&amp;itemCode=209625&amp;salespackquantity=1%20un&amp;activeTab=preconfigured-kits-tabs"/>
    <hyperlink ref="G478" r:id="rId86" display="https://loja.tecandtec.com.br/produtos/silicone-resistente-ao-fogo/"/>
    <hyperlink ref="E486" r:id="rId87" display="https://www.rbailuminacao.com.br/search/?q=BLK+500%2FL+SE+-+LUM+BLOCO+AUTONOMO+DE+EMERG.+BLOKITO+6V+4AH+ACL+AUREON"/>
    <hyperlink ref="F486" r:id="rId88" display="https://loja.eletromw.com.br/produto/bloco-baliz-saida-4w-500lm-110-220v-blk-500-lse/?utm_source=Google%20Shopping&amp;utm_campaign=Feed%20Marchant%20-%20EletroMW&amp;utm_medium=cpc&amp;utm_term=16645&amp;gad_source=1&amp;gad_campaignid=22510342443&amp;gbraid=0AAAAA_GwUhV70yqQUYnABzWIhvsdZUY1T&amp;gclid=CjwKCAjwlaTGBhANEiwAoRgXBfv5V65HB7MD1oEOPHiw2BLWtB2rT-5ls94ZsfvmixRaDM9QtQ_HJRoC0RIQAvD_BwE"/>
    <hyperlink ref="E496" r:id="rId89" display="https://www.grupodasbombas.com.br/bomba-de-incendio-schneider-bpi-me-al-2230-3cv-trifasico-220-380v/p"/>
    <hyperlink ref="F496" r:id="rId90" display="https://www.casadathebe.com.br/bomba-de-incendio-thebe-p-11-4-nr-3-0-cv-trifasico-ip21-ir3/p"/>
    <hyperlink ref="G496" r:id="rId91" display="https://www.casadasbombassp.com.br/bomba-de-incendio-schneider-bpi-me-al-2230-3cv-trifasico-220-380v/p"/>
    <hyperlink ref="H496" r:id="rId92" display="https://www.comerciallanel.com.br/bomba-schneider-bpi-me-al-2230-30cv-trifasica-60hz-220380v-0030000000783-p3407?utm_source=google&amp;utm_medium=cpc&amp;utm_campaign=lojavirtual&amp;srsltid=AfmBOorcey5iTNZQOZD8eDr92Nc27azcVId_KFEBHu6t7qAF4YLD7MSHA4E"/>
    <hyperlink ref="E500" r:id="rId93" display="https://www.grupodasbombas.com.br/bomba-centrifuga-de-incendio-schneider-bpi-me-al-2250-v-5cv-220-380-440v-trifasico/p"/>
    <hyperlink ref="G500" r:id="rId94" display="https://www.florenciobombas.com.br/bomba-centrifuga-de-incendio-schneider-bpi-me-al-2250-v-5cv-220-380-440v-trifasico/p"/>
    <hyperlink ref="H500" r:id="rId95" display="https://www.comerciallanel.com.br/bomba-schneider-bpi-me-al-2250v-50cv-trifasica-60hz-220380440v-0030000000785-p3409?srsltid=AfmBOorY2YXKBSOLebrOAcztGjY6UocdH98S25tBL7XpbmOCXyKBor56"/>
    <hyperlink ref="E504" r:id="rId96" display="https://www.lojadomecanico.com.br/produto/154167/33/619/Motobomba-Centrifuga-Monoestagio-20CV-Trifasica-220380V-SSCI-5/153/?utm_source=googleshopping&amp;utm_medium=cpc&amp;utm_campaign=PMAX+ROAS+AGRO+E+JARDIM&amp;gad_source=1&amp;gclid=Cj0KCQjw4Oe4BhCcARIsADQ0csmEAkgUb3Jd1TmINV_xUogPJRhlVnE3cQWtG5YB4_alSte9Hc9hGpwaAnzgEALw_wcB"/>
    <hyperlink ref="F504" r:id="rId97" display="https://loja.ebara.com.br/products/bomba-rl-20br-20-0-cv-trif-ip55-ir3-4v-mt-thebe-rt-200?utm_source=google_pmax&amp;utm_medium=max.performance&amp;utm_campaign=maxperformance.all.products&amp;gad_source=1&amp;gad_campaignid=19808022868&amp;gbraid=0AAAAAoJWAM1ySyWYM6ryvlnj_CKM37lEB&amp;gclid=Cj0KCQjwuKnGBhD5ARIsAD19RsZnez99oiBrQ4zWA1DfB-2UtEbFtu2kquM8bdFq626iznPZ4WGcx2oaAvRgEALw_w"/>
    <hyperlink ref="G504" r:id="rId98" display="https://www.eletrishop.com.br/bombas-d-agua/motobomba-centrifuga-para-combate-a-incendio-ssci5-20cv-220-380v?srsltid=AfmBOop797MmMlr8BdUJeOUz7L24UEpuTotqJz1-R6-wuK3QfdsCKWEF"/>
    <hyperlink ref="H504" r:id="rId99" display="https://www.meritocomercial.com.br/bomba-de-incendio-somar-ssci5-212-polegadas-20-cv-trifasica-220v380v-5001001002849-p1062222?tsid=75&amp;srsltid=AfmBOorWbXe0XtU8VW0GTGkT3Sa0ltXQmX8La4GT0r0Uu3aWmYclIvuoMGM"/>
    <hyperlink ref="I504" r:id="rId100" display="https://palaciodasferramentas.com.br/bomba-de-incendio-20-cv-trifasica-220/380v-ssci5-db11-16002868-somar?srsltid=AfmBOoqnHK_2hL-t-wfmRtk4SIIPugra48O6znVQBOcO8F5BX_SmONzCj-k"/>
    <hyperlink ref="E528" r:id="rId101" display="https://www.riberfluid.com.br/conexoes/bucha-de-reducao-galvanizado-2-x-34?parceiro=3293&amp;gad_source=1&amp;gclid=CjwKCAjw9p24BhB_EiwA8ID5BoS5j1IFdzwDkoshLBJX9oiNOnXzQ0GLWrvH4ubhxQQgJcy3HKgukBoC4aoQAvD_BwE"/>
    <hyperlink ref="F528" r:id="rId102" display="https://www.multiseg.com.br/661/bucha-de-reduo-galvanizada-2-x-3-4?gad_source=1&amp;gclid=CjwKCAjw9p24BhB_EiwA8ID5BqORD_zWhp6n8pnnh3hFtpvhlLNko_47MjRgCZVLHsd4NAa8hiE0NhoC-lkQAvD_BwE"/>
    <hyperlink ref="G528" r:id="rId103" display="https://www.conexopecas.com.br/produtos/ver/1103/bucha-de-reducao-2-x-3-4-bsp-galvanizada"/>
    <hyperlink ref="E532" r:id="rId104" display="https://www.lojaqualitytubos.com.br/niple-duplo-galvanizado-de-1-4-p996266?utm_source=google&amp;utm_medium=upc&amp;utm_campaign=qualitytubos&amp;gad_source=1&amp;gclid=CjwKCAjw9p24BhB_EiwA8ID5BnfluTlqsC1D7PViOy24eocks6HLzpVhOKLuh9149x3rwzsAsOyWDBoCj2kQAvD_BwE"/>
    <hyperlink ref="F532" r:id="rId105" display="https://www.proposto.com.br/51649-niple-duplo-galvanizado-14-bsp-p30895"/>
    <hyperlink ref="G532" r:id="rId106" display="https://www.getelequipamentos.com.br/niple-reto-macho-latao-1-4"/>
    <hyperlink ref="E536" r:id="rId107" display="https://www.lojaqualitytubos.com.br/luva-galvanizada-f-f-1-4-p1000727"/>
    <hyperlink ref="F536" r:id="rId108" display="https://www.riberfluid.com.br/conexoes/luva-galvanizada-14?srsltid=AfmBOopcqr9_wKt_n6WCyfg5ojI29fXm1xQ3zsGK6cUh9FusiWFhDBwt"/>
    <hyperlink ref="E541" r:id="rId51" display="ver proposta anexo"/>
    <hyperlink ref="F541" r:id="rId51" display="ver proposta anexo"/>
    <hyperlink ref="E546" r:id="rId51" display="ver proposta anexo"/>
    <hyperlink ref="F546" r:id="rId51" display="ver proposta anexo"/>
    <hyperlink ref="E755" r:id="rId109" display="https://www.magazineluiza.com.br/placa-la-de-vidro-forrovid-boreal-1250-x-625-x-15-mm-1-unidade-078m2-isover/p/kcdc0c1h7h/cj/lavd/"/>
    <hyperlink ref="F755" r:id="rId110" display="https://www.portaldaacustica.com/produto/placa-la-de-vidro-optima-piso-1200-x-1200-x-15-mm-60kg-m-16-unidades-70244"/>
    <hyperlink ref="G755" r:id="rId111" display="https://www.espacosmart.com.br/optima-piso-60-15-x-1200-x-1200mm/p"/>
    <hyperlink ref="E764" r:id="rId112" display="https://www.segundaviagrafica.com.br/produtos/adesivos-em-vinil-por-metro-quadrado/"/>
    <hyperlink ref="F764" r:id="rId113" display="https://www.loja.exiprint.com.br/adesivo-vinil-transparente-por-m-uv-4-0-corte-reto"/>
    <hyperlink ref="G764" r:id="rId114" display="https://www.graficaidealprint.com.br/produto/adesivo-vinil-branco-vinil-branco-brilho-refilado-reto-4x0-grandes-formatos"/>
    <hyperlink ref="E768" r:id="rId115" display="https://www.escorregaopreco.com.br/ofertas/mercadolivre/1036416"/>
    <hyperlink ref="F768" r:id="rId116" display="https://www.bold.net/chapa-de-pvc-branco-expandido-bold-d0%2C55-1220x2440x4mm/T97000BR015122244040.html?lang=pt_BR&amp;srsltid=AfmBOopOygNHOzZRvrJNkOp4-7mxR8sUtxqeBTNF-vEWusTAKXUtVrmO"/>
    <hyperlink ref="G768" r:id="rId117" display="https://www.plastolandia.com.br/chapa-pvc-rigida-branca-2000-x-1000-x-4-mm"/>
    <hyperlink ref="E772" r:id="rId118" display="https://www.dwga.com.br/comunicacao-visual/pvc/expandido/chapa-pvc-expandido-branco-2mmx1220x2440mm"/>
    <hyperlink ref="F772" r:id="rId119" display="https://www.lojadopoli.com/pvc-expandido/chapa-de-pvc-expandido-branco-espessura-2mm-1220-x-2440mm-placa-de-pvc-expandido"/>
    <hyperlink ref="G772" r:id="rId120" display="https://vinilecia.commercesuite.com.br/chapas/chapa-de-pvc-expandido-2mm"/>
    <hyperlink ref="E776" r:id="rId121" display="https://www.revendareisgrafica.com.br/produto/letra-de-pvc-expandido-20cm-20cm-de-altura-pvc-expandido-sem-acabamento-branco"/>
    <hyperlink ref="F776" r:id="rId122" display="https://www.artemaiz.com/letras-pvc-expandido-letra-caixa-pvc-expandido-comunicacao-visual-letreiros--"/>
    <hyperlink ref="G776" r:id="rId123" display="https://www.margaridashopp.com/letras-em-pvc-2023-11-20-14-02-39"/>
  </hyperlinks>
  <printOptions horizontalCentered="1"/>
  <pageMargins left="1.08680555555556" right="0.511805555555556" top="0.590277777777778" bottom="0.590277777777778" header="0.511811023622047" footer="0.511811023622047"/>
  <pageSetup paperSize="9" scale="67" orientation="landscape" horizontalDpi="300" verticalDpi="300"/>
  <headerFooter/>
  <drawing r:id="rId2"/>
  <legacyDrawing r:id="rId3"/>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AC1000"/>
  <sheetViews>
    <sheetView zoomScale="50" zoomScaleNormal="50" workbookViewId="0">
      <selection activeCell="A1" sqref="A1:I1"/>
    </sheetView>
  </sheetViews>
  <sheetFormatPr defaultColWidth="12.625" defaultRowHeight="14.25"/>
  <cols>
    <col min="1" max="1" width="9" style="1" customWidth="1"/>
    <col min="2" max="2" width="13.1166666666667" style="1" customWidth="1"/>
    <col min="3" max="3" width="41.1166666666667" style="1" customWidth="1"/>
    <col min="4" max="4" width="10" style="1" customWidth="1"/>
    <col min="5" max="9" width="14.75" style="1" customWidth="1"/>
    <col min="10" max="29" width="9" style="1" customWidth="1"/>
  </cols>
  <sheetData>
    <row r="1" ht="127.5" customHeight="1" spans="1:29">
      <c r="A1" s="61"/>
      <c r="B1" s="61"/>
      <c r="C1" s="61"/>
      <c r="D1" s="61"/>
      <c r="E1" s="61"/>
      <c r="F1" s="61"/>
      <c r="G1" s="61"/>
      <c r="H1" s="61"/>
      <c r="I1" s="61"/>
      <c r="J1" s="187"/>
      <c r="K1" s="96"/>
      <c r="L1" s="83"/>
      <c r="M1" s="83"/>
      <c r="N1" s="83"/>
      <c r="O1" s="83"/>
      <c r="P1" s="83"/>
      <c r="Q1" s="83"/>
      <c r="R1" s="83"/>
      <c r="S1" s="83"/>
      <c r="T1" s="83"/>
      <c r="U1" s="83"/>
      <c r="V1" s="83"/>
      <c r="W1" s="83"/>
      <c r="X1" s="83"/>
      <c r="Y1" s="98"/>
      <c r="Z1" s="98"/>
      <c r="AA1" s="98"/>
      <c r="AB1" s="98"/>
      <c r="AC1" s="98"/>
    </row>
    <row r="2" ht="19.5" customHeight="1" spans="1:29">
      <c r="A2" s="62" t="s">
        <v>6568</v>
      </c>
      <c r="B2" s="62"/>
      <c r="C2" s="62"/>
      <c r="D2" s="62"/>
      <c r="E2" s="62"/>
      <c r="F2" s="62"/>
      <c r="G2" s="62"/>
      <c r="H2" s="62"/>
      <c r="I2" s="62"/>
      <c r="J2" s="187"/>
      <c r="K2" s="96"/>
      <c r="L2" s="83"/>
      <c r="M2" s="83"/>
      <c r="N2" s="83"/>
      <c r="O2" s="83"/>
      <c r="P2" s="83"/>
      <c r="Q2" s="83"/>
      <c r="R2" s="83"/>
      <c r="S2" s="83"/>
      <c r="T2" s="83"/>
      <c r="U2" s="83"/>
      <c r="V2" s="83"/>
      <c r="W2" s="83"/>
      <c r="X2" s="83"/>
      <c r="Y2" s="98"/>
      <c r="Z2" s="98"/>
      <c r="AA2" s="98"/>
      <c r="AB2" s="98"/>
      <c r="AC2" s="98"/>
    </row>
    <row r="3" ht="19.5" customHeight="1" spans="1:29">
      <c r="A3" s="63" t="s">
        <v>1</v>
      </c>
      <c r="B3" s="63"/>
      <c r="C3" s="63"/>
      <c r="D3" s="63"/>
      <c r="E3" s="64" t="s">
        <v>2</v>
      </c>
      <c r="F3" s="64"/>
      <c r="G3" s="64"/>
      <c r="H3" s="135" t="s">
        <v>3</v>
      </c>
      <c r="I3" s="135"/>
      <c r="J3" s="187"/>
      <c r="K3" s="96"/>
      <c r="L3" s="84"/>
      <c r="M3" s="84"/>
      <c r="N3" s="84"/>
      <c r="O3" s="84"/>
      <c r="P3" s="84"/>
      <c r="Q3" s="84"/>
      <c r="R3" s="84"/>
      <c r="S3" s="84"/>
      <c r="T3" s="84"/>
      <c r="U3" s="84"/>
      <c r="V3" s="93"/>
      <c r="W3" s="83"/>
      <c r="X3" s="83"/>
      <c r="Y3" s="98"/>
      <c r="Z3" s="98"/>
      <c r="AA3" s="98"/>
      <c r="AB3" s="98"/>
      <c r="AC3" s="98"/>
    </row>
    <row r="4" ht="19.5" customHeight="1" spans="1:29">
      <c r="A4" s="66" t="s">
        <v>4</v>
      </c>
      <c r="B4" s="66"/>
      <c r="C4" s="66"/>
      <c r="D4" s="66"/>
      <c r="E4" s="67" t="s">
        <v>6569</v>
      </c>
      <c r="F4" s="67"/>
      <c r="G4" s="67"/>
      <c r="H4" s="136" t="s">
        <v>6</v>
      </c>
      <c r="I4" s="136"/>
      <c r="J4" s="187"/>
      <c r="K4" s="96"/>
      <c r="L4" s="86"/>
      <c r="M4" s="86"/>
      <c r="N4" s="86"/>
      <c r="O4" s="86"/>
      <c r="P4" s="86"/>
      <c r="Q4" s="86"/>
      <c r="R4" s="86"/>
      <c r="S4" s="86"/>
      <c r="T4" s="86"/>
      <c r="U4" s="86"/>
      <c r="V4" s="94"/>
      <c r="W4" s="83"/>
      <c r="X4" s="83"/>
      <c r="Y4" s="98"/>
      <c r="Z4" s="98"/>
      <c r="AA4" s="98"/>
      <c r="AB4" s="98"/>
      <c r="AC4" s="98"/>
    </row>
    <row r="5" ht="19.5" customHeight="1" spans="1:29">
      <c r="A5" s="66" t="s">
        <v>7</v>
      </c>
      <c r="B5" s="66"/>
      <c r="C5" s="66"/>
      <c r="D5" s="66"/>
      <c r="E5" s="62" t="s">
        <v>8</v>
      </c>
      <c r="F5" s="62" t="s">
        <v>9</v>
      </c>
      <c r="G5" s="62" t="s">
        <v>10</v>
      </c>
      <c r="H5" s="62" t="s">
        <v>11</v>
      </c>
      <c r="I5" s="62" t="s">
        <v>12</v>
      </c>
      <c r="J5" s="187"/>
      <c r="K5" s="96"/>
      <c r="L5" s="88"/>
      <c r="M5" s="88"/>
      <c r="N5" s="88"/>
      <c r="O5" s="88"/>
      <c r="P5" s="88"/>
      <c r="Q5" s="84"/>
      <c r="R5" s="84"/>
      <c r="S5" s="84"/>
      <c r="T5" s="84"/>
      <c r="U5" s="84"/>
      <c r="V5" s="84"/>
      <c r="W5" s="83"/>
      <c r="X5" s="83"/>
      <c r="Y5" s="98"/>
      <c r="Z5" s="98"/>
      <c r="AA5" s="98"/>
      <c r="AB5" s="98"/>
      <c r="AC5" s="98"/>
    </row>
    <row r="6" ht="45" customHeight="1" spans="1:29">
      <c r="A6" s="70" t="s">
        <v>6570</v>
      </c>
      <c r="B6" s="70"/>
      <c r="C6" s="70"/>
      <c r="D6" s="70"/>
      <c r="E6" s="138">
        <f>BDI!$D$66</f>
        <v>0.2549</v>
      </c>
      <c r="F6" s="117">
        <f>BDI_DIF.!D67</f>
        <v>0.1612</v>
      </c>
      <c r="G6" s="139"/>
      <c r="H6" s="73">
        <f>'Orçamento Sintético'!H6</f>
        <v>45931</v>
      </c>
      <c r="I6" s="252" t="str">
        <f>'Orçamento Sintético'!I6</f>
        <v>R21</v>
      </c>
      <c r="J6" s="187"/>
      <c r="K6" s="96"/>
      <c r="L6" s="88"/>
      <c r="M6" s="88"/>
      <c r="N6" s="88"/>
      <c r="O6" s="88"/>
      <c r="P6" s="88"/>
      <c r="Q6" s="95"/>
      <c r="R6" s="95"/>
      <c r="S6" s="96"/>
      <c r="T6" s="96"/>
      <c r="U6" s="97"/>
      <c r="V6" s="95"/>
      <c r="W6" s="83"/>
      <c r="X6" s="83"/>
      <c r="Y6" s="98"/>
      <c r="Z6" s="98"/>
      <c r="AA6" s="98"/>
      <c r="AB6" s="98"/>
      <c r="AC6" s="98"/>
    </row>
    <row r="7" ht="12.75" customHeight="1" spans="1:29">
      <c r="A7" s="198"/>
      <c r="B7" s="199"/>
      <c r="C7" s="200"/>
      <c r="D7" s="200"/>
      <c r="E7" s="199"/>
      <c r="F7" s="199"/>
      <c r="G7" s="199"/>
      <c r="H7" s="199"/>
      <c r="I7" s="253"/>
      <c r="J7" s="254"/>
      <c r="K7" s="254"/>
      <c r="L7" s="254"/>
      <c r="M7" s="254"/>
      <c r="N7" s="254"/>
      <c r="O7" s="254"/>
      <c r="P7" s="254"/>
      <c r="Q7" s="254"/>
      <c r="R7" s="254"/>
      <c r="S7" s="254"/>
      <c r="T7" s="254"/>
      <c r="U7" s="254"/>
      <c r="V7" s="254"/>
      <c r="W7" s="254"/>
      <c r="X7" s="254"/>
      <c r="Y7" s="254"/>
      <c r="Z7" s="254"/>
      <c r="AA7" s="254"/>
      <c r="AB7" s="254"/>
      <c r="AC7" s="254"/>
    </row>
    <row r="8" ht="12.75" customHeight="1" spans="1:29">
      <c r="A8" s="201"/>
      <c r="B8" s="202"/>
      <c r="C8" s="203"/>
      <c r="D8" s="203"/>
      <c r="E8" s="202"/>
      <c r="F8" s="202"/>
      <c r="G8" s="202"/>
      <c r="H8" s="202"/>
      <c r="I8" s="255"/>
      <c r="J8" s="254"/>
      <c r="K8" s="254"/>
      <c r="L8" s="254"/>
      <c r="M8" s="254"/>
      <c r="N8" s="254"/>
      <c r="O8" s="254"/>
      <c r="P8" s="254"/>
      <c r="Q8" s="254"/>
      <c r="R8" s="254"/>
      <c r="S8" s="254"/>
      <c r="T8" s="254"/>
      <c r="U8" s="254"/>
      <c r="V8" s="254"/>
      <c r="W8" s="254"/>
      <c r="X8" s="254"/>
      <c r="Y8" s="254"/>
      <c r="Z8" s="254"/>
      <c r="AA8" s="254"/>
      <c r="AB8" s="254"/>
      <c r="AC8" s="254"/>
    </row>
    <row r="9" ht="12.75" customHeight="1" spans="1:29">
      <c r="A9" s="201"/>
      <c r="B9" s="202"/>
      <c r="C9" s="203"/>
      <c r="D9" s="203"/>
      <c r="E9" s="202"/>
      <c r="F9" s="202"/>
      <c r="G9" s="202"/>
      <c r="H9" s="202"/>
      <c r="I9" s="255"/>
      <c r="J9" s="254"/>
      <c r="K9" s="254"/>
      <c r="L9" s="254"/>
      <c r="M9" s="254"/>
      <c r="N9" s="254"/>
      <c r="O9" s="254"/>
      <c r="P9" s="254"/>
      <c r="Q9" s="254"/>
      <c r="R9" s="254"/>
      <c r="S9" s="254"/>
      <c r="T9" s="254"/>
      <c r="U9" s="254"/>
      <c r="V9" s="254"/>
      <c r="W9" s="254"/>
      <c r="X9" s="254"/>
      <c r="Y9" s="254"/>
      <c r="Z9" s="254"/>
      <c r="AA9" s="254"/>
      <c r="AB9" s="254"/>
      <c r="AC9" s="254"/>
    </row>
    <row r="10" ht="12.75" customHeight="1" spans="1:29">
      <c r="A10" s="201"/>
      <c r="B10" s="202"/>
      <c r="C10" s="203"/>
      <c r="D10" s="203"/>
      <c r="E10" s="202"/>
      <c r="F10" s="202"/>
      <c r="G10" s="202"/>
      <c r="H10" s="202"/>
      <c r="I10" s="255"/>
      <c r="J10" s="254"/>
      <c r="K10" s="254"/>
      <c r="L10" s="254"/>
      <c r="M10" s="254"/>
      <c r="N10" s="254"/>
      <c r="O10" s="254"/>
      <c r="P10" s="254"/>
      <c r="Q10" s="254"/>
      <c r="R10" s="254"/>
      <c r="S10" s="254"/>
      <c r="T10" s="254"/>
      <c r="U10" s="254"/>
      <c r="V10" s="254"/>
      <c r="W10" s="254"/>
      <c r="X10" s="254"/>
      <c r="Y10" s="254"/>
      <c r="Z10" s="254"/>
      <c r="AA10" s="254"/>
      <c r="AB10" s="254"/>
      <c r="AC10" s="254"/>
    </row>
    <row r="11" ht="12.75" customHeight="1" spans="1:29">
      <c r="A11" s="201"/>
      <c r="B11" s="202"/>
      <c r="C11" s="203"/>
      <c r="D11" s="203"/>
      <c r="E11" s="202"/>
      <c r="F11" s="202"/>
      <c r="G11" s="202"/>
      <c r="H11" s="202"/>
      <c r="I11" s="255"/>
      <c r="J11" s="254"/>
      <c r="K11" s="254"/>
      <c r="L11" s="254"/>
      <c r="M11" s="254"/>
      <c r="N11" s="254"/>
      <c r="O11" s="254"/>
      <c r="P11" s="254"/>
      <c r="Q11" s="254"/>
      <c r="R11" s="254"/>
      <c r="S11" s="254"/>
      <c r="T11" s="254"/>
      <c r="U11" s="254"/>
      <c r="V11" s="254"/>
      <c r="W11" s="254"/>
      <c r="X11" s="254"/>
      <c r="Y11" s="254"/>
      <c r="Z11" s="254"/>
      <c r="AA11" s="254"/>
      <c r="AB11" s="254"/>
      <c r="AC11" s="254"/>
    </row>
    <row r="12" ht="12.75" customHeight="1" spans="1:29">
      <c r="A12" s="201"/>
      <c r="B12" s="202"/>
      <c r="C12" s="203"/>
      <c r="D12" s="203"/>
      <c r="E12" s="202"/>
      <c r="F12" s="202"/>
      <c r="G12" s="202"/>
      <c r="H12" s="202"/>
      <c r="I12" s="255"/>
      <c r="J12" s="254"/>
      <c r="K12" s="254"/>
      <c r="L12" s="254"/>
      <c r="M12" s="254"/>
      <c r="N12" s="254"/>
      <c r="O12" s="254"/>
      <c r="P12" s="254"/>
      <c r="Q12" s="254"/>
      <c r="R12" s="254"/>
      <c r="S12" s="254"/>
      <c r="T12" s="254"/>
      <c r="U12" s="254"/>
      <c r="V12" s="254"/>
      <c r="W12" s="254"/>
      <c r="X12" s="254"/>
      <c r="Y12" s="254"/>
      <c r="Z12" s="254"/>
      <c r="AA12" s="254"/>
      <c r="AB12" s="254"/>
      <c r="AC12" s="254"/>
    </row>
    <row r="13" ht="12.75" customHeight="1" spans="1:29">
      <c r="A13" s="201"/>
      <c r="B13" s="202"/>
      <c r="C13" s="203"/>
      <c r="D13" s="203"/>
      <c r="E13" s="202"/>
      <c r="F13" s="202"/>
      <c r="G13" s="202"/>
      <c r="H13" s="202"/>
      <c r="I13" s="255"/>
      <c r="J13" s="254"/>
      <c r="K13" s="254"/>
      <c r="L13" s="254"/>
      <c r="M13" s="254"/>
      <c r="N13" s="254"/>
      <c r="O13" s="254"/>
      <c r="P13" s="254"/>
      <c r="Q13" s="254"/>
      <c r="R13" s="254"/>
      <c r="S13" s="254"/>
      <c r="T13" s="254"/>
      <c r="U13" s="254"/>
      <c r="V13" s="254"/>
      <c r="W13" s="254"/>
      <c r="X13" s="254"/>
      <c r="Y13" s="254"/>
      <c r="Z13" s="254"/>
      <c r="AA13" s="254"/>
      <c r="AB13" s="254"/>
      <c r="AC13" s="254"/>
    </row>
    <row r="14" ht="12.75" customHeight="1" spans="1:29">
      <c r="A14" s="201"/>
      <c r="B14" s="202"/>
      <c r="C14" s="203"/>
      <c r="D14" s="203"/>
      <c r="E14" s="202"/>
      <c r="F14" s="202"/>
      <c r="G14" s="202"/>
      <c r="H14" s="202"/>
      <c r="I14" s="255"/>
      <c r="J14" s="254"/>
      <c r="K14" s="254"/>
      <c r="L14" s="254"/>
      <c r="M14" s="254"/>
      <c r="N14" s="254"/>
      <c r="O14" s="254"/>
      <c r="P14" s="254"/>
      <c r="Q14" s="254"/>
      <c r="R14" s="254"/>
      <c r="S14" s="254"/>
      <c r="T14" s="254"/>
      <c r="U14" s="254"/>
      <c r="V14" s="254"/>
      <c r="W14" s="254"/>
      <c r="X14" s="254"/>
      <c r="Y14" s="254"/>
      <c r="Z14" s="254"/>
      <c r="AA14" s="254"/>
      <c r="AB14" s="254"/>
      <c r="AC14" s="254"/>
    </row>
    <row r="15" ht="12.75" customHeight="1" spans="1:29">
      <c r="A15" s="201"/>
      <c r="B15" s="202"/>
      <c r="C15" s="203"/>
      <c r="D15" s="203"/>
      <c r="E15" s="202"/>
      <c r="F15" s="202"/>
      <c r="G15" s="202"/>
      <c r="H15" s="202"/>
      <c r="I15" s="255"/>
      <c r="J15" s="254"/>
      <c r="K15" s="254"/>
      <c r="L15" s="254"/>
      <c r="M15" s="254"/>
      <c r="N15" s="254"/>
      <c r="O15" s="254"/>
      <c r="P15" s="254"/>
      <c r="Q15" s="254"/>
      <c r="R15" s="254"/>
      <c r="S15" s="254"/>
      <c r="T15" s="254"/>
      <c r="U15" s="254"/>
      <c r="V15" s="254"/>
      <c r="W15" s="254"/>
      <c r="X15" s="254"/>
      <c r="Y15" s="254"/>
      <c r="Z15" s="254"/>
      <c r="AA15" s="254"/>
      <c r="AB15" s="254"/>
      <c r="AC15" s="254"/>
    </row>
    <row r="16" ht="12.75" customHeight="1" spans="1:29">
      <c r="A16" s="201"/>
      <c r="B16" s="202"/>
      <c r="C16" s="203"/>
      <c r="D16" s="203"/>
      <c r="E16" s="202"/>
      <c r="F16" s="202"/>
      <c r="G16" s="202"/>
      <c r="H16" s="202"/>
      <c r="I16" s="255"/>
      <c r="J16" s="254"/>
      <c r="K16" s="254"/>
      <c r="L16" s="254"/>
      <c r="M16" s="254"/>
      <c r="N16" s="254"/>
      <c r="O16" s="254"/>
      <c r="P16" s="254"/>
      <c r="Q16" s="254"/>
      <c r="R16" s="254"/>
      <c r="S16" s="254"/>
      <c r="T16" s="254"/>
      <c r="U16" s="254"/>
      <c r="V16" s="254"/>
      <c r="W16" s="254"/>
      <c r="X16" s="254"/>
      <c r="Y16" s="254"/>
      <c r="Z16" s="254"/>
      <c r="AA16" s="254"/>
      <c r="AB16" s="254"/>
      <c r="AC16" s="254"/>
    </row>
    <row r="17" ht="12.75" customHeight="1" spans="1:29">
      <c r="A17" s="201"/>
      <c r="B17" s="202"/>
      <c r="C17" s="203"/>
      <c r="D17" s="203"/>
      <c r="E17" s="202"/>
      <c r="F17" s="202"/>
      <c r="G17" s="202"/>
      <c r="H17" s="202"/>
      <c r="I17" s="255"/>
      <c r="J17" s="254"/>
      <c r="K17" s="254"/>
      <c r="L17" s="254"/>
      <c r="M17" s="254"/>
      <c r="N17" s="254"/>
      <c r="O17" s="254"/>
      <c r="P17" s="254"/>
      <c r="Q17" s="254"/>
      <c r="R17" s="254"/>
      <c r="S17" s="254"/>
      <c r="T17" s="254"/>
      <c r="U17" s="254"/>
      <c r="V17" s="254"/>
      <c r="W17" s="254"/>
      <c r="X17" s="254"/>
      <c r="Y17" s="254"/>
      <c r="Z17" s="254"/>
      <c r="AA17" s="254"/>
      <c r="AB17" s="254"/>
      <c r="AC17" s="254"/>
    </row>
    <row r="18" ht="12.75" customHeight="1" spans="1:29">
      <c r="A18" s="201"/>
      <c r="B18" s="202"/>
      <c r="C18" s="203"/>
      <c r="D18" s="203"/>
      <c r="E18" s="202"/>
      <c r="F18" s="202"/>
      <c r="G18" s="202"/>
      <c r="H18" s="202"/>
      <c r="I18" s="255"/>
      <c r="J18" s="254"/>
      <c r="K18" s="254"/>
      <c r="L18" s="254"/>
      <c r="M18" s="254"/>
      <c r="N18" s="254"/>
      <c r="O18" s="254"/>
      <c r="P18" s="254"/>
      <c r="Q18" s="254"/>
      <c r="R18" s="254"/>
      <c r="S18" s="254"/>
      <c r="T18" s="254"/>
      <c r="U18" s="254"/>
      <c r="V18" s="254"/>
      <c r="W18" s="254"/>
      <c r="X18" s="254"/>
      <c r="Y18" s="254"/>
      <c r="Z18" s="254"/>
      <c r="AA18" s="254"/>
      <c r="AB18" s="254"/>
      <c r="AC18" s="254"/>
    </row>
    <row r="19" ht="12.75" customHeight="1" spans="1:29">
      <c r="A19" s="201"/>
      <c r="B19" s="202"/>
      <c r="C19" s="203"/>
      <c r="D19" s="203"/>
      <c r="E19" s="202"/>
      <c r="F19" s="202"/>
      <c r="G19" s="202"/>
      <c r="H19" s="202"/>
      <c r="I19" s="255"/>
      <c r="J19" s="254"/>
      <c r="K19" s="254"/>
      <c r="L19" s="254"/>
      <c r="M19" s="254"/>
      <c r="N19" s="254"/>
      <c r="O19" s="254"/>
      <c r="P19" s="254"/>
      <c r="Q19" s="254"/>
      <c r="R19" s="254"/>
      <c r="S19" s="254"/>
      <c r="T19" s="254"/>
      <c r="U19" s="254"/>
      <c r="V19" s="254"/>
      <c r="W19" s="254"/>
      <c r="X19" s="254"/>
      <c r="Y19" s="254"/>
      <c r="Z19" s="254"/>
      <c r="AA19" s="254"/>
      <c r="AB19" s="254"/>
      <c r="AC19" s="254"/>
    </row>
    <row r="20" ht="12.75" customHeight="1" spans="1:29">
      <c r="A20" s="201"/>
      <c r="B20" s="202"/>
      <c r="C20" s="203"/>
      <c r="D20" s="203"/>
      <c r="E20" s="202"/>
      <c r="F20" s="202"/>
      <c r="G20" s="202"/>
      <c r="H20" s="202"/>
      <c r="I20" s="255"/>
      <c r="J20" s="254"/>
      <c r="K20" s="254"/>
      <c r="L20" s="254"/>
      <c r="M20" s="254"/>
      <c r="N20" s="254"/>
      <c r="O20" s="254"/>
      <c r="P20" s="254"/>
      <c r="Q20" s="254"/>
      <c r="R20" s="254"/>
      <c r="S20" s="254"/>
      <c r="T20" s="254"/>
      <c r="U20" s="254"/>
      <c r="V20" s="254"/>
      <c r="W20" s="254"/>
      <c r="X20" s="254"/>
      <c r="Y20" s="254"/>
      <c r="Z20" s="254"/>
      <c r="AA20" s="254"/>
      <c r="AB20" s="254"/>
      <c r="AC20" s="254"/>
    </row>
    <row r="21" ht="12.75" customHeight="1" spans="1:29">
      <c r="A21" s="201"/>
      <c r="B21" s="202"/>
      <c r="C21" s="203"/>
      <c r="D21" s="203"/>
      <c r="E21" s="202"/>
      <c r="F21" s="202"/>
      <c r="G21" s="202"/>
      <c r="H21" s="202"/>
      <c r="I21" s="255"/>
      <c r="J21" s="254"/>
      <c r="K21" s="254"/>
      <c r="L21" s="254"/>
      <c r="M21" s="254"/>
      <c r="N21" s="254"/>
      <c r="O21" s="254"/>
      <c r="P21" s="254"/>
      <c r="Q21" s="254"/>
      <c r="R21" s="254"/>
      <c r="S21" s="254"/>
      <c r="T21" s="254"/>
      <c r="U21" s="254"/>
      <c r="V21" s="254"/>
      <c r="W21" s="254"/>
      <c r="X21" s="254"/>
      <c r="Y21" s="254"/>
      <c r="Z21" s="254"/>
      <c r="AA21" s="254"/>
      <c r="AB21" s="254"/>
      <c r="AC21" s="254"/>
    </row>
    <row r="22" ht="12.75" customHeight="1" spans="1:29">
      <c r="A22" s="201"/>
      <c r="B22" s="202"/>
      <c r="C22" s="203"/>
      <c r="D22" s="203"/>
      <c r="E22" s="202"/>
      <c r="F22" s="202"/>
      <c r="G22" s="202"/>
      <c r="H22" s="202"/>
      <c r="I22" s="255"/>
      <c r="J22" s="254"/>
      <c r="K22" s="254"/>
      <c r="L22" s="254"/>
      <c r="M22" s="254"/>
      <c r="N22" s="254"/>
      <c r="O22" s="254"/>
      <c r="P22" s="254"/>
      <c r="Q22" s="254"/>
      <c r="R22" s="254"/>
      <c r="S22" s="254"/>
      <c r="T22" s="254"/>
      <c r="U22" s="254"/>
      <c r="V22" s="254"/>
      <c r="W22" s="254"/>
      <c r="X22" s="254"/>
      <c r="Y22" s="254"/>
      <c r="Z22" s="254"/>
      <c r="AA22" s="254"/>
      <c r="AB22" s="254"/>
      <c r="AC22" s="254"/>
    </row>
    <row r="23" ht="12.75" customHeight="1" spans="1:29">
      <c r="A23" s="201"/>
      <c r="B23" s="202"/>
      <c r="C23" s="203"/>
      <c r="D23" s="203"/>
      <c r="E23" s="202"/>
      <c r="F23" s="202"/>
      <c r="G23" s="202"/>
      <c r="H23" s="202"/>
      <c r="I23" s="255"/>
      <c r="J23" s="254"/>
      <c r="K23" s="254"/>
      <c r="L23" s="254"/>
      <c r="M23" s="254"/>
      <c r="N23" s="254"/>
      <c r="O23" s="254"/>
      <c r="P23" s="254"/>
      <c r="Q23" s="254"/>
      <c r="R23" s="254"/>
      <c r="S23" s="254"/>
      <c r="T23" s="254"/>
      <c r="U23" s="254"/>
      <c r="V23" s="254"/>
      <c r="W23" s="254"/>
      <c r="X23" s="254"/>
      <c r="Y23" s="254"/>
      <c r="Z23" s="254"/>
      <c r="AA23" s="254"/>
      <c r="AB23" s="254"/>
      <c r="AC23" s="254"/>
    </row>
    <row r="24" ht="12.75" customHeight="1" spans="1:29">
      <c r="A24" s="201"/>
      <c r="B24" s="202"/>
      <c r="C24" s="203"/>
      <c r="D24" s="203"/>
      <c r="E24" s="202"/>
      <c r="F24" s="202"/>
      <c r="G24" s="202"/>
      <c r="H24" s="202"/>
      <c r="I24" s="255"/>
      <c r="J24" s="254"/>
      <c r="K24" s="254"/>
      <c r="L24" s="254"/>
      <c r="M24" s="254"/>
      <c r="N24" s="254"/>
      <c r="O24" s="254"/>
      <c r="P24" s="254"/>
      <c r="Q24" s="254"/>
      <c r="R24" s="254"/>
      <c r="S24" s="254"/>
      <c r="T24" s="254"/>
      <c r="U24" s="254"/>
      <c r="V24" s="254"/>
      <c r="W24" s="254"/>
      <c r="X24" s="254"/>
      <c r="Y24" s="254"/>
      <c r="Z24" s="254"/>
      <c r="AA24" s="254"/>
      <c r="AB24" s="254"/>
      <c r="AC24" s="254"/>
    </row>
    <row r="25" ht="12.75" customHeight="1" spans="1:29">
      <c r="A25" s="201"/>
      <c r="B25" s="202"/>
      <c r="C25" s="203"/>
      <c r="D25" s="203"/>
      <c r="E25" s="202"/>
      <c r="F25" s="202"/>
      <c r="G25" s="202"/>
      <c r="H25" s="202"/>
      <c r="I25" s="255"/>
      <c r="J25" s="254"/>
      <c r="K25" s="254"/>
      <c r="L25" s="254"/>
      <c r="M25" s="254"/>
      <c r="N25" s="254"/>
      <c r="O25" s="254"/>
      <c r="P25" s="254"/>
      <c r="Q25" s="254"/>
      <c r="R25" s="254"/>
      <c r="S25" s="254"/>
      <c r="T25" s="254"/>
      <c r="U25" s="254"/>
      <c r="V25" s="254"/>
      <c r="W25" s="254"/>
      <c r="X25" s="254"/>
      <c r="Y25" s="254"/>
      <c r="Z25" s="254"/>
      <c r="AA25" s="254"/>
      <c r="AB25" s="254"/>
      <c r="AC25" s="254"/>
    </row>
    <row r="26" ht="12.75" customHeight="1" spans="1:29">
      <c r="A26" s="201"/>
      <c r="B26" s="202"/>
      <c r="C26" s="203"/>
      <c r="D26" s="203"/>
      <c r="E26" s="202"/>
      <c r="F26" s="202"/>
      <c r="G26" s="202"/>
      <c r="H26" s="202"/>
      <c r="I26" s="255"/>
      <c r="J26" s="254"/>
      <c r="K26" s="254"/>
      <c r="L26" s="254"/>
      <c r="M26" s="254"/>
      <c r="N26" s="254"/>
      <c r="O26" s="254"/>
      <c r="P26" s="254"/>
      <c r="Q26" s="254"/>
      <c r="R26" s="254"/>
      <c r="S26" s="254"/>
      <c r="T26" s="254"/>
      <c r="U26" s="254"/>
      <c r="V26" s="254"/>
      <c r="W26" s="254"/>
      <c r="X26" s="254"/>
      <c r="Y26" s="254"/>
      <c r="Z26" s="254"/>
      <c r="AA26" s="254"/>
      <c r="AB26" s="254"/>
      <c r="AC26" s="254"/>
    </row>
    <row r="27" ht="12.75" customHeight="1" spans="1:29">
      <c r="A27" s="201"/>
      <c r="B27" s="202"/>
      <c r="C27" s="203"/>
      <c r="D27" s="203"/>
      <c r="E27" s="202"/>
      <c r="F27" s="202"/>
      <c r="G27" s="202"/>
      <c r="H27" s="202"/>
      <c r="I27" s="255"/>
      <c r="J27" s="254"/>
      <c r="K27" s="254"/>
      <c r="L27" s="254"/>
      <c r="M27" s="254"/>
      <c r="N27" s="254"/>
      <c r="O27" s="254"/>
      <c r="P27" s="254"/>
      <c r="Q27" s="254"/>
      <c r="R27" s="254"/>
      <c r="S27" s="254"/>
      <c r="T27" s="254"/>
      <c r="U27" s="254"/>
      <c r="V27" s="254"/>
      <c r="W27" s="254"/>
      <c r="X27" s="254"/>
      <c r="Y27" s="254"/>
      <c r="Z27" s="254"/>
      <c r="AA27" s="254"/>
      <c r="AB27" s="254"/>
      <c r="AC27" s="254"/>
    </row>
    <row r="28" ht="35.25" customHeight="1" spans="1:29">
      <c r="A28" s="201"/>
      <c r="B28" s="204" t="s">
        <v>6571</v>
      </c>
      <c r="C28" s="204"/>
      <c r="D28" s="204"/>
      <c r="E28" s="204"/>
      <c r="F28" s="204"/>
      <c r="G28" s="204"/>
      <c r="H28" s="204"/>
      <c r="I28" s="255"/>
      <c r="J28" s="254"/>
      <c r="K28" s="254"/>
      <c r="L28" s="254"/>
      <c r="M28" s="254"/>
      <c r="N28" s="254"/>
      <c r="O28" s="254"/>
      <c r="P28" s="254"/>
      <c r="Q28" s="254"/>
      <c r="R28" s="254"/>
      <c r="S28" s="254"/>
      <c r="T28" s="254"/>
      <c r="U28" s="254"/>
      <c r="V28" s="254"/>
      <c r="W28" s="254"/>
      <c r="X28" s="254"/>
      <c r="Y28" s="254"/>
      <c r="Z28" s="254"/>
      <c r="AA28" s="254"/>
      <c r="AB28" s="254"/>
      <c r="AC28" s="254"/>
    </row>
    <row r="29" ht="12.75" customHeight="1" spans="1:29">
      <c r="A29" s="201"/>
      <c r="B29" s="202"/>
      <c r="C29" s="203"/>
      <c r="D29" s="203"/>
      <c r="E29" s="202"/>
      <c r="F29" s="202"/>
      <c r="G29" s="202"/>
      <c r="H29" s="202"/>
      <c r="I29" s="255"/>
      <c r="J29" s="254"/>
      <c r="K29" s="254"/>
      <c r="L29" s="254"/>
      <c r="M29" s="254"/>
      <c r="N29" s="254"/>
      <c r="O29" s="254"/>
      <c r="P29" s="254"/>
      <c r="Q29" s="254"/>
      <c r="R29" s="254"/>
      <c r="S29" s="254"/>
      <c r="T29" s="254"/>
      <c r="U29" s="254"/>
      <c r="V29" s="254"/>
      <c r="W29" s="254"/>
      <c r="X29" s="254"/>
      <c r="Y29" s="254"/>
      <c r="Z29" s="254"/>
      <c r="AA29" s="254"/>
      <c r="AB29" s="254"/>
      <c r="AC29" s="254"/>
    </row>
    <row r="30" ht="35.25" customHeight="1" spans="1:29">
      <c r="A30" s="201"/>
      <c r="B30" s="204" t="s">
        <v>6572</v>
      </c>
      <c r="C30" s="204"/>
      <c r="D30" s="204"/>
      <c r="E30" s="204"/>
      <c r="F30" s="204"/>
      <c r="G30" s="204"/>
      <c r="H30" s="204"/>
      <c r="I30" s="255"/>
      <c r="J30" s="254"/>
      <c r="K30" s="254"/>
      <c r="L30" s="254"/>
      <c r="M30" s="254"/>
      <c r="N30" s="254"/>
      <c r="O30" s="254"/>
      <c r="P30" s="254"/>
      <c r="Q30" s="254"/>
      <c r="R30" s="254"/>
      <c r="S30" s="254"/>
      <c r="T30" s="254"/>
      <c r="U30" s="254"/>
      <c r="V30" s="254"/>
      <c r="W30" s="254"/>
      <c r="X30" s="254"/>
      <c r="Y30" s="254"/>
      <c r="Z30" s="254"/>
      <c r="AA30" s="254"/>
      <c r="AB30" s="254"/>
      <c r="AC30" s="254"/>
    </row>
    <row r="31" ht="12.75" customHeight="1" spans="1:29">
      <c r="A31" s="201"/>
      <c r="B31" s="202"/>
      <c r="C31" s="203"/>
      <c r="D31" s="203"/>
      <c r="E31" s="202"/>
      <c r="F31" s="202"/>
      <c r="G31" s="202"/>
      <c r="H31" s="202"/>
      <c r="I31" s="255"/>
      <c r="J31" s="254"/>
      <c r="K31" s="254"/>
      <c r="L31" s="254"/>
      <c r="M31" s="254"/>
      <c r="N31" s="254"/>
      <c r="O31" s="254"/>
      <c r="P31" s="254"/>
      <c r="Q31" s="254"/>
      <c r="R31" s="254"/>
      <c r="S31" s="254"/>
      <c r="T31" s="254"/>
      <c r="U31" s="254"/>
      <c r="V31" s="254"/>
      <c r="W31" s="254"/>
      <c r="X31" s="254"/>
      <c r="Y31" s="254"/>
      <c r="Z31" s="254"/>
      <c r="AA31" s="254"/>
      <c r="AB31" s="254"/>
      <c r="AC31" s="254"/>
    </row>
    <row r="32" ht="12.75" customHeight="1" spans="1:29">
      <c r="A32" s="206"/>
      <c r="B32" s="207" t="s">
        <v>6573</v>
      </c>
      <c r="C32" s="207"/>
      <c r="D32" s="207"/>
      <c r="E32" s="207"/>
      <c r="F32" s="208"/>
      <c r="G32" s="209"/>
      <c r="H32" s="209"/>
      <c r="I32" s="256"/>
      <c r="J32" s="257"/>
      <c r="K32" s="257"/>
      <c r="L32" s="257"/>
      <c r="M32" s="257"/>
      <c r="N32" s="257"/>
      <c r="O32" s="257"/>
      <c r="P32" s="257"/>
      <c r="Q32" s="257"/>
      <c r="R32" s="257"/>
      <c r="S32" s="257"/>
      <c r="T32" s="257"/>
      <c r="U32" s="257"/>
      <c r="V32" s="257"/>
      <c r="W32" s="257"/>
      <c r="X32" s="257"/>
      <c r="Y32" s="257"/>
      <c r="Z32" s="257"/>
      <c r="AA32" s="257"/>
      <c r="AB32" s="257"/>
      <c r="AC32" s="257"/>
    </row>
    <row r="33" ht="12.75" customHeight="1" spans="1:29">
      <c r="A33" s="210"/>
      <c r="B33" s="211"/>
      <c r="C33" s="212"/>
      <c r="D33" s="212"/>
      <c r="E33" s="213"/>
      <c r="F33" s="214"/>
      <c r="G33" s="215"/>
      <c r="H33" s="215"/>
      <c r="I33" s="258"/>
      <c r="J33" s="259"/>
      <c r="K33" s="259"/>
      <c r="L33" s="259"/>
      <c r="M33" s="259"/>
      <c r="N33" s="259"/>
      <c r="O33" s="259"/>
      <c r="P33" s="259"/>
      <c r="Q33" s="259"/>
      <c r="R33" s="259"/>
      <c r="S33" s="259"/>
      <c r="T33" s="259"/>
      <c r="U33" s="259"/>
      <c r="V33" s="259"/>
      <c r="W33" s="259"/>
      <c r="X33" s="259"/>
      <c r="Y33" s="259"/>
      <c r="Z33" s="259"/>
      <c r="AA33" s="259"/>
      <c r="AB33" s="259"/>
      <c r="AC33" s="259"/>
    </row>
    <row r="34" ht="12.75" customHeight="1" spans="1:29">
      <c r="A34" s="216"/>
      <c r="B34" s="217" t="s">
        <v>6574</v>
      </c>
      <c r="C34" s="218" t="s">
        <v>6575</v>
      </c>
      <c r="D34" s="218"/>
      <c r="E34" s="218"/>
      <c r="F34" s="214"/>
      <c r="G34" s="219"/>
      <c r="H34" s="219"/>
      <c r="I34" s="225"/>
      <c r="J34" s="260"/>
      <c r="K34" s="260"/>
      <c r="L34" s="260"/>
      <c r="M34" s="260"/>
      <c r="N34" s="260"/>
      <c r="O34" s="260"/>
      <c r="P34" s="260"/>
      <c r="Q34" s="260"/>
      <c r="R34" s="260"/>
      <c r="S34" s="260"/>
      <c r="T34" s="260"/>
      <c r="U34" s="260"/>
      <c r="V34" s="260"/>
      <c r="W34" s="260"/>
      <c r="X34" s="260"/>
      <c r="Y34" s="260"/>
      <c r="Z34" s="260"/>
      <c r="AA34" s="260"/>
      <c r="AB34" s="260"/>
      <c r="AC34" s="260"/>
    </row>
    <row r="35" ht="12.75" customHeight="1" spans="1:29">
      <c r="A35" s="216"/>
      <c r="B35" s="217" t="s">
        <v>6576</v>
      </c>
      <c r="C35" s="218" t="s">
        <v>6577</v>
      </c>
      <c r="D35" s="218"/>
      <c r="E35" s="218"/>
      <c r="F35" s="214"/>
      <c r="G35" s="219"/>
      <c r="H35" s="219"/>
      <c r="I35" s="225"/>
      <c r="J35" s="260"/>
      <c r="K35" s="260"/>
      <c r="L35" s="260"/>
      <c r="M35" s="260"/>
      <c r="N35" s="260"/>
      <c r="O35" s="260"/>
      <c r="P35" s="260"/>
      <c r="Q35" s="260"/>
      <c r="R35" s="260"/>
      <c r="S35" s="260"/>
      <c r="T35" s="260"/>
      <c r="U35" s="260"/>
      <c r="V35" s="260"/>
      <c r="W35" s="260"/>
      <c r="X35" s="260"/>
      <c r="Y35" s="260"/>
      <c r="Z35" s="260"/>
      <c r="AA35" s="260"/>
      <c r="AB35" s="260"/>
      <c r="AC35" s="260"/>
    </row>
    <row r="36" ht="12.75" customHeight="1" spans="1:29">
      <c r="A36" s="216"/>
      <c r="B36" s="217"/>
      <c r="C36" s="220"/>
      <c r="D36" s="221"/>
      <c r="E36" s="222"/>
      <c r="F36" s="214"/>
      <c r="G36" s="219"/>
      <c r="H36" s="219"/>
      <c r="I36" s="225"/>
      <c r="J36" s="260"/>
      <c r="K36" s="260"/>
      <c r="L36" s="260"/>
      <c r="M36" s="260"/>
      <c r="N36" s="260"/>
      <c r="O36" s="260"/>
      <c r="P36" s="260"/>
      <c r="Q36" s="260"/>
      <c r="R36" s="260"/>
      <c r="S36" s="260"/>
      <c r="T36" s="260"/>
      <c r="U36" s="260"/>
      <c r="V36" s="260"/>
      <c r="W36" s="260"/>
      <c r="X36" s="260"/>
      <c r="Y36" s="260"/>
      <c r="Z36" s="260"/>
      <c r="AA36" s="260"/>
      <c r="AB36" s="260"/>
      <c r="AC36" s="260"/>
    </row>
    <row r="37" ht="12.75" customHeight="1" spans="1:29">
      <c r="A37" s="216"/>
      <c r="B37" s="223"/>
      <c r="C37" s="224" t="s">
        <v>16</v>
      </c>
      <c r="D37" s="221"/>
      <c r="E37" s="222"/>
      <c r="F37" s="214"/>
      <c r="G37" s="219"/>
      <c r="H37" s="219"/>
      <c r="I37" s="225"/>
      <c r="J37" s="260"/>
      <c r="K37" s="260"/>
      <c r="L37" s="260"/>
      <c r="M37" s="260"/>
      <c r="N37" s="260"/>
      <c r="O37" s="260"/>
      <c r="P37" s="260"/>
      <c r="Q37" s="260"/>
      <c r="R37" s="260"/>
      <c r="S37" s="260"/>
      <c r="T37" s="260"/>
      <c r="U37" s="260"/>
      <c r="V37" s="260"/>
      <c r="W37" s="260"/>
      <c r="X37" s="260"/>
      <c r="Y37" s="260"/>
      <c r="Z37" s="260"/>
      <c r="AA37" s="260"/>
      <c r="AB37" s="260"/>
      <c r="AC37" s="260"/>
    </row>
    <row r="38" ht="12.75" customHeight="1" spans="1:29">
      <c r="A38" s="216"/>
      <c r="B38" s="223"/>
      <c r="C38" s="224" t="s">
        <v>6578</v>
      </c>
      <c r="D38" s="214"/>
      <c r="E38" s="225"/>
      <c r="F38" s="214"/>
      <c r="G38" s="219"/>
      <c r="H38" s="219"/>
      <c r="I38" s="225"/>
      <c r="J38" s="260"/>
      <c r="K38" s="260"/>
      <c r="L38" s="260"/>
      <c r="M38" s="260"/>
      <c r="N38" s="260"/>
      <c r="O38" s="260"/>
      <c r="P38" s="260"/>
      <c r="Q38" s="260"/>
      <c r="R38" s="260"/>
      <c r="S38" s="260"/>
      <c r="T38" s="260"/>
      <c r="U38" s="260"/>
      <c r="V38" s="260"/>
      <c r="W38" s="260"/>
      <c r="X38" s="260"/>
      <c r="Y38" s="260"/>
      <c r="Z38" s="260"/>
      <c r="AA38" s="260"/>
      <c r="AB38" s="260"/>
      <c r="AC38" s="260"/>
    </row>
    <row r="39" ht="12.75" customHeight="1" spans="1:29">
      <c r="A39" s="201"/>
      <c r="B39" s="226" t="s">
        <v>6579</v>
      </c>
      <c r="C39" s="226"/>
      <c r="D39" s="226"/>
      <c r="E39" s="226"/>
      <c r="F39" s="202"/>
      <c r="G39" s="202"/>
      <c r="H39" s="202"/>
      <c r="I39" s="255"/>
      <c r="J39" s="254"/>
      <c r="K39" s="254"/>
      <c r="L39" s="254"/>
      <c r="M39" s="254"/>
      <c r="N39" s="254"/>
      <c r="O39" s="254"/>
      <c r="P39" s="254"/>
      <c r="Q39" s="254"/>
      <c r="R39" s="254"/>
      <c r="S39" s="254"/>
      <c r="T39" s="254"/>
      <c r="U39" s="254"/>
      <c r="V39" s="254"/>
      <c r="W39" s="254"/>
      <c r="X39" s="254"/>
      <c r="Y39" s="254"/>
      <c r="Z39" s="254"/>
      <c r="AA39" s="254"/>
      <c r="AB39" s="254"/>
      <c r="AC39" s="254"/>
    </row>
    <row r="40" ht="12.75" customHeight="1" spans="1:29">
      <c r="A40" s="227"/>
      <c r="B40" s="227"/>
      <c r="C40" s="228"/>
      <c r="D40" s="229"/>
      <c r="E40" s="230"/>
      <c r="F40" s="231"/>
      <c r="G40" s="231"/>
      <c r="H40" s="231"/>
      <c r="I40" s="261"/>
      <c r="J40" s="262"/>
      <c r="K40" s="262"/>
      <c r="L40" s="262"/>
      <c r="M40" s="262"/>
      <c r="N40" s="262"/>
      <c r="O40" s="262"/>
      <c r="P40" s="262"/>
      <c r="Q40" s="262"/>
      <c r="R40" s="262"/>
      <c r="S40" s="262"/>
      <c r="T40" s="262"/>
      <c r="U40" s="262"/>
      <c r="V40" s="262"/>
      <c r="W40" s="262"/>
      <c r="X40" s="262"/>
      <c r="Y40" s="262"/>
      <c r="Z40" s="262"/>
      <c r="AA40" s="262"/>
      <c r="AB40" s="262"/>
      <c r="AC40" s="262"/>
    </row>
    <row r="41" ht="12.75" customHeight="1" spans="1:29">
      <c r="A41" s="201"/>
      <c r="B41" s="201"/>
      <c r="C41" s="232" t="s">
        <v>6580</v>
      </c>
      <c r="D41" s="229"/>
      <c r="E41" s="230"/>
      <c r="F41" s="202"/>
      <c r="G41" s="202"/>
      <c r="H41" s="202"/>
      <c r="I41" s="255"/>
      <c r="J41" s="254"/>
      <c r="K41" s="254"/>
      <c r="L41" s="254"/>
      <c r="M41" s="254"/>
      <c r="N41" s="254"/>
      <c r="O41" s="254"/>
      <c r="P41" s="254"/>
      <c r="Q41" s="254"/>
      <c r="R41" s="254"/>
      <c r="S41" s="254"/>
      <c r="T41" s="254"/>
      <c r="U41" s="254"/>
      <c r="V41" s="254"/>
      <c r="W41" s="254"/>
      <c r="X41" s="254"/>
      <c r="Y41" s="254"/>
      <c r="Z41" s="254"/>
      <c r="AA41" s="254"/>
      <c r="AB41" s="254"/>
      <c r="AC41" s="254"/>
    </row>
    <row r="42" ht="12.75" customHeight="1" spans="1:29">
      <c r="A42" s="201"/>
      <c r="B42" s="201"/>
      <c r="C42" s="202"/>
      <c r="D42" s="229"/>
      <c r="E42" s="230"/>
      <c r="F42" s="202"/>
      <c r="G42" s="202"/>
      <c r="H42" s="202"/>
      <c r="I42" s="255"/>
      <c r="J42" s="254"/>
      <c r="K42" s="254"/>
      <c r="L42" s="254"/>
      <c r="M42" s="254"/>
      <c r="N42" s="254"/>
      <c r="O42" s="254"/>
      <c r="P42" s="254"/>
      <c r="Q42" s="254"/>
      <c r="R42" s="254"/>
      <c r="S42" s="254"/>
      <c r="T42" s="254"/>
      <c r="U42" s="254"/>
      <c r="V42" s="254"/>
      <c r="W42" s="254"/>
      <c r="X42" s="254"/>
      <c r="Y42" s="254"/>
      <c r="Z42" s="254"/>
      <c r="AA42" s="254"/>
      <c r="AB42" s="254"/>
      <c r="AC42" s="254"/>
    </row>
    <row r="43" ht="12.75" customHeight="1" spans="1:29">
      <c r="A43" s="201"/>
      <c r="B43" s="226" t="s">
        <v>6581</v>
      </c>
      <c r="C43" s="226"/>
      <c r="D43" s="226"/>
      <c r="E43" s="226"/>
      <c r="F43" s="202"/>
      <c r="G43" s="202"/>
      <c r="H43" s="202"/>
      <c r="I43" s="255"/>
      <c r="J43" s="254"/>
      <c r="K43" s="254"/>
      <c r="L43" s="254"/>
      <c r="M43" s="254"/>
      <c r="N43" s="254"/>
      <c r="O43" s="254"/>
      <c r="P43" s="254"/>
      <c r="Q43" s="254"/>
      <c r="R43" s="254"/>
      <c r="S43" s="254"/>
      <c r="T43" s="254"/>
      <c r="U43" s="254"/>
      <c r="V43" s="254"/>
      <c r="W43" s="254"/>
      <c r="X43" s="254"/>
      <c r="Y43" s="254"/>
      <c r="Z43" s="254"/>
      <c r="AA43" s="254"/>
      <c r="AB43" s="254"/>
      <c r="AC43" s="254"/>
    </row>
    <row r="44" ht="12.75" customHeight="1" spans="1:29">
      <c r="A44" s="227"/>
      <c r="B44" s="227"/>
      <c r="C44" s="231"/>
      <c r="D44" s="233"/>
      <c r="E44" s="234"/>
      <c r="F44" s="231"/>
      <c r="G44" s="231"/>
      <c r="H44" s="231"/>
      <c r="I44" s="261"/>
      <c r="J44" s="262"/>
      <c r="K44" s="262"/>
      <c r="L44" s="262"/>
      <c r="M44" s="262"/>
      <c r="N44" s="262"/>
      <c r="O44" s="262"/>
      <c r="P44" s="262"/>
      <c r="Q44" s="262"/>
      <c r="R44" s="262"/>
      <c r="S44" s="262"/>
      <c r="T44" s="262"/>
      <c r="U44" s="262"/>
      <c r="V44" s="262"/>
      <c r="W44" s="262"/>
      <c r="X44" s="262"/>
      <c r="Y44" s="262"/>
      <c r="Z44" s="262"/>
      <c r="AA44" s="262"/>
      <c r="AB44" s="262"/>
      <c r="AC44" s="262"/>
    </row>
    <row r="45" ht="12.75" customHeight="1" spans="1:29">
      <c r="A45" s="201"/>
      <c r="B45" s="201"/>
      <c r="C45" s="232" t="s">
        <v>6582</v>
      </c>
      <c r="D45" s="233"/>
      <c r="E45" s="234"/>
      <c r="F45" s="202"/>
      <c r="G45" s="202"/>
      <c r="H45" s="202"/>
      <c r="I45" s="255"/>
      <c r="J45" s="254"/>
      <c r="K45" s="254"/>
      <c r="L45" s="254"/>
      <c r="M45" s="254"/>
      <c r="N45" s="254"/>
      <c r="O45" s="254"/>
      <c r="P45" s="254"/>
      <c r="Q45" s="254"/>
      <c r="R45" s="254"/>
      <c r="S45" s="254"/>
      <c r="T45" s="254"/>
      <c r="U45" s="254"/>
      <c r="V45" s="254"/>
      <c r="W45" s="254"/>
      <c r="X45" s="254"/>
      <c r="Y45" s="254"/>
      <c r="Z45" s="254"/>
      <c r="AA45" s="254"/>
      <c r="AB45" s="254"/>
      <c r="AC45" s="254"/>
    </row>
    <row r="46" ht="12.75" customHeight="1" spans="1:29">
      <c r="A46" s="201"/>
      <c r="B46" s="201"/>
      <c r="C46" s="203"/>
      <c r="D46" s="203"/>
      <c r="E46" s="235"/>
      <c r="F46" s="203"/>
      <c r="G46" s="202"/>
      <c r="H46" s="202"/>
      <c r="I46" s="255"/>
      <c r="J46" s="254"/>
      <c r="K46" s="254"/>
      <c r="L46" s="254"/>
      <c r="M46" s="254"/>
      <c r="N46" s="254"/>
      <c r="O46" s="254"/>
      <c r="P46" s="254"/>
      <c r="Q46" s="254"/>
      <c r="R46" s="254"/>
      <c r="S46" s="254"/>
      <c r="T46" s="254"/>
      <c r="U46" s="254"/>
      <c r="V46" s="254"/>
      <c r="W46" s="254"/>
      <c r="X46" s="254"/>
      <c r="Y46" s="254"/>
      <c r="Z46" s="254"/>
      <c r="AA46" s="254"/>
      <c r="AB46" s="254"/>
      <c r="AC46" s="254"/>
    </row>
    <row r="47" ht="12.75" customHeight="1" spans="1:29">
      <c r="A47" s="201"/>
      <c r="B47" s="226" t="s">
        <v>6583</v>
      </c>
      <c r="C47" s="226"/>
      <c r="D47" s="226"/>
      <c r="E47" s="226"/>
      <c r="F47" s="202"/>
      <c r="G47" s="202"/>
      <c r="H47" s="202"/>
      <c r="I47" s="255"/>
      <c r="J47" s="254"/>
      <c r="K47" s="254"/>
      <c r="L47" s="254"/>
      <c r="M47" s="254"/>
      <c r="N47" s="254"/>
      <c r="O47" s="254"/>
      <c r="P47" s="254"/>
      <c r="Q47" s="254"/>
      <c r="R47" s="254"/>
      <c r="S47" s="254"/>
      <c r="T47" s="254"/>
      <c r="U47" s="254"/>
      <c r="V47" s="254"/>
      <c r="W47" s="254"/>
      <c r="X47" s="254"/>
      <c r="Y47" s="254"/>
      <c r="Z47" s="254"/>
      <c r="AA47" s="254"/>
      <c r="AB47" s="254"/>
      <c r="AC47" s="254"/>
    </row>
    <row r="48" ht="12.75" customHeight="1" spans="1:29">
      <c r="A48" s="227"/>
      <c r="B48" s="227"/>
      <c r="C48" s="231"/>
      <c r="D48" s="233"/>
      <c r="E48" s="236"/>
      <c r="F48" s="231"/>
      <c r="G48" s="231"/>
      <c r="H48" s="231"/>
      <c r="I48" s="261"/>
      <c r="J48" s="262"/>
      <c r="K48" s="262"/>
      <c r="L48" s="262"/>
      <c r="M48" s="262"/>
      <c r="N48" s="262"/>
      <c r="O48" s="262"/>
      <c r="P48" s="262"/>
      <c r="Q48" s="262"/>
      <c r="R48" s="262"/>
      <c r="S48" s="262"/>
      <c r="T48" s="262"/>
      <c r="U48" s="262"/>
      <c r="V48" s="262"/>
      <c r="W48" s="262"/>
      <c r="X48" s="262"/>
      <c r="Y48" s="262"/>
      <c r="Z48" s="262"/>
      <c r="AA48" s="262"/>
      <c r="AB48" s="262"/>
      <c r="AC48" s="262"/>
    </row>
    <row r="49" ht="12.75" customHeight="1" spans="1:29">
      <c r="A49" s="237"/>
      <c r="B49" s="238"/>
      <c r="C49" s="239" t="s">
        <v>6584</v>
      </c>
      <c r="D49" s="240">
        <v>3.4</v>
      </c>
      <c r="E49" s="241" t="s">
        <v>3716</v>
      </c>
      <c r="F49" s="242"/>
      <c r="G49" s="242"/>
      <c r="H49" s="242"/>
      <c r="I49" s="263"/>
      <c r="J49" s="264"/>
      <c r="K49" s="264"/>
      <c r="L49" s="264"/>
      <c r="M49" s="264"/>
      <c r="N49" s="264"/>
      <c r="O49" s="264"/>
      <c r="P49" s="264"/>
      <c r="Q49" s="264"/>
      <c r="R49" s="264"/>
      <c r="S49" s="264"/>
      <c r="T49" s="264"/>
      <c r="U49" s="264"/>
      <c r="V49" s="264"/>
      <c r="W49" s="264"/>
      <c r="X49" s="264"/>
      <c r="Y49" s="264"/>
      <c r="Z49" s="264"/>
      <c r="AA49" s="264"/>
      <c r="AB49" s="264"/>
      <c r="AC49" s="264"/>
    </row>
    <row r="50" ht="12.75" customHeight="1" spans="1:29">
      <c r="A50" s="201"/>
      <c r="B50" s="243"/>
      <c r="C50" s="239" t="s">
        <v>6585</v>
      </c>
      <c r="D50" s="240">
        <v>1.27</v>
      </c>
      <c r="E50" s="241" t="s">
        <v>3716</v>
      </c>
      <c r="F50" s="202"/>
      <c r="G50" s="202"/>
      <c r="H50" s="202"/>
      <c r="I50" s="255"/>
      <c r="J50" s="254"/>
      <c r="K50" s="254"/>
      <c r="L50" s="254"/>
      <c r="M50" s="254"/>
      <c r="N50" s="254"/>
      <c r="O50" s="254"/>
      <c r="P50" s="254"/>
      <c r="Q50" s="254"/>
      <c r="R50" s="254"/>
      <c r="S50" s="254"/>
      <c r="T50" s="254"/>
      <c r="U50" s="254"/>
      <c r="V50" s="254"/>
      <c r="W50" s="254"/>
      <c r="X50" s="254"/>
      <c r="Y50" s="254"/>
      <c r="Z50" s="254"/>
      <c r="AA50" s="254"/>
      <c r="AB50" s="254"/>
      <c r="AC50" s="254"/>
    </row>
    <row r="51" ht="12.75" customHeight="1" spans="1:29">
      <c r="A51" s="237"/>
      <c r="B51" s="238"/>
      <c r="C51" s="239" t="s">
        <v>6586</v>
      </c>
      <c r="D51" s="240">
        <v>0.8</v>
      </c>
      <c r="E51" s="241" t="s">
        <v>3716</v>
      </c>
      <c r="F51" s="242"/>
      <c r="G51" s="242"/>
      <c r="H51" s="242"/>
      <c r="I51" s="263"/>
      <c r="J51" s="264"/>
      <c r="K51" s="264"/>
      <c r="L51" s="264"/>
      <c r="M51" s="264"/>
      <c r="N51" s="264"/>
      <c r="O51" s="264"/>
      <c r="P51" s="264"/>
      <c r="Q51" s="264"/>
      <c r="R51" s="264"/>
      <c r="S51" s="264"/>
      <c r="T51" s="264"/>
      <c r="U51" s="264"/>
      <c r="V51" s="264"/>
      <c r="W51" s="264"/>
      <c r="X51" s="264"/>
      <c r="Y51" s="264"/>
      <c r="Z51" s="264"/>
      <c r="AA51" s="264"/>
      <c r="AB51" s="264"/>
      <c r="AC51" s="264"/>
    </row>
    <row r="52" ht="12.75" customHeight="1" spans="1:29">
      <c r="A52" s="201"/>
      <c r="B52" s="243"/>
      <c r="C52" s="239" t="s">
        <v>6587</v>
      </c>
      <c r="D52" s="240">
        <v>0.59</v>
      </c>
      <c r="E52" s="241" t="s">
        <v>3716</v>
      </c>
      <c r="F52" s="202"/>
      <c r="G52" s="202"/>
      <c r="H52" s="202"/>
      <c r="I52" s="255"/>
      <c r="J52" s="254"/>
      <c r="K52" s="254"/>
      <c r="L52" s="254"/>
      <c r="M52" s="254"/>
      <c r="N52" s="254"/>
      <c r="O52" s="254"/>
      <c r="P52" s="254"/>
      <c r="Q52" s="254"/>
      <c r="R52" s="254"/>
      <c r="S52" s="254"/>
      <c r="T52" s="254"/>
      <c r="U52" s="254"/>
      <c r="V52" s="254"/>
      <c r="W52" s="254"/>
      <c r="X52" s="254"/>
      <c r="Y52" s="254"/>
      <c r="Z52" s="254"/>
      <c r="AA52" s="254"/>
      <c r="AB52" s="254"/>
      <c r="AC52" s="254"/>
    </row>
    <row r="53" ht="12.75" customHeight="1" spans="1:29">
      <c r="A53" s="201"/>
      <c r="B53" s="201"/>
      <c r="C53" s="244"/>
      <c r="D53" s="245"/>
      <c r="E53" s="241"/>
      <c r="F53" s="202"/>
      <c r="G53" s="202"/>
      <c r="H53" s="202"/>
      <c r="I53" s="255"/>
      <c r="J53" s="254"/>
      <c r="K53" s="254"/>
      <c r="L53" s="254"/>
      <c r="M53" s="254"/>
      <c r="N53" s="254"/>
      <c r="O53" s="254"/>
      <c r="P53" s="254"/>
      <c r="Q53" s="254"/>
      <c r="R53" s="254"/>
      <c r="S53" s="254"/>
      <c r="T53" s="254"/>
      <c r="U53" s="254"/>
      <c r="V53" s="254"/>
      <c r="W53" s="254"/>
      <c r="X53" s="254"/>
      <c r="Y53" s="254"/>
      <c r="Z53" s="254"/>
      <c r="AA53" s="254"/>
      <c r="AB53" s="254"/>
      <c r="AC53" s="254"/>
    </row>
    <row r="54" ht="12.75" customHeight="1" spans="1:29">
      <c r="A54" s="201"/>
      <c r="B54" s="243"/>
      <c r="C54" s="239" t="s">
        <v>6588</v>
      </c>
      <c r="D54" s="240">
        <v>6.16</v>
      </c>
      <c r="E54" s="241" t="s">
        <v>3716</v>
      </c>
      <c r="F54" s="202"/>
      <c r="G54" s="202"/>
      <c r="H54" s="202"/>
      <c r="I54" s="255"/>
      <c r="J54" s="254"/>
      <c r="K54" s="254"/>
      <c r="L54" s="254"/>
      <c r="M54" s="254"/>
      <c r="N54" s="254"/>
      <c r="O54" s="254"/>
      <c r="P54" s="254"/>
      <c r="Q54" s="254"/>
      <c r="R54" s="254"/>
      <c r="S54" s="254"/>
      <c r="T54" s="254"/>
      <c r="U54" s="254"/>
      <c r="V54" s="254"/>
      <c r="W54" s="254"/>
      <c r="X54" s="254"/>
      <c r="Y54" s="254"/>
      <c r="Z54" s="254"/>
      <c r="AA54" s="254"/>
      <c r="AB54" s="254"/>
      <c r="AC54" s="254"/>
    </row>
    <row r="55" ht="12.75" customHeight="1" spans="1:29">
      <c r="A55" s="201"/>
      <c r="B55" s="201"/>
      <c r="C55" s="202"/>
      <c r="D55" s="203"/>
      <c r="E55" s="235"/>
      <c r="F55" s="202"/>
      <c r="G55" s="202"/>
      <c r="H55" s="202"/>
      <c r="I55" s="255"/>
      <c r="J55" s="254"/>
      <c r="K55" s="254"/>
      <c r="L55" s="254"/>
      <c r="M55" s="254"/>
      <c r="N55" s="254"/>
      <c r="O55" s="254"/>
      <c r="P55" s="254"/>
      <c r="Q55" s="254"/>
      <c r="R55" s="254"/>
      <c r="S55" s="254"/>
      <c r="T55" s="254"/>
      <c r="U55" s="254"/>
      <c r="V55" s="254"/>
      <c r="W55" s="254"/>
      <c r="X55" s="254"/>
      <c r="Y55" s="254"/>
      <c r="Z55" s="254"/>
      <c r="AA55" s="254"/>
      <c r="AB55" s="254"/>
      <c r="AC55" s="254"/>
    </row>
    <row r="56" ht="12.75" customHeight="1" spans="1:29">
      <c r="A56" s="201"/>
      <c r="B56" s="226" t="s">
        <v>6589</v>
      </c>
      <c r="C56" s="226"/>
      <c r="D56" s="226"/>
      <c r="E56" s="226"/>
      <c r="F56" s="202"/>
      <c r="G56" s="202"/>
      <c r="H56" s="202"/>
      <c r="I56" s="255"/>
      <c r="J56" s="254"/>
      <c r="K56" s="254"/>
      <c r="L56" s="254"/>
      <c r="M56" s="254"/>
      <c r="N56" s="254"/>
      <c r="O56" s="254"/>
      <c r="P56" s="254"/>
      <c r="Q56" s="254"/>
      <c r="R56" s="254"/>
      <c r="S56" s="254"/>
      <c r="T56" s="254"/>
      <c r="U56" s="254"/>
      <c r="V56" s="254"/>
      <c r="W56" s="254"/>
      <c r="X56" s="254"/>
      <c r="Y56" s="254"/>
      <c r="Z56" s="254"/>
      <c r="AA56" s="254"/>
      <c r="AB56" s="254"/>
      <c r="AC56" s="254"/>
    </row>
    <row r="57" ht="12.75" customHeight="1" spans="1:29">
      <c r="A57" s="227"/>
      <c r="B57" s="227"/>
      <c r="C57" s="231"/>
      <c r="D57" s="233"/>
      <c r="E57" s="236"/>
      <c r="F57" s="231"/>
      <c r="G57" s="231"/>
      <c r="H57" s="231"/>
      <c r="I57" s="261"/>
      <c r="J57" s="262"/>
      <c r="K57" s="262"/>
      <c r="L57" s="262"/>
      <c r="M57" s="262"/>
      <c r="N57" s="262"/>
      <c r="O57" s="262"/>
      <c r="P57" s="262"/>
      <c r="Q57" s="262"/>
      <c r="R57" s="262"/>
      <c r="S57" s="262"/>
      <c r="T57" s="262"/>
      <c r="U57" s="262"/>
      <c r="V57" s="262"/>
      <c r="W57" s="262"/>
      <c r="X57" s="262"/>
      <c r="Y57" s="262"/>
      <c r="Z57" s="262"/>
      <c r="AA57" s="262"/>
      <c r="AB57" s="262"/>
      <c r="AC57" s="262"/>
    </row>
    <row r="58" ht="12.75" customHeight="1" spans="1:29">
      <c r="A58" s="237"/>
      <c r="B58" s="238"/>
      <c r="C58" s="246" t="s">
        <v>6590</v>
      </c>
      <c r="D58" s="247">
        <f>D59+D60+D61+D62</f>
        <v>10.25</v>
      </c>
      <c r="E58" s="248" t="s">
        <v>3716</v>
      </c>
      <c r="F58" s="242"/>
      <c r="G58" s="242"/>
      <c r="H58" s="242"/>
      <c r="I58" s="263"/>
      <c r="J58" s="264"/>
      <c r="K58" s="264"/>
      <c r="L58" s="264"/>
      <c r="M58" s="264"/>
      <c r="N58" s="264"/>
      <c r="O58" s="264"/>
      <c r="P58" s="264"/>
      <c r="Q58" s="264"/>
      <c r="R58" s="264"/>
      <c r="S58" s="264"/>
      <c r="T58" s="264"/>
      <c r="U58" s="264"/>
      <c r="V58" s="264"/>
      <c r="W58" s="264"/>
      <c r="X58" s="264"/>
      <c r="Y58" s="264"/>
      <c r="Z58" s="264"/>
      <c r="AA58" s="264"/>
      <c r="AB58" s="264"/>
      <c r="AC58" s="264"/>
    </row>
    <row r="59" ht="12.75" customHeight="1" spans="1:29">
      <c r="A59" s="201"/>
      <c r="B59" s="201"/>
      <c r="C59" s="249" t="s">
        <v>6591</v>
      </c>
      <c r="D59" s="240">
        <v>3</v>
      </c>
      <c r="E59" s="241" t="s">
        <v>3716</v>
      </c>
      <c r="F59" s="202"/>
      <c r="G59" s="202"/>
      <c r="H59" s="202"/>
      <c r="I59" s="255"/>
      <c r="J59" s="254"/>
      <c r="K59" s="254"/>
      <c r="L59" s="254"/>
      <c r="M59" s="254"/>
      <c r="N59" s="254"/>
      <c r="O59" s="254"/>
      <c r="P59" s="254"/>
      <c r="Q59" s="254"/>
      <c r="R59" s="254"/>
      <c r="S59" s="254"/>
      <c r="T59" s="254"/>
      <c r="U59" s="254"/>
      <c r="V59" s="254"/>
      <c r="W59" s="254"/>
      <c r="X59" s="254"/>
      <c r="Y59" s="254"/>
      <c r="Z59" s="254"/>
      <c r="AA59" s="254"/>
      <c r="AB59" s="254"/>
      <c r="AC59" s="254"/>
    </row>
    <row r="60" ht="12.75" customHeight="1" spans="1:29">
      <c r="A60" s="201"/>
      <c r="B60" s="201"/>
      <c r="C60" s="249" t="s">
        <v>6592</v>
      </c>
      <c r="D60" s="250">
        <v>3</v>
      </c>
      <c r="E60" s="251" t="s">
        <v>3716</v>
      </c>
      <c r="F60" s="202"/>
      <c r="G60" s="202"/>
      <c r="H60" s="202"/>
      <c r="I60" s="255"/>
      <c r="J60" s="254"/>
      <c r="K60" s="254"/>
      <c r="L60" s="254"/>
      <c r="M60" s="254"/>
      <c r="N60" s="254"/>
      <c r="O60" s="254"/>
      <c r="P60" s="254"/>
      <c r="Q60" s="254"/>
      <c r="R60" s="254"/>
      <c r="S60" s="254"/>
      <c r="T60" s="254"/>
      <c r="U60" s="254"/>
      <c r="V60" s="254"/>
      <c r="W60" s="254"/>
      <c r="X60" s="254"/>
      <c r="Y60" s="254"/>
      <c r="Z60" s="254"/>
      <c r="AA60" s="254"/>
      <c r="AB60" s="254"/>
      <c r="AC60" s="254"/>
    </row>
    <row r="61" ht="12.75" customHeight="1" spans="1:29">
      <c r="A61" s="201"/>
      <c r="B61" s="201"/>
      <c r="C61" s="249" t="s">
        <v>6593</v>
      </c>
      <c r="D61" s="250">
        <v>0.65</v>
      </c>
      <c r="E61" s="251" t="s">
        <v>3716</v>
      </c>
      <c r="F61" s="202"/>
      <c r="G61" s="202"/>
      <c r="H61" s="202"/>
      <c r="I61" s="255"/>
      <c r="J61" s="254"/>
      <c r="K61" s="254"/>
      <c r="L61" s="254"/>
      <c r="M61" s="254"/>
      <c r="N61" s="254"/>
      <c r="O61" s="254"/>
      <c r="P61" s="254"/>
      <c r="Q61" s="254"/>
      <c r="R61" s="254"/>
      <c r="S61" s="254"/>
      <c r="T61" s="254"/>
      <c r="U61" s="254"/>
      <c r="V61" s="254"/>
      <c r="W61" s="254"/>
      <c r="X61" s="254"/>
      <c r="Y61" s="254"/>
      <c r="Z61" s="254"/>
      <c r="AA61" s="254"/>
      <c r="AB61" s="254"/>
      <c r="AC61" s="254"/>
    </row>
    <row r="62" ht="12.75" customHeight="1" spans="1:29">
      <c r="A62" s="201"/>
      <c r="B62" s="201"/>
      <c r="C62" s="249" t="s">
        <v>6594</v>
      </c>
      <c r="D62" s="250">
        <v>3.6</v>
      </c>
      <c r="E62" s="241" t="s">
        <v>3716</v>
      </c>
      <c r="F62" s="202"/>
      <c r="G62" s="202"/>
      <c r="H62" s="202"/>
      <c r="I62" s="255"/>
      <c r="J62" s="254"/>
      <c r="K62" s="254"/>
      <c r="L62" s="254"/>
      <c r="M62" s="254"/>
      <c r="N62" s="254"/>
      <c r="O62" s="254"/>
      <c r="P62" s="254"/>
      <c r="Q62" s="254"/>
      <c r="R62" s="254"/>
      <c r="S62" s="254"/>
      <c r="T62" s="254"/>
      <c r="U62" s="254"/>
      <c r="V62" s="254"/>
      <c r="W62" s="254"/>
      <c r="X62" s="254"/>
      <c r="Y62" s="254"/>
      <c r="Z62" s="254"/>
      <c r="AA62" s="254"/>
      <c r="AB62" s="254"/>
      <c r="AC62" s="254"/>
    </row>
    <row r="63" ht="12.75" customHeight="1" spans="1:29">
      <c r="A63" s="201"/>
      <c r="B63" s="201"/>
      <c r="C63" s="202"/>
      <c r="D63" s="203"/>
      <c r="E63" s="235"/>
      <c r="F63" s="202"/>
      <c r="G63" s="202"/>
      <c r="H63" s="202"/>
      <c r="I63" s="255"/>
      <c r="J63" s="254"/>
      <c r="K63" s="254"/>
      <c r="L63" s="254"/>
      <c r="M63" s="254"/>
      <c r="N63" s="254"/>
      <c r="O63" s="254"/>
      <c r="P63" s="254"/>
      <c r="Q63" s="254"/>
      <c r="R63" s="254"/>
      <c r="S63" s="254"/>
      <c r="T63" s="254"/>
      <c r="U63" s="254"/>
      <c r="V63" s="254"/>
      <c r="W63" s="254"/>
      <c r="X63" s="254"/>
      <c r="Y63" s="254"/>
      <c r="Z63" s="254"/>
      <c r="AA63" s="254"/>
      <c r="AB63" s="254"/>
      <c r="AC63" s="254"/>
    </row>
    <row r="64" ht="12.75" customHeight="1" spans="1:29">
      <c r="A64" s="201"/>
      <c r="B64" s="226" t="s">
        <v>6595</v>
      </c>
      <c r="C64" s="226"/>
      <c r="D64" s="226"/>
      <c r="E64" s="226"/>
      <c r="F64" s="202"/>
      <c r="G64" s="202"/>
      <c r="H64" s="202"/>
      <c r="I64" s="255"/>
      <c r="J64" s="254"/>
      <c r="K64" s="254"/>
      <c r="L64" s="254"/>
      <c r="M64" s="254"/>
      <c r="N64" s="254"/>
      <c r="O64" s="254"/>
      <c r="P64" s="254"/>
      <c r="Q64" s="254"/>
      <c r="R64" s="254"/>
      <c r="S64" s="254"/>
      <c r="T64" s="254"/>
      <c r="U64" s="254"/>
      <c r="V64" s="254"/>
      <c r="W64" s="254"/>
      <c r="X64" s="254"/>
      <c r="Y64" s="254"/>
      <c r="Z64" s="254"/>
      <c r="AA64" s="254"/>
      <c r="AB64" s="254"/>
      <c r="AC64" s="254"/>
    </row>
    <row r="65" ht="12.75" customHeight="1" spans="1:29">
      <c r="A65" s="227"/>
      <c r="B65" s="227"/>
      <c r="C65" s="231"/>
      <c r="D65" s="233"/>
      <c r="E65" s="234"/>
      <c r="F65" s="231"/>
      <c r="G65" s="231"/>
      <c r="H65" s="231"/>
      <c r="I65" s="261"/>
      <c r="J65" s="262"/>
      <c r="K65" s="262"/>
      <c r="L65" s="262"/>
      <c r="M65" s="262"/>
      <c r="N65" s="262"/>
      <c r="O65" s="262"/>
      <c r="P65" s="262"/>
      <c r="Q65" s="262"/>
      <c r="R65" s="262"/>
      <c r="S65" s="262"/>
      <c r="T65" s="262"/>
      <c r="U65" s="262"/>
      <c r="V65" s="262"/>
      <c r="W65" s="262"/>
      <c r="X65" s="262"/>
      <c r="Y65" s="262"/>
      <c r="Z65" s="262"/>
      <c r="AA65" s="262"/>
      <c r="AB65" s="262"/>
      <c r="AC65" s="262"/>
    </row>
    <row r="66" ht="27" customHeight="1" spans="1:29">
      <c r="A66" s="201"/>
      <c r="B66" s="201"/>
      <c r="C66" s="203" t="s">
        <v>6596</v>
      </c>
      <c r="D66" s="265">
        <f>ROUND((((1+($D$49/100)+($D$51/100)+($D$50/100))*(1+($D$52/100))*(1+($D$54/100)))/(1-$D$58/100)-1),4)</f>
        <v>0.2549</v>
      </c>
      <c r="E66" s="266"/>
      <c r="F66" s="202"/>
      <c r="G66" s="202"/>
      <c r="H66" s="202"/>
      <c r="I66" s="255"/>
      <c r="J66" s="254"/>
      <c r="K66" s="254"/>
      <c r="L66" s="254"/>
      <c r="M66" s="254"/>
      <c r="N66" s="254"/>
      <c r="O66" s="254"/>
      <c r="P66" s="254"/>
      <c r="Q66" s="254"/>
      <c r="R66" s="254"/>
      <c r="S66" s="254"/>
      <c r="T66" s="254"/>
      <c r="U66" s="254"/>
      <c r="V66" s="254"/>
      <c r="W66" s="254"/>
      <c r="X66" s="254"/>
      <c r="Y66" s="254"/>
      <c r="Z66" s="254"/>
      <c r="AA66" s="254"/>
      <c r="AB66" s="254"/>
      <c r="AC66" s="254"/>
    </row>
    <row r="67" ht="12.75" customHeight="1" spans="1:29">
      <c r="A67" s="201"/>
      <c r="B67" s="201"/>
      <c r="C67" s="203" t="s">
        <v>6597</v>
      </c>
      <c r="D67" s="267"/>
      <c r="E67" s="268"/>
      <c r="F67" s="202"/>
      <c r="G67" s="202"/>
      <c r="H67" s="202"/>
      <c r="I67" s="255"/>
      <c r="J67" s="254"/>
      <c r="K67" s="254"/>
      <c r="L67" s="254"/>
      <c r="M67" s="254"/>
      <c r="N67" s="254"/>
      <c r="O67" s="254"/>
      <c r="P67" s="254"/>
      <c r="Q67" s="254"/>
      <c r="R67" s="254"/>
      <c r="S67" s="254"/>
      <c r="T67" s="254"/>
      <c r="U67" s="254"/>
      <c r="V67" s="254"/>
      <c r="W67" s="254"/>
      <c r="X67" s="254"/>
      <c r="Y67" s="254"/>
      <c r="Z67" s="254"/>
      <c r="AA67" s="254"/>
      <c r="AB67" s="254"/>
      <c r="AC67" s="254"/>
    </row>
    <row r="68" ht="12.75" customHeight="1" spans="1:29">
      <c r="A68" s="201"/>
      <c r="B68" s="201"/>
      <c r="C68" s="202"/>
      <c r="D68" s="269"/>
      <c r="E68" s="255"/>
      <c r="F68" s="202"/>
      <c r="G68" s="202"/>
      <c r="H68" s="202"/>
      <c r="I68" s="255"/>
      <c r="J68" s="254"/>
      <c r="K68" s="254"/>
      <c r="L68" s="254"/>
      <c r="M68" s="254"/>
      <c r="N68" s="254"/>
      <c r="O68" s="254"/>
      <c r="P68" s="254"/>
      <c r="Q68" s="254"/>
      <c r="R68" s="254"/>
      <c r="S68" s="254"/>
      <c r="T68" s="254"/>
      <c r="U68" s="254"/>
      <c r="V68" s="254"/>
      <c r="W68" s="254"/>
      <c r="X68" s="254"/>
      <c r="Y68" s="254"/>
      <c r="Z68" s="254"/>
      <c r="AA68" s="254"/>
      <c r="AB68" s="254"/>
      <c r="AC68" s="254"/>
    </row>
    <row r="69" ht="12.75" customHeight="1" spans="1:29">
      <c r="A69" s="201"/>
      <c r="B69" s="270"/>
      <c r="C69" s="202"/>
      <c r="D69" s="203"/>
      <c r="E69" s="255"/>
      <c r="F69" s="202"/>
      <c r="G69" s="202"/>
      <c r="H69" s="202"/>
      <c r="I69" s="255"/>
      <c r="J69" s="254"/>
      <c r="K69" s="254"/>
      <c r="L69" s="254"/>
      <c r="M69" s="254"/>
      <c r="N69" s="254"/>
      <c r="O69" s="254"/>
      <c r="P69" s="254"/>
      <c r="Q69" s="254"/>
      <c r="R69" s="254"/>
      <c r="S69" s="254"/>
      <c r="T69" s="254"/>
      <c r="U69" s="254"/>
      <c r="V69" s="254"/>
      <c r="W69" s="254"/>
      <c r="X69" s="254"/>
      <c r="Y69" s="254"/>
      <c r="Z69" s="254"/>
      <c r="AA69" s="254"/>
      <c r="AB69" s="254"/>
      <c r="AC69" s="254"/>
    </row>
    <row r="70" ht="12.75" customHeight="1" spans="1:29">
      <c r="A70" s="201"/>
      <c r="B70" s="270"/>
      <c r="C70" s="202"/>
      <c r="D70" s="203"/>
      <c r="E70" s="255"/>
      <c r="F70" s="202"/>
      <c r="G70" s="202"/>
      <c r="H70" s="202"/>
      <c r="I70" s="255"/>
      <c r="J70" s="254"/>
      <c r="K70" s="254"/>
      <c r="L70" s="254"/>
      <c r="M70" s="254"/>
      <c r="N70" s="254"/>
      <c r="O70" s="254"/>
      <c r="P70" s="254"/>
      <c r="Q70" s="254"/>
      <c r="R70" s="254"/>
      <c r="S70" s="254"/>
      <c r="T70" s="254"/>
      <c r="U70" s="254"/>
      <c r="V70" s="254"/>
      <c r="W70" s="254"/>
      <c r="X70" s="254"/>
      <c r="Y70" s="254"/>
      <c r="Z70" s="254"/>
      <c r="AA70" s="254"/>
      <c r="AB70" s="254"/>
      <c r="AC70" s="254"/>
    </row>
    <row r="71" ht="12.75" customHeight="1" spans="1:29">
      <c r="A71" s="201"/>
      <c r="B71" s="270"/>
      <c r="C71" s="202"/>
      <c r="D71" s="203"/>
      <c r="E71" s="255"/>
      <c r="F71" s="202"/>
      <c r="G71" s="202"/>
      <c r="H71" s="202"/>
      <c r="I71" s="255"/>
      <c r="J71" s="254"/>
      <c r="K71" s="254"/>
      <c r="L71" s="254"/>
      <c r="M71" s="254"/>
      <c r="N71" s="254"/>
      <c r="O71" s="254"/>
      <c r="P71" s="254"/>
      <c r="Q71" s="254"/>
      <c r="R71" s="254"/>
      <c r="S71" s="254"/>
      <c r="T71" s="254"/>
      <c r="U71" s="254"/>
      <c r="V71" s="254"/>
      <c r="W71" s="254"/>
      <c r="X71" s="254"/>
      <c r="Y71" s="254"/>
      <c r="Z71" s="254"/>
      <c r="AA71" s="254"/>
      <c r="AB71" s="254"/>
      <c r="AC71" s="254"/>
    </row>
    <row r="72" ht="12.75" customHeight="1" spans="1:29">
      <c r="A72" s="201"/>
      <c r="B72" s="272"/>
      <c r="C72" s="273"/>
      <c r="D72" s="274"/>
      <c r="E72" s="275"/>
      <c r="F72" s="202"/>
      <c r="G72" s="202"/>
      <c r="H72" s="202"/>
      <c r="I72" s="255"/>
      <c r="J72" s="254"/>
      <c r="K72" s="254"/>
      <c r="L72" s="254"/>
      <c r="M72" s="254"/>
      <c r="N72" s="254"/>
      <c r="O72" s="254"/>
      <c r="P72" s="254"/>
      <c r="Q72" s="254"/>
      <c r="R72" s="254"/>
      <c r="S72" s="254"/>
      <c r="T72" s="254"/>
      <c r="U72" s="254"/>
      <c r="V72" s="254"/>
      <c r="W72" s="254"/>
      <c r="X72" s="254"/>
      <c r="Y72" s="254"/>
      <c r="Z72" s="254"/>
      <c r="AA72" s="254"/>
      <c r="AB72" s="254"/>
      <c r="AC72" s="254"/>
    </row>
    <row r="73" ht="12.75" customHeight="1" spans="1:29">
      <c r="A73" s="201"/>
      <c r="B73" s="202"/>
      <c r="C73" s="202"/>
      <c r="D73" s="203"/>
      <c r="E73" s="202"/>
      <c r="F73" s="202"/>
      <c r="G73" s="202"/>
      <c r="H73" s="202"/>
      <c r="I73" s="255"/>
      <c r="J73" s="254"/>
      <c r="K73" s="254"/>
      <c r="L73" s="254"/>
      <c r="M73" s="254"/>
      <c r="N73" s="254"/>
      <c r="O73" s="254"/>
      <c r="P73" s="254"/>
      <c r="Q73" s="254"/>
      <c r="R73" s="254"/>
      <c r="S73" s="254"/>
      <c r="T73" s="254"/>
      <c r="U73" s="254"/>
      <c r="V73" s="254"/>
      <c r="W73" s="254"/>
      <c r="X73" s="254"/>
      <c r="Y73" s="254"/>
      <c r="Z73" s="254"/>
      <c r="AA73" s="254"/>
      <c r="AB73" s="254"/>
      <c r="AC73" s="254"/>
    </row>
    <row r="74" ht="12.75" customHeight="1" spans="1:29">
      <c r="A74" s="201"/>
      <c r="B74" s="202"/>
      <c r="C74" s="202"/>
      <c r="D74" s="203"/>
      <c r="E74" s="202"/>
      <c r="F74" s="202"/>
      <c r="G74" s="202"/>
      <c r="H74" s="202"/>
      <c r="I74" s="255"/>
      <c r="J74" s="254"/>
      <c r="K74" s="254"/>
      <c r="L74" s="254"/>
      <c r="M74" s="254"/>
      <c r="N74" s="254"/>
      <c r="O74" s="254"/>
      <c r="P74" s="254"/>
      <c r="Q74" s="254"/>
      <c r="R74" s="254"/>
      <c r="S74" s="254"/>
      <c r="T74" s="254"/>
      <c r="U74" s="254"/>
      <c r="V74" s="254"/>
      <c r="W74" s="254"/>
      <c r="X74" s="254"/>
      <c r="Y74" s="254"/>
      <c r="Z74" s="254"/>
      <c r="AA74" s="254"/>
      <c r="AB74" s="254"/>
      <c r="AC74" s="254"/>
    </row>
    <row r="75" ht="12.75" customHeight="1" spans="1:29">
      <c r="A75" s="272"/>
      <c r="B75" s="273"/>
      <c r="C75" s="273"/>
      <c r="D75" s="274"/>
      <c r="E75" s="273"/>
      <c r="F75" s="273"/>
      <c r="G75" s="273"/>
      <c r="H75" s="273"/>
      <c r="I75" s="275"/>
      <c r="J75" s="254"/>
      <c r="K75" s="254"/>
      <c r="L75" s="254"/>
      <c r="M75" s="254"/>
      <c r="N75" s="254"/>
      <c r="O75" s="254"/>
      <c r="P75" s="254"/>
      <c r="Q75" s="254"/>
      <c r="R75" s="254"/>
      <c r="S75" s="254"/>
      <c r="T75" s="254"/>
      <c r="U75" s="254"/>
      <c r="V75" s="254"/>
      <c r="W75" s="254"/>
      <c r="X75" s="254"/>
      <c r="Y75" s="254"/>
      <c r="Z75" s="254"/>
      <c r="AA75" s="254"/>
      <c r="AB75" s="254"/>
      <c r="AC75" s="254"/>
    </row>
    <row r="76" ht="12.75" customHeight="1" spans="1:29">
      <c r="A76" s="254"/>
      <c r="B76" s="254"/>
      <c r="C76" s="254"/>
      <c r="D76" s="276"/>
      <c r="E76" s="254"/>
      <c r="F76" s="254"/>
      <c r="G76" s="254"/>
      <c r="H76" s="254"/>
      <c r="I76" s="254"/>
      <c r="J76" s="254"/>
      <c r="K76" s="254"/>
      <c r="L76" s="254"/>
      <c r="M76" s="254"/>
      <c r="N76" s="254"/>
      <c r="O76" s="254"/>
      <c r="P76" s="254"/>
      <c r="Q76" s="254"/>
      <c r="R76" s="254"/>
      <c r="S76" s="254"/>
      <c r="T76" s="254"/>
      <c r="U76" s="254"/>
      <c r="V76" s="254"/>
      <c r="W76" s="254"/>
      <c r="X76" s="254"/>
      <c r="Y76" s="254"/>
      <c r="Z76" s="254"/>
      <c r="AA76" s="254"/>
      <c r="AB76" s="254"/>
      <c r="AC76" s="254"/>
    </row>
    <row r="77" ht="12.75" customHeight="1" spans="1:29">
      <c r="A77" s="254"/>
      <c r="B77" s="254"/>
      <c r="C77" s="254"/>
      <c r="D77" s="276"/>
      <c r="E77" s="254"/>
      <c r="F77" s="254"/>
      <c r="G77" s="254"/>
      <c r="H77" s="254"/>
      <c r="I77" s="254"/>
      <c r="J77" s="254"/>
      <c r="K77" s="254"/>
      <c r="L77" s="254"/>
      <c r="M77" s="254"/>
      <c r="N77" s="254"/>
      <c r="O77" s="254"/>
      <c r="P77" s="254"/>
      <c r="Q77" s="254"/>
      <c r="R77" s="254"/>
      <c r="S77" s="254"/>
      <c r="T77" s="254"/>
      <c r="U77" s="254"/>
      <c r="V77" s="254"/>
      <c r="W77" s="254"/>
      <c r="X77" s="254"/>
      <c r="Y77" s="254"/>
      <c r="Z77" s="254"/>
      <c r="AA77" s="254"/>
      <c r="AB77" s="254"/>
      <c r="AC77" s="254"/>
    </row>
    <row r="78" ht="12.75" customHeight="1" spans="1:29">
      <c r="A78" s="254"/>
      <c r="B78" s="254"/>
      <c r="C78" s="254"/>
      <c r="D78" s="276"/>
      <c r="E78" s="254"/>
      <c r="F78" s="254"/>
      <c r="G78" s="254"/>
      <c r="H78" s="254"/>
      <c r="I78" s="254"/>
      <c r="J78" s="254"/>
      <c r="K78" s="254"/>
      <c r="L78" s="254"/>
      <c r="M78" s="254"/>
      <c r="N78" s="254"/>
      <c r="O78" s="254"/>
      <c r="P78" s="254"/>
      <c r="Q78" s="254"/>
      <c r="R78" s="254"/>
      <c r="S78" s="254"/>
      <c r="T78" s="254"/>
      <c r="U78" s="254"/>
      <c r="V78" s="254"/>
      <c r="W78" s="254"/>
      <c r="X78" s="254"/>
      <c r="Y78" s="254"/>
      <c r="Z78" s="254"/>
      <c r="AA78" s="254"/>
      <c r="AB78" s="254"/>
      <c r="AC78" s="254"/>
    </row>
    <row r="79" ht="12.75" customHeight="1" spans="1:29">
      <c r="A79" s="254"/>
      <c r="B79" s="254"/>
      <c r="C79" s="254"/>
      <c r="D79" s="276"/>
      <c r="E79" s="254"/>
      <c r="F79" s="254"/>
      <c r="G79" s="254"/>
      <c r="H79" s="254"/>
      <c r="I79" s="254"/>
      <c r="J79" s="254"/>
      <c r="K79" s="254"/>
      <c r="L79" s="254"/>
      <c r="M79" s="254"/>
      <c r="N79" s="254"/>
      <c r="O79" s="254"/>
      <c r="P79" s="254"/>
      <c r="Q79" s="254"/>
      <c r="R79" s="254"/>
      <c r="S79" s="254"/>
      <c r="T79" s="254"/>
      <c r="U79" s="254"/>
      <c r="V79" s="254"/>
      <c r="W79" s="254"/>
      <c r="X79" s="254"/>
      <c r="Y79" s="254"/>
      <c r="Z79" s="254"/>
      <c r="AA79" s="254"/>
      <c r="AB79" s="254"/>
      <c r="AC79" s="254"/>
    </row>
    <row r="80" ht="12.75" customHeight="1" spans="1:29">
      <c r="A80" s="254"/>
      <c r="B80" s="254"/>
      <c r="C80" s="254"/>
      <c r="D80" s="276"/>
      <c r="E80" s="254"/>
      <c r="F80" s="254"/>
      <c r="G80" s="254"/>
      <c r="H80" s="254"/>
      <c r="I80" s="254"/>
      <c r="J80" s="254"/>
      <c r="K80" s="254"/>
      <c r="L80" s="254"/>
      <c r="M80" s="254"/>
      <c r="N80" s="254"/>
      <c r="O80" s="254"/>
      <c r="P80" s="254"/>
      <c r="Q80" s="254"/>
      <c r="R80" s="254"/>
      <c r="S80" s="254"/>
      <c r="T80" s="254"/>
      <c r="U80" s="254"/>
      <c r="V80" s="254"/>
      <c r="W80" s="254"/>
      <c r="X80" s="254"/>
      <c r="Y80" s="254"/>
      <c r="Z80" s="254"/>
      <c r="AA80" s="254"/>
      <c r="AB80" s="254"/>
      <c r="AC80" s="254"/>
    </row>
    <row r="81" ht="12.75" customHeight="1" spans="1:29">
      <c r="A81" s="254"/>
      <c r="B81" s="254"/>
      <c r="C81" s="254"/>
      <c r="D81" s="276"/>
      <c r="E81" s="254"/>
      <c r="F81" s="254"/>
      <c r="G81" s="254"/>
      <c r="H81" s="254"/>
      <c r="I81" s="254"/>
      <c r="J81" s="254"/>
      <c r="K81" s="254"/>
      <c r="L81" s="254"/>
      <c r="M81" s="254"/>
      <c r="N81" s="254"/>
      <c r="O81" s="254"/>
      <c r="P81" s="254"/>
      <c r="Q81" s="254"/>
      <c r="R81" s="254"/>
      <c r="S81" s="254"/>
      <c r="T81" s="254"/>
      <c r="U81" s="254"/>
      <c r="V81" s="254"/>
      <c r="W81" s="254"/>
      <c r="X81" s="254"/>
      <c r="Y81" s="254"/>
      <c r="Z81" s="254"/>
      <c r="AA81" s="254"/>
      <c r="AB81" s="254"/>
      <c r="AC81" s="254"/>
    </row>
    <row r="82" ht="12.75" customHeight="1" spans="1:29">
      <c r="A82" s="254"/>
      <c r="B82" s="254"/>
      <c r="C82" s="254"/>
      <c r="D82" s="276"/>
      <c r="E82" s="254"/>
      <c r="F82" s="254"/>
      <c r="G82" s="254"/>
      <c r="H82" s="254"/>
      <c r="I82" s="254"/>
      <c r="J82" s="254"/>
      <c r="K82" s="254"/>
      <c r="L82" s="254"/>
      <c r="M82" s="254"/>
      <c r="N82" s="254"/>
      <c r="O82" s="254"/>
      <c r="P82" s="254"/>
      <c r="Q82" s="254"/>
      <c r="R82" s="254"/>
      <c r="S82" s="254"/>
      <c r="T82" s="254"/>
      <c r="U82" s="254"/>
      <c r="V82" s="254"/>
      <c r="W82" s="254"/>
      <c r="X82" s="254"/>
      <c r="Y82" s="254"/>
      <c r="Z82" s="254"/>
      <c r="AA82" s="254"/>
      <c r="AB82" s="254"/>
      <c r="AC82" s="254"/>
    </row>
    <row r="83" ht="12.75" customHeight="1" spans="1:29">
      <c r="A83" s="254"/>
      <c r="B83" s="254"/>
      <c r="C83" s="254"/>
      <c r="D83" s="276"/>
      <c r="E83" s="254"/>
      <c r="F83" s="254"/>
      <c r="G83" s="254"/>
      <c r="H83" s="254"/>
      <c r="I83" s="254"/>
      <c r="J83" s="254"/>
      <c r="K83" s="254"/>
      <c r="L83" s="254"/>
      <c r="M83" s="254"/>
      <c r="N83" s="254"/>
      <c r="O83" s="254"/>
      <c r="P83" s="254"/>
      <c r="Q83" s="254"/>
      <c r="R83" s="254"/>
      <c r="S83" s="254"/>
      <c r="T83" s="254"/>
      <c r="U83" s="254"/>
      <c r="V83" s="254"/>
      <c r="W83" s="254"/>
      <c r="X83" s="254"/>
      <c r="Y83" s="254"/>
      <c r="Z83" s="254"/>
      <c r="AA83" s="254"/>
      <c r="AB83" s="254"/>
      <c r="AC83" s="254"/>
    </row>
    <row r="84" ht="12.75" customHeight="1" spans="1:29">
      <c r="A84" s="254"/>
      <c r="B84" s="254"/>
      <c r="C84" s="254"/>
      <c r="D84" s="276"/>
      <c r="E84" s="254"/>
      <c r="F84" s="254"/>
      <c r="G84" s="254"/>
      <c r="H84" s="254"/>
      <c r="I84" s="254"/>
      <c r="J84" s="254"/>
      <c r="K84" s="254"/>
      <c r="L84" s="254"/>
      <c r="M84" s="254"/>
      <c r="N84" s="254"/>
      <c r="O84" s="254"/>
      <c r="P84" s="254"/>
      <c r="Q84" s="254"/>
      <c r="R84" s="254"/>
      <c r="S84" s="254"/>
      <c r="T84" s="254"/>
      <c r="U84" s="254"/>
      <c r="V84" s="254"/>
      <c r="W84" s="254"/>
      <c r="X84" s="254"/>
      <c r="Y84" s="254"/>
      <c r="Z84" s="254"/>
      <c r="AA84" s="254"/>
      <c r="AB84" s="254"/>
      <c r="AC84" s="254"/>
    </row>
    <row r="85" ht="12.75" customHeight="1" spans="1:29">
      <c r="A85" s="254"/>
      <c r="B85" s="254"/>
      <c r="C85" s="254"/>
      <c r="D85" s="276"/>
      <c r="E85" s="254"/>
      <c r="F85" s="254"/>
      <c r="G85" s="254"/>
      <c r="H85" s="254"/>
      <c r="I85" s="254"/>
      <c r="J85" s="254"/>
      <c r="K85" s="254"/>
      <c r="L85" s="254"/>
      <c r="M85" s="254"/>
      <c r="N85" s="254"/>
      <c r="O85" s="254"/>
      <c r="P85" s="254"/>
      <c r="Q85" s="254"/>
      <c r="R85" s="254"/>
      <c r="S85" s="254"/>
      <c r="T85" s="254"/>
      <c r="U85" s="254"/>
      <c r="V85" s="254"/>
      <c r="W85" s="254"/>
      <c r="X85" s="254"/>
      <c r="Y85" s="254"/>
      <c r="Z85" s="254"/>
      <c r="AA85" s="254"/>
      <c r="AB85" s="254"/>
      <c r="AC85" s="254"/>
    </row>
    <row r="86" ht="12.75" customHeight="1" spans="1:29">
      <c r="A86" s="254"/>
      <c r="B86" s="254"/>
      <c r="C86" s="254"/>
      <c r="D86" s="276"/>
      <c r="E86" s="254"/>
      <c r="F86" s="254"/>
      <c r="G86" s="254"/>
      <c r="H86" s="254"/>
      <c r="I86" s="254"/>
      <c r="J86" s="254"/>
      <c r="K86" s="254"/>
      <c r="L86" s="254"/>
      <c r="M86" s="254"/>
      <c r="N86" s="254"/>
      <c r="O86" s="254"/>
      <c r="P86" s="254"/>
      <c r="Q86" s="254"/>
      <c r="R86" s="254"/>
      <c r="S86" s="254"/>
      <c r="T86" s="254"/>
      <c r="U86" s="254"/>
      <c r="V86" s="254"/>
      <c r="W86" s="254"/>
      <c r="X86" s="254"/>
      <c r="Y86" s="254"/>
      <c r="Z86" s="254"/>
      <c r="AA86" s="254"/>
      <c r="AB86" s="254"/>
      <c r="AC86" s="254"/>
    </row>
    <row r="87" ht="12.75" customHeight="1" spans="1:29">
      <c r="A87" s="254"/>
      <c r="B87" s="254"/>
      <c r="C87" s="254"/>
      <c r="D87" s="276"/>
      <c r="E87" s="254"/>
      <c r="F87" s="254"/>
      <c r="G87" s="254"/>
      <c r="H87" s="254"/>
      <c r="I87" s="254"/>
      <c r="J87" s="254"/>
      <c r="K87" s="254"/>
      <c r="L87" s="254"/>
      <c r="M87" s="254"/>
      <c r="N87" s="254"/>
      <c r="O87" s="254"/>
      <c r="P87" s="254"/>
      <c r="Q87" s="254"/>
      <c r="R87" s="254"/>
      <c r="S87" s="254"/>
      <c r="T87" s="254"/>
      <c r="U87" s="254"/>
      <c r="V87" s="254"/>
      <c r="W87" s="254"/>
      <c r="X87" s="254"/>
      <c r="Y87" s="254"/>
      <c r="Z87" s="254"/>
      <c r="AA87" s="254"/>
      <c r="AB87" s="254"/>
      <c r="AC87" s="254"/>
    </row>
    <row r="88" ht="12.75" customHeight="1" spans="1:29">
      <c r="A88" s="254"/>
      <c r="B88" s="254"/>
      <c r="C88" s="254"/>
      <c r="D88" s="276"/>
      <c r="E88" s="254"/>
      <c r="F88" s="254"/>
      <c r="G88" s="254"/>
      <c r="H88" s="254"/>
      <c r="I88" s="254"/>
      <c r="J88" s="254"/>
      <c r="K88" s="254"/>
      <c r="L88" s="254"/>
      <c r="M88" s="254"/>
      <c r="N88" s="254"/>
      <c r="O88" s="254"/>
      <c r="P88" s="254"/>
      <c r="Q88" s="254"/>
      <c r="R88" s="254"/>
      <c r="S88" s="254"/>
      <c r="T88" s="254"/>
      <c r="U88" s="254"/>
      <c r="V88" s="254"/>
      <c r="W88" s="254"/>
      <c r="X88" s="254"/>
      <c r="Y88" s="254"/>
      <c r="Z88" s="254"/>
      <c r="AA88" s="254"/>
      <c r="AB88" s="254"/>
      <c r="AC88" s="254"/>
    </row>
    <row r="89" ht="12.75" customHeight="1" spans="1:29">
      <c r="A89" s="254"/>
      <c r="B89" s="254"/>
      <c r="C89" s="254"/>
      <c r="D89" s="276"/>
      <c r="E89" s="254"/>
      <c r="F89" s="254"/>
      <c r="G89" s="254"/>
      <c r="H89" s="254"/>
      <c r="I89" s="254"/>
      <c r="J89" s="254"/>
      <c r="K89" s="254"/>
      <c r="L89" s="254"/>
      <c r="M89" s="254"/>
      <c r="N89" s="254"/>
      <c r="O89" s="254"/>
      <c r="P89" s="254"/>
      <c r="Q89" s="254"/>
      <c r="R89" s="254"/>
      <c r="S89" s="254"/>
      <c r="T89" s="254"/>
      <c r="U89" s="254"/>
      <c r="V89" s="254"/>
      <c r="W89" s="254"/>
      <c r="X89" s="254"/>
      <c r="Y89" s="254"/>
      <c r="Z89" s="254"/>
      <c r="AA89" s="254"/>
      <c r="AB89" s="254"/>
      <c r="AC89" s="254"/>
    </row>
    <row r="90" ht="12.75" customHeight="1" spans="1:29">
      <c r="A90" s="254"/>
      <c r="B90" s="254"/>
      <c r="C90" s="254"/>
      <c r="D90" s="276"/>
      <c r="E90" s="254"/>
      <c r="F90" s="254"/>
      <c r="G90" s="254"/>
      <c r="H90" s="254"/>
      <c r="I90" s="254"/>
      <c r="J90" s="254"/>
      <c r="K90" s="254"/>
      <c r="L90" s="254"/>
      <c r="M90" s="254"/>
      <c r="N90" s="254"/>
      <c r="O90" s="254"/>
      <c r="P90" s="254"/>
      <c r="Q90" s="254"/>
      <c r="R90" s="254"/>
      <c r="S90" s="254"/>
      <c r="T90" s="254"/>
      <c r="U90" s="254"/>
      <c r="V90" s="254"/>
      <c r="W90" s="254"/>
      <c r="X90" s="254"/>
      <c r="Y90" s="254"/>
      <c r="Z90" s="254"/>
      <c r="AA90" s="254"/>
      <c r="AB90" s="254"/>
      <c r="AC90" s="254"/>
    </row>
    <row r="91" ht="12.75" customHeight="1" spans="1:29">
      <c r="A91" s="254"/>
      <c r="B91" s="254"/>
      <c r="C91" s="254"/>
      <c r="D91" s="276"/>
      <c r="E91" s="254"/>
      <c r="F91" s="254"/>
      <c r="G91" s="254"/>
      <c r="H91" s="254"/>
      <c r="I91" s="254"/>
      <c r="J91" s="254"/>
      <c r="K91" s="254"/>
      <c r="L91" s="254"/>
      <c r="M91" s="254"/>
      <c r="N91" s="254"/>
      <c r="O91" s="254"/>
      <c r="P91" s="254"/>
      <c r="Q91" s="254"/>
      <c r="R91" s="254"/>
      <c r="S91" s="254"/>
      <c r="T91" s="254"/>
      <c r="U91" s="254"/>
      <c r="V91" s="254"/>
      <c r="W91" s="254"/>
      <c r="X91" s="254"/>
      <c r="Y91" s="254"/>
      <c r="Z91" s="254"/>
      <c r="AA91" s="254"/>
      <c r="AB91" s="254"/>
      <c r="AC91" s="254"/>
    </row>
    <row r="92" ht="12.75" customHeight="1" spans="1:29">
      <c r="A92" s="254"/>
      <c r="B92" s="254"/>
      <c r="C92" s="254"/>
      <c r="D92" s="276"/>
      <c r="E92" s="254"/>
      <c r="F92" s="254"/>
      <c r="G92" s="254"/>
      <c r="H92" s="254"/>
      <c r="I92" s="254"/>
      <c r="J92" s="254"/>
      <c r="K92" s="254"/>
      <c r="L92" s="254"/>
      <c r="M92" s="254"/>
      <c r="N92" s="254"/>
      <c r="O92" s="254"/>
      <c r="P92" s="254"/>
      <c r="Q92" s="254"/>
      <c r="R92" s="254"/>
      <c r="S92" s="254"/>
      <c r="T92" s="254"/>
      <c r="U92" s="254"/>
      <c r="V92" s="254"/>
      <c r="W92" s="254"/>
      <c r="X92" s="254"/>
      <c r="Y92" s="254"/>
      <c r="Z92" s="254"/>
      <c r="AA92" s="254"/>
      <c r="AB92" s="254"/>
      <c r="AC92" s="254"/>
    </row>
    <row r="93" ht="12.75" customHeight="1" spans="1:29">
      <c r="A93" s="254"/>
      <c r="B93" s="254"/>
      <c r="C93" s="254"/>
      <c r="D93" s="276"/>
      <c r="E93" s="254"/>
      <c r="F93" s="254"/>
      <c r="G93" s="254"/>
      <c r="H93" s="254"/>
      <c r="I93" s="254"/>
      <c r="J93" s="254"/>
      <c r="K93" s="254"/>
      <c r="L93" s="254"/>
      <c r="M93" s="254"/>
      <c r="N93" s="254"/>
      <c r="O93" s="254"/>
      <c r="P93" s="254"/>
      <c r="Q93" s="254"/>
      <c r="R93" s="254"/>
      <c r="S93" s="254"/>
      <c r="T93" s="254"/>
      <c r="U93" s="254"/>
      <c r="V93" s="254"/>
      <c r="W93" s="254"/>
      <c r="X93" s="254"/>
      <c r="Y93" s="254"/>
      <c r="Z93" s="254"/>
      <c r="AA93" s="254"/>
      <c r="AB93" s="254"/>
      <c r="AC93" s="254"/>
    </row>
    <row r="94" ht="12.75" customHeight="1" spans="1:29">
      <c r="A94" s="254"/>
      <c r="B94" s="254"/>
      <c r="C94" s="254"/>
      <c r="D94" s="276"/>
      <c r="E94" s="254"/>
      <c r="F94" s="254"/>
      <c r="G94" s="254"/>
      <c r="H94" s="254"/>
      <c r="I94" s="254"/>
      <c r="J94" s="254"/>
      <c r="K94" s="254"/>
      <c r="L94" s="254"/>
      <c r="M94" s="254"/>
      <c r="N94" s="254"/>
      <c r="O94" s="254"/>
      <c r="P94" s="254"/>
      <c r="Q94" s="254"/>
      <c r="R94" s="254"/>
      <c r="S94" s="254"/>
      <c r="T94" s="254"/>
      <c r="U94" s="254"/>
      <c r="V94" s="254"/>
      <c r="W94" s="254"/>
      <c r="X94" s="254"/>
      <c r="Y94" s="254"/>
      <c r="Z94" s="254"/>
      <c r="AA94" s="254"/>
      <c r="AB94" s="254"/>
      <c r="AC94" s="254"/>
    </row>
    <row r="95" ht="12.75" customHeight="1" spans="1:29">
      <c r="A95" s="254"/>
      <c r="B95" s="254"/>
      <c r="C95" s="254"/>
      <c r="D95" s="276"/>
      <c r="E95" s="254"/>
      <c r="F95" s="254"/>
      <c r="G95" s="254"/>
      <c r="H95" s="254"/>
      <c r="I95" s="254"/>
      <c r="J95" s="254"/>
      <c r="K95" s="254"/>
      <c r="L95" s="254"/>
      <c r="M95" s="254"/>
      <c r="N95" s="254"/>
      <c r="O95" s="254"/>
      <c r="P95" s="254"/>
      <c r="Q95" s="254"/>
      <c r="R95" s="254"/>
      <c r="S95" s="254"/>
      <c r="T95" s="254"/>
      <c r="U95" s="254"/>
      <c r="V95" s="254"/>
      <c r="W95" s="254"/>
      <c r="X95" s="254"/>
      <c r="Y95" s="254"/>
      <c r="Z95" s="254"/>
      <c r="AA95" s="254"/>
      <c r="AB95" s="254"/>
      <c r="AC95" s="254"/>
    </row>
    <row r="96" ht="12.75" customHeight="1" spans="1:29">
      <c r="A96" s="254"/>
      <c r="B96" s="254"/>
      <c r="C96" s="254"/>
      <c r="D96" s="276"/>
      <c r="E96" s="254"/>
      <c r="F96" s="254"/>
      <c r="G96" s="254"/>
      <c r="H96" s="254"/>
      <c r="I96" s="254"/>
      <c r="J96" s="254"/>
      <c r="K96" s="254"/>
      <c r="L96" s="254"/>
      <c r="M96" s="254"/>
      <c r="N96" s="254"/>
      <c r="O96" s="254"/>
      <c r="P96" s="254"/>
      <c r="Q96" s="254"/>
      <c r="R96" s="254"/>
      <c r="S96" s="254"/>
      <c r="T96" s="254"/>
      <c r="U96" s="254"/>
      <c r="V96" s="254"/>
      <c r="W96" s="254"/>
      <c r="X96" s="254"/>
      <c r="Y96" s="254"/>
      <c r="Z96" s="254"/>
      <c r="AA96" s="254"/>
      <c r="AB96" s="254"/>
      <c r="AC96" s="254"/>
    </row>
    <row r="97" ht="12.75" customHeight="1" spans="1:29">
      <c r="A97" s="254"/>
      <c r="B97" s="254"/>
      <c r="C97" s="254"/>
      <c r="D97" s="276"/>
      <c r="E97" s="254"/>
      <c r="F97" s="254"/>
      <c r="G97" s="254"/>
      <c r="H97" s="254"/>
      <c r="I97" s="254"/>
      <c r="J97" s="254"/>
      <c r="K97" s="254"/>
      <c r="L97" s="254"/>
      <c r="M97" s="254"/>
      <c r="N97" s="254"/>
      <c r="O97" s="254"/>
      <c r="P97" s="254"/>
      <c r="Q97" s="254"/>
      <c r="R97" s="254"/>
      <c r="S97" s="254"/>
      <c r="T97" s="254"/>
      <c r="U97" s="254"/>
      <c r="V97" s="254"/>
      <c r="W97" s="254"/>
      <c r="X97" s="254"/>
      <c r="Y97" s="254"/>
      <c r="Z97" s="254"/>
      <c r="AA97" s="254"/>
      <c r="AB97" s="254"/>
      <c r="AC97" s="254"/>
    </row>
    <row r="98" ht="12.75" customHeight="1" spans="1:29">
      <c r="A98" s="254"/>
      <c r="B98" s="254"/>
      <c r="C98" s="254"/>
      <c r="D98" s="276"/>
      <c r="E98" s="254"/>
      <c r="F98" s="254"/>
      <c r="G98" s="254"/>
      <c r="H98" s="254"/>
      <c r="I98" s="254"/>
      <c r="J98" s="254"/>
      <c r="K98" s="254"/>
      <c r="L98" s="254"/>
      <c r="M98" s="254"/>
      <c r="N98" s="254"/>
      <c r="O98" s="254"/>
      <c r="P98" s="254"/>
      <c r="Q98" s="254"/>
      <c r="R98" s="254"/>
      <c r="S98" s="254"/>
      <c r="T98" s="254"/>
      <c r="U98" s="254"/>
      <c r="V98" s="254"/>
      <c r="W98" s="254"/>
      <c r="X98" s="254"/>
      <c r="Y98" s="254"/>
      <c r="Z98" s="254"/>
      <c r="AA98" s="254"/>
      <c r="AB98" s="254"/>
      <c r="AC98" s="254"/>
    </row>
    <row r="99" ht="12.75" customHeight="1" spans="1:29">
      <c r="A99" s="254"/>
      <c r="B99" s="254"/>
      <c r="C99" s="254"/>
      <c r="D99" s="276"/>
      <c r="E99" s="254"/>
      <c r="F99" s="254"/>
      <c r="G99" s="254"/>
      <c r="H99" s="254"/>
      <c r="I99" s="254"/>
      <c r="J99" s="254"/>
      <c r="K99" s="254"/>
      <c r="L99" s="254"/>
      <c r="M99" s="254"/>
      <c r="N99" s="254"/>
      <c r="O99" s="254"/>
      <c r="P99" s="254"/>
      <c r="Q99" s="254"/>
      <c r="R99" s="254"/>
      <c r="S99" s="254"/>
      <c r="T99" s="254"/>
      <c r="U99" s="254"/>
      <c r="V99" s="254"/>
      <c r="W99" s="254"/>
      <c r="X99" s="254"/>
      <c r="Y99" s="254"/>
      <c r="Z99" s="254"/>
      <c r="AA99" s="254"/>
      <c r="AB99" s="254"/>
      <c r="AC99" s="254"/>
    </row>
    <row r="100" ht="12.75" customHeight="1" spans="1:29">
      <c r="A100" s="254"/>
      <c r="B100" s="254"/>
      <c r="C100" s="254"/>
      <c r="D100" s="276"/>
      <c r="E100" s="254"/>
      <c r="F100" s="254"/>
      <c r="G100" s="254"/>
      <c r="H100" s="254"/>
      <c r="I100" s="254"/>
      <c r="J100" s="254"/>
      <c r="K100" s="254"/>
      <c r="L100" s="254"/>
      <c r="M100" s="254"/>
      <c r="N100" s="254"/>
      <c r="O100" s="254"/>
      <c r="P100" s="254"/>
      <c r="Q100" s="254"/>
      <c r="R100" s="254"/>
      <c r="S100" s="254"/>
      <c r="T100" s="254"/>
      <c r="U100" s="254"/>
      <c r="V100" s="254"/>
      <c r="W100" s="254"/>
      <c r="X100" s="254"/>
      <c r="Y100" s="254"/>
      <c r="Z100" s="254"/>
      <c r="AA100" s="254"/>
      <c r="AB100" s="254"/>
      <c r="AC100" s="254"/>
    </row>
    <row r="101" ht="12.75" customHeight="1" spans="1:29">
      <c r="A101" s="254"/>
      <c r="B101" s="254"/>
      <c r="C101" s="254"/>
      <c r="D101" s="276"/>
      <c r="E101" s="254"/>
      <c r="F101" s="254"/>
      <c r="G101" s="254"/>
      <c r="H101" s="254"/>
      <c r="I101" s="254"/>
      <c r="J101" s="254"/>
      <c r="K101" s="254"/>
      <c r="L101" s="254"/>
      <c r="M101" s="254"/>
      <c r="N101" s="254"/>
      <c r="O101" s="254"/>
      <c r="P101" s="254"/>
      <c r="Q101" s="254"/>
      <c r="R101" s="254"/>
      <c r="S101" s="254"/>
      <c r="T101" s="254"/>
      <c r="U101" s="254"/>
      <c r="V101" s="254"/>
      <c r="W101" s="254"/>
      <c r="X101" s="254"/>
      <c r="Y101" s="254"/>
      <c r="Z101" s="254"/>
      <c r="AA101" s="254"/>
      <c r="AB101" s="254"/>
      <c r="AC101" s="254"/>
    </row>
    <row r="102" ht="12.75" customHeight="1" spans="1:29">
      <c r="A102" s="254"/>
      <c r="B102" s="254"/>
      <c r="C102" s="254"/>
      <c r="D102" s="276"/>
      <c r="E102" s="254"/>
      <c r="F102" s="254"/>
      <c r="G102" s="254"/>
      <c r="H102" s="254"/>
      <c r="I102" s="254"/>
      <c r="J102" s="254"/>
      <c r="K102" s="254"/>
      <c r="L102" s="254"/>
      <c r="M102" s="254"/>
      <c r="N102" s="254"/>
      <c r="O102" s="254"/>
      <c r="P102" s="254"/>
      <c r="Q102" s="254"/>
      <c r="R102" s="254"/>
      <c r="S102" s="254"/>
      <c r="T102" s="254"/>
      <c r="U102" s="254"/>
      <c r="V102" s="254"/>
      <c r="W102" s="254"/>
      <c r="X102" s="254"/>
      <c r="Y102" s="254"/>
      <c r="Z102" s="254"/>
      <c r="AA102" s="254"/>
      <c r="AB102" s="254"/>
      <c r="AC102" s="254"/>
    </row>
    <row r="103" ht="12.75" customHeight="1" spans="1:29">
      <c r="A103" s="254"/>
      <c r="B103" s="254"/>
      <c r="C103" s="254"/>
      <c r="D103" s="276"/>
      <c r="E103" s="254"/>
      <c r="F103" s="254"/>
      <c r="G103" s="254"/>
      <c r="H103" s="254"/>
      <c r="I103" s="254"/>
      <c r="J103" s="254"/>
      <c r="K103" s="254"/>
      <c r="L103" s="254"/>
      <c r="M103" s="254"/>
      <c r="N103" s="254"/>
      <c r="O103" s="254"/>
      <c r="P103" s="254"/>
      <c r="Q103" s="254"/>
      <c r="R103" s="254"/>
      <c r="S103" s="254"/>
      <c r="T103" s="254"/>
      <c r="U103" s="254"/>
      <c r="V103" s="254"/>
      <c r="W103" s="254"/>
      <c r="X103" s="254"/>
      <c r="Y103" s="254"/>
      <c r="Z103" s="254"/>
      <c r="AA103" s="254"/>
      <c r="AB103" s="254"/>
      <c r="AC103" s="254"/>
    </row>
    <row r="104" ht="12.75" customHeight="1" spans="1:29">
      <c r="A104" s="254"/>
      <c r="B104" s="254"/>
      <c r="C104" s="254"/>
      <c r="D104" s="276"/>
      <c r="E104" s="254"/>
      <c r="F104" s="254"/>
      <c r="G104" s="254"/>
      <c r="H104" s="254"/>
      <c r="I104" s="254"/>
      <c r="J104" s="254"/>
      <c r="K104" s="254"/>
      <c r="L104" s="254"/>
      <c r="M104" s="254"/>
      <c r="N104" s="254"/>
      <c r="O104" s="254"/>
      <c r="P104" s="254"/>
      <c r="Q104" s="254"/>
      <c r="R104" s="254"/>
      <c r="S104" s="254"/>
      <c r="T104" s="254"/>
      <c r="U104" s="254"/>
      <c r="V104" s="254"/>
      <c r="W104" s="254"/>
      <c r="X104" s="254"/>
      <c r="Y104" s="254"/>
      <c r="Z104" s="254"/>
      <c r="AA104" s="254"/>
      <c r="AB104" s="254"/>
      <c r="AC104" s="254"/>
    </row>
    <row r="105" ht="12.75" customHeight="1" spans="1:29">
      <c r="A105" s="254"/>
      <c r="B105" s="254"/>
      <c r="C105" s="254"/>
      <c r="D105" s="276"/>
      <c r="E105" s="254"/>
      <c r="F105" s="254"/>
      <c r="G105" s="254"/>
      <c r="H105" s="254"/>
      <c r="I105" s="254"/>
      <c r="J105" s="254"/>
      <c r="K105" s="254"/>
      <c r="L105" s="254"/>
      <c r="M105" s="254"/>
      <c r="N105" s="254"/>
      <c r="O105" s="254"/>
      <c r="P105" s="254"/>
      <c r="Q105" s="254"/>
      <c r="R105" s="254"/>
      <c r="S105" s="254"/>
      <c r="T105" s="254"/>
      <c r="U105" s="254"/>
      <c r="V105" s="254"/>
      <c r="W105" s="254"/>
      <c r="X105" s="254"/>
      <c r="Y105" s="254"/>
      <c r="Z105" s="254"/>
      <c r="AA105" s="254"/>
      <c r="AB105" s="254"/>
      <c r="AC105" s="254"/>
    </row>
    <row r="106" ht="12.75" customHeight="1" spans="1:29">
      <c r="A106" s="254"/>
      <c r="B106" s="254"/>
      <c r="C106" s="254"/>
      <c r="D106" s="276"/>
      <c r="E106" s="254"/>
      <c r="F106" s="254"/>
      <c r="G106" s="254"/>
      <c r="H106" s="254"/>
      <c r="I106" s="254"/>
      <c r="J106" s="254"/>
      <c r="K106" s="254"/>
      <c r="L106" s="254"/>
      <c r="M106" s="254"/>
      <c r="N106" s="254"/>
      <c r="O106" s="254"/>
      <c r="P106" s="254"/>
      <c r="Q106" s="254"/>
      <c r="R106" s="254"/>
      <c r="S106" s="254"/>
      <c r="T106" s="254"/>
      <c r="U106" s="254"/>
      <c r="V106" s="254"/>
      <c r="W106" s="254"/>
      <c r="X106" s="254"/>
      <c r="Y106" s="254"/>
      <c r="Z106" s="254"/>
      <c r="AA106" s="254"/>
      <c r="AB106" s="254"/>
      <c r="AC106" s="254"/>
    </row>
    <row r="107" ht="12.75" customHeight="1" spans="1:29">
      <c r="A107" s="254"/>
      <c r="B107" s="254"/>
      <c r="C107" s="254"/>
      <c r="D107" s="276"/>
      <c r="E107" s="254"/>
      <c r="F107" s="254"/>
      <c r="G107" s="254"/>
      <c r="H107" s="254"/>
      <c r="I107" s="254"/>
      <c r="J107" s="254"/>
      <c r="K107" s="254"/>
      <c r="L107" s="254"/>
      <c r="M107" s="254"/>
      <c r="N107" s="254"/>
      <c r="O107" s="254"/>
      <c r="P107" s="254"/>
      <c r="Q107" s="254"/>
      <c r="R107" s="254"/>
      <c r="S107" s="254"/>
      <c r="T107" s="254"/>
      <c r="U107" s="254"/>
      <c r="V107" s="254"/>
      <c r="W107" s="254"/>
      <c r="X107" s="254"/>
      <c r="Y107" s="254"/>
      <c r="Z107" s="254"/>
      <c r="AA107" s="254"/>
      <c r="AB107" s="254"/>
      <c r="AC107" s="254"/>
    </row>
    <row r="108" ht="12.75" customHeight="1" spans="1:29">
      <c r="A108" s="254"/>
      <c r="B108" s="254"/>
      <c r="C108" s="254"/>
      <c r="D108" s="276"/>
      <c r="E108" s="254"/>
      <c r="F108" s="254"/>
      <c r="G108" s="254"/>
      <c r="H108" s="254"/>
      <c r="I108" s="254"/>
      <c r="J108" s="254"/>
      <c r="K108" s="254"/>
      <c r="L108" s="254"/>
      <c r="M108" s="254"/>
      <c r="N108" s="254"/>
      <c r="O108" s="254"/>
      <c r="P108" s="254"/>
      <c r="Q108" s="254"/>
      <c r="R108" s="254"/>
      <c r="S108" s="254"/>
      <c r="T108" s="254"/>
      <c r="U108" s="254"/>
      <c r="V108" s="254"/>
      <c r="W108" s="254"/>
      <c r="X108" s="254"/>
      <c r="Y108" s="254"/>
      <c r="Z108" s="254"/>
      <c r="AA108" s="254"/>
      <c r="AB108" s="254"/>
      <c r="AC108" s="254"/>
    </row>
    <row r="109" ht="12.75" customHeight="1" spans="1:29">
      <c r="A109" s="254"/>
      <c r="B109" s="254"/>
      <c r="C109" s="254"/>
      <c r="D109" s="276"/>
      <c r="E109" s="254"/>
      <c r="F109" s="254"/>
      <c r="G109" s="254"/>
      <c r="H109" s="254"/>
      <c r="I109" s="254"/>
      <c r="J109" s="254"/>
      <c r="K109" s="254"/>
      <c r="L109" s="254"/>
      <c r="M109" s="254"/>
      <c r="N109" s="254"/>
      <c r="O109" s="254"/>
      <c r="P109" s="254"/>
      <c r="Q109" s="254"/>
      <c r="R109" s="254"/>
      <c r="S109" s="254"/>
      <c r="T109" s="254"/>
      <c r="U109" s="254"/>
      <c r="V109" s="254"/>
      <c r="W109" s="254"/>
      <c r="X109" s="254"/>
      <c r="Y109" s="254"/>
      <c r="Z109" s="254"/>
      <c r="AA109" s="254"/>
      <c r="AB109" s="254"/>
      <c r="AC109" s="254"/>
    </row>
    <row r="110" ht="12.75" customHeight="1" spans="1:29">
      <c r="A110" s="254"/>
      <c r="B110" s="254"/>
      <c r="C110" s="254"/>
      <c r="D110" s="276"/>
      <c r="E110" s="254"/>
      <c r="F110" s="254"/>
      <c r="G110" s="254"/>
      <c r="H110" s="254"/>
      <c r="I110" s="254"/>
      <c r="J110" s="254"/>
      <c r="K110" s="254"/>
      <c r="L110" s="254"/>
      <c r="M110" s="254"/>
      <c r="N110" s="254"/>
      <c r="O110" s="254"/>
      <c r="P110" s="254"/>
      <c r="Q110" s="254"/>
      <c r="R110" s="254"/>
      <c r="S110" s="254"/>
      <c r="T110" s="254"/>
      <c r="U110" s="254"/>
      <c r="V110" s="254"/>
      <c r="W110" s="254"/>
      <c r="X110" s="254"/>
      <c r="Y110" s="254"/>
      <c r="Z110" s="254"/>
      <c r="AA110" s="254"/>
      <c r="AB110" s="254"/>
      <c r="AC110" s="254"/>
    </row>
    <row r="111" ht="12.75" customHeight="1" spans="1:29">
      <c r="A111" s="254"/>
      <c r="B111" s="254"/>
      <c r="C111" s="254"/>
      <c r="D111" s="276"/>
      <c r="E111" s="254"/>
      <c r="F111" s="254"/>
      <c r="G111" s="254"/>
      <c r="H111" s="254"/>
      <c r="I111" s="254"/>
      <c r="J111" s="254"/>
      <c r="K111" s="254"/>
      <c r="L111" s="254"/>
      <c r="M111" s="254"/>
      <c r="N111" s="254"/>
      <c r="O111" s="254"/>
      <c r="P111" s="254"/>
      <c r="Q111" s="254"/>
      <c r="R111" s="254"/>
      <c r="S111" s="254"/>
      <c r="T111" s="254"/>
      <c r="U111" s="254"/>
      <c r="V111" s="254"/>
      <c r="W111" s="254"/>
      <c r="X111" s="254"/>
      <c r="Y111" s="254"/>
      <c r="Z111" s="254"/>
      <c r="AA111" s="254"/>
      <c r="AB111" s="254"/>
      <c r="AC111" s="254"/>
    </row>
    <row r="112" ht="12.75" customHeight="1" spans="1:29">
      <c r="A112" s="254"/>
      <c r="B112" s="254"/>
      <c r="C112" s="254"/>
      <c r="D112" s="276"/>
      <c r="E112" s="254"/>
      <c r="F112" s="254"/>
      <c r="G112" s="254"/>
      <c r="H112" s="254"/>
      <c r="I112" s="254"/>
      <c r="J112" s="254"/>
      <c r="K112" s="254"/>
      <c r="L112" s="254"/>
      <c r="M112" s="254"/>
      <c r="N112" s="254"/>
      <c r="O112" s="254"/>
      <c r="P112" s="254"/>
      <c r="Q112" s="254"/>
      <c r="R112" s="254"/>
      <c r="S112" s="254"/>
      <c r="T112" s="254"/>
      <c r="U112" s="254"/>
      <c r="V112" s="254"/>
      <c r="W112" s="254"/>
      <c r="X112" s="254"/>
      <c r="Y112" s="254"/>
      <c r="Z112" s="254"/>
      <c r="AA112" s="254"/>
      <c r="AB112" s="254"/>
      <c r="AC112" s="254"/>
    </row>
    <row r="113" ht="12.75" customHeight="1" spans="1:29">
      <c r="A113" s="254"/>
      <c r="B113" s="254"/>
      <c r="C113" s="254"/>
      <c r="D113" s="276"/>
      <c r="E113" s="254"/>
      <c r="F113" s="254"/>
      <c r="G113" s="254"/>
      <c r="H113" s="254"/>
      <c r="I113" s="254"/>
      <c r="J113" s="254"/>
      <c r="K113" s="254"/>
      <c r="L113" s="254"/>
      <c r="M113" s="254"/>
      <c r="N113" s="254"/>
      <c r="O113" s="254"/>
      <c r="P113" s="254"/>
      <c r="Q113" s="254"/>
      <c r="R113" s="254"/>
      <c r="S113" s="254"/>
      <c r="T113" s="254"/>
      <c r="U113" s="254"/>
      <c r="V113" s="254"/>
      <c r="W113" s="254"/>
      <c r="X113" s="254"/>
      <c r="Y113" s="254"/>
      <c r="Z113" s="254"/>
      <c r="AA113" s="254"/>
      <c r="AB113" s="254"/>
      <c r="AC113" s="254"/>
    </row>
    <row r="114" ht="12.75" customHeight="1" spans="1:29">
      <c r="A114" s="254"/>
      <c r="B114" s="254"/>
      <c r="C114" s="254"/>
      <c r="D114" s="276"/>
      <c r="E114" s="254"/>
      <c r="F114" s="254"/>
      <c r="G114" s="254"/>
      <c r="H114" s="254"/>
      <c r="I114" s="254"/>
      <c r="J114" s="254"/>
      <c r="K114" s="254"/>
      <c r="L114" s="254"/>
      <c r="M114" s="254"/>
      <c r="N114" s="254"/>
      <c r="O114" s="254"/>
      <c r="P114" s="254"/>
      <c r="Q114" s="254"/>
      <c r="R114" s="254"/>
      <c r="S114" s="254"/>
      <c r="T114" s="254"/>
      <c r="U114" s="254"/>
      <c r="V114" s="254"/>
      <c r="W114" s="254"/>
      <c r="X114" s="254"/>
      <c r="Y114" s="254"/>
      <c r="Z114" s="254"/>
      <c r="AA114" s="254"/>
      <c r="AB114" s="254"/>
      <c r="AC114" s="254"/>
    </row>
    <row r="115" ht="12.75" customHeight="1" spans="1:29">
      <c r="A115" s="254"/>
      <c r="B115" s="254"/>
      <c r="C115" s="254"/>
      <c r="D115" s="276"/>
      <c r="E115" s="254"/>
      <c r="F115" s="254"/>
      <c r="G115" s="254"/>
      <c r="H115" s="254"/>
      <c r="I115" s="254"/>
      <c r="J115" s="254"/>
      <c r="K115" s="254"/>
      <c r="L115" s="254"/>
      <c r="M115" s="254"/>
      <c r="N115" s="254"/>
      <c r="O115" s="254"/>
      <c r="P115" s="254"/>
      <c r="Q115" s="254"/>
      <c r="R115" s="254"/>
      <c r="S115" s="254"/>
      <c r="T115" s="254"/>
      <c r="U115" s="254"/>
      <c r="V115" s="254"/>
      <c r="W115" s="254"/>
      <c r="X115" s="254"/>
      <c r="Y115" s="254"/>
      <c r="Z115" s="254"/>
      <c r="AA115" s="254"/>
      <c r="AB115" s="254"/>
      <c r="AC115" s="254"/>
    </row>
    <row r="116" ht="12.75" customHeight="1" spans="1:29">
      <c r="A116" s="254"/>
      <c r="B116" s="254"/>
      <c r="C116" s="254"/>
      <c r="D116" s="276"/>
      <c r="E116" s="254"/>
      <c r="F116" s="254"/>
      <c r="G116" s="254"/>
      <c r="H116" s="254"/>
      <c r="I116" s="254"/>
      <c r="J116" s="254"/>
      <c r="K116" s="254"/>
      <c r="L116" s="254"/>
      <c r="M116" s="254"/>
      <c r="N116" s="254"/>
      <c r="O116" s="254"/>
      <c r="P116" s="254"/>
      <c r="Q116" s="254"/>
      <c r="R116" s="254"/>
      <c r="S116" s="254"/>
      <c r="T116" s="254"/>
      <c r="U116" s="254"/>
      <c r="V116" s="254"/>
      <c r="W116" s="254"/>
      <c r="X116" s="254"/>
      <c r="Y116" s="254"/>
      <c r="Z116" s="254"/>
      <c r="AA116" s="254"/>
      <c r="AB116" s="254"/>
      <c r="AC116" s="254"/>
    </row>
    <row r="117" ht="12.75" customHeight="1" spans="1:29">
      <c r="A117" s="254"/>
      <c r="B117" s="254"/>
      <c r="C117" s="254"/>
      <c r="D117" s="276"/>
      <c r="E117" s="254"/>
      <c r="F117" s="254"/>
      <c r="G117" s="254"/>
      <c r="H117" s="254"/>
      <c r="I117" s="254"/>
      <c r="J117" s="254"/>
      <c r="K117" s="254"/>
      <c r="L117" s="254"/>
      <c r="M117" s="254"/>
      <c r="N117" s="254"/>
      <c r="O117" s="254"/>
      <c r="P117" s="254"/>
      <c r="Q117" s="254"/>
      <c r="R117" s="254"/>
      <c r="S117" s="254"/>
      <c r="T117" s="254"/>
      <c r="U117" s="254"/>
      <c r="V117" s="254"/>
      <c r="W117" s="254"/>
      <c r="X117" s="254"/>
      <c r="Y117" s="254"/>
      <c r="Z117" s="254"/>
      <c r="AA117" s="254"/>
      <c r="AB117" s="254"/>
      <c r="AC117" s="254"/>
    </row>
    <row r="118" ht="12.75" customHeight="1" spans="1:29">
      <c r="A118" s="254"/>
      <c r="B118" s="254"/>
      <c r="C118" s="254"/>
      <c r="D118" s="276"/>
      <c r="E118" s="254"/>
      <c r="F118" s="254"/>
      <c r="G118" s="254"/>
      <c r="H118" s="254"/>
      <c r="I118" s="254"/>
      <c r="J118" s="254"/>
      <c r="K118" s="254"/>
      <c r="L118" s="254"/>
      <c r="M118" s="254"/>
      <c r="N118" s="254"/>
      <c r="O118" s="254"/>
      <c r="P118" s="254"/>
      <c r="Q118" s="254"/>
      <c r="R118" s="254"/>
      <c r="S118" s="254"/>
      <c r="T118" s="254"/>
      <c r="U118" s="254"/>
      <c r="V118" s="254"/>
      <c r="W118" s="254"/>
      <c r="X118" s="254"/>
      <c r="Y118" s="254"/>
      <c r="Z118" s="254"/>
      <c r="AA118" s="254"/>
      <c r="AB118" s="254"/>
      <c r="AC118" s="254"/>
    </row>
    <row r="119" ht="12.75" customHeight="1" spans="1:29">
      <c r="A119" s="254"/>
      <c r="B119" s="254"/>
      <c r="C119" s="254"/>
      <c r="D119" s="276"/>
      <c r="E119" s="254"/>
      <c r="F119" s="254"/>
      <c r="G119" s="254"/>
      <c r="H119" s="254"/>
      <c r="I119" s="254"/>
      <c r="J119" s="254"/>
      <c r="K119" s="254"/>
      <c r="L119" s="254"/>
      <c r="M119" s="254"/>
      <c r="N119" s="254"/>
      <c r="O119" s="254"/>
      <c r="P119" s="254"/>
      <c r="Q119" s="254"/>
      <c r="R119" s="254"/>
      <c r="S119" s="254"/>
      <c r="T119" s="254"/>
      <c r="U119" s="254"/>
      <c r="V119" s="254"/>
      <c r="W119" s="254"/>
      <c r="X119" s="254"/>
      <c r="Y119" s="254"/>
      <c r="Z119" s="254"/>
      <c r="AA119" s="254"/>
      <c r="AB119" s="254"/>
      <c r="AC119" s="254"/>
    </row>
    <row r="120" ht="12.75" customHeight="1" spans="1:29">
      <c r="A120" s="254"/>
      <c r="B120" s="254"/>
      <c r="C120" s="254"/>
      <c r="D120" s="276"/>
      <c r="E120" s="254"/>
      <c r="F120" s="254"/>
      <c r="G120" s="254"/>
      <c r="H120" s="254"/>
      <c r="I120" s="254"/>
      <c r="J120" s="254"/>
      <c r="K120" s="254"/>
      <c r="L120" s="254"/>
      <c r="M120" s="254"/>
      <c r="N120" s="254"/>
      <c r="O120" s="254"/>
      <c r="P120" s="254"/>
      <c r="Q120" s="254"/>
      <c r="R120" s="254"/>
      <c r="S120" s="254"/>
      <c r="T120" s="254"/>
      <c r="U120" s="254"/>
      <c r="V120" s="254"/>
      <c r="W120" s="254"/>
      <c r="X120" s="254"/>
      <c r="Y120" s="254"/>
      <c r="Z120" s="254"/>
      <c r="AA120" s="254"/>
      <c r="AB120" s="254"/>
      <c r="AC120" s="254"/>
    </row>
    <row r="121" ht="12.75" customHeight="1" spans="1:29">
      <c r="A121" s="254"/>
      <c r="B121" s="254"/>
      <c r="C121" s="254"/>
      <c r="D121" s="276"/>
      <c r="E121" s="254"/>
      <c r="F121" s="254"/>
      <c r="G121" s="254"/>
      <c r="H121" s="254"/>
      <c r="I121" s="254"/>
      <c r="J121" s="254"/>
      <c r="K121" s="254"/>
      <c r="L121" s="254"/>
      <c r="M121" s="254"/>
      <c r="N121" s="254"/>
      <c r="O121" s="254"/>
      <c r="P121" s="254"/>
      <c r="Q121" s="254"/>
      <c r="R121" s="254"/>
      <c r="S121" s="254"/>
      <c r="T121" s="254"/>
      <c r="U121" s="254"/>
      <c r="V121" s="254"/>
      <c r="W121" s="254"/>
      <c r="X121" s="254"/>
      <c r="Y121" s="254"/>
      <c r="Z121" s="254"/>
      <c r="AA121" s="254"/>
      <c r="AB121" s="254"/>
      <c r="AC121" s="254"/>
    </row>
    <row r="122" ht="12.75" customHeight="1" spans="1:29">
      <c r="A122" s="254"/>
      <c r="B122" s="254"/>
      <c r="C122" s="254"/>
      <c r="D122" s="276"/>
      <c r="E122" s="254"/>
      <c r="F122" s="254"/>
      <c r="G122" s="254"/>
      <c r="H122" s="254"/>
      <c r="I122" s="254"/>
      <c r="J122" s="254"/>
      <c r="K122" s="254"/>
      <c r="L122" s="254"/>
      <c r="M122" s="254"/>
      <c r="N122" s="254"/>
      <c r="O122" s="254"/>
      <c r="P122" s="254"/>
      <c r="Q122" s="254"/>
      <c r="R122" s="254"/>
      <c r="S122" s="254"/>
      <c r="T122" s="254"/>
      <c r="U122" s="254"/>
      <c r="V122" s="254"/>
      <c r="W122" s="254"/>
      <c r="X122" s="254"/>
      <c r="Y122" s="254"/>
      <c r="Z122" s="254"/>
      <c r="AA122" s="254"/>
      <c r="AB122" s="254"/>
      <c r="AC122" s="254"/>
    </row>
    <row r="123" ht="12.75" customHeight="1" spans="1:29">
      <c r="A123" s="254"/>
      <c r="B123" s="254"/>
      <c r="C123" s="254"/>
      <c r="D123" s="276"/>
      <c r="E123" s="254"/>
      <c r="F123" s="254"/>
      <c r="G123" s="254"/>
      <c r="H123" s="254"/>
      <c r="I123" s="254"/>
      <c r="J123" s="254"/>
      <c r="K123" s="254"/>
      <c r="L123" s="254"/>
      <c r="M123" s="254"/>
      <c r="N123" s="254"/>
      <c r="O123" s="254"/>
      <c r="P123" s="254"/>
      <c r="Q123" s="254"/>
      <c r="R123" s="254"/>
      <c r="S123" s="254"/>
      <c r="T123" s="254"/>
      <c r="U123" s="254"/>
      <c r="V123" s="254"/>
      <c r="W123" s="254"/>
      <c r="X123" s="254"/>
      <c r="Y123" s="254"/>
      <c r="Z123" s="254"/>
      <c r="AA123" s="254"/>
      <c r="AB123" s="254"/>
      <c r="AC123" s="254"/>
    </row>
    <row r="124" ht="12.75" customHeight="1" spans="1:29">
      <c r="A124" s="254"/>
      <c r="B124" s="254"/>
      <c r="C124" s="254"/>
      <c r="D124" s="276"/>
      <c r="E124" s="254"/>
      <c r="F124" s="254"/>
      <c r="G124" s="254"/>
      <c r="H124" s="254"/>
      <c r="I124" s="254"/>
      <c r="J124" s="254"/>
      <c r="K124" s="254"/>
      <c r="L124" s="254"/>
      <c r="M124" s="254"/>
      <c r="N124" s="254"/>
      <c r="O124" s="254"/>
      <c r="P124" s="254"/>
      <c r="Q124" s="254"/>
      <c r="R124" s="254"/>
      <c r="S124" s="254"/>
      <c r="T124" s="254"/>
      <c r="U124" s="254"/>
      <c r="V124" s="254"/>
      <c r="W124" s="254"/>
      <c r="X124" s="254"/>
      <c r="Y124" s="254"/>
      <c r="Z124" s="254"/>
      <c r="AA124" s="254"/>
      <c r="AB124" s="254"/>
      <c r="AC124" s="254"/>
    </row>
    <row r="125" ht="12.75" customHeight="1" spans="1:29">
      <c r="A125" s="254"/>
      <c r="B125" s="254"/>
      <c r="C125" s="254"/>
      <c r="D125" s="276"/>
      <c r="E125" s="254"/>
      <c r="F125" s="254"/>
      <c r="G125" s="254"/>
      <c r="H125" s="254"/>
      <c r="I125" s="254"/>
      <c r="J125" s="254"/>
      <c r="K125" s="254"/>
      <c r="L125" s="254"/>
      <c r="M125" s="254"/>
      <c r="N125" s="254"/>
      <c r="O125" s="254"/>
      <c r="P125" s="254"/>
      <c r="Q125" s="254"/>
      <c r="R125" s="254"/>
      <c r="S125" s="254"/>
      <c r="T125" s="254"/>
      <c r="U125" s="254"/>
      <c r="V125" s="254"/>
      <c r="W125" s="254"/>
      <c r="X125" s="254"/>
      <c r="Y125" s="254"/>
      <c r="Z125" s="254"/>
      <c r="AA125" s="254"/>
      <c r="AB125" s="254"/>
      <c r="AC125" s="254"/>
    </row>
    <row r="126" ht="12.75" customHeight="1" spans="1:29">
      <c r="A126" s="254"/>
      <c r="B126" s="254"/>
      <c r="C126" s="254"/>
      <c r="D126" s="276"/>
      <c r="E126" s="254"/>
      <c r="F126" s="254"/>
      <c r="G126" s="254"/>
      <c r="H126" s="254"/>
      <c r="I126" s="254"/>
      <c r="J126" s="254"/>
      <c r="K126" s="254"/>
      <c r="L126" s="254"/>
      <c r="M126" s="254"/>
      <c r="N126" s="254"/>
      <c r="O126" s="254"/>
      <c r="P126" s="254"/>
      <c r="Q126" s="254"/>
      <c r="R126" s="254"/>
      <c r="S126" s="254"/>
      <c r="T126" s="254"/>
      <c r="U126" s="254"/>
      <c r="V126" s="254"/>
      <c r="W126" s="254"/>
      <c r="X126" s="254"/>
      <c r="Y126" s="254"/>
      <c r="Z126" s="254"/>
      <c r="AA126" s="254"/>
      <c r="AB126" s="254"/>
      <c r="AC126" s="254"/>
    </row>
    <row r="127" ht="12.75" customHeight="1" spans="1:29">
      <c r="A127" s="254"/>
      <c r="B127" s="254"/>
      <c r="C127" s="254"/>
      <c r="D127" s="276"/>
      <c r="E127" s="254"/>
      <c r="F127" s="254"/>
      <c r="G127" s="254"/>
      <c r="H127" s="254"/>
      <c r="I127" s="254"/>
      <c r="J127" s="254"/>
      <c r="K127" s="254"/>
      <c r="L127" s="254"/>
      <c r="M127" s="254"/>
      <c r="N127" s="254"/>
      <c r="O127" s="254"/>
      <c r="P127" s="254"/>
      <c r="Q127" s="254"/>
      <c r="R127" s="254"/>
      <c r="S127" s="254"/>
      <c r="T127" s="254"/>
      <c r="U127" s="254"/>
      <c r="V127" s="254"/>
      <c r="W127" s="254"/>
      <c r="X127" s="254"/>
      <c r="Y127" s="254"/>
      <c r="Z127" s="254"/>
      <c r="AA127" s="254"/>
      <c r="AB127" s="254"/>
      <c r="AC127" s="254"/>
    </row>
    <row r="128" ht="12.75" customHeight="1" spans="1:29">
      <c r="A128" s="254"/>
      <c r="B128" s="254"/>
      <c r="C128" s="254"/>
      <c r="D128" s="276"/>
      <c r="E128" s="254"/>
      <c r="F128" s="254"/>
      <c r="G128" s="254"/>
      <c r="H128" s="254"/>
      <c r="I128" s="254"/>
      <c r="J128" s="254"/>
      <c r="K128" s="254"/>
      <c r="L128" s="254"/>
      <c r="M128" s="254"/>
      <c r="N128" s="254"/>
      <c r="O128" s="254"/>
      <c r="P128" s="254"/>
      <c r="Q128" s="254"/>
      <c r="R128" s="254"/>
      <c r="S128" s="254"/>
      <c r="T128" s="254"/>
      <c r="U128" s="254"/>
      <c r="V128" s="254"/>
      <c r="W128" s="254"/>
      <c r="X128" s="254"/>
      <c r="Y128" s="254"/>
      <c r="Z128" s="254"/>
      <c r="AA128" s="254"/>
      <c r="AB128" s="254"/>
      <c r="AC128" s="254"/>
    </row>
    <row r="129" ht="12.75" customHeight="1" spans="1:29">
      <c r="A129" s="254"/>
      <c r="B129" s="254"/>
      <c r="C129" s="254"/>
      <c r="D129" s="276"/>
      <c r="E129" s="254"/>
      <c r="F129" s="254"/>
      <c r="G129" s="254"/>
      <c r="H129" s="254"/>
      <c r="I129" s="254"/>
      <c r="J129" s="254"/>
      <c r="K129" s="254"/>
      <c r="L129" s="254"/>
      <c r="M129" s="254"/>
      <c r="N129" s="254"/>
      <c r="O129" s="254"/>
      <c r="P129" s="254"/>
      <c r="Q129" s="254"/>
      <c r="R129" s="254"/>
      <c r="S129" s="254"/>
      <c r="T129" s="254"/>
      <c r="U129" s="254"/>
      <c r="V129" s="254"/>
      <c r="W129" s="254"/>
      <c r="X129" s="254"/>
      <c r="Y129" s="254"/>
      <c r="Z129" s="254"/>
      <c r="AA129" s="254"/>
      <c r="AB129" s="254"/>
      <c r="AC129" s="254"/>
    </row>
    <row r="130" ht="12.75" customHeight="1" spans="1:29">
      <c r="A130" s="254"/>
      <c r="B130" s="254"/>
      <c r="C130" s="254"/>
      <c r="D130" s="276"/>
      <c r="E130" s="254"/>
      <c r="F130" s="254"/>
      <c r="G130" s="254"/>
      <c r="H130" s="254"/>
      <c r="I130" s="254"/>
      <c r="J130" s="254"/>
      <c r="K130" s="254"/>
      <c r="L130" s="254"/>
      <c r="M130" s="254"/>
      <c r="N130" s="254"/>
      <c r="O130" s="254"/>
      <c r="P130" s="254"/>
      <c r="Q130" s="254"/>
      <c r="R130" s="254"/>
      <c r="S130" s="254"/>
      <c r="T130" s="254"/>
      <c r="U130" s="254"/>
      <c r="V130" s="254"/>
      <c r="W130" s="254"/>
      <c r="X130" s="254"/>
      <c r="Y130" s="254"/>
      <c r="Z130" s="254"/>
      <c r="AA130" s="254"/>
      <c r="AB130" s="254"/>
      <c r="AC130" s="254"/>
    </row>
    <row r="131" ht="12.75" customHeight="1" spans="1:29">
      <c r="A131" s="254"/>
      <c r="B131" s="254"/>
      <c r="C131" s="254"/>
      <c r="D131" s="276"/>
      <c r="E131" s="254"/>
      <c r="F131" s="254"/>
      <c r="G131" s="254"/>
      <c r="H131" s="254"/>
      <c r="I131" s="254"/>
      <c r="J131" s="254"/>
      <c r="K131" s="254"/>
      <c r="L131" s="254"/>
      <c r="M131" s="254"/>
      <c r="N131" s="254"/>
      <c r="O131" s="254"/>
      <c r="P131" s="254"/>
      <c r="Q131" s="254"/>
      <c r="R131" s="254"/>
      <c r="S131" s="254"/>
      <c r="T131" s="254"/>
      <c r="U131" s="254"/>
      <c r="V131" s="254"/>
      <c r="W131" s="254"/>
      <c r="X131" s="254"/>
      <c r="Y131" s="254"/>
      <c r="Z131" s="254"/>
      <c r="AA131" s="254"/>
      <c r="AB131" s="254"/>
      <c r="AC131" s="254"/>
    </row>
    <row r="132" ht="12.75" customHeight="1" spans="1:29">
      <c r="A132" s="254"/>
      <c r="B132" s="254"/>
      <c r="C132" s="254"/>
      <c r="D132" s="276"/>
      <c r="E132" s="254"/>
      <c r="F132" s="254"/>
      <c r="G132" s="254"/>
      <c r="H132" s="254"/>
      <c r="I132" s="254"/>
      <c r="J132" s="254"/>
      <c r="K132" s="254"/>
      <c r="L132" s="254"/>
      <c r="M132" s="254"/>
      <c r="N132" s="254"/>
      <c r="O132" s="254"/>
      <c r="P132" s="254"/>
      <c r="Q132" s="254"/>
      <c r="R132" s="254"/>
      <c r="S132" s="254"/>
      <c r="T132" s="254"/>
      <c r="U132" s="254"/>
      <c r="V132" s="254"/>
      <c r="W132" s="254"/>
      <c r="X132" s="254"/>
      <c r="Y132" s="254"/>
      <c r="Z132" s="254"/>
      <c r="AA132" s="254"/>
      <c r="AB132" s="254"/>
      <c r="AC132" s="254"/>
    </row>
    <row r="133" ht="12.75" customHeight="1" spans="1:29">
      <c r="A133" s="254"/>
      <c r="B133" s="254"/>
      <c r="C133" s="254"/>
      <c r="D133" s="276"/>
      <c r="E133" s="254"/>
      <c r="F133" s="254"/>
      <c r="G133" s="254"/>
      <c r="H133" s="254"/>
      <c r="I133" s="254"/>
      <c r="J133" s="254"/>
      <c r="K133" s="254"/>
      <c r="L133" s="254"/>
      <c r="M133" s="254"/>
      <c r="N133" s="254"/>
      <c r="O133" s="254"/>
      <c r="P133" s="254"/>
      <c r="Q133" s="254"/>
      <c r="R133" s="254"/>
      <c r="S133" s="254"/>
      <c r="T133" s="254"/>
      <c r="U133" s="254"/>
      <c r="V133" s="254"/>
      <c r="W133" s="254"/>
      <c r="X133" s="254"/>
      <c r="Y133" s="254"/>
      <c r="Z133" s="254"/>
      <c r="AA133" s="254"/>
      <c r="AB133" s="254"/>
      <c r="AC133" s="254"/>
    </row>
    <row r="134" ht="12.75" customHeight="1" spans="1:29">
      <c r="A134" s="254"/>
      <c r="B134" s="254"/>
      <c r="C134" s="254"/>
      <c r="D134" s="276"/>
      <c r="E134" s="254"/>
      <c r="F134" s="254"/>
      <c r="G134" s="254"/>
      <c r="H134" s="254"/>
      <c r="I134" s="254"/>
      <c r="J134" s="254"/>
      <c r="K134" s="254"/>
      <c r="L134" s="254"/>
      <c r="M134" s="254"/>
      <c r="N134" s="254"/>
      <c r="O134" s="254"/>
      <c r="P134" s="254"/>
      <c r="Q134" s="254"/>
      <c r="R134" s="254"/>
      <c r="S134" s="254"/>
      <c r="T134" s="254"/>
      <c r="U134" s="254"/>
      <c r="V134" s="254"/>
      <c r="W134" s="254"/>
      <c r="X134" s="254"/>
      <c r="Y134" s="254"/>
      <c r="Z134" s="254"/>
      <c r="AA134" s="254"/>
      <c r="AB134" s="254"/>
      <c r="AC134" s="254"/>
    </row>
    <row r="135" ht="12.75" customHeight="1" spans="1:29">
      <c r="A135" s="254"/>
      <c r="B135" s="254"/>
      <c r="C135" s="254"/>
      <c r="D135" s="276"/>
      <c r="E135" s="254"/>
      <c r="F135" s="254"/>
      <c r="G135" s="254"/>
      <c r="H135" s="254"/>
      <c r="I135" s="254"/>
      <c r="J135" s="254"/>
      <c r="K135" s="254"/>
      <c r="L135" s="254"/>
      <c r="M135" s="254"/>
      <c r="N135" s="254"/>
      <c r="O135" s="254"/>
      <c r="P135" s="254"/>
      <c r="Q135" s="254"/>
      <c r="R135" s="254"/>
      <c r="S135" s="254"/>
      <c r="T135" s="254"/>
      <c r="U135" s="254"/>
      <c r="V135" s="254"/>
      <c r="W135" s="254"/>
      <c r="X135" s="254"/>
      <c r="Y135" s="254"/>
      <c r="Z135" s="254"/>
      <c r="AA135" s="254"/>
      <c r="AB135" s="254"/>
      <c r="AC135" s="254"/>
    </row>
    <row r="136" ht="12.75" customHeight="1" spans="1:29">
      <c r="A136" s="254"/>
      <c r="B136" s="254"/>
      <c r="C136" s="254"/>
      <c r="D136" s="276"/>
      <c r="E136" s="254"/>
      <c r="F136" s="254"/>
      <c r="G136" s="254"/>
      <c r="H136" s="254"/>
      <c r="I136" s="254"/>
      <c r="J136" s="254"/>
      <c r="K136" s="254"/>
      <c r="L136" s="254"/>
      <c r="M136" s="254"/>
      <c r="N136" s="254"/>
      <c r="O136" s="254"/>
      <c r="P136" s="254"/>
      <c r="Q136" s="254"/>
      <c r="R136" s="254"/>
      <c r="S136" s="254"/>
      <c r="T136" s="254"/>
      <c r="U136" s="254"/>
      <c r="V136" s="254"/>
      <c r="W136" s="254"/>
      <c r="X136" s="254"/>
      <c r="Y136" s="254"/>
      <c r="Z136" s="254"/>
      <c r="AA136" s="254"/>
      <c r="AB136" s="254"/>
      <c r="AC136" s="254"/>
    </row>
    <row r="137" ht="12.75" customHeight="1" spans="1:29">
      <c r="A137" s="254"/>
      <c r="B137" s="254"/>
      <c r="C137" s="254"/>
      <c r="D137" s="276"/>
      <c r="E137" s="254"/>
      <c r="F137" s="254"/>
      <c r="G137" s="254"/>
      <c r="H137" s="254"/>
      <c r="I137" s="254"/>
      <c r="J137" s="254"/>
      <c r="K137" s="254"/>
      <c r="L137" s="254"/>
      <c r="M137" s="254"/>
      <c r="N137" s="254"/>
      <c r="O137" s="254"/>
      <c r="P137" s="254"/>
      <c r="Q137" s="254"/>
      <c r="R137" s="254"/>
      <c r="S137" s="254"/>
      <c r="T137" s="254"/>
      <c r="U137" s="254"/>
      <c r="V137" s="254"/>
      <c r="W137" s="254"/>
      <c r="X137" s="254"/>
      <c r="Y137" s="254"/>
      <c r="Z137" s="254"/>
      <c r="AA137" s="254"/>
      <c r="AB137" s="254"/>
      <c r="AC137" s="254"/>
    </row>
    <row r="138" ht="12.75" customHeight="1" spans="1:29">
      <c r="A138" s="254"/>
      <c r="B138" s="254"/>
      <c r="C138" s="254"/>
      <c r="D138" s="276"/>
      <c r="E138" s="254"/>
      <c r="F138" s="254"/>
      <c r="G138" s="254"/>
      <c r="H138" s="254"/>
      <c r="I138" s="254"/>
      <c r="J138" s="254"/>
      <c r="K138" s="254"/>
      <c r="L138" s="254"/>
      <c r="M138" s="254"/>
      <c r="N138" s="254"/>
      <c r="O138" s="254"/>
      <c r="P138" s="254"/>
      <c r="Q138" s="254"/>
      <c r="R138" s="254"/>
      <c r="S138" s="254"/>
      <c r="T138" s="254"/>
      <c r="U138" s="254"/>
      <c r="V138" s="254"/>
      <c r="W138" s="254"/>
      <c r="X138" s="254"/>
      <c r="Y138" s="254"/>
      <c r="Z138" s="254"/>
      <c r="AA138" s="254"/>
      <c r="AB138" s="254"/>
      <c r="AC138" s="254"/>
    </row>
    <row r="139" ht="12.75" customHeight="1" spans="1:29">
      <c r="A139" s="254"/>
      <c r="B139" s="254"/>
      <c r="C139" s="254"/>
      <c r="D139" s="276"/>
      <c r="E139" s="254"/>
      <c r="F139" s="254"/>
      <c r="G139" s="254"/>
      <c r="H139" s="254"/>
      <c r="I139" s="254"/>
      <c r="J139" s="254"/>
      <c r="K139" s="254"/>
      <c r="L139" s="254"/>
      <c r="M139" s="254"/>
      <c r="N139" s="254"/>
      <c r="O139" s="254"/>
      <c r="P139" s="254"/>
      <c r="Q139" s="254"/>
      <c r="R139" s="254"/>
      <c r="S139" s="254"/>
      <c r="T139" s="254"/>
      <c r="U139" s="254"/>
      <c r="V139" s="254"/>
      <c r="W139" s="254"/>
      <c r="X139" s="254"/>
      <c r="Y139" s="254"/>
      <c r="Z139" s="254"/>
      <c r="AA139" s="254"/>
      <c r="AB139" s="254"/>
      <c r="AC139" s="254"/>
    </row>
    <row r="140" ht="12.75" customHeight="1" spans="1:29">
      <c r="A140" s="254"/>
      <c r="B140" s="254"/>
      <c r="C140" s="254"/>
      <c r="D140" s="276"/>
      <c r="E140" s="254"/>
      <c r="F140" s="254"/>
      <c r="G140" s="254"/>
      <c r="H140" s="254"/>
      <c r="I140" s="254"/>
      <c r="J140" s="254"/>
      <c r="K140" s="254"/>
      <c r="L140" s="254"/>
      <c r="M140" s="254"/>
      <c r="N140" s="254"/>
      <c r="O140" s="254"/>
      <c r="P140" s="254"/>
      <c r="Q140" s="254"/>
      <c r="R140" s="254"/>
      <c r="S140" s="254"/>
      <c r="T140" s="254"/>
      <c r="U140" s="254"/>
      <c r="V140" s="254"/>
      <c r="W140" s="254"/>
      <c r="X140" s="254"/>
      <c r="Y140" s="254"/>
      <c r="Z140" s="254"/>
      <c r="AA140" s="254"/>
      <c r="AB140" s="254"/>
      <c r="AC140" s="254"/>
    </row>
    <row r="141" ht="12.75" customHeight="1" spans="1:29">
      <c r="A141" s="254"/>
      <c r="B141" s="254"/>
      <c r="C141" s="254"/>
      <c r="D141" s="276"/>
      <c r="E141" s="254"/>
      <c r="F141" s="254"/>
      <c r="G141" s="254"/>
      <c r="H141" s="254"/>
      <c r="I141" s="254"/>
      <c r="J141" s="254"/>
      <c r="K141" s="254"/>
      <c r="L141" s="254"/>
      <c r="M141" s="254"/>
      <c r="N141" s="254"/>
      <c r="O141" s="254"/>
      <c r="P141" s="254"/>
      <c r="Q141" s="254"/>
      <c r="R141" s="254"/>
      <c r="S141" s="254"/>
      <c r="T141" s="254"/>
      <c r="U141" s="254"/>
      <c r="V141" s="254"/>
      <c r="W141" s="254"/>
      <c r="X141" s="254"/>
      <c r="Y141" s="254"/>
      <c r="Z141" s="254"/>
      <c r="AA141" s="254"/>
      <c r="AB141" s="254"/>
      <c r="AC141" s="254"/>
    </row>
    <row r="142" ht="12.75" customHeight="1" spans="1:29">
      <c r="A142" s="254"/>
      <c r="B142" s="254"/>
      <c r="C142" s="254"/>
      <c r="D142" s="276"/>
      <c r="E142" s="254"/>
      <c r="F142" s="254"/>
      <c r="G142" s="254"/>
      <c r="H142" s="254"/>
      <c r="I142" s="254"/>
      <c r="J142" s="254"/>
      <c r="K142" s="254"/>
      <c r="L142" s="254"/>
      <c r="M142" s="254"/>
      <c r="N142" s="254"/>
      <c r="O142" s="254"/>
      <c r="P142" s="254"/>
      <c r="Q142" s="254"/>
      <c r="R142" s="254"/>
      <c r="S142" s="254"/>
      <c r="T142" s="254"/>
      <c r="U142" s="254"/>
      <c r="V142" s="254"/>
      <c r="W142" s="254"/>
      <c r="X142" s="254"/>
      <c r="Y142" s="254"/>
      <c r="Z142" s="254"/>
      <c r="AA142" s="254"/>
      <c r="AB142" s="254"/>
      <c r="AC142" s="254"/>
    </row>
    <row r="143" ht="12.75" customHeight="1" spans="1:29">
      <c r="A143" s="254"/>
      <c r="B143" s="254"/>
      <c r="C143" s="254"/>
      <c r="D143" s="276"/>
      <c r="E143" s="254"/>
      <c r="F143" s="254"/>
      <c r="G143" s="254"/>
      <c r="H143" s="254"/>
      <c r="I143" s="254"/>
      <c r="J143" s="254"/>
      <c r="K143" s="254"/>
      <c r="L143" s="254"/>
      <c r="M143" s="254"/>
      <c r="N143" s="254"/>
      <c r="O143" s="254"/>
      <c r="P143" s="254"/>
      <c r="Q143" s="254"/>
      <c r="R143" s="254"/>
      <c r="S143" s="254"/>
      <c r="T143" s="254"/>
      <c r="U143" s="254"/>
      <c r="V143" s="254"/>
      <c r="W143" s="254"/>
      <c r="X143" s="254"/>
      <c r="Y143" s="254"/>
      <c r="Z143" s="254"/>
      <c r="AA143" s="254"/>
      <c r="AB143" s="254"/>
      <c r="AC143" s="254"/>
    </row>
    <row r="144" ht="12.75" customHeight="1" spans="1:29">
      <c r="A144" s="254"/>
      <c r="B144" s="254"/>
      <c r="C144" s="254"/>
      <c r="D144" s="276"/>
      <c r="E144" s="254"/>
      <c r="F144" s="254"/>
      <c r="G144" s="254"/>
      <c r="H144" s="254"/>
      <c r="I144" s="254"/>
      <c r="J144" s="254"/>
      <c r="K144" s="254"/>
      <c r="L144" s="254"/>
      <c r="M144" s="254"/>
      <c r="N144" s="254"/>
      <c r="O144" s="254"/>
      <c r="P144" s="254"/>
      <c r="Q144" s="254"/>
      <c r="R144" s="254"/>
      <c r="S144" s="254"/>
      <c r="T144" s="254"/>
      <c r="U144" s="254"/>
      <c r="V144" s="254"/>
      <c r="W144" s="254"/>
      <c r="X144" s="254"/>
      <c r="Y144" s="254"/>
      <c r="Z144" s="254"/>
      <c r="AA144" s="254"/>
      <c r="AB144" s="254"/>
      <c r="AC144" s="254"/>
    </row>
    <row r="145" ht="12.75" customHeight="1" spans="1:29">
      <c r="A145" s="254"/>
      <c r="B145" s="254"/>
      <c r="C145" s="254"/>
      <c r="D145" s="276"/>
      <c r="E145" s="254"/>
      <c r="F145" s="254"/>
      <c r="G145" s="254"/>
      <c r="H145" s="254"/>
      <c r="I145" s="254"/>
      <c r="J145" s="254"/>
      <c r="K145" s="254"/>
      <c r="L145" s="254"/>
      <c r="M145" s="254"/>
      <c r="N145" s="254"/>
      <c r="O145" s="254"/>
      <c r="P145" s="254"/>
      <c r="Q145" s="254"/>
      <c r="R145" s="254"/>
      <c r="S145" s="254"/>
      <c r="T145" s="254"/>
      <c r="U145" s="254"/>
      <c r="V145" s="254"/>
      <c r="W145" s="254"/>
      <c r="X145" s="254"/>
      <c r="Y145" s="254"/>
      <c r="Z145" s="254"/>
      <c r="AA145" s="254"/>
      <c r="AB145" s="254"/>
      <c r="AC145" s="254"/>
    </row>
    <row r="146" ht="12.75" customHeight="1" spans="1:29">
      <c r="A146" s="254"/>
      <c r="B146" s="254"/>
      <c r="C146" s="254"/>
      <c r="D146" s="276"/>
      <c r="E146" s="254"/>
      <c r="F146" s="254"/>
      <c r="G146" s="254"/>
      <c r="H146" s="254"/>
      <c r="I146" s="254"/>
      <c r="J146" s="254"/>
      <c r="K146" s="254"/>
      <c r="L146" s="254"/>
      <c r="M146" s="254"/>
      <c r="N146" s="254"/>
      <c r="O146" s="254"/>
      <c r="P146" s="254"/>
      <c r="Q146" s="254"/>
      <c r="R146" s="254"/>
      <c r="S146" s="254"/>
      <c r="T146" s="254"/>
      <c r="U146" s="254"/>
      <c r="V146" s="254"/>
      <c r="W146" s="254"/>
      <c r="X146" s="254"/>
      <c r="Y146" s="254"/>
      <c r="Z146" s="254"/>
      <c r="AA146" s="254"/>
      <c r="AB146" s="254"/>
      <c r="AC146" s="254"/>
    </row>
    <row r="147" ht="12.75" customHeight="1" spans="1:29">
      <c r="A147" s="254"/>
      <c r="B147" s="254"/>
      <c r="C147" s="254"/>
      <c r="D147" s="276"/>
      <c r="E147" s="254"/>
      <c r="F147" s="254"/>
      <c r="G147" s="254"/>
      <c r="H147" s="254"/>
      <c r="I147" s="254"/>
      <c r="J147" s="254"/>
      <c r="K147" s="254"/>
      <c r="L147" s="254"/>
      <c r="M147" s="254"/>
      <c r="N147" s="254"/>
      <c r="O147" s="254"/>
      <c r="P147" s="254"/>
      <c r="Q147" s="254"/>
      <c r="R147" s="254"/>
      <c r="S147" s="254"/>
      <c r="T147" s="254"/>
      <c r="U147" s="254"/>
      <c r="V147" s="254"/>
      <c r="W147" s="254"/>
      <c r="X147" s="254"/>
      <c r="Y147" s="254"/>
      <c r="Z147" s="254"/>
      <c r="AA147" s="254"/>
      <c r="AB147" s="254"/>
      <c r="AC147" s="254"/>
    </row>
    <row r="148" ht="12.75" customHeight="1" spans="1:29">
      <c r="A148" s="254"/>
      <c r="B148" s="254"/>
      <c r="C148" s="254"/>
      <c r="D148" s="276"/>
      <c r="E148" s="254"/>
      <c r="F148" s="254"/>
      <c r="G148" s="254"/>
      <c r="H148" s="254"/>
      <c r="I148" s="254"/>
      <c r="J148" s="254"/>
      <c r="K148" s="254"/>
      <c r="L148" s="254"/>
      <c r="M148" s="254"/>
      <c r="N148" s="254"/>
      <c r="O148" s="254"/>
      <c r="P148" s="254"/>
      <c r="Q148" s="254"/>
      <c r="R148" s="254"/>
      <c r="S148" s="254"/>
      <c r="T148" s="254"/>
      <c r="U148" s="254"/>
      <c r="V148" s="254"/>
      <c r="W148" s="254"/>
      <c r="X148" s="254"/>
      <c r="Y148" s="254"/>
      <c r="Z148" s="254"/>
      <c r="AA148" s="254"/>
      <c r="AB148" s="254"/>
      <c r="AC148" s="254"/>
    </row>
    <row r="149" ht="12.75" customHeight="1" spans="1:29">
      <c r="A149" s="254"/>
      <c r="B149" s="254"/>
      <c r="C149" s="254"/>
      <c r="D149" s="276"/>
      <c r="E149" s="254"/>
      <c r="F149" s="254"/>
      <c r="G149" s="254"/>
      <c r="H149" s="254"/>
      <c r="I149" s="254"/>
      <c r="J149" s="254"/>
      <c r="K149" s="254"/>
      <c r="L149" s="254"/>
      <c r="M149" s="254"/>
      <c r="N149" s="254"/>
      <c r="O149" s="254"/>
      <c r="P149" s="254"/>
      <c r="Q149" s="254"/>
      <c r="R149" s="254"/>
      <c r="S149" s="254"/>
      <c r="T149" s="254"/>
      <c r="U149" s="254"/>
      <c r="V149" s="254"/>
      <c r="W149" s="254"/>
      <c r="X149" s="254"/>
      <c r="Y149" s="254"/>
      <c r="Z149" s="254"/>
      <c r="AA149" s="254"/>
      <c r="AB149" s="254"/>
      <c r="AC149" s="254"/>
    </row>
    <row r="150" ht="12.75" customHeight="1" spans="1:29">
      <c r="A150" s="254"/>
      <c r="B150" s="254"/>
      <c r="C150" s="254"/>
      <c r="D150" s="276"/>
      <c r="E150" s="254"/>
      <c r="F150" s="254"/>
      <c r="G150" s="254"/>
      <c r="H150" s="254"/>
      <c r="I150" s="254"/>
      <c r="J150" s="254"/>
      <c r="K150" s="254"/>
      <c r="L150" s="254"/>
      <c r="M150" s="254"/>
      <c r="N150" s="254"/>
      <c r="O150" s="254"/>
      <c r="P150" s="254"/>
      <c r="Q150" s="254"/>
      <c r="R150" s="254"/>
      <c r="S150" s="254"/>
      <c r="T150" s="254"/>
      <c r="U150" s="254"/>
      <c r="V150" s="254"/>
      <c r="W150" s="254"/>
      <c r="X150" s="254"/>
      <c r="Y150" s="254"/>
      <c r="Z150" s="254"/>
      <c r="AA150" s="254"/>
      <c r="AB150" s="254"/>
      <c r="AC150" s="254"/>
    </row>
    <row r="151" ht="12.75" customHeight="1" spans="1:29">
      <c r="A151" s="254"/>
      <c r="B151" s="254"/>
      <c r="C151" s="254"/>
      <c r="D151" s="276"/>
      <c r="E151" s="254"/>
      <c r="F151" s="254"/>
      <c r="G151" s="254"/>
      <c r="H151" s="254"/>
      <c r="I151" s="254"/>
      <c r="J151" s="254"/>
      <c r="K151" s="254"/>
      <c r="L151" s="254"/>
      <c r="M151" s="254"/>
      <c r="N151" s="254"/>
      <c r="O151" s="254"/>
      <c r="P151" s="254"/>
      <c r="Q151" s="254"/>
      <c r="R151" s="254"/>
      <c r="S151" s="254"/>
      <c r="T151" s="254"/>
      <c r="U151" s="254"/>
      <c r="V151" s="254"/>
      <c r="W151" s="254"/>
      <c r="X151" s="254"/>
      <c r="Y151" s="254"/>
      <c r="Z151" s="254"/>
      <c r="AA151" s="254"/>
      <c r="AB151" s="254"/>
      <c r="AC151" s="254"/>
    </row>
    <row r="152" ht="12.75" customHeight="1" spans="1:29">
      <c r="A152" s="254"/>
      <c r="B152" s="254"/>
      <c r="C152" s="254"/>
      <c r="D152" s="276"/>
      <c r="E152" s="254"/>
      <c r="F152" s="254"/>
      <c r="G152" s="254"/>
      <c r="H152" s="254"/>
      <c r="I152" s="254"/>
      <c r="J152" s="254"/>
      <c r="K152" s="254"/>
      <c r="L152" s="254"/>
      <c r="M152" s="254"/>
      <c r="N152" s="254"/>
      <c r="O152" s="254"/>
      <c r="P152" s="254"/>
      <c r="Q152" s="254"/>
      <c r="R152" s="254"/>
      <c r="S152" s="254"/>
      <c r="T152" s="254"/>
      <c r="U152" s="254"/>
      <c r="V152" s="254"/>
      <c r="W152" s="254"/>
      <c r="X152" s="254"/>
      <c r="Y152" s="254"/>
      <c r="Z152" s="254"/>
      <c r="AA152" s="254"/>
      <c r="AB152" s="254"/>
      <c r="AC152" s="254"/>
    </row>
    <row r="153" ht="12.75" customHeight="1" spans="1:29">
      <c r="A153" s="254"/>
      <c r="B153" s="254"/>
      <c r="C153" s="254"/>
      <c r="D153" s="276"/>
      <c r="E153" s="254"/>
      <c r="F153" s="254"/>
      <c r="G153" s="254"/>
      <c r="H153" s="254"/>
      <c r="I153" s="254"/>
      <c r="J153" s="254"/>
      <c r="K153" s="254"/>
      <c r="L153" s="254"/>
      <c r="M153" s="254"/>
      <c r="N153" s="254"/>
      <c r="O153" s="254"/>
      <c r="P153" s="254"/>
      <c r="Q153" s="254"/>
      <c r="R153" s="254"/>
      <c r="S153" s="254"/>
      <c r="T153" s="254"/>
      <c r="U153" s="254"/>
      <c r="V153" s="254"/>
      <c r="W153" s="254"/>
      <c r="X153" s="254"/>
      <c r="Y153" s="254"/>
      <c r="Z153" s="254"/>
      <c r="AA153" s="254"/>
      <c r="AB153" s="254"/>
      <c r="AC153" s="254"/>
    </row>
    <row r="154" ht="12.75" customHeight="1" spans="1:29">
      <c r="A154" s="254"/>
      <c r="B154" s="254"/>
      <c r="C154" s="254"/>
      <c r="D154" s="276"/>
      <c r="E154" s="254"/>
      <c r="F154" s="254"/>
      <c r="G154" s="254"/>
      <c r="H154" s="254"/>
      <c r="I154" s="254"/>
      <c r="J154" s="254"/>
      <c r="K154" s="254"/>
      <c r="L154" s="254"/>
      <c r="M154" s="254"/>
      <c r="N154" s="254"/>
      <c r="O154" s="254"/>
      <c r="P154" s="254"/>
      <c r="Q154" s="254"/>
      <c r="R154" s="254"/>
      <c r="S154" s="254"/>
      <c r="T154" s="254"/>
      <c r="U154" s="254"/>
      <c r="V154" s="254"/>
      <c r="W154" s="254"/>
      <c r="X154" s="254"/>
      <c r="Y154" s="254"/>
      <c r="Z154" s="254"/>
      <c r="AA154" s="254"/>
      <c r="AB154" s="254"/>
      <c r="AC154" s="254"/>
    </row>
    <row r="155" ht="12.75" customHeight="1" spans="1:29">
      <c r="A155" s="254"/>
      <c r="B155" s="254"/>
      <c r="C155" s="254"/>
      <c r="D155" s="276"/>
      <c r="E155" s="254"/>
      <c r="F155" s="254"/>
      <c r="G155" s="254"/>
      <c r="H155" s="254"/>
      <c r="I155" s="254"/>
      <c r="J155" s="254"/>
      <c r="K155" s="254"/>
      <c r="L155" s="254"/>
      <c r="M155" s="254"/>
      <c r="N155" s="254"/>
      <c r="O155" s="254"/>
      <c r="P155" s="254"/>
      <c r="Q155" s="254"/>
      <c r="R155" s="254"/>
      <c r="S155" s="254"/>
      <c r="T155" s="254"/>
      <c r="U155" s="254"/>
      <c r="V155" s="254"/>
      <c r="W155" s="254"/>
      <c r="X155" s="254"/>
      <c r="Y155" s="254"/>
      <c r="Z155" s="254"/>
      <c r="AA155" s="254"/>
      <c r="AB155" s="254"/>
      <c r="AC155" s="254"/>
    </row>
    <row r="156" ht="12.75" customHeight="1" spans="1:29">
      <c r="A156" s="254"/>
      <c r="B156" s="254"/>
      <c r="C156" s="254"/>
      <c r="D156" s="276"/>
      <c r="E156" s="254"/>
      <c r="F156" s="254"/>
      <c r="G156" s="254"/>
      <c r="H156" s="254"/>
      <c r="I156" s="254"/>
      <c r="J156" s="254"/>
      <c r="K156" s="254"/>
      <c r="L156" s="254"/>
      <c r="M156" s="254"/>
      <c r="N156" s="254"/>
      <c r="O156" s="254"/>
      <c r="P156" s="254"/>
      <c r="Q156" s="254"/>
      <c r="R156" s="254"/>
      <c r="S156" s="254"/>
      <c r="T156" s="254"/>
      <c r="U156" s="254"/>
      <c r="V156" s="254"/>
      <c r="W156" s="254"/>
      <c r="X156" s="254"/>
      <c r="Y156" s="254"/>
      <c r="Z156" s="254"/>
      <c r="AA156" s="254"/>
      <c r="AB156" s="254"/>
      <c r="AC156" s="254"/>
    </row>
    <row r="157" ht="12.75" customHeight="1" spans="1:29">
      <c r="A157" s="254"/>
      <c r="B157" s="254"/>
      <c r="C157" s="254"/>
      <c r="D157" s="276"/>
      <c r="E157" s="254"/>
      <c r="F157" s="254"/>
      <c r="G157" s="254"/>
      <c r="H157" s="254"/>
      <c r="I157" s="254"/>
      <c r="J157" s="254"/>
      <c r="K157" s="254"/>
      <c r="L157" s="254"/>
      <c r="M157" s="254"/>
      <c r="N157" s="254"/>
      <c r="O157" s="254"/>
      <c r="P157" s="254"/>
      <c r="Q157" s="254"/>
      <c r="R157" s="254"/>
      <c r="S157" s="254"/>
      <c r="T157" s="254"/>
      <c r="U157" s="254"/>
      <c r="V157" s="254"/>
      <c r="W157" s="254"/>
      <c r="X157" s="254"/>
      <c r="Y157" s="254"/>
      <c r="Z157" s="254"/>
      <c r="AA157" s="254"/>
      <c r="AB157" s="254"/>
      <c r="AC157" s="254"/>
    </row>
    <row r="158" ht="12.75" customHeight="1" spans="1:29">
      <c r="A158" s="254"/>
      <c r="B158" s="254"/>
      <c r="C158" s="254"/>
      <c r="D158" s="276"/>
      <c r="E158" s="254"/>
      <c r="F158" s="254"/>
      <c r="G158" s="254"/>
      <c r="H158" s="254"/>
      <c r="I158" s="254"/>
      <c r="J158" s="254"/>
      <c r="K158" s="254"/>
      <c r="L158" s="254"/>
      <c r="M158" s="254"/>
      <c r="N158" s="254"/>
      <c r="O158" s="254"/>
      <c r="P158" s="254"/>
      <c r="Q158" s="254"/>
      <c r="R158" s="254"/>
      <c r="S158" s="254"/>
      <c r="T158" s="254"/>
      <c r="U158" s="254"/>
      <c r="V158" s="254"/>
      <c r="W158" s="254"/>
      <c r="X158" s="254"/>
      <c r="Y158" s="254"/>
      <c r="Z158" s="254"/>
      <c r="AA158" s="254"/>
      <c r="AB158" s="254"/>
      <c r="AC158" s="254"/>
    </row>
    <row r="159" ht="12.75" customHeight="1" spans="1:29">
      <c r="A159" s="254"/>
      <c r="B159" s="254"/>
      <c r="C159" s="254"/>
      <c r="D159" s="276"/>
      <c r="E159" s="254"/>
      <c r="F159" s="254"/>
      <c r="G159" s="254"/>
      <c r="H159" s="254"/>
      <c r="I159" s="254"/>
      <c r="J159" s="254"/>
      <c r="K159" s="254"/>
      <c r="L159" s="254"/>
      <c r="M159" s="254"/>
      <c r="N159" s="254"/>
      <c r="O159" s="254"/>
      <c r="P159" s="254"/>
      <c r="Q159" s="254"/>
      <c r="R159" s="254"/>
      <c r="S159" s="254"/>
      <c r="T159" s="254"/>
      <c r="U159" s="254"/>
      <c r="V159" s="254"/>
      <c r="W159" s="254"/>
      <c r="X159" s="254"/>
      <c r="Y159" s="254"/>
      <c r="Z159" s="254"/>
      <c r="AA159" s="254"/>
      <c r="AB159" s="254"/>
      <c r="AC159" s="254"/>
    </row>
    <row r="160" ht="12.75" customHeight="1" spans="1:29">
      <c r="A160" s="254"/>
      <c r="B160" s="254"/>
      <c r="C160" s="254"/>
      <c r="D160" s="276"/>
      <c r="E160" s="254"/>
      <c r="F160" s="254"/>
      <c r="G160" s="254"/>
      <c r="H160" s="254"/>
      <c r="I160" s="254"/>
      <c r="J160" s="254"/>
      <c r="K160" s="254"/>
      <c r="L160" s="254"/>
      <c r="M160" s="254"/>
      <c r="N160" s="254"/>
      <c r="O160" s="254"/>
      <c r="P160" s="254"/>
      <c r="Q160" s="254"/>
      <c r="R160" s="254"/>
      <c r="S160" s="254"/>
      <c r="T160" s="254"/>
      <c r="U160" s="254"/>
      <c r="V160" s="254"/>
      <c r="W160" s="254"/>
      <c r="X160" s="254"/>
      <c r="Y160" s="254"/>
      <c r="Z160" s="254"/>
      <c r="AA160" s="254"/>
      <c r="AB160" s="254"/>
      <c r="AC160" s="254"/>
    </row>
    <row r="161" ht="12.75" customHeight="1" spans="1:29">
      <c r="A161" s="254"/>
      <c r="B161" s="254"/>
      <c r="C161" s="254"/>
      <c r="D161" s="276"/>
      <c r="E161" s="254"/>
      <c r="F161" s="254"/>
      <c r="G161" s="254"/>
      <c r="H161" s="254"/>
      <c r="I161" s="254"/>
      <c r="J161" s="254"/>
      <c r="K161" s="254"/>
      <c r="L161" s="254"/>
      <c r="M161" s="254"/>
      <c r="N161" s="254"/>
      <c r="O161" s="254"/>
      <c r="P161" s="254"/>
      <c r="Q161" s="254"/>
      <c r="R161" s="254"/>
      <c r="S161" s="254"/>
      <c r="T161" s="254"/>
      <c r="U161" s="254"/>
      <c r="V161" s="254"/>
      <c r="W161" s="254"/>
      <c r="X161" s="254"/>
      <c r="Y161" s="254"/>
      <c r="Z161" s="254"/>
      <c r="AA161" s="254"/>
      <c r="AB161" s="254"/>
      <c r="AC161" s="254"/>
    </row>
    <row r="162" ht="12.75" customHeight="1" spans="1:29">
      <c r="A162" s="254"/>
      <c r="B162" s="254"/>
      <c r="C162" s="254"/>
      <c r="D162" s="276"/>
      <c r="E162" s="254"/>
      <c r="F162" s="254"/>
      <c r="G162" s="254"/>
      <c r="H162" s="254"/>
      <c r="I162" s="254"/>
      <c r="J162" s="254"/>
      <c r="K162" s="254"/>
      <c r="L162" s="254"/>
      <c r="M162" s="254"/>
      <c r="N162" s="254"/>
      <c r="O162" s="254"/>
      <c r="P162" s="254"/>
      <c r="Q162" s="254"/>
      <c r="R162" s="254"/>
      <c r="S162" s="254"/>
      <c r="T162" s="254"/>
      <c r="U162" s="254"/>
      <c r="V162" s="254"/>
      <c r="W162" s="254"/>
      <c r="X162" s="254"/>
      <c r="Y162" s="254"/>
      <c r="Z162" s="254"/>
      <c r="AA162" s="254"/>
      <c r="AB162" s="254"/>
      <c r="AC162" s="254"/>
    </row>
    <row r="163" ht="12.75" customHeight="1" spans="1:29">
      <c r="A163" s="254"/>
      <c r="B163" s="254"/>
      <c r="C163" s="254"/>
      <c r="D163" s="276"/>
      <c r="E163" s="254"/>
      <c r="F163" s="254"/>
      <c r="G163" s="254"/>
      <c r="H163" s="254"/>
      <c r="I163" s="254"/>
      <c r="J163" s="254"/>
      <c r="K163" s="254"/>
      <c r="L163" s="254"/>
      <c r="M163" s="254"/>
      <c r="N163" s="254"/>
      <c r="O163" s="254"/>
      <c r="P163" s="254"/>
      <c r="Q163" s="254"/>
      <c r="R163" s="254"/>
      <c r="S163" s="254"/>
      <c r="T163" s="254"/>
      <c r="U163" s="254"/>
      <c r="V163" s="254"/>
      <c r="W163" s="254"/>
      <c r="X163" s="254"/>
      <c r="Y163" s="254"/>
      <c r="Z163" s="254"/>
      <c r="AA163" s="254"/>
      <c r="AB163" s="254"/>
      <c r="AC163" s="254"/>
    </row>
    <row r="164" ht="12.75" customHeight="1" spans="1:29">
      <c r="A164" s="254"/>
      <c r="B164" s="254"/>
      <c r="C164" s="254"/>
      <c r="D164" s="276"/>
      <c r="E164" s="254"/>
      <c r="F164" s="254"/>
      <c r="G164" s="254"/>
      <c r="H164" s="254"/>
      <c r="I164" s="254"/>
      <c r="J164" s="254"/>
      <c r="K164" s="254"/>
      <c r="L164" s="254"/>
      <c r="M164" s="254"/>
      <c r="N164" s="254"/>
      <c r="O164" s="254"/>
      <c r="P164" s="254"/>
      <c r="Q164" s="254"/>
      <c r="R164" s="254"/>
      <c r="S164" s="254"/>
      <c r="T164" s="254"/>
      <c r="U164" s="254"/>
      <c r="V164" s="254"/>
      <c r="W164" s="254"/>
      <c r="X164" s="254"/>
      <c r="Y164" s="254"/>
      <c r="Z164" s="254"/>
      <c r="AA164" s="254"/>
      <c r="AB164" s="254"/>
      <c r="AC164" s="254"/>
    </row>
    <row r="165" ht="12.75" customHeight="1" spans="1:29">
      <c r="A165" s="254"/>
      <c r="B165" s="254"/>
      <c r="C165" s="254"/>
      <c r="D165" s="276"/>
      <c r="E165" s="254"/>
      <c r="F165" s="254"/>
      <c r="G165" s="254"/>
      <c r="H165" s="254"/>
      <c r="I165" s="254"/>
      <c r="J165" s="254"/>
      <c r="K165" s="254"/>
      <c r="L165" s="254"/>
      <c r="M165" s="254"/>
      <c r="N165" s="254"/>
      <c r="O165" s="254"/>
      <c r="P165" s="254"/>
      <c r="Q165" s="254"/>
      <c r="R165" s="254"/>
      <c r="S165" s="254"/>
      <c r="T165" s="254"/>
      <c r="U165" s="254"/>
      <c r="V165" s="254"/>
      <c r="W165" s="254"/>
      <c r="X165" s="254"/>
      <c r="Y165" s="254"/>
      <c r="Z165" s="254"/>
      <c r="AA165" s="254"/>
      <c r="AB165" s="254"/>
      <c r="AC165" s="254"/>
    </row>
    <row r="166" ht="12.75" customHeight="1" spans="1:29">
      <c r="A166" s="254"/>
      <c r="B166" s="254"/>
      <c r="C166" s="254"/>
      <c r="D166" s="276"/>
      <c r="E166" s="254"/>
      <c r="F166" s="254"/>
      <c r="G166" s="254"/>
      <c r="H166" s="254"/>
      <c r="I166" s="254"/>
      <c r="J166" s="254"/>
      <c r="K166" s="254"/>
      <c r="L166" s="254"/>
      <c r="M166" s="254"/>
      <c r="N166" s="254"/>
      <c r="O166" s="254"/>
      <c r="P166" s="254"/>
      <c r="Q166" s="254"/>
      <c r="R166" s="254"/>
      <c r="S166" s="254"/>
      <c r="T166" s="254"/>
      <c r="U166" s="254"/>
      <c r="V166" s="254"/>
      <c r="W166" s="254"/>
      <c r="X166" s="254"/>
      <c r="Y166" s="254"/>
      <c r="Z166" s="254"/>
      <c r="AA166" s="254"/>
      <c r="AB166" s="254"/>
      <c r="AC166" s="254"/>
    </row>
    <row r="167" ht="12.75" customHeight="1" spans="1:29">
      <c r="A167" s="254"/>
      <c r="B167" s="254"/>
      <c r="C167" s="254"/>
      <c r="D167" s="276"/>
      <c r="E167" s="254"/>
      <c r="F167" s="254"/>
      <c r="G167" s="254"/>
      <c r="H167" s="254"/>
      <c r="I167" s="254"/>
      <c r="J167" s="254"/>
      <c r="K167" s="254"/>
      <c r="L167" s="254"/>
      <c r="M167" s="254"/>
      <c r="N167" s="254"/>
      <c r="O167" s="254"/>
      <c r="P167" s="254"/>
      <c r="Q167" s="254"/>
      <c r="R167" s="254"/>
      <c r="S167" s="254"/>
      <c r="T167" s="254"/>
      <c r="U167" s="254"/>
      <c r="V167" s="254"/>
      <c r="W167" s="254"/>
      <c r="X167" s="254"/>
      <c r="Y167" s="254"/>
      <c r="Z167" s="254"/>
      <c r="AA167" s="254"/>
      <c r="AB167" s="254"/>
      <c r="AC167" s="254"/>
    </row>
    <row r="168" ht="12.75" customHeight="1" spans="1:29">
      <c r="A168" s="254"/>
      <c r="B168" s="254"/>
      <c r="C168" s="254"/>
      <c r="D168" s="276"/>
      <c r="E168" s="254"/>
      <c r="F168" s="254"/>
      <c r="G168" s="254"/>
      <c r="H168" s="254"/>
      <c r="I168" s="254"/>
      <c r="J168" s="254"/>
      <c r="K168" s="254"/>
      <c r="L168" s="254"/>
      <c r="M168" s="254"/>
      <c r="N168" s="254"/>
      <c r="O168" s="254"/>
      <c r="P168" s="254"/>
      <c r="Q168" s="254"/>
      <c r="R168" s="254"/>
      <c r="S168" s="254"/>
      <c r="T168" s="254"/>
      <c r="U168" s="254"/>
      <c r="V168" s="254"/>
      <c r="W168" s="254"/>
      <c r="X168" s="254"/>
      <c r="Y168" s="254"/>
      <c r="Z168" s="254"/>
      <c r="AA168" s="254"/>
      <c r="AB168" s="254"/>
      <c r="AC168" s="254"/>
    </row>
    <row r="169" ht="12.75" customHeight="1" spans="1:29">
      <c r="A169" s="254"/>
      <c r="B169" s="254"/>
      <c r="C169" s="254"/>
      <c r="D169" s="276"/>
      <c r="E169" s="254"/>
      <c r="F169" s="254"/>
      <c r="G169" s="254"/>
      <c r="H169" s="254"/>
      <c r="I169" s="254"/>
      <c r="J169" s="254"/>
      <c r="K169" s="254"/>
      <c r="L169" s="254"/>
      <c r="M169" s="254"/>
      <c r="N169" s="254"/>
      <c r="O169" s="254"/>
      <c r="P169" s="254"/>
      <c r="Q169" s="254"/>
      <c r="R169" s="254"/>
      <c r="S169" s="254"/>
      <c r="T169" s="254"/>
      <c r="U169" s="254"/>
      <c r="V169" s="254"/>
      <c r="W169" s="254"/>
      <c r="X169" s="254"/>
      <c r="Y169" s="254"/>
      <c r="Z169" s="254"/>
      <c r="AA169" s="254"/>
      <c r="AB169" s="254"/>
      <c r="AC169" s="254"/>
    </row>
    <row r="170" ht="12.75" customHeight="1" spans="1:29">
      <c r="A170" s="254"/>
      <c r="B170" s="254"/>
      <c r="C170" s="254"/>
      <c r="D170" s="276"/>
      <c r="E170" s="254"/>
      <c r="F170" s="254"/>
      <c r="G170" s="254"/>
      <c r="H170" s="254"/>
      <c r="I170" s="254"/>
      <c r="J170" s="254"/>
      <c r="K170" s="254"/>
      <c r="L170" s="254"/>
      <c r="M170" s="254"/>
      <c r="N170" s="254"/>
      <c r="O170" s="254"/>
      <c r="P170" s="254"/>
      <c r="Q170" s="254"/>
      <c r="R170" s="254"/>
      <c r="S170" s="254"/>
      <c r="T170" s="254"/>
      <c r="U170" s="254"/>
      <c r="V170" s="254"/>
      <c r="W170" s="254"/>
      <c r="X170" s="254"/>
      <c r="Y170" s="254"/>
      <c r="Z170" s="254"/>
      <c r="AA170" s="254"/>
      <c r="AB170" s="254"/>
      <c r="AC170" s="254"/>
    </row>
    <row r="171" ht="12.75" customHeight="1" spans="1:29">
      <c r="A171" s="254"/>
      <c r="B171" s="254"/>
      <c r="C171" s="254"/>
      <c r="D171" s="276"/>
      <c r="E171" s="254"/>
      <c r="F171" s="254"/>
      <c r="G171" s="254"/>
      <c r="H171" s="254"/>
      <c r="I171" s="254"/>
      <c r="J171" s="254"/>
      <c r="K171" s="254"/>
      <c r="L171" s="254"/>
      <c r="M171" s="254"/>
      <c r="N171" s="254"/>
      <c r="O171" s="254"/>
      <c r="P171" s="254"/>
      <c r="Q171" s="254"/>
      <c r="R171" s="254"/>
      <c r="S171" s="254"/>
      <c r="T171" s="254"/>
      <c r="U171" s="254"/>
      <c r="V171" s="254"/>
      <c r="W171" s="254"/>
      <c r="X171" s="254"/>
      <c r="Y171" s="254"/>
      <c r="Z171" s="254"/>
      <c r="AA171" s="254"/>
      <c r="AB171" s="254"/>
      <c r="AC171" s="254"/>
    </row>
    <row r="172" ht="12.75" customHeight="1" spans="1:29">
      <c r="A172" s="254"/>
      <c r="B172" s="254"/>
      <c r="C172" s="254"/>
      <c r="D172" s="276"/>
      <c r="E172" s="254"/>
      <c r="F172" s="254"/>
      <c r="G172" s="254"/>
      <c r="H172" s="254"/>
      <c r="I172" s="254"/>
      <c r="J172" s="254"/>
      <c r="K172" s="254"/>
      <c r="L172" s="254"/>
      <c r="M172" s="254"/>
      <c r="N172" s="254"/>
      <c r="O172" s="254"/>
      <c r="P172" s="254"/>
      <c r="Q172" s="254"/>
      <c r="R172" s="254"/>
      <c r="S172" s="254"/>
      <c r="T172" s="254"/>
      <c r="U172" s="254"/>
      <c r="V172" s="254"/>
      <c r="W172" s="254"/>
      <c r="X172" s="254"/>
      <c r="Y172" s="254"/>
      <c r="Z172" s="254"/>
      <c r="AA172" s="254"/>
      <c r="AB172" s="254"/>
      <c r="AC172" s="254"/>
    </row>
    <row r="173" ht="12.75" customHeight="1" spans="1:29">
      <c r="A173" s="254"/>
      <c r="B173" s="254"/>
      <c r="C173" s="254"/>
      <c r="D173" s="276"/>
      <c r="E173" s="254"/>
      <c r="F173" s="254"/>
      <c r="G173" s="254"/>
      <c r="H173" s="254"/>
      <c r="I173" s="254"/>
      <c r="J173" s="254"/>
      <c r="K173" s="254"/>
      <c r="L173" s="254"/>
      <c r="M173" s="254"/>
      <c r="N173" s="254"/>
      <c r="O173" s="254"/>
      <c r="P173" s="254"/>
      <c r="Q173" s="254"/>
      <c r="R173" s="254"/>
      <c r="S173" s="254"/>
      <c r="T173" s="254"/>
      <c r="U173" s="254"/>
      <c r="V173" s="254"/>
      <c r="W173" s="254"/>
      <c r="X173" s="254"/>
      <c r="Y173" s="254"/>
      <c r="Z173" s="254"/>
      <c r="AA173" s="254"/>
      <c r="AB173" s="254"/>
      <c r="AC173" s="254"/>
    </row>
    <row r="174" ht="12.75" customHeight="1" spans="1:29">
      <c r="A174" s="254"/>
      <c r="B174" s="254"/>
      <c r="C174" s="254"/>
      <c r="D174" s="276"/>
      <c r="E174" s="254"/>
      <c r="F174" s="254"/>
      <c r="G174" s="254"/>
      <c r="H174" s="254"/>
      <c r="I174" s="254"/>
      <c r="J174" s="254"/>
      <c r="K174" s="254"/>
      <c r="L174" s="254"/>
      <c r="M174" s="254"/>
      <c r="N174" s="254"/>
      <c r="O174" s="254"/>
      <c r="P174" s="254"/>
      <c r="Q174" s="254"/>
      <c r="R174" s="254"/>
      <c r="S174" s="254"/>
      <c r="T174" s="254"/>
      <c r="U174" s="254"/>
      <c r="V174" s="254"/>
      <c r="W174" s="254"/>
      <c r="X174" s="254"/>
      <c r="Y174" s="254"/>
      <c r="Z174" s="254"/>
      <c r="AA174" s="254"/>
      <c r="AB174" s="254"/>
      <c r="AC174" s="254"/>
    </row>
    <row r="175" ht="12.75" customHeight="1" spans="1:29">
      <c r="A175" s="254"/>
      <c r="B175" s="254"/>
      <c r="C175" s="254"/>
      <c r="D175" s="276"/>
      <c r="E175" s="254"/>
      <c r="F175" s="254"/>
      <c r="G175" s="254"/>
      <c r="H175" s="254"/>
      <c r="I175" s="254"/>
      <c r="J175" s="254"/>
      <c r="K175" s="254"/>
      <c r="L175" s="254"/>
      <c r="M175" s="254"/>
      <c r="N175" s="254"/>
      <c r="O175" s="254"/>
      <c r="P175" s="254"/>
      <c r="Q175" s="254"/>
      <c r="R175" s="254"/>
      <c r="S175" s="254"/>
      <c r="T175" s="254"/>
      <c r="U175" s="254"/>
      <c r="V175" s="254"/>
      <c r="W175" s="254"/>
      <c r="X175" s="254"/>
      <c r="Y175" s="254"/>
      <c r="Z175" s="254"/>
      <c r="AA175" s="254"/>
      <c r="AB175" s="254"/>
      <c r="AC175" s="254"/>
    </row>
    <row r="176" ht="12.75" customHeight="1" spans="1:29">
      <c r="A176" s="254"/>
      <c r="B176" s="254"/>
      <c r="C176" s="254"/>
      <c r="D176" s="276"/>
      <c r="E176" s="254"/>
      <c r="F176" s="254"/>
      <c r="G176" s="254"/>
      <c r="H176" s="254"/>
      <c r="I176" s="254"/>
      <c r="J176" s="254"/>
      <c r="K176" s="254"/>
      <c r="L176" s="254"/>
      <c r="M176" s="254"/>
      <c r="N176" s="254"/>
      <c r="O176" s="254"/>
      <c r="P176" s="254"/>
      <c r="Q176" s="254"/>
      <c r="R176" s="254"/>
      <c r="S176" s="254"/>
      <c r="T176" s="254"/>
      <c r="U176" s="254"/>
      <c r="V176" s="254"/>
      <c r="W176" s="254"/>
      <c r="X176" s="254"/>
      <c r="Y176" s="254"/>
      <c r="Z176" s="254"/>
      <c r="AA176" s="254"/>
      <c r="AB176" s="254"/>
      <c r="AC176" s="254"/>
    </row>
    <row r="177" ht="12.75" customHeight="1" spans="1:29">
      <c r="A177" s="254"/>
      <c r="B177" s="254"/>
      <c r="C177" s="254"/>
      <c r="D177" s="276"/>
      <c r="E177" s="254"/>
      <c r="F177" s="254"/>
      <c r="G177" s="254"/>
      <c r="H177" s="254"/>
      <c r="I177" s="254"/>
      <c r="J177" s="254"/>
      <c r="K177" s="254"/>
      <c r="L177" s="254"/>
      <c r="M177" s="254"/>
      <c r="N177" s="254"/>
      <c r="O177" s="254"/>
      <c r="P177" s="254"/>
      <c r="Q177" s="254"/>
      <c r="R177" s="254"/>
      <c r="S177" s="254"/>
      <c r="T177" s="254"/>
      <c r="U177" s="254"/>
      <c r="V177" s="254"/>
      <c r="W177" s="254"/>
      <c r="X177" s="254"/>
      <c r="Y177" s="254"/>
      <c r="Z177" s="254"/>
      <c r="AA177" s="254"/>
      <c r="AB177" s="254"/>
      <c r="AC177" s="254"/>
    </row>
    <row r="178" ht="12.75" customHeight="1" spans="1:29">
      <c r="A178" s="254"/>
      <c r="B178" s="254"/>
      <c r="C178" s="254"/>
      <c r="D178" s="276"/>
      <c r="E178" s="254"/>
      <c r="F178" s="254"/>
      <c r="G178" s="254"/>
      <c r="H178" s="254"/>
      <c r="I178" s="254"/>
      <c r="J178" s="254"/>
      <c r="K178" s="254"/>
      <c r="L178" s="254"/>
      <c r="M178" s="254"/>
      <c r="N178" s="254"/>
      <c r="O178" s="254"/>
      <c r="P178" s="254"/>
      <c r="Q178" s="254"/>
      <c r="R178" s="254"/>
      <c r="S178" s="254"/>
      <c r="T178" s="254"/>
      <c r="U178" s="254"/>
      <c r="V178" s="254"/>
      <c r="W178" s="254"/>
      <c r="X178" s="254"/>
      <c r="Y178" s="254"/>
      <c r="Z178" s="254"/>
      <c r="AA178" s="254"/>
      <c r="AB178" s="254"/>
      <c r="AC178" s="254"/>
    </row>
    <row r="179" ht="12.75" customHeight="1" spans="1:29">
      <c r="A179" s="254"/>
      <c r="B179" s="254"/>
      <c r="C179" s="254"/>
      <c r="D179" s="276"/>
      <c r="E179" s="254"/>
      <c r="F179" s="254"/>
      <c r="G179" s="254"/>
      <c r="H179" s="254"/>
      <c r="I179" s="254"/>
      <c r="J179" s="254"/>
      <c r="K179" s="254"/>
      <c r="L179" s="254"/>
      <c r="M179" s="254"/>
      <c r="N179" s="254"/>
      <c r="O179" s="254"/>
      <c r="P179" s="254"/>
      <c r="Q179" s="254"/>
      <c r="R179" s="254"/>
      <c r="S179" s="254"/>
      <c r="T179" s="254"/>
      <c r="U179" s="254"/>
      <c r="V179" s="254"/>
      <c r="W179" s="254"/>
      <c r="X179" s="254"/>
      <c r="Y179" s="254"/>
      <c r="Z179" s="254"/>
      <c r="AA179" s="254"/>
      <c r="AB179" s="254"/>
      <c r="AC179" s="254"/>
    </row>
    <row r="180" ht="12.75" customHeight="1" spans="1:29">
      <c r="A180" s="254"/>
      <c r="B180" s="254"/>
      <c r="C180" s="254"/>
      <c r="D180" s="276"/>
      <c r="E180" s="254"/>
      <c r="F180" s="254"/>
      <c r="G180" s="254"/>
      <c r="H180" s="254"/>
      <c r="I180" s="254"/>
      <c r="J180" s="254"/>
      <c r="K180" s="254"/>
      <c r="L180" s="254"/>
      <c r="M180" s="254"/>
      <c r="N180" s="254"/>
      <c r="O180" s="254"/>
      <c r="P180" s="254"/>
      <c r="Q180" s="254"/>
      <c r="R180" s="254"/>
      <c r="S180" s="254"/>
      <c r="T180" s="254"/>
      <c r="U180" s="254"/>
      <c r="V180" s="254"/>
      <c r="W180" s="254"/>
      <c r="X180" s="254"/>
      <c r="Y180" s="254"/>
      <c r="Z180" s="254"/>
      <c r="AA180" s="254"/>
      <c r="AB180" s="254"/>
      <c r="AC180" s="254"/>
    </row>
    <row r="181" ht="12.75" customHeight="1" spans="1:29">
      <c r="A181" s="254"/>
      <c r="B181" s="254"/>
      <c r="C181" s="254"/>
      <c r="D181" s="276"/>
      <c r="E181" s="254"/>
      <c r="F181" s="254"/>
      <c r="G181" s="254"/>
      <c r="H181" s="254"/>
      <c r="I181" s="254"/>
      <c r="J181" s="254"/>
      <c r="K181" s="254"/>
      <c r="L181" s="254"/>
      <c r="M181" s="254"/>
      <c r="N181" s="254"/>
      <c r="O181" s="254"/>
      <c r="P181" s="254"/>
      <c r="Q181" s="254"/>
      <c r="R181" s="254"/>
      <c r="S181" s="254"/>
      <c r="T181" s="254"/>
      <c r="U181" s="254"/>
      <c r="V181" s="254"/>
      <c r="W181" s="254"/>
      <c r="X181" s="254"/>
      <c r="Y181" s="254"/>
      <c r="Z181" s="254"/>
      <c r="AA181" s="254"/>
      <c r="AB181" s="254"/>
      <c r="AC181" s="254"/>
    </row>
    <row r="182" ht="12.75" customHeight="1" spans="1:29">
      <c r="A182" s="254"/>
      <c r="B182" s="254"/>
      <c r="C182" s="254"/>
      <c r="D182" s="276"/>
      <c r="E182" s="254"/>
      <c r="F182" s="254"/>
      <c r="G182" s="254"/>
      <c r="H182" s="254"/>
      <c r="I182" s="254"/>
      <c r="J182" s="254"/>
      <c r="K182" s="254"/>
      <c r="L182" s="254"/>
      <c r="M182" s="254"/>
      <c r="N182" s="254"/>
      <c r="O182" s="254"/>
      <c r="P182" s="254"/>
      <c r="Q182" s="254"/>
      <c r="R182" s="254"/>
      <c r="S182" s="254"/>
      <c r="T182" s="254"/>
      <c r="U182" s="254"/>
      <c r="V182" s="254"/>
      <c r="W182" s="254"/>
      <c r="X182" s="254"/>
      <c r="Y182" s="254"/>
      <c r="Z182" s="254"/>
      <c r="AA182" s="254"/>
      <c r="AB182" s="254"/>
      <c r="AC182" s="254"/>
    </row>
    <row r="183" ht="12.75" customHeight="1" spans="1:29">
      <c r="A183" s="254"/>
      <c r="B183" s="254"/>
      <c r="C183" s="254"/>
      <c r="D183" s="276"/>
      <c r="E183" s="254"/>
      <c r="F183" s="254"/>
      <c r="G183" s="254"/>
      <c r="H183" s="254"/>
      <c r="I183" s="254"/>
      <c r="J183" s="254"/>
      <c r="K183" s="254"/>
      <c r="L183" s="254"/>
      <c r="M183" s="254"/>
      <c r="N183" s="254"/>
      <c r="O183" s="254"/>
      <c r="P183" s="254"/>
      <c r="Q183" s="254"/>
      <c r="R183" s="254"/>
      <c r="S183" s="254"/>
      <c r="T183" s="254"/>
      <c r="U183" s="254"/>
      <c r="V183" s="254"/>
      <c r="W183" s="254"/>
      <c r="X183" s="254"/>
      <c r="Y183" s="254"/>
      <c r="Z183" s="254"/>
      <c r="AA183" s="254"/>
      <c r="AB183" s="254"/>
      <c r="AC183" s="254"/>
    </row>
    <row r="184" ht="12.75" customHeight="1" spans="1:29">
      <c r="A184" s="254"/>
      <c r="B184" s="254"/>
      <c r="C184" s="254"/>
      <c r="D184" s="276"/>
      <c r="E184" s="254"/>
      <c r="F184" s="254"/>
      <c r="G184" s="254"/>
      <c r="H184" s="254"/>
      <c r="I184" s="254"/>
      <c r="J184" s="254"/>
      <c r="K184" s="254"/>
      <c r="L184" s="254"/>
      <c r="M184" s="254"/>
      <c r="N184" s="254"/>
      <c r="O184" s="254"/>
      <c r="P184" s="254"/>
      <c r="Q184" s="254"/>
      <c r="R184" s="254"/>
      <c r="S184" s="254"/>
      <c r="T184" s="254"/>
      <c r="U184" s="254"/>
      <c r="V184" s="254"/>
      <c r="W184" s="254"/>
      <c r="X184" s="254"/>
      <c r="Y184" s="254"/>
      <c r="Z184" s="254"/>
      <c r="AA184" s="254"/>
      <c r="AB184" s="254"/>
      <c r="AC184" s="254"/>
    </row>
    <row r="185" ht="12.75" customHeight="1" spans="1:29">
      <c r="A185" s="254"/>
      <c r="B185" s="254"/>
      <c r="C185" s="254"/>
      <c r="D185" s="276"/>
      <c r="E185" s="254"/>
      <c r="F185" s="254"/>
      <c r="G185" s="254"/>
      <c r="H185" s="254"/>
      <c r="I185" s="254"/>
      <c r="J185" s="254"/>
      <c r="K185" s="254"/>
      <c r="L185" s="254"/>
      <c r="M185" s="254"/>
      <c r="N185" s="254"/>
      <c r="O185" s="254"/>
      <c r="P185" s="254"/>
      <c r="Q185" s="254"/>
      <c r="R185" s="254"/>
      <c r="S185" s="254"/>
      <c r="T185" s="254"/>
      <c r="U185" s="254"/>
      <c r="V185" s="254"/>
      <c r="W185" s="254"/>
      <c r="X185" s="254"/>
      <c r="Y185" s="254"/>
      <c r="Z185" s="254"/>
      <c r="AA185" s="254"/>
      <c r="AB185" s="254"/>
      <c r="AC185" s="254"/>
    </row>
    <row r="186" ht="12.75" customHeight="1" spans="1:29">
      <c r="A186" s="254"/>
      <c r="B186" s="254"/>
      <c r="C186" s="254"/>
      <c r="D186" s="276"/>
      <c r="E186" s="254"/>
      <c r="F186" s="254"/>
      <c r="G186" s="254"/>
      <c r="H186" s="254"/>
      <c r="I186" s="254"/>
      <c r="J186" s="254"/>
      <c r="K186" s="254"/>
      <c r="L186" s="254"/>
      <c r="M186" s="254"/>
      <c r="N186" s="254"/>
      <c r="O186" s="254"/>
      <c r="P186" s="254"/>
      <c r="Q186" s="254"/>
      <c r="R186" s="254"/>
      <c r="S186" s="254"/>
      <c r="T186" s="254"/>
      <c r="U186" s="254"/>
      <c r="V186" s="254"/>
      <c r="W186" s="254"/>
      <c r="X186" s="254"/>
      <c r="Y186" s="254"/>
      <c r="Z186" s="254"/>
      <c r="AA186" s="254"/>
      <c r="AB186" s="254"/>
      <c r="AC186" s="254"/>
    </row>
    <row r="187" ht="12.75" customHeight="1" spans="1:29">
      <c r="A187" s="254"/>
      <c r="B187" s="254"/>
      <c r="C187" s="254"/>
      <c r="D187" s="276"/>
      <c r="E187" s="254"/>
      <c r="F187" s="254"/>
      <c r="G187" s="254"/>
      <c r="H187" s="254"/>
      <c r="I187" s="254"/>
      <c r="J187" s="254"/>
      <c r="K187" s="254"/>
      <c r="L187" s="254"/>
      <c r="M187" s="254"/>
      <c r="N187" s="254"/>
      <c r="O187" s="254"/>
      <c r="P187" s="254"/>
      <c r="Q187" s="254"/>
      <c r="R187" s="254"/>
      <c r="S187" s="254"/>
      <c r="T187" s="254"/>
      <c r="U187" s="254"/>
      <c r="V187" s="254"/>
      <c r="W187" s="254"/>
      <c r="X187" s="254"/>
      <c r="Y187" s="254"/>
      <c r="Z187" s="254"/>
      <c r="AA187" s="254"/>
      <c r="AB187" s="254"/>
      <c r="AC187" s="254"/>
    </row>
    <row r="188" ht="12.75" customHeight="1" spans="1:29">
      <c r="A188" s="254"/>
      <c r="B188" s="254"/>
      <c r="C188" s="254"/>
      <c r="D188" s="276"/>
      <c r="E188" s="254"/>
      <c r="F188" s="254"/>
      <c r="G188" s="254"/>
      <c r="H188" s="254"/>
      <c r="I188" s="254"/>
      <c r="J188" s="254"/>
      <c r="K188" s="254"/>
      <c r="L188" s="254"/>
      <c r="M188" s="254"/>
      <c r="N188" s="254"/>
      <c r="O188" s="254"/>
      <c r="P188" s="254"/>
      <c r="Q188" s="254"/>
      <c r="R188" s="254"/>
      <c r="S188" s="254"/>
      <c r="T188" s="254"/>
      <c r="U188" s="254"/>
      <c r="V188" s="254"/>
      <c r="W188" s="254"/>
      <c r="X188" s="254"/>
      <c r="Y188" s="254"/>
      <c r="Z188" s="254"/>
      <c r="AA188" s="254"/>
      <c r="AB188" s="254"/>
      <c r="AC188" s="254"/>
    </row>
    <row r="189" ht="12.75" customHeight="1" spans="1:29">
      <c r="A189" s="254"/>
      <c r="B189" s="254"/>
      <c r="C189" s="254"/>
      <c r="D189" s="276"/>
      <c r="E189" s="254"/>
      <c r="F189" s="254"/>
      <c r="G189" s="254"/>
      <c r="H189" s="254"/>
      <c r="I189" s="254"/>
      <c r="J189" s="254"/>
      <c r="K189" s="254"/>
      <c r="L189" s="254"/>
      <c r="M189" s="254"/>
      <c r="N189" s="254"/>
      <c r="O189" s="254"/>
      <c r="P189" s="254"/>
      <c r="Q189" s="254"/>
      <c r="R189" s="254"/>
      <c r="S189" s="254"/>
      <c r="T189" s="254"/>
      <c r="U189" s="254"/>
      <c r="V189" s="254"/>
      <c r="W189" s="254"/>
      <c r="X189" s="254"/>
      <c r="Y189" s="254"/>
      <c r="Z189" s="254"/>
      <c r="AA189" s="254"/>
      <c r="AB189" s="254"/>
      <c r="AC189" s="254"/>
    </row>
    <row r="190" ht="12.75" customHeight="1" spans="1:29">
      <c r="A190" s="254"/>
      <c r="B190" s="254"/>
      <c r="C190" s="254"/>
      <c r="D190" s="276"/>
      <c r="E190" s="254"/>
      <c r="F190" s="254"/>
      <c r="G190" s="254"/>
      <c r="H190" s="254"/>
      <c r="I190" s="254"/>
      <c r="J190" s="254"/>
      <c r="K190" s="254"/>
      <c r="L190" s="254"/>
      <c r="M190" s="254"/>
      <c r="N190" s="254"/>
      <c r="O190" s="254"/>
      <c r="P190" s="254"/>
      <c r="Q190" s="254"/>
      <c r="R190" s="254"/>
      <c r="S190" s="254"/>
      <c r="T190" s="254"/>
      <c r="U190" s="254"/>
      <c r="V190" s="254"/>
      <c r="W190" s="254"/>
      <c r="X190" s="254"/>
      <c r="Y190" s="254"/>
      <c r="Z190" s="254"/>
      <c r="AA190" s="254"/>
      <c r="AB190" s="254"/>
      <c r="AC190" s="254"/>
    </row>
    <row r="191" ht="12.75" customHeight="1" spans="1:29">
      <c r="A191" s="254"/>
      <c r="B191" s="254"/>
      <c r="C191" s="254"/>
      <c r="D191" s="276"/>
      <c r="E191" s="254"/>
      <c r="F191" s="254"/>
      <c r="G191" s="254"/>
      <c r="H191" s="254"/>
      <c r="I191" s="254"/>
      <c r="J191" s="254"/>
      <c r="K191" s="254"/>
      <c r="L191" s="254"/>
      <c r="M191" s="254"/>
      <c r="N191" s="254"/>
      <c r="O191" s="254"/>
      <c r="P191" s="254"/>
      <c r="Q191" s="254"/>
      <c r="R191" s="254"/>
      <c r="S191" s="254"/>
      <c r="T191" s="254"/>
      <c r="U191" s="254"/>
      <c r="V191" s="254"/>
      <c r="W191" s="254"/>
      <c r="X191" s="254"/>
      <c r="Y191" s="254"/>
      <c r="Z191" s="254"/>
      <c r="AA191" s="254"/>
      <c r="AB191" s="254"/>
      <c r="AC191" s="254"/>
    </row>
    <row r="192" ht="12.75" customHeight="1" spans="1:29">
      <c r="A192" s="254"/>
      <c r="B192" s="254"/>
      <c r="C192" s="254"/>
      <c r="D192" s="276"/>
      <c r="E192" s="254"/>
      <c r="F192" s="254"/>
      <c r="G192" s="254"/>
      <c r="H192" s="254"/>
      <c r="I192" s="254"/>
      <c r="J192" s="254"/>
      <c r="K192" s="254"/>
      <c r="L192" s="254"/>
      <c r="M192" s="254"/>
      <c r="N192" s="254"/>
      <c r="O192" s="254"/>
      <c r="P192" s="254"/>
      <c r="Q192" s="254"/>
      <c r="R192" s="254"/>
      <c r="S192" s="254"/>
      <c r="T192" s="254"/>
      <c r="U192" s="254"/>
      <c r="V192" s="254"/>
      <c r="W192" s="254"/>
      <c r="X192" s="254"/>
      <c r="Y192" s="254"/>
      <c r="Z192" s="254"/>
      <c r="AA192" s="254"/>
      <c r="AB192" s="254"/>
      <c r="AC192" s="254"/>
    </row>
    <row r="193" ht="12.75" customHeight="1" spans="1:29">
      <c r="A193" s="254"/>
      <c r="B193" s="254"/>
      <c r="C193" s="254"/>
      <c r="D193" s="276"/>
      <c r="E193" s="254"/>
      <c r="F193" s="254"/>
      <c r="G193" s="254"/>
      <c r="H193" s="254"/>
      <c r="I193" s="254"/>
      <c r="J193" s="254"/>
      <c r="K193" s="254"/>
      <c r="L193" s="254"/>
      <c r="M193" s="254"/>
      <c r="N193" s="254"/>
      <c r="O193" s="254"/>
      <c r="P193" s="254"/>
      <c r="Q193" s="254"/>
      <c r="R193" s="254"/>
      <c r="S193" s="254"/>
      <c r="T193" s="254"/>
      <c r="U193" s="254"/>
      <c r="V193" s="254"/>
      <c r="W193" s="254"/>
      <c r="X193" s="254"/>
      <c r="Y193" s="254"/>
      <c r="Z193" s="254"/>
      <c r="AA193" s="254"/>
      <c r="AB193" s="254"/>
      <c r="AC193" s="254"/>
    </row>
    <row r="194" ht="12.75" customHeight="1" spans="1:29">
      <c r="A194" s="254"/>
      <c r="B194" s="254"/>
      <c r="C194" s="254"/>
      <c r="D194" s="276"/>
      <c r="E194" s="254"/>
      <c r="F194" s="254"/>
      <c r="G194" s="254"/>
      <c r="H194" s="254"/>
      <c r="I194" s="254"/>
      <c r="J194" s="254"/>
      <c r="K194" s="254"/>
      <c r="L194" s="254"/>
      <c r="M194" s="254"/>
      <c r="N194" s="254"/>
      <c r="O194" s="254"/>
      <c r="P194" s="254"/>
      <c r="Q194" s="254"/>
      <c r="R194" s="254"/>
      <c r="S194" s="254"/>
      <c r="T194" s="254"/>
      <c r="U194" s="254"/>
      <c r="V194" s="254"/>
      <c r="W194" s="254"/>
      <c r="X194" s="254"/>
      <c r="Y194" s="254"/>
      <c r="Z194" s="254"/>
      <c r="AA194" s="254"/>
      <c r="AB194" s="254"/>
      <c r="AC194" s="254"/>
    </row>
    <row r="195" ht="12.75" customHeight="1" spans="1:29">
      <c r="A195" s="254"/>
      <c r="B195" s="254"/>
      <c r="C195" s="254"/>
      <c r="D195" s="276"/>
      <c r="E195" s="254"/>
      <c r="F195" s="254"/>
      <c r="G195" s="254"/>
      <c r="H195" s="254"/>
      <c r="I195" s="254"/>
      <c r="J195" s="254"/>
      <c r="K195" s="254"/>
      <c r="L195" s="254"/>
      <c r="M195" s="254"/>
      <c r="N195" s="254"/>
      <c r="O195" s="254"/>
      <c r="P195" s="254"/>
      <c r="Q195" s="254"/>
      <c r="R195" s="254"/>
      <c r="S195" s="254"/>
      <c r="T195" s="254"/>
      <c r="U195" s="254"/>
      <c r="V195" s="254"/>
      <c r="W195" s="254"/>
      <c r="X195" s="254"/>
      <c r="Y195" s="254"/>
      <c r="Z195" s="254"/>
      <c r="AA195" s="254"/>
      <c r="AB195" s="254"/>
      <c r="AC195" s="254"/>
    </row>
    <row r="196" ht="12.75" customHeight="1" spans="1:29">
      <c r="A196" s="254"/>
      <c r="B196" s="254"/>
      <c r="C196" s="254"/>
      <c r="D196" s="276"/>
      <c r="E196" s="254"/>
      <c r="F196" s="254"/>
      <c r="G196" s="254"/>
      <c r="H196" s="254"/>
      <c r="I196" s="254"/>
      <c r="J196" s="254"/>
      <c r="K196" s="254"/>
      <c r="L196" s="254"/>
      <c r="M196" s="254"/>
      <c r="N196" s="254"/>
      <c r="O196" s="254"/>
      <c r="P196" s="254"/>
      <c r="Q196" s="254"/>
      <c r="R196" s="254"/>
      <c r="S196" s="254"/>
      <c r="T196" s="254"/>
      <c r="U196" s="254"/>
      <c r="V196" s="254"/>
      <c r="W196" s="254"/>
      <c r="X196" s="254"/>
      <c r="Y196" s="254"/>
      <c r="Z196" s="254"/>
      <c r="AA196" s="254"/>
      <c r="AB196" s="254"/>
      <c r="AC196" s="254"/>
    </row>
    <row r="197" ht="12.75" customHeight="1" spans="1:29">
      <c r="A197" s="254"/>
      <c r="B197" s="254"/>
      <c r="C197" s="254"/>
      <c r="D197" s="276"/>
      <c r="E197" s="254"/>
      <c r="F197" s="254"/>
      <c r="G197" s="254"/>
      <c r="H197" s="254"/>
      <c r="I197" s="254"/>
      <c r="J197" s="254"/>
      <c r="K197" s="254"/>
      <c r="L197" s="254"/>
      <c r="M197" s="254"/>
      <c r="N197" s="254"/>
      <c r="O197" s="254"/>
      <c r="P197" s="254"/>
      <c r="Q197" s="254"/>
      <c r="R197" s="254"/>
      <c r="S197" s="254"/>
      <c r="T197" s="254"/>
      <c r="U197" s="254"/>
      <c r="V197" s="254"/>
      <c r="W197" s="254"/>
      <c r="X197" s="254"/>
      <c r="Y197" s="254"/>
      <c r="Z197" s="254"/>
      <c r="AA197" s="254"/>
      <c r="AB197" s="254"/>
      <c r="AC197" s="254"/>
    </row>
    <row r="198" ht="12.75" customHeight="1" spans="1:29">
      <c r="A198" s="254"/>
      <c r="B198" s="254"/>
      <c r="C198" s="254"/>
      <c r="D198" s="276"/>
      <c r="E198" s="254"/>
      <c r="F198" s="254"/>
      <c r="G198" s="254"/>
      <c r="H198" s="254"/>
      <c r="I198" s="254"/>
      <c r="J198" s="254"/>
      <c r="K198" s="254"/>
      <c r="L198" s="254"/>
      <c r="M198" s="254"/>
      <c r="N198" s="254"/>
      <c r="O198" s="254"/>
      <c r="P198" s="254"/>
      <c r="Q198" s="254"/>
      <c r="R198" s="254"/>
      <c r="S198" s="254"/>
      <c r="T198" s="254"/>
      <c r="U198" s="254"/>
      <c r="V198" s="254"/>
      <c r="W198" s="254"/>
      <c r="X198" s="254"/>
      <c r="Y198" s="254"/>
      <c r="Z198" s="254"/>
      <c r="AA198" s="254"/>
      <c r="AB198" s="254"/>
      <c r="AC198" s="254"/>
    </row>
    <row r="199" ht="12.75" customHeight="1" spans="1:29">
      <c r="A199" s="254"/>
      <c r="B199" s="254"/>
      <c r="C199" s="254"/>
      <c r="D199" s="276"/>
      <c r="E199" s="254"/>
      <c r="F199" s="254"/>
      <c r="G199" s="254"/>
      <c r="H199" s="254"/>
      <c r="I199" s="254"/>
      <c r="J199" s="254"/>
      <c r="K199" s="254"/>
      <c r="L199" s="254"/>
      <c r="M199" s="254"/>
      <c r="N199" s="254"/>
      <c r="O199" s="254"/>
      <c r="P199" s="254"/>
      <c r="Q199" s="254"/>
      <c r="R199" s="254"/>
      <c r="S199" s="254"/>
      <c r="T199" s="254"/>
      <c r="U199" s="254"/>
      <c r="V199" s="254"/>
      <c r="W199" s="254"/>
      <c r="X199" s="254"/>
      <c r="Y199" s="254"/>
      <c r="Z199" s="254"/>
      <c r="AA199" s="254"/>
      <c r="AB199" s="254"/>
      <c r="AC199" s="254"/>
    </row>
    <row r="200" ht="12.75" customHeight="1" spans="1:29">
      <c r="A200" s="254"/>
      <c r="B200" s="254"/>
      <c r="C200" s="254"/>
      <c r="D200" s="276"/>
      <c r="E200" s="254"/>
      <c r="F200" s="254"/>
      <c r="G200" s="254"/>
      <c r="H200" s="254"/>
      <c r="I200" s="254"/>
      <c r="J200" s="254"/>
      <c r="K200" s="254"/>
      <c r="L200" s="254"/>
      <c r="M200" s="254"/>
      <c r="N200" s="254"/>
      <c r="O200" s="254"/>
      <c r="P200" s="254"/>
      <c r="Q200" s="254"/>
      <c r="R200" s="254"/>
      <c r="S200" s="254"/>
      <c r="T200" s="254"/>
      <c r="U200" s="254"/>
      <c r="V200" s="254"/>
      <c r="W200" s="254"/>
      <c r="X200" s="254"/>
      <c r="Y200" s="254"/>
      <c r="Z200" s="254"/>
      <c r="AA200" s="254"/>
      <c r="AB200" s="254"/>
      <c r="AC200" s="254"/>
    </row>
    <row r="201" ht="12.75" customHeight="1" spans="1:29">
      <c r="A201" s="254"/>
      <c r="B201" s="254"/>
      <c r="C201" s="254"/>
      <c r="D201" s="276"/>
      <c r="E201" s="254"/>
      <c r="F201" s="254"/>
      <c r="G201" s="254"/>
      <c r="H201" s="254"/>
      <c r="I201" s="254"/>
      <c r="J201" s="254"/>
      <c r="K201" s="254"/>
      <c r="L201" s="254"/>
      <c r="M201" s="254"/>
      <c r="N201" s="254"/>
      <c r="O201" s="254"/>
      <c r="P201" s="254"/>
      <c r="Q201" s="254"/>
      <c r="R201" s="254"/>
      <c r="S201" s="254"/>
      <c r="T201" s="254"/>
      <c r="U201" s="254"/>
      <c r="V201" s="254"/>
      <c r="W201" s="254"/>
      <c r="X201" s="254"/>
      <c r="Y201" s="254"/>
      <c r="Z201" s="254"/>
      <c r="AA201" s="254"/>
      <c r="AB201" s="254"/>
      <c r="AC201" s="254"/>
    </row>
    <row r="202" ht="12.75" customHeight="1" spans="1:29">
      <c r="A202" s="254"/>
      <c r="B202" s="254"/>
      <c r="C202" s="254"/>
      <c r="D202" s="276"/>
      <c r="E202" s="254"/>
      <c r="F202" s="254"/>
      <c r="G202" s="254"/>
      <c r="H202" s="254"/>
      <c r="I202" s="254"/>
      <c r="J202" s="254"/>
      <c r="K202" s="254"/>
      <c r="L202" s="254"/>
      <c r="M202" s="254"/>
      <c r="N202" s="254"/>
      <c r="O202" s="254"/>
      <c r="P202" s="254"/>
      <c r="Q202" s="254"/>
      <c r="R202" s="254"/>
      <c r="S202" s="254"/>
      <c r="T202" s="254"/>
      <c r="U202" s="254"/>
      <c r="V202" s="254"/>
      <c r="W202" s="254"/>
      <c r="X202" s="254"/>
      <c r="Y202" s="254"/>
      <c r="Z202" s="254"/>
      <c r="AA202" s="254"/>
      <c r="AB202" s="254"/>
      <c r="AC202" s="254"/>
    </row>
    <row r="203" ht="12.75" customHeight="1" spans="1:29">
      <c r="A203" s="254"/>
      <c r="B203" s="254"/>
      <c r="C203" s="254"/>
      <c r="D203" s="276"/>
      <c r="E203" s="254"/>
      <c r="F203" s="254"/>
      <c r="G203" s="254"/>
      <c r="H203" s="254"/>
      <c r="I203" s="254"/>
      <c r="J203" s="254"/>
      <c r="K203" s="254"/>
      <c r="L203" s="254"/>
      <c r="M203" s="254"/>
      <c r="N203" s="254"/>
      <c r="O203" s="254"/>
      <c r="P203" s="254"/>
      <c r="Q203" s="254"/>
      <c r="R203" s="254"/>
      <c r="S203" s="254"/>
      <c r="T203" s="254"/>
      <c r="U203" s="254"/>
      <c r="V203" s="254"/>
      <c r="W203" s="254"/>
      <c r="X203" s="254"/>
      <c r="Y203" s="254"/>
      <c r="Z203" s="254"/>
      <c r="AA203" s="254"/>
      <c r="AB203" s="254"/>
      <c r="AC203" s="254"/>
    </row>
    <row r="204" ht="12.75" customHeight="1" spans="1:29">
      <c r="A204" s="254"/>
      <c r="B204" s="254"/>
      <c r="C204" s="254"/>
      <c r="D204" s="276"/>
      <c r="E204" s="254"/>
      <c r="F204" s="254"/>
      <c r="G204" s="254"/>
      <c r="H204" s="254"/>
      <c r="I204" s="254"/>
      <c r="J204" s="254"/>
      <c r="K204" s="254"/>
      <c r="L204" s="254"/>
      <c r="M204" s="254"/>
      <c r="N204" s="254"/>
      <c r="O204" s="254"/>
      <c r="P204" s="254"/>
      <c r="Q204" s="254"/>
      <c r="R204" s="254"/>
      <c r="S204" s="254"/>
      <c r="T204" s="254"/>
      <c r="U204" s="254"/>
      <c r="V204" s="254"/>
      <c r="W204" s="254"/>
      <c r="X204" s="254"/>
      <c r="Y204" s="254"/>
      <c r="Z204" s="254"/>
      <c r="AA204" s="254"/>
      <c r="AB204" s="254"/>
      <c r="AC204" s="254"/>
    </row>
    <row r="205" ht="12.75" customHeight="1" spans="1:29">
      <c r="A205" s="254"/>
      <c r="B205" s="254"/>
      <c r="C205" s="254"/>
      <c r="D205" s="276"/>
      <c r="E205" s="254"/>
      <c r="F205" s="254"/>
      <c r="G205" s="254"/>
      <c r="H205" s="254"/>
      <c r="I205" s="254"/>
      <c r="J205" s="254"/>
      <c r="K205" s="254"/>
      <c r="L205" s="254"/>
      <c r="M205" s="254"/>
      <c r="N205" s="254"/>
      <c r="O205" s="254"/>
      <c r="P205" s="254"/>
      <c r="Q205" s="254"/>
      <c r="R205" s="254"/>
      <c r="S205" s="254"/>
      <c r="T205" s="254"/>
      <c r="U205" s="254"/>
      <c r="V205" s="254"/>
      <c r="W205" s="254"/>
      <c r="X205" s="254"/>
      <c r="Y205" s="254"/>
      <c r="Z205" s="254"/>
      <c r="AA205" s="254"/>
      <c r="AB205" s="254"/>
      <c r="AC205" s="254"/>
    </row>
    <row r="206" ht="12.75" customHeight="1" spans="1:29">
      <c r="A206" s="254"/>
      <c r="B206" s="254"/>
      <c r="C206" s="254"/>
      <c r="D206" s="276"/>
      <c r="E206" s="254"/>
      <c r="F206" s="254"/>
      <c r="G206" s="254"/>
      <c r="H206" s="254"/>
      <c r="I206" s="254"/>
      <c r="J206" s="254"/>
      <c r="K206" s="254"/>
      <c r="L206" s="254"/>
      <c r="M206" s="254"/>
      <c r="N206" s="254"/>
      <c r="O206" s="254"/>
      <c r="P206" s="254"/>
      <c r="Q206" s="254"/>
      <c r="R206" s="254"/>
      <c r="S206" s="254"/>
      <c r="T206" s="254"/>
      <c r="U206" s="254"/>
      <c r="V206" s="254"/>
      <c r="W206" s="254"/>
      <c r="X206" s="254"/>
      <c r="Y206" s="254"/>
      <c r="Z206" s="254"/>
      <c r="AA206" s="254"/>
      <c r="AB206" s="254"/>
      <c r="AC206" s="254"/>
    </row>
    <row r="207" ht="12.75" customHeight="1" spans="1:29">
      <c r="A207" s="254"/>
      <c r="B207" s="254"/>
      <c r="C207" s="254"/>
      <c r="D207" s="276"/>
      <c r="E207" s="254"/>
      <c r="F207" s="254"/>
      <c r="G207" s="254"/>
      <c r="H207" s="254"/>
      <c r="I207" s="254"/>
      <c r="J207" s="254"/>
      <c r="K207" s="254"/>
      <c r="L207" s="254"/>
      <c r="M207" s="254"/>
      <c r="N207" s="254"/>
      <c r="O207" s="254"/>
      <c r="P207" s="254"/>
      <c r="Q207" s="254"/>
      <c r="R207" s="254"/>
      <c r="S207" s="254"/>
      <c r="T207" s="254"/>
      <c r="U207" s="254"/>
      <c r="V207" s="254"/>
      <c r="W207" s="254"/>
      <c r="X207" s="254"/>
      <c r="Y207" s="254"/>
      <c r="Z207" s="254"/>
      <c r="AA207" s="254"/>
      <c r="AB207" s="254"/>
      <c r="AC207" s="254"/>
    </row>
    <row r="208" ht="12.75" customHeight="1" spans="1:29">
      <c r="A208" s="254"/>
      <c r="B208" s="254"/>
      <c r="C208" s="254"/>
      <c r="D208" s="276"/>
      <c r="E208" s="254"/>
      <c r="F208" s="254"/>
      <c r="G208" s="254"/>
      <c r="H208" s="254"/>
      <c r="I208" s="254"/>
      <c r="J208" s="254"/>
      <c r="K208" s="254"/>
      <c r="L208" s="254"/>
      <c r="M208" s="254"/>
      <c r="N208" s="254"/>
      <c r="O208" s="254"/>
      <c r="P208" s="254"/>
      <c r="Q208" s="254"/>
      <c r="R208" s="254"/>
      <c r="S208" s="254"/>
      <c r="T208" s="254"/>
      <c r="U208" s="254"/>
      <c r="V208" s="254"/>
      <c r="W208" s="254"/>
      <c r="X208" s="254"/>
      <c r="Y208" s="254"/>
      <c r="Z208" s="254"/>
      <c r="AA208" s="254"/>
      <c r="AB208" s="254"/>
      <c r="AC208" s="254"/>
    </row>
    <row r="209" ht="12.75" customHeight="1" spans="1:29">
      <c r="A209" s="254"/>
      <c r="B209" s="254"/>
      <c r="C209" s="254"/>
      <c r="D209" s="276"/>
      <c r="E209" s="254"/>
      <c r="F209" s="254"/>
      <c r="G209" s="254"/>
      <c r="H209" s="254"/>
      <c r="I209" s="254"/>
      <c r="J209" s="254"/>
      <c r="K209" s="254"/>
      <c r="L209" s="254"/>
      <c r="M209" s="254"/>
      <c r="N209" s="254"/>
      <c r="O209" s="254"/>
      <c r="P209" s="254"/>
      <c r="Q209" s="254"/>
      <c r="R209" s="254"/>
      <c r="S209" s="254"/>
      <c r="T209" s="254"/>
      <c r="U209" s="254"/>
      <c r="V209" s="254"/>
      <c r="W209" s="254"/>
      <c r="X209" s="254"/>
      <c r="Y209" s="254"/>
      <c r="Z209" s="254"/>
      <c r="AA209" s="254"/>
      <c r="AB209" s="254"/>
      <c r="AC209" s="254"/>
    </row>
    <row r="210" ht="12.75" customHeight="1" spans="1:29">
      <c r="A210" s="254"/>
      <c r="B210" s="254"/>
      <c r="C210" s="254"/>
      <c r="D210" s="276"/>
      <c r="E210" s="254"/>
      <c r="F210" s="254"/>
      <c r="G210" s="254"/>
      <c r="H210" s="254"/>
      <c r="I210" s="254"/>
      <c r="J210" s="254"/>
      <c r="K210" s="254"/>
      <c r="L210" s="254"/>
      <c r="M210" s="254"/>
      <c r="N210" s="254"/>
      <c r="O210" s="254"/>
      <c r="P210" s="254"/>
      <c r="Q210" s="254"/>
      <c r="R210" s="254"/>
      <c r="S210" s="254"/>
      <c r="T210" s="254"/>
      <c r="U210" s="254"/>
      <c r="V210" s="254"/>
      <c r="W210" s="254"/>
      <c r="X210" s="254"/>
      <c r="Y210" s="254"/>
      <c r="Z210" s="254"/>
      <c r="AA210" s="254"/>
      <c r="AB210" s="254"/>
      <c r="AC210" s="254"/>
    </row>
    <row r="211" ht="12.75" customHeight="1" spans="1:29">
      <c r="A211" s="254"/>
      <c r="B211" s="254"/>
      <c r="C211" s="254"/>
      <c r="D211" s="276"/>
      <c r="E211" s="254"/>
      <c r="F211" s="254"/>
      <c r="G211" s="254"/>
      <c r="H211" s="254"/>
      <c r="I211" s="254"/>
      <c r="J211" s="254"/>
      <c r="K211" s="254"/>
      <c r="L211" s="254"/>
      <c r="M211" s="254"/>
      <c r="N211" s="254"/>
      <c r="O211" s="254"/>
      <c r="P211" s="254"/>
      <c r="Q211" s="254"/>
      <c r="R211" s="254"/>
      <c r="S211" s="254"/>
      <c r="T211" s="254"/>
      <c r="U211" s="254"/>
      <c r="V211" s="254"/>
      <c r="W211" s="254"/>
      <c r="X211" s="254"/>
      <c r="Y211" s="254"/>
      <c r="Z211" s="254"/>
      <c r="AA211" s="254"/>
      <c r="AB211" s="254"/>
      <c r="AC211" s="254"/>
    </row>
    <row r="212" ht="12.75" customHeight="1" spans="1:29">
      <c r="A212" s="254"/>
      <c r="B212" s="254"/>
      <c r="C212" s="254"/>
      <c r="D212" s="276"/>
      <c r="E212" s="254"/>
      <c r="F212" s="254"/>
      <c r="G212" s="254"/>
      <c r="H212" s="254"/>
      <c r="I212" s="254"/>
      <c r="J212" s="254"/>
      <c r="K212" s="254"/>
      <c r="L212" s="254"/>
      <c r="M212" s="254"/>
      <c r="N212" s="254"/>
      <c r="O212" s="254"/>
      <c r="P212" s="254"/>
      <c r="Q212" s="254"/>
      <c r="R212" s="254"/>
      <c r="S212" s="254"/>
      <c r="T212" s="254"/>
      <c r="U212" s="254"/>
      <c r="V212" s="254"/>
      <c r="W212" s="254"/>
      <c r="X212" s="254"/>
      <c r="Y212" s="254"/>
      <c r="Z212" s="254"/>
      <c r="AA212" s="254"/>
      <c r="AB212" s="254"/>
      <c r="AC212" s="254"/>
    </row>
    <row r="213" ht="12.75" customHeight="1" spans="1:29">
      <c r="A213" s="254"/>
      <c r="B213" s="254"/>
      <c r="C213" s="254"/>
      <c r="D213" s="276"/>
      <c r="E213" s="254"/>
      <c r="F213" s="254"/>
      <c r="G213" s="254"/>
      <c r="H213" s="254"/>
      <c r="I213" s="254"/>
      <c r="J213" s="254"/>
      <c r="K213" s="254"/>
      <c r="L213" s="254"/>
      <c r="M213" s="254"/>
      <c r="N213" s="254"/>
      <c r="O213" s="254"/>
      <c r="P213" s="254"/>
      <c r="Q213" s="254"/>
      <c r="R213" s="254"/>
      <c r="S213" s="254"/>
      <c r="T213" s="254"/>
      <c r="U213" s="254"/>
      <c r="V213" s="254"/>
      <c r="W213" s="254"/>
      <c r="X213" s="254"/>
      <c r="Y213" s="254"/>
      <c r="Z213" s="254"/>
      <c r="AA213" s="254"/>
      <c r="AB213" s="254"/>
      <c r="AC213" s="254"/>
    </row>
    <row r="214" ht="12.75" customHeight="1" spans="1:29">
      <c r="A214" s="254"/>
      <c r="B214" s="254"/>
      <c r="C214" s="254"/>
      <c r="D214" s="276"/>
      <c r="E214" s="254"/>
      <c r="F214" s="254"/>
      <c r="G214" s="254"/>
      <c r="H214" s="254"/>
      <c r="I214" s="254"/>
      <c r="J214" s="254"/>
      <c r="K214" s="254"/>
      <c r="L214" s="254"/>
      <c r="M214" s="254"/>
      <c r="N214" s="254"/>
      <c r="O214" s="254"/>
      <c r="P214" s="254"/>
      <c r="Q214" s="254"/>
      <c r="R214" s="254"/>
      <c r="S214" s="254"/>
      <c r="T214" s="254"/>
      <c r="U214" s="254"/>
      <c r="V214" s="254"/>
      <c r="W214" s="254"/>
      <c r="X214" s="254"/>
      <c r="Y214" s="254"/>
      <c r="Z214" s="254"/>
      <c r="AA214" s="254"/>
      <c r="AB214" s="254"/>
      <c r="AC214" s="254"/>
    </row>
    <row r="215" ht="12.75" customHeight="1" spans="1:29">
      <c r="A215" s="254"/>
      <c r="B215" s="254"/>
      <c r="C215" s="254"/>
      <c r="D215" s="276"/>
      <c r="E215" s="254"/>
      <c r="F215" s="254"/>
      <c r="G215" s="254"/>
      <c r="H215" s="254"/>
      <c r="I215" s="254"/>
      <c r="J215" s="254"/>
      <c r="K215" s="254"/>
      <c r="L215" s="254"/>
      <c r="M215" s="254"/>
      <c r="N215" s="254"/>
      <c r="O215" s="254"/>
      <c r="P215" s="254"/>
      <c r="Q215" s="254"/>
      <c r="R215" s="254"/>
      <c r="S215" s="254"/>
      <c r="T215" s="254"/>
      <c r="U215" s="254"/>
      <c r="V215" s="254"/>
      <c r="W215" s="254"/>
      <c r="X215" s="254"/>
      <c r="Y215" s="254"/>
      <c r="Z215" s="254"/>
      <c r="AA215" s="254"/>
      <c r="AB215" s="254"/>
      <c r="AC215" s="254"/>
    </row>
    <row r="216" ht="12.75" customHeight="1" spans="1:29">
      <c r="A216" s="254"/>
      <c r="B216" s="254"/>
      <c r="C216" s="254"/>
      <c r="D216" s="276"/>
      <c r="E216" s="254"/>
      <c r="F216" s="254"/>
      <c r="G216" s="254"/>
      <c r="H216" s="254"/>
      <c r="I216" s="254"/>
      <c r="J216" s="254"/>
      <c r="K216" s="254"/>
      <c r="L216" s="254"/>
      <c r="M216" s="254"/>
      <c r="N216" s="254"/>
      <c r="O216" s="254"/>
      <c r="P216" s="254"/>
      <c r="Q216" s="254"/>
      <c r="R216" s="254"/>
      <c r="S216" s="254"/>
      <c r="T216" s="254"/>
      <c r="U216" s="254"/>
      <c r="V216" s="254"/>
      <c r="W216" s="254"/>
      <c r="X216" s="254"/>
      <c r="Y216" s="254"/>
      <c r="Z216" s="254"/>
      <c r="AA216" s="254"/>
      <c r="AB216" s="254"/>
      <c r="AC216" s="254"/>
    </row>
    <row r="217" ht="12.75" customHeight="1" spans="1:29">
      <c r="A217" s="254"/>
      <c r="B217" s="254"/>
      <c r="C217" s="254"/>
      <c r="D217" s="276"/>
      <c r="E217" s="254"/>
      <c r="F217" s="254"/>
      <c r="G217" s="254"/>
      <c r="H217" s="254"/>
      <c r="I217" s="254"/>
      <c r="J217" s="254"/>
      <c r="K217" s="254"/>
      <c r="L217" s="254"/>
      <c r="M217" s="254"/>
      <c r="N217" s="254"/>
      <c r="O217" s="254"/>
      <c r="P217" s="254"/>
      <c r="Q217" s="254"/>
      <c r="R217" s="254"/>
      <c r="S217" s="254"/>
      <c r="T217" s="254"/>
      <c r="U217" s="254"/>
      <c r="V217" s="254"/>
      <c r="W217" s="254"/>
      <c r="X217" s="254"/>
      <c r="Y217" s="254"/>
      <c r="Z217" s="254"/>
      <c r="AA217" s="254"/>
      <c r="AB217" s="254"/>
      <c r="AC217" s="254"/>
    </row>
    <row r="218" ht="12.75" customHeight="1" spans="1:29">
      <c r="A218" s="254"/>
      <c r="B218" s="254"/>
      <c r="C218" s="254"/>
      <c r="D218" s="276"/>
      <c r="E218" s="254"/>
      <c r="F218" s="254"/>
      <c r="G218" s="254"/>
      <c r="H218" s="254"/>
      <c r="I218" s="254"/>
      <c r="J218" s="254"/>
      <c r="K218" s="254"/>
      <c r="L218" s="254"/>
      <c r="M218" s="254"/>
      <c r="N218" s="254"/>
      <c r="O218" s="254"/>
      <c r="P218" s="254"/>
      <c r="Q218" s="254"/>
      <c r="R218" s="254"/>
      <c r="S218" s="254"/>
      <c r="T218" s="254"/>
      <c r="U218" s="254"/>
      <c r="V218" s="254"/>
      <c r="W218" s="254"/>
      <c r="X218" s="254"/>
      <c r="Y218" s="254"/>
      <c r="Z218" s="254"/>
      <c r="AA218" s="254"/>
      <c r="AB218" s="254"/>
      <c r="AC218" s="254"/>
    </row>
    <row r="219" ht="12.75" customHeight="1" spans="1:29">
      <c r="A219" s="254"/>
      <c r="B219" s="254"/>
      <c r="C219" s="254"/>
      <c r="D219" s="276"/>
      <c r="E219" s="254"/>
      <c r="F219" s="254"/>
      <c r="G219" s="254"/>
      <c r="H219" s="254"/>
      <c r="I219" s="254"/>
      <c r="J219" s="254"/>
      <c r="K219" s="254"/>
      <c r="L219" s="254"/>
      <c r="M219" s="254"/>
      <c r="N219" s="254"/>
      <c r="O219" s="254"/>
      <c r="P219" s="254"/>
      <c r="Q219" s="254"/>
      <c r="R219" s="254"/>
      <c r="S219" s="254"/>
      <c r="T219" s="254"/>
      <c r="U219" s="254"/>
      <c r="V219" s="254"/>
      <c r="W219" s="254"/>
      <c r="X219" s="254"/>
      <c r="Y219" s="254"/>
      <c r="Z219" s="254"/>
      <c r="AA219" s="254"/>
      <c r="AB219" s="254"/>
      <c r="AC219" s="254"/>
    </row>
    <row r="220" ht="12.75" customHeight="1" spans="1:29">
      <c r="A220" s="254"/>
      <c r="B220" s="254"/>
      <c r="C220" s="254"/>
      <c r="D220" s="276"/>
      <c r="E220" s="254"/>
      <c r="F220" s="254"/>
      <c r="G220" s="254"/>
      <c r="H220" s="254"/>
      <c r="I220" s="254"/>
      <c r="J220" s="254"/>
      <c r="K220" s="254"/>
      <c r="L220" s="254"/>
      <c r="M220" s="254"/>
      <c r="N220" s="254"/>
      <c r="O220" s="254"/>
      <c r="P220" s="254"/>
      <c r="Q220" s="254"/>
      <c r="R220" s="254"/>
      <c r="S220" s="254"/>
      <c r="T220" s="254"/>
      <c r="U220" s="254"/>
      <c r="V220" s="254"/>
      <c r="W220" s="254"/>
      <c r="X220" s="254"/>
      <c r="Y220" s="254"/>
      <c r="Z220" s="254"/>
      <c r="AA220" s="254"/>
      <c r="AB220" s="254"/>
      <c r="AC220" s="254"/>
    </row>
    <row r="221" ht="12.75" customHeight="1" spans="1:29">
      <c r="A221" s="254"/>
      <c r="B221" s="254"/>
      <c r="C221" s="254"/>
      <c r="D221" s="276"/>
      <c r="E221" s="254"/>
      <c r="F221" s="254"/>
      <c r="G221" s="254"/>
      <c r="H221" s="254"/>
      <c r="I221" s="254"/>
      <c r="J221" s="254"/>
      <c r="K221" s="254"/>
      <c r="L221" s="254"/>
      <c r="M221" s="254"/>
      <c r="N221" s="254"/>
      <c r="O221" s="254"/>
      <c r="P221" s="254"/>
      <c r="Q221" s="254"/>
      <c r="R221" s="254"/>
      <c r="S221" s="254"/>
      <c r="T221" s="254"/>
      <c r="U221" s="254"/>
      <c r="V221" s="254"/>
      <c r="W221" s="254"/>
      <c r="X221" s="254"/>
      <c r="Y221" s="254"/>
      <c r="Z221" s="254"/>
      <c r="AA221" s="254"/>
      <c r="AB221" s="254"/>
      <c r="AC221" s="254"/>
    </row>
    <row r="222" ht="12.75" customHeight="1" spans="1:29">
      <c r="A222" s="254"/>
      <c r="B222" s="254"/>
      <c r="C222" s="254"/>
      <c r="D222" s="276"/>
      <c r="E222" s="254"/>
      <c r="F222" s="254"/>
      <c r="G222" s="254"/>
      <c r="H222" s="254"/>
      <c r="I222" s="254"/>
      <c r="J222" s="254"/>
      <c r="K222" s="254"/>
      <c r="L222" s="254"/>
      <c r="M222" s="254"/>
      <c r="N222" s="254"/>
      <c r="O222" s="254"/>
      <c r="P222" s="254"/>
      <c r="Q222" s="254"/>
      <c r="R222" s="254"/>
      <c r="S222" s="254"/>
      <c r="T222" s="254"/>
      <c r="U222" s="254"/>
      <c r="V222" s="254"/>
      <c r="W222" s="254"/>
      <c r="X222" s="254"/>
      <c r="Y222" s="254"/>
      <c r="Z222" s="254"/>
      <c r="AA222" s="254"/>
      <c r="AB222" s="254"/>
      <c r="AC222" s="254"/>
    </row>
    <row r="223" ht="12.75" customHeight="1" spans="1:29">
      <c r="A223" s="254"/>
      <c r="B223" s="254"/>
      <c r="C223" s="254"/>
      <c r="D223" s="276"/>
      <c r="E223" s="254"/>
      <c r="F223" s="254"/>
      <c r="G223" s="254"/>
      <c r="H223" s="254"/>
      <c r="I223" s="254"/>
      <c r="J223" s="254"/>
      <c r="K223" s="254"/>
      <c r="L223" s="254"/>
      <c r="M223" s="254"/>
      <c r="N223" s="254"/>
      <c r="O223" s="254"/>
      <c r="P223" s="254"/>
      <c r="Q223" s="254"/>
      <c r="R223" s="254"/>
      <c r="S223" s="254"/>
      <c r="T223" s="254"/>
      <c r="U223" s="254"/>
      <c r="V223" s="254"/>
      <c r="W223" s="254"/>
      <c r="X223" s="254"/>
      <c r="Y223" s="254"/>
      <c r="Z223" s="254"/>
      <c r="AA223" s="254"/>
      <c r="AB223" s="254"/>
      <c r="AC223" s="254"/>
    </row>
    <row r="224" ht="12.75" customHeight="1" spans="1:29">
      <c r="A224" s="254"/>
      <c r="B224" s="254"/>
      <c r="C224" s="254"/>
      <c r="D224" s="276"/>
      <c r="E224" s="254"/>
      <c r="F224" s="254"/>
      <c r="G224" s="254"/>
      <c r="H224" s="254"/>
      <c r="I224" s="254"/>
      <c r="J224" s="254"/>
      <c r="K224" s="254"/>
      <c r="L224" s="254"/>
      <c r="M224" s="254"/>
      <c r="N224" s="254"/>
      <c r="O224" s="254"/>
      <c r="P224" s="254"/>
      <c r="Q224" s="254"/>
      <c r="R224" s="254"/>
      <c r="S224" s="254"/>
      <c r="T224" s="254"/>
      <c r="U224" s="254"/>
      <c r="V224" s="254"/>
      <c r="W224" s="254"/>
      <c r="X224" s="254"/>
      <c r="Y224" s="254"/>
      <c r="Z224" s="254"/>
      <c r="AA224" s="254"/>
      <c r="AB224" s="254"/>
      <c r="AC224" s="254"/>
    </row>
    <row r="225" ht="12.75" customHeight="1" spans="1:29">
      <c r="A225" s="254"/>
      <c r="B225" s="254"/>
      <c r="C225" s="254"/>
      <c r="D225" s="276"/>
      <c r="E225" s="254"/>
      <c r="F225" s="254"/>
      <c r="G225" s="254"/>
      <c r="H225" s="254"/>
      <c r="I225" s="254"/>
      <c r="J225" s="254"/>
      <c r="K225" s="254"/>
      <c r="L225" s="254"/>
      <c r="M225" s="254"/>
      <c r="N225" s="254"/>
      <c r="O225" s="254"/>
      <c r="P225" s="254"/>
      <c r="Q225" s="254"/>
      <c r="R225" s="254"/>
      <c r="S225" s="254"/>
      <c r="T225" s="254"/>
      <c r="U225" s="254"/>
      <c r="V225" s="254"/>
      <c r="W225" s="254"/>
      <c r="X225" s="254"/>
      <c r="Y225" s="254"/>
      <c r="Z225" s="254"/>
      <c r="AA225" s="254"/>
      <c r="AB225" s="254"/>
      <c r="AC225" s="254"/>
    </row>
    <row r="226" ht="12.75" customHeight="1" spans="1:29">
      <c r="A226" s="254"/>
      <c r="B226" s="254"/>
      <c r="C226" s="254"/>
      <c r="D226" s="276"/>
      <c r="E226" s="254"/>
      <c r="F226" s="254"/>
      <c r="G226" s="254"/>
      <c r="H226" s="254"/>
      <c r="I226" s="254"/>
      <c r="J226" s="254"/>
      <c r="K226" s="254"/>
      <c r="L226" s="254"/>
      <c r="M226" s="254"/>
      <c r="N226" s="254"/>
      <c r="O226" s="254"/>
      <c r="P226" s="254"/>
      <c r="Q226" s="254"/>
      <c r="R226" s="254"/>
      <c r="S226" s="254"/>
      <c r="T226" s="254"/>
      <c r="U226" s="254"/>
      <c r="V226" s="254"/>
      <c r="W226" s="254"/>
      <c r="X226" s="254"/>
      <c r="Y226" s="254"/>
      <c r="Z226" s="254"/>
      <c r="AA226" s="254"/>
      <c r="AB226" s="254"/>
      <c r="AC226" s="254"/>
    </row>
    <row r="227" ht="12.75" customHeight="1" spans="1:29">
      <c r="A227" s="254"/>
      <c r="B227" s="254"/>
      <c r="C227" s="254"/>
      <c r="D227" s="276"/>
      <c r="E227" s="254"/>
      <c r="F227" s="254"/>
      <c r="G227" s="254"/>
      <c r="H227" s="254"/>
      <c r="I227" s="254"/>
      <c r="J227" s="254"/>
      <c r="K227" s="254"/>
      <c r="L227" s="254"/>
      <c r="M227" s="254"/>
      <c r="N227" s="254"/>
      <c r="O227" s="254"/>
      <c r="P227" s="254"/>
      <c r="Q227" s="254"/>
      <c r="R227" s="254"/>
      <c r="S227" s="254"/>
      <c r="T227" s="254"/>
      <c r="U227" s="254"/>
      <c r="V227" s="254"/>
      <c r="W227" s="254"/>
      <c r="X227" s="254"/>
      <c r="Y227" s="254"/>
      <c r="Z227" s="254"/>
      <c r="AA227" s="254"/>
      <c r="AB227" s="254"/>
      <c r="AC227" s="254"/>
    </row>
    <row r="228" ht="12.75" customHeight="1" spans="1:29">
      <c r="A228" s="254"/>
      <c r="B228" s="254"/>
      <c r="C228" s="254"/>
      <c r="D228" s="276"/>
      <c r="E228" s="254"/>
      <c r="F228" s="254"/>
      <c r="G228" s="254"/>
      <c r="H228" s="254"/>
      <c r="I228" s="254"/>
      <c r="J228" s="254"/>
      <c r="K228" s="254"/>
      <c r="L228" s="254"/>
      <c r="M228" s="254"/>
      <c r="N228" s="254"/>
      <c r="O228" s="254"/>
      <c r="P228" s="254"/>
      <c r="Q228" s="254"/>
      <c r="R228" s="254"/>
      <c r="S228" s="254"/>
      <c r="T228" s="254"/>
      <c r="U228" s="254"/>
      <c r="V228" s="254"/>
      <c r="W228" s="254"/>
      <c r="X228" s="254"/>
      <c r="Y228" s="254"/>
      <c r="Z228" s="254"/>
      <c r="AA228" s="254"/>
      <c r="AB228" s="254"/>
      <c r="AC228" s="254"/>
    </row>
    <row r="229" ht="12.75" customHeight="1" spans="1:29">
      <c r="A229" s="254"/>
      <c r="B229" s="254"/>
      <c r="C229" s="254"/>
      <c r="D229" s="276"/>
      <c r="E229" s="254"/>
      <c r="F229" s="254"/>
      <c r="G229" s="254"/>
      <c r="H229" s="254"/>
      <c r="I229" s="254"/>
      <c r="J229" s="254"/>
      <c r="K229" s="254"/>
      <c r="L229" s="254"/>
      <c r="M229" s="254"/>
      <c r="N229" s="254"/>
      <c r="O229" s="254"/>
      <c r="P229" s="254"/>
      <c r="Q229" s="254"/>
      <c r="R229" s="254"/>
      <c r="S229" s="254"/>
      <c r="T229" s="254"/>
      <c r="U229" s="254"/>
      <c r="V229" s="254"/>
      <c r="W229" s="254"/>
      <c r="X229" s="254"/>
      <c r="Y229" s="254"/>
      <c r="Z229" s="254"/>
      <c r="AA229" s="254"/>
      <c r="AB229" s="254"/>
      <c r="AC229" s="254"/>
    </row>
    <row r="230" ht="12.75" customHeight="1" spans="1:29">
      <c r="A230" s="254"/>
      <c r="B230" s="254"/>
      <c r="C230" s="254"/>
      <c r="D230" s="276"/>
      <c r="E230" s="254"/>
      <c r="F230" s="254"/>
      <c r="G230" s="254"/>
      <c r="H230" s="254"/>
      <c r="I230" s="254"/>
      <c r="J230" s="254"/>
      <c r="K230" s="254"/>
      <c r="L230" s="254"/>
      <c r="M230" s="254"/>
      <c r="N230" s="254"/>
      <c r="O230" s="254"/>
      <c r="P230" s="254"/>
      <c r="Q230" s="254"/>
      <c r="R230" s="254"/>
      <c r="S230" s="254"/>
      <c r="T230" s="254"/>
      <c r="U230" s="254"/>
      <c r="V230" s="254"/>
      <c r="W230" s="254"/>
      <c r="X230" s="254"/>
      <c r="Y230" s="254"/>
      <c r="Z230" s="254"/>
      <c r="AA230" s="254"/>
      <c r="AB230" s="254"/>
      <c r="AC230" s="254"/>
    </row>
    <row r="231" ht="12.75" customHeight="1" spans="1:29">
      <c r="A231" s="254"/>
      <c r="B231" s="254"/>
      <c r="C231" s="254"/>
      <c r="D231" s="276"/>
      <c r="E231" s="254"/>
      <c r="F231" s="254"/>
      <c r="G231" s="254"/>
      <c r="H231" s="254"/>
      <c r="I231" s="254"/>
      <c r="J231" s="254"/>
      <c r="K231" s="254"/>
      <c r="L231" s="254"/>
      <c r="M231" s="254"/>
      <c r="N231" s="254"/>
      <c r="O231" s="254"/>
      <c r="P231" s="254"/>
      <c r="Q231" s="254"/>
      <c r="R231" s="254"/>
      <c r="S231" s="254"/>
      <c r="T231" s="254"/>
      <c r="U231" s="254"/>
      <c r="V231" s="254"/>
      <c r="W231" s="254"/>
      <c r="X231" s="254"/>
      <c r="Y231" s="254"/>
      <c r="Z231" s="254"/>
      <c r="AA231" s="254"/>
      <c r="AB231" s="254"/>
      <c r="AC231" s="254"/>
    </row>
    <row r="232" ht="12.75" customHeight="1" spans="1:29">
      <c r="A232" s="254"/>
      <c r="B232" s="254"/>
      <c r="C232" s="254"/>
      <c r="D232" s="276"/>
      <c r="E232" s="254"/>
      <c r="F232" s="254"/>
      <c r="G232" s="254"/>
      <c r="H232" s="254"/>
      <c r="I232" s="254"/>
      <c r="J232" s="254"/>
      <c r="K232" s="254"/>
      <c r="L232" s="254"/>
      <c r="M232" s="254"/>
      <c r="N232" s="254"/>
      <c r="O232" s="254"/>
      <c r="P232" s="254"/>
      <c r="Q232" s="254"/>
      <c r="R232" s="254"/>
      <c r="S232" s="254"/>
      <c r="T232" s="254"/>
      <c r="U232" s="254"/>
      <c r="V232" s="254"/>
      <c r="W232" s="254"/>
      <c r="X232" s="254"/>
      <c r="Y232" s="254"/>
      <c r="Z232" s="254"/>
      <c r="AA232" s="254"/>
      <c r="AB232" s="254"/>
      <c r="AC232" s="254"/>
    </row>
    <row r="233" ht="12.75" customHeight="1" spans="1:29">
      <c r="A233" s="254"/>
      <c r="B233" s="254"/>
      <c r="C233" s="254"/>
      <c r="D233" s="276"/>
      <c r="E233" s="254"/>
      <c r="F233" s="254"/>
      <c r="G233" s="254"/>
      <c r="H233" s="254"/>
      <c r="I233" s="254"/>
      <c r="J233" s="254"/>
      <c r="K233" s="254"/>
      <c r="L233" s="254"/>
      <c r="M233" s="254"/>
      <c r="N233" s="254"/>
      <c r="O233" s="254"/>
      <c r="P233" s="254"/>
      <c r="Q233" s="254"/>
      <c r="R233" s="254"/>
      <c r="S233" s="254"/>
      <c r="T233" s="254"/>
      <c r="U233" s="254"/>
      <c r="V233" s="254"/>
      <c r="W233" s="254"/>
      <c r="X233" s="254"/>
      <c r="Y233" s="254"/>
      <c r="Z233" s="254"/>
      <c r="AA233" s="254"/>
      <c r="AB233" s="254"/>
      <c r="AC233" s="254"/>
    </row>
    <row r="234" ht="12.75" customHeight="1" spans="1:29">
      <c r="A234" s="254"/>
      <c r="B234" s="254"/>
      <c r="C234" s="254"/>
      <c r="D234" s="276"/>
      <c r="E234" s="254"/>
      <c r="F234" s="254"/>
      <c r="G234" s="254"/>
      <c r="H234" s="254"/>
      <c r="I234" s="254"/>
      <c r="J234" s="254"/>
      <c r="K234" s="254"/>
      <c r="L234" s="254"/>
      <c r="M234" s="254"/>
      <c r="N234" s="254"/>
      <c r="O234" s="254"/>
      <c r="P234" s="254"/>
      <c r="Q234" s="254"/>
      <c r="R234" s="254"/>
      <c r="S234" s="254"/>
      <c r="T234" s="254"/>
      <c r="U234" s="254"/>
      <c r="V234" s="254"/>
      <c r="W234" s="254"/>
      <c r="X234" s="254"/>
      <c r="Y234" s="254"/>
      <c r="Z234" s="254"/>
      <c r="AA234" s="254"/>
      <c r="AB234" s="254"/>
      <c r="AC234" s="254"/>
    </row>
    <row r="235" ht="12.75" customHeight="1" spans="1:29">
      <c r="A235" s="254"/>
      <c r="B235" s="254"/>
      <c r="C235" s="254"/>
      <c r="D235" s="276"/>
      <c r="E235" s="254"/>
      <c r="F235" s="254"/>
      <c r="G235" s="254"/>
      <c r="H235" s="254"/>
      <c r="I235" s="254"/>
      <c r="J235" s="254"/>
      <c r="K235" s="254"/>
      <c r="L235" s="254"/>
      <c r="M235" s="254"/>
      <c r="N235" s="254"/>
      <c r="O235" s="254"/>
      <c r="P235" s="254"/>
      <c r="Q235" s="254"/>
      <c r="R235" s="254"/>
      <c r="S235" s="254"/>
      <c r="T235" s="254"/>
      <c r="U235" s="254"/>
      <c r="V235" s="254"/>
      <c r="W235" s="254"/>
      <c r="X235" s="254"/>
      <c r="Y235" s="254"/>
      <c r="Z235" s="254"/>
      <c r="AA235" s="254"/>
      <c r="AB235" s="254"/>
      <c r="AC235" s="254"/>
    </row>
    <row r="236" ht="12.75" customHeight="1" spans="1:29">
      <c r="A236" s="254"/>
      <c r="B236" s="254"/>
      <c r="C236" s="254"/>
      <c r="D236" s="276"/>
      <c r="E236" s="254"/>
      <c r="F236" s="254"/>
      <c r="G236" s="254"/>
      <c r="H236" s="254"/>
      <c r="I236" s="254"/>
      <c r="J236" s="254"/>
      <c r="K236" s="254"/>
      <c r="L236" s="254"/>
      <c r="M236" s="254"/>
      <c r="N236" s="254"/>
      <c r="O236" s="254"/>
      <c r="P236" s="254"/>
      <c r="Q236" s="254"/>
      <c r="R236" s="254"/>
      <c r="S236" s="254"/>
      <c r="T236" s="254"/>
      <c r="U236" s="254"/>
      <c r="V236" s="254"/>
      <c r="W236" s="254"/>
      <c r="X236" s="254"/>
      <c r="Y236" s="254"/>
      <c r="Z236" s="254"/>
      <c r="AA236" s="254"/>
      <c r="AB236" s="254"/>
      <c r="AC236" s="254"/>
    </row>
    <row r="237" ht="12.75" customHeight="1" spans="1:29">
      <c r="A237" s="254"/>
      <c r="B237" s="254"/>
      <c r="C237" s="254"/>
      <c r="D237" s="276"/>
      <c r="E237" s="254"/>
      <c r="F237" s="254"/>
      <c r="G237" s="254"/>
      <c r="H237" s="254"/>
      <c r="I237" s="254"/>
      <c r="J237" s="254"/>
      <c r="K237" s="254"/>
      <c r="L237" s="254"/>
      <c r="M237" s="254"/>
      <c r="N237" s="254"/>
      <c r="O237" s="254"/>
      <c r="P237" s="254"/>
      <c r="Q237" s="254"/>
      <c r="R237" s="254"/>
      <c r="S237" s="254"/>
      <c r="T237" s="254"/>
      <c r="U237" s="254"/>
      <c r="V237" s="254"/>
      <c r="W237" s="254"/>
      <c r="X237" s="254"/>
      <c r="Y237" s="254"/>
      <c r="Z237" s="254"/>
      <c r="AA237" s="254"/>
      <c r="AB237" s="254"/>
      <c r="AC237" s="254"/>
    </row>
    <row r="238" ht="12.75" customHeight="1" spans="1:29">
      <c r="A238" s="254"/>
      <c r="B238" s="254"/>
      <c r="C238" s="254"/>
      <c r="D238" s="276"/>
      <c r="E238" s="254"/>
      <c r="F238" s="254"/>
      <c r="G238" s="254"/>
      <c r="H238" s="254"/>
      <c r="I238" s="254"/>
      <c r="J238" s="254"/>
      <c r="K238" s="254"/>
      <c r="L238" s="254"/>
      <c r="M238" s="254"/>
      <c r="N238" s="254"/>
      <c r="O238" s="254"/>
      <c r="P238" s="254"/>
      <c r="Q238" s="254"/>
      <c r="R238" s="254"/>
      <c r="S238" s="254"/>
      <c r="T238" s="254"/>
      <c r="U238" s="254"/>
      <c r="V238" s="254"/>
      <c r="W238" s="254"/>
      <c r="X238" s="254"/>
      <c r="Y238" s="254"/>
      <c r="Z238" s="254"/>
      <c r="AA238" s="254"/>
      <c r="AB238" s="254"/>
      <c r="AC238" s="254"/>
    </row>
    <row r="239" ht="12.75" customHeight="1" spans="1:29">
      <c r="A239" s="254"/>
      <c r="B239" s="254"/>
      <c r="C239" s="254"/>
      <c r="D239" s="276"/>
      <c r="E239" s="254"/>
      <c r="F239" s="254"/>
      <c r="G239" s="254"/>
      <c r="H239" s="254"/>
      <c r="I239" s="254"/>
      <c r="J239" s="254"/>
      <c r="K239" s="254"/>
      <c r="L239" s="254"/>
      <c r="M239" s="254"/>
      <c r="N239" s="254"/>
      <c r="O239" s="254"/>
      <c r="P239" s="254"/>
      <c r="Q239" s="254"/>
      <c r="R239" s="254"/>
      <c r="S239" s="254"/>
      <c r="T239" s="254"/>
      <c r="U239" s="254"/>
      <c r="V239" s="254"/>
      <c r="W239" s="254"/>
      <c r="X239" s="254"/>
      <c r="Y239" s="254"/>
      <c r="Z239" s="254"/>
      <c r="AA239" s="254"/>
      <c r="AB239" s="254"/>
      <c r="AC239" s="254"/>
    </row>
    <row r="240" ht="12.75" customHeight="1" spans="1:29">
      <c r="A240" s="254"/>
      <c r="B240" s="254"/>
      <c r="C240" s="254"/>
      <c r="D240" s="276"/>
      <c r="E240" s="254"/>
      <c r="F240" s="254"/>
      <c r="G240" s="254"/>
      <c r="H240" s="254"/>
      <c r="I240" s="254"/>
      <c r="J240" s="254"/>
      <c r="K240" s="254"/>
      <c r="L240" s="254"/>
      <c r="M240" s="254"/>
      <c r="N240" s="254"/>
      <c r="O240" s="254"/>
      <c r="P240" s="254"/>
      <c r="Q240" s="254"/>
      <c r="R240" s="254"/>
      <c r="S240" s="254"/>
      <c r="T240" s="254"/>
      <c r="U240" s="254"/>
      <c r="V240" s="254"/>
      <c r="W240" s="254"/>
      <c r="X240" s="254"/>
      <c r="Y240" s="254"/>
      <c r="Z240" s="254"/>
      <c r="AA240" s="254"/>
      <c r="AB240" s="254"/>
      <c r="AC240" s="254"/>
    </row>
    <row r="241" ht="12.75" customHeight="1" spans="1:29">
      <c r="A241" s="254"/>
      <c r="B241" s="254"/>
      <c r="C241" s="254"/>
      <c r="D241" s="276"/>
      <c r="E241" s="254"/>
      <c r="F241" s="254"/>
      <c r="G241" s="254"/>
      <c r="H241" s="254"/>
      <c r="I241" s="254"/>
      <c r="J241" s="254"/>
      <c r="K241" s="254"/>
      <c r="L241" s="254"/>
      <c r="M241" s="254"/>
      <c r="N241" s="254"/>
      <c r="O241" s="254"/>
      <c r="P241" s="254"/>
      <c r="Q241" s="254"/>
      <c r="R241" s="254"/>
      <c r="S241" s="254"/>
      <c r="T241" s="254"/>
      <c r="U241" s="254"/>
      <c r="V241" s="254"/>
      <c r="W241" s="254"/>
      <c r="X241" s="254"/>
      <c r="Y241" s="254"/>
      <c r="Z241" s="254"/>
      <c r="AA241" s="254"/>
      <c r="AB241" s="254"/>
      <c r="AC241" s="254"/>
    </row>
    <row r="242" ht="12.75" customHeight="1" spans="1:29">
      <c r="A242" s="254"/>
      <c r="B242" s="254"/>
      <c r="C242" s="254"/>
      <c r="D242" s="276"/>
      <c r="E242" s="254"/>
      <c r="F242" s="254"/>
      <c r="G242" s="254"/>
      <c r="H242" s="254"/>
      <c r="I242" s="254"/>
      <c r="J242" s="254"/>
      <c r="K242" s="254"/>
      <c r="L242" s="254"/>
      <c r="M242" s="254"/>
      <c r="N242" s="254"/>
      <c r="O242" s="254"/>
      <c r="P242" s="254"/>
      <c r="Q242" s="254"/>
      <c r="R242" s="254"/>
      <c r="S242" s="254"/>
      <c r="T242" s="254"/>
      <c r="U242" s="254"/>
      <c r="V242" s="254"/>
      <c r="W242" s="254"/>
      <c r="X242" s="254"/>
      <c r="Y242" s="254"/>
      <c r="Z242" s="254"/>
      <c r="AA242" s="254"/>
      <c r="AB242" s="254"/>
      <c r="AC242" s="254"/>
    </row>
    <row r="243" ht="12.75" customHeight="1" spans="1:29">
      <c r="A243" s="254"/>
      <c r="B243" s="254"/>
      <c r="C243" s="254"/>
      <c r="D243" s="276"/>
      <c r="E243" s="254"/>
      <c r="F243" s="254"/>
      <c r="G243" s="254"/>
      <c r="H243" s="254"/>
      <c r="I243" s="254"/>
      <c r="J243" s="254"/>
      <c r="K243" s="254"/>
      <c r="L243" s="254"/>
      <c r="M243" s="254"/>
      <c r="N243" s="254"/>
      <c r="O243" s="254"/>
      <c r="P243" s="254"/>
      <c r="Q243" s="254"/>
      <c r="R243" s="254"/>
      <c r="S243" s="254"/>
      <c r="T243" s="254"/>
      <c r="U243" s="254"/>
      <c r="V243" s="254"/>
      <c r="W243" s="254"/>
      <c r="X243" s="254"/>
      <c r="Y243" s="254"/>
      <c r="Z243" s="254"/>
      <c r="AA243" s="254"/>
      <c r="AB243" s="254"/>
      <c r="AC243" s="254"/>
    </row>
    <row r="244" ht="12.75" customHeight="1" spans="1:29">
      <c r="A244" s="254"/>
      <c r="B244" s="254"/>
      <c r="C244" s="254"/>
      <c r="D244" s="276"/>
      <c r="E244" s="254"/>
      <c r="F244" s="254"/>
      <c r="G244" s="254"/>
      <c r="H244" s="254"/>
      <c r="I244" s="254"/>
      <c r="J244" s="254"/>
      <c r="K244" s="254"/>
      <c r="L244" s="254"/>
      <c r="M244" s="254"/>
      <c r="N244" s="254"/>
      <c r="O244" s="254"/>
      <c r="P244" s="254"/>
      <c r="Q244" s="254"/>
      <c r="R244" s="254"/>
      <c r="S244" s="254"/>
      <c r="T244" s="254"/>
      <c r="U244" s="254"/>
      <c r="V244" s="254"/>
      <c r="W244" s="254"/>
      <c r="X244" s="254"/>
      <c r="Y244" s="254"/>
      <c r="Z244" s="254"/>
      <c r="AA244" s="254"/>
      <c r="AB244" s="254"/>
      <c r="AC244" s="254"/>
    </row>
    <row r="245" ht="12.75" customHeight="1" spans="1:29">
      <c r="A245" s="254"/>
      <c r="B245" s="254"/>
      <c r="C245" s="254"/>
      <c r="D245" s="276"/>
      <c r="E245" s="254"/>
      <c r="F245" s="254"/>
      <c r="G245" s="254"/>
      <c r="H245" s="254"/>
      <c r="I245" s="254"/>
      <c r="J245" s="254"/>
      <c r="K245" s="254"/>
      <c r="L245" s="254"/>
      <c r="M245" s="254"/>
      <c r="N245" s="254"/>
      <c r="O245" s="254"/>
      <c r="P245" s="254"/>
      <c r="Q245" s="254"/>
      <c r="R245" s="254"/>
      <c r="S245" s="254"/>
      <c r="T245" s="254"/>
      <c r="U245" s="254"/>
      <c r="V245" s="254"/>
      <c r="W245" s="254"/>
      <c r="X245" s="254"/>
      <c r="Y245" s="254"/>
      <c r="Z245" s="254"/>
      <c r="AA245" s="254"/>
      <c r="AB245" s="254"/>
      <c r="AC245" s="254"/>
    </row>
    <row r="246" ht="12.75" customHeight="1" spans="1:29">
      <c r="A246" s="254"/>
      <c r="B246" s="254"/>
      <c r="C246" s="254"/>
      <c r="D246" s="276"/>
      <c r="E246" s="254"/>
      <c r="F246" s="254"/>
      <c r="G246" s="254"/>
      <c r="H246" s="254"/>
      <c r="I246" s="254"/>
      <c r="J246" s="254"/>
      <c r="K246" s="254"/>
      <c r="L246" s="254"/>
      <c r="M246" s="254"/>
      <c r="N246" s="254"/>
      <c r="O246" s="254"/>
      <c r="P246" s="254"/>
      <c r="Q246" s="254"/>
      <c r="R246" s="254"/>
      <c r="S246" s="254"/>
      <c r="T246" s="254"/>
      <c r="U246" s="254"/>
      <c r="V246" s="254"/>
      <c r="W246" s="254"/>
      <c r="X246" s="254"/>
      <c r="Y246" s="254"/>
      <c r="Z246" s="254"/>
      <c r="AA246" s="254"/>
      <c r="AB246" s="254"/>
      <c r="AC246" s="254"/>
    </row>
    <row r="247" ht="12.75" customHeight="1" spans="1:29">
      <c r="A247" s="254"/>
      <c r="B247" s="254"/>
      <c r="C247" s="254"/>
      <c r="D247" s="276"/>
      <c r="E247" s="254"/>
      <c r="F247" s="254"/>
      <c r="G247" s="254"/>
      <c r="H247" s="254"/>
      <c r="I247" s="254"/>
      <c r="J247" s="254"/>
      <c r="K247" s="254"/>
      <c r="L247" s="254"/>
      <c r="M247" s="254"/>
      <c r="N247" s="254"/>
      <c r="O247" s="254"/>
      <c r="P247" s="254"/>
      <c r="Q247" s="254"/>
      <c r="R247" s="254"/>
      <c r="S247" s="254"/>
      <c r="T247" s="254"/>
      <c r="U247" s="254"/>
      <c r="V247" s="254"/>
      <c r="W247" s="254"/>
      <c r="X247" s="254"/>
      <c r="Y247" s="254"/>
      <c r="Z247" s="254"/>
      <c r="AA247" s="254"/>
      <c r="AB247" s="254"/>
      <c r="AC247" s="254"/>
    </row>
    <row r="248" ht="12.75" customHeight="1" spans="1:29">
      <c r="A248" s="254"/>
      <c r="B248" s="254"/>
      <c r="C248" s="254"/>
      <c r="D248" s="276"/>
      <c r="E248" s="254"/>
      <c r="F248" s="254"/>
      <c r="G248" s="254"/>
      <c r="H248" s="254"/>
      <c r="I248" s="254"/>
      <c r="J248" s="254"/>
      <c r="K248" s="254"/>
      <c r="L248" s="254"/>
      <c r="M248" s="254"/>
      <c r="N248" s="254"/>
      <c r="O248" s="254"/>
      <c r="P248" s="254"/>
      <c r="Q248" s="254"/>
      <c r="R248" s="254"/>
      <c r="S248" s="254"/>
      <c r="T248" s="254"/>
      <c r="U248" s="254"/>
      <c r="V248" s="254"/>
      <c r="W248" s="254"/>
      <c r="X248" s="254"/>
      <c r="Y248" s="254"/>
      <c r="Z248" s="254"/>
      <c r="AA248" s="254"/>
      <c r="AB248" s="254"/>
      <c r="AC248" s="254"/>
    </row>
    <row r="249" ht="12.75" customHeight="1" spans="1:29">
      <c r="A249" s="254"/>
      <c r="B249" s="254"/>
      <c r="C249" s="254"/>
      <c r="D249" s="276"/>
      <c r="E249" s="254"/>
      <c r="F249" s="254"/>
      <c r="G249" s="254"/>
      <c r="H249" s="254"/>
      <c r="I249" s="254"/>
      <c r="J249" s="254"/>
      <c r="K249" s="254"/>
      <c r="L249" s="254"/>
      <c r="M249" s="254"/>
      <c r="N249" s="254"/>
      <c r="O249" s="254"/>
      <c r="P249" s="254"/>
      <c r="Q249" s="254"/>
      <c r="R249" s="254"/>
      <c r="S249" s="254"/>
      <c r="T249" s="254"/>
      <c r="U249" s="254"/>
      <c r="V249" s="254"/>
      <c r="W249" s="254"/>
      <c r="X249" s="254"/>
      <c r="Y249" s="254"/>
      <c r="Z249" s="254"/>
      <c r="AA249" s="254"/>
      <c r="AB249" s="254"/>
      <c r="AC249" s="254"/>
    </row>
    <row r="250" ht="12.75" customHeight="1" spans="1:29">
      <c r="A250" s="254"/>
      <c r="B250" s="254"/>
      <c r="C250" s="254"/>
      <c r="D250" s="276"/>
      <c r="E250" s="254"/>
      <c r="F250" s="254"/>
      <c r="G250" s="254"/>
      <c r="H250" s="254"/>
      <c r="I250" s="254"/>
      <c r="J250" s="254"/>
      <c r="K250" s="254"/>
      <c r="L250" s="254"/>
      <c r="M250" s="254"/>
      <c r="N250" s="254"/>
      <c r="O250" s="254"/>
      <c r="P250" s="254"/>
      <c r="Q250" s="254"/>
      <c r="R250" s="254"/>
      <c r="S250" s="254"/>
      <c r="T250" s="254"/>
      <c r="U250" s="254"/>
      <c r="V250" s="254"/>
      <c r="W250" s="254"/>
      <c r="X250" s="254"/>
      <c r="Y250" s="254"/>
      <c r="Z250" s="254"/>
      <c r="AA250" s="254"/>
      <c r="AB250" s="254"/>
      <c r="AC250" s="254"/>
    </row>
    <row r="251" ht="12.75" customHeight="1" spans="1:29">
      <c r="A251" s="254"/>
      <c r="B251" s="254"/>
      <c r="C251" s="254"/>
      <c r="D251" s="276"/>
      <c r="E251" s="254"/>
      <c r="F251" s="254"/>
      <c r="G251" s="254"/>
      <c r="H251" s="254"/>
      <c r="I251" s="254"/>
      <c r="J251" s="254"/>
      <c r="K251" s="254"/>
      <c r="L251" s="254"/>
      <c r="M251" s="254"/>
      <c r="N251" s="254"/>
      <c r="O251" s="254"/>
      <c r="P251" s="254"/>
      <c r="Q251" s="254"/>
      <c r="R251" s="254"/>
      <c r="S251" s="254"/>
      <c r="T251" s="254"/>
      <c r="U251" s="254"/>
      <c r="V251" s="254"/>
      <c r="W251" s="254"/>
      <c r="X251" s="254"/>
      <c r="Y251" s="254"/>
      <c r="Z251" s="254"/>
      <c r="AA251" s="254"/>
      <c r="AB251" s="254"/>
      <c r="AC251" s="254"/>
    </row>
    <row r="252" ht="12.75" customHeight="1" spans="1:29">
      <c r="A252" s="254"/>
      <c r="B252" s="254"/>
      <c r="C252" s="254"/>
      <c r="D252" s="276"/>
      <c r="E252" s="254"/>
      <c r="F252" s="254"/>
      <c r="G252" s="254"/>
      <c r="H252" s="254"/>
      <c r="I252" s="254"/>
      <c r="J252" s="254"/>
      <c r="K252" s="254"/>
      <c r="L252" s="254"/>
      <c r="M252" s="254"/>
      <c r="N252" s="254"/>
      <c r="O252" s="254"/>
      <c r="P252" s="254"/>
      <c r="Q252" s="254"/>
      <c r="R252" s="254"/>
      <c r="S252" s="254"/>
      <c r="T252" s="254"/>
      <c r="U252" s="254"/>
      <c r="V252" s="254"/>
      <c r="W252" s="254"/>
      <c r="X252" s="254"/>
      <c r="Y252" s="254"/>
      <c r="Z252" s="254"/>
      <c r="AA252" s="254"/>
      <c r="AB252" s="254"/>
      <c r="AC252" s="254"/>
    </row>
    <row r="253" ht="12.75" customHeight="1" spans="1:29">
      <c r="A253" s="254"/>
      <c r="B253" s="254"/>
      <c r="C253" s="254"/>
      <c r="D253" s="276"/>
      <c r="E253" s="254"/>
      <c r="F253" s="254"/>
      <c r="G253" s="254"/>
      <c r="H253" s="254"/>
      <c r="I253" s="254"/>
      <c r="J253" s="254"/>
      <c r="K253" s="254"/>
      <c r="L253" s="254"/>
      <c r="M253" s="254"/>
      <c r="N253" s="254"/>
      <c r="O253" s="254"/>
      <c r="P253" s="254"/>
      <c r="Q253" s="254"/>
      <c r="R253" s="254"/>
      <c r="S253" s="254"/>
      <c r="T253" s="254"/>
      <c r="U253" s="254"/>
      <c r="V253" s="254"/>
      <c r="W253" s="254"/>
      <c r="X253" s="254"/>
      <c r="Y253" s="254"/>
      <c r="Z253" s="254"/>
      <c r="AA253" s="254"/>
      <c r="AB253" s="254"/>
      <c r="AC253" s="254"/>
    </row>
    <row r="254" ht="12.75" customHeight="1" spans="1:29">
      <c r="A254" s="254"/>
      <c r="B254" s="254"/>
      <c r="C254" s="254"/>
      <c r="D254" s="276"/>
      <c r="E254" s="254"/>
      <c r="F254" s="254"/>
      <c r="G254" s="254"/>
      <c r="H254" s="254"/>
      <c r="I254" s="254"/>
      <c r="J254" s="254"/>
      <c r="K254" s="254"/>
      <c r="L254" s="254"/>
      <c r="M254" s="254"/>
      <c r="N254" s="254"/>
      <c r="O254" s="254"/>
      <c r="P254" s="254"/>
      <c r="Q254" s="254"/>
      <c r="R254" s="254"/>
      <c r="S254" s="254"/>
      <c r="T254" s="254"/>
      <c r="U254" s="254"/>
      <c r="V254" s="254"/>
      <c r="W254" s="254"/>
      <c r="X254" s="254"/>
      <c r="Y254" s="254"/>
      <c r="Z254" s="254"/>
      <c r="AA254" s="254"/>
      <c r="AB254" s="254"/>
      <c r="AC254" s="254"/>
    </row>
    <row r="255" ht="12.75" customHeight="1" spans="1:29">
      <c r="A255" s="254"/>
      <c r="B255" s="254"/>
      <c r="C255" s="254"/>
      <c r="D255" s="276"/>
      <c r="E255" s="254"/>
      <c r="F255" s="254"/>
      <c r="G255" s="254"/>
      <c r="H255" s="254"/>
      <c r="I255" s="254"/>
      <c r="J255" s="254"/>
      <c r="K255" s="254"/>
      <c r="L255" s="254"/>
      <c r="M255" s="254"/>
      <c r="N255" s="254"/>
      <c r="O255" s="254"/>
      <c r="P255" s="254"/>
      <c r="Q255" s="254"/>
      <c r="R255" s="254"/>
      <c r="S255" s="254"/>
      <c r="T255" s="254"/>
      <c r="U255" s="254"/>
      <c r="V255" s="254"/>
      <c r="W255" s="254"/>
      <c r="X255" s="254"/>
      <c r="Y255" s="254"/>
      <c r="Z255" s="254"/>
      <c r="AA255" s="254"/>
      <c r="AB255" s="254"/>
      <c r="AC255" s="254"/>
    </row>
    <row r="256" ht="12.75" customHeight="1" spans="1:29">
      <c r="A256" s="254"/>
      <c r="B256" s="254"/>
      <c r="C256" s="254"/>
      <c r="D256" s="276"/>
      <c r="E256" s="254"/>
      <c r="F256" s="254"/>
      <c r="G256" s="254"/>
      <c r="H256" s="254"/>
      <c r="I256" s="254"/>
      <c r="J256" s="254"/>
      <c r="K256" s="254"/>
      <c r="L256" s="254"/>
      <c r="M256" s="254"/>
      <c r="N256" s="254"/>
      <c r="O256" s="254"/>
      <c r="P256" s="254"/>
      <c r="Q256" s="254"/>
      <c r="R256" s="254"/>
      <c r="S256" s="254"/>
      <c r="T256" s="254"/>
      <c r="U256" s="254"/>
      <c r="V256" s="254"/>
      <c r="W256" s="254"/>
      <c r="X256" s="254"/>
      <c r="Y256" s="254"/>
      <c r="Z256" s="254"/>
      <c r="AA256" s="254"/>
      <c r="AB256" s="254"/>
      <c r="AC256" s="254"/>
    </row>
    <row r="257" ht="12.75" customHeight="1" spans="1:29">
      <c r="A257" s="254"/>
      <c r="B257" s="254"/>
      <c r="C257" s="254"/>
      <c r="D257" s="276"/>
      <c r="E257" s="254"/>
      <c r="F257" s="254"/>
      <c r="G257" s="254"/>
      <c r="H257" s="254"/>
      <c r="I257" s="254"/>
      <c r="J257" s="254"/>
      <c r="K257" s="254"/>
      <c r="L257" s="254"/>
      <c r="M257" s="254"/>
      <c r="N257" s="254"/>
      <c r="O257" s="254"/>
      <c r="P257" s="254"/>
      <c r="Q257" s="254"/>
      <c r="R257" s="254"/>
      <c r="S257" s="254"/>
      <c r="T257" s="254"/>
      <c r="U257" s="254"/>
      <c r="V257" s="254"/>
      <c r="W257" s="254"/>
      <c r="X257" s="254"/>
      <c r="Y257" s="254"/>
      <c r="Z257" s="254"/>
      <c r="AA257" s="254"/>
      <c r="AB257" s="254"/>
      <c r="AC257" s="254"/>
    </row>
    <row r="258" ht="12.75" customHeight="1" spans="1:29">
      <c r="A258" s="254"/>
      <c r="B258" s="254"/>
      <c r="C258" s="254"/>
      <c r="D258" s="276"/>
      <c r="E258" s="254"/>
      <c r="F258" s="254"/>
      <c r="G258" s="254"/>
      <c r="H258" s="254"/>
      <c r="I258" s="254"/>
      <c r="J258" s="254"/>
      <c r="K258" s="254"/>
      <c r="L258" s="254"/>
      <c r="M258" s="254"/>
      <c r="N258" s="254"/>
      <c r="O258" s="254"/>
      <c r="P258" s="254"/>
      <c r="Q258" s="254"/>
      <c r="R258" s="254"/>
      <c r="S258" s="254"/>
      <c r="T258" s="254"/>
      <c r="U258" s="254"/>
      <c r="V258" s="254"/>
      <c r="W258" s="254"/>
      <c r="X258" s="254"/>
      <c r="Y258" s="254"/>
      <c r="Z258" s="254"/>
      <c r="AA258" s="254"/>
      <c r="AB258" s="254"/>
      <c r="AC258" s="254"/>
    </row>
    <row r="259" ht="12.75" customHeight="1" spans="1:29">
      <c r="A259" s="254"/>
      <c r="B259" s="254"/>
      <c r="C259" s="254"/>
      <c r="D259" s="276"/>
      <c r="E259" s="254"/>
      <c r="F259" s="254"/>
      <c r="G259" s="254"/>
      <c r="H259" s="254"/>
      <c r="I259" s="254"/>
      <c r="J259" s="254"/>
      <c r="K259" s="254"/>
      <c r="L259" s="254"/>
      <c r="M259" s="254"/>
      <c r="N259" s="254"/>
      <c r="O259" s="254"/>
      <c r="P259" s="254"/>
      <c r="Q259" s="254"/>
      <c r="R259" s="254"/>
      <c r="S259" s="254"/>
      <c r="T259" s="254"/>
      <c r="U259" s="254"/>
      <c r="V259" s="254"/>
      <c r="W259" s="254"/>
      <c r="X259" s="254"/>
      <c r="Y259" s="254"/>
      <c r="Z259" s="254"/>
      <c r="AA259" s="254"/>
      <c r="AB259" s="254"/>
      <c r="AC259" s="254"/>
    </row>
    <row r="260" ht="12.75" customHeight="1" spans="1:29">
      <c r="A260" s="254"/>
      <c r="B260" s="254"/>
      <c r="C260" s="254"/>
      <c r="D260" s="276"/>
      <c r="E260" s="254"/>
      <c r="F260" s="254"/>
      <c r="G260" s="254"/>
      <c r="H260" s="254"/>
      <c r="I260" s="254"/>
      <c r="J260" s="254"/>
      <c r="K260" s="254"/>
      <c r="L260" s="254"/>
      <c r="M260" s="254"/>
      <c r="N260" s="254"/>
      <c r="O260" s="254"/>
      <c r="P260" s="254"/>
      <c r="Q260" s="254"/>
      <c r="R260" s="254"/>
      <c r="S260" s="254"/>
      <c r="T260" s="254"/>
      <c r="U260" s="254"/>
      <c r="V260" s="254"/>
      <c r="W260" s="254"/>
      <c r="X260" s="254"/>
      <c r="Y260" s="254"/>
      <c r="Z260" s="254"/>
      <c r="AA260" s="254"/>
      <c r="AB260" s="254"/>
      <c r="AC260" s="254"/>
    </row>
    <row r="261" ht="12.75" customHeight="1" spans="1:29">
      <c r="A261" s="254"/>
      <c r="B261" s="254"/>
      <c r="C261" s="254"/>
      <c r="D261" s="276"/>
      <c r="E261" s="254"/>
      <c r="F261" s="254"/>
      <c r="G261" s="254"/>
      <c r="H261" s="254"/>
      <c r="I261" s="254"/>
      <c r="J261" s="254"/>
      <c r="K261" s="254"/>
      <c r="L261" s="254"/>
      <c r="M261" s="254"/>
      <c r="N261" s="254"/>
      <c r="O261" s="254"/>
      <c r="P261" s="254"/>
      <c r="Q261" s="254"/>
      <c r="R261" s="254"/>
      <c r="S261" s="254"/>
      <c r="T261" s="254"/>
      <c r="U261" s="254"/>
      <c r="V261" s="254"/>
      <c r="W261" s="254"/>
      <c r="X261" s="254"/>
      <c r="Y261" s="254"/>
      <c r="Z261" s="254"/>
      <c r="AA261" s="254"/>
      <c r="AB261" s="254"/>
      <c r="AC261" s="254"/>
    </row>
    <row r="262" ht="12.75" customHeight="1" spans="1:29">
      <c r="A262" s="254"/>
      <c r="B262" s="254"/>
      <c r="C262" s="254"/>
      <c r="D262" s="276"/>
      <c r="E262" s="254"/>
      <c r="F262" s="254"/>
      <c r="G262" s="254"/>
      <c r="H262" s="254"/>
      <c r="I262" s="254"/>
      <c r="J262" s="254"/>
      <c r="K262" s="254"/>
      <c r="L262" s="254"/>
      <c r="M262" s="254"/>
      <c r="N262" s="254"/>
      <c r="O262" s="254"/>
      <c r="P262" s="254"/>
      <c r="Q262" s="254"/>
      <c r="R262" s="254"/>
      <c r="S262" s="254"/>
      <c r="T262" s="254"/>
      <c r="U262" s="254"/>
      <c r="V262" s="254"/>
      <c r="W262" s="254"/>
      <c r="X262" s="254"/>
      <c r="Y262" s="254"/>
      <c r="Z262" s="254"/>
      <c r="AA262" s="254"/>
      <c r="AB262" s="254"/>
      <c r="AC262" s="254"/>
    </row>
    <row r="263" ht="12.75" customHeight="1" spans="1:29">
      <c r="A263" s="254"/>
      <c r="B263" s="254"/>
      <c r="C263" s="254"/>
      <c r="D263" s="276"/>
      <c r="E263" s="254"/>
      <c r="F263" s="254"/>
      <c r="G263" s="254"/>
      <c r="H263" s="254"/>
      <c r="I263" s="254"/>
      <c r="J263" s="254"/>
      <c r="K263" s="254"/>
      <c r="L263" s="254"/>
      <c r="M263" s="254"/>
      <c r="N263" s="254"/>
      <c r="O263" s="254"/>
      <c r="P263" s="254"/>
      <c r="Q263" s="254"/>
      <c r="R263" s="254"/>
      <c r="S263" s="254"/>
      <c r="T263" s="254"/>
      <c r="U263" s="254"/>
      <c r="V263" s="254"/>
      <c r="W263" s="254"/>
      <c r="X263" s="254"/>
      <c r="Y263" s="254"/>
      <c r="Z263" s="254"/>
      <c r="AA263" s="254"/>
      <c r="AB263" s="254"/>
      <c r="AC263" s="254"/>
    </row>
    <row r="264" ht="12.75" customHeight="1" spans="1:29">
      <c r="A264" s="254"/>
      <c r="B264" s="254"/>
      <c r="C264" s="254"/>
      <c r="D264" s="276"/>
      <c r="E264" s="254"/>
      <c r="F264" s="254"/>
      <c r="G264" s="254"/>
      <c r="H264" s="254"/>
      <c r="I264" s="254"/>
      <c r="J264" s="254"/>
      <c r="K264" s="254"/>
      <c r="L264" s="254"/>
      <c r="M264" s="254"/>
      <c r="N264" s="254"/>
      <c r="O264" s="254"/>
      <c r="P264" s="254"/>
      <c r="Q264" s="254"/>
      <c r="R264" s="254"/>
      <c r="S264" s="254"/>
      <c r="T264" s="254"/>
      <c r="U264" s="254"/>
      <c r="V264" s="254"/>
      <c r="W264" s="254"/>
      <c r="X264" s="254"/>
      <c r="Y264" s="254"/>
      <c r="Z264" s="254"/>
      <c r="AA264" s="254"/>
      <c r="AB264" s="254"/>
      <c r="AC264" s="254"/>
    </row>
    <row r="265" ht="12.75" customHeight="1" spans="1:29">
      <c r="A265" s="254"/>
      <c r="B265" s="254"/>
      <c r="C265" s="254"/>
      <c r="D265" s="276"/>
      <c r="E265" s="254"/>
      <c r="F265" s="254"/>
      <c r="G265" s="254"/>
      <c r="H265" s="254"/>
      <c r="I265" s="254"/>
      <c r="J265" s="254"/>
      <c r="K265" s="254"/>
      <c r="L265" s="254"/>
      <c r="M265" s="254"/>
      <c r="N265" s="254"/>
      <c r="O265" s="254"/>
      <c r="P265" s="254"/>
      <c r="Q265" s="254"/>
      <c r="R265" s="254"/>
      <c r="S265" s="254"/>
      <c r="T265" s="254"/>
      <c r="U265" s="254"/>
      <c r="V265" s="254"/>
      <c r="W265" s="254"/>
      <c r="X265" s="254"/>
      <c r="Y265" s="254"/>
      <c r="Z265" s="254"/>
      <c r="AA265" s="254"/>
      <c r="AB265" s="254"/>
      <c r="AC265" s="254"/>
    </row>
    <row r="266" ht="12.75" customHeight="1" spans="1:29">
      <c r="A266" s="254"/>
      <c r="B266" s="254"/>
      <c r="C266" s="254"/>
      <c r="D266" s="276"/>
      <c r="E266" s="254"/>
      <c r="F266" s="254"/>
      <c r="G266" s="254"/>
      <c r="H266" s="254"/>
      <c r="I266" s="254"/>
      <c r="J266" s="254"/>
      <c r="K266" s="254"/>
      <c r="L266" s="254"/>
      <c r="M266" s="254"/>
      <c r="N266" s="254"/>
      <c r="O266" s="254"/>
      <c r="P266" s="254"/>
      <c r="Q266" s="254"/>
      <c r="R266" s="254"/>
      <c r="S266" s="254"/>
      <c r="T266" s="254"/>
      <c r="U266" s="254"/>
      <c r="V266" s="254"/>
      <c r="W266" s="254"/>
      <c r="X266" s="254"/>
      <c r="Y266" s="254"/>
      <c r="Z266" s="254"/>
      <c r="AA266" s="254"/>
      <c r="AB266" s="254"/>
      <c r="AC266" s="254"/>
    </row>
    <row r="267" ht="12.75" customHeight="1" spans="1:29">
      <c r="A267" s="254"/>
      <c r="B267" s="254"/>
      <c r="C267" s="254"/>
      <c r="D267" s="276"/>
      <c r="E267" s="254"/>
      <c r="F267" s="254"/>
      <c r="G267" s="254"/>
      <c r="H267" s="254"/>
      <c r="I267" s="254"/>
      <c r="J267" s="254"/>
      <c r="K267" s="254"/>
      <c r="L267" s="254"/>
      <c r="M267" s="254"/>
      <c r="N267" s="254"/>
      <c r="O267" s="254"/>
      <c r="P267" s="254"/>
      <c r="Q267" s="254"/>
      <c r="R267" s="254"/>
      <c r="S267" s="254"/>
      <c r="T267" s="254"/>
      <c r="U267" s="254"/>
      <c r="V267" s="254"/>
      <c r="W267" s="254"/>
      <c r="X267" s="254"/>
      <c r="Y267" s="254"/>
      <c r="Z267" s="254"/>
      <c r="AA267" s="254"/>
      <c r="AB267" s="254"/>
      <c r="AC267" s="254"/>
    </row>
    <row r="268" ht="12.75" customHeight="1" spans="1:29">
      <c r="A268" s="254"/>
      <c r="B268" s="254"/>
      <c r="C268" s="254"/>
      <c r="D268" s="276"/>
      <c r="E268" s="254"/>
      <c r="F268" s="254"/>
      <c r="G268" s="254"/>
      <c r="H268" s="254"/>
      <c r="I268" s="254"/>
      <c r="J268" s="254"/>
      <c r="K268" s="254"/>
      <c r="L268" s="254"/>
      <c r="M268" s="254"/>
      <c r="N268" s="254"/>
      <c r="O268" s="254"/>
      <c r="P268" s="254"/>
      <c r="Q268" s="254"/>
      <c r="R268" s="254"/>
      <c r="S268" s="254"/>
      <c r="T268" s="254"/>
      <c r="U268" s="254"/>
      <c r="V268" s="254"/>
      <c r="W268" s="254"/>
      <c r="X268" s="254"/>
      <c r="Y268" s="254"/>
      <c r="Z268" s="254"/>
      <c r="AA268" s="254"/>
      <c r="AB268" s="254"/>
      <c r="AC268" s="254"/>
    </row>
    <row r="269" ht="12.75" customHeight="1" spans="1:29">
      <c r="A269" s="254"/>
      <c r="B269" s="254"/>
      <c r="C269" s="254"/>
      <c r="D269" s="276"/>
      <c r="E269" s="254"/>
      <c r="F269" s="254"/>
      <c r="G269" s="254"/>
      <c r="H269" s="254"/>
      <c r="I269" s="254"/>
      <c r="J269" s="254"/>
      <c r="K269" s="254"/>
      <c r="L269" s="254"/>
      <c r="M269" s="254"/>
      <c r="N269" s="254"/>
      <c r="O269" s="254"/>
      <c r="P269" s="254"/>
      <c r="Q269" s="254"/>
      <c r="R269" s="254"/>
      <c r="S269" s="254"/>
      <c r="T269" s="254"/>
      <c r="U269" s="254"/>
      <c r="V269" s="254"/>
      <c r="W269" s="254"/>
      <c r="X269" s="254"/>
      <c r="Y269" s="254"/>
      <c r="Z269" s="254"/>
      <c r="AA269" s="254"/>
      <c r="AB269" s="254"/>
      <c r="AC269" s="254"/>
    </row>
    <row r="270" ht="12.75" customHeight="1" spans="1:29">
      <c r="A270" s="254"/>
      <c r="B270" s="254"/>
      <c r="C270" s="254"/>
      <c r="D270" s="276"/>
      <c r="E270" s="254"/>
      <c r="F270" s="254"/>
      <c r="G270" s="254"/>
      <c r="H270" s="254"/>
      <c r="I270" s="254"/>
      <c r="J270" s="254"/>
      <c r="K270" s="254"/>
      <c r="L270" s="254"/>
      <c r="M270" s="254"/>
      <c r="N270" s="254"/>
      <c r="O270" s="254"/>
      <c r="P270" s="254"/>
      <c r="Q270" s="254"/>
      <c r="R270" s="254"/>
      <c r="S270" s="254"/>
      <c r="T270" s="254"/>
      <c r="U270" s="254"/>
      <c r="V270" s="254"/>
      <c r="W270" s="254"/>
      <c r="X270" s="254"/>
      <c r="Y270" s="254"/>
      <c r="Z270" s="254"/>
      <c r="AA270" s="254"/>
      <c r="AB270" s="254"/>
      <c r="AC270" s="254"/>
    </row>
    <row r="271" ht="12.75" customHeight="1" spans="1:29">
      <c r="A271" s="254"/>
      <c r="B271" s="254"/>
      <c r="C271" s="254"/>
      <c r="D271" s="276"/>
      <c r="E271" s="254"/>
      <c r="F271" s="254"/>
      <c r="G271" s="254"/>
      <c r="H271" s="254"/>
      <c r="I271" s="254"/>
      <c r="J271" s="254"/>
      <c r="K271" s="254"/>
      <c r="L271" s="254"/>
      <c r="M271" s="254"/>
      <c r="N271" s="254"/>
      <c r="O271" s="254"/>
      <c r="P271" s="254"/>
      <c r="Q271" s="254"/>
      <c r="R271" s="254"/>
      <c r="S271" s="254"/>
      <c r="T271" s="254"/>
      <c r="U271" s="254"/>
      <c r="V271" s="254"/>
      <c r="W271" s="254"/>
      <c r="X271" s="254"/>
      <c r="Y271" s="254"/>
      <c r="Z271" s="254"/>
      <c r="AA271" s="254"/>
      <c r="AB271" s="254"/>
      <c r="AC271" s="254"/>
    </row>
    <row r="272" ht="12.75" customHeight="1" spans="1:29">
      <c r="A272" s="254"/>
      <c r="B272" s="254"/>
      <c r="C272" s="254"/>
      <c r="D272" s="276"/>
      <c r="E272" s="254"/>
      <c r="F272" s="254"/>
      <c r="G272" s="254"/>
      <c r="H272" s="254"/>
      <c r="I272" s="254"/>
      <c r="J272" s="254"/>
      <c r="K272" s="254"/>
      <c r="L272" s="254"/>
      <c r="M272" s="254"/>
      <c r="N272" s="254"/>
      <c r="O272" s="254"/>
      <c r="P272" s="254"/>
      <c r="Q272" s="254"/>
      <c r="R272" s="254"/>
      <c r="S272" s="254"/>
      <c r="T272" s="254"/>
      <c r="U272" s="254"/>
      <c r="V272" s="254"/>
      <c r="W272" s="254"/>
      <c r="X272" s="254"/>
      <c r="Y272" s="254"/>
      <c r="Z272" s="254"/>
      <c r="AA272" s="254"/>
      <c r="AB272" s="254"/>
      <c r="AC272" s="254"/>
    </row>
    <row r="273" ht="12.75" customHeight="1" spans="1:29">
      <c r="A273" s="254"/>
      <c r="B273" s="254"/>
      <c r="C273" s="254"/>
      <c r="D273" s="276"/>
      <c r="E273" s="254"/>
      <c r="F273" s="254"/>
      <c r="G273" s="254"/>
      <c r="H273" s="254"/>
      <c r="I273" s="254"/>
      <c r="J273" s="254"/>
      <c r="K273" s="254"/>
      <c r="L273" s="254"/>
      <c r="M273" s="254"/>
      <c r="N273" s="254"/>
      <c r="O273" s="254"/>
      <c r="P273" s="254"/>
      <c r="Q273" s="254"/>
      <c r="R273" s="254"/>
      <c r="S273" s="254"/>
      <c r="T273" s="254"/>
      <c r="U273" s="254"/>
      <c r="V273" s="254"/>
      <c r="W273" s="254"/>
      <c r="X273" s="254"/>
      <c r="Y273" s="254"/>
      <c r="Z273" s="254"/>
      <c r="AA273" s="254"/>
      <c r="AB273" s="254"/>
      <c r="AC273" s="254"/>
    </row>
    <row r="274" ht="12.75" customHeight="1" spans="1:29">
      <c r="A274" s="254"/>
      <c r="B274" s="254"/>
      <c r="C274" s="254"/>
      <c r="D274" s="276"/>
      <c r="E274" s="254"/>
      <c r="F274" s="254"/>
      <c r="G274" s="254"/>
      <c r="H274" s="254"/>
      <c r="I274" s="254"/>
      <c r="J274" s="254"/>
      <c r="K274" s="254"/>
      <c r="L274" s="254"/>
      <c r="M274" s="254"/>
      <c r="N274" s="254"/>
      <c r="O274" s="254"/>
      <c r="P274" s="254"/>
      <c r="Q274" s="254"/>
      <c r="R274" s="254"/>
      <c r="S274" s="254"/>
      <c r="T274" s="254"/>
      <c r="U274" s="254"/>
      <c r="V274" s="254"/>
      <c r="W274" s="254"/>
      <c r="X274" s="254"/>
      <c r="Y274" s="254"/>
      <c r="Z274" s="254"/>
      <c r="AA274" s="254"/>
      <c r="AB274" s="254"/>
      <c r="AC274" s="254"/>
    </row>
    <row r="275" ht="12.75" customHeight="1" spans="1:29">
      <c r="A275" s="254"/>
      <c r="B275" s="254"/>
      <c r="C275" s="254"/>
      <c r="D275" s="276"/>
      <c r="E275" s="254"/>
      <c r="F275" s="254"/>
      <c r="G275" s="254"/>
      <c r="H275" s="254"/>
      <c r="I275" s="254"/>
      <c r="J275" s="254"/>
      <c r="K275" s="254"/>
      <c r="L275" s="254"/>
      <c r="M275" s="254"/>
      <c r="N275" s="254"/>
      <c r="O275" s="254"/>
      <c r="P275" s="254"/>
      <c r="Q275" s="254"/>
      <c r="R275" s="254"/>
      <c r="S275" s="254"/>
      <c r="T275" s="254"/>
      <c r="U275" s="254"/>
      <c r="V275" s="254"/>
      <c r="W275" s="254"/>
      <c r="X275" s="254"/>
      <c r="Y275" s="254"/>
      <c r="Z275" s="254"/>
      <c r="AA275" s="254"/>
      <c r="AB275" s="254"/>
      <c r="AC275" s="254"/>
    </row>
    <row r="276" ht="12.75" customHeight="1" spans="1:29">
      <c r="A276" s="254"/>
      <c r="B276" s="254"/>
      <c r="C276" s="254"/>
      <c r="D276" s="276"/>
      <c r="E276" s="254"/>
      <c r="F276" s="254"/>
      <c r="G276" s="254"/>
      <c r="H276" s="254"/>
      <c r="I276" s="254"/>
      <c r="J276" s="254"/>
      <c r="K276" s="254"/>
      <c r="L276" s="254"/>
      <c r="M276" s="254"/>
      <c r="N276" s="254"/>
      <c r="O276" s="254"/>
      <c r="P276" s="254"/>
      <c r="Q276" s="254"/>
      <c r="R276" s="254"/>
      <c r="S276" s="254"/>
      <c r="T276" s="254"/>
      <c r="U276" s="254"/>
      <c r="V276" s="254"/>
      <c r="W276" s="254"/>
      <c r="X276" s="254"/>
      <c r="Y276" s="254"/>
      <c r="Z276" s="254"/>
      <c r="AA276" s="254"/>
      <c r="AB276" s="254"/>
      <c r="AC276" s="254"/>
    </row>
    <row r="277" ht="12.75" customHeight="1" spans="1:29">
      <c r="A277" s="254"/>
      <c r="B277" s="254"/>
      <c r="C277" s="254"/>
      <c r="D277" s="276"/>
      <c r="E277" s="254"/>
      <c r="F277" s="254"/>
      <c r="G277" s="254"/>
      <c r="H277" s="254"/>
      <c r="I277" s="254"/>
      <c r="J277" s="254"/>
      <c r="K277" s="254"/>
      <c r="L277" s="254"/>
      <c r="M277" s="254"/>
      <c r="N277" s="254"/>
      <c r="O277" s="254"/>
      <c r="P277" s="254"/>
      <c r="Q277" s="254"/>
      <c r="R277" s="254"/>
      <c r="S277" s="254"/>
      <c r="T277" s="254"/>
      <c r="U277" s="254"/>
      <c r="V277" s="254"/>
      <c r="W277" s="254"/>
      <c r="X277" s="254"/>
      <c r="Y277" s="254"/>
      <c r="Z277" s="254"/>
      <c r="AA277" s="254"/>
      <c r="AB277" s="254"/>
      <c r="AC277" s="254"/>
    </row>
    <row r="278" ht="12.75" customHeight="1" spans="1:29">
      <c r="A278" s="254"/>
      <c r="B278" s="254"/>
      <c r="C278" s="254"/>
      <c r="D278" s="276"/>
      <c r="E278" s="254"/>
      <c r="F278" s="254"/>
      <c r="G278" s="254"/>
      <c r="H278" s="254"/>
      <c r="I278" s="254"/>
      <c r="J278" s="254"/>
      <c r="K278" s="254"/>
      <c r="L278" s="254"/>
      <c r="M278" s="254"/>
      <c r="N278" s="254"/>
      <c r="O278" s="254"/>
      <c r="P278" s="254"/>
      <c r="Q278" s="254"/>
      <c r="R278" s="254"/>
      <c r="S278" s="254"/>
      <c r="T278" s="254"/>
      <c r="U278" s="254"/>
      <c r="V278" s="254"/>
      <c r="W278" s="254"/>
      <c r="X278" s="254"/>
      <c r="Y278" s="254"/>
      <c r="Z278" s="254"/>
      <c r="AA278" s="254"/>
      <c r="AB278" s="254"/>
      <c r="AC278" s="254"/>
    </row>
    <row r="279" ht="12.75" customHeight="1" spans="1:29">
      <c r="A279" s="254"/>
      <c r="B279" s="254"/>
      <c r="C279" s="254"/>
      <c r="D279" s="276"/>
      <c r="E279" s="254"/>
      <c r="F279" s="254"/>
      <c r="G279" s="254"/>
      <c r="H279" s="254"/>
      <c r="I279" s="254"/>
      <c r="J279" s="254"/>
      <c r="K279" s="254"/>
      <c r="L279" s="254"/>
      <c r="M279" s="254"/>
      <c r="N279" s="254"/>
      <c r="O279" s="254"/>
      <c r="P279" s="254"/>
      <c r="Q279" s="254"/>
      <c r="R279" s="254"/>
      <c r="S279" s="254"/>
      <c r="T279" s="254"/>
      <c r="U279" s="254"/>
      <c r="V279" s="254"/>
      <c r="W279" s="254"/>
      <c r="X279" s="254"/>
      <c r="Y279" s="254"/>
      <c r="Z279" s="254"/>
      <c r="AA279" s="254"/>
      <c r="AB279" s="254"/>
      <c r="AC279" s="254"/>
    </row>
    <row r="280" ht="12.75" customHeight="1" spans="1:29">
      <c r="A280" s="254"/>
      <c r="B280" s="254"/>
      <c r="C280" s="254"/>
      <c r="D280" s="276"/>
      <c r="E280" s="254"/>
      <c r="F280" s="254"/>
      <c r="G280" s="254"/>
      <c r="H280" s="254"/>
      <c r="I280" s="254"/>
      <c r="J280" s="254"/>
      <c r="K280" s="254"/>
      <c r="L280" s="254"/>
      <c r="M280" s="254"/>
      <c r="N280" s="254"/>
      <c r="O280" s="254"/>
      <c r="P280" s="254"/>
      <c r="Q280" s="254"/>
      <c r="R280" s="254"/>
      <c r="S280" s="254"/>
      <c r="T280" s="254"/>
      <c r="U280" s="254"/>
      <c r="V280" s="254"/>
      <c r="W280" s="254"/>
      <c r="X280" s="254"/>
      <c r="Y280" s="254"/>
      <c r="Z280" s="254"/>
      <c r="AA280" s="254"/>
      <c r="AB280" s="254"/>
      <c r="AC280" s="254"/>
    </row>
    <row r="281" ht="12.75" customHeight="1" spans="1:29">
      <c r="A281" s="254"/>
      <c r="B281" s="254"/>
      <c r="C281" s="254"/>
      <c r="D281" s="276"/>
      <c r="E281" s="254"/>
      <c r="F281" s="254"/>
      <c r="G281" s="254"/>
      <c r="H281" s="254"/>
      <c r="I281" s="254"/>
      <c r="J281" s="254"/>
      <c r="K281" s="254"/>
      <c r="L281" s="254"/>
      <c r="M281" s="254"/>
      <c r="N281" s="254"/>
      <c r="O281" s="254"/>
      <c r="P281" s="254"/>
      <c r="Q281" s="254"/>
      <c r="R281" s="254"/>
      <c r="S281" s="254"/>
      <c r="T281" s="254"/>
      <c r="U281" s="254"/>
      <c r="V281" s="254"/>
      <c r="W281" s="254"/>
      <c r="X281" s="254"/>
      <c r="Y281" s="254"/>
      <c r="Z281" s="254"/>
      <c r="AA281" s="254"/>
      <c r="AB281" s="254"/>
      <c r="AC281" s="254"/>
    </row>
    <row r="282" ht="12.75" customHeight="1" spans="1:29">
      <c r="A282" s="254"/>
      <c r="B282" s="254"/>
      <c r="C282" s="254"/>
      <c r="D282" s="276"/>
      <c r="E282" s="254"/>
      <c r="F282" s="254"/>
      <c r="G282" s="254"/>
      <c r="H282" s="254"/>
      <c r="I282" s="254"/>
      <c r="J282" s="254"/>
      <c r="K282" s="254"/>
      <c r="L282" s="254"/>
      <c r="M282" s="254"/>
      <c r="N282" s="254"/>
      <c r="O282" s="254"/>
      <c r="P282" s="254"/>
      <c r="Q282" s="254"/>
      <c r="R282" s="254"/>
      <c r="S282" s="254"/>
      <c r="T282" s="254"/>
      <c r="U282" s="254"/>
      <c r="V282" s="254"/>
      <c r="W282" s="254"/>
      <c r="X282" s="254"/>
      <c r="Y282" s="254"/>
      <c r="Z282" s="254"/>
      <c r="AA282" s="254"/>
      <c r="AB282" s="254"/>
      <c r="AC282" s="254"/>
    </row>
    <row r="283" ht="12.75" customHeight="1" spans="1:29">
      <c r="A283" s="254"/>
      <c r="B283" s="254"/>
      <c r="C283" s="254"/>
      <c r="D283" s="276"/>
      <c r="E283" s="254"/>
      <c r="F283" s="254"/>
      <c r="G283" s="254"/>
      <c r="H283" s="254"/>
      <c r="I283" s="254"/>
      <c r="J283" s="254"/>
      <c r="K283" s="254"/>
      <c r="L283" s="254"/>
      <c r="M283" s="254"/>
      <c r="N283" s="254"/>
      <c r="O283" s="254"/>
      <c r="P283" s="254"/>
      <c r="Q283" s="254"/>
      <c r="R283" s="254"/>
      <c r="S283" s="254"/>
      <c r="T283" s="254"/>
      <c r="U283" s="254"/>
      <c r="V283" s="254"/>
      <c r="W283" s="254"/>
      <c r="X283" s="254"/>
      <c r="Y283" s="254"/>
      <c r="Z283" s="254"/>
      <c r="AA283" s="254"/>
      <c r="AB283" s="254"/>
      <c r="AC283" s="254"/>
    </row>
    <row r="284" ht="12.75" customHeight="1" spans="1:29">
      <c r="A284" s="254"/>
      <c r="B284" s="254"/>
      <c r="C284" s="254"/>
      <c r="D284" s="276"/>
      <c r="E284" s="254"/>
      <c r="F284" s="254"/>
      <c r="G284" s="254"/>
      <c r="H284" s="254"/>
      <c r="I284" s="254"/>
      <c r="J284" s="254"/>
      <c r="K284" s="254"/>
      <c r="L284" s="254"/>
      <c r="M284" s="254"/>
      <c r="N284" s="254"/>
      <c r="O284" s="254"/>
      <c r="P284" s="254"/>
      <c r="Q284" s="254"/>
      <c r="R284" s="254"/>
      <c r="S284" s="254"/>
      <c r="T284" s="254"/>
      <c r="U284" s="254"/>
      <c r="V284" s="254"/>
      <c r="W284" s="254"/>
      <c r="X284" s="254"/>
      <c r="Y284" s="254"/>
      <c r="Z284" s="254"/>
      <c r="AA284" s="254"/>
      <c r="AB284" s="254"/>
      <c r="AC284" s="254"/>
    </row>
    <row r="285" ht="12.75" customHeight="1" spans="1:29">
      <c r="A285" s="254"/>
      <c r="B285" s="254"/>
      <c r="C285" s="254"/>
      <c r="D285" s="276"/>
      <c r="E285" s="254"/>
      <c r="F285" s="254"/>
      <c r="G285" s="254"/>
      <c r="H285" s="254"/>
      <c r="I285" s="254"/>
      <c r="J285" s="254"/>
      <c r="K285" s="254"/>
      <c r="L285" s="254"/>
      <c r="M285" s="254"/>
      <c r="N285" s="254"/>
      <c r="O285" s="254"/>
      <c r="P285" s="254"/>
      <c r="Q285" s="254"/>
      <c r="R285" s="254"/>
      <c r="S285" s="254"/>
      <c r="T285" s="254"/>
      <c r="U285" s="254"/>
      <c r="V285" s="254"/>
      <c r="W285" s="254"/>
      <c r="X285" s="254"/>
      <c r="Y285" s="254"/>
      <c r="Z285" s="254"/>
      <c r="AA285" s="254"/>
      <c r="AB285" s="254"/>
      <c r="AC285" s="254"/>
    </row>
    <row r="286" ht="12.75" customHeight="1" spans="1:29">
      <c r="A286" s="254"/>
      <c r="B286" s="254"/>
      <c r="C286" s="254"/>
      <c r="D286" s="276"/>
      <c r="E286" s="254"/>
      <c r="F286" s="254"/>
      <c r="G286" s="254"/>
      <c r="H286" s="254"/>
      <c r="I286" s="254"/>
      <c r="J286" s="254"/>
      <c r="K286" s="254"/>
      <c r="L286" s="254"/>
      <c r="M286" s="254"/>
      <c r="N286" s="254"/>
      <c r="O286" s="254"/>
      <c r="P286" s="254"/>
      <c r="Q286" s="254"/>
      <c r="R286" s="254"/>
      <c r="S286" s="254"/>
      <c r="T286" s="254"/>
      <c r="U286" s="254"/>
      <c r="V286" s="254"/>
      <c r="W286" s="254"/>
      <c r="X286" s="254"/>
      <c r="Y286" s="254"/>
      <c r="Z286" s="254"/>
      <c r="AA286" s="254"/>
      <c r="AB286" s="254"/>
      <c r="AC286" s="254"/>
    </row>
    <row r="287" ht="12.75" customHeight="1" spans="1:29">
      <c r="A287" s="254"/>
      <c r="B287" s="254"/>
      <c r="C287" s="254"/>
      <c r="D287" s="276"/>
      <c r="E287" s="254"/>
      <c r="F287" s="254"/>
      <c r="G287" s="254"/>
      <c r="H287" s="254"/>
      <c r="I287" s="254"/>
      <c r="J287" s="254"/>
      <c r="K287" s="254"/>
      <c r="L287" s="254"/>
      <c r="M287" s="254"/>
      <c r="N287" s="254"/>
      <c r="O287" s="254"/>
      <c r="P287" s="254"/>
      <c r="Q287" s="254"/>
      <c r="R287" s="254"/>
      <c r="S287" s="254"/>
      <c r="T287" s="254"/>
      <c r="U287" s="254"/>
      <c r="V287" s="254"/>
      <c r="W287" s="254"/>
      <c r="X287" s="254"/>
      <c r="Y287" s="254"/>
      <c r="Z287" s="254"/>
      <c r="AA287" s="254"/>
      <c r="AB287" s="254"/>
      <c r="AC287" s="254"/>
    </row>
    <row r="288" ht="12.75" customHeight="1" spans="1:29">
      <c r="A288" s="254"/>
      <c r="B288" s="254"/>
      <c r="C288" s="254"/>
      <c r="D288" s="276"/>
      <c r="E288" s="254"/>
      <c r="F288" s="254"/>
      <c r="G288" s="254"/>
      <c r="H288" s="254"/>
      <c r="I288" s="254"/>
      <c r="J288" s="254"/>
      <c r="K288" s="254"/>
      <c r="L288" s="254"/>
      <c r="M288" s="254"/>
      <c r="N288" s="254"/>
      <c r="O288" s="254"/>
      <c r="P288" s="254"/>
      <c r="Q288" s="254"/>
      <c r="R288" s="254"/>
      <c r="S288" s="254"/>
      <c r="T288" s="254"/>
      <c r="U288" s="254"/>
      <c r="V288" s="254"/>
      <c r="W288" s="254"/>
      <c r="X288" s="254"/>
      <c r="Y288" s="254"/>
      <c r="Z288" s="254"/>
      <c r="AA288" s="254"/>
      <c r="AB288" s="254"/>
      <c r="AC288" s="254"/>
    </row>
    <row r="289" ht="12.75" customHeight="1" spans="1:29">
      <c r="A289" s="254"/>
      <c r="B289" s="254"/>
      <c r="C289" s="254"/>
      <c r="D289" s="276"/>
      <c r="E289" s="254"/>
      <c r="F289" s="254"/>
      <c r="G289" s="254"/>
      <c r="H289" s="254"/>
      <c r="I289" s="254"/>
      <c r="J289" s="254"/>
      <c r="K289" s="254"/>
      <c r="L289" s="254"/>
      <c r="M289" s="254"/>
      <c r="N289" s="254"/>
      <c r="O289" s="254"/>
      <c r="P289" s="254"/>
      <c r="Q289" s="254"/>
      <c r="R289" s="254"/>
      <c r="S289" s="254"/>
      <c r="T289" s="254"/>
      <c r="U289" s="254"/>
      <c r="V289" s="254"/>
      <c r="W289" s="254"/>
      <c r="X289" s="254"/>
      <c r="Y289" s="254"/>
      <c r="Z289" s="254"/>
      <c r="AA289" s="254"/>
      <c r="AB289" s="254"/>
      <c r="AC289" s="254"/>
    </row>
    <row r="290" ht="12.75" customHeight="1" spans="1:29">
      <c r="A290" s="254"/>
      <c r="B290" s="254"/>
      <c r="C290" s="254"/>
      <c r="D290" s="276"/>
      <c r="E290" s="254"/>
      <c r="F290" s="254"/>
      <c r="G290" s="254"/>
      <c r="H290" s="254"/>
      <c r="I290" s="254"/>
      <c r="J290" s="254"/>
      <c r="K290" s="254"/>
      <c r="L290" s="254"/>
      <c r="M290" s="254"/>
      <c r="N290" s="254"/>
      <c r="O290" s="254"/>
      <c r="P290" s="254"/>
      <c r="Q290" s="254"/>
      <c r="R290" s="254"/>
      <c r="S290" s="254"/>
      <c r="T290" s="254"/>
      <c r="U290" s="254"/>
      <c r="V290" s="254"/>
      <c r="W290" s="254"/>
      <c r="X290" s="254"/>
      <c r="Y290" s="254"/>
      <c r="Z290" s="254"/>
      <c r="AA290" s="254"/>
      <c r="AB290" s="254"/>
      <c r="AC290" s="254"/>
    </row>
    <row r="291" ht="12.75" customHeight="1" spans="1:29">
      <c r="A291" s="254"/>
      <c r="B291" s="254"/>
      <c r="C291" s="254"/>
      <c r="D291" s="276"/>
      <c r="E291" s="254"/>
      <c r="F291" s="254"/>
      <c r="G291" s="254"/>
      <c r="H291" s="254"/>
      <c r="I291" s="254"/>
      <c r="J291" s="254"/>
      <c r="K291" s="254"/>
      <c r="L291" s="254"/>
      <c r="M291" s="254"/>
      <c r="N291" s="254"/>
      <c r="O291" s="254"/>
      <c r="P291" s="254"/>
      <c r="Q291" s="254"/>
      <c r="R291" s="254"/>
      <c r="S291" s="254"/>
      <c r="T291" s="254"/>
      <c r="U291" s="254"/>
      <c r="V291" s="254"/>
      <c r="W291" s="254"/>
      <c r="X291" s="254"/>
      <c r="Y291" s="254"/>
      <c r="Z291" s="254"/>
      <c r="AA291" s="254"/>
      <c r="AB291" s="254"/>
      <c r="AC291" s="254"/>
    </row>
    <row r="292" ht="12.75" customHeight="1" spans="1:29">
      <c r="A292" s="254"/>
      <c r="B292" s="254"/>
      <c r="C292" s="254"/>
      <c r="D292" s="276"/>
      <c r="E292" s="254"/>
      <c r="F292" s="254"/>
      <c r="G292" s="254"/>
      <c r="H292" s="254"/>
      <c r="I292" s="254"/>
      <c r="J292" s="254"/>
      <c r="K292" s="254"/>
      <c r="L292" s="254"/>
      <c r="M292" s="254"/>
      <c r="N292" s="254"/>
      <c r="O292" s="254"/>
      <c r="P292" s="254"/>
      <c r="Q292" s="254"/>
      <c r="R292" s="254"/>
      <c r="S292" s="254"/>
      <c r="T292" s="254"/>
      <c r="U292" s="254"/>
      <c r="V292" s="254"/>
      <c r="W292" s="254"/>
      <c r="X292" s="254"/>
      <c r="Y292" s="254"/>
      <c r="Z292" s="254"/>
      <c r="AA292" s="254"/>
      <c r="AB292" s="254"/>
      <c r="AC292" s="254"/>
    </row>
    <row r="293" ht="12.75" customHeight="1" spans="1:29">
      <c r="A293" s="254"/>
      <c r="B293" s="254"/>
      <c r="C293" s="254"/>
      <c r="D293" s="276"/>
      <c r="E293" s="254"/>
      <c r="F293" s="254"/>
      <c r="G293" s="254"/>
      <c r="H293" s="254"/>
      <c r="I293" s="254"/>
      <c r="J293" s="254"/>
      <c r="K293" s="254"/>
      <c r="L293" s="254"/>
      <c r="M293" s="254"/>
      <c r="N293" s="254"/>
      <c r="O293" s="254"/>
      <c r="P293" s="254"/>
      <c r="Q293" s="254"/>
      <c r="R293" s="254"/>
      <c r="S293" s="254"/>
      <c r="T293" s="254"/>
      <c r="U293" s="254"/>
      <c r="V293" s="254"/>
      <c r="W293" s="254"/>
      <c r="X293" s="254"/>
      <c r="Y293" s="254"/>
      <c r="Z293" s="254"/>
      <c r="AA293" s="254"/>
      <c r="AB293" s="254"/>
      <c r="AC293" s="254"/>
    </row>
    <row r="294" ht="12.75" customHeight="1" spans="1:29">
      <c r="A294" s="254"/>
      <c r="B294" s="254"/>
      <c r="C294" s="254"/>
      <c r="D294" s="276"/>
      <c r="E294" s="254"/>
      <c r="F294" s="254"/>
      <c r="G294" s="254"/>
      <c r="H294" s="254"/>
      <c r="I294" s="254"/>
      <c r="J294" s="254"/>
      <c r="K294" s="254"/>
      <c r="L294" s="254"/>
      <c r="M294" s="254"/>
      <c r="N294" s="254"/>
      <c r="O294" s="254"/>
      <c r="P294" s="254"/>
      <c r="Q294" s="254"/>
      <c r="R294" s="254"/>
      <c r="S294" s="254"/>
      <c r="T294" s="254"/>
      <c r="U294" s="254"/>
      <c r="V294" s="254"/>
      <c r="W294" s="254"/>
      <c r="X294" s="254"/>
      <c r="Y294" s="254"/>
      <c r="Z294" s="254"/>
      <c r="AA294" s="254"/>
      <c r="AB294" s="254"/>
      <c r="AC294" s="254"/>
    </row>
    <row r="295" ht="12.75" customHeight="1" spans="1:29">
      <c r="A295" s="254"/>
      <c r="B295" s="254"/>
      <c r="C295" s="254"/>
      <c r="D295" s="276"/>
      <c r="E295" s="254"/>
      <c r="F295" s="254"/>
      <c r="G295" s="254"/>
      <c r="H295" s="254"/>
      <c r="I295" s="254"/>
      <c r="J295" s="254"/>
      <c r="K295" s="254"/>
      <c r="L295" s="254"/>
      <c r="M295" s="254"/>
      <c r="N295" s="254"/>
      <c r="O295" s="254"/>
      <c r="P295" s="254"/>
      <c r="Q295" s="254"/>
      <c r="R295" s="254"/>
      <c r="S295" s="254"/>
      <c r="T295" s="254"/>
      <c r="U295" s="254"/>
      <c r="V295" s="254"/>
      <c r="W295" s="254"/>
      <c r="X295" s="254"/>
      <c r="Y295" s="254"/>
      <c r="Z295" s="254"/>
      <c r="AA295" s="254"/>
      <c r="AB295" s="254"/>
      <c r="AC295" s="254"/>
    </row>
    <row r="296" ht="12.75" customHeight="1" spans="1:29">
      <c r="A296" s="254"/>
      <c r="B296" s="254"/>
      <c r="C296" s="254"/>
      <c r="D296" s="276"/>
      <c r="E296" s="254"/>
      <c r="F296" s="254"/>
      <c r="G296" s="254"/>
      <c r="H296" s="254"/>
      <c r="I296" s="254"/>
      <c r="J296" s="254"/>
      <c r="K296" s="254"/>
      <c r="L296" s="254"/>
      <c r="M296" s="254"/>
      <c r="N296" s="254"/>
      <c r="O296" s="254"/>
      <c r="P296" s="254"/>
      <c r="Q296" s="254"/>
      <c r="R296" s="254"/>
      <c r="S296" s="254"/>
      <c r="T296" s="254"/>
      <c r="U296" s="254"/>
      <c r="V296" s="254"/>
      <c r="W296" s="254"/>
      <c r="X296" s="254"/>
      <c r="Y296" s="254"/>
      <c r="Z296" s="254"/>
      <c r="AA296" s="254"/>
      <c r="AB296" s="254"/>
      <c r="AC296" s="254"/>
    </row>
    <row r="297" ht="12.75" customHeight="1" spans="1:29">
      <c r="A297" s="254"/>
      <c r="B297" s="254"/>
      <c r="C297" s="254"/>
      <c r="D297" s="276"/>
      <c r="E297" s="254"/>
      <c r="F297" s="254"/>
      <c r="G297" s="254"/>
      <c r="H297" s="254"/>
      <c r="I297" s="254"/>
      <c r="J297" s="254"/>
      <c r="K297" s="254"/>
      <c r="L297" s="254"/>
      <c r="M297" s="254"/>
      <c r="N297" s="254"/>
      <c r="O297" s="254"/>
      <c r="P297" s="254"/>
      <c r="Q297" s="254"/>
      <c r="R297" s="254"/>
      <c r="S297" s="254"/>
      <c r="T297" s="254"/>
      <c r="U297" s="254"/>
      <c r="V297" s="254"/>
      <c r="W297" s="254"/>
      <c r="X297" s="254"/>
      <c r="Y297" s="254"/>
      <c r="Z297" s="254"/>
      <c r="AA297" s="254"/>
      <c r="AB297" s="254"/>
      <c r="AC297" s="254"/>
    </row>
    <row r="298" ht="12.75" customHeight="1" spans="1:29">
      <c r="A298" s="254"/>
      <c r="B298" s="254"/>
      <c r="C298" s="254"/>
      <c r="D298" s="276"/>
      <c r="E298" s="254"/>
      <c r="F298" s="254"/>
      <c r="G298" s="254"/>
      <c r="H298" s="254"/>
      <c r="I298" s="254"/>
      <c r="J298" s="254"/>
      <c r="K298" s="254"/>
      <c r="L298" s="254"/>
      <c r="M298" s="254"/>
      <c r="N298" s="254"/>
      <c r="O298" s="254"/>
      <c r="P298" s="254"/>
      <c r="Q298" s="254"/>
      <c r="R298" s="254"/>
      <c r="S298" s="254"/>
      <c r="T298" s="254"/>
      <c r="U298" s="254"/>
      <c r="V298" s="254"/>
      <c r="W298" s="254"/>
      <c r="X298" s="254"/>
      <c r="Y298" s="254"/>
      <c r="Z298" s="254"/>
      <c r="AA298" s="254"/>
      <c r="AB298" s="254"/>
      <c r="AC298" s="254"/>
    </row>
    <row r="299" ht="12.75" customHeight="1" spans="1:29">
      <c r="A299" s="254"/>
      <c r="B299" s="254"/>
      <c r="C299" s="254"/>
      <c r="D299" s="276"/>
      <c r="E299" s="254"/>
      <c r="F299" s="254"/>
      <c r="G299" s="254"/>
      <c r="H299" s="254"/>
      <c r="I299" s="254"/>
      <c r="J299" s="254"/>
      <c r="K299" s="254"/>
      <c r="L299" s="254"/>
      <c r="M299" s="254"/>
      <c r="N299" s="254"/>
      <c r="O299" s="254"/>
      <c r="P299" s="254"/>
      <c r="Q299" s="254"/>
      <c r="R299" s="254"/>
      <c r="S299" s="254"/>
      <c r="T299" s="254"/>
      <c r="U299" s="254"/>
      <c r="V299" s="254"/>
      <c r="W299" s="254"/>
      <c r="X299" s="254"/>
      <c r="Y299" s="254"/>
      <c r="Z299" s="254"/>
      <c r="AA299" s="254"/>
      <c r="AB299" s="254"/>
      <c r="AC299" s="254"/>
    </row>
    <row r="300" ht="12.75" customHeight="1" spans="1:29">
      <c r="A300" s="254"/>
      <c r="B300" s="254"/>
      <c r="C300" s="254"/>
      <c r="D300" s="276"/>
      <c r="E300" s="254"/>
      <c r="F300" s="254"/>
      <c r="G300" s="254"/>
      <c r="H300" s="254"/>
      <c r="I300" s="254"/>
      <c r="J300" s="254"/>
      <c r="K300" s="254"/>
      <c r="L300" s="254"/>
      <c r="M300" s="254"/>
      <c r="N300" s="254"/>
      <c r="O300" s="254"/>
      <c r="P300" s="254"/>
      <c r="Q300" s="254"/>
      <c r="R300" s="254"/>
      <c r="S300" s="254"/>
      <c r="T300" s="254"/>
      <c r="U300" s="254"/>
      <c r="V300" s="254"/>
      <c r="W300" s="254"/>
      <c r="X300" s="254"/>
      <c r="Y300" s="254"/>
      <c r="Z300" s="254"/>
      <c r="AA300" s="254"/>
      <c r="AB300" s="254"/>
      <c r="AC300" s="254"/>
    </row>
    <row r="301" ht="12.75" customHeight="1" spans="1:29">
      <c r="A301" s="254"/>
      <c r="B301" s="254"/>
      <c r="C301" s="254"/>
      <c r="D301" s="276"/>
      <c r="E301" s="254"/>
      <c r="F301" s="254"/>
      <c r="G301" s="254"/>
      <c r="H301" s="254"/>
      <c r="I301" s="254"/>
      <c r="J301" s="254"/>
      <c r="K301" s="254"/>
      <c r="L301" s="254"/>
      <c r="M301" s="254"/>
      <c r="N301" s="254"/>
      <c r="O301" s="254"/>
      <c r="P301" s="254"/>
      <c r="Q301" s="254"/>
      <c r="R301" s="254"/>
      <c r="S301" s="254"/>
      <c r="T301" s="254"/>
      <c r="U301" s="254"/>
      <c r="V301" s="254"/>
      <c r="W301" s="254"/>
      <c r="X301" s="254"/>
      <c r="Y301" s="254"/>
      <c r="Z301" s="254"/>
      <c r="AA301" s="254"/>
      <c r="AB301" s="254"/>
      <c r="AC301" s="254"/>
    </row>
    <row r="302" ht="12.75" customHeight="1" spans="1:29">
      <c r="A302" s="254"/>
      <c r="B302" s="254"/>
      <c r="C302" s="254"/>
      <c r="D302" s="276"/>
      <c r="E302" s="254"/>
      <c r="F302" s="254"/>
      <c r="G302" s="254"/>
      <c r="H302" s="254"/>
      <c r="I302" s="254"/>
      <c r="J302" s="254"/>
      <c r="K302" s="254"/>
      <c r="L302" s="254"/>
      <c r="M302" s="254"/>
      <c r="N302" s="254"/>
      <c r="O302" s="254"/>
      <c r="P302" s="254"/>
      <c r="Q302" s="254"/>
      <c r="R302" s="254"/>
      <c r="S302" s="254"/>
      <c r="T302" s="254"/>
      <c r="U302" s="254"/>
      <c r="V302" s="254"/>
      <c r="W302" s="254"/>
      <c r="X302" s="254"/>
      <c r="Y302" s="254"/>
      <c r="Z302" s="254"/>
      <c r="AA302" s="254"/>
      <c r="AB302" s="254"/>
      <c r="AC302" s="254"/>
    </row>
    <row r="303" ht="12.75" customHeight="1" spans="1:29">
      <c r="A303" s="254"/>
      <c r="B303" s="254"/>
      <c r="C303" s="254"/>
      <c r="D303" s="276"/>
      <c r="E303" s="254"/>
      <c r="F303" s="254"/>
      <c r="G303" s="254"/>
      <c r="H303" s="254"/>
      <c r="I303" s="254"/>
      <c r="J303" s="254"/>
      <c r="K303" s="254"/>
      <c r="L303" s="254"/>
      <c r="M303" s="254"/>
      <c r="N303" s="254"/>
      <c r="O303" s="254"/>
      <c r="P303" s="254"/>
      <c r="Q303" s="254"/>
      <c r="R303" s="254"/>
      <c r="S303" s="254"/>
      <c r="T303" s="254"/>
      <c r="U303" s="254"/>
      <c r="V303" s="254"/>
      <c r="W303" s="254"/>
      <c r="X303" s="254"/>
      <c r="Y303" s="254"/>
      <c r="Z303" s="254"/>
      <c r="AA303" s="254"/>
      <c r="AB303" s="254"/>
      <c r="AC303" s="254"/>
    </row>
    <row r="304" ht="12.75" customHeight="1" spans="1:29">
      <c r="A304" s="254"/>
      <c r="B304" s="254"/>
      <c r="C304" s="254"/>
      <c r="D304" s="276"/>
      <c r="E304" s="254"/>
      <c r="F304" s="254"/>
      <c r="G304" s="254"/>
      <c r="H304" s="254"/>
      <c r="I304" s="254"/>
      <c r="J304" s="254"/>
      <c r="K304" s="254"/>
      <c r="L304" s="254"/>
      <c r="M304" s="254"/>
      <c r="N304" s="254"/>
      <c r="O304" s="254"/>
      <c r="P304" s="254"/>
      <c r="Q304" s="254"/>
      <c r="R304" s="254"/>
      <c r="S304" s="254"/>
      <c r="T304" s="254"/>
      <c r="U304" s="254"/>
      <c r="V304" s="254"/>
      <c r="W304" s="254"/>
      <c r="X304" s="254"/>
      <c r="Y304" s="254"/>
      <c r="Z304" s="254"/>
      <c r="AA304" s="254"/>
      <c r="AB304" s="254"/>
      <c r="AC304" s="254"/>
    </row>
    <row r="305" ht="12.75" customHeight="1" spans="1:29">
      <c r="A305" s="254"/>
      <c r="B305" s="254"/>
      <c r="C305" s="254"/>
      <c r="D305" s="276"/>
      <c r="E305" s="254"/>
      <c r="F305" s="254"/>
      <c r="G305" s="254"/>
      <c r="H305" s="254"/>
      <c r="I305" s="254"/>
      <c r="J305" s="254"/>
      <c r="K305" s="254"/>
      <c r="L305" s="254"/>
      <c r="M305" s="254"/>
      <c r="N305" s="254"/>
      <c r="O305" s="254"/>
      <c r="P305" s="254"/>
      <c r="Q305" s="254"/>
      <c r="R305" s="254"/>
      <c r="S305" s="254"/>
      <c r="T305" s="254"/>
      <c r="U305" s="254"/>
      <c r="V305" s="254"/>
      <c r="W305" s="254"/>
      <c r="X305" s="254"/>
      <c r="Y305" s="254"/>
      <c r="Z305" s="254"/>
      <c r="AA305" s="254"/>
      <c r="AB305" s="254"/>
      <c r="AC305" s="254"/>
    </row>
    <row r="306" ht="12.75" customHeight="1" spans="1:29">
      <c r="A306" s="254"/>
      <c r="B306" s="254"/>
      <c r="C306" s="254"/>
      <c r="D306" s="276"/>
      <c r="E306" s="254"/>
      <c r="F306" s="254"/>
      <c r="G306" s="254"/>
      <c r="H306" s="254"/>
      <c r="I306" s="254"/>
      <c r="J306" s="254"/>
      <c r="K306" s="254"/>
      <c r="L306" s="254"/>
      <c r="M306" s="254"/>
      <c r="N306" s="254"/>
      <c r="O306" s="254"/>
      <c r="P306" s="254"/>
      <c r="Q306" s="254"/>
      <c r="R306" s="254"/>
      <c r="S306" s="254"/>
      <c r="T306" s="254"/>
      <c r="U306" s="254"/>
      <c r="V306" s="254"/>
      <c r="W306" s="254"/>
      <c r="X306" s="254"/>
      <c r="Y306" s="254"/>
      <c r="Z306" s="254"/>
      <c r="AA306" s="254"/>
      <c r="AB306" s="254"/>
      <c r="AC306" s="254"/>
    </row>
    <row r="307" ht="12.75" customHeight="1" spans="1:29">
      <c r="A307" s="254"/>
      <c r="B307" s="254"/>
      <c r="C307" s="254"/>
      <c r="D307" s="276"/>
      <c r="E307" s="254"/>
      <c r="F307" s="254"/>
      <c r="G307" s="254"/>
      <c r="H307" s="254"/>
      <c r="I307" s="254"/>
      <c r="J307" s="254"/>
      <c r="K307" s="254"/>
      <c r="L307" s="254"/>
      <c r="M307" s="254"/>
      <c r="N307" s="254"/>
      <c r="O307" s="254"/>
      <c r="P307" s="254"/>
      <c r="Q307" s="254"/>
      <c r="R307" s="254"/>
      <c r="S307" s="254"/>
      <c r="T307" s="254"/>
      <c r="U307" s="254"/>
      <c r="V307" s="254"/>
      <c r="W307" s="254"/>
      <c r="X307" s="254"/>
      <c r="Y307" s="254"/>
      <c r="Z307" s="254"/>
      <c r="AA307" s="254"/>
      <c r="AB307" s="254"/>
      <c r="AC307" s="254"/>
    </row>
    <row r="308" ht="12.75" customHeight="1" spans="1:29">
      <c r="A308" s="254"/>
      <c r="B308" s="254"/>
      <c r="C308" s="254"/>
      <c r="D308" s="276"/>
      <c r="E308" s="254"/>
      <c r="F308" s="254"/>
      <c r="G308" s="254"/>
      <c r="H308" s="254"/>
      <c r="I308" s="254"/>
      <c r="J308" s="254"/>
      <c r="K308" s="254"/>
      <c r="L308" s="254"/>
      <c r="M308" s="254"/>
      <c r="N308" s="254"/>
      <c r="O308" s="254"/>
      <c r="P308" s="254"/>
      <c r="Q308" s="254"/>
      <c r="R308" s="254"/>
      <c r="S308" s="254"/>
      <c r="T308" s="254"/>
      <c r="U308" s="254"/>
      <c r="V308" s="254"/>
      <c r="W308" s="254"/>
      <c r="X308" s="254"/>
      <c r="Y308" s="254"/>
      <c r="Z308" s="254"/>
      <c r="AA308" s="254"/>
      <c r="AB308" s="254"/>
      <c r="AC308" s="254"/>
    </row>
    <row r="309" ht="12.75" customHeight="1" spans="1:29">
      <c r="A309" s="254"/>
      <c r="B309" s="254"/>
      <c r="C309" s="254"/>
      <c r="D309" s="276"/>
      <c r="E309" s="254"/>
      <c r="F309" s="254"/>
      <c r="G309" s="254"/>
      <c r="H309" s="254"/>
      <c r="I309" s="254"/>
      <c r="J309" s="254"/>
      <c r="K309" s="254"/>
      <c r="L309" s="254"/>
      <c r="M309" s="254"/>
      <c r="N309" s="254"/>
      <c r="O309" s="254"/>
      <c r="P309" s="254"/>
      <c r="Q309" s="254"/>
      <c r="R309" s="254"/>
      <c r="S309" s="254"/>
      <c r="T309" s="254"/>
      <c r="U309" s="254"/>
      <c r="V309" s="254"/>
      <c r="W309" s="254"/>
      <c r="X309" s="254"/>
      <c r="Y309" s="254"/>
      <c r="Z309" s="254"/>
      <c r="AA309" s="254"/>
      <c r="AB309" s="254"/>
      <c r="AC309" s="254"/>
    </row>
    <row r="310" ht="12.75" customHeight="1" spans="1:29">
      <c r="A310" s="254"/>
      <c r="B310" s="254"/>
      <c r="C310" s="254"/>
      <c r="D310" s="276"/>
      <c r="E310" s="254"/>
      <c r="F310" s="254"/>
      <c r="G310" s="254"/>
      <c r="H310" s="254"/>
      <c r="I310" s="254"/>
      <c r="J310" s="254"/>
      <c r="K310" s="254"/>
      <c r="L310" s="254"/>
      <c r="M310" s="254"/>
      <c r="N310" s="254"/>
      <c r="O310" s="254"/>
      <c r="P310" s="254"/>
      <c r="Q310" s="254"/>
      <c r="R310" s="254"/>
      <c r="S310" s="254"/>
      <c r="T310" s="254"/>
      <c r="U310" s="254"/>
      <c r="V310" s="254"/>
      <c r="W310" s="254"/>
      <c r="X310" s="254"/>
      <c r="Y310" s="254"/>
      <c r="Z310" s="254"/>
      <c r="AA310" s="254"/>
      <c r="AB310" s="254"/>
      <c r="AC310" s="254"/>
    </row>
    <row r="311" ht="12.75" customHeight="1" spans="1:29">
      <c r="A311" s="254"/>
      <c r="B311" s="254"/>
      <c r="C311" s="254"/>
      <c r="D311" s="276"/>
      <c r="E311" s="254"/>
      <c r="F311" s="254"/>
      <c r="G311" s="254"/>
      <c r="H311" s="254"/>
      <c r="I311" s="254"/>
      <c r="J311" s="254"/>
      <c r="K311" s="254"/>
      <c r="L311" s="254"/>
      <c r="M311" s="254"/>
      <c r="N311" s="254"/>
      <c r="O311" s="254"/>
      <c r="P311" s="254"/>
      <c r="Q311" s="254"/>
      <c r="R311" s="254"/>
      <c r="S311" s="254"/>
      <c r="T311" s="254"/>
      <c r="U311" s="254"/>
      <c r="V311" s="254"/>
      <c r="W311" s="254"/>
      <c r="X311" s="254"/>
      <c r="Y311" s="254"/>
      <c r="Z311" s="254"/>
      <c r="AA311" s="254"/>
      <c r="AB311" s="254"/>
      <c r="AC311" s="254"/>
    </row>
    <row r="312" ht="12.75" customHeight="1" spans="1:29">
      <c r="A312" s="254"/>
      <c r="B312" s="254"/>
      <c r="C312" s="254"/>
      <c r="D312" s="276"/>
      <c r="E312" s="254"/>
      <c r="F312" s="254"/>
      <c r="G312" s="254"/>
      <c r="H312" s="254"/>
      <c r="I312" s="254"/>
      <c r="J312" s="254"/>
      <c r="K312" s="254"/>
      <c r="L312" s="254"/>
      <c r="M312" s="254"/>
      <c r="N312" s="254"/>
      <c r="O312" s="254"/>
      <c r="P312" s="254"/>
      <c r="Q312" s="254"/>
      <c r="R312" s="254"/>
      <c r="S312" s="254"/>
      <c r="T312" s="254"/>
      <c r="U312" s="254"/>
      <c r="V312" s="254"/>
      <c r="W312" s="254"/>
      <c r="X312" s="254"/>
      <c r="Y312" s="254"/>
      <c r="Z312" s="254"/>
      <c r="AA312" s="254"/>
      <c r="AB312" s="254"/>
      <c r="AC312" s="254"/>
    </row>
    <row r="313" ht="12.75" customHeight="1" spans="1:29">
      <c r="A313" s="254"/>
      <c r="B313" s="254"/>
      <c r="C313" s="254"/>
      <c r="D313" s="276"/>
      <c r="E313" s="254"/>
      <c r="F313" s="254"/>
      <c r="G313" s="254"/>
      <c r="H313" s="254"/>
      <c r="I313" s="254"/>
      <c r="J313" s="254"/>
      <c r="K313" s="254"/>
      <c r="L313" s="254"/>
      <c r="M313" s="254"/>
      <c r="N313" s="254"/>
      <c r="O313" s="254"/>
      <c r="P313" s="254"/>
      <c r="Q313" s="254"/>
      <c r="R313" s="254"/>
      <c r="S313" s="254"/>
      <c r="T313" s="254"/>
      <c r="U313" s="254"/>
      <c r="V313" s="254"/>
      <c r="W313" s="254"/>
      <c r="X313" s="254"/>
      <c r="Y313" s="254"/>
      <c r="Z313" s="254"/>
      <c r="AA313" s="254"/>
      <c r="AB313" s="254"/>
      <c r="AC313" s="254"/>
    </row>
    <row r="314" ht="12.75" customHeight="1" spans="1:29">
      <c r="A314" s="254"/>
      <c r="B314" s="254"/>
      <c r="C314" s="254"/>
      <c r="D314" s="276"/>
      <c r="E314" s="254"/>
      <c r="F314" s="254"/>
      <c r="G314" s="254"/>
      <c r="H314" s="254"/>
      <c r="I314" s="254"/>
      <c r="J314" s="254"/>
      <c r="K314" s="254"/>
      <c r="L314" s="254"/>
      <c r="M314" s="254"/>
      <c r="N314" s="254"/>
      <c r="O314" s="254"/>
      <c r="P314" s="254"/>
      <c r="Q314" s="254"/>
      <c r="R314" s="254"/>
      <c r="S314" s="254"/>
      <c r="T314" s="254"/>
      <c r="U314" s="254"/>
      <c r="V314" s="254"/>
      <c r="W314" s="254"/>
      <c r="X314" s="254"/>
      <c r="Y314" s="254"/>
      <c r="Z314" s="254"/>
      <c r="AA314" s="254"/>
      <c r="AB314" s="254"/>
      <c r="AC314" s="254"/>
    </row>
    <row r="315" ht="12.75" customHeight="1" spans="1:29">
      <c r="A315" s="254"/>
      <c r="B315" s="254"/>
      <c r="C315" s="254"/>
      <c r="D315" s="276"/>
      <c r="E315" s="254"/>
      <c r="F315" s="254"/>
      <c r="G315" s="254"/>
      <c r="H315" s="254"/>
      <c r="I315" s="254"/>
      <c r="J315" s="254"/>
      <c r="K315" s="254"/>
      <c r="L315" s="254"/>
      <c r="M315" s="254"/>
      <c r="N315" s="254"/>
      <c r="O315" s="254"/>
      <c r="P315" s="254"/>
      <c r="Q315" s="254"/>
      <c r="R315" s="254"/>
      <c r="S315" s="254"/>
      <c r="T315" s="254"/>
      <c r="U315" s="254"/>
      <c r="V315" s="254"/>
      <c r="W315" s="254"/>
      <c r="X315" s="254"/>
      <c r="Y315" s="254"/>
      <c r="Z315" s="254"/>
      <c r="AA315" s="254"/>
      <c r="AB315" s="254"/>
      <c r="AC315" s="254"/>
    </row>
    <row r="316" ht="12.75" customHeight="1" spans="1:29">
      <c r="A316" s="254"/>
      <c r="B316" s="254"/>
      <c r="C316" s="254"/>
      <c r="D316" s="276"/>
      <c r="E316" s="254"/>
      <c r="F316" s="254"/>
      <c r="G316" s="254"/>
      <c r="H316" s="254"/>
      <c r="I316" s="254"/>
      <c r="J316" s="254"/>
      <c r="K316" s="254"/>
      <c r="L316" s="254"/>
      <c r="M316" s="254"/>
      <c r="N316" s="254"/>
      <c r="O316" s="254"/>
      <c r="P316" s="254"/>
      <c r="Q316" s="254"/>
      <c r="R316" s="254"/>
      <c r="S316" s="254"/>
      <c r="T316" s="254"/>
      <c r="U316" s="254"/>
      <c r="V316" s="254"/>
      <c r="W316" s="254"/>
      <c r="X316" s="254"/>
      <c r="Y316" s="254"/>
      <c r="Z316" s="254"/>
      <c r="AA316" s="254"/>
      <c r="AB316" s="254"/>
      <c r="AC316" s="254"/>
    </row>
    <row r="317" ht="12.75" customHeight="1" spans="1:29">
      <c r="A317" s="254"/>
      <c r="B317" s="254"/>
      <c r="C317" s="254"/>
      <c r="D317" s="276"/>
      <c r="E317" s="254"/>
      <c r="F317" s="254"/>
      <c r="G317" s="254"/>
      <c r="H317" s="254"/>
      <c r="I317" s="254"/>
      <c r="J317" s="254"/>
      <c r="K317" s="254"/>
      <c r="L317" s="254"/>
      <c r="M317" s="254"/>
      <c r="N317" s="254"/>
      <c r="O317" s="254"/>
      <c r="P317" s="254"/>
      <c r="Q317" s="254"/>
      <c r="R317" s="254"/>
      <c r="S317" s="254"/>
      <c r="T317" s="254"/>
      <c r="U317" s="254"/>
      <c r="V317" s="254"/>
      <c r="W317" s="254"/>
      <c r="X317" s="254"/>
      <c r="Y317" s="254"/>
      <c r="Z317" s="254"/>
      <c r="AA317" s="254"/>
      <c r="AB317" s="254"/>
      <c r="AC317" s="254"/>
    </row>
    <row r="318" ht="12.75" customHeight="1" spans="1:29">
      <c r="A318" s="254"/>
      <c r="B318" s="254"/>
      <c r="C318" s="254"/>
      <c r="D318" s="276"/>
      <c r="E318" s="254"/>
      <c r="F318" s="254"/>
      <c r="G318" s="254"/>
      <c r="H318" s="254"/>
      <c r="I318" s="254"/>
      <c r="J318" s="254"/>
      <c r="K318" s="254"/>
      <c r="L318" s="254"/>
      <c r="M318" s="254"/>
      <c r="N318" s="254"/>
      <c r="O318" s="254"/>
      <c r="P318" s="254"/>
      <c r="Q318" s="254"/>
      <c r="R318" s="254"/>
      <c r="S318" s="254"/>
      <c r="T318" s="254"/>
      <c r="U318" s="254"/>
      <c r="V318" s="254"/>
      <c r="W318" s="254"/>
      <c r="X318" s="254"/>
      <c r="Y318" s="254"/>
      <c r="Z318" s="254"/>
      <c r="AA318" s="254"/>
      <c r="AB318" s="254"/>
      <c r="AC318" s="254"/>
    </row>
    <row r="319" ht="12.75" customHeight="1" spans="1:29">
      <c r="A319" s="254"/>
      <c r="B319" s="254"/>
      <c r="C319" s="254"/>
      <c r="D319" s="276"/>
      <c r="E319" s="254"/>
      <c r="F319" s="254"/>
      <c r="G319" s="254"/>
      <c r="H319" s="254"/>
      <c r="I319" s="254"/>
      <c r="J319" s="254"/>
      <c r="K319" s="254"/>
      <c r="L319" s="254"/>
      <c r="M319" s="254"/>
      <c r="N319" s="254"/>
      <c r="O319" s="254"/>
      <c r="P319" s="254"/>
      <c r="Q319" s="254"/>
      <c r="R319" s="254"/>
      <c r="S319" s="254"/>
      <c r="T319" s="254"/>
      <c r="U319" s="254"/>
      <c r="V319" s="254"/>
      <c r="W319" s="254"/>
      <c r="X319" s="254"/>
      <c r="Y319" s="254"/>
      <c r="Z319" s="254"/>
      <c r="AA319" s="254"/>
      <c r="AB319" s="254"/>
      <c r="AC319" s="254"/>
    </row>
    <row r="320" ht="12.75" customHeight="1" spans="1:29">
      <c r="A320" s="254"/>
      <c r="B320" s="254"/>
      <c r="C320" s="254"/>
      <c r="D320" s="276"/>
      <c r="E320" s="254"/>
      <c r="F320" s="254"/>
      <c r="G320" s="254"/>
      <c r="H320" s="254"/>
      <c r="I320" s="254"/>
      <c r="J320" s="254"/>
      <c r="K320" s="254"/>
      <c r="L320" s="254"/>
      <c r="M320" s="254"/>
      <c r="N320" s="254"/>
      <c r="O320" s="254"/>
      <c r="P320" s="254"/>
      <c r="Q320" s="254"/>
      <c r="R320" s="254"/>
      <c r="S320" s="254"/>
      <c r="T320" s="254"/>
      <c r="U320" s="254"/>
      <c r="V320" s="254"/>
      <c r="W320" s="254"/>
      <c r="X320" s="254"/>
      <c r="Y320" s="254"/>
      <c r="Z320" s="254"/>
      <c r="AA320" s="254"/>
      <c r="AB320" s="254"/>
      <c r="AC320" s="254"/>
    </row>
    <row r="321" ht="12.75" customHeight="1" spans="1:29">
      <c r="A321" s="254"/>
      <c r="B321" s="254"/>
      <c r="C321" s="254"/>
      <c r="D321" s="276"/>
      <c r="E321" s="254"/>
      <c r="F321" s="254"/>
      <c r="G321" s="254"/>
      <c r="H321" s="254"/>
      <c r="I321" s="254"/>
      <c r="J321" s="254"/>
      <c r="K321" s="254"/>
      <c r="L321" s="254"/>
      <c r="M321" s="254"/>
      <c r="N321" s="254"/>
      <c r="O321" s="254"/>
      <c r="P321" s="254"/>
      <c r="Q321" s="254"/>
      <c r="R321" s="254"/>
      <c r="S321" s="254"/>
      <c r="T321" s="254"/>
      <c r="U321" s="254"/>
      <c r="V321" s="254"/>
      <c r="W321" s="254"/>
      <c r="X321" s="254"/>
      <c r="Y321" s="254"/>
      <c r="Z321" s="254"/>
      <c r="AA321" s="254"/>
      <c r="AB321" s="254"/>
      <c r="AC321" s="254"/>
    </row>
    <row r="322" ht="12.75" customHeight="1" spans="1:29">
      <c r="A322" s="254"/>
      <c r="B322" s="254"/>
      <c r="C322" s="254"/>
      <c r="D322" s="276"/>
      <c r="E322" s="254"/>
      <c r="F322" s="254"/>
      <c r="G322" s="254"/>
      <c r="H322" s="254"/>
      <c r="I322" s="254"/>
      <c r="J322" s="254"/>
      <c r="K322" s="254"/>
      <c r="L322" s="254"/>
      <c r="M322" s="254"/>
      <c r="N322" s="254"/>
      <c r="O322" s="254"/>
      <c r="P322" s="254"/>
      <c r="Q322" s="254"/>
      <c r="R322" s="254"/>
      <c r="S322" s="254"/>
      <c r="T322" s="254"/>
      <c r="U322" s="254"/>
      <c r="V322" s="254"/>
      <c r="W322" s="254"/>
      <c r="X322" s="254"/>
      <c r="Y322" s="254"/>
      <c r="Z322" s="254"/>
      <c r="AA322" s="254"/>
      <c r="AB322" s="254"/>
      <c r="AC322" s="254"/>
    </row>
    <row r="323" ht="12.75" customHeight="1" spans="1:29">
      <c r="A323" s="254"/>
      <c r="B323" s="254"/>
      <c r="C323" s="254"/>
      <c r="D323" s="276"/>
      <c r="E323" s="254"/>
      <c r="F323" s="254"/>
      <c r="G323" s="254"/>
      <c r="H323" s="254"/>
      <c r="I323" s="254"/>
      <c r="J323" s="254"/>
      <c r="K323" s="254"/>
      <c r="L323" s="254"/>
      <c r="M323" s="254"/>
      <c r="N323" s="254"/>
      <c r="O323" s="254"/>
      <c r="P323" s="254"/>
      <c r="Q323" s="254"/>
      <c r="R323" s="254"/>
      <c r="S323" s="254"/>
      <c r="T323" s="254"/>
      <c r="U323" s="254"/>
      <c r="V323" s="254"/>
      <c r="W323" s="254"/>
      <c r="X323" s="254"/>
      <c r="Y323" s="254"/>
      <c r="Z323" s="254"/>
      <c r="AA323" s="254"/>
      <c r="AB323" s="254"/>
      <c r="AC323" s="254"/>
    </row>
    <row r="324" ht="12.75" customHeight="1" spans="1:29">
      <c r="A324" s="254"/>
      <c r="B324" s="254"/>
      <c r="C324" s="254"/>
      <c r="D324" s="276"/>
      <c r="E324" s="254"/>
      <c r="F324" s="254"/>
      <c r="G324" s="254"/>
      <c r="H324" s="254"/>
      <c r="I324" s="254"/>
      <c r="J324" s="254"/>
      <c r="K324" s="254"/>
      <c r="L324" s="254"/>
      <c r="M324" s="254"/>
      <c r="N324" s="254"/>
      <c r="O324" s="254"/>
      <c r="P324" s="254"/>
      <c r="Q324" s="254"/>
      <c r="R324" s="254"/>
      <c r="S324" s="254"/>
      <c r="T324" s="254"/>
      <c r="U324" s="254"/>
      <c r="V324" s="254"/>
      <c r="W324" s="254"/>
      <c r="X324" s="254"/>
      <c r="Y324" s="254"/>
      <c r="Z324" s="254"/>
      <c r="AA324" s="254"/>
      <c r="AB324" s="254"/>
      <c r="AC324" s="254"/>
    </row>
    <row r="325" ht="12.75" customHeight="1" spans="1:29">
      <c r="A325" s="254"/>
      <c r="B325" s="254"/>
      <c r="C325" s="254"/>
      <c r="D325" s="276"/>
      <c r="E325" s="254"/>
      <c r="F325" s="254"/>
      <c r="G325" s="254"/>
      <c r="H325" s="254"/>
      <c r="I325" s="254"/>
      <c r="J325" s="254"/>
      <c r="K325" s="254"/>
      <c r="L325" s="254"/>
      <c r="M325" s="254"/>
      <c r="N325" s="254"/>
      <c r="O325" s="254"/>
      <c r="P325" s="254"/>
      <c r="Q325" s="254"/>
      <c r="R325" s="254"/>
      <c r="S325" s="254"/>
      <c r="T325" s="254"/>
      <c r="U325" s="254"/>
      <c r="V325" s="254"/>
      <c r="W325" s="254"/>
      <c r="X325" s="254"/>
      <c r="Y325" s="254"/>
      <c r="Z325" s="254"/>
      <c r="AA325" s="254"/>
      <c r="AB325" s="254"/>
      <c r="AC325" s="254"/>
    </row>
    <row r="326" ht="12.75" customHeight="1" spans="1:29">
      <c r="A326" s="254"/>
      <c r="B326" s="254"/>
      <c r="C326" s="254"/>
      <c r="D326" s="276"/>
      <c r="E326" s="254"/>
      <c r="F326" s="254"/>
      <c r="G326" s="254"/>
      <c r="H326" s="254"/>
      <c r="I326" s="254"/>
      <c r="J326" s="254"/>
      <c r="K326" s="254"/>
      <c r="L326" s="254"/>
      <c r="M326" s="254"/>
      <c r="N326" s="254"/>
      <c r="O326" s="254"/>
      <c r="P326" s="254"/>
      <c r="Q326" s="254"/>
      <c r="R326" s="254"/>
      <c r="S326" s="254"/>
      <c r="T326" s="254"/>
      <c r="U326" s="254"/>
      <c r="V326" s="254"/>
      <c r="W326" s="254"/>
      <c r="X326" s="254"/>
      <c r="Y326" s="254"/>
      <c r="Z326" s="254"/>
      <c r="AA326" s="254"/>
      <c r="AB326" s="254"/>
      <c r="AC326" s="254"/>
    </row>
    <row r="327" ht="12.75" customHeight="1" spans="1:29">
      <c r="A327" s="254"/>
      <c r="B327" s="254"/>
      <c r="C327" s="254"/>
      <c r="D327" s="276"/>
      <c r="E327" s="254"/>
      <c r="F327" s="254"/>
      <c r="G327" s="254"/>
      <c r="H327" s="254"/>
      <c r="I327" s="254"/>
      <c r="J327" s="254"/>
      <c r="K327" s="254"/>
      <c r="L327" s="254"/>
      <c r="M327" s="254"/>
      <c r="N327" s="254"/>
      <c r="O327" s="254"/>
      <c r="P327" s="254"/>
      <c r="Q327" s="254"/>
      <c r="R327" s="254"/>
      <c r="S327" s="254"/>
      <c r="T327" s="254"/>
      <c r="U327" s="254"/>
      <c r="V327" s="254"/>
      <c r="W327" s="254"/>
      <c r="X327" s="254"/>
      <c r="Y327" s="254"/>
      <c r="Z327" s="254"/>
      <c r="AA327" s="254"/>
      <c r="AB327" s="254"/>
      <c r="AC327" s="254"/>
    </row>
    <row r="328" ht="12.75" customHeight="1" spans="1:29">
      <c r="A328" s="254"/>
      <c r="B328" s="254"/>
      <c r="C328" s="254"/>
      <c r="D328" s="276"/>
      <c r="E328" s="254"/>
      <c r="F328" s="254"/>
      <c r="G328" s="254"/>
      <c r="H328" s="254"/>
      <c r="I328" s="254"/>
      <c r="J328" s="254"/>
      <c r="K328" s="254"/>
      <c r="L328" s="254"/>
      <c r="M328" s="254"/>
      <c r="N328" s="254"/>
      <c r="O328" s="254"/>
      <c r="P328" s="254"/>
      <c r="Q328" s="254"/>
      <c r="R328" s="254"/>
      <c r="S328" s="254"/>
      <c r="T328" s="254"/>
      <c r="U328" s="254"/>
      <c r="V328" s="254"/>
      <c r="W328" s="254"/>
      <c r="X328" s="254"/>
      <c r="Y328" s="254"/>
      <c r="Z328" s="254"/>
      <c r="AA328" s="254"/>
      <c r="AB328" s="254"/>
      <c r="AC328" s="254"/>
    </row>
    <row r="329" ht="12.75" customHeight="1" spans="1:29">
      <c r="A329" s="254"/>
      <c r="B329" s="254"/>
      <c r="C329" s="254"/>
      <c r="D329" s="276"/>
      <c r="E329" s="254"/>
      <c r="F329" s="254"/>
      <c r="G329" s="254"/>
      <c r="H329" s="254"/>
      <c r="I329" s="254"/>
      <c r="J329" s="254"/>
      <c r="K329" s="254"/>
      <c r="L329" s="254"/>
      <c r="M329" s="254"/>
      <c r="N329" s="254"/>
      <c r="O329" s="254"/>
      <c r="P329" s="254"/>
      <c r="Q329" s="254"/>
      <c r="R329" s="254"/>
      <c r="S329" s="254"/>
      <c r="T329" s="254"/>
      <c r="U329" s="254"/>
      <c r="V329" s="254"/>
      <c r="W329" s="254"/>
      <c r="X329" s="254"/>
      <c r="Y329" s="254"/>
      <c r="Z329" s="254"/>
      <c r="AA329" s="254"/>
      <c r="AB329" s="254"/>
      <c r="AC329" s="254"/>
    </row>
    <row r="330" ht="12.75" customHeight="1" spans="1:29">
      <c r="A330" s="254"/>
      <c r="B330" s="254"/>
      <c r="C330" s="254"/>
      <c r="D330" s="276"/>
      <c r="E330" s="254"/>
      <c r="F330" s="254"/>
      <c r="G330" s="254"/>
      <c r="H330" s="254"/>
      <c r="I330" s="254"/>
      <c r="J330" s="254"/>
      <c r="K330" s="254"/>
      <c r="L330" s="254"/>
      <c r="M330" s="254"/>
      <c r="N330" s="254"/>
      <c r="O330" s="254"/>
      <c r="P330" s="254"/>
      <c r="Q330" s="254"/>
      <c r="R330" s="254"/>
      <c r="S330" s="254"/>
      <c r="T330" s="254"/>
      <c r="U330" s="254"/>
      <c r="V330" s="254"/>
      <c r="W330" s="254"/>
      <c r="X330" s="254"/>
      <c r="Y330" s="254"/>
      <c r="Z330" s="254"/>
      <c r="AA330" s="254"/>
      <c r="AB330" s="254"/>
      <c r="AC330" s="254"/>
    </row>
    <row r="331" ht="12.75" customHeight="1" spans="1:29">
      <c r="A331" s="254"/>
      <c r="B331" s="254"/>
      <c r="C331" s="254"/>
      <c r="D331" s="276"/>
      <c r="E331" s="254"/>
      <c r="F331" s="254"/>
      <c r="G331" s="254"/>
      <c r="H331" s="254"/>
      <c r="I331" s="254"/>
      <c r="J331" s="254"/>
      <c r="K331" s="254"/>
      <c r="L331" s="254"/>
      <c r="M331" s="254"/>
      <c r="N331" s="254"/>
      <c r="O331" s="254"/>
      <c r="P331" s="254"/>
      <c r="Q331" s="254"/>
      <c r="R331" s="254"/>
      <c r="S331" s="254"/>
      <c r="T331" s="254"/>
      <c r="U331" s="254"/>
      <c r="V331" s="254"/>
      <c r="W331" s="254"/>
      <c r="X331" s="254"/>
      <c r="Y331" s="254"/>
      <c r="Z331" s="254"/>
      <c r="AA331" s="254"/>
      <c r="AB331" s="254"/>
      <c r="AC331" s="254"/>
    </row>
    <row r="332" ht="12.75" customHeight="1" spans="1:29">
      <c r="A332" s="254"/>
      <c r="B332" s="254"/>
      <c r="C332" s="254"/>
      <c r="D332" s="276"/>
      <c r="E332" s="254"/>
      <c r="F332" s="254"/>
      <c r="G332" s="254"/>
      <c r="H332" s="254"/>
      <c r="I332" s="254"/>
      <c r="J332" s="254"/>
      <c r="K332" s="254"/>
      <c r="L332" s="254"/>
      <c r="M332" s="254"/>
      <c r="N332" s="254"/>
      <c r="O332" s="254"/>
      <c r="P332" s="254"/>
      <c r="Q332" s="254"/>
      <c r="R332" s="254"/>
      <c r="S332" s="254"/>
      <c r="T332" s="254"/>
      <c r="U332" s="254"/>
      <c r="V332" s="254"/>
      <c r="W332" s="254"/>
      <c r="X332" s="254"/>
      <c r="Y332" s="254"/>
      <c r="Z332" s="254"/>
      <c r="AA332" s="254"/>
      <c r="AB332" s="254"/>
      <c r="AC332" s="254"/>
    </row>
    <row r="333" ht="12.75" customHeight="1" spans="1:29">
      <c r="A333" s="254"/>
      <c r="B333" s="254"/>
      <c r="C333" s="254"/>
      <c r="D333" s="276"/>
      <c r="E333" s="254"/>
      <c r="F333" s="254"/>
      <c r="G333" s="254"/>
      <c r="H333" s="254"/>
      <c r="I333" s="254"/>
      <c r="J333" s="254"/>
      <c r="K333" s="254"/>
      <c r="L333" s="254"/>
      <c r="M333" s="254"/>
      <c r="N333" s="254"/>
      <c r="O333" s="254"/>
      <c r="P333" s="254"/>
      <c r="Q333" s="254"/>
      <c r="R333" s="254"/>
      <c r="S333" s="254"/>
      <c r="T333" s="254"/>
      <c r="U333" s="254"/>
      <c r="V333" s="254"/>
      <c r="W333" s="254"/>
      <c r="X333" s="254"/>
      <c r="Y333" s="254"/>
      <c r="Z333" s="254"/>
      <c r="AA333" s="254"/>
      <c r="AB333" s="254"/>
      <c r="AC333" s="254"/>
    </row>
    <row r="334" ht="12.75" customHeight="1" spans="1:29">
      <c r="A334" s="254"/>
      <c r="B334" s="254"/>
      <c r="C334" s="254"/>
      <c r="D334" s="276"/>
      <c r="E334" s="254"/>
      <c r="F334" s="254"/>
      <c r="G334" s="254"/>
      <c r="H334" s="254"/>
      <c r="I334" s="254"/>
      <c r="J334" s="254"/>
      <c r="K334" s="254"/>
      <c r="L334" s="254"/>
      <c r="M334" s="254"/>
      <c r="N334" s="254"/>
      <c r="O334" s="254"/>
      <c r="P334" s="254"/>
      <c r="Q334" s="254"/>
      <c r="R334" s="254"/>
      <c r="S334" s="254"/>
      <c r="T334" s="254"/>
      <c r="U334" s="254"/>
      <c r="V334" s="254"/>
      <c r="W334" s="254"/>
      <c r="X334" s="254"/>
      <c r="Y334" s="254"/>
      <c r="Z334" s="254"/>
      <c r="AA334" s="254"/>
      <c r="AB334" s="254"/>
      <c r="AC334" s="254"/>
    </row>
    <row r="335" ht="12.75" customHeight="1" spans="1:29">
      <c r="A335" s="254"/>
      <c r="B335" s="254"/>
      <c r="C335" s="254"/>
      <c r="D335" s="276"/>
      <c r="E335" s="254"/>
      <c r="F335" s="254"/>
      <c r="G335" s="254"/>
      <c r="H335" s="254"/>
      <c r="I335" s="254"/>
      <c r="J335" s="254"/>
      <c r="K335" s="254"/>
      <c r="L335" s="254"/>
      <c r="M335" s="254"/>
      <c r="N335" s="254"/>
      <c r="O335" s="254"/>
      <c r="P335" s="254"/>
      <c r="Q335" s="254"/>
      <c r="R335" s="254"/>
      <c r="S335" s="254"/>
      <c r="T335" s="254"/>
      <c r="U335" s="254"/>
      <c r="V335" s="254"/>
      <c r="W335" s="254"/>
      <c r="X335" s="254"/>
      <c r="Y335" s="254"/>
      <c r="Z335" s="254"/>
      <c r="AA335" s="254"/>
      <c r="AB335" s="254"/>
      <c r="AC335" s="254"/>
    </row>
    <row r="336" ht="12.75" customHeight="1" spans="1:29">
      <c r="A336" s="254"/>
      <c r="B336" s="254"/>
      <c r="C336" s="254"/>
      <c r="D336" s="276"/>
      <c r="E336" s="254"/>
      <c r="F336" s="254"/>
      <c r="G336" s="254"/>
      <c r="H336" s="254"/>
      <c r="I336" s="254"/>
      <c r="J336" s="254"/>
      <c r="K336" s="254"/>
      <c r="L336" s="254"/>
      <c r="M336" s="254"/>
      <c r="N336" s="254"/>
      <c r="O336" s="254"/>
      <c r="P336" s="254"/>
      <c r="Q336" s="254"/>
      <c r="R336" s="254"/>
      <c r="S336" s="254"/>
      <c r="T336" s="254"/>
      <c r="U336" s="254"/>
      <c r="V336" s="254"/>
      <c r="W336" s="254"/>
      <c r="X336" s="254"/>
      <c r="Y336" s="254"/>
      <c r="Z336" s="254"/>
      <c r="AA336" s="254"/>
      <c r="AB336" s="254"/>
      <c r="AC336" s="254"/>
    </row>
    <row r="337" ht="12.75" customHeight="1" spans="1:29">
      <c r="A337" s="254"/>
      <c r="B337" s="254"/>
      <c r="C337" s="254"/>
      <c r="D337" s="276"/>
      <c r="E337" s="254"/>
      <c r="F337" s="254"/>
      <c r="G337" s="254"/>
      <c r="H337" s="254"/>
      <c r="I337" s="254"/>
      <c r="J337" s="254"/>
      <c r="K337" s="254"/>
      <c r="L337" s="254"/>
      <c r="M337" s="254"/>
      <c r="N337" s="254"/>
      <c r="O337" s="254"/>
      <c r="P337" s="254"/>
      <c r="Q337" s="254"/>
      <c r="R337" s="254"/>
      <c r="S337" s="254"/>
      <c r="T337" s="254"/>
      <c r="U337" s="254"/>
      <c r="V337" s="254"/>
      <c r="W337" s="254"/>
      <c r="X337" s="254"/>
      <c r="Y337" s="254"/>
      <c r="Z337" s="254"/>
      <c r="AA337" s="254"/>
      <c r="AB337" s="254"/>
      <c r="AC337" s="254"/>
    </row>
    <row r="338" ht="12.75" customHeight="1" spans="1:29">
      <c r="A338" s="254"/>
      <c r="B338" s="254"/>
      <c r="C338" s="254"/>
      <c r="D338" s="276"/>
      <c r="E338" s="254"/>
      <c r="F338" s="254"/>
      <c r="G338" s="254"/>
      <c r="H338" s="254"/>
      <c r="I338" s="254"/>
      <c r="J338" s="254"/>
      <c r="K338" s="254"/>
      <c r="L338" s="254"/>
      <c r="M338" s="254"/>
      <c r="N338" s="254"/>
      <c r="O338" s="254"/>
      <c r="P338" s="254"/>
      <c r="Q338" s="254"/>
      <c r="R338" s="254"/>
      <c r="S338" s="254"/>
      <c r="T338" s="254"/>
      <c r="U338" s="254"/>
      <c r="V338" s="254"/>
      <c r="W338" s="254"/>
      <c r="X338" s="254"/>
      <c r="Y338" s="254"/>
      <c r="Z338" s="254"/>
      <c r="AA338" s="254"/>
      <c r="AB338" s="254"/>
      <c r="AC338" s="254"/>
    </row>
    <row r="339" ht="12.75" customHeight="1" spans="1:29">
      <c r="A339" s="254"/>
      <c r="B339" s="254"/>
      <c r="C339" s="254"/>
      <c r="D339" s="276"/>
      <c r="E339" s="254"/>
      <c r="F339" s="254"/>
      <c r="G339" s="254"/>
      <c r="H339" s="254"/>
      <c r="I339" s="254"/>
      <c r="J339" s="254"/>
      <c r="K339" s="254"/>
      <c r="L339" s="254"/>
      <c r="M339" s="254"/>
      <c r="N339" s="254"/>
      <c r="O339" s="254"/>
      <c r="P339" s="254"/>
      <c r="Q339" s="254"/>
      <c r="R339" s="254"/>
      <c r="S339" s="254"/>
      <c r="T339" s="254"/>
      <c r="U339" s="254"/>
      <c r="V339" s="254"/>
      <c r="W339" s="254"/>
      <c r="X339" s="254"/>
      <c r="Y339" s="254"/>
      <c r="Z339" s="254"/>
      <c r="AA339" s="254"/>
      <c r="AB339" s="254"/>
      <c r="AC339" s="254"/>
    </row>
    <row r="340" ht="12.75" customHeight="1" spans="1:29">
      <c r="A340" s="254"/>
      <c r="B340" s="254"/>
      <c r="C340" s="254"/>
      <c r="D340" s="276"/>
      <c r="E340" s="254"/>
      <c r="F340" s="254"/>
      <c r="G340" s="254"/>
      <c r="H340" s="254"/>
      <c r="I340" s="254"/>
      <c r="J340" s="254"/>
      <c r="K340" s="254"/>
      <c r="L340" s="254"/>
      <c r="M340" s="254"/>
      <c r="N340" s="254"/>
      <c r="O340" s="254"/>
      <c r="P340" s="254"/>
      <c r="Q340" s="254"/>
      <c r="R340" s="254"/>
      <c r="S340" s="254"/>
      <c r="T340" s="254"/>
      <c r="U340" s="254"/>
      <c r="V340" s="254"/>
      <c r="W340" s="254"/>
      <c r="X340" s="254"/>
      <c r="Y340" s="254"/>
      <c r="Z340" s="254"/>
      <c r="AA340" s="254"/>
      <c r="AB340" s="254"/>
      <c r="AC340" s="254"/>
    </row>
    <row r="341" ht="12.75" customHeight="1" spans="1:29">
      <c r="A341" s="254"/>
      <c r="B341" s="254"/>
      <c r="C341" s="254"/>
      <c r="D341" s="276"/>
      <c r="E341" s="254"/>
      <c r="F341" s="254"/>
      <c r="G341" s="254"/>
      <c r="H341" s="254"/>
      <c r="I341" s="254"/>
      <c r="J341" s="254"/>
      <c r="K341" s="254"/>
      <c r="L341" s="254"/>
      <c r="M341" s="254"/>
      <c r="N341" s="254"/>
      <c r="O341" s="254"/>
      <c r="P341" s="254"/>
      <c r="Q341" s="254"/>
      <c r="R341" s="254"/>
      <c r="S341" s="254"/>
      <c r="T341" s="254"/>
      <c r="U341" s="254"/>
      <c r="V341" s="254"/>
      <c r="W341" s="254"/>
      <c r="X341" s="254"/>
      <c r="Y341" s="254"/>
      <c r="Z341" s="254"/>
      <c r="AA341" s="254"/>
      <c r="AB341" s="254"/>
      <c r="AC341" s="254"/>
    </row>
    <row r="342" ht="12.75" customHeight="1" spans="1:29">
      <c r="A342" s="254"/>
      <c r="B342" s="254"/>
      <c r="C342" s="254"/>
      <c r="D342" s="276"/>
      <c r="E342" s="254"/>
      <c r="F342" s="254"/>
      <c r="G342" s="254"/>
      <c r="H342" s="254"/>
      <c r="I342" s="254"/>
      <c r="J342" s="254"/>
      <c r="K342" s="254"/>
      <c r="L342" s="254"/>
      <c r="M342" s="254"/>
      <c r="N342" s="254"/>
      <c r="O342" s="254"/>
      <c r="P342" s="254"/>
      <c r="Q342" s="254"/>
      <c r="R342" s="254"/>
      <c r="S342" s="254"/>
      <c r="T342" s="254"/>
      <c r="U342" s="254"/>
      <c r="V342" s="254"/>
      <c r="W342" s="254"/>
      <c r="X342" s="254"/>
      <c r="Y342" s="254"/>
      <c r="Z342" s="254"/>
      <c r="AA342" s="254"/>
      <c r="AB342" s="254"/>
      <c r="AC342" s="254"/>
    </row>
    <row r="343" ht="12.75" customHeight="1" spans="1:29">
      <c r="A343" s="254"/>
      <c r="B343" s="254"/>
      <c r="C343" s="254"/>
      <c r="D343" s="276"/>
      <c r="E343" s="254"/>
      <c r="F343" s="254"/>
      <c r="G343" s="254"/>
      <c r="H343" s="254"/>
      <c r="I343" s="254"/>
      <c r="J343" s="254"/>
      <c r="K343" s="254"/>
      <c r="L343" s="254"/>
      <c r="M343" s="254"/>
      <c r="N343" s="254"/>
      <c r="O343" s="254"/>
      <c r="P343" s="254"/>
      <c r="Q343" s="254"/>
      <c r="R343" s="254"/>
      <c r="S343" s="254"/>
      <c r="T343" s="254"/>
      <c r="U343" s="254"/>
      <c r="V343" s="254"/>
      <c r="W343" s="254"/>
      <c r="X343" s="254"/>
      <c r="Y343" s="254"/>
      <c r="Z343" s="254"/>
      <c r="AA343" s="254"/>
      <c r="AB343" s="254"/>
      <c r="AC343" s="254"/>
    </row>
    <row r="344" ht="12.75" customHeight="1" spans="1:29">
      <c r="A344" s="254"/>
      <c r="B344" s="254"/>
      <c r="C344" s="254"/>
      <c r="D344" s="276"/>
      <c r="E344" s="254"/>
      <c r="F344" s="254"/>
      <c r="G344" s="254"/>
      <c r="H344" s="254"/>
      <c r="I344" s="254"/>
      <c r="J344" s="254"/>
      <c r="K344" s="254"/>
      <c r="L344" s="254"/>
      <c r="M344" s="254"/>
      <c r="N344" s="254"/>
      <c r="O344" s="254"/>
      <c r="P344" s="254"/>
      <c r="Q344" s="254"/>
      <c r="R344" s="254"/>
      <c r="S344" s="254"/>
      <c r="T344" s="254"/>
      <c r="U344" s="254"/>
      <c r="V344" s="254"/>
      <c r="W344" s="254"/>
      <c r="X344" s="254"/>
      <c r="Y344" s="254"/>
      <c r="Z344" s="254"/>
      <c r="AA344" s="254"/>
      <c r="AB344" s="254"/>
      <c r="AC344" s="254"/>
    </row>
    <row r="345" ht="12.75" customHeight="1" spans="1:29">
      <c r="A345" s="254"/>
      <c r="B345" s="254"/>
      <c r="C345" s="254"/>
      <c r="D345" s="276"/>
      <c r="E345" s="254"/>
      <c r="F345" s="254"/>
      <c r="G345" s="254"/>
      <c r="H345" s="254"/>
      <c r="I345" s="254"/>
      <c r="J345" s="254"/>
      <c r="K345" s="254"/>
      <c r="L345" s="254"/>
      <c r="M345" s="254"/>
      <c r="N345" s="254"/>
      <c r="O345" s="254"/>
      <c r="P345" s="254"/>
      <c r="Q345" s="254"/>
      <c r="R345" s="254"/>
      <c r="S345" s="254"/>
      <c r="T345" s="254"/>
      <c r="U345" s="254"/>
      <c r="V345" s="254"/>
      <c r="W345" s="254"/>
      <c r="X345" s="254"/>
      <c r="Y345" s="254"/>
      <c r="Z345" s="254"/>
      <c r="AA345" s="254"/>
      <c r="AB345" s="254"/>
      <c r="AC345" s="254"/>
    </row>
    <row r="346" ht="12.75" customHeight="1" spans="1:29">
      <c r="A346" s="254"/>
      <c r="B346" s="254"/>
      <c r="C346" s="254"/>
      <c r="D346" s="276"/>
      <c r="E346" s="254"/>
      <c r="F346" s="254"/>
      <c r="G346" s="254"/>
      <c r="H346" s="254"/>
      <c r="I346" s="254"/>
      <c r="J346" s="254"/>
      <c r="K346" s="254"/>
      <c r="L346" s="254"/>
      <c r="M346" s="254"/>
      <c r="N346" s="254"/>
      <c r="O346" s="254"/>
      <c r="P346" s="254"/>
      <c r="Q346" s="254"/>
      <c r="R346" s="254"/>
      <c r="S346" s="254"/>
      <c r="T346" s="254"/>
      <c r="U346" s="254"/>
      <c r="V346" s="254"/>
      <c r="W346" s="254"/>
      <c r="X346" s="254"/>
      <c r="Y346" s="254"/>
      <c r="Z346" s="254"/>
      <c r="AA346" s="254"/>
      <c r="AB346" s="254"/>
      <c r="AC346" s="254"/>
    </row>
    <row r="347" ht="12.75" customHeight="1" spans="1:29">
      <c r="A347" s="254"/>
      <c r="B347" s="254"/>
      <c r="C347" s="254"/>
      <c r="D347" s="276"/>
      <c r="E347" s="254"/>
      <c r="F347" s="254"/>
      <c r="G347" s="254"/>
      <c r="H347" s="254"/>
      <c r="I347" s="254"/>
      <c r="J347" s="254"/>
      <c r="K347" s="254"/>
      <c r="L347" s="254"/>
      <c r="M347" s="254"/>
      <c r="N347" s="254"/>
      <c r="O347" s="254"/>
      <c r="P347" s="254"/>
      <c r="Q347" s="254"/>
      <c r="R347" s="254"/>
      <c r="S347" s="254"/>
      <c r="T347" s="254"/>
      <c r="U347" s="254"/>
      <c r="V347" s="254"/>
      <c r="W347" s="254"/>
      <c r="X347" s="254"/>
      <c r="Y347" s="254"/>
      <c r="Z347" s="254"/>
      <c r="AA347" s="254"/>
      <c r="AB347" s="254"/>
      <c r="AC347" s="254"/>
    </row>
    <row r="348" ht="12.75" customHeight="1" spans="1:29">
      <c r="A348" s="254"/>
      <c r="B348" s="254"/>
      <c r="C348" s="254"/>
      <c r="D348" s="276"/>
      <c r="E348" s="254"/>
      <c r="F348" s="254"/>
      <c r="G348" s="254"/>
      <c r="H348" s="254"/>
      <c r="I348" s="254"/>
      <c r="J348" s="254"/>
      <c r="K348" s="254"/>
      <c r="L348" s="254"/>
      <c r="M348" s="254"/>
      <c r="N348" s="254"/>
      <c r="O348" s="254"/>
      <c r="P348" s="254"/>
      <c r="Q348" s="254"/>
      <c r="R348" s="254"/>
      <c r="S348" s="254"/>
      <c r="T348" s="254"/>
      <c r="U348" s="254"/>
      <c r="V348" s="254"/>
      <c r="W348" s="254"/>
      <c r="X348" s="254"/>
      <c r="Y348" s="254"/>
      <c r="Z348" s="254"/>
      <c r="AA348" s="254"/>
      <c r="AB348" s="254"/>
      <c r="AC348" s="254"/>
    </row>
    <row r="349" ht="12.75" customHeight="1" spans="1:29">
      <c r="A349" s="254"/>
      <c r="B349" s="254"/>
      <c r="C349" s="254"/>
      <c r="D349" s="276"/>
      <c r="E349" s="254"/>
      <c r="F349" s="254"/>
      <c r="G349" s="254"/>
      <c r="H349" s="254"/>
      <c r="I349" s="254"/>
      <c r="J349" s="254"/>
      <c r="K349" s="254"/>
      <c r="L349" s="254"/>
      <c r="M349" s="254"/>
      <c r="N349" s="254"/>
      <c r="O349" s="254"/>
      <c r="P349" s="254"/>
      <c r="Q349" s="254"/>
      <c r="R349" s="254"/>
      <c r="S349" s="254"/>
      <c r="T349" s="254"/>
      <c r="U349" s="254"/>
      <c r="V349" s="254"/>
      <c r="W349" s="254"/>
      <c r="X349" s="254"/>
      <c r="Y349" s="254"/>
      <c r="Z349" s="254"/>
      <c r="AA349" s="254"/>
      <c r="AB349" s="254"/>
      <c r="AC349" s="254"/>
    </row>
    <row r="350" ht="12.75" customHeight="1" spans="1:29">
      <c r="A350" s="254"/>
      <c r="B350" s="254"/>
      <c r="C350" s="254"/>
      <c r="D350" s="276"/>
      <c r="E350" s="254"/>
      <c r="F350" s="254"/>
      <c r="G350" s="254"/>
      <c r="H350" s="254"/>
      <c r="I350" s="254"/>
      <c r="J350" s="254"/>
      <c r="K350" s="254"/>
      <c r="L350" s="254"/>
      <c r="M350" s="254"/>
      <c r="N350" s="254"/>
      <c r="O350" s="254"/>
      <c r="P350" s="254"/>
      <c r="Q350" s="254"/>
      <c r="R350" s="254"/>
      <c r="S350" s="254"/>
      <c r="T350" s="254"/>
      <c r="U350" s="254"/>
      <c r="V350" s="254"/>
      <c r="W350" s="254"/>
      <c r="X350" s="254"/>
      <c r="Y350" s="254"/>
      <c r="Z350" s="254"/>
      <c r="AA350" s="254"/>
      <c r="AB350" s="254"/>
      <c r="AC350" s="254"/>
    </row>
    <row r="351" ht="12.75" customHeight="1" spans="1:29">
      <c r="A351" s="254"/>
      <c r="B351" s="254"/>
      <c r="C351" s="254"/>
      <c r="D351" s="276"/>
      <c r="E351" s="254"/>
      <c r="F351" s="254"/>
      <c r="G351" s="254"/>
      <c r="H351" s="254"/>
      <c r="I351" s="254"/>
      <c r="J351" s="254"/>
      <c r="K351" s="254"/>
      <c r="L351" s="254"/>
      <c r="M351" s="254"/>
      <c r="N351" s="254"/>
      <c r="O351" s="254"/>
      <c r="P351" s="254"/>
      <c r="Q351" s="254"/>
      <c r="R351" s="254"/>
      <c r="S351" s="254"/>
      <c r="T351" s="254"/>
      <c r="U351" s="254"/>
      <c r="V351" s="254"/>
      <c r="W351" s="254"/>
      <c r="X351" s="254"/>
      <c r="Y351" s="254"/>
      <c r="Z351" s="254"/>
      <c r="AA351" s="254"/>
      <c r="AB351" s="254"/>
      <c r="AC351" s="254"/>
    </row>
    <row r="352" ht="12.75" customHeight="1" spans="1:29">
      <c r="A352" s="254"/>
      <c r="B352" s="254"/>
      <c r="C352" s="254"/>
      <c r="D352" s="276"/>
      <c r="E352" s="254"/>
      <c r="F352" s="254"/>
      <c r="G352" s="254"/>
      <c r="H352" s="254"/>
      <c r="I352" s="254"/>
      <c r="J352" s="254"/>
      <c r="K352" s="254"/>
      <c r="L352" s="254"/>
      <c r="M352" s="254"/>
      <c r="N352" s="254"/>
      <c r="O352" s="254"/>
      <c r="P352" s="254"/>
      <c r="Q352" s="254"/>
      <c r="R352" s="254"/>
      <c r="S352" s="254"/>
      <c r="T352" s="254"/>
      <c r="U352" s="254"/>
      <c r="V352" s="254"/>
      <c r="W352" s="254"/>
      <c r="X352" s="254"/>
      <c r="Y352" s="254"/>
      <c r="Z352" s="254"/>
      <c r="AA352" s="254"/>
      <c r="AB352" s="254"/>
      <c r="AC352" s="254"/>
    </row>
    <row r="353" ht="12.75" customHeight="1" spans="1:29">
      <c r="A353" s="254"/>
      <c r="B353" s="254"/>
      <c r="C353" s="254"/>
      <c r="D353" s="276"/>
      <c r="E353" s="254"/>
      <c r="F353" s="254"/>
      <c r="G353" s="254"/>
      <c r="H353" s="254"/>
      <c r="I353" s="254"/>
      <c r="J353" s="254"/>
      <c r="K353" s="254"/>
      <c r="L353" s="254"/>
      <c r="M353" s="254"/>
      <c r="N353" s="254"/>
      <c r="O353" s="254"/>
      <c r="P353" s="254"/>
      <c r="Q353" s="254"/>
      <c r="R353" s="254"/>
      <c r="S353" s="254"/>
      <c r="T353" s="254"/>
      <c r="U353" s="254"/>
      <c r="V353" s="254"/>
      <c r="W353" s="254"/>
      <c r="X353" s="254"/>
      <c r="Y353" s="254"/>
      <c r="Z353" s="254"/>
      <c r="AA353" s="254"/>
      <c r="AB353" s="254"/>
      <c r="AC353" s="254"/>
    </row>
    <row r="354" ht="12.75" customHeight="1" spans="1:29">
      <c r="A354" s="254"/>
      <c r="B354" s="254"/>
      <c r="C354" s="254"/>
      <c r="D354" s="276"/>
      <c r="E354" s="254"/>
      <c r="F354" s="254"/>
      <c r="G354" s="254"/>
      <c r="H354" s="254"/>
      <c r="I354" s="254"/>
      <c r="J354" s="254"/>
      <c r="K354" s="254"/>
      <c r="L354" s="254"/>
      <c r="M354" s="254"/>
      <c r="N354" s="254"/>
      <c r="O354" s="254"/>
      <c r="P354" s="254"/>
      <c r="Q354" s="254"/>
      <c r="R354" s="254"/>
      <c r="S354" s="254"/>
      <c r="T354" s="254"/>
      <c r="U354" s="254"/>
      <c r="V354" s="254"/>
      <c r="W354" s="254"/>
      <c r="X354" s="254"/>
      <c r="Y354" s="254"/>
      <c r="Z354" s="254"/>
      <c r="AA354" s="254"/>
      <c r="AB354" s="254"/>
      <c r="AC354" s="254"/>
    </row>
    <row r="355" ht="12.75" customHeight="1" spans="1:29">
      <c r="A355" s="254"/>
      <c r="B355" s="254"/>
      <c r="C355" s="254"/>
      <c r="D355" s="276"/>
      <c r="E355" s="254"/>
      <c r="F355" s="254"/>
      <c r="G355" s="254"/>
      <c r="H355" s="254"/>
      <c r="I355" s="254"/>
      <c r="J355" s="254"/>
      <c r="K355" s="254"/>
      <c r="L355" s="254"/>
      <c r="M355" s="254"/>
      <c r="N355" s="254"/>
      <c r="O355" s="254"/>
      <c r="P355" s="254"/>
      <c r="Q355" s="254"/>
      <c r="R355" s="254"/>
      <c r="S355" s="254"/>
      <c r="T355" s="254"/>
      <c r="U355" s="254"/>
      <c r="V355" s="254"/>
      <c r="W355" s="254"/>
      <c r="X355" s="254"/>
      <c r="Y355" s="254"/>
      <c r="Z355" s="254"/>
      <c r="AA355" s="254"/>
      <c r="AB355" s="254"/>
      <c r="AC355" s="254"/>
    </row>
    <row r="356" ht="12.75" customHeight="1" spans="1:29">
      <c r="A356" s="254"/>
      <c r="B356" s="254"/>
      <c r="C356" s="254"/>
      <c r="D356" s="276"/>
      <c r="E356" s="254"/>
      <c r="F356" s="254"/>
      <c r="G356" s="254"/>
      <c r="H356" s="254"/>
      <c r="I356" s="254"/>
      <c r="J356" s="254"/>
      <c r="K356" s="254"/>
      <c r="L356" s="254"/>
      <c r="M356" s="254"/>
      <c r="N356" s="254"/>
      <c r="O356" s="254"/>
      <c r="P356" s="254"/>
      <c r="Q356" s="254"/>
      <c r="R356" s="254"/>
      <c r="S356" s="254"/>
      <c r="T356" s="254"/>
      <c r="U356" s="254"/>
      <c r="V356" s="254"/>
      <c r="W356" s="254"/>
      <c r="X356" s="254"/>
      <c r="Y356" s="254"/>
      <c r="Z356" s="254"/>
      <c r="AA356" s="254"/>
      <c r="AB356" s="254"/>
      <c r="AC356" s="254"/>
    </row>
    <row r="357" ht="12.75" customHeight="1" spans="1:29">
      <c r="A357" s="254"/>
      <c r="B357" s="254"/>
      <c r="C357" s="254"/>
      <c r="D357" s="276"/>
      <c r="E357" s="254"/>
      <c r="F357" s="254"/>
      <c r="G357" s="254"/>
      <c r="H357" s="254"/>
      <c r="I357" s="254"/>
      <c r="J357" s="254"/>
      <c r="K357" s="254"/>
      <c r="L357" s="254"/>
      <c r="M357" s="254"/>
      <c r="N357" s="254"/>
      <c r="O357" s="254"/>
      <c r="P357" s="254"/>
      <c r="Q357" s="254"/>
      <c r="R357" s="254"/>
      <c r="S357" s="254"/>
      <c r="T357" s="254"/>
      <c r="U357" s="254"/>
      <c r="V357" s="254"/>
      <c r="W357" s="254"/>
      <c r="X357" s="254"/>
      <c r="Y357" s="254"/>
      <c r="Z357" s="254"/>
      <c r="AA357" s="254"/>
      <c r="AB357" s="254"/>
      <c r="AC357" s="254"/>
    </row>
    <row r="358" ht="12.75" customHeight="1" spans="1:29">
      <c r="A358" s="254"/>
      <c r="B358" s="254"/>
      <c r="C358" s="254"/>
      <c r="D358" s="276"/>
      <c r="E358" s="254"/>
      <c r="F358" s="254"/>
      <c r="G358" s="254"/>
      <c r="H358" s="254"/>
      <c r="I358" s="254"/>
      <c r="J358" s="254"/>
      <c r="K358" s="254"/>
      <c r="L358" s="254"/>
      <c r="M358" s="254"/>
      <c r="N358" s="254"/>
      <c r="O358" s="254"/>
      <c r="P358" s="254"/>
      <c r="Q358" s="254"/>
      <c r="R358" s="254"/>
      <c r="S358" s="254"/>
      <c r="T358" s="254"/>
      <c r="U358" s="254"/>
      <c r="V358" s="254"/>
      <c r="W358" s="254"/>
      <c r="X358" s="254"/>
      <c r="Y358" s="254"/>
      <c r="Z358" s="254"/>
      <c r="AA358" s="254"/>
      <c r="AB358" s="254"/>
      <c r="AC358" s="254"/>
    </row>
    <row r="359" ht="12.75" customHeight="1" spans="1:29">
      <c r="A359" s="254"/>
      <c r="B359" s="254"/>
      <c r="C359" s="254"/>
      <c r="D359" s="276"/>
      <c r="E359" s="254"/>
      <c r="F359" s="254"/>
      <c r="G359" s="254"/>
      <c r="H359" s="254"/>
      <c r="I359" s="254"/>
      <c r="J359" s="254"/>
      <c r="K359" s="254"/>
      <c r="L359" s="254"/>
      <c r="M359" s="254"/>
      <c r="N359" s="254"/>
      <c r="O359" s="254"/>
      <c r="P359" s="254"/>
      <c r="Q359" s="254"/>
      <c r="R359" s="254"/>
      <c r="S359" s="254"/>
      <c r="T359" s="254"/>
      <c r="U359" s="254"/>
      <c r="V359" s="254"/>
      <c r="W359" s="254"/>
      <c r="X359" s="254"/>
      <c r="Y359" s="254"/>
      <c r="Z359" s="254"/>
      <c r="AA359" s="254"/>
      <c r="AB359" s="254"/>
      <c r="AC359" s="254"/>
    </row>
    <row r="360" ht="12.75" customHeight="1" spans="1:29">
      <c r="A360" s="254"/>
      <c r="B360" s="254"/>
      <c r="C360" s="254"/>
      <c r="D360" s="276"/>
      <c r="E360" s="254"/>
      <c r="F360" s="254"/>
      <c r="G360" s="254"/>
      <c r="H360" s="254"/>
      <c r="I360" s="254"/>
      <c r="J360" s="254"/>
      <c r="K360" s="254"/>
      <c r="L360" s="254"/>
      <c r="M360" s="254"/>
      <c r="N360" s="254"/>
      <c r="O360" s="254"/>
      <c r="P360" s="254"/>
      <c r="Q360" s="254"/>
      <c r="R360" s="254"/>
      <c r="S360" s="254"/>
      <c r="T360" s="254"/>
      <c r="U360" s="254"/>
      <c r="V360" s="254"/>
      <c r="W360" s="254"/>
      <c r="X360" s="254"/>
      <c r="Y360" s="254"/>
      <c r="Z360" s="254"/>
      <c r="AA360" s="254"/>
      <c r="AB360" s="254"/>
      <c r="AC360" s="254"/>
    </row>
    <row r="361" ht="12.75" customHeight="1" spans="1:29">
      <c r="A361" s="254"/>
      <c r="B361" s="254"/>
      <c r="C361" s="254"/>
      <c r="D361" s="276"/>
      <c r="E361" s="254"/>
      <c r="F361" s="254"/>
      <c r="G361" s="254"/>
      <c r="H361" s="254"/>
      <c r="I361" s="254"/>
      <c r="J361" s="254"/>
      <c r="K361" s="254"/>
      <c r="L361" s="254"/>
      <c r="M361" s="254"/>
      <c r="N361" s="254"/>
      <c r="O361" s="254"/>
      <c r="P361" s="254"/>
      <c r="Q361" s="254"/>
      <c r="R361" s="254"/>
      <c r="S361" s="254"/>
      <c r="T361" s="254"/>
      <c r="U361" s="254"/>
      <c r="V361" s="254"/>
      <c r="W361" s="254"/>
      <c r="X361" s="254"/>
      <c r="Y361" s="254"/>
      <c r="Z361" s="254"/>
      <c r="AA361" s="254"/>
      <c r="AB361" s="254"/>
      <c r="AC361" s="254"/>
    </row>
    <row r="362" ht="12.75" customHeight="1" spans="1:29">
      <c r="A362" s="254"/>
      <c r="B362" s="254"/>
      <c r="C362" s="254"/>
      <c r="D362" s="276"/>
      <c r="E362" s="254"/>
      <c r="F362" s="254"/>
      <c r="G362" s="254"/>
      <c r="H362" s="254"/>
      <c r="I362" s="254"/>
      <c r="J362" s="254"/>
      <c r="K362" s="254"/>
      <c r="L362" s="254"/>
      <c r="M362" s="254"/>
      <c r="N362" s="254"/>
      <c r="O362" s="254"/>
      <c r="P362" s="254"/>
      <c r="Q362" s="254"/>
      <c r="R362" s="254"/>
      <c r="S362" s="254"/>
      <c r="T362" s="254"/>
      <c r="U362" s="254"/>
      <c r="V362" s="254"/>
      <c r="W362" s="254"/>
      <c r="X362" s="254"/>
      <c r="Y362" s="254"/>
      <c r="Z362" s="254"/>
      <c r="AA362" s="254"/>
      <c r="AB362" s="254"/>
      <c r="AC362" s="254"/>
    </row>
    <row r="363" ht="12.75" customHeight="1" spans="1:29">
      <c r="A363" s="254"/>
      <c r="B363" s="254"/>
      <c r="C363" s="254"/>
      <c r="D363" s="276"/>
      <c r="E363" s="254"/>
      <c r="F363" s="254"/>
      <c r="G363" s="254"/>
      <c r="H363" s="254"/>
      <c r="I363" s="254"/>
      <c r="J363" s="254"/>
      <c r="K363" s="254"/>
      <c r="L363" s="254"/>
      <c r="M363" s="254"/>
      <c r="N363" s="254"/>
      <c r="O363" s="254"/>
      <c r="P363" s="254"/>
      <c r="Q363" s="254"/>
      <c r="R363" s="254"/>
      <c r="S363" s="254"/>
      <c r="T363" s="254"/>
      <c r="U363" s="254"/>
      <c r="V363" s="254"/>
      <c r="W363" s="254"/>
      <c r="X363" s="254"/>
      <c r="Y363" s="254"/>
      <c r="Z363" s="254"/>
      <c r="AA363" s="254"/>
      <c r="AB363" s="254"/>
      <c r="AC363" s="254"/>
    </row>
    <row r="364" ht="12.75" customHeight="1" spans="1:29">
      <c r="A364" s="254"/>
      <c r="B364" s="254"/>
      <c r="C364" s="254"/>
      <c r="D364" s="276"/>
      <c r="E364" s="254"/>
      <c r="F364" s="254"/>
      <c r="G364" s="254"/>
      <c r="H364" s="254"/>
      <c r="I364" s="254"/>
      <c r="J364" s="254"/>
      <c r="K364" s="254"/>
      <c r="L364" s="254"/>
      <c r="M364" s="254"/>
      <c r="N364" s="254"/>
      <c r="O364" s="254"/>
      <c r="P364" s="254"/>
      <c r="Q364" s="254"/>
      <c r="R364" s="254"/>
      <c r="S364" s="254"/>
      <c r="T364" s="254"/>
      <c r="U364" s="254"/>
      <c r="V364" s="254"/>
      <c r="W364" s="254"/>
      <c r="X364" s="254"/>
      <c r="Y364" s="254"/>
      <c r="Z364" s="254"/>
      <c r="AA364" s="254"/>
      <c r="AB364" s="254"/>
      <c r="AC364" s="254"/>
    </row>
    <row r="365" ht="12.75" customHeight="1" spans="1:29">
      <c r="A365" s="254"/>
      <c r="B365" s="254"/>
      <c r="C365" s="254"/>
      <c r="D365" s="276"/>
      <c r="E365" s="254"/>
      <c r="F365" s="254"/>
      <c r="G365" s="254"/>
      <c r="H365" s="254"/>
      <c r="I365" s="254"/>
      <c r="J365" s="254"/>
      <c r="K365" s="254"/>
      <c r="L365" s="254"/>
      <c r="M365" s="254"/>
      <c r="N365" s="254"/>
      <c r="O365" s="254"/>
      <c r="P365" s="254"/>
      <c r="Q365" s="254"/>
      <c r="R365" s="254"/>
      <c r="S365" s="254"/>
      <c r="T365" s="254"/>
      <c r="U365" s="254"/>
      <c r="V365" s="254"/>
      <c r="W365" s="254"/>
      <c r="X365" s="254"/>
      <c r="Y365" s="254"/>
      <c r="Z365" s="254"/>
      <c r="AA365" s="254"/>
      <c r="AB365" s="254"/>
      <c r="AC365" s="254"/>
    </row>
    <row r="366" ht="12.75" customHeight="1" spans="1:29">
      <c r="A366" s="254"/>
      <c r="B366" s="254"/>
      <c r="C366" s="254"/>
      <c r="D366" s="276"/>
      <c r="E366" s="254"/>
      <c r="F366" s="254"/>
      <c r="G366" s="254"/>
      <c r="H366" s="254"/>
      <c r="I366" s="254"/>
      <c r="J366" s="254"/>
      <c r="K366" s="254"/>
      <c r="L366" s="254"/>
      <c r="M366" s="254"/>
      <c r="N366" s="254"/>
      <c r="O366" s="254"/>
      <c r="P366" s="254"/>
      <c r="Q366" s="254"/>
      <c r="R366" s="254"/>
      <c r="S366" s="254"/>
      <c r="T366" s="254"/>
      <c r="U366" s="254"/>
      <c r="V366" s="254"/>
      <c r="W366" s="254"/>
      <c r="X366" s="254"/>
      <c r="Y366" s="254"/>
      <c r="Z366" s="254"/>
      <c r="AA366" s="254"/>
      <c r="AB366" s="254"/>
      <c r="AC366" s="254"/>
    </row>
    <row r="367" ht="12.75" customHeight="1" spans="1:29">
      <c r="A367" s="254"/>
      <c r="B367" s="254"/>
      <c r="C367" s="254"/>
      <c r="D367" s="276"/>
      <c r="E367" s="254"/>
      <c r="F367" s="254"/>
      <c r="G367" s="254"/>
      <c r="H367" s="254"/>
      <c r="I367" s="254"/>
      <c r="J367" s="254"/>
      <c r="K367" s="254"/>
      <c r="L367" s="254"/>
      <c r="M367" s="254"/>
      <c r="N367" s="254"/>
      <c r="O367" s="254"/>
      <c r="P367" s="254"/>
      <c r="Q367" s="254"/>
      <c r="R367" s="254"/>
      <c r="S367" s="254"/>
      <c r="T367" s="254"/>
      <c r="U367" s="254"/>
      <c r="V367" s="254"/>
      <c r="W367" s="254"/>
      <c r="X367" s="254"/>
      <c r="Y367" s="254"/>
      <c r="Z367" s="254"/>
      <c r="AA367" s="254"/>
      <c r="AB367" s="254"/>
      <c r="AC367" s="254"/>
    </row>
    <row r="368" ht="12.75" customHeight="1" spans="1:29">
      <c r="A368" s="254"/>
      <c r="B368" s="254"/>
      <c r="C368" s="254"/>
      <c r="D368" s="276"/>
      <c r="E368" s="254"/>
      <c r="F368" s="254"/>
      <c r="G368" s="254"/>
      <c r="H368" s="254"/>
      <c r="I368" s="254"/>
      <c r="J368" s="254"/>
      <c r="K368" s="254"/>
      <c r="L368" s="254"/>
      <c r="M368" s="254"/>
      <c r="N368" s="254"/>
      <c r="O368" s="254"/>
      <c r="P368" s="254"/>
      <c r="Q368" s="254"/>
      <c r="R368" s="254"/>
      <c r="S368" s="254"/>
      <c r="T368" s="254"/>
      <c r="U368" s="254"/>
      <c r="V368" s="254"/>
      <c r="W368" s="254"/>
      <c r="X368" s="254"/>
      <c r="Y368" s="254"/>
      <c r="Z368" s="254"/>
      <c r="AA368" s="254"/>
      <c r="AB368" s="254"/>
      <c r="AC368" s="254"/>
    </row>
    <row r="369" ht="12.75" customHeight="1" spans="1:29">
      <c r="A369" s="254"/>
      <c r="B369" s="254"/>
      <c r="C369" s="254"/>
      <c r="D369" s="276"/>
      <c r="E369" s="254"/>
      <c r="F369" s="254"/>
      <c r="G369" s="254"/>
      <c r="H369" s="254"/>
      <c r="I369" s="254"/>
      <c r="J369" s="254"/>
      <c r="K369" s="254"/>
      <c r="L369" s="254"/>
      <c r="M369" s="254"/>
      <c r="N369" s="254"/>
      <c r="O369" s="254"/>
      <c r="P369" s="254"/>
      <c r="Q369" s="254"/>
      <c r="R369" s="254"/>
      <c r="S369" s="254"/>
      <c r="T369" s="254"/>
      <c r="U369" s="254"/>
      <c r="V369" s="254"/>
      <c r="W369" s="254"/>
      <c r="X369" s="254"/>
      <c r="Y369" s="254"/>
      <c r="Z369" s="254"/>
      <c r="AA369" s="254"/>
      <c r="AB369" s="254"/>
      <c r="AC369" s="254"/>
    </row>
    <row r="370" ht="12.75" customHeight="1" spans="1:29">
      <c r="A370" s="254"/>
      <c r="B370" s="254"/>
      <c r="C370" s="254"/>
      <c r="D370" s="276"/>
      <c r="E370" s="254"/>
      <c r="F370" s="254"/>
      <c r="G370" s="254"/>
      <c r="H370" s="254"/>
      <c r="I370" s="254"/>
      <c r="J370" s="254"/>
      <c r="K370" s="254"/>
      <c r="L370" s="254"/>
      <c r="M370" s="254"/>
      <c r="N370" s="254"/>
      <c r="O370" s="254"/>
      <c r="P370" s="254"/>
      <c r="Q370" s="254"/>
      <c r="R370" s="254"/>
      <c r="S370" s="254"/>
      <c r="T370" s="254"/>
      <c r="U370" s="254"/>
      <c r="V370" s="254"/>
      <c r="W370" s="254"/>
      <c r="X370" s="254"/>
      <c r="Y370" s="254"/>
      <c r="Z370" s="254"/>
      <c r="AA370" s="254"/>
      <c r="AB370" s="254"/>
      <c r="AC370" s="254"/>
    </row>
    <row r="371" ht="12.75" customHeight="1" spans="1:29">
      <c r="A371" s="254"/>
      <c r="B371" s="254"/>
      <c r="C371" s="254"/>
      <c r="D371" s="276"/>
      <c r="E371" s="254"/>
      <c r="F371" s="254"/>
      <c r="G371" s="254"/>
      <c r="H371" s="254"/>
      <c r="I371" s="254"/>
      <c r="J371" s="254"/>
      <c r="K371" s="254"/>
      <c r="L371" s="254"/>
      <c r="M371" s="254"/>
      <c r="N371" s="254"/>
      <c r="O371" s="254"/>
      <c r="P371" s="254"/>
      <c r="Q371" s="254"/>
      <c r="R371" s="254"/>
      <c r="S371" s="254"/>
      <c r="T371" s="254"/>
      <c r="U371" s="254"/>
      <c r="V371" s="254"/>
      <c r="W371" s="254"/>
      <c r="X371" s="254"/>
      <c r="Y371" s="254"/>
      <c r="Z371" s="254"/>
      <c r="AA371" s="254"/>
      <c r="AB371" s="254"/>
      <c r="AC371" s="254"/>
    </row>
    <row r="372" ht="12.75" customHeight="1" spans="1:29">
      <c r="A372" s="254"/>
      <c r="B372" s="254"/>
      <c r="C372" s="254"/>
      <c r="D372" s="276"/>
      <c r="E372" s="254"/>
      <c r="F372" s="254"/>
      <c r="G372" s="254"/>
      <c r="H372" s="254"/>
      <c r="I372" s="254"/>
      <c r="J372" s="254"/>
      <c r="K372" s="254"/>
      <c r="L372" s="254"/>
      <c r="M372" s="254"/>
      <c r="N372" s="254"/>
      <c r="O372" s="254"/>
      <c r="P372" s="254"/>
      <c r="Q372" s="254"/>
      <c r="R372" s="254"/>
      <c r="S372" s="254"/>
      <c r="T372" s="254"/>
      <c r="U372" s="254"/>
      <c r="V372" s="254"/>
      <c r="W372" s="254"/>
      <c r="X372" s="254"/>
      <c r="Y372" s="254"/>
      <c r="Z372" s="254"/>
      <c r="AA372" s="254"/>
      <c r="AB372" s="254"/>
      <c r="AC372" s="254"/>
    </row>
    <row r="373" ht="12.75" customHeight="1" spans="1:29">
      <c r="A373" s="254"/>
      <c r="B373" s="254"/>
      <c r="C373" s="254"/>
      <c r="D373" s="276"/>
      <c r="E373" s="254"/>
      <c r="F373" s="254"/>
      <c r="G373" s="254"/>
      <c r="H373" s="254"/>
      <c r="I373" s="254"/>
      <c r="J373" s="254"/>
      <c r="K373" s="254"/>
      <c r="L373" s="254"/>
      <c r="M373" s="254"/>
      <c r="N373" s="254"/>
      <c r="O373" s="254"/>
      <c r="P373" s="254"/>
      <c r="Q373" s="254"/>
      <c r="R373" s="254"/>
      <c r="S373" s="254"/>
      <c r="T373" s="254"/>
      <c r="U373" s="254"/>
      <c r="V373" s="254"/>
      <c r="W373" s="254"/>
      <c r="X373" s="254"/>
      <c r="Y373" s="254"/>
      <c r="Z373" s="254"/>
      <c r="AA373" s="254"/>
      <c r="AB373" s="254"/>
      <c r="AC373" s="254"/>
    </row>
    <row r="374" ht="12.75" customHeight="1" spans="1:29">
      <c r="A374" s="254"/>
      <c r="B374" s="254"/>
      <c r="C374" s="254"/>
      <c r="D374" s="276"/>
      <c r="E374" s="254"/>
      <c r="F374" s="254"/>
      <c r="G374" s="254"/>
      <c r="H374" s="254"/>
      <c r="I374" s="254"/>
      <c r="J374" s="254"/>
      <c r="K374" s="254"/>
      <c r="L374" s="254"/>
      <c r="M374" s="254"/>
      <c r="N374" s="254"/>
      <c r="O374" s="254"/>
      <c r="P374" s="254"/>
      <c r="Q374" s="254"/>
      <c r="R374" s="254"/>
      <c r="S374" s="254"/>
      <c r="T374" s="254"/>
      <c r="U374" s="254"/>
      <c r="V374" s="254"/>
      <c r="W374" s="254"/>
      <c r="X374" s="254"/>
      <c r="Y374" s="254"/>
      <c r="Z374" s="254"/>
      <c r="AA374" s="254"/>
      <c r="AB374" s="254"/>
      <c r="AC374" s="254"/>
    </row>
    <row r="375" ht="12.75" customHeight="1" spans="1:29">
      <c r="A375" s="254"/>
      <c r="B375" s="254"/>
      <c r="C375" s="254"/>
      <c r="D375" s="276"/>
      <c r="E375" s="254"/>
      <c r="F375" s="254"/>
      <c r="G375" s="254"/>
      <c r="H375" s="254"/>
      <c r="I375" s="254"/>
      <c r="J375" s="254"/>
      <c r="K375" s="254"/>
      <c r="L375" s="254"/>
      <c r="M375" s="254"/>
      <c r="N375" s="254"/>
      <c r="O375" s="254"/>
      <c r="P375" s="254"/>
      <c r="Q375" s="254"/>
      <c r="R375" s="254"/>
      <c r="S375" s="254"/>
      <c r="T375" s="254"/>
      <c r="U375" s="254"/>
      <c r="V375" s="254"/>
      <c r="W375" s="254"/>
      <c r="X375" s="254"/>
      <c r="Y375" s="254"/>
      <c r="Z375" s="254"/>
      <c r="AA375" s="254"/>
      <c r="AB375" s="254"/>
      <c r="AC375" s="254"/>
    </row>
    <row r="376" ht="12.75" customHeight="1" spans="1:29">
      <c r="A376" s="254"/>
      <c r="B376" s="254"/>
      <c r="C376" s="254"/>
      <c r="D376" s="276"/>
      <c r="E376" s="254"/>
      <c r="F376" s="254"/>
      <c r="G376" s="254"/>
      <c r="H376" s="254"/>
      <c r="I376" s="254"/>
      <c r="J376" s="254"/>
      <c r="K376" s="254"/>
      <c r="L376" s="254"/>
      <c r="M376" s="254"/>
      <c r="N376" s="254"/>
      <c r="O376" s="254"/>
      <c r="P376" s="254"/>
      <c r="Q376" s="254"/>
      <c r="R376" s="254"/>
      <c r="S376" s="254"/>
      <c r="T376" s="254"/>
      <c r="U376" s="254"/>
      <c r="V376" s="254"/>
      <c r="W376" s="254"/>
      <c r="X376" s="254"/>
      <c r="Y376" s="254"/>
      <c r="Z376" s="254"/>
      <c r="AA376" s="254"/>
      <c r="AB376" s="254"/>
      <c r="AC376" s="254"/>
    </row>
    <row r="377" ht="12.75" customHeight="1" spans="1:29">
      <c r="A377" s="254"/>
      <c r="B377" s="254"/>
      <c r="C377" s="254"/>
      <c r="D377" s="276"/>
      <c r="E377" s="254"/>
      <c r="F377" s="254"/>
      <c r="G377" s="254"/>
      <c r="H377" s="254"/>
      <c r="I377" s="254"/>
      <c r="J377" s="254"/>
      <c r="K377" s="254"/>
      <c r="L377" s="254"/>
      <c r="M377" s="254"/>
      <c r="N377" s="254"/>
      <c r="O377" s="254"/>
      <c r="P377" s="254"/>
      <c r="Q377" s="254"/>
      <c r="R377" s="254"/>
      <c r="S377" s="254"/>
      <c r="T377" s="254"/>
      <c r="U377" s="254"/>
      <c r="V377" s="254"/>
      <c r="W377" s="254"/>
      <c r="X377" s="254"/>
      <c r="Y377" s="254"/>
      <c r="Z377" s="254"/>
      <c r="AA377" s="254"/>
      <c r="AB377" s="254"/>
      <c r="AC377" s="254"/>
    </row>
    <row r="378" ht="12.75" customHeight="1" spans="1:29">
      <c r="A378" s="254"/>
      <c r="B378" s="254"/>
      <c r="C378" s="254"/>
      <c r="D378" s="276"/>
      <c r="E378" s="254"/>
      <c r="F378" s="254"/>
      <c r="G378" s="254"/>
      <c r="H378" s="254"/>
      <c r="I378" s="254"/>
      <c r="J378" s="254"/>
      <c r="K378" s="254"/>
      <c r="L378" s="254"/>
      <c r="M378" s="254"/>
      <c r="N378" s="254"/>
      <c r="O378" s="254"/>
      <c r="P378" s="254"/>
      <c r="Q378" s="254"/>
      <c r="R378" s="254"/>
      <c r="S378" s="254"/>
      <c r="T378" s="254"/>
      <c r="U378" s="254"/>
      <c r="V378" s="254"/>
      <c r="W378" s="254"/>
      <c r="X378" s="254"/>
      <c r="Y378" s="254"/>
      <c r="Z378" s="254"/>
      <c r="AA378" s="254"/>
      <c r="AB378" s="254"/>
      <c r="AC378" s="254"/>
    </row>
    <row r="379" ht="12.75" customHeight="1" spans="1:29">
      <c r="A379" s="254"/>
      <c r="B379" s="254"/>
      <c r="C379" s="254"/>
      <c r="D379" s="276"/>
      <c r="E379" s="254"/>
      <c r="F379" s="254"/>
      <c r="G379" s="254"/>
      <c r="H379" s="254"/>
      <c r="I379" s="254"/>
      <c r="J379" s="254"/>
      <c r="K379" s="254"/>
      <c r="L379" s="254"/>
      <c r="M379" s="254"/>
      <c r="N379" s="254"/>
      <c r="O379" s="254"/>
      <c r="P379" s="254"/>
      <c r="Q379" s="254"/>
      <c r="R379" s="254"/>
      <c r="S379" s="254"/>
      <c r="T379" s="254"/>
      <c r="U379" s="254"/>
      <c r="V379" s="254"/>
      <c r="W379" s="254"/>
      <c r="X379" s="254"/>
      <c r="Y379" s="254"/>
      <c r="Z379" s="254"/>
      <c r="AA379" s="254"/>
      <c r="AB379" s="254"/>
      <c r="AC379" s="254"/>
    </row>
    <row r="380" ht="12.75" customHeight="1" spans="1:29">
      <c r="A380" s="254"/>
      <c r="B380" s="254"/>
      <c r="C380" s="254"/>
      <c r="D380" s="276"/>
      <c r="E380" s="254"/>
      <c r="F380" s="254"/>
      <c r="G380" s="254"/>
      <c r="H380" s="254"/>
      <c r="I380" s="254"/>
      <c r="J380" s="254"/>
      <c r="K380" s="254"/>
      <c r="L380" s="254"/>
      <c r="M380" s="254"/>
      <c r="N380" s="254"/>
      <c r="O380" s="254"/>
      <c r="P380" s="254"/>
      <c r="Q380" s="254"/>
      <c r="R380" s="254"/>
      <c r="S380" s="254"/>
      <c r="T380" s="254"/>
      <c r="U380" s="254"/>
      <c r="V380" s="254"/>
      <c r="W380" s="254"/>
      <c r="X380" s="254"/>
      <c r="Y380" s="254"/>
      <c r="Z380" s="254"/>
      <c r="AA380" s="254"/>
      <c r="AB380" s="254"/>
      <c r="AC380" s="254"/>
    </row>
    <row r="381" ht="12.75" customHeight="1" spans="1:29">
      <c r="A381" s="254"/>
      <c r="B381" s="254"/>
      <c r="C381" s="254"/>
      <c r="D381" s="276"/>
      <c r="E381" s="254"/>
      <c r="F381" s="254"/>
      <c r="G381" s="254"/>
      <c r="H381" s="254"/>
      <c r="I381" s="254"/>
      <c r="J381" s="254"/>
      <c r="K381" s="254"/>
      <c r="L381" s="254"/>
      <c r="M381" s="254"/>
      <c r="N381" s="254"/>
      <c r="O381" s="254"/>
      <c r="P381" s="254"/>
      <c r="Q381" s="254"/>
      <c r="R381" s="254"/>
      <c r="S381" s="254"/>
      <c r="T381" s="254"/>
      <c r="U381" s="254"/>
      <c r="V381" s="254"/>
      <c r="W381" s="254"/>
      <c r="X381" s="254"/>
      <c r="Y381" s="254"/>
      <c r="Z381" s="254"/>
      <c r="AA381" s="254"/>
      <c r="AB381" s="254"/>
      <c r="AC381" s="254"/>
    </row>
    <row r="382" ht="12.75" customHeight="1" spans="1:29">
      <c r="A382" s="254"/>
      <c r="B382" s="254"/>
      <c r="C382" s="254"/>
      <c r="D382" s="276"/>
      <c r="E382" s="254"/>
      <c r="F382" s="254"/>
      <c r="G382" s="254"/>
      <c r="H382" s="254"/>
      <c r="I382" s="254"/>
      <c r="J382" s="254"/>
      <c r="K382" s="254"/>
      <c r="L382" s="254"/>
      <c r="M382" s="254"/>
      <c r="N382" s="254"/>
      <c r="O382" s="254"/>
      <c r="P382" s="254"/>
      <c r="Q382" s="254"/>
      <c r="R382" s="254"/>
      <c r="S382" s="254"/>
      <c r="T382" s="254"/>
      <c r="U382" s="254"/>
      <c r="V382" s="254"/>
      <c r="W382" s="254"/>
      <c r="X382" s="254"/>
      <c r="Y382" s="254"/>
      <c r="Z382" s="254"/>
      <c r="AA382" s="254"/>
      <c r="AB382" s="254"/>
      <c r="AC382" s="254"/>
    </row>
    <row r="383" ht="12.75" customHeight="1" spans="1:29">
      <c r="A383" s="254"/>
      <c r="B383" s="254"/>
      <c r="C383" s="254"/>
      <c r="D383" s="276"/>
      <c r="E383" s="254"/>
      <c r="F383" s="254"/>
      <c r="G383" s="254"/>
      <c r="H383" s="254"/>
      <c r="I383" s="254"/>
      <c r="J383" s="254"/>
      <c r="K383" s="254"/>
      <c r="L383" s="254"/>
      <c r="M383" s="254"/>
      <c r="N383" s="254"/>
      <c r="O383" s="254"/>
      <c r="P383" s="254"/>
      <c r="Q383" s="254"/>
      <c r="R383" s="254"/>
      <c r="S383" s="254"/>
      <c r="T383" s="254"/>
      <c r="U383" s="254"/>
      <c r="V383" s="254"/>
      <c r="W383" s="254"/>
      <c r="X383" s="254"/>
      <c r="Y383" s="254"/>
      <c r="Z383" s="254"/>
      <c r="AA383" s="254"/>
      <c r="AB383" s="254"/>
      <c r="AC383" s="254"/>
    </row>
    <row r="384" ht="12.75" customHeight="1" spans="1:29">
      <c r="A384" s="254"/>
      <c r="B384" s="254"/>
      <c r="C384" s="254"/>
      <c r="D384" s="276"/>
      <c r="E384" s="254"/>
      <c r="F384" s="254"/>
      <c r="G384" s="254"/>
      <c r="H384" s="254"/>
      <c r="I384" s="254"/>
      <c r="J384" s="254"/>
      <c r="K384" s="254"/>
      <c r="L384" s="254"/>
      <c r="M384" s="254"/>
      <c r="N384" s="254"/>
      <c r="O384" s="254"/>
      <c r="P384" s="254"/>
      <c r="Q384" s="254"/>
      <c r="R384" s="254"/>
      <c r="S384" s="254"/>
      <c r="T384" s="254"/>
      <c r="U384" s="254"/>
      <c r="V384" s="254"/>
      <c r="W384" s="254"/>
      <c r="X384" s="254"/>
      <c r="Y384" s="254"/>
      <c r="Z384" s="254"/>
      <c r="AA384" s="254"/>
      <c r="AB384" s="254"/>
      <c r="AC384" s="254"/>
    </row>
    <row r="385" ht="12.75" customHeight="1" spans="1:29">
      <c r="A385" s="254"/>
      <c r="B385" s="254"/>
      <c r="C385" s="254"/>
      <c r="D385" s="276"/>
      <c r="E385" s="254"/>
      <c r="F385" s="254"/>
      <c r="G385" s="254"/>
      <c r="H385" s="254"/>
      <c r="I385" s="254"/>
      <c r="J385" s="254"/>
      <c r="K385" s="254"/>
      <c r="L385" s="254"/>
      <c r="M385" s="254"/>
      <c r="N385" s="254"/>
      <c r="O385" s="254"/>
      <c r="P385" s="254"/>
      <c r="Q385" s="254"/>
      <c r="R385" s="254"/>
      <c r="S385" s="254"/>
      <c r="T385" s="254"/>
      <c r="U385" s="254"/>
      <c r="V385" s="254"/>
      <c r="W385" s="254"/>
      <c r="X385" s="254"/>
      <c r="Y385" s="254"/>
      <c r="Z385" s="254"/>
      <c r="AA385" s="254"/>
      <c r="AB385" s="254"/>
      <c r="AC385" s="254"/>
    </row>
    <row r="386" ht="12.75" customHeight="1" spans="1:29">
      <c r="A386" s="254"/>
      <c r="B386" s="254"/>
      <c r="C386" s="254"/>
      <c r="D386" s="276"/>
      <c r="E386" s="254"/>
      <c r="F386" s="254"/>
      <c r="G386" s="254"/>
      <c r="H386" s="254"/>
      <c r="I386" s="254"/>
      <c r="J386" s="254"/>
      <c r="K386" s="254"/>
      <c r="L386" s="254"/>
      <c r="M386" s="254"/>
      <c r="N386" s="254"/>
      <c r="O386" s="254"/>
      <c r="P386" s="254"/>
      <c r="Q386" s="254"/>
      <c r="R386" s="254"/>
      <c r="S386" s="254"/>
      <c r="T386" s="254"/>
      <c r="U386" s="254"/>
      <c r="V386" s="254"/>
      <c r="W386" s="254"/>
      <c r="X386" s="254"/>
      <c r="Y386" s="254"/>
      <c r="Z386" s="254"/>
      <c r="AA386" s="254"/>
      <c r="AB386" s="254"/>
      <c r="AC386" s="254"/>
    </row>
    <row r="387" ht="12.75" customHeight="1" spans="1:29">
      <c r="A387" s="254"/>
      <c r="B387" s="254"/>
      <c r="C387" s="254"/>
      <c r="D387" s="276"/>
      <c r="E387" s="254"/>
      <c r="F387" s="254"/>
      <c r="G387" s="254"/>
      <c r="H387" s="254"/>
      <c r="I387" s="254"/>
      <c r="J387" s="254"/>
      <c r="K387" s="254"/>
      <c r="L387" s="254"/>
      <c r="M387" s="254"/>
      <c r="N387" s="254"/>
      <c r="O387" s="254"/>
      <c r="P387" s="254"/>
      <c r="Q387" s="254"/>
      <c r="R387" s="254"/>
      <c r="S387" s="254"/>
      <c r="T387" s="254"/>
      <c r="U387" s="254"/>
      <c r="V387" s="254"/>
      <c r="W387" s="254"/>
      <c r="X387" s="254"/>
      <c r="Y387" s="254"/>
      <c r="Z387" s="254"/>
      <c r="AA387" s="254"/>
      <c r="AB387" s="254"/>
      <c r="AC387" s="254"/>
    </row>
    <row r="388" ht="12.75" customHeight="1" spans="1:29">
      <c r="A388" s="254"/>
      <c r="B388" s="254"/>
      <c r="C388" s="254"/>
      <c r="D388" s="276"/>
      <c r="E388" s="254"/>
      <c r="F388" s="254"/>
      <c r="G388" s="254"/>
      <c r="H388" s="254"/>
      <c r="I388" s="254"/>
      <c r="J388" s="254"/>
      <c r="K388" s="254"/>
      <c r="L388" s="254"/>
      <c r="M388" s="254"/>
      <c r="N388" s="254"/>
      <c r="O388" s="254"/>
      <c r="P388" s="254"/>
      <c r="Q388" s="254"/>
      <c r="R388" s="254"/>
      <c r="S388" s="254"/>
      <c r="T388" s="254"/>
      <c r="U388" s="254"/>
      <c r="V388" s="254"/>
      <c r="W388" s="254"/>
      <c r="X388" s="254"/>
      <c r="Y388" s="254"/>
      <c r="Z388" s="254"/>
      <c r="AA388" s="254"/>
      <c r="AB388" s="254"/>
      <c r="AC388" s="254"/>
    </row>
    <row r="389" ht="12.75" customHeight="1" spans="1:29">
      <c r="A389" s="254"/>
      <c r="B389" s="254"/>
      <c r="C389" s="254"/>
      <c r="D389" s="276"/>
      <c r="E389" s="254"/>
      <c r="F389" s="254"/>
      <c r="G389" s="254"/>
      <c r="H389" s="254"/>
      <c r="I389" s="254"/>
      <c r="J389" s="254"/>
      <c r="K389" s="254"/>
      <c r="L389" s="254"/>
      <c r="M389" s="254"/>
      <c r="N389" s="254"/>
      <c r="O389" s="254"/>
      <c r="P389" s="254"/>
      <c r="Q389" s="254"/>
      <c r="R389" s="254"/>
      <c r="S389" s="254"/>
      <c r="T389" s="254"/>
      <c r="U389" s="254"/>
      <c r="V389" s="254"/>
      <c r="W389" s="254"/>
      <c r="X389" s="254"/>
      <c r="Y389" s="254"/>
      <c r="Z389" s="254"/>
      <c r="AA389" s="254"/>
      <c r="AB389" s="254"/>
      <c r="AC389" s="254"/>
    </row>
    <row r="390" ht="12.75" customHeight="1" spans="1:29">
      <c r="A390" s="254"/>
      <c r="B390" s="254"/>
      <c r="C390" s="254"/>
      <c r="D390" s="276"/>
      <c r="E390" s="254"/>
      <c r="F390" s="254"/>
      <c r="G390" s="254"/>
      <c r="H390" s="254"/>
      <c r="I390" s="254"/>
      <c r="J390" s="254"/>
      <c r="K390" s="254"/>
      <c r="L390" s="254"/>
      <c r="M390" s="254"/>
      <c r="N390" s="254"/>
      <c r="O390" s="254"/>
      <c r="P390" s="254"/>
      <c r="Q390" s="254"/>
      <c r="R390" s="254"/>
      <c r="S390" s="254"/>
      <c r="T390" s="254"/>
      <c r="U390" s="254"/>
      <c r="V390" s="254"/>
      <c r="W390" s="254"/>
      <c r="X390" s="254"/>
      <c r="Y390" s="254"/>
      <c r="Z390" s="254"/>
      <c r="AA390" s="254"/>
      <c r="AB390" s="254"/>
      <c r="AC390" s="254"/>
    </row>
    <row r="391" ht="12.75" customHeight="1" spans="1:29">
      <c r="A391" s="254"/>
      <c r="B391" s="254"/>
      <c r="C391" s="254"/>
      <c r="D391" s="276"/>
      <c r="E391" s="254"/>
      <c r="F391" s="254"/>
      <c r="G391" s="254"/>
      <c r="H391" s="254"/>
      <c r="I391" s="254"/>
      <c r="J391" s="254"/>
      <c r="K391" s="254"/>
      <c r="L391" s="254"/>
      <c r="M391" s="254"/>
      <c r="N391" s="254"/>
      <c r="O391" s="254"/>
      <c r="P391" s="254"/>
      <c r="Q391" s="254"/>
      <c r="R391" s="254"/>
      <c r="S391" s="254"/>
      <c r="T391" s="254"/>
      <c r="U391" s="254"/>
      <c r="V391" s="254"/>
      <c r="W391" s="254"/>
      <c r="X391" s="254"/>
      <c r="Y391" s="254"/>
      <c r="Z391" s="254"/>
      <c r="AA391" s="254"/>
      <c r="AB391" s="254"/>
      <c r="AC391" s="254"/>
    </row>
    <row r="392" ht="12.75" customHeight="1" spans="1:29">
      <c r="A392" s="254"/>
      <c r="B392" s="254"/>
      <c r="C392" s="254"/>
      <c r="D392" s="276"/>
      <c r="E392" s="254"/>
      <c r="F392" s="254"/>
      <c r="G392" s="254"/>
      <c r="H392" s="254"/>
      <c r="I392" s="254"/>
      <c r="J392" s="254"/>
      <c r="K392" s="254"/>
      <c r="L392" s="254"/>
      <c r="M392" s="254"/>
      <c r="N392" s="254"/>
      <c r="O392" s="254"/>
      <c r="P392" s="254"/>
      <c r="Q392" s="254"/>
      <c r="R392" s="254"/>
      <c r="S392" s="254"/>
      <c r="T392" s="254"/>
      <c r="U392" s="254"/>
      <c r="V392" s="254"/>
      <c r="W392" s="254"/>
      <c r="X392" s="254"/>
      <c r="Y392" s="254"/>
      <c r="Z392" s="254"/>
      <c r="AA392" s="254"/>
      <c r="AB392" s="254"/>
      <c r="AC392" s="254"/>
    </row>
    <row r="393" ht="12.75" customHeight="1" spans="1:29">
      <c r="A393" s="254"/>
      <c r="B393" s="254"/>
      <c r="C393" s="254"/>
      <c r="D393" s="276"/>
      <c r="E393" s="254"/>
      <c r="F393" s="254"/>
      <c r="G393" s="254"/>
      <c r="H393" s="254"/>
      <c r="I393" s="254"/>
      <c r="J393" s="254"/>
      <c r="K393" s="254"/>
      <c r="L393" s="254"/>
      <c r="M393" s="254"/>
      <c r="N393" s="254"/>
      <c r="O393" s="254"/>
      <c r="P393" s="254"/>
      <c r="Q393" s="254"/>
      <c r="R393" s="254"/>
      <c r="S393" s="254"/>
      <c r="T393" s="254"/>
      <c r="U393" s="254"/>
      <c r="V393" s="254"/>
      <c r="W393" s="254"/>
      <c r="X393" s="254"/>
      <c r="Y393" s="254"/>
      <c r="Z393" s="254"/>
      <c r="AA393" s="254"/>
      <c r="AB393" s="254"/>
      <c r="AC393" s="254"/>
    </row>
    <row r="394" ht="12.75" customHeight="1" spans="1:29">
      <c r="A394" s="254"/>
      <c r="B394" s="254"/>
      <c r="C394" s="254"/>
      <c r="D394" s="276"/>
      <c r="E394" s="254"/>
      <c r="F394" s="254"/>
      <c r="G394" s="254"/>
      <c r="H394" s="254"/>
      <c r="I394" s="254"/>
      <c r="J394" s="254"/>
      <c r="K394" s="254"/>
      <c r="L394" s="254"/>
      <c r="M394" s="254"/>
      <c r="N394" s="254"/>
      <c r="O394" s="254"/>
      <c r="P394" s="254"/>
      <c r="Q394" s="254"/>
      <c r="R394" s="254"/>
      <c r="S394" s="254"/>
      <c r="T394" s="254"/>
      <c r="U394" s="254"/>
      <c r="V394" s="254"/>
      <c r="W394" s="254"/>
      <c r="X394" s="254"/>
      <c r="Y394" s="254"/>
      <c r="Z394" s="254"/>
      <c r="AA394" s="254"/>
      <c r="AB394" s="254"/>
      <c r="AC394" s="254"/>
    </row>
    <row r="395" ht="12.75" customHeight="1" spans="1:29">
      <c r="A395" s="254"/>
      <c r="B395" s="254"/>
      <c r="C395" s="254"/>
      <c r="D395" s="276"/>
      <c r="E395" s="254"/>
      <c r="F395" s="254"/>
      <c r="G395" s="254"/>
      <c r="H395" s="254"/>
      <c r="I395" s="254"/>
      <c r="J395" s="254"/>
      <c r="K395" s="254"/>
      <c r="L395" s="254"/>
      <c r="M395" s="254"/>
      <c r="N395" s="254"/>
      <c r="O395" s="254"/>
      <c r="P395" s="254"/>
      <c r="Q395" s="254"/>
      <c r="R395" s="254"/>
      <c r="S395" s="254"/>
      <c r="T395" s="254"/>
      <c r="U395" s="254"/>
      <c r="V395" s="254"/>
      <c r="W395" s="254"/>
      <c r="X395" s="254"/>
      <c r="Y395" s="254"/>
      <c r="Z395" s="254"/>
      <c r="AA395" s="254"/>
      <c r="AB395" s="254"/>
      <c r="AC395" s="254"/>
    </row>
    <row r="396" ht="12.75" customHeight="1" spans="1:29">
      <c r="A396" s="254"/>
      <c r="B396" s="254"/>
      <c r="C396" s="254"/>
      <c r="D396" s="276"/>
      <c r="E396" s="254"/>
      <c r="F396" s="254"/>
      <c r="G396" s="254"/>
      <c r="H396" s="254"/>
      <c r="I396" s="254"/>
      <c r="J396" s="254"/>
      <c r="K396" s="254"/>
      <c r="L396" s="254"/>
      <c r="M396" s="254"/>
      <c r="N396" s="254"/>
      <c r="O396" s="254"/>
      <c r="P396" s="254"/>
      <c r="Q396" s="254"/>
      <c r="R396" s="254"/>
      <c r="S396" s="254"/>
      <c r="T396" s="254"/>
      <c r="U396" s="254"/>
      <c r="V396" s="254"/>
      <c r="W396" s="254"/>
      <c r="X396" s="254"/>
      <c r="Y396" s="254"/>
      <c r="Z396" s="254"/>
      <c r="AA396" s="254"/>
      <c r="AB396" s="254"/>
      <c r="AC396" s="254"/>
    </row>
    <row r="397" ht="12.75" customHeight="1" spans="1:29">
      <c r="A397" s="254"/>
      <c r="B397" s="254"/>
      <c r="C397" s="254"/>
      <c r="D397" s="276"/>
      <c r="E397" s="254"/>
      <c r="F397" s="254"/>
      <c r="G397" s="254"/>
      <c r="H397" s="254"/>
      <c r="I397" s="254"/>
      <c r="J397" s="254"/>
      <c r="K397" s="254"/>
      <c r="L397" s="254"/>
      <c r="M397" s="254"/>
      <c r="N397" s="254"/>
      <c r="O397" s="254"/>
      <c r="P397" s="254"/>
      <c r="Q397" s="254"/>
      <c r="R397" s="254"/>
      <c r="S397" s="254"/>
      <c r="T397" s="254"/>
      <c r="U397" s="254"/>
      <c r="V397" s="254"/>
      <c r="W397" s="254"/>
      <c r="X397" s="254"/>
      <c r="Y397" s="254"/>
      <c r="Z397" s="254"/>
      <c r="AA397" s="254"/>
      <c r="AB397" s="254"/>
      <c r="AC397" s="254"/>
    </row>
    <row r="398" ht="12.75" customHeight="1" spans="1:29">
      <c r="A398" s="254"/>
      <c r="B398" s="254"/>
      <c r="C398" s="254"/>
      <c r="D398" s="276"/>
      <c r="E398" s="254"/>
      <c r="F398" s="254"/>
      <c r="G398" s="254"/>
      <c r="H398" s="254"/>
      <c r="I398" s="254"/>
      <c r="J398" s="254"/>
      <c r="K398" s="254"/>
      <c r="L398" s="254"/>
      <c r="M398" s="254"/>
      <c r="N398" s="254"/>
      <c r="O398" s="254"/>
      <c r="P398" s="254"/>
      <c r="Q398" s="254"/>
      <c r="R398" s="254"/>
      <c r="S398" s="254"/>
      <c r="T398" s="254"/>
      <c r="U398" s="254"/>
      <c r="V398" s="254"/>
      <c r="W398" s="254"/>
      <c r="X398" s="254"/>
      <c r="Y398" s="254"/>
      <c r="Z398" s="254"/>
      <c r="AA398" s="254"/>
      <c r="AB398" s="254"/>
      <c r="AC398" s="254"/>
    </row>
    <row r="399" ht="12.75" customHeight="1" spans="1:29">
      <c r="A399" s="254"/>
      <c r="B399" s="254"/>
      <c r="C399" s="254"/>
      <c r="D399" s="276"/>
      <c r="E399" s="254"/>
      <c r="F399" s="254"/>
      <c r="G399" s="254"/>
      <c r="H399" s="254"/>
      <c r="I399" s="254"/>
      <c r="J399" s="254"/>
      <c r="K399" s="254"/>
      <c r="L399" s="254"/>
      <c r="M399" s="254"/>
      <c r="N399" s="254"/>
      <c r="O399" s="254"/>
      <c r="P399" s="254"/>
      <c r="Q399" s="254"/>
      <c r="R399" s="254"/>
      <c r="S399" s="254"/>
      <c r="T399" s="254"/>
      <c r="U399" s="254"/>
      <c r="V399" s="254"/>
      <c r="W399" s="254"/>
      <c r="X399" s="254"/>
      <c r="Y399" s="254"/>
      <c r="Z399" s="254"/>
      <c r="AA399" s="254"/>
      <c r="AB399" s="254"/>
      <c r="AC399" s="254"/>
    </row>
    <row r="400" ht="12.75" customHeight="1" spans="1:29">
      <c r="A400" s="254"/>
      <c r="B400" s="254"/>
      <c r="C400" s="254"/>
      <c r="D400" s="276"/>
      <c r="E400" s="254"/>
      <c r="F400" s="254"/>
      <c r="G400" s="254"/>
      <c r="H400" s="254"/>
      <c r="I400" s="254"/>
      <c r="J400" s="254"/>
      <c r="K400" s="254"/>
      <c r="L400" s="254"/>
      <c r="M400" s="254"/>
      <c r="N400" s="254"/>
      <c r="O400" s="254"/>
      <c r="P400" s="254"/>
      <c r="Q400" s="254"/>
      <c r="R400" s="254"/>
      <c r="S400" s="254"/>
      <c r="T400" s="254"/>
      <c r="U400" s="254"/>
      <c r="V400" s="254"/>
      <c r="W400" s="254"/>
      <c r="X400" s="254"/>
      <c r="Y400" s="254"/>
      <c r="Z400" s="254"/>
      <c r="AA400" s="254"/>
      <c r="AB400" s="254"/>
      <c r="AC400" s="254"/>
    </row>
    <row r="401" ht="12.75" customHeight="1" spans="1:29">
      <c r="A401" s="254"/>
      <c r="B401" s="254"/>
      <c r="C401" s="254"/>
      <c r="D401" s="276"/>
      <c r="E401" s="254"/>
      <c r="F401" s="254"/>
      <c r="G401" s="254"/>
      <c r="H401" s="254"/>
      <c r="I401" s="254"/>
      <c r="J401" s="254"/>
      <c r="K401" s="254"/>
      <c r="L401" s="254"/>
      <c r="M401" s="254"/>
      <c r="N401" s="254"/>
      <c r="O401" s="254"/>
      <c r="P401" s="254"/>
      <c r="Q401" s="254"/>
      <c r="R401" s="254"/>
      <c r="S401" s="254"/>
      <c r="T401" s="254"/>
      <c r="U401" s="254"/>
      <c r="V401" s="254"/>
      <c r="W401" s="254"/>
      <c r="X401" s="254"/>
      <c r="Y401" s="254"/>
      <c r="Z401" s="254"/>
      <c r="AA401" s="254"/>
      <c r="AB401" s="254"/>
      <c r="AC401" s="254"/>
    </row>
    <row r="402" ht="12.75" customHeight="1" spans="1:29">
      <c r="A402" s="254"/>
      <c r="B402" s="254"/>
      <c r="C402" s="254"/>
      <c r="D402" s="276"/>
      <c r="E402" s="254"/>
      <c r="F402" s="254"/>
      <c r="G402" s="254"/>
      <c r="H402" s="254"/>
      <c r="I402" s="254"/>
      <c r="J402" s="254"/>
      <c r="K402" s="254"/>
      <c r="L402" s="254"/>
      <c r="M402" s="254"/>
      <c r="N402" s="254"/>
      <c r="O402" s="254"/>
      <c r="P402" s="254"/>
      <c r="Q402" s="254"/>
      <c r="R402" s="254"/>
      <c r="S402" s="254"/>
      <c r="T402" s="254"/>
      <c r="U402" s="254"/>
      <c r="V402" s="254"/>
      <c r="W402" s="254"/>
      <c r="X402" s="254"/>
      <c r="Y402" s="254"/>
      <c r="Z402" s="254"/>
      <c r="AA402" s="254"/>
      <c r="AB402" s="254"/>
      <c r="AC402" s="254"/>
    </row>
    <row r="403" ht="12.75" customHeight="1" spans="1:29">
      <c r="A403" s="254"/>
      <c r="B403" s="254"/>
      <c r="C403" s="254"/>
      <c r="D403" s="276"/>
      <c r="E403" s="254"/>
      <c r="F403" s="254"/>
      <c r="G403" s="254"/>
      <c r="H403" s="254"/>
      <c r="I403" s="254"/>
      <c r="J403" s="254"/>
      <c r="K403" s="254"/>
      <c r="L403" s="254"/>
      <c r="M403" s="254"/>
      <c r="N403" s="254"/>
      <c r="O403" s="254"/>
      <c r="P403" s="254"/>
      <c r="Q403" s="254"/>
      <c r="R403" s="254"/>
      <c r="S403" s="254"/>
      <c r="T403" s="254"/>
      <c r="U403" s="254"/>
      <c r="V403" s="254"/>
      <c r="W403" s="254"/>
      <c r="X403" s="254"/>
      <c r="Y403" s="254"/>
      <c r="Z403" s="254"/>
      <c r="AA403" s="254"/>
      <c r="AB403" s="254"/>
      <c r="AC403" s="254"/>
    </row>
    <row r="404" ht="12.75" customHeight="1" spans="1:29">
      <c r="A404" s="254"/>
      <c r="B404" s="254"/>
      <c r="C404" s="254"/>
      <c r="D404" s="276"/>
      <c r="E404" s="254"/>
      <c r="F404" s="254"/>
      <c r="G404" s="254"/>
      <c r="H404" s="254"/>
      <c r="I404" s="254"/>
      <c r="J404" s="254"/>
      <c r="K404" s="254"/>
      <c r="L404" s="254"/>
      <c r="M404" s="254"/>
      <c r="N404" s="254"/>
      <c r="O404" s="254"/>
      <c r="P404" s="254"/>
      <c r="Q404" s="254"/>
      <c r="R404" s="254"/>
      <c r="S404" s="254"/>
      <c r="T404" s="254"/>
      <c r="U404" s="254"/>
      <c r="V404" s="254"/>
      <c r="W404" s="254"/>
      <c r="X404" s="254"/>
      <c r="Y404" s="254"/>
      <c r="Z404" s="254"/>
      <c r="AA404" s="254"/>
      <c r="AB404" s="254"/>
      <c r="AC404" s="254"/>
    </row>
    <row r="405" ht="12.75" customHeight="1" spans="1:29">
      <c r="A405" s="254"/>
      <c r="B405" s="254"/>
      <c r="C405" s="254"/>
      <c r="D405" s="276"/>
      <c r="E405" s="254"/>
      <c r="F405" s="254"/>
      <c r="G405" s="254"/>
      <c r="H405" s="254"/>
      <c r="I405" s="254"/>
      <c r="J405" s="254"/>
      <c r="K405" s="254"/>
      <c r="L405" s="254"/>
      <c r="M405" s="254"/>
      <c r="N405" s="254"/>
      <c r="O405" s="254"/>
      <c r="P405" s="254"/>
      <c r="Q405" s="254"/>
      <c r="R405" s="254"/>
      <c r="S405" s="254"/>
      <c r="T405" s="254"/>
      <c r="U405" s="254"/>
      <c r="V405" s="254"/>
      <c r="W405" s="254"/>
      <c r="X405" s="254"/>
      <c r="Y405" s="254"/>
      <c r="Z405" s="254"/>
      <c r="AA405" s="254"/>
      <c r="AB405" s="254"/>
      <c r="AC405" s="254"/>
    </row>
    <row r="406" ht="12.75" customHeight="1" spans="1:29">
      <c r="A406" s="254"/>
      <c r="B406" s="254"/>
      <c r="C406" s="254"/>
      <c r="D406" s="276"/>
      <c r="E406" s="254"/>
      <c r="F406" s="254"/>
      <c r="G406" s="254"/>
      <c r="H406" s="254"/>
      <c r="I406" s="254"/>
      <c r="J406" s="254"/>
      <c r="K406" s="254"/>
      <c r="L406" s="254"/>
      <c r="M406" s="254"/>
      <c r="N406" s="254"/>
      <c r="O406" s="254"/>
      <c r="P406" s="254"/>
      <c r="Q406" s="254"/>
      <c r="R406" s="254"/>
      <c r="S406" s="254"/>
      <c r="T406" s="254"/>
      <c r="U406" s="254"/>
      <c r="V406" s="254"/>
      <c r="W406" s="254"/>
      <c r="X406" s="254"/>
      <c r="Y406" s="254"/>
      <c r="Z406" s="254"/>
      <c r="AA406" s="254"/>
      <c r="AB406" s="254"/>
      <c r="AC406" s="254"/>
    </row>
    <row r="407" ht="12.75" customHeight="1" spans="1:29">
      <c r="A407" s="254"/>
      <c r="B407" s="254"/>
      <c r="C407" s="254"/>
      <c r="D407" s="276"/>
      <c r="E407" s="254"/>
      <c r="F407" s="254"/>
      <c r="G407" s="254"/>
      <c r="H407" s="254"/>
      <c r="I407" s="254"/>
      <c r="J407" s="254"/>
      <c r="K407" s="254"/>
      <c r="L407" s="254"/>
      <c r="M407" s="254"/>
      <c r="N407" s="254"/>
      <c r="O407" s="254"/>
      <c r="P407" s="254"/>
      <c r="Q407" s="254"/>
      <c r="R407" s="254"/>
      <c r="S407" s="254"/>
      <c r="T407" s="254"/>
      <c r="U407" s="254"/>
      <c r="V407" s="254"/>
      <c r="W407" s="254"/>
      <c r="X407" s="254"/>
      <c r="Y407" s="254"/>
      <c r="Z407" s="254"/>
      <c r="AA407" s="254"/>
      <c r="AB407" s="254"/>
      <c r="AC407" s="254"/>
    </row>
    <row r="408" ht="12.75" customHeight="1" spans="1:29">
      <c r="A408" s="254"/>
      <c r="B408" s="254"/>
      <c r="C408" s="254"/>
      <c r="D408" s="276"/>
      <c r="E408" s="254"/>
      <c r="F408" s="254"/>
      <c r="G408" s="254"/>
      <c r="H408" s="254"/>
      <c r="I408" s="254"/>
      <c r="J408" s="254"/>
      <c r="K408" s="254"/>
      <c r="L408" s="254"/>
      <c r="M408" s="254"/>
      <c r="N408" s="254"/>
      <c r="O408" s="254"/>
      <c r="P408" s="254"/>
      <c r="Q408" s="254"/>
      <c r="R408" s="254"/>
      <c r="S408" s="254"/>
      <c r="T408" s="254"/>
      <c r="U408" s="254"/>
      <c r="V408" s="254"/>
      <c r="W408" s="254"/>
      <c r="X408" s="254"/>
      <c r="Y408" s="254"/>
      <c r="Z408" s="254"/>
      <c r="AA408" s="254"/>
      <c r="AB408" s="254"/>
      <c r="AC408" s="254"/>
    </row>
    <row r="409" ht="12.75" customHeight="1" spans="1:29">
      <c r="A409" s="254"/>
      <c r="B409" s="254"/>
      <c r="C409" s="254"/>
      <c r="D409" s="276"/>
      <c r="E409" s="254"/>
      <c r="F409" s="254"/>
      <c r="G409" s="254"/>
      <c r="H409" s="254"/>
      <c r="I409" s="254"/>
      <c r="J409" s="254"/>
      <c r="K409" s="254"/>
      <c r="L409" s="254"/>
      <c r="M409" s="254"/>
      <c r="N409" s="254"/>
      <c r="O409" s="254"/>
      <c r="P409" s="254"/>
      <c r="Q409" s="254"/>
      <c r="R409" s="254"/>
      <c r="S409" s="254"/>
      <c r="T409" s="254"/>
      <c r="U409" s="254"/>
      <c r="V409" s="254"/>
      <c r="W409" s="254"/>
      <c r="X409" s="254"/>
      <c r="Y409" s="254"/>
      <c r="Z409" s="254"/>
      <c r="AA409" s="254"/>
      <c r="AB409" s="254"/>
      <c r="AC409" s="254"/>
    </row>
    <row r="410" ht="12.75" customHeight="1" spans="1:29">
      <c r="A410" s="254"/>
      <c r="B410" s="254"/>
      <c r="C410" s="254"/>
      <c r="D410" s="276"/>
      <c r="E410" s="254"/>
      <c r="F410" s="254"/>
      <c r="G410" s="254"/>
      <c r="H410" s="254"/>
      <c r="I410" s="254"/>
      <c r="J410" s="254"/>
      <c r="K410" s="254"/>
      <c r="L410" s="254"/>
      <c r="M410" s="254"/>
      <c r="N410" s="254"/>
      <c r="O410" s="254"/>
      <c r="P410" s="254"/>
      <c r="Q410" s="254"/>
      <c r="R410" s="254"/>
      <c r="S410" s="254"/>
      <c r="T410" s="254"/>
      <c r="U410" s="254"/>
      <c r="V410" s="254"/>
      <c r="W410" s="254"/>
      <c r="X410" s="254"/>
      <c r="Y410" s="254"/>
      <c r="Z410" s="254"/>
      <c r="AA410" s="254"/>
      <c r="AB410" s="254"/>
      <c r="AC410" s="254"/>
    </row>
    <row r="411" ht="12.75" customHeight="1" spans="1:29">
      <c r="A411" s="254"/>
      <c r="B411" s="254"/>
      <c r="C411" s="254"/>
      <c r="D411" s="276"/>
      <c r="E411" s="254"/>
      <c r="F411" s="254"/>
      <c r="G411" s="254"/>
      <c r="H411" s="254"/>
      <c r="I411" s="254"/>
      <c r="J411" s="254"/>
      <c r="K411" s="254"/>
      <c r="L411" s="254"/>
      <c r="M411" s="254"/>
      <c r="N411" s="254"/>
      <c r="O411" s="254"/>
      <c r="P411" s="254"/>
      <c r="Q411" s="254"/>
      <c r="R411" s="254"/>
      <c r="S411" s="254"/>
      <c r="T411" s="254"/>
      <c r="U411" s="254"/>
      <c r="V411" s="254"/>
      <c r="W411" s="254"/>
      <c r="X411" s="254"/>
      <c r="Y411" s="254"/>
      <c r="Z411" s="254"/>
      <c r="AA411" s="254"/>
      <c r="AB411" s="254"/>
      <c r="AC411" s="254"/>
    </row>
    <row r="412" ht="12.75" customHeight="1" spans="1:29">
      <c r="A412" s="254"/>
      <c r="B412" s="254"/>
      <c r="C412" s="254"/>
      <c r="D412" s="276"/>
      <c r="E412" s="254"/>
      <c r="F412" s="254"/>
      <c r="G412" s="254"/>
      <c r="H412" s="254"/>
      <c r="I412" s="254"/>
      <c r="J412" s="254"/>
      <c r="K412" s="254"/>
      <c r="L412" s="254"/>
      <c r="M412" s="254"/>
      <c r="N412" s="254"/>
      <c r="O412" s="254"/>
      <c r="P412" s="254"/>
      <c r="Q412" s="254"/>
      <c r="R412" s="254"/>
      <c r="S412" s="254"/>
      <c r="T412" s="254"/>
      <c r="U412" s="254"/>
      <c r="V412" s="254"/>
      <c r="W412" s="254"/>
      <c r="X412" s="254"/>
      <c r="Y412" s="254"/>
      <c r="Z412" s="254"/>
      <c r="AA412" s="254"/>
      <c r="AB412" s="254"/>
      <c r="AC412" s="254"/>
    </row>
    <row r="413" ht="12.75" customHeight="1" spans="1:29">
      <c r="A413" s="254"/>
      <c r="B413" s="254"/>
      <c r="C413" s="254"/>
      <c r="D413" s="276"/>
      <c r="E413" s="254"/>
      <c r="F413" s="254"/>
      <c r="G413" s="254"/>
      <c r="H413" s="254"/>
      <c r="I413" s="254"/>
      <c r="J413" s="254"/>
      <c r="K413" s="254"/>
      <c r="L413" s="254"/>
      <c r="M413" s="254"/>
      <c r="N413" s="254"/>
      <c r="O413" s="254"/>
      <c r="P413" s="254"/>
      <c r="Q413" s="254"/>
      <c r="R413" s="254"/>
      <c r="S413" s="254"/>
      <c r="T413" s="254"/>
      <c r="U413" s="254"/>
      <c r="V413" s="254"/>
      <c r="W413" s="254"/>
      <c r="X413" s="254"/>
      <c r="Y413" s="254"/>
      <c r="Z413" s="254"/>
      <c r="AA413" s="254"/>
      <c r="AB413" s="254"/>
      <c r="AC413" s="254"/>
    </row>
    <row r="414" ht="12.75" customHeight="1" spans="1:29">
      <c r="A414" s="254"/>
      <c r="B414" s="254"/>
      <c r="C414" s="254"/>
      <c r="D414" s="276"/>
      <c r="E414" s="254"/>
      <c r="F414" s="254"/>
      <c r="G414" s="254"/>
      <c r="H414" s="254"/>
      <c r="I414" s="254"/>
      <c r="J414" s="254"/>
      <c r="K414" s="254"/>
      <c r="L414" s="254"/>
      <c r="M414" s="254"/>
      <c r="N414" s="254"/>
      <c r="O414" s="254"/>
      <c r="P414" s="254"/>
      <c r="Q414" s="254"/>
      <c r="R414" s="254"/>
      <c r="S414" s="254"/>
      <c r="T414" s="254"/>
      <c r="U414" s="254"/>
      <c r="V414" s="254"/>
      <c r="W414" s="254"/>
      <c r="X414" s="254"/>
      <c r="Y414" s="254"/>
      <c r="Z414" s="254"/>
      <c r="AA414" s="254"/>
      <c r="AB414" s="254"/>
      <c r="AC414" s="254"/>
    </row>
    <row r="415" ht="12.75" customHeight="1" spans="1:29">
      <c r="A415" s="254"/>
      <c r="B415" s="254"/>
      <c r="C415" s="254"/>
      <c r="D415" s="276"/>
      <c r="E415" s="254"/>
      <c r="F415" s="254"/>
      <c r="G415" s="254"/>
      <c r="H415" s="254"/>
      <c r="I415" s="254"/>
      <c r="J415" s="254"/>
      <c r="K415" s="254"/>
      <c r="L415" s="254"/>
      <c r="M415" s="254"/>
      <c r="N415" s="254"/>
      <c r="O415" s="254"/>
      <c r="P415" s="254"/>
      <c r="Q415" s="254"/>
      <c r="R415" s="254"/>
      <c r="S415" s="254"/>
      <c r="T415" s="254"/>
      <c r="U415" s="254"/>
      <c r="V415" s="254"/>
      <c r="W415" s="254"/>
      <c r="X415" s="254"/>
      <c r="Y415" s="254"/>
      <c r="Z415" s="254"/>
      <c r="AA415" s="254"/>
      <c r="AB415" s="254"/>
      <c r="AC415" s="254"/>
    </row>
    <row r="416" ht="12.75" customHeight="1" spans="1:29">
      <c r="A416" s="254"/>
      <c r="B416" s="254"/>
      <c r="C416" s="254"/>
      <c r="D416" s="276"/>
      <c r="E416" s="254"/>
      <c r="F416" s="254"/>
      <c r="G416" s="254"/>
      <c r="H416" s="254"/>
      <c r="I416" s="254"/>
      <c r="J416" s="254"/>
      <c r="K416" s="254"/>
      <c r="L416" s="254"/>
      <c r="M416" s="254"/>
      <c r="N416" s="254"/>
      <c r="O416" s="254"/>
      <c r="P416" s="254"/>
      <c r="Q416" s="254"/>
      <c r="R416" s="254"/>
      <c r="S416" s="254"/>
      <c r="T416" s="254"/>
      <c r="U416" s="254"/>
      <c r="V416" s="254"/>
      <c r="W416" s="254"/>
      <c r="X416" s="254"/>
      <c r="Y416" s="254"/>
      <c r="Z416" s="254"/>
      <c r="AA416" s="254"/>
      <c r="AB416" s="254"/>
      <c r="AC416" s="254"/>
    </row>
    <row r="417" ht="12.75" customHeight="1" spans="1:29">
      <c r="A417" s="254"/>
      <c r="B417" s="254"/>
      <c r="C417" s="254"/>
      <c r="D417" s="276"/>
      <c r="E417" s="254"/>
      <c r="F417" s="254"/>
      <c r="G417" s="254"/>
      <c r="H417" s="254"/>
      <c r="I417" s="254"/>
      <c r="J417" s="254"/>
      <c r="K417" s="254"/>
      <c r="L417" s="254"/>
      <c r="M417" s="254"/>
      <c r="N417" s="254"/>
      <c r="O417" s="254"/>
      <c r="P417" s="254"/>
      <c r="Q417" s="254"/>
      <c r="R417" s="254"/>
      <c r="S417" s="254"/>
      <c r="T417" s="254"/>
      <c r="U417" s="254"/>
      <c r="V417" s="254"/>
      <c r="W417" s="254"/>
      <c r="X417" s="254"/>
      <c r="Y417" s="254"/>
      <c r="Z417" s="254"/>
      <c r="AA417" s="254"/>
      <c r="AB417" s="254"/>
      <c r="AC417" s="254"/>
    </row>
    <row r="418" ht="12.75" customHeight="1" spans="1:29">
      <c r="A418" s="254"/>
      <c r="B418" s="254"/>
      <c r="C418" s="254"/>
      <c r="D418" s="276"/>
      <c r="E418" s="254"/>
      <c r="F418" s="254"/>
      <c r="G418" s="254"/>
      <c r="H418" s="254"/>
      <c r="I418" s="254"/>
      <c r="J418" s="254"/>
      <c r="K418" s="254"/>
      <c r="L418" s="254"/>
      <c r="M418" s="254"/>
      <c r="N418" s="254"/>
      <c r="O418" s="254"/>
      <c r="P418" s="254"/>
      <c r="Q418" s="254"/>
      <c r="R418" s="254"/>
      <c r="S418" s="254"/>
      <c r="T418" s="254"/>
      <c r="U418" s="254"/>
      <c r="V418" s="254"/>
      <c r="W418" s="254"/>
      <c r="X418" s="254"/>
      <c r="Y418" s="254"/>
      <c r="Z418" s="254"/>
      <c r="AA418" s="254"/>
      <c r="AB418" s="254"/>
      <c r="AC418" s="254"/>
    </row>
    <row r="419" ht="12.75" customHeight="1" spans="1:29">
      <c r="A419" s="254"/>
      <c r="B419" s="254"/>
      <c r="C419" s="254"/>
      <c r="D419" s="276"/>
      <c r="E419" s="254"/>
      <c r="F419" s="254"/>
      <c r="G419" s="254"/>
      <c r="H419" s="254"/>
      <c r="I419" s="254"/>
      <c r="J419" s="254"/>
      <c r="K419" s="254"/>
      <c r="L419" s="254"/>
      <c r="M419" s="254"/>
      <c r="N419" s="254"/>
      <c r="O419" s="254"/>
      <c r="P419" s="254"/>
      <c r="Q419" s="254"/>
      <c r="R419" s="254"/>
      <c r="S419" s="254"/>
      <c r="T419" s="254"/>
      <c r="U419" s="254"/>
      <c r="V419" s="254"/>
      <c r="W419" s="254"/>
      <c r="X419" s="254"/>
      <c r="Y419" s="254"/>
      <c r="Z419" s="254"/>
      <c r="AA419" s="254"/>
      <c r="AB419" s="254"/>
      <c r="AC419" s="254"/>
    </row>
    <row r="420" ht="12.75" customHeight="1" spans="1:29">
      <c r="A420" s="254"/>
      <c r="B420" s="254"/>
      <c r="C420" s="254"/>
      <c r="D420" s="276"/>
      <c r="E420" s="254"/>
      <c r="F420" s="254"/>
      <c r="G420" s="254"/>
      <c r="H420" s="254"/>
      <c r="I420" s="254"/>
      <c r="J420" s="254"/>
      <c r="K420" s="254"/>
      <c r="L420" s="254"/>
      <c r="M420" s="254"/>
      <c r="N420" s="254"/>
      <c r="O420" s="254"/>
      <c r="P420" s="254"/>
      <c r="Q420" s="254"/>
      <c r="R420" s="254"/>
      <c r="S420" s="254"/>
      <c r="T420" s="254"/>
      <c r="U420" s="254"/>
      <c r="V420" s="254"/>
      <c r="W420" s="254"/>
      <c r="X420" s="254"/>
      <c r="Y420" s="254"/>
      <c r="Z420" s="254"/>
      <c r="AA420" s="254"/>
      <c r="AB420" s="254"/>
      <c r="AC420" s="254"/>
    </row>
    <row r="421" ht="12.75" customHeight="1" spans="1:29">
      <c r="A421" s="254"/>
      <c r="B421" s="254"/>
      <c r="C421" s="254"/>
      <c r="D421" s="276"/>
      <c r="E421" s="254"/>
      <c r="F421" s="254"/>
      <c r="G421" s="254"/>
      <c r="H421" s="254"/>
      <c r="I421" s="254"/>
      <c r="J421" s="254"/>
      <c r="K421" s="254"/>
      <c r="L421" s="254"/>
      <c r="M421" s="254"/>
      <c r="N421" s="254"/>
      <c r="O421" s="254"/>
      <c r="P421" s="254"/>
      <c r="Q421" s="254"/>
      <c r="R421" s="254"/>
      <c r="S421" s="254"/>
      <c r="T421" s="254"/>
      <c r="U421" s="254"/>
      <c r="V421" s="254"/>
      <c r="W421" s="254"/>
      <c r="X421" s="254"/>
      <c r="Y421" s="254"/>
      <c r="Z421" s="254"/>
      <c r="AA421" s="254"/>
      <c r="AB421" s="254"/>
      <c r="AC421" s="254"/>
    </row>
    <row r="422" ht="12.75" customHeight="1" spans="1:29">
      <c r="A422" s="254"/>
      <c r="B422" s="254"/>
      <c r="C422" s="254"/>
      <c r="D422" s="276"/>
      <c r="E422" s="254"/>
      <c r="F422" s="254"/>
      <c r="G422" s="254"/>
      <c r="H422" s="254"/>
      <c r="I422" s="254"/>
      <c r="J422" s="254"/>
      <c r="K422" s="254"/>
      <c r="L422" s="254"/>
      <c r="M422" s="254"/>
      <c r="N422" s="254"/>
      <c r="O422" s="254"/>
      <c r="P422" s="254"/>
      <c r="Q422" s="254"/>
      <c r="R422" s="254"/>
      <c r="S422" s="254"/>
      <c r="T422" s="254"/>
      <c r="U422" s="254"/>
      <c r="V422" s="254"/>
      <c r="W422" s="254"/>
      <c r="X422" s="254"/>
      <c r="Y422" s="254"/>
      <c r="Z422" s="254"/>
      <c r="AA422" s="254"/>
      <c r="AB422" s="254"/>
      <c r="AC422" s="254"/>
    </row>
    <row r="423" ht="12.75" customHeight="1" spans="1:29">
      <c r="A423" s="254"/>
      <c r="B423" s="254"/>
      <c r="C423" s="254"/>
      <c r="D423" s="276"/>
      <c r="E423" s="254"/>
      <c r="F423" s="254"/>
      <c r="G423" s="254"/>
      <c r="H423" s="254"/>
      <c r="I423" s="254"/>
      <c r="J423" s="254"/>
      <c r="K423" s="254"/>
      <c r="L423" s="254"/>
      <c r="M423" s="254"/>
      <c r="N423" s="254"/>
      <c r="O423" s="254"/>
      <c r="P423" s="254"/>
      <c r="Q423" s="254"/>
      <c r="R423" s="254"/>
      <c r="S423" s="254"/>
      <c r="T423" s="254"/>
      <c r="U423" s="254"/>
      <c r="V423" s="254"/>
      <c r="W423" s="254"/>
      <c r="X423" s="254"/>
      <c r="Y423" s="254"/>
      <c r="Z423" s="254"/>
      <c r="AA423" s="254"/>
      <c r="AB423" s="254"/>
      <c r="AC423" s="254"/>
    </row>
    <row r="424" ht="12.75" customHeight="1" spans="1:29">
      <c r="A424" s="254"/>
      <c r="B424" s="254"/>
      <c r="C424" s="254"/>
      <c r="D424" s="276"/>
      <c r="E424" s="254"/>
      <c r="F424" s="254"/>
      <c r="G424" s="254"/>
      <c r="H424" s="254"/>
      <c r="I424" s="254"/>
      <c r="J424" s="254"/>
      <c r="K424" s="254"/>
      <c r="L424" s="254"/>
      <c r="M424" s="254"/>
      <c r="N424" s="254"/>
      <c r="O424" s="254"/>
      <c r="P424" s="254"/>
      <c r="Q424" s="254"/>
      <c r="R424" s="254"/>
      <c r="S424" s="254"/>
      <c r="T424" s="254"/>
      <c r="U424" s="254"/>
      <c r="V424" s="254"/>
      <c r="W424" s="254"/>
      <c r="X424" s="254"/>
      <c r="Y424" s="254"/>
      <c r="Z424" s="254"/>
      <c r="AA424" s="254"/>
      <c r="AB424" s="254"/>
      <c r="AC424" s="254"/>
    </row>
    <row r="425" ht="12.75" customHeight="1" spans="1:29">
      <c r="A425" s="254"/>
      <c r="B425" s="254"/>
      <c r="C425" s="254"/>
      <c r="D425" s="276"/>
      <c r="E425" s="254"/>
      <c r="F425" s="254"/>
      <c r="G425" s="254"/>
      <c r="H425" s="254"/>
      <c r="I425" s="254"/>
      <c r="J425" s="254"/>
      <c r="K425" s="254"/>
      <c r="L425" s="254"/>
      <c r="M425" s="254"/>
      <c r="N425" s="254"/>
      <c r="O425" s="254"/>
      <c r="P425" s="254"/>
      <c r="Q425" s="254"/>
      <c r="R425" s="254"/>
      <c r="S425" s="254"/>
      <c r="T425" s="254"/>
      <c r="U425" s="254"/>
      <c r="V425" s="254"/>
      <c r="W425" s="254"/>
      <c r="X425" s="254"/>
      <c r="Y425" s="254"/>
      <c r="Z425" s="254"/>
      <c r="AA425" s="254"/>
      <c r="AB425" s="254"/>
      <c r="AC425" s="254"/>
    </row>
    <row r="426" ht="12.75" customHeight="1" spans="1:29">
      <c r="A426" s="254"/>
      <c r="B426" s="254"/>
      <c r="C426" s="254"/>
      <c r="D426" s="276"/>
      <c r="E426" s="254"/>
      <c r="F426" s="254"/>
      <c r="G426" s="254"/>
      <c r="H426" s="254"/>
      <c r="I426" s="254"/>
      <c r="J426" s="254"/>
      <c r="K426" s="254"/>
      <c r="L426" s="254"/>
      <c r="M426" s="254"/>
      <c r="N426" s="254"/>
      <c r="O426" s="254"/>
      <c r="P426" s="254"/>
      <c r="Q426" s="254"/>
      <c r="R426" s="254"/>
      <c r="S426" s="254"/>
      <c r="T426" s="254"/>
      <c r="U426" s="254"/>
      <c r="V426" s="254"/>
      <c r="W426" s="254"/>
      <c r="X426" s="254"/>
      <c r="Y426" s="254"/>
      <c r="Z426" s="254"/>
      <c r="AA426" s="254"/>
      <c r="AB426" s="254"/>
      <c r="AC426" s="254"/>
    </row>
    <row r="427" ht="12.75" customHeight="1" spans="1:29">
      <c r="A427" s="254"/>
      <c r="B427" s="254"/>
      <c r="C427" s="254"/>
      <c r="D427" s="276"/>
      <c r="E427" s="254"/>
      <c r="F427" s="254"/>
      <c r="G427" s="254"/>
      <c r="H427" s="254"/>
      <c r="I427" s="254"/>
      <c r="J427" s="254"/>
      <c r="K427" s="254"/>
      <c r="L427" s="254"/>
      <c r="M427" s="254"/>
      <c r="N427" s="254"/>
      <c r="O427" s="254"/>
      <c r="P427" s="254"/>
      <c r="Q427" s="254"/>
      <c r="R427" s="254"/>
      <c r="S427" s="254"/>
      <c r="T427" s="254"/>
      <c r="U427" s="254"/>
      <c r="V427" s="254"/>
      <c r="W427" s="254"/>
      <c r="X427" s="254"/>
      <c r="Y427" s="254"/>
      <c r="Z427" s="254"/>
      <c r="AA427" s="254"/>
      <c r="AB427" s="254"/>
      <c r="AC427" s="254"/>
    </row>
    <row r="428" ht="12.75" customHeight="1" spans="1:29">
      <c r="A428" s="254"/>
      <c r="B428" s="254"/>
      <c r="C428" s="254"/>
      <c r="D428" s="276"/>
      <c r="E428" s="254"/>
      <c r="F428" s="254"/>
      <c r="G428" s="254"/>
      <c r="H428" s="254"/>
      <c r="I428" s="254"/>
      <c r="J428" s="254"/>
      <c r="K428" s="254"/>
      <c r="L428" s="254"/>
      <c r="M428" s="254"/>
      <c r="N428" s="254"/>
      <c r="O428" s="254"/>
      <c r="P428" s="254"/>
      <c r="Q428" s="254"/>
      <c r="R428" s="254"/>
      <c r="S428" s="254"/>
      <c r="T428" s="254"/>
      <c r="U428" s="254"/>
      <c r="V428" s="254"/>
      <c r="W428" s="254"/>
      <c r="X428" s="254"/>
      <c r="Y428" s="254"/>
      <c r="Z428" s="254"/>
      <c r="AA428" s="254"/>
      <c r="AB428" s="254"/>
      <c r="AC428" s="254"/>
    </row>
    <row r="429" ht="12.75" customHeight="1" spans="1:29">
      <c r="A429" s="254"/>
      <c r="B429" s="254"/>
      <c r="C429" s="254"/>
      <c r="D429" s="276"/>
      <c r="E429" s="254"/>
      <c r="F429" s="254"/>
      <c r="G429" s="254"/>
      <c r="H429" s="254"/>
      <c r="I429" s="254"/>
      <c r="J429" s="254"/>
      <c r="K429" s="254"/>
      <c r="L429" s="254"/>
      <c r="M429" s="254"/>
      <c r="N429" s="254"/>
      <c r="O429" s="254"/>
      <c r="P429" s="254"/>
      <c r="Q429" s="254"/>
      <c r="R429" s="254"/>
      <c r="S429" s="254"/>
      <c r="T429" s="254"/>
      <c r="U429" s="254"/>
      <c r="V429" s="254"/>
      <c r="W429" s="254"/>
      <c r="X429" s="254"/>
      <c r="Y429" s="254"/>
      <c r="Z429" s="254"/>
      <c r="AA429" s="254"/>
      <c r="AB429" s="254"/>
      <c r="AC429" s="254"/>
    </row>
    <row r="430" ht="12.75" customHeight="1" spans="1:29">
      <c r="A430" s="254"/>
      <c r="B430" s="254"/>
      <c r="C430" s="254"/>
      <c r="D430" s="276"/>
      <c r="E430" s="254"/>
      <c r="F430" s="254"/>
      <c r="G430" s="254"/>
      <c r="H430" s="254"/>
      <c r="I430" s="254"/>
      <c r="J430" s="254"/>
      <c r="K430" s="254"/>
      <c r="L430" s="254"/>
      <c r="M430" s="254"/>
      <c r="N430" s="254"/>
      <c r="O430" s="254"/>
      <c r="P430" s="254"/>
      <c r="Q430" s="254"/>
      <c r="R430" s="254"/>
      <c r="S430" s="254"/>
      <c r="T430" s="254"/>
      <c r="U430" s="254"/>
      <c r="V430" s="254"/>
      <c r="W430" s="254"/>
      <c r="X430" s="254"/>
      <c r="Y430" s="254"/>
      <c r="Z430" s="254"/>
      <c r="AA430" s="254"/>
      <c r="AB430" s="254"/>
      <c r="AC430" s="254"/>
    </row>
    <row r="431" ht="12.75" customHeight="1" spans="1:29">
      <c r="A431" s="254"/>
      <c r="B431" s="254"/>
      <c r="C431" s="254"/>
      <c r="D431" s="276"/>
      <c r="E431" s="254"/>
      <c r="F431" s="254"/>
      <c r="G431" s="254"/>
      <c r="H431" s="254"/>
      <c r="I431" s="254"/>
      <c r="J431" s="254"/>
      <c r="K431" s="254"/>
      <c r="L431" s="254"/>
      <c r="M431" s="254"/>
      <c r="N431" s="254"/>
      <c r="O431" s="254"/>
      <c r="P431" s="254"/>
      <c r="Q431" s="254"/>
      <c r="R431" s="254"/>
      <c r="S431" s="254"/>
      <c r="T431" s="254"/>
      <c r="U431" s="254"/>
      <c r="V431" s="254"/>
      <c r="W431" s="254"/>
      <c r="X431" s="254"/>
      <c r="Y431" s="254"/>
      <c r="Z431" s="254"/>
      <c r="AA431" s="254"/>
      <c r="AB431" s="254"/>
      <c r="AC431" s="254"/>
    </row>
    <row r="432" ht="12.75" customHeight="1" spans="1:29">
      <c r="A432" s="254"/>
      <c r="B432" s="254"/>
      <c r="C432" s="254"/>
      <c r="D432" s="276"/>
      <c r="E432" s="254"/>
      <c r="F432" s="254"/>
      <c r="G432" s="254"/>
      <c r="H432" s="254"/>
      <c r="I432" s="254"/>
      <c r="J432" s="254"/>
      <c r="K432" s="254"/>
      <c r="L432" s="254"/>
      <c r="M432" s="254"/>
      <c r="N432" s="254"/>
      <c r="O432" s="254"/>
      <c r="P432" s="254"/>
      <c r="Q432" s="254"/>
      <c r="R432" s="254"/>
      <c r="S432" s="254"/>
      <c r="T432" s="254"/>
      <c r="U432" s="254"/>
      <c r="V432" s="254"/>
      <c r="W432" s="254"/>
      <c r="X432" s="254"/>
      <c r="Y432" s="254"/>
      <c r="Z432" s="254"/>
      <c r="AA432" s="254"/>
      <c r="AB432" s="254"/>
      <c r="AC432" s="254"/>
    </row>
    <row r="433" ht="12.75" customHeight="1" spans="1:29">
      <c r="A433" s="254"/>
      <c r="B433" s="254"/>
      <c r="C433" s="254"/>
      <c r="D433" s="276"/>
      <c r="E433" s="254"/>
      <c r="F433" s="254"/>
      <c r="G433" s="254"/>
      <c r="H433" s="254"/>
      <c r="I433" s="254"/>
      <c r="J433" s="254"/>
      <c r="K433" s="254"/>
      <c r="L433" s="254"/>
      <c r="M433" s="254"/>
      <c r="N433" s="254"/>
      <c r="O433" s="254"/>
      <c r="P433" s="254"/>
      <c r="Q433" s="254"/>
      <c r="R433" s="254"/>
      <c r="S433" s="254"/>
      <c r="T433" s="254"/>
      <c r="U433" s="254"/>
      <c r="V433" s="254"/>
      <c r="W433" s="254"/>
      <c r="X433" s="254"/>
      <c r="Y433" s="254"/>
      <c r="Z433" s="254"/>
      <c r="AA433" s="254"/>
      <c r="AB433" s="254"/>
      <c r="AC433" s="254"/>
    </row>
    <row r="434" ht="12.75" customHeight="1" spans="1:29">
      <c r="A434" s="254"/>
      <c r="B434" s="254"/>
      <c r="C434" s="254"/>
      <c r="D434" s="276"/>
      <c r="E434" s="254"/>
      <c r="F434" s="254"/>
      <c r="G434" s="254"/>
      <c r="H434" s="254"/>
      <c r="I434" s="254"/>
      <c r="J434" s="254"/>
      <c r="K434" s="254"/>
      <c r="L434" s="254"/>
      <c r="M434" s="254"/>
      <c r="N434" s="254"/>
      <c r="O434" s="254"/>
      <c r="P434" s="254"/>
      <c r="Q434" s="254"/>
      <c r="R434" s="254"/>
      <c r="S434" s="254"/>
      <c r="T434" s="254"/>
      <c r="U434" s="254"/>
      <c r="V434" s="254"/>
      <c r="W434" s="254"/>
      <c r="X434" s="254"/>
      <c r="Y434" s="254"/>
      <c r="Z434" s="254"/>
      <c r="AA434" s="254"/>
      <c r="AB434" s="254"/>
      <c r="AC434" s="254"/>
    </row>
    <row r="435" ht="12.75" customHeight="1" spans="1:29">
      <c r="A435" s="254"/>
      <c r="B435" s="254"/>
      <c r="C435" s="254"/>
      <c r="D435" s="276"/>
      <c r="E435" s="254"/>
      <c r="F435" s="254"/>
      <c r="G435" s="254"/>
      <c r="H435" s="254"/>
      <c r="I435" s="254"/>
      <c r="J435" s="254"/>
      <c r="K435" s="254"/>
      <c r="L435" s="254"/>
      <c r="M435" s="254"/>
      <c r="N435" s="254"/>
      <c r="O435" s="254"/>
      <c r="P435" s="254"/>
      <c r="Q435" s="254"/>
      <c r="R435" s="254"/>
      <c r="S435" s="254"/>
      <c r="T435" s="254"/>
      <c r="U435" s="254"/>
      <c r="V435" s="254"/>
      <c r="W435" s="254"/>
      <c r="X435" s="254"/>
      <c r="Y435" s="254"/>
      <c r="Z435" s="254"/>
      <c r="AA435" s="254"/>
      <c r="AB435" s="254"/>
      <c r="AC435" s="254"/>
    </row>
    <row r="436" ht="12.75" customHeight="1" spans="1:29">
      <c r="A436" s="254"/>
      <c r="B436" s="254"/>
      <c r="C436" s="254"/>
      <c r="D436" s="276"/>
      <c r="E436" s="254"/>
      <c r="F436" s="254"/>
      <c r="G436" s="254"/>
      <c r="H436" s="254"/>
      <c r="I436" s="254"/>
      <c r="J436" s="254"/>
      <c r="K436" s="254"/>
      <c r="L436" s="254"/>
      <c r="M436" s="254"/>
      <c r="N436" s="254"/>
      <c r="O436" s="254"/>
      <c r="P436" s="254"/>
      <c r="Q436" s="254"/>
      <c r="R436" s="254"/>
      <c r="S436" s="254"/>
      <c r="T436" s="254"/>
      <c r="U436" s="254"/>
      <c r="V436" s="254"/>
      <c r="W436" s="254"/>
      <c r="X436" s="254"/>
      <c r="Y436" s="254"/>
      <c r="Z436" s="254"/>
      <c r="AA436" s="254"/>
      <c r="AB436" s="254"/>
      <c r="AC436" s="254"/>
    </row>
    <row r="437" ht="12.75" customHeight="1" spans="1:29">
      <c r="A437" s="254"/>
      <c r="B437" s="254"/>
      <c r="C437" s="254"/>
      <c r="D437" s="276"/>
      <c r="E437" s="254"/>
      <c r="F437" s="254"/>
      <c r="G437" s="254"/>
      <c r="H437" s="254"/>
      <c r="I437" s="254"/>
      <c r="J437" s="254"/>
      <c r="K437" s="254"/>
      <c r="L437" s="254"/>
      <c r="M437" s="254"/>
      <c r="N437" s="254"/>
      <c r="O437" s="254"/>
      <c r="P437" s="254"/>
      <c r="Q437" s="254"/>
      <c r="R437" s="254"/>
      <c r="S437" s="254"/>
      <c r="T437" s="254"/>
      <c r="U437" s="254"/>
      <c r="V437" s="254"/>
      <c r="W437" s="254"/>
      <c r="X437" s="254"/>
      <c r="Y437" s="254"/>
      <c r="Z437" s="254"/>
      <c r="AA437" s="254"/>
      <c r="AB437" s="254"/>
      <c r="AC437" s="254"/>
    </row>
    <row r="438" ht="12.75" customHeight="1" spans="1:29">
      <c r="A438" s="254"/>
      <c r="B438" s="254"/>
      <c r="C438" s="254"/>
      <c r="D438" s="276"/>
      <c r="E438" s="254"/>
      <c r="F438" s="254"/>
      <c r="G438" s="254"/>
      <c r="H438" s="254"/>
      <c r="I438" s="254"/>
      <c r="J438" s="254"/>
      <c r="K438" s="254"/>
      <c r="L438" s="254"/>
      <c r="M438" s="254"/>
      <c r="N438" s="254"/>
      <c r="O438" s="254"/>
      <c r="P438" s="254"/>
      <c r="Q438" s="254"/>
      <c r="R438" s="254"/>
      <c r="S438" s="254"/>
      <c r="T438" s="254"/>
      <c r="U438" s="254"/>
      <c r="V438" s="254"/>
      <c r="W438" s="254"/>
      <c r="X438" s="254"/>
      <c r="Y438" s="254"/>
      <c r="Z438" s="254"/>
      <c r="AA438" s="254"/>
      <c r="AB438" s="254"/>
      <c r="AC438" s="254"/>
    </row>
    <row r="439" ht="12.75" customHeight="1" spans="1:29">
      <c r="A439" s="254"/>
      <c r="B439" s="254"/>
      <c r="C439" s="254"/>
      <c r="D439" s="276"/>
      <c r="E439" s="254"/>
      <c r="F439" s="254"/>
      <c r="G439" s="254"/>
      <c r="H439" s="254"/>
      <c r="I439" s="254"/>
      <c r="J439" s="254"/>
      <c r="K439" s="254"/>
      <c r="L439" s="254"/>
      <c r="M439" s="254"/>
      <c r="N439" s="254"/>
      <c r="O439" s="254"/>
      <c r="P439" s="254"/>
      <c r="Q439" s="254"/>
      <c r="R439" s="254"/>
      <c r="S439" s="254"/>
      <c r="T439" s="254"/>
      <c r="U439" s="254"/>
      <c r="V439" s="254"/>
      <c r="W439" s="254"/>
      <c r="X439" s="254"/>
      <c r="Y439" s="254"/>
      <c r="Z439" s="254"/>
      <c r="AA439" s="254"/>
      <c r="AB439" s="254"/>
      <c r="AC439" s="254"/>
    </row>
    <row r="440" ht="12.75" customHeight="1" spans="1:29">
      <c r="A440" s="254"/>
      <c r="B440" s="254"/>
      <c r="C440" s="254"/>
      <c r="D440" s="276"/>
      <c r="E440" s="254"/>
      <c r="F440" s="254"/>
      <c r="G440" s="254"/>
      <c r="H440" s="254"/>
      <c r="I440" s="254"/>
      <c r="J440" s="254"/>
      <c r="K440" s="254"/>
      <c r="L440" s="254"/>
      <c r="M440" s="254"/>
      <c r="N440" s="254"/>
      <c r="O440" s="254"/>
      <c r="P440" s="254"/>
      <c r="Q440" s="254"/>
      <c r="R440" s="254"/>
      <c r="S440" s="254"/>
      <c r="T440" s="254"/>
      <c r="U440" s="254"/>
      <c r="V440" s="254"/>
      <c r="W440" s="254"/>
      <c r="X440" s="254"/>
      <c r="Y440" s="254"/>
      <c r="Z440" s="254"/>
      <c r="AA440" s="254"/>
      <c r="AB440" s="254"/>
      <c r="AC440" s="254"/>
    </row>
    <row r="441" ht="12.75" customHeight="1" spans="1:29">
      <c r="A441" s="254"/>
      <c r="B441" s="254"/>
      <c r="C441" s="254"/>
      <c r="D441" s="276"/>
      <c r="E441" s="254"/>
      <c r="F441" s="254"/>
      <c r="G441" s="254"/>
      <c r="H441" s="254"/>
      <c r="I441" s="254"/>
      <c r="J441" s="254"/>
      <c r="K441" s="254"/>
      <c r="L441" s="254"/>
      <c r="M441" s="254"/>
      <c r="N441" s="254"/>
      <c r="O441" s="254"/>
      <c r="P441" s="254"/>
      <c r="Q441" s="254"/>
      <c r="R441" s="254"/>
      <c r="S441" s="254"/>
      <c r="T441" s="254"/>
      <c r="U441" s="254"/>
      <c r="V441" s="254"/>
      <c r="W441" s="254"/>
      <c r="X441" s="254"/>
      <c r="Y441" s="254"/>
      <c r="Z441" s="254"/>
      <c r="AA441" s="254"/>
      <c r="AB441" s="254"/>
      <c r="AC441" s="254"/>
    </row>
    <row r="442" ht="12.75" customHeight="1" spans="1:29">
      <c r="A442" s="254"/>
      <c r="B442" s="254"/>
      <c r="C442" s="254"/>
      <c r="D442" s="276"/>
      <c r="E442" s="254"/>
      <c r="F442" s="254"/>
      <c r="G442" s="254"/>
      <c r="H442" s="254"/>
      <c r="I442" s="254"/>
      <c r="J442" s="254"/>
      <c r="K442" s="254"/>
      <c r="L442" s="254"/>
      <c r="M442" s="254"/>
      <c r="N442" s="254"/>
      <c r="O442" s="254"/>
      <c r="P442" s="254"/>
      <c r="Q442" s="254"/>
      <c r="R442" s="254"/>
      <c r="S442" s="254"/>
      <c r="T442" s="254"/>
      <c r="U442" s="254"/>
      <c r="V442" s="254"/>
      <c r="W442" s="254"/>
      <c r="X442" s="254"/>
      <c r="Y442" s="254"/>
      <c r="Z442" s="254"/>
      <c r="AA442" s="254"/>
      <c r="AB442" s="254"/>
      <c r="AC442" s="254"/>
    </row>
    <row r="443" ht="12.75" customHeight="1" spans="1:29">
      <c r="A443" s="254"/>
      <c r="B443" s="254"/>
      <c r="C443" s="254"/>
      <c r="D443" s="276"/>
      <c r="E443" s="254"/>
      <c r="F443" s="254"/>
      <c r="G443" s="254"/>
      <c r="H443" s="254"/>
      <c r="I443" s="254"/>
      <c r="J443" s="254"/>
      <c r="K443" s="254"/>
      <c r="L443" s="254"/>
      <c r="M443" s="254"/>
      <c r="N443" s="254"/>
      <c r="O443" s="254"/>
      <c r="P443" s="254"/>
      <c r="Q443" s="254"/>
      <c r="R443" s="254"/>
      <c r="S443" s="254"/>
      <c r="T443" s="254"/>
      <c r="U443" s="254"/>
      <c r="V443" s="254"/>
      <c r="W443" s="254"/>
      <c r="X443" s="254"/>
      <c r="Y443" s="254"/>
      <c r="Z443" s="254"/>
      <c r="AA443" s="254"/>
      <c r="AB443" s="254"/>
      <c r="AC443" s="254"/>
    </row>
    <row r="444" ht="12.75" customHeight="1" spans="1:29">
      <c r="A444" s="254"/>
      <c r="B444" s="254"/>
      <c r="C444" s="254"/>
      <c r="D444" s="276"/>
      <c r="E444" s="254"/>
      <c r="F444" s="254"/>
      <c r="G444" s="254"/>
      <c r="H444" s="254"/>
      <c r="I444" s="254"/>
      <c r="J444" s="254"/>
      <c r="K444" s="254"/>
      <c r="L444" s="254"/>
      <c r="M444" s="254"/>
      <c r="N444" s="254"/>
      <c r="O444" s="254"/>
      <c r="P444" s="254"/>
      <c r="Q444" s="254"/>
      <c r="R444" s="254"/>
      <c r="S444" s="254"/>
      <c r="T444" s="254"/>
      <c r="U444" s="254"/>
      <c r="V444" s="254"/>
      <c r="W444" s="254"/>
      <c r="X444" s="254"/>
      <c r="Y444" s="254"/>
      <c r="Z444" s="254"/>
      <c r="AA444" s="254"/>
      <c r="AB444" s="254"/>
      <c r="AC444" s="254"/>
    </row>
    <row r="445" ht="12.75" customHeight="1" spans="1:29">
      <c r="A445" s="254"/>
      <c r="B445" s="254"/>
      <c r="C445" s="254"/>
      <c r="D445" s="276"/>
      <c r="E445" s="254"/>
      <c r="F445" s="254"/>
      <c r="G445" s="254"/>
      <c r="H445" s="254"/>
      <c r="I445" s="254"/>
      <c r="J445" s="254"/>
      <c r="K445" s="254"/>
      <c r="L445" s="254"/>
      <c r="M445" s="254"/>
      <c r="N445" s="254"/>
      <c r="O445" s="254"/>
      <c r="P445" s="254"/>
      <c r="Q445" s="254"/>
      <c r="R445" s="254"/>
      <c r="S445" s="254"/>
      <c r="T445" s="254"/>
      <c r="U445" s="254"/>
      <c r="V445" s="254"/>
      <c r="W445" s="254"/>
      <c r="X445" s="254"/>
      <c r="Y445" s="254"/>
      <c r="Z445" s="254"/>
      <c r="AA445" s="254"/>
      <c r="AB445" s="254"/>
      <c r="AC445" s="254"/>
    </row>
    <row r="446" ht="12.75" customHeight="1" spans="1:29">
      <c r="A446" s="254"/>
      <c r="B446" s="254"/>
      <c r="C446" s="254"/>
      <c r="D446" s="276"/>
      <c r="E446" s="254"/>
      <c r="F446" s="254"/>
      <c r="G446" s="254"/>
      <c r="H446" s="254"/>
      <c r="I446" s="254"/>
      <c r="J446" s="254"/>
      <c r="K446" s="254"/>
      <c r="L446" s="254"/>
      <c r="M446" s="254"/>
      <c r="N446" s="254"/>
      <c r="O446" s="254"/>
      <c r="P446" s="254"/>
      <c r="Q446" s="254"/>
      <c r="R446" s="254"/>
      <c r="S446" s="254"/>
      <c r="T446" s="254"/>
      <c r="U446" s="254"/>
      <c r="V446" s="254"/>
      <c r="W446" s="254"/>
      <c r="X446" s="254"/>
      <c r="Y446" s="254"/>
      <c r="Z446" s="254"/>
      <c r="AA446" s="254"/>
      <c r="AB446" s="254"/>
      <c r="AC446" s="254"/>
    </row>
    <row r="447" ht="12.75" customHeight="1" spans="1:29">
      <c r="A447" s="254"/>
      <c r="B447" s="254"/>
      <c r="C447" s="254"/>
      <c r="D447" s="276"/>
      <c r="E447" s="254"/>
      <c r="F447" s="254"/>
      <c r="G447" s="254"/>
      <c r="H447" s="254"/>
      <c r="I447" s="254"/>
      <c r="J447" s="254"/>
      <c r="K447" s="254"/>
      <c r="L447" s="254"/>
      <c r="M447" s="254"/>
      <c r="N447" s="254"/>
      <c r="O447" s="254"/>
      <c r="P447" s="254"/>
      <c r="Q447" s="254"/>
      <c r="R447" s="254"/>
      <c r="S447" s="254"/>
      <c r="T447" s="254"/>
      <c r="U447" s="254"/>
      <c r="V447" s="254"/>
      <c r="W447" s="254"/>
      <c r="X447" s="254"/>
      <c r="Y447" s="254"/>
      <c r="Z447" s="254"/>
      <c r="AA447" s="254"/>
      <c r="AB447" s="254"/>
      <c r="AC447" s="254"/>
    </row>
    <row r="448" ht="12.75" customHeight="1" spans="1:29">
      <c r="A448" s="254"/>
      <c r="B448" s="254"/>
      <c r="C448" s="254"/>
      <c r="D448" s="276"/>
      <c r="E448" s="254"/>
      <c r="F448" s="254"/>
      <c r="G448" s="254"/>
      <c r="H448" s="254"/>
      <c r="I448" s="254"/>
      <c r="J448" s="254"/>
      <c r="K448" s="254"/>
      <c r="L448" s="254"/>
      <c r="M448" s="254"/>
      <c r="N448" s="254"/>
      <c r="O448" s="254"/>
      <c r="P448" s="254"/>
      <c r="Q448" s="254"/>
      <c r="R448" s="254"/>
      <c r="S448" s="254"/>
      <c r="T448" s="254"/>
      <c r="U448" s="254"/>
      <c r="V448" s="254"/>
      <c r="W448" s="254"/>
      <c r="X448" s="254"/>
      <c r="Y448" s="254"/>
      <c r="Z448" s="254"/>
      <c r="AA448" s="254"/>
      <c r="AB448" s="254"/>
      <c r="AC448" s="254"/>
    </row>
    <row r="449" ht="12.75" customHeight="1" spans="1:29">
      <c r="A449" s="254"/>
      <c r="B449" s="254"/>
      <c r="C449" s="254"/>
      <c r="D449" s="276"/>
      <c r="E449" s="254"/>
      <c r="F449" s="254"/>
      <c r="G449" s="254"/>
      <c r="H449" s="254"/>
      <c r="I449" s="254"/>
      <c r="J449" s="254"/>
      <c r="K449" s="254"/>
      <c r="L449" s="254"/>
      <c r="M449" s="254"/>
      <c r="N449" s="254"/>
      <c r="O449" s="254"/>
      <c r="P449" s="254"/>
      <c r="Q449" s="254"/>
      <c r="R449" s="254"/>
      <c r="S449" s="254"/>
      <c r="T449" s="254"/>
      <c r="U449" s="254"/>
      <c r="V449" s="254"/>
      <c r="W449" s="254"/>
      <c r="X449" s="254"/>
      <c r="Y449" s="254"/>
      <c r="Z449" s="254"/>
      <c r="AA449" s="254"/>
      <c r="AB449" s="254"/>
      <c r="AC449" s="254"/>
    </row>
    <row r="450" ht="12.75" customHeight="1" spans="1:29">
      <c r="A450" s="254"/>
      <c r="B450" s="254"/>
      <c r="C450" s="254"/>
      <c r="D450" s="276"/>
      <c r="E450" s="254"/>
      <c r="F450" s="254"/>
      <c r="G450" s="254"/>
      <c r="H450" s="254"/>
      <c r="I450" s="254"/>
      <c r="J450" s="254"/>
      <c r="K450" s="254"/>
      <c r="L450" s="254"/>
      <c r="M450" s="254"/>
      <c r="N450" s="254"/>
      <c r="O450" s="254"/>
      <c r="P450" s="254"/>
      <c r="Q450" s="254"/>
      <c r="R450" s="254"/>
      <c r="S450" s="254"/>
      <c r="T450" s="254"/>
      <c r="U450" s="254"/>
      <c r="V450" s="254"/>
      <c r="W450" s="254"/>
      <c r="X450" s="254"/>
      <c r="Y450" s="254"/>
      <c r="Z450" s="254"/>
      <c r="AA450" s="254"/>
      <c r="AB450" s="254"/>
      <c r="AC450" s="254"/>
    </row>
    <row r="451" ht="12.75" customHeight="1" spans="1:29">
      <c r="A451" s="254"/>
      <c r="B451" s="254"/>
      <c r="C451" s="254"/>
      <c r="D451" s="276"/>
      <c r="E451" s="254"/>
      <c r="F451" s="254"/>
      <c r="G451" s="254"/>
      <c r="H451" s="254"/>
      <c r="I451" s="254"/>
      <c r="J451" s="254"/>
      <c r="K451" s="254"/>
      <c r="L451" s="254"/>
      <c r="M451" s="254"/>
      <c r="N451" s="254"/>
      <c r="O451" s="254"/>
      <c r="P451" s="254"/>
      <c r="Q451" s="254"/>
      <c r="R451" s="254"/>
      <c r="S451" s="254"/>
      <c r="T451" s="254"/>
      <c r="U451" s="254"/>
      <c r="V451" s="254"/>
      <c r="W451" s="254"/>
      <c r="X451" s="254"/>
      <c r="Y451" s="254"/>
      <c r="Z451" s="254"/>
      <c r="AA451" s="254"/>
      <c r="AB451" s="254"/>
      <c r="AC451" s="254"/>
    </row>
    <row r="452" ht="12.75" customHeight="1" spans="1:29">
      <c r="A452" s="254"/>
      <c r="B452" s="254"/>
      <c r="C452" s="254"/>
      <c r="D452" s="276"/>
      <c r="E452" s="254"/>
      <c r="F452" s="254"/>
      <c r="G452" s="254"/>
      <c r="H452" s="254"/>
      <c r="I452" s="254"/>
      <c r="J452" s="254"/>
      <c r="K452" s="254"/>
      <c r="L452" s="254"/>
      <c r="M452" s="254"/>
      <c r="N452" s="254"/>
      <c r="O452" s="254"/>
      <c r="P452" s="254"/>
      <c r="Q452" s="254"/>
      <c r="R452" s="254"/>
      <c r="S452" s="254"/>
      <c r="T452" s="254"/>
      <c r="U452" s="254"/>
      <c r="V452" s="254"/>
      <c r="W452" s="254"/>
      <c r="X452" s="254"/>
      <c r="Y452" s="254"/>
      <c r="Z452" s="254"/>
      <c r="AA452" s="254"/>
      <c r="AB452" s="254"/>
      <c r="AC452" s="254"/>
    </row>
    <row r="453" ht="12.75" customHeight="1" spans="1:29">
      <c r="A453" s="254"/>
      <c r="B453" s="254"/>
      <c r="C453" s="254"/>
      <c r="D453" s="276"/>
      <c r="E453" s="254"/>
      <c r="F453" s="254"/>
      <c r="G453" s="254"/>
      <c r="H453" s="254"/>
      <c r="I453" s="254"/>
      <c r="J453" s="254"/>
      <c r="K453" s="254"/>
      <c r="L453" s="254"/>
      <c r="M453" s="254"/>
      <c r="N453" s="254"/>
      <c r="O453" s="254"/>
      <c r="P453" s="254"/>
      <c r="Q453" s="254"/>
      <c r="R453" s="254"/>
      <c r="S453" s="254"/>
      <c r="T453" s="254"/>
      <c r="U453" s="254"/>
      <c r="V453" s="254"/>
      <c r="W453" s="254"/>
      <c r="X453" s="254"/>
      <c r="Y453" s="254"/>
      <c r="Z453" s="254"/>
      <c r="AA453" s="254"/>
      <c r="AB453" s="254"/>
      <c r="AC453" s="254"/>
    </row>
    <row r="454" ht="12.75" customHeight="1" spans="1:29">
      <c r="A454" s="254"/>
      <c r="B454" s="254"/>
      <c r="C454" s="254"/>
      <c r="D454" s="276"/>
      <c r="E454" s="254"/>
      <c r="F454" s="254"/>
      <c r="G454" s="254"/>
      <c r="H454" s="254"/>
      <c r="I454" s="254"/>
      <c r="J454" s="254"/>
      <c r="K454" s="254"/>
      <c r="L454" s="254"/>
      <c r="M454" s="254"/>
      <c r="N454" s="254"/>
      <c r="O454" s="254"/>
      <c r="P454" s="254"/>
      <c r="Q454" s="254"/>
      <c r="R454" s="254"/>
      <c r="S454" s="254"/>
      <c r="T454" s="254"/>
      <c r="U454" s="254"/>
      <c r="V454" s="254"/>
      <c r="W454" s="254"/>
      <c r="X454" s="254"/>
      <c r="Y454" s="254"/>
      <c r="Z454" s="254"/>
      <c r="AA454" s="254"/>
      <c r="AB454" s="254"/>
      <c r="AC454" s="254"/>
    </row>
    <row r="455" ht="12.75" customHeight="1" spans="1:29">
      <c r="A455" s="254"/>
      <c r="B455" s="254"/>
      <c r="C455" s="254"/>
      <c r="D455" s="276"/>
      <c r="E455" s="254"/>
      <c r="F455" s="254"/>
      <c r="G455" s="254"/>
      <c r="H455" s="254"/>
      <c r="I455" s="254"/>
      <c r="J455" s="254"/>
      <c r="K455" s="254"/>
      <c r="L455" s="254"/>
      <c r="M455" s="254"/>
      <c r="N455" s="254"/>
      <c r="O455" s="254"/>
      <c r="P455" s="254"/>
      <c r="Q455" s="254"/>
      <c r="R455" s="254"/>
      <c r="S455" s="254"/>
      <c r="T455" s="254"/>
      <c r="U455" s="254"/>
      <c r="V455" s="254"/>
      <c r="W455" s="254"/>
      <c r="X455" s="254"/>
      <c r="Y455" s="254"/>
      <c r="Z455" s="254"/>
      <c r="AA455" s="254"/>
      <c r="AB455" s="254"/>
      <c r="AC455" s="254"/>
    </row>
    <row r="456" ht="12.75" customHeight="1" spans="1:29">
      <c r="A456" s="254"/>
      <c r="B456" s="254"/>
      <c r="C456" s="254"/>
      <c r="D456" s="276"/>
      <c r="E456" s="254"/>
      <c r="F456" s="254"/>
      <c r="G456" s="254"/>
      <c r="H456" s="254"/>
      <c r="I456" s="254"/>
      <c r="J456" s="254"/>
      <c r="K456" s="254"/>
      <c r="L456" s="254"/>
      <c r="M456" s="254"/>
      <c r="N456" s="254"/>
      <c r="O456" s="254"/>
      <c r="P456" s="254"/>
      <c r="Q456" s="254"/>
      <c r="R456" s="254"/>
      <c r="S456" s="254"/>
      <c r="T456" s="254"/>
      <c r="U456" s="254"/>
      <c r="V456" s="254"/>
      <c r="W456" s="254"/>
      <c r="X456" s="254"/>
      <c r="Y456" s="254"/>
      <c r="Z456" s="254"/>
      <c r="AA456" s="254"/>
      <c r="AB456" s="254"/>
      <c r="AC456" s="254"/>
    </row>
    <row r="457" ht="12.75" customHeight="1" spans="1:29">
      <c r="A457" s="254"/>
      <c r="B457" s="254"/>
      <c r="C457" s="254"/>
      <c r="D457" s="276"/>
      <c r="E457" s="254"/>
      <c r="F457" s="254"/>
      <c r="G457" s="254"/>
      <c r="H457" s="254"/>
      <c r="I457" s="254"/>
      <c r="J457" s="254"/>
      <c r="K457" s="254"/>
      <c r="L457" s="254"/>
      <c r="M457" s="254"/>
      <c r="N457" s="254"/>
      <c r="O457" s="254"/>
      <c r="P457" s="254"/>
      <c r="Q457" s="254"/>
      <c r="R457" s="254"/>
      <c r="S457" s="254"/>
      <c r="T457" s="254"/>
      <c r="U457" s="254"/>
      <c r="V457" s="254"/>
      <c r="W457" s="254"/>
      <c r="X457" s="254"/>
      <c r="Y457" s="254"/>
      <c r="Z457" s="254"/>
      <c r="AA457" s="254"/>
      <c r="AB457" s="254"/>
      <c r="AC457" s="254"/>
    </row>
    <row r="458" ht="12.75" customHeight="1" spans="1:29">
      <c r="A458" s="254"/>
      <c r="B458" s="254"/>
      <c r="C458" s="254"/>
      <c r="D458" s="276"/>
      <c r="E458" s="254"/>
      <c r="F458" s="254"/>
      <c r="G458" s="254"/>
      <c r="H458" s="254"/>
      <c r="I458" s="254"/>
      <c r="J458" s="254"/>
      <c r="K458" s="254"/>
      <c r="L458" s="254"/>
      <c r="M458" s="254"/>
      <c r="N458" s="254"/>
      <c r="O458" s="254"/>
      <c r="P458" s="254"/>
      <c r="Q458" s="254"/>
      <c r="R458" s="254"/>
      <c r="S458" s="254"/>
      <c r="T458" s="254"/>
      <c r="U458" s="254"/>
      <c r="V458" s="254"/>
      <c r="W458" s="254"/>
      <c r="X458" s="254"/>
      <c r="Y458" s="254"/>
      <c r="Z458" s="254"/>
      <c r="AA458" s="254"/>
      <c r="AB458" s="254"/>
      <c r="AC458" s="254"/>
    </row>
    <row r="459" ht="12.75" customHeight="1" spans="1:29">
      <c r="A459" s="254"/>
      <c r="B459" s="254"/>
      <c r="C459" s="254"/>
      <c r="D459" s="276"/>
      <c r="E459" s="254"/>
      <c r="F459" s="254"/>
      <c r="G459" s="254"/>
      <c r="H459" s="254"/>
      <c r="I459" s="254"/>
      <c r="J459" s="254"/>
      <c r="K459" s="254"/>
      <c r="L459" s="254"/>
      <c r="M459" s="254"/>
      <c r="N459" s="254"/>
      <c r="O459" s="254"/>
      <c r="P459" s="254"/>
      <c r="Q459" s="254"/>
      <c r="R459" s="254"/>
      <c r="S459" s="254"/>
      <c r="T459" s="254"/>
      <c r="U459" s="254"/>
      <c r="V459" s="254"/>
      <c r="W459" s="254"/>
      <c r="X459" s="254"/>
      <c r="Y459" s="254"/>
      <c r="Z459" s="254"/>
      <c r="AA459" s="254"/>
      <c r="AB459" s="254"/>
      <c r="AC459" s="254"/>
    </row>
    <row r="460" ht="12.75" customHeight="1" spans="1:29">
      <c r="A460" s="254"/>
      <c r="B460" s="254"/>
      <c r="C460" s="254"/>
      <c r="D460" s="276"/>
      <c r="E460" s="254"/>
      <c r="F460" s="254"/>
      <c r="G460" s="254"/>
      <c r="H460" s="254"/>
      <c r="I460" s="254"/>
      <c r="J460" s="254"/>
      <c r="K460" s="254"/>
      <c r="L460" s="254"/>
      <c r="M460" s="254"/>
      <c r="N460" s="254"/>
      <c r="O460" s="254"/>
      <c r="P460" s="254"/>
      <c r="Q460" s="254"/>
      <c r="R460" s="254"/>
      <c r="S460" s="254"/>
      <c r="T460" s="254"/>
      <c r="U460" s="254"/>
      <c r="V460" s="254"/>
      <c r="W460" s="254"/>
      <c r="X460" s="254"/>
      <c r="Y460" s="254"/>
      <c r="Z460" s="254"/>
      <c r="AA460" s="254"/>
      <c r="AB460" s="254"/>
      <c r="AC460" s="254"/>
    </row>
    <row r="461" ht="12.75" customHeight="1" spans="1:29">
      <c r="A461" s="254"/>
      <c r="B461" s="254"/>
      <c r="C461" s="254"/>
      <c r="D461" s="276"/>
      <c r="E461" s="254"/>
      <c r="F461" s="254"/>
      <c r="G461" s="254"/>
      <c r="H461" s="254"/>
      <c r="I461" s="254"/>
      <c r="J461" s="254"/>
      <c r="K461" s="254"/>
      <c r="L461" s="254"/>
      <c r="M461" s="254"/>
      <c r="N461" s="254"/>
      <c r="O461" s="254"/>
      <c r="P461" s="254"/>
      <c r="Q461" s="254"/>
      <c r="R461" s="254"/>
      <c r="S461" s="254"/>
      <c r="T461" s="254"/>
      <c r="U461" s="254"/>
      <c r="V461" s="254"/>
      <c r="W461" s="254"/>
      <c r="X461" s="254"/>
      <c r="Y461" s="254"/>
      <c r="Z461" s="254"/>
      <c r="AA461" s="254"/>
      <c r="AB461" s="254"/>
      <c r="AC461" s="254"/>
    </row>
    <row r="462" ht="12.75" customHeight="1" spans="1:29">
      <c r="A462" s="254"/>
      <c r="B462" s="254"/>
      <c r="C462" s="254"/>
      <c r="D462" s="276"/>
      <c r="E462" s="254"/>
      <c r="F462" s="254"/>
      <c r="G462" s="254"/>
      <c r="H462" s="254"/>
      <c r="I462" s="254"/>
      <c r="J462" s="254"/>
      <c r="K462" s="254"/>
      <c r="L462" s="254"/>
      <c r="M462" s="254"/>
      <c r="N462" s="254"/>
      <c r="O462" s="254"/>
      <c r="P462" s="254"/>
      <c r="Q462" s="254"/>
      <c r="R462" s="254"/>
      <c r="S462" s="254"/>
      <c r="T462" s="254"/>
      <c r="U462" s="254"/>
      <c r="V462" s="254"/>
      <c r="W462" s="254"/>
      <c r="X462" s="254"/>
      <c r="Y462" s="254"/>
      <c r="Z462" s="254"/>
      <c r="AA462" s="254"/>
      <c r="AB462" s="254"/>
      <c r="AC462" s="254"/>
    </row>
    <row r="463" ht="12.75" customHeight="1" spans="1:29">
      <c r="A463" s="254"/>
      <c r="B463" s="254"/>
      <c r="C463" s="254"/>
      <c r="D463" s="276"/>
      <c r="E463" s="254"/>
      <c r="F463" s="254"/>
      <c r="G463" s="254"/>
      <c r="H463" s="254"/>
      <c r="I463" s="254"/>
      <c r="J463" s="254"/>
      <c r="K463" s="254"/>
      <c r="L463" s="254"/>
      <c r="M463" s="254"/>
      <c r="N463" s="254"/>
      <c r="O463" s="254"/>
      <c r="P463" s="254"/>
      <c r="Q463" s="254"/>
      <c r="R463" s="254"/>
      <c r="S463" s="254"/>
      <c r="T463" s="254"/>
      <c r="U463" s="254"/>
      <c r="V463" s="254"/>
      <c r="W463" s="254"/>
      <c r="X463" s="254"/>
      <c r="Y463" s="254"/>
      <c r="Z463" s="254"/>
      <c r="AA463" s="254"/>
      <c r="AB463" s="254"/>
      <c r="AC463" s="254"/>
    </row>
    <row r="464" ht="12.75" customHeight="1" spans="1:29">
      <c r="A464" s="254"/>
      <c r="B464" s="254"/>
      <c r="C464" s="254"/>
      <c r="D464" s="276"/>
      <c r="E464" s="254"/>
      <c r="F464" s="254"/>
      <c r="G464" s="254"/>
      <c r="H464" s="254"/>
      <c r="I464" s="254"/>
      <c r="J464" s="254"/>
      <c r="K464" s="254"/>
      <c r="L464" s="254"/>
      <c r="M464" s="254"/>
      <c r="N464" s="254"/>
      <c r="O464" s="254"/>
      <c r="P464" s="254"/>
      <c r="Q464" s="254"/>
      <c r="R464" s="254"/>
      <c r="S464" s="254"/>
      <c r="T464" s="254"/>
      <c r="U464" s="254"/>
      <c r="V464" s="254"/>
      <c r="W464" s="254"/>
      <c r="X464" s="254"/>
      <c r="Y464" s="254"/>
      <c r="Z464" s="254"/>
      <c r="AA464" s="254"/>
      <c r="AB464" s="254"/>
      <c r="AC464" s="254"/>
    </row>
    <row r="465" ht="12.75" customHeight="1" spans="1:29">
      <c r="A465" s="254"/>
      <c r="B465" s="254"/>
      <c r="C465" s="254"/>
      <c r="D465" s="276"/>
      <c r="E465" s="254"/>
      <c r="F465" s="254"/>
      <c r="G465" s="254"/>
      <c r="H465" s="254"/>
      <c r="I465" s="254"/>
      <c r="J465" s="254"/>
      <c r="K465" s="254"/>
      <c r="L465" s="254"/>
      <c r="M465" s="254"/>
      <c r="N465" s="254"/>
      <c r="O465" s="254"/>
      <c r="P465" s="254"/>
      <c r="Q465" s="254"/>
      <c r="R465" s="254"/>
      <c r="S465" s="254"/>
      <c r="T465" s="254"/>
      <c r="U465" s="254"/>
      <c r="V465" s="254"/>
      <c r="W465" s="254"/>
      <c r="X465" s="254"/>
      <c r="Y465" s="254"/>
      <c r="Z465" s="254"/>
      <c r="AA465" s="254"/>
      <c r="AB465" s="254"/>
      <c r="AC465" s="254"/>
    </row>
    <row r="466" ht="12.75" customHeight="1" spans="1:29">
      <c r="A466" s="254"/>
      <c r="B466" s="254"/>
      <c r="C466" s="254"/>
      <c r="D466" s="276"/>
      <c r="E466" s="254"/>
      <c r="F466" s="254"/>
      <c r="G466" s="254"/>
      <c r="H466" s="254"/>
      <c r="I466" s="254"/>
      <c r="J466" s="254"/>
      <c r="K466" s="254"/>
      <c r="L466" s="254"/>
      <c r="M466" s="254"/>
      <c r="N466" s="254"/>
      <c r="O466" s="254"/>
      <c r="P466" s="254"/>
      <c r="Q466" s="254"/>
      <c r="R466" s="254"/>
      <c r="S466" s="254"/>
      <c r="T466" s="254"/>
      <c r="U466" s="254"/>
      <c r="V466" s="254"/>
      <c r="W466" s="254"/>
      <c r="X466" s="254"/>
      <c r="Y466" s="254"/>
      <c r="Z466" s="254"/>
      <c r="AA466" s="254"/>
      <c r="AB466" s="254"/>
      <c r="AC466" s="254"/>
    </row>
    <row r="467" ht="12.75" customHeight="1" spans="1:29">
      <c r="A467" s="254"/>
      <c r="B467" s="254"/>
      <c r="C467" s="254"/>
      <c r="D467" s="276"/>
      <c r="E467" s="254"/>
      <c r="F467" s="254"/>
      <c r="G467" s="254"/>
      <c r="H467" s="254"/>
      <c r="I467" s="254"/>
      <c r="J467" s="254"/>
      <c r="K467" s="254"/>
      <c r="L467" s="254"/>
      <c r="M467" s="254"/>
      <c r="N467" s="254"/>
      <c r="O467" s="254"/>
      <c r="P467" s="254"/>
      <c r="Q467" s="254"/>
      <c r="R467" s="254"/>
      <c r="S467" s="254"/>
      <c r="T467" s="254"/>
      <c r="U467" s="254"/>
      <c r="V467" s="254"/>
      <c r="W467" s="254"/>
      <c r="X467" s="254"/>
      <c r="Y467" s="254"/>
      <c r="Z467" s="254"/>
      <c r="AA467" s="254"/>
      <c r="AB467" s="254"/>
      <c r="AC467" s="254"/>
    </row>
    <row r="468" ht="12.75" customHeight="1" spans="1:29">
      <c r="A468" s="254"/>
      <c r="B468" s="254"/>
      <c r="C468" s="254"/>
      <c r="D468" s="276"/>
      <c r="E468" s="254"/>
      <c r="F468" s="254"/>
      <c r="G468" s="254"/>
      <c r="H468" s="254"/>
      <c r="I468" s="254"/>
      <c r="J468" s="254"/>
      <c r="K468" s="254"/>
      <c r="L468" s="254"/>
      <c r="M468" s="254"/>
      <c r="N468" s="254"/>
      <c r="O468" s="254"/>
      <c r="P468" s="254"/>
      <c r="Q468" s="254"/>
      <c r="R468" s="254"/>
      <c r="S468" s="254"/>
      <c r="T468" s="254"/>
      <c r="U468" s="254"/>
      <c r="V468" s="254"/>
      <c r="W468" s="254"/>
      <c r="X468" s="254"/>
      <c r="Y468" s="254"/>
      <c r="Z468" s="254"/>
      <c r="AA468" s="254"/>
      <c r="AB468" s="254"/>
      <c r="AC468" s="254"/>
    </row>
    <row r="469" ht="12.75" customHeight="1" spans="1:29">
      <c r="A469" s="254"/>
      <c r="B469" s="254"/>
      <c r="C469" s="254"/>
      <c r="D469" s="276"/>
      <c r="E469" s="254"/>
      <c r="F469" s="254"/>
      <c r="G469" s="254"/>
      <c r="H469" s="254"/>
      <c r="I469" s="254"/>
      <c r="J469" s="254"/>
      <c r="K469" s="254"/>
      <c r="L469" s="254"/>
      <c r="M469" s="254"/>
      <c r="N469" s="254"/>
      <c r="O469" s="254"/>
      <c r="P469" s="254"/>
      <c r="Q469" s="254"/>
      <c r="R469" s="254"/>
      <c r="S469" s="254"/>
      <c r="T469" s="254"/>
      <c r="U469" s="254"/>
      <c r="V469" s="254"/>
      <c r="W469" s="254"/>
      <c r="X469" s="254"/>
      <c r="Y469" s="254"/>
      <c r="Z469" s="254"/>
      <c r="AA469" s="254"/>
      <c r="AB469" s="254"/>
      <c r="AC469" s="254"/>
    </row>
    <row r="470" ht="12.75" customHeight="1" spans="1:29">
      <c r="A470" s="254"/>
      <c r="B470" s="254"/>
      <c r="C470" s="254"/>
      <c r="D470" s="276"/>
      <c r="E470" s="254"/>
      <c r="F470" s="254"/>
      <c r="G470" s="254"/>
      <c r="H470" s="254"/>
      <c r="I470" s="254"/>
      <c r="J470" s="254"/>
      <c r="K470" s="254"/>
      <c r="L470" s="254"/>
      <c r="M470" s="254"/>
      <c r="N470" s="254"/>
      <c r="O470" s="254"/>
      <c r="P470" s="254"/>
      <c r="Q470" s="254"/>
      <c r="R470" s="254"/>
      <c r="S470" s="254"/>
      <c r="T470" s="254"/>
      <c r="U470" s="254"/>
      <c r="V470" s="254"/>
      <c r="W470" s="254"/>
      <c r="X470" s="254"/>
      <c r="Y470" s="254"/>
      <c r="Z470" s="254"/>
      <c r="AA470" s="254"/>
      <c r="AB470" s="254"/>
      <c r="AC470" s="254"/>
    </row>
    <row r="471" ht="12.75" customHeight="1" spans="1:29">
      <c r="A471" s="254"/>
      <c r="B471" s="254"/>
      <c r="C471" s="254"/>
      <c r="D471" s="276"/>
      <c r="E471" s="254"/>
      <c r="F471" s="254"/>
      <c r="G471" s="254"/>
      <c r="H471" s="254"/>
      <c r="I471" s="254"/>
      <c r="J471" s="254"/>
      <c r="K471" s="254"/>
      <c r="L471" s="254"/>
      <c r="M471" s="254"/>
      <c r="N471" s="254"/>
      <c r="O471" s="254"/>
      <c r="P471" s="254"/>
      <c r="Q471" s="254"/>
      <c r="R471" s="254"/>
      <c r="S471" s="254"/>
      <c r="T471" s="254"/>
      <c r="U471" s="254"/>
      <c r="V471" s="254"/>
      <c r="W471" s="254"/>
      <c r="X471" s="254"/>
      <c r="Y471" s="254"/>
      <c r="Z471" s="254"/>
      <c r="AA471" s="254"/>
      <c r="AB471" s="254"/>
      <c r="AC471" s="254"/>
    </row>
    <row r="472" ht="12.75" customHeight="1" spans="1:29">
      <c r="A472" s="254"/>
      <c r="B472" s="254"/>
      <c r="C472" s="254"/>
      <c r="D472" s="276"/>
      <c r="E472" s="254"/>
      <c r="F472" s="254"/>
      <c r="G472" s="254"/>
      <c r="H472" s="254"/>
      <c r="I472" s="254"/>
      <c r="J472" s="254"/>
      <c r="K472" s="254"/>
      <c r="L472" s="254"/>
      <c r="M472" s="254"/>
      <c r="N472" s="254"/>
      <c r="O472" s="254"/>
      <c r="P472" s="254"/>
      <c r="Q472" s="254"/>
      <c r="R472" s="254"/>
      <c r="S472" s="254"/>
      <c r="T472" s="254"/>
      <c r="U472" s="254"/>
      <c r="V472" s="254"/>
      <c r="W472" s="254"/>
      <c r="X472" s="254"/>
      <c r="Y472" s="254"/>
      <c r="Z472" s="254"/>
      <c r="AA472" s="254"/>
      <c r="AB472" s="254"/>
      <c r="AC472" s="254"/>
    </row>
    <row r="473" ht="12.75" customHeight="1" spans="1:29">
      <c r="A473" s="254"/>
      <c r="B473" s="254"/>
      <c r="C473" s="254"/>
      <c r="D473" s="276"/>
      <c r="E473" s="254"/>
      <c r="F473" s="254"/>
      <c r="G473" s="254"/>
      <c r="H473" s="254"/>
      <c r="I473" s="254"/>
      <c r="J473" s="254"/>
      <c r="K473" s="254"/>
      <c r="L473" s="254"/>
      <c r="M473" s="254"/>
      <c r="N473" s="254"/>
      <c r="O473" s="254"/>
      <c r="P473" s="254"/>
      <c r="Q473" s="254"/>
      <c r="R473" s="254"/>
      <c r="S473" s="254"/>
      <c r="T473" s="254"/>
      <c r="U473" s="254"/>
      <c r="V473" s="254"/>
      <c r="W473" s="254"/>
      <c r="X473" s="254"/>
      <c r="Y473" s="254"/>
      <c r="Z473" s="254"/>
      <c r="AA473" s="254"/>
      <c r="AB473" s="254"/>
      <c r="AC473" s="254"/>
    </row>
    <row r="474" ht="12.75" customHeight="1" spans="1:29">
      <c r="A474" s="254"/>
      <c r="B474" s="254"/>
      <c r="C474" s="254"/>
      <c r="D474" s="276"/>
      <c r="E474" s="254"/>
      <c r="F474" s="254"/>
      <c r="G474" s="254"/>
      <c r="H474" s="254"/>
      <c r="I474" s="254"/>
      <c r="J474" s="254"/>
      <c r="K474" s="254"/>
      <c r="L474" s="254"/>
      <c r="M474" s="254"/>
      <c r="N474" s="254"/>
      <c r="O474" s="254"/>
      <c r="P474" s="254"/>
      <c r="Q474" s="254"/>
      <c r="R474" s="254"/>
      <c r="S474" s="254"/>
      <c r="T474" s="254"/>
      <c r="U474" s="254"/>
      <c r="V474" s="254"/>
      <c r="W474" s="254"/>
      <c r="X474" s="254"/>
      <c r="Y474" s="254"/>
      <c r="Z474" s="254"/>
      <c r="AA474" s="254"/>
      <c r="AB474" s="254"/>
      <c r="AC474" s="254"/>
    </row>
    <row r="475" ht="12.75" customHeight="1" spans="1:29">
      <c r="A475" s="254"/>
      <c r="B475" s="254"/>
      <c r="C475" s="254"/>
      <c r="D475" s="276"/>
      <c r="E475" s="254"/>
      <c r="F475" s="254"/>
      <c r="G475" s="254"/>
      <c r="H475" s="254"/>
      <c r="I475" s="254"/>
      <c r="J475" s="254"/>
      <c r="K475" s="254"/>
      <c r="L475" s="254"/>
      <c r="M475" s="254"/>
      <c r="N475" s="254"/>
      <c r="O475" s="254"/>
      <c r="P475" s="254"/>
      <c r="Q475" s="254"/>
      <c r="R475" s="254"/>
      <c r="S475" s="254"/>
      <c r="T475" s="254"/>
      <c r="U475" s="254"/>
      <c r="V475" s="254"/>
      <c r="W475" s="254"/>
      <c r="X475" s="254"/>
      <c r="Y475" s="254"/>
      <c r="Z475" s="254"/>
      <c r="AA475" s="254"/>
      <c r="AB475" s="254"/>
      <c r="AC475" s="254"/>
    </row>
    <row r="476" ht="12.75" customHeight="1" spans="1:29">
      <c r="A476" s="254"/>
      <c r="B476" s="254"/>
      <c r="C476" s="254"/>
      <c r="D476" s="276"/>
      <c r="E476" s="254"/>
      <c r="F476" s="254"/>
      <c r="G476" s="254"/>
      <c r="H476" s="254"/>
      <c r="I476" s="254"/>
      <c r="J476" s="254"/>
      <c r="K476" s="254"/>
      <c r="L476" s="254"/>
      <c r="M476" s="254"/>
      <c r="N476" s="254"/>
      <c r="O476" s="254"/>
      <c r="P476" s="254"/>
      <c r="Q476" s="254"/>
      <c r="R476" s="254"/>
      <c r="S476" s="254"/>
      <c r="T476" s="254"/>
      <c r="U476" s="254"/>
      <c r="V476" s="254"/>
      <c r="W476" s="254"/>
      <c r="X476" s="254"/>
      <c r="Y476" s="254"/>
      <c r="Z476" s="254"/>
      <c r="AA476" s="254"/>
      <c r="AB476" s="254"/>
      <c r="AC476" s="254"/>
    </row>
    <row r="477" ht="12.75" customHeight="1" spans="1:29">
      <c r="A477" s="254"/>
      <c r="B477" s="254"/>
      <c r="C477" s="254"/>
      <c r="D477" s="276"/>
      <c r="E477" s="254"/>
      <c r="F477" s="254"/>
      <c r="G477" s="254"/>
      <c r="H477" s="254"/>
      <c r="I477" s="254"/>
      <c r="J477" s="254"/>
      <c r="K477" s="254"/>
      <c r="L477" s="254"/>
      <c r="M477" s="254"/>
      <c r="N477" s="254"/>
      <c r="O477" s="254"/>
      <c r="P477" s="254"/>
      <c r="Q477" s="254"/>
      <c r="R477" s="254"/>
      <c r="S477" s="254"/>
      <c r="T477" s="254"/>
      <c r="U477" s="254"/>
      <c r="V477" s="254"/>
      <c r="W477" s="254"/>
      <c r="X477" s="254"/>
      <c r="Y477" s="254"/>
      <c r="Z477" s="254"/>
      <c r="AA477" s="254"/>
      <c r="AB477" s="254"/>
      <c r="AC477" s="254"/>
    </row>
    <row r="478" ht="12.75" customHeight="1" spans="1:29">
      <c r="A478" s="254"/>
      <c r="B478" s="254"/>
      <c r="C478" s="254"/>
      <c r="D478" s="276"/>
      <c r="E478" s="254"/>
      <c r="F478" s="254"/>
      <c r="G478" s="254"/>
      <c r="H478" s="254"/>
      <c r="I478" s="254"/>
      <c r="J478" s="254"/>
      <c r="K478" s="254"/>
      <c r="L478" s="254"/>
      <c r="M478" s="254"/>
      <c r="N478" s="254"/>
      <c r="O478" s="254"/>
      <c r="P478" s="254"/>
      <c r="Q478" s="254"/>
      <c r="R478" s="254"/>
      <c r="S478" s="254"/>
      <c r="T478" s="254"/>
      <c r="U478" s="254"/>
      <c r="V478" s="254"/>
      <c r="W478" s="254"/>
      <c r="X478" s="254"/>
      <c r="Y478" s="254"/>
      <c r="Z478" s="254"/>
      <c r="AA478" s="254"/>
      <c r="AB478" s="254"/>
      <c r="AC478" s="254"/>
    </row>
    <row r="479" ht="12.75" customHeight="1" spans="1:29">
      <c r="A479" s="254"/>
      <c r="B479" s="254"/>
      <c r="C479" s="254"/>
      <c r="D479" s="276"/>
      <c r="E479" s="254"/>
      <c r="F479" s="254"/>
      <c r="G479" s="254"/>
      <c r="H479" s="254"/>
      <c r="I479" s="254"/>
      <c r="J479" s="254"/>
      <c r="K479" s="254"/>
      <c r="L479" s="254"/>
      <c r="M479" s="254"/>
      <c r="N479" s="254"/>
      <c r="O479" s="254"/>
      <c r="P479" s="254"/>
      <c r="Q479" s="254"/>
      <c r="R479" s="254"/>
      <c r="S479" s="254"/>
      <c r="T479" s="254"/>
      <c r="U479" s="254"/>
      <c r="V479" s="254"/>
      <c r="W479" s="254"/>
      <c r="X479" s="254"/>
      <c r="Y479" s="254"/>
      <c r="Z479" s="254"/>
      <c r="AA479" s="254"/>
      <c r="AB479" s="254"/>
      <c r="AC479" s="254"/>
    </row>
    <row r="480" ht="12.75" customHeight="1" spans="1:29">
      <c r="A480" s="254"/>
      <c r="B480" s="254"/>
      <c r="C480" s="254"/>
      <c r="D480" s="276"/>
      <c r="E480" s="254"/>
      <c r="F480" s="254"/>
      <c r="G480" s="254"/>
      <c r="H480" s="254"/>
      <c r="I480" s="254"/>
      <c r="J480" s="254"/>
      <c r="K480" s="254"/>
      <c r="L480" s="254"/>
      <c r="M480" s="254"/>
      <c r="N480" s="254"/>
      <c r="O480" s="254"/>
      <c r="P480" s="254"/>
      <c r="Q480" s="254"/>
      <c r="R480" s="254"/>
      <c r="S480" s="254"/>
      <c r="T480" s="254"/>
      <c r="U480" s="254"/>
      <c r="V480" s="254"/>
      <c r="W480" s="254"/>
      <c r="X480" s="254"/>
      <c r="Y480" s="254"/>
      <c r="Z480" s="254"/>
      <c r="AA480" s="254"/>
      <c r="AB480" s="254"/>
      <c r="AC480" s="254"/>
    </row>
    <row r="481" ht="12.75" customHeight="1" spans="1:29">
      <c r="A481" s="254"/>
      <c r="B481" s="254"/>
      <c r="C481" s="254"/>
      <c r="D481" s="276"/>
      <c r="E481" s="254"/>
      <c r="F481" s="254"/>
      <c r="G481" s="254"/>
      <c r="H481" s="254"/>
      <c r="I481" s="254"/>
      <c r="J481" s="254"/>
      <c r="K481" s="254"/>
      <c r="L481" s="254"/>
      <c r="M481" s="254"/>
      <c r="N481" s="254"/>
      <c r="O481" s="254"/>
      <c r="P481" s="254"/>
      <c r="Q481" s="254"/>
      <c r="R481" s="254"/>
      <c r="S481" s="254"/>
      <c r="T481" s="254"/>
      <c r="U481" s="254"/>
      <c r="V481" s="254"/>
      <c r="W481" s="254"/>
      <c r="X481" s="254"/>
      <c r="Y481" s="254"/>
      <c r="Z481" s="254"/>
      <c r="AA481" s="254"/>
      <c r="AB481" s="254"/>
      <c r="AC481" s="254"/>
    </row>
    <row r="482" ht="12.75" customHeight="1" spans="1:29">
      <c r="A482" s="254"/>
      <c r="B482" s="254"/>
      <c r="C482" s="254"/>
      <c r="D482" s="276"/>
      <c r="E482" s="254"/>
      <c r="F482" s="254"/>
      <c r="G482" s="254"/>
      <c r="H482" s="254"/>
      <c r="I482" s="254"/>
      <c r="J482" s="254"/>
      <c r="K482" s="254"/>
      <c r="L482" s="254"/>
      <c r="M482" s="254"/>
      <c r="N482" s="254"/>
      <c r="O482" s="254"/>
      <c r="P482" s="254"/>
      <c r="Q482" s="254"/>
      <c r="R482" s="254"/>
      <c r="S482" s="254"/>
      <c r="T482" s="254"/>
      <c r="U482" s="254"/>
      <c r="V482" s="254"/>
      <c r="W482" s="254"/>
      <c r="X482" s="254"/>
      <c r="Y482" s="254"/>
      <c r="Z482" s="254"/>
      <c r="AA482" s="254"/>
      <c r="AB482" s="254"/>
      <c r="AC482" s="254"/>
    </row>
    <row r="483" ht="12.75" customHeight="1" spans="1:29">
      <c r="A483" s="254"/>
      <c r="B483" s="254"/>
      <c r="C483" s="254"/>
      <c r="D483" s="276"/>
      <c r="E483" s="254"/>
      <c r="F483" s="254"/>
      <c r="G483" s="254"/>
      <c r="H483" s="254"/>
      <c r="I483" s="254"/>
      <c r="J483" s="254"/>
      <c r="K483" s="254"/>
      <c r="L483" s="254"/>
      <c r="M483" s="254"/>
      <c r="N483" s="254"/>
      <c r="O483" s="254"/>
      <c r="P483" s="254"/>
      <c r="Q483" s="254"/>
      <c r="R483" s="254"/>
      <c r="S483" s="254"/>
      <c r="T483" s="254"/>
      <c r="U483" s="254"/>
      <c r="V483" s="254"/>
      <c r="W483" s="254"/>
      <c r="X483" s="254"/>
      <c r="Y483" s="254"/>
      <c r="Z483" s="254"/>
      <c r="AA483" s="254"/>
      <c r="AB483" s="254"/>
      <c r="AC483" s="254"/>
    </row>
    <row r="484" ht="12.75" customHeight="1" spans="1:29">
      <c r="A484" s="254"/>
      <c r="B484" s="254"/>
      <c r="C484" s="254"/>
      <c r="D484" s="276"/>
      <c r="E484" s="254"/>
      <c r="F484" s="254"/>
      <c r="G484" s="254"/>
      <c r="H484" s="254"/>
      <c r="I484" s="254"/>
      <c r="J484" s="254"/>
      <c r="K484" s="254"/>
      <c r="L484" s="254"/>
      <c r="M484" s="254"/>
      <c r="N484" s="254"/>
      <c r="O484" s="254"/>
      <c r="P484" s="254"/>
      <c r="Q484" s="254"/>
      <c r="R484" s="254"/>
      <c r="S484" s="254"/>
      <c r="T484" s="254"/>
      <c r="U484" s="254"/>
      <c r="V484" s="254"/>
      <c r="W484" s="254"/>
      <c r="X484" s="254"/>
      <c r="Y484" s="254"/>
      <c r="Z484" s="254"/>
      <c r="AA484" s="254"/>
      <c r="AB484" s="254"/>
      <c r="AC484" s="254"/>
    </row>
    <row r="485" ht="12.75" customHeight="1" spans="1:29">
      <c r="A485" s="254"/>
      <c r="B485" s="254"/>
      <c r="C485" s="254"/>
      <c r="D485" s="276"/>
      <c r="E485" s="254"/>
      <c r="F485" s="254"/>
      <c r="G485" s="254"/>
      <c r="H485" s="254"/>
      <c r="I485" s="254"/>
      <c r="J485" s="254"/>
      <c r="K485" s="254"/>
      <c r="L485" s="254"/>
      <c r="M485" s="254"/>
      <c r="N485" s="254"/>
      <c r="O485" s="254"/>
      <c r="P485" s="254"/>
      <c r="Q485" s="254"/>
      <c r="R485" s="254"/>
      <c r="S485" s="254"/>
      <c r="T485" s="254"/>
      <c r="U485" s="254"/>
      <c r="V485" s="254"/>
      <c r="W485" s="254"/>
      <c r="X485" s="254"/>
      <c r="Y485" s="254"/>
      <c r="Z485" s="254"/>
      <c r="AA485" s="254"/>
      <c r="AB485" s="254"/>
      <c r="AC485" s="254"/>
    </row>
    <row r="486" ht="12.75" customHeight="1" spans="1:29">
      <c r="A486" s="254"/>
      <c r="B486" s="254"/>
      <c r="C486" s="254"/>
      <c r="D486" s="276"/>
      <c r="E486" s="254"/>
      <c r="F486" s="254"/>
      <c r="G486" s="254"/>
      <c r="H486" s="254"/>
      <c r="I486" s="254"/>
      <c r="J486" s="254"/>
      <c r="K486" s="254"/>
      <c r="L486" s="254"/>
      <c r="M486" s="254"/>
      <c r="N486" s="254"/>
      <c r="O486" s="254"/>
      <c r="P486" s="254"/>
      <c r="Q486" s="254"/>
      <c r="R486" s="254"/>
      <c r="S486" s="254"/>
      <c r="T486" s="254"/>
      <c r="U486" s="254"/>
      <c r="V486" s="254"/>
      <c r="W486" s="254"/>
      <c r="X486" s="254"/>
      <c r="Y486" s="254"/>
      <c r="Z486" s="254"/>
      <c r="AA486" s="254"/>
      <c r="AB486" s="254"/>
      <c r="AC486" s="254"/>
    </row>
    <row r="487" ht="12.75" customHeight="1" spans="1:29">
      <c r="A487" s="254"/>
      <c r="B487" s="254"/>
      <c r="C487" s="254"/>
      <c r="D487" s="276"/>
      <c r="E487" s="254"/>
      <c r="F487" s="254"/>
      <c r="G487" s="254"/>
      <c r="H487" s="254"/>
      <c r="I487" s="254"/>
      <c r="J487" s="254"/>
      <c r="K487" s="254"/>
      <c r="L487" s="254"/>
      <c r="M487" s="254"/>
      <c r="N487" s="254"/>
      <c r="O487" s="254"/>
      <c r="P487" s="254"/>
      <c r="Q487" s="254"/>
      <c r="R487" s="254"/>
      <c r="S487" s="254"/>
      <c r="T487" s="254"/>
      <c r="U487" s="254"/>
      <c r="V487" s="254"/>
      <c r="W487" s="254"/>
      <c r="X487" s="254"/>
      <c r="Y487" s="254"/>
      <c r="Z487" s="254"/>
      <c r="AA487" s="254"/>
      <c r="AB487" s="254"/>
      <c r="AC487" s="254"/>
    </row>
    <row r="488" ht="12.75" customHeight="1" spans="1:29">
      <c r="A488" s="254"/>
      <c r="B488" s="254"/>
      <c r="C488" s="254"/>
      <c r="D488" s="276"/>
      <c r="E488" s="254"/>
      <c r="F488" s="254"/>
      <c r="G488" s="254"/>
      <c r="H488" s="254"/>
      <c r="I488" s="254"/>
      <c r="J488" s="254"/>
      <c r="K488" s="254"/>
      <c r="L488" s="254"/>
      <c r="M488" s="254"/>
      <c r="N488" s="254"/>
      <c r="O488" s="254"/>
      <c r="P488" s="254"/>
      <c r="Q488" s="254"/>
      <c r="R488" s="254"/>
      <c r="S488" s="254"/>
      <c r="T488" s="254"/>
      <c r="U488" s="254"/>
      <c r="V488" s="254"/>
      <c r="W488" s="254"/>
      <c r="X488" s="254"/>
      <c r="Y488" s="254"/>
      <c r="Z488" s="254"/>
      <c r="AA488" s="254"/>
      <c r="AB488" s="254"/>
      <c r="AC488" s="254"/>
    </row>
    <row r="489" ht="12.75" customHeight="1" spans="1:29">
      <c r="A489" s="254"/>
      <c r="B489" s="254"/>
      <c r="C489" s="254"/>
      <c r="D489" s="276"/>
      <c r="E489" s="254"/>
      <c r="F489" s="254"/>
      <c r="G489" s="254"/>
      <c r="H489" s="254"/>
      <c r="I489" s="254"/>
      <c r="J489" s="254"/>
      <c r="K489" s="254"/>
      <c r="L489" s="254"/>
      <c r="M489" s="254"/>
      <c r="N489" s="254"/>
      <c r="O489" s="254"/>
      <c r="P489" s="254"/>
      <c r="Q489" s="254"/>
      <c r="R489" s="254"/>
      <c r="S489" s="254"/>
      <c r="T489" s="254"/>
      <c r="U489" s="254"/>
      <c r="V489" s="254"/>
      <c r="W489" s="254"/>
      <c r="X489" s="254"/>
      <c r="Y489" s="254"/>
      <c r="Z489" s="254"/>
      <c r="AA489" s="254"/>
      <c r="AB489" s="254"/>
      <c r="AC489" s="254"/>
    </row>
    <row r="490" ht="12.75" customHeight="1" spans="1:29">
      <c r="A490" s="254"/>
      <c r="B490" s="254"/>
      <c r="C490" s="254"/>
      <c r="D490" s="276"/>
      <c r="E490" s="254"/>
      <c r="F490" s="254"/>
      <c r="G490" s="254"/>
      <c r="H490" s="254"/>
      <c r="I490" s="254"/>
      <c r="J490" s="254"/>
      <c r="K490" s="254"/>
      <c r="L490" s="254"/>
      <c r="M490" s="254"/>
      <c r="N490" s="254"/>
      <c r="O490" s="254"/>
      <c r="P490" s="254"/>
      <c r="Q490" s="254"/>
      <c r="R490" s="254"/>
      <c r="S490" s="254"/>
      <c r="T490" s="254"/>
      <c r="U490" s="254"/>
      <c r="V490" s="254"/>
      <c r="W490" s="254"/>
      <c r="X490" s="254"/>
      <c r="Y490" s="254"/>
      <c r="Z490" s="254"/>
      <c r="AA490" s="254"/>
      <c r="AB490" s="254"/>
      <c r="AC490" s="254"/>
    </row>
    <row r="491" ht="12.75" customHeight="1" spans="1:29">
      <c r="A491" s="254"/>
      <c r="B491" s="254"/>
      <c r="C491" s="254"/>
      <c r="D491" s="276"/>
      <c r="E491" s="254"/>
      <c r="F491" s="254"/>
      <c r="G491" s="254"/>
      <c r="H491" s="254"/>
      <c r="I491" s="254"/>
      <c r="J491" s="254"/>
      <c r="K491" s="254"/>
      <c r="L491" s="254"/>
      <c r="M491" s="254"/>
      <c r="N491" s="254"/>
      <c r="O491" s="254"/>
      <c r="P491" s="254"/>
      <c r="Q491" s="254"/>
      <c r="R491" s="254"/>
      <c r="S491" s="254"/>
      <c r="T491" s="254"/>
      <c r="U491" s="254"/>
      <c r="V491" s="254"/>
      <c r="W491" s="254"/>
      <c r="X491" s="254"/>
      <c r="Y491" s="254"/>
      <c r="Z491" s="254"/>
      <c r="AA491" s="254"/>
      <c r="AB491" s="254"/>
      <c r="AC491" s="254"/>
    </row>
    <row r="492" ht="12.75" customHeight="1" spans="1:29">
      <c r="A492" s="254"/>
      <c r="B492" s="254"/>
      <c r="C492" s="254"/>
      <c r="D492" s="276"/>
      <c r="E492" s="254"/>
      <c r="F492" s="254"/>
      <c r="G492" s="254"/>
      <c r="H492" s="254"/>
      <c r="I492" s="254"/>
      <c r="J492" s="254"/>
      <c r="K492" s="254"/>
      <c r="L492" s="254"/>
      <c r="M492" s="254"/>
      <c r="N492" s="254"/>
      <c r="O492" s="254"/>
      <c r="P492" s="254"/>
      <c r="Q492" s="254"/>
      <c r="R492" s="254"/>
      <c r="S492" s="254"/>
      <c r="T492" s="254"/>
      <c r="U492" s="254"/>
      <c r="V492" s="254"/>
      <c r="W492" s="254"/>
      <c r="X492" s="254"/>
      <c r="Y492" s="254"/>
      <c r="Z492" s="254"/>
      <c r="AA492" s="254"/>
      <c r="AB492" s="254"/>
      <c r="AC492" s="254"/>
    </row>
    <row r="493" ht="12.75" customHeight="1" spans="1:29">
      <c r="A493" s="254"/>
      <c r="B493" s="254"/>
      <c r="C493" s="254"/>
      <c r="D493" s="276"/>
      <c r="E493" s="254"/>
      <c r="F493" s="254"/>
      <c r="G493" s="254"/>
      <c r="H493" s="254"/>
      <c r="I493" s="254"/>
      <c r="J493" s="254"/>
      <c r="K493" s="254"/>
      <c r="L493" s="254"/>
      <c r="M493" s="254"/>
      <c r="N493" s="254"/>
      <c r="O493" s="254"/>
      <c r="P493" s="254"/>
      <c r="Q493" s="254"/>
      <c r="R493" s="254"/>
      <c r="S493" s="254"/>
      <c r="T493" s="254"/>
      <c r="U493" s="254"/>
      <c r="V493" s="254"/>
      <c r="W493" s="254"/>
      <c r="X493" s="254"/>
      <c r="Y493" s="254"/>
      <c r="Z493" s="254"/>
      <c r="AA493" s="254"/>
      <c r="AB493" s="254"/>
      <c r="AC493" s="254"/>
    </row>
    <row r="494" ht="12.75" customHeight="1" spans="1:29">
      <c r="A494" s="254"/>
      <c r="B494" s="254"/>
      <c r="C494" s="254"/>
      <c r="D494" s="276"/>
      <c r="E494" s="254"/>
      <c r="F494" s="254"/>
      <c r="G494" s="254"/>
      <c r="H494" s="254"/>
      <c r="I494" s="254"/>
      <c r="J494" s="254"/>
      <c r="K494" s="254"/>
      <c r="L494" s="254"/>
      <c r="M494" s="254"/>
      <c r="N494" s="254"/>
      <c r="O494" s="254"/>
      <c r="P494" s="254"/>
      <c r="Q494" s="254"/>
      <c r="R494" s="254"/>
      <c r="S494" s="254"/>
      <c r="T494" s="254"/>
      <c r="U494" s="254"/>
      <c r="V494" s="254"/>
      <c r="W494" s="254"/>
      <c r="X494" s="254"/>
      <c r="Y494" s="254"/>
      <c r="Z494" s="254"/>
      <c r="AA494" s="254"/>
      <c r="AB494" s="254"/>
      <c r="AC494" s="254"/>
    </row>
    <row r="495" ht="12.75" customHeight="1" spans="1:29">
      <c r="A495" s="254"/>
      <c r="B495" s="254"/>
      <c r="C495" s="254"/>
      <c r="D495" s="276"/>
      <c r="E495" s="254"/>
      <c r="F495" s="254"/>
      <c r="G495" s="254"/>
      <c r="H495" s="254"/>
      <c r="I495" s="254"/>
      <c r="J495" s="254"/>
      <c r="K495" s="254"/>
      <c r="L495" s="254"/>
      <c r="M495" s="254"/>
      <c r="N495" s="254"/>
      <c r="O495" s="254"/>
      <c r="P495" s="254"/>
      <c r="Q495" s="254"/>
      <c r="R495" s="254"/>
      <c r="S495" s="254"/>
      <c r="T495" s="254"/>
      <c r="U495" s="254"/>
      <c r="V495" s="254"/>
      <c r="W495" s="254"/>
      <c r="X495" s="254"/>
      <c r="Y495" s="254"/>
      <c r="Z495" s="254"/>
      <c r="AA495" s="254"/>
      <c r="AB495" s="254"/>
      <c r="AC495" s="254"/>
    </row>
    <row r="496" ht="12.75" customHeight="1" spans="1:29">
      <c r="A496" s="254"/>
      <c r="B496" s="254"/>
      <c r="C496" s="254"/>
      <c r="D496" s="276"/>
      <c r="E496" s="254"/>
      <c r="F496" s="254"/>
      <c r="G496" s="254"/>
      <c r="H496" s="254"/>
      <c r="I496" s="254"/>
      <c r="J496" s="254"/>
      <c r="K496" s="254"/>
      <c r="L496" s="254"/>
      <c r="M496" s="254"/>
      <c r="N496" s="254"/>
      <c r="O496" s="254"/>
      <c r="P496" s="254"/>
      <c r="Q496" s="254"/>
      <c r="R496" s="254"/>
      <c r="S496" s="254"/>
      <c r="T496" s="254"/>
      <c r="U496" s="254"/>
      <c r="V496" s="254"/>
      <c r="W496" s="254"/>
      <c r="X496" s="254"/>
      <c r="Y496" s="254"/>
      <c r="Z496" s="254"/>
      <c r="AA496" s="254"/>
      <c r="AB496" s="254"/>
      <c r="AC496" s="254"/>
    </row>
    <row r="497" ht="12.75" customHeight="1" spans="1:29">
      <c r="A497" s="254"/>
      <c r="B497" s="254"/>
      <c r="C497" s="254"/>
      <c r="D497" s="276"/>
      <c r="E497" s="254"/>
      <c r="F497" s="254"/>
      <c r="G497" s="254"/>
      <c r="H497" s="254"/>
      <c r="I497" s="254"/>
      <c r="J497" s="254"/>
      <c r="K497" s="254"/>
      <c r="L497" s="254"/>
      <c r="M497" s="254"/>
      <c r="N497" s="254"/>
      <c r="O497" s="254"/>
      <c r="P497" s="254"/>
      <c r="Q497" s="254"/>
      <c r="R497" s="254"/>
      <c r="S497" s="254"/>
      <c r="T497" s="254"/>
      <c r="U497" s="254"/>
      <c r="V497" s="254"/>
      <c r="W497" s="254"/>
      <c r="X497" s="254"/>
      <c r="Y497" s="254"/>
      <c r="Z497" s="254"/>
      <c r="AA497" s="254"/>
      <c r="AB497" s="254"/>
      <c r="AC497" s="254"/>
    </row>
    <row r="498" ht="12.75" customHeight="1" spans="1:29">
      <c r="A498" s="254"/>
      <c r="B498" s="254"/>
      <c r="C498" s="254"/>
      <c r="D498" s="276"/>
      <c r="E498" s="254"/>
      <c r="F498" s="254"/>
      <c r="G498" s="254"/>
      <c r="H498" s="254"/>
      <c r="I498" s="254"/>
      <c r="J498" s="254"/>
      <c r="K498" s="254"/>
      <c r="L498" s="254"/>
      <c r="M498" s="254"/>
      <c r="N498" s="254"/>
      <c r="O498" s="254"/>
      <c r="P498" s="254"/>
      <c r="Q498" s="254"/>
      <c r="R498" s="254"/>
      <c r="S498" s="254"/>
      <c r="T498" s="254"/>
      <c r="U498" s="254"/>
      <c r="V498" s="254"/>
      <c r="W498" s="254"/>
      <c r="X498" s="254"/>
      <c r="Y498" s="254"/>
      <c r="Z498" s="254"/>
      <c r="AA498" s="254"/>
      <c r="AB498" s="254"/>
      <c r="AC498" s="254"/>
    </row>
    <row r="499" ht="12.75" customHeight="1" spans="1:29">
      <c r="A499" s="254"/>
      <c r="B499" s="254"/>
      <c r="C499" s="254"/>
      <c r="D499" s="276"/>
      <c r="E499" s="254"/>
      <c r="F499" s="254"/>
      <c r="G499" s="254"/>
      <c r="H499" s="254"/>
      <c r="I499" s="254"/>
      <c r="J499" s="254"/>
      <c r="K499" s="254"/>
      <c r="L499" s="254"/>
      <c r="M499" s="254"/>
      <c r="N499" s="254"/>
      <c r="O499" s="254"/>
      <c r="P499" s="254"/>
      <c r="Q499" s="254"/>
      <c r="R499" s="254"/>
      <c r="S499" s="254"/>
      <c r="T499" s="254"/>
      <c r="U499" s="254"/>
      <c r="V499" s="254"/>
      <c r="W499" s="254"/>
      <c r="X499" s="254"/>
      <c r="Y499" s="254"/>
      <c r="Z499" s="254"/>
      <c r="AA499" s="254"/>
      <c r="AB499" s="254"/>
      <c r="AC499" s="254"/>
    </row>
    <row r="500" ht="12.75" customHeight="1" spans="1:29">
      <c r="A500" s="254"/>
      <c r="B500" s="254"/>
      <c r="C500" s="254"/>
      <c r="D500" s="276"/>
      <c r="E500" s="254"/>
      <c r="F500" s="254"/>
      <c r="G500" s="254"/>
      <c r="H500" s="254"/>
      <c r="I500" s="254"/>
      <c r="J500" s="254"/>
      <c r="K500" s="254"/>
      <c r="L500" s="254"/>
      <c r="M500" s="254"/>
      <c r="N500" s="254"/>
      <c r="O500" s="254"/>
      <c r="P500" s="254"/>
      <c r="Q500" s="254"/>
      <c r="R500" s="254"/>
      <c r="S500" s="254"/>
      <c r="T500" s="254"/>
      <c r="U500" s="254"/>
      <c r="V500" s="254"/>
      <c r="W500" s="254"/>
      <c r="X500" s="254"/>
      <c r="Y500" s="254"/>
      <c r="Z500" s="254"/>
      <c r="AA500" s="254"/>
      <c r="AB500" s="254"/>
      <c r="AC500" s="254"/>
    </row>
    <row r="501" ht="12.75" customHeight="1" spans="1:29">
      <c r="A501" s="254"/>
      <c r="B501" s="254"/>
      <c r="C501" s="254"/>
      <c r="D501" s="276"/>
      <c r="E501" s="254"/>
      <c r="F501" s="254"/>
      <c r="G501" s="254"/>
      <c r="H501" s="254"/>
      <c r="I501" s="254"/>
      <c r="J501" s="254"/>
      <c r="K501" s="254"/>
      <c r="L501" s="254"/>
      <c r="M501" s="254"/>
      <c r="N501" s="254"/>
      <c r="O501" s="254"/>
      <c r="P501" s="254"/>
      <c r="Q501" s="254"/>
      <c r="R501" s="254"/>
      <c r="S501" s="254"/>
      <c r="T501" s="254"/>
      <c r="U501" s="254"/>
      <c r="V501" s="254"/>
      <c r="W501" s="254"/>
      <c r="X501" s="254"/>
      <c r="Y501" s="254"/>
      <c r="Z501" s="254"/>
      <c r="AA501" s="254"/>
      <c r="AB501" s="254"/>
      <c r="AC501" s="254"/>
    </row>
    <row r="502" ht="12.75" customHeight="1" spans="1:29">
      <c r="A502" s="254"/>
      <c r="B502" s="254"/>
      <c r="C502" s="254"/>
      <c r="D502" s="276"/>
      <c r="E502" s="254"/>
      <c r="F502" s="254"/>
      <c r="G502" s="254"/>
      <c r="H502" s="254"/>
      <c r="I502" s="254"/>
      <c r="J502" s="254"/>
      <c r="K502" s="254"/>
      <c r="L502" s="254"/>
      <c r="M502" s="254"/>
      <c r="N502" s="254"/>
      <c r="O502" s="254"/>
      <c r="P502" s="254"/>
      <c r="Q502" s="254"/>
      <c r="R502" s="254"/>
      <c r="S502" s="254"/>
      <c r="T502" s="254"/>
      <c r="U502" s="254"/>
      <c r="V502" s="254"/>
      <c r="W502" s="254"/>
      <c r="X502" s="254"/>
      <c r="Y502" s="254"/>
      <c r="Z502" s="254"/>
      <c r="AA502" s="254"/>
      <c r="AB502" s="254"/>
      <c r="AC502" s="254"/>
    </row>
    <row r="503" ht="12.75" customHeight="1" spans="1:29">
      <c r="A503" s="254"/>
      <c r="B503" s="254"/>
      <c r="C503" s="254"/>
      <c r="D503" s="276"/>
      <c r="E503" s="254"/>
      <c r="F503" s="254"/>
      <c r="G503" s="254"/>
      <c r="H503" s="254"/>
      <c r="I503" s="254"/>
      <c r="J503" s="254"/>
      <c r="K503" s="254"/>
      <c r="L503" s="254"/>
      <c r="M503" s="254"/>
      <c r="N503" s="254"/>
      <c r="O503" s="254"/>
      <c r="P503" s="254"/>
      <c r="Q503" s="254"/>
      <c r="R503" s="254"/>
      <c r="S503" s="254"/>
      <c r="T503" s="254"/>
      <c r="U503" s="254"/>
      <c r="V503" s="254"/>
      <c r="W503" s="254"/>
      <c r="X503" s="254"/>
      <c r="Y503" s="254"/>
      <c r="Z503" s="254"/>
      <c r="AA503" s="254"/>
      <c r="AB503" s="254"/>
      <c r="AC503" s="254"/>
    </row>
    <row r="504" ht="12.75" customHeight="1" spans="1:29">
      <c r="A504" s="254"/>
      <c r="B504" s="254"/>
      <c r="C504" s="254"/>
      <c r="D504" s="276"/>
      <c r="E504" s="254"/>
      <c r="F504" s="254"/>
      <c r="G504" s="254"/>
      <c r="H504" s="254"/>
      <c r="I504" s="254"/>
      <c r="J504" s="254"/>
      <c r="K504" s="254"/>
      <c r="L504" s="254"/>
      <c r="M504" s="254"/>
      <c r="N504" s="254"/>
      <c r="O504" s="254"/>
      <c r="P504" s="254"/>
      <c r="Q504" s="254"/>
      <c r="R504" s="254"/>
      <c r="S504" s="254"/>
      <c r="T504" s="254"/>
      <c r="U504" s="254"/>
      <c r="V504" s="254"/>
      <c r="W504" s="254"/>
      <c r="X504" s="254"/>
      <c r="Y504" s="254"/>
      <c r="Z504" s="254"/>
      <c r="AA504" s="254"/>
      <c r="AB504" s="254"/>
      <c r="AC504" s="254"/>
    </row>
    <row r="505" ht="12.75" customHeight="1" spans="1:29">
      <c r="A505" s="254"/>
      <c r="B505" s="254"/>
      <c r="C505" s="254"/>
      <c r="D505" s="276"/>
      <c r="E505" s="254"/>
      <c r="F505" s="254"/>
      <c r="G505" s="254"/>
      <c r="H505" s="254"/>
      <c r="I505" s="254"/>
      <c r="J505" s="254"/>
      <c r="K505" s="254"/>
      <c r="L505" s="254"/>
      <c r="M505" s="254"/>
      <c r="N505" s="254"/>
      <c r="O505" s="254"/>
      <c r="P505" s="254"/>
      <c r="Q505" s="254"/>
      <c r="R505" s="254"/>
      <c r="S505" s="254"/>
      <c r="T505" s="254"/>
      <c r="U505" s="254"/>
      <c r="V505" s="254"/>
      <c r="W505" s="254"/>
      <c r="X505" s="254"/>
      <c r="Y505" s="254"/>
      <c r="Z505" s="254"/>
      <c r="AA505" s="254"/>
      <c r="AB505" s="254"/>
      <c r="AC505" s="254"/>
    </row>
    <row r="506" ht="12.75" customHeight="1" spans="1:29">
      <c r="A506" s="254"/>
      <c r="B506" s="254"/>
      <c r="C506" s="254"/>
      <c r="D506" s="276"/>
      <c r="E506" s="254"/>
      <c r="F506" s="254"/>
      <c r="G506" s="254"/>
      <c r="H506" s="254"/>
      <c r="I506" s="254"/>
      <c r="J506" s="254"/>
      <c r="K506" s="254"/>
      <c r="L506" s="254"/>
      <c r="M506" s="254"/>
      <c r="N506" s="254"/>
      <c r="O506" s="254"/>
      <c r="P506" s="254"/>
      <c r="Q506" s="254"/>
      <c r="R506" s="254"/>
      <c r="S506" s="254"/>
      <c r="T506" s="254"/>
      <c r="U506" s="254"/>
      <c r="V506" s="254"/>
      <c r="W506" s="254"/>
      <c r="X506" s="254"/>
      <c r="Y506" s="254"/>
      <c r="Z506" s="254"/>
      <c r="AA506" s="254"/>
      <c r="AB506" s="254"/>
      <c r="AC506" s="254"/>
    </row>
    <row r="507" ht="12.75" customHeight="1" spans="1:29">
      <c r="A507" s="254"/>
      <c r="B507" s="254"/>
      <c r="C507" s="254"/>
      <c r="D507" s="276"/>
      <c r="E507" s="254"/>
      <c r="F507" s="254"/>
      <c r="G507" s="254"/>
      <c r="H507" s="254"/>
      <c r="I507" s="254"/>
      <c r="J507" s="254"/>
      <c r="K507" s="254"/>
      <c r="L507" s="254"/>
      <c r="M507" s="254"/>
      <c r="N507" s="254"/>
      <c r="O507" s="254"/>
      <c r="P507" s="254"/>
      <c r="Q507" s="254"/>
      <c r="R507" s="254"/>
      <c r="S507" s="254"/>
      <c r="T507" s="254"/>
      <c r="U507" s="254"/>
      <c r="V507" s="254"/>
      <c r="W507" s="254"/>
      <c r="X507" s="254"/>
      <c r="Y507" s="254"/>
      <c r="Z507" s="254"/>
      <c r="AA507" s="254"/>
      <c r="AB507" s="254"/>
      <c r="AC507" s="254"/>
    </row>
    <row r="508" ht="12.75" customHeight="1" spans="1:29">
      <c r="A508" s="254"/>
      <c r="B508" s="254"/>
      <c r="C508" s="254"/>
      <c r="D508" s="276"/>
      <c r="E508" s="254"/>
      <c r="F508" s="254"/>
      <c r="G508" s="254"/>
      <c r="H508" s="254"/>
      <c r="I508" s="254"/>
      <c r="J508" s="254"/>
      <c r="K508" s="254"/>
      <c r="L508" s="254"/>
      <c r="M508" s="254"/>
      <c r="N508" s="254"/>
      <c r="O508" s="254"/>
      <c r="P508" s="254"/>
      <c r="Q508" s="254"/>
      <c r="R508" s="254"/>
      <c r="S508" s="254"/>
      <c r="T508" s="254"/>
      <c r="U508" s="254"/>
      <c r="V508" s="254"/>
      <c r="W508" s="254"/>
      <c r="X508" s="254"/>
      <c r="Y508" s="254"/>
      <c r="Z508" s="254"/>
      <c r="AA508" s="254"/>
      <c r="AB508" s="254"/>
      <c r="AC508" s="254"/>
    </row>
    <row r="509" ht="12.75" customHeight="1" spans="1:29">
      <c r="A509" s="254"/>
      <c r="B509" s="254"/>
      <c r="C509" s="254"/>
      <c r="D509" s="276"/>
      <c r="E509" s="254"/>
      <c r="F509" s="254"/>
      <c r="G509" s="254"/>
      <c r="H509" s="254"/>
      <c r="I509" s="254"/>
      <c r="J509" s="254"/>
      <c r="K509" s="254"/>
      <c r="L509" s="254"/>
      <c r="M509" s="254"/>
      <c r="N509" s="254"/>
      <c r="O509" s="254"/>
      <c r="P509" s="254"/>
      <c r="Q509" s="254"/>
      <c r="R509" s="254"/>
      <c r="S509" s="254"/>
      <c r="T509" s="254"/>
      <c r="U509" s="254"/>
      <c r="V509" s="254"/>
      <c r="W509" s="254"/>
      <c r="X509" s="254"/>
      <c r="Y509" s="254"/>
      <c r="Z509" s="254"/>
      <c r="AA509" s="254"/>
      <c r="AB509" s="254"/>
      <c r="AC509" s="254"/>
    </row>
    <row r="510" ht="12.75" customHeight="1" spans="1:29">
      <c r="A510" s="254"/>
      <c r="B510" s="254"/>
      <c r="C510" s="254"/>
      <c r="D510" s="276"/>
      <c r="E510" s="254"/>
      <c r="F510" s="254"/>
      <c r="G510" s="254"/>
      <c r="H510" s="254"/>
      <c r="I510" s="254"/>
      <c r="J510" s="254"/>
      <c r="K510" s="254"/>
      <c r="L510" s="254"/>
      <c r="M510" s="254"/>
      <c r="N510" s="254"/>
      <c r="O510" s="254"/>
      <c r="P510" s="254"/>
      <c r="Q510" s="254"/>
      <c r="R510" s="254"/>
      <c r="S510" s="254"/>
      <c r="T510" s="254"/>
      <c r="U510" s="254"/>
      <c r="V510" s="254"/>
      <c r="W510" s="254"/>
      <c r="X510" s="254"/>
      <c r="Y510" s="254"/>
      <c r="Z510" s="254"/>
      <c r="AA510" s="254"/>
      <c r="AB510" s="254"/>
      <c r="AC510" s="254"/>
    </row>
    <row r="511" ht="12.75" customHeight="1" spans="1:29">
      <c r="A511" s="254"/>
      <c r="B511" s="254"/>
      <c r="C511" s="254"/>
      <c r="D511" s="276"/>
      <c r="E511" s="254"/>
      <c r="F511" s="254"/>
      <c r="G511" s="254"/>
      <c r="H511" s="254"/>
      <c r="I511" s="254"/>
      <c r="J511" s="254"/>
      <c r="K511" s="254"/>
      <c r="L511" s="254"/>
      <c r="M511" s="254"/>
      <c r="N511" s="254"/>
      <c r="O511" s="254"/>
      <c r="P511" s="254"/>
      <c r="Q511" s="254"/>
      <c r="R511" s="254"/>
      <c r="S511" s="254"/>
      <c r="T511" s="254"/>
      <c r="U511" s="254"/>
      <c r="V511" s="254"/>
      <c r="W511" s="254"/>
      <c r="X511" s="254"/>
      <c r="Y511" s="254"/>
      <c r="Z511" s="254"/>
      <c r="AA511" s="254"/>
      <c r="AB511" s="254"/>
      <c r="AC511" s="254"/>
    </row>
    <row r="512" ht="12.75" customHeight="1" spans="1:29">
      <c r="A512" s="254"/>
      <c r="B512" s="254"/>
      <c r="C512" s="254"/>
      <c r="D512" s="276"/>
      <c r="E512" s="254"/>
      <c r="F512" s="254"/>
      <c r="G512" s="254"/>
      <c r="H512" s="254"/>
      <c r="I512" s="254"/>
      <c r="J512" s="254"/>
      <c r="K512" s="254"/>
      <c r="L512" s="254"/>
      <c r="M512" s="254"/>
      <c r="N512" s="254"/>
      <c r="O512" s="254"/>
      <c r="P512" s="254"/>
      <c r="Q512" s="254"/>
      <c r="R512" s="254"/>
      <c r="S512" s="254"/>
      <c r="T512" s="254"/>
      <c r="U512" s="254"/>
      <c r="V512" s="254"/>
      <c r="W512" s="254"/>
      <c r="X512" s="254"/>
      <c r="Y512" s="254"/>
      <c r="Z512" s="254"/>
      <c r="AA512" s="254"/>
      <c r="AB512" s="254"/>
      <c r="AC512" s="254"/>
    </row>
    <row r="513" ht="12.75" customHeight="1" spans="1:29">
      <c r="A513" s="254"/>
      <c r="B513" s="254"/>
      <c r="C513" s="254"/>
      <c r="D513" s="276"/>
      <c r="E513" s="254"/>
      <c r="F513" s="254"/>
      <c r="G513" s="254"/>
      <c r="H513" s="254"/>
      <c r="I513" s="254"/>
      <c r="J513" s="254"/>
      <c r="K513" s="254"/>
      <c r="L513" s="254"/>
      <c r="M513" s="254"/>
      <c r="N513" s="254"/>
      <c r="O513" s="254"/>
      <c r="P513" s="254"/>
      <c r="Q513" s="254"/>
      <c r="R513" s="254"/>
      <c r="S513" s="254"/>
      <c r="T513" s="254"/>
      <c r="U513" s="254"/>
      <c r="V513" s="254"/>
      <c r="W513" s="254"/>
      <c r="X513" s="254"/>
      <c r="Y513" s="254"/>
      <c r="Z513" s="254"/>
      <c r="AA513" s="254"/>
      <c r="AB513" s="254"/>
      <c r="AC513" s="254"/>
    </row>
    <row r="514" ht="12.75" customHeight="1" spans="1:29">
      <c r="A514" s="254"/>
      <c r="B514" s="254"/>
      <c r="C514" s="254"/>
      <c r="D514" s="276"/>
      <c r="E514" s="254"/>
      <c r="F514" s="254"/>
      <c r="G514" s="254"/>
      <c r="H514" s="254"/>
      <c r="I514" s="254"/>
      <c r="J514" s="254"/>
      <c r="K514" s="254"/>
      <c r="L514" s="254"/>
      <c r="M514" s="254"/>
      <c r="N514" s="254"/>
      <c r="O514" s="254"/>
      <c r="P514" s="254"/>
      <c r="Q514" s="254"/>
      <c r="R514" s="254"/>
      <c r="S514" s="254"/>
      <c r="T514" s="254"/>
      <c r="U514" s="254"/>
      <c r="V514" s="254"/>
      <c r="W514" s="254"/>
      <c r="X514" s="254"/>
      <c r="Y514" s="254"/>
      <c r="Z514" s="254"/>
      <c r="AA514" s="254"/>
      <c r="AB514" s="254"/>
      <c r="AC514" s="254"/>
    </row>
    <row r="515" ht="12.75" customHeight="1" spans="1:29">
      <c r="A515" s="254"/>
      <c r="B515" s="254"/>
      <c r="C515" s="254"/>
      <c r="D515" s="276"/>
      <c r="E515" s="254"/>
      <c r="F515" s="254"/>
      <c r="G515" s="254"/>
      <c r="H515" s="254"/>
      <c r="I515" s="254"/>
      <c r="J515" s="254"/>
      <c r="K515" s="254"/>
      <c r="L515" s="254"/>
      <c r="M515" s="254"/>
      <c r="N515" s="254"/>
      <c r="O515" s="254"/>
      <c r="P515" s="254"/>
      <c r="Q515" s="254"/>
      <c r="R515" s="254"/>
      <c r="S515" s="254"/>
      <c r="T515" s="254"/>
      <c r="U515" s="254"/>
      <c r="V515" s="254"/>
      <c r="W515" s="254"/>
      <c r="X515" s="254"/>
      <c r="Y515" s="254"/>
      <c r="Z515" s="254"/>
      <c r="AA515" s="254"/>
      <c r="AB515" s="254"/>
      <c r="AC515" s="254"/>
    </row>
    <row r="516" ht="12.75" customHeight="1" spans="1:29">
      <c r="A516" s="254"/>
      <c r="B516" s="254"/>
      <c r="C516" s="254"/>
      <c r="D516" s="276"/>
      <c r="E516" s="254"/>
      <c r="F516" s="254"/>
      <c r="G516" s="254"/>
      <c r="H516" s="254"/>
      <c r="I516" s="254"/>
      <c r="J516" s="254"/>
      <c r="K516" s="254"/>
      <c r="L516" s="254"/>
      <c r="M516" s="254"/>
      <c r="N516" s="254"/>
      <c r="O516" s="254"/>
      <c r="P516" s="254"/>
      <c r="Q516" s="254"/>
      <c r="R516" s="254"/>
      <c r="S516" s="254"/>
      <c r="T516" s="254"/>
      <c r="U516" s="254"/>
      <c r="V516" s="254"/>
      <c r="W516" s="254"/>
      <c r="X516" s="254"/>
      <c r="Y516" s="254"/>
      <c r="Z516" s="254"/>
      <c r="AA516" s="254"/>
      <c r="AB516" s="254"/>
      <c r="AC516" s="254"/>
    </row>
    <row r="517" ht="12.75" customHeight="1" spans="1:29">
      <c r="A517" s="254"/>
      <c r="B517" s="254"/>
      <c r="C517" s="254"/>
      <c r="D517" s="276"/>
      <c r="E517" s="254"/>
      <c r="F517" s="254"/>
      <c r="G517" s="254"/>
      <c r="H517" s="254"/>
      <c r="I517" s="254"/>
      <c r="J517" s="254"/>
      <c r="K517" s="254"/>
      <c r="L517" s="254"/>
      <c r="M517" s="254"/>
      <c r="N517" s="254"/>
      <c r="O517" s="254"/>
      <c r="P517" s="254"/>
      <c r="Q517" s="254"/>
      <c r="R517" s="254"/>
      <c r="S517" s="254"/>
      <c r="T517" s="254"/>
      <c r="U517" s="254"/>
      <c r="V517" s="254"/>
      <c r="W517" s="254"/>
      <c r="X517" s="254"/>
      <c r="Y517" s="254"/>
      <c r="Z517" s="254"/>
      <c r="AA517" s="254"/>
      <c r="AB517" s="254"/>
      <c r="AC517" s="254"/>
    </row>
    <row r="518" ht="12.75" customHeight="1" spans="1:29">
      <c r="A518" s="254"/>
      <c r="B518" s="254"/>
      <c r="C518" s="254"/>
      <c r="D518" s="276"/>
      <c r="E518" s="254"/>
      <c r="F518" s="254"/>
      <c r="G518" s="254"/>
      <c r="H518" s="254"/>
      <c r="I518" s="254"/>
      <c r="J518" s="254"/>
      <c r="K518" s="254"/>
      <c r="L518" s="254"/>
      <c r="M518" s="254"/>
      <c r="N518" s="254"/>
      <c r="O518" s="254"/>
      <c r="P518" s="254"/>
      <c r="Q518" s="254"/>
      <c r="R518" s="254"/>
      <c r="S518" s="254"/>
      <c r="T518" s="254"/>
      <c r="U518" s="254"/>
      <c r="V518" s="254"/>
      <c r="W518" s="254"/>
      <c r="X518" s="254"/>
      <c r="Y518" s="254"/>
      <c r="Z518" s="254"/>
      <c r="AA518" s="254"/>
      <c r="AB518" s="254"/>
      <c r="AC518" s="254"/>
    </row>
    <row r="519" ht="12.75" customHeight="1" spans="1:29">
      <c r="A519" s="254"/>
      <c r="B519" s="254"/>
      <c r="C519" s="254"/>
      <c r="D519" s="276"/>
      <c r="E519" s="254"/>
      <c r="F519" s="254"/>
      <c r="G519" s="254"/>
      <c r="H519" s="254"/>
      <c r="I519" s="254"/>
      <c r="J519" s="254"/>
      <c r="K519" s="254"/>
      <c r="L519" s="254"/>
      <c r="M519" s="254"/>
      <c r="N519" s="254"/>
      <c r="O519" s="254"/>
      <c r="P519" s="254"/>
      <c r="Q519" s="254"/>
      <c r="R519" s="254"/>
      <c r="S519" s="254"/>
      <c r="T519" s="254"/>
      <c r="U519" s="254"/>
      <c r="V519" s="254"/>
      <c r="W519" s="254"/>
      <c r="X519" s="254"/>
      <c r="Y519" s="254"/>
      <c r="Z519" s="254"/>
      <c r="AA519" s="254"/>
      <c r="AB519" s="254"/>
      <c r="AC519" s="254"/>
    </row>
    <row r="520" ht="12.75" customHeight="1" spans="1:29">
      <c r="A520" s="254"/>
      <c r="B520" s="254"/>
      <c r="C520" s="254"/>
      <c r="D520" s="276"/>
      <c r="E520" s="254"/>
      <c r="F520" s="254"/>
      <c r="G520" s="254"/>
      <c r="H520" s="254"/>
      <c r="I520" s="254"/>
      <c r="J520" s="254"/>
      <c r="K520" s="254"/>
      <c r="L520" s="254"/>
      <c r="M520" s="254"/>
      <c r="N520" s="254"/>
      <c r="O520" s="254"/>
      <c r="P520" s="254"/>
      <c r="Q520" s="254"/>
      <c r="R520" s="254"/>
      <c r="S520" s="254"/>
      <c r="T520" s="254"/>
      <c r="U520" s="254"/>
      <c r="V520" s="254"/>
      <c r="W520" s="254"/>
      <c r="X520" s="254"/>
      <c r="Y520" s="254"/>
      <c r="Z520" s="254"/>
      <c r="AA520" s="254"/>
      <c r="AB520" s="254"/>
      <c r="AC520" s="254"/>
    </row>
    <row r="521" ht="12.75" customHeight="1" spans="1:29">
      <c r="A521" s="254"/>
      <c r="B521" s="254"/>
      <c r="C521" s="254"/>
      <c r="D521" s="276"/>
      <c r="E521" s="254"/>
      <c r="F521" s="254"/>
      <c r="G521" s="254"/>
      <c r="H521" s="254"/>
      <c r="I521" s="254"/>
      <c r="J521" s="254"/>
      <c r="K521" s="254"/>
      <c r="L521" s="254"/>
      <c r="M521" s="254"/>
      <c r="N521" s="254"/>
      <c r="O521" s="254"/>
      <c r="P521" s="254"/>
      <c r="Q521" s="254"/>
      <c r="R521" s="254"/>
      <c r="S521" s="254"/>
      <c r="T521" s="254"/>
      <c r="U521" s="254"/>
      <c r="V521" s="254"/>
      <c r="W521" s="254"/>
      <c r="X521" s="254"/>
      <c r="Y521" s="254"/>
      <c r="Z521" s="254"/>
      <c r="AA521" s="254"/>
      <c r="AB521" s="254"/>
      <c r="AC521" s="254"/>
    </row>
    <row r="522" ht="12.75" customHeight="1" spans="1:29">
      <c r="A522" s="254"/>
      <c r="B522" s="254"/>
      <c r="C522" s="254"/>
      <c r="D522" s="276"/>
      <c r="E522" s="254"/>
      <c r="F522" s="254"/>
      <c r="G522" s="254"/>
      <c r="H522" s="254"/>
      <c r="I522" s="254"/>
      <c r="J522" s="254"/>
      <c r="K522" s="254"/>
      <c r="L522" s="254"/>
      <c r="M522" s="254"/>
      <c r="N522" s="254"/>
      <c r="O522" s="254"/>
      <c r="P522" s="254"/>
      <c r="Q522" s="254"/>
      <c r="R522" s="254"/>
      <c r="S522" s="254"/>
      <c r="T522" s="254"/>
      <c r="U522" s="254"/>
      <c r="V522" s="254"/>
      <c r="W522" s="254"/>
      <c r="X522" s="254"/>
      <c r="Y522" s="254"/>
      <c r="Z522" s="254"/>
      <c r="AA522" s="254"/>
      <c r="AB522" s="254"/>
      <c r="AC522" s="254"/>
    </row>
    <row r="523" ht="12.75" customHeight="1" spans="1:29">
      <c r="A523" s="254"/>
      <c r="B523" s="254"/>
      <c r="C523" s="254"/>
      <c r="D523" s="276"/>
      <c r="E523" s="254"/>
      <c r="F523" s="254"/>
      <c r="G523" s="254"/>
      <c r="H523" s="254"/>
      <c r="I523" s="254"/>
      <c r="J523" s="254"/>
      <c r="K523" s="254"/>
      <c r="L523" s="254"/>
      <c r="M523" s="254"/>
      <c r="N523" s="254"/>
      <c r="O523" s="254"/>
      <c r="P523" s="254"/>
      <c r="Q523" s="254"/>
      <c r="R523" s="254"/>
      <c r="S523" s="254"/>
      <c r="T523" s="254"/>
      <c r="U523" s="254"/>
      <c r="V523" s="254"/>
      <c r="W523" s="254"/>
      <c r="X523" s="254"/>
      <c r="Y523" s="254"/>
      <c r="Z523" s="254"/>
      <c r="AA523" s="254"/>
      <c r="AB523" s="254"/>
      <c r="AC523" s="254"/>
    </row>
    <row r="524" ht="12.75" customHeight="1" spans="1:29">
      <c r="A524" s="254"/>
      <c r="B524" s="254"/>
      <c r="C524" s="254"/>
      <c r="D524" s="276"/>
      <c r="E524" s="254"/>
      <c r="F524" s="254"/>
      <c r="G524" s="254"/>
      <c r="H524" s="254"/>
      <c r="I524" s="254"/>
      <c r="J524" s="254"/>
      <c r="K524" s="254"/>
      <c r="L524" s="254"/>
      <c r="M524" s="254"/>
      <c r="N524" s="254"/>
      <c r="O524" s="254"/>
      <c r="P524" s="254"/>
      <c r="Q524" s="254"/>
      <c r="R524" s="254"/>
      <c r="S524" s="254"/>
      <c r="T524" s="254"/>
      <c r="U524" s="254"/>
      <c r="V524" s="254"/>
      <c r="W524" s="254"/>
      <c r="X524" s="254"/>
      <c r="Y524" s="254"/>
      <c r="Z524" s="254"/>
      <c r="AA524" s="254"/>
      <c r="AB524" s="254"/>
      <c r="AC524" s="254"/>
    </row>
    <row r="525" ht="12.75" customHeight="1" spans="1:29">
      <c r="A525" s="254"/>
      <c r="B525" s="254"/>
      <c r="C525" s="254"/>
      <c r="D525" s="276"/>
      <c r="E525" s="254"/>
      <c r="F525" s="254"/>
      <c r="G525" s="254"/>
      <c r="H525" s="254"/>
      <c r="I525" s="254"/>
      <c r="J525" s="254"/>
      <c r="K525" s="254"/>
      <c r="L525" s="254"/>
      <c r="M525" s="254"/>
      <c r="N525" s="254"/>
      <c r="O525" s="254"/>
      <c r="P525" s="254"/>
      <c r="Q525" s="254"/>
      <c r="R525" s="254"/>
      <c r="S525" s="254"/>
      <c r="T525" s="254"/>
      <c r="U525" s="254"/>
      <c r="V525" s="254"/>
      <c r="W525" s="254"/>
      <c r="X525" s="254"/>
      <c r="Y525" s="254"/>
      <c r="Z525" s="254"/>
      <c r="AA525" s="254"/>
      <c r="AB525" s="254"/>
      <c r="AC525" s="254"/>
    </row>
    <row r="526" ht="12.75" customHeight="1" spans="1:29">
      <c r="A526" s="254"/>
      <c r="B526" s="254"/>
      <c r="C526" s="254"/>
      <c r="D526" s="276"/>
      <c r="E526" s="254"/>
      <c r="F526" s="254"/>
      <c r="G526" s="254"/>
      <c r="H526" s="254"/>
      <c r="I526" s="254"/>
      <c r="J526" s="254"/>
      <c r="K526" s="254"/>
      <c r="L526" s="254"/>
      <c r="M526" s="254"/>
      <c r="N526" s="254"/>
      <c r="O526" s="254"/>
      <c r="P526" s="254"/>
      <c r="Q526" s="254"/>
      <c r="R526" s="254"/>
      <c r="S526" s="254"/>
      <c r="T526" s="254"/>
      <c r="U526" s="254"/>
      <c r="V526" s="254"/>
      <c r="W526" s="254"/>
      <c r="X526" s="254"/>
      <c r="Y526" s="254"/>
      <c r="Z526" s="254"/>
      <c r="AA526" s="254"/>
      <c r="AB526" s="254"/>
      <c r="AC526" s="254"/>
    </row>
    <row r="527" ht="12.75" customHeight="1" spans="1:29">
      <c r="A527" s="254"/>
      <c r="B527" s="254"/>
      <c r="C527" s="254"/>
      <c r="D527" s="276"/>
      <c r="E527" s="254"/>
      <c r="F527" s="254"/>
      <c r="G527" s="254"/>
      <c r="H527" s="254"/>
      <c r="I527" s="254"/>
      <c r="J527" s="254"/>
      <c r="K527" s="254"/>
      <c r="L527" s="254"/>
      <c r="M527" s="254"/>
      <c r="N527" s="254"/>
      <c r="O527" s="254"/>
      <c r="P527" s="254"/>
      <c r="Q527" s="254"/>
      <c r="R527" s="254"/>
      <c r="S527" s="254"/>
      <c r="T527" s="254"/>
      <c r="U527" s="254"/>
      <c r="V527" s="254"/>
      <c r="W527" s="254"/>
      <c r="X527" s="254"/>
      <c r="Y527" s="254"/>
      <c r="Z527" s="254"/>
      <c r="AA527" s="254"/>
      <c r="AB527" s="254"/>
      <c r="AC527" s="254"/>
    </row>
    <row r="528" ht="12.75" customHeight="1" spans="1:29">
      <c r="A528" s="254"/>
      <c r="B528" s="254"/>
      <c r="C528" s="254"/>
      <c r="D528" s="276"/>
      <c r="E528" s="254"/>
      <c r="F528" s="254"/>
      <c r="G528" s="254"/>
      <c r="H528" s="254"/>
      <c r="I528" s="254"/>
      <c r="J528" s="254"/>
      <c r="K528" s="254"/>
      <c r="L528" s="254"/>
      <c r="M528" s="254"/>
      <c r="N528" s="254"/>
      <c r="O528" s="254"/>
      <c r="P528" s="254"/>
      <c r="Q528" s="254"/>
      <c r="R528" s="254"/>
      <c r="S528" s="254"/>
      <c r="T528" s="254"/>
      <c r="U528" s="254"/>
      <c r="V528" s="254"/>
      <c r="W528" s="254"/>
      <c r="X528" s="254"/>
      <c r="Y528" s="254"/>
      <c r="Z528" s="254"/>
      <c r="AA528" s="254"/>
      <c r="AB528" s="254"/>
      <c r="AC528" s="254"/>
    </row>
    <row r="529" ht="12.75" customHeight="1" spans="1:29">
      <c r="A529" s="254"/>
      <c r="B529" s="254"/>
      <c r="C529" s="254"/>
      <c r="D529" s="276"/>
      <c r="E529" s="254"/>
      <c r="F529" s="254"/>
      <c r="G529" s="254"/>
      <c r="H529" s="254"/>
      <c r="I529" s="254"/>
      <c r="J529" s="254"/>
      <c r="K529" s="254"/>
      <c r="L529" s="254"/>
      <c r="M529" s="254"/>
      <c r="N529" s="254"/>
      <c r="O529" s="254"/>
      <c r="P529" s="254"/>
      <c r="Q529" s="254"/>
      <c r="R529" s="254"/>
      <c r="S529" s="254"/>
      <c r="T529" s="254"/>
      <c r="U529" s="254"/>
      <c r="V529" s="254"/>
      <c r="W529" s="254"/>
      <c r="X529" s="254"/>
      <c r="Y529" s="254"/>
      <c r="Z529" s="254"/>
      <c r="AA529" s="254"/>
      <c r="AB529" s="254"/>
      <c r="AC529" s="254"/>
    </row>
    <row r="530" ht="12.75" customHeight="1" spans="1:29">
      <c r="A530" s="254"/>
      <c r="B530" s="254"/>
      <c r="C530" s="254"/>
      <c r="D530" s="276"/>
      <c r="E530" s="254"/>
      <c r="F530" s="254"/>
      <c r="G530" s="254"/>
      <c r="H530" s="254"/>
      <c r="I530" s="254"/>
      <c r="J530" s="254"/>
      <c r="K530" s="254"/>
      <c r="L530" s="254"/>
      <c r="M530" s="254"/>
      <c r="N530" s="254"/>
      <c r="O530" s="254"/>
      <c r="P530" s="254"/>
      <c r="Q530" s="254"/>
      <c r="R530" s="254"/>
      <c r="S530" s="254"/>
      <c r="T530" s="254"/>
      <c r="U530" s="254"/>
      <c r="V530" s="254"/>
      <c r="W530" s="254"/>
      <c r="X530" s="254"/>
      <c r="Y530" s="254"/>
      <c r="Z530" s="254"/>
      <c r="AA530" s="254"/>
      <c r="AB530" s="254"/>
      <c r="AC530" s="254"/>
    </row>
    <row r="531" ht="12.75" customHeight="1" spans="1:29">
      <c r="A531" s="254"/>
      <c r="B531" s="254"/>
      <c r="C531" s="254"/>
      <c r="D531" s="276"/>
      <c r="E531" s="254"/>
      <c r="F531" s="254"/>
      <c r="G531" s="254"/>
      <c r="H531" s="254"/>
      <c r="I531" s="254"/>
      <c r="J531" s="254"/>
      <c r="K531" s="254"/>
      <c r="L531" s="254"/>
      <c r="M531" s="254"/>
      <c r="N531" s="254"/>
      <c r="O531" s="254"/>
      <c r="P531" s="254"/>
      <c r="Q531" s="254"/>
      <c r="R531" s="254"/>
      <c r="S531" s="254"/>
      <c r="T531" s="254"/>
      <c r="U531" s="254"/>
      <c r="V531" s="254"/>
      <c r="W531" s="254"/>
      <c r="X531" s="254"/>
      <c r="Y531" s="254"/>
      <c r="Z531" s="254"/>
      <c r="AA531" s="254"/>
      <c r="AB531" s="254"/>
      <c r="AC531" s="254"/>
    </row>
    <row r="532" ht="12.75" customHeight="1" spans="1:29">
      <c r="A532" s="254"/>
      <c r="B532" s="254"/>
      <c r="C532" s="254"/>
      <c r="D532" s="276"/>
      <c r="E532" s="254"/>
      <c r="F532" s="254"/>
      <c r="G532" s="254"/>
      <c r="H532" s="254"/>
      <c r="I532" s="254"/>
      <c r="J532" s="254"/>
      <c r="K532" s="254"/>
      <c r="L532" s="254"/>
      <c r="M532" s="254"/>
      <c r="N532" s="254"/>
      <c r="O532" s="254"/>
      <c r="P532" s="254"/>
      <c r="Q532" s="254"/>
      <c r="R532" s="254"/>
      <c r="S532" s="254"/>
      <c r="T532" s="254"/>
      <c r="U532" s="254"/>
      <c r="V532" s="254"/>
      <c r="W532" s="254"/>
      <c r="X532" s="254"/>
      <c r="Y532" s="254"/>
      <c r="Z532" s="254"/>
      <c r="AA532" s="254"/>
      <c r="AB532" s="254"/>
      <c r="AC532" s="254"/>
    </row>
    <row r="533" ht="12.75" customHeight="1" spans="1:29">
      <c r="A533" s="254"/>
      <c r="B533" s="254"/>
      <c r="C533" s="254"/>
      <c r="D533" s="276"/>
      <c r="E533" s="254"/>
      <c r="F533" s="254"/>
      <c r="G533" s="254"/>
      <c r="H533" s="254"/>
      <c r="I533" s="254"/>
      <c r="J533" s="254"/>
      <c r="K533" s="254"/>
      <c r="L533" s="254"/>
      <c r="M533" s="254"/>
      <c r="N533" s="254"/>
      <c r="O533" s="254"/>
      <c r="P533" s="254"/>
      <c r="Q533" s="254"/>
      <c r="R533" s="254"/>
      <c r="S533" s="254"/>
      <c r="T533" s="254"/>
      <c r="U533" s="254"/>
      <c r="V533" s="254"/>
      <c r="W533" s="254"/>
      <c r="X533" s="254"/>
      <c r="Y533" s="254"/>
      <c r="Z533" s="254"/>
      <c r="AA533" s="254"/>
      <c r="AB533" s="254"/>
      <c r="AC533" s="254"/>
    </row>
    <row r="534" ht="12.75" customHeight="1" spans="1:29">
      <c r="A534" s="254"/>
      <c r="B534" s="254"/>
      <c r="C534" s="254"/>
      <c r="D534" s="276"/>
      <c r="E534" s="254"/>
      <c r="F534" s="254"/>
      <c r="G534" s="254"/>
      <c r="H534" s="254"/>
      <c r="I534" s="254"/>
      <c r="J534" s="254"/>
      <c r="K534" s="254"/>
      <c r="L534" s="254"/>
      <c r="M534" s="254"/>
      <c r="N534" s="254"/>
      <c r="O534" s="254"/>
      <c r="P534" s="254"/>
      <c r="Q534" s="254"/>
      <c r="R534" s="254"/>
      <c r="S534" s="254"/>
      <c r="T534" s="254"/>
      <c r="U534" s="254"/>
      <c r="V534" s="254"/>
      <c r="W534" s="254"/>
      <c r="X534" s="254"/>
      <c r="Y534" s="254"/>
      <c r="Z534" s="254"/>
      <c r="AA534" s="254"/>
      <c r="AB534" s="254"/>
      <c r="AC534" s="254"/>
    </row>
    <row r="535" ht="12.75" customHeight="1" spans="1:29">
      <c r="A535" s="254"/>
      <c r="B535" s="254"/>
      <c r="C535" s="254"/>
      <c r="D535" s="276"/>
      <c r="E535" s="254"/>
      <c r="F535" s="254"/>
      <c r="G535" s="254"/>
      <c r="H535" s="254"/>
      <c r="I535" s="254"/>
      <c r="J535" s="254"/>
      <c r="K535" s="254"/>
      <c r="L535" s="254"/>
      <c r="M535" s="254"/>
      <c r="N535" s="254"/>
      <c r="O535" s="254"/>
      <c r="P535" s="254"/>
      <c r="Q535" s="254"/>
      <c r="R535" s="254"/>
      <c r="S535" s="254"/>
      <c r="T535" s="254"/>
      <c r="U535" s="254"/>
      <c r="V535" s="254"/>
      <c r="W535" s="254"/>
      <c r="X535" s="254"/>
      <c r="Y535" s="254"/>
      <c r="Z535" s="254"/>
      <c r="AA535" s="254"/>
      <c r="AB535" s="254"/>
      <c r="AC535" s="254"/>
    </row>
    <row r="536" ht="12.75" customHeight="1" spans="1:29">
      <c r="A536" s="254"/>
      <c r="B536" s="254"/>
      <c r="C536" s="254"/>
      <c r="D536" s="276"/>
      <c r="E536" s="254"/>
      <c r="F536" s="254"/>
      <c r="G536" s="254"/>
      <c r="H536" s="254"/>
      <c r="I536" s="254"/>
      <c r="J536" s="254"/>
      <c r="K536" s="254"/>
      <c r="L536" s="254"/>
      <c r="M536" s="254"/>
      <c r="N536" s="254"/>
      <c r="O536" s="254"/>
      <c r="P536" s="254"/>
      <c r="Q536" s="254"/>
      <c r="R536" s="254"/>
      <c r="S536" s="254"/>
      <c r="T536" s="254"/>
      <c r="U536" s="254"/>
      <c r="V536" s="254"/>
      <c r="W536" s="254"/>
      <c r="X536" s="254"/>
      <c r="Y536" s="254"/>
      <c r="Z536" s="254"/>
      <c r="AA536" s="254"/>
      <c r="AB536" s="254"/>
      <c r="AC536" s="254"/>
    </row>
    <row r="537" ht="12.75" customHeight="1" spans="1:29">
      <c r="A537" s="254"/>
      <c r="B537" s="254"/>
      <c r="C537" s="254"/>
      <c r="D537" s="276"/>
      <c r="E537" s="254"/>
      <c r="F537" s="254"/>
      <c r="G537" s="254"/>
      <c r="H537" s="254"/>
      <c r="I537" s="254"/>
      <c r="J537" s="254"/>
      <c r="K537" s="254"/>
      <c r="L537" s="254"/>
      <c r="M537" s="254"/>
      <c r="N537" s="254"/>
      <c r="O537" s="254"/>
      <c r="P537" s="254"/>
      <c r="Q537" s="254"/>
      <c r="R537" s="254"/>
      <c r="S537" s="254"/>
      <c r="T537" s="254"/>
      <c r="U537" s="254"/>
      <c r="V537" s="254"/>
      <c r="W537" s="254"/>
      <c r="X537" s="254"/>
      <c r="Y537" s="254"/>
      <c r="Z537" s="254"/>
      <c r="AA537" s="254"/>
      <c r="AB537" s="254"/>
      <c r="AC537" s="254"/>
    </row>
    <row r="538" ht="12.75" customHeight="1" spans="1:29">
      <c r="A538" s="254"/>
      <c r="B538" s="254"/>
      <c r="C538" s="254"/>
      <c r="D538" s="276"/>
      <c r="E538" s="254"/>
      <c r="F538" s="254"/>
      <c r="G538" s="254"/>
      <c r="H538" s="254"/>
      <c r="I538" s="254"/>
      <c r="J538" s="254"/>
      <c r="K538" s="254"/>
      <c r="L538" s="254"/>
      <c r="M538" s="254"/>
      <c r="N538" s="254"/>
      <c r="O538" s="254"/>
      <c r="P538" s="254"/>
      <c r="Q538" s="254"/>
      <c r="R538" s="254"/>
      <c r="S538" s="254"/>
      <c r="T538" s="254"/>
      <c r="U538" s="254"/>
      <c r="V538" s="254"/>
      <c r="W538" s="254"/>
      <c r="X538" s="254"/>
      <c r="Y538" s="254"/>
      <c r="Z538" s="254"/>
      <c r="AA538" s="254"/>
      <c r="AB538" s="254"/>
      <c r="AC538" s="254"/>
    </row>
    <row r="539" ht="12.75" customHeight="1" spans="1:29">
      <c r="A539" s="254"/>
      <c r="B539" s="254"/>
      <c r="C539" s="254"/>
      <c r="D539" s="276"/>
      <c r="E539" s="254"/>
      <c r="F539" s="254"/>
      <c r="G539" s="254"/>
      <c r="H539" s="254"/>
      <c r="I539" s="254"/>
      <c r="J539" s="254"/>
      <c r="K539" s="254"/>
      <c r="L539" s="254"/>
      <c r="M539" s="254"/>
      <c r="N539" s="254"/>
      <c r="O539" s="254"/>
      <c r="P539" s="254"/>
      <c r="Q539" s="254"/>
      <c r="R539" s="254"/>
      <c r="S539" s="254"/>
      <c r="T539" s="254"/>
      <c r="U539" s="254"/>
      <c r="V539" s="254"/>
      <c r="W539" s="254"/>
      <c r="X539" s="254"/>
      <c r="Y539" s="254"/>
      <c r="Z539" s="254"/>
      <c r="AA539" s="254"/>
      <c r="AB539" s="254"/>
      <c r="AC539" s="254"/>
    </row>
    <row r="540" ht="12.75" customHeight="1" spans="1:29">
      <c r="A540" s="254"/>
      <c r="B540" s="254"/>
      <c r="C540" s="254"/>
      <c r="D540" s="276"/>
      <c r="E540" s="254"/>
      <c r="F540" s="254"/>
      <c r="G540" s="254"/>
      <c r="H540" s="254"/>
      <c r="I540" s="254"/>
      <c r="J540" s="254"/>
      <c r="K540" s="254"/>
      <c r="L540" s="254"/>
      <c r="M540" s="254"/>
      <c r="N540" s="254"/>
      <c r="O540" s="254"/>
      <c r="P540" s="254"/>
      <c r="Q540" s="254"/>
      <c r="R540" s="254"/>
      <c r="S540" s="254"/>
      <c r="T540" s="254"/>
      <c r="U540" s="254"/>
      <c r="V540" s="254"/>
      <c r="W540" s="254"/>
      <c r="X540" s="254"/>
      <c r="Y540" s="254"/>
      <c r="Z540" s="254"/>
      <c r="AA540" s="254"/>
      <c r="AB540" s="254"/>
      <c r="AC540" s="254"/>
    </row>
    <row r="541" ht="12.75" customHeight="1" spans="1:29">
      <c r="A541" s="254"/>
      <c r="B541" s="254"/>
      <c r="C541" s="254"/>
      <c r="D541" s="276"/>
      <c r="E541" s="254"/>
      <c r="F541" s="254"/>
      <c r="G541" s="254"/>
      <c r="H541" s="254"/>
      <c r="I541" s="254"/>
      <c r="J541" s="254"/>
      <c r="K541" s="254"/>
      <c r="L541" s="254"/>
      <c r="M541" s="254"/>
      <c r="N541" s="254"/>
      <c r="O541" s="254"/>
      <c r="P541" s="254"/>
      <c r="Q541" s="254"/>
      <c r="R541" s="254"/>
      <c r="S541" s="254"/>
      <c r="T541" s="254"/>
      <c r="U541" s="254"/>
      <c r="V541" s="254"/>
      <c r="W541" s="254"/>
      <c r="X541" s="254"/>
      <c r="Y541" s="254"/>
      <c r="Z541" s="254"/>
      <c r="AA541" s="254"/>
      <c r="AB541" s="254"/>
      <c r="AC541" s="254"/>
    </row>
    <row r="542" ht="12.75" customHeight="1" spans="1:29">
      <c r="A542" s="254"/>
      <c r="B542" s="254"/>
      <c r="C542" s="254"/>
      <c r="D542" s="276"/>
      <c r="E542" s="254"/>
      <c r="F542" s="254"/>
      <c r="G542" s="254"/>
      <c r="H542" s="254"/>
      <c r="I542" s="254"/>
      <c r="J542" s="254"/>
      <c r="K542" s="254"/>
      <c r="L542" s="254"/>
      <c r="M542" s="254"/>
      <c r="N542" s="254"/>
      <c r="O542" s="254"/>
      <c r="P542" s="254"/>
      <c r="Q542" s="254"/>
      <c r="R542" s="254"/>
      <c r="S542" s="254"/>
      <c r="T542" s="254"/>
      <c r="U542" s="254"/>
      <c r="V542" s="254"/>
      <c r="W542" s="254"/>
      <c r="X542" s="254"/>
      <c r="Y542" s="254"/>
      <c r="Z542" s="254"/>
      <c r="AA542" s="254"/>
      <c r="AB542" s="254"/>
      <c r="AC542" s="254"/>
    </row>
    <row r="543" ht="12.75" customHeight="1" spans="1:29">
      <c r="A543" s="254"/>
      <c r="B543" s="254"/>
      <c r="C543" s="254"/>
      <c r="D543" s="276"/>
      <c r="E543" s="254"/>
      <c r="F543" s="254"/>
      <c r="G543" s="254"/>
      <c r="H543" s="254"/>
      <c r="I543" s="254"/>
      <c r="J543" s="254"/>
      <c r="K543" s="254"/>
      <c r="L543" s="254"/>
      <c r="M543" s="254"/>
      <c r="N543" s="254"/>
      <c r="O543" s="254"/>
      <c r="P543" s="254"/>
      <c r="Q543" s="254"/>
      <c r="R543" s="254"/>
      <c r="S543" s="254"/>
      <c r="T543" s="254"/>
      <c r="U543" s="254"/>
      <c r="V543" s="254"/>
      <c r="W543" s="254"/>
      <c r="X543" s="254"/>
      <c r="Y543" s="254"/>
      <c r="Z543" s="254"/>
      <c r="AA543" s="254"/>
      <c r="AB543" s="254"/>
      <c r="AC543" s="254"/>
    </row>
    <row r="544" ht="12.75" customHeight="1" spans="1:29">
      <c r="A544" s="254"/>
      <c r="B544" s="254"/>
      <c r="C544" s="254"/>
      <c r="D544" s="276"/>
      <c r="E544" s="254"/>
      <c r="F544" s="254"/>
      <c r="G544" s="254"/>
      <c r="H544" s="254"/>
      <c r="I544" s="254"/>
      <c r="J544" s="254"/>
      <c r="K544" s="254"/>
      <c r="L544" s="254"/>
      <c r="M544" s="254"/>
      <c r="N544" s="254"/>
      <c r="O544" s="254"/>
      <c r="P544" s="254"/>
      <c r="Q544" s="254"/>
      <c r="R544" s="254"/>
      <c r="S544" s="254"/>
      <c r="T544" s="254"/>
      <c r="U544" s="254"/>
      <c r="V544" s="254"/>
      <c r="W544" s="254"/>
      <c r="X544" s="254"/>
      <c r="Y544" s="254"/>
      <c r="Z544" s="254"/>
      <c r="AA544" s="254"/>
      <c r="AB544" s="254"/>
      <c r="AC544" s="254"/>
    </row>
    <row r="545" ht="12.75" customHeight="1" spans="1:29">
      <c r="A545" s="254"/>
      <c r="B545" s="254"/>
      <c r="C545" s="254"/>
      <c r="D545" s="276"/>
      <c r="E545" s="254"/>
      <c r="F545" s="254"/>
      <c r="G545" s="254"/>
      <c r="H545" s="254"/>
      <c r="I545" s="254"/>
      <c r="J545" s="254"/>
      <c r="K545" s="254"/>
      <c r="L545" s="254"/>
      <c r="M545" s="254"/>
      <c r="N545" s="254"/>
      <c r="O545" s="254"/>
      <c r="P545" s="254"/>
      <c r="Q545" s="254"/>
      <c r="R545" s="254"/>
      <c r="S545" s="254"/>
      <c r="T545" s="254"/>
      <c r="U545" s="254"/>
      <c r="V545" s="254"/>
      <c r="W545" s="254"/>
      <c r="X545" s="254"/>
      <c r="Y545" s="254"/>
      <c r="Z545" s="254"/>
      <c r="AA545" s="254"/>
      <c r="AB545" s="254"/>
      <c r="AC545" s="254"/>
    </row>
    <row r="546" ht="12.75" customHeight="1" spans="1:29">
      <c r="A546" s="254"/>
      <c r="B546" s="254"/>
      <c r="C546" s="254"/>
      <c r="D546" s="276"/>
      <c r="E546" s="254"/>
      <c r="F546" s="254"/>
      <c r="G546" s="254"/>
      <c r="H546" s="254"/>
      <c r="I546" s="254"/>
      <c r="J546" s="254"/>
      <c r="K546" s="254"/>
      <c r="L546" s="254"/>
      <c r="M546" s="254"/>
      <c r="N546" s="254"/>
      <c r="O546" s="254"/>
      <c r="P546" s="254"/>
      <c r="Q546" s="254"/>
      <c r="R546" s="254"/>
      <c r="S546" s="254"/>
      <c r="T546" s="254"/>
      <c r="U546" s="254"/>
      <c r="V546" s="254"/>
      <c r="W546" s="254"/>
      <c r="X546" s="254"/>
      <c r="Y546" s="254"/>
      <c r="Z546" s="254"/>
      <c r="AA546" s="254"/>
      <c r="AB546" s="254"/>
      <c r="AC546" s="254"/>
    </row>
    <row r="547" ht="12.75" customHeight="1" spans="1:29">
      <c r="A547" s="254"/>
      <c r="B547" s="254"/>
      <c r="C547" s="254"/>
      <c r="D547" s="276"/>
      <c r="E547" s="254"/>
      <c r="F547" s="254"/>
      <c r="G547" s="254"/>
      <c r="H547" s="254"/>
      <c r="I547" s="254"/>
      <c r="J547" s="254"/>
      <c r="K547" s="254"/>
      <c r="L547" s="254"/>
      <c r="M547" s="254"/>
      <c r="N547" s="254"/>
      <c r="O547" s="254"/>
      <c r="P547" s="254"/>
      <c r="Q547" s="254"/>
      <c r="R547" s="254"/>
      <c r="S547" s="254"/>
      <c r="T547" s="254"/>
      <c r="U547" s="254"/>
      <c r="V547" s="254"/>
      <c r="W547" s="254"/>
      <c r="X547" s="254"/>
      <c r="Y547" s="254"/>
      <c r="Z547" s="254"/>
      <c r="AA547" s="254"/>
      <c r="AB547" s="254"/>
      <c r="AC547" s="254"/>
    </row>
    <row r="548" ht="12.75" customHeight="1" spans="1:29">
      <c r="A548" s="254"/>
      <c r="B548" s="254"/>
      <c r="C548" s="254"/>
      <c r="D548" s="276"/>
      <c r="E548" s="254"/>
      <c r="F548" s="254"/>
      <c r="G548" s="254"/>
      <c r="H548" s="254"/>
      <c r="I548" s="254"/>
      <c r="J548" s="254"/>
      <c r="K548" s="254"/>
      <c r="L548" s="254"/>
      <c r="M548" s="254"/>
      <c r="N548" s="254"/>
      <c r="O548" s="254"/>
      <c r="P548" s="254"/>
      <c r="Q548" s="254"/>
      <c r="R548" s="254"/>
      <c r="S548" s="254"/>
      <c r="T548" s="254"/>
      <c r="U548" s="254"/>
      <c r="V548" s="254"/>
      <c r="W548" s="254"/>
      <c r="X548" s="254"/>
      <c r="Y548" s="254"/>
      <c r="Z548" s="254"/>
      <c r="AA548" s="254"/>
      <c r="AB548" s="254"/>
      <c r="AC548" s="254"/>
    </row>
    <row r="549" ht="12.75" customHeight="1" spans="1:29">
      <c r="A549" s="254"/>
      <c r="B549" s="254"/>
      <c r="C549" s="254"/>
      <c r="D549" s="276"/>
      <c r="E549" s="254"/>
      <c r="F549" s="254"/>
      <c r="G549" s="254"/>
      <c r="H549" s="254"/>
      <c r="I549" s="254"/>
      <c r="J549" s="254"/>
      <c r="K549" s="254"/>
      <c r="L549" s="254"/>
      <c r="M549" s="254"/>
      <c r="N549" s="254"/>
      <c r="O549" s="254"/>
      <c r="P549" s="254"/>
      <c r="Q549" s="254"/>
      <c r="R549" s="254"/>
      <c r="S549" s="254"/>
      <c r="T549" s="254"/>
      <c r="U549" s="254"/>
      <c r="V549" s="254"/>
      <c r="W549" s="254"/>
      <c r="X549" s="254"/>
      <c r="Y549" s="254"/>
      <c r="Z549" s="254"/>
      <c r="AA549" s="254"/>
      <c r="AB549" s="254"/>
      <c r="AC549" s="254"/>
    </row>
    <row r="550" ht="12.75" customHeight="1" spans="1:29">
      <c r="A550" s="254"/>
      <c r="B550" s="254"/>
      <c r="C550" s="254"/>
      <c r="D550" s="276"/>
      <c r="E550" s="254"/>
      <c r="F550" s="254"/>
      <c r="G550" s="254"/>
      <c r="H550" s="254"/>
      <c r="I550" s="254"/>
      <c r="J550" s="254"/>
      <c r="K550" s="254"/>
      <c r="L550" s="254"/>
      <c r="M550" s="254"/>
      <c r="N550" s="254"/>
      <c r="O550" s="254"/>
      <c r="P550" s="254"/>
      <c r="Q550" s="254"/>
      <c r="R550" s="254"/>
      <c r="S550" s="254"/>
      <c r="T550" s="254"/>
      <c r="U550" s="254"/>
      <c r="V550" s="254"/>
      <c r="W550" s="254"/>
      <c r="X550" s="254"/>
      <c r="Y550" s="254"/>
      <c r="Z550" s="254"/>
      <c r="AA550" s="254"/>
      <c r="AB550" s="254"/>
      <c r="AC550" s="254"/>
    </row>
    <row r="551" ht="12.75" customHeight="1" spans="1:29">
      <c r="A551" s="254"/>
      <c r="B551" s="254"/>
      <c r="C551" s="254"/>
      <c r="D551" s="276"/>
      <c r="E551" s="254"/>
      <c r="F551" s="254"/>
      <c r="G551" s="254"/>
      <c r="H551" s="254"/>
      <c r="I551" s="254"/>
      <c r="J551" s="254"/>
      <c r="K551" s="254"/>
      <c r="L551" s="254"/>
      <c r="M551" s="254"/>
      <c r="N551" s="254"/>
      <c r="O551" s="254"/>
      <c r="P551" s="254"/>
      <c r="Q551" s="254"/>
      <c r="R551" s="254"/>
      <c r="S551" s="254"/>
      <c r="T551" s="254"/>
      <c r="U551" s="254"/>
      <c r="V551" s="254"/>
      <c r="W551" s="254"/>
      <c r="X551" s="254"/>
      <c r="Y551" s="254"/>
      <c r="Z551" s="254"/>
      <c r="AA551" s="254"/>
      <c r="AB551" s="254"/>
      <c r="AC551" s="254"/>
    </row>
    <row r="552" ht="12.75" customHeight="1" spans="1:29">
      <c r="A552" s="254"/>
      <c r="B552" s="254"/>
      <c r="C552" s="254"/>
      <c r="D552" s="276"/>
      <c r="E552" s="254"/>
      <c r="F552" s="254"/>
      <c r="G552" s="254"/>
      <c r="H552" s="254"/>
      <c r="I552" s="254"/>
      <c r="J552" s="254"/>
      <c r="K552" s="254"/>
      <c r="L552" s="254"/>
      <c r="M552" s="254"/>
      <c r="N552" s="254"/>
      <c r="O552" s="254"/>
      <c r="P552" s="254"/>
      <c r="Q552" s="254"/>
      <c r="R552" s="254"/>
      <c r="S552" s="254"/>
      <c r="T552" s="254"/>
      <c r="U552" s="254"/>
      <c r="V552" s="254"/>
      <c r="W552" s="254"/>
      <c r="X552" s="254"/>
      <c r="Y552" s="254"/>
      <c r="Z552" s="254"/>
      <c r="AA552" s="254"/>
      <c r="AB552" s="254"/>
      <c r="AC552" s="254"/>
    </row>
    <row r="553" ht="12.75" customHeight="1" spans="1:29">
      <c r="A553" s="254"/>
      <c r="B553" s="254"/>
      <c r="C553" s="254"/>
      <c r="D553" s="276"/>
      <c r="E553" s="254"/>
      <c r="F553" s="254"/>
      <c r="G553" s="254"/>
      <c r="H553" s="254"/>
      <c r="I553" s="254"/>
      <c r="J553" s="254"/>
      <c r="K553" s="254"/>
      <c r="L553" s="254"/>
      <c r="M553" s="254"/>
      <c r="N553" s="254"/>
      <c r="O553" s="254"/>
      <c r="P553" s="254"/>
      <c r="Q553" s="254"/>
      <c r="R553" s="254"/>
      <c r="S553" s="254"/>
      <c r="T553" s="254"/>
      <c r="U553" s="254"/>
      <c r="V553" s="254"/>
      <c r="W553" s="254"/>
      <c r="X553" s="254"/>
      <c r="Y553" s="254"/>
      <c r="Z553" s="254"/>
      <c r="AA553" s="254"/>
      <c r="AB553" s="254"/>
      <c r="AC553" s="254"/>
    </row>
    <row r="554" ht="12.75" customHeight="1" spans="1:29">
      <c r="A554" s="254"/>
      <c r="B554" s="254"/>
      <c r="C554" s="254"/>
      <c r="D554" s="276"/>
      <c r="E554" s="254"/>
      <c r="F554" s="254"/>
      <c r="G554" s="254"/>
      <c r="H554" s="254"/>
      <c r="I554" s="254"/>
      <c r="J554" s="254"/>
      <c r="K554" s="254"/>
      <c r="L554" s="254"/>
      <c r="M554" s="254"/>
      <c r="N554" s="254"/>
      <c r="O554" s="254"/>
      <c r="P554" s="254"/>
      <c r="Q554" s="254"/>
      <c r="R554" s="254"/>
      <c r="S554" s="254"/>
      <c r="T554" s="254"/>
      <c r="U554" s="254"/>
      <c r="V554" s="254"/>
      <c r="W554" s="254"/>
      <c r="X554" s="254"/>
      <c r="Y554" s="254"/>
      <c r="Z554" s="254"/>
      <c r="AA554" s="254"/>
      <c r="AB554" s="254"/>
      <c r="AC554" s="254"/>
    </row>
    <row r="555" ht="12.75" customHeight="1" spans="1:29">
      <c r="A555" s="254"/>
      <c r="B555" s="254"/>
      <c r="C555" s="254"/>
      <c r="D555" s="276"/>
      <c r="E555" s="254"/>
      <c r="F555" s="254"/>
      <c r="G555" s="254"/>
      <c r="H555" s="254"/>
      <c r="I555" s="254"/>
      <c r="J555" s="254"/>
      <c r="K555" s="254"/>
      <c r="L555" s="254"/>
      <c r="M555" s="254"/>
      <c r="N555" s="254"/>
      <c r="O555" s="254"/>
      <c r="P555" s="254"/>
      <c r="Q555" s="254"/>
      <c r="R555" s="254"/>
      <c r="S555" s="254"/>
      <c r="T555" s="254"/>
      <c r="U555" s="254"/>
      <c r="V555" s="254"/>
      <c r="W555" s="254"/>
      <c r="X555" s="254"/>
      <c r="Y555" s="254"/>
      <c r="Z555" s="254"/>
      <c r="AA555" s="254"/>
      <c r="AB555" s="254"/>
      <c r="AC555" s="254"/>
    </row>
    <row r="556" ht="12.75" customHeight="1" spans="1:29">
      <c r="A556" s="254"/>
      <c r="B556" s="254"/>
      <c r="C556" s="254"/>
      <c r="D556" s="276"/>
      <c r="E556" s="254"/>
      <c r="F556" s="254"/>
      <c r="G556" s="254"/>
      <c r="H556" s="254"/>
      <c r="I556" s="254"/>
      <c r="J556" s="254"/>
      <c r="K556" s="254"/>
      <c r="L556" s="254"/>
      <c r="M556" s="254"/>
      <c r="N556" s="254"/>
      <c r="O556" s="254"/>
      <c r="P556" s="254"/>
      <c r="Q556" s="254"/>
      <c r="R556" s="254"/>
      <c r="S556" s="254"/>
      <c r="T556" s="254"/>
      <c r="U556" s="254"/>
      <c r="V556" s="254"/>
      <c r="W556" s="254"/>
      <c r="X556" s="254"/>
      <c r="Y556" s="254"/>
      <c r="Z556" s="254"/>
      <c r="AA556" s="254"/>
      <c r="AB556" s="254"/>
      <c r="AC556" s="254"/>
    </row>
    <row r="557" ht="12.75" customHeight="1" spans="1:29">
      <c r="A557" s="254"/>
      <c r="B557" s="254"/>
      <c r="C557" s="254"/>
      <c r="D557" s="276"/>
      <c r="E557" s="254"/>
      <c r="F557" s="254"/>
      <c r="G557" s="254"/>
      <c r="H557" s="254"/>
      <c r="I557" s="254"/>
      <c r="J557" s="254"/>
      <c r="K557" s="254"/>
      <c r="L557" s="254"/>
      <c r="M557" s="254"/>
      <c r="N557" s="254"/>
      <c r="O557" s="254"/>
      <c r="P557" s="254"/>
      <c r="Q557" s="254"/>
      <c r="R557" s="254"/>
      <c r="S557" s="254"/>
      <c r="T557" s="254"/>
      <c r="U557" s="254"/>
      <c r="V557" s="254"/>
      <c r="W557" s="254"/>
      <c r="X557" s="254"/>
      <c r="Y557" s="254"/>
      <c r="Z557" s="254"/>
      <c r="AA557" s="254"/>
      <c r="AB557" s="254"/>
      <c r="AC557" s="254"/>
    </row>
    <row r="558" ht="12.75" customHeight="1" spans="1:29">
      <c r="A558" s="254"/>
      <c r="B558" s="254"/>
      <c r="C558" s="254"/>
      <c r="D558" s="276"/>
      <c r="E558" s="254"/>
      <c r="F558" s="254"/>
      <c r="G558" s="254"/>
      <c r="H558" s="254"/>
      <c r="I558" s="254"/>
      <c r="J558" s="254"/>
      <c r="K558" s="254"/>
      <c r="L558" s="254"/>
      <c r="M558" s="254"/>
      <c r="N558" s="254"/>
      <c r="O558" s="254"/>
      <c r="P558" s="254"/>
      <c r="Q558" s="254"/>
      <c r="R558" s="254"/>
      <c r="S558" s="254"/>
      <c r="T558" s="254"/>
      <c r="U558" s="254"/>
      <c r="V558" s="254"/>
      <c r="W558" s="254"/>
      <c r="X558" s="254"/>
      <c r="Y558" s="254"/>
      <c r="Z558" s="254"/>
      <c r="AA558" s="254"/>
      <c r="AB558" s="254"/>
      <c r="AC558" s="254"/>
    </row>
    <row r="559" ht="12.75" customHeight="1" spans="1:29">
      <c r="A559" s="254"/>
      <c r="B559" s="254"/>
      <c r="C559" s="254"/>
      <c r="D559" s="276"/>
      <c r="E559" s="254"/>
      <c r="F559" s="254"/>
      <c r="G559" s="254"/>
      <c r="H559" s="254"/>
      <c r="I559" s="254"/>
      <c r="J559" s="254"/>
      <c r="K559" s="254"/>
      <c r="L559" s="254"/>
      <c r="M559" s="254"/>
      <c r="N559" s="254"/>
      <c r="O559" s="254"/>
      <c r="P559" s="254"/>
      <c r="Q559" s="254"/>
      <c r="R559" s="254"/>
      <c r="S559" s="254"/>
      <c r="T559" s="254"/>
      <c r="U559" s="254"/>
      <c r="V559" s="254"/>
      <c r="W559" s="254"/>
      <c r="X559" s="254"/>
      <c r="Y559" s="254"/>
      <c r="Z559" s="254"/>
      <c r="AA559" s="254"/>
      <c r="AB559" s="254"/>
      <c r="AC559" s="254"/>
    </row>
    <row r="560" ht="12.75" customHeight="1" spans="1:29">
      <c r="A560" s="254"/>
      <c r="B560" s="254"/>
      <c r="C560" s="254"/>
      <c r="D560" s="276"/>
      <c r="E560" s="254"/>
      <c r="F560" s="254"/>
      <c r="G560" s="254"/>
      <c r="H560" s="254"/>
      <c r="I560" s="254"/>
      <c r="J560" s="254"/>
      <c r="K560" s="254"/>
      <c r="L560" s="254"/>
      <c r="M560" s="254"/>
      <c r="N560" s="254"/>
      <c r="O560" s="254"/>
      <c r="P560" s="254"/>
      <c r="Q560" s="254"/>
      <c r="R560" s="254"/>
      <c r="S560" s="254"/>
      <c r="T560" s="254"/>
      <c r="U560" s="254"/>
      <c r="V560" s="254"/>
      <c r="W560" s="254"/>
      <c r="X560" s="254"/>
      <c r="Y560" s="254"/>
      <c r="Z560" s="254"/>
      <c r="AA560" s="254"/>
      <c r="AB560" s="254"/>
      <c r="AC560" s="254"/>
    </row>
    <row r="561" ht="12.75" customHeight="1" spans="1:29">
      <c r="A561" s="254"/>
      <c r="B561" s="254"/>
      <c r="C561" s="254"/>
      <c r="D561" s="276"/>
      <c r="E561" s="254"/>
      <c r="F561" s="254"/>
      <c r="G561" s="254"/>
      <c r="H561" s="254"/>
      <c r="I561" s="254"/>
      <c r="J561" s="254"/>
      <c r="K561" s="254"/>
      <c r="L561" s="254"/>
      <c r="M561" s="254"/>
      <c r="N561" s="254"/>
      <c r="O561" s="254"/>
      <c r="P561" s="254"/>
      <c r="Q561" s="254"/>
      <c r="R561" s="254"/>
      <c r="S561" s="254"/>
      <c r="T561" s="254"/>
      <c r="U561" s="254"/>
      <c r="V561" s="254"/>
      <c r="W561" s="254"/>
      <c r="X561" s="254"/>
      <c r="Y561" s="254"/>
      <c r="Z561" s="254"/>
      <c r="AA561" s="254"/>
      <c r="AB561" s="254"/>
      <c r="AC561" s="254"/>
    </row>
    <row r="562" ht="12.75" customHeight="1" spans="1:29">
      <c r="A562" s="254"/>
      <c r="B562" s="254"/>
      <c r="C562" s="254"/>
      <c r="D562" s="276"/>
      <c r="E562" s="254"/>
      <c r="F562" s="254"/>
      <c r="G562" s="254"/>
      <c r="H562" s="254"/>
      <c r="I562" s="254"/>
      <c r="J562" s="254"/>
      <c r="K562" s="254"/>
      <c r="L562" s="254"/>
      <c r="M562" s="254"/>
      <c r="N562" s="254"/>
      <c r="O562" s="254"/>
      <c r="P562" s="254"/>
      <c r="Q562" s="254"/>
      <c r="R562" s="254"/>
      <c r="S562" s="254"/>
      <c r="T562" s="254"/>
      <c r="U562" s="254"/>
      <c r="V562" s="254"/>
      <c r="W562" s="254"/>
      <c r="X562" s="254"/>
      <c r="Y562" s="254"/>
      <c r="Z562" s="254"/>
      <c r="AA562" s="254"/>
      <c r="AB562" s="254"/>
      <c r="AC562" s="254"/>
    </row>
    <row r="563" ht="12.75" customHeight="1" spans="1:29">
      <c r="A563" s="254"/>
      <c r="B563" s="254"/>
      <c r="C563" s="254"/>
      <c r="D563" s="276"/>
      <c r="E563" s="254"/>
      <c r="F563" s="254"/>
      <c r="G563" s="254"/>
      <c r="H563" s="254"/>
      <c r="I563" s="254"/>
      <c r="J563" s="254"/>
      <c r="K563" s="254"/>
      <c r="L563" s="254"/>
      <c r="M563" s="254"/>
      <c r="N563" s="254"/>
      <c r="O563" s="254"/>
      <c r="P563" s="254"/>
      <c r="Q563" s="254"/>
      <c r="R563" s="254"/>
      <c r="S563" s="254"/>
      <c r="T563" s="254"/>
      <c r="U563" s="254"/>
      <c r="V563" s="254"/>
      <c r="W563" s="254"/>
      <c r="X563" s="254"/>
      <c r="Y563" s="254"/>
      <c r="Z563" s="254"/>
      <c r="AA563" s="254"/>
      <c r="AB563" s="254"/>
      <c r="AC563" s="254"/>
    </row>
    <row r="564" ht="12.75" customHeight="1" spans="1:29">
      <c r="A564" s="254"/>
      <c r="B564" s="254"/>
      <c r="C564" s="254"/>
      <c r="D564" s="276"/>
      <c r="E564" s="254"/>
      <c r="F564" s="254"/>
      <c r="G564" s="254"/>
      <c r="H564" s="254"/>
      <c r="I564" s="254"/>
      <c r="J564" s="254"/>
      <c r="K564" s="254"/>
      <c r="L564" s="254"/>
      <c r="M564" s="254"/>
      <c r="N564" s="254"/>
      <c r="O564" s="254"/>
      <c r="P564" s="254"/>
      <c r="Q564" s="254"/>
      <c r="R564" s="254"/>
      <c r="S564" s="254"/>
      <c r="T564" s="254"/>
      <c r="U564" s="254"/>
      <c r="V564" s="254"/>
      <c r="W564" s="254"/>
      <c r="X564" s="254"/>
      <c r="Y564" s="254"/>
      <c r="Z564" s="254"/>
      <c r="AA564" s="254"/>
      <c r="AB564" s="254"/>
      <c r="AC564" s="254"/>
    </row>
    <row r="565" ht="12.75" customHeight="1" spans="1:29">
      <c r="A565" s="254"/>
      <c r="B565" s="254"/>
      <c r="C565" s="254"/>
      <c r="D565" s="276"/>
      <c r="E565" s="254"/>
      <c r="F565" s="254"/>
      <c r="G565" s="254"/>
      <c r="H565" s="254"/>
      <c r="I565" s="254"/>
      <c r="J565" s="254"/>
      <c r="K565" s="254"/>
      <c r="L565" s="254"/>
      <c r="M565" s="254"/>
      <c r="N565" s="254"/>
      <c r="O565" s="254"/>
      <c r="P565" s="254"/>
      <c r="Q565" s="254"/>
      <c r="R565" s="254"/>
      <c r="S565" s="254"/>
      <c r="T565" s="254"/>
      <c r="U565" s="254"/>
      <c r="V565" s="254"/>
      <c r="W565" s="254"/>
      <c r="X565" s="254"/>
      <c r="Y565" s="254"/>
      <c r="Z565" s="254"/>
      <c r="AA565" s="254"/>
      <c r="AB565" s="254"/>
      <c r="AC565" s="254"/>
    </row>
    <row r="566" ht="12.75" customHeight="1" spans="1:29">
      <c r="A566" s="254"/>
      <c r="B566" s="254"/>
      <c r="C566" s="254"/>
      <c r="D566" s="276"/>
      <c r="E566" s="254"/>
      <c r="F566" s="254"/>
      <c r="G566" s="254"/>
      <c r="H566" s="254"/>
      <c r="I566" s="254"/>
      <c r="J566" s="254"/>
      <c r="K566" s="254"/>
      <c r="L566" s="254"/>
      <c r="M566" s="254"/>
      <c r="N566" s="254"/>
      <c r="O566" s="254"/>
      <c r="P566" s="254"/>
      <c r="Q566" s="254"/>
      <c r="R566" s="254"/>
      <c r="S566" s="254"/>
      <c r="T566" s="254"/>
      <c r="U566" s="254"/>
      <c r="V566" s="254"/>
      <c r="W566" s="254"/>
      <c r="X566" s="254"/>
      <c r="Y566" s="254"/>
      <c r="Z566" s="254"/>
      <c r="AA566" s="254"/>
      <c r="AB566" s="254"/>
      <c r="AC566" s="254"/>
    </row>
    <row r="567" ht="12.75" customHeight="1" spans="1:29">
      <c r="A567" s="254"/>
      <c r="B567" s="254"/>
      <c r="C567" s="254"/>
      <c r="D567" s="276"/>
      <c r="E567" s="254"/>
      <c r="F567" s="254"/>
      <c r="G567" s="254"/>
      <c r="H567" s="254"/>
      <c r="I567" s="254"/>
      <c r="J567" s="254"/>
      <c r="K567" s="254"/>
      <c r="L567" s="254"/>
      <c r="M567" s="254"/>
      <c r="N567" s="254"/>
      <c r="O567" s="254"/>
      <c r="P567" s="254"/>
      <c r="Q567" s="254"/>
      <c r="R567" s="254"/>
      <c r="S567" s="254"/>
      <c r="T567" s="254"/>
      <c r="U567" s="254"/>
      <c r="V567" s="254"/>
      <c r="W567" s="254"/>
      <c r="X567" s="254"/>
      <c r="Y567" s="254"/>
      <c r="Z567" s="254"/>
      <c r="AA567" s="254"/>
      <c r="AB567" s="254"/>
      <c r="AC567" s="254"/>
    </row>
    <row r="568" ht="12.75" customHeight="1" spans="1:29">
      <c r="A568" s="254"/>
      <c r="B568" s="254"/>
      <c r="C568" s="254"/>
      <c r="D568" s="276"/>
      <c r="E568" s="254"/>
      <c r="F568" s="254"/>
      <c r="G568" s="254"/>
      <c r="H568" s="254"/>
      <c r="I568" s="254"/>
      <c r="J568" s="254"/>
      <c r="K568" s="254"/>
      <c r="L568" s="254"/>
      <c r="M568" s="254"/>
      <c r="N568" s="254"/>
      <c r="O568" s="254"/>
      <c r="P568" s="254"/>
      <c r="Q568" s="254"/>
      <c r="R568" s="254"/>
      <c r="S568" s="254"/>
      <c r="T568" s="254"/>
      <c r="U568" s="254"/>
      <c r="V568" s="254"/>
      <c r="W568" s="254"/>
      <c r="X568" s="254"/>
      <c r="Y568" s="254"/>
      <c r="Z568" s="254"/>
      <c r="AA568" s="254"/>
      <c r="AB568" s="254"/>
      <c r="AC568" s="254"/>
    </row>
    <row r="569" ht="12.75" customHeight="1" spans="1:29">
      <c r="A569" s="254"/>
      <c r="B569" s="254"/>
      <c r="C569" s="254"/>
      <c r="D569" s="276"/>
      <c r="E569" s="254"/>
      <c r="F569" s="254"/>
      <c r="G569" s="254"/>
      <c r="H569" s="254"/>
      <c r="I569" s="254"/>
      <c r="J569" s="254"/>
      <c r="K569" s="254"/>
      <c r="L569" s="254"/>
      <c r="M569" s="254"/>
      <c r="N569" s="254"/>
      <c r="O569" s="254"/>
      <c r="P569" s="254"/>
      <c r="Q569" s="254"/>
      <c r="R569" s="254"/>
      <c r="S569" s="254"/>
      <c r="T569" s="254"/>
      <c r="U569" s="254"/>
      <c r="V569" s="254"/>
      <c r="W569" s="254"/>
      <c r="X569" s="254"/>
      <c r="Y569" s="254"/>
      <c r="Z569" s="254"/>
      <c r="AA569" s="254"/>
      <c r="AB569" s="254"/>
      <c r="AC569" s="254"/>
    </row>
    <row r="570" ht="12.75" customHeight="1" spans="1:29">
      <c r="A570" s="254"/>
      <c r="B570" s="254"/>
      <c r="C570" s="254"/>
      <c r="D570" s="276"/>
      <c r="E570" s="254"/>
      <c r="F570" s="254"/>
      <c r="G570" s="254"/>
      <c r="H570" s="254"/>
      <c r="I570" s="254"/>
      <c r="J570" s="254"/>
      <c r="K570" s="254"/>
      <c r="L570" s="254"/>
      <c r="M570" s="254"/>
      <c r="N570" s="254"/>
      <c r="O570" s="254"/>
      <c r="P570" s="254"/>
      <c r="Q570" s="254"/>
      <c r="R570" s="254"/>
      <c r="S570" s="254"/>
      <c r="T570" s="254"/>
      <c r="U570" s="254"/>
      <c r="V570" s="254"/>
      <c r="W570" s="254"/>
      <c r="X570" s="254"/>
      <c r="Y570" s="254"/>
      <c r="Z570" s="254"/>
      <c r="AA570" s="254"/>
      <c r="AB570" s="254"/>
      <c r="AC570" s="254"/>
    </row>
    <row r="571" ht="12.75" customHeight="1" spans="1:29">
      <c r="A571" s="254"/>
      <c r="B571" s="254"/>
      <c r="C571" s="254"/>
      <c r="D571" s="276"/>
      <c r="E571" s="254"/>
      <c r="F571" s="254"/>
      <c r="G571" s="254"/>
      <c r="H571" s="254"/>
      <c r="I571" s="254"/>
      <c r="J571" s="254"/>
      <c r="K571" s="254"/>
      <c r="L571" s="254"/>
      <c r="M571" s="254"/>
      <c r="N571" s="254"/>
      <c r="O571" s="254"/>
      <c r="P571" s="254"/>
      <c r="Q571" s="254"/>
      <c r="R571" s="254"/>
      <c r="S571" s="254"/>
      <c r="T571" s="254"/>
      <c r="U571" s="254"/>
      <c r="V571" s="254"/>
      <c r="W571" s="254"/>
      <c r="X571" s="254"/>
      <c r="Y571" s="254"/>
      <c r="Z571" s="254"/>
      <c r="AA571" s="254"/>
      <c r="AB571" s="254"/>
      <c r="AC571" s="254"/>
    </row>
    <row r="572" ht="12.75" customHeight="1" spans="1:29">
      <c r="A572" s="254"/>
      <c r="B572" s="254"/>
      <c r="C572" s="254"/>
      <c r="D572" s="276"/>
      <c r="E572" s="254"/>
      <c r="F572" s="254"/>
      <c r="G572" s="254"/>
      <c r="H572" s="254"/>
      <c r="I572" s="254"/>
      <c r="J572" s="254"/>
      <c r="K572" s="254"/>
      <c r="L572" s="254"/>
      <c r="M572" s="254"/>
      <c r="N572" s="254"/>
      <c r="O572" s="254"/>
      <c r="P572" s="254"/>
      <c r="Q572" s="254"/>
      <c r="R572" s="254"/>
      <c r="S572" s="254"/>
      <c r="T572" s="254"/>
      <c r="U572" s="254"/>
      <c r="V572" s="254"/>
      <c r="W572" s="254"/>
      <c r="X572" s="254"/>
      <c r="Y572" s="254"/>
      <c r="Z572" s="254"/>
      <c r="AA572" s="254"/>
      <c r="AB572" s="254"/>
      <c r="AC572" s="254"/>
    </row>
    <row r="573" ht="12.75" customHeight="1" spans="1:29">
      <c r="A573" s="254"/>
      <c r="B573" s="254"/>
      <c r="C573" s="254"/>
      <c r="D573" s="276"/>
      <c r="E573" s="254"/>
      <c r="F573" s="254"/>
      <c r="G573" s="254"/>
      <c r="H573" s="254"/>
      <c r="I573" s="254"/>
      <c r="J573" s="254"/>
      <c r="K573" s="254"/>
      <c r="L573" s="254"/>
      <c r="M573" s="254"/>
      <c r="N573" s="254"/>
      <c r="O573" s="254"/>
      <c r="P573" s="254"/>
      <c r="Q573" s="254"/>
      <c r="R573" s="254"/>
      <c r="S573" s="254"/>
      <c r="T573" s="254"/>
      <c r="U573" s="254"/>
      <c r="V573" s="254"/>
      <c r="W573" s="254"/>
      <c r="X573" s="254"/>
      <c r="Y573" s="254"/>
      <c r="Z573" s="254"/>
      <c r="AA573" s="254"/>
      <c r="AB573" s="254"/>
      <c r="AC573" s="254"/>
    </row>
    <row r="574" ht="12.75" customHeight="1" spans="1:29">
      <c r="A574" s="254"/>
      <c r="B574" s="254"/>
      <c r="C574" s="254"/>
      <c r="D574" s="276"/>
      <c r="E574" s="254"/>
      <c r="F574" s="254"/>
      <c r="G574" s="254"/>
      <c r="H574" s="254"/>
      <c r="I574" s="254"/>
      <c r="J574" s="254"/>
      <c r="K574" s="254"/>
      <c r="L574" s="254"/>
      <c r="M574" s="254"/>
      <c r="N574" s="254"/>
      <c r="O574" s="254"/>
      <c r="P574" s="254"/>
      <c r="Q574" s="254"/>
      <c r="R574" s="254"/>
      <c r="S574" s="254"/>
      <c r="T574" s="254"/>
      <c r="U574" s="254"/>
      <c r="V574" s="254"/>
      <c r="W574" s="254"/>
      <c r="X574" s="254"/>
      <c r="Y574" s="254"/>
      <c r="Z574" s="254"/>
      <c r="AA574" s="254"/>
      <c r="AB574" s="254"/>
      <c r="AC574" s="254"/>
    </row>
    <row r="575" ht="12.75" customHeight="1" spans="1:29">
      <c r="A575" s="254"/>
      <c r="B575" s="254"/>
      <c r="C575" s="254"/>
      <c r="D575" s="276"/>
      <c r="E575" s="254"/>
      <c r="F575" s="254"/>
      <c r="G575" s="254"/>
      <c r="H575" s="254"/>
      <c r="I575" s="254"/>
      <c r="J575" s="254"/>
      <c r="K575" s="254"/>
      <c r="L575" s="254"/>
      <c r="M575" s="254"/>
      <c r="N575" s="254"/>
      <c r="O575" s="254"/>
      <c r="P575" s="254"/>
      <c r="Q575" s="254"/>
      <c r="R575" s="254"/>
      <c r="S575" s="254"/>
      <c r="T575" s="254"/>
      <c r="U575" s="254"/>
      <c r="V575" s="254"/>
      <c r="W575" s="254"/>
      <c r="X575" s="254"/>
      <c r="Y575" s="254"/>
      <c r="Z575" s="254"/>
      <c r="AA575" s="254"/>
      <c r="AB575" s="254"/>
      <c r="AC575" s="254"/>
    </row>
    <row r="576" ht="12.75" customHeight="1" spans="1:29">
      <c r="A576" s="254"/>
      <c r="B576" s="254"/>
      <c r="C576" s="254"/>
      <c r="D576" s="276"/>
      <c r="E576" s="254"/>
      <c r="F576" s="254"/>
      <c r="G576" s="254"/>
      <c r="H576" s="254"/>
      <c r="I576" s="254"/>
      <c r="J576" s="254"/>
      <c r="K576" s="254"/>
      <c r="L576" s="254"/>
      <c r="M576" s="254"/>
      <c r="N576" s="254"/>
      <c r="O576" s="254"/>
      <c r="P576" s="254"/>
      <c r="Q576" s="254"/>
      <c r="R576" s="254"/>
      <c r="S576" s="254"/>
      <c r="T576" s="254"/>
      <c r="U576" s="254"/>
      <c r="V576" s="254"/>
      <c r="W576" s="254"/>
      <c r="X576" s="254"/>
      <c r="Y576" s="254"/>
      <c r="Z576" s="254"/>
      <c r="AA576" s="254"/>
      <c r="AB576" s="254"/>
      <c r="AC576" s="254"/>
    </row>
    <row r="577" ht="12.75" customHeight="1" spans="1:29">
      <c r="A577" s="254"/>
      <c r="B577" s="254"/>
      <c r="C577" s="254"/>
      <c r="D577" s="276"/>
      <c r="E577" s="254"/>
      <c r="F577" s="254"/>
      <c r="G577" s="254"/>
      <c r="H577" s="254"/>
      <c r="I577" s="254"/>
      <c r="J577" s="254"/>
      <c r="K577" s="254"/>
      <c r="L577" s="254"/>
      <c r="M577" s="254"/>
      <c r="N577" s="254"/>
      <c r="O577" s="254"/>
      <c r="P577" s="254"/>
      <c r="Q577" s="254"/>
      <c r="R577" s="254"/>
      <c r="S577" s="254"/>
      <c r="T577" s="254"/>
      <c r="U577" s="254"/>
      <c r="V577" s="254"/>
      <c r="W577" s="254"/>
      <c r="X577" s="254"/>
      <c r="Y577" s="254"/>
      <c r="Z577" s="254"/>
      <c r="AA577" s="254"/>
      <c r="AB577" s="254"/>
      <c r="AC577" s="254"/>
    </row>
    <row r="578" ht="12.75" customHeight="1" spans="1:29">
      <c r="A578" s="254"/>
      <c r="B578" s="254"/>
      <c r="C578" s="254"/>
      <c r="D578" s="276"/>
      <c r="E578" s="254"/>
      <c r="F578" s="254"/>
      <c r="G578" s="254"/>
      <c r="H578" s="254"/>
      <c r="I578" s="254"/>
      <c r="J578" s="254"/>
      <c r="K578" s="254"/>
      <c r="L578" s="254"/>
      <c r="M578" s="254"/>
      <c r="N578" s="254"/>
      <c r="O578" s="254"/>
      <c r="P578" s="254"/>
      <c r="Q578" s="254"/>
      <c r="R578" s="254"/>
      <c r="S578" s="254"/>
      <c r="T578" s="254"/>
      <c r="U578" s="254"/>
      <c r="V578" s="254"/>
      <c r="W578" s="254"/>
      <c r="X578" s="254"/>
      <c r="Y578" s="254"/>
      <c r="Z578" s="254"/>
      <c r="AA578" s="254"/>
      <c r="AB578" s="254"/>
      <c r="AC578" s="254"/>
    </row>
    <row r="579" ht="12.75" customHeight="1" spans="1:29">
      <c r="A579" s="254"/>
      <c r="B579" s="254"/>
      <c r="C579" s="254"/>
      <c r="D579" s="276"/>
      <c r="E579" s="254"/>
      <c r="F579" s="254"/>
      <c r="G579" s="254"/>
      <c r="H579" s="254"/>
      <c r="I579" s="254"/>
      <c r="J579" s="254"/>
      <c r="K579" s="254"/>
      <c r="L579" s="254"/>
      <c r="M579" s="254"/>
      <c r="N579" s="254"/>
      <c r="O579" s="254"/>
      <c r="P579" s="254"/>
      <c r="Q579" s="254"/>
      <c r="R579" s="254"/>
      <c r="S579" s="254"/>
      <c r="T579" s="254"/>
      <c r="U579" s="254"/>
      <c r="V579" s="254"/>
      <c r="W579" s="254"/>
      <c r="X579" s="254"/>
      <c r="Y579" s="254"/>
      <c r="Z579" s="254"/>
      <c r="AA579" s="254"/>
      <c r="AB579" s="254"/>
      <c r="AC579" s="254"/>
    </row>
    <row r="580" ht="12.75" customHeight="1" spans="1:29">
      <c r="A580" s="254"/>
      <c r="B580" s="254"/>
      <c r="C580" s="254"/>
      <c r="D580" s="276"/>
      <c r="E580" s="254"/>
      <c r="F580" s="254"/>
      <c r="G580" s="254"/>
      <c r="H580" s="254"/>
      <c r="I580" s="254"/>
      <c r="J580" s="254"/>
      <c r="K580" s="254"/>
      <c r="L580" s="254"/>
      <c r="M580" s="254"/>
      <c r="N580" s="254"/>
      <c r="O580" s="254"/>
      <c r="P580" s="254"/>
      <c r="Q580" s="254"/>
      <c r="R580" s="254"/>
      <c r="S580" s="254"/>
      <c r="T580" s="254"/>
      <c r="U580" s="254"/>
      <c r="V580" s="254"/>
      <c r="W580" s="254"/>
      <c r="X580" s="254"/>
      <c r="Y580" s="254"/>
      <c r="Z580" s="254"/>
      <c r="AA580" s="254"/>
      <c r="AB580" s="254"/>
      <c r="AC580" s="254"/>
    </row>
    <row r="581" ht="12.75" customHeight="1" spans="1:29">
      <c r="A581" s="254"/>
      <c r="B581" s="254"/>
      <c r="C581" s="254"/>
      <c r="D581" s="276"/>
      <c r="E581" s="254"/>
      <c r="F581" s="254"/>
      <c r="G581" s="254"/>
      <c r="H581" s="254"/>
      <c r="I581" s="254"/>
      <c r="J581" s="254"/>
      <c r="K581" s="254"/>
      <c r="L581" s="254"/>
      <c r="M581" s="254"/>
      <c r="N581" s="254"/>
      <c r="O581" s="254"/>
      <c r="P581" s="254"/>
      <c r="Q581" s="254"/>
      <c r="R581" s="254"/>
      <c r="S581" s="254"/>
      <c r="T581" s="254"/>
      <c r="U581" s="254"/>
      <c r="V581" s="254"/>
      <c r="W581" s="254"/>
      <c r="X581" s="254"/>
      <c r="Y581" s="254"/>
      <c r="Z581" s="254"/>
      <c r="AA581" s="254"/>
      <c r="AB581" s="254"/>
      <c r="AC581" s="254"/>
    </row>
    <row r="582" ht="12.75" customHeight="1" spans="1:29">
      <c r="A582" s="254"/>
      <c r="B582" s="254"/>
      <c r="C582" s="254"/>
      <c r="D582" s="276"/>
      <c r="E582" s="254"/>
      <c r="F582" s="254"/>
      <c r="G582" s="254"/>
      <c r="H582" s="254"/>
      <c r="I582" s="254"/>
      <c r="J582" s="254"/>
      <c r="K582" s="254"/>
      <c r="L582" s="254"/>
      <c r="M582" s="254"/>
      <c r="N582" s="254"/>
      <c r="O582" s="254"/>
      <c r="P582" s="254"/>
      <c r="Q582" s="254"/>
      <c r="R582" s="254"/>
      <c r="S582" s="254"/>
      <c r="T582" s="254"/>
      <c r="U582" s="254"/>
      <c r="V582" s="254"/>
      <c r="W582" s="254"/>
      <c r="X582" s="254"/>
      <c r="Y582" s="254"/>
      <c r="Z582" s="254"/>
      <c r="AA582" s="254"/>
      <c r="AB582" s="254"/>
      <c r="AC582" s="254"/>
    </row>
    <row r="583" ht="12.75" customHeight="1" spans="1:29">
      <c r="A583" s="254"/>
      <c r="B583" s="254"/>
      <c r="C583" s="254"/>
      <c r="D583" s="276"/>
      <c r="E583" s="254"/>
      <c r="F583" s="254"/>
      <c r="G583" s="254"/>
      <c r="H583" s="254"/>
      <c r="I583" s="254"/>
      <c r="J583" s="254"/>
      <c r="K583" s="254"/>
      <c r="L583" s="254"/>
      <c r="M583" s="254"/>
      <c r="N583" s="254"/>
      <c r="O583" s="254"/>
      <c r="P583" s="254"/>
      <c r="Q583" s="254"/>
      <c r="R583" s="254"/>
      <c r="S583" s="254"/>
      <c r="T583" s="254"/>
      <c r="U583" s="254"/>
      <c r="V583" s="254"/>
      <c r="W583" s="254"/>
      <c r="X583" s="254"/>
      <c r="Y583" s="254"/>
      <c r="Z583" s="254"/>
      <c r="AA583" s="254"/>
      <c r="AB583" s="254"/>
      <c r="AC583" s="254"/>
    </row>
    <row r="584" ht="12.75" customHeight="1" spans="1:29">
      <c r="A584" s="254"/>
      <c r="B584" s="254"/>
      <c r="C584" s="254"/>
      <c r="D584" s="276"/>
      <c r="E584" s="254"/>
      <c r="F584" s="254"/>
      <c r="G584" s="254"/>
      <c r="H584" s="254"/>
      <c r="I584" s="254"/>
      <c r="J584" s="254"/>
      <c r="K584" s="254"/>
      <c r="L584" s="254"/>
      <c r="M584" s="254"/>
      <c r="N584" s="254"/>
      <c r="O584" s="254"/>
      <c r="P584" s="254"/>
      <c r="Q584" s="254"/>
      <c r="R584" s="254"/>
      <c r="S584" s="254"/>
      <c r="T584" s="254"/>
      <c r="U584" s="254"/>
      <c r="V584" s="254"/>
      <c r="W584" s="254"/>
      <c r="X584" s="254"/>
      <c r="Y584" s="254"/>
      <c r="Z584" s="254"/>
      <c r="AA584" s="254"/>
      <c r="AB584" s="254"/>
      <c r="AC584" s="254"/>
    </row>
    <row r="585" ht="12.75" customHeight="1" spans="1:29">
      <c r="A585" s="254"/>
      <c r="B585" s="254"/>
      <c r="C585" s="254"/>
      <c r="D585" s="276"/>
      <c r="E585" s="254"/>
      <c r="F585" s="254"/>
      <c r="G585" s="254"/>
      <c r="H585" s="254"/>
      <c r="I585" s="254"/>
      <c r="J585" s="254"/>
      <c r="K585" s="254"/>
      <c r="L585" s="254"/>
      <c r="M585" s="254"/>
      <c r="N585" s="254"/>
      <c r="O585" s="254"/>
      <c r="P585" s="254"/>
      <c r="Q585" s="254"/>
      <c r="R585" s="254"/>
      <c r="S585" s="254"/>
      <c r="T585" s="254"/>
      <c r="U585" s="254"/>
      <c r="V585" s="254"/>
      <c r="W585" s="254"/>
      <c r="X585" s="254"/>
      <c r="Y585" s="254"/>
      <c r="Z585" s="254"/>
      <c r="AA585" s="254"/>
      <c r="AB585" s="254"/>
      <c r="AC585" s="254"/>
    </row>
    <row r="586" ht="12.75" customHeight="1" spans="1:29">
      <c r="A586" s="254"/>
      <c r="B586" s="254"/>
      <c r="C586" s="254"/>
      <c r="D586" s="276"/>
      <c r="E586" s="254"/>
      <c r="F586" s="254"/>
      <c r="G586" s="254"/>
      <c r="H586" s="254"/>
      <c r="I586" s="254"/>
      <c r="J586" s="254"/>
      <c r="K586" s="254"/>
      <c r="L586" s="254"/>
      <c r="M586" s="254"/>
      <c r="N586" s="254"/>
      <c r="O586" s="254"/>
      <c r="P586" s="254"/>
      <c r="Q586" s="254"/>
      <c r="R586" s="254"/>
      <c r="S586" s="254"/>
      <c r="T586" s="254"/>
      <c r="U586" s="254"/>
      <c r="V586" s="254"/>
      <c r="W586" s="254"/>
      <c r="X586" s="254"/>
      <c r="Y586" s="254"/>
      <c r="Z586" s="254"/>
      <c r="AA586" s="254"/>
      <c r="AB586" s="254"/>
      <c r="AC586" s="254"/>
    </row>
    <row r="587" ht="12.75" customHeight="1" spans="1:29">
      <c r="A587" s="254"/>
      <c r="B587" s="254"/>
      <c r="C587" s="254"/>
      <c r="D587" s="276"/>
      <c r="E587" s="254"/>
      <c r="F587" s="254"/>
      <c r="G587" s="254"/>
      <c r="H587" s="254"/>
      <c r="I587" s="254"/>
      <c r="J587" s="254"/>
      <c r="K587" s="254"/>
      <c r="L587" s="254"/>
      <c r="M587" s="254"/>
      <c r="N587" s="254"/>
      <c r="O587" s="254"/>
      <c r="P587" s="254"/>
      <c r="Q587" s="254"/>
      <c r="R587" s="254"/>
      <c r="S587" s="254"/>
      <c r="T587" s="254"/>
      <c r="U587" s="254"/>
      <c r="V587" s="254"/>
      <c r="W587" s="254"/>
      <c r="X587" s="254"/>
      <c r="Y587" s="254"/>
      <c r="Z587" s="254"/>
      <c r="AA587" s="254"/>
      <c r="AB587" s="254"/>
      <c r="AC587" s="254"/>
    </row>
    <row r="588" ht="12.75" customHeight="1" spans="1:29">
      <c r="A588" s="254"/>
      <c r="B588" s="254"/>
      <c r="C588" s="254"/>
      <c r="D588" s="276"/>
      <c r="E588" s="254"/>
      <c r="F588" s="254"/>
      <c r="G588" s="254"/>
      <c r="H588" s="254"/>
      <c r="I588" s="254"/>
      <c r="J588" s="254"/>
      <c r="K588" s="254"/>
      <c r="L588" s="254"/>
      <c r="M588" s="254"/>
      <c r="N588" s="254"/>
      <c r="O588" s="254"/>
      <c r="P588" s="254"/>
      <c r="Q588" s="254"/>
      <c r="R588" s="254"/>
      <c r="S588" s="254"/>
      <c r="T588" s="254"/>
      <c r="U588" s="254"/>
      <c r="V588" s="254"/>
      <c r="W588" s="254"/>
      <c r="X588" s="254"/>
      <c r="Y588" s="254"/>
      <c r="Z588" s="254"/>
      <c r="AA588" s="254"/>
      <c r="AB588" s="254"/>
      <c r="AC588" s="254"/>
    </row>
    <row r="589" ht="12.75" customHeight="1" spans="1:29">
      <c r="A589" s="254"/>
      <c r="B589" s="254"/>
      <c r="C589" s="254"/>
      <c r="D589" s="276"/>
      <c r="E589" s="254"/>
      <c r="F589" s="254"/>
      <c r="G589" s="254"/>
      <c r="H589" s="254"/>
      <c r="I589" s="254"/>
      <c r="J589" s="254"/>
      <c r="K589" s="254"/>
      <c r="L589" s="254"/>
      <c r="M589" s="254"/>
      <c r="N589" s="254"/>
      <c r="O589" s="254"/>
      <c r="P589" s="254"/>
      <c r="Q589" s="254"/>
      <c r="R589" s="254"/>
      <c r="S589" s="254"/>
      <c r="T589" s="254"/>
      <c r="U589" s="254"/>
      <c r="V589" s="254"/>
      <c r="W589" s="254"/>
      <c r="X589" s="254"/>
      <c r="Y589" s="254"/>
      <c r="Z589" s="254"/>
      <c r="AA589" s="254"/>
      <c r="AB589" s="254"/>
      <c r="AC589" s="254"/>
    </row>
    <row r="590" ht="12.75" customHeight="1" spans="1:29">
      <c r="A590" s="254"/>
      <c r="B590" s="254"/>
      <c r="C590" s="254"/>
      <c r="D590" s="276"/>
      <c r="E590" s="254"/>
      <c r="F590" s="254"/>
      <c r="G590" s="254"/>
      <c r="H590" s="254"/>
      <c r="I590" s="254"/>
      <c r="J590" s="254"/>
      <c r="K590" s="254"/>
      <c r="L590" s="254"/>
      <c r="M590" s="254"/>
      <c r="N590" s="254"/>
      <c r="O590" s="254"/>
      <c r="P590" s="254"/>
      <c r="Q590" s="254"/>
      <c r="R590" s="254"/>
      <c r="S590" s="254"/>
      <c r="T590" s="254"/>
      <c r="U590" s="254"/>
      <c r="V590" s="254"/>
      <c r="W590" s="254"/>
      <c r="X590" s="254"/>
      <c r="Y590" s="254"/>
      <c r="Z590" s="254"/>
      <c r="AA590" s="254"/>
      <c r="AB590" s="254"/>
      <c r="AC590" s="254"/>
    </row>
    <row r="591" ht="12.75" customHeight="1" spans="1:29">
      <c r="A591" s="254"/>
      <c r="B591" s="254"/>
      <c r="C591" s="254"/>
      <c r="D591" s="276"/>
      <c r="E591" s="254"/>
      <c r="F591" s="254"/>
      <c r="G591" s="254"/>
      <c r="H591" s="254"/>
      <c r="I591" s="254"/>
      <c r="J591" s="254"/>
      <c r="K591" s="254"/>
      <c r="L591" s="254"/>
      <c r="M591" s="254"/>
      <c r="N591" s="254"/>
      <c r="O591" s="254"/>
      <c r="P591" s="254"/>
      <c r="Q591" s="254"/>
      <c r="R591" s="254"/>
      <c r="S591" s="254"/>
      <c r="T591" s="254"/>
      <c r="U591" s="254"/>
      <c r="V591" s="254"/>
      <c r="W591" s="254"/>
      <c r="X591" s="254"/>
      <c r="Y591" s="254"/>
      <c r="Z591" s="254"/>
      <c r="AA591" s="254"/>
      <c r="AB591" s="254"/>
      <c r="AC591" s="254"/>
    </row>
    <row r="592" ht="12.75" customHeight="1" spans="1:29">
      <c r="A592" s="254"/>
      <c r="B592" s="254"/>
      <c r="C592" s="254"/>
      <c r="D592" s="276"/>
      <c r="E592" s="254"/>
      <c r="F592" s="254"/>
      <c r="G592" s="254"/>
      <c r="H592" s="254"/>
      <c r="I592" s="254"/>
      <c r="J592" s="254"/>
      <c r="K592" s="254"/>
      <c r="L592" s="254"/>
      <c r="M592" s="254"/>
      <c r="N592" s="254"/>
      <c r="O592" s="254"/>
      <c r="P592" s="254"/>
      <c r="Q592" s="254"/>
      <c r="R592" s="254"/>
      <c r="S592" s="254"/>
      <c r="T592" s="254"/>
      <c r="U592" s="254"/>
      <c r="V592" s="254"/>
      <c r="W592" s="254"/>
      <c r="X592" s="254"/>
      <c r="Y592" s="254"/>
      <c r="Z592" s="254"/>
      <c r="AA592" s="254"/>
      <c r="AB592" s="254"/>
      <c r="AC592" s="254"/>
    </row>
    <row r="593" ht="12.75" customHeight="1" spans="1:29">
      <c r="A593" s="254"/>
      <c r="B593" s="254"/>
      <c r="C593" s="254"/>
      <c r="D593" s="276"/>
      <c r="E593" s="254"/>
      <c r="F593" s="254"/>
      <c r="G593" s="254"/>
      <c r="H593" s="254"/>
      <c r="I593" s="254"/>
      <c r="J593" s="254"/>
      <c r="K593" s="254"/>
      <c r="L593" s="254"/>
      <c r="M593" s="254"/>
      <c r="N593" s="254"/>
      <c r="O593" s="254"/>
      <c r="P593" s="254"/>
      <c r="Q593" s="254"/>
      <c r="R593" s="254"/>
      <c r="S593" s="254"/>
      <c r="T593" s="254"/>
      <c r="U593" s="254"/>
      <c r="V593" s="254"/>
      <c r="W593" s="254"/>
      <c r="X593" s="254"/>
      <c r="Y593" s="254"/>
      <c r="Z593" s="254"/>
      <c r="AA593" s="254"/>
      <c r="AB593" s="254"/>
      <c r="AC593" s="254"/>
    </row>
    <row r="594" ht="12.75" customHeight="1" spans="1:29">
      <c r="A594" s="254"/>
      <c r="B594" s="254"/>
      <c r="C594" s="254"/>
      <c r="D594" s="276"/>
      <c r="E594" s="254"/>
      <c r="F594" s="254"/>
      <c r="G594" s="254"/>
      <c r="H594" s="254"/>
      <c r="I594" s="254"/>
      <c r="J594" s="254"/>
      <c r="K594" s="254"/>
      <c r="L594" s="254"/>
      <c r="M594" s="254"/>
      <c r="N594" s="254"/>
      <c r="O594" s="254"/>
      <c r="P594" s="254"/>
      <c r="Q594" s="254"/>
      <c r="R594" s="254"/>
      <c r="S594" s="254"/>
      <c r="T594" s="254"/>
      <c r="U594" s="254"/>
      <c r="V594" s="254"/>
      <c r="W594" s="254"/>
      <c r="X594" s="254"/>
      <c r="Y594" s="254"/>
      <c r="Z594" s="254"/>
      <c r="AA594" s="254"/>
      <c r="AB594" s="254"/>
      <c r="AC594" s="254"/>
    </row>
    <row r="595" ht="12.75" customHeight="1" spans="1:29">
      <c r="A595" s="254"/>
      <c r="B595" s="254"/>
      <c r="C595" s="254"/>
      <c r="D595" s="276"/>
      <c r="E595" s="254"/>
      <c r="F595" s="254"/>
      <c r="G595" s="254"/>
      <c r="H595" s="254"/>
      <c r="I595" s="254"/>
      <c r="J595" s="254"/>
      <c r="K595" s="254"/>
      <c r="L595" s="254"/>
      <c r="M595" s="254"/>
      <c r="N595" s="254"/>
      <c r="O595" s="254"/>
      <c r="P595" s="254"/>
      <c r="Q595" s="254"/>
      <c r="R595" s="254"/>
      <c r="S595" s="254"/>
      <c r="T595" s="254"/>
      <c r="U595" s="254"/>
      <c r="V595" s="254"/>
      <c r="W595" s="254"/>
      <c r="X595" s="254"/>
      <c r="Y595" s="254"/>
      <c r="Z595" s="254"/>
      <c r="AA595" s="254"/>
      <c r="AB595" s="254"/>
      <c r="AC595" s="254"/>
    </row>
    <row r="596" ht="12.75" customHeight="1" spans="1:29">
      <c r="A596" s="254"/>
      <c r="B596" s="254"/>
      <c r="C596" s="254"/>
      <c r="D596" s="276"/>
      <c r="E596" s="254"/>
      <c r="F596" s="254"/>
      <c r="G596" s="254"/>
      <c r="H596" s="254"/>
      <c r="I596" s="254"/>
      <c r="J596" s="254"/>
      <c r="K596" s="254"/>
      <c r="L596" s="254"/>
      <c r="M596" s="254"/>
      <c r="N596" s="254"/>
      <c r="O596" s="254"/>
      <c r="P596" s="254"/>
      <c r="Q596" s="254"/>
      <c r="R596" s="254"/>
      <c r="S596" s="254"/>
      <c r="T596" s="254"/>
      <c r="U596" s="254"/>
      <c r="V596" s="254"/>
      <c r="W596" s="254"/>
      <c r="X596" s="254"/>
      <c r="Y596" s="254"/>
      <c r="Z596" s="254"/>
      <c r="AA596" s="254"/>
      <c r="AB596" s="254"/>
      <c r="AC596" s="254"/>
    </row>
    <row r="597" ht="12.75" customHeight="1" spans="1:29">
      <c r="A597" s="254"/>
      <c r="B597" s="254"/>
      <c r="C597" s="254"/>
      <c r="D597" s="276"/>
      <c r="E597" s="254"/>
      <c r="F597" s="254"/>
      <c r="G597" s="254"/>
      <c r="H597" s="254"/>
      <c r="I597" s="254"/>
      <c r="J597" s="254"/>
      <c r="K597" s="254"/>
      <c r="L597" s="254"/>
      <c r="M597" s="254"/>
      <c r="N597" s="254"/>
      <c r="O597" s="254"/>
      <c r="P597" s="254"/>
      <c r="Q597" s="254"/>
      <c r="R597" s="254"/>
      <c r="S597" s="254"/>
      <c r="T597" s="254"/>
      <c r="U597" s="254"/>
      <c r="V597" s="254"/>
      <c r="W597" s="254"/>
      <c r="X597" s="254"/>
      <c r="Y597" s="254"/>
      <c r="Z597" s="254"/>
      <c r="AA597" s="254"/>
      <c r="AB597" s="254"/>
      <c r="AC597" s="254"/>
    </row>
    <row r="598" ht="12.75" customHeight="1" spans="1:29">
      <c r="A598" s="254"/>
      <c r="B598" s="254"/>
      <c r="C598" s="254"/>
      <c r="D598" s="276"/>
      <c r="E598" s="254"/>
      <c r="F598" s="254"/>
      <c r="G598" s="254"/>
      <c r="H598" s="254"/>
      <c r="I598" s="254"/>
      <c r="J598" s="254"/>
      <c r="K598" s="254"/>
      <c r="L598" s="254"/>
      <c r="M598" s="254"/>
      <c r="N598" s="254"/>
      <c r="O598" s="254"/>
      <c r="P598" s="254"/>
      <c r="Q598" s="254"/>
      <c r="R598" s="254"/>
      <c r="S598" s="254"/>
      <c r="T598" s="254"/>
      <c r="U598" s="254"/>
      <c r="V598" s="254"/>
      <c r="W598" s="254"/>
      <c r="X598" s="254"/>
      <c r="Y598" s="254"/>
      <c r="Z598" s="254"/>
      <c r="AA598" s="254"/>
      <c r="AB598" s="254"/>
      <c r="AC598" s="254"/>
    </row>
    <row r="599" ht="12.75" customHeight="1" spans="1:29">
      <c r="A599" s="254"/>
      <c r="B599" s="254"/>
      <c r="C599" s="254"/>
      <c r="D599" s="276"/>
      <c r="E599" s="254"/>
      <c r="F599" s="254"/>
      <c r="G599" s="254"/>
      <c r="H599" s="254"/>
      <c r="I599" s="254"/>
      <c r="J599" s="254"/>
      <c r="K599" s="254"/>
      <c r="L599" s="254"/>
      <c r="M599" s="254"/>
      <c r="N599" s="254"/>
      <c r="O599" s="254"/>
      <c r="P599" s="254"/>
      <c r="Q599" s="254"/>
      <c r="R599" s="254"/>
      <c r="S599" s="254"/>
      <c r="T599" s="254"/>
      <c r="U599" s="254"/>
      <c r="V599" s="254"/>
      <c r="W599" s="254"/>
      <c r="X599" s="254"/>
      <c r="Y599" s="254"/>
      <c r="Z599" s="254"/>
      <c r="AA599" s="254"/>
      <c r="AB599" s="254"/>
      <c r="AC599" s="254"/>
    </row>
    <row r="600" ht="12.75" customHeight="1" spans="1:29">
      <c r="A600" s="254"/>
      <c r="B600" s="254"/>
      <c r="C600" s="254"/>
      <c r="D600" s="276"/>
      <c r="E600" s="254"/>
      <c r="F600" s="254"/>
      <c r="G600" s="254"/>
      <c r="H600" s="254"/>
      <c r="I600" s="254"/>
      <c r="J600" s="254"/>
      <c r="K600" s="254"/>
      <c r="L600" s="254"/>
      <c r="M600" s="254"/>
      <c r="N600" s="254"/>
      <c r="O600" s="254"/>
      <c r="P600" s="254"/>
      <c r="Q600" s="254"/>
      <c r="R600" s="254"/>
      <c r="S600" s="254"/>
      <c r="T600" s="254"/>
      <c r="U600" s="254"/>
      <c r="V600" s="254"/>
      <c r="W600" s="254"/>
      <c r="X600" s="254"/>
      <c r="Y600" s="254"/>
      <c r="Z600" s="254"/>
      <c r="AA600" s="254"/>
      <c r="AB600" s="254"/>
      <c r="AC600" s="254"/>
    </row>
    <row r="601" ht="12.75" customHeight="1" spans="1:29">
      <c r="A601" s="254"/>
      <c r="B601" s="254"/>
      <c r="C601" s="254"/>
      <c r="D601" s="276"/>
      <c r="E601" s="254"/>
      <c r="F601" s="254"/>
      <c r="G601" s="254"/>
      <c r="H601" s="254"/>
      <c r="I601" s="254"/>
      <c r="J601" s="254"/>
      <c r="K601" s="254"/>
      <c r="L601" s="254"/>
      <c r="M601" s="254"/>
      <c r="N601" s="254"/>
      <c r="O601" s="254"/>
      <c r="P601" s="254"/>
      <c r="Q601" s="254"/>
      <c r="R601" s="254"/>
      <c r="S601" s="254"/>
      <c r="T601" s="254"/>
      <c r="U601" s="254"/>
      <c r="V601" s="254"/>
      <c r="W601" s="254"/>
      <c r="X601" s="254"/>
      <c r="Y601" s="254"/>
      <c r="Z601" s="254"/>
      <c r="AA601" s="254"/>
      <c r="AB601" s="254"/>
      <c r="AC601" s="254"/>
    </row>
    <row r="602" ht="12.75" customHeight="1" spans="1:29">
      <c r="A602" s="254"/>
      <c r="B602" s="254"/>
      <c r="C602" s="254"/>
      <c r="D602" s="276"/>
      <c r="E602" s="254"/>
      <c r="F602" s="254"/>
      <c r="G602" s="254"/>
      <c r="H602" s="254"/>
      <c r="I602" s="254"/>
      <c r="J602" s="254"/>
      <c r="K602" s="254"/>
      <c r="L602" s="254"/>
      <c r="M602" s="254"/>
      <c r="N602" s="254"/>
      <c r="O602" s="254"/>
      <c r="P602" s="254"/>
      <c r="Q602" s="254"/>
      <c r="R602" s="254"/>
      <c r="S602" s="254"/>
      <c r="T602" s="254"/>
      <c r="U602" s="254"/>
      <c r="V602" s="254"/>
      <c r="W602" s="254"/>
      <c r="X602" s="254"/>
      <c r="Y602" s="254"/>
      <c r="Z602" s="254"/>
      <c r="AA602" s="254"/>
      <c r="AB602" s="254"/>
      <c r="AC602" s="254"/>
    </row>
    <row r="603" ht="12.75" customHeight="1" spans="1:29">
      <c r="A603" s="254"/>
      <c r="B603" s="254"/>
      <c r="C603" s="254"/>
      <c r="D603" s="276"/>
      <c r="E603" s="254"/>
      <c r="F603" s="254"/>
      <c r="G603" s="254"/>
      <c r="H603" s="254"/>
      <c r="I603" s="254"/>
      <c r="J603" s="254"/>
      <c r="K603" s="254"/>
      <c r="L603" s="254"/>
      <c r="M603" s="254"/>
      <c r="N603" s="254"/>
      <c r="O603" s="254"/>
      <c r="P603" s="254"/>
      <c r="Q603" s="254"/>
      <c r="R603" s="254"/>
      <c r="S603" s="254"/>
      <c r="T603" s="254"/>
      <c r="U603" s="254"/>
      <c r="V603" s="254"/>
      <c r="W603" s="254"/>
      <c r="X603" s="254"/>
      <c r="Y603" s="254"/>
      <c r="Z603" s="254"/>
      <c r="AA603" s="254"/>
      <c r="AB603" s="254"/>
      <c r="AC603" s="254"/>
    </row>
    <row r="604" ht="12.75" customHeight="1" spans="1:29">
      <c r="A604" s="254"/>
      <c r="B604" s="254"/>
      <c r="C604" s="254"/>
      <c r="D604" s="276"/>
      <c r="E604" s="254"/>
      <c r="F604" s="254"/>
      <c r="G604" s="254"/>
      <c r="H604" s="254"/>
      <c r="I604" s="254"/>
      <c r="J604" s="254"/>
      <c r="K604" s="254"/>
      <c r="L604" s="254"/>
      <c r="M604" s="254"/>
      <c r="N604" s="254"/>
      <c r="O604" s="254"/>
      <c r="P604" s="254"/>
      <c r="Q604" s="254"/>
      <c r="R604" s="254"/>
      <c r="S604" s="254"/>
      <c r="T604" s="254"/>
      <c r="U604" s="254"/>
      <c r="V604" s="254"/>
      <c r="W604" s="254"/>
      <c r="X604" s="254"/>
      <c r="Y604" s="254"/>
      <c r="Z604" s="254"/>
      <c r="AA604" s="254"/>
      <c r="AB604" s="254"/>
      <c r="AC604" s="254"/>
    </row>
    <row r="605" ht="12.75" customHeight="1" spans="1:29">
      <c r="A605" s="254"/>
      <c r="B605" s="254"/>
      <c r="C605" s="254"/>
      <c r="D605" s="276"/>
      <c r="E605" s="254"/>
      <c r="F605" s="254"/>
      <c r="G605" s="254"/>
      <c r="H605" s="254"/>
      <c r="I605" s="254"/>
      <c r="J605" s="254"/>
      <c r="K605" s="254"/>
      <c r="L605" s="254"/>
      <c r="M605" s="254"/>
      <c r="N605" s="254"/>
      <c r="O605" s="254"/>
      <c r="P605" s="254"/>
      <c r="Q605" s="254"/>
      <c r="R605" s="254"/>
      <c r="S605" s="254"/>
      <c r="T605" s="254"/>
      <c r="U605" s="254"/>
      <c r="V605" s="254"/>
      <c r="W605" s="254"/>
      <c r="X605" s="254"/>
      <c r="Y605" s="254"/>
      <c r="Z605" s="254"/>
      <c r="AA605" s="254"/>
      <c r="AB605" s="254"/>
      <c r="AC605" s="254"/>
    </row>
    <row r="606" ht="12.75" customHeight="1" spans="1:29">
      <c r="A606" s="254"/>
      <c r="B606" s="254"/>
      <c r="C606" s="254"/>
      <c r="D606" s="276"/>
      <c r="E606" s="254"/>
      <c r="F606" s="254"/>
      <c r="G606" s="254"/>
      <c r="H606" s="254"/>
      <c r="I606" s="254"/>
      <c r="J606" s="254"/>
      <c r="K606" s="254"/>
      <c r="L606" s="254"/>
      <c r="M606" s="254"/>
      <c r="N606" s="254"/>
      <c r="O606" s="254"/>
      <c r="P606" s="254"/>
      <c r="Q606" s="254"/>
      <c r="R606" s="254"/>
      <c r="S606" s="254"/>
      <c r="T606" s="254"/>
      <c r="U606" s="254"/>
      <c r="V606" s="254"/>
      <c r="W606" s="254"/>
      <c r="X606" s="254"/>
      <c r="Y606" s="254"/>
      <c r="Z606" s="254"/>
      <c r="AA606" s="254"/>
      <c r="AB606" s="254"/>
      <c r="AC606" s="254"/>
    </row>
    <row r="607" ht="12.75" customHeight="1" spans="1:29">
      <c r="A607" s="254"/>
      <c r="B607" s="254"/>
      <c r="C607" s="254"/>
      <c r="D607" s="276"/>
      <c r="E607" s="254"/>
      <c r="F607" s="254"/>
      <c r="G607" s="254"/>
      <c r="H607" s="254"/>
      <c r="I607" s="254"/>
      <c r="J607" s="254"/>
      <c r="K607" s="254"/>
      <c r="L607" s="254"/>
      <c r="M607" s="254"/>
      <c r="N607" s="254"/>
      <c r="O607" s="254"/>
      <c r="P607" s="254"/>
      <c r="Q607" s="254"/>
      <c r="R607" s="254"/>
      <c r="S607" s="254"/>
      <c r="T607" s="254"/>
      <c r="U607" s="254"/>
      <c r="V607" s="254"/>
      <c r="W607" s="254"/>
      <c r="X607" s="254"/>
      <c r="Y607" s="254"/>
      <c r="Z607" s="254"/>
      <c r="AA607" s="254"/>
      <c r="AB607" s="254"/>
      <c r="AC607" s="254"/>
    </row>
    <row r="608" ht="12.75" customHeight="1" spans="1:29">
      <c r="A608" s="254"/>
      <c r="B608" s="254"/>
      <c r="C608" s="254"/>
      <c r="D608" s="276"/>
      <c r="E608" s="254"/>
      <c r="F608" s="254"/>
      <c r="G608" s="254"/>
      <c r="H608" s="254"/>
      <c r="I608" s="254"/>
      <c r="J608" s="254"/>
      <c r="K608" s="254"/>
      <c r="L608" s="254"/>
      <c r="M608" s="254"/>
      <c r="N608" s="254"/>
      <c r="O608" s="254"/>
      <c r="P608" s="254"/>
      <c r="Q608" s="254"/>
      <c r="R608" s="254"/>
      <c r="S608" s="254"/>
      <c r="T608" s="254"/>
      <c r="U608" s="254"/>
      <c r="V608" s="254"/>
      <c r="W608" s="254"/>
      <c r="X608" s="254"/>
      <c r="Y608" s="254"/>
      <c r="Z608" s="254"/>
      <c r="AA608" s="254"/>
      <c r="AB608" s="254"/>
      <c r="AC608" s="254"/>
    </row>
    <row r="609" ht="12.75" customHeight="1" spans="1:29">
      <c r="A609" s="254"/>
      <c r="B609" s="254"/>
      <c r="C609" s="254"/>
      <c r="D609" s="276"/>
      <c r="E609" s="254"/>
      <c r="F609" s="254"/>
      <c r="G609" s="254"/>
      <c r="H609" s="254"/>
      <c r="I609" s="254"/>
      <c r="J609" s="254"/>
      <c r="K609" s="254"/>
      <c r="L609" s="254"/>
      <c r="M609" s="254"/>
      <c r="N609" s="254"/>
      <c r="O609" s="254"/>
      <c r="P609" s="254"/>
      <c r="Q609" s="254"/>
      <c r="R609" s="254"/>
      <c r="S609" s="254"/>
      <c r="T609" s="254"/>
      <c r="U609" s="254"/>
      <c r="V609" s="254"/>
      <c r="W609" s="254"/>
      <c r="X609" s="254"/>
      <c r="Y609" s="254"/>
      <c r="Z609" s="254"/>
      <c r="AA609" s="254"/>
      <c r="AB609" s="254"/>
      <c r="AC609" s="254"/>
    </row>
    <row r="610" ht="12.75" customHeight="1" spans="1:29">
      <c r="A610" s="254"/>
      <c r="B610" s="254"/>
      <c r="C610" s="254"/>
      <c r="D610" s="276"/>
      <c r="E610" s="254"/>
      <c r="F610" s="254"/>
      <c r="G610" s="254"/>
      <c r="H610" s="254"/>
      <c r="I610" s="254"/>
      <c r="J610" s="254"/>
      <c r="K610" s="254"/>
      <c r="L610" s="254"/>
      <c r="M610" s="254"/>
      <c r="N610" s="254"/>
      <c r="O610" s="254"/>
      <c r="P610" s="254"/>
      <c r="Q610" s="254"/>
      <c r="R610" s="254"/>
      <c r="S610" s="254"/>
      <c r="T610" s="254"/>
      <c r="U610" s="254"/>
      <c r="V610" s="254"/>
      <c r="W610" s="254"/>
      <c r="X610" s="254"/>
      <c r="Y610" s="254"/>
      <c r="Z610" s="254"/>
      <c r="AA610" s="254"/>
      <c r="AB610" s="254"/>
      <c r="AC610" s="254"/>
    </row>
    <row r="611" ht="12.75" customHeight="1" spans="1:29">
      <c r="A611" s="254"/>
      <c r="B611" s="254"/>
      <c r="C611" s="254"/>
      <c r="D611" s="276"/>
      <c r="E611" s="254"/>
      <c r="F611" s="254"/>
      <c r="G611" s="254"/>
      <c r="H611" s="254"/>
      <c r="I611" s="254"/>
      <c r="J611" s="254"/>
      <c r="K611" s="254"/>
      <c r="L611" s="254"/>
      <c r="M611" s="254"/>
      <c r="N611" s="254"/>
      <c r="O611" s="254"/>
      <c r="P611" s="254"/>
      <c r="Q611" s="254"/>
      <c r="R611" s="254"/>
      <c r="S611" s="254"/>
      <c r="T611" s="254"/>
      <c r="U611" s="254"/>
      <c r="V611" s="254"/>
      <c r="W611" s="254"/>
      <c r="X611" s="254"/>
      <c r="Y611" s="254"/>
      <c r="Z611" s="254"/>
      <c r="AA611" s="254"/>
      <c r="AB611" s="254"/>
      <c r="AC611" s="254"/>
    </row>
    <row r="612" ht="12.75" customHeight="1" spans="1:29">
      <c r="A612" s="254"/>
      <c r="B612" s="254"/>
      <c r="C612" s="254"/>
      <c r="D612" s="276"/>
      <c r="E612" s="254"/>
      <c r="F612" s="254"/>
      <c r="G612" s="254"/>
      <c r="H612" s="254"/>
      <c r="I612" s="254"/>
      <c r="J612" s="254"/>
      <c r="K612" s="254"/>
      <c r="L612" s="254"/>
      <c r="M612" s="254"/>
      <c r="N612" s="254"/>
      <c r="O612" s="254"/>
      <c r="P612" s="254"/>
      <c r="Q612" s="254"/>
      <c r="R612" s="254"/>
      <c r="S612" s="254"/>
      <c r="T612" s="254"/>
      <c r="U612" s="254"/>
      <c r="V612" s="254"/>
      <c r="W612" s="254"/>
      <c r="X612" s="254"/>
      <c r="Y612" s="254"/>
      <c r="Z612" s="254"/>
      <c r="AA612" s="254"/>
      <c r="AB612" s="254"/>
      <c r="AC612" s="254"/>
    </row>
    <row r="613" ht="12.75" customHeight="1" spans="1:29">
      <c r="A613" s="254"/>
      <c r="B613" s="254"/>
      <c r="C613" s="254"/>
      <c r="D613" s="276"/>
      <c r="E613" s="254"/>
      <c r="F613" s="254"/>
      <c r="G613" s="254"/>
      <c r="H613" s="254"/>
      <c r="I613" s="254"/>
      <c r="J613" s="254"/>
      <c r="K613" s="254"/>
      <c r="L613" s="254"/>
      <c r="M613" s="254"/>
      <c r="N613" s="254"/>
      <c r="O613" s="254"/>
      <c r="P613" s="254"/>
      <c r="Q613" s="254"/>
      <c r="R613" s="254"/>
      <c r="S613" s="254"/>
      <c r="T613" s="254"/>
      <c r="U613" s="254"/>
      <c r="V613" s="254"/>
      <c r="W613" s="254"/>
      <c r="X613" s="254"/>
      <c r="Y613" s="254"/>
      <c r="Z613" s="254"/>
      <c r="AA613" s="254"/>
      <c r="AB613" s="254"/>
      <c r="AC613" s="254"/>
    </row>
    <row r="614" ht="12.75" customHeight="1" spans="1:29">
      <c r="A614" s="254"/>
      <c r="B614" s="254"/>
      <c r="C614" s="254"/>
      <c r="D614" s="276"/>
      <c r="E614" s="254"/>
      <c r="F614" s="254"/>
      <c r="G614" s="254"/>
      <c r="H614" s="254"/>
      <c r="I614" s="254"/>
      <c r="J614" s="254"/>
      <c r="K614" s="254"/>
      <c r="L614" s="254"/>
      <c r="M614" s="254"/>
      <c r="N614" s="254"/>
      <c r="O614" s="254"/>
      <c r="P614" s="254"/>
      <c r="Q614" s="254"/>
      <c r="R614" s="254"/>
      <c r="S614" s="254"/>
      <c r="T614" s="254"/>
      <c r="U614" s="254"/>
      <c r="V614" s="254"/>
      <c r="W614" s="254"/>
      <c r="X614" s="254"/>
      <c r="Y614" s="254"/>
      <c r="Z614" s="254"/>
      <c r="AA614" s="254"/>
      <c r="AB614" s="254"/>
      <c r="AC614" s="254"/>
    </row>
    <row r="615" ht="12.75" customHeight="1" spans="1:29">
      <c r="A615" s="254"/>
      <c r="B615" s="254"/>
      <c r="C615" s="254"/>
      <c r="D615" s="276"/>
      <c r="E615" s="254"/>
      <c r="F615" s="254"/>
      <c r="G615" s="254"/>
      <c r="H615" s="254"/>
      <c r="I615" s="254"/>
      <c r="J615" s="254"/>
      <c r="K615" s="254"/>
      <c r="L615" s="254"/>
      <c r="M615" s="254"/>
      <c r="N615" s="254"/>
      <c r="O615" s="254"/>
      <c r="P615" s="254"/>
      <c r="Q615" s="254"/>
      <c r="R615" s="254"/>
      <c r="S615" s="254"/>
      <c r="T615" s="254"/>
      <c r="U615" s="254"/>
      <c r="V615" s="254"/>
      <c r="W615" s="254"/>
      <c r="X615" s="254"/>
      <c r="Y615" s="254"/>
      <c r="Z615" s="254"/>
      <c r="AA615" s="254"/>
      <c r="AB615" s="254"/>
      <c r="AC615" s="254"/>
    </row>
    <row r="616" ht="12.75" customHeight="1" spans="1:29">
      <c r="A616" s="254"/>
      <c r="B616" s="254"/>
      <c r="C616" s="254"/>
      <c r="D616" s="276"/>
      <c r="E616" s="254"/>
      <c r="F616" s="254"/>
      <c r="G616" s="254"/>
      <c r="H616" s="254"/>
      <c r="I616" s="254"/>
      <c r="J616" s="254"/>
      <c r="K616" s="254"/>
      <c r="L616" s="254"/>
      <c r="M616" s="254"/>
      <c r="N616" s="254"/>
      <c r="O616" s="254"/>
      <c r="P616" s="254"/>
      <c r="Q616" s="254"/>
      <c r="R616" s="254"/>
      <c r="S616" s="254"/>
      <c r="T616" s="254"/>
      <c r="U616" s="254"/>
      <c r="V616" s="254"/>
      <c r="W616" s="254"/>
      <c r="X616" s="254"/>
      <c r="Y616" s="254"/>
      <c r="Z616" s="254"/>
      <c r="AA616" s="254"/>
      <c r="AB616" s="254"/>
      <c r="AC616" s="254"/>
    </row>
    <row r="617" ht="12.75" customHeight="1" spans="1:29">
      <c r="A617" s="254"/>
      <c r="B617" s="254"/>
      <c r="C617" s="254"/>
      <c r="D617" s="276"/>
      <c r="E617" s="254"/>
      <c r="F617" s="254"/>
      <c r="G617" s="254"/>
      <c r="H617" s="254"/>
      <c r="I617" s="254"/>
      <c r="J617" s="254"/>
      <c r="K617" s="254"/>
      <c r="L617" s="254"/>
      <c r="M617" s="254"/>
      <c r="N617" s="254"/>
      <c r="O617" s="254"/>
      <c r="P617" s="254"/>
      <c r="Q617" s="254"/>
      <c r="R617" s="254"/>
      <c r="S617" s="254"/>
      <c r="T617" s="254"/>
      <c r="U617" s="254"/>
      <c r="V617" s="254"/>
      <c r="W617" s="254"/>
      <c r="X617" s="254"/>
      <c r="Y617" s="254"/>
      <c r="Z617" s="254"/>
      <c r="AA617" s="254"/>
      <c r="AB617" s="254"/>
      <c r="AC617" s="254"/>
    </row>
    <row r="618" ht="12.75" customHeight="1" spans="1:29">
      <c r="A618" s="254"/>
      <c r="B618" s="254"/>
      <c r="C618" s="254"/>
      <c r="D618" s="276"/>
      <c r="E618" s="254"/>
      <c r="F618" s="254"/>
      <c r="G618" s="254"/>
      <c r="H618" s="254"/>
      <c r="I618" s="254"/>
      <c r="J618" s="254"/>
      <c r="K618" s="254"/>
      <c r="L618" s="254"/>
      <c r="M618" s="254"/>
      <c r="N618" s="254"/>
      <c r="O618" s="254"/>
      <c r="P618" s="254"/>
      <c r="Q618" s="254"/>
      <c r="R618" s="254"/>
      <c r="S618" s="254"/>
      <c r="T618" s="254"/>
      <c r="U618" s="254"/>
      <c r="V618" s="254"/>
      <c r="W618" s="254"/>
      <c r="X618" s="254"/>
      <c r="Y618" s="254"/>
      <c r="Z618" s="254"/>
      <c r="AA618" s="254"/>
      <c r="AB618" s="254"/>
      <c r="AC618" s="254"/>
    </row>
    <row r="619" ht="12.75" customHeight="1" spans="1:29">
      <c r="A619" s="254"/>
      <c r="B619" s="254"/>
      <c r="C619" s="254"/>
      <c r="D619" s="276"/>
      <c r="E619" s="254"/>
      <c r="F619" s="254"/>
      <c r="G619" s="254"/>
      <c r="H619" s="254"/>
      <c r="I619" s="254"/>
      <c r="J619" s="254"/>
      <c r="K619" s="254"/>
      <c r="L619" s="254"/>
      <c r="M619" s="254"/>
      <c r="N619" s="254"/>
      <c r="O619" s="254"/>
      <c r="P619" s="254"/>
      <c r="Q619" s="254"/>
      <c r="R619" s="254"/>
      <c r="S619" s="254"/>
      <c r="T619" s="254"/>
      <c r="U619" s="254"/>
      <c r="V619" s="254"/>
      <c r="W619" s="254"/>
      <c r="X619" s="254"/>
      <c r="Y619" s="254"/>
      <c r="Z619" s="254"/>
      <c r="AA619" s="254"/>
      <c r="AB619" s="254"/>
      <c r="AC619" s="254"/>
    </row>
    <row r="620" ht="12.75" customHeight="1" spans="1:29">
      <c r="A620" s="254"/>
      <c r="B620" s="254"/>
      <c r="C620" s="254"/>
      <c r="D620" s="276"/>
      <c r="E620" s="254"/>
      <c r="F620" s="254"/>
      <c r="G620" s="254"/>
      <c r="H620" s="254"/>
      <c r="I620" s="254"/>
      <c r="J620" s="254"/>
      <c r="K620" s="254"/>
      <c r="L620" s="254"/>
      <c r="M620" s="254"/>
      <c r="N620" s="254"/>
      <c r="O620" s="254"/>
      <c r="P620" s="254"/>
      <c r="Q620" s="254"/>
      <c r="R620" s="254"/>
      <c r="S620" s="254"/>
      <c r="T620" s="254"/>
      <c r="U620" s="254"/>
      <c r="V620" s="254"/>
      <c r="W620" s="254"/>
      <c r="X620" s="254"/>
      <c r="Y620" s="254"/>
      <c r="Z620" s="254"/>
      <c r="AA620" s="254"/>
      <c r="AB620" s="254"/>
      <c r="AC620" s="254"/>
    </row>
    <row r="621" ht="12.75" customHeight="1" spans="1:29">
      <c r="A621" s="254"/>
      <c r="B621" s="254"/>
      <c r="C621" s="254"/>
      <c r="D621" s="276"/>
      <c r="E621" s="254"/>
      <c r="F621" s="254"/>
      <c r="G621" s="254"/>
      <c r="H621" s="254"/>
      <c r="I621" s="254"/>
      <c r="J621" s="254"/>
      <c r="K621" s="254"/>
      <c r="L621" s="254"/>
      <c r="M621" s="254"/>
      <c r="N621" s="254"/>
      <c r="O621" s="254"/>
      <c r="P621" s="254"/>
      <c r="Q621" s="254"/>
      <c r="R621" s="254"/>
      <c r="S621" s="254"/>
      <c r="T621" s="254"/>
      <c r="U621" s="254"/>
      <c r="V621" s="254"/>
      <c r="W621" s="254"/>
      <c r="X621" s="254"/>
      <c r="Y621" s="254"/>
      <c r="Z621" s="254"/>
      <c r="AA621" s="254"/>
      <c r="AB621" s="254"/>
      <c r="AC621" s="254"/>
    </row>
    <row r="622" ht="12.75" customHeight="1" spans="1:29">
      <c r="A622" s="254"/>
      <c r="B622" s="254"/>
      <c r="C622" s="254"/>
      <c r="D622" s="276"/>
      <c r="E622" s="254"/>
      <c r="F622" s="254"/>
      <c r="G622" s="254"/>
      <c r="H622" s="254"/>
      <c r="I622" s="254"/>
      <c r="J622" s="254"/>
      <c r="K622" s="254"/>
      <c r="L622" s="254"/>
      <c r="M622" s="254"/>
      <c r="N622" s="254"/>
      <c r="O622" s="254"/>
      <c r="P622" s="254"/>
      <c r="Q622" s="254"/>
      <c r="R622" s="254"/>
      <c r="S622" s="254"/>
      <c r="T622" s="254"/>
      <c r="U622" s="254"/>
      <c r="V622" s="254"/>
      <c r="W622" s="254"/>
      <c r="X622" s="254"/>
      <c r="Y622" s="254"/>
      <c r="Z622" s="254"/>
      <c r="AA622" s="254"/>
      <c r="AB622" s="254"/>
      <c r="AC622" s="254"/>
    </row>
    <row r="623" ht="12.75" customHeight="1" spans="1:29">
      <c r="A623" s="254"/>
      <c r="B623" s="254"/>
      <c r="C623" s="254"/>
      <c r="D623" s="276"/>
      <c r="E623" s="254"/>
      <c r="F623" s="254"/>
      <c r="G623" s="254"/>
      <c r="H623" s="254"/>
      <c r="I623" s="254"/>
      <c r="J623" s="254"/>
      <c r="K623" s="254"/>
      <c r="L623" s="254"/>
      <c r="M623" s="254"/>
      <c r="N623" s="254"/>
      <c r="O623" s="254"/>
      <c r="P623" s="254"/>
      <c r="Q623" s="254"/>
      <c r="R623" s="254"/>
      <c r="S623" s="254"/>
      <c r="T623" s="254"/>
      <c r="U623" s="254"/>
      <c r="V623" s="254"/>
      <c r="W623" s="254"/>
      <c r="X623" s="254"/>
      <c r="Y623" s="254"/>
      <c r="Z623" s="254"/>
      <c r="AA623" s="254"/>
      <c r="AB623" s="254"/>
      <c r="AC623" s="254"/>
    </row>
    <row r="624" ht="12.75" customHeight="1" spans="1:29">
      <c r="A624" s="254"/>
      <c r="B624" s="254"/>
      <c r="C624" s="254"/>
      <c r="D624" s="276"/>
      <c r="E624" s="254"/>
      <c r="F624" s="254"/>
      <c r="G624" s="254"/>
      <c r="H624" s="254"/>
      <c r="I624" s="254"/>
      <c r="J624" s="254"/>
      <c r="K624" s="254"/>
      <c r="L624" s="254"/>
      <c r="M624" s="254"/>
      <c r="N624" s="254"/>
      <c r="O624" s="254"/>
      <c r="P624" s="254"/>
      <c r="Q624" s="254"/>
      <c r="R624" s="254"/>
      <c r="S624" s="254"/>
      <c r="T624" s="254"/>
      <c r="U624" s="254"/>
      <c r="V624" s="254"/>
      <c r="W624" s="254"/>
      <c r="X624" s="254"/>
      <c r="Y624" s="254"/>
      <c r="Z624" s="254"/>
      <c r="AA624" s="254"/>
      <c r="AB624" s="254"/>
      <c r="AC624" s="254"/>
    </row>
    <row r="625" ht="12.75" customHeight="1" spans="1:29">
      <c r="A625" s="254"/>
      <c r="B625" s="254"/>
      <c r="C625" s="254"/>
      <c r="D625" s="276"/>
      <c r="E625" s="254"/>
      <c r="F625" s="254"/>
      <c r="G625" s="254"/>
      <c r="H625" s="254"/>
      <c r="I625" s="254"/>
      <c r="J625" s="254"/>
      <c r="K625" s="254"/>
      <c r="L625" s="254"/>
      <c r="M625" s="254"/>
      <c r="N625" s="254"/>
      <c r="O625" s="254"/>
      <c r="P625" s="254"/>
      <c r="Q625" s="254"/>
      <c r="R625" s="254"/>
      <c r="S625" s="254"/>
      <c r="T625" s="254"/>
      <c r="U625" s="254"/>
      <c r="V625" s="254"/>
      <c r="W625" s="254"/>
      <c r="X625" s="254"/>
      <c r="Y625" s="254"/>
      <c r="Z625" s="254"/>
      <c r="AA625" s="254"/>
      <c r="AB625" s="254"/>
      <c r="AC625" s="254"/>
    </row>
    <row r="626" ht="12.75" customHeight="1" spans="1:29">
      <c r="A626" s="254"/>
      <c r="B626" s="254"/>
      <c r="C626" s="254"/>
      <c r="D626" s="276"/>
      <c r="E626" s="254"/>
      <c r="F626" s="254"/>
      <c r="G626" s="254"/>
      <c r="H626" s="254"/>
      <c r="I626" s="254"/>
      <c r="J626" s="254"/>
      <c r="K626" s="254"/>
      <c r="L626" s="254"/>
      <c r="M626" s="254"/>
      <c r="N626" s="254"/>
      <c r="O626" s="254"/>
      <c r="P626" s="254"/>
      <c r="Q626" s="254"/>
      <c r="R626" s="254"/>
      <c r="S626" s="254"/>
      <c r="T626" s="254"/>
      <c r="U626" s="254"/>
      <c r="V626" s="254"/>
      <c r="W626" s="254"/>
      <c r="X626" s="254"/>
      <c r="Y626" s="254"/>
      <c r="Z626" s="254"/>
      <c r="AA626" s="254"/>
      <c r="AB626" s="254"/>
      <c r="AC626" s="254"/>
    </row>
    <row r="627" ht="12.75" customHeight="1" spans="1:29">
      <c r="A627" s="254"/>
      <c r="B627" s="254"/>
      <c r="C627" s="254"/>
      <c r="D627" s="276"/>
      <c r="E627" s="254"/>
      <c r="F627" s="254"/>
      <c r="G627" s="254"/>
      <c r="H627" s="254"/>
      <c r="I627" s="254"/>
      <c r="J627" s="254"/>
      <c r="K627" s="254"/>
      <c r="L627" s="254"/>
      <c r="M627" s="254"/>
      <c r="N627" s="254"/>
      <c r="O627" s="254"/>
      <c r="P627" s="254"/>
      <c r="Q627" s="254"/>
      <c r="R627" s="254"/>
      <c r="S627" s="254"/>
      <c r="T627" s="254"/>
      <c r="U627" s="254"/>
      <c r="V627" s="254"/>
      <c r="W627" s="254"/>
      <c r="X627" s="254"/>
      <c r="Y627" s="254"/>
      <c r="Z627" s="254"/>
      <c r="AA627" s="254"/>
      <c r="AB627" s="254"/>
      <c r="AC627" s="254"/>
    </row>
    <row r="628" ht="12.75" customHeight="1" spans="1:29">
      <c r="A628" s="254"/>
      <c r="B628" s="254"/>
      <c r="C628" s="254"/>
      <c r="D628" s="276"/>
      <c r="E628" s="254"/>
      <c r="F628" s="254"/>
      <c r="G628" s="254"/>
      <c r="H628" s="254"/>
      <c r="I628" s="254"/>
      <c r="J628" s="254"/>
      <c r="K628" s="254"/>
      <c r="L628" s="254"/>
      <c r="M628" s="254"/>
      <c r="N628" s="254"/>
      <c r="O628" s="254"/>
      <c r="P628" s="254"/>
      <c r="Q628" s="254"/>
      <c r="R628" s="254"/>
      <c r="S628" s="254"/>
      <c r="T628" s="254"/>
      <c r="U628" s="254"/>
      <c r="V628" s="254"/>
      <c r="W628" s="254"/>
      <c r="X628" s="254"/>
      <c r="Y628" s="254"/>
      <c r="Z628" s="254"/>
      <c r="AA628" s="254"/>
      <c r="AB628" s="254"/>
      <c r="AC628" s="254"/>
    </row>
    <row r="629" ht="12.75" customHeight="1" spans="1:29">
      <c r="A629" s="254"/>
      <c r="B629" s="254"/>
      <c r="C629" s="254"/>
      <c r="D629" s="276"/>
      <c r="E629" s="254"/>
      <c r="F629" s="254"/>
      <c r="G629" s="254"/>
      <c r="H629" s="254"/>
      <c r="I629" s="254"/>
      <c r="J629" s="254"/>
      <c r="K629" s="254"/>
      <c r="L629" s="254"/>
      <c r="M629" s="254"/>
      <c r="N629" s="254"/>
      <c r="O629" s="254"/>
      <c r="P629" s="254"/>
      <c r="Q629" s="254"/>
      <c r="R629" s="254"/>
      <c r="S629" s="254"/>
      <c r="T629" s="254"/>
      <c r="U629" s="254"/>
      <c r="V629" s="254"/>
      <c r="W629" s="254"/>
      <c r="X629" s="254"/>
      <c r="Y629" s="254"/>
      <c r="Z629" s="254"/>
      <c r="AA629" s="254"/>
      <c r="AB629" s="254"/>
      <c r="AC629" s="254"/>
    </row>
    <row r="630" ht="12.75" customHeight="1" spans="1:29">
      <c r="A630" s="254"/>
      <c r="B630" s="254"/>
      <c r="C630" s="254"/>
      <c r="D630" s="276"/>
      <c r="E630" s="254"/>
      <c r="F630" s="254"/>
      <c r="G630" s="254"/>
      <c r="H630" s="254"/>
      <c r="I630" s="254"/>
      <c r="J630" s="254"/>
      <c r="K630" s="254"/>
      <c r="L630" s="254"/>
      <c r="M630" s="254"/>
      <c r="N630" s="254"/>
      <c r="O630" s="254"/>
      <c r="P630" s="254"/>
      <c r="Q630" s="254"/>
      <c r="R630" s="254"/>
      <c r="S630" s="254"/>
      <c r="T630" s="254"/>
      <c r="U630" s="254"/>
      <c r="V630" s="254"/>
      <c r="W630" s="254"/>
      <c r="X630" s="254"/>
      <c r="Y630" s="254"/>
      <c r="Z630" s="254"/>
      <c r="AA630" s="254"/>
      <c r="AB630" s="254"/>
      <c r="AC630" s="254"/>
    </row>
    <row r="631" ht="12.75" customHeight="1" spans="1:29">
      <c r="A631" s="254"/>
      <c r="B631" s="254"/>
      <c r="C631" s="254"/>
      <c r="D631" s="276"/>
      <c r="E631" s="254"/>
      <c r="F631" s="254"/>
      <c r="G631" s="254"/>
      <c r="H631" s="254"/>
      <c r="I631" s="254"/>
      <c r="J631" s="254"/>
      <c r="K631" s="254"/>
      <c r="L631" s="254"/>
      <c r="M631" s="254"/>
      <c r="N631" s="254"/>
      <c r="O631" s="254"/>
      <c r="P631" s="254"/>
      <c r="Q631" s="254"/>
      <c r="R631" s="254"/>
      <c r="S631" s="254"/>
      <c r="T631" s="254"/>
      <c r="U631" s="254"/>
      <c r="V631" s="254"/>
      <c r="W631" s="254"/>
      <c r="X631" s="254"/>
      <c r="Y631" s="254"/>
      <c r="Z631" s="254"/>
      <c r="AA631" s="254"/>
      <c r="AB631" s="254"/>
      <c r="AC631" s="254"/>
    </row>
    <row r="632" ht="12.75" customHeight="1" spans="1:29">
      <c r="A632" s="254"/>
      <c r="B632" s="254"/>
      <c r="C632" s="254"/>
      <c r="D632" s="276"/>
      <c r="E632" s="254"/>
      <c r="F632" s="254"/>
      <c r="G632" s="254"/>
      <c r="H632" s="254"/>
      <c r="I632" s="254"/>
      <c r="J632" s="254"/>
      <c r="K632" s="254"/>
      <c r="L632" s="254"/>
      <c r="M632" s="254"/>
      <c r="N632" s="254"/>
      <c r="O632" s="254"/>
      <c r="P632" s="254"/>
      <c r="Q632" s="254"/>
      <c r="R632" s="254"/>
      <c r="S632" s="254"/>
      <c r="T632" s="254"/>
      <c r="U632" s="254"/>
      <c r="V632" s="254"/>
      <c r="W632" s="254"/>
      <c r="X632" s="254"/>
      <c r="Y632" s="254"/>
      <c r="Z632" s="254"/>
      <c r="AA632" s="254"/>
      <c r="AB632" s="254"/>
      <c r="AC632" s="254"/>
    </row>
    <row r="633" ht="12.75" customHeight="1" spans="1:29">
      <c r="A633" s="254"/>
      <c r="B633" s="254"/>
      <c r="C633" s="254"/>
      <c r="D633" s="276"/>
      <c r="E633" s="254"/>
      <c r="F633" s="254"/>
      <c r="G633" s="254"/>
      <c r="H633" s="254"/>
      <c r="I633" s="254"/>
      <c r="J633" s="254"/>
      <c r="K633" s="254"/>
      <c r="L633" s="254"/>
      <c r="M633" s="254"/>
      <c r="N633" s="254"/>
      <c r="O633" s="254"/>
      <c r="P633" s="254"/>
      <c r="Q633" s="254"/>
      <c r="R633" s="254"/>
      <c r="S633" s="254"/>
      <c r="T633" s="254"/>
      <c r="U633" s="254"/>
      <c r="V633" s="254"/>
      <c r="W633" s="254"/>
      <c r="X633" s="254"/>
      <c r="Y633" s="254"/>
      <c r="Z633" s="254"/>
      <c r="AA633" s="254"/>
      <c r="AB633" s="254"/>
      <c r="AC633" s="254"/>
    </row>
    <row r="634" ht="12.75" customHeight="1" spans="1:29">
      <c r="A634" s="254"/>
      <c r="B634" s="254"/>
      <c r="C634" s="254"/>
      <c r="D634" s="276"/>
      <c r="E634" s="254"/>
      <c r="F634" s="254"/>
      <c r="G634" s="254"/>
      <c r="H634" s="254"/>
      <c r="I634" s="254"/>
      <c r="J634" s="254"/>
      <c r="K634" s="254"/>
      <c r="L634" s="254"/>
      <c r="M634" s="254"/>
      <c r="N634" s="254"/>
      <c r="O634" s="254"/>
      <c r="P634" s="254"/>
      <c r="Q634" s="254"/>
      <c r="R634" s="254"/>
      <c r="S634" s="254"/>
      <c r="T634" s="254"/>
      <c r="U634" s="254"/>
      <c r="V634" s="254"/>
      <c r="W634" s="254"/>
      <c r="X634" s="254"/>
      <c r="Y634" s="254"/>
      <c r="Z634" s="254"/>
      <c r="AA634" s="254"/>
      <c r="AB634" s="254"/>
      <c r="AC634" s="254"/>
    </row>
    <row r="635" ht="12.75" customHeight="1" spans="1:29">
      <c r="A635" s="254"/>
      <c r="B635" s="254"/>
      <c r="C635" s="254"/>
      <c r="D635" s="276"/>
      <c r="E635" s="254"/>
      <c r="F635" s="254"/>
      <c r="G635" s="254"/>
      <c r="H635" s="254"/>
      <c r="I635" s="254"/>
      <c r="J635" s="254"/>
      <c r="K635" s="254"/>
      <c r="L635" s="254"/>
      <c r="M635" s="254"/>
      <c r="N635" s="254"/>
      <c r="O635" s="254"/>
      <c r="P635" s="254"/>
      <c r="Q635" s="254"/>
      <c r="R635" s="254"/>
      <c r="S635" s="254"/>
      <c r="T635" s="254"/>
      <c r="U635" s="254"/>
      <c r="V635" s="254"/>
      <c r="W635" s="254"/>
      <c r="X635" s="254"/>
      <c r="Y635" s="254"/>
      <c r="Z635" s="254"/>
      <c r="AA635" s="254"/>
      <c r="AB635" s="254"/>
      <c r="AC635" s="254"/>
    </row>
    <row r="636" ht="12.75" customHeight="1" spans="1:29">
      <c r="A636" s="254"/>
      <c r="B636" s="254"/>
      <c r="C636" s="254"/>
      <c r="D636" s="276"/>
      <c r="E636" s="254"/>
      <c r="F636" s="254"/>
      <c r="G636" s="254"/>
      <c r="H636" s="254"/>
      <c r="I636" s="254"/>
      <c r="J636" s="254"/>
      <c r="K636" s="254"/>
      <c r="L636" s="254"/>
      <c r="M636" s="254"/>
      <c r="N636" s="254"/>
      <c r="O636" s="254"/>
      <c r="P636" s="254"/>
      <c r="Q636" s="254"/>
      <c r="R636" s="254"/>
      <c r="S636" s="254"/>
      <c r="T636" s="254"/>
      <c r="U636" s="254"/>
      <c r="V636" s="254"/>
      <c r="W636" s="254"/>
      <c r="X636" s="254"/>
      <c r="Y636" s="254"/>
      <c r="Z636" s="254"/>
      <c r="AA636" s="254"/>
      <c r="AB636" s="254"/>
      <c r="AC636" s="254"/>
    </row>
    <row r="637" ht="12.75" customHeight="1" spans="1:29">
      <c r="A637" s="254"/>
      <c r="B637" s="254"/>
      <c r="C637" s="254"/>
      <c r="D637" s="276"/>
      <c r="E637" s="254"/>
      <c r="F637" s="254"/>
      <c r="G637" s="254"/>
      <c r="H637" s="254"/>
      <c r="I637" s="254"/>
      <c r="J637" s="254"/>
      <c r="K637" s="254"/>
      <c r="L637" s="254"/>
      <c r="M637" s="254"/>
      <c r="N637" s="254"/>
      <c r="O637" s="254"/>
      <c r="P637" s="254"/>
      <c r="Q637" s="254"/>
      <c r="R637" s="254"/>
      <c r="S637" s="254"/>
      <c r="T637" s="254"/>
      <c r="U637" s="254"/>
      <c r="V637" s="254"/>
      <c r="W637" s="254"/>
      <c r="X637" s="254"/>
      <c r="Y637" s="254"/>
      <c r="Z637" s="254"/>
      <c r="AA637" s="254"/>
      <c r="AB637" s="254"/>
      <c r="AC637" s="254"/>
    </row>
    <row r="638" ht="12.75" customHeight="1" spans="1:29">
      <c r="A638" s="254"/>
      <c r="B638" s="254"/>
      <c r="C638" s="254"/>
      <c r="D638" s="276"/>
      <c r="E638" s="254"/>
      <c r="F638" s="254"/>
      <c r="G638" s="254"/>
      <c r="H638" s="254"/>
      <c r="I638" s="254"/>
      <c r="J638" s="254"/>
      <c r="K638" s="254"/>
      <c r="L638" s="254"/>
      <c r="M638" s="254"/>
      <c r="N638" s="254"/>
      <c r="O638" s="254"/>
      <c r="P638" s="254"/>
      <c r="Q638" s="254"/>
      <c r="R638" s="254"/>
      <c r="S638" s="254"/>
      <c r="T638" s="254"/>
      <c r="U638" s="254"/>
      <c r="V638" s="254"/>
      <c r="W638" s="254"/>
      <c r="X638" s="254"/>
      <c r="Y638" s="254"/>
      <c r="Z638" s="254"/>
      <c r="AA638" s="254"/>
      <c r="AB638" s="254"/>
      <c r="AC638" s="254"/>
    </row>
    <row r="639" ht="12.75" customHeight="1" spans="1:29">
      <c r="A639" s="254"/>
      <c r="B639" s="254"/>
      <c r="C639" s="254"/>
      <c r="D639" s="276"/>
      <c r="E639" s="254"/>
      <c r="F639" s="254"/>
      <c r="G639" s="254"/>
      <c r="H639" s="254"/>
      <c r="I639" s="254"/>
      <c r="J639" s="254"/>
      <c r="K639" s="254"/>
      <c r="L639" s="254"/>
      <c r="M639" s="254"/>
      <c r="N639" s="254"/>
      <c r="O639" s="254"/>
      <c r="P639" s="254"/>
      <c r="Q639" s="254"/>
      <c r="R639" s="254"/>
      <c r="S639" s="254"/>
      <c r="T639" s="254"/>
      <c r="U639" s="254"/>
      <c r="V639" s="254"/>
      <c r="W639" s="254"/>
      <c r="X639" s="254"/>
      <c r="Y639" s="254"/>
      <c r="Z639" s="254"/>
      <c r="AA639" s="254"/>
      <c r="AB639" s="254"/>
      <c r="AC639" s="254"/>
    </row>
    <row r="640" ht="12.75" customHeight="1" spans="1:29">
      <c r="A640" s="254"/>
      <c r="B640" s="254"/>
      <c r="C640" s="254"/>
      <c r="D640" s="276"/>
      <c r="E640" s="254"/>
      <c r="F640" s="254"/>
      <c r="G640" s="254"/>
      <c r="H640" s="254"/>
      <c r="I640" s="254"/>
      <c r="J640" s="254"/>
      <c r="K640" s="254"/>
      <c r="L640" s="254"/>
      <c r="M640" s="254"/>
      <c r="N640" s="254"/>
      <c r="O640" s="254"/>
      <c r="P640" s="254"/>
      <c r="Q640" s="254"/>
      <c r="R640" s="254"/>
      <c r="S640" s="254"/>
      <c r="T640" s="254"/>
      <c r="U640" s="254"/>
      <c r="V640" s="254"/>
      <c r="W640" s="254"/>
      <c r="X640" s="254"/>
      <c r="Y640" s="254"/>
      <c r="Z640" s="254"/>
      <c r="AA640" s="254"/>
      <c r="AB640" s="254"/>
      <c r="AC640" s="254"/>
    </row>
    <row r="641" ht="12.75" customHeight="1" spans="1:29">
      <c r="A641" s="254"/>
      <c r="B641" s="254"/>
      <c r="C641" s="254"/>
      <c r="D641" s="276"/>
      <c r="E641" s="254"/>
      <c r="F641" s="254"/>
      <c r="G641" s="254"/>
      <c r="H641" s="254"/>
      <c r="I641" s="254"/>
      <c r="J641" s="254"/>
      <c r="K641" s="254"/>
      <c r="L641" s="254"/>
      <c r="M641" s="254"/>
      <c r="N641" s="254"/>
      <c r="O641" s="254"/>
      <c r="P641" s="254"/>
      <c r="Q641" s="254"/>
      <c r="R641" s="254"/>
      <c r="S641" s="254"/>
      <c r="T641" s="254"/>
      <c r="U641" s="254"/>
      <c r="V641" s="254"/>
      <c r="W641" s="254"/>
      <c r="X641" s="254"/>
      <c r="Y641" s="254"/>
      <c r="Z641" s="254"/>
      <c r="AA641" s="254"/>
      <c r="AB641" s="254"/>
      <c r="AC641" s="254"/>
    </row>
    <row r="642" ht="12.75" customHeight="1" spans="1:29">
      <c r="A642" s="254"/>
      <c r="B642" s="254"/>
      <c r="C642" s="254"/>
      <c r="D642" s="276"/>
      <c r="E642" s="254"/>
      <c r="F642" s="254"/>
      <c r="G642" s="254"/>
      <c r="H642" s="254"/>
      <c r="I642" s="254"/>
      <c r="J642" s="254"/>
      <c r="K642" s="254"/>
      <c r="L642" s="254"/>
      <c r="M642" s="254"/>
      <c r="N642" s="254"/>
      <c r="O642" s="254"/>
      <c r="P642" s="254"/>
      <c r="Q642" s="254"/>
      <c r="R642" s="254"/>
      <c r="S642" s="254"/>
      <c r="T642" s="254"/>
      <c r="U642" s="254"/>
      <c r="V642" s="254"/>
      <c r="W642" s="254"/>
      <c r="X642" s="254"/>
      <c r="Y642" s="254"/>
      <c r="Z642" s="254"/>
      <c r="AA642" s="254"/>
      <c r="AB642" s="254"/>
      <c r="AC642" s="254"/>
    </row>
    <row r="643" ht="12.75" customHeight="1" spans="1:29">
      <c r="A643" s="254"/>
      <c r="B643" s="254"/>
      <c r="C643" s="254"/>
      <c r="D643" s="276"/>
      <c r="E643" s="254"/>
      <c r="F643" s="254"/>
      <c r="G643" s="254"/>
      <c r="H643" s="254"/>
      <c r="I643" s="254"/>
      <c r="J643" s="254"/>
      <c r="K643" s="254"/>
      <c r="L643" s="254"/>
      <c r="M643" s="254"/>
      <c r="N643" s="254"/>
      <c r="O643" s="254"/>
      <c r="P643" s="254"/>
      <c r="Q643" s="254"/>
      <c r="R643" s="254"/>
      <c r="S643" s="254"/>
      <c r="T643" s="254"/>
      <c r="U643" s="254"/>
      <c r="V643" s="254"/>
      <c r="W643" s="254"/>
      <c r="X643" s="254"/>
      <c r="Y643" s="254"/>
      <c r="Z643" s="254"/>
      <c r="AA643" s="254"/>
      <c r="AB643" s="254"/>
      <c r="AC643" s="254"/>
    </row>
    <row r="644" ht="12.75" customHeight="1" spans="1:29">
      <c r="A644" s="254"/>
      <c r="B644" s="254"/>
      <c r="C644" s="254"/>
      <c r="D644" s="276"/>
      <c r="E644" s="254"/>
      <c r="F644" s="254"/>
      <c r="G644" s="254"/>
      <c r="H644" s="254"/>
      <c r="I644" s="254"/>
      <c r="J644" s="254"/>
      <c r="K644" s="254"/>
      <c r="L644" s="254"/>
      <c r="M644" s="254"/>
      <c r="N644" s="254"/>
      <c r="O644" s="254"/>
      <c r="P644" s="254"/>
      <c r="Q644" s="254"/>
      <c r="R644" s="254"/>
      <c r="S644" s="254"/>
      <c r="T644" s="254"/>
      <c r="U644" s="254"/>
      <c r="V644" s="254"/>
      <c r="W644" s="254"/>
      <c r="X644" s="254"/>
      <c r="Y644" s="254"/>
      <c r="Z644" s="254"/>
      <c r="AA644" s="254"/>
      <c r="AB644" s="254"/>
      <c r="AC644" s="254"/>
    </row>
    <row r="645" ht="12.75" customHeight="1" spans="1:29">
      <c r="A645" s="254"/>
      <c r="B645" s="254"/>
      <c r="C645" s="254"/>
      <c r="D645" s="276"/>
      <c r="E645" s="254"/>
      <c r="F645" s="254"/>
      <c r="G645" s="254"/>
      <c r="H645" s="254"/>
      <c r="I645" s="254"/>
      <c r="J645" s="254"/>
      <c r="K645" s="254"/>
      <c r="L645" s="254"/>
      <c r="M645" s="254"/>
      <c r="N645" s="254"/>
      <c r="O645" s="254"/>
      <c r="P645" s="254"/>
      <c r="Q645" s="254"/>
      <c r="R645" s="254"/>
      <c r="S645" s="254"/>
      <c r="T645" s="254"/>
      <c r="U645" s="254"/>
      <c r="V645" s="254"/>
      <c r="W645" s="254"/>
      <c r="X645" s="254"/>
      <c r="Y645" s="254"/>
      <c r="Z645" s="254"/>
      <c r="AA645" s="254"/>
      <c r="AB645" s="254"/>
      <c r="AC645" s="254"/>
    </row>
    <row r="646" ht="12.75" customHeight="1" spans="1:29">
      <c r="A646" s="254"/>
      <c r="B646" s="254"/>
      <c r="C646" s="254"/>
      <c r="D646" s="276"/>
      <c r="E646" s="254"/>
      <c r="F646" s="254"/>
      <c r="G646" s="254"/>
      <c r="H646" s="254"/>
      <c r="I646" s="254"/>
      <c r="J646" s="254"/>
      <c r="K646" s="254"/>
      <c r="L646" s="254"/>
      <c r="M646" s="254"/>
      <c r="N646" s="254"/>
      <c r="O646" s="254"/>
      <c r="P646" s="254"/>
      <c r="Q646" s="254"/>
      <c r="R646" s="254"/>
      <c r="S646" s="254"/>
      <c r="T646" s="254"/>
      <c r="U646" s="254"/>
      <c r="V646" s="254"/>
      <c r="W646" s="254"/>
      <c r="X646" s="254"/>
      <c r="Y646" s="254"/>
      <c r="Z646" s="254"/>
      <c r="AA646" s="254"/>
      <c r="AB646" s="254"/>
      <c r="AC646" s="254"/>
    </row>
    <row r="647" ht="12.75" customHeight="1" spans="1:29">
      <c r="A647" s="254"/>
      <c r="B647" s="254"/>
      <c r="C647" s="254"/>
      <c r="D647" s="276"/>
      <c r="E647" s="254"/>
      <c r="F647" s="254"/>
      <c r="G647" s="254"/>
      <c r="H647" s="254"/>
      <c r="I647" s="254"/>
      <c r="J647" s="254"/>
      <c r="K647" s="254"/>
      <c r="L647" s="254"/>
      <c r="M647" s="254"/>
      <c r="N647" s="254"/>
      <c r="O647" s="254"/>
      <c r="P647" s="254"/>
      <c r="Q647" s="254"/>
      <c r="R647" s="254"/>
      <c r="S647" s="254"/>
      <c r="T647" s="254"/>
      <c r="U647" s="254"/>
      <c r="V647" s="254"/>
      <c r="W647" s="254"/>
      <c r="X647" s="254"/>
      <c r="Y647" s="254"/>
      <c r="Z647" s="254"/>
      <c r="AA647" s="254"/>
      <c r="AB647" s="254"/>
      <c r="AC647" s="254"/>
    </row>
    <row r="648" ht="12.75" customHeight="1" spans="1:29">
      <c r="A648" s="254"/>
      <c r="B648" s="254"/>
      <c r="C648" s="254"/>
      <c r="D648" s="276"/>
      <c r="E648" s="254"/>
      <c r="F648" s="254"/>
      <c r="G648" s="254"/>
      <c r="H648" s="254"/>
      <c r="I648" s="254"/>
      <c r="J648" s="254"/>
      <c r="K648" s="254"/>
      <c r="L648" s="254"/>
      <c r="M648" s="254"/>
      <c r="N648" s="254"/>
      <c r="O648" s="254"/>
      <c r="P648" s="254"/>
      <c r="Q648" s="254"/>
      <c r="R648" s="254"/>
      <c r="S648" s="254"/>
      <c r="T648" s="254"/>
      <c r="U648" s="254"/>
      <c r="V648" s="254"/>
      <c r="W648" s="254"/>
      <c r="X648" s="254"/>
      <c r="Y648" s="254"/>
      <c r="Z648" s="254"/>
      <c r="AA648" s="254"/>
      <c r="AB648" s="254"/>
      <c r="AC648" s="254"/>
    </row>
    <row r="649" ht="12.75" customHeight="1" spans="1:29">
      <c r="A649" s="254"/>
      <c r="B649" s="254"/>
      <c r="C649" s="254"/>
      <c r="D649" s="276"/>
      <c r="E649" s="254"/>
      <c r="F649" s="254"/>
      <c r="G649" s="254"/>
      <c r="H649" s="254"/>
      <c r="I649" s="254"/>
      <c r="J649" s="254"/>
      <c r="K649" s="254"/>
      <c r="L649" s="254"/>
      <c r="M649" s="254"/>
      <c r="N649" s="254"/>
      <c r="O649" s="254"/>
      <c r="P649" s="254"/>
      <c r="Q649" s="254"/>
      <c r="R649" s="254"/>
      <c r="S649" s="254"/>
      <c r="T649" s="254"/>
      <c r="U649" s="254"/>
      <c r="V649" s="254"/>
      <c r="W649" s="254"/>
      <c r="X649" s="254"/>
      <c r="Y649" s="254"/>
      <c r="Z649" s="254"/>
      <c r="AA649" s="254"/>
      <c r="AB649" s="254"/>
      <c r="AC649" s="254"/>
    </row>
    <row r="650" ht="12.75" customHeight="1" spans="1:29">
      <c r="A650" s="254"/>
      <c r="B650" s="254"/>
      <c r="C650" s="254"/>
      <c r="D650" s="276"/>
      <c r="E650" s="254"/>
      <c r="F650" s="254"/>
      <c r="G650" s="254"/>
      <c r="H650" s="254"/>
      <c r="I650" s="254"/>
      <c r="J650" s="254"/>
      <c r="K650" s="254"/>
      <c r="L650" s="254"/>
      <c r="M650" s="254"/>
      <c r="N650" s="254"/>
      <c r="O650" s="254"/>
      <c r="P650" s="254"/>
      <c r="Q650" s="254"/>
      <c r="R650" s="254"/>
      <c r="S650" s="254"/>
      <c r="T650" s="254"/>
      <c r="U650" s="254"/>
      <c r="V650" s="254"/>
      <c r="W650" s="254"/>
      <c r="X650" s="254"/>
      <c r="Y650" s="254"/>
      <c r="Z650" s="254"/>
      <c r="AA650" s="254"/>
      <c r="AB650" s="254"/>
      <c r="AC650" s="254"/>
    </row>
    <row r="651" ht="12.75" customHeight="1" spans="1:29">
      <c r="A651" s="254"/>
      <c r="B651" s="254"/>
      <c r="C651" s="254"/>
      <c r="D651" s="276"/>
      <c r="E651" s="254"/>
      <c r="F651" s="254"/>
      <c r="G651" s="254"/>
      <c r="H651" s="254"/>
      <c r="I651" s="254"/>
      <c r="J651" s="254"/>
      <c r="K651" s="254"/>
      <c r="L651" s="254"/>
      <c r="M651" s="254"/>
      <c r="N651" s="254"/>
      <c r="O651" s="254"/>
      <c r="P651" s="254"/>
      <c r="Q651" s="254"/>
      <c r="R651" s="254"/>
      <c r="S651" s="254"/>
      <c r="T651" s="254"/>
      <c r="U651" s="254"/>
      <c r="V651" s="254"/>
      <c r="W651" s="254"/>
      <c r="X651" s="254"/>
      <c r="Y651" s="254"/>
      <c r="Z651" s="254"/>
      <c r="AA651" s="254"/>
      <c r="AB651" s="254"/>
      <c r="AC651" s="254"/>
    </row>
    <row r="652" ht="12.75" customHeight="1" spans="1:29">
      <c r="A652" s="254"/>
      <c r="B652" s="254"/>
      <c r="C652" s="254"/>
      <c r="D652" s="276"/>
      <c r="E652" s="254"/>
      <c r="F652" s="254"/>
      <c r="G652" s="254"/>
      <c r="H652" s="254"/>
      <c r="I652" s="254"/>
      <c r="J652" s="254"/>
      <c r="K652" s="254"/>
      <c r="L652" s="254"/>
      <c r="M652" s="254"/>
      <c r="N652" s="254"/>
      <c r="O652" s="254"/>
      <c r="P652" s="254"/>
      <c r="Q652" s="254"/>
      <c r="R652" s="254"/>
      <c r="S652" s="254"/>
      <c r="T652" s="254"/>
      <c r="U652" s="254"/>
      <c r="V652" s="254"/>
      <c r="W652" s="254"/>
      <c r="X652" s="254"/>
      <c r="Y652" s="254"/>
      <c r="Z652" s="254"/>
      <c r="AA652" s="254"/>
      <c r="AB652" s="254"/>
      <c r="AC652" s="254"/>
    </row>
    <row r="653" ht="12.75" customHeight="1" spans="1:29">
      <c r="A653" s="254"/>
      <c r="B653" s="254"/>
      <c r="C653" s="254"/>
      <c r="D653" s="276"/>
      <c r="E653" s="254"/>
      <c r="F653" s="254"/>
      <c r="G653" s="254"/>
      <c r="H653" s="254"/>
      <c r="I653" s="254"/>
      <c r="J653" s="254"/>
      <c r="K653" s="254"/>
      <c r="L653" s="254"/>
      <c r="M653" s="254"/>
      <c r="N653" s="254"/>
      <c r="O653" s="254"/>
      <c r="P653" s="254"/>
      <c r="Q653" s="254"/>
      <c r="R653" s="254"/>
      <c r="S653" s="254"/>
      <c r="T653" s="254"/>
      <c r="U653" s="254"/>
      <c r="V653" s="254"/>
      <c r="W653" s="254"/>
      <c r="X653" s="254"/>
      <c r="Y653" s="254"/>
      <c r="Z653" s="254"/>
      <c r="AA653" s="254"/>
      <c r="AB653" s="254"/>
      <c r="AC653" s="254"/>
    </row>
    <row r="654" ht="12.75" customHeight="1" spans="1:29">
      <c r="A654" s="254"/>
      <c r="B654" s="254"/>
      <c r="C654" s="254"/>
      <c r="D654" s="276"/>
      <c r="E654" s="254"/>
      <c r="F654" s="254"/>
      <c r="G654" s="254"/>
      <c r="H654" s="254"/>
      <c r="I654" s="254"/>
      <c r="J654" s="254"/>
      <c r="K654" s="254"/>
      <c r="L654" s="254"/>
      <c r="M654" s="254"/>
      <c r="N654" s="254"/>
      <c r="O654" s="254"/>
      <c r="P654" s="254"/>
      <c r="Q654" s="254"/>
      <c r="R654" s="254"/>
      <c r="S654" s="254"/>
      <c r="T654" s="254"/>
      <c r="U654" s="254"/>
      <c r="V654" s="254"/>
      <c r="W654" s="254"/>
      <c r="X654" s="254"/>
      <c r="Y654" s="254"/>
      <c r="Z654" s="254"/>
      <c r="AA654" s="254"/>
      <c r="AB654" s="254"/>
      <c r="AC654" s="254"/>
    </row>
    <row r="655" ht="12.75" customHeight="1" spans="1:29">
      <c r="A655" s="254"/>
      <c r="B655" s="254"/>
      <c r="C655" s="254"/>
      <c r="D655" s="276"/>
      <c r="E655" s="254"/>
      <c r="F655" s="254"/>
      <c r="G655" s="254"/>
      <c r="H655" s="254"/>
      <c r="I655" s="254"/>
      <c r="J655" s="254"/>
      <c r="K655" s="254"/>
      <c r="L655" s="254"/>
      <c r="M655" s="254"/>
      <c r="N655" s="254"/>
      <c r="O655" s="254"/>
      <c r="P655" s="254"/>
      <c r="Q655" s="254"/>
      <c r="R655" s="254"/>
      <c r="S655" s="254"/>
      <c r="T655" s="254"/>
      <c r="U655" s="254"/>
      <c r="V655" s="254"/>
      <c r="W655" s="254"/>
      <c r="X655" s="254"/>
      <c r="Y655" s="254"/>
      <c r="Z655" s="254"/>
      <c r="AA655" s="254"/>
      <c r="AB655" s="254"/>
      <c r="AC655" s="254"/>
    </row>
    <row r="656" ht="12.75" customHeight="1" spans="1:29">
      <c r="A656" s="254"/>
      <c r="B656" s="254"/>
      <c r="C656" s="254"/>
      <c r="D656" s="276"/>
      <c r="E656" s="254"/>
      <c r="F656" s="254"/>
      <c r="G656" s="254"/>
      <c r="H656" s="254"/>
      <c r="I656" s="254"/>
      <c r="J656" s="254"/>
      <c r="K656" s="254"/>
      <c r="L656" s="254"/>
      <c r="M656" s="254"/>
      <c r="N656" s="254"/>
      <c r="O656" s="254"/>
      <c r="P656" s="254"/>
      <c r="Q656" s="254"/>
      <c r="R656" s="254"/>
      <c r="S656" s="254"/>
      <c r="T656" s="254"/>
      <c r="U656" s="254"/>
      <c r="V656" s="254"/>
      <c r="W656" s="254"/>
      <c r="X656" s="254"/>
      <c r="Y656" s="254"/>
      <c r="Z656" s="254"/>
      <c r="AA656" s="254"/>
      <c r="AB656" s="254"/>
      <c r="AC656" s="254"/>
    </row>
    <row r="657" ht="12.75" customHeight="1" spans="1:29">
      <c r="A657" s="254"/>
      <c r="B657" s="254"/>
      <c r="C657" s="254"/>
      <c r="D657" s="276"/>
      <c r="E657" s="254"/>
      <c r="F657" s="254"/>
      <c r="G657" s="254"/>
      <c r="H657" s="254"/>
      <c r="I657" s="254"/>
      <c r="J657" s="254"/>
      <c r="K657" s="254"/>
      <c r="L657" s="254"/>
      <c r="M657" s="254"/>
      <c r="N657" s="254"/>
      <c r="O657" s="254"/>
      <c r="P657" s="254"/>
      <c r="Q657" s="254"/>
      <c r="R657" s="254"/>
      <c r="S657" s="254"/>
      <c r="T657" s="254"/>
      <c r="U657" s="254"/>
      <c r="V657" s="254"/>
      <c r="W657" s="254"/>
      <c r="X657" s="254"/>
      <c r="Y657" s="254"/>
      <c r="Z657" s="254"/>
      <c r="AA657" s="254"/>
      <c r="AB657" s="254"/>
      <c r="AC657" s="254"/>
    </row>
    <row r="658" ht="12.75" customHeight="1" spans="1:29">
      <c r="A658" s="254"/>
      <c r="B658" s="254"/>
      <c r="C658" s="254"/>
      <c r="D658" s="276"/>
      <c r="E658" s="254"/>
      <c r="F658" s="254"/>
      <c r="G658" s="254"/>
      <c r="H658" s="254"/>
      <c r="I658" s="254"/>
      <c r="J658" s="254"/>
      <c r="K658" s="254"/>
      <c r="L658" s="254"/>
      <c r="M658" s="254"/>
      <c r="N658" s="254"/>
      <c r="O658" s="254"/>
      <c r="P658" s="254"/>
      <c r="Q658" s="254"/>
      <c r="R658" s="254"/>
      <c r="S658" s="254"/>
      <c r="T658" s="254"/>
      <c r="U658" s="254"/>
      <c r="V658" s="254"/>
      <c r="W658" s="254"/>
      <c r="X658" s="254"/>
      <c r="Y658" s="254"/>
      <c r="Z658" s="254"/>
      <c r="AA658" s="254"/>
      <c r="AB658" s="254"/>
      <c r="AC658" s="254"/>
    </row>
    <row r="659" ht="12.75" customHeight="1" spans="1:29">
      <c r="A659" s="254"/>
      <c r="B659" s="254"/>
      <c r="C659" s="254"/>
      <c r="D659" s="276"/>
      <c r="E659" s="254"/>
      <c r="F659" s="254"/>
      <c r="G659" s="254"/>
      <c r="H659" s="254"/>
      <c r="I659" s="254"/>
      <c r="J659" s="254"/>
      <c r="K659" s="254"/>
      <c r="L659" s="254"/>
      <c r="M659" s="254"/>
      <c r="N659" s="254"/>
      <c r="O659" s="254"/>
      <c r="P659" s="254"/>
      <c r="Q659" s="254"/>
      <c r="R659" s="254"/>
      <c r="S659" s="254"/>
      <c r="T659" s="254"/>
      <c r="U659" s="254"/>
      <c r="V659" s="254"/>
      <c r="W659" s="254"/>
      <c r="X659" s="254"/>
      <c r="Y659" s="254"/>
      <c r="Z659" s="254"/>
      <c r="AA659" s="254"/>
      <c r="AB659" s="254"/>
      <c r="AC659" s="254"/>
    </row>
    <row r="660" ht="12.75" customHeight="1" spans="1:29">
      <c r="A660" s="254"/>
      <c r="B660" s="254"/>
      <c r="C660" s="254"/>
      <c r="D660" s="276"/>
      <c r="E660" s="254"/>
      <c r="F660" s="254"/>
      <c r="G660" s="254"/>
      <c r="H660" s="254"/>
      <c r="I660" s="254"/>
      <c r="J660" s="254"/>
      <c r="K660" s="254"/>
      <c r="L660" s="254"/>
      <c r="M660" s="254"/>
      <c r="N660" s="254"/>
      <c r="O660" s="254"/>
      <c r="P660" s="254"/>
      <c r="Q660" s="254"/>
      <c r="R660" s="254"/>
      <c r="S660" s="254"/>
      <c r="T660" s="254"/>
      <c r="U660" s="254"/>
      <c r="V660" s="254"/>
      <c r="W660" s="254"/>
      <c r="X660" s="254"/>
      <c r="Y660" s="254"/>
      <c r="Z660" s="254"/>
      <c r="AA660" s="254"/>
      <c r="AB660" s="254"/>
      <c r="AC660" s="254"/>
    </row>
    <row r="661" ht="12.75" customHeight="1" spans="1:29">
      <c r="A661" s="254"/>
      <c r="B661" s="254"/>
      <c r="C661" s="254"/>
      <c r="D661" s="276"/>
      <c r="E661" s="254"/>
      <c r="F661" s="254"/>
      <c r="G661" s="254"/>
      <c r="H661" s="254"/>
      <c r="I661" s="254"/>
      <c r="J661" s="254"/>
      <c r="K661" s="254"/>
      <c r="L661" s="254"/>
      <c r="M661" s="254"/>
      <c r="N661" s="254"/>
      <c r="O661" s="254"/>
      <c r="P661" s="254"/>
      <c r="Q661" s="254"/>
      <c r="R661" s="254"/>
      <c r="S661" s="254"/>
      <c r="T661" s="254"/>
      <c r="U661" s="254"/>
      <c r="V661" s="254"/>
      <c r="W661" s="254"/>
      <c r="X661" s="254"/>
      <c r="Y661" s="254"/>
      <c r="Z661" s="254"/>
      <c r="AA661" s="254"/>
      <c r="AB661" s="254"/>
      <c r="AC661" s="254"/>
    </row>
    <row r="662" ht="12.75" customHeight="1" spans="1:29">
      <c r="A662" s="254"/>
      <c r="B662" s="254"/>
      <c r="C662" s="254"/>
      <c r="D662" s="276"/>
      <c r="E662" s="254"/>
      <c r="F662" s="254"/>
      <c r="G662" s="254"/>
      <c r="H662" s="254"/>
      <c r="I662" s="254"/>
      <c r="J662" s="254"/>
      <c r="K662" s="254"/>
      <c r="L662" s="254"/>
      <c r="M662" s="254"/>
      <c r="N662" s="254"/>
      <c r="O662" s="254"/>
      <c r="P662" s="254"/>
      <c r="Q662" s="254"/>
      <c r="R662" s="254"/>
      <c r="S662" s="254"/>
      <c r="T662" s="254"/>
      <c r="U662" s="254"/>
      <c r="V662" s="254"/>
      <c r="W662" s="254"/>
      <c r="X662" s="254"/>
      <c r="Y662" s="254"/>
      <c r="Z662" s="254"/>
      <c r="AA662" s="254"/>
      <c r="AB662" s="254"/>
      <c r="AC662" s="254"/>
    </row>
    <row r="663" ht="12.75" customHeight="1" spans="1:29">
      <c r="A663" s="254"/>
      <c r="B663" s="254"/>
      <c r="C663" s="254"/>
      <c r="D663" s="276"/>
      <c r="E663" s="254"/>
      <c r="F663" s="254"/>
      <c r="G663" s="254"/>
      <c r="H663" s="254"/>
      <c r="I663" s="254"/>
      <c r="J663" s="254"/>
      <c r="K663" s="254"/>
      <c r="L663" s="254"/>
      <c r="M663" s="254"/>
      <c r="N663" s="254"/>
      <c r="O663" s="254"/>
      <c r="P663" s="254"/>
      <c r="Q663" s="254"/>
      <c r="R663" s="254"/>
      <c r="S663" s="254"/>
      <c r="T663" s="254"/>
      <c r="U663" s="254"/>
      <c r="V663" s="254"/>
      <c r="W663" s="254"/>
      <c r="X663" s="254"/>
      <c r="Y663" s="254"/>
      <c r="Z663" s="254"/>
      <c r="AA663" s="254"/>
      <c r="AB663" s="254"/>
      <c r="AC663" s="254"/>
    </row>
    <row r="664" ht="12.75" customHeight="1" spans="1:29">
      <c r="A664" s="254"/>
      <c r="B664" s="254"/>
      <c r="C664" s="254"/>
      <c r="D664" s="276"/>
      <c r="E664" s="254"/>
      <c r="F664" s="254"/>
      <c r="G664" s="254"/>
      <c r="H664" s="254"/>
      <c r="I664" s="254"/>
      <c r="J664" s="254"/>
      <c r="K664" s="254"/>
      <c r="L664" s="254"/>
      <c r="M664" s="254"/>
      <c r="N664" s="254"/>
      <c r="O664" s="254"/>
      <c r="P664" s="254"/>
      <c r="Q664" s="254"/>
      <c r="R664" s="254"/>
      <c r="S664" s="254"/>
      <c r="T664" s="254"/>
      <c r="U664" s="254"/>
      <c r="V664" s="254"/>
      <c r="W664" s="254"/>
      <c r="X664" s="254"/>
      <c r="Y664" s="254"/>
      <c r="Z664" s="254"/>
      <c r="AA664" s="254"/>
      <c r="AB664" s="254"/>
      <c r="AC664" s="254"/>
    </row>
    <row r="665" ht="12.75" customHeight="1" spans="1:29">
      <c r="A665" s="254"/>
      <c r="B665" s="254"/>
      <c r="C665" s="254"/>
      <c r="D665" s="276"/>
      <c r="E665" s="254"/>
      <c r="F665" s="254"/>
      <c r="G665" s="254"/>
      <c r="H665" s="254"/>
      <c r="I665" s="254"/>
      <c r="J665" s="254"/>
      <c r="K665" s="254"/>
      <c r="L665" s="254"/>
      <c r="M665" s="254"/>
      <c r="N665" s="254"/>
      <c r="O665" s="254"/>
      <c r="P665" s="254"/>
      <c r="Q665" s="254"/>
      <c r="R665" s="254"/>
      <c r="S665" s="254"/>
      <c r="T665" s="254"/>
      <c r="U665" s="254"/>
      <c r="V665" s="254"/>
      <c r="W665" s="254"/>
      <c r="X665" s="254"/>
      <c r="Y665" s="254"/>
      <c r="Z665" s="254"/>
      <c r="AA665" s="254"/>
      <c r="AB665" s="254"/>
      <c r="AC665" s="254"/>
    </row>
    <row r="666" ht="12.75" customHeight="1" spans="1:29">
      <c r="A666" s="254"/>
      <c r="B666" s="254"/>
      <c r="C666" s="254"/>
      <c r="D666" s="276"/>
      <c r="E666" s="254"/>
      <c r="F666" s="254"/>
      <c r="G666" s="254"/>
      <c r="H666" s="254"/>
      <c r="I666" s="254"/>
      <c r="J666" s="254"/>
      <c r="K666" s="254"/>
      <c r="L666" s="254"/>
      <c r="M666" s="254"/>
      <c r="N666" s="254"/>
      <c r="O666" s="254"/>
      <c r="P666" s="254"/>
      <c r="Q666" s="254"/>
      <c r="R666" s="254"/>
      <c r="S666" s="254"/>
      <c r="T666" s="254"/>
      <c r="U666" s="254"/>
      <c r="V666" s="254"/>
      <c r="W666" s="254"/>
      <c r="X666" s="254"/>
      <c r="Y666" s="254"/>
      <c r="Z666" s="254"/>
      <c r="AA666" s="254"/>
      <c r="AB666" s="254"/>
      <c r="AC666" s="254"/>
    </row>
    <row r="667" ht="12.75" customHeight="1" spans="1:29">
      <c r="A667" s="254"/>
      <c r="B667" s="254"/>
      <c r="C667" s="254"/>
      <c r="D667" s="276"/>
      <c r="E667" s="254"/>
      <c r="F667" s="254"/>
      <c r="G667" s="254"/>
      <c r="H667" s="254"/>
      <c r="I667" s="254"/>
      <c r="J667" s="254"/>
      <c r="K667" s="254"/>
      <c r="L667" s="254"/>
      <c r="M667" s="254"/>
      <c r="N667" s="254"/>
      <c r="O667" s="254"/>
      <c r="P667" s="254"/>
      <c r="Q667" s="254"/>
      <c r="R667" s="254"/>
      <c r="S667" s="254"/>
      <c r="T667" s="254"/>
      <c r="U667" s="254"/>
      <c r="V667" s="254"/>
      <c r="W667" s="254"/>
      <c r="X667" s="254"/>
      <c r="Y667" s="254"/>
      <c r="Z667" s="254"/>
      <c r="AA667" s="254"/>
      <c r="AB667" s="254"/>
      <c r="AC667" s="254"/>
    </row>
    <row r="668" ht="12.75" customHeight="1" spans="1:29">
      <c r="A668" s="254"/>
      <c r="B668" s="254"/>
      <c r="C668" s="254"/>
      <c r="D668" s="276"/>
      <c r="E668" s="254"/>
      <c r="F668" s="254"/>
      <c r="G668" s="254"/>
      <c r="H668" s="254"/>
      <c r="I668" s="254"/>
      <c r="J668" s="254"/>
      <c r="K668" s="254"/>
      <c r="L668" s="254"/>
      <c r="M668" s="254"/>
      <c r="N668" s="254"/>
      <c r="O668" s="254"/>
      <c r="P668" s="254"/>
      <c r="Q668" s="254"/>
      <c r="R668" s="254"/>
      <c r="S668" s="254"/>
      <c r="T668" s="254"/>
      <c r="U668" s="254"/>
      <c r="V668" s="254"/>
      <c r="W668" s="254"/>
      <c r="X668" s="254"/>
      <c r="Y668" s="254"/>
      <c r="Z668" s="254"/>
      <c r="AA668" s="254"/>
      <c r="AB668" s="254"/>
      <c r="AC668" s="254"/>
    </row>
    <row r="669" ht="12.75" customHeight="1" spans="1:29">
      <c r="A669" s="254"/>
      <c r="B669" s="254"/>
      <c r="C669" s="254"/>
      <c r="D669" s="276"/>
      <c r="E669" s="254"/>
      <c r="F669" s="254"/>
      <c r="G669" s="254"/>
      <c r="H669" s="254"/>
      <c r="I669" s="254"/>
      <c r="J669" s="254"/>
      <c r="K669" s="254"/>
      <c r="L669" s="254"/>
      <c r="M669" s="254"/>
      <c r="N669" s="254"/>
      <c r="O669" s="254"/>
      <c r="P669" s="254"/>
      <c r="Q669" s="254"/>
      <c r="R669" s="254"/>
      <c r="S669" s="254"/>
      <c r="T669" s="254"/>
      <c r="U669" s="254"/>
      <c r="V669" s="254"/>
      <c r="W669" s="254"/>
      <c r="X669" s="254"/>
      <c r="Y669" s="254"/>
      <c r="Z669" s="254"/>
      <c r="AA669" s="254"/>
      <c r="AB669" s="254"/>
      <c r="AC669" s="254"/>
    </row>
    <row r="670" ht="12.75" customHeight="1" spans="1:29">
      <c r="A670" s="254"/>
      <c r="B670" s="254"/>
      <c r="C670" s="254"/>
      <c r="D670" s="276"/>
      <c r="E670" s="254"/>
      <c r="F670" s="254"/>
      <c r="G670" s="254"/>
      <c r="H670" s="254"/>
      <c r="I670" s="254"/>
      <c r="J670" s="254"/>
      <c r="K670" s="254"/>
      <c r="L670" s="254"/>
      <c r="M670" s="254"/>
      <c r="N670" s="254"/>
      <c r="O670" s="254"/>
      <c r="P670" s="254"/>
      <c r="Q670" s="254"/>
      <c r="R670" s="254"/>
      <c r="S670" s="254"/>
      <c r="T670" s="254"/>
      <c r="U670" s="254"/>
      <c r="V670" s="254"/>
      <c r="W670" s="254"/>
      <c r="X670" s="254"/>
      <c r="Y670" s="254"/>
      <c r="Z670" s="254"/>
      <c r="AA670" s="254"/>
      <c r="AB670" s="254"/>
      <c r="AC670" s="254"/>
    </row>
    <row r="671" ht="12.75" customHeight="1" spans="1:29">
      <c r="A671" s="254"/>
      <c r="B671" s="254"/>
      <c r="C671" s="254"/>
      <c r="D671" s="276"/>
      <c r="E671" s="254"/>
      <c r="F671" s="254"/>
      <c r="G671" s="254"/>
      <c r="H671" s="254"/>
      <c r="I671" s="254"/>
      <c r="J671" s="254"/>
      <c r="K671" s="254"/>
      <c r="L671" s="254"/>
      <c r="M671" s="254"/>
      <c r="N671" s="254"/>
      <c r="O671" s="254"/>
      <c r="P671" s="254"/>
      <c r="Q671" s="254"/>
      <c r="R671" s="254"/>
      <c r="S671" s="254"/>
      <c r="T671" s="254"/>
      <c r="U671" s="254"/>
      <c r="V671" s="254"/>
      <c r="W671" s="254"/>
      <c r="X671" s="254"/>
      <c r="Y671" s="254"/>
      <c r="Z671" s="254"/>
      <c r="AA671" s="254"/>
      <c r="AB671" s="254"/>
      <c r="AC671" s="254"/>
    </row>
    <row r="672" ht="12.75" customHeight="1" spans="1:29">
      <c r="A672" s="254"/>
      <c r="B672" s="254"/>
      <c r="C672" s="254"/>
      <c r="D672" s="276"/>
      <c r="E672" s="254"/>
      <c r="F672" s="254"/>
      <c r="G672" s="254"/>
      <c r="H672" s="254"/>
      <c r="I672" s="254"/>
      <c r="J672" s="254"/>
      <c r="K672" s="254"/>
      <c r="L672" s="254"/>
      <c r="M672" s="254"/>
      <c r="N672" s="254"/>
      <c r="O672" s="254"/>
      <c r="P672" s="254"/>
      <c r="Q672" s="254"/>
      <c r="R672" s="254"/>
      <c r="S672" s="254"/>
      <c r="T672" s="254"/>
      <c r="U672" s="254"/>
      <c r="V672" s="254"/>
      <c r="W672" s="254"/>
      <c r="X672" s="254"/>
      <c r="Y672" s="254"/>
      <c r="Z672" s="254"/>
      <c r="AA672" s="254"/>
      <c r="AB672" s="254"/>
      <c r="AC672" s="254"/>
    </row>
    <row r="673" ht="12.75" customHeight="1" spans="1:29">
      <c r="A673" s="254"/>
      <c r="B673" s="254"/>
      <c r="C673" s="254"/>
      <c r="D673" s="276"/>
      <c r="E673" s="254"/>
      <c r="F673" s="254"/>
      <c r="G673" s="254"/>
      <c r="H673" s="254"/>
      <c r="I673" s="254"/>
      <c r="J673" s="254"/>
      <c r="K673" s="254"/>
      <c r="L673" s="254"/>
      <c r="M673" s="254"/>
      <c r="N673" s="254"/>
      <c r="O673" s="254"/>
      <c r="P673" s="254"/>
      <c r="Q673" s="254"/>
      <c r="R673" s="254"/>
      <c r="S673" s="254"/>
      <c r="T673" s="254"/>
      <c r="U673" s="254"/>
      <c r="V673" s="254"/>
      <c r="W673" s="254"/>
      <c r="X673" s="254"/>
      <c r="Y673" s="254"/>
      <c r="Z673" s="254"/>
      <c r="AA673" s="254"/>
      <c r="AB673" s="254"/>
      <c r="AC673" s="254"/>
    </row>
    <row r="674" ht="12.75" customHeight="1" spans="1:29">
      <c r="A674" s="254"/>
      <c r="B674" s="254"/>
      <c r="C674" s="254"/>
      <c r="D674" s="276"/>
      <c r="E674" s="254"/>
      <c r="F674" s="254"/>
      <c r="G674" s="254"/>
      <c r="H674" s="254"/>
      <c r="I674" s="254"/>
      <c r="J674" s="254"/>
      <c r="K674" s="254"/>
      <c r="L674" s="254"/>
      <c r="M674" s="254"/>
      <c r="N674" s="254"/>
      <c r="O674" s="254"/>
      <c r="P674" s="254"/>
      <c r="Q674" s="254"/>
      <c r="R674" s="254"/>
      <c r="S674" s="254"/>
      <c r="T674" s="254"/>
      <c r="U674" s="254"/>
      <c r="V674" s="254"/>
      <c r="W674" s="254"/>
      <c r="X674" s="254"/>
      <c r="Y674" s="254"/>
      <c r="Z674" s="254"/>
      <c r="AA674" s="254"/>
      <c r="AB674" s="254"/>
      <c r="AC674" s="254"/>
    </row>
    <row r="675" ht="12.75" customHeight="1" spans="1:29">
      <c r="A675" s="254"/>
      <c r="B675" s="254"/>
      <c r="C675" s="254"/>
      <c r="D675" s="276"/>
      <c r="E675" s="254"/>
      <c r="F675" s="254"/>
      <c r="G675" s="254"/>
      <c r="H675" s="254"/>
      <c r="I675" s="254"/>
      <c r="J675" s="254"/>
      <c r="K675" s="254"/>
      <c r="L675" s="254"/>
      <c r="M675" s="254"/>
      <c r="N675" s="254"/>
      <c r="O675" s="254"/>
      <c r="P675" s="254"/>
      <c r="Q675" s="254"/>
      <c r="R675" s="254"/>
      <c r="S675" s="254"/>
      <c r="T675" s="254"/>
      <c r="U675" s="254"/>
      <c r="V675" s="254"/>
      <c r="W675" s="254"/>
      <c r="X675" s="254"/>
      <c r="Y675" s="254"/>
      <c r="Z675" s="254"/>
      <c r="AA675" s="254"/>
      <c r="AB675" s="254"/>
      <c r="AC675" s="254"/>
    </row>
    <row r="676" ht="12.75" customHeight="1" spans="1:29">
      <c r="A676" s="254"/>
      <c r="B676" s="254"/>
      <c r="C676" s="254"/>
      <c r="D676" s="276"/>
      <c r="E676" s="254"/>
      <c r="F676" s="254"/>
      <c r="G676" s="254"/>
      <c r="H676" s="254"/>
      <c r="I676" s="254"/>
      <c r="J676" s="254"/>
      <c r="K676" s="254"/>
      <c r="L676" s="254"/>
      <c r="M676" s="254"/>
      <c r="N676" s="254"/>
      <c r="O676" s="254"/>
      <c r="P676" s="254"/>
      <c r="Q676" s="254"/>
      <c r="R676" s="254"/>
      <c r="S676" s="254"/>
      <c r="T676" s="254"/>
      <c r="U676" s="254"/>
      <c r="V676" s="254"/>
      <c r="W676" s="254"/>
      <c r="X676" s="254"/>
      <c r="Y676" s="254"/>
      <c r="Z676" s="254"/>
      <c r="AA676" s="254"/>
      <c r="AB676" s="254"/>
      <c r="AC676" s="254"/>
    </row>
    <row r="677" ht="12.75" customHeight="1" spans="1:29">
      <c r="A677" s="254"/>
      <c r="B677" s="254"/>
      <c r="C677" s="254"/>
      <c r="D677" s="276"/>
      <c r="E677" s="254"/>
      <c r="F677" s="254"/>
      <c r="G677" s="254"/>
      <c r="H677" s="254"/>
      <c r="I677" s="254"/>
      <c r="J677" s="254"/>
      <c r="K677" s="254"/>
      <c r="L677" s="254"/>
      <c r="M677" s="254"/>
      <c r="N677" s="254"/>
      <c r="O677" s="254"/>
      <c r="P677" s="254"/>
      <c r="Q677" s="254"/>
      <c r="R677" s="254"/>
      <c r="S677" s="254"/>
      <c r="T677" s="254"/>
      <c r="U677" s="254"/>
      <c r="V677" s="254"/>
      <c r="W677" s="254"/>
      <c r="X677" s="254"/>
      <c r="Y677" s="254"/>
      <c r="Z677" s="254"/>
      <c r="AA677" s="254"/>
      <c r="AB677" s="254"/>
      <c r="AC677" s="254"/>
    </row>
    <row r="678" ht="12.75" customHeight="1" spans="1:29">
      <c r="A678" s="254"/>
      <c r="B678" s="254"/>
      <c r="C678" s="254"/>
      <c r="D678" s="276"/>
      <c r="E678" s="254"/>
      <c r="F678" s="254"/>
      <c r="G678" s="254"/>
      <c r="H678" s="254"/>
      <c r="I678" s="254"/>
      <c r="J678" s="254"/>
      <c r="K678" s="254"/>
      <c r="L678" s="254"/>
      <c r="M678" s="254"/>
      <c r="N678" s="254"/>
      <c r="O678" s="254"/>
      <c r="P678" s="254"/>
      <c r="Q678" s="254"/>
      <c r="R678" s="254"/>
      <c r="S678" s="254"/>
      <c r="T678" s="254"/>
      <c r="U678" s="254"/>
      <c r="V678" s="254"/>
      <c r="W678" s="254"/>
      <c r="X678" s="254"/>
      <c r="Y678" s="254"/>
      <c r="Z678" s="254"/>
      <c r="AA678" s="254"/>
      <c r="AB678" s="254"/>
      <c r="AC678" s="254"/>
    </row>
    <row r="679" ht="12.75" customHeight="1" spans="1:29">
      <c r="A679" s="254"/>
      <c r="B679" s="254"/>
      <c r="C679" s="254"/>
      <c r="D679" s="276"/>
      <c r="E679" s="254"/>
      <c r="F679" s="254"/>
      <c r="G679" s="254"/>
      <c r="H679" s="254"/>
      <c r="I679" s="254"/>
      <c r="J679" s="254"/>
      <c r="K679" s="254"/>
      <c r="L679" s="254"/>
      <c r="M679" s="254"/>
      <c r="N679" s="254"/>
      <c r="O679" s="254"/>
      <c r="P679" s="254"/>
      <c r="Q679" s="254"/>
      <c r="R679" s="254"/>
      <c r="S679" s="254"/>
      <c r="T679" s="254"/>
      <c r="U679" s="254"/>
      <c r="V679" s="254"/>
      <c r="W679" s="254"/>
      <c r="X679" s="254"/>
      <c r="Y679" s="254"/>
      <c r="Z679" s="254"/>
      <c r="AA679" s="254"/>
      <c r="AB679" s="254"/>
      <c r="AC679" s="254"/>
    </row>
    <row r="680" ht="12.75" customHeight="1" spans="1:29">
      <c r="A680" s="254"/>
      <c r="B680" s="254"/>
      <c r="C680" s="254"/>
      <c r="D680" s="276"/>
      <c r="E680" s="254"/>
      <c r="F680" s="254"/>
      <c r="G680" s="254"/>
      <c r="H680" s="254"/>
      <c r="I680" s="254"/>
      <c r="J680" s="254"/>
      <c r="K680" s="254"/>
      <c r="L680" s="254"/>
      <c r="M680" s="254"/>
      <c r="N680" s="254"/>
      <c r="O680" s="254"/>
      <c r="P680" s="254"/>
      <c r="Q680" s="254"/>
      <c r="R680" s="254"/>
      <c r="S680" s="254"/>
      <c r="T680" s="254"/>
      <c r="U680" s="254"/>
      <c r="V680" s="254"/>
      <c r="W680" s="254"/>
      <c r="X680" s="254"/>
      <c r="Y680" s="254"/>
      <c r="Z680" s="254"/>
      <c r="AA680" s="254"/>
      <c r="AB680" s="254"/>
      <c r="AC680" s="254"/>
    </row>
    <row r="681" ht="12.75" customHeight="1" spans="1:29">
      <c r="A681" s="254"/>
      <c r="B681" s="254"/>
      <c r="C681" s="254"/>
      <c r="D681" s="276"/>
      <c r="E681" s="254"/>
      <c r="F681" s="254"/>
      <c r="G681" s="254"/>
      <c r="H681" s="254"/>
      <c r="I681" s="254"/>
      <c r="J681" s="254"/>
      <c r="K681" s="254"/>
      <c r="L681" s="254"/>
      <c r="M681" s="254"/>
      <c r="N681" s="254"/>
      <c r="O681" s="254"/>
      <c r="P681" s="254"/>
      <c r="Q681" s="254"/>
      <c r="R681" s="254"/>
      <c r="S681" s="254"/>
      <c r="T681" s="254"/>
      <c r="U681" s="254"/>
      <c r="V681" s="254"/>
      <c r="W681" s="254"/>
      <c r="X681" s="254"/>
      <c r="Y681" s="254"/>
      <c r="Z681" s="254"/>
      <c r="AA681" s="254"/>
      <c r="AB681" s="254"/>
      <c r="AC681" s="254"/>
    </row>
    <row r="682" ht="12.75" customHeight="1" spans="1:29">
      <c r="A682" s="254"/>
      <c r="B682" s="254"/>
      <c r="C682" s="254"/>
      <c r="D682" s="276"/>
      <c r="E682" s="254"/>
      <c r="F682" s="254"/>
      <c r="G682" s="254"/>
      <c r="H682" s="254"/>
      <c r="I682" s="254"/>
      <c r="J682" s="254"/>
      <c r="K682" s="254"/>
      <c r="L682" s="254"/>
      <c r="M682" s="254"/>
      <c r="N682" s="254"/>
      <c r="O682" s="254"/>
      <c r="P682" s="254"/>
      <c r="Q682" s="254"/>
      <c r="R682" s="254"/>
      <c r="S682" s="254"/>
      <c r="T682" s="254"/>
      <c r="U682" s="254"/>
      <c r="V682" s="254"/>
      <c r="W682" s="254"/>
      <c r="X682" s="254"/>
      <c r="Y682" s="254"/>
      <c r="Z682" s="254"/>
      <c r="AA682" s="254"/>
      <c r="AB682" s="254"/>
      <c r="AC682" s="254"/>
    </row>
    <row r="683" ht="12.75" customHeight="1" spans="1:29">
      <c r="A683" s="254"/>
      <c r="B683" s="254"/>
      <c r="C683" s="254"/>
      <c r="D683" s="276"/>
      <c r="E683" s="254"/>
      <c r="F683" s="254"/>
      <c r="G683" s="254"/>
      <c r="H683" s="254"/>
      <c r="I683" s="254"/>
      <c r="J683" s="254"/>
      <c r="K683" s="254"/>
      <c r="L683" s="254"/>
      <c r="M683" s="254"/>
      <c r="N683" s="254"/>
      <c r="O683" s="254"/>
      <c r="P683" s="254"/>
      <c r="Q683" s="254"/>
      <c r="R683" s="254"/>
      <c r="S683" s="254"/>
      <c r="T683" s="254"/>
      <c r="U683" s="254"/>
      <c r="V683" s="254"/>
      <c r="W683" s="254"/>
      <c r="X683" s="254"/>
      <c r="Y683" s="254"/>
      <c r="Z683" s="254"/>
      <c r="AA683" s="254"/>
      <c r="AB683" s="254"/>
      <c r="AC683" s="254"/>
    </row>
    <row r="684" ht="12.75" customHeight="1" spans="1:29">
      <c r="A684" s="254"/>
      <c r="B684" s="254"/>
      <c r="C684" s="254"/>
      <c r="D684" s="276"/>
      <c r="E684" s="254"/>
      <c r="F684" s="254"/>
      <c r="G684" s="254"/>
      <c r="H684" s="254"/>
      <c r="I684" s="254"/>
      <c r="J684" s="254"/>
      <c r="K684" s="254"/>
      <c r="L684" s="254"/>
      <c r="M684" s="254"/>
      <c r="N684" s="254"/>
      <c r="O684" s="254"/>
      <c r="P684" s="254"/>
      <c r="Q684" s="254"/>
      <c r="R684" s="254"/>
      <c r="S684" s="254"/>
      <c r="T684" s="254"/>
      <c r="U684" s="254"/>
      <c r="V684" s="254"/>
      <c r="W684" s="254"/>
      <c r="X684" s="254"/>
      <c r="Y684" s="254"/>
      <c r="Z684" s="254"/>
      <c r="AA684" s="254"/>
      <c r="AB684" s="254"/>
      <c r="AC684" s="254"/>
    </row>
    <row r="685" ht="12.75" customHeight="1" spans="1:29">
      <c r="A685" s="254"/>
      <c r="B685" s="254"/>
      <c r="C685" s="254"/>
      <c r="D685" s="276"/>
      <c r="E685" s="254"/>
      <c r="F685" s="254"/>
      <c r="G685" s="254"/>
      <c r="H685" s="254"/>
      <c r="I685" s="254"/>
      <c r="J685" s="254"/>
      <c r="K685" s="254"/>
      <c r="L685" s="254"/>
      <c r="M685" s="254"/>
      <c r="N685" s="254"/>
      <c r="O685" s="254"/>
      <c r="P685" s="254"/>
      <c r="Q685" s="254"/>
      <c r="R685" s="254"/>
      <c r="S685" s="254"/>
      <c r="T685" s="254"/>
      <c r="U685" s="254"/>
      <c r="V685" s="254"/>
      <c r="W685" s="254"/>
      <c r="X685" s="254"/>
      <c r="Y685" s="254"/>
      <c r="Z685" s="254"/>
      <c r="AA685" s="254"/>
      <c r="AB685" s="254"/>
      <c r="AC685" s="254"/>
    </row>
    <row r="686" ht="12.75" customHeight="1" spans="1:29">
      <c r="A686" s="254"/>
      <c r="B686" s="254"/>
      <c r="C686" s="254"/>
      <c r="D686" s="276"/>
      <c r="E686" s="254"/>
      <c r="F686" s="254"/>
      <c r="G686" s="254"/>
      <c r="H686" s="254"/>
      <c r="I686" s="254"/>
      <c r="J686" s="254"/>
      <c r="K686" s="254"/>
      <c r="L686" s="254"/>
      <c r="M686" s="254"/>
      <c r="N686" s="254"/>
      <c r="O686" s="254"/>
      <c r="P686" s="254"/>
      <c r="Q686" s="254"/>
      <c r="R686" s="254"/>
      <c r="S686" s="254"/>
      <c r="T686" s="254"/>
      <c r="U686" s="254"/>
      <c r="V686" s="254"/>
      <c r="W686" s="254"/>
      <c r="X686" s="254"/>
      <c r="Y686" s="254"/>
      <c r="Z686" s="254"/>
      <c r="AA686" s="254"/>
      <c r="AB686" s="254"/>
      <c r="AC686" s="254"/>
    </row>
    <row r="687" ht="12.75" customHeight="1" spans="1:29">
      <c r="A687" s="254"/>
      <c r="B687" s="254"/>
      <c r="C687" s="254"/>
      <c r="D687" s="276"/>
      <c r="E687" s="254"/>
      <c r="F687" s="254"/>
      <c r="G687" s="254"/>
      <c r="H687" s="254"/>
      <c r="I687" s="254"/>
      <c r="J687" s="254"/>
      <c r="K687" s="254"/>
      <c r="L687" s="254"/>
      <c r="M687" s="254"/>
      <c r="N687" s="254"/>
      <c r="O687" s="254"/>
      <c r="P687" s="254"/>
      <c r="Q687" s="254"/>
      <c r="R687" s="254"/>
      <c r="S687" s="254"/>
      <c r="T687" s="254"/>
      <c r="U687" s="254"/>
      <c r="V687" s="254"/>
      <c r="W687" s="254"/>
      <c r="X687" s="254"/>
      <c r="Y687" s="254"/>
      <c r="Z687" s="254"/>
      <c r="AA687" s="254"/>
      <c r="AB687" s="254"/>
      <c r="AC687" s="254"/>
    </row>
    <row r="688" ht="12.75" customHeight="1" spans="1:29">
      <c r="A688" s="254"/>
      <c r="B688" s="254"/>
      <c r="C688" s="254"/>
      <c r="D688" s="276"/>
      <c r="E688" s="254"/>
      <c r="F688" s="254"/>
      <c r="G688" s="254"/>
      <c r="H688" s="254"/>
      <c r="I688" s="254"/>
      <c r="J688" s="254"/>
      <c r="K688" s="254"/>
      <c r="L688" s="254"/>
      <c r="M688" s="254"/>
      <c r="N688" s="254"/>
      <c r="O688" s="254"/>
      <c r="P688" s="254"/>
      <c r="Q688" s="254"/>
      <c r="R688" s="254"/>
      <c r="S688" s="254"/>
      <c r="T688" s="254"/>
      <c r="U688" s="254"/>
      <c r="V688" s="254"/>
      <c r="W688" s="254"/>
      <c r="X688" s="254"/>
      <c r="Y688" s="254"/>
      <c r="Z688" s="254"/>
      <c r="AA688" s="254"/>
      <c r="AB688" s="254"/>
      <c r="AC688" s="254"/>
    </row>
    <row r="689" ht="12.75" customHeight="1" spans="1:29">
      <c r="A689" s="254"/>
      <c r="B689" s="254"/>
      <c r="C689" s="254"/>
      <c r="D689" s="276"/>
      <c r="E689" s="254"/>
      <c r="F689" s="254"/>
      <c r="G689" s="254"/>
      <c r="H689" s="254"/>
      <c r="I689" s="254"/>
      <c r="J689" s="254"/>
      <c r="K689" s="254"/>
      <c r="L689" s="254"/>
      <c r="M689" s="254"/>
      <c r="N689" s="254"/>
      <c r="O689" s="254"/>
      <c r="P689" s="254"/>
      <c r="Q689" s="254"/>
      <c r="R689" s="254"/>
      <c r="S689" s="254"/>
      <c r="T689" s="254"/>
      <c r="U689" s="254"/>
      <c r="V689" s="254"/>
      <c r="W689" s="254"/>
      <c r="X689" s="254"/>
      <c r="Y689" s="254"/>
      <c r="Z689" s="254"/>
      <c r="AA689" s="254"/>
      <c r="AB689" s="254"/>
      <c r="AC689" s="254"/>
    </row>
    <row r="690" ht="12.75" customHeight="1" spans="1:29">
      <c r="A690" s="254"/>
      <c r="B690" s="254"/>
      <c r="C690" s="254"/>
      <c r="D690" s="276"/>
      <c r="E690" s="254"/>
      <c r="F690" s="254"/>
      <c r="G690" s="254"/>
      <c r="H690" s="254"/>
      <c r="I690" s="254"/>
      <c r="J690" s="254"/>
      <c r="K690" s="254"/>
      <c r="L690" s="254"/>
      <c r="M690" s="254"/>
      <c r="N690" s="254"/>
      <c r="O690" s="254"/>
      <c r="P690" s="254"/>
      <c r="Q690" s="254"/>
      <c r="R690" s="254"/>
      <c r="S690" s="254"/>
      <c r="T690" s="254"/>
      <c r="U690" s="254"/>
      <c r="V690" s="254"/>
      <c r="W690" s="254"/>
      <c r="X690" s="254"/>
      <c r="Y690" s="254"/>
      <c r="Z690" s="254"/>
      <c r="AA690" s="254"/>
      <c r="AB690" s="254"/>
      <c r="AC690" s="254"/>
    </row>
    <row r="691" ht="12.75" customHeight="1" spans="1:29">
      <c r="A691" s="254"/>
      <c r="B691" s="254"/>
      <c r="C691" s="254"/>
      <c r="D691" s="276"/>
      <c r="E691" s="254"/>
      <c r="F691" s="254"/>
      <c r="G691" s="254"/>
      <c r="H691" s="254"/>
      <c r="I691" s="254"/>
      <c r="J691" s="254"/>
      <c r="K691" s="254"/>
      <c r="L691" s="254"/>
      <c r="M691" s="254"/>
      <c r="N691" s="254"/>
      <c r="O691" s="254"/>
      <c r="P691" s="254"/>
      <c r="Q691" s="254"/>
      <c r="R691" s="254"/>
      <c r="S691" s="254"/>
      <c r="T691" s="254"/>
      <c r="U691" s="254"/>
      <c r="V691" s="254"/>
      <c r="W691" s="254"/>
      <c r="X691" s="254"/>
      <c r="Y691" s="254"/>
      <c r="Z691" s="254"/>
      <c r="AA691" s="254"/>
      <c r="AB691" s="254"/>
      <c r="AC691" s="254"/>
    </row>
    <row r="692" ht="12.75" customHeight="1" spans="1:29">
      <c r="A692" s="254"/>
      <c r="B692" s="254"/>
      <c r="C692" s="254"/>
      <c r="D692" s="276"/>
      <c r="E692" s="254"/>
      <c r="F692" s="254"/>
      <c r="G692" s="254"/>
      <c r="H692" s="254"/>
      <c r="I692" s="254"/>
      <c r="J692" s="254"/>
      <c r="K692" s="254"/>
      <c r="L692" s="254"/>
      <c r="M692" s="254"/>
      <c r="N692" s="254"/>
      <c r="O692" s="254"/>
      <c r="P692" s="254"/>
      <c r="Q692" s="254"/>
      <c r="R692" s="254"/>
      <c r="S692" s="254"/>
      <c r="T692" s="254"/>
      <c r="U692" s="254"/>
      <c r="V692" s="254"/>
      <c r="W692" s="254"/>
      <c r="X692" s="254"/>
      <c r="Y692" s="254"/>
      <c r="Z692" s="254"/>
      <c r="AA692" s="254"/>
      <c r="AB692" s="254"/>
      <c r="AC692" s="254"/>
    </row>
    <row r="693" ht="12.75" customHeight="1" spans="1:29">
      <c r="A693" s="254"/>
      <c r="B693" s="254"/>
      <c r="C693" s="254"/>
      <c r="D693" s="276"/>
      <c r="E693" s="254"/>
      <c r="F693" s="254"/>
      <c r="G693" s="254"/>
      <c r="H693" s="254"/>
      <c r="I693" s="254"/>
      <c r="J693" s="254"/>
      <c r="K693" s="254"/>
      <c r="L693" s="254"/>
      <c r="M693" s="254"/>
      <c r="N693" s="254"/>
      <c r="O693" s="254"/>
      <c r="P693" s="254"/>
      <c r="Q693" s="254"/>
      <c r="R693" s="254"/>
      <c r="S693" s="254"/>
      <c r="T693" s="254"/>
      <c r="U693" s="254"/>
      <c r="V693" s="254"/>
      <c r="W693" s="254"/>
      <c r="X693" s="254"/>
      <c r="Y693" s="254"/>
      <c r="Z693" s="254"/>
      <c r="AA693" s="254"/>
      <c r="AB693" s="254"/>
      <c r="AC693" s="254"/>
    </row>
    <row r="694" ht="12.75" customHeight="1" spans="1:29">
      <c r="A694" s="254"/>
      <c r="B694" s="254"/>
      <c r="C694" s="254"/>
      <c r="D694" s="276"/>
      <c r="E694" s="254"/>
      <c r="F694" s="254"/>
      <c r="G694" s="254"/>
      <c r="H694" s="254"/>
      <c r="I694" s="254"/>
      <c r="J694" s="254"/>
      <c r="K694" s="254"/>
      <c r="L694" s="254"/>
      <c r="M694" s="254"/>
      <c r="N694" s="254"/>
      <c r="O694" s="254"/>
      <c r="P694" s="254"/>
      <c r="Q694" s="254"/>
      <c r="R694" s="254"/>
      <c r="S694" s="254"/>
      <c r="T694" s="254"/>
      <c r="U694" s="254"/>
      <c r="V694" s="254"/>
      <c r="W694" s="254"/>
      <c r="X694" s="254"/>
      <c r="Y694" s="254"/>
      <c r="Z694" s="254"/>
      <c r="AA694" s="254"/>
      <c r="AB694" s="254"/>
      <c r="AC694" s="254"/>
    </row>
    <row r="695" ht="12.75" customHeight="1" spans="1:29">
      <c r="A695" s="254"/>
      <c r="B695" s="254"/>
      <c r="C695" s="254"/>
      <c r="D695" s="276"/>
      <c r="E695" s="254"/>
      <c r="F695" s="254"/>
      <c r="G695" s="254"/>
      <c r="H695" s="254"/>
      <c r="I695" s="254"/>
      <c r="J695" s="254"/>
      <c r="K695" s="254"/>
      <c r="L695" s="254"/>
      <c r="M695" s="254"/>
      <c r="N695" s="254"/>
      <c r="O695" s="254"/>
      <c r="P695" s="254"/>
      <c r="Q695" s="254"/>
      <c r="R695" s="254"/>
      <c r="S695" s="254"/>
      <c r="T695" s="254"/>
      <c r="U695" s="254"/>
      <c r="V695" s="254"/>
      <c r="W695" s="254"/>
      <c r="X695" s="254"/>
      <c r="Y695" s="254"/>
      <c r="Z695" s="254"/>
      <c r="AA695" s="254"/>
      <c r="AB695" s="254"/>
      <c r="AC695" s="254"/>
    </row>
    <row r="696" ht="12.75" customHeight="1" spans="1:29">
      <c r="A696" s="254"/>
      <c r="B696" s="254"/>
      <c r="C696" s="254"/>
      <c r="D696" s="276"/>
      <c r="E696" s="254"/>
      <c r="F696" s="254"/>
      <c r="G696" s="254"/>
      <c r="H696" s="254"/>
      <c r="I696" s="254"/>
      <c r="J696" s="254"/>
      <c r="K696" s="254"/>
      <c r="L696" s="254"/>
      <c r="M696" s="254"/>
      <c r="N696" s="254"/>
      <c r="O696" s="254"/>
      <c r="P696" s="254"/>
      <c r="Q696" s="254"/>
      <c r="R696" s="254"/>
      <c r="S696" s="254"/>
      <c r="T696" s="254"/>
      <c r="U696" s="254"/>
      <c r="V696" s="254"/>
      <c r="W696" s="254"/>
      <c r="X696" s="254"/>
      <c r="Y696" s="254"/>
      <c r="Z696" s="254"/>
      <c r="AA696" s="254"/>
      <c r="AB696" s="254"/>
      <c r="AC696" s="254"/>
    </row>
    <row r="697" ht="12.75" customHeight="1" spans="1:29">
      <c r="A697" s="254"/>
      <c r="B697" s="254"/>
      <c r="C697" s="254"/>
      <c r="D697" s="276"/>
      <c r="E697" s="254"/>
      <c r="F697" s="254"/>
      <c r="G697" s="254"/>
      <c r="H697" s="254"/>
      <c r="I697" s="254"/>
      <c r="J697" s="254"/>
      <c r="K697" s="254"/>
      <c r="L697" s="254"/>
      <c r="M697" s="254"/>
      <c r="N697" s="254"/>
      <c r="O697" s="254"/>
      <c r="P697" s="254"/>
      <c r="Q697" s="254"/>
      <c r="R697" s="254"/>
      <c r="S697" s="254"/>
      <c r="T697" s="254"/>
      <c r="U697" s="254"/>
      <c r="V697" s="254"/>
      <c r="W697" s="254"/>
      <c r="X697" s="254"/>
      <c r="Y697" s="254"/>
      <c r="Z697" s="254"/>
      <c r="AA697" s="254"/>
      <c r="AB697" s="254"/>
      <c r="AC697" s="254"/>
    </row>
    <row r="698" ht="12.75" customHeight="1" spans="1:29">
      <c r="A698" s="254"/>
      <c r="B698" s="254"/>
      <c r="C698" s="254"/>
      <c r="D698" s="276"/>
      <c r="E698" s="254"/>
      <c r="F698" s="254"/>
      <c r="G698" s="254"/>
      <c r="H698" s="254"/>
      <c r="I698" s="254"/>
      <c r="J698" s="254"/>
      <c r="K698" s="254"/>
      <c r="L698" s="254"/>
      <c r="M698" s="254"/>
      <c r="N698" s="254"/>
      <c r="O698" s="254"/>
      <c r="P698" s="254"/>
      <c r="Q698" s="254"/>
      <c r="R698" s="254"/>
      <c r="S698" s="254"/>
      <c r="T698" s="254"/>
      <c r="U698" s="254"/>
      <c r="V698" s="254"/>
      <c r="W698" s="254"/>
      <c r="X698" s="254"/>
      <c r="Y698" s="254"/>
      <c r="Z698" s="254"/>
      <c r="AA698" s="254"/>
      <c r="AB698" s="254"/>
      <c r="AC698" s="254"/>
    </row>
    <row r="699" ht="12.75" customHeight="1" spans="1:29">
      <c r="A699" s="254"/>
      <c r="B699" s="254"/>
      <c r="C699" s="254"/>
      <c r="D699" s="276"/>
      <c r="E699" s="254"/>
      <c r="F699" s="254"/>
      <c r="G699" s="254"/>
      <c r="H699" s="254"/>
      <c r="I699" s="254"/>
      <c r="J699" s="254"/>
      <c r="K699" s="254"/>
      <c r="L699" s="254"/>
      <c r="M699" s="254"/>
      <c r="N699" s="254"/>
      <c r="O699" s="254"/>
      <c r="P699" s="254"/>
      <c r="Q699" s="254"/>
      <c r="R699" s="254"/>
      <c r="S699" s="254"/>
      <c r="T699" s="254"/>
      <c r="U699" s="254"/>
      <c r="V699" s="254"/>
      <c r="W699" s="254"/>
      <c r="X699" s="254"/>
      <c r="Y699" s="254"/>
      <c r="Z699" s="254"/>
      <c r="AA699" s="254"/>
      <c r="AB699" s="254"/>
      <c r="AC699" s="254"/>
    </row>
    <row r="700" ht="12.75" customHeight="1" spans="1:29">
      <c r="A700" s="254"/>
      <c r="B700" s="254"/>
      <c r="C700" s="254"/>
      <c r="D700" s="276"/>
      <c r="E700" s="254"/>
      <c r="F700" s="254"/>
      <c r="G700" s="254"/>
      <c r="H700" s="254"/>
      <c r="I700" s="254"/>
      <c r="J700" s="254"/>
      <c r="K700" s="254"/>
      <c r="L700" s="254"/>
      <c r="M700" s="254"/>
      <c r="N700" s="254"/>
      <c r="O700" s="254"/>
      <c r="P700" s="254"/>
      <c r="Q700" s="254"/>
      <c r="R700" s="254"/>
      <c r="S700" s="254"/>
      <c r="T700" s="254"/>
      <c r="U700" s="254"/>
      <c r="V700" s="254"/>
      <c r="W700" s="254"/>
      <c r="X700" s="254"/>
      <c r="Y700" s="254"/>
      <c r="Z700" s="254"/>
      <c r="AA700" s="254"/>
      <c r="AB700" s="254"/>
      <c r="AC700" s="254"/>
    </row>
    <row r="701" ht="12.75" customHeight="1" spans="1:29">
      <c r="A701" s="254"/>
      <c r="B701" s="254"/>
      <c r="C701" s="254"/>
      <c r="D701" s="276"/>
      <c r="E701" s="254"/>
      <c r="F701" s="254"/>
      <c r="G701" s="254"/>
      <c r="H701" s="254"/>
      <c r="I701" s="254"/>
      <c r="J701" s="254"/>
      <c r="K701" s="254"/>
      <c r="L701" s="254"/>
      <c r="M701" s="254"/>
      <c r="N701" s="254"/>
      <c r="O701" s="254"/>
      <c r="P701" s="254"/>
      <c r="Q701" s="254"/>
      <c r="R701" s="254"/>
      <c r="S701" s="254"/>
      <c r="T701" s="254"/>
      <c r="U701" s="254"/>
      <c r="V701" s="254"/>
      <c r="W701" s="254"/>
      <c r="X701" s="254"/>
      <c r="Y701" s="254"/>
      <c r="Z701" s="254"/>
      <c r="AA701" s="254"/>
      <c r="AB701" s="254"/>
      <c r="AC701" s="254"/>
    </row>
    <row r="702" ht="12.75" customHeight="1" spans="1:29">
      <c r="A702" s="254"/>
      <c r="B702" s="254"/>
      <c r="C702" s="254"/>
      <c r="D702" s="276"/>
      <c r="E702" s="254"/>
      <c r="F702" s="254"/>
      <c r="G702" s="254"/>
      <c r="H702" s="254"/>
      <c r="I702" s="254"/>
      <c r="J702" s="254"/>
      <c r="K702" s="254"/>
      <c r="L702" s="254"/>
      <c r="M702" s="254"/>
      <c r="N702" s="254"/>
      <c r="O702" s="254"/>
      <c r="P702" s="254"/>
      <c r="Q702" s="254"/>
      <c r="R702" s="254"/>
      <c r="S702" s="254"/>
      <c r="T702" s="254"/>
      <c r="U702" s="254"/>
      <c r="V702" s="254"/>
      <c r="W702" s="254"/>
      <c r="X702" s="254"/>
      <c r="Y702" s="254"/>
      <c r="Z702" s="254"/>
      <c r="AA702" s="254"/>
      <c r="AB702" s="254"/>
      <c r="AC702" s="254"/>
    </row>
    <row r="703" ht="12.75" customHeight="1" spans="1:29">
      <c r="A703" s="254"/>
      <c r="B703" s="254"/>
      <c r="C703" s="254"/>
      <c r="D703" s="276"/>
      <c r="E703" s="254"/>
      <c r="F703" s="254"/>
      <c r="G703" s="254"/>
      <c r="H703" s="254"/>
      <c r="I703" s="254"/>
      <c r="J703" s="254"/>
      <c r="K703" s="254"/>
      <c r="L703" s="254"/>
      <c r="M703" s="254"/>
      <c r="N703" s="254"/>
      <c r="O703" s="254"/>
      <c r="P703" s="254"/>
      <c r="Q703" s="254"/>
      <c r="R703" s="254"/>
      <c r="S703" s="254"/>
      <c r="T703" s="254"/>
      <c r="U703" s="254"/>
      <c r="V703" s="254"/>
      <c r="W703" s="254"/>
      <c r="X703" s="254"/>
      <c r="Y703" s="254"/>
      <c r="Z703" s="254"/>
      <c r="AA703" s="254"/>
      <c r="AB703" s="254"/>
      <c r="AC703" s="254"/>
    </row>
    <row r="704" ht="12.75" customHeight="1" spans="1:29">
      <c r="A704" s="254"/>
      <c r="B704" s="254"/>
      <c r="C704" s="254"/>
      <c r="D704" s="276"/>
      <c r="E704" s="254"/>
      <c r="F704" s="254"/>
      <c r="G704" s="254"/>
      <c r="H704" s="254"/>
      <c r="I704" s="254"/>
      <c r="J704" s="254"/>
      <c r="K704" s="254"/>
      <c r="L704" s="254"/>
      <c r="M704" s="254"/>
      <c r="N704" s="254"/>
      <c r="O704" s="254"/>
      <c r="P704" s="254"/>
      <c r="Q704" s="254"/>
      <c r="R704" s="254"/>
      <c r="S704" s="254"/>
      <c r="T704" s="254"/>
      <c r="U704" s="254"/>
      <c r="V704" s="254"/>
      <c r="W704" s="254"/>
      <c r="X704" s="254"/>
      <c r="Y704" s="254"/>
      <c r="Z704" s="254"/>
      <c r="AA704" s="254"/>
      <c r="AB704" s="254"/>
      <c r="AC704" s="254"/>
    </row>
    <row r="705" ht="12.75" customHeight="1" spans="1:29">
      <c r="A705" s="254"/>
      <c r="B705" s="254"/>
      <c r="C705" s="254"/>
      <c r="D705" s="276"/>
      <c r="E705" s="254"/>
      <c r="F705" s="254"/>
      <c r="G705" s="254"/>
      <c r="H705" s="254"/>
      <c r="I705" s="254"/>
      <c r="J705" s="254"/>
      <c r="K705" s="254"/>
      <c r="L705" s="254"/>
      <c r="M705" s="254"/>
      <c r="N705" s="254"/>
      <c r="O705" s="254"/>
      <c r="P705" s="254"/>
      <c r="Q705" s="254"/>
      <c r="R705" s="254"/>
      <c r="S705" s="254"/>
      <c r="T705" s="254"/>
      <c r="U705" s="254"/>
      <c r="V705" s="254"/>
      <c r="W705" s="254"/>
      <c r="X705" s="254"/>
      <c r="Y705" s="254"/>
      <c r="Z705" s="254"/>
      <c r="AA705" s="254"/>
      <c r="AB705" s="254"/>
      <c r="AC705" s="254"/>
    </row>
    <row r="706" ht="12.75" customHeight="1" spans="1:29">
      <c r="A706" s="254"/>
      <c r="B706" s="254"/>
      <c r="C706" s="254"/>
      <c r="D706" s="276"/>
      <c r="E706" s="254"/>
      <c r="F706" s="254"/>
      <c r="G706" s="254"/>
      <c r="H706" s="254"/>
      <c r="I706" s="254"/>
      <c r="J706" s="254"/>
      <c r="K706" s="254"/>
      <c r="L706" s="254"/>
      <c r="M706" s="254"/>
      <c r="N706" s="254"/>
      <c r="O706" s="254"/>
      <c r="P706" s="254"/>
      <c r="Q706" s="254"/>
      <c r="R706" s="254"/>
      <c r="S706" s="254"/>
      <c r="T706" s="254"/>
      <c r="U706" s="254"/>
      <c r="V706" s="254"/>
      <c r="W706" s="254"/>
      <c r="X706" s="254"/>
      <c r="Y706" s="254"/>
      <c r="Z706" s="254"/>
      <c r="AA706" s="254"/>
      <c r="AB706" s="254"/>
      <c r="AC706" s="254"/>
    </row>
    <row r="707" ht="12.75" customHeight="1" spans="1:29">
      <c r="A707" s="254"/>
      <c r="B707" s="254"/>
      <c r="C707" s="254"/>
      <c r="D707" s="276"/>
      <c r="E707" s="254"/>
      <c r="F707" s="254"/>
      <c r="G707" s="254"/>
      <c r="H707" s="254"/>
      <c r="I707" s="254"/>
      <c r="J707" s="254"/>
      <c r="K707" s="254"/>
      <c r="L707" s="254"/>
      <c r="M707" s="254"/>
      <c r="N707" s="254"/>
      <c r="O707" s="254"/>
      <c r="P707" s="254"/>
      <c r="Q707" s="254"/>
      <c r="R707" s="254"/>
      <c r="S707" s="254"/>
      <c r="T707" s="254"/>
      <c r="U707" s="254"/>
      <c r="V707" s="254"/>
      <c r="W707" s="254"/>
      <c r="X707" s="254"/>
      <c r="Y707" s="254"/>
      <c r="Z707" s="254"/>
      <c r="AA707" s="254"/>
      <c r="AB707" s="254"/>
      <c r="AC707" s="254"/>
    </row>
    <row r="708" ht="12.75" customHeight="1" spans="1:29">
      <c r="A708" s="254"/>
      <c r="B708" s="254"/>
      <c r="C708" s="254"/>
      <c r="D708" s="276"/>
      <c r="E708" s="254"/>
      <c r="F708" s="254"/>
      <c r="G708" s="254"/>
      <c r="H708" s="254"/>
      <c r="I708" s="254"/>
      <c r="J708" s="254"/>
      <c r="K708" s="254"/>
      <c r="L708" s="254"/>
      <c r="M708" s="254"/>
      <c r="N708" s="254"/>
      <c r="O708" s="254"/>
      <c r="P708" s="254"/>
      <c r="Q708" s="254"/>
      <c r="R708" s="254"/>
      <c r="S708" s="254"/>
      <c r="T708" s="254"/>
      <c r="U708" s="254"/>
      <c r="V708" s="254"/>
      <c r="W708" s="254"/>
      <c r="X708" s="254"/>
      <c r="Y708" s="254"/>
      <c r="Z708" s="254"/>
      <c r="AA708" s="254"/>
      <c r="AB708" s="254"/>
      <c r="AC708" s="254"/>
    </row>
    <row r="709" ht="12.75" customHeight="1" spans="1:29">
      <c r="A709" s="254"/>
      <c r="B709" s="254"/>
      <c r="C709" s="254"/>
      <c r="D709" s="276"/>
      <c r="E709" s="254"/>
      <c r="F709" s="254"/>
      <c r="G709" s="254"/>
      <c r="H709" s="254"/>
      <c r="I709" s="254"/>
      <c r="J709" s="254"/>
      <c r="K709" s="254"/>
      <c r="L709" s="254"/>
      <c r="M709" s="254"/>
      <c r="N709" s="254"/>
      <c r="O709" s="254"/>
      <c r="P709" s="254"/>
      <c r="Q709" s="254"/>
      <c r="R709" s="254"/>
      <c r="S709" s="254"/>
      <c r="T709" s="254"/>
      <c r="U709" s="254"/>
      <c r="V709" s="254"/>
      <c r="W709" s="254"/>
      <c r="X709" s="254"/>
      <c r="Y709" s="254"/>
      <c r="Z709" s="254"/>
      <c r="AA709" s="254"/>
      <c r="AB709" s="254"/>
      <c r="AC709" s="254"/>
    </row>
    <row r="710" ht="12.75" customHeight="1" spans="1:29">
      <c r="A710" s="254"/>
      <c r="B710" s="254"/>
      <c r="C710" s="254"/>
      <c r="D710" s="276"/>
      <c r="E710" s="254"/>
      <c r="F710" s="254"/>
      <c r="G710" s="254"/>
      <c r="H710" s="254"/>
      <c r="I710" s="254"/>
      <c r="J710" s="254"/>
      <c r="K710" s="254"/>
      <c r="L710" s="254"/>
      <c r="M710" s="254"/>
      <c r="N710" s="254"/>
      <c r="O710" s="254"/>
      <c r="P710" s="254"/>
      <c r="Q710" s="254"/>
      <c r="R710" s="254"/>
      <c r="S710" s="254"/>
      <c r="T710" s="254"/>
      <c r="U710" s="254"/>
      <c r="V710" s="254"/>
      <c r="W710" s="254"/>
      <c r="X710" s="254"/>
      <c r="Y710" s="254"/>
      <c r="Z710" s="254"/>
      <c r="AA710" s="254"/>
      <c r="AB710" s="254"/>
      <c r="AC710" s="254"/>
    </row>
    <row r="711" ht="12.75" customHeight="1" spans="1:29">
      <c r="A711" s="254"/>
      <c r="B711" s="254"/>
      <c r="C711" s="254"/>
      <c r="D711" s="276"/>
      <c r="E711" s="254"/>
      <c r="F711" s="254"/>
      <c r="G711" s="254"/>
      <c r="H711" s="254"/>
      <c r="I711" s="254"/>
      <c r="J711" s="254"/>
      <c r="K711" s="254"/>
      <c r="L711" s="254"/>
      <c r="M711" s="254"/>
      <c r="N711" s="254"/>
      <c r="O711" s="254"/>
      <c r="P711" s="254"/>
      <c r="Q711" s="254"/>
      <c r="R711" s="254"/>
      <c r="S711" s="254"/>
      <c r="T711" s="254"/>
      <c r="U711" s="254"/>
      <c r="V711" s="254"/>
      <c r="W711" s="254"/>
      <c r="X711" s="254"/>
      <c r="Y711" s="254"/>
      <c r="Z711" s="254"/>
      <c r="AA711" s="254"/>
      <c r="AB711" s="254"/>
      <c r="AC711" s="254"/>
    </row>
    <row r="712" ht="12.75" customHeight="1" spans="1:29">
      <c r="A712" s="254"/>
      <c r="B712" s="254"/>
      <c r="C712" s="254"/>
      <c r="D712" s="276"/>
      <c r="E712" s="254"/>
      <c r="F712" s="254"/>
      <c r="G712" s="254"/>
      <c r="H712" s="254"/>
      <c r="I712" s="254"/>
      <c r="J712" s="254"/>
      <c r="K712" s="254"/>
      <c r="L712" s="254"/>
      <c r="M712" s="254"/>
      <c r="N712" s="254"/>
      <c r="O712" s="254"/>
      <c r="P712" s="254"/>
      <c r="Q712" s="254"/>
      <c r="R712" s="254"/>
      <c r="S712" s="254"/>
      <c r="T712" s="254"/>
      <c r="U712" s="254"/>
      <c r="V712" s="254"/>
      <c r="W712" s="254"/>
      <c r="X712" s="254"/>
      <c r="Y712" s="254"/>
      <c r="Z712" s="254"/>
      <c r="AA712" s="254"/>
      <c r="AB712" s="254"/>
      <c r="AC712" s="254"/>
    </row>
    <row r="713" ht="12.75" customHeight="1" spans="1:29">
      <c r="A713" s="254"/>
      <c r="B713" s="254"/>
      <c r="C713" s="254"/>
      <c r="D713" s="276"/>
      <c r="E713" s="254"/>
      <c r="F713" s="254"/>
      <c r="G713" s="254"/>
      <c r="H713" s="254"/>
      <c r="I713" s="254"/>
      <c r="J713" s="254"/>
      <c r="K713" s="254"/>
      <c r="L713" s="254"/>
      <c r="M713" s="254"/>
      <c r="N713" s="254"/>
      <c r="O713" s="254"/>
      <c r="P713" s="254"/>
      <c r="Q713" s="254"/>
      <c r="R713" s="254"/>
      <c r="S713" s="254"/>
      <c r="T713" s="254"/>
      <c r="U713" s="254"/>
      <c r="V713" s="254"/>
      <c r="W713" s="254"/>
      <c r="X713" s="254"/>
      <c r="Y713" s="254"/>
      <c r="Z713" s="254"/>
      <c r="AA713" s="254"/>
      <c r="AB713" s="254"/>
      <c r="AC713" s="254"/>
    </row>
    <row r="714" ht="12.75" customHeight="1" spans="1:29">
      <c r="A714" s="254"/>
      <c r="B714" s="254"/>
      <c r="C714" s="254"/>
      <c r="D714" s="276"/>
      <c r="E714" s="254"/>
      <c r="F714" s="254"/>
      <c r="G714" s="254"/>
      <c r="H714" s="254"/>
      <c r="I714" s="254"/>
      <c r="J714" s="254"/>
      <c r="K714" s="254"/>
      <c r="L714" s="254"/>
      <c r="M714" s="254"/>
      <c r="N714" s="254"/>
      <c r="O714" s="254"/>
      <c r="P714" s="254"/>
      <c r="Q714" s="254"/>
      <c r="R714" s="254"/>
      <c r="S714" s="254"/>
      <c r="T714" s="254"/>
      <c r="U714" s="254"/>
      <c r="V714" s="254"/>
      <c r="W714" s="254"/>
      <c r="X714" s="254"/>
      <c r="Y714" s="254"/>
      <c r="Z714" s="254"/>
      <c r="AA714" s="254"/>
      <c r="AB714" s="254"/>
      <c r="AC714" s="254"/>
    </row>
    <row r="715" ht="12.75" customHeight="1" spans="1:29">
      <c r="A715" s="254"/>
      <c r="B715" s="254"/>
      <c r="C715" s="254"/>
      <c r="D715" s="276"/>
      <c r="E715" s="254"/>
      <c r="F715" s="254"/>
      <c r="G715" s="254"/>
      <c r="H715" s="254"/>
      <c r="I715" s="254"/>
      <c r="J715" s="254"/>
      <c r="K715" s="254"/>
      <c r="L715" s="254"/>
      <c r="M715" s="254"/>
      <c r="N715" s="254"/>
      <c r="O715" s="254"/>
      <c r="P715" s="254"/>
      <c r="Q715" s="254"/>
      <c r="R715" s="254"/>
      <c r="S715" s="254"/>
      <c r="T715" s="254"/>
      <c r="U715" s="254"/>
      <c r="V715" s="254"/>
      <c r="W715" s="254"/>
      <c r="X715" s="254"/>
      <c r="Y715" s="254"/>
      <c r="Z715" s="254"/>
      <c r="AA715" s="254"/>
      <c r="AB715" s="254"/>
      <c r="AC715" s="254"/>
    </row>
    <row r="716" ht="12.75" customHeight="1" spans="1:29">
      <c r="A716" s="254"/>
      <c r="B716" s="254"/>
      <c r="C716" s="254"/>
      <c r="D716" s="276"/>
      <c r="E716" s="254"/>
      <c r="F716" s="254"/>
      <c r="G716" s="254"/>
      <c r="H716" s="254"/>
      <c r="I716" s="254"/>
      <c r="J716" s="254"/>
      <c r="K716" s="254"/>
      <c r="L716" s="254"/>
      <c r="M716" s="254"/>
      <c r="N716" s="254"/>
      <c r="O716" s="254"/>
      <c r="P716" s="254"/>
      <c r="Q716" s="254"/>
      <c r="R716" s="254"/>
      <c r="S716" s="254"/>
      <c r="T716" s="254"/>
      <c r="U716" s="254"/>
      <c r="V716" s="254"/>
      <c r="W716" s="254"/>
      <c r="X716" s="254"/>
      <c r="Y716" s="254"/>
      <c r="Z716" s="254"/>
      <c r="AA716" s="254"/>
      <c r="AB716" s="254"/>
      <c r="AC716" s="254"/>
    </row>
    <row r="717" ht="12.75" customHeight="1" spans="1:29">
      <c r="A717" s="254"/>
      <c r="B717" s="254"/>
      <c r="C717" s="254"/>
      <c r="D717" s="276"/>
      <c r="E717" s="254"/>
      <c r="F717" s="254"/>
      <c r="G717" s="254"/>
      <c r="H717" s="254"/>
      <c r="I717" s="254"/>
      <c r="J717" s="254"/>
      <c r="K717" s="254"/>
      <c r="L717" s="254"/>
      <c r="M717" s="254"/>
      <c r="N717" s="254"/>
      <c r="O717" s="254"/>
      <c r="P717" s="254"/>
      <c r="Q717" s="254"/>
      <c r="R717" s="254"/>
      <c r="S717" s="254"/>
      <c r="T717" s="254"/>
      <c r="U717" s="254"/>
      <c r="V717" s="254"/>
      <c r="W717" s="254"/>
      <c r="X717" s="254"/>
      <c r="Y717" s="254"/>
      <c r="Z717" s="254"/>
      <c r="AA717" s="254"/>
      <c r="AB717" s="254"/>
      <c r="AC717" s="254"/>
    </row>
    <row r="718" ht="12.75" customHeight="1" spans="1:29">
      <c r="A718" s="254"/>
      <c r="B718" s="254"/>
      <c r="C718" s="254"/>
      <c r="D718" s="276"/>
      <c r="E718" s="254"/>
      <c r="F718" s="254"/>
      <c r="G718" s="254"/>
      <c r="H718" s="254"/>
      <c r="I718" s="254"/>
      <c r="J718" s="254"/>
      <c r="K718" s="254"/>
      <c r="L718" s="254"/>
      <c r="M718" s="254"/>
      <c r="N718" s="254"/>
      <c r="O718" s="254"/>
      <c r="P718" s="254"/>
      <c r="Q718" s="254"/>
      <c r="R718" s="254"/>
      <c r="S718" s="254"/>
      <c r="T718" s="254"/>
      <c r="U718" s="254"/>
      <c r="V718" s="254"/>
      <c r="W718" s="254"/>
      <c r="X718" s="254"/>
      <c r="Y718" s="254"/>
      <c r="Z718" s="254"/>
      <c r="AA718" s="254"/>
      <c r="AB718" s="254"/>
      <c r="AC718" s="254"/>
    </row>
    <row r="719" ht="12.75" customHeight="1" spans="1:29">
      <c r="A719" s="254"/>
      <c r="B719" s="254"/>
      <c r="C719" s="254"/>
      <c r="D719" s="276"/>
      <c r="E719" s="254"/>
      <c r="F719" s="254"/>
      <c r="G719" s="254"/>
      <c r="H719" s="254"/>
      <c r="I719" s="254"/>
      <c r="J719" s="254"/>
      <c r="K719" s="254"/>
      <c r="L719" s="254"/>
      <c r="M719" s="254"/>
      <c r="N719" s="254"/>
      <c r="O719" s="254"/>
      <c r="P719" s="254"/>
      <c r="Q719" s="254"/>
      <c r="R719" s="254"/>
      <c r="S719" s="254"/>
      <c r="T719" s="254"/>
      <c r="U719" s="254"/>
      <c r="V719" s="254"/>
      <c r="W719" s="254"/>
      <c r="X719" s="254"/>
      <c r="Y719" s="254"/>
      <c r="Z719" s="254"/>
      <c r="AA719" s="254"/>
      <c r="AB719" s="254"/>
      <c r="AC719" s="254"/>
    </row>
    <row r="720" ht="12.75" customHeight="1" spans="1:29">
      <c r="A720" s="254"/>
      <c r="B720" s="254"/>
      <c r="C720" s="254"/>
      <c r="D720" s="276"/>
      <c r="E720" s="254"/>
      <c r="F720" s="254"/>
      <c r="G720" s="254"/>
      <c r="H720" s="254"/>
      <c r="I720" s="254"/>
      <c r="J720" s="254"/>
      <c r="K720" s="254"/>
      <c r="L720" s="254"/>
      <c r="M720" s="254"/>
      <c r="N720" s="254"/>
      <c r="O720" s="254"/>
      <c r="P720" s="254"/>
      <c r="Q720" s="254"/>
      <c r="R720" s="254"/>
      <c r="S720" s="254"/>
      <c r="T720" s="254"/>
      <c r="U720" s="254"/>
      <c r="V720" s="254"/>
      <c r="W720" s="254"/>
      <c r="X720" s="254"/>
      <c r="Y720" s="254"/>
      <c r="Z720" s="254"/>
      <c r="AA720" s="254"/>
      <c r="AB720" s="254"/>
      <c r="AC720" s="254"/>
    </row>
    <row r="721" ht="12.75" customHeight="1" spans="1:29">
      <c r="A721" s="254"/>
      <c r="B721" s="254"/>
      <c r="C721" s="254"/>
      <c r="D721" s="276"/>
      <c r="E721" s="254"/>
      <c r="F721" s="254"/>
      <c r="G721" s="254"/>
      <c r="H721" s="254"/>
      <c r="I721" s="254"/>
      <c r="J721" s="254"/>
      <c r="K721" s="254"/>
      <c r="L721" s="254"/>
      <c r="M721" s="254"/>
      <c r="N721" s="254"/>
      <c r="O721" s="254"/>
      <c r="P721" s="254"/>
      <c r="Q721" s="254"/>
      <c r="R721" s="254"/>
      <c r="S721" s="254"/>
      <c r="T721" s="254"/>
      <c r="U721" s="254"/>
      <c r="V721" s="254"/>
      <c r="W721" s="254"/>
      <c r="X721" s="254"/>
      <c r="Y721" s="254"/>
      <c r="Z721" s="254"/>
      <c r="AA721" s="254"/>
      <c r="AB721" s="254"/>
      <c r="AC721" s="254"/>
    </row>
    <row r="722" ht="12.75" customHeight="1" spans="1:29">
      <c r="A722" s="254"/>
      <c r="B722" s="254"/>
      <c r="C722" s="254"/>
      <c r="D722" s="276"/>
      <c r="E722" s="254"/>
      <c r="F722" s="254"/>
      <c r="G722" s="254"/>
      <c r="H722" s="254"/>
      <c r="I722" s="254"/>
      <c r="J722" s="254"/>
      <c r="K722" s="254"/>
      <c r="L722" s="254"/>
      <c r="M722" s="254"/>
      <c r="N722" s="254"/>
      <c r="O722" s="254"/>
      <c r="P722" s="254"/>
      <c r="Q722" s="254"/>
      <c r="R722" s="254"/>
      <c r="S722" s="254"/>
      <c r="T722" s="254"/>
      <c r="U722" s="254"/>
      <c r="V722" s="254"/>
      <c r="W722" s="254"/>
      <c r="X722" s="254"/>
      <c r="Y722" s="254"/>
      <c r="Z722" s="254"/>
      <c r="AA722" s="254"/>
      <c r="AB722" s="254"/>
      <c r="AC722" s="254"/>
    </row>
    <row r="723" ht="12.75" customHeight="1" spans="1:29">
      <c r="A723" s="254"/>
      <c r="B723" s="254"/>
      <c r="C723" s="254"/>
      <c r="D723" s="276"/>
      <c r="E723" s="254"/>
      <c r="F723" s="254"/>
      <c r="G723" s="254"/>
      <c r="H723" s="254"/>
      <c r="I723" s="254"/>
      <c r="J723" s="254"/>
      <c r="K723" s="254"/>
      <c r="L723" s="254"/>
      <c r="M723" s="254"/>
      <c r="N723" s="254"/>
      <c r="O723" s="254"/>
      <c r="P723" s="254"/>
      <c r="Q723" s="254"/>
      <c r="R723" s="254"/>
      <c r="S723" s="254"/>
      <c r="T723" s="254"/>
      <c r="U723" s="254"/>
      <c r="V723" s="254"/>
      <c r="W723" s="254"/>
      <c r="X723" s="254"/>
      <c r="Y723" s="254"/>
      <c r="Z723" s="254"/>
      <c r="AA723" s="254"/>
      <c r="AB723" s="254"/>
      <c r="AC723" s="254"/>
    </row>
    <row r="724" ht="12.75" customHeight="1" spans="1:29">
      <c r="A724" s="254"/>
      <c r="B724" s="254"/>
      <c r="C724" s="254"/>
      <c r="D724" s="276"/>
      <c r="E724" s="254"/>
      <c r="F724" s="254"/>
      <c r="G724" s="254"/>
      <c r="H724" s="254"/>
      <c r="I724" s="254"/>
      <c r="J724" s="254"/>
      <c r="K724" s="254"/>
      <c r="L724" s="254"/>
      <c r="M724" s="254"/>
      <c r="N724" s="254"/>
      <c r="O724" s="254"/>
      <c r="P724" s="254"/>
      <c r="Q724" s="254"/>
      <c r="R724" s="254"/>
      <c r="S724" s="254"/>
      <c r="T724" s="254"/>
      <c r="U724" s="254"/>
      <c r="V724" s="254"/>
      <c r="W724" s="254"/>
      <c r="X724" s="254"/>
      <c r="Y724" s="254"/>
      <c r="Z724" s="254"/>
      <c r="AA724" s="254"/>
      <c r="AB724" s="254"/>
      <c r="AC724" s="254"/>
    </row>
    <row r="725" ht="12.75" customHeight="1" spans="1:29">
      <c r="A725" s="254"/>
      <c r="B725" s="254"/>
      <c r="C725" s="254"/>
      <c r="D725" s="276"/>
      <c r="E725" s="254"/>
      <c r="F725" s="254"/>
      <c r="G725" s="254"/>
      <c r="H725" s="254"/>
      <c r="I725" s="254"/>
      <c r="J725" s="254"/>
      <c r="K725" s="254"/>
      <c r="L725" s="254"/>
      <c r="M725" s="254"/>
      <c r="N725" s="254"/>
      <c r="O725" s="254"/>
      <c r="P725" s="254"/>
      <c r="Q725" s="254"/>
      <c r="R725" s="254"/>
      <c r="S725" s="254"/>
      <c r="T725" s="254"/>
      <c r="U725" s="254"/>
      <c r="V725" s="254"/>
      <c r="W725" s="254"/>
      <c r="X725" s="254"/>
      <c r="Y725" s="254"/>
      <c r="Z725" s="254"/>
      <c r="AA725" s="254"/>
      <c r="AB725" s="254"/>
      <c r="AC725" s="254"/>
    </row>
    <row r="726" ht="12.75" customHeight="1" spans="1:29">
      <c r="A726" s="254"/>
      <c r="B726" s="254"/>
      <c r="C726" s="254"/>
      <c r="D726" s="276"/>
      <c r="E726" s="254"/>
      <c r="F726" s="254"/>
      <c r="G726" s="254"/>
      <c r="H726" s="254"/>
      <c r="I726" s="254"/>
      <c r="J726" s="254"/>
      <c r="K726" s="254"/>
      <c r="L726" s="254"/>
      <c r="M726" s="254"/>
      <c r="N726" s="254"/>
      <c r="O726" s="254"/>
      <c r="P726" s="254"/>
      <c r="Q726" s="254"/>
      <c r="R726" s="254"/>
      <c r="S726" s="254"/>
      <c r="T726" s="254"/>
      <c r="U726" s="254"/>
      <c r="V726" s="254"/>
      <c r="W726" s="254"/>
      <c r="X726" s="254"/>
      <c r="Y726" s="254"/>
      <c r="Z726" s="254"/>
      <c r="AA726" s="254"/>
      <c r="AB726" s="254"/>
      <c r="AC726" s="254"/>
    </row>
    <row r="727" ht="12.75" customHeight="1" spans="1:29">
      <c r="A727" s="254"/>
      <c r="B727" s="254"/>
      <c r="C727" s="254"/>
      <c r="D727" s="276"/>
      <c r="E727" s="254"/>
      <c r="F727" s="254"/>
      <c r="G727" s="254"/>
      <c r="H727" s="254"/>
      <c r="I727" s="254"/>
      <c r="J727" s="254"/>
      <c r="K727" s="254"/>
      <c r="L727" s="254"/>
      <c r="M727" s="254"/>
      <c r="N727" s="254"/>
      <c r="O727" s="254"/>
      <c r="P727" s="254"/>
      <c r="Q727" s="254"/>
      <c r="R727" s="254"/>
      <c r="S727" s="254"/>
      <c r="T727" s="254"/>
      <c r="U727" s="254"/>
      <c r="V727" s="254"/>
      <c r="W727" s="254"/>
      <c r="X727" s="254"/>
      <c r="Y727" s="254"/>
      <c r="Z727" s="254"/>
      <c r="AA727" s="254"/>
      <c r="AB727" s="254"/>
      <c r="AC727" s="254"/>
    </row>
    <row r="728" ht="12.75" customHeight="1" spans="1:29">
      <c r="A728" s="254"/>
      <c r="B728" s="254"/>
      <c r="C728" s="254"/>
      <c r="D728" s="276"/>
      <c r="E728" s="254"/>
      <c r="F728" s="254"/>
      <c r="G728" s="254"/>
      <c r="H728" s="254"/>
      <c r="I728" s="254"/>
      <c r="J728" s="254"/>
      <c r="K728" s="254"/>
      <c r="L728" s="254"/>
      <c r="M728" s="254"/>
      <c r="N728" s="254"/>
      <c r="O728" s="254"/>
      <c r="P728" s="254"/>
      <c r="Q728" s="254"/>
      <c r="R728" s="254"/>
      <c r="S728" s="254"/>
      <c r="T728" s="254"/>
      <c r="U728" s="254"/>
      <c r="V728" s="254"/>
      <c r="W728" s="254"/>
      <c r="X728" s="254"/>
      <c r="Y728" s="254"/>
      <c r="Z728" s="254"/>
      <c r="AA728" s="254"/>
      <c r="AB728" s="254"/>
      <c r="AC728" s="254"/>
    </row>
    <row r="729" ht="12.75" customHeight="1" spans="1:29">
      <c r="A729" s="254"/>
      <c r="B729" s="254"/>
      <c r="C729" s="254"/>
      <c r="D729" s="276"/>
      <c r="E729" s="254"/>
      <c r="F729" s="254"/>
      <c r="G729" s="254"/>
      <c r="H729" s="254"/>
      <c r="I729" s="254"/>
      <c r="J729" s="254"/>
      <c r="K729" s="254"/>
      <c r="L729" s="254"/>
      <c r="M729" s="254"/>
      <c r="N729" s="254"/>
      <c r="O729" s="254"/>
      <c r="P729" s="254"/>
      <c r="Q729" s="254"/>
      <c r="R729" s="254"/>
      <c r="S729" s="254"/>
      <c r="T729" s="254"/>
      <c r="U729" s="254"/>
      <c r="V729" s="254"/>
      <c r="W729" s="254"/>
      <c r="X729" s="254"/>
      <c r="Y729" s="254"/>
      <c r="Z729" s="254"/>
      <c r="AA729" s="254"/>
      <c r="AB729" s="254"/>
      <c r="AC729" s="254"/>
    </row>
    <row r="730" ht="12.75" customHeight="1" spans="1:29">
      <c r="A730" s="254"/>
      <c r="B730" s="254"/>
      <c r="C730" s="254"/>
      <c r="D730" s="276"/>
      <c r="E730" s="254"/>
      <c r="F730" s="254"/>
      <c r="G730" s="254"/>
      <c r="H730" s="254"/>
      <c r="I730" s="254"/>
      <c r="J730" s="254"/>
      <c r="K730" s="254"/>
      <c r="L730" s="254"/>
      <c r="M730" s="254"/>
      <c r="N730" s="254"/>
      <c r="O730" s="254"/>
      <c r="P730" s="254"/>
      <c r="Q730" s="254"/>
      <c r="R730" s="254"/>
      <c r="S730" s="254"/>
      <c r="T730" s="254"/>
      <c r="U730" s="254"/>
      <c r="V730" s="254"/>
      <c r="W730" s="254"/>
      <c r="X730" s="254"/>
      <c r="Y730" s="254"/>
      <c r="Z730" s="254"/>
      <c r="AA730" s="254"/>
      <c r="AB730" s="254"/>
      <c r="AC730" s="254"/>
    </row>
    <row r="731" ht="12.75" customHeight="1" spans="1:29">
      <c r="A731" s="254"/>
      <c r="B731" s="254"/>
      <c r="C731" s="254"/>
      <c r="D731" s="276"/>
      <c r="E731" s="254"/>
      <c r="F731" s="254"/>
      <c r="G731" s="254"/>
      <c r="H731" s="254"/>
      <c r="I731" s="254"/>
      <c r="J731" s="254"/>
      <c r="K731" s="254"/>
      <c r="L731" s="254"/>
      <c r="M731" s="254"/>
      <c r="N731" s="254"/>
      <c r="O731" s="254"/>
      <c r="P731" s="254"/>
      <c r="Q731" s="254"/>
      <c r="R731" s="254"/>
      <c r="S731" s="254"/>
      <c r="T731" s="254"/>
      <c r="U731" s="254"/>
      <c r="V731" s="254"/>
      <c r="W731" s="254"/>
      <c r="X731" s="254"/>
      <c r="Y731" s="254"/>
      <c r="Z731" s="254"/>
      <c r="AA731" s="254"/>
      <c r="AB731" s="254"/>
      <c r="AC731" s="254"/>
    </row>
    <row r="732" ht="12.75" customHeight="1" spans="1:29">
      <c r="A732" s="254"/>
      <c r="B732" s="254"/>
      <c r="C732" s="254"/>
      <c r="D732" s="276"/>
      <c r="E732" s="254"/>
      <c r="F732" s="254"/>
      <c r="G732" s="254"/>
      <c r="H732" s="254"/>
      <c r="I732" s="254"/>
      <c r="J732" s="254"/>
      <c r="K732" s="254"/>
      <c r="L732" s="254"/>
      <c r="M732" s="254"/>
      <c r="N732" s="254"/>
      <c r="O732" s="254"/>
      <c r="P732" s="254"/>
      <c r="Q732" s="254"/>
      <c r="R732" s="254"/>
      <c r="S732" s="254"/>
      <c r="T732" s="254"/>
      <c r="U732" s="254"/>
      <c r="V732" s="254"/>
      <c r="W732" s="254"/>
      <c r="X732" s="254"/>
      <c r="Y732" s="254"/>
      <c r="Z732" s="254"/>
      <c r="AA732" s="254"/>
      <c r="AB732" s="254"/>
      <c r="AC732" s="254"/>
    </row>
    <row r="733" ht="12.75" customHeight="1" spans="1:29">
      <c r="A733" s="254"/>
      <c r="B733" s="254"/>
      <c r="C733" s="254"/>
      <c r="D733" s="276"/>
      <c r="E733" s="254"/>
      <c r="F733" s="254"/>
      <c r="G733" s="254"/>
      <c r="H733" s="254"/>
      <c r="I733" s="254"/>
      <c r="J733" s="254"/>
      <c r="K733" s="254"/>
      <c r="L733" s="254"/>
      <c r="M733" s="254"/>
      <c r="N733" s="254"/>
      <c r="O733" s="254"/>
      <c r="P733" s="254"/>
      <c r="Q733" s="254"/>
      <c r="R733" s="254"/>
      <c r="S733" s="254"/>
      <c r="T733" s="254"/>
      <c r="U733" s="254"/>
      <c r="V733" s="254"/>
      <c r="W733" s="254"/>
      <c r="X733" s="254"/>
      <c r="Y733" s="254"/>
      <c r="Z733" s="254"/>
      <c r="AA733" s="254"/>
      <c r="AB733" s="254"/>
      <c r="AC733" s="254"/>
    </row>
    <row r="734" ht="12.75" customHeight="1" spans="1:29">
      <c r="A734" s="254"/>
      <c r="B734" s="254"/>
      <c r="C734" s="254"/>
      <c r="D734" s="276"/>
      <c r="E734" s="254"/>
      <c r="F734" s="254"/>
      <c r="G734" s="254"/>
      <c r="H734" s="254"/>
      <c r="I734" s="254"/>
      <c r="J734" s="254"/>
      <c r="K734" s="254"/>
      <c r="L734" s="254"/>
      <c r="M734" s="254"/>
      <c r="N734" s="254"/>
      <c r="O734" s="254"/>
      <c r="P734" s="254"/>
      <c r="Q734" s="254"/>
      <c r="R734" s="254"/>
      <c r="S734" s="254"/>
      <c r="T734" s="254"/>
      <c r="U734" s="254"/>
      <c r="V734" s="254"/>
      <c r="W734" s="254"/>
      <c r="X734" s="254"/>
      <c r="Y734" s="254"/>
      <c r="Z734" s="254"/>
      <c r="AA734" s="254"/>
      <c r="AB734" s="254"/>
      <c r="AC734" s="254"/>
    </row>
    <row r="735" ht="12.75" customHeight="1" spans="1:29">
      <c r="A735" s="254"/>
      <c r="B735" s="254"/>
      <c r="C735" s="254"/>
      <c r="D735" s="276"/>
      <c r="E735" s="254"/>
      <c r="F735" s="254"/>
      <c r="G735" s="254"/>
      <c r="H735" s="254"/>
      <c r="I735" s="254"/>
      <c r="J735" s="254"/>
      <c r="K735" s="254"/>
      <c r="L735" s="254"/>
      <c r="M735" s="254"/>
      <c r="N735" s="254"/>
      <c r="O735" s="254"/>
      <c r="P735" s="254"/>
      <c r="Q735" s="254"/>
      <c r="R735" s="254"/>
      <c r="S735" s="254"/>
      <c r="T735" s="254"/>
      <c r="U735" s="254"/>
      <c r="V735" s="254"/>
      <c r="W735" s="254"/>
      <c r="X735" s="254"/>
      <c r="Y735" s="254"/>
      <c r="Z735" s="254"/>
      <c r="AA735" s="254"/>
      <c r="AB735" s="254"/>
      <c r="AC735" s="254"/>
    </row>
    <row r="736" ht="12.75" customHeight="1" spans="1:29">
      <c r="A736" s="254"/>
      <c r="B736" s="254"/>
      <c r="C736" s="254"/>
      <c r="D736" s="276"/>
      <c r="E736" s="254"/>
      <c r="F736" s="254"/>
      <c r="G736" s="254"/>
      <c r="H736" s="254"/>
      <c r="I736" s="254"/>
      <c r="J736" s="254"/>
      <c r="K736" s="254"/>
      <c r="L736" s="254"/>
      <c r="M736" s="254"/>
      <c r="N736" s="254"/>
      <c r="O736" s="254"/>
      <c r="P736" s="254"/>
      <c r="Q736" s="254"/>
      <c r="R736" s="254"/>
      <c r="S736" s="254"/>
      <c r="T736" s="254"/>
      <c r="U736" s="254"/>
      <c r="V736" s="254"/>
      <c r="W736" s="254"/>
      <c r="X736" s="254"/>
      <c r="Y736" s="254"/>
      <c r="Z736" s="254"/>
      <c r="AA736" s="254"/>
      <c r="AB736" s="254"/>
      <c r="AC736" s="254"/>
    </row>
    <row r="737" ht="12.75" customHeight="1" spans="1:29">
      <c r="A737" s="254"/>
      <c r="B737" s="254"/>
      <c r="C737" s="254"/>
      <c r="D737" s="276"/>
      <c r="E737" s="254"/>
      <c r="F737" s="254"/>
      <c r="G737" s="254"/>
      <c r="H737" s="254"/>
      <c r="I737" s="254"/>
      <c r="J737" s="254"/>
      <c r="K737" s="254"/>
      <c r="L737" s="254"/>
      <c r="M737" s="254"/>
      <c r="N737" s="254"/>
      <c r="O737" s="254"/>
      <c r="P737" s="254"/>
      <c r="Q737" s="254"/>
      <c r="R737" s="254"/>
      <c r="S737" s="254"/>
      <c r="T737" s="254"/>
      <c r="U737" s="254"/>
      <c r="V737" s="254"/>
      <c r="W737" s="254"/>
      <c r="X737" s="254"/>
      <c r="Y737" s="254"/>
      <c r="Z737" s="254"/>
      <c r="AA737" s="254"/>
      <c r="AB737" s="254"/>
      <c r="AC737" s="254"/>
    </row>
    <row r="738" ht="12.75" customHeight="1" spans="1:29">
      <c r="A738" s="254"/>
      <c r="B738" s="254"/>
      <c r="C738" s="254"/>
      <c r="D738" s="276"/>
      <c r="E738" s="254"/>
      <c r="F738" s="254"/>
      <c r="G738" s="254"/>
      <c r="H738" s="254"/>
      <c r="I738" s="254"/>
      <c r="J738" s="254"/>
      <c r="K738" s="254"/>
      <c r="L738" s="254"/>
      <c r="M738" s="254"/>
      <c r="N738" s="254"/>
      <c r="O738" s="254"/>
      <c r="P738" s="254"/>
      <c r="Q738" s="254"/>
      <c r="R738" s="254"/>
      <c r="S738" s="254"/>
      <c r="T738" s="254"/>
      <c r="U738" s="254"/>
      <c r="V738" s="254"/>
      <c r="W738" s="254"/>
      <c r="X738" s="254"/>
      <c r="Y738" s="254"/>
      <c r="Z738" s="254"/>
      <c r="AA738" s="254"/>
      <c r="AB738" s="254"/>
      <c r="AC738" s="254"/>
    </row>
    <row r="739" ht="12.75" customHeight="1" spans="1:29">
      <c r="A739" s="254"/>
      <c r="B739" s="254"/>
      <c r="C739" s="254"/>
      <c r="D739" s="276"/>
      <c r="E739" s="254"/>
      <c r="F739" s="254"/>
      <c r="G739" s="254"/>
      <c r="H739" s="254"/>
      <c r="I739" s="254"/>
      <c r="J739" s="254"/>
      <c r="K739" s="254"/>
      <c r="L739" s="254"/>
      <c r="M739" s="254"/>
      <c r="N739" s="254"/>
      <c r="O739" s="254"/>
      <c r="P739" s="254"/>
      <c r="Q739" s="254"/>
      <c r="R739" s="254"/>
      <c r="S739" s="254"/>
      <c r="T739" s="254"/>
      <c r="U739" s="254"/>
      <c r="V739" s="254"/>
      <c r="W739" s="254"/>
      <c r="X739" s="254"/>
      <c r="Y739" s="254"/>
      <c r="Z739" s="254"/>
      <c r="AA739" s="254"/>
      <c r="AB739" s="254"/>
      <c r="AC739" s="254"/>
    </row>
    <row r="740" ht="12.75" customHeight="1" spans="1:29">
      <c r="A740" s="254"/>
      <c r="B740" s="254"/>
      <c r="C740" s="254"/>
      <c r="D740" s="276"/>
      <c r="E740" s="254"/>
      <c r="F740" s="254"/>
      <c r="G740" s="254"/>
      <c r="H740" s="254"/>
      <c r="I740" s="254"/>
      <c r="J740" s="254"/>
      <c r="K740" s="254"/>
      <c r="L740" s="254"/>
      <c r="M740" s="254"/>
      <c r="N740" s="254"/>
      <c r="O740" s="254"/>
      <c r="P740" s="254"/>
      <c r="Q740" s="254"/>
      <c r="R740" s="254"/>
      <c r="S740" s="254"/>
      <c r="T740" s="254"/>
      <c r="U740" s="254"/>
      <c r="V740" s="254"/>
      <c r="W740" s="254"/>
      <c r="X740" s="254"/>
      <c r="Y740" s="254"/>
      <c r="Z740" s="254"/>
      <c r="AA740" s="254"/>
      <c r="AB740" s="254"/>
      <c r="AC740" s="254"/>
    </row>
    <row r="741" ht="12.75" customHeight="1" spans="1:29">
      <c r="A741" s="254"/>
      <c r="B741" s="254"/>
      <c r="C741" s="254"/>
      <c r="D741" s="276"/>
      <c r="E741" s="254"/>
      <c r="F741" s="254"/>
      <c r="G741" s="254"/>
      <c r="H741" s="254"/>
      <c r="I741" s="254"/>
      <c r="J741" s="254"/>
      <c r="K741" s="254"/>
      <c r="L741" s="254"/>
      <c r="M741" s="254"/>
      <c r="N741" s="254"/>
      <c r="O741" s="254"/>
      <c r="P741" s="254"/>
      <c r="Q741" s="254"/>
      <c r="R741" s="254"/>
      <c r="S741" s="254"/>
      <c r="T741" s="254"/>
      <c r="U741" s="254"/>
      <c r="V741" s="254"/>
      <c r="W741" s="254"/>
      <c r="X741" s="254"/>
      <c r="Y741" s="254"/>
      <c r="Z741" s="254"/>
      <c r="AA741" s="254"/>
      <c r="AB741" s="254"/>
      <c r="AC741" s="254"/>
    </row>
    <row r="742" ht="12.75" customHeight="1" spans="1:29">
      <c r="A742" s="254"/>
      <c r="B742" s="254"/>
      <c r="C742" s="254"/>
      <c r="D742" s="276"/>
      <c r="E742" s="254"/>
      <c r="F742" s="254"/>
      <c r="G742" s="254"/>
      <c r="H742" s="254"/>
      <c r="I742" s="254"/>
      <c r="J742" s="254"/>
      <c r="K742" s="254"/>
      <c r="L742" s="254"/>
      <c r="M742" s="254"/>
      <c r="N742" s="254"/>
      <c r="O742" s="254"/>
      <c r="P742" s="254"/>
      <c r="Q742" s="254"/>
      <c r="R742" s="254"/>
      <c r="S742" s="254"/>
      <c r="T742" s="254"/>
      <c r="U742" s="254"/>
      <c r="V742" s="254"/>
      <c r="W742" s="254"/>
      <c r="X742" s="254"/>
      <c r="Y742" s="254"/>
      <c r="Z742" s="254"/>
      <c r="AA742" s="254"/>
      <c r="AB742" s="254"/>
      <c r="AC742" s="254"/>
    </row>
    <row r="743" ht="12.75" customHeight="1" spans="1:29">
      <c r="A743" s="254"/>
      <c r="B743" s="254"/>
      <c r="C743" s="254"/>
      <c r="D743" s="276"/>
      <c r="E743" s="254"/>
      <c r="F743" s="254"/>
      <c r="G743" s="254"/>
      <c r="H743" s="254"/>
      <c r="I743" s="254"/>
      <c r="J743" s="254"/>
      <c r="K743" s="254"/>
      <c r="L743" s="254"/>
      <c r="M743" s="254"/>
      <c r="N743" s="254"/>
      <c r="O743" s="254"/>
      <c r="P743" s="254"/>
      <c r="Q743" s="254"/>
      <c r="R743" s="254"/>
      <c r="S743" s="254"/>
      <c r="T743" s="254"/>
      <c r="U743" s="254"/>
      <c r="V743" s="254"/>
      <c r="W743" s="254"/>
      <c r="X743" s="254"/>
      <c r="Y743" s="254"/>
      <c r="Z743" s="254"/>
      <c r="AA743" s="254"/>
      <c r="AB743" s="254"/>
      <c r="AC743" s="254"/>
    </row>
    <row r="744" ht="12.75" customHeight="1" spans="1:29">
      <c r="A744" s="254"/>
      <c r="B744" s="254"/>
      <c r="C744" s="254"/>
      <c r="D744" s="276"/>
      <c r="E744" s="254"/>
      <c r="F744" s="254"/>
      <c r="G744" s="254"/>
      <c r="H744" s="254"/>
      <c r="I744" s="254"/>
      <c r="J744" s="254"/>
      <c r="K744" s="254"/>
      <c r="L744" s="254"/>
      <c r="M744" s="254"/>
      <c r="N744" s="254"/>
      <c r="O744" s="254"/>
      <c r="P744" s="254"/>
      <c r="Q744" s="254"/>
      <c r="R744" s="254"/>
      <c r="S744" s="254"/>
      <c r="T744" s="254"/>
      <c r="U744" s="254"/>
      <c r="V744" s="254"/>
      <c r="W744" s="254"/>
      <c r="X744" s="254"/>
      <c r="Y744" s="254"/>
      <c r="Z744" s="254"/>
      <c r="AA744" s="254"/>
      <c r="AB744" s="254"/>
      <c r="AC744" s="254"/>
    </row>
    <row r="745" ht="12.75" customHeight="1" spans="1:29">
      <c r="A745" s="254"/>
      <c r="B745" s="254"/>
      <c r="C745" s="254"/>
      <c r="D745" s="276"/>
      <c r="E745" s="254"/>
      <c r="F745" s="254"/>
      <c r="G745" s="254"/>
      <c r="H745" s="254"/>
      <c r="I745" s="254"/>
      <c r="J745" s="254"/>
      <c r="K745" s="254"/>
      <c r="L745" s="254"/>
      <c r="M745" s="254"/>
      <c r="N745" s="254"/>
      <c r="O745" s="254"/>
      <c r="P745" s="254"/>
      <c r="Q745" s="254"/>
      <c r="R745" s="254"/>
      <c r="S745" s="254"/>
      <c r="T745" s="254"/>
      <c r="U745" s="254"/>
      <c r="V745" s="254"/>
      <c r="W745" s="254"/>
      <c r="X745" s="254"/>
      <c r="Y745" s="254"/>
      <c r="Z745" s="254"/>
      <c r="AA745" s="254"/>
      <c r="AB745" s="254"/>
      <c r="AC745" s="254"/>
    </row>
    <row r="746" ht="12.75" customHeight="1" spans="1:29">
      <c r="A746" s="254"/>
      <c r="B746" s="254"/>
      <c r="C746" s="254"/>
      <c r="D746" s="276"/>
      <c r="E746" s="254"/>
      <c r="F746" s="254"/>
      <c r="G746" s="254"/>
      <c r="H746" s="254"/>
      <c r="I746" s="254"/>
      <c r="J746" s="254"/>
      <c r="K746" s="254"/>
      <c r="L746" s="254"/>
      <c r="M746" s="254"/>
      <c r="N746" s="254"/>
      <c r="O746" s="254"/>
      <c r="P746" s="254"/>
      <c r="Q746" s="254"/>
      <c r="R746" s="254"/>
      <c r="S746" s="254"/>
      <c r="T746" s="254"/>
      <c r="U746" s="254"/>
      <c r="V746" s="254"/>
      <c r="W746" s="254"/>
      <c r="X746" s="254"/>
      <c r="Y746" s="254"/>
      <c r="Z746" s="254"/>
      <c r="AA746" s="254"/>
      <c r="AB746" s="254"/>
      <c r="AC746" s="254"/>
    </row>
    <row r="747" ht="12.75" customHeight="1" spans="1:29">
      <c r="A747" s="254"/>
      <c r="B747" s="254"/>
      <c r="C747" s="254"/>
      <c r="D747" s="276"/>
      <c r="E747" s="254"/>
      <c r="F747" s="254"/>
      <c r="G747" s="254"/>
      <c r="H747" s="254"/>
      <c r="I747" s="254"/>
      <c r="J747" s="254"/>
      <c r="K747" s="254"/>
      <c r="L747" s="254"/>
      <c r="M747" s="254"/>
      <c r="N747" s="254"/>
      <c r="O747" s="254"/>
      <c r="P747" s="254"/>
      <c r="Q747" s="254"/>
      <c r="R747" s="254"/>
      <c r="S747" s="254"/>
      <c r="T747" s="254"/>
      <c r="U747" s="254"/>
      <c r="V747" s="254"/>
      <c r="W747" s="254"/>
      <c r="X747" s="254"/>
      <c r="Y747" s="254"/>
      <c r="Z747" s="254"/>
      <c r="AA747" s="254"/>
      <c r="AB747" s="254"/>
      <c r="AC747" s="254"/>
    </row>
    <row r="748" ht="12.75" customHeight="1" spans="1:29">
      <c r="A748" s="254"/>
      <c r="B748" s="254"/>
      <c r="C748" s="254"/>
      <c r="D748" s="276"/>
      <c r="E748" s="254"/>
      <c r="F748" s="254"/>
      <c r="G748" s="254"/>
      <c r="H748" s="254"/>
      <c r="I748" s="254"/>
      <c r="J748" s="254"/>
      <c r="K748" s="254"/>
      <c r="L748" s="254"/>
      <c r="M748" s="254"/>
      <c r="N748" s="254"/>
      <c r="O748" s="254"/>
      <c r="P748" s="254"/>
      <c r="Q748" s="254"/>
      <c r="R748" s="254"/>
      <c r="S748" s="254"/>
      <c r="T748" s="254"/>
      <c r="U748" s="254"/>
      <c r="V748" s="254"/>
      <c r="W748" s="254"/>
      <c r="X748" s="254"/>
      <c r="Y748" s="254"/>
      <c r="Z748" s="254"/>
      <c r="AA748" s="254"/>
      <c r="AB748" s="254"/>
      <c r="AC748" s="254"/>
    </row>
    <row r="749" ht="12.75" customHeight="1" spans="1:29">
      <c r="A749" s="254"/>
      <c r="B749" s="254"/>
      <c r="C749" s="254"/>
      <c r="D749" s="276"/>
      <c r="E749" s="254"/>
      <c r="F749" s="254"/>
      <c r="G749" s="254"/>
      <c r="H749" s="254"/>
      <c r="I749" s="254"/>
      <c r="J749" s="254"/>
      <c r="K749" s="254"/>
      <c r="L749" s="254"/>
      <c r="M749" s="254"/>
      <c r="N749" s="254"/>
      <c r="O749" s="254"/>
      <c r="P749" s="254"/>
      <c r="Q749" s="254"/>
      <c r="R749" s="254"/>
      <c r="S749" s="254"/>
      <c r="T749" s="254"/>
      <c r="U749" s="254"/>
      <c r="V749" s="254"/>
      <c r="W749" s="254"/>
      <c r="X749" s="254"/>
      <c r="Y749" s="254"/>
      <c r="Z749" s="254"/>
      <c r="AA749" s="254"/>
      <c r="AB749" s="254"/>
      <c r="AC749" s="254"/>
    </row>
    <row r="750" ht="12.75" customHeight="1" spans="1:29">
      <c r="A750" s="254"/>
      <c r="B750" s="254"/>
      <c r="C750" s="254"/>
      <c r="D750" s="276"/>
      <c r="E750" s="254"/>
      <c r="F750" s="254"/>
      <c r="G750" s="254"/>
      <c r="H750" s="254"/>
      <c r="I750" s="254"/>
      <c r="J750" s="254"/>
      <c r="K750" s="254"/>
      <c r="L750" s="254"/>
      <c r="M750" s="254"/>
      <c r="N750" s="254"/>
      <c r="O750" s="254"/>
      <c r="P750" s="254"/>
      <c r="Q750" s="254"/>
      <c r="R750" s="254"/>
      <c r="S750" s="254"/>
      <c r="T750" s="254"/>
      <c r="U750" s="254"/>
      <c r="V750" s="254"/>
      <c r="W750" s="254"/>
      <c r="X750" s="254"/>
      <c r="Y750" s="254"/>
      <c r="Z750" s="254"/>
      <c r="AA750" s="254"/>
      <c r="AB750" s="254"/>
      <c r="AC750" s="254"/>
    </row>
    <row r="751" ht="12.75" customHeight="1" spans="1:29">
      <c r="A751" s="254"/>
      <c r="B751" s="254"/>
      <c r="C751" s="254"/>
      <c r="D751" s="276"/>
      <c r="E751" s="254"/>
      <c r="F751" s="254"/>
      <c r="G751" s="254"/>
      <c r="H751" s="254"/>
      <c r="I751" s="254"/>
      <c r="J751" s="254"/>
      <c r="K751" s="254"/>
      <c r="L751" s="254"/>
      <c r="M751" s="254"/>
      <c r="N751" s="254"/>
      <c r="O751" s="254"/>
      <c r="P751" s="254"/>
      <c r="Q751" s="254"/>
      <c r="R751" s="254"/>
      <c r="S751" s="254"/>
      <c r="T751" s="254"/>
      <c r="U751" s="254"/>
      <c r="V751" s="254"/>
      <c r="W751" s="254"/>
      <c r="X751" s="254"/>
      <c r="Y751" s="254"/>
      <c r="Z751" s="254"/>
      <c r="AA751" s="254"/>
      <c r="AB751" s="254"/>
      <c r="AC751" s="254"/>
    </row>
    <row r="752" ht="12.75" customHeight="1" spans="1:29">
      <c r="A752" s="254"/>
      <c r="B752" s="254"/>
      <c r="C752" s="254"/>
      <c r="D752" s="276"/>
      <c r="E752" s="254"/>
      <c r="F752" s="254"/>
      <c r="G752" s="254"/>
      <c r="H752" s="254"/>
      <c r="I752" s="254"/>
      <c r="J752" s="254"/>
      <c r="K752" s="254"/>
      <c r="L752" s="254"/>
      <c r="M752" s="254"/>
      <c r="N752" s="254"/>
      <c r="O752" s="254"/>
      <c r="P752" s="254"/>
      <c r="Q752" s="254"/>
      <c r="R752" s="254"/>
      <c r="S752" s="254"/>
      <c r="T752" s="254"/>
      <c r="U752" s="254"/>
      <c r="V752" s="254"/>
      <c r="W752" s="254"/>
      <c r="X752" s="254"/>
      <c r="Y752" s="254"/>
      <c r="Z752" s="254"/>
      <c r="AA752" s="254"/>
      <c r="AB752" s="254"/>
      <c r="AC752" s="254"/>
    </row>
    <row r="753" ht="12.75" customHeight="1" spans="1:29">
      <c r="A753" s="254"/>
      <c r="B753" s="254"/>
      <c r="C753" s="254"/>
      <c r="D753" s="276"/>
      <c r="E753" s="254"/>
      <c r="F753" s="254"/>
      <c r="G753" s="254"/>
      <c r="H753" s="254"/>
      <c r="I753" s="254"/>
      <c r="J753" s="254"/>
      <c r="K753" s="254"/>
      <c r="L753" s="254"/>
      <c r="M753" s="254"/>
      <c r="N753" s="254"/>
      <c r="O753" s="254"/>
      <c r="P753" s="254"/>
      <c r="Q753" s="254"/>
      <c r="R753" s="254"/>
      <c r="S753" s="254"/>
      <c r="T753" s="254"/>
      <c r="U753" s="254"/>
      <c r="V753" s="254"/>
      <c r="W753" s="254"/>
      <c r="X753" s="254"/>
      <c r="Y753" s="254"/>
      <c r="Z753" s="254"/>
      <c r="AA753" s="254"/>
      <c r="AB753" s="254"/>
      <c r="AC753" s="254"/>
    </row>
    <row r="754" ht="12.75" customHeight="1" spans="1:29">
      <c r="A754" s="254"/>
      <c r="B754" s="254"/>
      <c r="C754" s="254"/>
      <c r="D754" s="276"/>
      <c r="E754" s="254"/>
      <c r="F754" s="254"/>
      <c r="G754" s="254"/>
      <c r="H754" s="254"/>
      <c r="I754" s="254"/>
      <c r="J754" s="254"/>
      <c r="K754" s="254"/>
      <c r="L754" s="254"/>
      <c r="M754" s="254"/>
      <c r="N754" s="254"/>
      <c r="O754" s="254"/>
      <c r="P754" s="254"/>
      <c r="Q754" s="254"/>
      <c r="R754" s="254"/>
      <c r="S754" s="254"/>
      <c r="T754" s="254"/>
      <c r="U754" s="254"/>
      <c r="V754" s="254"/>
      <c r="W754" s="254"/>
      <c r="X754" s="254"/>
      <c r="Y754" s="254"/>
      <c r="Z754" s="254"/>
      <c r="AA754" s="254"/>
      <c r="AB754" s="254"/>
      <c r="AC754" s="254"/>
    </row>
    <row r="755" ht="12.75" customHeight="1" spans="1:29">
      <c r="A755" s="254"/>
      <c r="B755" s="254"/>
      <c r="C755" s="254"/>
      <c r="D755" s="276"/>
      <c r="E755" s="254"/>
      <c r="F755" s="254"/>
      <c r="G755" s="254"/>
      <c r="H755" s="254"/>
      <c r="I755" s="254"/>
      <c r="J755" s="254"/>
      <c r="K755" s="254"/>
      <c r="L755" s="254"/>
      <c r="M755" s="254"/>
      <c r="N755" s="254"/>
      <c r="O755" s="254"/>
      <c r="P755" s="254"/>
      <c r="Q755" s="254"/>
      <c r="R755" s="254"/>
      <c r="S755" s="254"/>
      <c r="T755" s="254"/>
      <c r="U755" s="254"/>
      <c r="V755" s="254"/>
      <c r="W755" s="254"/>
      <c r="X755" s="254"/>
      <c r="Y755" s="254"/>
      <c r="Z755" s="254"/>
      <c r="AA755" s="254"/>
      <c r="AB755" s="254"/>
      <c r="AC755" s="254"/>
    </row>
    <row r="756" ht="12.75" customHeight="1" spans="1:29">
      <c r="A756" s="254"/>
      <c r="B756" s="254"/>
      <c r="C756" s="254"/>
      <c r="D756" s="276"/>
      <c r="E756" s="254"/>
      <c r="F756" s="254"/>
      <c r="G756" s="254"/>
      <c r="H756" s="254"/>
      <c r="I756" s="254"/>
      <c r="J756" s="254"/>
      <c r="K756" s="254"/>
      <c r="L756" s="254"/>
      <c r="M756" s="254"/>
      <c r="N756" s="254"/>
      <c r="O756" s="254"/>
      <c r="P756" s="254"/>
      <c r="Q756" s="254"/>
      <c r="R756" s="254"/>
      <c r="S756" s="254"/>
      <c r="T756" s="254"/>
      <c r="U756" s="254"/>
      <c r="V756" s="254"/>
      <c r="W756" s="254"/>
      <c r="X756" s="254"/>
      <c r="Y756" s="254"/>
      <c r="Z756" s="254"/>
      <c r="AA756" s="254"/>
      <c r="AB756" s="254"/>
      <c r="AC756" s="254"/>
    </row>
    <row r="757" ht="12.75" customHeight="1" spans="1:29">
      <c r="A757" s="254"/>
      <c r="B757" s="254"/>
      <c r="C757" s="254"/>
      <c r="D757" s="276"/>
      <c r="E757" s="254"/>
      <c r="F757" s="254"/>
      <c r="G757" s="254"/>
      <c r="H757" s="254"/>
      <c r="I757" s="254"/>
      <c r="J757" s="254"/>
      <c r="K757" s="254"/>
      <c r="L757" s="254"/>
      <c r="M757" s="254"/>
      <c r="N757" s="254"/>
      <c r="O757" s="254"/>
      <c r="P757" s="254"/>
      <c r="Q757" s="254"/>
      <c r="R757" s="254"/>
      <c r="S757" s="254"/>
      <c r="T757" s="254"/>
      <c r="U757" s="254"/>
      <c r="V757" s="254"/>
      <c r="W757" s="254"/>
      <c r="X757" s="254"/>
      <c r="Y757" s="254"/>
      <c r="Z757" s="254"/>
      <c r="AA757" s="254"/>
      <c r="AB757" s="254"/>
      <c r="AC757" s="254"/>
    </row>
    <row r="758" ht="12.75" customHeight="1" spans="1:29">
      <c r="A758" s="254"/>
      <c r="B758" s="254"/>
      <c r="C758" s="254"/>
      <c r="D758" s="276"/>
      <c r="E758" s="254"/>
      <c r="F758" s="254"/>
      <c r="G758" s="254"/>
      <c r="H758" s="254"/>
      <c r="I758" s="254"/>
      <c r="J758" s="254"/>
      <c r="K758" s="254"/>
      <c r="L758" s="254"/>
      <c r="M758" s="254"/>
      <c r="N758" s="254"/>
      <c r="O758" s="254"/>
      <c r="P758" s="254"/>
      <c r="Q758" s="254"/>
      <c r="R758" s="254"/>
      <c r="S758" s="254"/>
      <c r="T758" s="254"/>
      <c r="U758" s="254"/>
      <c r="V758" s="254"/>
      <c r="W758" s="254"/>
      <c r="X758" s="254"/>
      <c r="Y758" s="254"/>
      <c r="Z758" s="254"/>
      <c r="AA758" s="254"/>
      <c r="AB758" s="254"/>
      <c r="AC758" s="254"/>
    </row>
    <row r="759" ht="12.75" customHeight="1" spans="1:29">
      <c r="A759" s="254"/>
      <c r="B759" s="254"/>
      <c r="C759" s="254"/>
      <c r="D759" s="276"/>
      <c r="E759" s="254"/>
      <c r="F759" s="254"/>
      <c r="G759" s="254"/>
      <c r="H759" s="254"/>
      <c r="I759" s="254"/>
      <c r="J759" s="254"/>
      <c r="K759" s="254"/>
      <c r="L759" s="254"/>
      <c r="M759" s="254"/>
      <c r="N759" s="254"/>
      <c r="O759" s="254"/>
      <c r="P759" s="254"/>
      <c r="Q759" s="254"/>
      <c r="R759" s="254"/>
      <c r="S759" s="254"/>
      <c r="T759" s="254"/>
      <c r="U759" s="254"/>
      <c r="V759" s="254"/>
      <c r="W759" s="254"/>
      <c r="X759" s="254"/>
      <c r="Y759" s="254"/>
      <c r="Z759" s="254"/>
      <c r="AA759" s="254"/>
      <c r="AB759" s="254"/>
      <c r="AC759" s="254"/>
    </row>
    <row r="760" ht="12.75" customHeight="1" spans="1:29">
      <c r="A760" s="254"/>
      <c r="B760" s="254"/>
      <c r="C760" s="254"/>
      <c r="D760" s="276"/>
      <c r="E760" s="254"/>
      <c r="F760" s="254"/>
      <c r="G760" s="254"/>
      <c r="H760" s="254"/>
      <c r="I760" s="254"/>
      <c r="J760" s="254"/>
      <c r="K760" s="254"/>
      <c r="L760" s="254"/>
      <c r="M760" s="254"/>
      <c r="N760" s="254"/>
      <c r="O760" s="254"/>
      <c r="P760" s="254"/>
      <c r="Q760" s="254"/>
      <c r="R760" s="254"/>
      <c r="S760" s="254"/>
      <c r="T760" s="254"/>
      <c r="U760" s="254"/>
      <c r="V760" s="254"/>
      <c r="W760" s="254"/>
      <c r="X760" s="254"/>
      <c r="Y760" s="254"/>
      <c r="Z760" s="254"/>
      <c r="AA760" s="254"/>
      <c r="AB760" s="254"/>
      <c r="AC760" s="254"/>
    </row>
    <row r="761" ht="12.75" customHeight="1" spans="1:29">
      <c r="A761" s="254"/>
      <c r="B761" s="254"/>
      <c r="C761" s="254"/>
      <c r="D761" s="276"/>
      <c r="E761" s="254"/>
      <c r="F761" s="254"/>
      <c r="G761" s="254"/>
      <c r="H761" s="254"/>
      <c r="I761" s="254"/>
      <c r="J761" s="254"/>
      <c r="K761" s="254"/>
      <c r="L761" s="254"/>
      <c r="M761" s="254"/>
      <c r="N761" s="254"/>
      <c r="O761" s="254"/>
      <c r="P761" s="254"/>
      <c r="Q761" s="254"/>
      <c r="R761" s="254"/>
      <c r="S761" s="254"/>
      <c r="T761" s="254"/>
      <c r="U761" s="254"/>
      <c r="V761" s="254"/>
      <c r="W761" s="254"/>
      <c r="X761" s="254"/>
      <c r="Y761" s="254"/>
      <c r="Z761" s="254"/>
      <c r="AA761" s="254"/>
      <c r="AB761" s="254"/>
      <c r="AC761" s="254"/>
    </row>
    <row r="762" ht="12.75" customHeight="1" spans="1:29">
      <c r="A762" s="254"/>
      <c r="B762" s="254"/>
      <c r="C762" s="254"/>
      <c r="D762" s="276"/>
      <c r="E762" s="254"/>
      <c r="F762" s="254"/>
      <c r="G762" s="254"/>
      <c r="H762" s="254"/>
      <c r="I762" s="254"/>
      <c r="J762" s="254"/>
      <c r="K762" s="254"/>
      <c r="L762" s="254"/>
      <c r="M762" s="254"/>
      <c r="N762" s="254"/>
      <c r="O762" s="254"/>
      <c r="P762" s="254"/>
      <c r="Q762" s="254"/>
      <c r="R762" s="254"/>
      <c r="S762" s="254"/>
      <c r="T762" s="254"/>
      <c r="U762" s="254"/>
      <c r="V762" s="254"/>
      <c r="W762" s="254"/>
      <c r="X762" s="254"/>
      <c r="Y762" s="254"/>
      <c r="Z762" s="254"/>
      <c r="AA762" s="254"/>
      <c r="AB762" s="254"/>
      <c r="AC762" s="254"/>
    </row>
    <row r="763" ht="12.75" customHeight="1" spans="1:29">
      <c r="A763" s="254"/>
      <c r="B763" s="254"/>
      <c r="C763" s="254"/>
      <c r="D763" s="276"/>
      <c r="E763" s="254"/>
      <c r="F763" s="254"/>
      <c r="G763" s="254"/>
      <c r="H763" s="254"/>
      <c r="I763" s="254"/>
      <c r="J763" s="254"/>
      <c r="K763" s="254"/>
      <c r="L763" s="254"/>
      <c r="M763" s="254"/>
      <c r="N763" s="254"/>
      <c r="O763" s="254"/>
      <c r="P763" s="254"/>
      <c r="Q763" s="254"/>
      <c r="R763" s="254"/>
      <c r="S763" s="254"/>
      <c r="T763" s="254"/>
      <c r="U763" s="254"/>
      <c r="V763" s="254"/>
      <c r="W763" s="254"/>
      <c r="X763" s="254"/>
      <c r="Y763" s="254"/>
      <c r="Z763" s="254"/>
      <c r="AA763" s="254"/>
      <c r="AB763" s="254"/>
      <c r="AC763" s="254"/>
    </row>
    <row r="764" ht="12.75" customHeight="1" spans="1:29">
      <c r="A764" s="254"/>
      <c r="B764" s="254"/>
      <c r="C764" s="254"/>
      <c r="D764" s="276"/>
      <c r="E764" s="254"/>
      <c r="F764" s="254"/>
      <c r="G764" s="254"/>
      <c r="H764" s="254"/>
      <c r="I764" s="254"/>
      <c r="J764" s="254"/>
      <c r="K764" s="254"/>
      <c r="L764" s="254"/>
      <c r="M764" s="254"/>
      <c r="N764" s="254"/>
      <c r="O764" s="254"/>
      <c r="P764" s="254"/>
      <c r="Q764" s="254"/>
      <c r="R764" s="254"/>
      <c r="S764" s="254"/>
      <c r="T764" s="254"/>
      <c r="U764" s="254"/>
      <c r="V764" s="254"/>
      <c r="W764" s="254"/>
      <c r="X764" s="254"/>
      <c r="Y764" s="254"/>
      <c r="Z764" s="254"/>
      <c r="AA764" s="254"/>
      <c r="AB764" s="254"/>
      <c r="AC764" s="254"/>
    </row>
    <row r="765" ht="12.75" customHeight="1" spans="1:29">
      <c r="A765" s="254"/>
      <c r="B765" s="254"/>
      <c r="C765" s="254"/>
      <c r="D765" s="276"/>
      <c r="E765" s="254"/>
      <c r="F765" s="254"/>
      <c r="G765" s="254"/>
      <c r="H765" s="254"/>
      <c r="I765" s="254"/>
      <c r="J765" s="254"/>
      <c r="K765" s="254"/>
      <c r="L765" s="254"/>
      <c r="M765" s="254"/>
      <c r="N765" s="254"/>
      <c r="O765" s="254"/>
      <c r="P765" s="254"/>
      <c r="Q765" s="254"/>
      <c r="R765" s="254"/>
      <c r="S765" s="254"/>
      <c r="T765" s="254"/>
      <c r="U765" s="254"/>
      <c r="V765" s="254"/>
      <c r="W765" s="254"/>
      <c r="X765" s="254"/>
      <c r="Y765" s="254"/>
      <c r="Z765" s="254"/>
      <c r="AA765" s="254"/>
      <c r="AB765" s="254"/>
      <c r="AC765" s="254"/>
    </row>
    <row r="766" ht="12.75" customHeight="1" spans="1:29">
      <c r="A766" s="254"/>
      <c r="B766" s="254"/>
      <c r="C766" s="254"/>
      <c r="D766" s="276"/>
      <c r="E766" s="254"/>
      <c r="F766" s="254"/>
      <c r="G766" s="254"/>
      <c r="H766" s="254"/>
      <c r="I766" s="254"/>
      <c r="J766" s="254"/>
      <c r="K766" s="254"/>
      <c r="L766" s="254"/>
      <c r="M766" s="254"/>
      <c r="N766" s="254"/>
      <c r="O766" s="254"/>
      <c r="P766" s="254"/>
      <c r="Q766" s="254"/>
      <c r="R766" s="254"/>
      <c r="S766" s="254"/>
      <c r="T766" s="254"/>
      <c r="U766" s="254"/>
      <c r="V766" s="254"/>
      <c r="W766" s="254"/>
      <c r="X766" s="254"/>
      <c r="Y766" s="254"/>
      <c r="Z766" s="254"/>
      <c r="AA766" s="254"/>
      <c r="AB766" s="254"/>
      <c r="AC766" s="254"/>
    </row>
    <row r="767" ht="12.75" customHeight="1" spans="1:29">
      <c r="A767" s="254"/>
      <c r="B767" s="254"/>
      <c r="C767" s="254"/>
      <c r="D767" s="276"/>
      <c r="E767" s="254"/>
      <c r="F767" s="254"/>
      <c r="G767" s="254"/>
      <c r="H767" s="254"/>
      <c r="I767" s="254"/>
      <c r="J767" s="254"/>
      <c r="K767" s="254"/>
      <c r="L767" s="254"/>
      <c r="M767" s="254"/>
      <c r="N767" s="254"/>
      <c r="O767" s="254"/>
      <c r="P767" s="254"/>
      <c r="Q767" s="254"/>
      <c r="R767" s="254"/>
      <c r="S767" s="254"/>
      <c r="T767" s="254"/>
      <c r="U767" s="254"/>
      <c r="V767" s="254"/>
      <c r="W767" s="254"/>
      <c r="X767" s="254"/>
      <c r="Y767" s="254"/>
      <c r="Z767" s="254"/>
      <c r="AA767" s="254"/>
      <c r="AB767" s="254"/>
      <c r="AC767" s="254"/>
    </row>
    <row r="768" ht="12.75" customHeight="1" spans="1:29">
      <c r="A768" s="254"/>
      <c r="B768" s="254"/>
      <c r="C768" s="254"/>
      <c r="D768" s="276"/>
      <c r="E768" s="254"/>
      <c r="F768" s="254"/>
      <c r="G768" s="254"/>
      <c r="H768" s="254"/>
      <c r="I768" s="254"/>
      <c r="J768" s="254"/>
      <c r="K768" s="254"/>
      <c r="L768" s="254"/>
      <c r="M768" s="254"/>
      <c r="N768" s="254"/>
      <c r="O768" s="254"/>
      <c r="P768" s="254"/>
      <c r="Q768" s="254"/>
      <c r="R768" s="254"/>
      <c r="S768" s="254"/>
      <c r="T768" s="254"/>
      <c r="U768" s="254"/>
      <c r="V768" s="254"/>
      <c r="W768" s="254"/>
      <c r="X768" s="254"/>
      <c r="Y768" s="254"/>
      <c r="Z768" s="254"/>
      <c r="AA768" s="254"/>
      <c r="AB768" s="254"/>
      <c r="AC768" s="254"/>
    </row>
    <row r="769" ht="12.75" customHeight="1" spans="1:29">
      <c r="A769" s="254"/>
      <c r="B769" s="254"/>
      <c r="C769" s="254"/>
      <c r="D769" s="276"/>
      <c r="E769" s="254"/>
      <c r="F769" s="254"/>
      <c r="G769" s="254"/>
      <c r="H769" s="254"/>
      <c r="I769" s="254"/>
      <c r="J769" s="254"/>
      <c r="K769" s="254"/>
      <c r="L769" s="254"/>
      <c r="M769" s="254"/>
      <c r="N769" s="254"/>
      <c r="O769" s="254"/>
      <c r="P769" s="254"/>
      <c r="Q769" s="254"/>
      <c r="R769" s="254"/>
      <c r="S769" s="254"/>
      <c r="T769" s="254"/>
      <c r="U769" s="254"/>
      <c r="V769" s="254"/>
      <c r="W769" s="254"/>
      <c r="X769" s="254"/>
      <c r="Y769" s="254"/>
      <c r="Z769" s="254"/>
      <c r="AA769" s="254"/>
      <c r="AB769" s="254"/>
      <c r="AC769" s="254"/>
    </row>
    <row r="770" ht="12.75" customHeight="1" spans="1:29">
      <c r="A770" s="254"/>
      <c r="B770" s="254"/>
      <c r="C770" s="254"/>
      <c r="D770" s="276"/>
      <c r="E770" s="254"/>
      <c r="F770" s="254"/>
      <c r="G770" s="254"/>
      <c r="H770" s="254"/>
      <c r="I770" s="254"/>
      <c r="J770" s="254"/>
      <c r="K770" s="254"/>
      <c r="L770" s="254"/>
      <c r="M770" s="254"/>
      <c r="N770" s="254"/>
      <c r="O770" s="254"/>
      <c r="P770" s="254"/>
      <c r="Q770" s="254"/>
      <c r="R770" s="254"/>
      <c r="S770" s="254"/>
      <c r="T770" s="254"/>
      <c r="U770" s="254"/>
      <c r="V770" s="254"/>
      <c r="W770" s="254"/>
      <c r="X770" s="254"/>
      <c r="Y770" s="254"/>
      <c r="Z770" s="254"/>
      <c r="AA770" s="254"/>
      <c r="AB770" s="254"/>
      <c r="AC770" s="254"/>
    </row>
    <row r="771" ht="12.75" customHeight="1" spans="1:29">
      <c r="A771" s="254"/>
      <c r="B771" s="254"/>
      <c r="C771" s="254"/>
      <c r="D771" s="276"/>
      <c r="E771" s="254"/>
      <c r="F771" s="254"/>
      <c r="G771" s="254"/>
      <c r="H771" s="254"/>
      <c r="I771" s="254"/>
      <c r="J771" s="254"/>
      <c r="K771" s="254"/>
      <c r="L771" s="254"/>
      <c r="M771" s="254"/>
      <c r="N771" s="254"/>
      <c r="O771" s="254"/>
      <c r="P771" s="254"/>
      <c r="Q771" s="254"/>
      <c r="R771" s="254"/>
      <c r="S771" s="254"/>
      <c r="T771" s="254"/>
      <c r="U771" s="254"/>
      <c r="V771" s="254"/>
      <c r="W771" s="254"/>
      <c r="X771" s="254"/>
      <c r="Y771" s="254"/>
      <c r="Z771" s="254"/>
      <c r="AA771" s="254"/>
      <c r="AB771" s="254"/>
      <c r="AC771" s="254"/>
    </row>
    <row r="772" ht="12.75" customHeight="1" spans="1:29">
      <c r="A772" s="254"/>
      <c r="B772" s="254"/>
      <c r="C772" s="254"/>
      <c r="D772" s="276"/>
      <c r="E772" s="254"/>
      <c r="F772" s="254"/>
      <c r="G772" s="254"/>
      <c r="H772" s="254"/>
      <c r="I772" s="254"/>
      <c r="J772" s="254"/>
      <c r="K772" s="254"/>
      <c r="L772" s="254"/>
      <c r="M772" s="254"/>
      <c r="N772" s="254"/>
      <c r="O772" s="254"/>
      <c r="P772" s="254"/>
      <c r="Q772" s="254"/>
      <c r="R772" s="254"/>
      <c r="S772" s="254"/>
      <c r="T772" s="254"/>
      <c r="U772" s="254"/>
      <c r="V772" s="254"/>
      <c r="W772" s="254"/>
      <c r="X772" s="254"/>
      <c r="Y772" s="254"/>
      <c r="Z772" s="254"/>
      <c r="AA772" s="254"/>
      <c r="AB772" s="254"/>
      <c r="AC772" s="254"/>
    </row>
    <row r="773" ht="12.75" customHeight="1" spans="1:29">
      <c r="A773" s="254"/>
      <c r="B773" s="254"/>
      <c r="C773" s="254"/>
      <c r="D773" s="276"/>
      <c r="E773" s="254"/>
      <c r="F773" s="254"/>
      <c r="G773" s="254"/>
      <c r="H773" s="254"/>
      <c r="I773" s="254"/>
      <c r="J773" s="254"/>
      <c r="K773" s="254"/>
      <c r="L773" s="254"/>
      <c r="M773" s="254"/>
      <c r="N773" s="254"/>
      <c r="O773" s="254"/>
      <c r="P773" s="254"/>
      <c r="Q773" s="254"/>
      <c r="R773" s="254"/>
      <c r="S773" s="254"/>
      <c r="T773" s="254"/>
      <c r="U773" s="254"/>
      <c r="V773" s="254"/>
      <c r="W773" s="254"/>
      <c r="X773" s="254"/>
      <c r="Y773" s="254"/>
      <c r="Z773" s="254"/>
      <c r="AA773" s="254"/>
      <c r="AB773" s="254"/>
      <c r="AC773" s="254"/>
    </row>
    <row r="774" ht="12.75" customHeight="1" spans="1:29">
      <c r="A774" s="254"/>
      <c r="B774" s="254"/>
      <c r="C774" s="254"/>
      <c r="D774" s="276"/>
      <c r="E774" s="254"/>
      <c r="F774" s="254"/>
      <c r="G774" s="254"/>
      <c r="H774" s="254"/>
      <c r="I774" s="254"/>
      <c r="J774" s="254"/>
      <c r="K774" s="254"/>
      <c r="L774" s="254"/>
      <c r="M774" s="254"/>
      <c r="N774" s="254"/>
      <c r="O774" s="254"/>
      <c r="P774" s="254"/>
      <c r="Q774" s="254"/>
      <c r="R774" s="254"/>
      <c r="S774" s="254"/>
      <c r="T774" s="254"/>
      <c r="U774" s="254"/>
      <c r="V774" s="254"/>
      <c r="W774" s="254"/>
      <c r="X774" s="254"/>
      <c r="Y774" s="254"/>
      <c r="Z774" s="254"/>
      <c r="AA774" s="254"/>
      <c r="AB774" s="254"/>
      <c r="AC774" s="254"/>
    </row>
    <row r="775" ht="12.75" customHeight="1" spans="1:29">
      <c r="A775" s="254"/>
      <c r="B775" s="254"/>
      <c r="C775" s="254"/>
      <c r="D775" s="276"/>
      <c r="E775" s="254"/>
      <c r="F775" s="254"/>
      <c r="G775" s="254"/>
      <c r="H775" s="254"/>
      <c r="I775" s="254"/>
      <c r="J775" s="254"/>
      <c r="K775" s="254"/>
      <c r="L775" s="254"/>
      <c r="M775" s="254"/>
      <c r="N775" s="254"/>
      <c r="O775" s="254"/>
      <c r="P775" s="254"/>
      <c r="Q775" s="254"/>
      <c r="R775" s="254"/>
      <c r="S775" s="254"/>
      <c r="T775" s="254"/>
      <c r="U775" s="254"/>
      <c r="V775" s="254"/>
      <c r="W775" s="254"/>
      <c r="X775" s="254"/>
      <c r="Y775" s="254"/>
      <c r="Z775" s="254"/>
      <c r="AA775" s="254"/>
      <c r="AB775" s="254"/>
      <c r="AC775" s="254"/>
    </row>
    <row r="776" ht="12.75" customHeight="1" spans="1:29">
      <c r="A776" s="254"/>
      <c r="B776" s="254"/>
      <c r="C776" s="254"/>
      <c r="D776" s="276"/>
      <c r="E776" s="254"/>
      <c r="F776" s="254"/>
      <c r="G776" s="254"/>
      <c r="H776" s="254"/>
      <c r="I776" s="254"/>
      <c r="J776" s="254"/>
      <c r="K776" s="254"/>
      <c r="L776" s="254"/>
      <c r="M776" s="254"/>
      <c r="N776" s="254"/>
      <c r="O776" s="254"/>
      <c r="P776" s="254"/>
      <c r="Q776" s="254"/>
      <c r="R776" s="254"/>
      <c r="S776" s="254"/>
      <c r="T776" s="254"/>
      <c r="U776" s="254"/>
      <c r="V776" s="254"/>
      <c r="W776" s="254"/>
      <c r="X776" s="254"/>
      <c r="Y776" s="254"/>
      <c r="Z776" s="254"/>
      <c r="AA776" s="254"/>
      <c r="AB776" s="254"/>
      <c r="AC776" s="254"/>
    </row>
    <row r="777" ht="12.75" customHeight="1" spans="1:29">
      <c r="A777" s="254"/>
      <c r="B777" s="254"/>
      <c r="C777" s="254"/>
      <c r="D777" s="276"/>
      <c r="E777" s="254"/>
      <c r="F777" s="254"/>
      <c r="G777" s="254"/>
      <c r="H777" s="254"/>
      <c r="I777" s="254"/>
      <c r="J777" s="254"/>
      <c r="K777" s="254"/>
      <c r="L777" s="254"/>
      <c r="M777" s="254"/>
      <c r="N777" s="254"/>
      <c r="O777" s="254"/>
      <c r="P777" s="254"/>
      <c r="Q777" s="254"/>
      <c r="R777" s="254"/>
      <c r="S777" s="254"/>
      <c r="T777" s="254"/>
      <c r="U777" s="254"/>
      <c r="V777" s="254"/>
      <c r="W777" s="254"/>
      <c r="X777" s="254"/>
      <c r="Y777" s="254"/>
      <c r="Z777" s="254"/>
      <c r="AA777" s="254"/>
      <c r="AB777" s="254"/>
      <c r="AC777" s="254"/>
    </row>
    <row r="778" ht="12.75" customHeight="1" spans="1:29">
      <c r="A778" s="254"/>
      <c r="B778" s="254"/>
      <c r="C778" s="254"/>
      <c r="D778" s="276"/>
      <c r="E778" s="254"/>
      <c r="F778" s="254"/>
      <c r="G778" s="254"/>
      <c r="H778" s="254"/>
      <c r="I778" s="254"/>
      <c r="J778" s="254"/>
      <c r="K778" s="254"/>
      <c r="L778" s="254"/>
      <c r="M778" s="254"/>
      <c r="N778" s="254"/>
      <c r="O778" s="254"/>
      <c r="P778" s="254"/>
      <c r="Q778" s="254"/>
      <c r="R778" s="254"/>
      <c r="S778" s="254"/>
      <c r="T778" s="254"/>
      <c r="U778" s="254"/>
      <c r="V778" s="254"/>
      <c r="W778" s="254"/>
      <c r="X778" s="254"/>
      <c r="Y778" s="254"/>
      <c r="Z778" s="254"/>
      <c r="AA778" s="254"/>
      <c r="AB778" s="254"/>
      <c r="AC778" s="254"/>
    </row>
    <row r="779" ht="12.75" customHeight="1" spans="1:29">
      <c r="A779" s="254"/>
      <c r="B779" s="254"/>
      <c r="C779" s="254"/>
      <c r="D779" s="276"/>
      <c r="E779" s="254"/>
      <c r="F779" s="254"/>
      <c r="G779" s="254"/>
      <c r="H779" s="254"/>
      <c r="I779" s="254"/>
      <c r="J779" s="254"/>
      <c r="K779" s="254"/>
      <c r="L779" s="254"/>
      <c r="M779" s="254"/>
      <c r="N779" s="254"/>
      <c r="O779" s="254"/>
      <c r="P779" s="254"/>
      <c r="Q779" s="254"/>
      <c r="R779" s="254"/>
      <c r="S779" s="254"/>
      <c r="T779" s="254"/>
      <c r="U779" s="254"/>
      <c r="V779" s="254"/>
      <c r="W779" s="254"/>
      <c r="X779" s="254"/>
      <c r="Y779" s="254"/>
      <c r="Z779" s="254"/>
      <c r="AA779" s="254"/>
      <c r="AB779" s="254"/>
      <c r="AC779" s="254"/>
    </row>
    <row r="780" ht="12.75" customHeight="1" spans="1:29">
      <c r="A780" s="254"/>
      <c r="B780" s="254"/>
      <c r="C780" s="254"/>
      <c r="D780" s="276"/>
      <c r="E780" s="254"/>
      <c r="F780" s="254"/>
      <c r="G780" s="254"/>
      <c r="H780" s="254"/>
      <c r="I780" s="254"/>
      <c r="J780" s="254"/>
      <c r="K780" s="254"/>
      <c r="L780" s="254"/>
      <c r="M780" s="254"/>
      <c r="N780" s="254"/>
      <c r="O780" s="254"/>
      <c r="P780" s="254"/>
      <c r="Q780" s="254"/>
      <c r="R780" s="254"/>
      <c r="S780" s="254"/>
      <c r="T780" s="254"/>
      <c r="U780" s="254"/>
      <c r="V780" s="254"/>
      <c r="W780" s="254"/>
      <c r="X780" s="254"/>
      <c r="Y780" s="254"/>
      <c r="Z780" s="254"/>
      <c r="AA780" s="254"/>
      <c r="AB780" s="254"/>
      <c r="AC780" s="254"/>
    </row>
    <row r="781" ht="12.75" customHeight="1" spans="1:29">
      <c r="A781" s="254"/>
      <c r="B781" s="254"/>
      <c r="C781" s="254"/>
      <c r="D781" s="276"/>
      <c r="E781" s="254"/>
      <c r="F781" s="254"/>
      <c r="G781" s="254"/>
      <c r="H781" s="254"/>
      <c r="I781" s="254"/>
      <c r="J781" s="254"/>
      <c r="K781" s="254"/>
      <c r="L781" s="254"/>
      <c r="M781" s="254"/>
      <c r="N781" s="254"/>
      <c r="O781" s="254"/>
      <c r="P781" s="254"/>
      <c r="Q781" s="254"/>
      <c r="R781" s="254"/>
      <c r="S781" s="254"/>
      <c r="T781" s="254"/>
      <c r="U781" s="254"/>
      <c r="V781" s="254"/>
      <c r="W781" s="254"/>
      <c r="X781" s="254"/>
      <c r="Y781" s="254"/>
      <c r="Z781" s="254"/>
      <c r="AA781" s="254"/>
      <c r="AB781" s="254"/>
      <c r="AC781" s="254"/>
    </row>
    <row r="782" ht="12.75" customHeight="1" spans="1:29">
      <c r="A782" s="254"/>
      <c r="B782" s="254"/>
      <c r="C782" s="254"/>
      <c r="D782" s="276"/>
      <c r="E782" s="254"/>
      <c r="F782" s="254"/>
      <c r="G782" s="254"/>
      <c r="H782" s="254"/>
      <c r="I782" s="254"/>
      <c r="J782" s="254"/>
      <c r="K782" s="254"/>
      <c r="L782" s="254"/>
      <c r="M782" s="254"/>
      <c r="N782" s="254"/>
      <c r="O782" s="254"/>
      <c r="P782" s="254"/>
      <c r="Q782" s="254"/>
      <c r="R782" s="254"/>
      <c r="S782" s="254"/>
      <c r="T782" s="254"/>
      <c r="U782" s="254"/>
      <c r="V782" s="254"/>
      <c r="W782" s="254"/>
      <c r="X782" s="254"/>
      <c r="Y782" s="254"/>
      <c r="Z782" s="254"/>
      <c r="AA782" s="254"/>
      <c r="AB782" s="254"/>
      <c r="AC782" s="254"/>
    </row>
    <row r="783" ht="12.75" customHeight="1" spans="1:29">
      <c r="A783" s="254"/>
      <c r="B783" s="254"/>
      <c r="C783" s="254"/>
      <c r="D783" s="276"/>
      <c r="E783" s="254"/>
      <c r="F783" s="254"/>
      <c r="G783" s="254"/>
      <c r="H783" s="254"/>
      <c r="I783" s="254"/>
      <c r="J783" s="254"/>
      <c r="K783" s="254"/>
      <c r="L783" s="254"/>
      <c r="M783" s="254"/>
      <c r="N783" s="254"/>
      <c r="O783" s="254"/>
      <c r="P783" s="254"/>
      <c r="Q783" s="254"/>
      <c r="R783" s="254"/>
      <c r="S783" s="254"/>
      <c r="T783" s="254"/>
      <c r="U783" s="254"/>
      <c r="V783" s="254"/>
      <c r="W783" s="254"/>
      <c r="X783" s="254"/>
      <c r="Y783" s="254"/>
      <c r="Z783" s="254"/>
      <c r="AA783" s="254"/>
      <c r="AB783" s="254"/>
      <c r="AC783" s="254"/>
    </row>
    <row r="784" ht="12.75" customHeight="1" spans="1:29">
      <c r="A784" s="254"/>
      <c r="B784" s="254"/>
      <c r="C784" s="254"/>
      <c r="D784" s="276"/>
      <c r="E784" s="254"/>
      <c r="F784" s="254"/>
      <c r="G784" s="254"/>
      <c r="H784" s="254"/>
      <c r="I784" s="254"/>
      <c r="J784" s="254"/>
      <c r="K784" s="254"/>
      <c r="L784" s="254"/>
      <c r="M784" s="254"/>
      <c r="N784" s="254"/>
      <c r="O784" s="254"/>
      <c r="P784" s="254"/>
      <c r="Q784" s="254"/>
      <c r="R784" s="254"/>
      <c r="S784" s="254"/>
      <c r="T784" s="254"/>
      <c r="U784" s="254"/>
      <c r="V784" s="254"/>
      <c r="W784" s="254"/>
      <c r="X784" s="254"/>
      <c r="Y784" s="254"/>
      <c r="Z784" s="254"/>
      <c r="AA784" s="254"/>
      <c r="AB784" s="254"/>
      <c r="AC784" s="254"/>
    </row>
    <row r="785" ht="12.75" customHeight="1" spans="1:29">
      <c r="A785" s="254"/>
      <c r="B785" s="254"/>
      <c r="C785" s="254"/>
      <c r="D785" s="276"/>
      <c r="E785" s="254"/>
      <c r="F785" s="254"/>
      <c r="G785" s="254"/>
      <c r="H785" s="254"/>
      <c r="I785" s="254"/>
      <c r="J785" s="254"/>
      <c r="K785" s="254"/>
      <c r="L785" s="254"/>
      <c r="M785" s="254"/>
      <c r="N785" s="254"/>
      <c r="O785" s="254"/>
      <c r="P785" s="254"/>
      <c r="Q785" s="254"/>
      <c r="R785" s="254"/>
      <c r="S785" s="254"/>
      <c r="T785" s="254"/>
      <c r="U785" s="254"/>
      <c r="V785" s="254"/>
      <c r="W785" s="254"/>
      <c r="X785" s="254"/>
      <c r="Y785" s="254"/>
      <c r="Z785" s="254"/>
      <c r="AA785" s="254"/>
      <c r="AB785" s="254"/>
      <c r="AC785" s="254"/>
    </row>
    <row r="786" ht="12.75" customHeight="1" spans="1:29">
      <c r="A786" s="254"/>
      <c r="B786" s="254"/>
      <c r="C786" s="254"/>
      <c r="D786" s="276"/>
      <c r="E786" s="254"/>
      <c r="F786" s="254"/>
      <c r="G786" s="254"/>
      <c r="H786" s="254"/>
      <c r="I786" s="254"/>
      <c r="J786" s="254"/>
      <c r="K786" s="254"/>
      <c r="L786" s="254"/>
      <c r="M786" s="254"/>
      <c r="N786" s="254"/>
      <c r="O786" s="254"/>
      <c r="P786" s="254"/>
      <c r="Q786" s="254"/>
      <c r="R786" s="254"/>
      <c r="S786" s="254"/>
      <c r="T786" s="254"/>
      <c r="U786" s="254"/>
      <c r="V786" s="254"/>
      <c r="W786" s="254"/>
      <c r="X786" s="254"/>
      <c r="Y786" s="254"/>
      <c r="Z786" s="254"/>
      <c r="AA786" s="254"/>
      <c r="AB786" s="254"/>
      <c r="AC786" s="254"/>
    </row>
    <row r="787" ht="12.75" customHeight="1" spans="1:29">
      <c r="A787" s="254"/>
      <c r="B787" s="254"/>
      <c r="C787" s="254"/>
      <c r="D787" s="276"/>
      <c r="E787" s="254"/>
      <c r="F787" s="254"/>
      <c r="G787" s="254"/>
      <c r="H787" s="254"/>
      <c r="I787" s="254"/>
      <c r="J787" s="254"/>
      <c r="K787" s="254"/>
      <c r="L787" s="254"/>
      <c r="M787" s="254"/>
      <c r="N787" s="254"/>
      <c r="O787" s="254"/>
      <c r="P787" s="254"/>
      <c r="Q787" s="254"/>
      <c r="R787" s="254"/>
      <c r="S787" s="254"/>
      <c r="T787" s="254"/>
      <c r="U787" s="254"/>
      <c r="V787" s="254"/>
      <c r="W787" s="254"/>
      <c r="X787" s="254"/>
      <c r="Y787" s="254"/>
      <c r="Z787" s="254"/>
      <c r="AA787" s="254"/>
      <c r="AB787" s="254"/>
      <c r="AC787" s="254"/>
    </row>
    <row r="788" ht="12.75" customHeight="1" spans="1:29">
      <c r="A788" s="254"/>
      <c r="B788" s="254"/>
      <c r="C788" s="254"/>
      <c r="D788" s="276"/>
      <c r="E788" s="254"/>
      <c r="F788" s="254"/>
      <c r="G788" s="254"/>
      <c r="H788" s="254"/>
      <c r="I788" s="254"/>
      <c r="J788" s="254"/>
      <c r="K788" s="254"/>
      <c r="L788" s="254"/>
      <c r="M788" s="254"/>
      <c r="N788" s="254"/>
      <c r="O788" s="254"/>
      <c r="P788" s="254"/>
      <c r="Q788" s="254"/>
      <c r="R788" s="254"/>
      <c r="S788" s="254"/>
      <c r="T788" s="254"/>
      <c r="U788" s="254"/>
      <c r="V788" s="254"/>
      <c r="W788" s="254"/>
      <c r="X788" s="254"/>
      <c r="Y788" s="254"/>
      <c r="Z788" s="254"/>
      <c r="AA788" s="254"/>
      <c r="AB788" s="254"/>
      <c r="AC788" s="254"/>
    </row>
    <row r="789" ht="12.75" customHeight="1" spans="1:29">
      <c r="A789" s="254"/>
      <c r="B789" s="254"/>
      <c r="C789" s="254"/>
      <c r="D789" s="276"/>
      <c r="E789" s="254"/>
      <c r="F789" s="254"/>
      <c r="G789" s="254"/>
      <c r="H789" s="254"/>
      <c r="I789" s="254"/>
      <c r="J789" s="254"/>
      <c r="K789" s="254"/>
      <c r="L789" s="254"/>
      <c r="M789" s="254"/>
      <c r="N789" s="254"/>
      <c r="O789" s="254"/>
      <c r="P789" s="254"/>
      <c r="Q789" s="254"/>
      <c r="R789" s="254"/>
      <c r="S789" s="254"/>
      <c r="T789" s="254"/>
      <c r="U789" s="254"/>
      <c r="V789" s="254"/>
      <c r="W789" s="254"/>
      <c r="X789" s="254"/>
      <c r="Y789" s="254"/>
      <c r="Z789" s="254"/>
      <c r="AA789" s="254"/>
      <c r="AB789" s="254"/>
      <c r="AC789" s="254"/>
    </row>
    <row r="790" ht="12.75" customHeight="1" spans="1:29">
      <c r="A790" s="254"/>
      <c r="B790" s="254"/>
      <c r="C790" s="254"/>
      <c r="D790" s="276"/>
      <c r="E790" s="254"/>
      <c r="F790" s="254"/>
      <c r="G790" s="254"/>
      <c r="H790" s="254"/>
      <c r="I790" s="254"/>
      <c r="J790" s="254"/>
      <c r="K790" s="254"/>
      <c r="L790" s="254"/>
      <c r="M790" s="254"/>
      <c r="N790" s="254"/>
      <c r="O790" s="254"/>
      <c r="P790" s="254"/>
      <c r="Q790" s="254"/>
      <c r="R790" s="254"/>
      <c r="S790" s="254"/>
      <c r="T790" s="254"/>
      <c r="U790" s="254"/>
      <c r="V790" s="254"/>
      <c r="W790" s="254"/>
      <c r="X790" s="254"/>
      <c r="Y790" s="254"/>
      <c r="Z790" s="254"/>
      <c r="AA790" s="254"/>
      <c r="AB790" s="254"/>
      <c r="AC790" s="254"/>
    </row>
    <row r="791" ht="12.75" customHeight="1" spans="1:29">
      <c r="A791" s="254"/>
      <c r="B791" s="254"/>
      <c r="C791" s="254"/>
      <c r="D791" s="276"/>
      <c r="E791" s="254"/>
      <c r="F791" s="254"/>
      <c r="G791" s="254"/>
      <c r="H791" s="254"/>
      <c r="I791" s="254"/>
      <c r="J791" s="254"/>
      <c r="K791" s="254"/>
      <c r="L791" s="254"/>
      <c r="M791" s="254"/>
      <c r="N791" s="254"/>
      <c r="O791" s="254"/>
      <c r="P791" s="254"/>
      <c r="Q791" s="254"/>
      <c r="R791" s="254"/>
      <c r="S791" s="254"/>
      <c r="T791" s="254"/>
      <c r="U791" s="254"/>
      <c r="V791" s="254"/>
      <c r="W791" s="254"/>
      <c r="X791" s="254"/>
      <c r="Y791" s="254"/>
      <c r="Z791" s="254"/>
      <c r="AA791" s="254"/>
      <c r="AB791" s="254"/>
      <c r="AC791" s="254"/>
    </row>
    <row r="792" ht="12.75" customHeight="1" spans="1:29">
      <c r="A792" s="254"/>
      <c r="B792" s="254"/>
      <c r="C792" s="254"/>
      <c r="D792" s="276"/>
      <c r="E792" s="254"/>
      <c r="F792" s="254"/>
      <c r="G792" s="254"/>
      <c r="H792" s="254"/>
      <c r="I792" s="254"/>
      <c r="J792" s="254"/>
      <c r="K792" s="254"/>
      <c r="L792" s="254"/>
      <c r="M792" s="254"/>
      <c r="N792" s="254"/>
      <c r="O792" s="254"/>
      <c r="P792" s="254"/>
      <c r="Q792" s="254"/>
      <c r="R792" s="254"/>
      <c r="S792" s="254"/>
      <c r="T792" s="254"/>
      <c r="U792" s="254"/>
      <c r="V792" s="254"/>
      <c r="W792" s="254"/>
      <c r="X792" s="254"/>
      <c r="Y792" s="254"/>
      <c r="Z792" s="254"/>
      <c r="AA792" s="254"/>
      <c r="AB792" s="254"/>
      <c r="AC792" s="254"/>
    </row>
    <row r="793" ht="12.75" customHeight="1" spans="1:29">
      <c r="A793" s="254"/>
      <c r="B793" s="254"/>
      <c r="C793" s="254"/>
      <c r="D793" s="276"/>
      <c r="E793" s="254"/>
      <c r="F793" s="254"/>
      <c r="G793" s="254"/>
      <c r="H793" s="254"/>
      <c r="I793" s="254"/>
      <c r="J793" s="254"/>
      <c r="K793" s="254"/>
      <c r="L793" s="254"/>
      <c r="M793" s="254"/>
      <c r="N793" s="254"/>
      <c r="O793" s="254"/>
      <c r="P793" s="254"/>
      <c r="Q793" s="254"/>
      <c r="R793" s="254"/>
      <c r="S793" s="254"/>
      <c r="T793" s="254"/>
      <c r="U793" s="254"/>
      <c r="V793" s="254"/>
      <c r="W793" s="254"/>
      <c r="X793" s="254"/>
      <c r="Y793" s="254"/>
      <c r="Z793" s="254"/>
      <c r="AA793" s="254"/>
      <c r="AB793" s="254"/>
      <c r="AC793" s="254"/>
    </row>
    <row r="794" ht="12.75" customHeight="1" spans="1:29">
      <c r="A794" s="254"/>
      <c r="B794" s="254"/>
      <c r="C794" s="254"/>
      <c r="D794" s="276"/>
      <c r="E794" s="254"/>
      <c r="F794" s="254"/>
      <c r="G794" s="254"/>
      <c r="H794" s="254"/>
      <c r="I794" s="254"/>
      <c r="J794" s="254"/>
      <c r="K794" s="254"/>
      <c r="L794" s="254"/>
      <c r="M794" s="254"/>
      <c r="N794" s="254"/>
      <c r="O794" s="254"/>
      <c r="P794" s="254"/>
      <c r="Q794" s="254"/>
      <c r="R794" s="254"/>
      <c r="S794" s="254"/>
      <c r="T794" s="254"/>
      <c r="U794" s="254"/>
      <c r="V794" s="254"/>
      <c r="W794" s="254"/>
      <c r="X794" s="254"/>
      <c r="Y794" s="254"/>
      <c r="Z794" s="254"/>
      <c r="AA794" s="254"/>
      <c r="AB794" s="254"/>
      <c r="AC794" s="254"/>
    </row>
    <row r="795" ht="12.75" customHeight="1" spans="1:29">
      <c r="A795" s="254"/>
      <c r="B795" s="254"/>
      <c r="C795" s="254"/>
      <c r="D795" s="276"/>
      <c r="E795" s="254"/>
      <c r="F795" s="254"/>
      <c r="G795" s="254"/>
      <c r="H795" s="254"/>
      <c r="I795" s="254"/>
      <c r="J795" s="254"/>
      <c r="K795" s="254"/>
      <c r="L795" s="254"/>
      <c r="M795" s="254"/>
      <c r="N795" s="254"/>
      <c r="O795" s="254"/>
      <c r="P795" s="254"/>
      <c r="Q795" s="254"/>
      <c r="R795" s="254"/>
      <c r="S795" s="254"/>
      <c r="T795" s="254"/>
      <c r="U795" s="254"/>
      <c r="V795" s="254"/>
      <c r="W795" s="254"/>
      <c r="X795" s="254"/>
      <c r="Y795" s="254"/>
      <c r="Z795" s="254"/>
      <c r="AA795" s="254"/>
      <c r="AB795" s="254"/>
      <c r="AC795" s="254"/>
    </row>
    <row r="796" ht="12.75" customHeight="1" spans="1:29">
      <c r="A796" s="254"/>
      <c r="B796" s="254"/>
      <c r="C796" s="254"/>
      <c r="D796" s="276"/>
      <c r="E796" s="254"/>
      <c r="F796" s="254"/>
      <c r="G796" s="254"/>
      <c r="H796" s="254"/>
      <c r="I796" s="254"/>
      <c r="J796" s="254"/>
      <c r="K796" s="254"/>
      <c r="L796" s="254"/>
      <c r="M796" s="254"/>
      <c r="N796" s="254"/>
      <c r="O796" s="254"/>
      <c r="P796" s="254"/>
      <c r="Q796" s="254"/>
      <c r="R796" s="254"/>
      <c r="S796" s="254"/>
      <c r="T796" s="254"/>
      <c r="U796" s="254"/>
      <c r="V796" s="254"/>
      <c r="W796" s="254"/>
      <c r="X796" s="254"/>
      <c r="Y796" s="254"/>
      <c r="Z796" s="254"/>
      <c r="AA796" s="254"/>
      <c r="AB796" s="254"/>
      <c r="AC796" s="254"/>
    </row>
    <row r="797" ht="12.75" customHeight="1" spans="1:29">
      <c r="A797" s="254"/>
      <c r="B797" s="254"/>
      <c r="C797" s="254"/>
      <c r="D797" s="276"/>
      <c r="E797" s="254"/>
      <c r="F797" s="254"/>
      <c r="G797" s="254"/>
      <c r="H797" s="254"/>
      <c r="I797" s="254"/>
      <c r="J797" s="254"/>
      <c r="K797" s="254"/>
      <c r="L797" s="254"/>
      <c r="M797" s="254"/>
      <c r="N797" s="254"/>
      <c r="O797" s="254"/>
      <c r="P797" s="254"/>
      <c r="Q797" s="254"/>
      <c r="R797" s="254"/>
      <c r="S797" s="254"/>
      <c r="T797" s="254"/>
      <c r="U797" s="254"/>
      <c r="V797" s="254"/>
      <c r="W797" s="254"/>
      <c r="X797" s="254"/>
      <c r="Y797" s="254"/>
      <c r="Z797" s="254"/>
      <c r="AA797" s="254"/>
      <c r="AB797" s="254"/>
      <c r="AC797" s="254"/>
    </row>
    <row r="798" ht="12.75" customHeight="1" spans="1:29">
      <c r="A798" s="254"/>
      <c r="B798" s="254"/>
      <c r="C798" s="254"/>
      <c r="D798" s="276"/>
      <c r="E798" s="254"/>
      <c r="F798" s="254"/>
      <c r="G798" s="254"/>
      <c r="H798" s="254"/>
      <c r="I798" s="254"/>
      <c r="J798" s="254"/>
      <c r="K798" s="254"/>
      <c r="L798" s="254"/>
      <c r="M798" s="254"/>
      <c r="N798" s="254"/>
      <c r="O798" s="254"/>
      <c r="P798" s="254"/>
      <c r="Q798" s="254"/>
      <c r="R798" s="254"/>
      <c r="S798" s="254"/>
      <c r="T798" s="254"/>
      <c r="U798" s="254"/>
      <c r="V798" s="254"/>
      <c r="W798" s="254"/>
      <c r="X798" s="254"/>
      <c r="Y798" s="254"/>
      <c r="Z798" s="254"/>
      <c r="AA798" s="254"/>
      <c r="AB798" s="254"/>
      <c r="AC798" s="254"/>
    </row>
    <row r="799" ht="12.75" customHeight="1" spans="1:29">
      <c r="A799" s="254"/>
      <c r="B799" s="254"/>
      <c r="C799" s="254"/>
      <c r="D799" s="276"/>
      <c r="E799" s="254"/>
      <c r="F799" s="254"/>
      <c r="G799" s="254"/>
      <c r="H799" s="254"/>
      <c r="I799" s="254"/>
      <c r="J799" s="254"/>
      <c r="K799" s="254"/>
      <c r="L799" s="254"/>
      <c r="M799" s="254"/>
      <c r="N799" s="254"/>
      <c r="O799" s="254"/>
      <c r="P799" s="254"/>
      <c r="Q799" s="254"/>
      <c r="R799" s="254"/>
      <c r="S799" s="254"/>
      <c r="T799" s="254"/>
      <c r="U799" s="254"/>
      <c r="V799" s="254"/>
      <c r="W799" s="254"/>
      <c r="X799" s="254"/>
      <c r="Y799" s="254"/>
      <c r="Z799" s="254"/>
      <c r="AA799" s="254"/>
      <c r="AB799" s="254"/>
      <c r="AC799" s="254"/>
    </row>
    <row r="800" ht="12.75" customHeight="1" spans="1:29">
      <c r="A800" s="254"/>
      <c r="B800" s="254"/>
      <c r="C800" s="254"/>
      <c r="D800" s="276"/>
      <c r="E800" s="254"/>
      <c r="F800" s="254"/>
      <c r="G800" s="254"/>
      <c r="H800" s="254"/>
      <c r="I800" s="254"/>
      <c r="J800" s="254"/>
      <c r="K800" s="254"/>
      <c r="L800" s="254"/>
      <c r="M800" s="254"/>
      <c r="N800" s="254"/>
      <c r="O800" s="254"/>
      <c r="P800" s="254"/>
      <c r="Q800" s="254"/>
      <c r="R800" s="254"/>
      <c r="S800" s="254"/>
      <c r="T800" s="254"/>
      <c r="U800" s="254"/>
      <c r="V800" s="254"/>
      <c r="W800" s="254"/>
      <c r="X800" s="254"/>
      <c r="Y800" s="254"/>
      <c r="Z800" s="254"/>
      <c r="AA800" s="254"/>
      <c r="AB800" s="254"/>
      <c r="AC800" s="254"/>
    </row>
    <row r="801" ht="12.75" customHeight="1" spans="1:29">
      <c r="A801" s="254"/>
      <c r="B801" s="254"/>
      <c r="C801" s="254"/>
      <c r="D801" s="276"/>
      <c r="E801" s="254"/>
      <c r="F801" s="254"/>
      <c r="G801" s="254"/>
      <c r="H801" s="254"/>
      <c r="I801" s="254"/>
      <c r="J801" s="254"/>
      <c r="K801" s="254"/>
      <c r="L801" s="254"/>
      <c r="M801" s="254"/>
      <c r="N801" s="254"/>
      <c r="O801" s="254"/>
      <c r="P801" s="254"/>
      <c r="Q801" s="254"/>
      <c r="R801" s="254"/>
      <c r="S801" s="254"/>
      <c r="T801" s="254"/>
      <c r="U801" s="254"/>
      <c r="V801" s="254"/>
      <c r="W801" s="254"/>
      <c r="X801" s="254"/>
      <c r="Y801" s="254"/>
      <c r="Z801" s="254"/>
      <c r="AA801" s="254"/>
      <c r="AB801" s="254"/>
      <c r="AC801" s="254"/>
    </row>
    <row r="802" ht="12.75" customHeight="1" spans="1:29">
      <c r="A802" s="254"/>
      <c r="B802" s="254"/>
      <c r="C802" s="254"/>
      <c r="D802" s="276"/>
      <c r="E802" s="254"/>
      <c r="F802" s="254"/>
      <c r="G802" s="254"/>
      <c r="H802" s="254"/>
      <c r="I802" s="254"/>
      <c r="J802" s="254"/>
      <c r="K802" s="254"/>
      <c r="L802" s="254"/>
      <c r="M802" s="254"/>
      <c r="N802" s="254"/>
      <c r="O802" s="254"/>
      <c r="P802" s="254"/>
      <c r="Q802" s="254"/>
      <c r="R802" s="254"/>
      <c r="S802" s="254"/>
      <c r="T802" s="254"/>
      <c r="U802" s="254"/>
      <c r="V802" s="254"/>
      <c r="W802" s="254"/>
      <c r="X802" s="254"/>
      <c r="Y802" s="254"/>
      <c r="Z802" s="254"/>
      <c r="AA802" s="254"/>
      <c r="AB802" s="254"/>
      <c r="AC802" s="254"/>
    </row>
    <row r="803" ht="12.75" customHeight="1" spans="1:29">
      <c r="A803" s="254"/>
      <c r="B803" s="254"/>
      <c r="C803" s="254"/>
      <c r="D803" s="276"/>
      <c r="E803" s="254"/>
      <c r="F803" s="254"/>
      <c r="G803" s="254"/>
      <c r="H803" s="254"/>
      <c r="I803" s="254"/>
      <c r="J803" s="254"/>
      <c r="K803" s="254"/>
      <c r="L803" s="254"/>
      <c r="M803" s="254"/>
      <c r="N803" s="254"/>
      <c r="O803" s="254"/>
      <c r="P803" s="254"/>
      <c r="Q803" s="254"/>
      <c r="R803" s="254"/>
      <c r="S803" s="254"/>
      <c r="T803" s="254"/>
      <c r="U803" s="254"/>
      <c r="V803" s="254"/>
      <c r="W803" s="254"/>
      <c r="X803" s="254"/>
      <c r="Y803" s="254"/>
      <c r="Z803" s="254"/>
      <c r="AA803" s="254"/>
      <c r="AB803" s="254"/>
      <c r="AC803" s="254"/>
    </row>
    <row r="804" ht="12.75" customHeight="1" spans="1:29">
      <c r="A804" s="254"/>
      <c r="B804" s="254"/>
      <c r="C804" s="254"/>
      <c r="D804" s="276"/>
      <c r="E804" s="254"/>
      <c r="F804" s="254"/>
      <c r="G804" s="254"/>
      <c r="H804" s="254"/>
      <c r="I804" s="254"/>
      <c r="J804" s="254"/>
      <c r="K804" s="254"/>
      <c r="L804" s="254"/>
      <c r="M804" s="254"/>
      <c r="N804" s="254"/>
      <c r="O804" s="254"/>
      <c r="P804" s="254"/>
      <c r="Q804" s="254"/>
      <c r="R804" s="254"/>
      <c r="S804" s="254"/>
      <c r="T804" s="254"/>
      <c r="U804" s="254"/>
      <c r="V804" s="254"/>
      <c r="W804" s="254"/>
      <c r="X804" s="254"/>
      <c r="Y804" s="254"/>
      <c r="Z804" s="254"/>
      <c r="AA804" s="254"/>
      <c r="AB804" s="254"/>
      <c r="AC804" s="254"/>
    </row>
    <row r="805" ht="12.75" customHeight="1" spans="1:29">
      <c r="A805" s="254"/>
      <c r="B805" s="254"/>
      <c r="C805" s="254"/>
      <c r="D805" s="276"/>
      <c r="E805" s="254"/>
      <c r="F805" s="254"/>
      <c r="G805" s="254"/>
      <c r="H805" s="254"/>
      <c r="I805" s="254"/>
      <c r="J805" s="254"/>
      <c r="K805" s="254"/>
      <c r="L805" s="254"/>
      <c r="M805" s="254"/>
      <c r="N805" s="254"/>
      <c r="O805" s="254"/>
      <c r="P805" s="254"/>
      <c r="Q805" s="254"/>
      <c r="R805" s="254"/>
      <c r="S805" s="254"/>
      <c r="T805" s="254"/>
      <c r="U805" s="254"/>
      <c r="V805" s="254"/>
      <c r="W805" s="254"/>
      <c r="X805" s="254"/>
      <c r="Y805" s="254"/>
      <c r="Z805" s="254"/>
      <c r="AA805" s="254"/>
      <c r="AB805" s="254"/>
      <c r="AC805" s="254"/>
    </row>
    <row r="806" ht="12.75" customHeight="1" spans="1:29">
      <c r="A806" s="254"/>
      <c r="B806" s="254"/>
      <c r="C806" s="254"/>
      <c r="D806" s="276"/>
      <c r="E806" s="254"/>
      <c r="F806" s="254"/>
      <c r="G806" s="254"/>
      <c r="H806" s="254"/>
      <c r="I806" s="254"/>
      <c r="J806" s="254"/>
      <c r="K806" s="254"/>
      <c r="L806" s="254"/>
      <c r="M806" s="254"/>
      <c r="N806" s="254"/>
      <c r="O806" s="254"/>
      <c r="P806" s="254"/>
      <c r="Q806" s="254"/>
      <c r="R806" s="254"/>
      <c r="S806" s="254"/>
      <c r="T806" s="254"/>
      <c r="U806" s="254"/>
      <c r="V806" s="254"/>
      <c r="W806" s="254"/>
      <c r="X806" s="254"/>
      <c r="Y806" s="254"/>
      <c r="Z806" s="254"/>
      <c r="AA806" s="254"/>
      <c r="AB806" s="254"/>
      <c r="AC806" s="254"/>
    </row>
    <row r="807" ht="12.75" customHeight="1" spans="1:29">
      <c r="A807" s="254"/>
      <c r="B807" s="254"/>
      <c r="C807" s="254"/>
      <c r="D807" s="276"/>
      <c r="E807" s="254"/>
      <c r="F807" s="254"/>
      <c r="G807" s="254"/>
      <c r="H807" s="254"/>
      <c r="I807" s="254"/>
      <c r="J807" s="254"/>
      <c r="K807" s="254"/>
      <c r="L807" s="254"/>
      <c r="M807" s="254"/>
      <c r="N807" s="254"/>
      <c r="O807" s="254"/>
      <c r="P807" s="254"/>
      <c r="Q807" s="254"/>
      <c r="R807" s="254"/>
      <c r="S807" s="254"/>
      <c r="T807" s="254"/>
      <c r="U807" s="254"/>
      <c r="V807" s="254"/>
      <c r="W807" s="254"/>
      <c r="X807" s="254"/>
      <c r="Y807" s="254"/>
      <c r="Z807" s="254"/>
      <c r="AA807" s="254"/>
      <c r="AB807" s="254"/>
      <c r="AC807" s="254"/>
    </row>
    <row r="808" ht="12.75" customHeight="1" spans="1:29">
      <c r="A808" s="254"/>
      <c r="B808" s="254"/>
      <c r="C808" s="254"/>
      <c r="D808" s="276"/>
      <c r="E808" s="254"/>
      <c r="F808" s="254"/>
      <c r="G808" s="254"/>
      <c r="H808" s="254"/>
      <c r="I808" s="254"/>
      <c r="J808" s="254"/>
      <c r="K808" s="254"/>
      <c r="L808" s="254"/>
      <c r="M808" s="254"/>
      <c r="N808" s="254"/>
      <c r="O808" s="254"/>
      <c r="P808" s="254"/>
      <c r="Q808" s="254"/>
      <c r="R808" s="254"/>
      <c r="S808" s="254"/>
      <c r="T808" s="254"/>
      <c r="U808" s="254"/>
      <c r="V808" s="254"/>
      <c r="W808" s="254"/>
      <c r="X808" s="254"/>
      <c r="Y808" s="254"/>
      <c r="Z808" s="254"/>
      <c r="AA808" s="254"/>
      <c r="AB808" s="254"/>
      <c r="AC808" s="254"/>
    </row>
    <row r="809" ht="12.75" customHeight="1" spans="1:29">
      <c r="A809" s="254"/>
      <c r="B809" s="254"/>
      <c r="C809" s="254"/>
      <c r="D809" s="276"/>
      <c r="E809" s="254"/>
      <c r="F809" s="254"/>
      <c r="G809" s="254"/>
      <c r="H809" s="254"/>
      <c r="I809" s="254"/>
      <c r="J809" s="254"/>
      <c r="K809" s="254"/>
      <c r="L809" s="254"/>
      <c r="M809" s="254"/>
      <c r="N809" s="254"/>
      <c r="O809" s="254"/>
      <c r="P809" s="254"/>
      <c r="Q809" s="254"/>
      <c r="R809" s="254"/>
      <c r="S809" s="254"/>
      <c r="T809" s="254"/>
      <c r="U809" s="254"/>
      <c r="V809" s="254"/>
      <c r="W809" s="254"/>
      <c r="X809" s="254"/>
      <c r="Y809" s="254"/>
      <c r="Z809" s="254"/>
      <c r="AA809" s="254"/>
      <c r="AB809" s="254"/>
      <c r="AC809" s="254"/>
    </row>
    <row r="810" ht="12.75" customHeight="1" spans="1:29">
      <c r="A810" s="254"/>
      <c r="B810" s="254"/>
      <c r="C810" s="254"/>
      <c r="D810" s="276"/>
      <c r="E810" s="254"/>
      <c r="F810" s="254"/>
      <c r="G810" s="254"/>
      <c r="H810" s="254"/>
      <c r="I810" s="254"/>
      <c r="J810" s="254"/>
      <c r="K810" s="254"/>
      <c r="L810" s="254"/>
      <c r="M810" s="254"/>
      <c r="N810" s="254"/>
      <c r="O810" s="254"/>
      <c r="P810" s="254"/>
      <c r="Q810" s="254"/>
      <c r="R810" s="254"/>
      <c r="S810" s="254"/>
      <c r="T810" s="254"/>
      <c r="U810" s="254"/>
      <c r="V810" s="254"/>
      <c r="W810" s="254"/>
      <c r="X810" s="254"/>
      <c r="Y810" s="254"/>
      <c r="Z810" s="254"/>
      <c r="AA810" s="254"/>
      <c r="AB810" s="254"/>
      <c r="AC810" s="254"/>
    </row>
    <row r="811" ht="12.75" customHeight="1" spans="1:29">
      <c r="A811" s="254"/>
      <c r="B811" s="254"/>
      <c r="C811" s="254"/>
      <c r="D811" s="276"/>
      <c r="E811" s="254"/>
      <c r="F811" s="254"/>
      <c r="G811" s="254"/>
      <c r="H811" s="254"/>
      <c r="I811" s="254"/>
      <c r="J811" s="254"/>
      <c r="K811" s="254"/>
      <c r="L811" s="254"/>
      <c r="M811" s="254"/>
      <c r="N811" s="254"/>
      <c r="O811" s="254"/>
      <c r="P811" s="254"/>
      <c r="Q811" s="254"/>
      <c r="R811" s="254"/>
      <c r="S811" s="254"/>
      <c r="T811" s="254"/>
      <c r="U811" s="254"/>
      <c r="V811" s="254"/>
      <c r="W811" s="254"/>
      <c r="X811" s="254"/>
      <c r="Y811" s="254"/>
      <c r="Z811" s="254"/>
      <c r="AA811" s="254"/>
      <c r="AB811" s="254"/>
      <c r="AC811" s="254"/>
    </row>
    <row r="812" ht="12.75" customHeight="1" spans="1:29">
      <c r="A812" s="254"/>
      <c r="B812" s="254"/>
      <c r="C812" s="254"/>
      <c r="D812" s="276"/>
      <c r="E812" s="254"/>
      <c r="F812" s="254"/>
      <c r="G812" s="254"/>
      <c r="H812" s="254"/>
      <c r="I812" s="254"/>
      <c r="J812" s="254"/>
      <c r="K812" s="254"/>
      <c r="L812" s="254"/>
      <c r="M812" s="254"/>
      <c r="N812" s="254"/>
      <c r="O812" s="254"/>
      <c r="P812" s="254"/>
      <c r="Q812" s="254"/>
      <c r="R812" s="254"/>
      <c r="S812" s="254"/>
      <c r="T812" s="254"/>
      <c r="U812" s="254"/>
      <c r="V812" s="254"/>
      <c r="W812" s="254"/>
      <c r="X812" s="254"/>
      <c r="Y812" s="254"/>
      <c r="Z812" s="254"/>
      <c r="AA812" s="254"/>
      <c r="AB812" s="254"/>
      <c r="AC812" s="254"/>
    </row>
    <row r="813" ht="12.75" customHeight="1" spans="1:29">
      <c r="A813" s="254"/>
      <c r="B813" s="254"/>
      <c r="C813" s="254"/>
      <c r="D813" s="276"/>
      <c r="E813" s="254"/>
      <c r="F813" s="254"/>
      <c r="G813" s="254"/>
      <c r="H813" s="254"/>
      <c r="I813" s="254"/>
      <c r="J813" s="254"/>
      <c r="K813" s="254"/>
      <c r="L813" s="254"/>
      <c r="M813" s="254"/>
      <c r="N813" s="254"/>
      <c r="O813" s="254"/>
      <c r="P813" s="254"/>
      <c r="Q813" s="254"/>
      <c r="R813" s="254"/>
      <c r="S813" s="254"/>
      <c r="T813" s="254"/>
      <c r="U813" s="254"/>
      <c r="V813" s="254"/>
      <c r="W813" s="254"/>
      <c r="X813" s="254"/>
      <c r="Y813" s="254"/>
      <c r="Z813" s="254"/>
      <c r="AA813" s="254"/>
      <c r="AB813" s="254"/>
      <c r="AC813" s="254"/>
    </row>
    <row r="814" ht="12.75" customHeight="1" spans="1:29">
      <c r="A814" s="254"/>
      <c r="B814" s="254"/>
      <c r="C814" s="254"/>
      <c r="D814" s="276"/>
      <c r="E814" s="254"/>
      <c r="F814" s="254"/>
      <c r="G814" s="254"/>
      <c r="H814" s="254"/>
      <c r="I814" s="254"/>
      <c r="J814" s="254"/>
      <c r="K814" s="254"/>
      <c r="L814" s="254"/>
      <c r="M814" s="254"/>
      <c r="N814" s="254"/>
      <c r="O814" s="254"/>
      <c r="P814" s="254"/>
      <c r="Q814" s="254"/>
      <c r="R814" s="254"/>
      <c r="S814" s="254"/>
      <c r="T814" s="254"/>
      <c r="U814" s="254"/>
      <c r="V814" s="254"/>
      <c r="W814" s="254"/>
      <c r="X814" s="254"/>
      <c r="Y814" s="254"/>
      <c r="Z814" s="254"/>
      <c r="AA814" s="254"/>
      <c r="AB814" s="254"/>
      <c r="AC814" s="254"/>
    </row>
    <row r="815" ht="12.75" customHeight="1" spans="1:29">
      <c r="A815" s="254"/>
      <c r="B815" s="254"/>
      <c r="C815" s="254"/>
      <c r="D815" s="276"/>
      <c r="E815" s="254"/>
      <c r="F815" s="254"/>
      <c r="G815" s="254"/>
      <c r="H815" s="254"/>
      <c r="I815" s="254"/>
      <c r="J815" s="254"/>
      <c r="K815" s="254"/>
      <c r="L815" s="254"/>
      <c r="M815" s="254"/>
      <c r="N815" s="254"/>
      <c r="O815" s="254"/>
      <c r="P815" s="254"/>
      <c r="Q815" s="254"/>
      <c r="R815" s="254"/>
      <c r="S815" s="254"/>
      <c r="T815" s="254"/>
      <c r="U815" s="254"/>
      <c r="V815" s="254"/>
      <c r="W815" s="254"/>
      <c r="X815" s="254"/>
      <c r="Y815" s="254"/>
      <c r="Z815" s="254"/>
      <c r="AA815" s="254"/>
      <c r="AB815" s="254"/>
      <c r="AC815" s="254"/>
    </row>
    <row r="816" ht="12.75" customHeight="1" spans="1:29">
      <c r="A816" s="254"/>
      <c r="B816" s="254"/>
      <c r="C816" s="254"/>
      <c r="D816" s="276"/>
      <c r="E816" s="254"/>
      <c r="F816" s="254"/>
      <c r="G816" s="254"/>
      <c r="H816" s="254"/>
      <c r="I816" s="254"/>
      <c r="J816" s="254"/>
      <c r="K816" s="254"/>
      <c r="L816" s="254"/>
      <c r="M816" s="254"/>
      <c r="N816" s="254"/>
      <c r="O816" s="254"/>
      <c r="P816" s="254"/>
      <c r="Q816" s="254"/>
      <c r="R816" s="254"/>
      <c r="S816" s="254"/>
      <c r="T816" s="254"/>
      <c r="U816" s="254"/>
      <c r="V816" s="254"/>
      <c r="W816" s="254"/>
      <c r="X816" s="254"/>
      <c r="Y816" s="254"/>
      <c r="Z816" s="254"/>
      <c r="AA816" s="254"/>
      <c r="AB816" s="254"/>
      <c r="AC816" s="254"/>
    </row>
    <row r="817" ht="12.75" customHeight="1" spans="1:29">
      <c r="A817" s="254"/>
      <c r="B817" s="254"/>
      <c r="C817" s="254"/>
      <c r="D817" s="276"/>
      <c r="E817" s="254"/>
      <c r="F817" s="254"/>
      <c r="G817" s="254"/>
      <c r="H817" s="254"/>
      <c r="I817" s="254"/>
      <c r="J817" s="254"/>
      <c r="K817" s="254"/>
      <c r="L817" s="254"/>
      <c r="M817" s="254"/>
      <c r="N817" s="254"/>
      <c r="O817" s="254"/>
      <c r="P817" s="254"/>
      <c r="Q817" s="254"/>
      <c r="R817" s="254"/>
      <c r="S817" s="254"/>
      <c r="T817" s="254"/>
      <c r="U817" s="254"/>
      <c r="V817" s="254"/>
      <c r="W817" s="254"/>
      <c r="X817" s="254"/>
      <c r="Y817" s="254"/>
      <c r="Z817" s="254"/>
      <c r="AA817" s="254"/>
      <c r="AB817" s="254"/>
      <c r="AC817" s="254"/>
    </row>
    <row r="818" ht="12.75" customHeight="1" spans="1:29">
      <c r="A818" s="254"/>
      <c r="B818" s="254"/>
      <c r="C818" s="254"/>
      <c r="D818" s="276"/>
      <c r="E818" s="254"/>
      <c r="F818" s="254"/>
      <c r="G818" s="254"/>
      <c r="H818" s="254"/>
      <c r="I818" s="254"/>
      <c r="J818" s="254"/>
      <c r="K818" s="254"/>
      <c r="L818" s="254"/>
      <c r="M818" s="254"/>
      <c r="N818" s="254"/>
      <c r="O818" s="254"/>
      <c r="P818" s="254"/>
      <c r="Q818" s="254"/>
      <c r="R818" s="254"/>
      <c r="S818" s="254"/>
      <c r="T818" s="254"/>
      <c r="U818" s="254"/>
      <c r="V818" s="254"/>
      <c r="W818" s="254"/>
      <c r="X818" s="254"/>
      <c r="Y818" s="254"/>
      <c r="Z818" s="254"/>
      <c r="AA818" s="254"/>
      <c r="AB818" s="254"/>
      <c r="AC818" s="254"/>
    </row>
    <row r="819" ht="12.75" customHeight="1" spans="1:29">
      <c r="A819" s="254"/>
      <c r="B819" s="254"/>
      <c r="C819" s="254"/>
      <c r="D819" s="276"/>
      <c r="E819" s="254"/>
      <c r="F819" s="254"/>
      <c r="G819" s="254"/>
      <c r="H819" s="254"/>
      <c r="I819" s="254"/>
      <c r="J819" s="254"/>
      <c r="K819" s="254"/>
      <c r="L819" s="254"/>
      <c r="M819" s="254"/>
      <c r="N819" s="254"/>
      <c r="O819" s="254"/>
      <c r="P819" s="254"/>
      <c r="Q819" s="254"/>
      <c r="R819" s="254"/>
      <c r="S819" s="254"/>
      <c r="T819" s="254"/>
      <c r="U819" s="254"/>
      <c r="V819" s="254"/>
      <c r="W819" s="254"/>
      <c r="X819" s="254"/>
      <c r="Y819" s="254"/>
      <c r="Z819" s="254"/>
      <c r="AA819" s="254"/>
      <c r="AB819" s="254"/>
      <c r="AC819" s="254"/>
    </row>
    <row r="820" ht="12.75" customHeight="1" spans="1:29">
      <c r="A820" s="254"/>
      <c r="B820" s="254"/>
      <c r="C820" s="254"/>
      <c r="D820" s="276"/>
      <c r="E820" s="254"/>
      <c r="F820" s="254"/>
      <c r="G820" s="254"/>
      <c r="H820" s="254"/>
      <c r="I820" s="254"/>
      <c r="J820" s="254"/>
      <c r="K820" s="254"/>
      <c r="L820" s="254"/>
      <c r="M820" s="254"/>
      <c r="N820" s="254"/>
      <c r="O820" s="254"/>
      <c r="P820" s="254"/>
      <c r="Q820" s="254"/>
      <c r="R820" s="254"/>
      <c r="S820" s="254"/>
      <c r="T820" s="254"/>
      <c r="U820" s="254"/>
      <c r="V820" s="254"/>
      <c r="W820" s="254"/>
      <c r="X820" s="254"/>
      <c r="Y820" s="254"/>
      <c r="Z820" s="254"/>
      <c r="AA820" s="254"/>
      <c r="AB820" s="254"/>
      <c r="AC820" s="254"/>
    </row>
    <row r="821" ht="12.75" customHeight="1" spans="1:29">
      <c r="A821" s="254"/>
      <c r="B821" s="254"/>
      <c r="C821" s="254"/>
      <c r="D821" s="276"/>
      <c r="E821" s="254"/>
      <c r="F821" s="254"/>
      <c r="G821" s="254"/>
      <c r="H821" s="254"/>
      <c r="I821" s="254"/>
      <c r="J821" s="254"/>
      <c r="K821" s="254"/>
      <c r="L821" s="254"/>
      <c r="M821" s="254"/>
      <c r="N821" s="254"/>
      <c r="O821" s="254"/>
      <c r="P821" s="254"/>
      <c r="Q821" s="254"/>
      <c r="R821" s="254"/>
      <c r="S821" s="254"/>
      <c r="T821" s="254"/>
      <c r="U821" s="254"/>
      <c r="V821" s="254"/>
      <c r="W821" s="254"/>
      <c r="X821" s="254"/>
      <c r="Y821" s="254"/>
      <c r="Z821" s="254"/>
      <c r="AA821" s="254"/>
      <c r="AB821" s="254"/>
      <c r="AC821" s="254"/>
    </row>
    <row r="822" ht="12.75" customHeight="1" spans="1:29">
      <c r="A822" s="254"/>
      <c r="B822" s="254"/>
      <c r="C822" s="254"/>
      <c r="D822" s="276"/>
      <c r="E822" s="254"/>
      <c r="F822" s="254"/>
      <c r="G822" s="254"/>
      <c r="H822" s="254"/>
      <c r="I822" s="254"/>
      <c r="J822" s="254"/>
      <c r="K822" s="254"/>
      <c r="L822" s="254"/>
      <c r="M822" s="254"/>
      <c r="N822" s="254"/>
      <c r="O822" s="254"/>
      <c r="P822" s="254"/>
      <c r="Q822" s="254"/>
      <c r="R822" s="254"/>
      <c r="S822" s="254"/>
      <c r="T822" s="254"/>
      <c r="U822" s="254"/>
      <c r="V822" s="254"/>
      <c r="W822" s="254"/>
      <c r="X822" s="254"/>
      <c r="Y822" s="254"/>
      <c r="Z822" s="254"/>
      <c r="AA822" s="254"/>
      <c r="AB822" s="254"/>
      <c r="AC822" s="254"/>
    </row>
    <row r="823" ht="12.75" customHeight="1" spans="1:29">
      <c r="A823" s="254"/>
      <c r="B823" s="254"/>
      <c r="C823" s="254"/>
      <c r="D823" s="276"/>
      <c r="E823" s="254"/>
      <c r="F823" s="254"/>
      <c r="G823" s="254"/>
      <c r="H823" s="254"/>
      <c r="I823" s="254"/>
      <c r="J823" s="254"/>
      <c r="K823" s="254"/>
      <c r="L823" s="254"/>
      <c r="M823" s="254"/>
      <c r="N823" s="254"/>
      <c r="O823" s="254"/>
      <c r="P823" s="254"/>
      <c r="Q823" s="254"/>
      <c r="R823" s="254"/>
      <c r="S823" s="254"/>
      <c r="T823" s="254"/>
      <c r="U823" s="254"/>
      <c r="V823" s="254"/>
      <c r="W823" s="254"/>
      <c r="X823" s="254"/>
      <c r="Y823" s="254"/>
      <c r="Z823" s="254"/>
      <c r="AA823" s="254"/>
      <c r="AB823" s="254"/>
      <c r="AC823" s="254"/>
    </row>
    <row r="824" ht="12.75" customHeight="1" spans="1:29">
      <c r="A824" s="254"/>
      <c r="B824" s="254"/>
      <c r="C824" s="254"/>
      <c r="D824" s="276"/>
      <c r="E824" s="254"/>
      <c r="F824" s="254"/>
      <c r="G824" s="254"/>
      <c r="H824" s="254"/>
      <c r="I824" s="254"/>
      <c r="J824" s="254"/>
      <c r="K824" s="254"/>
      <c r="L824" s="254"/>
      <c r="M824" s="254"/>
      <c r="N824" s="254"/>
      <c r="O824" s="254"/>
      <c r="P824" s="254"/>
      <c r="Q824" s="254"/>
      <c r="R824" s="254"/>
      <c r="S824" s="254"/>
      <c r="T824" s="254"/>
      <c r="U824" s="254"/>
      <c r="V824" s="254"/>
      <c r="W824" s="254"/>
      <c r="X824" s="254"/>
      <c r="Y824" s="254"/>
      <c r="Z824" s="254"/>
      <c r="AA824" s="254"/>
      <c r="AB824" s="254"/>
      <c r="AC824" s="254"/>
    </row>
    <row r="825" ht="12.75" customHeight="1" spans="1:29">
      <c r="A825" s="254"/>
      <c r="B825" s="254"/>
      <c r="C825" s="254"/>
      <c r="D825" s="276"/>
      <c r="E825" s="254"/>
      <c r="F825" s="254"/>
      <c r="G825" s="254"/>
      <c r="H825" s="254"/>
      <c r="I825" s="254"/>
      <c r="J825" s="254"/>
      <c r="K825" s="254"/>
      <c r="L825" s="254"/>
      <c r="M825" s="254"/>
      <c r="N825" s="254"/>
      <c r="O825" s="254"/>
      <c r="P825" s="254"/>
      <c r="Q825" s="254"/>
      <c r="R825" s="254"/>
      <c r="S825" s="254"/>
      <c r="T825" s="254"/>
      <c r="U825" s="254"/>
      <c r="V825" s="254"/>
      <c r="W825" s="254"/>
      <c r="X825" s="254"/>
      <c r="Y825" s="254"/>
      <c r="Z825" s="254"/>
      <c r="AA825" s="254"/>
      <c r="AB825" s="254"/>
      <c r="AC825" s="254"/>
    </row>
    <row r="826" ht="12.75" customHeight="1" spans="1:29">
      <c r="A826" s="254"/>
      <c r="B826" s="254"/>
      <c r="C826" s="254"/>
      <c r="D826" s="276"/>
      <c r="E826" s="254"/>
      <c r="F826" s="254"/>
      <c r="G826" s="254"/>
      <c r="H826" s="254"/>
      <c r="I826" s="254"/>
      <c r="J826" s="254"/>
      <c r="K826" s="254"/>
      <c r="L826" s="254"/>
      <c r="M826" s="254"/>
      <c r="N826" s="254"/>
      <c r="O826" s="254"/>
      <c r="P826" s="254"/>
      <c r="Q826" s="254"/>
      <c r="R826" s="254"/>
      <c r="S826" s="254"/>
      <c r="T826" s="254"/>
      <c r="U826" s="254"/>
      <c r="V826" s="254"/>
      <c r="W826" s="254"/>
      <c r="X826" s="254"/>
      <c r="Y826" s="254"/>
      <c r="Z826" s="254"/>
      <c r="AA826" s="254"/>
      <c r="AB826" s="254"/>
      <c r="AC826" s="254"/>
    </row>
    <row r="827" ht="12.75" customHeight="1" spans="1:29">
      <c r="A827" s="254"/>
      <c r="B827" s="254"/>
      <c r="C827" s="254"/>
      <c r="D827" s="276"/>
      <c r="E827" s="254"/>
      <c r="F827" s="254"/>
      <c r="G827" s="254"/>
      <c r="H827" s="254"/>
      <c r="I827" s="254"/>
      <c r="J827" s="254"/>
      <c r="K827" s="254"/>
      <c r="L827" s="254"/>
      <c r="M827" s="254"/>
      <c r="N827" s="254"/>
      <c r="O827" s="254"/>
      <c r="P827" s="254"/>
      <c r="Q827" s="254"/>
      <c r="R827" s="254"/>
      <c r="S827" s="254"/>
      <c r="T827" s="254"/>
      <c r="U827" s="254"/>
      <c r="V827" s="254"/>
      <c r="W827" s="254"/>
      <c r="X827" s="254"/>
      <c r="Y827" s="254"/>
      <c r="Z827" s="254"/>
      <c r="AA827" s="254"/>
      <c r="AB827" s="254"/>
      <c r="AC827" s="254"/>
    </row>
    <row r="828" ht="12.75" customHeight="1" spans="1:29">
      <c r="A828" s="254"/>
      <c r="B828" s="254"/>
      <c r="C828" s="254"/>
      <c r="D828" s="276"/>
      <c r="E828" s="254"/>
      <c r="F828" s="254"/>
      <c r="G828" s="254"/>
      <c r="H828" s="254"/>
      <c r="I828" s="254"/>
      <c r="J828" s="254"/>
      <c r="K828" s="254"/>
      <c r="L828" s="254"/>
      <c r="M828" s="254"/>
      <c r="N828" s="254"/>
      <c r="O828" s="254"/>
      <c r="P828" s="254"/>
      <c r="Q828" s="254"/>
      <c r="R828" s="254"/>
      <c r="S828" s="254"/>
      <c r="T828" s="254"/>
      <c r="U828" s="254"/>
      <c r="V828" s="254"/>
      <c r="W828" s="254"/>
      <c r="X828" s="254"/>
      <c r="Y828" s="254"/>
      <c r="Z828" s="254"/>
      <c r="AA828" s="254"/>
      <c r="AB828" s="254"/>
      <c r="AC828" s="254"/>
    </row>
    <row r="829" ht="12.75" customHeight="1" spans="1:29">
      <c r="A829" s="254"/>
      <c r="B829" s="254"/>
      <c r="C829" s="254"/>
      <c r="D829" s="276"/>
      <c r="E829" s="254"/>
      <c r="F829" s="254"/>
      <c r="G829" s="254"/>
      <c r="H829" s="254"/>
      <c r="I829" s="254"/>
      <c r="J829" s="254"/>
      <c r="K829" s="254"/>
      <c r="L829" s="254"/>
      <c r="M829" s="254"/>
      <c r="N829" s="254"/>
      <c r="O829" s="254"/>
      <c r="P829" s="254"/>
      <c r="Q829" s="254"/>
      <c r="R829" s="254"/>
      <c r="S829" s="254"/>
      <c r="T829" s="254"/>
      <c r="U829" s="254"/>
      <c r="V829" s="254"/>
      <c r="W829" s="254"/>
      <c r="X829" s="254"/>
      <c r="Y829" s="254"/>
      <c r="Z829" s="254"/>
      <c r="AA829" s="254"/>
      <c r="AB829" s="254"/>
      <c r="AC829" s="254"/>
    </row>
    <row r="830" ht="12.75" customHeight="1" spans="1:29">
      <c r="A830" s="254"/>
      <c r="B830" s="254"/>
      <c r="C830" s="254"/>
      <c r="D830" s="276"/>
      <c r="E830" s="254"/>
      <c r="F830" s="254"/>
      <c r="G830" s="254"/>
      <c r="H830" s="254"/>
      <c r="I830" s="254"/>
      <c r="J830" s="254"/>
      <c r="K830" s="254"/>
      <c r="L830" s="254"/>
      <c r="M830" s="254"/>
      <c r="N830" s="254"/>
      <c r="O830" s="254"/>
      <c r="P830" s="254"/>
      <c r="Q830" s="254"/>
      <c r="R830" s="254"/>
      <c r="S830" s="254"/>
      <c r="T830" s="254"/>
      <c r="U830" s="254"/>
      <c r="V830" s="254"/>
      <c r="W830" s="254"/>
      <c r="X830" s="254"/>
      <c r="Y830" s="254"/>
      <c r="Z830" s="254"/>
      <c r="AA830" s="254"/>
      <c r="AB830" s="254"/>
      <c r="AC830" s="254"/>
    </row>
    <row r="831" ht="12.75" customHeight="1" spans="1:29">
      <c r="A831" s="254"/>
      <c r="B831" s="254"/>
      <c r="C831" s="254"/>
      <c r="D831" s="276"/>
      <c r="E831" s="254"/>
      <c r="F831" s="254"/>
      <c r="G831" s="254"/>
      <c r="H831" s="254"/>
      <c r="I831" s="254"/>
      <c r="J831" s="254"/>
      <c r="K831" s="254"/>
      <c r="L831" s="254"/>
      <c r="M831" s="254"/>
      <c r="N831" s="254"/>
      <c r="O831" s="254"/>
      <c r="P831" s="254"/>
      <c r="Q831" s="254"/>
      <c r="R831" s="254"/>
      <c r="S831" s="254"/>
      <c r="T831" s="254"/>
      <c r="U831" s="254"/>
      <c r="V831" s="254"/>
      <c r="W831" s="254"/>
      <c r="X831" s="254"/>
      <c r="Y831" s="254"/>
      <c r="Z831" s="254"/>
      <c r="AA831" s="254"/>
      <c r="AB831" s="254"/>
      <c r="AC831" s="254"/>
    </row>
    <row r="832" ht="12.75" customHeight="1" spans="1:29">
      <c r="A832" s="254"/>
      <c r="B832" s="254"/>
      <c r="C832" s="254"/>
      <c r="D832" s="276"/>
      <c r="E832" s="254"/>
      <c r="F832" s="254"/>
      <c r="G832" s="254"/>
      <c r="H832" s="254"/>
      <c r="I832" s="254"/>
      <c r="J832" s="254"/>
      <c r="K832" s="254"/>
      <c r="L832" s="254"/>
      <c r="M832" s="254"/>
      <c r="N832" s="254"/>
      <c r="O832" s="254"/>
      <c r="P832" s="254"/>
      <c r="Q832" s="254"/>
      <c r="R832" s="254"/>
      <c r="S832" s="254"/>
      <c r="T832" s="254"/>
      <c r="U832" s="254"/>
      <c r="V832" s="254"/>
      <c r="W832" s="254"/>
      <c r="X832" s="254"/>
      <c r="Y832" s="254"/>
      <c r="Z832" s="254"/>
      <c r="AA832" s="254"/>
      <c r="AB832" s="254"/>
      <c r="AC832" s="254"/>
    </row>
    <row r="833" ht="12.75" customHeight="1" spans="1:29">
      <c r="A833" s="254"/>
      <c r="B833" s="254"/>
      <c r="C833" s="254"/>
      <c r="D833" s="276"/>
      <c r="E833" s="254"/>
      <c r="F833" s="254"/>
      <c r="G833" s="254"/>
      <c r="H833" s="254"/>
      <c r="I833" s="254"/>
      <c r="J833" s="254"/>
      <c r="K833" s="254"/>
      <c r="L833" s="254"/>
      <c r="M833" s="254"/>
      <c r="N833" s="254"/>
      <c r="O833" s="254"/>
      <c r="P833" s="254"/>
      <c r="Q833" s="254"/>
      <c r="R833" s="254"/>
      <c r="S833" s="254"/>
      <c r="T833" s="254"/>
      <c r="U833" s="254"/>
      <c r="V833" s="254"/>
      <c r="W833" s="254"/>
      <c r="X833" s="254"/>
      <c r="Y833" s="254"/>
      <c r="Z833" s="254"/>
      <c r="AA833" s="254"/>
      <c r="AB833" s="254"/>
      <c r="AC833" s="254"/>
    </row>
    <row r="834" ht="12.75" customHeight="1" spans="1:29">
      <c r="A834" s="254"/>
      <c r="B834" s="254"/>
      <c r="C834" s="254"/>
      <c r="D834" s="276"/>
      <c r="E834" s="254"/>
      <c r="F834" s="254"/>
      <c r="G834" s="254"/>
      <c r="H834" s="254"/>
      <c r="I834" s="254"/>
      <c r="J834" s="254"/>
      <c r="K834" s="254"/>
      <c r="L834" s="254"/>
      <c r="M834" s="254"/>
      <c r="N834" s="254"/>
      <c r="O834" s="254"/>
      <c r="P834" s="254"/>
      <c r="Q834" s="254"/>
      <c r="R834" s="254"/>
      <c r="S834" s="254"/>
      <c r="T834" s="254"/>
      <c r="U834" s="254"/>
      <c r="V834" s="254"/>
      <c r="W834" s="254"/>
      <c r="X834" s="254"/>
      <c r="Y834" s="254"/>
      <c r="Z834" s="254"/>
      <c r="AA834" s="254"/>
      <c r="AB834" s="254"/>
      <c r="AC834" s="254"/>
    </row>
    <row r="835" ht="12.75" customHeight="1" spans="1:29">
      <c r="A835" s="254"/>
      <c r="B835" s="254"/>
      <c r="C835" s="254"/>
      <c r="D835" s="276"/>
      <c r="E835" s="254"/>
      <c r="F835" s="254"/>
      <c r="G835" s="254"/>
      <c r="H835" s="254"/>
      <c r="I835" s="254"/>
      <c r="J835" s="254"/>
      <c r="K835" s="254"/>
      <c r="L835" s="254"/>
      <c r="M835" s="254"/>
      <c r="N835" s="254"/>
      <c r="O835" s="254"/>
      <c r="P835" s="254"/>
      <c r="Q835" s="254"/>
      <c r="R835" s="254"/>
      <c r="S835" s="254"/>
      <c r="T835" s="254"/>
      <c r="U835" s="254"/>
      <c r="V835" s="254"/>
      <c r="W835" s="254"/>
      <c r="X835" s="254"/>
      <c r="Y835" s="254"/>
      <c r="Z835" s="254"/>
      <c r="AA835" s="254"/>
      <c r="AB835" s="254"/>
      <c r="AC835" s="254"/>
    </row>
    <row r="836" ht="12.75" customHeight="1" spans="1:29">
      <c r="A836" s="254"/>
      <c r="B836" s="254"/>
      <c r="C836" s="254"/>
      <c r="D836" s="276"/>
      <c r="E836" s="254"/>
      <c r="F836" s="254"/>
      <c r="G836" s="254"/>
      <c r="H836" s="254"/>
      <c r="I836" s="254"/>
      <c r="J836" s="254"/>
      <c r="K836" s="254"/>
      <c r="L836" s="254"/>
      <c r="M836" s="254"/>
      <c r="N836" s="254"/>
      <c r="O836" s="254"/>
      <c r="P836" s="254"/>
      <c r="Q836" s="254"/>
      <c r="R836" s="254"/>
      <c r="S836" s="254"/>
      <c r="T836" s="254"/>
      <c r="U836" s="254"/>
      <c r="V836" s="254"/>
      <c r="W836" s="254"/>
      <c r="X836" s="254"/>
      <c r="Y836" s="254"/>
      <c r="Z836" s="254"/>
      <c r="AA836" s="254"/>
      <c r="AB836" s="254"/>
      <c r="AC836" s="254"/>
    </row>
    <row r="837" ht="12.75" customHeight="1" spans="1:29">
      <c r="A837" s="254"/>
      <c r="B837" s="254"/>
      <c r="C837" s="254"/>
      <c r="D837" s="276"/>
      <c r="E837" s="254"/>
      <c r="F837" s="254"/>
      <c r="G837" s="254"/>
      <c r="H837" s="254"/>
      <c r="I837" s="254"/>
      <c r="J837" s="254"/>
      <c r="K837" s="254"/>
      <c r="L837" s="254"/>
      <c r="M837" s="254"/>
      <c r="N837" s="254"/>
      <c r="O837" s="254"/>
      <c r="P837" s="254"/>
      <c r="Q837" s="254"/>
      <c r="R837" s="254"/>
      <c r="S837" s="254"/>
      <c r="T837" s="254"/>
      <c r="U837" s="254"/>
      <c r="V837" s="254"/>
      <c r="W837" s="254"/>
      <c r="X837" s="254"/>
      <c r="Y837" s="254"/>
      <c r="Z837" s="254"/>
      <c r="AA837" s="254"/>
      <c r="AB837" s="254"/>
      <c r="AC837" s="254"/>
    </row>
    <row r="838" ht="12.75" customHeight="1" spans="1:29">
      <c r="A838" s="254"/>
      <c r="B838" s="254"/>
      <c r="C838" s="254"/>
      <c r="D838" s="276"/>
      <c r="E838" s="254"/>
      <c r="F838" s="254"/>
      <c r="G838" s="254"/>
      <c r="H838" s="254"/>
      <c r="I838" s="254"/>
      <c r="J838" s="254"/>
      <c r="K838" s="254"/>
      <c r="L838" s="254"/>
      <c r="M838" s="254"/>
      <c r="N838" s="254"/>
      <c r="O838" s="254"/>
      <c r="P838" s="254"/>
      <c r="Q838" s="254"/>
      <c r="R838" s="254"/>
      <c r="S838" s="254"/>
      <c r="T838" s="254"/>
      <c r="U838" s="254"/>
      <c r="V838" s="254"/>
      <c r="W838" s="254"/>
      <c r="X838" s="254"/>
      <c r="Y838" s="254"/>
      <c r="Z838" s="254"/>
      <c r="AA838" s="254"/>
      <c r="AB838" s="254"/>
      <c r="AC838" s="254"/>
    </row>
    <row r="839" ht="12.75" customHeight="1" spans="1:29">
      <c r="A839" s="254"/>
      <c r="B839" s="254"/>
      <c r="C839" s="254"/>
      <c r="D839" s="276"/>
      <c r="E839" s="254"/>
      <c r="F839" s="254"/>
      <c r="G839" s="254"/>
      <c r="H839" s="254"/>
      <c r="I839" s="254"/>
      <c r="J839" s="254"/>
      <c r="K839" s="254"/>
      <c r="L839" s="254"/>
      <c r="M839" s="254"/>
      <c r="N839" s="254"/>
      <c r="O839" s="254"/>
      <c r="P839" s="254"/>
      <c r="Q839" s="254"/>
      <c r="R839" s="254"/>
      <c r="S839" s="254"/>
      <c r="T839" s="254"/>
      <c r="U839" s="254"/>
      <c r="V839" s="254"/>
      <c r="W839" s="254"/>
      <c r="X839" s="254"/>
      <c r="Y839" s="254"/>
      <c r="Z839" s="254"/>
      <c r="AA839" s="254"/>
      <c r="AB839" s="254"/>
      <c r="AC839" s="254"/>
    </row>
    <row r="840" ht="12.75" customHeight="1" spans="1:29">
      <c r="A840" s="254"/>
      <c r="B840" s="254"/>
      <c r="C840" s="254"/>
      <c r="D840" s="276"/>
      <c r="E840" s="254"/>
      <c r="F840" s="254"/>
      <c r="G840" s="254"/>
      <c r="H840" s="254"/>
      <c r="I840" s="254"/>
      <c r="J840" s="254"/>
      <c r="K840" s="254"/>
      <c r="L840" s="254"/>
      <c r="M840" s="254"/>
      <c r="N840" s="254"/>
      <c r="O840" s="254"/>
      <c r="P840" s="254"/>
      <c r="Q840" s="254"/>
      <c r="R840" s="254"/>
      <c r="S840" s="254"/>
      <c r="T840" s="254"/>
      <c r="U840" s="254"/>
      <c r="V840" s="254"/>
      <c r="W840" s="254"/>
      <c r="X840" s="254"/>
      <c r="Y840" s="254"/>
      <c r="Z840" s="254"/>
      <c r="AA840" s="254"/>
      <c r="AB840" s="254"/>
      <c r="AC840" s="254"/>
    </row>
    <row r="841" ht="12.75" customHeight="1" spans="1:29">
      <c r="A841" s="254"/>
      <c r="B841" s="254"/>
      <c r="C841" s="254"/>
      <c r="D841" s="276"/>
      <c r="E841" s="254"/>
      <c r="F841" s="254"/>
      <c r="G841" s="254"/>
      <c r="H841" s="254"/>
      <c r="I841" s="254"/>
      <c r="J841" s="254"/>
      <c r="K841" s="254"/>
      <c r="L841" s="254"/>
      <c r="M841" s="254"/>
      <c r="N841" s="254"/>
      <c r="O841" s="254"/>
      <c r="P841" s="254"/>
      <c r="Q841" s="254"/>
      <c r="R841" s="254"/>
      <c r="S841" s="254"/>
      <c r="T841" s="254"/>
      <c r="U841" s="254"/>
      <c r="V841" s="254"/>
      <c r="W841" s="254"/>
      <c r="X841" s="254"/>
      <c r="Y841" s="254"/>
      <c r="Z841" s="254"/>
      <c r="AA841" s="254"/>
      <c r="AB841" s="254"/>
      <c r="AC841" s="254"/>
    </row>
    <row r="842" ht="12.75" customHeight="1" spans="1:29">
      <c r="A842" s="254"/>
      <c r="B842" s="254"/>
      <c r="C842" s="254"/>
      <c r="D842" s="276"/>
      <c r="E842" s="254"/>
      <c r="F842" s="254"/>
      <c r="G842" s="254"/>
      <c r="H842" s="254"/>
      <c r="I842" s="254"/>
      <c r="J842" s="254"/>
      <c r="K842" s="254"/>
      <c r="L842" s="254"/>
      <c r="M842" s="254"/>
      <c r="N842" s="254"/>
      <c r="O842" s="254"/>
      <c r="P842" s="254"/>
      <c r="Q842" s="254"/>
      <c r="R842" s="254"/>
      <c r="S842" s="254"/>
      <c r="T842" s="254"/>
      <c r="U842" s="254"/>
      <c r="V842" s="254"/>
      <c r="W842" s="254"/>
      <c r="X842" s="254"/>
      <c r="Y842" s="254"/>
      <c r="Z842" s="254"/>
      <c r="AA842" s="254"/>
      <c r="AB842" s="254"/>
      <c r="AC842" s="254"/>
    </row>
    <row r="843" ht="12.75" customHeight="1" spans="1:29">
      <c r="A843" s="254"/>
      <c r="B843" s="254"/>
      <c r="C843" s="254"/>
      <c r="D843" s="276"/>
      <c r="E843" s="254"/>
      <c r="F843" s="254"/>
      <c r="G843" s="254"/>
      <c r="H843" s="254"/>
      <c r="I843" s="254"/>
      <c r="J843" s="254"/>
      <c r="K843" s="254"/>
      <c r="L843" s="254"/>
      <c r="M843" s="254"/>
      <c r="N843" s="254"/>
      <c r="O843" s="254"/>
      <c r="P843" s="254"/>
      <c r="Q843" s="254"/>
      <c r="R843" s="254"/>
      <c r="S843" s="254"/>
      <c r="T843" s="254"/>
      <c r="U843" s="254"/>
      <c r="V843" s="254"/>
      <c r="W843" s="254"/>
      <c r="X843" s="254"/>
      <c r="Y843" s="254"/>
      <c r="Z843" s="254"/>
      <c r="AA843" s="254"/>
      <c r="AB843" s="254"/>
      <c r="AC843" s="254"/>
    </row>
    <row r="844" ht="12.75" customHeight="1" spans="1:29">
      <c r="A844" s="254"/>
      <c r="B844" s="254"/>
      <c r="C844" s="254"/>
      <c r="D844" s="276"/>
      <c r="E844" s="254"/>
      <c r="F844" s="254"/>
      <c r="G844" s="254"/>
      <c r="H844" s="254"/>
      <c r="I844" s="254"/>
      <c r="J844" s="254"/>
      <c r="K844" s="254"/>
      <c r="L844" s="254"/>
      <c r="M844" s="254"/>
      <c r="N844" s="254"/>
      <c r="O844" s="254"/>
      <c r="P844" s="254"/>
      <c r="Q844" s="254"/>
      <c r="R844" s="254"/>
      <c r="S844" s="254"/>
      <c r="T844" s="254"/>
      <c r="U844" s="254"/>
      <c r="V844" s="254"/>
      <c r="W844" s="254"/>
      <c r="X844" s="254"/>
      <c r="Y844" s="254"/>
      <c r="Z844" s="254"/>
      <c r="AA844" s="254"/>
      <c r="AB844" s="254"/>
      <c r="AC844" s="254"/>
    </row>
    <row r="845" ht="12.75" customHeight="1" spans="1:29">
      <c r="A845" s="254"/>
      <c r="B845" s="254"/>
      <c r="C845" s="254"/>
      <c r="D845" s="276"/>
      <c r="E845" s="254"/>
      <c r="F845" s="254"/>
      <c r="G845" s="254"/>
      <c r="H845" s="254"/>
      <c r="I845" s="254"/>
      <c r="J845" s="254"/>
      <c r="K845" s="254"/>
      <c r="L845" s="254"/>
      <c r="M845" s="254"/>
      <c r="N845" s="254"/>
      <c r="O845" s="254"/>
      <c r="P845" s="254"/>
      <c r="Q845" s="254"/>
      <c r="R845" s="254"/>
      <c r="S845" s="254"/>
      <c r="T845" s="254"/>
      <c r="U845" s="254"/>
      <c r="V845" s="254"/>
      <c r="W845" s="254"/>
      <c r="X845" s="254"/>
      <c r="Y845" s="254"/>
      <c r="Z845" s="254"/>
      <c r="AA845" s="254"/>
      <c r="AB845" s="254"/>
      <c r="AC845" s="254"/>
    </row>
    <row r="846" ht="12.75" customHeight="1" spans="1:29">
      <c r="A846" s="254"/>
      <c r="B846" s="254"/>
      <c r="C846" s="254"/>
      <c r="D846" s="276"/>
      <c r="E846" s="254"/>
      <c r="F846" s="254"/>
      <c r="G846" s="254"/>
      <c r="H846" s="254"/>
      <c r="I846" s="254"/>
      <c r="J846" s="254"/>
      <c r="K846" s="254"/>
      <c r="L846" s="254"/>
      <c r="M846" s="254"/>
      <c r="N846" s="254"/>
      <c r="O846" s="254"/>
      <c r="P846" s="254"/>
      <c r="Q846" s="254"/>
      <c r="R846" s="254"/>
      <c r="S846" s="254"/>
      <c r="T846" s="254"/>
      <c r="U846" s="254"/>
      <c r="V846" s="254"/>
      <c r="W846" s="254"/>
      <c r="X846" s="254"/>
      <c r="Y846" s="254"/>
      <c r="Z846" s="254"/>
      <c r="AA846" s="254"/>
      <c r="AB846" s="254"/>
      <c r="AC846" s="254"/>
    </row>
    <row r="847" ht="12.75" customHeight="1" spans="1:29">
      <c r="A847" s="254"/>
      <c r="B847" s="254"/>
      <c r="C847" s="254"/>
      <c r="D847" s="276"/>
      <c r="E847" s="254"/>
      <c r="F847" s="254"/>
      <c r="G847" s="254"/>
      <c r="H847" s="254"/>
      <c r="I847" s="254"/>
      <c r="J847" s="254"/>
      <c r="K847" s="254"/>
      <c r="L847" s="254"/>
      <c r="M847" s="254"/>
      <c r="N847" s="254"/>
      <c r="O847" s="254"/>
      <c r="P847" s="254"/>
      <c r="Q847" s="254"/>
      <c r="R847" s="254"/>
      <c r="S847" s="254"/>
      <c r="T847" s="254"/>
      <c r="U847" s="254"/>
      <c r="V847" s="254"/>
      <c r="W847" s="254"/>
      <c r="X847" s="254"/>
      <c r="Y847" s="254"/>
      <c r="Z847" s="254"/>
      <c r="AA847" s="254"/>
      <c r="AB847" s="254"/>
      <c r="AC847" s="254"/>
    </row>
    <row r="848" ht="12.75" customHeight="1" spans="1:29">
      <c r="A848" s="254"/>
      <c r="B848" s="254"/>
      <c r="C848" s="254"/>
      <c r="D848" s="276"/>
      <c r="E848" s="254"/>
      <c r="F848" s="254"/>
      <c r="G848" s="254"/>
      <c r="H848" s="254"/>
      <c r="I848" s="254"/>
      <c r="J848" s="254"/>
      <c r="K848" s="254"/>
      <c r="L848" s="254"/>
      <c r="M848" s="254"/>
      <c r="N848" s="254"/>
      <c r="O848" s="254"/>
      <c r="P848" s="254"/>
      <c r="Q848" s="254"/>
      <c r="R848" s="254"/>
      <c r="S848" s="254"/>
      <c r="T848" s="254"/>
      <c r="U848" s="254"/>
      <c r="V848" s="254"/>
      <c r="W848" s="254"/>
      <c r="X848" s="254"/>
      <c r="Y848" s="254"/>
      <c r="Z848" s="254"/>
      <c r="AA848" s="254"/>
      <c r="AB848" s="254"/>
      <c r="AC848" s="254"/>
    </row>
    <row r="849" ht="12.75" customHeight="1" spans="1:29">
      <c r="A849" s="254"/>
      <c r="B849" s="254"/>
      <c r="C849" s="254"/>
      <c r="D849" s="276"/>
      <c r="E849" s="254"/>
      <c r="F849" s="254"/>
      <c r="G849" s="254"/>
      <c r="H849" s="254"/>
      <c r="I849" s="254"/>
      <c r="J849" s="254"/>
      <c r="K849" s="254"/>
      <c r="L849" s="254"/>
      <c r="M849" s="254"/>
      <c r="N849" s="254"/>
      <c r="O849" s="254"/>
      <c r="P849" s="254"/>
      <c r="Q849" s="254"/>
      <c r="R849" s="254"/>
      <c r="S849" s="254"/>
      <c r="T849" s="254"/>
      <c r="U849" s="254"/>
      <c r="V849" s="254"/>
      <c r="W849" s="254"/>
      <c r="X849" s="254"/>
      <c r="Y849" s="254"/>
      <c r="Z849" s="254"/>
      <c r="AA849" s="254"/>
      <c r="AB849" s="254"/>
      <c r="AC849" s="254"/>
    </row>
    <row r="850" ht="12.75" customHeight="1" spans="1:29">
      <c r="A850" s="254"/>
      <c r="B850" s="254"/>
      <c r="C850" s="254"/>
      <c r="D850" s="276"/>
      <c r="E850" s="254"/>
      <c r="F850" s="254"/>
      <c r="G850" s="254"/>
      <c r="H850" s="254"/>
      <c r="I850" s="254"/>
      <c r="J850" s="254"/>
      <c r="K850" s="254"/>
      <c r="L850" s="254"/>
      <c r="M850" s="254"/>
      <c r="N850" s="254"/>
      <c r="O850" s="254"/>
      <c r="P850" s="254"/>
      <c r="Q850" s="254"/>
      <c r="R850" s="254"/>
      <c r="S850" s="254"/>
      <c r="T850" s="254"/>
      <c r="U850" s="254"/>
      <c r="V850" s="254"/>
      <c r="W850" s="254"/>
      <c r="X850" s="254"/>
      <c r="Y850" s="254"/>
      <c r="Z850" s="254"/>
      <c r="AA850" s="254"/>
      <c r="AB850" s="254"/>
      <c r="AC850" s="254"/>
    </row>
    <row r="851" ht="12.75" customHeight="1" spans="1:29">
      <c r="A851" s="254"/>
      <c r="B851" s="254"/>
      <c r="C851" s="254"/>
      <c r="D851" s="276"/>
      <c r="E851" s="254"/>
      <c r="F851" s="254"/>
      <c r="G851" s="254"/>
      <c r="H851" s="254"/>
      <c r="I851" s="254"/>
      <c r="J851" s="254"/>
      <c r="K851" s="254"/>
      <c r="L851" s="254"/>
      <c r="M851" s="254"/>
      <c r="N851" s="254"/>
      <c r="O851" s="254"/>
      <c r="P851" s="254"/>
      <c r="Q851" s="254"/>
      <c r="R851" s="254"/>
      <c r="S851" s="254"/>
      <c r="T851" s="254"/>
      <c r="U851" s="254"/>
      <c r="V851" s="254"/>
      <c r="W851" s="254"/>
      <c r="X851" s="254"/>
      <c r="Y851" s="254"/>
      <c r="Z851" s="254"/>
      <c r="AA851" s="254"/>
      <c r="AB851" s="254"/>
      <c r="AC851" s="254"/>
    </row>
    <row r="852" ht="12.75" customHeight="1" spans="1:29">
      <c r="A852" s="254"/>
      <c r="B852" s="254"/>
      <c r="C852" s="254"/>
      <c r="D852" s="276"/>
      <c r="E852" s="254"/>
      <c r="F852" s="254"/>
      <c r="G852" s="254"/>
      <c r="H852" s="254"/>
      <c r="I852" s="254"/>
      <c r="J852" s="254"/>
      <c r="K852" s="254"/>
      <c r="L852" s="254"/>
      <c r="M852" s="254"/>
      <c r="N852" s="254"/>
      <c r="O852" s="254"/>
      <c r="P852" s="254"/>
      <c r="Q852" s="254"/>
      <c r="R852" s="254"/>
      <c r="S852" s="254"/>
      <c r="T852" s="254"/>
      <c r="U852" s="254"/>
      <c r="V852" s="254"/>
      <c r="W852" s="254"/>
      <c r="X852" s="254"/>
      <c r="Y852" s="254"/>
      <c r="Z852" s="254"/>
      <c r="AA852" s="254"/>
      <c r="AB852" s="254"/>
      <c r="AC852" s="254"/>
    </row>
    <row r="853" ht="12.75" customHeight="1" spans="1:29">
      <c r="A853" s="254"/>
      <c r="B853" s="254"/>
      <c r="C853" s="254"/>
      <c r="D853" s="276"/>
      <c r="E853" s="254"/>
      <c r="F853" s="254"/>
      <c r="G853" s="254"/>
      <c r="H853" s="254"/>
      <c r="I853" s="254"/>
      <c r="J853" s="254"/>
      <c r="K853" s="254"/>
      <c r="L853" s="254"/>
      <c r="M853" s="254"/>
      <c r="N853" s="254"/>
      <c r="O853" s="254"/>
      <c r="P853" s="254"/>
      <c r="Q853" s="254"/>
      <c r="R853" s="254"/>
      <c r="S853" s="254"/>
      <c r="T853" s="254"/>
      <c r="U853" s="254"/>
      <c r="V853" s="254"/>
      <c r="W853" s="254"/>
      <c r="X853" s="254"/>
      <c r="Y853" s="254"/>
      <c r="Z853" s="254"/>
      <c r="AA853" s="254"/>
      <c r="AB853" s="254"/>
      <c r="AC853" s="254"/>
    </row>
    <row r="854" ht="12.75" customHeight="1" spans="1:29">
      <c r="A854" s="254"/>
      <c r="B854" s="254"/>
      <c r="C854" s="254"/>
      <c r="D854" s="276"/>
      <c r="E854" s="254"/>
      <c r="F854" s="254"/>
      <c r="G854" s="254"/>
      <c r="H854" s="254"/>
      <c r="I854" s="254"/>
      <c r="J854" s="254"/>
      <c r="K854" s="254"/>
      <c r="L854" s="254"/>
      <c r="M854" s="254"/>
      <c r="N854" s="254"/>
      <c r="O854" s="254"/>
      <c r="P854" s="254"/>
      <c r="Q854" s="254"/>
      <c r="R854" s="254"/>
      <c r="S854" s="254"/>
      <c r="T854" s="254"/>
      <c r="U854" s="254"/>
      <c r="V854" s="254"/>
      <c r="W854" s="254"/>
      <c r="X854" s="254"/>
      <c r="Y854" s="254"/>
      <c r="Z854" s="254"/>
      <c r="AA854" s="254"/>
      <c r="AB854" s="254"/>
      <c r="AC854" s="254"/>
    </row>
    <row r="855" ht="12.75" customHeight="1" spans="1:29">
      <c r="A855" s="254"/>
      <c r="B855" s="254"/>
      <c r="C855" s="254"/>
      <c r="D855" s="276"/>
      <c r="E855" s="254"/>
      <c r="F855" s="254"/>
      <c r="G855" s="254"/>
      <c r="H855" s="254"/>
      <c r="I855" s="254"/>
      <c r="J855" s="254"/>
      <c r="K855" s="254"/>
      <c r="L855" s="254"/>
      <c r="M855" s="254"/>
      <c r="N855" s="254"/>
      <c r="O855" s="254"/>
      <c r="P855" s="254"/>
      <c r="Q855" s="254"/>
      <c r="R855" s="254"/>
      <c r="S855" s="254"/>
      <c r="T855" s="254"/>
      <c r="U855" s="254"/>
      <c r="V855" s="254"/>
      <c r="W855" s="254"/>
      <c r="X855" s="254"/>
      <c r="Y855" s="254"/>
      <c r="Z855" s="254"/>
      <c r="AA855" s="254"/>
      <c r="AB855" s="254"/>
      <c r="AC855" s="254"/>
    </row>
    <row r="856" ht="12.75" customHeight="1" spans="1:29">
      <c r="A856" s="254"/>
      <c r="B856" s="254"/>
      <c r="C856" s="254"/>
      <c r="D856" s="276"/>
      <c r="E856" s="254"/>
      <c r="F856" s="254"/>
      <c r="G856" s="254"/>
      <c r="H856" s="254"/>
      <c r="I856" s="254"/>
      <c r="J856" s="254"/>
      <c r="K856" s="254"/>
      <c r="L856" s="254"/>
      <c r="M856" s="254"/>
      <c r="N856" s="254"/>
      <c r="O856" s="254"/>
      <c r="P856" s="254"/>
      <c r="Q856" s="254"/>
      <c r="R856" s="254"/>
      <c r="S856" s="254"/>
      <c r="T856" s="254"/>
      <c r="U856" s="254"/>
      <c r="V856" s="254"/>
      <c r="W856" s="254"/>
      <c r="X856" s="254"/>
      <c r="Y856" s="254"/>
      <c r="Z856" s="254"/>
      <c r="AA856" s="254"/>
      <c r="AB856" s="254"/>
      <c r="AC856" s="254"/>
    </row>
    <row r="857" ht="12.75" customHeight="1" spans="1:29">
      <c r="A857" s="254"/>
      <c r="B857" s="254"/>
      <c r="C857" s="254"/>
      <c r="D857" s="276"/>
      <c r="E857" s="254"/>
      <c r="F857" s="254"/>
      <c r="G857" s="254"/>
      <c r="H857" s="254"/>
      <c r="I857" s="254"/>
      <c r="J857" s="254"/>
      <c r="K857" s="254"/>
      <c r="L857" s="254"/>
      <c r="M857" s="254"/>
      <c r="N857" s="254"/>
      <c r="O857" s="254"/>
      <c r="P857" s="254"/>
      <c r="Q857" s="254"/>
      <c r="R857" s="254"/>
      <c r="S857" s="254"/>
      <c r="T857" s="254"/>
      <c r="U857" s="254"/>
      <c r="V857" s="254"/>
      <c r="W857" s="254"/>
      <c r="X857" s="254"/>
      <c r="Y857" s="254"/>
      <c r="Z857" s="254"/>
      <c r="AA857" s="254"/>
      <c r="AB857" s="254"/>
      <c r="AC857" s="254"/>
    </row>
    <row r="858" ht="12.75" customHeight="1" spans="1:29">
      <c r="A858" s="254"/>
      <c r="B858" s="254"/>
      <c r="C858" s="254"/>
      <c r="D858" s="276"/>
      <c r="E858" s="254"/>
      <c r="F858" s="254"/>
      <c r="G858" s="254"/>
      <c r="H858" s="254"/>
      <c r="I858" s="254"/>
      <c r="J858" s="254"/>
      <c r="K858" s="254"/>
      <c r="L858" s="254"/>
      <c r="M858" s="254"/>
      <c r="N858" s="254"/>
      <c r="O858" s="254"/>
      <c r="P858" s="254"/>
      <c r="Q858" s="254"/>
      <c r="R858" s="254"/>
      <c r="S858" s="254"/>
      <c r="T858" s="254"/>
      <c r="U858" s="254"/>
      <c r="V858" s="254"/>
      <c r="W858" s="254"/>
      <c r="X858" s="254"/>
      <c r="Y858" s="254"/>
      <c r="Z858" s="254"/>
      <c r="AA858" s="254"/>
      <c r="AB858" s="254"/>
      <c r="AC858" s="254"/>
    </row>
    <row r="859" ht="12.75" customHeight="1" spans="1:29">
      <c r="A859" s="254"/>
      <c r="B859" s="254"/>
      <c r="C859" s="254"/>
      <c r="D859" s="276"/>
      <c r="E859" s="254"/>
      <c r="F859" s="254"/>
      <c r="G859" s="254"/>
      <c r="H859" s="254"/>
      <c r="I859" s="254"/>
      <c r="J859" s="254"/>
      <c r="K859" s="254"/>
      <c r="L859" s="254"/>
      <c r="M859" s="254"/>
      <c r="N859" s="254"/>
      <c r="O859" s="254"/>
      <c r="P859" s="254"/>
      <c r="Q859" s="254"/>
      <c r="R859" s="254"/>
      <c r="S859" s="254"/>
      <c r="T859" s="254"/>
      <c r="U859" s="254"/>
      <c r="V859" s="254"/>
      <c r="W859" s="254"/>
      <c r="X859" s="254"/>
      <c r="Y859" s="254"/>
      <c r="Z859" s="254"/>
      <c r="AA859" s="254"/>
      <c r="AB859" s="254"/>
      <c r="AC859" s="254"/>
    </row>
    <row r="860" ht="12.75" customHeight="1" spans="1:29">
      <c r="A860" s="254"/>
      <c r="B860" s="254"/>
      <c r="C860" s="254"/>
      <c r="D860" s="276"/>
      <c r="E860" s="254"/>
      <c r="F860" s="254"/>
      <c r="G860" s="254"/>
      <c r="H860" s="254"/>
      <c r="I860" s="254"/>
      <c r="J860" s="254"/>
      <c r="K860" s="254"/>
      <c r="L860" s="254"/>
      <c r="M860" s="254"/>
      <c r="N860" s="254"/>
      <c r="O860" s="254"/>
      <c r="P860" s="254"/>
      <c r="Q860" s="254"/>
      <c r="R860" s="254"/>
      <c r="S860" s="254"/>
      <c r="T860" s="254"/>
      <c r="U860" s="254"/>
      <c r="V860" s="254"/>
      <c r="W860" s="254"/>
      <c r="X860" s="254"/>
      <c r="Y860" s="254"/>
      <c r="Z860" s="254"/>
      <c r="AA860" s="254"/>
      <c r="AB860" s="254"/>
      <c r="AC860" s="254"/>
    </row>
    <row r="861" ht="12.75" customHeight="1" spans="1:29">
      <c r="A861" s="254"/>
      <c r="B861" s="254"/>
      <c r="C861" s="254"/>
      <c r="D861" s="276"/>
      <c r="E861" s="254"/>
      <c r="F861" s="254"/>
      <c r="G861" s="254"/>
      <c r="H861" s="254"/>
      <c r="I861" s="254"/>
      <c r="J861" s="254"/>
      <c r="K861" s="254"/>
      <c r="L861" s="254"/>
      <c r="M861" s="254"/>
      <c r="N861" s="254"/>
      <c r="O861" s="254"/>
      <c r="P861" s="254"/>
      <c r="Q861" s="254"/>
      <c r="R861" s="254"/>
      <c r="S861" s="254"/>
      <c r="T861" s="254"/>
      <c r="U861" s="254"/>
      <c r="V861" s="254"/>
      <c r="W861" s="254"/>
      <c r="X861" s="254"/>
      <c r="Y861" s="254"/>
      <c r="Z861" s="254"/>
      <c r="AA861" s="254"/>
      <c r="AB861" s="254"/>
      <c r="AC861" s="254"/>
    </row>
    <row r="862" ht="12.75" customHeight="1" spans="1:29">
      <c r="A862" s="254"/>
      <c r="B862" s="254"/>
      <c r="C862" s="254"/>
      <c r="D862" s="276"/>
      <c r="E862" s="254"/>
      <c r="F862" s="254"/>
      <c r="G862" s="254"/>
      <c r="H862" s="254"/>
      <c r="I862" s="254"/>
      <c r="J862" s="254"/>
      <c r="K862" s="254"/>
      <c r="L862" s="254"/>
      <c r="M862" s="254"/>
      <c r="N862" s="254"/>
      <c r="O862" s="254"/>
      <c r="P862" s="254"/>
      <c r="Q862" s="254"/>
      <c r="R862" s="254"/>
      <c r="S862" s="254"/>
      <c r="T862" s="254"/>
      <c r="U862" s="254"/>
      <c r="V862" s="254"/>
      <c r="W862" s="254"/>
      <c r="X862" s="254"/>
      <c r="Y862" s="254"/>
      <c r="Z862" s="254"/>
      <c r="AA862" s="254"/>
      <c r="AB862" s="254"/>
      <c r="AC862" s="254"/>
    </row>
    <row r="863" ht="12.75" customHeight="1" spans="1:29">
      <c r="A863" s="254"/>
      <c r="B863" s="254"/>
      <c r="C863" s="254"/>
      <c r="D863" s="276"/>
      <c r="E863" s="254"/>
      <c r="F863" s="254"/>
      <c r="G863" s="254"/>
      <c r="H863" s="254"/>
      <c r="I863" s="254"/>
      <c r="J863" s="254"/>
      <c r="K863" s="254"/>
      <c r="L863" s="254"/>
      <c r="M863" s="254"/>
      <c r="N863" s="254"/>
      <c r="O863" s="254"/>
      <c r="P863" s="254"/>
      <c r="Q863" s="254"/>
      <c r="R863" s="254"/>
      <c r="S863" s="254"/>
      <c r="T863" s="254"/>
      <c r="U863" s="254"/>
      <c r="V863" s="254"/>
      <c r="W863" s="254"/>
      <c r="X863" s="254"/>
      <c r="Y863" s="254"/>
      <c r="Z863" s="254"/>
      <c r="AA863" s="254"/>
      <c r="AB863" s="254"/>
      <c r="AC863" s="254"/>
    </row>
    <row r="864" ht="12.75" customHeight="1" spans="1:29">
      <c r="A864" s="254"/>
      <c r="B864" s="254"/>
      <c r="C864" s="254"/>
      <c r="D864" s="276"/>
      <c r="E864" s="254"/>
      <c r="F864" s="254"/>
      <c r="G864" s="254"/>
      <c r="H864" s="254"/>
      <c r="I864" s="254"/>
      <c r="J864" s="254"/>
      <c r="K864" s="254"/>
      <c r="L864" s="254"/>
      <c r="M864" s="254"/>
      <c r="N864" s="254"/>
      <c r="O864" s="254"/>
      <c r="P864" s="254"/>
      <c r="Q864" s="254"/>
      <c r="R864" s="254"/>
      <c r="S864" s="254"/>
      <c r="T864" s="254"/>
      <c r="U864" s="254"/>
      <c r="V864" s="254"/>
      <c r="W864" s="254"/>
      <c r="X864" s="254"/>
      <c r="Y864" s="254"/>
      <c r="Z864" s="254"/>
      <c r="AA864" s="254"/>
      <c r="AB864" s="254"/>
      <c r="AC864" s="254"/>
    </row>
    <row r="865" ht="12.75" customHeight="1" spans="1:29">
      <c r="A865" s="254"/>
      <c r="B865" s="254"/>
      <c r="C865" s="254"/>
      <c r="D865" s="276"/>
      <c r="E865" s="254"/>
      <c r="F865" s="254"/>
      <c r="G865" s="254"/>
      <c r="H865" s="254"/>
      <c r="I865" s="254"/>
      <c r="J865" s="254"/>
      <c r="K865" s="254"/>
      <c r="L865" s="254"/>
      <c r="M865" s="254"/>
      <c r="N865" s="254"/>
      <c r="O865" s="254"/>
      <c r="P865" s="254"/>
      <c r="Q865" s="254"/>
      <c r="R865" s="254"/>
      <c r="S865" s="254"/>
      <c r="T865" s="254"/>
      <c r="U865" s="254"/>
      <c r="V865" s="254"/>
      <c r="W865" s="254"/>
      <c r="X865" s="254"/>
      <c r="Y865" s="254"/>
      <c r="Z865" s="254"/>
      <c r="AA865" s="254"/>
      <c r="AB865" s="254"/>
      <c r="AC865" s="254"/>
    </row>
    <row r="866" ht="12.75" customHeight="1" spans="1:29">
      <c r="A866" s="254"/>
      <c r="B866" s="254"/>
      <c r="C866" s="254"/>
      <c r="D866" s="276"/>
      <c r="E866" s="254"/>
      <c r="F866" s="254"/>
      <c r="G866" s="254"/>
      <c r="H866" s="254"/>
      <c r="I866" s="254"/>
      <c r="J866" s="254"/>
      <c r="K866" s="254"/>
      <c r="L866" s="254"/>
      <c r="M866" s="254"/>
      <c r="N866" s="254"/>
      <c r="O866" s="254"/>
      <c r="P866" s="254"/>
      <c r="Q866" s="254"/>
      <c r="R866" s="254"/>
      <c r="S866" s="254"/>
      <c r="T866" s="254"/>
      <c r="U866" s="254"/>
      <c r="V866" s="254"/>
      <c r="W866" s="254"/>
      <c r="X866" s="254"/>
      <c r="Y866" s="254"/>
      <c r="Z866" s="254"/>
      <c r="AA866" s="254"/>
      <c r="AB866" s="254"/>
      <c r="AC866" s="254"/>
    </row>
    <row r="867" ht="12.75" customHeight="1" spans="1:29">
      <c r="A867" s="254"/>
      <c r="B867" s="254"/>
      <c r="C867" s="254"/>
      <c r="D867" s="276"/>
      <c r="E867" s="254"/>
      <c r="F867" s="254"/>
      <c r="G867" s="254"/>
      <c r="H867" s="254"/>
      <c r="I867" s="254"/>
      <c r="J867" s="254"/>
      <c r="K867" s="254"/>
      <c r="L867" s="254"/>
      <c r="M867" s="254"/>
      <c r="N867" s="254"/>
      <c r="O867" s="254"/>
      <c r="P867" s="254"/>
      <c r="Q867" s="254"/>
      <c r="R867" s="254"/>
      <c r="S867" s="254"/>
      <c r="T867" s="254"/>
      <c r="U867" s="254"/>
      <c r="V867" s="254"/>
      <c r="W867" s="254"/>
      <c r="X867" s="254"/>
      <c r="Y867" s="254"/>
      <c r="Z867" s="254"/>
      <c r="AA867" s="254"/>
      <c r="AB867" s="254"/>
      <c r="AC867" s="254"/>
    </row>
    <row r="868" ht="12.75" customHeight="1" spans="1:29">
      <c r="A868" s="254"/>
      <c r="B868" s="254"/>
      <c r="C868" s="254"/>
      <c r="D868" s="276"/>
      <c r="E868" s="254"/>
      <c r="F868" s="254"/>
      <c r="G868" s="254"/>
      <c r="H868" s="254"/>
      <c r="I868" s="254"/>
      <c r="J868" s="254"/>
      <c r="K868" s="254"/>
      <c r="L868" s="254"/>
      <c r="M868" s="254"/>
      <c r="N868" s="254"/>
      <c r="O868" s="254"/>
      <c r="P868" s="254"/>
      <c r="Q868" s="254"/>
      <c r="R868" s="254"/>
      <c r="S868" s="254"/>
      <c r="T868" s="254"/>
      <c r="U868" s="254"/>
      <c r="V868" s="254"/>
      <c r="W868" s="254"/>
      <c r="X868" s="254"/>
      <c r="Y868" s="254"/>
      <c r="Z868" s="254"/>
      <c r="AA868" s="254"/>
      <c r="AB868" s="254"/>
      <c r="AC868" s="254"/>
    </row>
    <row r="869" ht="12.75" customHeight="1" spans="1:29">
      <c r="A869" s="254"/>
      <c r="B869" s="254"/>
      <c r="C869" s="254"/>
      <c r="D869" s="276"/>
      <c r="E869" s="254"/>
      <c r="F869" s="254"/>
      <c r="G869" s="254"/>
      <c r="H869" s="254"/>
      <c r="I869" s="254"/>
      <c r="J869" s="254"/>
      <c r="K869" s="254"/>
      <c r="L869" s="254"/>
      <c r="M869" s="254"/>
      <c r="N869" s="254"/>
      <c r="O869" s="254"/>
      <c r="P869" s="254"/>
      <c r="Q869" s="254"/>
      <c r="R869" s="254"/>
      <c r="S869" s="254"/>
      <c r="T869" s="254"/>
      <c r="U869" s="254"/>
      <c r="V869" s="254"/>
      <c r="W869" s="254"/>
      <c r="X869" s="254"/>
      <c r="Y869" s="254"/>
      <c r="Z869" s="254"/>
      <c r="AA869" s="254"/>
      <c r="AB869" s="254"/>
      <c r="AC869" s="254"/>
    </row>
    <row r="870" ht="12.75" customHeight="1" spans="1:29">
      <c r="A870" s="254"/>
      <c r="B870" s="254"/>
      <c r="C870" s="254"/>
      <c r="D870" s="276"/>
      <c r="E870" s="254"/>
      <c r="F870" s="254"/>
      <c r="G870" s="254"/>
      <c r="H870" s="254"/>
      <c r="I870" s="254"/>
      <c r="J870" s="254"/>
      <c r="K870" s="254"/>
      <c r="L870" s="254"/>
      <c r="M870" s="254"/>
      <c r="N870" s="254"/>
      <c r="O870" s="254"/>
      <c r="P870" s="254"/>
      <c r="Q870" s="254"/>
      <c r="R870" s="254"/>
      <c r="S870" s="254"/>
      <c r="T870" s="254"/>
      <c r="U870" s="254"/>
      <c r="V870" s="254"/>
      <c r="W870" s="254"/>
      <c r="X870" s="254"/>
      <c r="Y870" s="254"/>
      <c r="Z870" s="254"/>
      <c r="AA870" s="254"/>
      <c r="AB870" s="254"/>
      <c r="AC870" s="254"/>
    </row>
    <row r="871" ht="12.75" customHeight="1" spans="1:29">
      <c r="A871" s="254"/>
      <c r="B871" s="254"/>
      <c r="C871" s="254"/>
      <c r="D871" s="276"/>
      <c r="E871" s="254"/>
      <c r="F871" s="254"/>
      <c r="G871" s="254"/>
      <c r="H871" s="254"/>
      <c r="I871" s="254"/>
      <c r="J871" s="254"/>
      <c r="K871" s="254"/>
      <c r="L871" s="254"/>
      <c r="M871" s="254"/>
      <c r="N871" s="254"/>
      <c r="O871" s="254"/>
      <c r="P871" s="254"/>
      <c r="Q871" s="254"/>
      <c r="R871" s="254"/>
      <c r="S871" s="254"/>
      <c r="T871" s="254"/>
      <c r="U871" s="254"/>
      <c r="V871" s="254"/>
      <c r="W871" s="254"/>
      <c r="X871" s="254"/>
      <c r="Y871" s="254"/>
      <c r="Z871" s="254"/>
      <c r="AA871" s="254"/>
      <c r="AB871" s="254"/>
      <c r="AC871" s="254"/>
    </row>
    <row r="872" ht="12.75" customHeight="1" spans="1:29">
      <c r="A872" s="254"/>
      <c r="B872" s="254"/>
      <c r="C872" s="254"/>
      <c r="D872" s="276"/>
      <c r="E872" s="254"/>
      <c r="F872" s="254"/>
      <c r="G872" s="254"/>
      <c r="H872" s="254"/>
      <c r="I872" s="254"/>
      <c r="J872" s="254"/>
      <c r="K872" s="254"/>
      <c r="L872" s="254"/>
      <c r="M872" s="254"/>
      <c r="N872" s="254"/>
      <c r="O872" s="254"/>
      <c r="P872" s="254"/>
      <c r="Q872" s="254"/>
      <c r="R872" s="254"/>
      <c r="S872" s="254"/>
      <c r="T872" s="254"/>
      <c r="U872" s="254"/>
      <c r="V872" s="254"/>
      <c r="W872" s="254"/>
      <c r="X872" s="254"/>
      <c r="Y872" s="254"/>
      <c r="Z872" s="254"/>
      <c r="AA872" s="254"/>
      <c r="AB872" s="254"/>
      <c r="AC872" s="254"/>
    </row>
    <row r="873" ht="12.75" customHeight="1" spans="1:29">
      <c r="A873" s="254"/>
      <c r="B873" s="254"/>
      <c r="C873" s="254"/>
      <c r="D873" s="276"/>
      <c r="E873" s="254"/>
      <c r="F873" s="254"/>
      <c r="G873" s="254"/>
      <c r="H873" s="254"/>
      <c r="I873" s="254"/>
      <c r="J873" s="254"/>
      <c r="K873" s="254"/>
      <c r="L873" s="254"/>
      <c r="M873" s="254"/>
      <c r="N873" s="254"/>
      <c r="O873" s="254"/>
      <c r="P873" s="254"/>
      <c r="Q873" s="254"/>
      <c r="R873" s="254"/>
      <c r="S873" s="254"/>
      <c r="T873" s="254"/>
      <c r="U873" s="254"/>
      <c r="V873" s="254"/>
      <c r="W873" s="254"/>
      <c r="X873" s="254"/>
      <c r="Y873" s="254"/>
      <c r="Z873" s="254"/>
      <c r="AA873" s="254"/>
      <c r="AB873" s="254"/>
      <c r="AC873" s="254"/>
    </row>
    <row r="874" ht="12.75" customHeight="1" spans="1:29">
      <c r="A874" s="254"/>
      <c r="B874" s="254"/>
      <c r="C874" s="254"/>
      <c r="D874" s="276"/>
      <c r="E874" s="254"/>
      <c r="F874" s="254"/>
      <c r="G874" s="254"/>
      <c r="H874" s="254"/>
      <c r="I874" s="254"/>
      <c r="J874" s="254"/>
      <c r="K874" s="254"/>
      <c r="L874" s="254"/>
      <c r="M874" s="254"/>
      <c r="N874" s="254"/>
      <c r="O874" s="254"/>
      <c r="P874" s="254"/>
      <c r="Q874" s="254"/>
      <c r="R874" s="254"/>
      <c r="S874" s="254"/>
      <c r="T874" s="254"/>
      <c r="U874" s="254"/>
      <c r="V874" s="254"/>
      <c r="W874" s="254"/>
      <c r="X874" s="254"/>
      <c r="Y874" s="254"/>
      <c r="Z874" s="254"/>
      <c r="AA874" s="254"/>
      <c r="AB874" s="254"/>
      <c r="AC874" s="254"/>
    </row>
    <row r="875" ht="12.75" customHeight="1" spans="1:29">
      <c r="A875" s="254"/>
      <c r="B875" s="254"/>
      <c r="C875" s="254"/>
      <c r="D875" s="276"/>
      <c r="E875" s="254"/>
      <c r="F875" s="254"/>
      <c r="G875" s="254"/>
      <c r="H875" s="254"/>
      <c r="I875" s="254"/>
      <c r="J875" s="254"/>
      <c r="K875" s="254"/>
      <c r="L875" s="254"/>
      <c r="M875" s="254"/>
      <c r="N875" s="254"/>
      <c r="O875" s="254"/>
      <c r="P875" s="254"/>
      <c r="Q875" s="254"/>
      <c r="R875" s="254"/>
      <c r="S875" s="254"/>
      <c r="T875" s="254"/>
      <c r="U875" s="254"/>
      <c r="V875" s="254"/>
      <c r="W875" s="254"/>
      <c r="X875" s="254"/>
      <c r="Y875" s="254"/>
      <c r="Z875" s="254"/>
      <c r="AA875" s="254"/>
      <c r="AB875" s="254"/>
      <c r="AC875" s="254"/>
    </row>
    <row r="876" ht="12.75" customHeight="1" spans="1:29">
      <c r="A876" s="254"/>
      <c r="B876" s="254"/>
      <c r="C876" s="254"/>
      <c r="D876" s="276"/>
      <c r="E876" s="254"/>
      <c r="F876" s="254"/>
      <c r="G876" s="254"/>
      <c r="H876" s="254"/>
      <c r="I876" s="254"/>
      <c r="J876" s="254"/>
      <c r="K876" s="254"/>
      <c r="L876" s="254"/>
      <c r="M876" s="254"/>
      <c r="N876" s="254"/>
      <c r="O876" s="254"/>
      <c r="P876" s="254"/>
      <c r="Q876" s="254"/>
      <c r="R876" s="254"/>
      <c r="S876" s="254"/>
      <c r="T876" s="254"/>
      <c r="U876" s="254"/>
      <c r="V876" s="254"/>
      <c r="W876" s="254"/>
      <c r="X876" s="254"/>
      <c r="Y876" s="254"/>
      <c r="Z876" s="254"/>
      <c r="AA876" s="254"/>
      <c r="AB876" s="254"/>
      <c r="AC876" s="254"/>
    </row>
    <row r="877" ht="12.75" customHeight="1" spans="1:29">
      <c r="A877" s="254"/>
      <c r="B877" s="254"/>
      <c r="C877" s="254"/>
      <c r="D877" s="276"/>
      <c r="E877" s="254"/>
      <c r="F877" s="254"/>
      <c r="G877" s="254"/>
      <c r="H877" s="254"/>
      <c r="I877" s="254"/>
      <c r="J877" s="254"/>
      <c r="K877" s="254"/>
      <c r="L877" s="254"/>
      <c r="M877" s="254"/>
      <c r="N877" s="254"/>
      <c r="O877" s="254"/>
      <c r="P877" s="254"/>
      <c r="Q877" s="254"/>
      <c r="R877" s="254"/>
      <c r="S877" s="254"/>
      <c r="T877" s="254"/>
      <c r="U877" s="254"/>
      <c r="V877" s="254"/>
      <c r="W877" s="254"/>
      <c r="X877" s="254"/>
      <c r="Y877" s="254"/>
      <c r="Z877" s="254"/>
      <c r="AA877" s="254"/>
      <c r="AB877" s="254"/>
      <c r="AC877" s="254"/>
    </row>
    <row r="878" ht="12.75" customHeight="1" spans="1:29">
      <c r="A878" s="254"/>
      <c r="B878" s="254"/>
      <c r="C878" s="254"/>
      <c r="D878" s="276"/>
      <c r="E878" s="254"/>
      <c r="F878" s="254"/>
      <c r="G878" s="254"/>
      <c r="H878" s="254"/>
      <c r="I878" s="254"/>
      <c r="J878" s="254"/>
      <c r="K878" s="254"/>
      <c r="L878" s="254"/>
      <c r="M878" s="254"/>
      <c r="N878" s="254"/>
      <c r="O878" s="254"/>
      <c r="P878" s="254"/>
      <c r="Q878" s="254"/>
      <c r="R878" s="254"/>
      <c r="S878" s="254"/>
      <c r="T878" s="254"/>
      <c r="U878" s="254"/>
      <c r="V878" s="254"/>
      <c r="W878" s="254"/>
      <c r="X878" s="254"/>
      <c r="Y878" s="254"/>
      <c r="Z878" s="254"/>
      <c r="AA878" s="254"/>
      <c r="AB878" s="254"/>
      <c r="AC878" s="254"/>
    </row>
    <row r="879" ht="12.75" customHeight="1" spans="1:29">
      <c r="A879" s="254"/>
      <c r="B879" s="254"/>
      <c r="C879" s="254"/>
      <c r="D879" s="276"/>
      <c r="E879" s="254"/>
      <c r="F879" s="254"/>
      <c r="G879" s="254"/>
      <c r="H879" s="254"/>
      <c r="I879" s="254"/>
      <c r="J879" s="254"/>
      <c r="K879" s="254"/>
      <c r="L879" s="254"/>
      <c r="M879" s="254"/>
      <c r="N879" s="254"/>
      <c r="O879" s="254"/>
      <c r="P879" s="254"/>
      <c r="Q879" s="254"/>
      <c r="R879" s="254"/>
      <c r="S879" s="254"/>
      <c r="T879" s="254"/>
      <c r="U879" s="254"/>
      <c r="V879" s="254"/>
      <c r="W879" s="254"/>
      <c r="X879" s="254"/>
      <c r="Y879" s="254"/>
      <c r="Z879" s="254"/>
      <c r="AA879" s="254"/>
      <c r="AB879" s="254"/>
      <c r="AC879" s="254"/>
    </row>
    <row r="880" ht="12.75" customHeight="1" spans="1:29">
      <c r="A880" s="254"/>
      <c r="B880" s="254"/>
      <c r="C880" s="254"/>
      <c r="D880" s="276"/>
      <c r="E880" s="254"/>
      <c r="F880" s="254"/>
      <c r="G880" s="254"/>
      <c r="H880" s="254"/>
      <c r="I880" s="254"/>
      <c r="J880" s="254"/>
      <c r="K880" s="254"/>
      <c r="L880" s="254"/>
      <c r="M880" s="254"/>
      <c r="N880" s="254"/>
      <c r="O880" s="254"/>
      <c r="P880" s="254"/>
      <c r="Q880" s="254"/>
      <c r="R880" s="254"/>
      <c r="S880" s="254"/>
      <c r="T880" s="254"/>
      <c r="U880" s="254"/>
      <c r="V880" s="254"/>
      <c r="W880" s="254"/>
      <c r="X880" s="254"/>
      <c r="Y880" s="254"/>
      <c r="Z880" s="254"/>
      <c r="AA880" s="254"/>
      <c r="AB880" s="254"/>
      <c r="AC880" s="254"/>
    </row>
    <row r="881" ht="12.75" customHeight="1" spans="1:29">
      <c r="A881" s="254"/>
      <c r="B881" s="254"/>
      <c r="C881" s="254"/>
      <c r="D881" s="276"/>
      <c r="E881" s="254"/>
      <c r="F881" s="254"/>
      <c r="G881" s="254"/>
      <c r="H881" s="254"/>
      <c r="I881" s="254"/>
      <c r="J881" s="254"/>
      <c r="K881" s="254"/>
      <c r="L881" s="254"/>
      <c r="M881" s="254"/>
      <c r="N881" s="254"/>
      <c r="O881" s="254"/>
      <c r="P881" s="254"/>
      <c r="Q881" s="254"/>
      <c r="R881" s="254"/>
      <c r="S881" s="254"/>
      <c r="T881" s="254"/>
      <c r="U881" s="254"/>
      <c r="V881" s="254"/>
      <c r="W881" s="254"/>
      <c r="X881" s="254"/>
      <c r="Y881" s="254"/>
      <c r="Z881" s="254"/>
      <c r="AA881" s="254"/>
      <c r="AB881" s="254"/>
      <c r="AC881" s="254"/>
    </row>
    <row r="882" ht="12.75" customHeight="1" spans="1:29">
      <c r="A882" s="254"/>
      <c r="B882" s="254"/>
      <c r="C882" s="254"/>
      <c r="D882" s="276"/>
      <c r="E882" s="254"/>
      <c r="F882" s="254"/>
      <c r="G882" s="254"/>
      <c r="H882" s="254"/>
      <c r="I882" s="254"/>
      <c r="J882" s="254"/>
      <c r="K882" s="254"/>
      <c r="L882" s="254"/>
      <c r="M882" s="254"/>
      <c r="N882" s="254"/>
      <c r="O882" s="254"/>
      <c r="P882" s="254"/>
      <c r="Q882" s="254"/>
      <c r="R882" s="254"/>
      <c r="S882" s="254"/>
      <c r="T882" s="254"/>
      <c r="U882" s="254"/>
      <c r="V882" s="254"/>
      <c r="W882" s="254"/>
      <c r="X882" s="254"/>
      <c r="Y882" s="254"/>
      <c r="Z882" s="254"/>
      <c r="AA882" s="254"/>
      <c r="AB882" s="254"/>
      <c r="AC882" s="254"/>
    </row>
    <row r="883" ht="12.75" customHeight="1" spans="1:29">
      <c r="A883" s="254"/>
      <c r="B883" s="254"/>
      <c r="C883" s="254"/>
      <c r="D883" s="276"/>
      <c r="E883" s="254"/>
      <c r="F883" s="254"/>
      <c r="G883" s="254"/>
      <c r="H883" s="254"/>
      <c r="I883" s="254"/>
      <c r="J883" s="254"/>
      <c r="K883" s="254"/>
      <c r="L883" s="254"/>
      <c r="M883" s="254"/>
      <c r="N883" s="254"/>
      <c r="O883" s="254"/>
      <c r="P883" s="254"/>
      <c r="Q883" s="254"/>
      <c r="R883" s="254"/>
      <c r="S883" s="254"/>
      <c r="T883" s="254"/>
      <c r="U883" s="254"/>
      <c r="V883" s="254"/>
      <c r="W883" s="254"/>
      <c r="X883" s="254"/>
      <c r="Y883" s="254"/>
      <c r="Z883" s="254"/>
      <c r="AA883" s="254"/>
      <c r="AB883" s="254"/>
      <c r="AC883" s="254"/>
    </row>
    <row r="884" ht="12.75" customHeight="1" spans="1:29">
      <c r="A884" s="254"/>
      <c r="B884" s="254"/>
      <c r="C884" s="254"/>
      <c r="D884" s="276"/>
      <c r="E884" s="254"/>
      <c r="F884" s="254"/>
      <c r="G884" s="254"/>
      <c r="H884" s="254"/>
      <c r="I884" s="254"/>
      <c r="J884" s="254"/>
      <c r="K884" s="254"/>
      <c r="L884" s="254"/>
      <c r="M884" s="254"/>
      <c r="N884" s="254"/>
      <c r="O884" s="254"/>
      <c r="P884" s="254"/>
      <c r="Q884" s="254"/>
      <c r="R884" s="254"/>
      <c r="S884" s="254"/>
      <c r="T884" s="254"/>
      <c r="U884" s="254"/>
      <c r="V884" s="254"/>
      <c r="W884" s="254"/>
      <c r="X884" s="254"/>
      <c r="Y884" s="254"/>
      <c r="Z884" s="254"/>
      <c r="AA884" s="254"/>
      <c r="AB884" s="254"/>
      <c r="AC884" s="254"/>
    </row>
    <row r="885" ht="12.75" customHeight="1" spans="1:29">
      <c r="A885" s="254"/>
      <c r="B885" s="254"/>
      <c r="C885" s="254"/>
      <c r="D885" s="276"/>
      <c r="E885" s="254"/>
      <c r="F885" s="254"/>
      <c r="G885" s="254"/>
      <c r="H885" s="254"/>
      <c r="I885" s="254"/>
      <c r="J885" s="254"/>
      <c r="K885" s="254"/>
      <c r="L885" s="254"/>
      <c r="M885" s="254"/>
      <c r="N885" s="254"/>
      <c r="O885" s="254"/>
      <c r="P885" s="254"/>
      <c r="Q885" s="254"/>
      <c r="R885" s="254"/>
      <c r="S885" s="254"/>
      <c r="T885" s="254"/>
      <c r="U885" s="254"/>
      <c r="V885" s="254"/>
      <c r="W885" s="254"/>
      <c r="X885" s="254"/>
      <c r="Y885" s="254"/>
      <c r="Z885" s="254"/>
      <c r="AA885" s="254"/>
      <c r="AB885" s="254"/>
      <c r="AC885" s="254"/>
    </row>
    <row r="886" ht="12.75" customHeight="1" spans="1:29">
      <c r="A886" s="254"/>
      <c r="B886" s="254"/>
      <c r="C886" s="254"/>
      <c r="D886" s="276"/>
      <c r="E886" s="254"/>
      <c r="F886" s="254"/>
      <c r="G886" s="254"/>
      <c r="H886" s="254"/>
      <c r="I886" s="254"/>
      <c r="J886" s="254"/>
      <c r="K886" s="254"/>
      <c r="L886" s="254"/>
      <c r="M886" s="254"/>
      <c r="N886" s="254"/>
      <c r="O886" s="254"/>
      <c r="P886" s="254"/>
      <c r="Q886" s="254"/>
      <c r="R886" s="254"/>
      <c r="S886" s="254"/>
      <c r="T886" s="254"/>
      <c r="U886" s="254"/>
      <c r="V886" s="254"/>
      <c r="W886" s="254"/>
      <c r="X886" s="254"/>
      <c r="Y886" s="254"/>
      <c r="Z886" s="254"/>
      <c r="AA886" s="254"/>
      <c r="AB886" s="254"/>
      <c r="AC886" s="254"/>
    </row>
    <row r="887" ht="12.75" customHeight="1" spans="1:29">
      <c r="A887" s="254"/>
      <c r="B887" s="254"/>
      <c r="C887" s="254"/>
      <c r="D887" s="276"/>
      <c r="E887" s="254"/>
      <c r="F887" s="254"/>
      <c r="G887" s="254"/>
      <c r="H887" s="254"/>
      <c r="I887" s="254"/>
      <c r="J887" s="254"/>
      <c r="K887" s="254"/>
      <c r="L887" s="254"/>
      <c r="M887" s="254"/>
      <c r="N887" s="254"/>
      <c r="O887" s="254"/>
      <c r="P887" s="254"/>
      <c r="Q887" s="254"/>
      <c r="R887" s="254"/>
      <c r="S887" s="254"/>
      <c r="T887" s="254"/>
      <c r="U887" s="254"/>
      <c r="V887" s="254"/>
      <c r="W887" s="254"/>
      <c r="X887" s="254"/>
      <c r="Y887" s="254"/>
      <c r="Z887" s="254"/>
      <c r="AA887" s="254"/>
      <c r="AB887" s="254"/>
      <c r="AC887" s="254"/>
    </row>
    <row r="888" ht="12.75" customHeight="1" spans="1:29">
      <c r="A888" s="254"/>
      <c r="B888" s="254"/>
      <c r="C888" s="254"/>
      <c r="D888" s="276"/>
      <c r="E888" s="254"/>
      <c r="F888" s="254"/>
      <c r="G888" s="254"/>
      <c r="H888" s="254"/>
      <c r="I888" s="254"/>
      <c r="J888" s="254"/>
      <c r="K888" s="254"/>
      <c r="L888" s="254"/>
      <c r="M888" s="254"/>
      <c r="N888" s="254"/>
      <c r="O888" s="254"/>
      <c r="P888" s="254"/>
      <c r="Q888" s="254"/>
      <c r="R888" s="254"/>
      <c r="S888" s="254"/>
      <c r="T888" s="254"/>
      <c r="U888" s="254"/>
      <c r="V888" s="254"/>
      <c r="W888" s="254"/>
      <c r="X888" s="254"/>
      <c r="Y888" s="254"/>
      <c r="Z888" s="254"/>
      <c r="AA888" s="254"/>
      <c r="AB888" s="254"/>
      <c r="AC888" s="254"/>
    </row>
    <row r="889" ht="12.75" customHeight="1" spans="1:29">
      <c r="A889" s="254"/>
      <c r="B889" s="254"/>
      <c r="C889" s="254"/>
      <c r="D889" s="276"/>
      <c r="E889" s="254"/>
      <c r="F889" s="254"/>
      <c r="G889" s="254"/>
      <c r="H889" s="254"/>
      <c r="I889" s="254"/>
      <c r="J889" s="254"/>
      <c r="K889" s="254"/>
      <c r="L889" s="254"/>
      <c r="M889" s="254"/>
      <c r="N889" s="254"/>
      <c r="O889" s="254"/>
      <c r="P889" s="254"/>
      <c r="Q889" s="254"/>
      <c r="R889" s="254"/>
      <c r="S889" s="254"/>
      <c r="T889" s="254"/>
      <c r="U889" s="254"/>
      <c r="V889" s="254"/>
      <c r="W889" s="254"/>
      <c r="X889" s="254"/>
      <c r="Y889" s="254"/>
      <c r="Z889" s="254"/>
      <c r="AA889" s="254"/>
      <c r="AB889" s="254"/>
      <c r="AC889" s="254"/>
    </row>
    <row r="890" ht="12.75" customHeight="1" spans="1:29">
      <c r="A890" s="254"/>
      <c r="B890" s="254"/>
      <c r="C890" s="254"/>
      <c r="D890" s="276"/>
      <c r="E890" s="254"/>
      <c r="F890" s="254"/>
      <c r="G890" s="254"/>
      <c r="H890" s="254"/>
      <c r="I890" s="254"/>
      <c r="J890" s="254"/>
      <c r="K890" s="254"/>
      <c r="L890" s="254"/>
      <c r="M890" s="254"/>
      <c r="N890" s="254"/>
      <c r="O890" s="254"/>
      <c r="P890" s="254"/>
      <c r="Q890" s="254"/>
      <c r="R890" s="254"/>
      <c r="S890" s="254"/>
      <c r="T890" s="254"/>
      <c r="U890" s="254"/>
      <c r="V890" s="254"/>
      <c r="W890" s="254"/>
      <c r="X890" s="254"/>
      <c r="Y890" s="254"/>
      <c r="Z890" s="254"/>
      <c r="AA890" s="254"/>
      <c r="AB890" s="254"/>
      <c r="AC890" s="254"/>
    </row>
    <row r="891" ht="12.75" customHeight="1" spans="1:29">
      <c r="A891" s="254"/>
      <c r="B891" s="254"/>
      <c r="C891" s="254"/>
      <c r="D891" s="276"/>
      <c r="E891" s="254"/>
      <c r="F891" s="254"/>
      <c r="G891" s="254"/>
      <c r="H891" s="254"/>
      <c r="I891" s="254"/>
      <c r="J891" s="254"/>
      <c r="K891" s="254"/>
      <c r="L891" s="254"/>
      <c r="M891" s="254"/>
      <c r="N891" s="254"/>
      <c r="O891" s="254"/>
      <c r="P891" s="254"/>
      <c r="Q891" s="254"/>
      <c r="R891" s="254"/>
      <c r="S891" s="254"/>
      <c r="T891" s="254"/>
      <c r="U891" s="254"/>
      <c r="V891" s="254"/>
      <c r="W891" s="254"/>
      <c r="X891" s="254"/>
      <c r="Y891" s="254"/>
      <c r="Z891" s="254"/>
      <c r="AA891" s="254"/>
      <c r="AB891" s="254"/>
      <c r="AC891" s="254"/>
    </row>
    <row r="892" ht="12.75" customHeight="1" spans="1:29">
      <c r="A892" s="254"/>
      <c r="B892" s="254"/>
      <c r="C892" s="254"/>
      <c r="D892" s="276"/>
      <c r="E892" s="254"/>
      <c r="F892" s="254"/>
      <c r="G892" s="254"/>
      <c r="H892" s="254"/>
      <c r="I892" s="254"/>
      <c r="J892" s="254"/>
      <c r="K892" s="254"/>
      <c r="L892" s="254"/>
      <c r="M892" s="254"/>
      <c r="N892" s="254"/>
      <c r="O892" s="254"/>
      <c r="P892" s="254"/>
      <c r="Q892" s="254"/>
      <c r="R892" s="254"/>
      <c r="S892" s="254"/>
      <c r="T892" s="254"/>
      <c r="U892" s="254"/>
      <c r="V892" s="254"/>
      <c r="W892" s="254"/>
      <c r="X892" s="254"/>
      <c r="Y892" s="254"/>
      <c r="Z892" s="254"/>
      <c r="AA892" s="254"/>
      <c r="AB892" s="254"/>
      <c r="AC892" s="254"/>
    </row>
    <row r="893" ht="12.75" customHeight="1" spans="1:29">
      <c r="A893" s="254"/>
      <c r="B893" s="254"/>
      <c r="C893" s="254"/>
      <c r="D893" s="276"/>
      <c r="E893" s="254"/>
      <c r="F893" s="254"/>
      <c r="G893" s="254"/>
      <c r="H893" s="254"/>
      <c r="I893" s="254"/>
      <c r="J893" s="254"/>
      <c r="K893" s="254"/>
      <c r="L893" s="254"/>
      <c r="M893" s="254"/>
      <c r="N893" s="254"/>
      <c r="O893" s="254"/>
      <c r="P893" s="254"/>
      <c r="Q893" s="254"/>
      <c r="R893" s="254"/>
      <c r="S893" s="254"/>
      <c r="T893" s="254"/>
      <c r="U893" s="254"/>
      <c r="V893" s="254"/>
      <c r="W893" s="254"/>
      <c r="X893" s="254"/>
      <c r="Y893" s="254"/>
      <c r="Z893" s="254"/>
      <c r="AA893" s="254"/>
      <c r="AB893" s="254"/>
      <c r="AC893" s="254"/>
    </row>
    <row r="894" ht="12.75" customHeight="1" spans="1:29">
      <c r="A894" s="254"/>
      <c r="B894" s="254"/>
      <c r="C894" s="254"/>
      <c r="D894" s="276"/>
      <c r="E894" s="254"/>
      <c r="F894" s="254"/>
      <c r="G894" s="254"/>
      <c r="H894" s="254"/>
      <c r="I894" s="254"/>
      <c r="J894" s="254"/>
      <c r="K894" s="254"/>
      <c r="L894" s="254"/>
      <c r="M894" s="254"/>
      <c r="N894" s="254"/>
      <c r="O894" s="254"/>
      <c r="P894" s="254"/>
      <c r="Q894" s="254"/>
      <c r="R894" s="254"/>
      <c r="S894" s="254"/>
      <c r="T894" s="254"/>
      <c r="U894" s="254"/>
      <c r="V894" s="254"/>
      <c r="W894" s="254"/>
      <c r="X894" s="254"/>
      <c r="Y894" s="254"/>
      <c r="Z894" s="254"/>
      <c r="AA894" s="254"/>
      <c r="AB894" s="254"/>
      <c r="AC894" s="254"/>
    </row>
    <row r="895" ht="12.75" customHeight="1" spans="1:29">
      <c r="A895" s="254"/>
      <c r="B895" s="254"/>
      <c r="C895" s="254"/>
      <c r="D895" s="276"/>
      <c r="E895" s="254"/>
      <c r="F895" s="254"/>
      <c r="G895" s="254"/>
      <c r="H895" s="254"/>
      <c r="I895" s="254"/>
      <c r="J895" s="254"/>
      <c r="K895" s="254"/>
      <c r="L895" s="254"/>
      <c r="M895" s="254"/>
      <c r="N895" s="254"/>
      <c r="O895" s="254"/>
      <c r="P895" s="254"/>
      <c r="Q895" s="254"/>
      <c r="R895" s="254"/>
      <c r="S895" s="254"/>
      <c r="T895" s="254"/>
      <c r="U895" s="254"/>
      <c r="V895" s="254"/>
      <c r="W895" s="254"/>
      <c r="X895" s="254"/>
      <c r="Y895" s="254"/>
      <c r="Z895" s="254"/>
      <c r="AA895" s="254"/>
      <c r="AB895" s="254"/>
      <c r="AC895" s="254"/>
    </row>
    <row r="896" ht="12.75" customHeight="1" spans="1:29">
      <c r="A896" s="254"/>
      <c r="B896" s="254"/>
      <c r="C896" s="254"/>
      <c r="D896" s="276"/>
      <c r="E896" s="254"/>
      <c r="F896" s="254"/>
      <c r="G896" s="254"/>
      <c r="H896" s="254"/>
      <c r="I896" s="254"/>
      <c r="J896" s="254"/>
      <c r="K896" s="254"/>
      <c r="L896" s="254"/>
      <c r="M896" s="254"/>
      <c r="N896" s="254"/>
      <c r="O896" s="254"/>
      <c r="P896" s="254"/>
      <c r="Q896" s="254"/>
      <c r="R896" s="254"/>
      <c r="S896" s="254"/>
      <c r="T896" s="254"/>
      <c r="U896" s="254"/>
      <c r="V896" s="254"/>
      <c r="W896" s="254"/>
      <c r="X896" s="254"/>
      <c r="Y896" s="254"/>
      <c r="Z896" s="254"/>
      <c r="AA896" s="254"/>
      <c r="AB896" s="254"/>
      <c r="AC896" s="254"/>
    </row>
    <row r="897" ht="12.75" customHeight="1" spans="1:29">
      <c r="A897" s="254"/>
      <c r="B897" s="254"/>
      <c r="C897" s="254"/>
      <c r="D897" s="276"/>
      <c r="E897" s="254"/>
      <c r="F897" s="254"/>
      <c r="G897" s="254"/>
      <c r="H897" s="254"/>
      <c r="I897" s="254"/>
      <c r="J897" s="254"/>
      <c r="K897" s="254"/>
      <c r="L897" s="254"/>
      <c r="M897" s="254"/>
      <c r="N897" s="254"/>
      <c r="O897" s="254"/>
      <c r="P897" s="254"/>
      <c r="Q897" s="254"/>
      <c r="R897" s="254"/>
      <c r="S897" s="254"/>
      <c r="T897" s="254"/>
      <c r="U897" s="254"/>
      <c r="V897" s="254"/>
      <c r="W897" s="254"/>
      <c r="X897" s="254"/>
      <c r="Y897" s="254"/>
      <c r="Z897" s="254"/>
      <c r="AA897" s="254"/>
      <c r="AB897" s="254"/>
      <c r="AC897" s="254"/>
    </row>
    <row r="898" ht="12.75" customHeight="1" spans="1:29">
      <c r="A898" s="254"/>
      <c r="B898" s="254"/>
      <c r="C898" s="254"/>
      <c r="D898" s="276"/>
      <c r="E898" s="254"/>
      <c r="F898" s="254"/>
      <c r="G898" s="254"/>
      <c r="H898" s="254"/>
      <c r="I898" s="254"/>
      <c r="J898" s="254"/>
      <c r="K898" s="254"/>
      <c r="L898" s="254"/>
      <c r="M898" s="254"/>
      <c r="N898" s="254"/>
      <c r="O898" s="254"/>
      <c r="P898" s="254"/>
      <c r="Q898" s="254"/>
      <c r="R898" s="254"/>
      <c r="S898" s="254"/>
      <c r="T898" s="254"/>
      <c r="U898" s="254"/>
      <c r="V898" s="254"/>
      <c r="W898" s="254"/>
      <c r="X898" s="254"/>
      <c r="Y898" s="254"/>
      <c r="Z898" s="254"/>
      <c r="AA898" s="254"/>
      <c r="AB898" s="254"/>
      <c r="AC898" s="254"/>
    </row>
    <row r="899" ht="12.75" customHeight="1" spans="1:29">
      <c r="A899" s="254"/>
      <c r="B899" s="254"/>
      <c r="C899" s="254"/>
      <c r="D899" s="276"/>
      <c r="E899" s="254"/>
      <c r="F899" s="254"/>
      <c r="G899" s="254"/>
      <c r="H899" s="254"/>
      <c r="I899" s="254"/>
      <c r="J899" s="254"/>
      <c r="K899" s="254"/>
      <c r="L899" s="254"/>
      <c r="M899" s="254"/>
      <c r="N899" s="254"/>
      <c r="O899" s="254"/>
      <c r="P899" s="254"/>
      <c r="Q899" s="254"/>
      <c r="R899" s="254"/>
      <c r="S899" s="254"/>
      <c r="T899" s="254"/>
      <c r="U899" s="254"/>
      <c r="V899" s="254"/>
      <c r="W899" s="254"/>
      <c r="X899" s="254"/>
      <c r="Y899" s="254"/>
      <c r="Z899" s="254"/>
      <c r="AA899" s="254"/>
      <c r="AB899" s="254"/>
      <c r="AC899" s="254"/>
    </row>
    <row r="900" ht="12.75" customHeight="1" spans="1:29">
      <c r="A900" s="254"/>
      <c r="B900" s="254"/>
      <c r="C900" s="254"/>
      <c r="D900" s="276"/>
      <c r="E900" s="254"/>
      <c r="F900" s="254"/>
      <c r="G900" s="254"/>
      <c r="H900" s="254"/>
      <c r="I900" s="254"/>
      <c r="J900" s="254"/>
      <c r="K900" s="254"/>
      <c r="L900" s="254"/>
      <c r="M900" s="254"/>
      <c r="N900" s="254"/>
      <c r="O900" s="254"/>
      <c r="P900" s="254"/>
      <c r="Q900" s="254"/>
      <c r="R900" s="254"/>
      <c r="S900" s="254"/>
      <c r="T900" s="254"/>
      <c r="U900" s="254"/>
      <c r="V900" s="254"/>
      <c r="W900" s="254"/>
      <c r="X900" s="254"/>
      <c r="Y900" s="254"/>
      <c r="Z900" s="254"/>
      <c r="AA900" s="254"/>
      <c r="AB900" s="254"/>
      <c r="AC900" s="254"/>
    </row>
    <row r="901" ht="12.75" customHeight="1" spans="1:29">
      <c r="A901" s="254"/>
      <c r="B901" s="254"/>
      <c r="C901" s="254"/>
      <c r="D901" s="276"/>
      <c r="E901" s="254"/>
      <c r="F901" s="254"/>
      <c r="G901" s="254"/>
      <c r="H901" s="254"/>
      <c r="I901" s="254"/>
      <c r="J901" s="254"/>
      <c r="K901" s="254"/>
      <c r="L901" s="254"/>
      <c r="M901" s="254"/>
      <c r="N901" s="254"/>
      <c r="O901" s="254"/>
      <c r="P901" s="254"/>
      <c r="Q901" s="254"/>
      <c r="R901" s="254"/>
      <c r="S901" s="254"/>
      <c r="T901" s="254"/>
      <c r="U901" s="254"/>
      <c r="V901" s="254"/>
      <c r="W901" s="254"/>
      <c r="X901" s="254"/>
      <c r="Y901" s="254"/>
      <c r="Z901" s="254"/>
      <c r="AA901" s="254"/>
      <c r="AB901" s="254"/>
      <c r="AC901" s="254"/>
    </row>
    <row r="902" ht="12.75" customHeight="1" spans="1:29">
      <c r="A902" s="254"/>
      <c r="B902" s="254"/>
      <c r="C902" s="254"/>
      <c r="D902" s="276"/>
      <c r="E902" s="254"/>
      <c r="F902" s="254"/>
      <c r="G902" s="254"/>
      <c r="H902" s="254"/>
      <c r="I902" s="254"/>
      <c r="J902" s="254"/>
      <c r="K902" s="254"/>
      <c r="L902" s="254"/>
      <c r="M902" s="254"/>
      <c r="N902" s="254"/>
      <c r="O902" s="254"/>
      <c r="P902" s="254"/>
      <c r="Q902" s="254"/>
      <c r="R902" s="254"/>
      <c r="S902" s="254"/>
      <c r="T902" s="254"/>
      <c r="U902" s="254"/>
      <c r="V902" s="254"/>
      <c r="W902" s="254"/>
      <c r="X902" s="254"/>
      <c r="Y902" s="254"/>
      <c r="Z902" s="254"/>
      <c r="AA902" s="254"/>
      <c r="AB902" s="254"/>
      <c r="AC902" s="254"/>
    </row>
    <row r="903" ht="12.75" customHeight="1" spans="1:29">
      <c r="A903" s="254"/>
      <c r="B903" s="254"/>
      <c r="C903" s="254"/>
      <c r="D903" s="276"/>
      <c r="E903" s="254"/>
      <c r="F903" s="254"/>
      <c r="G903" s="254"/>
      <c r="H903" s="254"/>
      <c r="I903" s="254"/>
      <c r="J903" s="254"/>
      <c r="K903" s="254"/>
      <c r="L903" s="254"/>
      <c r="M903" s="254"/>
      <c r="N903" s="254"/>
      <c r="O903" s="254"/>
      <c r="P903" s="254"/>
      <c r="Q903" s="254"/>
      <c r="R903" s="254"/>
      <c r="S903" s="254"/>
      <c r="T903" s="254"/>
      <c r="U903" s="254"/>
      <c r="V903" s="254"/>
      <c r="W903" s="254"/>
      <c r="X903" s="254"/>
      <c r="Y903" s="254"/>
      <c r="Z903" s="254"/>
      <c r="AA903" s="254"/>
      <c r="AB903" s="254"/>
      <c r="AC903" s="254"/>
    </row>
    <row r="904" ht="12.75" customHeight="1" spans="1:29">
      <c r="A904" s="254"/>
      <c r="B904" s="254"/>
      <c r="C904" s="254"/>
      <c r="D904" s="276"/>
      <c r="E904" s="254"/>
      <c r="F904" s="254"/>
      <c r="G904" s="254"/>
      <c r="H904" s="254"/>
      <c r="I904" s="254"/>
      <c r="J904" s="254"/>
      <c r="K904" s="254"/>
      <c r="L904" s="254"/>
      <c r="M904" s="254"/>
      <c r="N904" s="254"/>
      <c r="O904" s="254"/>
      <c r="P904" s="254"/>
      <c r="Q904" s="254"/>
      <c r="R904" s="254"/>
      <c r="S904" s="254"/>
      <c r="T904" s="254"/>
      <c r="U904" s="254"/>
      <c r="V904" s="254"/>
      <c r="W904" s="254"/>
      <c r="X904" s="254"/>
      <c r="Y904" s="254"/>
      <c r="Z904" s="254"/>
      <c r="AA904" s="254"/>
      <c r="AB904" s="254"/>
      <c r="AC904" s="254"/>
    </row>
    <row r="905" ht="12.75" customHeight="1" spans="1:29">
      <c r="A905" s="254"/>
      <c r="B905" s="254"/>
      <c r="C905" s="254"/>
      <c r="D905" s="276"/>
      <c r="E905" s="254"/>
      <c r="F905" s="254"/>
      <c r="G905" s="254"/>
      <c r="H905" s="254"/>
      <c r="I905" s="254"/>
      <c r="J905" s="254"/>
      <c r="K905" s="254"/>
      <c r="L905" s="254"/>
      <c r="M905" s="254"/>
      <c r="N905" s="254"/>
      <c r="O905" s="254"/>
      <c r="P905" s="254"/>
      <c r="Q905" s="254"/>
      <c r="R905" s="254"/>
      <c r="S905" s="254"/>
      <c r="T905" s="254"/>
      <c r="U905" s="254"/>
      <c r="V905" s="254"/>
      <c r="W905" s="254"/>
      <c r="X905" s="254"/>
      <c r="Y905" s="254"/>
      <c r="Z905" s="254"/>
      <c r="AA905" s="254"/>
      <c r="AB905" s="254"/>
      <c r="AC905" s="254"/>
    </row>
    <row r="906" ht="12.75" customHeight="1" spans="1:29">
      <c r="A906" s="254"/>
      <c r="B906" s="254"/>
      <c r="C906" s="254"/>
      <c r="D906" s="276"/>
      <c r="E906" s="254"/>
      <c r="F906" s="254"/>
      <c r="G906" s="254"/>
      <c r="H906" s="254"/>
      <c r="I906" s="254"/>
      <c r="J906" s="254"/>
      <c r="K906" s="254"/>
      <c r="L906" s="254"/>
      <c r="M906" s="254"/>
      <c r="N906" s="254"/>
      <c r="O906" s="254"/>
      <c r="P906" s="254"/>
      <c r="Q906" s="254"/>
      <c r="R906" s="254"/>
      <c r="S906" s="254"/>
      <c r="T906" s="254"/>
      <c r="U906" s="254"/>
      <c r="V906" s="254"/>
      <c r="W906" s="254"/>
      <c r="X906" s="254"/>
      <c r="Y906" s="254"/>
      <c r="Z906" s="254"/>
      <c r="AA906" s="254"/>
      <c r="AB906" s="254"/>
      <c r="AC906" s="254"/>
    </row>
    <row r="907" ht="12.75" customHeight="1" spans="1:29">
      <c r="A907" s="254"/>
      <c r="B907" s="254"/>
      <c r="C907" s="254"/>
      <c r="D907" s="276"/>
      <c r="E907" s="254"/>
      <c r="F907" s="254"/>
      <c r="G907" s="254"/>
      <c r="H907" s="254"/>
      <c r="I907" s="254"/>
      <c r="J907" s="254"/>
      <c r="K907" s="254"/>
      <c r="L907" s="254"/>
      <c r="M907" s="254"/>
      <c r="N907" s="254"/>
      <c r="O907" s="254"/>
      <c r="P907" s="254"/>
      <c r="Q907" s="254"/>
      <c r="R907" s="254"/>
      <c r="S907" s="254"/>
      <c r="T907" s="254"/>
      <c r="U907" s="254"/>
      <c r="V907" s="254"/>
      <c r="W907" s="254"/>
      <c r="X907" s="254"/>
      <c r="Y907" s="254"/>
      <c r="Z907" s="254"/>
      <c r="AA907" s="254"/>
      <c r="AB907" s="254"/>
      <c r="AC907" s="254"/>
    </row>
    <row r="908" ht="12.75" customHeight="1" spans="1:29">
      <c r="A908" s="254"/>
      <c r="B908" s="254"/>
      <c r="C908" s="254"/>
      <c r="D908" s="276"/>
      <c r="E908" s="254"/>
      <c r="F908" s="254"/>
      <c r="G908" s="254"/>
      <c r="H908" s="254"/>
      <c r="I908" s="254"/>
      <c r="J908" s="254"/>
      <c r="K908" s="254"/>
      <c r="L908" s="254"/>
      <c r="M908" s="254"/>
      <c r="N908" s="254"/>
      <c r="O908" s="254"/>
      <c r="P908" s="254"/>
      <c r="Q908" s="254"/>
      <c r="R908" s="254"/>
      <c r="S908" s="254"/>
      <c r="T908" s="254"/>
      <c r="U908" s="254"/>
      <c r="V908" s="254"/>
      <c r="W908" s="254"/>
      <c r="X908" s="254"/>
      <c r="Y908" s="254"/>
      <c r="Z908" s="254"/>
      <c r="AA908" s="254"/>
      <c r="AB908" s="254"/>
      <c r="AC908" s="254"/>
    </row>
    <row r="909" ht="12.75" customHeight="1" spans="1:29">
      <c r="A909" s="254"/>
      <c r="B909" s="254"/>
      <c r="C909" s="254"/>
      <c r="D909" s="276"/>
      <c r="E909" s="254"/>
      <c r="F909" s="254"/>
      <c r="G909" s="254"/>
      <c r="H909" s="254"/>
      <c r="I909" s="254"/>
      <c r="J909" s="254"/>
      <c r="K909" s="254"/>
      <c r="L909" s="254"/>
      <c r="M909" s="254"/>
      <c r="N909" s="254"/>
      <c r="O909" s="254"/>
      <c r="P909" s="254"/>
      <c r="Q909" s="254"/>
      <c r="R909" s="254"/>
      <c r="S909" s="254"/>
      <c r="T909" s="254"/>
      <c r="U909" s="254"/>
      <c r="V909" s="254"/>
      <c r="W909" s="254"/>
      <c r="X909" s="254"/>
      <c r="Y909" s="254"/>
      <c r="Z909" s="254"/>
      <c r="AA909" s="254"/>
      <c r="AB909" s="254"/>
      <c r="AC909" s="254"/>
    </row>
    <row r="910" ht="12.75" customHeight="1" spans="1:29">
      <c r="A910" s="254"/>
      <c r="B910" s="254"/>
      <c r="C910" s="254"/>
      <c r="D910" s="276"/>
      <c r="E910" s="254"/>
      <c r="F910" s="254"/>
      <c r="G910" s="254"/>
      <c r="H910" s="254"/>
      <c r="I910" s="254"/>
      <c r="J910" s="254"/>
      <c r="K910" s="254"/>
      <c r="L910" s="254"/>
      <c r="M910" s="254"/>
      <c r="N910" s="254"/>
      <c r="O910" s="254"/>
      <c r="P910" s="254"/>
      <c r="Q910" s="254"/>
      <c r="R910" s="254"/>
      <c r="S910" s="254"/>
      <c r="T910" s="254"/>
      <c r="U910" s="254"/>
      <c r="V910" s="254"/>
      <c r="W910" s="254"/>
      <c r="X910" s="254"/>
      <c r="Y910" s="254"/>
      <c r="Z910" s="254"/>
      <c r="AA910" s="254"/>
      <c r="AB910" s="254"/>
      <c r="AC910" s="254"/>
    </row>
    <row r="911" ht="12.75" customHeight="1" spans="1:29">
      <c r="A911" s="254"/>
      <c r="B911" s="254"/>
      <c r="C911" s="254"/>
      <c r="D911" s="276"/>
      <c r="E911" s="254"/>
      <c r="F911" s="254"/>
      <c r="G911" s="254"/>
      <c r="H911" s="254"/>
      <c r="I911" s="254"/>
      <c r="J911" s="254"/>
      <c r="K911" s="254"/>
      <c r="L911" s="254"/>
      <c r="M911" s="254"/>
      <c r="N911" s="254"/>
      <c r="O911" s="254"/>
      <c r="P911" s="254"/>
      <c r="Q911" s="254"/>
      <c r="R911" s="254"/>
      <c r="S911" s="254"/>
      <c r="T911" s="254"/>
      <c r="U911" s="254"/>
      <c r="V911" s="254"/>
      <c r="W911" s="254"/>
      <c r="X911" s="254"/>
      <c r="Y911" s="254"/>
      <c r="Z911" s="254"/>
      <c r="AA911" s="254"/>
      <c r="AB911" s="254"/>
      <c r="AC911" s="254"/>
    </row>
    <row r="912" ht="12.75" customHeight="1" spans="1:29">
      <c r="A912" s="254"/>
      <c r="B912" s="254"/>
      <c r="C912" s="254"/>
      <c r="D912" s="276"/>
      <c r="E912" s="254"/>
      <c r="F912" s="254"/>
      <c r="G912" s="254"/>
      <c r="H912" s="254"/>
      <c r="I912" s="254"/>
      <c r="J912" s="254"/>
      <c r="K912" s="254"/>
      <c r="L912" s="254"/>
      <c r="M912" s="254"/>
      <c r="N912" s="254"/>
      <c r="O912" s="254"/>
      <c r="P912" s="254"/>
      <c r="Q912" s="254"/>
      <c r="R912" s="254"/>
      <c r="S912" s="254"/>
      <c r="T912" s="254"/>
      <c r="U912" s="254"/>
      <c r="V912" s="254"/>
      <c r="W912" s="254"/>
      <c r="X912" s="254"/>
      <c r="Y912" s="254"/>
      <c r="Z912" s="254"/>
      <c r="AA912" s="254"/>
      <c r="AB912" s="254"/>
      <c r="AC912" s="254"/>
    </row>
    <row r="913" ht="12.75" customHeight="1" spans="1:29">
      <c r="A913" s="254"/>
      <c r="B913" s="254"/>
      <c r="C913" s="254"/>
      <c r="D913" s="276"/>
      <c r="E913" s="254"/>
      <c r="F913" s="254"/>
      <c r="G913" s="254"/>
      <c r="H913" s="254"/>
      <c r="I913" s="254"/>
      <c r="J913" s="254"/>
      <c r="K913" s="254"/>
      <c r="L913" s="254"/>
      <c r="M913" s="254"/>
      <c r="N913" s="254"/>
      <c r="O913" s="254"/>
      <c r="P913" s="254"/>
      <c r="Q913" s="254"/>
      <c r="R913" s="254"/>
      <c r="S913" s="254"/>
      <c r="T913" s="254"/>
      <c r="U913" s="254"/>
      <c r="V913" s="254"/>
      <c r="W913" s="254"/>
      <c r="X913" s="254"/>
      <c r="Y913" s="254"/>
      <c r="Z913" s="254"/>
      <c r="AA913" s="254"/>
      <c r="AB913" s="254"/>
      <c r="AC913" s="254"/>
    </row>
    <row r="914" ht="12.75" customHeight="1" spans="1:29">
      <c r="A914" s="254"/>
      <c r="B914" s="254"/>
      <c r="C914" s="254"/>
      <c r="D914" s="276"/>
      <c r="E914" s="254"/>
      <c r="F914" s="254"/>
      <c r="G914" s="254"/>
      <c r="H914" s="254"/>
      <c r="I914" s="254"/>
      <c r="J914" s="254"/>
      <c r="K914" s="254"/>
      <c r="L914" s="254"/>
      <c r="M914" s="254"/>
      <c r="N914" s="254"/>
      <c r="O914" s="254"/>
      <c r="P914" s="254"/>
      <c r="Q914" s="254"/>
      <c r="R914" s="254"/>
      <c r="S914" s="254"/>
      <c r="T914" s="254"/>
      <c r="U914" s="254"/>
      <c r="V914" s="254"/>
      <c r="W914" s="254"/>
      <c r="X914" s="254"/>
      <c r="Y914" s="254"/>
      <c r="Z914" s="254"/>
      <c r="AA914" s="254"/>
      <c r="AB914" s="254"/>
      <c r="AC914" s="254"/>
    </row>
    <row r="915" ht="12.75" customHeight="1" spans="1:29">
      <c r="A915" s="254"/>
      <c r="B915" s="254"/>
      <c r="C915" s="254"/>
      <c r="D915" s="276"/>
      <c r="E915" s="254"/>
      <c r="F915" s="254"/>
      <c r="G915" s="254"/>
      <c r="H915" s="254"/>
      <c r="I915" s="254"/>
      <c r="J915" s="254"/>
      <c r="K915" s="254"/>
      <c r="L915" s="254"/>
      <c r="M915" s="254"/>
      <c r="N915" s="254"/>
      <c r="O915" s="254"/>
      <c r="P915" s="254"/>
      <c r="Q915" s="254"/>
      <c r="R915" s="254"/>
      <c r="S915" s="254"/>
      <c r="T915" s="254"/>
      <c r="U915" s="254"/>
      <c r="V915" s="254"/>
      <c r="W915" s="254"/>
      <c r="X915" s="254"/>
      <c r="Y915" s="254"/>
      <c r="Z915" s="254"/>
      <c r="AA915" s="254"/>
      <c r="AB915" s="254"/>
      <c r="AC915" s="254"/>
    </row>
    <row r="916" ht="12.75" customHeight="1" spans="1:29">
      <c r="A916" s="254"/>
      <c r="B916" s="254"/>
      <c r="C916" s="254"/>
      <c r="D916" s="276"/>
      <c r="E916" s="254"/>
      <c r="F916" s="254"/>
      <c r="G916" s="254"/>
      <c r="H916" s="254"/>
      <c r="I916" s="254"/>
      <c r="J916" s="254"/>
      <c r="K916" s="254"/>
      <c r="L916" s="254"/>
      <c r="M916" s="254"/>
      <c r="N916" s="254"/>
      <c r="O916" s="254"/>
      <c r="P916" s="254"/>
      <c r="Q916" s="254"/>
      <c r="R916" s="254"/>
      <c r="S916" s="254"/>
      <c r="T916" s="254"/>
      <c r="U916" s="254"/>
      <c r="V916" s="254"/>
      <c r="W916" s="254"/>
      <c r="X916" s="254"/>
      <c r="Y916" s="254"/>
      <c r="Z916" s="254"/>
      <c r="AA916" s="254"/>
      <c r="AB916" s="254"/>
      <c r="AC916" s="254"/>
    </row>
    <row r="917" ht="12.75" customHeight="1" spans="1:29">
      <c r="A917" s="254"/>
      <c r="B917" s="254"/>
      <c r="C917" s="254"/>
      <c r="D917" s="276"/>
      <c r="E917" s="254"/>
      <c r="F917" s="254"/>
      <c r="G917" s="254"/>
      <c r="H917" s="254"/>
      <c r="I917" s="254"/>
      <c r="J917" s="254"/>
      <c r="K917" s="254"/>
      <c r="L917" s="254"/>
      <c r="M917" s="254"/>
      <c r="N917" s="254"/>
      <c r="O917" s="254"/>
      <c r="P917" s="254"/>
      <c r="Q917" s="254"/>
      <c r="R917" s="254"/>
      <c r="S917" s="254"/>
      <c r="T917" s="254"/>
      <c r="U917" s="254"/>
      <c r="V917" s="254"/>
      <c r="W917" s="254"/>
      <c r="X917" s="254"/>
      <c r="Y917" s="254"/>
      <c r="Z917" s="254"/>
      <c r="AA917" s="254"/>
      <c r="AB917" s="254"/>
      <c r="AC917" s="254"/>
    </row>
    <row r="918" ht="12.75" customHeight="1" spans="1:29">
      <c r="A918" s="254"/>
      <c r="B918" s="254"/>
      <c r="C918" s="254"/>
      <c r="D918" s="276"/>
      <c r="E918" s="254"/>
      <c r="F918" s="254"/>
      <c r="G918" s="254"/>
      <c r="H918" s="254"/>
      <c r="I918" s="254"/>
      <c r="J918" s="254"/>
      <c r="K918" s="254"/>
      <c r="L918" s="254"/>
      <c r="M918" s="254"/>
      <c r="N918" s="254"/>
      <c r="O918" s="254"/>
      <c r="P918" s="254"/>
      <c r="Q918" s="254"/>
      <c r="R918" s="254"/>
      <c r="S918" s="254"/>
      <c r="T918" s="254"/>
      <c r="U918" s="254"/>
      <c r="V918" s="254"/>
      <c r="W918" s="254"/>
      <c r="X918" s="254"/>
      <c r="Y918" s="254"/>
      <c r="Z918" s="254"/>
      <c r="AA918" s="254"/>
      <c r="AB918" s="254"/>
      <c r="AC918" s="254"/>
    </row>
    <row r="919" ht="12.75" customHeight="1" spans="1:29">
      <c r="A919" s="254"/>
      <c r="B919" s="254"/>
      <c r="C919" s="254"/>
      <c r="D919" s="276"/>
      <c r="E919" s="254"/>
      <c r="F919" s="254"/>
      <c r="G919" s="254"/>
      <c r="H919" s="254"/>
      <c r="I919" s="254"/>
      <c r="J919" s="254"/>
      <c r="K919" s="254"/>
      <c r="L919" s="254"/>
      <c r="M919" s="254"/>
      <c r="N919" s="254"/>
      <c r="O919" s="254"/>
      <c r="P919" s="254"/>
      <c r="Q919" s="254"/>
      <c r="R919" s="254"/>
      <c r="S919" s="254"/>
      <c r="T919" s="254"/>
      <c r="U919" s="254"/>
      <c r="V919" s="254"/>
      <c r="W919" s="254"/>
      <c r="X919" s="254"/>
      <c r="Y919" s="254"/>
      <c r="Z919" s="254"/>
      <c r="AA919" s="254"/>
      <c r="AB919" s="254"/>
      <c r="AC919" s="254"/>
    </row>
    <row r="920" ht="12.75" customHeight="1" spans="1:29">
      <c r="A920" s="254"/>
      <c r="B920" s="254"/>
      <c r="C920" s="254"/>
      <c r="D920" s="276"/>
      <c r="E920" s="254"/>
      <c r="F920" s="254"/>
      <c r="G920" s="254"/>
      <c r="H920" s="254"/>
      <c r="I920" s="254"/>
      <c r="J920" s="254"/>
      <c r="K920" s="254"/>
      <c r="L920" s="254"/>
      <c r="M920" s="254"/>
      <c r="N920" s="254"/>
      <c r="O920" s="254"/>
      <c r="P920" s="254"/>
      <c r="Q920" s="254"/>
      <c r="R920" s="254"/>
      <c r="S920" s="254"/>
      <c r="T920" s="254"/>
      <c r="U920" s="254"/>
      <c r="V920" s="254"/>
      <c r="W920" s="254"/>
      <c r="X920" s="254"/>
      <c r="Y920" s="254"/>
      <c r="Z920" s="254"/>
      <c r="AA920" s="254"/>
      <c r="AB920" s="254"/>
      <c r="AC920" s="254"/>
    </row>
    <row r="921" ht="12.75" customHeight="1" spans="1:29">
      <c r="A921" s="254"/>
      <c r="B921" s="254"/>
      <c r="C921" s="254"/>
      <c r="D921" s="276"/>
      <c r="E921" s="254"/>
      <c r="F921" s="254"/>
      <c r="G921" s="254"/>
      <c r="H921" s="254"/>
      <c r="I921" s="254"/>
      <c r="J921" s="254"/>
      <c r="K921" s="254"/>
      <c r="L921" s="254"/>
      <c r="M921" s="254"/>
      <c r="N921" s="254"/>
      <c r="O921" s="254"/>
      <c r="P921" s="254"/>
      <c r="Q921" s="254"/>
      <c r="R921" s="254"/>
      <c r="S921" s="254"/>
      <c r="T921" s="254"/>
      <c r="U921" s="254"/>
      <c r="V921" s="254"/>
      <c r="W921" s="254"/>
      <c r="X921" s="254"/>
      <c r="Y921" s="254"/>
      <c r="Z921" s="254"/>
      <c r="AA921" s="254"/>
      <c r="AB921" s="254"/>
      <c r="AC921" s="254"/>
    </row>
    <row r="922" ht="12.75" customHeight="1" spans="1:29">
      <c r="A922" s="254"/>
      <c r="B922" s="254"/>
      <c r="C922" s="254"/>
      <c r="D922" s="276"/>
      <c r="E922" s="254"/>
      <c r="F922" s="254"/>
      <c r="G922" s="254"/>
      <c r="H922" s="254"/>
      <c r="I922" s="254"/>
      <c r="J922" s="254"/>
      <c r="K922" s="254"/>
      <c r="L922" s="254"/>
      <c r="M922" s="254"/>
      <c r="N922" s="254"/>
      <c r="O922" s="254"/>
      <c r="P922" s="254"/>
      <c r="Q922" s="254"/>
      <c r="R922" s="254"/>
      <c r="S922" s="254"/>
      <c r="T922" s="254"/>
      <c r="U922" s="254"/>
      <c r="V922" s="254"/>
      <c r="W922" s="254"/>
      <c r="X922" s="254"/>
      <c r="Y922" s="254"/>
      <c r="Z922" s="254"/>
      <c r="AA922" s="254"/>
      <c r="AB922" s="254"/>
      <c r="AC922" s="254"/>
    </row>
    <row r="923" ht="12.75" customHeight="1" spans="1:29">
      <c r="A923" s="254"/>
      <c r="B923" s="254"/>
      <c r="C923" s="254"/>
      <c r="D923" s="276"/>
      <c r="E923" s="254"/>
      <c r="F923" s="254"/>
      <c r="G923" s="254"/>
      <c r="H923" s="254"/>
      <c r="I923" s="254"/>
      <c r="J923" s="254"/>
      <c r="K923" s="254"/>
      <c r="L923" s="254"/>
      <c r="M923" s="254"/>
      <c r="N923" s="254"/>
      <c r="O923" s="254"/>
      <c r="P923" s="254"/>
      <c r="Q923" s="254"/>
      <c r="R923" s="254"/>
      <c r="S923" s="254"/>
      <c r="T923" s="254"/>
      <c r="U923" s="254"/>
      <c r="V923" s="254"/>
      <c r="W923" s="254"/>
      <c r="X923" s="254"/>
      <c r="Y923" s="254"/>
      <c r="Z923" s="254"/>
      <c r="AA923" s="254"/>
      <c r="AB923" s="254"/>
      <c r="AC923" s="254"/>
    </row>
    <row r="924" ht="12.75" customHeight="1" spans="1:29">
      <c r="A924" s="254"/>
      <c r="B924" s="254"/>
      <c r="C924" s="254"/>
      <c r="D924" s="276"/>
      <c r="E924" s="254"/>
      <c r="F924" s="254"/>
      <c r="G924" s="254"/>
      <c r="H924" s="254"/>
      <c r="I924" s="254"/>
      <c r="J924" s="254"/>
      <c r="K924" s="254"/>
      <c r="L924" s="254"/>
      <c r="M924" s="254"/>
      <c r="N924" s="254"/>
      <c r="O924" s="254"/>
      <c r="P924" s="254"/>
      <c r="Q924" s="254"/>
      <c r="R924" s="254"/>
      <c r="S924" s="254"/>
      <c r="T924" s="254"/>
      <c r="U924" s="254"/>
      <c r="V924" s="254"/>
      <c r="W924" s="254"/>
      <c r="X924" s="254"/>
      <c r="Y924" s="254"/>
      <c r="Z924" s="254"/>
      <c r="AA924" s="254"/>
      <c r="AB924" s="254"/>
      <c r="AC924" s="254"/>
    </row>
    <row r="925" ht="12.75" customHeight="1" spans="1:29">
      <c r="A925" s="254"/>
      <c r="B925" s="254"/>
      <c r="C925" s="254"/>
      <c r="D925" s="276"/>
      <c r="E925" s="254"/>
      <c r="F925" s="254"/>
      <c r="G925" s="254"/>
      <c r="H925" s="254"/>
      <c r="I925" s="254"/>
      <c r="J925" s="254"/>
      <c r="K925" s="254"/>
      <c r="L925" s="254"/>
      <c r="M925" s="254"/>
      <c r="N925" s="254"/>
      <c r="O925" s="254"/>
      <c r="P925" s="254"/>
      <c r="Q925" s="254"/>
      <c r="R925" s="254"/>
      <c r="S925" s="254"/>
      <c r="T925" s="254"/>
      <c r="U925" s="254"/>
      <c r="V925" s="254"/>
      <c r="W925" s="254"/>
      <c r="X925" s="254"/>
      <c r="Y925" s="254"/>
      <c r="Z925" s="254"/>
      <c r="AA925" s="254"/>
      <c r="AB925" s="254"/>
      <c r="AC925" s="254"/>
    </row>
    <row r="926" ht="12.75" customHeight="1" spans="1:29">
      <c r="A926" s="254"/>
      <c r="B926" s="254"/>
      <c r="C926" s="254"/>
      <c r="D926" s="276"/>
      <c r="E926" s="254"/>
      <c r="F926" s="254"/>
      <c r="G926" s="254"/>
      <c r="H926" s="254"/>
      <c r="I926" s="254"/>
      <c r="J926" s="254"/>
      <c r="K926" s="254"/>
      <c r="L926" s="254"/>
      <c r="M926" s="254"/>
      <c r="N926" s="254"/>
      <c r="O926" s="254"/>
      <c r="P926" s="254"/>
      <c r="Q926" s="254"/>
      <c r="R926" s="254"/>
      <c r="S926" s="254"/>
      <c r="T926" s="254"/>
      <c r="U926" s="254"/>
      <c r="V926" s="254"/>
      <c r="W926" s="254"/>
      <c r="X926" s="254"/>
      <c r="Y926" s="254"/>
      <c r="Z926" s="254"/>
      <c r="AA926" s="254"/>
      <c r="AB926" s="254"/>
      <c r="AC926" s="254"/>
    </row>
    <row r="927" ht="12.75" customHeight="1" spans="1:29">
      <c r="A927" s="254"/>
      <c r="B927" s="254"/>
      <c r="C927" s="254"/>
      <c r="D927" s="276"/>
      <c r="E927" s="254"/>
      <c r="F927" s="254"/>
      <c r="G927" s="254"/>
      <c r="H927" s="254"/>
      <c r="I927" s="254"/>
      <c r="J927" s="254"/>
      <c r="K927" s="254"/>
      <c r="L927" s="254"/>
      <c r="M927" s="254"/>
      <c r="N927" s="254"/>
      <c r="O927" s="254"/>
      <c r="P927" s="254"/>
      <c r="Q927" s="254"/>
      <c r="R927" s="254"/>
      <c r="S927" s="254"/>
      <c r="T927" s="254"/>
      <c r="U927" s="254"/>
      <c r="V927" s="254"/>
      <c r="W927" s="254"/>
      <c r="X927" s="254"/>
      <c r="Y927" s="254"/>
      <c r="Z927" s="254"/>
      <c r="AA927" s="254"/>
      <c r="AB927" s="254"/>
      <c r="AC927" s="254"/>
    </row>
    <row r="928" ht="12.75" customHeight="1" spans="1:29">
      <c r="A928" s="254"/>
      <c r="B928" s="254"/>
      <c r="C928" s="254"/>
      <c r="D928" s="276"/>
      <c r="E928" s="254"/>
      <c r="F928" s="254"/>
      <c r="G928" s="254"/>
      <c r="H928" s="254"/>
      <c r="I928" s="254"/>
      <c r="J928" s="254"/>
      <c r="K928" s="254"/>
      <c r="L928" s="254"/>
      <c r="M928" s="254"/>
      <c r="N928" s="254"/>
      <c r="O928" s="254"/>
      <c r="P928" s="254"/>
      <c r="Q928" s="254"/>
      <c r="R928" s="254"/>
      <c r="S928" s="254"/>
      <c r="T928" s="254"/>
      <c r="U928" s="254"/>
      <c r="V928" s="254"/>
      <c r="W928" s="254"/>
      <c r="X928" s="254"/>
      <c r="Y928" s="254"/>
      <c r="Z928" s="254"/>
      <c r="AA928" s="254"/>
      <c r="AB928" s="254"/>
      <c r="AC928" s="254"/>
    </row>
    <row r="929" ht="12.75" customHeight="1" spans="1:29">
      <c r="A929" s="254"/>
      <c r="B929" s="254"/>
      <c r="C929" s="254"/>
      <c r="D929" s="276"/>
      <c r="E929" s="254"/>
      <c r="F929" s="254"/>
      <c r="G929" s="254"/>
      <c r="H929" s="254"/>
      <c r="I929" s="254"/>
      <c r="J929" s="254"/>
      <c r="K929" s="254"/>
      <c r="L929" s="254"/>
      <c r="M929" s="254"/>
      <c r="N929" s="254"/>
      <c r="O929" s="254"/>
      <c r="P929" s="254"/>
      <c r="Q929" s="254"/>
      <c r="R929" s="254"/>
      <c r="S929" s="254"/>
      <c r="T929" s="254"/>
      <c r="U929" s="254"/>
      <c r="V929" s="254"/>
      <c r="W929" s="254"/>
      <c r="X929" s="254"/>
      <c r="Y929" s="254"/>
      <c r="Z929" s="254"/>
      <c r="AA929" s="254"/>
      <c r="AB929" s="254"/>
      <c r="AC929" s="254"/>
    </row>
    <row r="930" ht="12.75" customHeight="1" spans="1:29">
      <c r="A930" s="254"/>
      <c r="B930" s="254"/>
      <c r="C930" s="254"/>
      <c r="D930" s="276"/>
      <c r="E930" s="254"/>
      <c r="F930" s="254"/>
      <c r="G930" s="254"/>
      <c r="H930" s="254"/>
      <c r="I930" s="254"/>
      <c r="J930" s="254"/>
      <c r="K930" s="254"/>
      <c r="L930" s="254"/>
      <c r="M930" s="254"/>
      <c r="N930" s="254"/>
      <c r="O930" s="254"/>
      <c r="P930" s="254"/>
      <c r="Q930" s="254"/>
      <c r="R930" s="254"/>
      <c r="S930" s="254"/>
      <c r="T930" s="254"/>
      <c r="U930" s="254"/>
      <c r="V930" s="254"/>
      <c r="W930" s="254"/>
      <c r="X930" s="254"/>
      <c r="Y930" s="254"/>
      <c r="Z930" s="254"/>
      <c r="AA930" s="254"/>
      <c r="AB930" s="254"/>
      <c r="AC930" s="254"/>
    </row>
    <row r="931" ht="12.75" customHeight="1" spans="1:29">
      <c r="A931" s="254"/>
      <c r="B931" s="254"/>
      <c r="C931" s="254"/>
      <c r="D931" s="276"/>
      <c r="E931" s="254"/>
      <c r="F931" s="254"/>
      <c r="G931" s="254"/>
      <c r="H931" s="254"/>
      <c r="I931" s="254"/>
      <c r="J931" s="254"/>
      <c r="K931" s="254"/>
      <c r="L931" s="254"/>
      <c r="M931" s="254"/>
      <c r="N931" s="254"/>
      <c r="O931" s="254"/>
      <c r="P931" s="254"/>
      <c r="Q931" s="254"/>
      <c r="R931" s="254"/>
      <c r="S931" s="254"/>
      <c r="T931" s="254"/>
      <c r="U931" s="254"/>
      <c r="V931" s="254"/>
      <c r="W931" s="254"/>
      <c r="X931" s="254"/>
      <c r="Y931" s="254"/>
      <c r="Z931" s="254"/>
      <c r="AA931" s="254"/>
      <c r="AB931" s="254"/>
      <c r="AC931" s="254"/>
    </row>
    <row r="932" ht="12.75" customHeight="1" spans="1:29">
      <c r="A932" s="254"/>
      <c r="B932" s="254"/>
      <c r="C932" s="254"/>
      <c r="D932" s="276"/>
      <c r="E932" s="254"/>
      <c r="F932" s="254"/>
      <c r="G932" s="254"/>
      <c r="H932" s="254"/>
      <c r="I932" s="254"/>
      <c r="J932" s="254"/>
      <c r="K932" s="254"/>
      <c r="L932" s="254"/>
      <c r="M932" s="254"/>
      <c r="N932" s="254"/>
      <c r="O932" s="254"/>
      <c r="P932" s="254"/>
      <c r="Q932" s="254"/>
      <c r="R932" s="254"/>
      <c r="S932" s="254"/>
      <c r="T932" s="254"/>
      <c r="U932" s="254"/>
      <c r="V932" s="254"/>
      <c r="W932" s="254"/>
      <c r="X932" s="254"/>
      <c r="Y932" s="254"/>
      <c r="Z932" s="254"/>
      <c r="AA932" s="254"/>
      <c r="AB932" s="254"/>
      <c r="AC932" s="254"/>
    </row>
    <row r="933" ht="12.75" customHeight="1" spans="1:29">
      <c r="A933" s="254"/>
      <c r="B933" s="254"/>
      <c r="C933" s="254"/>
      <c r="D933" s="276"/>
      <c r="E933" s="254"/>
      <c r="F933" s="254"/>
      <c r="G933" s="254"/>
      <c r="H933" s="254"/>
      <c r="I933" s="254"/>
      <c r="J933" s="254"/>
      <c r="K933" s="254"/>
      <c r="L933" s="254"/>
      <c r="M933" s="254"/>
      <c r="N933" s="254"/>
      <c r="O933" s="254"/>
      <c r="P933" s="254"/>
      <c r="Q933" s="254"/>
      <c r="R933" s="254"/>
      <c r="S933" s="254"/>
      <c r="T933" s="254"/>
      <c r="U933" s="254"/>
      <c r="V933" s="254"/>
      <c r="W933" s="254"/>
      <c r="X933" s="254"/>
      <c r="Y933" s="254"/>
      <c r="Z933" s="254"/>
      <c r="AA933" s="254"/>
      <c r="AB933" s="254"/>
      <c r="AC933" s="254"/>
    </row>
    <row r="934" ht="12.75" customHeight="1" spans="1:29">
      <c r="A934" s="254"/>
      <c r="B934" s="254"/>
      <c r="C934" s="254"/>
      <c r="D934" s="276"/>
      <c r="E934" s="254"/>
      <c r="F934" s="254"/>
      <c r="G934" s="254"/>
      <c r="H934" s="254"/>
      <c r="I934" s="254"/>
      <c r="J934" s="254"/>
      <c r="K934" s="254"/>
      <c r="L934" s="254"/>
      <c r="M934" s="254"/>
      <c r="N934" s="254"/>
      <c r="O934" s="254"/>
      <c r="P934" s="254"/>
      <c r="Q934" s="254"/>
      <c r="R934" s="254"/>
      <c r="S934" s="254"/>
      <c r="T934" s="254"/>
      <c r="U934" s="254"/>
      <c r="V934" s="254"/>
      <c r="W934" s="254"/>
      <c r="X934" s="254"/>
      <c r="Y934" s="254"/>
      <c r="Z934" s="254"/>
      <c r="AA934" s="254"/>
      <c r="AB934" s="254"/>
      <c r="AC934" s="254"/>
    </row>
    <row r="935" ht="12.75" customHeight="1" spans="1:29">
      <c r="A935" s="254"/>
      <c r="B935" s="254"/>
      <c r="C935" s="254"/>
      <c r="D935" s="276"/>
      <c r="E935" s="254"/>
      <c r="F935" s="254"/>
      <c r="G935" s="254"/>
      <c r="H935" s="254"/>
      <c r="I935" s="254"/>
      <c r="J935" s="254"/>
      <c r="K935" s="254"/>
      <c r="L935" s="254"/>
      <c r="M935" s="254"/>
      <c r="N935" s="254"/>
      <c r="O935" s="254"/>
      <c r="P935" s="254"/>
      <c r="Q935" s="254"/>
      <c r="R935" s="254"/>
      <c r="S935" s="254"/>
      <c r="T935" s="254"/>
      <c r="U935" s="254"/>
      <c r="V935" s="254"/>
      <c r="W935" s="254"/>
      <c r="X935" s="254"/>
      <c r="Y935" s="254"/>
      <c r="Z935" s="254"/>
      <c r="AA935" s="254"/>
      <c r="AB935" s="254"/>
      <c r="AC935" s="254"/>
    </row>
    <row r="936" ht="12.75" customHeight="1" spans="1:29">
      <c r="A936" s="254"/>
      <c r="B936" s="254"/>
      <c r="C936" s="254"/>
      <c r="D936" s="276"/>
      <c r="E936" s="254"/>
      <c r="F936" s="254"/>
      <c r="G936" s="254"/>
      <c r="H936" s="254"/>
      <c r="I936" s="254"/>
      <c r="J936" s="254"/>
      <c r="K936" s="254"/>
      <c r="L936" s="254"/>
      <c r="M936" s="254"/>
      <c r="N936" s="254"/>
      <c r="O936" s="254"/>
      <c r="P936" s="254"/>
      <c r="Q936" s="254"/>
      <c r="R936" s="254"/>
      <c r="S936" s="254"/>
      <c r="T936" s="254"/>
      <c r="U936" s="254"/>
      <c r="V936" s="254"/>
      <c r="W936" s="254"/>
      <c r="X936" s="254"/>
      <c r="Y936" s="254"/>
      <c r="Z936" s="254"/>
      <c r="AA936" s="254"/>
      <c r="AB936" s="254"/>
      <c r="AC936" s="254"/>
    </row>
    <row r="937" ht="12.75" customHeight="1" spans="1:29">
      <c r="A937" s="254"/>
      <c r="B937" s="254"/>
      <c r="C937" s="254"/>
      <c r="D937" s="276"/>
      <c r="E937" s="254"/>
      <c r="F937" s="254"/>
      <c r="G937" s="254"/>
      <c r="H937" s="254"/>
      <c r="I937" s="254"/>
      <c r="J937" s="254"/>
      <c r="K937" s="254"/>
      <c r="L937" s="254"/>
      <c r="M937" s="254"/>
      <c r="N937" s="254"/>
      <c r="O937" s="254"/>
      <c r="P937" s="254"/>
      <c r="Q937" s="254"/>
      <c r="R937" s="254"/>
      <c r="S937" s="254"/>
      <c r="T937" s="254"/>
      <c r="U937" s="254"/>
      <c r="V937" s="254"/>
      <c r="W937" s="254"/>
      <c r="X937" s="254"/>
      <c r="Y937" s="254"/>
      <c r="Z937" s="254"/>
      <c r="AA937" s="254"/>
      <c r="AB937" s="254"/>
      <c r="AC937" s="254"/>
    </row>
    <row r="938" ht="12.75" customHeight="1" spans="1:29">
      <c r="A938" s="254"/>
      <c r="B938" s="254"/>
      <c r="C938" s="254"/>
      <c r="D938" s="276"/>
      <c r="E938" s="254"/>
      <c r="F938" s="254"/>
      <c r="G938" s="254"/>
      <c r="H938" s="254"/>
      <c r="I938" s="254"/>
      <c r="J938" s="254"/>
      <c r="K938" s="254"/>
      <c r="L938" s="254"/>
      <c r="M938" s="254"/>
      <c r="N938" s="254"/>
      <c r="O938" s="254"/>
      <c r="P938" s="254"/>
      <c r="Q938" s="254"/>
      <c r="R938" s="254"/>
      <c r="S938" s="254"/>
      <c r="T938" s="254"/>
      <c r="U938" s="254"/>
      <c r="V938" s="254"/>
      <c r="W938" s="254"/>
      <c r="X938" s="254"/>
      <c r="Y938" s="254"/>
      <c r="Z938" s="254"/>
      <c r="AA938" s="254"/>
      <c r="AB938" s="254"/>
      <c r="AC938" s="254"/>
    </row>
    <row r="939" ht="12.75" customHeight="1" spans="1:29">
      <c r="A939" s="254"/>
      <c r="B939" s="254"/>
      <c r="C939" s="254"/>
      <c r="D939" s="276"/>
      <c r="E939" s="254"/>
      <c r="F939" s="254"/>
      <c r="G939" s="254"/>
      <c r="H939" s="254"/>
      <c r="I939" s="254"/>
      <c r="J939" s="254"/>
      <c r="K939" s="254"/>
      <c r="L939" s="254"/>
      <c r="M939" s="254"/>
      <c r="N939" s="254"/>
      <c r="O939" s="254"/>
      <c r="P939" s="254"/>
      <c r="Q939" s="254"/>
      <c r="R939" s="254"/>
      <c r="S939" s="254"/>
      <c r="T939" s="254"/>
      <c r="U939" s="254"/>
      <c r="V939" s="254"/>
      <c r="W939" s="254"/>
      <c r="X939" s="254"/>
      <c r="Y939" s="254"/>
      <c r="Z939" s="254"/>
      <c r="AA939" s="254"/>
      <c r="AB939" s="254"/>
      <c r="AC939" s="254"/>
    </row>
    <row r="940" ht="12.75" customHeight="1" spans="1:29">
      <c r="A940" s="254"/>
      <c r="B940" s="254"/>
      <c r="C940" s="254"/>
      <c r="D940" s="276"/>
      <c r="E940" s="254"/>
      <c r="F940" s="254"/>
      <c r="G940" s="254"/>
      <c r="H940" s="254"/>
      <c r="I940" s="254"/>
      <c r="J940" s="254"/>
      <c r="K940" s="254"/>
      <c r="L940" s="254"/>
      <c r="M940" s="254"/>
      <c r="N940" s="254"/>
      <c r="O940" s="254"/>
      <c r="P940" s="254"/>
      <c r="Q940" s="254"/>
      <c r="R940" s="254"/>
      <c r="S940" s="254"/>
      <c r="T940" s="254"/>
      <c r="U940" s="254"/>
      <c r="V940" s="254"/>
      <c r="W940" s="254"/>
      <c r="X940" s="254"/>
      <c r="Y940" s="254"/>
      <c r="Z940" s="254"/>
      <c r="AA940" s="254"/>
      <c r="AB940" s="254"/>
      <c r="AC940" s="254"/>
    </row>
    <row r="941" ht="12.75" customHeight="1" spans="1:29">
      <c r="A941" s="254"/>
      <c r="B941" s="254"/>
      <c r="C941" s="254"/>
      <c r="D941" s="276"/>
      <c r="E941" s="254"/>
      <c r="F941" s="254"/>
      <c r="G941" s="254"/>
      <c r="H941" s="254"/>
      <c r="I941" s="254"/>
      <c r="J941" s="254"/>
      <c r="K941" s="254"/>
      <c r="L941" s="254"/>
      <c r="M941" s="254"/>
      <c r="N941" s="254"/>
      <c r="O941" s="254"/>
      <c r="P941" s="254"/>
      <c r="Q941" s="254"/>
      <c r="R941" s="254"/>
      <c r="S941" s="254"/>
      <c r="T941" s="254"/>
      <c r="U941" s="254"/>
      <c r="V941" s="254"/>
      <c r="W941" s="254"/>
      <c r="X941" s="254"/>
      <c r="Y941" s="254"/>
      <c r="Z941" s="254"/>
      <c r="AA941" s="254"/>
      <c r="AB941" s="254"/>
      <c r="AC941" s="254"/>
    </row>
    <row r="942" ht="12.75" customHeight="1" spans="1:29">
      <c r="A942" s="254"/>
      <c r="B942" s="254"/>
      <c r="C942" s="254"/>
      <c r="D942" s="276"/>
      <c r="E942" s="254"/>
      <c r="F942" s="254"/>
      <c r="G942" s="254"/>
      <c r="H942" s="254"/>
      <c r="I942" s="254"/>
      <c r="J942" s="254"/>
      <c r="K942" s="254"/>
      <c r="L942" s="254"/>
      <c r="M942" s="254"/>
      <c r="N942" s="254"/>
      <c r="O942" s="254"/>
      <c r="P942" s="254"/>
      <c r="Q942" s="254"/>
      <c r="R942" s="254"/>
      <c r="S942" s="254"/>
      <c r="T942" s="254"/>
      <c r="U942" s="254"/>
      <c r="V942" s="254"/>
      <c r="W942" s="254"/>
      <c r="X942" s="254"/>
      <c r="Y942" s="254"/>
      <c r="Z942" s="254"/>
      <c r="AA942" s="254"/>
      <c r="AB942" s="254"/>
      <c r="AC942" s="254"/>
    </row>
    <row r="943" ht="12.75" customHeight="1" spans="1:29">
      <c r="A943" s="254"/>
      <c r="B943" s="254"/>
      <c r="C943" s="254"/>
      <c r="D943" s="276"/>
      <c r="E943" s="254"/>
      <c r="F943" s="254"/>
      <c r="G943" s="254"/>
      <c r="H943" s="254"/>
      <c r="I943" s="254"/>
      <c r="J943" s="254"/>
      <c r="K943" s="254"/>
      <c r="L943" s="254"/>
      <c r="M943" s="254"/>
      <c r="N943" s="254"/>
      <c r="O943" s="254"/>
      <c r="P943" s="254"/>
      <c r="Q943" s="254"/>
      <c r="R943" s="254"/>
      <c r="S943" s="254"/>
      <c r="T943" s="254"/>
      <c r="U943" s="254"/>
      <c r="V943" s="254"/>
      <c r="W943" s="254"/>
      <c r="X943" s="254"/>
      <c r="Y943" s="254"/>
      <c r="Z943" s="254"/>
      <c r="AA943" s="254"/>
      <c r="AB943" s="254"/>
      <c r="AC943" s="254"/>
    </row>
    <row r="944" ht="12.75" customHeight="1" spans="1:29">
      <c r="A944" s="254"/>
      <c r="B944" s="254"/>
      <c r="C944" s="254"/>
      <c r="D944" s="276"/>
      <c r="E944" s="254"/>
      <c r="F944" s="254"/>
      <c r="G944" s="254"/>
      <c r="H944" s="254"/>
      <c r="I944" s="254"/>
      <c r="J944" s="254"/>
      <c r="K944" s="254"/>
      <c r="L944" s="254"/>
      <c r="M944" s="254"/>
      <c r="N944" s="254"/>
      <c r="O944" s="254"/>
      <c r="P944" s="254"/>
      <c r="Q944" s="254"/>
      <c r="R944" s="254"/>
      <c r="S944" s="254"/>
      <c r="T944" s="254"/>
      <c r="U944" s="254"/>
      <c r="V944" s="254"/>
      <c r="W944" s="254"/>
      <c r="X944" s="254"/>
      <c r="Y944" s="254"/>
      <c r="Z944" s="254"/>
      <c r="AA944" s="254"/>
      <c r="AB944" s="254"/>
      <c r="AC944" s="254"/>
    </row>
    <row r="945" ht="12.75" customHeight="1" spans="1:29">
      <c r="A945" s="254"/>
      <c r="B945" s="254"/>
      <c r="C945" s="254"/>
      <c r="D945" s="276"/>
      <c r="E945" s="254"/>
      <c r="F945" s="254"/>
      <c r="G945" s="254"/>
      <c r="H945" s="254"/>
      <c r="I945" s="254"/>
      <c r="J945" s="254"/>
      <c r="K945" s="254"/>
      <c r="L945" s="254"/>
      <c r="M945" s="254"/>
      <c r="N945" s="254"/>
      <c r="O945" s="254"/>
      <c r="P945" s="254"/>
      <c r="Q945" s="254"/>
      <c r="R945" s="254"/>
      <c r="S945" s="254"/>
      <c r="T945" s="254"/>
      <c r="U945" s="254"/>
      <c r="V945" s="254"/>
      <c r="W945" s="254"/>
      <c r="X945" s="254"/>
      <c r="Y945" s="254"/>
      <c r="Z945" s="254"/>
      <c r="AA945" s="254"/>
      <c r="AB945" s="254"/>
      <c r="AC945" s="254"/>
    </row>
    <row r="946" ht="12.75" customHeight="1" spans="1:29">
      <c r="A946" s="254"/>
      <c r="B946" s="254"/>
      <c r="C946" s="254"/>
      <c r="D946" s="276"/>
      <c r="E946" s="254"/>
      <c r="F946" s="254"/>
      <c r="G946" s="254"/>
      <c r="H946" s="254"/>
      <c r="I946" s="254"/>
      <c r="J946" s="254"/>
      <c r="K946" s="254"/>
      <c r="L946" s="254"/>
      <c r="M946" s="254"/>
      <c r="N946" s="254"/>
      <c r="O946" s="254"/>
      <c r="P946" s="254"/>
      <c r="Q946" s="254"/>
      <c r="R946" s="254"/>
      <c r="S946" s="254"/>
      <c r="T946" s="254"/>
      <c r="U946" s="254"/>
      <c r="V946" s="254"/>
      <c r="W946" s="254"/>
      <c r="X946" s="254"/>
      <c r="Y946" s="254"/>
      <c r="Z946" s="254"/>
      <c r="AA946" s="254"/>
      <c r="AB946" s="254"/>
      <c r="AC946" s="254"/>
    </row>
    <row r="947" ht="12.75" customHeight="1" spans="1:29">
      <c r="A947" s="254"/>
      <c r="B947" s="254"/>
      <c r="C947" s="254"/>
      <c r="D947" s="276"/>
      <c r="E947" s="254"/>
      <c r="F947" s="254"/>
      <c r="G947" s="254"/>
      <c r="H947" s="254"/>
      <c r="I947" s="254"/>
      <c r="J947" s="254"/>
      <c r="K947" s="254"/>
      <c r="L947" s="254"/>
      <c r="M947" s="254"/>
      <c r="N947" s="254"/>
      <c r="O947" s="254"/>
      <c r="P947" s="254"/>
      <c r="Q947" s="254"/>
      <c r="R947" s="254"/>
      <c r="S947" s="254"/>
      <c r="T947" s="254"/>
      <c r="U947" s="254"/>
      <c r="V947" s="254"/>
      <c r="W947" s="254"/>
      <c r="X947" s="254"/>
      <c r="Y947" s="254"/>
      <c r="Z947" s="254"/>
      <c r="AA947" s="254"/>
      <c r="AB947" s="254"/>
      <c r="AC947" s="254"/>
    </row>
    <row r="948" ht="12.75" customHeight="1" spans="1:29">
      <c r="A948" s="254"/>
      <c r="B948" s="254"/>
      <c r="C948" s="254"/>
      <c r="D948" s="276"/>
      <c r="E948" s="254"/>
      <c r="F948" s="254"/>
      <c r="G948" s="254"/>
      <c r="H948" s="254"/>
      <c r="I948" s="254"/>
      <c r="J948" s="254"/>
      <c r="K948" s="254"/>
      <c r="L948" s="254"/>
      <c r="M948" s="254"/>
      <c r="N948" s="254"/>
      <c r="O948" s="254"/>
      <c r="P948" s="254"/>
      <c r="Q948" s="254"/>
      <c r="R948" s="254"/>
      <c r="S948" s="254"/>
      <c r="T948" s="254"/>
      <c r="U948" s="254"/>
      <c r="V948" s="254"/>
      <c r="W948" s="254"/>
      <c r="X948" s="254"/>
      <c r="Y948" s="254"/>
      <c r="Z948" s="254"/>
      <c r="AA948" s="254"/>
      <c r="AB948" s="254"/>
      <c r="AC948" s="254"/>
    </row>
    <row r="949" ht="12.75" customHeight="1" spans="1:29">
      <c r="A949" s="254"/>
      <c r="B949" s="254"/>
      <c r="C949" s="254"/>
      <c r="D949" s="276"/>
      <c r="E949" s="254"/>
      <c r="F949" s="254"/>
      <c r="G949" s="254"/>
      <c r="H949" s="254"/>
      <c r="I949" s="254"/>
      <c r="J949" s="254"/>
      <c r="K949" s="254"/>
      <c r="L949" s="254"/>
      <c r="M949" s="254"/>
      <c r="N949" s="254"/>
      <c r="O949" s="254"/>
      <c r="P949" s="254"/>
      <c r="Q949" s="254"/>
      <c r="R949" s="254"/>
      <c r="S949" s="254"/>
      <c r="T949" s="254"/>
      <c r="U949" s="254"/>
      <c r="V949" s="254"/>
      <c r="W949" s="254"/>
      <c r="X949" s="254"/>
      <c r="Y949" s="254"/>
      <c r="Z949" s="254"/>
      <c r="AA949" s="254"/>
      <c r="AB949" s="254"/>
      <c r="AC949" s="254"/>
    </row>
    <row r="950" ht="12.75" customHeight="1" spans="1:29">
      <c r="A950" s="254"/>
      <c r="B950" s="254"/>
      <c r="C950" s="254"/>
      <c r="D950" s="276"/>
      <c r="E950" s="254"/>
      <c r="F950" s="254"/>
      <c r="G950" s="254"/>
      <c r="H950" s="254"/>
      <c r="I950" s="254"/>
      <c r="J950" s="254"/>
      <c r="K950" s="254"/>
      <c r="L950" s="254"/>
      <c r="M950" s="254"/>
      <c r="N950" s="254"/>
      <c r="O950" s="254"/>
      <c r="P950" s="254"/>
      <c r="Q950" s="254"/>
      <c r="R950" s="254"/>
      <c r="S950" s="254"/>
      <c r="T950" s="254"/>
      <c r="U950" s="254"/>
      <c r="V950" s="254"/>
      <c r="W950" s="254"/>
      <c r="X950" s="254"/>
      <c r="Y950" s="254"/>
      <c r="Z950" s="254"/>
      <c r="AA950" s="254"/>
      <c r="AB950" s="254"/>
      <c r="AC950" s="254"/>
    </row>
    <row r="951" ht="12.75" customHeight="1" spans="1:29">
      <c r="A951" s="254"/>
      <c r="B951" s="254"/>
      <c r="C951" s="254"/>
      <c r="D951" s="276"/>
      <c r="E951" s="254"/>
      <c r="F951" s="254"/>
      <c r="G951" s="254"/>
      <c r="H951" s="254"/>
      <c r="I951" s="254"/>
      <c r="J951" s="254"/>
      <c r="K951" s="254"/>
      <c r="L951" s="254"/>
      <c r="M951" s="254"/>
      <c r="N951" s="254"/>
      <c r="O951" s="254"/>
      <c r="P951" s="254"/>
      <c r="Q951" s="254"/>
      <c r="R951" s="254"/>
      <c r="S951" s="254"/>
      <c r="T951" s="254"/>
      <c r="U951" s="254"/>
      <c r="V951" s="254"/>
      <c r="W951" s="254"/>
      <c r="X951" s="254"/>
      <c r="Y951" s="254"/>
      <c r="Z951" s="254"/>
      <c r="AA951" s="254"/>
      <c r="AB951" s="254"/>
      <c r="AC951" s="254"/>
    </row>
    <row r="952" ht="12.75" customHeight="1" spans="1:29">
      <c r="A952" s="254"/>
      <c r="B952" s="254"/>
      <c r="C952" s="254"/>
      <c r="D952" s="276"/>
      <c r="E952" s="254"/>
      <c r="F952" s="254"/>
      <c r="G952" s="254"/>
      <c r="H952" s="254"/>
      <c r="I952" s="254"/>
      <c r="J952" s="254"/>
      <c r="K952" s="254"/>
      <c r="L952" s="254"/>
      <c r="M952" s="254"/>
      <c r="N952" s="254"/>
      <c r="O952" s="254"/>
      <c r="P952" s="254"/>
      <c r="Q952" s="254"/>
      <c r="R952" s="254"/>
      <c r="S952" s="254"/>
      <c r="T952" s="254"/>
      <c r="U952" s="254"/>
      <c r="V952" s="254"/>
      <c r="W952" s="254"/>
      <c r="X952" s="254"/>
      <c r="Y952" s="254"/>
      <c r="Z952" s="254"/>
      <c r="AA952" s="254"/>
      <c r="AB952" s="254"/>
      <c r="AC952" s="254"/>
    </row>
    <row r="953" ht="12.75" customHeight="1" spans="1:29">
      <c r="A953" s="254"/>
      <c r="B953" s="254"/>
      <c r="C953" s="254"/>
      <c r="D953" s="276"/>
      <c r="E953" s="254"/>
      <c r="F953" s="254"/>
      <c r="G953" s="254"/>
      <c r="H953" s="254"/>
      <c r="I953" s="254"/>
      <c r="J953" s="254"/>
      <c r="K953" s="254"/>
      <c r="L953" s="254"/>
      <c r="M953" s="254"/>
      <c r="N953" s="254"/>
      <c r="O953" s="254"/>
      <c r="P953" s="254"/>
      <c r="Q953" s="254"/>
      <c r="R953" s="254"/>
      <c r="S953" s="254"/>
      <c r="T953" s="254"/>
      <c r="U953" s="254"/>
      <c r="V953" s="254"/>
      <c r="W953" s="254"/>
      <c r="X953" s="254"/>
      <c r="Y953" s="254"/>
      <c r="Z953" s="254"/>
      <c r="AA953" s="254"/>
      <c r="AB953" s="254"/>
      <c r="AC953" s="254"/>
    </row>
    <row r="954" ht="12.75" customHeight="1" spans="1:29">
      <c r="A954" s="254"/>
      <c r="B954" s="254"/>
      <c r="C954" s="254"/>
      <c r="D954" s="276"/>
      <c r="E954" s="254"/>
      <c r="F954" s="254"/>
      <c r="G954" s="254"/>
      <c r="H954" s="254"/>
      <c r="I954" s="254"/>
      <c r="J954" s="254"/>
      <c r="K954" s="254"/>
      <c r="L954" s="254"/>
      <c r="M954" s="254"/>
      <c r="N954" s="254"/>
      <c r="O954" s="254"/>
      <c r="P954" s="254"/>
      <c r="Q954" s="254"/>
      <c r="R954" s="254"/>
      <c r="S954" s="254"/>
      <c r="T954" s="254"/>
      <c r="U954" s="254"/>
      <c r="V954" s="254"/>
      <c r="W954" s="254"/>
      <c r="X954" s="254"/>
      <c r="Y954" s="254"/>
      <c r="Z954" s="254"/>
      <c r="AA954" s="254"/>
      <c r="AB954" s="254"/>
      <c r="AC954" s="254"/>
    </row>
    <row r="955" ht="12.75" customHeight="1" spans="1:29">
      <c r="A955" s="254"/>
      <c r="B955" s="254"/>
      <c r="C955" s="254"/>
      <c r="D955" s="276"/>
      <c r="E955" s="254"/>
      <c r="F955" s="254"/>
      <c r="G955" s="254"/>
      <c r="H955" s="254"/>
      <c r="I955" s="254"/>
      <c r="J955" s="254"/>
      <c r="K955" s="254"/>
      <c r="L955" s="254"/>
      <c r="M955" s="254"/>
      <c r="N955" s="254"/>
      <c r="O955" s="254"/>
      <c r="P955" s="254"/>
      <c r="Q955" s="254"/>
      <c r="R955" s="254"/>
      <c r="S955" s="254"/>
      <c r="T955" s="254"/>
      <c r="U955" s="254"/>
      <c r="V955" s="254"/>
      <c r="W955" s="254"/>
      <c r="X955" s="254"/>
      <c r="Y955" s="254"/>
      <c r="Z955" s="254"/>
      <c r="AA955" s="254"/>
      <c r="AB955" s="254"/>
      <c r="AC955" s="254"/>
    </row>
    <row r="956" ht="12.75" customHeight="1" spans="1:29">
      <c r="A956" s="254"/>
      <c r="B956" s="254"/>
      <c r="C956" s="254"/>
      <c r="D956" s="276"/>
      <c r="E956" s="254"/>
      <c r="F956" s="254"/>
      <c r="G956" s="254"/>
      <c r="H956" s="254"/>
      <c r="I956" s="254"/>
      <c r="J956" s="254"/>
      <c r="K956" s="254"/>
      <c r="L956" s="254"/>
      <c r="M956" s="254"/>
      <c r="N956" s="254"/>
      <c r="O956" s="254"/>
      <c r="P956" s="254"/>
      <c r="Q956" s="254"/>
      <c r="R956" s="254"/>
      <c r="S956" s="254"/>
      <c r="T956" s="254"/>
      <c r="U956" s="254"/>
      <c r="V956" s="254"/>
      <c r="W956" s="254"/>
      <c r="X956" s="254"/>
      <c r="Y956" s="254"/>
      <c r="Z956" s="254"/>
      <c r="AA956" s="254"/>
      <c r="AB956" s="254"/>
      <c r="AC956" s="254"/>
    </row>
    <row r="957" ht="12.75" customHeight="1" spans="1:29">
      <c r="A957" s="254"/>
      <c r="B957" s="254"/>
      <c r="C957" s="254"/>
      <c r="D957" s="276"/>
      <c r="E957" s="254"/>
      <c r="F957" s="254"/>
      <c r="G957" s="254"/>
      <c r="H957" s="254"/>
      <c r="I957" s="254"/>
      <c r="J957" s="254"/>
      <c r="K957" s="254"/>
      <c r="L957" s="254"/>
      <c r="M957" s="254"/>
      <c r="N957" s="254"/>
      <c r="O957" s="254"/>
      <c r="P957" s="254"/>
      <c r="Q957" s="254"/>
      <c r="R957" s="254"/>
      <c r="S957" s="254"/>
      <c r="T957" s="254"/>
      <c r="U957" s="254"/>
      <c r="V957" s="254"/>
      <c r="W957" s="254"/>
      <c r="X957" s="254"/>
      <c r="Y957" s="254"/>
      <c r="Z957" s="254"/>
      <c r="AA957" s="254"/>
      <c r="AB957" s="254"/>
      <c r="AC957" s="254"/>
    </row>
    <row r="958" ht="12.75" customHeight="1" spans="1:29">
      <c r="A958" s="254"/>
      <c r="B958" s="254"/>
      <c r="C958" s="254"/>
      <c r="D958" s="276"/>
      <c r="E958" s="254"/>
      <c r="F958" s="254"/>
      <c r="G958" s="254"/>
      <c r="H958" s="254"/>
      <c r="I958" s="254"/>
      <c r="J958" s="254"/>
      <c r="K958" s="254"/>
      <c r="L958" s="254"/>
      <c r="M958" s="254"/>
      <c r="N958" s="254"/>
      <c r="O958" s="254"/>
      <c r="P958" s="254"/>
      <c r="Q958" s="254"/>
      <c r="R958" s="254"/>
      <c r="S958" s="254"/>
      <c r="T958" s="254"/>
      <c r="U958" s="254"/>
      <c r="V958" s="254"/>
      <c r="W958" s="254"/>
      <c r="X958" s="254"/>
      <c r="Y958" s="254"/>
      <c r="Z958" s="254"/>
      <c r="AA958" s="254"/>
      <c r="AB958" s="254"/>
      <c r="AC958" s="254"/>
    </row>
    <row r="959" ht="12.75" customHeight="1" spans="1:29">
      <c r="A959" s="254"/>
      <c r="B959" s="254"/>
      <c r="C959" s="254"/>
      <c r="D959" s="276"/>
      <c r="E959" s="254"/>
      <c r="F959" s="254"/>
      <c r="G959" s="254"/>
      <c r="H959" s="254"/>
      <c r="I959" s="254"/>
      <c r="J959" s="254"/>
      <c r="K959" s="254"/>
      <c r="L959" s="254"/>
      <c r="M959" s="254"/>
      <c r="N959" s="254"/>
      <c r="O959" s="254"/>
      <c r="P959" s="254"/>
      <c r="Q959" s="254"/>
      <c r="R959" s="254"/>
      <c r="S959" s="254"/>
      <c r="T959" s="254"/>
      <c r="U959" s="254"/>
      <c r="V959" s="254"/>
      <c r="W959" s="254"/>
      <c r="X959" s="254"/>
      <c r="Y959" s="254"/>
      <c r="Z959" s="254"/>
      <c r="AA959" s="254"/>
      <c r="AB959" s="254"/>
      <c r="AC959" s="254"/>
    </row>
    <row r="960" ht="12.75" customHeight="1" spans="1:29">
      <c r="A960" s="254"/>
      <c r="B960" s="254"/>
      <c r="C960" s="254"/>
      <c r="D960" s="276"/>
      <c r="E960" s="254"/>
      <c r="F960" s="254"/>
      <c r="G960" s="254"/>
      <c r="H960" s="254"/>
      <c r="I960" s="254"/>
      <c r="J960" s="254"/>
      <c r="K960" s="254"/>
      <c r="L960" s="254"/>
      <c r="M960" s="254"/>
      <c r="N960" s="254"/>
      <c r="O960" s="254"/>
      <c r="P960" s="254"/>
      <c r="Q960" s="254"/>
      <c r="R960" s="254"/>
      <c r="S960" s="254"/>
      <c r="T960" s="254"/>
      <c r="U960" s="254"/>
      <c r="V960" s="254"/>
      <c r="W960" s="254"/>
      <c r="X960" s="254"/>
      <c r="Y960" s="254"/>
      <c r="Z960" s="254"/>
      <c r="AA960" s="254"/>
      <c r="AB960" s="254"/>
      <c r="AC960" s="254"/>
    </row>
    <row r="961" ht="12.75" customHeight="1" spans="1:29">
      <c r="A961" s="254"/>
      <c r="B961" s="254"/>
      <c r="C961" s="254"/>
      <c r="D961" s="276"/>
      <c r="E961" s="254"/>
      <c r="F961" s="254"/>
      <c r="G961" s="254"/>
      <c r="H961" s="254"/>
      <c r="I961" s="254"/>
      <c r="J961" s="254"/>
      <c r="K961" s="254"/>
      <c r="L961" s="254"/>
      <c r="M961" s="254"/>
      <c r="N961" s="254"/>
      <c r="O961" s="254"/>
      <c r="P961" s="254"/>
      <c r="Q961" s="254"/>
      <c r="R961" s="254"/>
      <c r="S961" s="254"/>
      <c r="T961" s="254"/>
      <c r="U961" s="254"/>
      <c r="V961" s="254"/>
      <c r="W961" s="254"/>
      <c r="X961" s="254"/>
      <c r="Y961" s="254"/>
      <c r="Z961" s="254"/>
      <c r="AA961" s="254"/>
      <c r="AB961" s="254"/>
      <c r="AC961" s="254"/>
    </row>
    <row r="962" ht="12.75" customHeight="1" spans="1:29">
      <c r="A962" s="254"/>
      <c r="B962" s="254"/>
      <c r="C962" s="254"/>
      <c r="D962" s="276"/>
      <c r="E962" s="254"/>
      <c r="F962" s="254"/>
      <c r="G962" s="254"/>
      <c r="H962" s="254"/>
      <c r="I962" s="254"/>
      <c r="J962" s="254"/>
      <c r="K962" s="254"/>
      <c r="L962" s="254"/>
      <c r="M962" s="254"/>
      <c r="N962" s="254"/>
      <c r="O962" s="254"/>
      <c r="P962" s="254"/>
      <c r="Q962" s="254"/>
      <c r="R962" s="254"/>
      <c r="S962" s="254"/>
      <c r="T962" s="254"/>
      <c r="U962" s="254"/>
      <c r="V962" s="254"/>
      <c r="W962" s="254"/>
      <c r="X962" s="254"/>
      <c r="Y962" s="254"/>
      <c r="Z962" s="254"/>
      <c r="AA962" s="254"/>
      <c r="AB962" s="254"/>
      <c r="AC962" s="254"/>
    </row>
    <row r="963" ht="12.75" customHeight="1" spans="1:29">
      <c r="A963" s="254"/>
      <c r="B963" s="254"/>
      <c r="C963" s="254"/>
      <c r="D963" s="276"/>
      <c r="E963" s="254"/>
      <c r="F963" s="254"/>
      <c r="G963" s="254"/>
      <c r="H963" s="254"/>
      <c r="I963" s="254"/>
      <c r="J963" s="254"/>
      <c r="K963" s="254"/>
      <c r="L963" s="254"/>
      <c r="M963" s="254"/>
      <c r="N963" s="254"/>
      <c r="O963" s="254"/>
      <c r="P963" s="254"/>
      <c r="Q963" s="254"/>
      <c r="R963" s="254"/>
      <c r="S963" s="254"/>
      <c r="T963" s="254"/>
      <c r="U963" s="254"/>
      <c r="V963" s="254"/>
      <c r="W963" s="254"/>
      <c r="X963" s="254"/>
      <c r="Y963" s="254"/>
      <c r="Z963" s="254"/>
      <c r="AA963" s="254"/>
      <c r="AB963" s="254"/>
      <c r="AC963" s="254"/>
    </row>
    <row r="964" ht="12.75" customHeight="1" spans="1:29">
      <c r="A964" s="254"/>
      <c r="B964" s="254"/>
      <c r="C964" s="254"/>
      <c r="D964" s="276"/>
      <c r="E964" s="254"/>
      <c r="F964" s="254"/>
      <c r="G964" s="254"/>
      <c r="H964" s="254"/>
      <c r="I964" s="254"/>
      <c r="J964" s="254"/>
      <c r="K964" s="254"/>
      <c r="L964" s="254"/>
      <c r="M964" s="254"/>
      <c r="N964" s="254"/>
      <c r="O964" s="254"/>
      <c r="P964" s="254"/>
      <c r="Q964" s="254"/>
      <c r="R964" s="254"/>
      <c r="S964" s="254"/>
      <c r="T964" s="254"/>
      <c r="U964" s="254"/>
      <c r="V964" s="254"/>
      <c r="W964" s="254"/>
      <c r="X964" s="254"/>
      <c r="Y964" s="254"/>
      <c r="Z964" s="254"/>
      <c r="AA964" s="254"/>
      <c r="AB964" s="254"/>
      <c r="AC964" s="254"/>
    </row>
    <row r="965" ht="12.75" customHeight="1" spans="1:29">
      <c r="A965" s="254"/>
      <c r="B965" s="254"/>
      <c r="C965" s="254"/>
      <c r="D965" s="276"/>
      <c r="E965" s="254"/>
      <c r="F965" s="254"/>
      <c r="G965" s="254"/>
      <c r="H965" s="254"/>
      <c r="I965" s="254"/>
      <c r="J965" s="254"/>
      <c r="K965" s="254"/>
      <c r="L965" s="254"/>
      <c r="M965" s="254"/>
      <c r="N965" s="254"/>
      <c r="O965" s="254"/>
      <c r="P965" s="254"/>
      <c r="Q965" s="254"/>
      <c r="R965" s="254"/>
      <c r="S965" s="254"/>
      <c r="T965" s="254"/>
      <c r="U965" s="254"/>
      <c r="V965" s="254"/>
      <c r="W965" s="254"/>
      <c r="X965" s="254"/>
      <c r="Y965" s="254"/>
      <c r="Z965" s="254"/>
      <c r="AA965" s="254"/>
      <c r="AB965" s="254"/>
      <c r="AC965" s="254"/>
    </row>
    <row r="966" ht="12.75" customHeight="1" spans="1:29">
      <c r="A966" s="254"/>
      <c r="B966" s="254"/>
      <c r="C966" s="254"/>
      <c r="D966" s="276"/>
      <c r="E966" s="254"/>
      <c r="F966" s="254"/>
      <c r="G966" s="254"/>
      <c r="H966" s="254"/>
      <c r="I966" s="254"/>
      <c r="J966" s="254"/>
      <c r="K966" s="254"/>
      <c r="L966" s="254"/>
      <c r="M966" s="254"/>
      <c r="N966" s="254"/>
      <c r="O966" s="254"/>
      <c r="P966" s="254"/>
      <c r="Q966" s="254"/>
      <c r="R966" s="254"/>
      <c r="S966" s="254"/>
      <c r="T966" s="254"/>
      <c r="U966" s="254"/>
      <c r="V966" s="254"/>
      <c r="W966" s="254"/>
      <c r="X966" s="254"/>
      <c r="Y966" s="254"/>
      <c r="Z966" s="254"/>
      <c r="AA966" s="254"/>
      <c r="AB966" s="254"/>
      <c r="AC966" s="254"/>
    </row>
    <row r="967" ht="12.75" customHeight="1" spans="1:29">
      <c r="A967" s="254"/>
      <c r="B967" s="254"/>
      <c r="C967" s="254"/>
      <c r="D967" s="276"/>
      <c r="E967" s="254"/>
      <c r="F967" s="254"/>
      <c r="G967" s="254"/>
      <c r="H967" s="254"/>
      <c r="I967" s="254"/>
      <c r="J967" s="254"/>
      <c r="K967" s="254"/>
      <c r="L967" s="254"/>
      <c r="M967" s="254"/>
      <c r="N967" s="254"/>
      <c r="O967" s="254"/>
      <c r="P967" s="254"/>
      <c r="Q967" s="254"/>
      <c r="R967" s="254"/>
      <c r="S967" s="254"/>
      <c r="T967" s="254"/>
      <c r="U967" s="254"/>
      <c r="V967" s="254"/>
      <c r="W967" s="254"/>
      <c r="X967" s="254"/>
      <c r="Y967" s="254"/>
      <c r="Z967" s="254"/>
      <c r="AA967" s="254"/>
      <c r="AB967" s="254"/>
      <c r="AC967" s="254"/>
    </row>
    <row r="968" ht="12.75" customHeight="1" spans="1:29">
      <c r="A968" s="254"/>
      <c r="B968" s="254"/>
      <c r="C968" s="254"/>
      <c r="D968" s="276"/>
      <c r="E968" s="254"/>
      <c r="F968" s="254"/>
      <c r="G968" s="254"/>
      <c r="H968" s="254"/>
      <c r="I968" s="254"/>
      <c r="J968" s="254"/>
      <c r="K968" s="254"/>
      <c r="L968" s="254"/>
      <c r="M968" s="254"/>
      <c r="N968" s="254"/>
      <c r="O968" s="254"/>
      <c r="P968" s="254"/>
      <c r="Q968" s="254"/>
      <c r="R968" s="254"/>
      <c r="S968" s="254"/>
      <c r="T968" s="254"/>
      <c r="U968" s="254"/>
      <c r="V968" s="254"/>
      <c r="W968" s="254"/>
      <c r="X968" s="254"/>
      <c r="Y968" s="254"/>
      <c r="Z968" s="254"/>
      <c r="AA968" s="254"/>
      <c r="AB968" s="254"/>
      <c r="AC968" s="254"/>
    </row>
    <row r="969" ht="12.75" customHeight="1" spans="1:29">
      <c r="A969" s="254"/>
      <c r="B969" s="254"/>
      <c r="C969" s="254"/>
      <c r="D969" s="276"/>
      <c r="E969" s="254"/>
      <c r="F969" s="254"/>
      <c r="G969" s="254"/>
      <c r="H969" s="254"/>
      <c r="I969" s="254"/>
      <c r="J969" s="254"/>
      <c r="K969" s="254"/>
      <c r="L969" s="254"/>
      <c r="M969" s="254"/>
      <c r="N969" s="254"/>
      <c r="O969" s="254"/>
      <c r="P969" s="254"/>
      <c r="Q969" s="254"/>
      <c r="R969" s="254"/>
      <c r="S969" s="254"/>
      <c r="T969" s="254"/>
      <c r="U969" s="254"/>
      <c r="V969" s="254"/>
      <c r="W969" s="254"/>
      <c r="X969" s="254"/>
      <c r="Y969" s="254"/>
      <c r="Z969" s="254"/>
      <c r="AA969" s="254"/>
      <c r="AB969" s="254"/>
      <c r="AC969" s="254"/>
    </row>
    <row r="970" ht="12.75" customHeight="1" spans="1:29">
      <c r="A970" s="254"/>
      <c r="B970" s="254"/>
      <c r="C970" s="254"/>
      <c r="D970" s="276"/>
      <c r="E970" s="254"/>
      <c r="F970" s="254"/>
      <c r="G970" s="254"/>
      <c r="H970" s="254"/>
      <c r="I970" s="254"/>
      <c r="J970" s="254"/>
      <c r="K970" s="254"/>
      <c r="L970" s="254"/>
      <c r="M970" s="254"/>
      <c r="N970" s="254"/>
      <c r="O970" s="254"/>
      <c r="P970" s="254"/>
      <c r="Q970" s="254"/>
      <c r="R970" s="254"/>
      <c r="S970" s="254"/>
      <c r="T970" s="254"/>
      <c r="U970" s="254"/>
      <c r="V970" s="254"/>
      <c r="W970" s="254"/>
      <c r="X970" s="254"/>
      <c r="Y970" s="254"/>
      <c r="Z970" s="254"/>
      <c r="AA970" s="254"/>
      <c r="AB970" s="254"/>
      <c r="AC970" s="254"/>
    </row>
    <row r="971" ht="12.75" customHeight="1" spans="1:29">
      <c r="A971" s="254"/>
      <c r="B971" s="254"/>
      <c r="C971" s="254"/>
      <c r="D971" s="276"/>
      <c r="E971" s="254"/>
      <c r="F971" s="254"/>
      <c r="G971" s="254"/>
      <c r="H971" s="254"/>
      <c r="I971" s="254"/>
      <c r="J971" s="254"/>
      <c r="K971" s="254"/>
      <c r="L971" s="254"/>
      <c r="M971" s="254"/>
      <c r="N971" s="254"/>
      <c r="O971" s="254"/>
      <c r="P971" s="254"/>
      <c r="Q971" s="254"/>
      <c r="R971" s="254"/>
      <c r="S971" s="254"/>
      <c r="T971" s="254"/>
      <c r="U971" s="254"/>
      <c r="V971" s="254"/>
      <c r="W971" s="254"/>
      <c r="X971" s="254"/>
      <c r="Y971" s="254"/>
      <c r="Z971" s="254"/>
      <c r="AA971" s="254"/>
      <c r="AB971" s="254"/>
      <c r="AC971" s="254"/>
    </row>
    <row r="972" ht="12.75" customHeight="1" spans="1:29">
      <c r="A972" s="254"/>
      <c r="B972" s="254"/>
      <c r="C972" s="254"/>
      <c r="D972" s="276"/>
      <c r="E972" s="254"/>
      <c r="F972" s="254"/>
      <c r="G972" s="254"/>
      <c r="H972" s="254"/>
      <c r="I972" s="254"/>
      <c r="J972" s="254"/>
      <c r="K972" s="254"/>
      <c r="L972" s="254"/>
      <c r="M972" s="254"/>
      <c r="N972" s="254"/>
      <c r="O972" s="254"/>
      <c r="P972" s="254"/>
      <c r="Q972" s="254"/>
      <c r="R972" s="254"/>
      <c r="S972" s="254"/>
      <c r="T972" s="254"/>
      <c r="U972" s="254"/>
      <c r="V972" s="254"/>
      <c r="W972" s="254"/>
      <c r="X972" s="254"/>
      <c r="Y972" s="254"/>
      <c r="Z972" s="254"/>
      <c r="AA972" s="254"/>
      <c r="AB972" s="254"/>
      <c r="AC972" s="254"/>
    </row>
    <row r="973" ht="12.75" customHeight="1" spans="1:29">
      <c r="A973" s="254"/>
      <c r="B973" s="254"/>
      <c r="C973" s="254"/>
      <c r="D973" s="276"/>
      <c r="E973" s="254"/>
      <c r="F973" s="254"/>
      <c r="G973" s="254"/>
      <c r="H973" s="254"/>
      <c r="I973" s="254"/>
      <c r="J973" s="254"/>
      <c r="K973" s="254"/>
      <c r="L973" s="254"/>
      <c r="M973" s="254"/>
      <c r="N973" s="254"/>
      <c r="O973" s="254"/>
      <c r="P973" s="254"/>
      <c r="Q973" s="254"/>
      <c r="R973" s="254"/>
      <c r="S973" s="254"/>
      <c r="T973" s="254"/>
      <c r="U973" s="254"/>
      <c r="V973" s="254"/>
      <c r="W973" s="254"/>
      <c r="X973" s="254"/>
      <c r="Y973" s="254"/>
      <c r="Z973" s="254"/>
      <c r="AA973" s="254"/>
      <c r="AB973" s="254"/>
      <c r="AC973" s="254"/>
    </row>
    <row r="974" ht="12.75" customHeight="1" spans="1:29">
      <c r="A974" s="254"/>
      <c r="B974" s="254"/>
      <c r="C974" s="254"/>
      <c r="D974" s="276"/>
      <c r="E974" s="254"/>
      <c r="F974" s="254"/>
      <c r="G974" s="254"/>
      <c r="H974" s="254"/>
      <c r="I974" s="254"/>
      <c r="J974" s="254"/>
      <c r="K974" s="254"/>
      <c r="L974" s="254"/>
      <c r="M974" s="254"/>
      <c r="N974" s="254"/>
      <c r="O974" s="254"/>
      <c r="P974" s="254"/>
      <c r="Q974" s="254"/>
      <c r="R974" s="254"/>
      <c r="S974" s="254"/>
      <c r="T974" s="254"/>
      <c r="U974" s="254"/>
      <c r="V974" s="254"/>
      <c r="W974" s="254"/>
      <c r="X974" s="254"/>
      <c r="Y974" s="254"/>
      <c r="Z974" s="254"/>
      <c r="AA974" s="254"/>
      <c r="AB974" s="254"/>
      <c r="AC974" s="254"/>
    </row>
    <row r="975" ht="12.75" customHeight="1" spans="1:29">
      <c r="A975" s="254"/>
      <c r="B975" s="254"/>
      <c r="C975" s="254"/>
      <c r="D975" s="276"/>
      <c r="E975" s="254"/>
      <c r="F975" s="254"/>
      <c r="G975" s="254"/>
      <c r="H975" s="254"/>
      <c r="I975" s="254"/>
      <c r="J975" s="254"/>
      <c r="K975" s="254"/>
      <c r="L975" s="254"/>
      <c r="M975" s="254"/>
      <c r="N975" s="254"/>
      <c r="O975" s="254"/>
      <c r="P975" s="254"/>
      <c r="Q975" s="254"/>
      <c r="R975" s="254"/>
      <c r="S975" s="254"/>
      <c r="T975" s="254"/>
      <c r="U975" s="254"/>
      <c r="V975" s="254"/>
      <c r="W975" s="254"/>
      <c r="X975" s="254"/>
      <c r="Y975" s="254"/>
      <c r="Z975" s="254"/>
      <c r="AA975" s="254"/>
      <c r="AB975" s="254"/>
      <c r="AC975" s="254"/>
    </row>
    <row r="976" ht="12.75" customHeight="1" spans="1:29">
      <c r="A976" s="254"/>
      <c r="B976" s="254"/>
      <c r="C976" s="254"/>
      <c r="D976" s="276"/>
      <c r="E976" s="254"/>
      <c r="F976" s="254"/>
      <c r="G976" s="254"/>
      <c r="H976" s="254"/>
      <c r="I976" s="254"/>
      <c r="J976" s="254"/>
      <c r="K976" s="254"/>
      <c r="L976" s="254"/>
      <c r="M976" s="254"/>
      <c r="N976" s="254"/>
      <c r="O976" s="254"/>
      <c r="P976" s="254"/>
      <c r="Q976" s="254"/>
      <c r="R976" s="254"/>
      <c r="S976" s="254"/>
      <c r="T976" s="254"/>
      <c r="U976" s="254"/>
      <c r="V976" s="254"/>
      <c r="W976" s="254"/>
      <c r="X976" s="254"/>
      <c r="Y976" s="254"/>
      <c r="Z976" s="254"/>
      <c r="AA976" s="254"/>
      <c r="AB976" s="254"/>
      <c r="AC976" s="254"/>
    </row>
    <row r="977" ht="12.75" customHeight="1" spans="1:29">
      <c r="A977" s="254"/>
      <c r="B977" s="254"/>
      <c r="C977" s="254"/>
      <c r="D977" s="276"/>
      <c r="E977" s="254"/>
      <c r="F977" s="254"/>
      <c r="G977" s="254"/>
      <c r="H977" s="254"/>
      <c r="I977" s="254"/>
      <c r="J977" s="254"/>
      <c r="K977" s="254"/>
      <c r="L977" s="254"/>
      <c r="M977" s="254"/>
      <c r="N977" s="254"/>
      <c r="O977" s="254"/>
      <c r="P977" s="254"/>
      <c r="Q977" s="254"/>
      <c r="R977" s="254"/>
      <c r="S977" s="254"/>
      <c r="T977" s="254"/>
      <c r="U977" s="254"/>
      <c r="V977" s="254"/>
      <c r="W977" s="254"/>
      <c r="X977" s="254"/>
      <c r="Y977" s="254"/>
      <c r="Z977" s="254"/>
      <c r="AA977" s="254"/>
      <c r="AB977" s="254"/>
      <c r="AC977" s="254"/>
    </row>
    <row r="978" ht="12.75" customHeight="1" spans="1:29">
      <c r="A978" s="254"/>
      <c r="B978" s="254"/>
      <c r="C978" s="254"/>
      <c r="D978" s="276"/>
      <c r="E978" s="254"/>
      <c r="F978" s="254"/>
      <c r="G978" s="254"/>
      <c r="H978" s="254"/>
      <c r="I978" s="254"/>
      <c r="J978" s="254"/>
      <c r="K978" s="254"/>
      <c r="L978" s="254"/>
      <c r="M978" s="254"/>
      <c r="N978" s="254"/>
      <c r="O978" s="254"/>
      <c r="P978" s="254"/>
      <c r="Q978" s="254"/>
      <c r="R978" s="254"/>
      <c r="S978" s="254"/>
      <c r="T978" s="254"/>
      <c r="U978" s="254"/>
      <c r="V978" s="254"/>
      <c r="W978" s="254"/>
      <c r="X978" s="254"/>
      <c r="Y978" s="254"/>
      <c r="Z978" s="254"/>
      <c r="AA978" s="254"/>
      <c r="AB978" s="254"/>
      <c r="AC978" s="254"/>
    </row>
    <row r="979" ht="12.75" customHeight="1" spans="1:29">
      <c r="A979" s="254"/>
      <c r="B979" s="254"/>
      <c r="C979" s="254"/>
      <c r="D979" s="276"/>
      <c r="E979" s="254"/>
      <c r="F979" s="254"/>
      <c r="G979" s="254"/>
      <c r="H979" s="254"/>
      <c r="I979" s="254"/>
      <c r="J979" s="254"/>
      <c r="K979" s="254"/>
      <c r="L979" s="254"/>
      <c r="M979" s="254"/>
      <c r="N979" s="254"/>
      <c r="O979" s="254"/>
      <c r="P979" s="254"/>
      <c r="Q979" s="254"/>
      <c r="R979" s="254"/>
      <c r="S979" s="254"/>
      <c r="T979" s="254"/>
      <c r="U979" s="254"/>
      <c r="V979" s="254"/>
      <c r="W979" s="254"/>
      <c r="X979" s="254"/>
      <c r="Y979" s="254"/>
      <c r="Z979" s="254"/>
      <c r="AA979" s="254"/>
      <c r="AB979" s="254"/>
      <c r="AC979" s="254"/>
    </row>
    <row r="980" ht="12.75" customHeight="1" spans="1:29">
      <c r="A980" s="254"/>
      <c r="B980" s="254"/>
      <c r="C980" s="254"/>
      <c r="D980" s="276"/>
      <c r="E980" s="254"/>
      <c r="F980" s="254"/>
      <c r="G980" s="254"/>
      <c r="H980" s="254"/>
      <c r="I980" s="254"/>
      <c r="J980" s="254"/>
      <c r="K980" s="254"/>
      <c r="L980" s="254"/>
      <c r="M980" s="254"/>
      <c r="N980" s="254"/>
      <c r="O980" s="254"/>
      <c r="P980" s="254"/>
      <c r="Q980" s="254"/>
      <c r="R980" s="254"/>
      <c r="S980" s="254"/>
      <c r="T980" s="254"/>
      <c r="U980" s="254"/>
      <c r="V980" s="254"/>
      <c r="W980" s="254"/>
      <c r="X980" s="254"/>
      <c r="Y980" s="254"/>
      <c r="Z980" s="254"/>
      <c r="AA980" s="254"/>
      <c r="AB980" s="254"/>
      <c r="AC980" s="254"/>
    </row>
    <row r="981" ht="12.75" customHeight="1" spans="1:29">
      <c r="A981" s="254"/>
      <c r="B981" s="254"/>
      <c r="C981" s="254"/>
      <c r="D981" s="276"/>
      <c r="E981" s="254"/>
      <c r="F981" s="254"/>
      <c r="G981" s="254"/>
      <c r="H981" s="254"/>
      <c r="I981" s="254"/>
      <c r="J981" s="254"/>
      <c r="K981" s="254"/>
      <c r="L981" s="254"/>
      <c r="M981" s="254"/>
      <c r="N981" s="254"/>
      <c r="O981" s="254"/>
      <c r="P981" s="254"/>
      <c r="Q981" s="254"/>
      <c r="R981" s="254"/>
      <c r="S981" s="254"/>
      <c r="T981" s="254"/>
      <c r="U981" s="254"/>
      <c r="V981" s="254"/>
      <c r="W981" s="254"/>
      <c r="X981" s="254"/>
      <c r="Y981" s="254"/>
      <c r="Z981" s="254"/>
      <c r="AA981" s="254"/>
      <c r="AB981" s="254"/>
      <c r="AC981" s="254"/>
    </row>
    <row r="982" ht="12.75" customHeight="1" spans="1:29">
      <c r="A982" s="254"/>
      <c r="B982" s="254"/>
      <c r="C982" s="254"/>
      <c r="D982" s="276"/>
      <c r="E982" s="254"/>
      <c r="F982" s="254"/>
      <c r="G982" s="254"/>
      <c r="H982" s="254"/>
      <c r="I982" s="254"/>
      <c r="J982" s="254"/>
      <c r="K982" s="254"/>
      <c r="L982" s="254"/>
      <c r="M982" s="254"/>
      <c r="N982" s="254"/>
      <c r="O982" s="254"/>
      <c r="P982" s="254"/>
      <c r="Q982" s="254"/>
      <c r="R982" s="254"/>
      <c r="S982" s="254"/>
      <c r="T982" s="254"/>
      <c r="U982" s="254"/>
      <c r="V982" s="254"/>
      <c r="W982" s="254"/>
      <c r="X982" s="254"/>
      <c r="Y982" s="254"/>
      <c r="Z982" s="254"/>
      <c r="AA982" s="254"/>
      <c r="AB982" s="254"/>
      <c r="AC982" s="254"/>
    </row>
    <row r="983" ht="12.75" customHeight="1" spans="1:29">
      <c r="A983" s="254"/>
      <c r="B983" s="254"/>
      <c r="C983" s="254"/>
      <c r="D983" s="276"/>
      <c r="E983" s="254"/>
      <c r="F983" s="254"/>
      <c r="G983" s="254"/>
      <c r="H983" s="254"/>
      <c r="I983" s="254"/>
      <c r="J983" s="254"/>
      <c r="K983" s="254"/>
      <c r="L983" s="254"/>
      <c r="M983" s="254"/>
      <c r="N983" s="254"/>
      <c r="O983" s="254"/>
      <c r="P983" s="254"/>
      <c r="Q983" s="254"/>
      <c r="R983" s="254"/>
      <c r="S983" s="254"/>
      <c r="T983" s="254"/>
      <c r="U983" s="254"/>
      <c r="V983" s="254"/>
      <c r="W983" s="254"/>
      <c r="X983" s="254"/>
      <c r="Y983" s="254"/>
      <c r="Z983" s="254"/>
      <c r="AA983" s="254"/>
      <c r="AB983" s="254"/>
      <c r="AC983" s="254"/>
    </row>
    <row r="984" ht="12.75" customHeight="1" spans="1:29">
      <c r="A984" s="254"/>
      <c r="B984" s="254"/>
      <c r="C984" s="254"/>
      <c r="D984" s="276"/>
      <c r="E984" s="254"/>
      <c r="F984" s="254"/>
      <c r="G984" s="254"/>
      <c r="H984" s="254"/>
      <c r="I984" s="254"/>
      <c r="J984" s="254"/>
      <c r="K984" s="254"/>
      <c r="L984" s="254"/>
      <c r="M984" s="254"/>
      <c r="N984" s="254"/>
      <c r="O984" s="254"/>
      <c r="P984" s="254"/>
      <c r="Q984" s="254"/>
      <c r="R984" s="254"/>
      <c r="S984" s="254"/>
      <c r="T984" s="254"/>
      <c r="U984" s="254"/>
      <c r="V984" s="254"/>
      <c r="W984" s="254"/>
      <c r="X984" s="254"/>
      <c r="Y984" s="254"/>
      <c r="Z984" s="254"/>
      <c r="AA984" s="254"/>
      <c r="AB984" s="254"/>
      <c r="AC984" s="254"/>
    </row>
    <row r="985" ht="12.75" customHeight="1" spans="1:29">
      <c r="A985" s="254"/>
      <c r="B985" s="254"/>
      <c r="C985" s="254"/>
      <c r="D985" s="276"/>
      <c r="E985" s="254"/>
      <c r="F985" s="254"/>
      <c r="G985" s="254"/>
      <c r="H985" s="254"/>
      <c r="I985" s="254"/>
      <c r="J985" s="254"/>
      <c r="K985" s="254"/>
      <c r="L985" s="254"/>
      <c r="M985" s="254"/>
      <c r="N985" s="254"/>
      <c r="O985" s="254"/>
      <c r="P985" s="254"/>
      <c r="Q985" s="254"/>
      <c r="R985" s="254"/>
      <c r="S985" s="254"/>
      <c r="T985" s="254"/>
      <c r="U985" s="254"/>
      <c r="V985" s="254"/>
      <c r="W985" s="254"/>
      <c r="X985" s="254"/>
      <c r="Y985" s="254"/>
      <c r="Z985" s="254"/>
      <c r="AA985" s="254"/>
      <c r="AB985" s="254"/>
      <c r="AC985" s="254"/>
    </row>
    <row r="986" ht="12.75" customHeight="1" spans="1:29">
      <c r="A986" s="254"/>
      <c r="B986" s="254"/>
      <c r="C986" s="254"/>
      <c r="D986" s="276"/>
      <c r="E986" s="254"/>
      <c r="F986" s="254"/>
      <c r="G986" s="254"/>
      <c r="H986" s="254"/>
      <c r="I986" s="254"/>
      <c r="J986" s="254"/>
      <c r="K986" s="254"/>
      <c r="L986" s="254"/>
      <c r="M986" s="254"/>
      <c r="N986" s="254"/>
      <c r="O986" s="254"/>
      <c r="P986" s="254"/>
      <c r="Q986" s="254"/>
      <c r="R986" s="254"/>
      <c r="S986" s="254"/>
      <c r="T986" s="254"/>
      <c r="U986" s="254"/>
      <c r="V986" s="254"/>
      <c r="W986" s="254"/>
      <c r="X986" s="254"/>
      <c r="Y986" s="254"/>
      <c r="Z986" s="254"/>
      <c r="AA986" s="254"/>
      <c r="AB986" s="254"/>
      <c r="AC986" s="254"/>
    </row>
    <row r="987" ht="12.75" customHeight="1" spans="1:29">
      <c r="A987" s="254"/>
      <c r="B987" s="254"/>
      <c r="C987" s="254"/>
      <c r="D987" s="276"/>
      <c r="E987" s="254"/>
      <c r="F987" s="254"/>
      <c r="G987" s="254"/>
      <c r="H987" s="254"/>
      <c r="I987" s="254"/>
      <c r="J987" s="254"/>
      <c r="K987" s="254"/>
      <c r="L987" s="254"/>
      <c r="M987" s="254"/>
      <c r="N987" s="254"/>
      <c r="O987" s="254"/>
      <c r="P987" s="254"/>
      <c r="Q987" s="254"/>
      <c r="R987" s="254"/>
      <c r="S987" s="254"/>
      <c r="T987" s="254"/>
      <c r="U987" s="254"/>
      <c r="V987" s="254"/>
      <c r="W987" s="254"/>
      <c r="X987" s="254"/>
      <c r="Y987" s="254"/>
      <c r="Z987" s="254"/>
      <c r="AA987" s="254"/>
      <c r="AB987" s="254"/>
      <c r="AC987" s="254"/>
    </row>
    <row r="988" ht="12.75" customHeight="1" spans="1:29">
      <c r="A988" s="254"/>
      <c r="B988" s="254"/>
      <c r="C988" s="254"/>
      <c r="D988" s="276"/>
      <c r="E988" s="254"/>
      <c r="F988" s="254"/>
      <c r="G988" s="254"/>
      <c r="H988" s="254"/>
      <c r="I988" s="254"/>
      <c r="J988" s="254"/>
      <c r="K988" s="254"/>
      <c r="L988" s="254"/>
      <c r="M988" s="254"/>
      <c r="N988" s="254"/>
      <c r="O988" s="254"/>
      <c r="P988" s="254"/>
      <c r="Q988" s="254"/>
      <c r="R988" s="254"/>
      <c r="S988" s="254"/>
      <c r="T988" s="254"/>
      <c r="U988" s="254"/>
      <c r="V988" s="254"/>
      <c r="W988" s="254"/>
      <c r="X988" s="254"/>
      <c r="Y988" s="254"/>
      <c r="Z988" s="254"/>
      <c r="AA988" s="254"/>
      <c r="AB988" s="254"/>
      <c r="AC988" s="254"/>
    </row>
    <row r="989" ht="12.75" customHeight="1" spans="1:29">
      <c r="A989" s="254"/>
      <c r="B989" s="254"/>
      <c r="C989" s="254"/>
      <c r="D989" s="276"/>
      <c r="E989" s="254"/>
      <c r="F989" s="254"/>
      <c r="G989" s="254"/>
      <c r="H989" s="254"/>
      <c r="I989" s="254"/>
      <c r="J989" s="254"/>
      <c r="K989" s="254"/>
      <c r="L989" s="254"/>
      <c r="M989" s="254"/>
      <c r="N989" s="254"/>
      <c r="O989" s="254"/>
      <c r="P989" s="254"/>
      <c r="Q989" s="254"/>
      <c r="R989" s="254"/>
      <c r="S989" s="254"/>
      <c r="T989" s="254"/>
      <c r="U989" s="254"/>
      <c r="V989" s="254"/>
      <c r="W989" s="254"/>
      <c r="X989" s="254"/>
      <c r="Y989" s="254"/>
      <c r="Z989" s="254"/>
      <c r="AA989" s="254"/>
      <c r="AB989" s="254"/>
      <c r="AC989" s="254"/>
    </row>
    <row r="990" ht="12.75" customHeight="1" spans="1:29">
      <c r="A990" s="254"/>
      <c r="B990" s="254"/>
      <c r="C990" s="254"/>
      <c r="D990" s="276"/>
      <c r="E990" s="254"/>
      <c r="F990" s="254"/>
      <c r="G990" s="254"/>
      <c r="H990" s="254"/>
      <c r="I990" s="254"/>
      <c r="J990" s="254"/>
      <c r="K990" s="254"/>
      <c r="L990" s="254"/>
      <c r="M990" s="254"/>
      <c r="N990" s="254"/>
      <c r="O990" s="254"/>
      <c r="P990" s="254"/>
      <c r="Q990" s="254"/>
      <c r="R990" s="254"/>
      <c r="S990" s="254"/>
      <c r="T990" s="254"/>
      <c r="U990" s="254"/>
      <c r="V990" s="254"/>
      <c r="W990" s="254"/>
      <c r="X990" s="254"/>
      <c r="Y990" s="254"/>
      <c r="Z990" s="254"/>
      <c r="AA990" s="254"/>
      <c r="AB990" s="254"/>
      <c r="AC990" s="254"/>
    </row>
    <row r="991" ht="12.75" customHeight="1" spans="1:29">
      <c r="A991" s="254"/>
      <c r="B991" s="254"/>
      <c r="C991" s="254"/>
      <c r="D991" s="276"/>
      <c r="E991" s="254"/>
      <c r="F991" s="254"/>
      <c r="G991" s="254"/>
      <c r="H991" s="254"/>
      <c r="I991" s="254"/>
      <c r="J991" s="254"/>
      <c r="K991" s="254"/>
      <c r="L991" s="254"/>
      <c r="M991" s="254"/>
      <c r="N991" s="254"/>
      <c r="O991" s="254"/>
      <c r="P991" s="254"/>
      <c r="Q991" s="254"/>
      <c r="R991" s="254"/>
      <c r="S991" s="254"/>
      <c r="T991" s="254"/>
      <c r="U991" s="254"/>
      <c r="V991" s="254"/>
      <c r="W991" s="254"/>
      <c r="X991" s="254"/>
      <c r="Y991" s="254"/>
      <c r="Z991" s="254"/>
      <c r="AA991" s="254"/>
      <c r="AB991" s="254"/>
      <c r="AC991" s="254"/>
    </row>
    <row r="992" ht="12.75" customHeight="1" spans="1:29">
      <c r="A992" s="254"/>
      <c r="B992" s="254"/>
      <c r="C992" s="254"/>
      <c r="D992" s="276"/>
      <c r="E992" s="254"/>
      <c r="F992" s="254"/>
      <c r="G992" s="254"/>
      <c r="H992" s="254"/>
      <c r="I992" s="254"/>
      <c r="J992" s="254"/>
      <c r="K992" s="254"/>
      <c r="L992" s="254"/>
      <c r="M992" s="254"/>
      <c r="N992" s="254"/>
      <c r="O992" s="254"/>
      <c r="P992" s="254"/>
      <c r="Q992" s="254"/>
      <c r="R992" s="254"/>
      <c r="S992" s="254"/>
      <c r="T992" s="254"/>
      <c r="U992" s="254"/>
      <c r="V992" s="254"/>
      <c r="W992" s="254"/>
      <c r="X992" s="254"/>
      <c r="Y992" s="254"/>
      <c r="Z992" s="254"/>
      <c r="AA992" s="254"/>
      <c r="AB992" s="254"/>
      <c r="AC992" s="254"/>
    </row>
    <row r="993" ht="12.75" customHeight="1" spans="1:29">
      <c r="A993" s="254"/>
      <c r="B993" s="254"/>
      <c r="C993" s="254"/>
      <c r="D993" s="276"/>
      <c r="E993" s="254"/>
      <c r="F993" s="254"/>
      <c r="G993" s="254"/>
      <c r="H993" s="254"/>
      <c r="I993" s="254"/>
      <c r="J993" s="254"/>
      <c r="K993" s="254"/>
      <c r="L993" s="254"/>
      <c r="M993" s="254"/>
      <c r="N993" s="254"/>
      <c r="O993" s="254"/>
      <c r="P993" s="254"/>
      <c r="Q993" s="254"/>
      <c r="R993" s="254"/>
      <c r="S993" s="254"/>
      <c r="T993" s="254"/>
      <c r="U993" s="254"/>
      <c r="V993" s="254"/>
      <c r="W993" s="254"/>
      <c r="X993" s="254"/>
      <c r="Y993" s="254"/>
      <c r="Z993" s="254"/>
      <c r="AA993" s="254"/>
      <c r="AB993" s="254"/>
      <c r="AC993" s="254"/>
    </row>
    <row r="994" ht="12.75" customHeight="1" spans="1:29">
      <c r="A994" s="254"/>
      <c r="B994" s="254"/>
      <c r="C994" s="254"/>
      <c r="D994" s="276"/>
      <c r="E994" s="254"/>
      <c r="F994" s="254"/>
      <c r="G994" s="254"/>
      <c r="H994" s="254"/>
      <c r="I994" s="254"/>
      <c r="J994" s="254"/>
      <c r="K994" s="254"/>
      <c r="L994" s="254"/>
      <c r="M994" s="254"/>
      <c r="N994" s="254"/>
      <c r="O994" s="254"/>
      <c r="P994" s="254"/>
      <c r="Q994" s="254"/>
      <c r="R994" s="254"/>
      <c r="S994" s="254"/>
      <c r="T994" s="254"/>
      <c r="U994" s="254"/>
      <c r="V994" s="254"/>
      <c r="W994" s="254"/>
      <c r="X994" s="254"/>
      <c r="Y994" s="254"/>
      <c r="Z994" s="254"/>
      <c r="AA994" s="254"/>
      <c r="AB994" s="254"/>
      <c r="AC994" s="254"/>
    </row>
    <row r="995" ht="12.75" customHeight="1" spans="1:29">
      <c r="A995" s="254"/>
      <c r="B995" s="254"/>
      <c r="C995" s="254"/>
      <c r="D995" s="276"/>
      <c r="E995" s="254"/>
      <c r="F995" s="254"/>
      <c r="G995" s="254"/>
      <c r="H995" s="254"/>
      <c r="I995" s="254"/>
      <c r="J995" s="254"/>
      <c r="K995" s="254"/>
      <c r="L995" s="254"/>
      <c r="M995" s="254"/>
      <c r="N995" s="254"/>
      <c r="O995" s="254"/>
      <c r="P995" s="254"/>
      <c r="Q995" s="254"/>
      <c r="R995" s="254"/>
      <c r="S995" s="254"/>
      <c r="T995" s="254"/>
      <c r="U995" s="254"/>
      <c r="V995" s="254"/>
      <c r="W995" s="254"/>
      <c r="X995" s="254"/>
      <c r="Y995" s="254"/>
      <c r="Z995" s="254"/>
      <c r="AA995" s="254"/>
      <c r="AB995" s="254"/>
      <c r="AC995" s="254"/>
    </row>
    <row r="996" ht="12.75" customHeight="1" spans="1:29">
      <c r="A996" s="254"/>
      <c r="B996" s="254"/>
      <c r="C996" s="254"/>
      <c r="D996" s="276"/>
      <c r="E996" s="254"/>
      <c r="F996" s="254"/>
      <c r="G996" s="254"/>
      <c r="H996" s="254"/>
      <c r="I996" s="254"/>
      <c r="J996" s="254"/>
      <c r="K996" s="254"/>
      <c r="L996" s="254"/>
      <c r="M996" s="254"/>
      <c r="N996" s="254"/>
      <c r="O996" s="254"/>
      <c r="P996" s="254"/>
      <c r="Q996" s="254"/>
      <c r="R996" s="254"/>
      <c r="S996" s="254"/>
      <c r="T996" s="254"/>
      <c r="U996" s="254"/>
      <c r="V996" s="254"/>
      <c r="W996" s="254"/>
      <c r="X996" s="254"/>
      <c r="Y996" s="254"/>
      <c r="Z996" s="254"/>
      <c r="AA996" s="254"/>
      <c r="AB996" s="254"/>
      <c r="AC996" s="254"/>
    </row>
    <row r="997" ht="12.75" customHeight="1" spans="1:29">
      <c r="A997" s="254"/>
      <c r="B997" s="254"/>
      <c r="C997" s="254"/>
      <c r="D997" s="276"/>
      <c r="E997" s="254"/>
      <c r="F997" s="254"/>
      <c r="G997" s="254"/>
      <c r="H997" s="254"/>
      <c r="I997" s="254"/>
      <c r="J997" s="254"/>
      <c r="K997" s="254"/>
      <c r="L997" s="254"/>
      <c r="M997" s="254"/>
      <c r="N997" s="254"/>
      <c r="O997" s="254"/>
      <c r="P997" s="254"/>
      <c r="Q997" s="254"/>
      <c r="R997" s="254"/>
      <c r="S997" s="254"/>
      <c r="T997" s="254"/>
      <c r="U997" s="254"/>
      <c r="V997" s="254"/>
      <c r="W997" s="254"/>
      <c r="X997" s="254"/>
      <c r="Y997" s="254"/>
      <c r="Z997" s="254"/>
      <c r="AA997" s="254"/>
      <c r="AB997" s="254"/>
      <c r="AC997" s="254"/>
    </row>
    <row r="998" ht="12.75" customHeight="1" spans="1:29">
      <c r="A998" s="254"/>
      <c r="B998" s="254"/>
      <c r="C998" s="254"/>
      <c r="D998" s="276"/>
      <c r="E998" s="254"/>
      <c r="F998" s="254"/>
      <c r="G998" s="254"/>
      <c r="H998" s="254"/>
      <c r="I998" s="254"/>
      <c r="J998" s="254"/>
      <c r="K998" s="254"/>
      <c r="L998" s="254"/>
      <c r="M998" s="254"/>
      <c r="N998" s="254"/>
      <c r="O998" s="254"/>
      <c r="P998" s="254"/>
      <c r="Q998" s="254"/>
      <c r="R998" s="254"/>
      <c r="S998" s="254"/>
      <c r="T998" s="254"/>
      <c r="U998" s="254"/>
      <c r="V998" s="254"/>
      <c r="W998" s="254"/>
      <c r="X998" s="254"/>
      <c r="Y998" s="254"/>
      <c r="Z998" s="254"/>
      <c r="AA998" s="254"/>
      <c r="AB998" s="254"/>
      <c r="AC998" s="254"/>
    </row>
    <row r="999" ht="12.75" customHeight="1" spans="1:29">
      <c r="A999" s="254"/>
      <c r="B999" s="254"/>
      <c r="C999" s="254"/>
      <c r="D999" s="276"/>
      <c r="E999" s="254"/>
      <c r="F999" s="254"/>
      <c r="G999" s="254"/>
      <c r="H999" s="254"/>
      <c r="I999" s="254"/>
      <c r="J999" s="254"/>
      <c r="K999" s="254"/>
      <c r="L999" s="254"/>
      <c r="M999" s="254"/>
      <c r="N999" s="254"/>
      <c r="O999" s="254"/>
      <c r="P999" s="254"/>
      <c r="Q999" s="254"/>
      <c r="R999" s="254"/>
      <c r="S999" s="254"/>
      <c r="T999" s="254"/>
      <c r="U999" s="254"/>
      <c r="V999" s="254"/>
      <c r="W999" s="254"/>
      <c r="X999" s="254"/>
      <c r="Y999" s="254"/>
      <c r="Z999" s="254"/>
      <c r="AA999" s="254"/>
      <c r="AB999" s="254"/>
      <c r="AC999" s="254"/>
    </row>
    <row r="1000" ht="12.75" customHeight="1" spans="1:29">
      <c r="A1000" s="254"/>
      <c r="B1000" s="254"/>
      <c r="C1000" s="254"/>
      <c r="D1000" s="276"/>
      <c r="E1000" s="254"/>
      <c r="F1000" s="254"/>
      <c r="G1000" s="254"/>
      <c r="H1000" s="254"/>
      <c r="I1000" s="254"/>
      <c r="J1000" s="254"/>
      <c r="K1000" s="254"/>
      <c r="L1000" s="254"/>
      <c r="M1000" s="254"/>
      <c r="N1000" s="254"/>
      <c r="O1000" s="254"/>
      <c r="P1000" s="254"/>
      <c r="Q1000" s="254"/>
      <c r="R1000" s="254"/>
      <c r="S1000" s="254"/>
      <c r="T1000" s="254"/>
      <c r="U1000" s="254"/>
      <c r="V1000" s="254"/>
      <c r="W1000" s="254"/>
      <c r="X1000" s="254"/>
      <c r="Y1000" s="254"/>
      <c r="Z1000" s="254"/>
      <c r="AA1000" s="254"/>
      <c r="AB1000" s="254"/>
      <c r="AC1000" s="254"/>
    </row>
  </sheetData>
  <mergeCells count="20">
    <mergeCell ref="A1:I1"/>
    <mergeCell ref="A2:I2"/>
    <mergeCell ref="A3:D3"/>
    <mergeCell ref="E3:G3"/>
    <mergeCell ref="H3:I3"/>
    <mergeCell ref="A4:D4"/>
    <mergeCell ref="E4:G4"/>
    <mergeCell ref="H4:I4"/>
    <mergeCell ref="A5:D5"/>
    <mergeCell ref="A6:D6"/>
    <mergeCell ref="B28:H28"/>
    <mergeCell ref="B30:H30"/>
    <mergeCell ref="B32:E32"/>
    <mergeCell ref="C34:E34"/>
    <mergeCell ref="C35:E35"/>
    <mergeCell ref="B39:E39"/>
    <mergeCell ref="B43:E43"/>
    <mergeCell ref="B47:E47"/>
    <mergeCell ref="B56:E56"/>
    <mergeCell ref="B64:E64"/>
  </mergeCells>
  <dataValidations count="2">
    <dataValidation type="list" allowBlank="1" showErrorMessage="1" sqref="C41">
      <formula1>"Com Desoneração,Sem Desoneração"</formula1>
    </dataValidation>
    <dataValidation type="list" allowBlank="1" showErrorMessage="1" sqref="C45">
      <formula1>"Edificações,Fornecimento de Materiais e Equipamentos,Redes de Água,Esgoto ou Correlatas,Rodovias e Ferrovias,Portuárias,Marítimas e Fluviais"</formula1>
    </dataValidation>
  </dataValidations>
  <printOptions horizontalCentered="1"/>
  <pageMargins left="0.511805555555556" right="0.511805555555556" top="0.39375" bottom="0.39375" header="0.511811023622047" footer="0.511811023622047"/>
  <pageSetup paperSize="9" orientation="portrait" horizontalDpi="300" verticalDpi="300"/>
  <headerFooter/>
  <rowBreaks count="1" manualBreakCount="1">
    <brk id="31" max="16383" man="1"/>
  </rowBreaks>
  <drawing r:id="rId2"/>
  <legacyDrawing r:id="rId3"/>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AC1000"/>
  <sheetViews>
    <sheetView zoomScale="50" zoomScaleNormal="50" workbookViewId="0">
      <selection activeCell="A1" sqref="A1:I1"/>
    </sheetView>
  </sheetViews>
  <sheetFormatPr defaultColWidth="12.625" defaultRowHeight="14.25"/>
  <cols>
    <col min="1" max="1" width="9" style="1" customWidth="1"/>
    <col min="2" max="2" width="13.1166666666667" style="1" customWidth="1"/>
    <col min="3" max="3" width="41.1166666666667" style="1" customWidth="1"/>
    <col min="4" max="4" width="10" style="1" customWidth="1"/>
    <col min="5" max="9" width="13.8833333333333" style="1" customWidth="1"/>
    <col min="10" max="29" width="9" style="1" customWidth="1"/>
  </cols>
  <sheetData>
    <row r="1" ht="127.5" customHeight="1" spans="1:29">
      <c r="A1" s="61"/>
      <c r="B1" s="61"/>
      <c r="C1" s="61"/>
      <c r="D1" s="61"/>
      <c r="E1" s="61"/>
      <c r="F1" s="61"/>
      <c r="G1" s="61"/>
      <c r="H1" s="61"/>
      <c r="I1" s="61"/>
      <c r="J1" s="187"/>
      <c r="K1" s="96"/>
      <c r="L1" s="83"/>
      <c r="M1" s="83"/>
      <c r="N1" s="83"/>
      <c r="O1" s="83"/>
      <c r="P1" s="83"/>
      <c r="Q1" s="83"/>
      <c r="R1" s="83"/>
      <c r="S1" s="83"/>
      <c r="T1" s="83"/>
      <c r="U1" s="83"/>
      <c r="V1" s="83"/>
      <c r="W1" s="83"/>
      <c r="X1" s="83"/>
      <c r="Y1" s="98"/>
      <c r="Z1" s="98"/>
      <c r="AA1" s="98"/>
      <c r="AB1" s="98"/>
      <c r="AC1" s="98"/>
    </row>
    <row r="2" ht="19.5" customHeight="1" spans="1:29">
      <c r="A2" s="62" t="s">
        <v>6568</v>
      </c>
      <c r="B2" s="62"/>
      <c r="C2" s="62"/>
      <c r="D2" s="62"/>
      <c r="E2" s="62"/>
      <c r="F2" s="62"/>
      <c r="G2" s="62"/>
      <c r="H2" s="62"/>
      <c r="I2" s="62"/>
      <c r="J2" s="187"/>
      <c r="K2" s="96"/>
      <c r="L2" s="83"/>
      <c r="M2" s="83"/>
      <c r="N2" s="83"/>
      <c r="O2" s="83"/>
      <c r="P2" s="83"/>
      <c r="Q2" s="83"/>
      <c r="R2" s="83"/>
      <c r="S2" s="83"/>
      <c r="T2" s="83"/>
      <c r="U2" s="83"/>
      <c r="V2" s="83"/>
      <c r="W2" s="83"/>
      <c r="X2" s="83"/>
      <c r="Y2" s="98"/>
      <c r="Z2" s="98"/>
      <c r="AA2" s="98"/>
      <c r="AB2" s="98"/>
      <c r="AC2" s="98"/>
    </row>
    <row r="3" ht="19.5" customHeight="1" spans="1:29">
      <c r="A3" s="63" t="s">
        <v>1</v>
      </c>
      <c r="B3" s="63"/>
      <c r="C3" s="63"/>
      <c r="D3" s="63"/>
      <c r="E3" s="64" t="s">
        <v>2</v>
      </c>
      <c r="F3" s="64"/>
      <c r="G3" s="64"/>
      <c r="H3" s="135" t="s">
        <v>3</v>
      </c>
      <c r="I3" s="135"/>
      <c r="J3" s="187"/>
      <c r="K3" s="96"/>
      <c r="L3" s="84"/>
      <c r="M3" s="84"/>
      <c r="N3" s="84"/>
      <c r="O3" s="84"/>
      <c r="P3" s="84"/>
      <c r="Q3" s="84"/>
      <c r="R3" s="84"/>
      <c r="S3" s="84"/>
      <c r="T3" s="84"/>
      <c r="U3" s="84"/>
      <c r="V3" s="93"/>
      <c r="W3" s="83"/>
      <c r="X3" s="83"/>
      <c r="Y3" s="98"/>
      <c r="Z3" s="98"/>
      <c r="AA3" s="98"/>
      <c r="AB3" s="98"/>
      <c r="AC3" s="98"/>
    </row>
    <row r="4" ht="19.5" customHeight="1" spans="1:29">
      <c r="A4" s="66" t="s">
        <v>4</v>
      </c>
      <c r="B4" s="66"/>
      <c r="C4" s="66"/>
      <c r="D4" s="66"/>
      <c r="E4" s="67" t="s">
        <v>6569</v>
      </c>
      <c r="F4" s="67"/>
      <c r="G4" s="67"/>
      <c r="H4" s="136" t="s">
        <v>6</v>
      </c>
      <c r="I4" s="136"/>
      <c r="J4" s="187"/>
      <c r="K4" s="96"/>
      <c r="L4" s="86"/>
      <c r="M4" s="86"/>
      <c r="N4" s="86"/>
      <c r="O4" s="86"/>
      <c r="P4" s="86"/>
      <c r="Q4" s="86"/>
      <c r="R4" s="86"/>
      <c r="S4" s="86"/>
      <c r="T4" s="86"/>
      <c r="U4" s="86"/>
      <c r="V4" s="94"/>
      <c r="W4" s="83"/>
      <c r="X4" s="83"/>
      <c r="Y4" s="98"/>
      <c r="Z4" s="98"/>
      <c r="AA4" s="98"/>
      <c r="AB4" s="98"/>
      <c r="AC4" s="98"/>
    </row>
    <row r="5" ht="19.5" customHeight="1" spans="1:29">
      <c r="A5" s="66" t="s">
        <v>7</v>
      </c>
      <c r="B5" s="66"/>
      <c r="C5" s="66"/>
      <c r="D5" s="66"/>
      <c r="E5" s="62" t="s">
        <v>8</v>
      </c>
      <c r="F5" s="62" t="s">
        <v>9</v>
      </c>
      <c r="G5" s="62" t="s">
        <v>10</v>
      </c>
      <c r="H5" s="62" t="s">
        <v>11</v>
      </c>
      <c r="I5" s="62" t="s">
        <v>12</v>
      </c>
      <c r="J5" s="187"/>
      <c r="K5" s="96"/>
      <c r="L5" s="88"/>
      <c r="M5" s="88"/>
      <c r="N5" s="88"/>
      <c r="O5" s="88"/>
      <c r="P5" s="88"/>
      <c r="Q5" s="84"/>
      <c r="R5" s="84"/>
      <c r="S5" s="84"/>
      <c r="T5" s="84"/>
      <c r="U5" s="84"/>
      <c r="V5" s="84"/>
      <c r="W5" s="83"/>
      <c r="X5" s="83"/>
      <c r="Y5" s="98"/>
      <c r="Z5" s="98"/>
      <c r="AA5" s="98"/>
      <c r="AB5" s="98"/>
      <c r="AC5" s="98"/>
    </row>
    <row r="6" ht="45" customHeight="1" spans="1:29">
      <c r="A6" s="70" t="s">
        <v>6570</v>
      </c>
      <c r="B6" s="70"/>
      <c r="C6" s="70"/>
      <c r="D6" s="70"/>
      <c r="E6" s="138">
        <f>BDI_DIF.!$D$67</f>
        <v>0.1612</v>
      </c>
      <c r="F6" s="117">
        <f>D67</f>
        <v>0.1612</v>
      </c>
      <c r="G6" s="139"/>
      <c r="H6" s="73">
        <f>'Orçamento Sintético'!H6</f>
        <v>45931</v>
      </c>
      <c r="I6" s="252" t="str">
        <f>'Orçamento Sintético'!I6</f>
        <v>R21</v>
      </c>
      <c r="J6" s="187"/>
      <c r="K6" s="96"/>
      <c r="L6" s="88"/>
      <c r="M6" s="88"/>
      <c r="N6" s="88"/>
      <c r="O6" s="88"/>
      <c r="P6" s="88"/>
      <c r="Q6" s="95"/>
      <c r="R6" s="95"/>
      <c r="S6" s="96"/>
      <c r="T6" s="96"/>
      <c r="U6" s="97"/>
      <c r="V6" s="95"/>
      <c r="W6" s="83"/>
      <c r="X6" s="83"/>
      <c r="Y6" s="98"/>
      <c r="Z6" s="98"/>
      <c r="AA6" s="98"/>
      <c r="AB6" s="98"/>
      <c r="AC6" s="98"/>
    </row>
    <row r="7" ht="12.75" customHeight="1" spans="1:29">
      <c r="A7" s="198"/>
      <c r="B7" s="199"/>
      <c r="C7" s="200"/>
      <c r="D7" s="200"/>
      <c r="E7" s="199"/>
      <c r="F7" s="199"/>
      <c r="G7" s="199"/>
      <c r="H7" s="199"/>
      <c r="I7" s="253"/>
      <c r="J7" s="254"/>
      <c r="K7" s="254"/>
      <c r="L7" s="254"/>
      <c r="M7" s="254"/>
      <c r="N7" s="254"/>
      <c r="O7" s="254"/>
      <c r="P7" s="254"/>
      <c r="Q7" s="254"/>
      <c r="R7" s="254"/>
      <c r="S7" s="254"/>
      <c r="T7" s="254"/>
      <c r="U7" s="254"/>
      <c r="V7" s="254"/>
      <c r="W7" s="254"/>
      <c r="X7" s="254"/>
      <c r="Y7" s="254"/>
      <c r="Z7" s="254"/>
      <c r="AA7" s="254"/>
      <c r="AB7" s="254"/>
      <c r="AC7" s="254"/>
    </row>
    <row r="8" ht="12.75" customHeight="1" spans="1:29">
      <c r="A8" s="201"/>
      <c r="B8" s="202"/>
      <c r="C8" s="203"/>
      <c r="D8" s="203"/>
      <c r="E8" s="202"/>
      <c r="F8" s="202"/>
      <c r="G8" s="202"/>
      <c r="H8" s="202"/>
      <c r="I8" s="255"/>
      <c r="J8" s="254"/>
      <c r="K8" s="254"/>
      <c r="L8" s="254"/>
      <c r="M8" s="254"/>
      <c r="N8" s="254"/>
      <c r="O8" s="254"/>
      <c r="P8" s="254"/>
      <c r="Q8" s="254"/>
      <c r="R8" s="254"/>
      <c r="S8" s="254"/>
      <c r="T8" s="254"/>
      <c r="U8" s="254"/>
      <c r="V8" s="254"/>
      <c r="W8" s="254"/>
      <c r="X8" s="254"/>
      <c r="Y8" s="254"/>
      <c r="Z8" s="254"/>
      <c r="AA8" s="254"/>
      <c r="AB8" s="254"/>
      <c r="AC8" s="254"/>
    </row>
    <row r="9" ht="12.75" customHeight="1" spans="1:29">
      <c r="A9" s="201"/>
      <c r="B9" s="202"/>
      <c r="C9" s="203"/>
      <c r="D9" s="203"/>
      <c r="E9" s="202"/>
      <c r="F9" s="202"/>
      <c r="G9" s="202"/>
      <c r="H9" s="202"/>
      <c r="I9" s="255"/>
      <c r="J9" s="254"/>
      <c r="K9" s="254"/>
      <c r="L9" s="254"/>
      <c r="M9" s="254"/>
      <c r="N9" s="254"/>
      <c r="O9" s="254"/>
      <c r="P9" s="254"/>
      <c r="Q9" s="254"/>
      <c r="R9" s="254"/>
      <c r="S9" s="254"/>
      <c r="T9" s="254"/>
      <c r="U9" s="254"/>
      <c r="V9" s="254"/>
      <c r="W9" s="254"/>
      <c r="X9" s="254"/>
      <c r="Y9" s="254"/>
      <c r="Z9" s="254"/>
      <c r="AA9" s="254"/>
      <c r="AB9" s="254"/>
      <c r="AC9" s="254"/>
    </row>
    <row r="10" ht="12.75" customHeight="1" spans="1:29">
      <c r="A10" s="201"/>
      <c r="B10" s="202"/>
      <c r="C10" s="203"/>
      <c r="D10" s="203"/>
      <c r="E10" s="202"/>
      <c r="F10" s="202"/>
      <c r="G10" s="202"/>
      <c r="H10" s="202"/>
      <c r="I10" s="255"/>
      <c r="J10" s="254"/>
      <c r="K10" s="254"/>
      <c r="L10" s="254"/>
      <c r="M10" s="254"/>
      <c r="N10" s="254"/>
      <c r="O10" s="254"/>
      <c r="P10" s="254"/>
      <c r="Q10" s="254"/>
      <c r="R10" s="254"/>
      <c r="S10" s="254"/>
      <c r="T10" s="254"/>
      <c r="U10" s="254"/>
      <c r="V10" s="254"/>
      <c r="W10" s="254"/>
      <c r="X10" s="254"/>
      <c r="Y10" s="254"/>
      <c r="Z10" s="254"/>
      <c r="AA10" s="254"/>
      <c r="AB10" s="254"/>
      <c r="AC10" s="254"/>
    </row>
    <row r="11" ht="12.75" customHeight="1" spans="1:29">
      <c r="A11" s="201"/>
      <c r="B11" s="202"/>
      <c r="C11" s="203"/>
      <c r="D11" s="203"/>
      <c r="E11" s="202"/>
      <c r="F11" s="202"/>
      <c r="G11" s="202"/>
      <c r="H11" s="202"/>
      <c r="I11" s="255"/>
      <c r="J11" s="254"/>
      <c r="K11" s="254"/>
      <c r="L11" s="254"/>
      <c r="M11" s="254"/>
      <c r="N11" s="254"/>
      <c r="O11" s="254"/>
      <c r="P11" s="254"/>
      <c r="Q11" s="254"/>
      <c r="R11" s="254"/>
      <c r="S11" s="254"/>
      <c r="T11" s="254"/>
      <c r="U11" s="254"/>
      <c r="V11" s="254"/>
      <c r="W11" s="254"/>
      <c r="X11" s="254"/>
      <c r="Y11" s="254"/>
      <c r="Z11" s="254"/>
      <c r="AA11" s="254"/>
      <c r="AB11" s="254"/>
      <c r="AC11" s="254"/>
    </row>
    <row r="12" ht="12.75" customHeight="1" spans="1:29">
      <c r="A12" s="201"/>
      <c r="B12" s="202"/>
      <c r="C12" s="203"/>
      <c r="D12" s="203"/>
      <c r="E12" s="202"/>
      <c r="F12" s="202"/>
      <c r="G12" s="202"/>
      <c r="H12" s="202"/>
      <c r="I12" s="255"/>
      <c r="J12" s="254"/>
      <c r="K12" s="254"/>
      <c r="L12" s="254"/>
      <c r="M12" s="254"/>
      <c r="N12" s="254"/>
      <c r="O12" s="254"/>
      <c r="P12" s="254"/>
      <c r="Q12" s="254"/>
      <c r="R12" s="254"/>
      <c r="S12" s="254"/>
      <c r="T12" s="254"/>
      <c r="U12" s="254"/>
      <c r="V12" s="254"/>
      <c r="W12" s="254"/>
      <c r="X12" s="254"/>
      <c r="Y12" s="254"/>
      <c r="Z12" s="254"/>
      <c r="AA12" s="254"/>
      <c r="AB12" s="254"/>
      <c r="AC12" s="254"/>
    </row>
    <row r="13" ht="12.75" customHeight="1" spans="1:29">
      <c r="A13" s="201"/>
      <c r="B13" s="202"/>
      <c r="C13" s="203"/>
      <c r="D13" s="203"/>
      <c r="E13" s="202"/>
      <c r="F13" s="202"/>
      <c r="G13" s="202"/>
      <c r="H13" s="202"/>
      <c r="I13" s="255"/>
      <c r="J13" s="254"/>
      <c r="K13" s="254"/>
      <c r="L13" s="254"/>
      <c r="M13" s="254"/>
      <c r="N13" s="254"/>
      <c r="O13" s="254"/>
      <c r="P13" s="254"/>
      <c r="Q13" s="254"/>
      <c r="R13" s="254"/>
      <c r="S13" s="254"/>
      <c r="T13" s="254"/>
      <c r="U13" s="254"/>
      <c r="V13" s="254"/>
      <c r="W13" s="254"/>
      <c r="X13" s="254"/>
      <c r="Y13" s="254"/>
      <c r="Z13" s="254"/>
      <c r="AA13" s="254"/>
      <c r="AB13" s="254"/>
      <c r="AC13" s="254"/>
    </row>
    <row r="14" ht="12.75" customHeight="1" spans="1:29">
      <c r="A14" s="201"/>
      <c r="B14" s="202"/>
      <c r="C14" s="203"/>
      <c r="D14" s="203"/>
      <c r="E14" s="202"/>
      <c r="F14" s="202"/>
      <c r="G14" s="202"/>
      <c r="H14" s="202"/>
      <c r="I14" s="255"/>
      <c r="J14" s="254"/>
      <c r="K14" s="254"/>
      <c r="L14" s="254"/>
      <c r="M14" s="254"/>
      <c r="N14" s="254"/>
      <c r="O14" s="254"/>
      <c r="P14" s="254"/>
      <c r="Q14" s="254"/>
      <c r="R14" s="254"/>
      <c r="S14" s="254"/>
      <c r="T14" s="254"/>
      <c r="U14" s="254"/>
      <c r="V14" s="254"/>
      <c r="W14" s="254"/>
      <c r="X14" s="254"/>
      <c r="Y14" s="254"/>
      <c r="Z14" s="254"/>
      <c r="AA14" s="254"/>
      <c r="AB14" s="254"/>
      <c r="AC14" s="254"/>
    </row>
    <row r="15" ht="12.75" customHeight="1" spans="1:29">
      <c r="A15" s="201"/>
      <c r="B15" s="202"/>
      <c r="C15" s="203"/>
      <c r="D15" s="203"/>
      <c r="E15" s="202"/>
      <c r="F15" s="202"/>
      <c r="G15" s="202"/>
      <c r="H15" s="202"/>
      <c r="I15" s="255"/>
      <c r="J15" s="254"/>
      <c r="K15" s="254"/>
      <c r="L15" s="254"/>
      <c r="M15" s="254"/>
      <c r="N15" s="254"/>
      <c r="O15" s="254"/>
      <c r="P15" s="254"/>
      <c r="Q15" s="254"/>
      <c r="R15" s="254"/>
      <c r="S15" s="254"/>
      <c r="T15" s="254"/>
      <c r="U15" s="254"/>
      <c r="V15" s="254"/>
      <c r="W15" s="254"/>
      <c r="X15" s="254"/>
      <c r="Y15" s="254"/>
      <c r="Z15" s="254"/>
      <c r="AA15" s="254"/>
      <c r="AB15" s="254"/>
      <c r="AC15" s="254"/>
    </row>
    <row r="16" ht="12.75" customHeight="1" spans="1:29">
      <c r="A16" s="201"/>
      <c r="B16" s="202"/>
      <c r="C16" s="203"/>
      <c r="D16" s="203"/>
      <c r="E16" s="202"/>
      <c r="F16" s="202"/>
      <c r="G16" s="202"/>
      <c r="H16" s="202"/>
      <c r="I16" s="255"/>
      <c r="J16" s="254"/>
      <c r="K16" s="254"/>
      <c r="L16" s="254"/>
      <c r="M16" s="254"/>
      <c r="N16" s="254"/>
      <c r="O16" s="254"/>
      <c r="P16" s="254"/>
      <c r="Q16" s="254"/>
      <c r="R16" s="254"/>
      <c r="S16" s="254"/>
      <c r="T16" s="254"/>
      <c r="U16" s="254"/>
      <c r="V16" s="254"/>
      <c r="W16" s="254"/>
      <c r="X16" s="254"/>
      <c r="Y16" s="254"/>
      <c r="Z16" s="254"/>
      <c r="AA16" s="254"/>
      <c r="AB16" s="254"/>
      <c r="AC16" s="254"/>
    </row>
    <row r="17" ht="12.75" customHeight="1" spans="1:29">
      <c r="A17" s="201"/>
      <c r="B17" s="202"/>
      <c r="C17" s="203"/>
      <c r="D17" s="203"/>
      <c r="E17" s="202"/>
      <c r="F17" s="202"/>
      <c r="G17" s="202"/>
      <c r="H17" s="202"/>
      <c r="I17" s="255"/>
      <c r="J17" s="254"/>
      <c r="K17" s="254"/>
      <c r="L17" s="254"/>
      <c r="M17" s="254"/>
      <c r="N17" s="254"/>
      <c r="O17" s="254"/>
      <c r="P17" s="254"/>
      <c r="Q17" s="254"/>
      <c r="R17" s="254"/>
      <c r="S17" s="254"/>
      <c r="T17" s="254"/>
      <c r="U17" s="254"/>
      <c r="V17" s="254"/>
      <c r="W17" s="254"/>
      <c r="X17" s="254"/>
      <c r="Y17" s="254"/>
      <c r="Z17" s="254"/>
      <c r="AA17" s="254"/>
      <c r="AB17" s="254"/>
      <c r="AC17" s="254"/>
    </row>
    <row r="18" ht="12.75" customHeight="1" spans="1:29">
      <c r="A18" s="201"/>
      <c r="B18" s="202"/>
      <c r="C18" s="203"/>
      <c r="D18" s="203"/>
      <c r="E18" s="202"/>
      <c r="F18" s="202"/>
      <c r="G18" s="202"/>
      <c r="H18" s="202"/>
      <c r="I18" s="255"/>
      <c r="J18" s="254"/>
      <c r="K18" s="254"/>
      <c r="L18" s="254"/>
      <c r="M18" s="254"/>
      <c r="N18" s="254"/>
      <c r="O18" s="254"/>
      <c r="P18" s="254"/>
      <c r="Q18" s="254"/>
      <c r="R18" s="254"/>
      <c r="S18" s="254"/>
      <c r="T18" s="254"/>
      <c r="U18" s="254"/>
      <c r="V18" s="254"/>
      <c r="W18" s="254"/>
      <c r="X18" s="254"/>
      <c r="Y18" s="254"/>
      <c r="Z18" s="254"/>
      <c r="AA18" s="254"/>
      <c r="AB18" s="254"/>
      <c r="AC18" s="254"/>
    </row>
    <row r="19" ht="12.75" customHeight="1" spans="1:29">
      <c r="A19" s="201"/>
      <c r="B19" s="202"/>
      <c r="C19" s="203"/>
      <c r="D19" s="203"/>
      <c r="E19" s="202"/>
      <c r="F19" s="202"/>
      <c r="G19" s="202"/>
      <c r="H19" s="202"/>
      <c r="I19" s="255"/>
      <c r="J19" s="254"/>
      <c r="K19" s="254"/>
      <c r="L19" s="254"/>
      <c r="M19" s="254"/>
      <c r="N19" s="254"/>
      <c r="O19" s="254"/>
      <c r="P19" s="254"/>
      <c r="Q19" s="254"/>
      <c r="R19" s="254"/>
      <c r="S19" s="254"/>
      <c r="T19" s="254"/>
      <c r="U19" s="254"/>
      <c r="V19" s="254"/>
      <c r="W19" s="254"/>
      <c r="X19" s="254"/>
      <c r="Y19" s="254"/>
      <c r="Z19" s="254"/>
      <c r="AA19" s="254"/>
      <c r="AB19" s="254"/>
      <c r="AC19" s="254"/>
    </row>
    <row r="20" ht="12.75" customHeight="1" spans="1:29">
      <c r="A20" s="201"/>
      <c r="B20" s="202"/>
      <c r="C20" s="203"/>
      <c r="D20" s="203"/>
      <c r="E20" s="202"/>
      <c r="F20" s="202"/>
      <c r="G20" s="202"/>
      <c r="H20" s="202"/>
      <c r="I20" s="255"/>
      <c r="J20" s="254"/>
      <c r="K20" s="254"/>
      <c r="L20" s="254"/>
      <c r="M20" s="254"/>
      <c r="N20" s="254"/>
      <c r="O20" s="254"/>
      <c r="P20" s="254"/>
      <c r="Q20" s="254"/>
      <c r="R20" s="254"/>
      <c r="S20" s="254"/>
      <c r="T20" s="254"/>
      <c r="U20" s="254"/>
      <c r="V20" s="254"/>
      <c r="W20" s="254"/>
      <c r="X20" s="254"/>
      <c r="Y20" s="254"/>
      <c r="Z20" s="254"/>
      <c r="AA20" s="254"/>
      <c r="AB20" s="254"/>
      <c r="AC20" s="254"/>
    </row>
    <row r="21" ht="12.75" customHeight="1" spans="1:29">
      <c r="A21" s="201"/>
      <c r="B21" s="202"/>
      <c r="C21" s="203"/>
      <c r="D21" s="203"/>
      <c r="E21" s="202"/>
      <c r="F21" s="202"/>
      <c r="G21" s="202"/>
      <c r="H21" s="202"/>
      <c r="I21" s="255"/>
      <c r="J21" s="254"/>
      <c r="K21" s="254"/>
      <c r="L21" s="254"/>
      <c r="M21" s="254"/>
      <c r="N21" s="254"/>
      <c r="O21" s="254"/>
      <c r="P21" s="254"/>
      <c r="Q21" s="254"/>
      <c r="R21" s="254"/>
      <c r="S21" s="254"/>
      <c r="T21" s="254"/>
      <c r="U21" s="254"/>
      <c r="V21" s="254"/>
      <c r="W21" s="254"/>
      <c r="X21" s="254"/>
      <c r="Y21" s="254"/>
      <c r="Z21" s="254"/>
      <c r="AA21" s="254"/>
      <c r="AB21" s="254"/>
      <c r="AC21" s="254"/>
    </row>
    <row r="22" ht="12.75" customHeight="1" spans="1:29">
      <c r="A22" s="201"/>
      <c r="B22" s="202"/>
      <c r="C22" s="203"/>
      <c r="D22" s="203"/>
      <c r="E22" s="202"/>
      <c r="F22" s="202"/>
      <c r="G22" s="202"/>
      <c r="H22" s="202"/>
      <c r="I22" s="255"/>
      <c r="J22" s="254"/>
      <c r="K22" s="254"/>
      <c r="L22" s="254"/>
      <c r="M22" s="254"/>
      <c r="N22" s="254"/>
      <c r="O22" s="254"/>
      <c r="P22" s="254"/>
      <c r="Q22" s="254"/>
      <c r="R22" s="254"/>
      <c r="S22" s="254"/>
      <c r="T22" s="254"/>
      <c r="U22" s="254"/>
      <c r="V22" s="254"/>
      <c r="W22" s="254"/>
      <c r="X22" s="254"/>
      <c r="Y22" s="254"/>
      <c r="Z22" s="254"/>
      <c r="AA22" s="254"/>
      <c r="AB22" s="254"/>
      <c r="AC22" s="254"/>
    </row>
    <row r="23" ht="12.75" customHeight="1" spans="1:29">
      <c r="A23" s="201"/>
      <c r="B23" s="202"/>
      <c r="C23" s="203"/>
      <c r="D23" s="203"/>
      <c r="E23" s="202"/>
      <c r="F23" s="202"/>
      <c r="G23" s="202"/>
      <c r="H23" s="202"/>
      <c r="I23" s="255"/>
      <c r="J23" s="254"/>
      <c r="K23" s="254"/>
      <c r="L23" s="254"/>
      <c r="M23" s="254"/>
      <c r="N23" s="254"/>
      <c r="O23" s="254"/>
      <c r="P23" s="254"/>
      <c r="Q23" s="254"/>
      <c r="R23" s="254"/>
      <c r="S23" s="254"/>
      <c r="T23" s="254"/>
      <c r="U23" s="254"/>
      <c r="V23" s="254"/>
      <c r="W23" s="254"/>
      <c r="X23" s="254"/>
      <c r="Y23" s="254"/>
      <c r="Z23" s="254"/>
      <c r="AA23" s="254"/>
      <c r="AB23" s="254"/>
      <c r="AC23" s="254"/>
    </row>
    <row r="24" ht="12.75" customHeight="1" spans="1:29">
      <c r="A24" s="201"/>
      <c r="B24" s="202"/>
      <c r="C24" s="203"/>
      <c r="D24" s="203"/>
      <c r="E24" s="202"/>
      <c r="F24" s="202"/>
      <c r="G24" s="202"/>
      <c r="H24" s="202"/>
      <c r="I24" s="255"/>
      <c r="J24" s="254"/>
      <c r="K24" s="254"/>
      <c r="L24" s="254"/>
      <c r="M24" s="254"/>
      <c r="N24" s="254"/>
      <c r="O24" s="254"/>
      <c r="P24" s="254"/>
      <c r="Q24" s="254"/>
      <c r="R24" s="254"/>
      <c r="S24" s="254"/>
      <c r="T24" s="254"/>
      <c r="U24" s="254"/>
      <c r="V24" s="254"/>
      <c r="W24" s="254"/>
      <c r="X24" s="254"/>
      <c r="Y24" s="254"/>
      <c r="Z24" s="254"/>
      <c r="AA24" s="254"/>
      <c r="AB24" s="254"/>
      <c r="AC24" s="254"/>
    </row>
    <row r="25" ht="12.75" customHeight="1" spans="1:29">
      <c r="A25" s="201"/>
      <c r="B25" s="202"/>
      <c r="C25" s="203"/>
      <c r="D25" s="203"/>
      <c r="E25" s="202"/>
      <c r="F25" s="202"/>
      <c r="G25" s="202"/>
      <c r="H25" s="202"/>
      <c r="I25" s="255"/>
      <c r="J25" s="254"/>
      <c r="K25" s="254"/>
      <c r="L25" s="254"/>
      <c r="M25" s="254"/>
      <c r="N25" s="254"/>
      <c r="O25" s="254"/>
      <c r="P25" s="254"/>
      <c r="Q25" s="254"/>
      <c r="R25" s="254"/>
      <c r="S25" s="254"/>
      <c r="T25" s="254"/>
      <c r="U25" s="254"/>
      <c r="V25" s="254"/>
      <c r="W25" s="254"/>
      <c r="X25" s="254"/>
      <c r="Y25" s="254"/>
      <c r="Z25" s="254"/>
      <c r="AA25" s="254"/>
      <c r="AB25" s="254"/>
      <c r="AC25" s="254"/>
    </row>
    <row r="26" ht="12.75" customHeight="1" spans="1:29">
      <c r="A26" s="201"/>
      <c r="B26" s="202"/>
      <c r="C26" s="203"/>
      <c r="D26" s="203"/>
      <c r="E26" s="202"/>
      <c r="F26" s="202"/>
      <c r="G26" s="202"/>
      <c r="H26" s="202"/>
      <c r="I26" s="255"/>
      <c r="J26" s="254"/>
      <c r="K26" s="254"/>
      <c r="L26" s="254"/>
      <c r="M26" s="254"/>
      <c r="N26" s="254"/>
      <c r="O26" s="254"/>
      <c r="P26" s="254"/>
      <c r="Q26" s="254"/>
      <c r="R26" s="254"/>
      <c r="S26" s="254"/>
      <c r="T26" s="254"/>
      <c r="U26" s="254"/>
      <c r="V26" s="254"/>
      <c r="W26" s="254"/>
      <c r="X26" s="254"/>
      <c r="Y26" s="254"/>
      <c r="Z26" s="254"/>
      <c r="AA26" s="254"/>
      <c r="AB26" s="254"/>
      <c r="AC26" s="254"/>
    </row>
    <row r="27" ht="12.75" customHeight="1" spans="1:29">
      <c r="A27" s="201"/>
      <c r="B27" s="202"/>
      <c r="C27" s="203"/>
      <c r="D27" s="203"/>
      <c r="E27" s="202"/>
      <c r="F27" s="202"/>
      <c r="G27" s="202"/>
      <c r="H27" s="202"/>
      <c r="I27" s="255"/>
      <c r="J27" s="254"/>
      <c r="K27" s="254"/>
      <c r="L27" s="254"/>
      <c r="M27" s="254"/>
      <c r="N27" s="254"/>
      <c r="O27" s="254"/>
      <c r="P27" s="254"/>
      <c r="Q27" s="254"/>
      <c r="R27" s="254"/>
      <c r="S27" s="254"/>
      <c r="T27" s="254"/>
      <c r="U27" s="254"/>
      <c r="V27" s="254"/>
      <c r="W27" s="254"/>
      <c r="X27" s="254"/>
      <c r="Y27" s="254"/>
      <c r="Z27" s="254"/>
      <c r="AA27" s="254"/>
      <c r="AB27" s="254"/>
      <c r="AC27" s="254"/>
    </row>
    <row r="28" ht="12.75" customHeight="1" spans="1:29">
      <c r="A28" s="201"/>
      <c r="B28" s="202"/>
      <c r="C28" s="203"/>
      <c r="D28" s="203"/>
      <c r="E28" s="202"/>
      <c r="F28" s="202"/>
      <c r="G28" s="202"/>
      <c r="H28" s="202"/>
      <c r="I28" s="255"/>
      <c r="J28" s="254"/>
      <c r="K28" s="254"/>
      <c r="L28" s="254"/>
      <c r="M28" s="254"/>
      <c r="N28" s="254"/>
      <c r="O28" s="254"/>
      <c r="P28" s="254"/>
      <c r="Q28" s="254"/>
      <c r="R28" s="254"/>
      <c r="S28" s="254"/>
      <c r="T28" s="254"/>
      <c r="U28" s="254"/>
      <c r="V28" s="254"/>
      <c r="W28" s="254"/>
      <c r="X28" s="254"/>
      <c r="Y28" s="254"/>
      <c r="Z28" s="254"/>
      <c r="AA28" s="254"/>
      <c r="AB28" s="254"/>
      <c r="AC28" s="254"/>
    </row>
    <row r="29" ht="35.25" customHeight="1" spans="1:29">
      <c r="A29" s="201"/>
      <c r="B29" s="204" t="s">
        <v>6572</v>
      </c>
      <c r="C29" s="204"/>
      <c r="D29" s="204"/>
      <c r="E29" s="204"/>
      <c r="F29" s="204"/>
      <c r="G29" s="204"/>
      <c r="H29" s="204"/>
      <c r="I29" s="255"/>
      <c r="J29" s="254"/>
      <c r="K29" s="254"/>
      <c r="L29" s="254"/>
      <c r="M29" s="254"/>
      <c r="N29" s="254"/>
      <c r="O29" s="254"/>
      <c r="P29" s="254"/>
      <c r="Q29" s="254"/>
      <c r="R29" s="254"/>
      <c r="S29" s="254"/>
      <c r="T29" s="254"/>
      <c r="U29" s="254"/>
      <c r="V29" s="254"/>
      <c r="W29" s="254"/>
      <c r="X29" s="254"/>
      <c r="Y29" s="254"/>
      <c r="Z29" s="254"/>
      <c r="AA29" s="254"/>
      <c r="AB29" s="254"/>
      <c r="AC29" s="254"/>
    </row>
    <row r="30" ht="12.75" customHeight="1" spans="1:29">
      <c r="A30" s="201"/>
      <c r="B30" s="202"/>
      <c r="C30" s="203"/>
      <c r="D30" s="203"/>
      <c r="E30" s="202"/>
      <c r="F30" s="202"/>
      <c r="G30" s="202"/>
      <c r="H30" s="202"/>
      <c r="I30" s="255"/>
      <c r="J30" s="254"/>
      <c r="K30" s="254"/>
      <c r="L30" s="254"/>
      <c r="M30" s="254"/>
      <c r="N30" s="254"/>
      <c r="O30" s="254"/>
      <c r="P30" s="254"/>
      <c r="Q30" s="254"/>
      <c r="R30" s="254"/>
      <c r="S30" s="254"/>
      <c r="T30" s="254"/>
      <c r="U30" s="254"/>
      <c r="V30" s="254"/>
      <c r="W30" s="254"/>
      <c r="X30" s="254"/>
      <c r="Y30" s="254"/>
      <c r="Z30" s="254"/>
      <c r="AA30" s="254"/>
      <c r="AB30" s="254"/>
      <c r="AC30" s="254"/>
    </row>
    <row r="31" ht="35.25" customHeight="1" spans="1:29">
      <c r="A31" s="201"/>
      <c r="B31" s="205"/>
      <c r="C31" s="205"/>
      <c r="D31" s="205"/>
      <c r="E31" s="205"/>
      <c r="F31" s="205"/>
      <c r="G31" s="205"/>
      <c r="H31" s="205"/>
      <c r="I31" s="255"/>
      <c r="J31" s="254"/>
      <c r="K31" s="254"/>
      <c r="L31" s="254"/>
      <c r="M31" s="254"/>
      <c r="N31" s="254"/>
      <c r="O31" s="254"/>
      <c r="P31" s="254"/>
      <c r="Q31" s="254"/>
      <c r="R31" s="254"/>
      <c r="S31" s="254"/>
      <c r="T31" s="254"/>
      <c r="U31" s="254"/>
      <c r="V31" s="254"/>
      <c r="W31" s="254"/>
      <c r="X31" s="254"/>
      <c r="Y31" s="254"/>
      <c r="Z31" s="254"/>
      <c r="AA31" s="254"/>
      <c r="AB31" s="254"/>
      <c r="AC31" s="254"/>
    </row>
    <row r="32" ht="12.75" customHeight="1" spans="1:29">
      <c r="A32" s="201"/>
      <c r="B32" s="202"/>
      <c r="C32" s="203"/>
      <c r="D32" s="203"/>
      <c r="E32" s="202"/>
      <c r="F32" s="202"/>
      <c r="G32" s="202"/>
      <c r="H32" s="202"/>
      <c r="I32" s="255"/>
      <c r="J32" s="254"/>
      <c r="K32" s="254"/>
      <c r="L32" s="254"/>
      <c r="M32" s="254"/>
      <c r="N32" s="254"/>
      <c r="O32" s="254"/>
      <c r="P32" s="254"/>
      <c r="Q32" s="254"/>
      <c r="R32" s="254"/>
      <c r="S32" s="254"/>
      <c r="T32" s="254"/>
      <c r="U32" s="254"/>
      <c r="V32" s="254"/>
      <c r="W32" s="254"/>
      <c r="X32" s="254"/>
      <c r="Y32" s="254"/>
      <c r="Z32" s="254"/>
      <c r="AA32" s="254"/>
      <c r="AB32" s="254"/>
      <c r="AC32" s="254"/>
    </row>
    <row r="33" ht="12.75" customHeight="1" spans="1:29">
      <c r="A33" s="206"/>
      <c r="B33" s="207" t="s">
        <v>6573</v>
      </c>
      <c r="C33" s="207"/>
      <c r="D33" s="207"/>
      <c r="E33" s="207"/>
      <c r="F33" s="208"/>
      <c r="G33" s="209"/>
      <c r="H33" s="209"/>
      <c r="I33" s="256"/>
      <c r="J33" s="257"/>
      <c r="K33" s="257"/>
      <c r="L33" s="257"/>
      <c r="M33" s="257"/>
      <c r="N33" s="257"/>
      <c r="O33" s="257"/>
      <c r="P33" s="257"/>
      <c r="Q33" s="257"/>
      <c r="R33" s="257"/>
      <c r="S33" s="257"/>
      <c r="T33" s="257"/>
      <c r="U33" s="257"/>
      <c r="V33" s="257"/>
      <c r="W33" s="257"/>
      <c r="X33" s="257"/>
      <c r="Y33" s="257"/>
      <c r="Z33" s="257"/>
      <c r="AA33" s="257"/>
      <c r="AB33" s="257"/>
      <c r="AC33" s="257"/>
    </row>
    <row r="34" ht="12.75" customHeight="1" spans="1:29">
      <c r="A34" s="210"/>
      <c r="B34" s="211"/>
      <c r="C34" s="212"/>
      <c r="D34" s="212"/>
      <c r="E34" s="213"/>
      <c r="F34" s="214"/>
      <c r="G34" s="215"/>
      <c r="H34" s="215"/>
      <c r="I34" s="258"/>
      <c r="J34" s="259"/>
      <c r="K34" s="259"/>
      <c r="L34" s="259"/>
      <c r="M34" s="259"/>
      <c r="N34" s="259"/>
      <c r="O34" s="259"/>
      <c r="P34" s="259"/>
      <c r="Q34" s="259"/>
      <c r="R34" s="259"/>
      <c r="S34" s="259"/>
      <c r="T34" s="259"/>
      <c r="U34" s="259"/>
      <c r="V34" s="259"/>
      <c r="W34" s="259"/>
      <c r="X34" s="259"/>
      <c r="Y34" s="259"/>
      <c r="Z34" s="259"/>
      <c r="AA34" s="259"/>
      <c r="AB34" s="259"/>
      <c r="AC34" s="259"/>
    </row>
    <row r="35" ht="12.75" customHeight="1" spans="1:29">
      <c r="A35" s="216"/>
      <c r="B35" s="217" t="s">
        <v>6574</v>
      </c>
      <c r="C35" s="218" t="s">
        <v>6575</v>
      </c>
      <c r="D35" s="218"/>
      <c r="E35" s="218"/>
      <c r="F35" s="214"/>
      <c r="G35" s="219"/>
      <c r="H35" s="219"/>
      <c r="I35" s="225"/>
      <c r="J35" s="260"/>
      <c r="K35" s="260"/>
      <c r="L35" s="260"/>
      <c r="M35" s="260"/>
      <c r="N35" s="260"/>
      <c r="O35" s="260"/>
      <c r="P35" s="260"/>
      <c r="Q35" s="260"/>
      <c r="R35" s="260"/>
      <c r="S35" s="260"/>
      <c r="T35" s="260"/>
      <c r="U35" s="260"/>
      <c r="V35" s="260"/>
      <c r="W35" s="260"/>
      <c r="X35" s="260"/>
      <c r="Y35" s="260"/>
      <c r="Z35" s="260"/>
      <c r="AA35" s="260"/>
      <c r="AB35" s="260"/>
      <c r="AC35" s="260"/>
    </row>
    <row r="36" ht="12.75" customHeight="1" spans="1:29">
      <c r="A36" s="216"/>
      <c r="B36" s="217" t="s">
        <v>6576</v>
      </c>
      <c r="C36" s="218" t="s">
        <v>6577</v>
      </c>
      <c r="D36" s="218"/>
      <c r="E36" s="218"/>
      <c r="F36" s="214"/>
      <c r="G36" s="219"/>
      <c r="H36" s="219"/>
      <c r="I36" s="225"/>
      <c r="J36" s="260"/>
      <c r="K36" s="260"/>
      <c r="L36" s="260"/>
      <c r="M36" s="260"/>
      <c r="N36" s="260"/>
      <c r="O36" s="260"/>
      <c r="P36" s="260"/>
      <c r="Q36" s="260"/>
      <c r="R36" s="260"/>
      <c r="S36" s="260"/>
      <c r="T36" s="260"/>
      <c r="U36" s="260"/>
      <c r="V36" s="260"/>
      <c r="W36" s="260"/>
      <c r="X36" s="260"/>
      <c r="Y36" s="260"/>
      <c r="Z36" s="260"/>
      <c r="AA36" s="260"/>
      <c r="AB36" s="260"/>
      <c r="AC36" s="260"/>
    </row>
    <row r="37" ht="12.75" customHeight="1" spans="1:29">
      <c r="A37" s="216"/>
      <c r="B37" s="217"/>
      <c r="C37" s="220"/>
      <c r="D37" s="221"/>
      <c r="E37" s="222"/>
      <c r="F37" s="214"/>
      <c r="G37" s="219"/>
      <c r="H37" s="219"/>
      <c r="I37" s="225"/>
      <c r="J37" s="260"/>
      <c r="K37" s="260"/>
      <c r="L37" s="260"/>
      <c r="M37" s="260"/>
      <c r="N37" s="260"/>
      <c r="O37" s="260"/>
      <c r="P37" s="260"/>
      <c r="Q37" s="260"/>
      <c r="R37" s="260"/>
      <c r="S37" s="260"/>
      <c r="T37" s="260"/>
      <c r="U37" s="260"/>
      <c r="V37" s="260"/>
      <c r="W37" s="260"/>
      <c r="X37" s="260"/>
      <c r="Y37" s="260"/>
      <c r="Z37" s="260"/>
      <c r="AA37" s="260"/>
      <c r="AB37" s="260"/>
      <c r="AC37" s="260"/>
    </row>
    <row r="38" ht="12.75" customHeight="1" spans="1:29">
      <c r="A38" s="216"/>
      <c r="B38" s="223"/>
      <c r="C38" s="224" t="s">
        <v>16</v>
      </c>
      <c r="D38" s="221"/>
      <c r="E38" s="222"/>
      <c r="F38" s="214"/>
      <c r="G38" s="219"/>
      <c r="H38" s="219"/>
      <c r="I38" s="225"/>
      <c r="J38" s="260"/>
      <c r="K38" s="260"/>
      <c r="L38" s="260"/>
      <c r="M38" s="260"/>
      <c r="N38" s="260"/>
      <c r="O38" s="260"/>
      <c r="P38" s="260"/>
      <c r="Q38" s="260"/>
      <c r="R38" s="260"/>
      <c r="S38" s="260"/>
      <c r="T38" s="260"/>
      <c r="U38" s="260"/>
      <c r="V38" s="260"/>
      <c r="W38" s="260"/>
      <c r="X38" s="260"/>
      <c r="Y38" s="260"/>
      <c r="Z38" s="260"/>
      <c r="AA38" s="260"/>
      <c r="AB38" s="260"/>
      <c r="AC38" s="260"/>
    </row>
    <row r="39" ht="12.75" customHeight="1" spans="1:29">
      <c r="A39" s="216"/>
      <c r="B39" s="223"/>
      <c r="C39" s="224" t="s">
        <v>6578</v>
      </c>
      <c r="D39" s="214"/>
      <c r="E39" s="225"/>
      <c r="F39" s="214"/>
      <c r="G39" s="219"/>
      <c r="H39" s="219"/>
      <c r="I39" s="225"/>
      <c r="J39" s="260"/>
      <c r="K39" s="260"/>
      <c r="L39" s="260"/>
      <c r="M39" s="260"/>
      <c r="N39" s="260"/>
      <c r="O39" s="260"/>
      <c r="P39" s="260"/>
      <c r="Q39" s="260"/>
      <c r="R39" s="260"/>
      <c r="S39" s="260"/>
      <c r="T39" s="260"/>
      <c r="U39" s="260"/>
      <c r="V39" s="260"/>
      <c r="W39" s="260"/>
      <c r="X39" s="260"/>
      <c r="Y39" s="260"/>
      <c r="Z39" s="260"/>
      <c r="AA39" s="260"/>
      <c r="AB39" s="260"/>
      <c r="AC39" s="260"/>
    </row>
    <row r="40" ht="12.75" customHeight="1" spans="1:29">
      <c r="A40" s="201"/>
      <c r="B40" s="226" t="s">
        <v>6579</v>
      </c>
      <c r="C40" s="226"/>
      <c r="D40" s="226"/>
      <c r="E40" s="226"/>
      <c r="F40" s="202"/>
      <c r="G40" s="202"/>
      <c r="H40" s="202"/>
      <c r="I40" s="255"/>
      <c r="J40" s="254"/>
      <c r="K40" s="254"/>
      <c r="L40" s="254"/>
      <c r="M40" s="254"/>
      <c r="N40" s="254"/>
      <c r="O40" s="254"/>
      <c r="P40" s="254"/>
      <c r="Q40" s="254"/>
      <c r="R40" s="254"/>
      <c r="S40" s="254"/>
      <c r="T40" s="254"/>
      <c r="U40" s="254"/>
      <c r="V40" s="254"/>
      <c r="W40" s="254"/>
      <c r="X40" s="254"/>
      <c r="Y40" s="254"/>
      <c r="Z40" s="254"/>
      <c r="AA40" s="254"/>
      <c r="AB40" s="254"/>
      <c r="AC40" s="254"/>
    </row>
    <row r="41" ht="12.75" customHeight="1" spans="1:29">
      <c r="A41" s="227"/>
      <c r="B41" s="227"/>
      <c r="C41" s="228"/>
      <c r="D41" s="229"/>
      <c r="E41" s="230"/>
      <c r="F41" s="231"/>
      <c r="G41" s="231"/>
      <c r="H41" s="231"/>
      <c r="I41" s="261"/>
      <c r="J41" s="262"/>
      <c r="K41" s="262"/>
      <c r="L41" s="262"/>
      <c r="M41" s="262"/>
      <c r="N41" s="262"/>
      <c r="O41" s="262"/>
      <c r="P41" s="262"/>
      <c r="Q41" s="262"/>
      <c r="R41" s="262"/>
      <c r="S41" s="262"/>
      <c r="T41" s="262"/>
      <c r="U41" s="262"/>
      <c r="V41" s="262"/>
      <c r="W41" s="262"/>
      <c r="X41" s="262"/>
      <c r="Y41" s="262"/>
      <c r="Z41" s="262"/>
      <c r="AA41" s="262"/>
      <c r="AB41" s="262"/>
      <c r="AC41" s="262"/>
    </row>
    <row r="42" ht="12.75" customHeight="1" spans="1:29">
      <c r="A42" s="201"/>
      <c r="B42" s="201"/>
      <c r="C42" s="232" t="s">
        <v>6580</v>
      </c>
      <c r="D42" s="229"/>
      <c r="E42" s="230"/>
      <c r="F42" s="202"/>
      <c r="G42" s="202"/>
      <c r="H42" s="202"/>
      <c r="I42" s="255"/>
      <c r="J42" s="254"/>
      <c r="K42" s="254"/>
      <c r="L42" s="254"/>
      <c r="M42" s="254"/>
      <c r="N42" s="254"/>
      <c r="O42" s="254"/>
      <c r="P42" s="254"/>
      <c r="Q42" s="254"/>
      <c r="R42" s="254"/>
      <c r="S42" s="254"/>
      <c r="T42" s="254"/>
      <c r="U42" s="254"/>
      <c r="V42" s="254"/>
      <c r="W42" s="254"/>
      <c r="X42" s="254"/>
      <c r="Y42" s="254"/>
      <c r="Z42" s="254"/>
      <c r="AA42" s="254"/>
      <c r="AB42" s="254"/>
      <c r="AC42" s="254"/>
    </row>
    <row r="43" ht="12.75" customHeight="1" spans="1:29">
      <c r="A43" s="201"/>
      <c r="B43" s="201"/>
      <c r="C43" s="202"/>
      <c r="D43" s="229"/>
      <c r="E43" s="230"/>
      <c r="F43" s="202"/>
      <c r="G43" s="202"/>
      <c r="H43" s="202"/>
      <c r="I43" s="255"/>
      <c r="J43" s="254"/>
      <c r="K43" s="254"/>
      <c r="L43" s="254"/>
      <c r="M43" s="254"/>
      <c r="N43" s="254"/>
      <c r="O43" s="254"/>
      <c r="P43" s="254"/>
      <c r="Q43" s="254"/>
      <c r="R43" s="254"/>
      <c r="S43" s="254"/>
      <c r="T43" s="254"/>
      <c r="U43" s="254"/>
      <c r="V43" s="254"/>
      <c r="W43" s="254"/>
      <c r="X43" s="254"/>
      <c r="Y43" s="254"/>
      <c r="Z43" s="254"/>
      <c r="AA43" s="254"/>
      <c r="AB43" s="254"/>
      <c r="AC43" s="254"/>
    </row>
    <row r="44" ht="12.75" customHeight="1" spans="1:29">
      <c r="A44" s="201"/>
      <c r="B44" s="226" t="s">
        <v>6581</v>
      </c>
      <c r="C44" s="226"/>
      <c r="D44" s="226"/>
      <c r="E44" s="226"/>
      <c r="F44" s="202"/>
      <c r="G44" s="202"/>
      <c r="H44" s="202"/>
      <c r="I44" s="255"/>
      <c r="J44" s="254"/>
      <c r="K44" s="254"/>
      <c r="L44" s="254"/>
      <c r="M44" s="254"/>
      <c r="N44" s="254"/>
      <c r="O44" s="254"/>
      <c r="P44" s="254"/>
      <c r="Q44" s="254"/>
      <c r="R44" s="254"/>
      <c r="S44" s="254"/>
      <c r="T44" s="254"/>
      <c r="U44" s="254"/>
      <c r="V44" s="254"/>
      <c r="W44" s="254"/>
      <c r="X44" s="254"/>
      <c r="Y44" s="254"/>
      <c r="Z44" s="254"/>
      <c r="AA44" s="254"/>
      <c r="AB44" s="254"/>
      <c r="AC44" s="254"/>
    </row>
    <row r="45" ht="12.75" customHeight="1" spans="1:29">
      <c r="A45" s="227"/>
      <c r="B45" s="227"/>
      <c r="C45" s="231"/>
      <c r="D45" s="233"/>
      <c r="E45" s="234"/>
      <c r="F45" s="231"/>
      <c r="G45" s="231"/>
      <c r="H45" s="231"/>
      <c r="I45" s="261"/>
      <c r="J45" s="262"/>
      <c r="K45" s="262"/>
      <c r="L45" s="262"/>
      <c r="M45" s="262"/>
      <c r="N45" s="262"/>
      <c r="O45" s="262"/>
      <c r="P45" s="262"/>
      <c r="Q45" s="262"/>
      <c r="R45" s="262"/>
      <c r="S45" s="262"/>
      <c r="T45" s="262"/>
      <c r="U45" s="262"/>
      <c r="V45" s="262"/>
      <c r="W45" s="262"/>
      <c r="X45" s="262"/>
      <c r="Y45" s="262"/>
      <c r="Z45" s="262"/>
      <c r="AA45" s="262"/>
      <c r="AB45" s="262"/>
      <c r="AC45" s="262"/>
    </row>
    <row r="46" ht="12.75" customHeight="1" spans="1:29">
      <c r="A46" s="201"/>
      <c r="B46" s="201"/>
      <c r="C46" s="232" t="s">
        <v>6582</v>
      </c>
      <c r="D46" s="233"/>
      <c r="E46" s="234"/>
      <c r="F46" s="202"/>
      <c r="G46" s="202"/>
      <c r="H46" s="202"/>
      <c r="I46" s="255"/>
      <c r="J46" s="254"/>
      <c r="K46" s="254"/>
      <c r="L46" s="254"/>
      <c r="M46" s="254"/>
      <c r="N46" s="254"/>
      <c r="O46" s="254"/>
      <c r="P46" s="254"/>
      <c r="Q46" s="254"/>
      <c r="R46" s="254"/>
      <c r="S46" s="254"/>
      <c r="T46" s="254"/>
      <c r="U46" s="254"/>
      <c r="V46" s="254"/>
      <c r="W46" s="254"/>
      <c r="X46" s="254"/>
      <c r="Y46" s="254"/>
      <c r="Z46" s="254"/>
      <c r="AA46" s="254"/>
      <c r="AB46" s="254"/>
      <c r="AC46" s="254"/>
    </row>
    <row r="47" ht="12.75" customHeight="1" spans="1:29">
      <c r="A47" s="201"/>
      <c r="B47" s="201"/>
      <c r="C47" s="203"/>
      <c r="D47" s="203"/>
      <c r="E47" s="235"/>
      <c r="F47" s="203"/>
      <c r="G47" s="202"/>
      <c r="H47" s="202"/>
      <c r="I47" s="255"/>
      <c r="J47" s="254"/>
      <c r="K47" s="254"/>
      <c r="L47" s="254"/>
      <c r="M47" s="254"/>
      <c r="N47" s="254"/>
      <c r="O47" s="254"/>
      <c r="P47" s="254"/>
      <c r="Q47" s="254"/>
      <c r="R47" s="254"/>
      <c r="S47" s="254"/>
      <c r="T47" s="254"/>
      <c r="U47" s="254"/>
      <c r="V47" s="254"/>
      <c r="W47" s="254"/>
      <c r="X47" s="254"/>
      <c r="Y47" s="254"/>
      <c r="Z47" s="254"/>
      <c r="AA47" s="254"/>
      <c r="AB47" s="254"/>
      <c r="AC47" s="254"/>
    </row>
    <row r="48" ht="12.75" customHeight="1" spans="1:29">
      <c r="A48" s="201"/>
      <c r="B48" s="226" t="s">
        <v>6583</v>
      </c>
      <c r="C48" s="226"/>
      <c r="D48" s="226"/>
      <c r="E48" s="226"/>
      <c r="F48" s="202"/>
      <c r="G48" s="202"/>
      <c r="H48" s="202"/>
      <c r="I48" s="255"/>
      <c r="J48" s="254"/>
      <c r="K48" s="254"/>
      <c r="L48" s="254"/>
      <c r="M48" s="254"/>
      <c r="N48" s="254"/>
      <c r="O48" s="254"/>
      <c r="P48" s="254"/>
      <c r="Q48" s="254"/>
      <c r="R48" s="254"/>
      <c r="S48" s="254"/>
      <c r="T48" s="254"/>
      <c r="U48" s="254"/>
      <c r="V48" s="254"/>
      <c r="W48" s="254"/>
      <c r="X48" s="254"/>
      <c r="Y48" s="254"/>
      <c r="Z48" s="254"/>
      <c r="AA48" s="254"/>
      <c r="AB48" s="254"/>
      <c r="AC48" s="254"/>
    </row>
    <row r="49" ht="12.75" customHeight="1" spans="1:29">
      <c r="A49" s="227"/>
      <c r="B49" s="227"/>
      <c r="C49" s="231"/>
      <c r="D49" s="233"/>
      <c r="E49" s="236"/>
      <c r="F49" s="231"/>
      <c r="G49" s="231"/>
      <c r="H49" s="231"/>
      <c r="I49" s="261"/>
      <c r="J49" s="262"/>
      <c r="K49" s="262"/>
      <c r="L49" s="262"/>
      <c r="M49" s="262"/>
      <c r="N49" s="262"/>
      <c r="O49" s="262"/>
      <c r="P49" s="262"/>
      <c r="Q49" s="262"/>
      <c r="R49" s="262"/>
      <c r="S49" s="262"/>
      <c r="T49" s="262"/>
      <c r="U49" s="262"/>
      <c r="V49" s="262"/>
      <c r="W49" s="262"/>
      <c r="X49" s="262"/>
      <c r="Y49" s="262"/>
      <c r="Z49" s="262"/>
      <c r="AA49" s="262"/>
      <c r="AB49" s="262"/>
      <c r="AC49" s="262"/>
    </row>
    <row r="50" ht="12.75" customHeight="1" spans="1:29">
      <c r="A50" s="237"/>
      <c r="B50" s="238"/>
      <c r="C50" s="239" t="s">
        <v>6584</v>
      </c>
      <c r="D50" s="240">
        <v>1.5</v>
      </c>
      <c r="E50" s="241" t="s">
        <v>3716</v>
      </c>
      <c r="F50" s="242"/>
      <c r="G50" s="242"/>
      <c r="H50" s="242"/>
      <c r="I50" s="263"/>
      <c r="J50" s="264"/>
      <c r="K50" s="264"/>
      <c r="L50" s="264"/>
      <c r="M50" s="264"/>
      <c r="N50" s="264"/>
      <c r="O50" s="264"/>
      <c r="P50" s="264"/>
      <c r="Q50" s="264"/>
      <c r="R50" s="264"/>
      <c r="S50" s="264"/>
      <c r="T50" s="264"/>
      <c r="U50" s="264"/>
      <c r="V50" s="264"/>
      <c r="W50" s="264"/>
      <c r="X50" s="264"/>
      <c r="Y50" s="264"/>
      <c r="Z50" s="264"/>
      <c r="AA50" s="264"/>
      <c r="AB50" s="264"/>
      <c r="AC50" s="264"/>
    </row>
    <row r="51" ht="12.75" customHeight="1" spans="1:29">
      <c r="A51" s="201"/>
      <c r="B51" s="243"/>
      <c r="C51" s="239" t="s">
        <v>6585</v>
      </c>
      <c r="D51" s="240">
        <v>0.89</v>
      </c>
      <c r="E51" s="241" t="s">
        <v>3716</v>
      </c>
      <c r="F51" s="202"/>
      <c r="G51" s="202"/>
      <c r="H51" s="202"/>
      <c r="I51" s="255"/>
      <c r="J51" s="254"/>
      <c r="K51" s="254"/>
      <c r="L51" s="254"/>
      <c r="M51" s="254"/>
      <c r="N51" s="254"/>
      <c r="O51" s="254"/>
      <c r="P51" s="254"/>
      <c r="Q51" s="254"/>
      <c r="R51" s="254"/>
      <c r="S51" s="254"/>
      <c r="T51" s="254"/>
      <c r="U51" s="254"/>
      <c r="V51" s="254"/>
      <c r="W51" s="254"/>
      <c r="X51" s="254"/>
      <c r="Y51" s="254"/>
      <c r="Z51" s="254"/>
      <c r="AA51" s="254"/>
      <c r="AB51" s="254"/>
      <c r="AC51" s="254"/>
    </row>
    <row r="52" ht="12.75" customHeight="1" spans="1:29">
      <c r="A52" s="237"/>
      <c r="B52" s="238"/>
      <c r="C52" s="239" t="s">
        <v>6586</v>
      </c>
      <c r="D52" s="240">
        <v>0.3</v>
      </c>
      <c r="E52" s="241" t="s">
        <v>3716</v>
      </c>
      <c r="F52" s="242"/>
      <c r="G52" s="242"/>
      <c r="H52" s="242"/>
      <c r="I52" s="263"/>
      <c r="J52" s="264"/>
      <c r="K52" s="264"/>
      <c r="L52" s="264"/>
      <c r="M52" s="264"/>
      <c r="N52" s="264"/>
      <c r="O52" s="264"/>
      <c r="P52" s="264"/>
      <c r="Q52" s="264"/>
      <c r="R52" s="264"/>
      <c r="S52" s="264"/>
      <c r="T52" s="264"/>
      <c r="U52" s="264"/>
      <c r="V52" s="264"/>
      <c r="W52" s="264"/>
      <c r="X52" s="264"/>
      <c r="Y52" s="264"/>
      <c r="Z52" s="264"/>
      <c r="AA52" s="264"/>
      <c r="AB52" s="264"/>
      <c r="AC52" s="264"/>
    </row>
    <row r="53" ht="12.75" customHeight="1" spans="1:29">
      <c r="A53" s="201"/>
      <c r="B53" s="243"/>
      <c r="C53" s="239" t="s">
        <v>6587</v>
      </c>
      <c r="D53" s="240">
        <v>0.85</v>
      </c>
      <c r="E53" s="241" t="s">
        <v>3716</v>
      </c>
      <c r="F53" s="202"/>
      <c r="G53" s="202"/>
      <c r="H53" s="202"/>
      <c r="I53" s="255"/>
      <c r="J53" s="254"/>
      <c r="K53" s="254"/>
      <c r="L53" s="254"/>
      <c r="M53" s="254"/>
      <c r="N53" s="254"/>
      <c r="O53" s="254"/>
      <c r="P53" s="254"/>
      <c r="Q53" s="254"/>
      <c r="R53" s="254"/>
      <c r="S53" s="254"/>
      <c r="T53" s="254"/>
      <c r="U53" s="254"/>
      <c r="V53" s="254"/>
      <c r="W53" s="254"/>
      <c r="X53" s="254"/>
      <c r="Y53" s="254"/>
      <c r="Z53" s="254"/>
      <c r="AA53" s="254"/>
      <c r="AB53" s="254"/>
      <c r="AC53" s="254"/>
    </row>
    <row r="54" ht="12.75" customHeight="1" spans="1:29">
      <c r="A54" s="201"/>
      <c r="B54" s="201"/>
      <c r="C54" s="244"/>
      <c r="D54" s="245"/>
      <c r="E54" s="241"/>
      <c r="F54" s="202"/>
      <c r="G54" s="202"/>
      <c r="H54" s="202"/>
      <c r="I54" s="255"/>
      <c r="J54" s="254"/>
      <c r="K54" s="254"/>
      <c r="L54" s="254"/>
      <c r="M54" s="254"/>
      <c r="N54" s="254"/>
      <c r="O54" s="254"/>
      <c r="P54" s="254"/>
      <c r="Q54" s="254"/>
      <c r="R54" s="254"/>
      <c r="S54" s="254"/>
      <c r="T54" s="254"/>
      <c r="U54" s="254"/>
      <c r="V54" s="254"/>
      <c r="W54" s="254"/>
      <c r="X54" s="254"/>
      <c r="Y54" s="254"/>
      <c r="Z54" s="254"/>
      <c r="AA54" s="254"/>
      <c r="AB54" s="254"/>
      <c r="AC54" s="254"/>
    </row>
    <row r="55" ht="12.75" customHeight="1" spans="1:29">
      <c r="A55" s="201"/>
      <c r="B55" s="243"/>
      <c r="C55" s="239" t="s">
        <v>6588</v>
      </c>
      <c r="D55" s="240">
        <v>4</v>
      </c>
      <c r="E55" s="241" t="s">
        <v>3716</v>
      </c>
      <c r="F55" s="202"/>
      <c r="G55" s="202"/>
      <c r="H55" s="202"/>
      <c r="I55" s="255"/>
      <c r="J55" s="254"/>
      <c r="K55" s="254"/>
      <c r="L55" s="254"/>
      <c r="M55" s="254"/>
      <c r="N55" s="254"/>
      <c r="O55" s="254"/>
      <c r="P55" s="254"/>
      <c r="Q55" s="254"/>
      <c r="R55" s="254"/>
      <c r="S55" s="254"/>
      <c r="T55" s="254"/>
      <c r="U55" s="254"/>
      <c r="V55" s="254"/>
      <c r="W55" s="254"/>
      <c r="X55" s="254"/>
      <c r="Y55" s="254"/>
      <c r="Z55" s="254"/>
      <c r="AA55" s="254"/>
      <c r="AB55" s="254"/>
      <c r="AC55" s="254"/>
    </row>
    <row r="56" ht="12.75" customHeight="1" spans="1:29">
      <c r="A56" s="201"/>
      <c r="B56" s="201"/>
      <c r="C56" s="202"/>
      <c r="D56" s="203"/>
      <c r="E56" s="235"/>
      <c r="F56" s="202"/>
      <c r="G56" s="202"/>
      <c r="H56" s="202"/>
      <c r="I56" s="255"/>
      <c r="J56" s="254"/>
      <c r="K56" s="254"/>
      <c r="L56" s="254"/>
      <c r="M56" s="254"/>
      <c r="N56" s="254"/>
      <c r="O56" s="254"/>
      <c r="P56" s="254"/>
      <c r="Q56" s="254"/>
      <c r="R56" s="254"/>
      <c r="S56" s="254"/>
      <c r="T56" s="254"/>
      <c r="U56" s="254"/>
      <c r="V56" s="254"/>
      <c r="W56" s="254"/>
      <c r="X56" s="254"/>
      <c r="Y56" s="254"/>
      <c r="Z56" s="254"/>
      <c r="AA56" s="254"/>
      <c r="AB56" s="254"/>
      <c r="AC56" s="254"/>
    </row>
    <row r="57" ht="12.75" customHeight="1" spans="1:29">
      <c r="A57" s="201"/>
      <c r="B57" s="226" t="s">
        <v>6589</v>
      </c>
      <c r="C57" s="226"/>
      <c r="D57" s="226"/>
      <c r="E57" s="226"/>
      <c r="F57" s="202"/>
      <c r="G57" s="202"/>
      <c r="H57" s="202"/>
      <c r="I57" s="255"/>
      <c r="J57" s="254"/>
      <c r="K57" s="254"/>
      <c r="L57" s="254"/>
      <c r="M57" s="254"/>
      <c r="N57" s="254"/>
      <c r="O57" s="254"/>
      <c r="P57" s="254"/>
      <c r="Q57" s="254"/>
      <c r="R57" s="254"/>
      <c r="S57" s="254"/>
      <c r="T57" s="254"/>
      <c r="U57" s="254"/>
      <c r="V57" s="254"/>
      <c r="W57" s="254"/>
      <c r="X57" s="254"/>
      <c r="Y57" s="254"/>
      <c r="Z57" s="254"/>
      <c r="AA57" s="254"/>
      <c r="AB57" s="254"/>
      <c r="AC57" s="254"/>
    </row>
    <row r="58" ht="12.75" customHeight="1" spans="1:29">
      <c r="A58" s="227"/>
      <c r="B58" s="227"/>
      <c r="C58" s="231"/>
      <c r="D58" s="233"/>
      <c r="E58" s="236"/>
      <c r="F58" s="231"/>
      <c r="G58" s="231"/>
      <c r="H58" s="231"/>
      <c r="I58" s="261"/>
      <c r="J58" s="262"/>
      <c r="K58" s="262"/>
      <c r="L58" s="262"/>
      <c r="M58" s="262"/>
      <c r="N58" s="262"/>
      <c r="O58" s="262"/>
      <c r="P58" s="262"/>
      <c r="Q58" s="262"/>
      <c r="R58" s="262"/>
      <c r="S58" s="262"/>
      <c r="T58" s="262"/>
      <c r="U58" s="262"/>
      <c r="V58" s="262"/>
      <c r="W58" s="262"/>
      <c r="X58" s="262"/>
      <c r="Y58" s="262"/>
      <c r="Z58" s="262"/>
      <c r="AA58" s="262"/>
      <c r="AB58" s="262"/>
      <c r="AC58" s="262"/>
    </row>
    <row r="59" ht="12.75" customHeight="1" spans="1:29">
      <c r="A59" s="237"/>
      <c r="B59" s="238"/>
      <c r="C59" s="246" t="s">
        <v>6590</v>
      </c>
      <c r="D59" s="247">
        <f>D60+D61+D62+D63</f>
        <v>7.25</v>
      </c>
      <c r="E59" s="248" t="s">
        <v>3716</v>
      </c>
      <c r="F59" s="242"/>
      <c r="G59" s="242"/>
      <c r="H59" s="242"/>
      <c r="I59" s="263"/>
      <c r="J59" s="264"/>
      <c r="K59" s="264"/>
      <c r="L59" s="264"/>
      <c r="M59" s="264"/>
      <c r="N59" s="264"/>
      <c r="O59" s="264"/>
      <c r="P59" s="264"/>
      <c r="Q59" s="264"/>
      <c r="R59" s="264"/>
      <c r="S59" s="264"/>
      <c r="T59" s="264"/>
      <c r="U59" s="264"/>
      <c r="V59" s="264"/>
      <c r="W59" s="264"/>
      <c r="X59" s="264"/>
      <c r="Y59" s="264"/>
      <c r="Z59" s="264"/>
      <c r="AA59" s="264"/>
      <c r="AB59" s="264"/>
      <c r="AC59" s="264"/>
    </row>
    <row r="60" ht="12.75" customHeight="1" spans="1:29">
      <c r="A60" s="201"/>
      <c r="B60" s="201"/>
      <c r="C60" s="249" t="s">
        <v>6591</v>
      </c>
      <c r="D60" s="240">
        <v>0</v>
      </c>
      <c r="E60" s="241" t="s">
        <v>3716</v>
      </c>
      <c r="F60" s="202"/>
      <c r="G60" s="202"/>
      <c r="H60" s="202"/>
      <c r="I60" s="255"/>
      <c r="J60" s="254"/>
      <c r="K60" s="254"/>
      <c r="L60" s="254"/>
      <c r="M60" s="254"/>
      <c r="N60" s="254"/>
      <c r="O60" s="254"/>
      <c r="P60" s="254"/>
      <c r="Q60" s="254"/>
      <c r="R60" s="254"/>
      <c r="S60" s="254"/>
      <c r="T60" s="254"/>
      <c r="U60" s="254"/>
      <c r="V60" s="254"/>
      <c r="W60" s="254"/>
      <c r="X60" s="254"/>
      <c r="Y60" s="254"/>
      <c r="Z60" s="254"/>
      <c r="AA60" s="254"/>
      <c r="AB60" s="254"/>
      <c r="AC60" s="254"/>
    </row>
    <row r="61" ht="12.75" customHeight="1" spans="1:29">
      <c r="A61" s="201"/>
      <c r="B61" s="201"/>
      <c r="C61" s="249" t="s">
        <v>6592</v>
      </c>
      <c r="D61" s="250">
        <v>3</v>
      </c>
      <c r="E61" s="251" t="s">
        <v>3716</v>
      </c>
      <c r="F61" s="202"/>
      <c r="G61" s="202"/>
      <c r="H61" s="202"/>
      <c r="I61" s="255"/>
      <c r="J61" s="254"/>
      <c r="K61" s="254"/>
      <c r="L61" s="254"/>
      <c r="M61" s="254"/>
      <c r="N61" s="254"/>
      <c r="O61" s="254"/>
      <c r="P61" s="254"/>
      <c r="Q61" s="254"/>
      <c r="R61" s="254"/>
      <c r="S61" s="254"/>
      <c r="T61" s="254"/>
      <c r="U61" s="254"/>
      <c r="V61" s="254"/>
      <c r="W61" s="254"/>
      <c r="X61" s="254"/>
      <c r="Y61" s="254"/>
      <c r="Z61" s="254"/>
      <c r="AA61" s="254"/>
      <c r="AB61" s="254"/>
      <c r="AC61" s="254"/>
    </row>
    <row r="62" ht="12.75" customHeight="1" spans="1:29">
      <c r="A62" s="201"/>
      <c r="B62" s="201"/>
      <c r="C62" s="249" t="s">
        <v>6593</v>
      </c>
      <c r="D62" s="250">
        <v>0.65</v>
      </c>
      <c r="E62" s="251" t="s">
        <v>3716</v>
      </c>
      <c r="F62" s="202"/>
      <c r="G62" s="202"/>
      <c r="H62" s="202"/>
      <c r="I62" s="255"/>
      <c r="J62" s="254"/>
      <c r="K62" s="254"/>
      <c r="L62" s="254"/>
      <c r="M62" s="254"/>
      <c r="N62" s="254"/>
      <c r="O62" s="254"/>
      <c r="P62" s="254"/>
      <c r="Q62" s="254"/>
      <c r="R62" s="254"/>
      <c r="S62" s="254"/>
      <c r="T62" s="254"/>
      <c r="U62" s="254"/>
      <c r="V62" s="254"/>
      <c r="W62" s="254"/>
      <c r="X62" s="254"/>
      <c r="Y62" s="254"/>
      <c r="Z62" s="254"/>
      <c r="AA62" s="254"/>
      <c r="AB62" s="254"/>
      <c r="AC62" s="254"/>
    </row>
    <row r="63" ht="12.75" customHeight="1" spans="1:29">
      <c r="A63" s="201"/>
      <c r="B63" s="201"/>
      <c r="C63" s="249" t="s">
        <v>6594</v>
      </c>
      <c r="D63" s="250">
        <v>3.6</v>
      </c>
      <c r="E63" s="241" t="s">
        <v>3716</v>
      </c>
      <c r="F63" s="202"/>
      <c r="G63" s="202"/>
      <c r="H63" s="202"/>
      <c r="I63" s="255"/>
      <c r="J63" s="254"/>
      <c r="K63" s="254"/>
      <c r="L63" s="254"/>
      <c r="M63" s="254"/>
      <c r="N63" s="254"/>
      <c r="O63" s="254"/>
      <c r="P63" s="254"/>
      <c r="Q63" s="254"/>
      <c r="R63" s="254"/>
      <c r="S63" s="254"/>
      <c r="T63" s="254"/>
      <c r="U63" s="254"/>
      <c r="V63" s="254"/>
      <c r="W63" s="254"/>
      <c r="X63" s="254"/>
      <c r="Y63" s="254"/>
      <c r="Z63" s="254"/>
      <c r="AA63" s="254"/>
      <c r="AB63" s="254"/>
      <c r="AC63" s="254"/>
    </row>
    <row r="64" ht="12.75" customHeight="1" spans="1:29">
      <c r="A64" s="201"/>
      <c r="B64" s="201"/>
      <c r="C64" s="202"/>
      <c r="D64" s="203"/>
      <c r="E64" s="235"/>
      <c r="F64" s="202"/>
      <c r="G64" s="202"/>
      <c r="H64" s="202"/>
      <c r="I64" s="255"/>
      <c r="J64" s="254"/>
      <c r="K64" s="254"/>
      <c r="L64" s="254"/>
      <c r="M64" s="254"/>
      <c r="N64" s="254"/>
      <c r="O64" s="254"/>
      <c r="P64" s="254"/>
      <c r="Q64" s="254"/>
      <c r="R64" s="254"/>
      <c r="S64" s="254"/>
      <c r="T64" s="254"/>
      <c r="U64" s="254"/>
      <c r="V64" s="254"/>
      <c r="W64" s="254"/>
      <c r="X64" s="254"/>
      <c r="Y64" s="254"/>
      <c r="Z64" s="254"/>
      <c r="AA64" s="254"/>
      <c r="AB64" s="254"/>
      <c r="AC64" s="254"/>
    </row>
    <row r="65" ht="12.75" customHeight="1" spans="1:29">
      <c r="A65" s="201"/>
      <c r="B65" s="226" t="s">
        <v>6595</v>
      </c>
      <c r="C65" s="226"/>
      <c r="D65" s="226"/>
      <c r="E65" s="226"/>
      <c r="F65" s="202"/>
      <c r="G65" s="202"/>
      <c r="H65" s="202"/>
      <c r="I65" s="255"/>
      <c r="J65" s="254"/>
      <c r="K65" s="254"/>
      <c r="L65" s="254"/>
      <c r="M65" s="254"/>
      <c r="N65" s="254"/>
      <c r="O65" s="254"/>
      <c r="P65" s="254"/>
      <c r="Q65" s="254"/>
      <c r="R65" s="254"/>
      <c r="S65" s="254"/>
      <c r="T65" s="254"/>
      <c r="U65" s="254"/>
      <c r="V65" s="254"/>
      <c r="W65" s="254"/>
      <c r="X65" s="254"/>
      <c r="Y65" s="254"/>
      <c r="Z65" s="254"/>
      <c r="AA65" s="254"/>
      <c r="AB65" s="254"/>
      <c r="AC65" s="254"/>
    </row>
    <row r="66" ht="12.75" customHeight="1" spans="1:29">
      <c r="A66" s="227"/>
      <c r="B66" s="227"/>
      <c r="C66" s="231"/>
      <c r="D66" s="233"/>
      <c r="E66" s="234"/>
      <c r="F66" s="231"/>
      <c r="G66" s="231"/>
      <c r="H66" s="231"/>
      <c r="I66" s="261"/>
      <c r="J66" s="262"/>
      <c r="K66" s="262"/>
      <c r="L66" s="262"/>
      <c r="M66" s="262"/>
      <c r="N66" s="262"/>
      <c r="O66" s="262"/>
      <c r="P66" s="262"/>
      <c r="Q66" s="262"/>
      <c r="R66" s="262"/>
      <c r="S66" s="262"/>
      <c r="T66" s="262"/>
      <c r="U66" s="262"/>
      <c r="V66" s="262"/>
      <c r="W66" s="262"/>
      <c r="X66" s="262"/>
      <c r="Y66" s="262"/>
      <c r="Z66" s="262"/>
      <c r="AA66" s="262"/>
      <c r="AB66" s="262"/>
      <c r="AC66" s="262"/>
    </row>
    <row r="67" ht="30" customHeight="1" spans="1:29">
      <c r="A67" s="201"/>
      <c r="B67" s="201"/>
      <c r="C67" s="203" t="s">
        <v>6596</v>
      </c>
      <c r="D67" s="265">
        <f>ROUND((((1+($D$50/100)+($D$52/100)+($D$51/100))*(1+($D$53/100))*(1+($D$55/100)))/(1-$D$59/100)-1),4)</f>
        <v>0.1612</v>
      </c>
      <c r="E67" s="266"/>
      <c r="F67" s="202"/>
      <c r="G67" s="202"/>
      <c r="H67" s="202"/>
      <c r="I67" s="255"/>
      <c r="J67" s="254"/>
      <c r="K67" s="254"/>
      <c r="L67" s="254"/>
      <c r="M67" s="254"/>
      <c r="N67" s="254"/>
      <c r="O67" s="254"/>
      <c r="P67" s="254"/>
      <c r="Q67" s="254"/>
      <c r="R67" s="254"/>
      <c r="S67" s="254"/>
      <c r="T67" s="254"/>
      <c r="U67" s="254"/>
      <c r="V67" s="254"/>
      <c r="W67" s="254"/>
      <c r="X67" s="254"/>
      <c r="Y67" s="254"/>
      <c r="Z67" s="254"/>
      <c r="AA67" s="254"/>
      <c r="AB67" s="254"/>
      <c r="AC67" s="254"/>
    </row>
    <row r="68" ht="12.75" customHeight="1" spans="1:29">
      <c r="A68" s="201"/>
      <c r="B68" s="201"/>
      <c r="C68" s="203" t="s">
        <v>6597</v>
      </c>
      <c r="D68" s="267"/>
      <c r="E68" s="268"/>
      <c r="F68" s="202"/>
      <c r="G68" s="202"/>
      <c r="H68" s="202"/>
      <c r="I68" s="255"/>
      <c r="J68" s="254"/>
      <c r="K68" s="254"/>
      <c r="L68" s="254"/>
      <c r="M68" s="254"/>
      <c r="N68" s="254"/>
      <c r="O68" s="254"/>
      <c r="P68" s="254"/>
      <c r="Q68" s="254"/>
      <c r="R68" s="254"/>
      <c r="S68" s="254"/>
      <c r="T68" s="254"/>
      <c r="U68" s="254"/>
      <c r="V68" s="254"/>
      <c r="W68" s="254"/>
      <c r="X68" s="254"/>
      <c r="Y68" s="254"/>
      <c r="Z68" s="254"/>
      <c r="AA68" s="254"/>
      <c r="AB68" s="254"/>
      <c r="AC68" s="254"/>
    </row>
    <row r="69" ht="12.75" customHeight="1" spans="1:29">
      <c r="A69" s="201"/>
      <c r="B69" s="201"/>
      <c r="C69" s="202"/>
      <c r="D69" s="269"/>
      <c r="E69" s="255"/>
      <c r="F69" s="202"/>
      <c r="G69" s="202"/>
      <c r="H69" s="202"/>
      <c r="I69" s="255"/>
      <c r="J69" s="254"/>
      <c r="K69" s="254"/>
      <c r="L69" s="254"/>
      <c r="M69" s="254"/>
      <c r="N69" s="254"/>
      <c r="O69" s="254"/>
      <c r="P69" s="254"/>
      <c r="Q69" s="254"/>
      <c r="R69" s="254"/>
      <c r="S69" s="254"/>
      <c r="T69" s="254"/>
      <c r="U69" s="254"/>
      <c r="V69" s="254"/>
      <c r="W69" s="254"/>
      <c r="X69" s="254"/>
      <c r="Y69" s="254"/>
      <c r="Z69" s="254"/>
      <c r="AA69" s="254"/>
      <c r="AB69" s="254"/>
      <c r="AC69" s="254"/>
    </row>
    <row r="70" ht="12.75" customHeight="1" spans="1:29">
      <c r="A70" s="201"/>
      <c r="B70" s="270"/>
      <c r="C70" s="202"/>
      <c r="D70" s="203"/>
      <c r="E70" s="255"/>
      <c r="F70" s="202"/>
      <c r="G70" s="202"/>
      <c r="H70" s="202"/>
      <c r="I70" s="255"/>
      <c r="J70" s="254"/>
      <c r="K70" s="254"/>
      <c r="L70" s="254"/>
      <c r="M70" s="254"/>
      <c r="N70" s="254"/>
      <c r="O70" s="254"/>
      <c r="P70" s="254"/>
      <c r="Q70" s="254"/>
      <c r="R70" s="254"/>
      <c r="S70" s="254"/>
      <c r="T70" s="254"/>
      <c r="U70" s="254"/>
      <c r="V70" s="254"/>
      <c r="W70" s="254"/>
      <c r="X70" s="254"/>
      <c r="Y70" s="254"/>
      <c r="Z70" s="254"/>
      <c r="AA70" s="254"/>
      <c r="AB70" s="254"/>
      <c r="AC70" s="254"/>
    </row>
    <row r="71" ht="12.75" customHeight="1" spans="1:29">
      <c r="A71" s="201"/>
      <c r="B71" s="271"/>
      <c r="C71" s="202"/>
      <c r="D71" s="203"/>
      <c r="E71" s="255"/>
      <c r="F71" s="202"/>
      <c r="G71" s="202"/>
      <c r="H71" s="202"/>
      <c r="I71" s="255"/>
      <c r="J71" s="254"/>
      <c r="K71" s="254"/>
      <c r="L71" s="254"/>
      <c r="M71" s="254"/>
      <c r="N71" s="254"/>
      <c r="O71" s="254"/>
      <c r="P71" s="254"/>
      <c r="Q71" s="254"/>
      <c r="R71" s="254"/>
      <c r="S71" s="254"/>
      <c r="T71" s="254"/>
      <c r="U71" s="254"/>
      <c r="V71" s="254"/>
      <c r="W71" s="254"/>
      <c r="X71" s="254"/>
      <c r="Y71" s="254"/>
      <c r="Z71" s="254"/>
      <c r="AA71" s="254"/>
      <c r="AB71" s="254"/>
      <c r="AC71" s="254"/>
    </row>
    <row r="72" ht="12.75" customHeight="1" spans="1:29">
      <c r="A72" s="201"/>
      <c r="B72" s="201"/>
      <c r="C72" s="203"/>
      <c r="D72" s="203"/>
      <c r="E72" s="255"/>
      <c r="F72" s="202"/>
      <c r="G72" s="202"/>
      <c r="H72" s="202"/>
      <c r="I72" s="255"/>
      <c r="J72" s="254"/>
      <c r="K72" s="254"/>
      <c r="L72" s="254"/>
      <c r="M72" s="254"/>
      <c r="N72" s="254"/>
      <c r="O72" s="254"/>
      <c r="P72" s="254"/>
      <c r="Q72" s="254"/>
      <c r="R72" s="254"/>
      <c r="S72" s="254"/>
      <c r="T72" s="254"/>
      <c r="U72" s="254"/>
      <c r="V72" s="254"/>
      <c r="W72" s="254"/>
      <c r="X72" s="254"/>
      <c r="Y72" s="254"/>
      <c r="Z72" s="254"/>
      <c r="AA72" s="254"/>
      <c r="AB72" s="254"/>
      <c r="AC72" s="254"/>
    </row>
    <row r="73" ht="12.75" customHeight="1" spans="1:29">
      <c r="A73" s="201"/>
      <c r="B73" s="272"/>
      <c r="C73" s="273"/>
      <c r="D73" s="274"/>
      <c r="E73" s="275"/>
      <c r="F73" s="202"/>
      <c r="G73" s="202"/>
      <c r="H73" s="202"/>
      <c r="I73" s="255"/>
      <c r="J73" s="254"/>
      <c r="K73" s="254"/>
      <c r="L73" s="254"/>
      <c r="M73" s="254"/>
      <c r="N73" s="254"/>
      <c r="O73" s="254"/>
      <c r="P73" s="254"/>
      <c r="Q73" s="254"/>
      <c r="R73" s="254"/>
      <c r="S73" s="254"/>
      <c r="T73" s="254"/>
      <c r="U73" s="254"/>
      <c r="V73" s="254"/>
      <c r="W73" s="254"/>
      <c r="X73" s="254"/>
      <c r="Y73" s="254"/>
      <c r="Z73" s="254"/>
      <c r="AA73" s="254"/>
      <c r="AB73" s="254"/>
      <c r="AC73" s="254"/>
    </row>
    <row r="74" ht="12.75" customHeight="1" spans="1:29">
      <c r="A74" s="201"/>
      <c r="B74" s="202"/>
      <c r="C74" s="202"/>
      <c r="D74" s="203"/>
      <c r="E74" s="202"/>
      <c r="F74" s="202"/>
      <c r="G74" s="202"/>
      <c r="H74" s="202"/>
      <c r="I74" s="255"/>
      <c r="J74" s="254"/>
      <c r="K74" s="254"/>
      <c r="L74" s="254"/>
      <c r="M74" s="254"/>
      <c r="N74" s="254"/>
      <c r="O74" s="254"/>
      <c r="P74" s="254"/>
      <c r="Q74" s="254"/>
      <c r="R74" s="254"/>
      <c r="S74" s="254"/>
      <c r="T74" s="254"/>
      <c r="U74" s="254"/>
      <c r="V74" s="254"/>
      <c r="W74" s="254"/>
      <c r="X74" s="254"/>
      <c r="Y74" s="254"/>
      <c r="Z74" s="254"/>
      <c r="AA74" s="254"/>
      <c r="AB74" s="254"/>
      <c r="AC74" s="254"/>
    </row>
    <row r="75" ht="12.75" customHeight="1" spans="1:29">
      <c r="A75" s="201"/>
      <c r="B75" s="202"/>
      <c r="C75" s="202"/>
      <c r="D75" s="203"/>
      <c r="E75" s="202"/>
      <c r="F75" s="202"/>
      <c r="G75" s="202"/>
      <c r="H75" s="202"/>
      <c r="I75" s="255"/>
      <c r="J75" s="254"/>
      <c r="K75" s="254"/>
      <c r="L75" s="254"/>
      <c r="M75" s="254"/>
      <c r="N75" s="254"/>
      <c r="O75" s="254"/>
      <c r="P75" s="254"/>
      <c r="Q75" s="254"/>
      <c r="R75" s="254"/>
      <c r="S75" s="254"/>
      <c r="T75" s="254"/>
      <c r="U75" s="254"/>
      <c r="V75" s="254"/>
      <c r="W75" s="254"/>
      <c r="X75" s="254"/>
      <c r="Y75" s="254"/>
      <c r="Z75" s="254"/>
      <c r="AA75" s="254"/>
      <c r="AB75" s="254"/>
      <c r="AC75" s="254"/>
    </row>
    <row r="76" ht="12.75" customHeight="1" spans="1:29">
      <c r="A76" s="201"/>
      <c r="B76" s="202"/>
      <c r="C76" s="202"/>
      <c r="D76" s="203"/>
      <c r="E76" s="202"/>
      <c r="F76" s="202"/>
      <c r="G76" s="202"/>
      <c r="H76" s="202"/>
      <c r="I76" s="255"/>
      <c r="J76" s="254"/>
      <c r="K76" s="254"/>
      <c r="L76" s="254"/>
      <c r="M76" s="254"/>
      <c r="N76" s="254"/>
      <c r="O76" s="254"/>
      <c r="P76" s="254"/>
      <c r="Q76" s="254"/>
      <c r="R76" s="254"/>
      <c r="S76" s="254"/>
      <c r="T76" s="254"/>
      <c r="U76" s="254"/>
      <c r="V76" s="254"/>
      <c r="W76" s="254"/>
      <c r="X76" s="254"/>
      <c r="Y76" s="254"/>
      <c r="Z76" s="254"/>
      <c r="AA76" s="254"/>
      <c r="AB76" s="254"/>
      <c r="AC76" s="254"/>
    </row>
    <row r="77" ht="12.75" customHeight="1" spans="1:29">
      <c r="A77" s="272"/>
      <c r="B77" s="273"/>
      <c r="C77" s="273"/>
      <c r="D77" s="274"/>
      <c r="E77" s="273"/>
      <c r="F77" s="273"/>
      <c r="G77" s="273"/>
      <c r="H77" s="273"/>
      <c r="I77" s="275"/>
      <c r="J77" s="254"/>
      <c r="K77" s="254"/>
      <c r="L77" s="254"/>
      <c r="M77" s="254"/>
      <c r="N77" s="254"/>
      <c r="O77" s="254"/>
      <c r="P77" s="254"/>
      <c r="Q77" s="254"/>
      <c r="R77" s="254"/>
      <c r="S77" s="254"/>
      <c r="T77" s="254"/>
      <c r="U77" s="254"/>
      <c r="V77" s="254"/>
      <c r="W77" s="254"/>
      <c r="X77" s="254"/>
      <c r="Y77" s="254"/>
      <c r="Z77" s="254"/>
      <c r="AA77" s="254"/>
      <c r="AB77" s="254"/>
      <c r="AC77" s="254"/>
    </row>
    <row r="78" ht="12.75" customHeight="1" spans="1:29">
      <c r="A78" s="254"/>
      <c r="B78" s="254"/>
      <c r="C78" s="254"/>
      <c r="D78" s="276"/>
      <c r="E78" s="254"/>
      <c r="F78" s="254"/>
      <c r="G78" s="254"/>
      <c r="H78" s="254"/>
      <c r="I78" s="254"/>
      <c r="J78" s="254"/>
      <c r="K78" s="254"/>
      <c r="L78" s="254"/>
      <c r="M78" s="254"/>
      <c r="N78" s="254"/>
      <c r="O78" s="254"/>
      <c r="P78" s="254"/>
      <c r="Q78" s="254"/>
      <c r="R78" s="254"/>
      <c r="S78" s="254"/>
      <c r="T78" s="254"/>
      <c r="U78" s="254"/>
      <c r="V78" s="254"/>
      <c r="W78" s="254"/>
      <c r="X78" s="254"/>
      <c r="Y78" s="254"/>
      <c r="Z78" s="254"/>
      <c r="AA78" s="254"/>
      <c r="AB78" s="254"/>
      <c r="AC78" s="254"/>
    </row>
    <row r="79" ht="12.75" customHeight="1" spans="1:29">
      <c r="A79" s="254"/>
      <c r="B79" s="254"/>
      <c r="C79" s="254"/>
      <c r="D79" s="276"/>
      <c r="E79" s="254"/>
      <c r="F79" s="254"/>
      <c r="G79" s="254"/>
      <c r="H79" s="254"/>
      <c r="I79" s="254"/>
      <c r="J79" s="254"/>
      <c r="K79" s="254"/>
      <c r="L79" s="254"/>
      <c r="M79" s="254"/>
      <c r="N79" s="254"/>
      <c r="O79" s="254"/>
      <c r="P79" s="254"/>
      <c r="Q79" s="254"/>
      <c r="R79" s="254"/>
      <c r="S79" s="254"/>
      <c r="T79" s="254"/>
      <c r="U79" s="254"/>
      <c r="V79" s="254"/>
      <c r="W79" s="254"/>
      <c r="X79" s="254"/>
      <c r="Y79" s="254"/>
      <c r="Z79" s="254"/>
      <c r="AA79" s="254"/>
      <c r="AB79" s="254"/>
      <c r="AC79" s="254"/>
    </row>
    <row r="80" ht="12.75" customHeight="1" spans="1:29">
      <c r="A80" s="254"/>
      <c r="B80" s="254"/>
      <c r="C80" s="254"/>
      <c r="D80" s="276"/>
      <c r="E80" s="254"/>
      <c r="F80" s="254"/>
      <c r="G80" s="254"/>
      <c r="H80" s="254"/>
      <c r="I80" s="254"/>
      <c r="J80" s="254"/>
      <c r="K80" s="254"/>
      <c r="L80" s="254"/>
      <c r="M80" s="254"/>
      <c r="N80" s="254"/>
      <c r="O80" s="254"/>
      <c r="P80" s="254"/>
      <c r="Q80" s="254"/>
      <c r="R80" s="254"/>
      <c r="S80" s="254"/>
      <c r="T80" s="254"/>
      <c r="U80" s="254"/>
      <c r="V80" s="254"/>
      <c r="W80" s="254"/>
      <c r="X80" s="254"/>
      <c r="Y80" s="254"/>
      <c r="Z80" s="254"/>
      <c r="AA80" s="254"/>
      <c r="AB80" s="254"/>
      <c r="AC80" s="254"/>
    </row>
    <row r="81" ht="12.75" customHeight="1" spans="1:29">
      <c r="A81" s="254"/>
      <c r="B81" s="254"/>
      <c r="C81" s="254"/>
      <c r="D81" s="276"/>
      <c r="E81" s="254"/>
      <c r="F81" s="254"/>
      <c r="G81" s="254"/>
      <c r="H81" s="254"/>
      <c r="I81" s="254"/>
      <c r="J81" s="254"/>
      <c r="K81" s="254"/>
      <c r="L81" s="254"/>
      <c r="M81" s="254"/>
      <c r="N81" s="254"/>
      <c r="O81" s="254"/>
      <c r="P81" s="254"/>
      <c r="Q81" s="254"/>
      <c r="R81" s="254"/>
      <c r="S81" s="254"/>
      <c r="T81" s="254"/>
      <c r="U81" s="254"/>
      <c r="V81" s="254"/>
      <c r="W81" s="254"/>
      <c r="X81" s="254"/>
      <c r="Y81" s="254"/>
      <c r="Z81" s="254"/>
      <c r="AA81" s="254"/>
      <c r="AB81" s="254"/>
      <c r="AC81" s="254"/>
    </row>
    <row r="82" ht="12.75" customHeight="1" spans="1:29">
      <c r="A82" s="254"/>
      <c r="B82" s="254"/>
      <c r="C82" s="254"/>
      <c r="D82" s="276"/>
      <c r="E82" s="254"/>
      <c r="F82" s="254"/>
      <c r="G82" s="254"/>
      <c r="H82" s="254"/>
      <c r="I82" s="254"/>
      <c r="J82" s="254"/>
      <c r="K82" s="254"/>
      <c r="L82" s="254"/>
      <c r="M82" s="254"/>
      <c r="N82" s="254"/>
      <c r="O82" s="254"/>
      <c r="P82" s="254"/>
      <c r="Q82" s="254"/>
      <c r="R82" s="254"/>
      <c r="S82" s="254"/>
      <c r="T82" s="254"/>
      <c r="U82" s="254"/>
      <c r="V82" s="254"/>
      <c r="W82" s="254"/>
      <c r="X82" s="254"/>
      <c r="Y82" s="254"/>
      <c r="Z82" s="254"/>
      <c r="AA82" s="254"/>
      <c r="AB82" s="254"/>
      <c r="AC82" s="254"/>
    </row>
    <row r="83" ht="12.75" customHeight="1" spans="1:29">
      <c r="A83" s="254"/>
      <c r="B83" s="254"/>
      <c r="C83" s="254"/>
      <c r="D83" s="276"/>
      <c r="E83" s="254"/>
      <c r="F83" s="254"/>
      <c r="G83" s="254"/>
      <c r="H83" s="254"/>
      <c r="I83" s="254"/>
      <c r="J83" s="254"/>
      <c r="K83" s="254"/>
      <c r="L83" s="254"/>
      <c r="M83" s="254"/>
      <c r="N83" s="254"/>
      <c r="O83" s="254"/>
      <c r="P83" s="254"/>
      <c r="Q83" s="254"/>
      <c r="R83" s="254"/>
      <c r="S83" s="254"/>
      <c r="T83" s="254"/>
      <c r="U83" s="254"/>
      <c r="V83" s="254"/>
      <c r="W83" s="254"/>
      <c r="X83" s="254"/>
      <c r="Y83" s="254"/>
      <c r="Z83" s="254"/>
      <c r="AA83" s="254"/>
      <c r="AB83" s="254"/>
      <c r="AC83" s="254"/>
    </row>
    <row r="84" ht="12.75" customHeight="1" spans="1:29">
      <c r="A84" s="254"/>
      <c r="B84" s="254"/>
      <c r="C84" s="254"/>
      <c r="D84" s="276"/>
      <c r="E84" s="254"/>
      <c r="F84" s="254"/>
      <c r="G84" s="254"/>
      <c r="H84" s="254"/>
      <c r="I84" s="254"/>
      <c r="J84" s="254"/>
      <c r="K84" s="254"/>
      <c r="L84" s="254"/>
      <c r="M84" s="254"/>
      <c r="N84" s="254"/>
      <c r="O84" s="254"/>
      <c r="P84" s="254"/>
      <c r="Q84" s="254"/>
      <c r="R84" s="254"/>
      <c r="S84" s="254"/>
      <c r="T84" s="254"/>
      <c r="U84" s="254"/>
      <c r="V84" s="254"/>
      <c r="W84" s="254"/>
      <c r="X84" s="254"/>
      <c r="Y84" s="254"/>
      <c r="Z84" s="254"/>
      <c r="AA84" s="254"/>
      <c r="AB84" s="254"/>
      <c r="AC84" s="254"/>
    </row>
    <row r="85" ht="12.75" customHeight="1" spans="1:29">
      <c r="A85" s="254"/>
      <c r="B85" s="254"/>
      <c r="C85" s="254"/>
      <c r="D85" s="276"/>
      <c r="E85" s="254"/>
      <c r="F85" s="254"/>
      <c r="G85" s="254"/>
      <c r="H85" s="254"/>
      <c r="I85" s="254"/>
      <c r="J85" s="254"/>
      <c r="K85" s="254"/>
      <c r="L85" s="254"/>
      <c r="M85" s="254"/>
      <c r="N85" s="254"/>
      <c r="O85" s="254"/>
      <c r="P85" s="254"/>
      <c r="Q85" s="254"/>
      <c r="R85" s="254"/>
      <c r="S85" s="254"/>
      <c r="T85" s="254"/>
      <c r="U85" s="254"/>
      <c r="V85" s="254"/>
      <c r="W85" s="254"/>
      <c r="X85" s="254"/>
      <c r="Y85" s="254"/>
      <c r="Z85" s="254"/>
      <c r="AA85" s="254"/>
      <c r="AB85" s="254"/>
      <c r="AC85" s="254"/>
    </row>
    <row r="86" ht="12.75" customHeight="1" spans="1:29">
      <c r="A86" s="254"/>
      <c r="B86" s="254"/>
      <c r="C86" s="254"/>
      <c r="D86" s="276"/>
      <c r="E86" s="254"/>
      <c r="F86" s="254"/>
      <c r="G86" s="254"/>
      <c r="H86" s="254"/>
      <c r="I86" s="254"/>
      <c r="J86" s="254"/>
      <c r="K86" s="254"/>
      <c r="L86" s="254"/>
      <c r="M86" s="254"/>
      <c r="N86" s="254"/>
      <c r="O86" s="254"/>
      <c r="P86" s="254"/>
      <c r="Q86" s="254"/>
      <c r="R86" s="254"/>
      <c r="S86" s="254"/>
      <c r="T86" s="254"/>
      <c r="U86" s="254"/>
      <c r="V86" s="254"/>
      <c r="W86" s="254"/>
      <c r="X86" s="254"/>
      <c r="Y86" s="254"/>
      <c r="Z86" s="254"/>
      <c r="AA86" s="254"/>
      <c r="AB86" s="254"/>
      <c r="AC86" s="254"/>
    </row>
    <row r="87" ht="12.75" customHeight="1" spans="1:29">
      <c r="A87" s="254"/>
      <c r="B87" s="254"/>
      <c r="C87" s="254"/>
      <c r="D87" s="276"/>
      <c r="E87" s="254"/>
      <c r="F87" s="254"/>
      <c r="G87" s="254"/>
      <c r="H87" s="254"/>
      <c r="I87" s="254"/>
      <c r="J87" s="254"/>
      <c r="K87" s="254"/>
      <c r="L87" s="254"/>
      <c r="M87" s="254"/>
      <c r="N87" s="254"/>
      <c r="O87" s="254"/>
      <c r="P87" s="254"/>
      <c r="Q87" s="254"/>
      <c r="R87" s="254"/>
      <c r="S87" s="254"/>
      <c r="T87" s="254"/>
      <c r="U87" s="254"/>
      <c r="V87" s="254"/>
      <c r="W87" s="254"/>
      <c r="X87" s="254"/>
      <c r="Y87" s="254"/>
      <c r="Z87" s="254"/>
      <c r="AA87" s="254"/>
      <c r="AB87" s="254"/>
      <c r="AC87" s="254"/>
    </row>
    <row r="88" ht="12.75" customHeight="1" spans="1:29">
      <c r="A88" s="254"/>
      <c r="B88" s="254"/>
      <c r="C88" s="254"/>
      <c r="D88" s="276"/>
      <c r="E88" s="254"/>
      <c r="F88" s="254"/>
      <c r="G88" s="254"/>
      <c r="H88" s="254"/>
      <c r="I88" s="254"/>
      <c r="J88" s="254"/>
      <c r="K88" s="254"/>
      <c r="L88" s="254"/>
      <c r="M88" s="254"/>
      <c r="N88" s="254"/>
      <c r="O88" s="254"/>
      <c r="P88" s="254"/>
      <c r="Q88" s="254"/>
      <c r="R88" s="254"/>
      <c r="S88" s="254"/>
      <c r="T88" s="254"/>
      <c r="U88" s="254"/>
      <c r="V88" s="254"/>
      <c r="W88" s="254"/>
      <c r="X88" s="254"/>
      <c r="Y88" s="254"/>
      <c r="Z88" s="254"/>
      <c r="AA88" s="254"/>
      <c r="AB88" s="254"/>
      <c r="AC88" s="254"/>
    </row>
    <row r="89" ht="12.75" customHeight="1" spans="1:29">
      <c r="A89" s="254"/>
      <c r="B89" s="254"/>
      <c r="C89" s="254"/>
      <c r="D89" s="276"/>
      <c r="E89" s="254"/>
      <c r="F89" s="254"/>
      <c r="G89" s="254"/>
      <c r="H89" s="254"/>
      <c r="I89" s="254"/>
      <c r="J89" s="254"/>
      <c r="K89" s="254"/>
      <c r="L89" s="254"/>
      <c r="M89" s="254"/>
      <c r="N89" s="254"/>
      <c r="O89" s="254"/>
      <c r="P89" s="254"/>
      <c r="Q89" s="254"/>
      <c r="R89" s="254"/>
      <c r="S89" s="254"/>
      <c r="T89" s="254"/>
      <c r="U89" s="254"/>
      <c r="V89" s="254"/>
      <c r="W89" s="254"/>
      <c r="X89" s="254"/>
      <c r="Y89" s="254"/>
      <c r="Z89" s="254"/>
      <c r="AA89" s="254"/>
      <c r="AB89" s="254"/>
      <c r="AC89" s="254"/>
    </row>
    <row r="90" ht="12.75" customHeight="1" spans="1:29">
      <c r="A90" s="254"/>
      <c r="B90" s="254"/>
      <c r="C90" s="254"/>
      <c r="D90" s="276"/>
      <c r="E90" s="254"/>
      <c r="F90" s="254"/>
      <c r="G90" s="254"/>
      <c r="H90" s="254"/>
      <c r="I90" s="254"/>
      <c r="J90" s="254"/>
      <c r="K90" s="254"/>
      <c r="L90" s="254"/>
      <c r="M90" s="254"/>
      <c r="N90" s="254"/>
      <c r="O90" s="254"/>
      <c r="P90" s="254"/>
      <c r="Q90" s="254"/>
      <c r="R90" s="254"/>
      <c r="S90" s="254"/>
      <c r="T90" s="254"/>
      <c r="U90" s="254"/>
      <c r="V90" s="254"/>
      <c r="W90" s="254"/>
      <c r="X90" s="254"/>
      <c r="Y90" s="254"/>
      <c r="Z90" s="254"/>
      <c r="AA90" s="254"/>
      <c r="AB90" s="254"/>
      <c r="AC90" s="254"/>
    </row>
    <row r="91" ht="12.75" customHeight="1" spans="1:29">
      <c r="A91" s="254"/>
      <c r="B91" s="254"/>
      <c r="C91" s="254"/>
      <c r="D91" s="276"/>
      <c r="E91" s="254"/>
      <c r="F91" s="254"/>
      <c r="G91" s="254"/>
      <c r="H91" s="254"/>
      <c r="I91" s="254"/>
      <c r="J91" s="254"/>
      <c r="K91" s="254"/>
      <c r="L91" s="254"/>
      <c r="M91" s="254"/>
      <c r="N91" s="254"/>
      <c r="O91" s="254"/>
      <c r="P91" s="254"/>
      <c r="Q91" s="254"/>
      <c r="R91" s="254"/>
      <c r="S91" s="254"/>
      <c r="T91" s="254"/>
      <c r="U91" s="254"/>
      <c r="V91" s="254"/>
      <c r="W91" s="254"/>
      <c r="X91" s="254"/>
      <c r="Y91" s="254"/>
      <c r="Z91" s="254"/>
      <c r="AA91" s="254"/>
      <c r="AB91" s="254"/>
      <c r="AC91" s="254"/>
    </row>
    <row r="92" ht="12.75" customHeight="1" spans="1:29">
      <c r="A92" s="254"/>
      <c r="B92" s="254"/>
      <c r="C92" s="254"/>
      <c r="D92" s="276"/>
      <c r="E92" s="254"/>
      <c r="F92" s="254"/>
      <c r="G92" s="254"/>
      <c r="H92" s="254"/>
      <c r="I92" s="254"/>
      <c r="J92" s="254"/>
      <c r="K92" s="254"/>
      <c r="L92" s="254"/>
      <c r="M92" s="254"/>
      <c r="N92" s="254"/>
      <c r="O92" s="254"/>
      <c r="P92" s="254"/>
      <c r="Q92" s="254"/>
      <c r="R92" s="254"/>
      <c r="S92" s="254"/>
      <c r="T92" s="254"/>
      <c r="U92" s="254"/>
      <c r="V92" s="254"/>
      <c r="W92" s="254"/>
      <c r="X92" s="254"/>
      <c r="Y92" s="254"/>
      <c r="Z92" s="254"/>
      <c r="AA92" s="254"/>
      <c r="AB92" s="254"/>
      <c r="AC92" s="254"/>
    </row>
    <row r="93" ht="12.75" customHeight="1" spans="1:29">
      <c r="A93" s="254"/>
      <c r="B93" s="254"/>
      <c r="C93" s="254"/>
      <c r="D93" s="276"/>
      <c r="E93" s="254"/>
      <c r="F93" s="254"/>
      <c r="G93" s="254"/>
      <c r="H93" s="254"/>
      <c r="I93" s="254"/>
      <c r="J93" s="254"/>
      <c r="K93" s="254"/>
      <c r="L93" s="254"/>
      <c r="M93" s="254"/>
      <c r="N93" s="254"/>
      <c r="O93" s="254"/>
      <c r="P93" s="254"/>
      <c r="Q93" s="254"/>
      <c r="R93" s="254"/>
      <c r="S93" s="254"/>
      <c r="T93" s="254"/>
      <c r="U93" s="254"/>
      <c r="V93" s="254"/>
      <c r="W93" s="254"/>
      <c r="X93" s="254"/>
      <c r="Y93" s="254"/>
      <c r="Z93" s="254"/>
      <c r="AA93" s="254"/>
      <c r="AB93" s="254"/>
      <c r="AC93" s="254"/>
    </row>
    <row r="94" ht="12.75" customHeight="1" spans="1:29">
      <c r="A94" s="254"/>
      <c r="B94" s="254"/>
      <c r="C94" s="254"/>
      <c r="D94" s="276"/>
      <c r="E94" s="254"/>
      <c r="F94" s="254"/>
      <c r="G94" s="254"/>
      <c r="H94" s="254"/>
      <c r="I94" s="254"/>
      <c r="J94" s="254"/>
      <c r="K94" s="254"/>
      <c r="L94" s="254"/>
      <c r="M94" s="254"/>
      <c r="N94" s="254"/>
      <c r="O94" s="254"/>
      <c r="P94" s="254"/>
      <c r="Q94" s="254"/>
      <c r="R94" s="254"/>
      <c r="S94" s="254"/>
      <c r="T94" s="254"/>
      <c r="U94" s="254"/>
      <c r="V94" s="254"/>
      <c r="W94" s="254"/>
      <c r="X94" s="254"/>
      <c r="Y94" s="254"/>
      <c r="Z94" s="254"/>
      <c r="AA94" s="254"/>
      <c r="AB94" s="254"/>
      <c r="AC94" s="254"/>
    </row>
    <row r="95" ht="12.75" customHeight="1" spans="1:29">
      <c r="A95" s="254"/>
      <c r="B95" s="254"/>
      <c r="C95" s="254"/>
      <c r="D95" s="276"/>
      <c r="E95" s="254"/>
      <c r="F95" s="254"/>
      <c r="G95" s="254"/>
      <c r="H95" s="254"/>
      <c r="I95" s="254"/>
      <c r="J95" s="254"/>
      <c r="K95" s="254"/>
      <c r="L95" s="254"/>
      <c r="M95" s="254"/>
      <c r="N95" s="254"/>
      <c r="O95" s="254"/>
      <c r="P95" s="254"/>
      <c r="Q95" s="254"/>
      <c r="R95" s="254"/>
      <c r="S95" s="254"/>
      <c r="T95" s="254"/>
      <c r="U95" s="254"/>
      <c r="V95" s="254"/>
      <c r="W95" s="254"/>
      <c r="X95" s="254"/>
      <c r="Y95" s="254"/>
      <c r="Z95" s="254"/>
      <c r="AA95" s="254"/>
      <c r="AB95" s="254"/>
      <c r="AC95" s="254"/>
    </row>
    <row r="96" ht="12.75" customHeight="1" spans="1:29">
      <c r="A96" s="254"/>
      <c r="B96" s="254"/>
      <c r="C96" s="254"/>
      <c r="D96" s="276"/>
      <c r="E96" s="254"/>
      <c r="F96" s="254"/>
      <c r="G96" s="254"/>
      <c r="H96" s="254"/>
      <c r="I96" s="254"/>
      <c r="J96" s="254"/>
      <c r="K96" s="254"/>
      <c r="L96" s="254"/>
      <c r="M96" s="254"/>
      <c r="N96" s="254"/>
      <c r="O96" s="254"/>
      <c r="P96" s="254"/>
      <c r="Q96" s="254"/>
      <c r="R96" s="254"/>
      <c r="S96" s="254"/>
      <c r="T96" s="254"/>
      <c r="U96" s="254"/>
      <c r="V96" s="254"/>
      <c r="W96" s="254"/>
      <c r="X96" s="254"/>
      <c r="Y96" s="254"/>
      <c r="Z96" s="254"/>
      <c r="AA96" s="254"/>
      <c r="AB96" s="254"/>
      <c r="AC96" s="254"/>
    </row>
    <row r="97" ht="12.75" customHeight="1" spans="1:29">
      <c r="A97" s="254"/>
      <c r="B97" s="254"/>
      <c r="C97" s="254"/>
      <c r="D97" s="276"/>
      <c r="E97" s="254"/>
      <c r="F97" s="254"/>
      <c r="G97" s="254"/>
      <c r="H97" s="254"/>
      <c r="I97" s="254"/>
      <c r="J97" s="254"/>
      <c r="K97" s="254"/>
      <c r="L97" s="254"/>
      <c r="M97" s="254"/>
      <c r="N97" s="254"/>
      <c r="O97" s="254"/>
      <c r="P97" s="254"/>
      <c r="Q97" s="254"/>
      <c r="R97" s="254"/>
      <c r="S97" s="254"/>
      <c r="T97" s="254"/>
      <c r="U97" s="254"/>
      <c r="V97" s="254"/>
      <c r="W97" s="254"/>
      <c r="X97" s="254"/>
      <c r="Y97" s="254"/>
      <c r="Z97" s="254"/>
      <c r="AA97" s="254"/>
      <c r="AB97" s="254"/>
      <c r="AC97" s="254"/>
    </row>
    <row r="98" ht="12.75" customHeight="1" spans="1:29">
      <c r="A98" s="254"/>
      <c r="B98" s="254"/>
      <c r="C98" s="254"/>
      <c r="D98" s="276"/>
      <c r="E98" s="254"/>
      <c r="F98" s="254"/>
      <c r="G98" s="254"/>
      <c r="H98" s="254"/>
      <c r="I98" s="254"/>
      <c r="J98" s="254"/>
      <c r="K98" s="254"/>
      <c r="L98" s="254"/>
      <c r="M98" s="254"/>
      <c r="N98" s="254"/>
      <c r="O98" s="254"/>
      <c r="P98" s="254"/>
      <c r="Q98" s="254"/>
      <c r="R98" s="254"/>
      <c r="S98" s="254"/>
      <c r="T98" s="254"/>
      <c r="U98" s="254"/>
      <c r="V98" s="254"/>
      <c r="W98" s="254"/>
      <c r="X98" s="254"/>
      <c r="Y98" s="254"/>
      <c r="Z98" s="254"/>
      <c r="AA98" s="254"/>
      <c r="AB98" s="254"/>
      <c r="AC98" s="254"/>
    </row>
    <row r="99" ht="12.75" customHeight="1" spans="1:29">
      <c r="A99" s="254"/>
      <c r="B99" s="254"/>
      <c r="C99" s="254"/>
      <c r="D99" s="276"/>
      <c r="E99" s="254"/>
      <c r="F99" s="254"/>
      <c r="G99" s="254"/>
      <c r="H99" s="254"/>
      <c r="I99" s="254"/>
      <c r="J99" s="254"/>
      <c r="K99" s="254"/>
      <c r="L99" s="254"/>
      <c r="M99" s="254"/>
      <c r="N99" s="254"/>
      <c r="O99" s="254"/>
      <c r="P99" s="254"/>
      <c r="Q99" s="254"/>
      <c r="R99" s="254"/>
      <c r="S99" s="254"/>
      <c r="T99" s="254"/>
      <c r="U99" s="254"/>
      <c r="V99" s="254"/>
      <c r="W99" s="254"/>
      <c r="X99" s="254"/>
      <c r="Y99" s="254"/>
      <c r="Z99" s="254"/>
      <c r="AA99" s="254"/>
      <c r="AB99" s="254"/>
      <c r="AC99" s="254"/>
    </row>
    <row r="100" ht="12.75" customHeight="1" spans="1:29">
      <c r="A100" s="254"/>
      <c r="B100" s="254"/>
      <c r="C100" s="254"/>
      <c r="D100" s="276"/>
      <c r="E100" s="254"/>
      <c r="F100" s="254"/>
      <c r="G100" s="254"/>
      <c r="H100" s="254"/>
      <c r="I100" s="254"/>
      <c r="J100" s="254"/>
      <c r="K100" s="254"/>
      <c r="L100" s="254"/>
      <c r="M100" s="254"/>
      <c r="N100" s="254"/>
      <c r="O100" s="254"/>
      <c r="P100" s="254"/>
      <c r="Q100" s="254"/>
      <c r="R100" s="254"/>
      <c r="S100" s="254"/>
      <c r="T100" s="254"/>
      <c r="U100" s="254"/>
      <c r="V100" s="254"/>
      <c r="W100" s="254"/>
      <c r="X100" s="254"/>
      <c r="Y100" s="254"/>
      <c r="Z100" s="254"/>
      <c r="AA100" s="254"/>
      <c r="AB100" s="254"/>
      <c r="AC100" s="254"/>
    </row>
    <row r="101" ht="12.75" customHeight="1" spans="1:29">
      <c r="A101" s="254"/>
      <c r="B101" s="254"/>
      <c r="C101" s="254"/>
      <c r="D101" s="276"/>
      <c r="E101" s="254"/>
      <c r="F101" s="254"/>
      <c r="G101" s="254"/>
      <c r="H101" s="254"/>
      <c r="I101" s="254"/>
      <c r="J101" s="254"/>
      <c r="K101" s="254"/>
      <c r="L101" s="254"/>
      <c r="M101" s="254"/>
      <c r="N101" s="254"/>
      <c r="O101" s="254"/>
      <c r="P101" s="254"/>
      <c r="Q101" s="254"/>
      <c r="R101" s="254"/>
      <c r="S101" s="254"/>
      <c r="T101" s="254"/>
      <c r="U101" s="254"/>
      <c r="V101" s="254"/>
      <c r="W101" s="254"/>
      <c r="X101" s="254"/>
      <c r="Y101" s="254"/>
      <c r="Z101" s="254"/>
      <c r="AA101" s="254"/>
      <c r="AB101" s="254"/>
      <c r="AC101" s="254"/>
    </row>
    <row r="102" ht="12.75" customHeight="1" spans="1:29">
      <c r="A102" s="254"/>
      <c r="B102" s="254"/>
      <c r="C102" s="254"/>
      <c r="D102" s="276"/>
      <c r="E102" s="254"/>
      <c r="F102" s="254"/>
      <c r="G102" s="254"/>
      <c r="H102" s="254"/>
      <c r="I102" s="254"/>
      <c r="J102" s="254"/>
      <c r="K102" s="254"/>
      <c r="L102" s="254"/>
      <c r="M102" s="254"/>
      <c r="N102" s="254"/>
      <c r="O102" s="254"/>
      <c r="P102" s="254"/>
      <c r="Q102" s="254"/>
      <c r="R102" s="254"/>
      <c r="S102" s="254"/>
      <c r="T102" s="254"/>
      <c r="U102" s="254"/>
      <c r="V102" s="254"/>
      <c r="W102" s="254"/>
      <c r="X102" s="254"/>
      <c r="Y102" s="254"/>
      <c r="Z102" s="254"/>
      <c r="AA102" s="254"/>
      <c r="AB102" s="254"/>
      <c r="AC102" s="254"/>
    </row>
    <row r="103" ht="12.75" customHeight="1" spans="1:29">
      <c r="A103" s="254"/>
      <c r="B103" s="254"/>
      <c r="C103" s="254"/>
      <c r="D103" s="276"/>
      <c r="E103" s="254"/>
      <c r="F103" s="254"/>
      <c r="G103" s="254"/>
      <c r="H103" s="254"/>
      <c r="I103" s="254"/>
      <c r="J103" s="254"/>
      <c r="K103" s="254"/>
      <c r="L103" s="254"/>
      <c r="M103" s="254"/>
      <c r="N103" s="254"/>
      <c r="O103" s="254"/>
      <c r="P103" s="254"/>
      <c r="Q103" s="254"/>
      <c r="R103" s="254"/>
      <c r="S103" s="254"/>
      <c r="T103" s="254"/>
      <c r="U103" s="254"/>
      <c r="V103" s="254"/>
      <c r="W103" s="254"/>
      <c r="X103" s="254"/>
      <c r="Y103" s="254"/>
      <c r="Z103" s="254"/>
      <c r="AA103" s="254"/>
      <c r="AB103" s="254"/>
      <c r="AC103" s="254"/>
    </row>
    <row r="104" ht="12.75" customHeight="1" spans="1:29">
      <c r="A104" s="254"/>
      <c r="B104" s="254"/>
      <c r="C104" s="254"/>
      <c r="D104" s="276"/>
      <c r="E104" s="254"/>
      <c r="F104" s="254"/>
      <c r="G104" s="254"/>
      <c r="H104" s="254"/>
      <c r="I104" s="254"/>
      <c r="J104" s="254"/>
      <c r="K104" s="254"/>
      <c r="L104" s="254"/>
      <c r="M104" s="254"/>
      <c r="N104" s="254"/>
      <c r="O104" s="254"/>
      <c r="P104" s="254"/>
      <c r="Q104" s="254"/>
      <c r="R104" s="254"/>
      <c r="S104" s="254"/>
      <c r="T104" s="254"/>
      <c r="U104" s="254"/>
      <c r="V104" s="254"/>
      <c r="W104" s="254"/>
      <c r="X104" s="254"/>
      <c r="Y104" s="254"/>
      <c r="Z104" s="254"/>
      <c r="AA104" s="254"/>
      <c r="AB104" s="254"/>
      <c r="AC104" s="254"/>
    </row>
    <row r="105" ht="12.75" customHeight="1" spans="1:29">
      <c r="A105" s="254"/>
      <c r="B105" s="254"/>
      <c r="C105" s="254"/>
      <c r="D105" s="276"/>
      <c r="E105" s="254"/>
      <c r="F105" s="254"/>
      <c r="G105" s="254"/>
      <c r="H105" s="254"/>
      <c r="I105" s="254"/>
      <c r="J105" s="254"/>
      <c r="K105" s="254"/>
      <c r="L105" s="254"/>
      <c r="M105" s="254"/>
      <c r="N105" s="254"/>
      <c r="O105" s="254"/>
      <c r="P105" s="254"/>
      <c r="Q105" s="254"/>
      <c r="R105" s="254"/>
      <c r="S105" s="254"/>
      <c r="T105" s="254"/>
      <c r="U105" s="254"/>
      <c r="V105" s="254"/>
      <c r="W105" s="254"/>
      <c r="X105" s="254"/>
      <c r="Y105" s="254"/>
      <c r="Z105" s="254"/>
      <c r="AA105" s="254"/>
      <c r="AB105" s="254"/>
      <c r="AC105" s="254"/>
    </row>
    <row r="106" ht="12.75" customHeight="1" spans="1:29">
      <c r="A106" s="254"/>
      <c r="B106" s="254"/>
      <c r="C106" s="254"/>
      <c r="D106" s="276"/>
      <c r="E106" s="254"/>
      <c r="F106" s="254"/>
      <c r="G106" s="254"/>
      <c r="H106" s="254"/>
      <c r="I106" s="254"/>
      <c r="J106" s="254"/>
      <c r="K106" s="254"/>
      <c r="L106" s="254"/>
      <c r="M106" s="254"/>
      <c r="N106" s="254"/>
      <c r="O106" s="254"/>
      <c r="P106" s="254"/>
      <c r="Q106" s="254"/>
      <c r="R106" s="254"/>
      <c r="S106" s="254"/>
      <c r="T106" s="254"/>
      <c r="U106" s="254"/>
      <c r="V106" s="254"/>
      <c r="W106" s="254"/>
      <c r="X106" s="254"/>
      <c r="Y106" s="254"/>
      <c r="Z106" s="254"/>
      <c r="AA106" s="254"/>
      <c r="AB106" s="254"/>
      <c r="AC106" s="254"/>
    </row>
    <row r="107" ht="12.75" customHeight="1" spans="1:29">
      <c r="A107" s="254"/>
      <c r="B107" s="254"/>
      <c r="C107" s="254"/>
      <c r="D107" s="276"/>
      <c r="E107" s="254"/>
      <c r="F107" s="254"/>
      <c r="G107" s="254"/>
      <c r="H107" s="254"/>
      <c r="I107" s="254"/>
      <c r="J107" s="254"/>
      <c r="K107" s="254"/>
      <c r="L107" s="254"/>
      <c r="M107" s="254"/>
      <c r="N107" s="254"/>
      <c r="O107" s="254"/>
      <c r="P107" s="254"/>
      <c r="Q107" s="254"/>
      <c r="R107" s="254"/>
      <c r="S107" s="254"/>
      <c r="T107" s="254"/>
      <c r="U107" s="254"/>
      <c r="V107" s="254"/>
      <c r="W107" s="254"/>
      <c r="X107" s="254"/>
      <c r="Y107" s="254"/>
      <c r="Z107" s="254"/>
      <c r="AA107" s="254"/>
      <c r="AB107" s="254"/>
      <c r="AC107" s="254"/>
    </row>
    <row r="108" ht="12.75" customHeight="1" spans="1:29">
      <c r="A108" s="254"/>
      <c r="B108" s="254"/>
      <c r="C108" s="254"/>
      <c r="D108" s="276"/>
      <c r="E108" s="254"/>
      <c r="F108" s="254"/>
      <c r="G108" s="254"/>
      <c r="H108" s="254"/>
      <c r="I108" s="254"/>
      <c r="J108" s="254"/>
      <c r="K108" s="254"/>
      <c r="L108" s="254"/>
      <c r="M108" s="254"/>
      <c r="N108" s="254"/>
      <c r="O108" s="254"/>
      <c r="P108" s="254"/>
      <c r="Q108" s="254"/>
      <c r="R108" s="254"/>
      <c r="S108" s="254"/>
      <c r="T108" s="254"/>
      <c r="U108" s="254"/>
      <c r="V108" s="254"/>
      <c r="W108" s="254"/>
      <c r="X108" s="254"/>
      <c r="Y108" s="254"/>
      <c r="Z108" s="254"/>
      <c r="AA108" s="254"/>
      <c r="AB108" s="254"/>
      <c r="AC108" s="254"/>
    </row>
    <row r="109" ht="12.75" customHeight="1" spans="1:29">
      <c r="A109" s="254"/>
      <c r="B109" s="254"/>
      <c r="C109" s="254"/>
      <c r="D109" s="276"/>
      <c r="E109" s="254"/>
      <c r="F109" s="254"/>
      <c r="G109" s="254"/>
      <c r="H109" s="254"/>
      <c r="I109" s="254"/>
      <c r="J109" s="254"/>
      <c r="K109" s="254"/>
      <c r="L109" s="254"/>
      <c r="M109" s="254"/>
      <c r="N109" s="254"/>
      <c r="O109" s="254"/>
      <c r="P109" s="254"/>
      <c r="Q109" s="254"/>
      <c r="R109" s="254"/>
      <c r="S109" s="254"/>
      <c r="T109" s="254"/>
      <c r="U109" s="254"/>
      <c r="V109" s="254"/>
      <c r="W109" s="254"/>
      <c r="X109" s="254"/>
      <c r="Y109" s="254"/>
      <c r="Z109" s="254"/>
      <c r="AA109" s="254"/>
      <c r="AB109" s="254"/>
      <c r="AC109" s="254"/>
    </row>
    <row r="110" ht="12.75" customHeight="1" spans="1:29">
      <c r="A110" s="254"/>
      <c r="B110" s="254"/>
      <c r="C110" s="254"/>
      <c r="D110" s="276"/>
      <c r="E110" s="254"/>
      <c r="F110" s="254"/>
      <c r="G110" s="254"/>
      <c r="H110" s="254"/>
      <c r="I110" s="254"/>
      <c r="J110" s="254"/>
      <c r="K110" s="254"/>
      <c r="L110" s="254"/>
      <c r="M110" s="254"/>
      <c r="N110" s="254"/>
      <c r="O110" s="254"/>
      <c r="P110" s="254"/>
      <c r="Q110" s="254"/>
      <c r="R110" s="254"/>
      <c r="S110" s="254"/>
      <c r="T110" s="254"/>
      <c r="U110" s="254"/>
      <c r="V110" s="254"/>
      <c r="W110" s="254"/>
      <c r="X110" s="254"/>
      <c r="Y110" s="254"/>
      <c r="Z110" s="254"/>
      <c r="AA110" s="254"/>
      <c r="AB110" s="254"/>
      <c r="AC110" s="254"/>
    </row>
    <row r="111" ht="12.75" customHeight="1" spans="1:29">
      <c r="A111" s="254"/>
      <c r="B111" s="254"/>
      <c r="C111" s="254"/>
      <c r="D111" s="276"/>
      <c r="E111" s="254"/>
      <c r="F111" s="254"/>
      <c r="G111" s="254"/>
      <c r="H111" s="254"/>
      <c r="I111" s="254"/>
      <c r="J111" s="254"/>
      <c r="K111" s="254"/>
      <c r="L111" s="254"/>
      <c r="M111" s="254"/>
      <c r="N111" s="254"/>
      <c r="O111" s="254"/>
      <c r="P111" s="254"/>
      <c r="Q111" s="254"/>
      <c r="R111" s="254"/>
      <c r="S111" s="254"/>
      <c r="T111" s="254"/>
      <c r="U111" s="254"/>
      <c r="V111" s="254"/>
      <c r="W111" s="254"/>
      <c r="X111" s="254"/>
      <c r="Y111" s="254"/>
      <c r="Z111" s="254"/>
      <c r="AA111" s="254"/>
      <c r="AB111" s="254"/>
      <c r="AC111" s="254"/>
    </row>
    <row r="112" ht="12.75" customHeight="1" spans="1:29">
      <c r="A112" s="254"/>
      <c r="B112" s="254"/>
      <c r="C112" s="254"/>
      <c r="D112" s="276"/>
      <c r="E112" s="254"/>
      <c r="F112" s="254"/>
      <c r="G112" s="254"/>
      <c r="H112" s="254"/>
      <c r="I112" s="254"/>
      <c r="J112" s="254"/>
      <c r="K112" s="254"/>
      <c r="L112" s="254"/>
      <c r="M112" s="254"/>
      <c r="N112" s="254"/>
      <c r="O112" s="254"/>
      <c r="P112" s="254"/>
      <c r="Q112" s="254"/>
      <c r="R112" s="254"/>
      <c r="S112" s="254"/>
      <c r="T112" s="254"/>
      <c r="U112" s="254"/>
      <c r="V112" s="254"/>
      <c r="W112" s="254"/>
      <c r="X112" s="254"/>
      <c r="Y112" s="254"/>
      <c r="Z112" s="254"/>
      <c r="AA112" s="254"/>
      <c r="AB112" s="254"/>
      <c r="AC112" s="254"/>
    </row>
    <row r="113" ht="12.75" customHeight="1" spans="1:29">
      <c r="A113" s="254"/>
      <c r="B113" s="254"/>
      <c r="C113" s="254"/>
      <c r="D113" s="276"/>
      <c r="E113" s="254"/>
      <c r="F113" s="254"/>
      <c r="G113" s="254"/>
      <c r="H113" s="254"/>
      <c r="I113" s="254"/>
      <c r="J113" s="254"/>
      <c r="K113" s="254"/>
      <c r="L113" s="254"/>
      <c r="M113" s="254"/>
      <c r="N113" s="254"/>
      <c r="O113" s="254"/>
      <c r="P113" s="254"/>
      <c r="Q113" s="254"/>
      <c r="R113" s="254"/>
      <c r="S113" s="254"/>
      <c r="T113" s="254"/>
      <c r="U113" s="254"/>
      <c r="V113" s="254"/>
      <c r="W113" s="254"/>
      <c r="X113" s="254"/>
      <c r="Y113" s="254"/>
      <c r="Z113" s="254"/>
      <c r="AA113" s="254"/>
      <c r="AB113" s="254"/>
      <c r="AC113" s="254"/>
    </row>
    <row r="114" ht="12.75" customHeight="1" spans="1:29">
      <c r="A114" s="254"/>
      <c r="B114" s="254"/>
      <c r="C114" s="254"/>
      <c r="D114" s="276"/>
      <c r="E114" s="254"/>
      <c r="F114" s="254"/>
      <c r="G114" s="254"/>
      <c r="H114" s="254"/>
      <c r="I114" s="254"/>
      <c r="J114" s="254"/>
      <c r="K114" s="254"/>
      <c r="L114" s="254"/>
      <c r="M114" s="254"/>
      <c r="N114" s="254"/>
      <c r="O114" s="254"/>
      <c r="P114" s="254"/>
      <c r="Q114" s="254"/>
      <c r="R114" s="254"/>
      <c r="S114" s="254"/>
      <c r="T114" s="254"/>
      <c r="U114" s="254"/>
      <c r="V114" s="254"/>
      <c r="W114" s="254"/>
      <c r="X114" s="254"/>
      <c r="Y114" s="254"/>
      <c r="Z114" s="254"/>
      <c r="AA114" s="254"/>
      <c r="AB114" s="254"/>
      <c r="AC114" s="254"/>
    </row>
    <row r="115" ht="12.75" customHeight="1" spans="1:29">
      <c r="A115" s="254"/>
      <c r="B115" s="254"/>
      <c r="C115" s="254"/>
      <c r="D115" s="276"/>
      <c r="E115" s="254"/>
      <c r="F115" s="254"/>
      <c r="G115" s="254"/>
      <c r="H115" s="254"/>
      <c r="I115" s="254"/>
      <c r="J115" s="254"/>
      <c r="K115" s="254"/>
      <c r="L115" s="254"/>
      <c r="M115" s="254"/>
      <c r="N115" s="254"/>
      <c r="O115" s="254"/>
      <c r="P115" s="254"/>
      <c r="Q115" s="254"/>
      <c r="R115" s="254"/>
      <c r="S115" s="254"/>
      <c r="T115" s="254"/>
      <c r="U115" s="254"/>
      <c r="V115" s="254"/>
      <c r="W115" s="254"/>
      <c r="X115" s="254"/>
      <c r="Y115" s="254"/>
      <c r="Z115" s="254"/>
      <c r="AA115" s="254"/>
      <c r="AB115" s="254"/>
      <c r="AC115" s="254"/>
    </row>
    <row r="116" ht="12.75" customHeight="1" spans="1:29">
      <c r="A116" s="254"/>
      <c r="B116" s="254"/>
      <c r="C116" s="254"/>
      <c r="D116" s="276"/>
      <c r="E116" s="254"/>
      <c r="F116" s="254"/>
      <c r="G116" s="254"/>
      <c r="H116" s="254"/>
      <c r="I116" s="254"/>
      <c r="J116" s="254"/>
      <c r="K116" s="254"/>
      <c r="L116" s="254"/>
      <c r="M116" s="254"/>
      <c r="N116" s="254"/>
      <c r="O116" s="254"/>
      <c r="P116" s="254"/>
      <c r="Q116" s="254"/>
      <c r="R116" s="254"/>
      <c r="S116" s="254"/>
      <c r="T116" s="254"/>
      <c r="U116" s="254"/>
      <c r="V116" s="254"/>
      <c r="W116" s="254"/>
      <c r="X116" s="254"/>
      <c r="Y116" s="254"/>
      <c r="Z116" s="254"/>
      <c r="AA116" s="254"/>
      <c r="AB116" s="254"/>
      <c r="AC116" s="254"/>
    </row>
    <row r="117" ht="12.75" customHeight="1" spans="1:29">
      <c r="A117" s="254"/>
      <c r="B117" s="254"/>
      <c r="C117" s="254"/>
      <c r="D117" s="276"/>
      <c r="E117" s="254"/>
      <c r="F117" s="254"/>
      <c r="G117" s="254"/>
      <c r="H117" s="254"/>
      <c r="I117" s="254"/>
      <c r="J117" s="254"/>
      <c r="K117" s="254"/>
      <c r="L117" s="254"/>
      <c r="M117" s="254"/>
      <c r="N117" s="254"/>
      <c r="O117" s="254"/>
      <c r="P117" s="254"/>
      <c r="Q117" s="254"/>
      <c r="R117" s="254"/>
      <c r="S117" s="254"/>
      <c r="T117" s="254"/>
      <c r="U117" s="254"/>
      <c r="V117" s="254"/>
      <c r="W117" s="254"/>
      <c r="X117" s="254"/>
      <c r="Y117" s="254"/>
      <c r="Z117" s="254"/>
      <c r="AA117" s="254"/>
      <c r="AB117" s="254"/>
      <c r="AC117" s="254"/>
    </row>
    <row r="118" ht="12.75" customHeight="1" spans="1:29">
      <c r="A118" s="254"/>
      <c r="B118" s="254"/>
      <c r="C118" s="254"/>
      <c r="D118" s="276"/>
      <c r="E118" s="254"/>
      <c r="F118" s="254"/>
      <c r="G118" s="254"/>
      <c r="H118" s="254"/>
      <c r="I118" s="254"/>
      <c r="J118" s="254"/>
      <c r="K118" s="254"/>
      <c r="L118" s="254"/>
      <c r="M118" s="254"/>
      <c r="N118" s="254"/>
      <c r="O118" s="254"/>
      <c r="P118" s="254"/>
      <c r="Q118" s="254"/>
      <c r="R118" s="254"/>
      <c r="S118" s="254"/>
      <c r="T118" s="254"/>
      <c r="U118" s="254"/>
      <c r="V118" s="254"/>
      <c r="W118" s="254"/>
      <c r="X118" s="254"/>
      <c r="Y118" s="254"/>
      <c r="Z118" s="254"/>
      <c r="AA118" s="254"/>
      <c r="AB118" s="254"/>
      <c r="AC118" s="254"/>
    </row>
    <row r="119" ht="12.75" customHeight="1" spans="1:29">
      <c r="A119" s="254"/>
      <c r="B119" s="254"/>
      <c r="C119" s="254"/>
      <c r="D119" s="276"/>
      <c r="E119" s="254"/>
      <c r="F119" s="254"/>
      <c r="G119" s="254"/>
      <c r="H119" s="254"/>
      <c r="I119" s="254"/>
      <c r="J119" s="254"/>
      <c r="K119" s="254"/>
      <c r="L119" s="254"/>
      <c r="M119" s="254"/>
      <c r="N119" s="254"/>
      <c r="O119" s="254"/>
      <c r="P119" s="254"/>
      <c r="Q119" s="254"/>
      <c r="R119" s="254"/>
      <c r="S119" s="254"/>
      <c r="T119" s="254"/>
      <c r="U119" s="254"/>
      <c r="V119" s="254"/>
      <c r="W119" s="254"/>
      <c r="X119" s="254"/>
      <c r="Y119" s="254"/>
      <c r="Z119" s="254"/>
      <c r="AA119" s="254"/>
      <c r="AB119" s="254"/>
      <c r="AC119" s="254"/>
    </row>
    <row r="120" ht="12.75" customHeight="1" spans="1:29">
      <c r="A120" s="254"/>
      <c r="B120" s="254"/>
      <c r="C120" s="254"/>
      <c r="D120" s="276"/>
      <c r="E120" s="254"/>
      <c r="F120" s="254"/>
      <c r="G120" s="254"/>
      <c r="H120" s="254"/>
      <c r="I120" s="254"/>
      <c r="J120" s="254"/>
      <c r="K120" s="254"/>
      <c r="L120" s="254"/>
      <c r="M120" s="254"/>
      <c r="N120" s="254"/>
      <c r="O120" s="254"/>
      <c r="P120" s="254"/>
      <c r="Q120" s="254"/>
      <c r="R120" s="254"/>
      <c r="S120" s="254"/>
      <c r="T120" s="254"/>
      <c r="U120" s="254"/>
      <c r="V120" s="254"/>
      <c r="W120" s="254"/>
      <c r="X120" s="254"/>
      <c r="Y120" s="254"/>
      <c r="Z120" s="254"/>
      <c r="AA120" s="254"/>
      <c r="AB120" s="254"/>
      <c r="AC120" s="254"/>
    </row>
    <row r="121" ht="12.75" customHeight="1" spans="1:29">
      <c r="A121" s="254"/>
      <c r="B121" s="254"/>
      <c r="C121" s="254"/>
      <c r="D121" s="276"/>
      <c r="E121" s="254"/>
      <c r="F121" s="254"/>
      <c r="G121" s="254"/>
      <c r="H121" s="254"/>
      <c r="I121" s="254"/>
      <c r="J121" s="254"/>
      <c r="K121" s="254"/>
      <c r="L121" s="254"/>
      <c r="M121" s="254"/>
      <c r="N121" s="254"/>
      <c r="O121" s="254"/>
      <c r="P121" s="254"/>
      <c r="Q121" s="254"/>
      <c r="R121" s="254"/>
      <c r="S121" s="254"/>
      <c r="T121" s="254"/>
      <c r="U121" s="254"/>
      <c r="V121" s="254"/>
      <c r="W121" s="254"/>
      <c r="X121" s="254"/>
      <c r="Y121" s="254"/>
      <c r="Z121" s="254"/>
      <c r="AA121" s="254"/>
      <c r="AB121" s="254"/>
      <c r="AC121" s="254"/>
    </row>
    <row r="122" ht="12.75" customHeight="1" spans="1:29">
      <c r="A122" s="254"/>
      <c r="B122" s="254"/>
      <c r="C122" s="254"/>
      <c r="D122" s="276"/>
      <c r="E122" s="254"/>
      <c r="F122" s="254"/>
      <c r="G122" s="254"/>
      <c r="H122" s="254"/>
      <c r="I122" s="254"/>
      <c r="J122" s="254"/>
      <c r="K122" s="254"/>
      <c r="L122" s="254"/>
      <c r="M122" s="254"/>
      <c r="N122" s="254"/>
      <c r="O122" s="254"/>
      <c r="P122" s="254"/>
      <c r="Q122" s="254"/>
      <c r="R122" s="254"/>
      <c r="S122" s="254"/>
      <c r="T122" s="254"/>
      <c r="U122" s="254"/>
      <c r="V122" s="254"/>
      <c r="W122" s="254"/>
      <c r="X122" s="254"/>
      <c r="Y122" s="254"/>
      <c r="Z122" s="254"/>
      <c r="AA122" s="254"/>
      <c r="AB122" s="254"/>
      <c r="AC122" s="254"/>
    </row>
    <row r="123" ht="12.75" customHeight="1" spans="1:29">
      <c r="A123" s="254"/>
      <c r="B123" s="254"/>
      <c r="C123" s="254"/>
      <c r="D123" s="276"/>
      <c r="E123" s="254"/>
      <c r="F123" s="254"/>
      <c r="G123" s="254"/>
      <c r="H123" s="254"/>
      <c r="I123" s="254"/>
      <c r="J123" s="254"/>
      <c r="K123" s="254"/>
      <c r="L123" s="254"/>
      <c r="M123" s="254"/>
      <c r="N123" s="254"/>
      <c r="O123" s="254"/>
      <c r="P123" s="254"/>
      <c r="Q123" s="254"/>
      <c r="R123" s="254"/>
      <c r="S123" s="254"/>
      <c r="T123" s="254"/>
      <c r="U123" s="254"/>
      <c r="V123" s="254"/>
      <c r="W123" s="254"/>
      <c r="X123" s="254"/>
      <c r="Y123" s="254"/>
      <c r="Z123" s="254"/>
      <c r="AA123" s="254"/>
      <c r="AB123" s="254"/>
      <c r="AC123" s="254"/>
    </row>
    <row r="124" ht="12.75" customHeight="1" spans="1:29">
      <c r="A124" s="254"/>
      <c r="B124" s="254"/>
      <c r="C124" s="254"/>
      <c r="D124" s="276"/>
      <c r="E124" s="254"/>
      <c r="F124" s="254"/>
      <c r="G124" s="254"/>
      <c r="H124" s="254"/>
      <c r="I124" s="254"/>
      <c r="J124" s="254"/>
      <c r="K124" s="254"/>
      <c r="L124" s="254"/>
      <c r="M124" s="254"/>
      <c r="N124" s="254"/>
      <c r="O124" s="254"/>
      <c r="P124" s="254"/>
      <c r="Q124" s="254"/>
      <c r="R124" s="254"/>
      <c r="S124" s="254"/>
      <c r="T124" s="254"/>
      <c r="U124" s="254"/>
      <c r="V124" s="254"/>
      <c r="W124" s="254"/>
      <c r="X124" s="254"/>
      <c r="Y124" s="254"/>
      <c r="Z124" s="254"/>
      <c r="AA124" s="254"/>
      <c r="AB124" s="254"/>
      <c r="AC124" s="254"/>
    </row>
    <row r="125" ht="12.75" customHeight="1" spans="1:29">
      <c r="A125" s="254"/>
      <c r="B125" s="254"/>
      <c r="C125" s="254"/>
      <c r="D125" s="276"/>
      <c r="E125" s="254"/>
      <c r="F125" s="254"/>
      <c r="G125" s="254"/>
      <c r="H125" s="254"/>
      <c r="I125" s="254"/>
      <c r="J125" s="254"/>
      <c r="K125" s="254"/>
      <c r="L125" s="254"/>
      <c r="M125" s="254"/>
      <c r="N125" s="254"/>
      <c r="O125" s="254"/>
      <c r="P125" s="254"/>
      <c r="Q125" s="254"/>
      <c r="R125" s="254"/>
      <c r="S125" s="254"/>
      <c r="T125" s="254"/>
      <c r="U125" s="254"/>
      <c r="V125" s="254"/>
      <c r="W125" s="254"/>
      <c r="X125" s="254"/>
      <c r="Y125" s="254"/>
      <c r="Z125" s="254"/>
      <c r="AA125" s="254"/>
      <c r="AB125" s="254"/>
      <c r="AC125" s="254"/>
    </row>
    <row r="126" ht="12.75" customHeight="1" spans="1:29">
      <c r="A126" s="254"/>
      <c r="B126" s="254"/>
      <c r="C126" s="254"/>
      <c r="D126" s="276"/>
      <c r="E126" s="254"/>
      <c r="F126" s="254"/>
      <c r="G126" s="254"/>
      <c r="H126" s="254"/>
      <c r="I126" s="254"/>
      <c r="J126" s="254"/>
      <c r="K126" s="254"/>
      <c r="L126" s="254"/>
      <c r="M126" s="254"/>
      <c r="N126" s="254"/>
      <c r="O126" s="254"/>
      <c r="P126" s="254"/>
      <c r="Q126" s="254"/>
      <c r="R126" s="254"/>
      <c r="S126" s="254"/>
      <c r="T126" s="254"/>
      <c r="U126" s="254"/>
      <c r="V126" s="254"/>
      <c r="W126" s="254"/>
      <c r="X126" s="254"/>
      <c r="Y126" s="254"/>
      <c r="Z126" s="254"/>
      <c r="AA126" s="254"/>
      <c r="AB126" s="254"/>
      <c r="AC126" s="254"/>
    </row>
    <row r="127" ht="12.75" customHeight="1" spans="1:29">
      <c r="A127" s="254"/>
      <c r="B127" s="254"/>
      <c r="C127" s="254"/>
      <c r="D127" s="276"/>
      <c r="E127" s="254"/>
      <c r="F127" s="254"/>
      <c r="G127" s="254"/>
      <c r="H127" s="254"/>
      <c r="I127" s="254"/>
      <c r="J127" s="254"/>
      <c r="K127" s="254"/>
      <c r="L127" s="254"/>
      <c r="M127" s="254"/>
      <c r="N127" s="254"/>
      <c r="O127" s="254"/>
      <c r="P127" s="254"/>
      <c r="Q127" s="254"/>
      <c r="R127" s="254"/>
      <c r="S127" s="254"/>
      <c r="T127" s="254"/>
      <c r="U127" s="254"/>
      <c r="V127" s="254"/>
      <c r="W127" s="254"/>
      <c r="X127" s="254"/>
      <c r="Y127" s="254"/>
      <c r="Z127" s="254"/>
      <c r="AA127" s="254"/>
      <c r="AB127" s="254"/>
      <c r="AC127" s="254"/>
    </row>
    <row r="128" ht="12.75" customHeight="1" spans="1:29">
      <c r="A128" s="254"/>
      <c r="B128" s="254"/>
      <c r="C128" s="254"/>
      <c r="D128" s="276"/>
      <c r="E128" s="254"/>
      <c r="F128" s="254"/>
      <c r="G128" s="254"/>
      <c r="H128" s="254"/>
      <c r="I128" s="254"/>
      <c r="J128" s="254"/>
      <c r="K128" s="254"/>
      <c r="L128" s="254"/>
      <c r="M128" s="254"/>
      <c r="N128" s="254"/>
      <c r="O128" s="254"/>
      <c r="P128" s="254"/>
      <c r="Q128" s="254"/>
      <c r="R128" s="254"/>
      <c r="S128" s="254"/>
      <c r="T128" s="254"/>
      <c r="U128" s="254"/>
      <c r="V128" s="254"/>
      <c r="W128" s="254"/>
      <c r="X128" s="254"/>
      <c r="Y128" s="254"/>
      <c r="Z128" s="254"/>
      <c r="AA128" s="254"/>
      <c r="AB128" s="254"/>
      <c r="AC128" s="254"/>
    </row>
    <row r="129" ht="12.75" customHeight="1" spans="1:29">
      <c r="A129" s="254"/>
      <c r="B129" s="254"/>
      <c r="C129" s="254"/>
      <c r="D129" s="276"/>
      <c r="E129" s="254"/>
      <c r="F129" s="254"/>
      <c r="G129" s="254"/>
      <c r="H129" s="254"/>
      <c r="I129" s="254"/>
      <c r="J129" s="254"/>
      <c r="K129" s="254"/>
      <c r="L129" s="254"/>
      <c r="M129" s="254"/>
      <c r="N129" s="254"/>
      <c r="O129" s="254"/>
      <c r="P129" s="254"/>
      <c r="Q129" s="254"/>
      <c r="R129" s="254"/>
      <c r="S129" s="254"/>
      <c r="T129" s="254"/>
      <c r="U129" s="254"/>
      <c r="V129" s="254"/>
      <c r="W129" s="254"/>
      <c r="X129" s="254"/>
      <c r="Y129" s="254"/>
      <c r="Z129" s="254"/>
      <c r="AA129" s="254"/>
      <c r="AB129" s="254"/>
      <c r="AC129" s="254"/>
    </row>
    <row r="130" ht="12.75" customHeight="1" spans="1:29">
      <c r="A130" s="254"/>
      <c r="B130" s="254"/>
      <c r="C130" s="254"/>
      <c r="D130" s="276"/>
      <c r="E130" s="254"/>
      <c r="F130" s="254"/>
      <c r="G130" s="254"/>
      <c r="H130" s="254"/>
      <c r="I130" s="254"/>
      <c r="J130" s="254"/>
      <c r="K130" s="254"/>
      <c r="L130" s="254"/>
      <c r="M130" s="254"/>
      <c r="N130" s="254"/>
      <c r="O130" s="254"/>
      <c r="P130" s="254"/>
      <c r="Q130" s="254"/>
      <c r="R130" s="254"/>
      <c r="S130" s="254"/>
      <c r="T130" s="254"/>
      <c r="U130" s="254"/>
      <c r="V130" s="254"/>
      <c r="W130" s="254"/>
      <c r="X130" s="254"/>
      <c r="Y130" s="254"/>
      <c r="Z130" s="254"/>
      <c r="AA130" s="254"/>
      <c r="AB130" s="254"/>
      <c r="AC130" s="254"/>
    </row>
    <row r="131" ht="12.75" customHeight="1" spans="1:29">
      <c r="A131" s="254"/>
      <c r="B131" s="254"/>
      <c r="C131" s="254"/>
      <c r="D131" s="276"/>
      <c r="E131" s="254"/>
      <c r="F131" s="254"/>
      <c r="G131" s="254"/>
      <c r="H131" s="254"/>
      <c r="I131" s="254"/>
      <c r="J131" s="254"/>
      <c r="K131" s="254"/>
      <c r="L131" s="254"/>
      <c r="M131" s="254"/>
      <c r="N131" s="254"/>
      <c r="O131" s="254"/>
      <c r="P131" s="254"/>
      <c r="Q131" s="254"/>
      <c r="R131" s="254"/>
      <c r="S131" s="254"/>
      <c r="T131" s="254"/>
      <c r="U131" s="254"/>
      <c r="V131" s="254"/>
      <c r="W131" s="254"/>
      <c r="X131" s="254"/>
      <c r="Y131" s="254"/>
      <c r="Z131" s="254"/>
      <c r="AA131" s="254"/>
      <c r="AB131" s="254"/>
      <c r="AC131" s="254"/>
    </row>
    <row r="132" ht="12.75" customHeight="1" spans="1:29">
      <c r="A132" s="254"/>
      <c r="B132" s="254"/>
      <c r="C132" s="254"/>
      <c r="D132" s="276"/>
      <c r="E132" s="254"/>
      <c r="F132" s="254"/>
      <c r="G132" s="254"/>
      <c r="H132" s="254"/>
      <c r="I132" s="254"/>
      <c r="J132" s="254"/>
      <c r="K132" s="254"/>
      <c r="L132" s="254"/>
      <c r="M132" s="254"/>
      <c r="N132" s="254"/>
      <c r="O132" s="254"/>
      <c r="P132" s="254"/>
      <c r="Q132" s="254"/>
      <c r="R132" s="254"/>
      <c r="S132" s="254"/>
      <c r="T132" s="254"/>
      <c r="U132" s="254"/>
      <c r="V132" s="254"/>
      <c r="W132" s="254"/>
      <c r="X132" s="254"/>
      <c r="Y132" s="254"/>
      <c r="Z132" s="254"/>
      <c r="AA132" s="254"/>
      <c r="AB132" s="254"/>
      <c r="AC132" s="254"/>
    </row>
    <row r="133" ht="12.75" customHeight="1" spans="1:29">
      <c r="A133" s="254"/>
      <c r="B133" s="254"/>
      <c r="C133" s="254"/>
      <c r="D133" s="276"/>
      <c r="E133" s="254"/>
      <c r="F133" s="254"/>
      <c r="G133" s="254"/>
      <c r="H133" s="254"/>
      <c r="I133" s="254"/>
      <c r="J133" s="254"/>
      <c r="K133" s="254"/>
      <c r="L133" s="254"/>
      <c r="M133" s="254"/>
      <c r="N133" s="254"/>
      <c r="O133" s="254"/>
      <c r="P133" s="254"/>
      <c r="Q133" s="254"/>
      <c r="R133" s="254"/>
      <c r="S133" s="254"/>
      <c r="T133" s="254"/>
      <c r="U133" s="254"/>
      <c r="V133" s="254"/>
      <c r="W133" s="254"/>
      <c r="X133" s="254"/>
      <c r="Y133" s="254"/>
      <c r="Z133" s="254"/>
      <c r="AA133" s="254"/>
      <c r="AB133" s="254"/>
      <c r="AC133" s="254"/>
    </row>
    <row r="134" ht="12.75" customHeight="1" spans="1:29">
      <c r="A134" s="254"/>
      <c r="B134" s="254"/>
      <c r="C134" s="254"/>
      <c r="D134" s="276"/>
      <c r="E134" s="254"/>
      <c r="F134" s="254"/>
      <c r="G134" s="254"/>
      <c r="H134" s="254"/>
      <c r="I134" s="254"/>
      <c r="J134" s="254"/>
      <c r="K134" s="254"/>
      <c r="L134" s="254"/>
      <c r="M134" s="254"/>
      <c r="N134" s="254"/>
      <c r="O134" s="254"/>
      <c r="P134" s="254"/>
      <c r="Q134" s="254"/>
      <c r="R134" s="254"/>
      <c r="S134" s="254"/>
      <c r="T134" s="254"/>
      <c r="U134" s="254"/>
      <c r="V134" s="254"/>
      <c r="W134" s="254"/>
      <c r="X134" s="254"/>
      <c r="Y134" s="254"/>
      <c r="Z134" s="254"/>
      <c r="AA134" s="254"/>
      <c r="AB134" s="254"/>
      <c r="AC134" s="254"/>
    </row>
    <row r="135" ht="12.75" customHeight="1" spans="1:29">
      <c r="A135" s="254"/>
      <c r="B135" s="254"/>
      <c r="C135" s="254"/>
      <c r="D135" s="276"/>
      <c r="E135" s="254"/>
      <c r="F135" s="254"/>
      <c r="G135" s="254"/>
      <c r="H135" s="254"/>
      <c r="I135" s="254"/>
      <c r="J135" s="254"/>
      <c r="K135" s="254"/>
      <c r="L135" s="254"/>
      <c r="M135" s="254"/>
      <c r="N135" s="254"/>
      <c r="O135" s="254"/>
      <c r="P135" s="254"/>
      <c r="Q135" s="254"/>
      <c r="R135" s="254"/>
      <c r="S135" s="254"/>
      <c r="T135" s="254"/>
      <c r="U135" s="254"/>
      <c r="V135" s="254"/>
      <c r="W135" s="254"/>
      <c r="X135" s="254"/>
      <c r="Y135" s="254"/>
      <c r="Z135" s="254"/>
      <c r="AA135" s="254"/>
      <c r="AB135" s="254"/>
      <c r="AC135" s="254"/>
    </row>
    <row r="136" ht="12.75" customHeight="1" spans="1:29">
      <c r="A136" s="254"/>
      <c r="B136" s="254"/>
      <c r="C136" s="254"/>
      <c r="D136" s="276"/>
      <c r="E136" s="254"/>
      <c r="F136" s="254"/>
      <c r="G136" s="254"/>
      <c r="H136" s="254"/>
      <c r="I136" s="254"/>
      <c r="J136" s="254"/>
      <c r="K136" s="254"/>
      <c r="L136" s="254"/>
      <c r="M136" s="254"/>
      <c r="N136" s="254"/>
      <c r="O136" s="254"/>
      <c r="P136" s="254"/>
      <c r="Q136" s="254"/>
      <c r="R136" s="254"/>
      <c r="S136" s="254"/>
      <c r="T136" s="254"/>
      <c r="U136" s="254"/>
      <c r="V136" s="254"/>
      <c r="W136" s="254"/>
      <c r="X136" s="254"/>
      <c r="Y136" s="254"/>
      <c r="Z136" s="254"/>
      <c r="AA136" s="254"/>
      <c r="AB136" s="254"/>
      <c r="AC136" s="254"/>
    </row>
    <row r="137" ht="12.75" customHeight="1" spans="1:29">
      <c r="A137" s="254"/>
      <c r="B137" s="254"/>
      <c r="C137" s="254"/>
      <c r="D137" s="276"/>
      <c r="E137" s="254"/>
      <c r="F137" s="254"/>
      <c r="G137" s="254"/>
      <c r="H137" s="254"/>
      <c r="I137" s="254"/>
      <c r="J137" s="254"/>
      <c r="K137" s="254"/>
      <c r="L137" s="254"/>
      <c r="M137" s="254"/>
      <c r="N137" s="254"/>
      <c r="O137" s="254"/>
      <c r="P137" s="254"/>
      <c r="Q137" s="254"/>
      <c r="R137" s="254"/>
      <c r="S137" s="254"/>
      <c r="T137" s="254"/>
      <c r="U137" s="254"/>
      <c r="V137" s="254"/>
      <c r="W137" s="254"/>
      <c r="X137" s="254"/>
      <c r="Y137" s="254"/>
      <c r="Z137" s="254"/>
      <c r="AA137" s="254"/>
      <c r="AB137" s="254"/>
      <c r="AC137" s="254"/>
    </row>
    <row r="138" ht="12.75" customHeight="1" spans="1:29">
      <c r="A138" s="254"/>
      <c r="B138" s="254"/>
      <c r="C138" s="254"/>
      <c r="D138" s="276"/>
      <c r="E138" s="254"/>
      <c r="F138" s="254"/>
      <c r="G138" s="254"/>
      <c r="H138" s="254"/>
      <c r="I138" s="254"/>
      <c r="J138" s="254"/>
      <c r="K138" s="254"/>
      <c r="L138" s="254"/>
      <c r="M138" s="254"/>
      <c r="N138" s="254"/>
      <c r="O138" s="254"/>
      <c r="P138" s="254"/>
      <c r="Q138" s="254"/>
      <c r="R138" s="254"/>
      <c r="S138" s="254"/>
      <c r="T138" s="254"/>
      <c r="U138" s="254"/>
      <c r="V138" s="254"/>
      <c r="W138" s="254"/>
      <c r="X138" s="254"/>
      <c r="Y138" s="254"/>
      <c r="Z138" s="254"/>
      <c r="AA138" s="254"/>
      <c r="AB138" s="254"/>
      <c r="AC138" s="254"/>
    </row>
    <row r="139" ht="12.75" customHeight="1" spans="1:29">
      <c r="A139" s="254"/>
      <c r="B139" s="254"/>
      <c r="C139" s="254"/>
      <c r="D139" s="276"/>
      <c r="E139" s="254"/>
      <c r="F139" s="254"/>
      <c r="G139" s="254"/>
      <c r="H139" s="254"/>
      <c r="I139" s="254"/>
      <c r="J139" s="254"/>
      <c r="K139" s="254"/>
      <c r="L139" s="254"/>
      <c r="M139" s="254"/>
      <c r="N139" s="254"/>
      <c r="O139" s="254"/>
      <c r="P139" s="254"/>
      <c r="Q139" s="254"/>
      <c r="R139" s="254"/>
      <c r="S139" s="254"/>
      <c r="T139" s="254"/>
      <c r="U139" s="254"/>
      <c r="V139" s="254"/>
      <c r="W139" s="254"/>
      <c r="X139" s="254"/>
      <c r="Y139" s="254"/>
      <c r="Z139" s="254"/>
      <c r="AA139" s="254"/>
      <c r="AB139" s="254"/>
      <c r="AC139" s="254"/>
    </row>
    <row r="140" ht="12.75" customHeight="1" spans="1:29">
      <c r="A140" s="254"/>
      <c r="B140" s="254"/>
      <c r="C140" s="254"/>
      <c r="D140" s="276"/>
      <c r="E140" s="254"/>
      <c r="F140" s="254"/>
      <c r="G140" s="254"/>
      <c r="H140" s="254"/>
      <c r="I140" s="254"/>
      <c r="J140" s="254"/>
      <c r="K140" s="254"/>
      <c r="L140" s="254"/>
      <c r="M140" s="254"/>
      <c r="N140" s="254"/>
      <c r="O140" s="254"/>
      <c r="P140" s="254"/>
      <c r="Q140" s="254"/>
      <c r="R140" s="254"/>
      <c r="S140" s="254"/>
      <c r="T140" s="254"/>
      <c r="U140" s="254"/>
      <c r="V140" s="254"/>
      <c r="W140" s="254"/>
      <c r="X140" s="254"/>
      <c r="Y140" s="254"/>
      <c r="Z140" s="254"/>
      <c r="AA140" s="254"/>
      <c r="AB140" s="254"/>
      <c r="AC140" s="254"/>
    </row>
    <row r="141" ht="12.75" customHeight="1" spans="1:29">
      <c r="A141" s="254"/>
      <c r="B141" s="254"/>
      <c r="C141" s="254"/>
      <c r="D141" s="276"/>
      <c r="E141" s="254"/>
      <c r="F141" s="254"/>
      <c r="G141" s="254"/>
      <c r="H141" s="254"/>
      <c r="I141" s="254"/>
      <c r="J141" s="254"/>
      <c r="K141" s="254"/>
      <c r="L141" s="254"/>
      <c r="M141" s="254"/>
      <c r="N141" s="254"/>
      <c r="O141" s="254"/>
      <c r="P141" s="254"/>
      <c r="Q141" s="254"/>
      <c r="R141" s="254"/>
      <c r="S141" s="254"/>
      <c r="T141" s="254"/>
      <c r="U141" s="254"/>
      <c r="V141" s="254"/>
      <c r="W141" s="254"/>
      <c r="X141" s="254"/>
      <c r="Y141" s="254"/>
      <c r="Z141" s="254"/>
      <c r="AA141" s="254"/>
      <c r="AB141" s="254"/>
      <c r="AC141" s="254"/>
    </row>
    <row r="142" ht="12.75" customHeight="1" spans="1:29">
      <c r="A142" s="254"/>
      <c r="B142" s="254"/>
      <c r="C142" s="254"/>
      <c r="D142" s="276"/>
      <c r="E142" s="254"/>
      <c r="F142" s="254"/>
      <c r="G142" s="254"/>
      <c r="H142" s="254"/>
      <c r="I142" s="254"/>
      <c r="J142" s="254"/>
      <c r="K142" s="254"/>
      <c r="L142" s="254"/>
      <c r="M142" s="254"/>
      <c r="N142" s="254"/>
      <c r="O142" s="254"/>
      <c r="P142" s="254"/>
      <c r="Q142" s="254"/>
      <c r="R142" s="254"/>
      <c r="S142" s="254"/>
      <c r="T142" s="254"/>
      <c r="U142" s="254"/>
      <c r="V142" s="254"/>
      <c r="W142" s="254"/>
      <c r="X142" s="254"/>
      <c r="Y142" s="254"/>
      <c r="Z142" s="254"/>
      <c r="AA142" s="254"/>
      <c r="AB142" s="254"/>
      <c r="AC142" s="254"/>
    </row>
    <row r="143" ht="12.75" customHeight="1" spans="1:29">
      <c r="A143" s="254"/>
      <c r="B143" s="254"/>
      <c r="C143" s="254"/>
      <c r="D143" s="276"/>
      <c r="E143" s="254"/>
      <c r="F143" s="254"/>
      <c r="G143" s="254"/>
      <c r="H143" s="254"/>
      <c r="I143" s="254"/>
      <c r="J143" s="254"/>
      <c r="K143" s="254"/>
      <c r="L143" s="254"/>
      <c r="M143" s="254"/>
      <c r="N143" s="254"/>
      <c r="O143" s="254"/>
      <c r="P143" s="254"/>
      <c r="Q143" s="254"/>
      <c r="R143" s="254"/>
      <c r="S143" s="254"/>
      <c r="T143" s="254"/>
      <c r="U143" s="254"/>
      <c r="V143" s="254"/>
      <c r="W143" s="254"/>
      <c r="X143" s="254"/>
      <c r="Y143" s="254"/>
      <c r="Z143" s="254"/>
      <c r="AA143" s="254"/>
      <c r="AB143" s="254"/>
      <c r="AC143" s="254"/>
    </row>
    <row r="144" ht="12.75" customHeight="1" spans="1:29">
      <c r="A144" s="254"/>
      <c r="B144" s="254"/>
      <c r="C144" s="254"/>
      <c r="D144" s="276"/>
      <c r="E144" s="254"/>
      <c r="F144" s="254"/>
      <c r="G144" s="254"/>
      <c r="H144" s="254"/>
      <c r="I144" s="254"/>
      <c r="J144" s="254"/>
      <c r="K144" s="254"/>
      <c r="L144" s="254"/>
      <c r="M144" s="254"/>
      <c r="N144" s="254"/>
      <c r="O144" s="254"/>
      <c r="P144" s="254"/>
      <c r="Q144" s="254"/>
      <c r="R144" s="254"/>
      <c r="S144" s="254"/>
      <c r="T144" s="254"/>
      <c r="U144" s="254"/>
      <c r="V144" s="254"/>
      <c r="W144" s="254"/>
      <c r="X144" s="254"/>
      <c r="Y144" s="254"/>
      <c r="Z144" s="254"/>
      <c r="AA144" s="254"/>
      <c r="AB144" s="254"/>
      <c r="AC144" s="254"/>
    </row>
    <row r="145" ht="12.75" customHeight="1" spans="1:29">
      <c r="A145" s="254"/>
      <c r="B145" s="254"/>
      <c r="C145" s="254"/>
      <c r="D145" s="276"/>
      <c r="E145" s="254"/>
      <c r="F145" s="254"/>
      <c r="G145" s="254"/>
      <c r="H145" s="254"/>
      <c r="I145" s="254"/>
      <c r="J145" s="254"/>
      <c r="K145" s="254"/>
      <c r="L145" s="254"/>
      <c r="M145" s="254"/>
      <c r="N145" s="254"/>
      <c r="O145" s="254"/>
      <c r="P145" s="254"/>
      <c r="Q145" s="254"/>
      <c r="R145" s="254"/>
      <c r="S145" s="254"/>
      <c r="T145" s="254"/>
      <c r="U145" s="254"/>
      <c r="V145" s="254"/>
      <c r="W145" s="254"/>
      <c r="X145" s="254"/>
      <c r="Y145" s="254"/>
      <c r="Z145" s="254"/>
      <c r="AA145" s="254"/>
      <c r="AB145" s="254"/>
      <c r="AC145" s="254"/>
    </row>
    <row r="146" ht="12.75" customHeight="1" spans="1:29">
      <c r="A146" s="254"/>
      <c r="B146" s="254"/>
      <c r="C146" s="254"/>
      <c r="D146" s="276"/>
      <c r="E146" s="254"/>
      <c r="F146" s="254"/>
      <c r="G146" s="254"/>
      <c r="H146" s="254"/>
      <c r="I146" s="254"/>
      <c r="J146" s="254"/>
      <c r="K146" s="254"/>
      <c r="L146" s="254"/>
      <c r="M146" s="254"/>
      <c r="N146" s="254"/>
      <c r="O146" s="254"/>
      <c r="P146" s="254"/>
      <c r="Q146" s="254"/>
      <c r="R146" s="254"/>
      <c r="S146" s="254"/>
      <c r="T146" s="254"/>
      <c r="U146" s="254"/>
      <c r="V146" s="254"/>
      <c r="W146" s="254"/>
      <c r="X146" s="254"/>
      <c r="Y146" s="254"/>
      <c r="Z146" s="254"/>
      <c r="AA146" s="254"/>
      <c r="AB146" s="254"/>
      <c r="AC146" s="254"/>
    </row>
    <row r="147" ht="12.75" customHeight="1" spans="1:29">
      <c r="A147" s="254"/>
      <c r="B147" s="254"/>
      <c r="C147" s="254"/>
      <c r="D147" s="276"/>
      <c r="E147" s="254"/>
      <c r="F147" s="254"/>
      <c r="G147" s="254"/>
      <c r="H147" s="254"/>
      <c r="I147" s="254"/>
      <c r="J147" s="254"/>
      <c r="K147" s="254"/>
      <c r="L147" s="254"/>
      <c r="M147" s="254"/>
      <c r="N147" s="254"/>
      <c r="O147" s="254"/>
      <c r="P147" s="254"/>
      <c r="Q147" s="254"/>
      <c r="R147" s="254"/>
      <c r="S147" s="254"/>
      <c r="T147" s="254"/>
      <c r="U147" s="254"/>
      <c r="V147" s="254"/>
      <c r="W147" s="254"/>
      <c r="X147" s="254"/>
      <c r="Y147" s="254"/>
      <c r="Z147" s="254"/>
      <c r="AA147" s="254"/>
      <c r="AB147" s="254"/>
      <c r="AC147" s="254"/>
    </row>
    <row r="148" ht="12.75" customHeight="1" spans="1:29">
      <c r="A148" s="254"/>
      <c r="B148" s="254"/>
      <c r="C148" s="254"/>
      <c r="D148" s="276"/>
      <c r="E148" s="254"/>
      <c r="F148" s="254"/>
      <c r="G148" s="254"/>
      <c r="H148" s="254"/>
      <c r="I148" s="254"/>
      <c r="J148" s="254"/>
      <c r="K148" s="254"/>
      <c r="L148" s="254"/>
      <c r="M148" s="254"/>
      <c r="N148" s="254"/>
      <c r="O148" s="254"/>
      <c r="P148" s="254"/>
      <c r="Q148" s="254"/>
      <c r="R148" s="254"/>
      <c r="S148" s="254"/>
      <c r="T148" s="254"/>
      <c r="U148" s="254"/>
      <c r="V148" s="254"/>
      <c r="W148" s="254"/>
      <c r="X148" s="254"/>
      <c r="Y148" s="254"/>
      <c r="Z148" s="254"/>
      <c r="AA148" s="254"/>
      <c r="AB148" s="254"/>
      <c r="AC148" s="254"/>
    </row>
    <row r="149" ht="12.75" customHeight="1" spans="1:29">
      <c r="A149" s="254"/>
      <c r="B149" s="254"/>
      <c r="C149" s="254"/>
      <c r="D149" s="276"/>
      <c r="E149" s="254"/>
      <c r="F149" s="254"/>
      <c r="G149" s="254"/>
      <c r="H149" s="254"/>
      <c r="I149" s="254"/>
      <c r="J149" s="254"/>
      <c r="K149" s="254"/>
      <c r="L149" s="254"/>
      <c r="M149" s="254"/>
      <c r="N149" s="254"/>
      <c r="O149" s="254"/>
      <c r="P149" s="254"/>
      <c r="Q149" s="254"/>
      <c r="R149" s="254"/>
      <c r="S149" s="254"/>
      <c r="T149" s="254"/>
      <c r="U149" s="254"/>
      <c r="V149" s="254"/>
      <c r="W149" s="254"/>
      <c r="X149" s="254"/>
      <c r="Y149" s="254"/>
      <c r="Z149" s="254"/>
      <c r="AA149" s="254"/>
      <c r="AB149" s="254"/>
      <c r="AC149" s="254"/>
    </row>
    <row r="150" ht="12.75" customHeight="1" spans="1:29">
      <c r="A150" s="254"/>
      <c r="B150" s="254"/>
      <c r="C150" s="254"/>
      <c r="D150" s="276"/>
      <c r="E150" s="254"/>
      <c r="F150" s="254"/>
      <c r="G150" s="254"/>
      <c r="H150" s="254"/>
      <c r="I150" s="254"/>
      <c r="J150" s="254"/>
      <c r="K150" s="254"/>
      <c r="L150" s="254"/>
      <c r="M150" s="254"/>
      <c r="N150" s="254"/>
      <c r="O150" s="254"/>
      <c r="P150" s="254"/>
      <c r="Q150" s="254"/>
      <c r="R150" s="254"/>
      <c r="S150" s="254"/>
      <c r="T150" s="254"/>
      <c r="U150" s="254"/>
      <c r="V150" s="254"/>
      <c r="W150" s="254"/>
      <c r="X150" s="254"/>
      <c r="Y150" s="254"/>
      <c r="Z150" s="254"/>
      <c r="AA150" s="254"/>
      <c r="AB150" s="254"/>
      <c r="AC150" s="254"/>
    </row>
    <row r="151" ht="12.75" customHeight="1" spans="1:29">
      <c r="A151" s="254"/>
      <c r="B151" s="254"/>
      <c r="C151" s="254"/>
      <c r="D151" s="276"/>
      <c r="E151" s="254"/>
      <c r="F151" s="254"/>
      <c r="G151" s="254"/>
      <c r="H151" s="254"/>
      <c r="I151" s="254"/>
      <c r="J151" s="254"/>
      <c r="K151" s="254"/>
      <c r="L151" s="254"/>
      <c r="M151" s="254"/>
      <c r="N151" s="254"/>
      <c r="O151" s="254"/>
      <c r="P151" s="254"/>
      <c r="Q151" s="254"/>
      <c r="R151" s="254"/>
      <c r="S151" s="254"/>
      <c r="T151" s="254"/>
      <c r="U151" s="254"/>
      <c r="V151" s="254"/>
      <c r="W151" s="254"/>
      <c r="X151" s="254"/>
      <c r="Y151" s="254"/>
      <c r="Z151" s="254"/>
      <c r="AA151" s="254"/>
      <c r="AB151" s="254"/>
      <c r="AC151" s="254"/>
    </row>
    <row r="152" ht="12.75" customHeight="1" spans="1:29">
      <c r="A152" s="254"/>
      <c r="B152" s="254"/>
      <c r="C152" s="254"/>
      <c r="D152" s="276"/>
      <c r="E152" s="254"/>
      <c r="F152" s="254"/>
      <c r="G152" s="254"/>
      <c r="H152" s="254"/>
      <c r="I152" s="254"/>
      <c r="J152" s="254"/>
      <c r="K152" s="254"/>
      <c r="L152" s="254"/>
      <c r="M152" s="254"/>
      <c r="N152" s="254"/>
      <c r="O152" s="254"/>
      <c r="P152" s="254"/>
      <c r="Q152" s="254"/>
      <c r="R152" s="254"/>
      <c r="S152" s="254"/>
      <c r="T152" s="254"/>
      <c r="U152" s="254"/>
      <c r="V152" s="254"/>
      <c r="W152" s="254"/>
      <c r="X152" s="254"/>
      <c r="Y152" s="254"/>
      <c r="Z152" s="254"/>
      <c r="AA152" s="254"/>
      <c r="AB152" s="254"/>
      <c r="AC152" s="254"/>
    </row>
    <row r="153" ht="12.75" customHeight="1" spans="1:29">
      <c r="A153" s="254"/>
      <c r="B153" s="254"/>
      <c r="C153" s="254"/>
      <c r="D153" s="276"/>
      <c r="E153" s="254"/>
      <c r="F153" s="254"/>
      <c r="G153" s="254"/>
      <c r="H153" s="254"/>
      <c r="I153" s="254"/>
      <c r="J153" s="254"/>
      <c r="K153" s="254"/>
      <c r="L153" s="254"/>
      <c r="M153" s="254"/>
      <c r="N153" s="254"/>
      <c r="O153" s="254"/>
      <c r="P153" s="254"/>
      <c r="Q153" s="254"/>
      <c r="R153" s="254"/>
      <c r="S153" s="254"/>
      <c r="T153" s="254"/>
      <c r="U153" s="254"/>
      <c r="V153" s="254"/>
      <c r="W153" s="254"/>
      <c r="X153" s="254"/>
      <c r="Y153" s="254"/>
      <c r="Z153" s="254"/>
      <c r="AA153" s="254"/>
      <c r="AB153" s="254"/>
      <c r="AC153" s="254"/>
    </row>
    <row r="154" ht="12.75" customHeight="1" spans="1:29">
      <c r="A154" s="254"/>
      <c r="B154" s="254"/>
      <c r="C154" s="254"/>
      <c r="D154" s="276"/>
      <c r="E154" s="254"/>
      <c r="F154" s="254"/>
      <c r="G154" s="254"/>
      <c r="H154" s="254"/>
      <c r="I154" s="254"/>
      <c r="J154" s="254"/>
      <c r="K154" s="254"/>
      <c r="L154" s="254"/>
      <c r="M154" s="254"/>
      <c r="N154" s="254"/>
      <c r="O154" s="254"/>
      <c r="P154" s="254"/>
      <c r="Q154" s="254"/>
      <c r="R154" s="254"/>
      <c r="S154" s="254"/>
      <c r="T154" s="254"/>
      <c r="U154" s="254"/>
      <c r="V154" s="254"/>
      <c r="W154" s="254"/>
      <c r="X154" s="254"/>
      <c r="Y154" s="254"/>
      <c r="Z154" s="254"/>
      <c r="AA154" s="254"/>
      <c r="AB154" s="254"/>
      <c r="AC154" s="254"/>
    </row>
    <row r="155" ht="12.75" customHeight="1" spans="1:29">
      <c r="A155" s="254"/>
      <c r="B155" s="254"/>
      <c r="C155" s="254"/>
      <c r="D155" s="276"/>
      <c r="E155" s="254"/>
      <c r="F155" s="254"/>
      <c r="G155" s="254"/>
      <c r="H155" s="254"/>
      <c r="I155" s="254"/>
      <c r="J155" s="254"/>
      <c r="K155" s="254"/>
      <c r="L155" s="254"/>
      <c r="M155" s="254"/>
      <c r="N155" s="254"/>
      <c r="O155" s="254"/>
      <c r="P155" s="254"/>
      <c r="Q155" s="254"/>
      <c r="R155" s="254"/>
      <c r="S155" s="254"/>
      <c r="T155" s="254"/>
      <c r="U155" s="254"/>
      <c r="V155" s="254"/>
      <c r="W155" s="254"/>
      <c r="X155" s="254"/>
      <c r="Y155" s="254"/>
      <c r="Z155" s="254"/>
      <c r="AA155" s="254"/>
      <c r="AB155" s="254"/>
      <c r="AC155" s="254"/>
    </row>
    <row r="156" ht="12.75" customHeight="1" spans="1:29">
      <c r="A156" s="254"/>
      <c r="B156" s="254"/>
      <c r="C156" s="254"/>
      <c r="D156" s="276"/>
      <c r="E156" s="254"/>
      <c r="F156" s="254"/>
      <c r="G156" s="254"/>
      <c r="H156" s="254"/>
      <c r="I156" s="254"/>
      <c r="J156" s="254"/>
      <c r="K156" s="254"/>
      <c r="L156" s="254"/>
      <c r="M156" s="254"/>
      <c r="N156" s="254"/>
      <c r="O156" s="254"/>
      <c r="P156" s="254"/>
      <c r="Q156" s="254"/>
      <c r="R156" s="254"/>
      <c r="S156" s="254"/>
      <c r="T156" s="254"/>
      <c r="U156" s="254"/>
      <c r="V156" s="254"/>
      <c r="W156" s="254"/>
      <c r="X156" s="254"/>
      <c r="Y156" s="254"/>
      <c r="Z156" s="254"/>
      <c r="AA156" s="254"/>
      <c r="AB156" s="254"/>
      <c r="AC156" s="254"/>
    </row>
    <row r="157" ht="12.75" customHeight="1" spans="1:29">
      <c r="A157" s="254"/>
      <c r="B157" s="254"/>
      <c r="C157" s="254"/>
      <c r="D157" s="276"/>
      <c r="E157" s="254"/>
      <c r="F157" s="254"/>
      <c r="G157" s="254"/>
      <c r="H157" s="254"/>
      <c r="I157" s="254"/>
      <c r="J157" s="254"/>
      <c r="K157" s="254"/>
      <c r="L157" s="254"/>
      <c r="M157" s="254"/>
      <c r="N157" s="254"/>
      <c r="O157" s="254"/>
      <c r="P157" s="254"/>
      <c r="Q157" s="254"/>
      <c r="R157" s="254"/>
      <c r="S157" s="254"/>
      <c r="T157" s="254"/>
      <c r="U157" s="254"/>
      <c r="V157" s="254"/>
      <c r="W157" s="254"/>
      <c r="X157" s="254"/>
      <c r="Y157" s="254"/>
      <c r="Z157" s="254"/>
      <c r="AA157" s="254"/>
      <c r="AB157" s="254"/>
      <c r="AC157" s="254"/>
    </row>
    <row r="158" ht="12.75" customHeight="1" spans="1:29">
      <c r="A158" s="254"/>
      <c r="B158" s="254"/>
      <c r="C158" s="254"/>
      <c r="D158" s="276"/>
      <c r="E158" s="254"/>
      <c r="F158" s="254"/>
      <c r="G158" s="254"/>
      <c r="H158" s="254"/>
      <c r="I158" s="254"/>
      <c r="J158" s="254"/>
      <c r="K158" s="254"/>
      <c r="L158" s="254"/>
      <c r="M158" s="254"/>
      <c r="N158" s="254"/>
      <c r="O158" s="254"/>
      <c r="P158" s="254"/>
      <c r="Q158" s="254"/>
      <c r="R158" s="254"/>
      <c r="S158" s="254"/>
      <c r="T158" s="254"/>
      <c r="U158" s="254"/>
      <c r="V158" s="254"/>
      <c r="W158" s="254"/>
      <c r="X158" s="254"/>
      <c r="Y158" s="254"/>
      <c r="Z158" s="254"/>
      <c r="AA158" s="254"/>
      <c r="AB158" s="254"/>
      <c r="AC158" s="254"/>
    </row>
    <row r="159" ht="12.75" customHeight="1" spans="1:29">
      <c r="A159" s="254"/>
      <c r="B159" s="254"/>
      <c r="C159" s="254"/>
      <c r="D159" s="276"/>
      <c r="E159" s="254"/>
      <c r="F159" s="254"/>
      <c r="G159" s="254"/>
      <c r="H159" s="254"/>
      <c r="I159" s="254"/>
      <c r="J159" s="254"/>
      <c r="K159" s="254"/>
      <c r="L159" s="254"/>
      <c r="M159" s="254"/>
      <c r="N159" s="254"/>
      <c r="O159" s="254"/>
      <c r="P159" s="254"/>
      <c r="Q159" s="254"/>
      <c r="R159" s="254"/>
      <c r="S159" s="254"/>
      <c r="T159" s="254"/>
      <c r="U159" s="254"/>
      <c r="V159" s="254"/>
      <c r="W159" s="254"/>
      <c r="X159" s="254"/>
      <c r="Y159" s="254"/>
      <c r="Z159" s="254"/>
      <c r="AA159" s="254"/>
      <c r="AB159" s="254"/>
      <c r="AC159" s="254"/>
    </row>
    <row r="160" ht="12.75" customHeight="1" spans="1:29">
      <c r="A160" s="254"/>
      <c r="B160" s="254"/>
      <c r="C160" s="254"/>
      <c r="D160" s="276"/>
      <c r="E160" s="254"/>
      <c r="F160" s="254"/>
      <c r="G160" s="254"/>
      <c r="H160" s="254"/>
      <c r="I160" s="254"/>
      <c r="J160" s="254"/>
      <c r="K160" s="254"/>
      <c r="L160" s="254"/>
      <c r="M160" s="254"/>
      <c r="N160" s="254"/>
      <c r="O160" s="254"/>
      <c r="P160" s="254"/>
      <c r="Q160" s="254"/>
      <c r="R160" s="254"/>
      <c r="S160" s="254"/>
      <c r="T160" s="254"/>
      <c r="U160" s="254"/>
      <c r="V160" s="254"/>
      <c r="W160" s="254"/>
      <c r="X160" s="254"/>
      <c r="Y160" s="254"/>
      <c r="Z160" s="254"/>
      <c r="AA160" s="254"/>
      <c r="AB160" s="254"/>
      <c r="AC160" s="254"/>
    </row>
    <row r="161" ht="12.75" customHeight="1" spans="1:29">
      <c r="A161" s="254"/>
      <c r="B161" s="254"/>
      <c r="C161" s="254"/>
      <c r="D161" s="276"/>
      <c r="E161" s="254"/>
      <c r="F161" s="254"/>
      <c r="G161" s="254"/>
      <c r="H161" s="254"/>
      <c r="I161" s="254"/>
      <c r="J161" s="254"/>
      <c r="K161" s="254"/>
      <c r="L161" s="254"/>
      <c r="M161" s="254"/>
      <c r="N161" s="254"/>
      <c r="O161" s="254"/>
      <c r="P161" s="254"/>
      <c r="Q161" s="254"/>
      <c r="R161" s="254"/>
      <c r="S161" s="254"/>
      <c r="T161" s="254"/>
      <c r="U161" s="254"/>
      <c r="V161" s="254"/>
      <c r="W161" s="254"/>
      <c r="X161" s="254"/>
      <c r="Y161" s="254"/>
      <c r="Z161" s="254"/>
      <c r="AA161" s="254"/>
      <c r="AB161" s="254"/>
      <c r="AC161" s="254"/>
    </row>
    <row r="162" ht="12.75" customHeight="1" spans="1:29">
      <c r="A162" s="254"/>
      <c r="B162" s="254"/>
      <c r="C162" s="254"/>
      <c r="D162" s="276"/>
      <c r="E162" s="254"/>
      <c r="F162" s="254"/>
      <c r="G162" s="254"/>
      <c r="H162" s="254"/>
      <c r="I162" s="254"/>
      <c r="J162" s="254"/>
      <c r="K162" s="254"/>
      <c r="L162" s="254"/>
      <c r="M162" s="254"/>
      <c r="N162" s="254"/>
      <c r="O162" s="254"/>
      <c r="P162" s="254"/>
      <c r="Q162" s="254"/>
      <c r="R162" s="254"/>
      <c r="S162" s="254"/>
      <c r="T162" s="254"/>
      <c r="U162" s="254"/>
      <c r="V162" s="254"/>
      <c r="W162" s="254"/>
      <c r="X162" s="254"/>
      <c r="Y162" s="254"/>
      <c r="Z162" s="254"/>
      <c r="AA162" s="254"/>
      <c r="AB162" s="254"/>
      <c r="AC162" s="254"/>
    </row>
    <row r="163" ht="12.75" customHeight="1" spans="1:29">
      <c r="A163" s="254"/>
      <c r="B163" s="254"/>
      <c r="C163" s="254"/>
      <c r="D163" s="276"/>
      <c r="E163" s="254"/>
      <c r="F163" s="254"/>
      <c r="G163" s="254"/>
      <c r="H163" s="254"/>
      <c r="I163" s="254"/>
      <c r="J163" s="254"/>
      <c r="K163" s="254"/>
      <c r="L163" s="254"/>
      <c r="M163" s="254"/>
      <c r="N163" s="254"/>
      <c r="O163" s="254"/>
      <c r="P163" s="254"/>
      <c r="Q163" s="254"/>
      <c r="R163" s="254"/>
      <c r="S163" s="254"/>
      <c r="T163" s="254"/>
      <c r="U163" s="254"/>
      <c r="V163" s="254"/>
      <c r="W163" s="254"/>
      <c r="X163" s="254"/>
      <c r="Y163" s="254"/>
      <c r="Z163" s="254"/>
      <c r="AA163" s="254"/>
      <c r="AB163" s="254"/>
      <c r="AC163" s="254"/>
    </row>
    <row r="164" ht="12.75" customHeight="1" spans="1:29">
      <c r="A164" s="254"/>
      <c r="B164" s="254"/>
      <c r="C164" s="254"/>
      <c r="D164" s="276"/>
      <c r="E164" s="254"/>
      <c r="F164" s="254"/>
      <c r="G164" s="254"/>
      <c r="H164" s="254"/>
      <c r="I164" s="254"/>
      <c r="J164" s="254"/>
      <c r="K164" s="254"/>
      <c r="L164" s="254"/>
      <c r="M164" s="254"/>
      <c r="N164" s="254"/>
      <c r="O164" s="254"/>
      <c r="P164" s="254"/>
      <c r="Q164" s="254"/>
      <c r="R164" s="254"/>
      <c r="S164" s="254"/>
      <c r="T164" s="254"/>
      <c r="U164" s="254"/>
      <c r="V164" s="254"/>
      <c r="W164" s="254"/>
      <c r="X164" s="254"/>
      <c r="Y164" s="254"/>
      <c r="Z164" s="254"/>
      <c r="AA164" s="254"/>
      <c r="AB164" s="254"/>
      <c r="AC164" s="254"/>
    </row>
    <row r="165" ht="12.75" customHeight="1" spans="1:29">
      <c r="A165" s="254"/>
      <c r="B165" s="254"/>
      <c r="C165" s="254"/>
      <c r="D165" s="276"/>
      <c r="E165" s="254"/>
      <c r="F165" s="254"/>
      <c r="G165" s="254"/>
      <c r="H165" s="254"/>
      <c r="I165" s="254"/>
      <c r="J165" s="254"/>
      <c r="K165" s="254"/>
      <c r="L165" s="254"/>
      <c r="M165" s="254"/>
      <c r="N165" s="254"/>
      <c r="O165" s="254"/>
      <c r="P165" s="254"/>
      <c r="Q165" s="254"/>
      <c r="R165" s="254"/>
      <c r="S165" s="254"/>
      <c r="T165" s="254"/>
      <c r="U165" s="254"/>
      <c r="V165" s="254"/>
      <c r="W165" s="254"/>
      <c r="X165" s="254"/>
      <c r="Y165" s="254"/>
      <c r="Z165" s="254"/>
      <c r="AA165" s="254"/>
      <c r="AB165" s="254"/>
      <c r="AC165" s="254"/>
    </row>
    <row r="166" ht="12.75" customHeight="1" spans="1:29">
      <c r="A166" s="254"/>
      <c r="B166" s="254"/>
      <c r="C166" s="254"/>
      <c r="D166" s="276"/>
      <c r="E166" s="254"/>
      <c r="F166" s="254"/>
      <c r="G166" s="254"/>
      <c r="H166" s="254"/>
      <c r="I166" s="254"/>
      <c r="J166" s="254"/>
      <c r="K166" s="254"/>
      <c r="L166" s="254"/>
      <c r="M166" s="254"/>
      <c r="N166" s="254"/>
      <c r="O166" s="254"/>
      <c r="P166" s="254"/>
      <c r="Q166" s="254"/>
      <c r="R166" s="254"/>
      <c r="S166" s="254"/>
      <c r="T166" s="254"/>
      <c r="U166" s="254"/>
      <c r="V166" s="254"/>
      <c r="W166" s="254"/>
      <c r="X166" s="254"/>
      <c r="Y166" s="254"/>
      <c r="Z166" s="254"/>
      <c r="AA166" s="254"/>
      <c r="AB166" s="254"/>
      <c r="AC166" s="254"/>
    </row>
    <row r="167" ht="12.75" customHeight="1" spans="1:29">
      <c r="A167" s="254"/>
      <c r="B167" s="254"/>
      <c r="C167" s="254"/>
      <c r="D167" s="276"/>
      <c r="E167" s="254"/>
      <c r="F167" s="254"/>
      <c r="G167" s="254"/>
      <c r="H167" s="254"/>
      <c r="I167" s="254"/>
      <c r="J167" s="254"/>
      <c r="K167" s="254"/>
      <c r="L167" s="254"/>
      <c r="M167" s="254"/>
      <c r="N167" s="254"/>
      <c r="O167" s="254"/>
      <c r="P167" s="254"/>
      <c r="Q167" s="254"/>
      <c r="R167" s="254"/>
      <c r="S167" s="254"/>
      <c r="T167" s="254"/>
      <c r="U167" s="254"/>
      <c r="V167" s="254"/>
      <c r="W167" s="254"/>
      <c r="X167" s="254"/>
      <c r="Y167" s="254"/>
      <c r="Z167" s="254"/>
      <c r="AA167" s="254"/>
      <c r="AB167" s="254"/>
      <c r="AC167" s="254"/>
    </row>
    <row r="168" ht="12.75" customHeight="1" spans="1:29">
      <c r="A168" s="254"/>
      <c r="B168" s="254"/>
      <c r="C168" s="254"/>
      <c r="D168" s="276"/>
      <c r="E168" s="254"/>
      <c r="F168" s="254"/>
      <c r="G168" s="254"/>
      <c r="H168" s="254"/>
      <c r="I168" s="254"/>
      <c r="J168" s="254"/>
      <c r="K168" s="254"/>
      <c r="L168" s="254"/>
      <c r="M168" s="254"/>
      <c r="N168" s="254"/>
      <c r="O168" s="254"/>
      <c r="P168" s="254"/>
      <c r="Q168" s="254"/>
      <c r="R168" s="254"/>
      <c r="S168" s="254"/>
      <c r="T168" s="254"/>
      <c r="U168" s="254"/>
      <c r="V168" s="254"/>
      <c r="W168" s="254"/>
      <c r="X168" s="254"/>
      <c r="Y168" s="254"/>
      <c r="Z168" s="254"/>
      <c r="AA168" s="254"/>
      <c r="AB168" s="254"/>
      <c r="AC168" s="254"/>
    </row>
    <row r="169" ht="12.75" customHeight="1" spans="1:29">
      <c r="A169" s="254"/>
      <c r="B169" s="254"/>
      <c r="C169" s="254"/>
      <c r="D169" s="276"/>
      <c r="E169" s="254"/>
      <c r="F169" s="254"/>
      <c r="G169" s="254"/>
      <c r="H169" s="254"/>
      <c r="I169" s="254"/>
      <c r="J169" s="254"/>
      <c r="K169" s="254"/>
      <c r="L169" s="254"/>
      <c r="M169" s="254"/>
      <c r="N169" s="254"/>
      <c r="O169" s="254"/>
      <c r="P169" s="254"/>
      <c r="Q169" s="254"/>
      <c r="R169" s="254"/>
      <c r="S169" s="254"/>
      <c r="T169" s="254"/>
      <c r="U169" s="254"/>
      <c r="V169" s="254"/>
      <c r="W169" s="254"/>
      <c r="X169" s="254"/>
      <c r="Y169" s="254"/>
      <c r="Z169" s="254"/>
      <c r="AA169" s="254"/>
      <c r="AB169" s="254"/>
      <c r="AC169" s="254"/>
    </row>
    <row r="170" ht="12.75" customHeight="1" spans="1:29">
      <c r="A170" s="254"/>
      <c r="B170" s="254"/>
      <c r="C170" s="254"/>
      <c r="D170" s="276"/>
      <c r="E170" s="254"/>
      <c r="F170" s="254"/>
      <c r="G170" s="254"/>
      <c r="H170" s="254"/>
      <c r="I170" s="254"/>
      <c r="J170" s="254"/>
      <c r="K170" s="254"/>
      <c r="L170" s="254"/>
      <c r="M170" s="254"/>
      <c r="N170" s="254"/>
      <c r="O170" s="254"/>
      <c r="P170" s="254"/>
      <c r="Q170" s="254"/>
      <c r="R170" s="254"/>
      <c r="S170" s="254"/>
      <c r="T170" s="254"/>
      <c r="U170" s="254"/>
      <c r="V170" s="254"/>
      <c r="W170" s="254"/>
      <c r="X170" s="254"/>
      <c r="Y170" s="254"/>
      <c r="Z170" s="254"/>
      <c r="AA170" s="254"/>
      <c r="AB170" s="254"/>
      <c r="AC170" s="254"/>
    </row>
    <row r="171" ht="12.75" customHeight="1" spans="1:29">
      <c r="A171" s="254"/>
      <c r="B171" s="254"/>
      <c r="C171" s="254"/>
      <c r="D171" s="276"/>
      <c r="E171" s="254"/>
      <c r="F171" s="254"/>
      <c r="G171" s="254"/>
      <c r="H171" s="254"/>
      <c r="I171" s="254"/>
      <c r="J171" s="254"/>
      <c r="K171" s="254"/>
      <c r="L171" s="254"/>
      <c r="M171" s="254"/>
      <c r="N171" s="254"/>
      <c r="O171" s="254"/>
      <c r="P171" s="254"/>
      <c r="Q171" s="254"/>
      <c r="R171" s="254"/>
      <c r="S171" s="254"/>
      <c r="T171" s="254"/>
      <c r="U171" s="254"/>
      <c r="V171" s="254"/>
      <c r="W171" s="254"/>
      <c r="X171" s="254"/>
      <c r="Y171" s="254"/>
      <c r="Z171" s="254"/>
      <c r="AA171" s="254"/>
      <c r="AB171" s="254"/>
      <c r="AC171" s="254"/>
    </row>
    <row r="172" ht="12.75" customHeight="1" spans="1:29">
      <c r="A172" s="254"/>
      <c r="B172" s="254"/>
      <c r="C172" s="254"/>
      <c r="D172" s="276"/>
      <c r="E172" s="254"/>
      <c r="F172" s="254"/>
      <c r="G172" s="254"/>
      <c r="H172" s="254"/>
      <c r="I172" s="254"/>
      <c r="J172" s="254"/>
      <c r="K172" s="254"/>
      <c r="L172" s="254"/>
      <c r="M172" s="254"/>
      <c r="N172" s="254"/>
      <c r="O172" s="254"/>
      <c r="P172" s="254"/>
      <c r="Q172" s="254"/>
      <c r="R172" s="254"/>
      <c r="S172" s="254"/>
      <c r="T172" s="254"/>
      <c r="U172" s="254"/>
      <c r="V172" s="254"/>
      <c r="W172" s="254"/>
      <c r="X172" s="254"/>
      <c r="Y172" s="254"/>
      <c r="Z172" s="254"/>
      <c r="AA172" s="254"/>
      <c r="AB172" s="254"/>
      <c r="AC172" s="254"/>
    </row>
    <row r="173" ht="12.75" customHeight="1" spans="1:29">
      <c r="A173" s="254"/>
      <c r="B173" s="254"/>
      <c r="C173" s="254"/>
      <c r="D173" s="276"/>
      <c r="E173" s="254"/>
      <c r="F173" s="254"/>
      <c r="G173" s="254"/>
      <c r="H173" s="254"/>
      <c r="I173" s="254"/>
      <c r="J173" s="254"/>
      <c r="K173" s="254"/>
      <c r="L173" s="254"/>
      <c r="M173" s="254"/>
      <c r="N173" s="254"/>
      <c r="O173" s="254"/>
      <c r="P173" s="254"/>
      <c r="Q173" s="254"/>
      <c r="R173" s="254"/>
      <c r="S173" s="254"/>
      <c r="T173" s="254"/>
      <c r="U173" s="254"/>
      <c r="V173" s="254"/>
      <c r="W173" s="254"/>
      <c r="X173" s="254"/>
      <c r="Y173" s="254"/>
      <c r="Z173" s="254"/>
      <c r="AA173" s="254"/>
      <c r="AB173" s="254"/>
      <c r="AC173" s="254"/>
    </row>
    <row r="174" ht="12.75" customHeight="1" spans="1:29">
      <c r="A174" s="254"/>
      <c r="B174" s="254"/>
      <c r="C174" s="254"/>
      <c r="D174" s="276"/>
      <c r="E174" s="254"/>
      <c r="F174" s="254"/>
      <c r="G174" s="254"/>
      <c r="H174" s="254"/>
      <c r="I174" s="254"/>
      <c r="J174" s="254"/>
      <c r="K174" s="254"/>
      <c r="L174" s="254"/>
      <c r="M174" s="254"/>
      <c r="N174" s="254"/>
      <c r="O174" s="254"/>
      <c r="P174" s="254"/>
      <c r="Q174" s="254"/>
      <c r="R174" s="254"/>
      <c r="S174" s="254"/>
      <c r="T174" s="254"/>
      <c r="U174" s="254"/>
      <c r="V174" s="254"/>
      <c r="W174" s="254"/>
      <c r="X174" s="254"/>
      <c r="Y174" s="254"/>
      <c r="Z174" s="254"/>
      <c r="AA174" s="254"/>
      <c r="AB174" s="254"/>
      <c r="AC174" s="254"/>
    </row>
    <row r="175" ht="12.75" customHeight="1" spans="1:29">
      <c r="A175" s="254"/>
      <c r="B175" s="254"/>
      <c r="C175" s="254"/>
      <c r="D175" s="276"/>
      <c r="E175" s="254"/>
      <c r="F175" s="254"/>
      <c r="G175" s="254"/>
      <c r="H175" s="254"/>
      <c r="I175" s="254"/>
      <c r="J175" s="254"/>
      <c r="K175" s="254"/>
      <c r="L175" s="254"/>
      <c r="M175" s="254"/>
      <c r="N175" s="254"/>
      <c r="O175" s="254"/>
      <c r="P175" s="254"/>
      <c r="Q175" s="254"/>
      <c r="R175" s="254"/>
      <c r="S175" s="254"/>
      <c r="T175" s="254"/>
      <c r="U175" s="254"/>
      <c r="V175" s="254"/>
      <c r="W175" s="254"/>
      <c r="X175" s="254"/>
      <c r="Y175" s="254"/>
      <c r="Z175" s="254"/>
      <c r="AA175" s="254"/>
      <c r="AB175" s="254"/>
      <c r="AC175" s="254"/>
    </row>
    <row r="176" ht="12.75" customHeight="1" spans="1:29">
      <c r="A176" s="254"/>
      <c r="B176" s="254"/>
      <c r="C176" s="254"/>
      <c r="D176" s="276"/>
      <c r="E176" s="254"/>
      <c r="F176" s="254"/>
      <c r="G176" s="254"/>
      <c r="H176" s="254"/>
      <c r="I176" s="254"/>
      <c r="J176" s="254"/>
      <c r="K176" s="254"/>
      <c r="L176" s="254"/>
      <c r="M176" s="254"/>
      <c r="N176" s="254"/>
      <c r="O176" s="254"/>
      <c r="P176" s="254"/>
      <c r="Q176" s="254"/>
      <c r="R176" s="254"/>
      <c r="S176" s="254"/>
      <c r="T176" s="254"/>
      <c r="U176" s="254"/>
      <c r="V176" s="254"/>
      <c r="W176" s="254"/>
      <c r="X176" s="254"/>
      <c r="Y176" s="254"/>
      <c r="Z176" s="254"/>
      <c r="AA176" s="254"/>
      <c r="AB176" s="254"/>
      <c r="AC176" s="254"/>
    </row>
    <row r="177" ht="12.75" customHeight="1" spans="1:29">
      <c r="A177" s="254"/>
      <c r="B177" s="254"/>
      <c r="C177" s="254"/>
      <c r="D177" s="276"/>
      <c r="E177" s="254"/>
      <c r="F177" s="254"/>
      <c r="G177" s="254"/>
      <c r="H177" s="254"/>
      <c r="I177" s="254"/>
      <c r="J177" s="254"/>
      <c r="K177" s="254"/>
      <c r="L177" s="254"/>
      <c r="M177" s="254"/>
      <c r="N177" s="254"/>
      <c r="O177" s="254"/>
      <c r="P177" s="254"/>
      <c r="Q177" s="254"/>
      <c r="R177" s="254"/>
      <c r="S177" s="254"/>
      <c r="T177" s="254"/>
      <c r="U177" s="254"/>
      <c r="V177" s="254"/>
      <c r="W177" s="254"/>
      <c r="X177" s="254"/>
      <c r="Y177" s="254"/>
      <c r="Z177" s="254"/>
      <c r="AA177" s="254"/>
      <c r="AB177" s="254"/>
      <c r="AC177" s="254"/>
    </row>
    <row r="178" ht="12.75" customHeight="1" spans="1:29">
      <c r="A178" s="254"/>
      <c r="B178" s="254"/>
      <c r="C178" s="254"/>
      <c r="D178" s="276"/>
      <c r="E178" s="254"/>
      <c r="F178" s="254"/>
      <c r="G178" s="254"/>
      <c r="H178" s="254"/>
      <c r="I178" s="254"/>
      <c r="J178" s="254"/>
      <c r="K178" s="254"/>
      <c r="L178" s="254"/>
      <c r="M178" s="254"/>
      <c r="N178" s="254"/>
      <c r="O178" s="254"/>
      <c r="P178" s="254"/>
      <c r="Q178" s="254"/>
      <c r="R178" s="254"/>
      <c r="S178" s="254"/>
      <c r="T178" s="254"/>
      <c r="U178" s="254"/>
      <c r="V178" s="254"/>
      <c r="W178" s="254"/>
      <c r="X178" s="254"/>
      <c r="Y178" s="254"/>
      <c r="Z178" s="254"/>
      <c r="AA178" s="254"/>
      <c r="AB178" s="254"/>
      <c r="AC178" s="254"/>
    </row>
    <row r="179" ht="12.75" customHeight="1" spans="1:29">
      <c r="A179" s="254"/>
      <c r="B179" s="254"/>
      <c r="C179" s="254"/>
      <c r="D179" s="276"/>
      <c r="E179" s="254"/>
      <c r="F179" s="254"/>
      <c r="G179" s="254"/>
      <c r="H179" s="254"/>
      <c r="I179" s="254"/>
      <c r="J179" s="254"/>
      <c r="K179" s="254"/>
      <c r="L179" s="254"/>
      <c r="M179" s="254"/>
      <c r="N179" s="254"/>
      <c r="O179" s="254"/>
      <c r="P179" s="254"/>
      <c r="Q179" s="254"/>
      <c r="R179" s="254"/>
      <c r="S179" s="254"/>
      <c r="T179" s="254"/>
      <c r="U179" s="254"/>
      <c r="V179" s="254"/>
      <c r="W179" s="254"/>
      <c r="X179" s="254"/>
      <c r="Y179" s="254"/>
      <c r="Z179" s="254"/>
      <c r="AA179" s="254"/>
      <c r="AB179" s="254"/>
      <c r="AC179" s="254"/>
    </row>
    <row r="180" ht="12.75" customHeight="1" spans="1:29">
      <c r="A180" s="254"/>
      <c r="B180" s="254"/>
      <c r="C180" s="254"/>
      <c r="D180" s="276"/>
      <c r="E180" s="254"/>
      <c r="F180" s="254"/>
      <c r="G180" s="254"/>
      <c r="H180" s="254"/>
      <c r="I180" s="254"/>
      <c r="J180" s="254"/>
      <c r="K180" s="254"/>
      <c r="L180" s="254"/>
      <c r="M180" s="254"/>
      <c r="N180" s="254"/>
      <c r="O180" s="254"/>
      <c r="P180" s="254"/>
      <c r="Q180" s="254"/>
      <c r="R180" s="254"/>
      <c r="S180" s="254"/>
      <c r="T180" s="254"/>
      <c r="U180" s="254"/>
      <c r="V180" s="254"/>
      <c r="W180" s="254"/>
      <c r="X180" s="254"/>
      <c r="Y180" s="254"/>
      <c r="Z180" s="254"/>
      <c r="AA180" s="254"/>
      <c r="AB180" s="254"/>
      <c r="AC180" s="254"/>
    </row>
    <row r="181" ht="12.75" customHeight="1" spans="1:29">
      <c r="A181" s="254"/>
      <c r="B181" s="254"/>
      <c r="C181" s="254"/>
      <c r="D181" s="276"/>
      <c r="E181" s="254"/>
      <c r="F181" s="254"/>
      <c r="G181" s="254"/>
      <c r="H181" s="254"/>
      <c r="I181" s="254"/>
      <c r="J181" s="254"/>
      <c r="K181" s="254"/>
      <c r="L181" s="254"/>
      <c r="M181" s="254"/>
      <c r="N181" s="254"/>
      <c r="O181" s="254"/>
      <c r="P181" s="254"/>
      <c r="Q181" s="254"/>
      <c r="R181" s="254"/>
      <c r="S181" s="254"/>
      <c r="T181" s="254"/>
      <c r="U181" s="254"/>
      <c r="V181" s="254"/>
      <c r="W181" s="254"/>
      <c r="X181" s="254"/>
      <c r="Y181" s="254"/>
      <c r="Z181" s="254"/>
      <c r="AA181" s="254"/>
      <c r="AB181" s="254"/>
      <c r="AC181" s="254"/>
    </row>
    <row r="182" ht="12.75" customHeight="1" spans="1:29">
      <c r="A182" s="254"/>
      <c r="B182" s="254"/>
      <c r="C182" s="254"/>
      <c r="D182" s="276"/>
      <c r="E182" s="254"/>
      <c r="F182" s="254"/>
      <c r="G182" s="254"/>
      <c r="H182" s="254"/>
      <c r="I182" s="254"/>
      <c r="J182" s="254"/>
      <c r="K182" s="254"/>
      <c r="L182" s="254"/>
      <c r="M182" s="254"/>
      <c r="N182" s="254"/>
      <c r="O182" s="254"/>
      <c r="P182" s="254"/>
      <c r="Q182" s="254"/>
      <c r="R182" s="254"/>
      <c r="S182" s="254"/>
      <c r="T182" s="254"/>
      <c r="U182" s="254"/>
      <c r="V182" s="254"/>
      <c r="W182" s="254"/>
      <c r="X182" s="254"/>
      <c r="Y182" s="254"/>
      <c r="Z182" s="254"/>
      <c r="AA182" s="254"/>
      <c r="AB182" s="254"/>
      <c r="AC182" s="254"/>
    </row>
    <row r="183" ht="12.75" customHeight="1" spans="1:29">
      <c r="A183" s="254"/>
      <c r="B183" s="254"/>
      <c r="C183" s="254"/>
      <c r="D183" s="276"/>
      <c r="E183" s="254"/>
      <c r="F183" s="254"/>
      <c r="G183" s="254"/>
      <c r="H183" s="254"/>
      <c r="I183" s="254"/>
      <c r="J183" s="254"/>
      <c r="K183" s="254"/>
      <c r="L183" s="254"/>
      <c r="M183" s="254"/>
      <c r="N183" s="254"/>
      <c r="O183" s="254"/>
      <c r="P183" s="254"/>
      <c r="Q183" s="254"/>
      <c r="R183" s="254"/>
      <c r="S183" s="254"/>
      <c r="T183" s="254"/>
      <c r="U183" s="254"/>
      <c r="V183" s="254"/>
      <c r="W183" s="254"/>
      <c r="X183" s="254"/>
      <c r="Y183" s="254"/>
      <c r="Z183" s="254"/>
      <c r="AA183" s="254"/>
      <c r="AB183" s="254"/>
      <c r="AC183" s="254"/>
    </row>
    <row r="184" ht="12.75" customHeight="1" spans="1:29">
      <c r="A184" s="254"/>
      <c r="B184" s="254"/>
      <c r="C184" s="254"/>
      <c r="D184" s="276"/>
      <c r="E184" s="254"/>
      <c r="F184" s="254"/>
      <c r="G184" s="254"/>
      <c r="H184" s="254"/>
      <c r="I184" s="254"/>
      <c r="J184" s="254"/>
      <c r="K184" s="254"/>
      <c r="L184" s="254"/>
      <c r="M184" s="254"/>
      <c r="N184" s="254"/>
      <c r="O184" s="254"/>
      <c r="P184" s="254"/>
      <c r="Q184" s="254"/>
      <c r="R184" s="254"/>
      <c r="S184" s="254"/>
      <c r="T184" s="254"/>
      <c r="U184" s="254"/>
      <c r="V184" s="254"/>
      <c r="W184" s="254"/>
      <c r="X184" s="254"/>
      <c r="Y184" s="254"/>
      <c r="Z184" s="254"/>
      <c r="AA184" s="254"/>
      <c r="AB184" s="254"/>
      <c r="AC184" s="254"/>
    </row>
    <row r="185" ht="12.75" customHeight="1" spans="1:29">
      <c r="A185" s="254"/>
      <c r="B185" s="254"/>
      <c r="C185" s="254"/>
      <c r="D185" s="276"/>
      <c r="E185" s="254"/>
      <c r="F185" s="254"/>
      <c r="G185" s="254"/>
      <c r="H185" s="254"/>
      <c r="I185" s="254"/>
      <c r="J185" s="254"/>
      <c r="K185" s="254"/>
      <c r="L185" s="254"/>
      <c r="M185" s="254"/>
      <c r="N185" s="254"/>
      <c r="O185" s="254"/>
      <c r="P185" s="254"/>
      <c r="Q185" s="254"/>
      <c r="R185" s="254"/>
      <c r="S185" s="254"/>
      <c r="T185" s="254"/>
      <c r="U185" s="254"/>
      <c r="V185" s="254"/>
      <c r="W185" s="254"/>
      <c r="X185" s="254"/>
      <c r="Y185" s="254"/>
      <c r="Z185" s="254"/>
      <c r="AA185" s="254"/>
      <c r="AB185" s="254"/>
      <c r="AC185" s="254"/>
    </row>
    <row r="186" ht="12.75" customHeight="1" spans="1:29">
      <c r="A186" s="254"/>
      <c r="B186" s="254"/>
      <c r="C186" s="254"/>
      <c r="D186" s="276"/>
      <c r="E186" s="254"/>
      <c r="F186" s="254"/>
      <c r="G186" s="254"/>
      <c r="H186" s="254"/>
      <c r="I186" s="254"/>
      <c r="J186" s="254"/>
      <c r="K186" s="254"/>
      <c r="L186" s="254"/>
      <c r="M186" s="254"/>
      <c r="N186" s="254"/>
      <c r="O186" s="254"/>
      <c r="P186" s="254"/>
      <c r="Q186" s="254"/>
      <c r="R186" s="254"/>
      <c r="S186" s="254"/>
      <c r="T186" s="254"/>
      <c r="U186" s="254"/>
      <c r="V186" s="254"/>
      <c r="W186" s="254"/>
      <c r="X186" s="254"/>
      <c r="Y186" s="254"/>
      <c r="Z186" s="254"/>
      <c r="AA186" s="254"/>
      <c r="AB186" s="254"/>
      <c r="AC186" s="254"/>
    </row>
    <row r="187" ht="12.75" customHeight="1" spans="1:29">
      <c r="A187" s="254"/>
      <c r="B187" s="254"/>
      <c r="C187" s="254"/>
      <c r="D187" s="276"/>
      <c r="E187" s="254"/>
      <c r="F187" s="254"/>
      <c r="G187" s="254"/>
      <c r="H187" s="254"/>
      <c r="I187" s="254"/>
      <c r="J187" s="254"/>
      <c r="K187" s="254"/>
      <c r="L187" s="254"/>
      <c r="M187" s="254"/>
      <c r="N187" s="254"/>
      <c r="O187" s="254"/>
      <c r="P187" s="254"/>
      <c r="Q187" s="254"/>
      <c r="R187" s="254"/>
      <c r="S187" s="254"/>
      <c r="T187" s="254"/>
      <c r="U187" s="254"/>
      <c r="V187" s="254"/>
      <c r="W187" s="254"/>
      <c r="X187" s="254"/>
      <c r="Y187" s="254"/>
      <c r="Z187" s="254"/>
      <c r="AA187" s="254"/>
      <c r="AB187" s="254"/>
      <c r="AC187" s="254"/>
    </row>
    <row r="188" ht="12.75" customHeight="1" spans="1:29">
      <c r="A188" s="254"/>
      <c r="B188" s="254"/>
      <c r="C188" s="254"/>
      <c r="D188" s="276"/>
      <c r="E188" s="254"/>
      <c r="F188" s="254"/>
      <c r="G188" s="254"/>
      <c r="H188" s="254"/>
      <c r="I188" s="254"/>
      <c r="J188" s="254"/>
      <c r="K188" s="254"/>
      <c r="L188" s="254"/>
      <c r="M188" s="254"/>
      <c r="N188" s="254"/>
      <c r="O188" s="254"/>
      <c r="P188" s="254"/>
      <c r="Q188" s="254"/>
      <c r="R188" s="254"/>
      <c r="S188" s="254"/>
      <c r="T188" s="254"/>
      <c r="U188" s="254"/>
      <c r="V188" s="254"/>
      <c r="W188" s="254"/>
      <c r="X188" s="254"/>
      <c r="Y188" s="254"/>
      <c r="Z188" s="254"/>
      <c r="AA188" s="254"/>
      <c r="AB188" s="254"/>
      <c r="AC188" s="254"/>
    </row>
    <row r="189" ht="12.75" customHeight="1" spans="1:29">
      <c r="A189" s="254"/>
      <c r="B189" s="254"/>
      <c r="C189" s="254"/>
      <c r="D189" s="276"/>
      <c r="E189" s="254"/>
      <c r="F189" s="254"/>
      <c r="G189" s="254"/>
      <c r="H189" s="254"/>
      <c r="I189" s="254"/>
      <c r="J189" s="254"/>
      <c r="K189" s="254"/>
      <c r="L189" s="254"/>
      <c r="M189" s="254"/>
      <c r="N189" s="254"/>
      <c r="O189" s="254"/>
      <c r="P189" s="254"/>
      <c r="Q189" s="254"/>
      <c r="R189" s="254"/>
      <c r="S189" s="254"/>
      <c r="T189" s="254"/>
      <c r="U189" s="254"/>
      <c r="V189" s="254"/>
      <c r="W189" s="254"/>
      <c r="X189" s="254"/>
      <c r="Y189" s="254"/>
      <c r="Z189" s="254"/>
      <c r="AA189" s="254"/>
      <c r="AB189" s="254"/>
      <c r="AC189" s="254"/>
    </row>
    <row r="190" ht="12.75" customHeight="1" spans="1:29">
      <c r="A190" s="254"/>
      <c r="B190" s="254"/>
      <c r="C190" s="254"/>
      <c r="D190" s="276"/>
      <c r="E190" s="254"/>
      <c r="F190" s="254"/>
      <c r="G190" s="254"/>
      <c r="H190" s="254"/>
      <c r="I190" s="254"/>
      <c r="J190" s="254"/>
      <c r="K190" s="254"/>
      <c r="L190" s="254"/>
      <c r="M190" s="254"/>
      <c r="N190" s="254"/>
      <c r="O190" s="254"/>
      <c r="P190" s="254"/>
      <c r="Q190" s="254"/>
      <c r="R190" s="254"/>
      <c r="S190" s="254"/>
      <c r="T190" s="254"/>
      <c r="U190" s="254"/>
      <c r="V190" s="254"/>
      <c r="W190" s="254"/>
      <c r="X190" s="254"/>
      <c r="Y190" s="254"/>
      <c r="Z190" s="254"/>
      <c r="AA190" s="254"/>
      <c r="AB190" s="254"/>
      <c r="AC190" s="254"/>
    </row>
    <row r="191" ht="12.75" customHeight="1" spans="1:29">
      <c r="A191" s="254"/>
      <c r="B191" s="254"/>
      <c r="C191" s="254"/>
      <c r="D191" s="276"/>
      <c r="E191" s="254"/>
      <c r="F191" s="254"/>
      <c r="G191" s="254"/>
      <c r="H191" s="254"/>
      <c r="I191" s="254"/>
      <c r="J191" s="254"/>
      <c r="K191" s="254"/>
      <c r="L191" s="254"/>
      <c r="M191" s="254"/>
      <c r="N191" s="254"/>
      <c r="O191" s="254"/>
      <c r="P191" s="254"/>
      <c r="Q191" s="254"/>
      <c r="R191" s="254"/>
      <c r="S191" s="254"/>
      <c r="T191" s="254"/>
      <c r="U191" s="254"/>
      <c r="V191" s="254"/>
      <c r="W191" s="254"/>
      <c r="X191" s="254"/>
      <c r="Y191" s="254"/>
      <c r="Z191" s="254"/>
      <c r="AA191" s="254"/>
      <c r="AB191" s="254"/>
      <c r="AC191" s="254"/>
    </row>
    <row r="192" ht="12.75" customHeight="1" spans="1:29">
      <c r="A192" s="254"/>
      <c r="B192" s="254"/>
      <c r="C192" s="254"/>
      <c r="D192" s="276"/>
      <c r="E192" s="254"/>
      <c r="F192" s="254"/>
      <c r="G192" s="254"/>
      <c r="H192" s="254"/>
      <c r="I192" s="254"/>
      <c r="J192" s="254"/>
      <c r="K192" s="254"/>
      <c r="L192" s="254"/>
      <c r="M192" s="254"/>
      <c r="N192" s="254"/>
      <c r="O192" s="254"/>
      <c r="P192" s="254"/>
      <c r="Q192" s="254"/>
      <c r="R192" s="254"/>
      <c r="S192" s="254"/>
      <c r="T192" s="254"/>
      <c r="U192" s="254"/>
      <c r="V192" s="254"/>
      <c r="W192" s="254"/>
      <c r="X192" s="254"/>
      <c r="Y192" s="254"/>
      <c r="Z192" s="254"/>
      <c r="AA192" s="254"/>
      <c r="AB192" s="254"/>
      <c r="AC192" s="254"/>
    </row>
    <row r="193" ht="12.75" customHeight="1" spans="1:29">
      <c r="A193" s="254"/>
      <c r="B193" s="254"/>
      <c r="C193" s="254"/>
      <c r="D193" s="276"/>
      <c r="E193" s="254"/>
      <c r="F193" s="254"/>
      <c r="G193" s="254"/>
      <c r="H193" s="254"/>
      <c r="I193" s="254"/>
      <c r="J193" s="254"/>
      <c r="K193" s="254"/>
      <c r="L193" s="254"/>
      <c r="M193" s="254"/>
      <c r="N193" s="254"/>
      <c r="O193" s="254"/>
      <c r="P193" s="254"/>
      <c r="Q193" s="254"/>
      <c r="R193" s="254"/>
      <c r="S193" s="254"/>
      <c r="T193" s="254"/>
      <c r="U193" s="254"/>
      <c r="V193" s="254"/>
      <c r="W193" s="254"/>
      <c r="X193" s="254"/>
      <c r="Y193" s="254"/>
      <c r="Z193" s="254"/>
      <c r="AA193" s="254"/>
      <c r="AB193" s="254"/>
      <c r="AC193" s="254"/>
    </row>
    <row r="194" ht="12.75" customHeight="1" spans="1:29">
      <c r="A194" s="254"/>
      <c r="B194" s="254"/>
      <c r="C194" s="254"/>
      <c r="D194" s="276"/>
      <c r="E194" s="254"/>
      <c r="F194" s="254"/>
      <c r="G194" s="254"/>
      <c r="H194" s="254"/>
      <c r="I194" s="254"/>
      <c r="J194" s="254"/>
      <c r="K194" s="254"/>
      <c r="L194" s="254"/>
      <c r="M194" s="254"/>
      <c r="N194" s="254"/>
      <c r="O194" s="254"/>
      <c r="P194" s="254"/>
      <c r="Q194" s="254"/>
      <c r="R194" s="254"/>
      <c r="S194" s="254"/>
      <c r="T194" s="254"/>
      <c r="U194" s="254"/>
      <c r="V194" s="254"/>
      <c r="W194" s="254"/>
      <c r="X194" s="254"/>
      <c r="Y194" s="254"/>
      <c r="Z194" s="254"/>
      <c r="AA194" s="254"/>
      <c r="AB194" s="254"/>
      <c r="AC194" s="254"/>
    </row>
    <row r="195" ht="12.75" customHeight="1" spans="1:29">
      <c r="A195" s="254"/>
      <c r="B195" s="254"/>
      <c r="C195" s="254"/>
      <c r="D195" s="276"/>
      <c r="E195" s="254"/>
      <c r="F195" s="254"/>
      <c r="G195" s="254"/>
      <c r="H195" s="254"/>
      <c r="I195" s="254"/>
      <c r="J195" s="254"/>
      <c r="K195" s="254"/>
      <c r="L195" s="254"/>
      <c r="M195" s="254"/>
      <c r="N195" s="254"/>
      <c r="O195" s="254"/>
      <c r="P195" s="254"/>
      <c r="Q195" s="254"/>
      <c r="R195" s="254"/>
      <c r="S195" s="254"/>
      <c r="T195" s="254"/>
      <c r="U195" s="254"/>
      <c r="V195" s="254"/>
      <c r="W195" s="254"/>
      <c r="X195" s="254"/>
      <c r="Y195" s="254"/>
      <c r="Z195" s="254"/>
      <c r="AA195" s="254"/>
      <c r="AB195" s="254"/>
      <c r="AC195" s="254"/>
    </row>
    <row r="196" ht="12.75" customHeight="1" spans="1:29">
      <c r="A196" s="254"/>
      <c r="B196" s="254"/>
      <c r="C196" s="254"/>
      <c r="D196" s="276"/>
      <c r="E196" s="254"/>
      <c r="F196" s="254"/>
      <c r="G196" s="254"/>
      <c r="H196" s="254"/>
      <c r="I196" s="254"/>
      <c r="J196" s="254"/>
      <c r="K196" s="254"/>
      <c r="L196" s="254"/>
      <c r="M196" s="254"/>
      <c r="N196" s="254"/>
      <c r="O196" s="254"/>
      <c r="P196" s="254"/>
      <c r="Q196" s="254"/>
      <c r="R196" s="254"/>
      <c r="S196" s="254"/>
      <c r="T196" s="254"/>
      <c r="U196" s="254"/>
      <c r="V196" s="254"/>
      <c r="W196" s="254"/>
      <c r="X196" s="254"/>
      <c r="Y196" s="254"/>
      <c r="Z196" s="254"/>
      <c r="AA196" s="254"/>
      <c r="AB196" s="254"/>
      <c r="AC196" s="254"/>
    </row>
    <row r="197" ht="12.75" customHeight="1" spans="1:29">
      <c r="A197" s="254"/>
      <c r="B197" s="254"/>
      <c r="C197" s="254"/>
      <c r="D197" s="276"/>
      <c r="E197" s="254"/>
      <c r="F197" s="254"/>
      <c r="G197" s="254"/>
      <c r="H197" s="254"/>
      <c r="I197" s="254"/>
      <c r="J197" s="254"/>
      <c r="K197" s="254"/>
      <c r="L197" s="254"/>
      <c r="M197" s="254"/>
      <c r="N197" s="254"/>
      <c r="O197" s="254"/>
      <c r="P197" s="254"/>
      <c r="Q197" s="254"/>
      <c r="R197" s="254"/>
      <c r="S197" s="254"/>
      <c r="T197" s="254"/>
      <c r="U197" s="254"/>
      <c r="V197" s="254"/>
      <c r="W197" s="254"/>
      <c r="X197" s="254"/>
      <c r="Y197" s="254"/>
      <c r="Z197" s="254"/>
      <c r="AA197" s="254"/>
      <c r="AB197" s="254"/>
      <c r="AC197" s="254"/>
    </row>
    <row r="198" ht="12.75" customHeight="1" spans="1:29">
      <c r="A198" s="254"/>
      <c r="B198" s="254"/>
      <c r="C198" s="254"/>
      <c r="D198" s="276"/>
      <c r="E198" s="254"/>
      <c r="F198" s="254"/>
      <c r="G198" s="254"/>
      <c r="H198" s="254"/>
      <c r="I198" s="254"/>
      <c r="J198" s="254"/>
      <c r="K198" s="254"/>
      <c r="L198" s="254"/>
      <c r="M198" s="254"/>
      <c r="N198" s="254"/>
      <c r="O198" s="254"/>
      <c r="P198" s="254"/>
      <c r="Q198" s="254"/>
      <c r="R198" s="254"/>
      <c r="S198" s="254"/>
      <c r="T198" s="254"/>
      <c r="U198" s="254"/>
      <c r="V198" s="254"/>
      <c r="W198" s="254"/>
      <c r="X198" s="254"/>
      <c r="Y198" s="254"/>
      <c r="Z198" s="254"/>
      <c r="AA198" s="254"/>
      <c r="AB198" s="254"/>
      <c r="AC198" s="254"/>
    </row>
    <row r="199" ht="12.75" customHeight="1" spans="1:29">
      <c r="A199" s="254"/>
      <c r="B199" s="254"/>
      <c r="C199" s="254"/>
      <c r="D199" s="276"/>
      <c r="E199" s="254"/>
      <c r="F199" s="254"/>
      <c r="G199" s="254"/>
      <c r="H199" s="254"/>
      <c r="I199" s="254"/>
      <c r="J199" s="254"/>
      <c r="K199" s="254"/>
      <c r="L199" s="254"/>
      <c r="M199" s="254"/>
      <c r="N199" s="254"/>
      <c r="O199" s="254"/>
      <c r="P199" s="254"/>
      <c r="Q199" s="254"/>
      <c r="R199" s="254"/>
      <c r="S199" s="254"/>
      <c r="T199" s="254"/>
      <c r="U199" s="254"/>
      <c r="V199" s="254"/>
      <c r="W199" s="254"/>
      <c r="X199" s="254"/>
      <c r="Y199" s="254"/>
      <c r="Z199" s="254"/>
      <c r="AA199" s="254"/>
      <c r="AB199" s="254"/>
      <c r="AC199" s="254"/>
    </row>
    <row r="200" ht="12.75" customHeight="1" spans="1:29">
      <c r="A200" s="254"/>
      <c r="B200" s="254"/>
      <c r="C200" s="254"/>
      <c r="D200" s="276"/>
      <c r="E200" s="254"/>
      <c r="F200" s="254"/>
      <c r="G200" s="254"/>
      <c r="H200" s="254"/>
      <c r="I200" s="254"/>
      <c r="J200" s="254"/>
      <c r="K200" s="254"/>
      <c r="L200" s="254"/>
      <c r="M200" s="254"/>
      <c r="N200" s="254"/>
      <c r="O200" s="254"/>
      <c r="P200" s="254"/>
      <c r="Q200" s="254"/>
      <c r="R200" s="254"/>
      <c r="S200" s="254"/>
      <c r="T200" s="254"/>
      <c r="U200" s="254"/>
      <c r="V200" s="254"/>
      <c r="W200" s="254"/>
      <c r="X200" s="254"/>
      <c r="Y200" s="254"/>
      <c r="Z200" s="254"/>
      <c r="AA200" s="254"/>
      <c r="AB200" s="254"/>
      <c r="AC200" s="254"/>
    </row>
    <row r="201" ht="12.75" customHeight="1" spans="1:29">
      <c r="A201" s="254"/>
      <c r="B201" s="254"/>
      <c r="C201" s="254"/>
      <c r="D201" s="276"/>
      <c r="E201" s="254"/>
      <c r="F201" s="254"/>
      <c r="G201" s="254"/>
      <c r="H201" s="254"/>
      <c r="I201" s="254"/>
      <c r="J201" s="254"/>
      <c r="K201" s="254"/>
      <c r="L201" s="254"/>
      <c r="M201" s="254"/>
      <c r="N201" s="254"/>
      <c r="O201" s="254"/>
      <c r="P201" s="254"/>
      <c r="Q201" s="254"/>
      <c r="R201" s="254"/>
      <c r="S201" s="254"/>
      <c r="T201" s="254"/>
      <c r="U201" s="254"/>
      <c r="V201" s="254"/>
      <c r="W201" s="254"/>
      <c r="X201" s="254"/>
      <c r="Y201" s="254"/>
      <c r="Z201" s="254"/>
      <c r="AA201" s="254"/>
      <c r="AB201" s="254"/>
      <c r="AC201" s="254"/>
    </row>
    <row r="202" ht="12.75" customHeight="1" spans="1:29">
      <c r="A202" s="254"/>
      <c r="B202" s="254"/>
      <c r="C202" s="254"/>
      <c r="D202" s="276"/>
      <c r="E202" s="254"/>
      <c r="F202" s="254"/>
      <c r="G202" s="254"/>
      <c r="H202" s="254"/>
      <c r="I202" s="254"/>
      <c r="J202" s="254"/>
      <c r="K202" s="254"/>
      <c r="L202" s="254"/>
      <c r="M202" s="254"/>
      <c r="N202" s="254"/>
      <c r="O202" s="254"/>
      <c r="P202" s="254"/>
      <c r="Q202" s="254"/>
      <c r="R202" s="254"/>
      <c r="S202" s="254"/>
      <c r="T202" s="254"/>
      <c r="U202" s="254"/>
      <c r="V202" s="254"/>
      <c r="W202" s="254"/>
      <c r="X202" s="254"/>
      <c r="Y202" s="254"/>
      <c r="Z202" s="254"/>
      <c r="AA202" s="254"/>
      <c r="AB202" s="254"/>
      <c r="AC202" s="254"/>
    </row>
    <row r="203" ht="12.75" customHeight="1" spans="1:29">
      <c r="A203" s="254"/>
      <c r="B203" s="254"/>
      <c r="C203" s="254"/>
      <c r="D203" s="276"/>
      <c r="E203" s="254"/>
      <c r="F203" s="254"/>
      <c r="G203" s="254"/>
      <c r="H203" s="254"/>
      <c r="I203" s="254"/>
      <c r="J203" s="254"/>
      <c r="K203" s="254"/>
      <c r="L203" s="254"/>
      <c r="M203" s="254"/>
      <c r="N203" s="254"/>
      <c r="O203" s="254"/>
      <c r="P203" s="254"/>
      <c r="Q203" s="254"/>
      <c r="R203" s="254"/>
      <c r="S203" s="254"/>
      <c r="T203" s="254"/>
      <c r="U203" s="254"/>
      <c r="V203" s="254"/>
      <c r="W203" s="254"/>
      <c r="X203" s="254"/>
      <c r="Y203" s="254"/>
      <c r="Z203" s="254"/>
      <c r="AA203" s="254"/>
      <c r="AB203" s="254"/>
      <c r="AC203" s="254"/>
    </row>
    <row r="204" ht="12.75" customHeight="1" spans="1:29">
      <c r="A204" s="254"/>
      <c r="B204" s="254"/>
      <c r="C204" s="254"/>
      <c r="D204" s="276"/>
      <c r="E204" s="254"/>
      <c r="F204" s="254"/>
      <c r="G204" s="254"/>
      <c r="H204" s="254"/>
      <c r="I204" s="254"/>
      <c r="J204" s="254"/>
      <c r="K204" s="254"/>
      <c r="L204" s="254"/>
      <c r="M204" s="254"/>
      <c r="N204" s="254"/>
      <c r="O204" s="254"/>
      <c r="P204" s="254"/>
      <c r="Q204" s="254"/>
      <c r="R204" s="254"/>
      <c r="S204" s="254"/>
      <c r="T204" s="254"/>
      <c r="U204" s="254"/>
      <c r="V204" s="254"/>
      <c r="W204" s="254"/>
      <c r="X204" s="254"/>
      <c r="Y204" s="254"/>
      <c r="Z204" s="254"/>
      <c r="AA204" s="254"/>
      <c r="AB204" s="254"/>
      <c r="AC204" s="254"/>
    </row>
    <row r="205" ht="12.75" customHeight="1" spans="1:29">
      <c r="A205" s="254"/>
      <c r="B205" s="254"/>
      <c r="C205" s="254"/>
      <c r="D205" s="276"/>
      <c r="E205" s="254"/>
      <c r="F205" s="254"/>
      <c r="G205" s="254"/>
      <c r="H205" s="254"/>
      <c r="I205" s="254"/>
      <c r="J205" s="254"/>
      <c r="K205" s="254"/>
      <c r="L205" s="254"/>
      <c r="M205" s="254"/>
      <c r="N205" s="254"/>
      <c r="O205" s="254"/>
      <c r="P205" s="254"/>
      <c r="Q205" s="254"/>
      <c r="R205" s="254"/>
      <c r="S205" s="254"/>
      <c r="T205" s="254"/>
      <c r="U205" s="254"/>
      <c r="V205" s="254"/>
      <c r="W205" s="254"/>
      <c r="X205" s="254"/>
      <c r="Y205" s="254"/>
      <c r="Z205" s="254"/>
      <c r="AA205" s="254"/>
      <c r="AB205" s="254"/>
      <c r="AC205" s="254"/>
    </row>
    <row r="206" ht="12.75" customHeight="1" spans="1:29">
      <c r="A206" s="254"/>
      <c r="B206" s="254"/>
      <c r="C206" s="254"/>
      <c r="D206" s="276"/>
      <c r="E206" s="254"/>
      <c r="F206" s="254"/>
      <c r="G206" s="254"/>
      <c r="H206" s="254"/>
      <c r="I206" s="254"/>
      <c r="J206" s="254"/>
      <c r="K206" s="254"/>
      <c r="L206" s="254"/>
      <c r="M206" s="254"/>
      <c r="N206" s="254"/>
      <c r="O206" s="254"/>
      <c r="P206" s="254"/>
      <c r="Q206" s="254"/>
      <c r="R206" s="254"/>
      <c r="S206" s="254"/>
      <c r="T206" s="254"/>
      <c r="U206" s="254"/>
      <c r="V206" s="254"/>
      <c r="W206" s="254"/>
      <c r="X206" s="254"/>
      <c r="Y206" s="254"/>
      <c r="Z206" s="254"/>
      <c r="AA206" s="254"/>
      <c r="AB206" s="254"/>
      <c r="AC206" s="254"/>
    </row>
    <row r="207" ht="12.75" customHeight="1" spans="1:29">
      <c r="A207" s="254"/>
      <c r="B207" s="254"/>
      <c r="C207" s="254"/>
      <c r="D207" s="276"/>
      <c r="E207" s="254"/>
      <c r="F207" s="254"/>
      <c r="G207" s="254"/>
      <c r="H207" s="254"/>
      <c r="I207" s="254"/>
      <c r="J207" s="254"/>
      <c r="K207" s="254"/>
      <c r="L207" s="254"/>
      <c r="M207" s="254"/>
      <c r="N207" s="254"/>
      <c r="O207" s="254"/>
      <c r="P207" s="254"/>
      <c r="Q207" s="254"/>
      <c r="R207" s="254"/>
      <c r="S207" s="254"/>
      <c r="T207" s="254"/>
      <c r="U207" s="254"/>
      <c r="V207" s="254"/>
      <c r="W207" s="254"/>
      <c r="X207" s="254"/>
      <c r="Y207" s="254"/>
      <c r="Z207" s="254"/>
      <c r="AA207" s="254"/>
      <c r="AB207" s="254"/>
      <c r="AC207" s="254"/>
    </row>
    <row r="208" ht="12.75" customHeight="1" spans="1:29">
      <c r="A208" s="254"/>
      <c r="B208" s="254"/>
      <c r="C208" s="254"/>
      <c r="D208" s="276"/>
      <c r="E208" s="254"/>
      <c r="F208" s="254"/>
      <c r="G208" s="254"/>
      <c r="H208" s="254"/>
      <c r="I208" s="254"/>
      <c r="J208" s="254"/>
      <c r="K208" s="254"/>
      <c r="L208" s="254"/>
      <c r="M208" s="254"/>
      <c r="N208" s="254"/>
      <c r="O208" s="254"/>
      <c r="P208" s="254"/>
      <c r="Q208" s="254"/>
      <c r="R208" s="254"/>
      <c r="S208" s="254"/>
      <c r="T208" s="254"/>
      <c r="U208" s="254"/>
      <c r="V208" s="254"/>
      <c r="W208" s="254"/>
      <c r="X208" s="254"/>
      <c r="Y208" s="254"/>
      <c r="Z208" s="254"/>
      <c r="AA208" s="254"/>
      <c r="AB208" s="254"/>
      <c r="AC208" s="254"/>
    </row>
    <row r="209" ht="12.75" customHeight="1" spans="1:29">
      <c r="A209" s="254"/>
      <c r="B209" s="254"/>
      <c r="C209" s="254"/>
      <c r="D209" s="276"/>
      <c r="E209" s="254"/>
      <c r="F209" s="254"/>
      <c r="G209" s="254"/>
      <c r="H209" s="254"/>
      <c r="I209" s="254"/>
      <c r="J209" s="254"/>
      <c r="K209" s="254"/>
      <c r="L209" s="254"/>
      <c r="M209" s="254"/>
      <c r="N209" s="254"/>
      <c r="O209" s="254"/>
      <c r="P209" s="254"/>
      <c r="Q209" s="254"/>
      <c r="R209" s="254"/>
      <c r="S209" s="254"/>
      <c r="T209" s="254"/>
      <c r="U209" s="254"/>
      <c r="V209" s="254"/>
      <c r="W209" s="254"/>
      <c r="X209" s="254"/>
      <c r="Y209" s="254"/>
      <c r="Z209" s="254"/>
      <c r="AA209" s="254"/>
      <c r="AB209" s="254"/>
      <c r="AC209" s="254"/>
    </row>
    <row r="210" ht="12.75" customHeight="1" spans="1:29">
      <c r="A210" s="254"/>
      <c r="B210" s="254"/>
      <c r="C210" s="254"/>
      <c r="D210" s="276"/>
      <c r="E210" s="254"/>
      <c r="F210" s="254"/>
      <c r="G210" s="254"/>
      <c r="H210" s="254"/>
      <c r="I210" s="254"/>
      <c r="J210" s="254"/>
      <c r="K210" s="254"/>
      <c r="L210" s="254"/>
      <c r="M210" s="254"/>
      <c r="N210" s="254"/>
      <c r="O210" s="254"/>
      <c r="P210" s="254"/>
      <c r="Q210" s="254"/>
      <c r="R210" s="254"/>
      <c r="S210" s="254"/>
      <c r="T210" s="254"/>
      <c r="U210" s="254"/>
      <c r="V210" s="254"/>
      <c r="W210" s="254"/>
      <c r="X210" s="254"/>
      <c r="Y210" s="254"/>
      <c r="Z210" s="254"/>
      <c r="AA210" s="254"/>
      <c r="AB210" s="254"/>
      <c r="AC210" s="254"/>
    </row>
    <row r="211" ht="12.75" customHeight="1" spans="1:29">
      <c r="A211" s="254"/>
      <c r="B211" s="254"/>
      <c r="C211" s="254"/>
      <c r="D211" s="276"/>
      <c r="E211" s="254"/>
      <c r="F211" s="254"/>
      <c r="G211" s="254"/>
      <c r="H211" s="254"/>
      <c r="I211" s="254"/>
      <c r="J211" s="254"/>
      <c r="K211" s="254"/>
      <c r="L211" s="254"/>
      <c r="M211" s="254"/>
      <c r="N211" s="254"/>
      <c r="O211" s="254"/>
      <c r="P211" s="254"/>
      <c r="Q211" s="254"/>
      <c r="R211" s="254"/>
      <c r="S211" s="254"/>
      <c r="T211" s="254"/>
      <c r="U211" s="254"/>
      <c r="V211" s="254"/>
      <c r="W211" s="254"/>
      <c r="X211" s="254"/>
      <c r="Y211" s="254"/>
      <c r="Z211" s="254"/>
      <c r="AA211" s="254"/>
      <c r="AB211" s="254"/>
      <c r="AC211" s="254"/>
    </row>
    <row r="212" ht="12.75" customHeight="1" spans="1:29">
      <c r="A212" s="254"/>
      <c r="B212" s="254"/>
      <c r="C212" s="254"/>
      <c r="D212" s="276"/>
      <c r="E212" s="254"/>
      <c r="F212" s="254"/>
      <c r="G212" s="254"/>
      <c r="H212" s="254"/>
      <c r="I212" s="254"/>
      <c r="J212" s="254"/>
      <c r="K212" s="254"/>
      <c r="L212" s="254"/>
      <c r="M212" s="254"/>
      <c r="N212" s="254"/>
      <c r="O212" s="254"/>
      <c r="P212" s="254"/>
      <c r="Q212" s="254"/>
      <c r="R212" s="254"/>
      <c r="S212" s="254"/>
      <c r="T212" s="254"/>
      <c r="U212" s="254"/>
      <c r="V212" s="254"/>
      <c r="W212" s="254"/>
      <c r="X212" s="254"/>
      <c r="Y212" s="254"/>
      <c r="Z212" s="254"/>
      <c r="AA212" s="254"/>
      <c r="AB212" s="254"/>
      <c r="AC212" s="254"/>
    </row>
    <row r="213" ht="12.75" customHeight="1" spans="1:29">
      <c r="A213" s="254"/>
      <c r="B213" s="254"/>
      <c r="C213" s="254"/>
      <c r="D213" s="276"/>
      <c r="E213" s="254"/>
      <c r="F213" s="254"/>
      <c r="G213" s="254"/>
      <c r="H213" s="254"/>
      <c r="I213" s="254"/>
      <c r="J213" s="254"/>
      <c r="K213" s="254"/>
      <c r="L213" s="254"/>
      <c r="M213" s="254"/>
      <c r="N213" s="254"/>
      <c r="O213" s="254"/>
      <c r="P213" s="254"/>
      <c r="Q213" s="254"/>
      <c r="R213" s="254"/>
      <c r="S213" s="254"/>
      <c r="T213" s="254"/>
      <c r="U213" s="254"/>
      <c r="V213" s="254"/>
      <c r="W213" s="254"/>
      <c r="X213" s="254"/>
      <c r="Y213" s="254"/>
      <c r="Z213" s="254"/>
      <c r="AA213" s="254"/>
      <c r="AB213" s="254"/>
      <c r="AC213" s="254"/>
    </row>
    <row r="214" ht="12.75" customHeight="1" spans="1:29">
      <c r="A214" s="254"/>
      <c r="B214" s="254"/>
      <c r="C214" s="254"/>
      <c r="D214" s="276"/>
      <c r="E214" s="254"/>
      <c r="F214" s="254"/>
      <c r="G214" s="254"/>
      <c r="H214" s="254"/>
      <c r="I214" s="254"/>
      <c r="J214" s="254"/>
      <c r="K214" s="254"/>
      <c r="L214" s="254"/>
      <c r="M214" s="254"/>
      <c r="N214" s="254"/>
      <c r="O214" s="254"/>
      <c r="P214" s="254"/>
      <c r="Q214" s="254"/>
      <c r="R214" s="254"/>
      <c r="S214" s="254"/>
      <c r="T214" s="254"/>
      <c r="U214" s="254"/>
      <c r="V214" s="254"/>
      <c r="W214" s="254"/>
      <c r="X214" s="254"/>
      <c r="Y214" s="254"/>
      <c r="Z214" s="254"/>
      <c r="AA214" s="254"/>
      <c r="AB214" s="254"/>
      <c r="AC214" s="254"/>
    </row>
    <row r="215" ht="12.75" customHeight="1" spans="1:29">
      <c r="A215" s="254"/>
      <c r="B215" s="254"/>
      <c r="C215" s="254"/>
      <c r="D215" s="276"/>
      <c r="E215" s="254"/>
      <c r="F215" s="254"/>
      <c r="G215" s="254"/>
      <c r="H215" s="254"/>
      <c r="I215" s="254"/>
      <c r="J215" s="254"/>
      <c r="K215" s="254"/>
      <c r="L215" s="254"/>
      <c r="M215" s="254"/>
      <c r="N215" s="254"/>
      <c r="O215" s="254"/>
      <c r="P215" s="254"/>
      <c r="Q215" s="254"/>
      <c r="R215" s="254"/>
      <c r="S215" s="254"/>
      <c r="T215" s="254"/>
      <c r="U215" s="254"/>
      <c r="V215" s="254"/>
      <c r="W215" s="254"/>
      <c r="X215" s="254"/>
      <c r="Y215" s="254"/>
      <c r="Z215" s="254"/>
      <c r="AA215" s="254"/>
      <c r="AB215" s="254"/>
      <c r="AC215" s="254"/>
    </row>
    <row r="216" ht="12.75" customHeight="1" spans="1:29">
      <c r="A216" s="254"/>
      <c r="B216" s="254"/>
      <c r="C216" s="254"/>
      <c r="D216" s="276"/>
      <c r="E216" s="254"/>
      <c r="F216" s="254"/>
      <c r="G216" s="254"/>
      <c r="H216" s="254"/>
      <c r="I216" s="254"/>
      <c r="J216" s="254"/>
      <c r="K216" s="254"/>
      <c r="L216" s="254"/>
      <c r="M216" s="254"/>
      <c r="N216" s="254"/>
      <c r="O216" s="254"/>
      <c r="P216" s="254"/>
      <c r="Q216" s="254"/>
      <c r="R216" s="254"/>
      <c r="S216" s="254"/>
      <c r="T216" s="254"/>
      <c r="U216" s="254"/>
      <c r="V216" s="254"/>
      <c r="W216" s="254"/>
      <c r="X216" s="254"/>
      <c r="Y216" s="254"/>
      <c r="Z216" s="254"/>
      <c r="AA216" s="254"/>
      <c r="AB216" s="254"/>
      <c r="AC216" s="254"/>
    </row>
    <row r="217" ht="12.75" customHeight="1" spans="1:29">
      <c r="A217" s="254"/>
      <c r="B217" s="254"/>
      <c r="C217" s="254"/>
      <c r="D217" s="276"/>
      <c r="E217" s="254"/>
      <c r="F217" s="254"/>
      <c r="G217" s="254"/>
      <c r="H217" s="254"/>
      <c r="I217" s="254"/>
      <c r="J217" s="254"/>
      <c r="K217" s="254"/>
      <c r="L217" s="254"/>
      <c r="M217" s="254"/>
      <c r="N217" s="254"/>
      <c r="O217" s="254"/>
      <c r="P217" s="254"/>
      <c r="Q217" s="254"/>
      <c r="R217" s="254"/>
      <c r="S217" s="254"/>
      <c r="T217" s="254"/>
      <c r="U217" s="254"/>
      <c r="V217" s="254"/>
      <c r="W217" s="254"/>
      <c r="X217" s="254"/>
      <c r="Y217" s="254"/>
      <c r="Z217" s="254"/>
      <c r="AA217" s="254"/>
      <c r="AB217" s="254"/>
      <c r="AC217" s="254"/>
    </row>
    <row r="218" ht="12.75" customHeight="1" spans="1:29">
      <c r="A218" s="254"/>
      <c r="B218" s="254"/>
      <c r="C218" s="254"/>
      <c r="D218" s="276"/>
      <c r="E218" s="254"/>
      <c r="F218" s="254"/>
      <c r="G218" s="254"/>
      <c r="H218" s="254"/>
      <c r="I218" s="254"/>
      <c r="J218" s="254"/>
      <c r="K218" s="254"/>
      <c r="L218" s="254"/>
      <c r="M218" s="254"/>
      <c r="N218" s="254"/>
      <c r="O218" s="254"/>
      <c r="P218" s="254"/>
      <c r="Q218" s="254"/>
      <c r="R218" s="254"/>
      <c r="S218" s="254"/>
      <c r="T218" s="254"/>
      <c r="U218" s="254"/>
      <c r="V218" s="254"/>
      <c r="W218" s="254"/>
      <c r="X218" s="254"/>
      <c r="Y218" s="254"/>
      <c r="Z218" s="254"/>
      <c r="AA218" s="254"/>
      <c r="AB218" s="254"/>
      <c r="AC218" s="254"/>
    </row>
    <row r="219" ht="12.75" customHeight="1" spans="1:29">
      <c r="A219" s="254"/>
      <c r="B219" s="254"/>
      <c r="C219" s="254"/>
      <c r="D219" s="276"/>
      <c r="E219" s="254"/>
      <c r="F219" s="254"/>
      <c r="G219" s="254"/>
      <c r="H219" s="254"/>
      <c r="I219" s="254"/>
      <c r="J219" s="254"/>
      <c r="K219" s="254"/>
      <c r="L219" s="254"/>
      <c r="M219" s="254"/>
      <c r="N219" s="254"/>
      <c r="O219" s="254"/>
      <c r="P219" s="254"/>
      <c r="Q219" s="254"/>
      <c r="R219" s="254"/>
      <c r="S219" s="254"/>
      <c r="T219" s="254"/>
      <c r="U219" s="254"/>
      <c r="V219" s="254"/>
      <c r="W219" s="254"/>
      <c r="X219" s="254"/>
      <c r="Y219" s="254"/>
      <c r="Z219" s="254"/>
      <c r="AA219" s="254"/>
      <c r="AB219" s="254"/>
      <c r="AC219" s="254"/>
    </row>
    <row r="220" ht="12.75" customHeight="1" spans="1:29">
      <c r="A220" s="254"/>
      <c r="B220" s="254"/>
      <c r="C220" s="254"/>
      <c r="D220" s="276"/>
      <c r="E220" s="254"/>
      <c r="F220" s="254"/>
      <c r="G220" s="254"/>
      <c r="H220" s="254"/>
      <c r="I220" s="254"/>
      <c r="J220" s="254"/>
      <c r="K220" s="254"/>
      <c r="L220" s="254"/>
      <c r="M220" s="254"/>
      <c r="N220" s="254"/>
      <c r="O220" s="254"/>
      <c r="P220" s="254"/>
      <c r="Q220" s="254"/>
      <c r="R220" s="254"/>
      <c r="S220" s="254"/>
      <c r="T220" s="254"/>
      <c r="U220" s="254"/>
      <c r="V220" s="254"/>
      <c r="W220" s="254"/>
      <c r="X220" s="254"/>
      <c r="Y220" s="254"/>
      <c r="Z220" s="254"/>
      <c r="AA220" s="254"/>
      <c r="AB220" s="254"/>
      <c r="AC220" s="254"/>
    </row>
    <row r="221" ht="12.75" customHeight="1" spans="1:29">
      <c r="A221" s="254"/>
      <c r="B221" s="254"/>
      <c r="C221" s="254"/>
      <c r="D221" s="276"/>
      <c r="E221" s="254"/>
      <c r="F221" s="254"/>
      <c r="G221" s="254"/>
      <c r="H221" s="254"/>
      <c r="I221" s="254"/>
      <c r="J221" s="254"/>
      <c r="K221" s="254"/>
      <c r="L221" s="254"/>
      <c r="M221" s="254"/>
      <c r="N221" s="254"/>
      <c r="O221" s="254"/>
      <c r="P221" s="254"/>
      <c r="Q221" s="254"/>
      <c r="R221" s="254"/>
      <c r="S221" s="254"/>
      <c r="T221" s="254"/>
      <c r="U221" s="254"/>
      <c r="V221" s="254"/>
      <c r="W221" s="254"/>
      <c r="X221" s="254"/>
      <c r="Y221" s="254"/>
      <c r="Z221" s="254"/>
      <c r="AA221" s="254"/>
      <c r="AB221" s="254"/>
      <c r="AC221" s="254"/>
    </row>
    <row r="222" ht="12.75" customHeight="1" spans="1:29">
      <c r="A222" s="254"/>
      <c r="B222" s="254"/>
      <c r="C222" s="254"/>
      <c r="D222" s="276"/>
      <c r="E222" s="254"/>
      <c r="F222" s="254"/>
      <c r="G222" s="254"/>
      <c r="H222" s="254"/>
      <c r="I222" s="254"/>
      <c r="J222" s="254"/>
      <c r="K222" s="254"/>
      <c r="L222" s="254"/>
      <c r="M222" s="254"/>
      <c r="N222" s="254"/>
      <c r="O222" s="254"/>
      <c r="P222" s="254"/>
      <c r="Q222" s="254"/>
      <c r="R222" s="254"/>
      <c r="S222" s="254"/>
      <c r="T222" s="254"/>
      <c r="U222" s="254"/>
      <c r="V222" s="254"/>
      <c r="W222" s="254"/>
      <c r="X222" s="254"/>
      <c r="Y222" s="254"/>
      <c r="Z222" s="254"/>
      <c r="AA222" s="254"/>
      <c r="AB222" s="254"/>
      <c r="AC222" s="254"/>
    </row>
    <row r="223" ht="12.75" customHeight="1" spans="1:29">
      <c r="A223" s="254"/>
      <c r="B223" s="254"/>
      <c r="C223" s="254"/>
      <c r="D223" s="276"/>
      <c r="E223" s="254"/>
      <c r="F223" s="254"/>
      <c r="G223" s="254"/>
      <c r="H223" s="254"/>
      <c r="I223" s="254"/>
      <c r="J223" s="254"/>
      <c r="K223" s="254"/>
      <c r="L223" s="254"/>
      <c r="M223" s="254"/>
      <c r="N223" s="254"/>
      <c r="O223" s="254"/>
      <c r="P223" s="254"/>
      <c r="Q223" s="254"/>
      <c r="R223" s="254"/>
      <c r="S223" s="254"/>
      <c r="T223" s="254"/>
      <c r="U223" s="254"/>
      <c r="V223" s="254"/>
      <c r="W223" s="254"/>
      <c r="X223" s="254"/>
      <c r="Y223" s="254"/>
      <c r="Z223" s="254"/>
      <c r="AA223" s="254"/>
      <c r="AB223" s="254"/>
      <c r="AC223" s="254"/>
    </row>
    <row r="224" ht="12.75" customHeight="1" spans="1:29">
      <c r="A224" s="254"/>
      <c r="B224" s="254"/>
      <c r="C224" s="254"/>
      <c r="D224" s="276"/>
      <c r="E224" s="254"/>
      <c r="F224" s="254"/>
      <c r="G224" s="254"/>
      <c r="H224" s="254"/>
      <c r="I224" s="254"/>
      <c r="J224" s="254"/>
      <c r="K224" s="254"/>
      <c r="L224" s="254"/>
      <c r="M224" s="254"/>
      <c r="N224" s="254"/>
      <c r="O224" s="254"/>
      <c r="P224" s="254"/>
      <c r="Q224" s="254"/>
      <c r="R224" s="254"/>
      <c r="S224" s="254"/>
      <c r="T224" s="254"/>
      <c r="U224" s="254"/>
      <c r="V224" s="254"/>
      <c r="W224" s="254"/>
      <c r="X224" s="254"/>
      <c r="Y224" s="254"/>
      <c r="Z224" s="254"/>
      <c r="AA224" s="254"/>
      <c r="AB224" s="254"/>
      <c r="AC224" s="254"/>
    </row>
    <row r="225" ht="12.75" customHeight="1" spans="1:29">
      <c r="A225" s="254"/>
      <c r="B225" s="254"/>
      <c r="C225" s="254"/>
      <c r="D225" s="276"/>
      <c r="E225" s="254"/>
      <c r="F225" s="254"/>
      <c r="G225" s="254"/>
      <c r="H225" s="254"/>
      <c r="I225" s="254"/>
      <c r="J225" s="254"/>
      <c r="K225" s="254"/>
      <c r="L225" s="254"/>
      <c r="M225" s="254"/>
      <c r="N225" s="254"/>
      <c r="O225" s="254"/>
      <c r="P225" s="254"/>
      <c r="Q225" s="254"/>
      <c r="R225" s="254"/>
      <c r="S225" s="254"/>
      <c r="T225" s="254"/>
      <c r="U225" s="254"/>
      <c r="V225" s="254"/>
      <c r="W225" s="254"/>
      <c r="X225" s="254"/>
      <c r="Y225" s="254"/>
      <c r="Z225" s="254"/>
      <c r="AA225" s="254"/>
      <c r="AB225" s="254"/>
      <c r="AC225" s="254"/>
    </row>
    <row r="226" ht="12.75" customHeight="1" spans="1:29">
      <c r="A226" s="254"/>
      <c r="B226" s="254"/>
      <c r="C226" s="254"/>
      <c r="D226" s="276"/>
      <c r="E226" s="254"/>
      <c r="F226" s="254"/>
      <c r="G226" s="254"/>
      <c r="H226" s="254"/>
      <c r="I226" s="254"/>
      <c r="J226" s="254"/>
      <c r="K226" s="254"/>
      <c r="L226" s="254"/>
      <c r="M226" s="254"/>
      <c r="N226" s="254"/>
      <c r="O226" s="254"/>
      <c r="P226" s="254"/>
      <c r="Q226" s="254"/>
      <c r="R226" s="254"/>
      <c r="S226" s="254"/>
      <c r="T226" s="254"/>
      <c r="U226" s="254"/>
      <c r="V226" s="254"/>
      <c r="W226" s="254"/>
      <c r="X226" s="254"/>
      <c r="Y226" s="254"/>
      <c r="Z226" s="254"/>
      <c r="AA226" s="254"/>
      <c r="AB226" s="254"/>
      <c r="AC226" s="254"/>
    </row>
    <row r="227" ht="12.75" customHeight="1" spans="1:29">
      <c r="A227" s="254"/>
      <c r="B227" s="254"/>
      <c r="C227" s="254"/>
      <c r="D227" s="276"/>
      <c r="E227" s="254"/>
      <c r="F227" s="254"/>
      <c r="G227" s="254"/>
      <c r="H227" s="254"/>
      <c r="I227" s="254"/>
      <c r="J227" s="254"/>
      <c r="K227" s="254"/>
      <c r="L227" s="254"/>
      <c r="M227" s="254"/>
      <c r="N227" s="254"/>
      <c r="O227" s="254"/>
      <c r="P227" s="254"/>
      <c r="Q227" s="254"/>
      <c r="R227" s="254"/>
      <c r="S227" s="254"/>
      <c r="T227" s="254"/>
      <c r="U227" s="254"/>
      <c r="V227" s="254"/>
      <c r="W227" s="254"/>
      <c r="X227" s="254"/>
      <c r="Y227" s="254"/>
      <c r="Z227" s="254"/>
      <c r="AA227" s="254"/>
      <c r="AB227" s="254"/>
      <c r="AC227" s="254"/>
    </row>
    <row r="228" ht="12.75" customHeight="1" spans="1:29">
      <c r="A228" s="254"/>
      <c r="B228" s="254"/>
      <c r="C228" s="254"/>
      <c r="D228" s="276"/>
      <c r="E228" s="254"/>
      <c r="F228" s="254"/>
      <c r="G228" s="254"/>
      <c r="H228" s="254"/>
      <c r="I228" s="254"/>
      <c r="J228" s="254"/>
      <c r="K228" s="254"/>
      <c r="L228" s="254"/>
      <c r="M228" s="254"/>
      <c r="N228" s="254"/>
      <c r="O228" s="254"/>
      <c r="P228" s="254"/>
      <c r="Q228" s="254"/>
      <c r="R228" s="254"/>
      <c r="S228" s="254"/>
      <c r="T228" s="254"/>
      <c r="U228" s="254"/>
      <c r="V228" s="254"/>
      <c r="W228" s="254"/>
      <c r="X228" s="254"/>
      <c r="Y228" s="254"/>
      <c r="Z228" s="254"/>
      <c r="AA228" s="254"/>
      <c r="AB228" s="254"/>
      <c r="AC228" s="254"/>
    </row>
    <row r="229" ht="12.75" customHeight="1" spans="1:29">
      <c r="A229" s="254"/>
      <c r="B229" s="254"/>
      <c r="C229" s="254"/>
      <c r="D229" s="276"/>
      <c r="E229" s="254"/>
      <c r="F229" s="254"/>
      <c r="G229" s="254"/>
      <c r="H229" s="254"/>
      <c r="I229" s="254"/>
      <c r="J229" s="254"/>
      <c r="K229" s="254"/>
      <c r="L229" s="254"/>
      <c r="M229" s="254"/>
      <c r="N229" s="254"/>
      <c r="O229" s="254"/>
      <c r="P229" s="254"/>
      <c r="Q229" s="254"/>
      <c r="R229" s="254"/>
      <c r="S229" s="254"/>
      <c r="T229" s="254"/>
      <c r="U229" s="254"/>
      <c r="V229" s="254"/>
      <c r="W229" s="254"/>
      <c r="X229" s="254"/>
      <c r="Y229" s="254"/>
      <c r="Z229" s="254"/>
      <c r="AA229" s="254"/>
      <c r="AB229" s="254"/>
      <c r="AC229" s="254"/>
    </row>
    <row r="230" ht="12.75" customHeight="1" spans="1:29">
      <c r="A230" s="254"/>
      <c r="B230" s="254"/>
      <c r="C230" s="254"/>
      <c r="D230" s="276"/>
      <c r="E230" s="254"/>
      <c r="F230" s="254"/>
      <c r="G230" s="254"/>
      <c r="H230" s="254"/>
      <c r="I230" s="254"/>
      <c r="J230" s="254"/>
      <c r="K230" s="254"/>
      <c r="L230" s="254"/>
      <c r="M230" s="254"/>
      <c r="N230" s="254"/>
      <c r="O230" s="254"/>
      <c r="P230" s="254"/>
      <c r="Q230" s="254"/>
      <c r="R230" s="254"/>
      <c r="S230" s="254"/>
      <c r="T230" s="254"/>
      <c r="U230" s="254"/>
      <c r="V230" s="254"/>
      <c r="W230" s="254"/>
      <c r="X230" s="254"/>
      <c r="Y230" s="254"/>
      <c r="Z230" s="254"/>
      <c r="AA230" s="254"/>
      <c r="AB230" s="254"/>
      <c r="AC230" s="254"/>
    </row>
    <row r="231" ht="12.75" customHeight="1" spans="1:29">
      <c r="A231" s="254"/>
      <c r="B231" s="254"/>
      <c r="C231" s="254"/>
      <c r="D231" s="276"/>
      <c r="E231" s="254"/>
      <c r="F231" s="254"/>
      <c r="G231" s="254"/>
      <c r="H231" s="254"/>
      <c r="I231" s="254"/>
      <c r="J231" s="254"/>
      <c r="K231" s="254"/>
      <c r="L231" s="254"/>
      <c r="M231" s="254"/>
      <c r="N231" s="254"/>
      <c r="O231" s="254"/>
      <c r="P231" s="254"/>
      <c r="Q231" s="254"/>
      <c r="R231" s="254"/>
      <c r="S231" s="254"/>
      <c r="T231" s="254"/>
      <c r="U231" s="254"/>
      <c r="V231" s="254"/>
      <c r="W231" s="254"/>
      <c r="X231" s="254"/>
      <c r="Y231" s="254"/>
      <c r="Z231" s="254"/>
      <c r="AA231" s="254"/>
      <c r="AB231" s="254"/>
      <c r="AC231" s="254"/>
    </row>
    <row r="232" ht="12.75" customHeight="1" spans="1:29">
      <c r="A232" s="254"/>
      <c r="B232" s="254"/>
      <c r="C232" s="254"/>
      <c r="D232" s="276"/>
      <c r="E232" s="254"/>
      <c r="F232" s="254"/>
      <c r="G232" s="254"/>
      <c r="H232" s="254"/>
      <c r="I232" s="254"/>
      <c r="J232" s="254"/>
      <c r="K232" s="254"/>
      <c r="L232" s="254"/>
      <c r="M232" s="254"/>
      <c r="N232" s="254"/>
      <c r="O232" s="254"/>
      <c r="P232" s="254"/>
      <c r="Q232" s="254"/>
      <c r="R232" s="254"/>
      <c r="S232" s="254"/>
      <c r="T232" s="254"/>
      <c r="U232" s="254"/>
      <c r="V232" s="254"/>
      <c r="W232" s="254"/>
      <c r="X232" s="254"/>
      <c r="Y232" s="254"/>
      <c r="Z232" s="254"/>
      <c r="AA232" s="254"/>
      <c r="AB232" s="254"/>
      <c r="AC232" s="254"/>
    </row>
    <row r="233" ht="12.75" customHeight="1" spans="1:29">
      <c r="A233" s="254"/>
      <c r="B233" s="254"/>
      <c r="C233" s="254"/>
      <c r="D233" s="276"/>
      <c r="E233" s="254"/>
      <c r="F233" s="254"/>
      <c r="G233" s="254"/>
      <c r="H233" s="254"/>
      <c r="I233" s="254"/>
      <c r="J233" s="254"/>
      <c r="K233" s="254"/>
      <c r="L233" s="254"/>
      <c r="M233" s="254"/>
      <c r="N233" s="254"/>
      <c r="O233" s="254"/>
      <c r="P233" s="254"/>
      <c r="Q233" s="254"/>
      <c r="R233" s="254"/>
      <c r="S233" s="254"/>
      <c r="T233" s="254"/>
      <c r="U233" s="254"/>
      <c r="V233" s="254"/>
      <c r="W233" s="254"/>
      <c r="X233" s="254"/>
      <c r="Y233" s="254"/>
      <c r="Z233" s="254"/>
      <c r="AA233" s="254"/>
      <c r="AB233" s="254"/>
      <c r="AC233" s="254"/>
    </row>
    <row r="234" ht="12.75" customHeight="1" spans="1:29">
      <c r="A234" s="254"/>
      <c r="B234" s="254"/>
      <c r="C234" s="254"/>
      <c r="D234" s="276"/>
      <c r="E234" s="254"/>
      <c r="F234" s="254"/>
      <c r="G234" s="254"/>
      <c r="H234" s="254"/>
      <c r="I234" s="254"/>
      <c r="J234" s="254"/>
      <c r="K234" s="254"/>
      <c r="L234" s="254"/>
      <c r="M234" s="254"/>
      <c r="N234" s="254"/>
      <c r="O234" s="254"/>
      <c r="P234" s="254"/>
      <c r="Q234" s="254"/>
      <c r="R234" s="254"/>
      <c r="S234" s="254"/>
      <c r="T234" s="254"/>
      <c r="U234" s="254"/>
      <c r="V234" s="254"/>
      <c r="W234" s="254"/>
      <c r="X234" s="254"/>
      <c r="Y234" s="254"/>
      <c r="Z234" s="254"/>
      <c r="AA234" s="254"/>
      <c r="AB234" s="254"/>
      <c r="AC234" s="254"/>
    </row>
    <row r="235" ht="12.75" customHeight="1" spans="1:29">
      <c r="A235" s="254"/>
      <c r="B235" s="254"/>
      <c r="C235" s="254"/>
      <c r="D235" s="276"/>
      <c r="E235" s="254"/>
      <c r="F235" s="254"/>
      <c r="G235" s="254"/>
      <c r="H235" s="254"/>
      <c r="I235" s="254"/>
      <c r="J235" s="254"/>
      <c r="K235" s="254"/>
      <c r="L235" s="254"/>
      <c r="M235" s="254"/>
      <c r="N235" s="254"/>
      <c r="O235" s="254"/>
      <c r="P235" s="254"/>
      <c r="Q235" s="254"/>
      <c r="R235" s="254"/>
      <c r="S235" s="254"/>
      <c r="T235" s="254"/>
      <c r="U235" s="254"/>
      <c r="V235" s="254"/>
      <c r="W235" s="254"/>
      <c r="X235" s="254"/>
      <c r="Y235" s="254"/>
      <c r="Z235" s="254"/>
      <c r="AA235" s="254"/>
      <c r="AB235" s="254"/>
      <c r="AC235" s="254"/>
    </row>
    <row r="236" ht="12.75" customHeight="1" spans="1:29">
      <c r="A236" s="254"/>
      <c r="B236" s="254"/>
      <c r="C236" s="254"/>
      <c r="D236" s="276"/>
      <c r="E236" s="254"/>
      <c r="F236" s="254"/>
      <c r="G236" s="254"/>
      <c r="H236" s="254"/>
      <c r="I236" s="254"/>
      <c r="J236" s="254"/>
      <c r="K236" s="254"/>
      <c r="L236" s="254"/>
      <c r="M236" s="254"/>
      <c r="N236" s="254"/>
      <c r="O236" s="254"/>
      <c r="P236" s="254"/>
      <c r="Q236" s="254"/>
      <c r="R236" s="254"/>
      <c r="S236" s="254"/>
      <c r="T236" s="254"/>
      <c r="U236" s="254"/>
      <c r="V236" s="254"/>
      <c r="W236" s="254"/>
      <c r="X236" s="254"/>
      <c r="Y236" s="254"/>
      <c r="Z236" s="254"/>
      <c r="AA236" s="254"/>
      <c r="AB236" s="254"/>
      <c r="AC236" s="254"/>
    </row>
    <row r="237" ht="12.75" customHeight="1" spans="1:29">
      <c r="A237" s="254"/>
      <c r="B237" s="254"/>
      <c r="C237" s="254"/>
      <c r="D237" s="276"/>
      <c r="E237" s="254"/>
      <c r="F237" s="254"/>
      <c r="G237" s="254"/>
      <c r="H237" s="254"/>
      <c r="I237" s="254"/>
      <c r="J237" s="254"/>
      <c r="K237" s="254"/>
      <c r="L237" s="254"/>
      <c r="M237" s="254"/>
      <c r="N237" s="254"/>
      <c r="O237" s="254"/>
      <c r="P237" s="254"/>
      <c r="Q237" s="254"/>
      <c r="R237" s="254"/>
      <c r="S237" s="254"/>
      <c r="T237" s="254"/>
      <c r="U237" s="254"/>
      <c r="V237" s="254"/>
      <c r="W237" s="254"/>
      <c r="X237" s="254"/>
      <c r="Y237" s="254"/>
      <c r="Z237" s="254"/>
      <c r="AA237" s="254"/>
      <c r="AB237" s="254"/>
      <c r="AC237" s="254"/>
    </row>
    <row r="238" ht="12.75" customHeight="1" spans="1:29">
      <c r="A238" s="254"/>
      <c r="B238" s="254"/>
      <c r="C238" s="254"/>
      <c r="D238" s="276"/>
      <c r="E238" s="254"/>
      <c r="F238" s="254"/>
      <c r="G238" s="254"/>
      <c r="H238" s="254"/>
      <c r="I238" s="254"/>
      <c r="J238" s="254"/>
      <c r="K238" s="254"/>
      <c r="L238" s="254"/>
      <c r="M238" s="254"/>
      <c r="N238" s="254"/>
      <c r="O238" s="254"/>
      <c r="P238" s="254"/>
      <c r="Q238" s="254"/>
      <c r="R238" s="254"/>
      <c r="S238" s="254"/>
      <c r="T238" s="254"/>
      <c r="U238" s="254"/>
      <c r="V238" s="254"/>
      <c r="W238" s="254"/>
      <c r="X238" s="254"/>
      <c r="Y238" s="254"/>
      <c r="Z238" s="254"/>
      <c r="AA238" s="254"/>
      <c r="AB238" s="254"/>
      <c r="AC238" s="254"/>
    </row>
    <row r="239" ht="12.75" customHeight="1" spans="1:29">
      <c r="A239" s="254"/>
      <c r="B239" s="254"/>
      <c r="C239" s="254"/>
      <c r="D239" s="276"/>
      <c r="E239" s="254"/>
      <c r="F239" s="254"/>
      <c r="G239" s="254"/>
      <c r="H239" s="254"/>
      <c r="I239" s="254"/>
      <c r="J239" s="254"/>
      <c r="K239" s="254"/>
      <c r="L239" s="254"/>
      <c r="M239" s="254"/>
      <c r="N239" s="254"/>
      <c r="O239" s="254"/>
      <c r="P239" s="254"/>
      <c r="Q239" s="254"/>
      <c r="R239" s="254"/>
      <c r="S239" s="254"/>
      <c r="T239" s="254"/>
      <c r="U239" s="254"/>
      <c r="V239" s="254"/>
      <c r="W239" s="254"/>
      <c r="X239" s="254"/>
      <c r="Y239" s="254"/>
      <c r="Z239" s="254"/>
      <c r="AA239" s="254"/>
      <c r="AB239" s="254"/>
      <c r="AC239" s="254"/>
    </row>
    <row r="240" ht="12.75" customHeight="1" spans="1:29">
      <c r="A240" s="254"/>
      <c r="B240" s="254"/>
      <c r="C240" s="254"/>
      <c r="D240" s="276"/>
      <c r="E240" s="254"/>
      <c r="F240" s="254"/>
      <c r="G240" s="254"/>
      <c r="H240" s="254"/>
      <c r="I240" s="254"/>
      <c r="J240" s="254"/>
      <c r="K240" s="254"/>
      <c r="L240" s="254"/>
      <c r="M240" s="254"/>
      <c r="N240" s="254"/>
      <c r="O240" s="254"/>
      <c r="P240" s="254"/>
      <c r="Q240" s="254"/>
      <c r="R240" s="254"/>
      <c r="S240" s="254"/>
      <c r="T240" s="254"/>
      <c r="U240" s="254"/>
      <c r="V240" s="254"/>
      <c r="W240" s="254"/>
      <c r="X240" s="254"/>
      <c r="Y240" s="254"/>
      <c r="Z240" s="254"/>
      <c r="AA240" s="254"/>
      <c r="AB240" s="254"/>
      <c r="AC240" s="254"/>
    </row>
    <row r="241" ht="12.75" customHeight="1" spans="1:29">
      <c r="A241" s="254"/>
      <c r="B241" s="254"/>
      <c r="C241" s="254"/>
      <c r="D241" s="276"/>
      <c r="E241" s="254"/>
      <c r="F241" s="254"/>
      <c r="G241" s="254"/>
      <c r="H241" s="254"/>
      <c r="I241" s="254"/>
      <c r="J241" s="254"/>
      <c r="K241" s="254"/>
      <c r="L241" s="254"/>
      <c r="M241" s="254"/>
      <c r="N241" s="254"/>
      <c r="O241" s="254"/>
      <c r="P241" s="254"/>
      <c r="Q241" s="254"/>
      <c r="R241" s="254"/>
      <c r="S241" s="254"/>
      <c r="T241" s="254"/>
      <c r="U241" s="254"/>
      <c r="V241" s="254"/>
      <c r="W241" s="254"/>
      <c r="X241" s="254"/>
      <c r="Y241" s="254"/>
      <c r="Z241" s="254"/>
      <c r="AA241" s="254"/>
      <c r="AB241" s="254"/>
      <c r="AC241" s="254"/>
    </row>
    <row r="242" ht="12.75" customHeight="1" spans="1:29">
      <c r="A242" s="254"/>
      <c r="B242" s="254"/>
      <c r="C242" s="254"/>
      <c r="D242" s="276"/>
      <c r="E242" s="254"/>
      <c r="F242" s="254"/>
      <c r="G242" s="254"/>
      <c r="H242" s="254"/>
      <c r="I242" s="254"/>
      <c r="J242" s="254"/>
      <c r="K242" s="254"/>
      <c r="L242" s="254"/>
      <c r="M242" s="254"/>
      <c r="N242" s="254"/>
      <c r="O242" s="254"/>
      <c r="P242" s="254"/>
      <c r="Q242" s="254"/>
      <c r="R242" s="254"/>
      <c r="S242" s="254"/>
      <c r="T242" s="254"/>
      <c r="U242" s="254"/>
      <c r="V242" s="254"/>
      <c r="W242" s="254"/>
      <c r="X242" s="254"/>
      <c r="Y242" s="254"/>
      <c r="Z242" s="254"/>
      <c r="AA242" s="254"/>
      <c r="AB242" s="254"/>
      <c r="AC242" s="254"/>
    </row>
    <row r="243" ht="12.75" customHeight="1" spans="1:29">
      <c r="A243" s="254"/>
      <c r="B243" s="254"/>
      <c r="C243" s="254"/>
      <c r="D243" s="276"/>
      <c r="E243" s="254"/>
      <c r="F243" s="254"/>
      <c r="G243" s="254"/>
      <c r="H243" s="254"/>
      <c r="I243" s="254"/>
      <c r="J243" s="254"/>
      <c r="K243" s="254"/>
      <c r="L243" s="254"/>
      <c r="M243" s="254"/>
      <c r="N243" s="254"/>
      <c r="O243" s="254"/>
      <c r="P243" s="254"/>
      <c r="Q243" s="254"/>
      <c r="R243" s="254"/>
      <c r="S243" s="254"/>
      <c r="T243" s="254"/>
      <c r="U243" s="254"/>
      <c r="V243" s="254"/>
      <c r="W243" s="254"/>
      <c r="X243" s="254"/>
      <c r="Y243" s="254"/>
      <c r="Z243" s="254"/>
      <c r="AA243" s="254"/>
      <c r="AB243" s="254"/>
      <c r="AC243" s="254"/>
    </row>
    <row r="244" ht="12.75" customHeight="1" spans="1:29">
      <c r="A244" s="254"/>
      <c r="B244" s="254"/>
      <c r="C244" s="254"/>
      <c r="D244" s="276"/>
      <c r="E244" s="254"/>
      <c r="F244" s="254"/>
      <c r="G244" s="254"/>
      <c r="H244" s="254"/>
      <c r="I244" s="254"/>
      <c r="J244" s="254"/>
      <c r="K244" s="254"/>
      <c r="L244" s="254"/>
      <c r="M244" s="254"/>
      <c r="N244" s="254"/>
      <c r="O244" s="254"/>
      <c r="P244" s="254"/>
      <c r="Q244" s="254"/>
      <c r="R244" s="254"/>
      <c r="S244" s="254"/>
      <c r="T244" s="254"/>
      <c r="U244" s="254"/>
      <c r="V244" s="254"/>
      <c r="W244" s="254"/>
      <c r="X244" s="254"/>
      <c r="Y244" s="254"/>
      <c r="Z244" s="254"/>
      <c r="AA244" s="254"/>
      <c r="AB244" s="254"/>
      <c r="AC244" s="254"/>
    </row>
    <row r="245" ht="12.75" customHeight="1" spans="1:29">
      <c r="A245" s="254"/>
      <c r="B245" s="254"/>
      <c r="C245" s="254"/>
      <c r="D245" s="276"/>
      <c r="E245" s="254"/>
      <c r="F245" s="254"/>
      <c r="G245" s="254"/>
      <c r="H245" s="254"/>
      <c r="I245" s="254"/>
      <c r="J245" s="254"/>
      <c r="K245" s="254"/>
      <c r="L245" s="254"/>
      <c r="M245" s="254"/>
      <c r="N245" s="254"/>
      <c r="O245" s="254"/>
      <c r="P245" s="254"/>
      <c r="Q245" s="254"/>
      <c r="R245" s="254"/>
      <c r="S245" s="254"/>
      <c r="T245" s="254"/>
      <c r="U245" s="254"/>
      <c r="V245" s="254"/>
      <c r="W245" s="254"/>
      <c r="X245" s="254"/>
      <c r="Y245" s="254"/>
      <c r="Z245" s="254"/>
      <c r="AA245" s="254"/>
      <c r="AB245" s="254"/>
      <c r="AC245" s="254"/>
    </row>
    <row r="246" ht="12.75" customHeight="1" spans="1:29">
      <c r="A246" s="254"/>
      <c r="B246" s="254"/>
      <c r="C246" s="254"/>
      <c r="D246" s="276"/>
      <c r="E246" s="254"/>
      <c r="F246" s="254"/>
      <c r="G246" s="254"/>
      <c r="H246" s="254"/>
      <c r="I246" s="254"/>
      <c r="J246" s="254"/>
      <c r="K246" s="254"/>
      <c r="L246" s="254"/>
      <c r="M246" s="254"/>
      <c r="N246" s="254"/>
      <c r="O246" s="254"/>
      <c r="P246" s="254"/>
      <c r="Q246" s="254"/>
      <c r="R246" s="254"/>
      <c r="S246" s="254"/>
      <c r="T246" s="254"/>
      <c r="U246" s="254"/>
      <c r="V246" s="254"/>
      <c r="W246" s="254"/>
      <c r="X246" s="254"/>
      <c r="Y246" s="254"/>
      <c r="Z246" s="254"/>
      <c r="AA246" s="254"/>
      <c r="AB246" s="254"/>
      <c r="AC246" s="254"/>
    </row>
    <row r="247" ht="12.75" customHeight="1" spans="1:29">
      <c r="A247" s="254"/>
      <c r="B247" s="254"/>
      <c r="C247" s="254"/>
      <c r="D247" s="276"/>
      <c r="E247" s="254"/>
      <c r="F247" s="254"/>
      <c r="G247" s="254"/>
      <c r="H247" s="254"/>
      <c r="I247" s="254"/>
      <c r="J247" s="254"/>
      <c r="K247" s="254"/>
      <c r="L247" s="254"/>
      <c r="M247" s="254"/>
      <c r="N247" s="254"/>
      <c r="O247" s="254"/>
      <c r="P247" s="254"/>
      <c r="Q247" s="254"/>
      <c r="R247" s="254"/>
      <c r="S247" s="254"/>
      <c r="T247" s="254"/>
      <c r="U247" s="254"/>
      <c r="V247" s="254"/>
      <c r="W247" s="254"/>
      <c r="X247" s="254"/>
      <c r="Y247" s="254"/>
      <c r="Z247" s="254"/>
      <c r="AA247" s="254"/>
      <c r="AB247" s="254"/>
      <c r="AC247" s="254"/>
    </row>
    <row r="248" ht="12.75" customHeight="1" spans="1:29">
      <c r="A248" s="254"/>
      <c r="B248" s="254"/>
      <c r="C248" s="254"/>
      <c r="D248" s="276"/>
      <c r="E248" s="254"/>
      <c r="F248" s="254"/>
      <c r="G248" s="254"/>
      <c r="H248" s="254"/>
      <c r="I248" s="254"/>
      <c r="J248" s="254"/>
      <c r="K248" s="254"/>
      <c r="L248" s="254"/>
      <c r="M248" s="254"/>
      <c r="N248" s="254"/>
      <c r="O248" s="254"/>
      <c r="P248" s="254"/>
      <c r="Q248" s="254"/>
      <c r="R248" s="254"/>
      <c r="S248" s="254"/>
      <c r="T248" s="254"/>
      <c r="U248" s="254"/>
      <c r="V248" s="254"/>
      <c r="W248" s="254"/>
      <c r="X248" s="254"/>
      <c r="Y248" s="254"/>
      <c r="Z248" s="254"/>
      <c r="AA248" s="254"/>
      <c r="AB248" s="254"/>
      <c r="AC248" s="254"/>
    </row>
    <row r="249" ht="12.75" customHeight="1" spans="1:29">
      <c r="A249" s="254"/>
      <c r="B249" s="254"/>
      <c r="C249" s="254"/>
      <c r="D249" s="276"/>
      <c r="E249" s="254"/>
      <c r="F249" s="254"/>
      <c r="G249" s="254"/>
      <c r="H249" s="254"/>
      <c r="I249" s="254"/>
      <c r="J249" s="254"/>
      <c r="K249" s="254"/>
      <c r="L249" s="254"/>
      <c r="M249" s="254"/>
      <c r="N249" s="254"/>
      <c r="O249" s="254"/>
      <c r="P249" s="254"/>
      <c r="Q249" s="254"/>
      <c r="R249" s="254"/>
      <c r="S249" s="254"/>
      <c r="T249" s="254"/>
      <c r="U249" s="254"/>
      <c r="V249" s="254"/>
      <c r="W249" s="254"/>
      <c r="X249" s="254"/>
      <c r="Y249" s="254"/>
      <c r="Z249" s="254"/>
      <c r="AA249" s="254"/>
      <c r="AB249" s="254"/>
      <c r="AC249" s="254"/>
    </row>
    <row r="250" ht="12.75" customHeight="1" spans="1:29">
      <c r="A250" s="254"/>
      <c r="B250" s="254"/>
      <c r="C250" s="254"/>
      <c r="D250" s="276"/>
      <c r="E250" s="254"/>
      <c r="F250" s="254"/>
      <c r="G250" s="254"/>
      <c r="H250" s="254"/>
      <c r="I250" s="254"/>
      <c r="J250" s="254"/>
      <c r="K250" s="254"/>
      <c r="L250" s="254"/>
      <c r="M250" s="254"/>
      <c r="N250" s="254"/>
      <c r="O250" s="254"/>
      <c r="P250" s="254"/>
      <c r="Q250" s="254"/>
      <c r="R250" s="254"/>
      <c r="S250" s="254"/>
      <c r="T250" s="254"/>
      <c r="U250" s="254"/>
      <c r="V250" s="254"/>
      <c r="W250" s="254"/>
      <c r="X250" s="254"/>
      <c r="Y250" s="254"/>
      <c r="Z250" s="254"/>
      <c r="AA250" s="254"/>
      <c r="AB250" s="254"/>
      <c r="AC250" s="254"/>
    </row>
    <row r="251" ht="12.75" customHeight="1" spans="1:29">
      <c r="A251" s="254"/>
      <c r="B251" s="254"/>
      <c r="C251" s="254"/>
      <c r="D251" s="276"/>
      <c r="E251" s="254"/>
      <c r="F251" s="254"/>
      <c r="G251" s="254"/>
      <c r="H251" s="254"/>
      <c r="I251" s="254"/>
      <c r="J251" s="254"/>
      <c r="K251" s="254"/>
      <c r="L251" s="254"/>
      <c r="M251" s="254"/>
      <c r="N251" s="254"/>
      <c r="O251" s="254"/>
      <c r="P251" s="254"/>
      <c r="Q251" s="254"/>
      <c r="R251" s="254"/>
      <c r="S251" s="254"/>
      <c r="T251" s="254"/>
      <c r="U251" s="254"/>
      <c r="V251" s="254"/>
      <c r="W251" s="254"/>
      <c r="X251" s="254"/>
      <c r="Y251" s="254"/>
      <c r="Z251" s="254"/>
      <c r="AA251" s="254"/>
      <c r="AB251" s="254"/>
      <c r="AC251" s="254"/>
    </row>
    <row r="252" ht="12.75" customHeight="1" spans="1:29">
      <c r="A252" s="254"/>
      <c r="B252" s="254"/>
      <c r="C252" s="254"/>
      <c r="D252" s="276"/>
      <c r="E252" s="254"/>
      <c r="F252" s="254"/>
      <c r="G252" s="254"/>
      <c r="H252" s="254"/>
      <c r="I252" s="254"/>
      <c r="J252" s="254"/>
      <c r="K252" s="254"/>
      <c r="L252" s="254"/>
      <c r="M252" s="254"/>
      <c r="N252" s="254"/>
      <c r="O252" s="254"/>
      <c r="P252" s="254"/>
      <c r="Q252" s="254"/>
      <c r="R252" s="254"/>
      <c r="S252" s="254"/>
      <c r="T252" s="254"/>
      <c r="U252" s="254"/>
      <c r="V252" s="254"/>
      <c r="W252" s="254"/>
      <c r="X252" s="254"/>
      <c r="Y252" s="254"/>
      <c r="Z252" s="254"/>
      <c r="AA252" s="254"/>
      <c r="AB252" s="254"/>
      <c r="AC252" s="254"/>
    </row>
    <row r="253" ht="12.75" customHeight="1" spans="1:29">
      <c r="A253" s="254"/>
      <c r="B253" s="254"/>
      <c r="C253" s="254"/>
      <c r="D253" s="276"/>
      <c r="E253" s="254"/>
      <c r="F253" s="254"/>
      <c r="G253" s="254"/>
      <c r="H253" s="254"/>
      <c r="I253" s="254"/>
      <c r="J253" s="254"/>
      <c r="K253" s="254"/>
      <c r="L253" s="254"/>
      <c r="M253" s="254"/>
      <c r="N253" s="254"/>
      <c r="O253" s="254"/>
      <c r="P253" s="254"/>
      <c r="Q253" s="254"/>
      <c r="R253" s="254"/>
      <c r="S253" s="254"/>
      <c r="T253" s="254"/>
      <c r="U253" s="254"/>
      <c r="V253" s="254"/>
      <c r="W253" s="254"/>
      <c r="X253" s="254"/>
      <c r="Y253" s="254"/>
      <c r="Z253" s="254"/>
      <c r="AA253" s="254"/>
      <c r="AB253" s="254"/>
      <c r="AC253" s="254"/>
    </row>
    <row r="254" ht="12.75" customHeight="1" spans="1:29">
      <c r="A254" s="254"/>
      <c r="B254" s="254"/>
      <c r="C254" s="254"/>
      <c r="D254" s="276"/>
      <c r="E254" s="254"/>
      <c r="F254" s="254"/>
      <c r="G254" s="254"/>
      <c r="H254" s="254"/>
      <c r="I254" s="254"/>
      <c r="J254" s="254"/>
      <c r="K254" s="254"/>
      <c r="L254" s="254"/>
      <c r="M254" s="254"/>
      <c r="N254" s="254"/>
      <c r="O254" s="254"/>
      <c r="P254" s="254"/>
      <c r="Q254" s="254"/>
      <c r="R254" s="254"/>
      <c r="S254" s="254"/>
      <c r="T254" s="254"/>
      <c r="U254" s="254"/>
      <c r="V254" s="254"/>
      <c r="W254" s="254"/>
      <c r="X254" s="254"/>
      <c r="Y254" s="254"/>
      <c r="Z254" s="254"/>
      <c r="AA254" s="254"/>
      <c r="AB254" s="254"/>
      <c r="AC254" s="254"/>
    </row>
    <row r="255" ht="12.75" customHeight="1" spans="1:29">
      <c r="A255" s="254"/>
      <c r="B255" s="254"/>
      <c r="C255" s="254"/>
      <c r="D255" s="276"/>
      <c r="E255" s="254"/>
      <c r="F255" s="254"/>
      <c r="G255" s="254"/>
      <c r="H255" s="254"/>
      <c r="I255" s="254"/>
      <c r="J255" s="254"/>
      <c r="K255" s="254"/>
      <c r="L255" s="254"/>
      <c r="M255" s="254"/>
      <c r="N255" s="254"/>
      <c r="O255" s="254"/>
      <c r="P255" s="254"/>
      <c r="Q255" s="254"/>
      <c r="R255" s="254"/>
      <c r="S255" s="254"/>
      <c r="T255" s="254"/>
      <c r="U255" s="254"/>
      <c r="V255" s="254"/>
      <c r="W255" s="254"/>
      <c r="X255" s="254"/>
      <c r="Y255" s="254"/>
      <c r="Z255" s="254"/>
      <c r="AA255" s="254"/>
      <c r="AB255" s="254"/>
      <c r="AC255" s="254"/>
    </row>
    <row r="256" ht="12.75" customHeight="1" spans="1:29">
      <c r="A256" s="254"/>
      <c r="B256" s="254"/>
      <c r="C256" s="254"/>
      <c r="D256" s="276"/>
      <c r="E256" s="254"/>
      <c r="F256" s="254"/>
      <c r="G256" s="254"/>
      <c r="H256" s="254"/>
      <c r="I256" s="254"/>
      <c r="J256" s="254"/>
      <c r="K256" s="254"/>
      <c r="L256" s="254"/>
      <c r="M256" s="254"/>
      <c r="N256" s="254"/>
      <c r="O256" s="254"/>
      <c r="P256" s="254"/>
      <c r="Q256" s="254"/>
      <c r="R256" s="254"/>
      <c r="S256" s="254"/>
      <c r="T256" s="254"/>
      <c r="U256" s="254"/>
      <c r="V256" s="254"/>
      <c r="W256" s="254"/>
      <c r="X256" s="254"/>
      <c r="Y256" s="254"/>
      <c r="Z256" s="254"/>
      <c r="AA256" s="254"/>
      <c r="AB256" s="254"/>
      <c r="AC256" s="254"/>
    </row>
    <row r="257" ht="12.75" customHeight="1" spans="1:29">
      <c r="A257" s="254"/>
      <c r="B257" s="254"/>
      <c r="C257" s="254"/>
      <c r="D257" s="276"/>
      <c r="E257" s="254"/>
      <c r="F257" s="254"/>
      <c r="G257" s="254"/>
      <c r="H257" s="254"/>
      <c r="I257" s="254"/>
      <c r="J257" s="254"/>
      <c r="K257" s="254"/>
      <c r="L257" s="254"/>
      <c r="M257" s="254"/>
      <c r="N257" s="254"/>
      <c r="O257" s="254"/>
      <c r="P257" s="254"/>
      <c r="Q257" s="254"/>
      <c r="R257" s="254"/>
      <c r="S257" s="254"/>
      <c r="T257" s="254"/>
      <c r="U257" s="254"/>
      <c r="V257" s="254"/>
      <c r="W257" s="254"/>
      <c r="X257" s="254"/>
      <c r="Y257" s="254"/>
      <c r="Z257" s="254"/>
      <c r="AA257" s="254"/>
      <c r="AB257" s="254"/>
      <c r="AC257" s="254"/>
    </row>
    <row r="258" ht="12.75" customHeight="1" spans="1:29">
      <c r="A258" s="254"/>
      <c r="B258" s="254"/>
      <c r="C258" s="254"/>
      <c r="D258" s="276"/>
      <c r="E258" s="254"/>
      <c r="F258" s="254"/>
      <c r="G258" s="254"/>
      <c r="H258" s="254"/>
      <c r="I258" s="254"/>
      <c r="J258" s="254"/>
      <c r="K258" s="254"/>
      <c r="L258" s="254"/>
      <c r="M258" s="254"/>
      <c r="N258" s="254"/>
      <c r="O258" s="254"/>
      <c r="P258" s="254"/>
      <c r="Q258" s="254"/>
      <c r="R258" s="254"/>
      <c r="S258" s="254"/>
      <c r="T258" s="254"/>
      <c r="U258" s="254"/>
      <c r="V258" s="254"/>
      <c r="W258" s="254"/>
      <c r="X258" s="254"/>
      <c r="Y258" s="254"/>
      <c r="Z258" s="254"/>
      <c r="AA258" s="254"/>
      <c r="AB258" s="254"/>
      <c r="AC258" s="254"/>
    </row>
    <row r="259" ht="12.75" customHeight="1" spans="1:29">
      <c r="A259" s="254"/>
      <c r="B259" s="254"/>
      <c r="C259" s="254"/>
      <c r="D259" s="276"/>
      <c r="E259" s="254"/>
      <c r="F259" s="254"/>
      <c r="G259" s="254"/>
      <c r="H259" s="254"/>
      <c r="I259" s="254"/>
      <c r="J259" s="254"/>
      <c r="K259" s="254"/>
      <c r="L259" s="254"/>
      <c r="M259" s="254"/>
      <c r="N259" s="254"/>
      <c r="O259" s="254"/>
      <c r="P259" s="254"/>
      <c r="Q259" s="254"/>
      <c r="R259" s="254"/>
      <c r="S259" s="254"/>
      <c r="T259" s="254"/>
      <c r="U259" s="254"/>
      <c r="V259" s="254"/>
      <c r="W259" s="254"/>
      <c r="X259" s="254"/>
      <c r="Y259" s="254"/>
      <c r="Z259" s="254"/>
      <c r="AA259" s="254"/>
      <c r="AB259" s="254"/>
      <c r="AC259" s="254"/>
    </row>
    <row r="260" ht="12.75" customHeight="1" spans="1:29">
      <c r="A260" s="254"/>
      <c r="B260" s="254"/>
      <c r="C260" s="254"/>
      <c r="D260" s="276"/>
      <c r="E260" s="254"/>
      <c r="F260" s="254"/>
      <c r="G260" s="254"/>
      <c r="H260" s="254"/>
      <c r="I260" s="254"/>
      <c r="J260" s="254"/>
      <c r="K260" s="254"/>
      <c r="L260" s="254"/>
      <c r="M260" s="254"/>
      <c r="N260" s="254"/>
      <c r="O260" s="254"/>
      <c r="P260" s="254"/>
      <c r="Q260" s="254"/>
      <c r="R260" s="254"/>
      <c r="S260" s="254"/>
      <c r="T260" s="254"/>
      <c r="U260" s="254"/>
      <c r="V260" s="254"/>
      <c r="W260" s="254"/>
      <c r="X260" s="254"/>
      <c r="Y260" s="254"/>
      <c r="Z260" s="254"/>
      <c r="AA260" s="254"/>
      <c r="AB260" s="254"/>
      <c r="AC260" s="254"/>
    </row>
    <row r="261" ht="12.75" customHeight="1" spans="1:29">
      <c r="A261" s="254"/>
      <c r="B261" s="254"/>
      <c r="C261" s="254"/>
      <c r="D261" s="276"/>
      <c r="E261" s="254"/>
      <c r="F261" s="254"/>
      <c r="G261" s="254"/>
      <c r="H261" s="254"/>
      <c r="I261" s="254"/>
      <c r="J261" s="254"/>
      <c r="K261" s="254"/>
      <c r="L261" s="254"/>
      <c r="M261" s="254"/>
      <c r="N261" s="254"/>
      <c r="O261" s="254"/>
      <c r="P261" s="254"/>
      <c r="Q261" s="254"/>
      <c r="R261" s="254"/>
      <c r="S261" s="254"/>
      <c r="T261" s="254"/>
      <c r="U261" s="254"/>
      <c r="V261" s="254"/>
      <c r="W261" s="254"/>
      <c r="X261" s="254"/>
      <c r="Y261" s="254"/>
      <c r="Z261" s="254"/>
      <c r="AA261" s="254"/>
      <c r="AB261" s="254"/>
      <c r="AC261" s="254"/>
    </row>
    <row r="262" ht="12.75" customHeight="1" spans="1:29">
      <c r="A262" s="254"/>
      <c r="B262" s="254"/>
      <c r="C262" s="254"/>
      <c r="D262" s="276"/>
      <c r="E262" s="254"/>
      <c r="F262" s="254"/>
      <c r="G262" s="254"/>
      <c r="H262" s="254"/>
      <c r="I262" s="254"/>
      <c r="J262" s="254"/>
      <c r="K262" s="254"/>
      <c r="L262" s="254"/>
      <c r="M262" s="254"/>
      <c r="N262" s="254"/>
      <c r="O262" s="254"/>
      <c r="P262" s="254"/>
      <c r="Q262" s="254"/>
      <c r="R262" s="254"/>
      <c r="S262" s="254"/>
      <c r="T262" s="254"/>
      <c r="U262" s="254"/>
      <c r="V262" s="254"/>
      <c r="W262" s="254"/>
      <c r="X262" s="254"/>
      <c r="Y262" s="254"/>
      <c r="Z262" s="254"/>
      <c r="AA262" s="254"/>
      <c r="AB262" s="254"/>
      <c r="AC262" s="254"/>
    </row>
    <row r="263" ht="12.75" customHeight="1" spans="1:29">
      <c r="A263" s="254"/>
      <c r="B263" s="254"/>
      <c r="C263" s="254"/>
      <c r="D263" s="276"/>
      <c r="E263" s="254"/>
      <c r="F263" s="254"/>
      <c r="G263" s="254"/>
      <c r="H263" s="254"/>
      <c r="I263" s="254"/>
      <c r="J263" s="254"/>
      <c r="K263" s="254"/>
      <c r="L263" s="254"/>
      <c r="M263" s="254"/>
      <c r="N263" s="254"/>
      <c r="O263" s="254"/>
      <c r="P263" s="254"/>
      <c r="Q263" s="254"/>
      <c r="R263" s="254"/>
      <c r="S263" s="254"/>
      <c r="T263" s="254"/>
      <c r="U263" s="254"/>
      <c r="V263" s="254"/>
      <c r="W263" s="254"/>
      <c r="X263" s="254"/>
      <c r="Y263" s="254"/>
      <c r="Z263" s="254"/>
      <c r="AA263" s="254"/>
      <c r="AB263" s="254"/>
      <c r="AC263" s="254"/>
    </row>
    <row r="264" ht="12.75" customHeight="1" spans="1:29">
      <c r="A264" s="254"/>
      <c r="B264" s="254"/>
      <c r="C264" s="254"/>
      <c r="D264" s="276"/>
      <c r="E264" s="254"/>
      <c r="F264" s="254"/>
      <c r="G264" s="254"/>
      <c r="H264" s="254"/>
      <c r="I264" s="254"/>
      <c r="J264" s="254"/>
      <c r="K264" s="254"/>
      <c r="L264" s="254"/>
      <c r="M264" s="254"/>
      <c r="N264" s="254"/>
      <c r="O264" s="254"/>
      <c r="P264" s="254"/>
      <c r="Q264" s="254"/>
      <c r="R264" s="254"/>
      <c r="S264" s="254"/>
      <c r="T264" s="254"/>
      <c r="U264" s="254"/>
      <c r="V264" s="254"/>
      <c r="W264" s="254"/>
      <c r="X264" s="254"/>
      <c r="Y264" s="254"/>
      <c r="Z264" s="254"/>
      <c r="AA264" s="254"/>
      <c r="AB264" s="254"/>
      <c r="AC264" s="254"/>
    </row>
    <row r="265" ht="12.75" customHeight="1" spans="1:29">
      <c r="A265" s="254"/>
      <c r="B265" s="254"/>
      <c r="C265" s="254"/>
      <c r="D265" s="276"/>
      <c r="E265" s="254"/>
      <c r="F265" s="254"/>
      <c r="G265" s="254"/>
      <c r="H265" s="254"/>
      <c r="I265" s="254"/>
      <c r="J265" s="254"/>
      <c r="K265" s="254"/>
      <c r="L265" s="254"/>
      <c r="M265" s="254"/>
      <c r="N265" s="254"/>
      <c r="O265" s="254"/>
      <c r="P265" s="254"/>
      <c r="Q265" s="254"/>
      <c r="R265" s="254"/>
      <c r="S265" s="254"/>
      <c r="T265" s="254"/>
      <c r="U265" s="254"/>
      <c r="V265" s="254"/>
      <c r="W265" s="254"/>
      <c r="X265" s="254"/>
      <c r="Y265" s="254"/>
      <c r="Z265" s="254"/>
      <c r="AA265" s="254"/>
      <c r="AB265" s="254"/>
      <c r="AC265" s="254"/>
    </row>
    <row r="266" ht="12.75" customHeight="1" spans="1:29">
      <c r="A266" s="254"/>
      <c r="B266" s="254"/>
      <c r="C266" s="254"/>
      <c r="D266" s="276"/>
      <c r="E266" s="254"/>
      <c r="F266" s="254"/>
      <c r="G266" s="254"/>
      <c r="H266" s="254"/>
      <c r="I266" s="254"/>
      <c r="J266" s="254"/>
      <c r="K266" s="254"/>
      <c r="L266" s="254"/>
      <c r="M266" s="254"/>
      <c r="N266" s="254"/>
      <c r="O266" s="254"/>
      <c r="P266" s="254"/>
      <c r="Q266" s="254"/>
      <c r="R266" s="254"/>
      <c r="S266" s="254"/>
      <c r="T266" s="254"/>
      <c r="U266" s="254"/>
      <c r="V266" s="254"/>
      <c r="W266" s="254"/>
      <c r="X266" s="254"/>
      <c r="Y266" s="254"/>
      <c r="Z266" s="254"/>
      <c r="AA266" s="254"/>
      <c r="AB266" s="254"/>
      <c r="AC266" s="254"/>
    </row>
    <row r="267" ht="12.75" customHeight="1" spans="1:29">
      <c r="A267" s="254"/>
      <c r="B267" s="254"/>
      <c r="C267" s="254"/>
      <c r="D267" s="276"/>
      <c r="E267" s="254"/>
      <c r="F267" s="254"/>
      <c r="G267" s="254"/>
      <c r="H267" s="254"/>
      <c r="I267" s="254"/>
      <c r="J267" s="254"/>
      <c r="K267" s="254"/>
      <c r="L267" s="254"/>
      <c r="M267" s="254"/>
      <c r="N267" s="254"/>
      <c r="O267" s="254"/>
      <c r="P267" s="254"/>
      <c r="Q267" s="254"/>
      <c r="R267" s="254"/>
      <c r="S267" s="254"/>
      <c r="T267" s="254"/>
      <c r="U267" s="254"/>
      <c r="V267" s="254"/>
      <c r="W267" s="254"/>
      <c r="X267" s="254"/>
      <c r="Y267" s="254"/>
      <c r="Z267" s="254"/>
      <c r="AA267" s="254"/>
      <c r="AB267" s="254"/>
      <c r="AC267" s="254"/>
    </row>
    <row r="268" ht="12.75" customHeight="1" spans="1:29">
      <c r="A268" s="254"/>
      <c r="B268" s="254"/>
      <c r="C268" s="254"/>
      <c r="D268" s="276"/>
      <c r="E268" s="254"/>
      <c r="F268" s="254"/>
      <c r="G268" s="254"/>
      <c r="H268" s="254"/>
      <c r="I268" s="254"/>
      <c r="J268" s="254"/>
      <c r="K268" s="254"/>
      <c r="L268" s="254"/>
      <c r="M268" s="254"/>
      <c r="N268" s="254"/>
      <c r="O268" s="254"/>
      <c r="P268" s="254"/>
      <c r="Q268" s="254"/>
      <c r="R268" s="254"/>
      <c r="S268" s="254"/>
      <c r="T268" s="254"/>
      <c r="U268" s="254"/>
      <c r="V268" s="254"/>
      <c r="W268" s="254"/>
      <c r="X268" s="254"/>
      <c r="Y268" s="254"/>
      <c r="Z268" s="254"/>
      <c r="AA268" s="254"/>
      <c r="AB268" s="254"/>
      <c r="AC268" s="254"/>
    </row>
    <row r="269" ht="12.75" customHeight="1" spans="1:29">
      <c r="A269" s="254"/>
      <c r="B269" s="254"/>
      <c r="C269" s="254"/>
      <c r="D269" s="276"/>
      <c r="E269" s="254"/>
      <c r="F269" s="254"/>
      <c r="G269" s="254"/>
      <c r="H269" s="254"/>
      <c r="I269" s="254"/>
      <c r="J269" s="254"/>
      <c r="K269" s="254"/>
      <c r="L269" s="254"/>
      <c r="M269" s="254"/>
      <c r="N269" s="254"/>
      <c r="O269" s="254"/>
      <c r="P269" s="254"/>
      <c r="Q269" s="254"/>
      <c r="R269" s="254"/>
      <c r="S269" s="254"/>
      <c r="T269" s="254"/>
      <c r="U269" s="254"/>
      <c r="V269" s="254"/>
      <c r="W269" s="254"/>
      <c r="X269" s="254"/>
      <c r="Y269" s="254"/>
      <c r="Z269" s="254"/>
      <c r="AA269" s="254"/>
      <c r="AB269" s="254"/>
      <c r="AC269" s="254"/>
    </row>
    <row r="270" ht="12.75" customHeight="1" spans="1:29">
      <c r="A270" s="254"/>
      <c r="B270" s="254"/>
      <c r="C270" s="254"/>
      <c r="D270" s="276"/>
      <c r="E270" s="254"/>
      <c r="F270" s="254"/>
      <c r="G270" s="254"/>
      <c r="H270" s="254"/>
      <c r="I270" s="254"/>
      <c r="J270" s="254"/>
      <c r="K270" s="254"/>
      <c r="L270" s="254"/>
      <c r="M270" s="254"/>
      <c r="N270" s="254"/>
      <c r="O270" s="254"/>
      <c r="P270" s="254"/>
      <c r="Q270" s="254"/>
      <c r="R270" s="254"/>
      <c r="S270" s="254"/>
      <c r="T270" s="254"/>
      <c r="U270" s="254"/>
      <c r="V270" s="254"/>
      <c r="W270" s="254"/>
      <c r="X270" s="254"/>
      <c r="Y270" s="254"/>
      <c r="Z270" s="254"/>
      <c r="AA270" s="254"/>
      <c r="AB270" s="254"/>
      <c r="AC270" s="254"/>
    </row>
    <row r="271" ht="12.75" customHeight="1" spans="1:29">
      <c r="A271" s="254"/>
      <c r="B271" s="254"/>
      <c r="C271" s="254"/>
      <c r="D271" s="276"/>
      <c r="E271" s="254"/>
      <c r="F271" s="254"/>
      <c r="G271" s="254"/>
      <c r="H271" s="254"/>
      <c r="I271" s="254"/>
      <c r="J271" s="254"/>
      <c r="K271" s="254"/>
      <c r="L271" s="254"/>
      <c r="M271" s="254"/>
      <c r="N271" s="254"/>
      <c r="O271" s="254"/>
      <c r="P271" s="254"/>
      <c r="Q271" s="254"/>
      <c r="R271" s="254"/>
      <c r="S271" s="254"/>
      <c r="T271" s="254"/>
      <c r="U271" s="254"/>
      <c r="V271" s="254"/>
      <c r="W271" s="254"/>
      <c r="X271" s="254"/>
      <c r="Y271" s="254"/>
      <c r="Z271" s="254"/>
      <c r="AA271" s="254"/>
      <c r="AB271" s="254"/>
      <c r="AC271" s="254"/>
    </row>
    <row r="272" ht="12.75" customHeight="1" spans="1:29">
      <c r="A272" s="254"/>
      <c r="B272" s="254"/>
      <c r="C272" s="254"/>
      <c r="D272" s="276"/>
      <c r="E272" s="254"/>
      <c r="F272" s="254"/>
      <c r="G272" s="254"/>
      <c r="H272" s="254"/>
      <c r="I272" s="254"/>
      <c r="J272" s="254"/>
      <c r="K272" s="254"/>
      <c r="L272" s="254"/>
      <c r="M272" s="254"/>
      <c r="N272" s="254"/>
      <c r="O272" s="254"/>
      <c r="P272" s="254"/>
      <c r="Q272" s="254"/>
      <c r="R272" s="254"/>
      <c r="S272" s="254"/>
      <c r="T272" s="254"/>
      <c r="U272" s="254"/>
      <c r="V272" s="254"/>
      <c r="W272" s="254"/>
      <c r="X272" s="254"/>
      <c r="Y272" s="254"/>
      <c r="Z272" s="254"/>
      <c r="AA272" s="254"/>
      <c r="AB272" s="254"/>
      <c r="AC272" s="254"/>
    </row>
    <row r="273" ht="12.75" customHeight="1" spans="1:29">
      <c r="A273" s="254"/>
      <c r="B273" s="254"/>
      <c r="C273" s="254"/>
      <c r="D273" s="276"/>
      <c r="E273" s="254"/>
      <c r="F273" s="254"/>
      <c r="G273" s="254"/>
      <c r="H273" s="254"/>
      <c r="I273" s="254"/>
      <c r="J273" s="254"/>
      <c r="K273" s="254"/>
      <c r="L273" s="254"/>
      <c r="M273" s="254"/>
      <c r="N273" s="254"/>
      <c r="O273" s="254"/>
      <c r="P273" s="254"/>
      <c r="Q273" s="254"/>
      <c r="R273" s="254"/>
      <c r="S273" s="254"/>
      <c r="T273" s="254"/>
      <c r="U273" s="254"/>
      <c r="V273" s="254"/>
      <c r="W273" s="254"/>
      <c r="X273" s="254"/>
      <c r="Y273" s="254"/>
      <c r="Z273" s="254"/>
      <c r="AA273" s="254"/>
      <c r="AB273" s="254"/>
      <c r="AC273" s="254"/>
    </row>
    <row r="274" ht="12.75" customHeight="1" spans="1:29">
      <c r="A274" s="254"/>
      <c r="B274" s="254"/>
      <c r="C274" s="254"/>
      <c r="D274" s="276"/>
      <c r="E274" s="254"/>
      <c r="F274" s="254"/>
      <c r="G274" s="254"/>
      <c r="H274" s="254"/>
      <c r="I274" s="254"/>
      <c r="J274" s="254"/>
      <c r="K274" s="254"/>
      <c r="L274" s="254"/>
      <c r="M274" s="254"/>
      <c r="N274" s="254"/>
      <c r="O274" s="254"/>
      <c r="P274" s="254"/>
      <c r="Q274" s="254"/>
      <c r="R274" s="254"/>
      <c r="S274" s="254"/>
      <c r="T274" s="254"/>
      <c r="U274" s="254"/>
      <c r="V274" s="254"/>
      <c r="W274" s="254"/>
      <c r="X274" s="254"/>
      <c r="Y274" s="254"/>
      <c r="Z274" s="254"/>
      <c r="AA274" s="254"/>
      <c r="AB274" s="254"/>
      <c r="AC274" s="254"/>
    </row>
    <row r="275" ht="12.75" customHeight="1" spans="1:29">
      <c r="A275" s="254"/>
      <c r="B275" s="254"/>
      <c r="C275" s="254"/>
      <c r="D275" s="276"/>
      <c r="E275" s="254"/>
      <c r="F275" s="254"/>
      <c r="G275" s="254"/>
      <c r="H275" s="254"/>
      <c r="I275" s="254"/>
      <c r="J275" s="254"/>
      <c r="K275" s="254"/>
      <c r="L275" s="254"/>
      <c r="M275" s="254"/>
      <c r="N275" s="254"/>
      <c r="O275" s="254"/>
      <c r="P275" s="254"/>
      <c r="Q275" s="254"/>
      <c r="R275" s="254"/>
      <c r="S275" s="254"/>
      <c r="T275" s="254"/>
      <c r="U275" s="254"/>
      <c r="V275" s="254"/>
      <c r="W275" s="254"/>
      <c r="X275" s="254"/>
      <c r="Y275" s="254"/>
      <c r="Z275" s="254"/>
      <c r="AA275" s="254"/>
      <c r="AB275" s="254"/>
      <c r="AC275" s="254"/>
    </row>
    <row r="276" ht="12.75" customHeight="1" spans="1:29">
      <c r="A276" s="254"/>
      <c r="B276" s="254"/>
      <c r="C276" s="254"/>
      <c r="D276" s="276"/>
      <c r="E276" s="254"/>
      <c r="F276" s="254"/>
      <c r="G276" s="254"/>
      <c r="H276" s="254"/>
      <c r="I276" s="254"/>
      <c r="J276" s="254"/>
      <c r="K276" s="254"/>
      <c r="L276" s="254"/>
      <c r="M276" s="254"/>
      <c r="N276" s="254"/>
      <c r="O276" s="254"/>
      <c r="P276" s="254"/>
      <c r="Q276" s="254"/>
      <c r="R276" s="254"/>
      <c r="S276" s="254"/>
      <c r="T276" s="254"/>
      <c r="U276" s="254"/>
      <c r="V276" s="254"/>
      <c r="W276" s="254"/>
      <c r="X276" s="254"/>
      <c r="Y276" s="254"/>
      <c r="Z276" s="254"/>
      <c r="AA276" s="254"/>
      <c r="AB276" s="254"/>
      <c r="AC276" s="254"/>
    </row>
    <row r="277" ht="12.75" customHeight="1" spans="1:29">
      <c r="A277" s="254"/>
      <c r="B277" s="254"/>
      <c r="C277" s="254"/>
      <c r="D277" s="276"/>
      <c r="E277" s="254"/>
      <c r="F277" s="254"/>
      <c r="G277" s="254"/>
      <c r="H277" s="254"/>
      <c r="I277" s="254"/>
      <c r="J277" s="254"/>
      <c r="K277" s="254"/>
      <c r="L277" s="254"/>
      <c r="M277" s="254"/>
      <c r="N277" s="254"/>
      <c r="O277" s="254"/>
      <c r="P277" s="254"/>
      <c r="Q277" s="254"/>
      <c r="R277" s="254"/>
      <c r="S277" s="254"/>
      <c r="T277" s="254"/>
      <c r="U277" s="254"/>
      <c r="V277" s="254"/>
      <c r="W277" s="254"/>
      <c r="X277" s="254"/>
      <c r="Y277" s="254"/>
      <c r="Z277" s="254"/>
      <c r="AA277" s="254"/>
      <c r="AB277" s="254"/>
      <c r="AC277" s="254"/>
    </row>
    <row r="278" ht="12.75" customHeight="1" spans="1:29">
      <c r="A278" s="254"/>
      <c r="B278" s="254"/>
      <c r="C278" s="254"/>
      <c r="D278" s="276"/>
      <c r="E278" s="254"/>
      <c r="F278" s="254"/>
      <c r="G278" s="254"/>
      <c r="H278" s="254"/>
      <c r="I278" s="254"/>
      <c r="J278" s="254"/>
      <c r="K278" s="254"/>
      <c r="L278" s="254"/>
      <c r="M278" s="254"/>
      <c r="N278" s="254"/>
      <c r="O278" s="254"/>
      <c r="P278" s="254"/>
      <c r="Q278" s="254"/>
      <c r="R278" s="254"/>
      <c r="S278" s="254"/>
      <c r="T278" s="254"/>
      <c r="U278" s="254"/>
      <c r="V278" s="254"/>
      <c r="W278" s="254"/>
      <c r="X278" s="254"/>
      <c r="Y278" s="254"/>
      <c r="Z278" s="254"/>
      <c r="AA278" s="254"/>
      <c r="AB278" s="254"/>
      <c r="AC278" s="254"/>
    </row>
    <row r="279" ht="12.75" customHeight="1" spans="1:29">
      <c r="A279" s="254"/>
      <c r="B279" s="254"/>
      <c r="C279" s="254"/>
      <c r="D279" s="276"/>
      <c r="E279" s="254"/>
      <c r="F279" s="254"/>
      <c r="G279" s="254"/>
      <c r="H279" s="254"/>
      <c r="I279" s="254"/>
      <c r="J279" s="254"/>
      <c r="K279" s="254"/>
      <c r="L279" s="254"/>
      <c r="M279" s="254"/>
      <c r="N279" s="254"/>
      <c r="O279" s="254"/>
      <c r="P279" s="254"/>
      <c r="Q279" s="254"/>
      <c r="R279" s="254"/>
      <c r="S279" s="254"/>
      <c r="T279" s="254"/>
      <c r="U279" s="254"/>
      <c r="V279" s="254"/>
      <c r="W279" s="254"/>
      <c r="X279" s="254"/>
      <c r="Y279" s="254"/>
      <c r="Z279" s="254"/>
      <c r="AA279" s="254"/>
      <c r="AB279" s="254"/>
      <c r="AC279" s="254"/>
    </row>
    <row r="280" ht="12.75" customHeight="1" spans="1:29">
      <c r="A280" s="254"/>
      <c r="B280" s="254"/>
      <c r="C280" s="254"/>
      <c r="D280" s="276"/>
      <c r="E280" s="254"/>
      <c r="F280" s="254"/>
      <c r="G280" s="254"/>
      <c r="H280" s="254"/>
      <c r="I280" s="254"/>
      <c r="J280" s="254"/>
      <c r="K280" s="254"/>
      <c r="L280" s="254"/>
      <c r="M280" s="254"/>
      <c r="N280" s="254"/>
      <c r="O280" s="254"/>
      <c r="P280" s="254"/>
      <c r="Q280" s="254"/>
      <c r="R280" s="254"/>
      <c r="S280" s="254"/>
      <c r="T280" s="254"/>
      <c r="U280" s="254"/>
      <c r="V280" s="254"/>
      <c r="W280" s="254"/>
      <c r="X280" s="254"/>
      <c r="Y280" s="254"/>
      <c r="Z280" s="254"/>
      <c r="AA280" s="254"/>
      <c r="AB280" s="254"/>
      <c r="AC280" s="254"/>
    </row>
    <row r="281" ht="12.75" customHeight="1" spans="1:29">
      <c r="A281" s="254"/>
      <c r="B281" s="254"/>
      <c r="C281" s="254"/>
      <c r="D281" s="276"/>
      <c r="E281" s="254"/>
      <c r="F281" s="254"/>
      <c r="G281" s="254"/>
      <c r="H281" s="254"/>
      <c r="I281" s="254"/>
      <c r="J281" s="254"/>
      <c r="K281" s="254"/>
      <c r="L281" s="254"/>
      <c r="M281" s="254"/>
      <c r="N281" s="254"/>
      <c r="O281" s="254"/>
      <c r="P281" s="254"/>
      <c r="Q281" s="254"/>
      <c r="R281" s="254"/>
      <c r="S281" s="254"/>
      <c r="T281" s="254"/>
      <c r="U281" s="254"/>
      <c r="V281" s="254"/>
      <c r="W281" s="254"/>
      <c r="X281" s="254"/>
      <c r="Y281" s="254"/>
      <c r="Z281" s="254"/>
      <c r="AA281" s="254"/>
      <c r="AB281" s="254"/>
      <c r="AC281" s="254"/>
    </row>
    <row r="282" ht="12.75" customHeight="1" spans="1:29">
      <c r="A282" s="254"/>
      <c r="B282" s="254"/>
      <c r="C282" s="254"/>
      <c r="D282" s="276"/>
      <c r="E282" s="254"/>
      <c r="F282" s="254"/>
      <c r="G282" s="254"/>
      <c r="H282" s="254"/>
      <c r="I282" s="254"/>
      <c r="J282" s="254"/>
      <c r="K282" s="254"/>
      <c r="L282" s="254"/>
      <c r="M282" s="254"/>
      <c r="N282" s="254"/>
      <c r="O282" s="254"/>
      <c r="P282" s="254"/>
      <c r="Q282" s="254"/>
      <c r="R282" s="254"/>
      <c r="S282" s="254"/>
      <c r="T282" s="254"/>
      <c r="U282" s="254"/>
      <c r="V282" s="254"/>
      <c r="W282" s="254"/>
      <c r="X282" s="254"/>
      <c r="Y282" s="254"/>
      <c r="Z282" s="254"/>
      <c r="AA282" s="254"/>
      <c r="AB282" s="254"/>
      <c r="AC282" s="254"/>
    </row>
    <row r="283" ht="12.75" customHeight="1" spans="1:29">
      <c r="A283" s="254"/>
      <c r="B283" s="254"/>
      <c r="C283" s="254"/>
      <c r="D283" s="276"/>
      <c r="E283" s="254"/>
      <c r="F283" s="254"/>
      <c r="G283" s="254"/>
      <c r="H283" s="254"/>
      <c r="I283" s="254"/>
      <c r="J283" s="254"/>
      <c r="K283" s="254"/>
      <c r="L283" s="254"/>
      <c r="M283" s="254"/>
      <c r="N283" s="254"/>
      <c r="O283" s="254"/>
      <c r="P283" s="254"/>
      <c r="Q283" s="254"/>
      <c r="R283" s="254"/>
      <c r="S283" s="254"/>
      <c r="T283" s="254"/>
      <c r="U283" s="254"/>
      <c r="V283" s="254"/>
      <c r="W283" s="254"/>
      <c r="X283" s="254"/>
      <c r="Y283" s="254"/>
      <c r="Z283" s="254"/>
      <c r="AA283" s="254"/>
      <c r="AB283" s="254"/>
      <c r="AC283" s="254"/>
    </row>
    <row r="284" ht="12.75" customHeight="1" spans="1:29">
      <c r="A284" s="254"/>
      <c r="B284" s="254"/>
      <c r="C284" s="254"/>
      <c r="D284" s="276"/>
      <c r="E284" s="254"/>
      <c r="F284" s="254"/>
      <c r="G284" s="254"/>
      <c r="H284" s="254"/>
      <c r="I284" s="254"/>
      <c r="J284" s="254"/>
      <c r="K284" s="254"/>
      <c r="L284" s="254"/>
      <c r="M284" s="254"/>
      <c r="N284" s="254"/>
      <c r="O284" s="254"/>
      <c r="P284" s="254"/>
      <c r="Q284" s="254"/>
      <c r="R284" s="254"/>
      <c r="S284" s="254"/>
      <c r="T284" s="254"/>
      <c r="U284" s="254"/>
      <c r="V284" s="254"/>
      <c r="W284" s="254"/>
      <c r="X284" s="254"/>
      <c r="Y284" s="254"/>
      <c r="Z284" s="254"/>
      <c r="AA284" s="254"/>
      <c r="AB284" s="254"/>
      <c r="AC284" s="254"/>
    </row>
    <row r="285" ht="12.75" customHeight="1" spans="1:29">
      <c r="A285" s="254"/>
      <c r="B285" s="254"/>
      <c r="C285" s="254"/>
      <c r="D285" s="276"/>
      <c r="E285" s="254"/>
      <c r="F285" s="254"/>
      <c r="G285" s="254"/>
      <c r="H285" s="254"/>
      <c r="I285" s="254"/>
      <c r="J285" s="254"/>
      <c r="K285" s="254"/>
      <c r="L285" s="254"/>
      <c r="M285" s="254"/>
      <c r="N285" s="254"/>
      <c r="O285" s="254"/>
      <c r="P285" s="254"/>
      <c r="Q285" s="254"/>
      <c r="R285" s="254"/>
      <c r="S285" s="254"/>
      <c r="T285" s="254"/>
      <c r="U285" s="254"/>
      <c r="V285" s="254"/>
      <c r="W285" s="254"/>
      <c r="X285" s="254"/>
      <c r="Y285" s="254"/>
      <c r="Z285" s="254"/>
      <c r="AA285" s="254"/>
      <c r="AB285" s="254"/>
      <c r="AC285" s="254"/>
    </row>
    <row r="286" ht="12.75" customHeight="1" spans="1:29">
      <c r="A286" s="254"/>
      <c r="B286" s="254"/>
      <c r="C286" s="254"/>
      <c r="D286" s="276"/>
      <c r="E286" s="254"/>
      <c r="F286" s="254"/>
      <c r="G286" s="254"/>
      <c r="H286" s="254"/>
      <c r="I286" s="254"/>
      <c r="J286" s="254"/>
      <c r="K286" s="254"/>
      <c r="L286" s="254"/>
      <c r="M286" s="254"/>
      <c r="N286" s="254"/>
      <c r="O286" s="254"/>
      <c r="P286" s="254"/>
      <c r="Q286" s="254"/>
      <c r="R286" s="254"/>
      <c r="S286" s="254"/>
      <c r="T286" s="254"/>
      <c r="U286" s="254"/>
      <c r="V286" s="254"/>
      <c r="W286" s="254"/>
      <c r="X286" s="254"/>
      <c r="Y286" s="254"/>
      <c r="Z286" s="254"/>
      <c r="AA286" s="254"/>
      <c r="AB286" s="254"/>
      <c r="AC286" s="254"/>
    </row>
    <row r="287" ht="12.75" customHeight="1" spans="1:29">
      <c r="A287" s="254"/>
      <c r="B287" s="254"/>
      <c r="C287" s="254"/>
      <c r="D287" s="276"/>
      <c r="E287" s="254"/>
      <c r="F287" s="254"/>
      <c r="G287" s="254"/>
      <c r="H287" s="254"/>
      <c r="I287" s="254"/>
      <c r="J287" s="254"/>
      <c r="K287" s="254"/>
      <c r="L287" s="254"/>
      <c r="M287" s="254"/>
      <c r="N287" s="254"/>
      <c r="O287" s="254"/>
      <c r="P287" s="254"/>
      <c r="Q287" s="254"/>
      <c r="R287" s="254"/>
      <c r="S287" s="254"/>
      <c r="T287" s="254"/>
      <c r="U287" s="254"/>
      <c r="V287" s="254"/>
      <c r="W287" s="254"/>
      <c r="X287" s="254"/>
      <c r="Y287" s="254"/>
      <c r="Z287" s="254"/>
      <c r="AA287" s="254"/>
      <c r="AB287" s="254"/>
      <c r="AC287" s="254"/>
    </row>
    <row r="288" ht="12.75" customHeight="1" spans="1:29">
      <c r="A288" s="254"/>
      <c r="B288" s="254"/>
      <c r="C288" s="254"/>
      <c r="D288" s="276"/>
      <c r="E288" s="254"/>
      <c r="F288" s="254"/>
      <c r="G288" s="254"/>
      <c r="H288" s="254"/>
      <c r="I288" s="254"/>
      <c r="J288" s="254"/>
      <c r="K288" s="254"/>
      <c r="L288" s="254"/>
      <c r="M288" s="254"/>
      <c r="N288" s="254"/>
      <c r="O288" s="254"/>
      <c r="P288" s="254"/>
      <c r="Q288" s="254"/>
      <c r="R288" s="254"/>
      <c r="S288" s="254"/>
      <c r="T288" s="254"/>
      <c r="U288" s="254"/>
      <c r="V288" s="254"/>
      <c r="W288" s="254"/>
      <c r="X288" s="254"/>
      <c r="Y288" s="254"/>
      <c r="Z288" s="254"/>
      <c r="AA288" s="254"/>
      <c r="AB288" s="254"/>
      <c r="AC288" s="254"/>
    </row>
    <row r="289" ht="12.75" customHeight="1" spans="1:29">
      <c r="A289" s="254"/>
      <c r="B289" s="254"/>
      <c r="C289" s="254"/>
      <c r="D289" s="276"/>
      <c r="E289" s="254"/>
      <c r="F289" s="254"/>
      <c r="G289" s="254"/>
      <c r="H289" s="254"/>
      <c r="I289" s="254"/>
      <c r="J289" s="254"/>
      <c r="K289" s="254"/>
      <c r="L289" s="254"/>
      <c r="M289" s="254"/>
      <c r="N289" s="254"/>
      <c r="O289" s="254"/>
      <c r="P289" s="254"/>
      <c r="Q289" s="254"/>
      <c r="R289" s="254"/>
      <c r="S289" s="254"/>
      <c r="T289" s="254"/>
      <c r="U289" s="254"/>
      <c r="V289" s="254"/>
      <c r="W289" s="254"/>
      <c r="X289" s="254"/>
      <c r="Y289" s="254"/>
      <c r="Z289" s="254"/>
      <c r="AA289" s="254"/>
      <c r="AB289" s="254"/>
      <c r="AC289" s="254"/>
    </row>
    <row r="290" ht="12.75" customHeight="1" spans="1:29">
      <c r="A290" s="254"/>
      <c r="B290" s="254"/>
      <c r="C290" s="254"/>
      <c r="D290" s="276"/>
      <c r="E290" s="254"/>
      <c r="F290" s="254"/>
      <c r="G290" s="254"/>
      <c r="H290" s="254"/>
      <c r="I290" s="254"/>
      <c r="J290" s="254"/>
      <c r="K290" s="254"/>
      <c r="L290" s="254"/>
      <c r="M290" s="254"/>
      <c r="N290" s="254"/>
      <c r="O290" s="254"/>
      <c r="P290" s="254"/>
      <c r="Q290" s="254"/>
      <c r="R290" s="254"/>
      <c r="S290" s="254"/>
      <c r="T290" s="254"/>
      <c r="U290" s="254"/>
      <c r="V290" s="254"/>
      <c r="W290" s="254"/>
      <c r="X290" s="254"/>
      <c r="Y290" s="254"/>
      <c r="Z290" s="254"/>
      <c r="AA290" s="254"/>
      <c r="AB290" s="254"/>
      <c r="AC290" s="254"/>
    </row>
    <row r="291" ht="12.75" customHeight="1" spans="1:29">
      <c r="A291" s="254"/>
      <c r="B291" s="254"/>
      <c r="C291" s="254"/>
      <c r="D291" s="276"/>
      <c r="E291" s="254"/>
      <c r="F291" s="254"/>
      <c r="G291" s="254"/>
      <c r="H291" s="254"/>
      <c r="I291" s="254"/>
      <c r="J291" s="254"/>
      <c r="K291" s="254"/>
      <c r="L291" s="254"/>
      <c r="M291" s="254"/>
      <c r="N291" s="254"/>
      <c r="O291" s="254"/>
      <c r="P291" s="254"/>
      <c r="Q291" s="254"/>
      <c r="R291" s="254"/>
      <c r="S291" s="254"/>
      <c r="T291" s="254"/>
      <c r="U291" s="254"/>
      <c r="V291" s="254"/>
      <c r="W291" s="254"/>
      <c r="X291" s="254"/>
      <c r="Y291" s="254"/>
      <c r="Z291" s="254"/>
      <c r="AA291" s="254"/>
      <c r="AB291" s="254"/>
      <c r="AC291" s="254"/>
    </row>
    <row r="292" ht="12.75" customHeight="1" spans="1:29">
      <c r="A292" s="254"/>
      <c r="B292" s="254"/>
      <c r="C292" s="254"/>
      <c r="D292" s="276"/>
      <c r="E292" s="254"/>
      <c r="F292" s="254"/>
      <c r="G292" s="254"/>
      <c r="H292" s="254"/>
      <c r="I292" s="254"/>
      <c r="J292" s="254"/>
      <c r="K292" s="254"/>
      <c r="L292" s="254"/>
      <c r="M292" s="254"/>
      <c r="N292" s="254"/>
      <c r="O292" s="254"/>
      <c r="P292" s="254"/>
      <c r="Q292" s="254"/>
      <c r="R292" s="254"/>
      <c r="S292" s="254"/>
      <c r="T292" s="254"/>
      <c r="U292" s="254"/>
      <c r="V292" s="254"/>
      <c r="W292" s="254"/>
      <c r="X292" s="254"/>
      <c r="Y292" s="254"/>
      <c r="Z292" s="254"/>
      <c r="AA292" s="254"/>
      <c r="AB292" s="254"/>
      <c r="AC292" s="254"/>
    </row>
    <row r="293" ht="12.75" customHeight="1" spans="1:29">
      <c r="A293" s="254"/>
      <c r="B293" s="254"/>
      <c r="C293" s="254"/>
      <c r="D293" s="276"/>
      <c r="E293" s="254"/>
      <c r="F293" s="254"/>
      <c r="G293" s="254"/>
      <c r="H293" s="254"/>
      <c r="I293" s="254"/>
      <c r="J293" s="254"/>
      <c r="K293" s="254"/>
      <c r="L293" s="254"/>
      <c r="M293" s="254"/>
      <c r="N293" s="254"/>
      <c r="O293" s="254"/>
      <c r="P293" s="254"/>
      <c r="Q293" s="254"/>
      <c r="R293" s="254"/>
      <c r="S293" s="254"/>
      <c r="T293" s="254"/>
      <c r="U293" s="254"/>
      <c r="V293" s="254"/>
      <c r="W293" s="254"/>
      <c r="X293" s="254"/>
      <c r="Y293" s="254"/>
      <c r="Z293" s="254"/>
      <c r="AA293" s="254"/>
      <c r="AB293" s="254"/>
      <c r="AC293" s="254"/>
    </row>
    <row r="294" ht="12.75" customHeight="1" spans="1:29">
      <c r="A294" s="254"/>
      <c r="B294" s="254"/>
      <c r="C294" s="254"/>
      <c r="D294" s="276"/>
      <c r="E294" s="254"/>
      <c r="F294" s="254"/>
      <c r="G294" s="254"/>
      <c r="H294" s="254"/>
      <c r="I294" s="254"/>
      <c r="J294" s="254"/>
      <c r="K294" s="254"/>
      <c r="L294" s="254"/>
      <c r="M294" s="254"/>
      <c r="N294" s="254"/>
      <c r="O294" s="254"/>
      <c r="P294" s="254"/>
      <c r="Q294" s="254"/>
      <c r="R294" s="254"/>
      <c r="S294" s="254"/>
      <c r="T294" s="254"/>
      <c r="U294" s="254"/>
      <c r="V294" s="254"/>
      <c r="W294" s="254"/>
      <c r="X294" s="254"/>
      <c r="Y294" s="254"/>
      <c r="Z294" s="254"/>
      <c r="AA294" s="254"/>
      <c r="AB294" s="254"/>
      <c r="AC294" s="254"/>
    </row>
    <row r="295" ht="12.75" customHeight="1" spans="1:29">
      <c r="A295" s="254"/>
      <c r="B295" s="254"/>
      <c r="C295" s="254"/>
      <c r="D295" s="276"/>
      <c r="E295" s="254"/>
      <c r="F295" s="254"/>
      <c r="G295" s="254"/>
      <c r="H295" s="254"/>
      <c r="I295" s="254"/>
      <c r="J295" s="254"/>
      <c r="K295" s="254"/>
      <c r="L295" s="254"/>
      <c r="M295" s="254"/>
      <c r="N295" s="254"/>
      <c r="O295" s="254"/>
      <c r="P295" s="254"/>
      <c r="Q295" s="254"/>
      <c r="R295" s="254"/>
      <c r="S295" s="254"/>
      <c r="T295" s="254"/>
      <c r="U295" s="254"/>
      <c r="V295" s="254"/>
      <c r="W295" s="254"/>
      <c r="X295" s="254"/>
      <c r="Y295" s="254"/>
      <c r="Z295" s="254"/>
      <c r="AA295" s="254"/>
      <c r="AB295" s="254"/>
      <c r="AC295" s="254"/>
    </row>
    <row r="296" ht="12.75" customHeight="1" spans="1:29">
      <c r="A296" s="254"/>
      <c r="B296" s="254"/>
      <c r="C296" s="254"/>
      <c r="D296" s="276"/>
      <c r="E296" s="254"/>
      <c r="F296" s="254"/>
      <c r="G296" s="254"/>
      <c r="H296" s="254"/>
      <c r="I296" s="254"/>
      <c r="J296" s="254"/>
      <c r="K296" s="254"/>
      <c r="L296" s="254"/>
      <c r="M296" s="254"/>
      <c r="N296" s="254"/>
      <c r="O296" s="254"/>
      <c r="P296" s="254"/>
      <c r="Q296" s="254"/>
      <c r="R296" s="254"/>
      <c r="S296" s="254"/>
      <c r="T296" s="254"/>
      <c r="U296" s="254"/>
      <c r="V296" s="254"/>
      <c r="W296" s="254"/>
      <c r="X296" s="254"/>
      <c r="Y296" s="254"/>
      <c r="Z296" s="254"/>
      <c r="AA296" s="254"/>
      <c r="AB296" s="254"/>
      <c r="AC296" s="254"/>
    </row>
    <row r="297" ht="12.75" customHeight="1" spans="1:29">
      <c r="A297" s="254"/>
      <c r="B297" s="254"/>
      <c r="C297" s="254"/>
      <c r="D297" s="276"/>
      <c r="E297" s="254"/>
      <c r="F297" s="254"/>
      <c r="G297" s="254"/>
      <c r="H297" s="254"/>
      <c r="I297" s="254"/>
      <c r="J297" s="254"/>
      <c r="K297" s="254"/>
      <c r="L297" s="254"/>
      <c r="M297" s="254"/>
      <c r="N297" s="254"/>
      <c r="O297" s="254"/>
      <c r="P297" s="254"/>
      <c r="Q297" s="254"/>
      <c r="R297" s="254"/>
      <c r="S297" s="254"/>
      <c r="T297" s="254"/>
      <c r="U297" s="254"/>
      <c r="V297" s="254"/>
      <c r="W297" s="254"/>
      <c r="X297" s="254"/>
      <c r="Y297" s="254"/>
      <c r="Z297" s="254"/>
      <c r="AA297" s="254"/>
      <c r="AB297" s="254"/>
      <c r="AC297" s="254"/>
    </row>
    <row r="298" ht="12.75" customHeight="1" spans="1:29">
      <c r="A298" s="254"/>
      <c r="B298" s="254"/>
      <c r="C298" s="254"/>
      <c r="D298" s="276"/>
      <c r="E298" s="254"/>
      <c r="F298" s="254"/>
      <c r="G298" s="254"/>
      <c r="H298" s="254"/>
      <c r="I298" s="254"/>
      <c r="J298" s="254"/>
      <c r="K298" s="254"/>
      <c r="L298" s="254"/>
      <c r="M298" s="254"/>
      <c r="N298" s="254"/>
      <c r="O298" s="254"/>
      <c r="P298" s="254"/>
      <c r="Q298" s="254"/>
      <c r="R298" s="254"/>
      <c r="S298" s="254"/>
      <c r="T298" s="254"/>
      <c r="U298" s="254"/>
      <c r="V298" s="254"/>
      <c r="W298" s="254"/>
      <c r="X298" s="254"/>
      <c r="Y298" s="254"/>
      <c r="Z298" s="254"/>
      <c r="AA298" s="254"/>
      <c r="AB298" s="254"/>
      <c r="AC298" s="254"/>
    </row>
    <row r="299" ht="12.75" customHeight="1" spans="1:29">
      <c r="A299" s="254"/>
      <c r="B299" s="254"/>
      <c r="C299" s="254"/>
      <c r="D299" s="276"/>
      <c r="E299" s="254"/>
      <c r="F299" s="254"/>
      <c r="G299" s="254"/>
      <c r="H299" s="254"/>
      <c r="I299" s="254"/>
      <c r="J299" s="254"/>
      <c r="K299" s="254"/>
      <c r="L299" s="254"/>
      <c r="M299" s="254"/>
      <c r="N299" s="254"/>
      <c r="O299" s="254"/>
      <c r="P299" s="254"/>
      <c r="Q299" s="254"/>
      <c r="R299" s="254"/>
      <c r="S299" s="254"/>
      <c r="T299" s="254"/>
      <c r="U299" s="254"/>
      <c r="V299" s="254"/>
      <c r="W299" s="254"/>
      <c r="X299" s="254"/>
      <c r="Y299" s="254"/>
      <c r="Z299" s="254"/>
      <c r="AA299" s="254"/>
      <c r="AB299" s="254"/>
      <c r="AC299" s="254"/>
    </row>
    <row r="300" ht="12.75" customHeight="1" spans="1:29">
      <c r="A300" s="254"/>
      <c r="B300" s="254"/>
      <c r="C300" s="254"/>
      <c r="D300" s="276"/>
      <c r="E300" s="254"/>
      <c r="F300" s="254"/>
      <c r="G300" s="254"/>
      <c r="H300" s="254"/>
      <c r="I300" s="254"/>
      <c r="J300" s="254"/>
      <c r="K300" s="254"/>
      <c r="L300" s="254"/>
      <c r="M300" s="254"/>
      <c r="N300" s="254"/>
      <c r="O300" s="254"/>
      <c r="P300" s="254"/>
      <c r="Q300" s="254"/>
      <c r="R300" s="254"/>
      <c r="S300" s="254"/>
      <c r="T300" s="254"/>
      <c r="U300" s="254"/>
      <c r="V300" s="254"/>
      <c r="W300" s="254"/>
      <c r="X300" s="254"/>
      <c r="Y300" s="254"/>
      <c r="Z300" s="254"/>
      <c r="AA300" s="254"/>
      <c r="AB300" s="254"/>
      <c r="AC300" s="254"/>
    </row>
    <row r="301" ht="12.75" customHeight="1" spans="1:29">
      <c r="A301" s="254"/>
      <c r="B301" s="254"/>
      <c r="C301" s="254"/>
      <c r="D301" s="276"/>
      <c r="E301" s="254"/>
      <c r="F301" s="254"/>
      <c r="G301" s="254"/>
      <c r="H301" s="254"/>
      <c r="I301" s="254"/>
      <c r="J301" s="254"/>
      <c r="K301" s="254"/>
      <c r="L301" s="254"/>
      <c r="M301" s="254"/>
      <c r="N301" s="254"/>
      <c r="O301" s="254"/>
      <c r="P301" s="254"/>
      <c r="Q301" s="254"/>
      <c r="R301" s="254"/>
      <c r="S301" s="254"/>
      <c r="T301" s="254"/>
      <c r="U301" s="254"/>
      <c r="V301" s="254"/>
      <c r="W301" s="254"/>
      <c r="X301" s="254"/>
      <c r="Y301" s="254"/>
      <c r="Z301" s="254"/>
      <c r="AA301" s="254"/>
      <c r="AB301" s="254"/>
      <c r="AC301" s="254"/>
    </row>
    <row r="302" ht="12.75" customHeight="1" spans="1:29">
      <c r="A302" s="254"/>
      <c r="B302" s="254"/>
      <c r="C302" s="254"/>
      <c r="D302" s="276"/>
      <c r="E302" s="254"/>
      <c r="F302" s="254"/>
      <c r="G302" s="254"/>
      <c r="H302" s="254"/>
      <c r="I302" s="254"/>
      <c r="J302" s="254"/>
      <c r="K302" s="254"/>
      <c r="L302" s="254"/>
      <c r="M302" s="254"/>
      <c r="N302" s="254"/>
      <c r="O302" s="254"/>
      <c r="P302" s="254"/>
      <c r="Q302" s="254"/>
      <c r="R302" s="254"/>
      <c r="S302" s="254"/>
      <c r="T302" s="254"/>
      <c r="U302" s="254"/>
      <c r="V302" s="254"/>
      <c r="W302" s="254"/>
      <c r="X302" s="254"/>
      <c r="Y302" s="254"/>
      <c r="Z302" s="254"/>
      <c r="AA302" s="254"/>
      <c r="AB302" s="254"/>
      <c r="AC302" s="254"/>
    </row>
    <row r="303" ht="12.75" customHeight="1" spans="1:29">
      <c r="A303" s="254"/>
      <c r="B303" s="254"/>
      <c r="C303" s="254"/>
      <c r="D303" s="276"/>
      <c r="E303" s="254"/>
      <c r="F303" s="254"/>
      <c r="G303" s="254"/>
      <c r="H303" s="254"/>
      <c r="I303" s="254"/>
      <c r="J303" s="254"/>
      <c r="K303" s="254"/>
      <c r="L303" s="254"/>
      <c r="M303" s="254"/>
      <c r="N303" s="254"/>
      <c r="O303" s="254"/>
      <c r="P303" s="254"/>
      <c r="Q303" s="254"/>
      <c r="R303" s="254"/>
      <c r="S303" s="254"/>
      <c r="T303" s="254"/>
      <c r="U303" s="254"/>
      <c r="V303" s="254"/>
      <c r="W303" s="254"/>
      <c r="X303" s="254"/>
      <c r="Y303" s="254"/>
      <c r="Z303" s="254"/>
      <c r="AA303" s="254"/>
      <c r="AB303" s="254"/>
      <c r="AC303" s="254"/>
    </row>
    <row r="304" ht="12.75" customHeight="1" spans="1:29">
      <c r="A304" s="254"/>
      <c r="B304" s="254"/>
      <c r="C304" s="254"/>
      <c r="D304" s="276"/>
      <c r="E304" s="254"/>
      <c r="F304" s="254"/>
      <c r="G304" s="254"/>
      <c r="H304" s="254"/>
      <c r="I304" s="254"/>
      <c r="J304" s="254"/>
      <c r="K304" s="254"/>
      <c r="L304" s="254"/>
      <c r="M304" s="254"/>
      <c r="N304" s="254"/>
      <c r="O304" s="254"/>
      <c r="P304" s="254"/>
      <c r="Q304" s="254"/>
      <c r="R304" s="254"/>
      <c r="S304" s="254"/>
      <c r="T304" s="254"/>
      <c r="U304" s="254"/>
      <c r="V304" s="254"/>
      <c r="W304" s="254"/>
      <c r="X304" s="254"/>
      <c r="Y304" s="254"/>
      <c r="Z304" s="254"/>
      <c r="AA304" s="254"/>
      <c r="AB304" s="254"/>
      <c r="AC304" s="254"/>
    </row>
    <row r="305" ht="12.75" customHeight="1" spans="1:29">
      <c r="A305" s="254"/>
      <c r="B305" s="254"/>
      <c r="C305" s="254"/>
      <c r="D305" s="276"/>
      <c r="E305" s="254"/>
      <c r="F305" s="254"/>
      <c r="G305" s="254"/>
      <c r="H305" s="254"/>
      <c r="I305" s="254"/>
      <c r="J305" s="254"/>
      <c r="K305" s="254"/>
      <c r="L305" s="254"/>
      <c r="M305" s="254"/>
      <c r="N305" s="254"/>
      <c r="O305" s="254"/>
      <c r="P305" s="254"/>
      <c r="Q305" s="254"/>
      <c r="R305" s="254"/>
      <c r="S305" s="254"/>
      <c r="T305" s="254"/>
      <c r="U305" s="254"/>
      <c r="V305" s="254"/>
      <c r="W305" s="254"/>
      <c r="X305" s="254"/>
      <c r="Y305" s="254"/>
      <c r="Z305" s="254"/>
      <c r="AA305" s="254"/>
      <c r="AB305" s="254"/>
      <c r="AC305" s="254"/>
    </row>
    <row r="306" ht="12.75" customHeight="1" spans="1:29">
      <c r="A306" s="254"/>
      <c r="B306" s="254"/>
      <c r="C306" s="254"/>
      <c r="D306" s="276"/>
      <c r="E306" s="254"/>
      <c r="F306" s="254"/>
      <c r="G306" s="254"/>
      <c r="H306" s="254"/>
      <c r="I306" s="254"/>
      <c r="J306" s="254"/>
      <c r="K306" s="254"/>
      <c r="L306" s="254"/>
      <c r="M306" s="254"/>
      <c r="N306" s="254"/>
      <c r="O306" s="254"/>
      <c r="P306" s="254"/>
      <c r="Q306" s="254"/>
      <c r="R306" s="254"/>
      <c r="S306" s="254"/>
      <c r="T306" s="254"/>
      <c r="U306" s="254"/>
      <c r="V306" s="254"/>
      <c r="W306" s="254"/>
      <c r="X306" s="254"/>
      <c r="Y306" s="254"/>
      <c r="Z306" s="254"/>
      <c r="AA306" s="254"/>
      <c r="AB306" s="254"/>
      <c r="AC306" s="254"/>
    </row>
    <row r="307" ht="12.75" customHeight="1" spans="1:29">
      <c r="A307" s="254"/>
      <c r="B307" s="254"/>
      <c r="C307" s="254"/>
      <c r="D307" s="276"/>
      <c r="E307" s="254"/>
      <c r="F307" s="254"/>
      <c r="G307" s="254"/>
      <c r="H307" s="254"/>
      <c r="I307" s="254"/>
      <c r="J307" s="254"/>
      <c r="K307" s="254"/>
      <c r="L307" s="254"/>
      <c r="M307" s="254"/>
      <c r="N307" s="254"/>
      <c r="O307" s="254"/>
      <c r="P307" s="254"/>
      <c r="Q307" s="254"/>
      <c r="R307" s="254"/>
      <c r="S307" s="254"/>
      <c r="T307" s="254"/>
      <c r="U307" s="254"/>
      <c r="V307" s="254"/>
      <c r="W307" s="254"/>
      <c r="X307" s="254"/>
      <c r="Y307" s="254"/>
      <c r="Z307" s="254"/>
      <c r="AA307" s="254"/>
      <c r="AB307" s="254"/>
      <c r="AC307" s="254"/>
    </row>
    <row r="308" ht="12.75" customHeight="1" spans="1:29">
      <c r="A308" s="254"/>
      <c r="B308" s="254"/>
      <c r="C308" s="254"/>
      <c r="D308" s="276"/>
      <c r="E308" s="254"/>
      <c r="F308" s="254"/>
      <c r="G308" s="254"/>
      <c r="H308" s="254"/>
      <c r="I308" s="254"/>
      <c r="J308" s="254"/>
      <c r="K308" s="254"/>
      <c r="L308" s="254"/>
      <c r="M308" s="254"/>
      <c r="N308" s="254"/>
      <c r="O308" s="254"/>
      <c r="P308" s="254"/>
      <c r="Q308" s="254"/>
      <c r="R308" s="254"/>
      <c r="S308" s="254"/>
      <c r="T308" s="254"/>
      <c r="U308" s="254"/>
      <c r="V308" s="254"/>
      <c r="W308" s="254"/>
      <c r="X308" s="254"/>
      <c r="Y308" s="254"/>
      <c r="Z308" s="254"/>
      <c r="AA308" s="254"/>
      <c r="AB308" s="254"/>
      <c r="AC308" s="254"/>
    </row>
    <row r="309" ht="12.75" customHeight="1" spans="1:29">
      <c r="A309" s="254"/>
      <c r="B309" s="254"/>
      <c r="C309" s="254"/>
      <c r="D309" s="276"/>
      <c r="E309" s="254"/>
      <c r="F309" s="254"/>
      <c r="G309" s="254"/>
      <c r="H309" s="254"/>
      <c r="I309" s="254"/>
      <c r="J309" s="254"/>
      <c r="K309" s="254"/>
      <c r="L309" s="254"/>
      <c r="M309" s="254"/>
      <c r="N309" s="254"/>
      <c r="O309" s="254"/>
      <c r="P309" s="254"/>
      <c r="Q309" s="254"/>
      <c r="R309" s="254"/>
      <c r="S309" s="254"/>
      <c r="T309" s="254"/>
      <c r="U309" s="254"/>
      <c r="V309" s="254"/>
      <c r="W309" s="254"/>
      <c r="X309" s="254"/>
      <c r="Y309" s="254"/>
      <c r="Z309" s="254"/>
      <c r="AA309" s="254"/>
      <c r="AB309" s="254"/>
      <c r="AC309" s="254"/>
    </row>
    <row r="310" ht="12.75" customHeight="1" spans="1:29">
      <c r="A310" s="254"/>
      <c r="B310" s="254"/>
      <c r="C310" s="254"/>
      <c r="D310" s="276"/>
      <c r="E310" s="254"/>
      <c r="F310" s="254"/>
      <c r="G310" s="254"/>
      <c r="H310" s="254"/>
      <c r="I310" s="254"/>
      <c r="J310" s="254"/>
      <c r="K310" s="254"/>
      <c r="L310" s="254"/>
      <c r="M310" s="254"/>
      <c r="N310" s="254"/>
      <c r="O310" s="254"/>
      <c r="P310" s="254"/>
      <c r="Q310" s="254"/>
      <c r="R310" s="254"/>
      <c r="S310" s="254"/>
      <c r="T310" s="254"/>
      <c r="U310" s="254"/>
      <c r="V310" s="254"/>
      <c r="W310" s="254"/>
      <c r="X310" s="254"/>
      <c r="Y310" s="254"/>
      <c r="Z310" s="254"/>
      <c r="AA310" s="254"/>
      <c r="AB310" s="254"/>
      <c r="AC310" s="254"/>
    </row>
    <row r="311" ht="12.75" customHeight="1" spans="1:29">
      <c r="A311" s="254"/>
      <c r="B311" s="254"/>
      <c r="C311" s="254"/>
      <c r="D311" s="276"/>
      <c r="E311" s="254"/>
      <c r="F311" s="254"/>
      <c r="G311" s="254"/>
      <c r="H311" s="254"/>
      <c r="I311" s="254"/>
      <c r="J311" s="254"/>
      <c r="K311" s="254"/>
      <c r="L311" s="254"/>
      <c r="M311" s="254"/>
      <c r="N311" s="254"/>
      <c r="O311" s="254"/>
      <c r="P311" s="254"/>
      <c r="Q311" s="254"/>
      <c r="R311" s="254"/>
      <c r="S311" s="254"/>
      <c r="T311" s="254"/>
      <c r="U311" s="254"/>
      <c r="V311" s="254"/>
      <c r="W311" s="254"/>
      <c r="X311" s="254"/>
      <c r="Y311" s="254"/>
      <c r="Z311" s="254"/>
      <c r="AA311" s="254"/>
      <c r="AB311" s="254"/>
      <c r="AC311" s="254"/>
    </row>
    <row r="312" ht="12.75" customHeight="1" spans="1:29">
      <c r="A312" s="254"/>
      <c r="B312" s="254"/>
      <c r="C312" s="254"/>
      <c r="D312" s="276"/>
      <c r="E312" s="254"/>
      <c r="F312" s="254"/>
      <c r="G312" s="254"/>
      <c r="H312" s="254"/>
      <c r="I312" s="254"/>
      <c r="J312" s="254"/>
      <c r="K312" s="254"/>
      <c r="L312" s="254"/>
      <c r="M312" s="254"/>
      <c r="N312" s="254"/>
      <c r="O312" s="254"/>
      <c r="P312" s="254"/>
      <c r="Q312" s="254"/>
      <c r="R312" s="254"/>
      <c r="S312" s="254"/>
      <c r="T312" s="254"/>
      <c r="U312" s="254"/>
      <c r="V312" s="254"/>
      <c r="W312" s="254"/>
      <c r="X312" s="254"/>
      <c r="Y312" s="254"/>
      <c r="Z312" s="254"/>
      <c r="AA312" s="254"/>
      <c r="AB312" s="254"/>
      <c r="AC312" s="254"/>
    </row>
    <row r="313" ht="12.75" customHeight="1" spans="1:29">
      <c r="A313" s="254"/>
      <c r="B313" s="254"/>
      <c r="C313" s="254"/>
      <c r="D313" s="276"/>
      <c r="E313" s="254"/>
      <c r="F313" s="254"/>
      <c r="G313" s="254"/>
      <c r="H313" s="254"/>
      <c r="I313" s="254"/>
      <c r="J313" s="254"/>
      <c r="K313" s="254"/>
      <c r="L313" s="254"/>
      <c r="M313" s="254"/>
      <c r="N313" s="254"/>
      <c r="O313" s="254"/>
      <c r="P313" s="254"/>
      <c r="Q313" s="254"/>
      <c r="R313" s="254"/>
      <c r="S313" s="254"/>
      <c r="T313" s="254"/>
      <c r="U313" s="254"/>
      <c r="V313" s="254"/>
      <c r="W313" s="254"/>
      <c r="X313" s="254"/>
      <c r="Y313" s="254"/>
      <c r="Z313" s="254"/>
      <c r="AA313" s="254"/>
      <c r="AB313" s="254"/>
      <c r="AC313" s="254"/>
    </row>
    <row r="314" ht="12.75" customHeight="1" spans="1:29">
      <c r="A314" s="254"/>
      <c r="B314" s="254"/>
      <c r="C314" s="254"/>
      <c r="D314" s="276"/>
      <c r="E314" s="254"/>
      <c r="F314" s="254"/>
      <c r="G314" s="254"/>
      <c r="H314" s="254"/>
      <c r="I314" s="254"/>
      <c r="J314" s="254"/>
      <c r="K314" s="254"/>
      <c r="L314" s="254"/>
      <c r="M314" s="254"/>
      <c r="N314" s="254"/>
      <c r="O314" s="254"/>
      <c r="P314" s="254"/>
      <c r="Q314" s="254"/>
      <c r="R314" s="254"/>
      <c r="S314" s="254"/>
      <c r="T314" s="254"/>
      <c r="U314" s="254"/>
      <c r="V314" s="254"/>
      <c r="W314" s="254"/>
      <c r="X314" s="254"/>
      <c r="Y314" s="254"/>
      <c r="Z314" s="254"/>
      <c r="AA314" s="254"/>
      <c r="AB314" s="254"/>
      <c r="AC314" s="254"/>
    </row>
    <row r="315" ht="12.75" customHeight="1" spans="1:29">
      <c r="A315" s="254"/>
      <c r="B315" s="254"/>
      <c r="C315" s="254"/>
      <c r="D315" s="276"/>
      <c r="E315" s="254"/>
      <c r="F315" s="254"/>
      <c r="G315" s="254"/>
      <c r="H315" s="254"/>
      <c r="I315" s="254"/>
      <c r="J315" s="254"/>
      <c r="K315" s="254"/>
      <c r="L315" s="254"/>
      <c r="M315" s="254"/>
      <c r="N315" s="254"/>
      <c r="O315" s="254"/>
      <c r="P315" s="254"/>
      <c r="Q315" s="254"/>
      <c r="R315" s="254"/>
      <c r="S315" s="254"/>
      <c r="T315" s="254"/>
      <c r="U315" s="254"/>
      <c r="V315" s="254"/>
      <c r="W315" s="254"/>
      <c r="X315" s="254"/>
      <c r="Y315" s="254"/>
      <c r="Z315" s="254"/>
      <c r="AA315" s="254"/>
      <c r="AB315" s="254"/>
      <c r="AC315" s="254"/>
    </row>
    <row r="316" ht="12.75" customHeight="1" spans="1:29">
      <c r="A316" s="254"/>
      <c r="B316" s="254"/>
      <c r="C316" s="254"/>
      <c r="D316" s="276"/>
      <c r="E316" s="254"/>
      <c r="F316" s="254"/>
      <c r="G316" s="254"/>
      <c r="H316" s="254"/>
      <c r="I316" s="254"/>
      <c r="J316" s="254"/>
      <c r="K316" s="254"/>
      <c r="L316" s="254"/>
      <c r="M316" s="254"/>
      <c r="N316" s="254"/>
      <c r="O316" s="254"/>
      <c r="P316" s="254"/>
      <c r="Q316" s="254"/>
      <c r="R316" s="254"/>
      <c r="S316" s="254"/>
      <c r="T316" s="254"/>
      <c r="U316" s="254"/>
      <c r="V316" s="254"/>
      <c r="W316" s="254"/>
      <c r="X316" s="254"/>
      <c r="Y316" s="254"/>
      <c r="Z316" s="254"/>
      <c r="AA316" s="254"/>
      <c r="AB316" s="254"/>
      <c r="AC316" s="254"/>
    </row>
    <row r="317" ht="12.75" customHeight="1" spans="1:29">
      <c r="A317" s="254"/>
      <c r="B317" s="254"/>
      <c r="C317" s="254"/>
      <c r="D317" s="276"/>
      <c r="E317" s="254"/>
      <c r="F317" s="254"/>
      <c r="G317" s="254"/>
      <c r="H317" s="254"/>
      <c r="I317" s="254"/>
      <c r="J317" s="254"/>
      <c r="K317" s="254"/>
      <c r="L317" s="254"/>
      <c r="M317" s="254"/>
      <c r="N317" s="254"/>
      <c r="O317" s="254"/>
      <c r="P317" s="254"/>
      <c r="Q317" s="254"/>
      <c r="R317" s="254"/>
      <c r="S317" s="254"/>
      <c r="T317" s="254"/>
      <c r="U317" s="254"/>
      <c r="V317" s="254"/>
      <c r="W317" s="254"/>
      <c r="X317" s="254"/>
      <c r="Y317" s="254"/>
      <c r="Z317" s="254"/>
      <c r="AA317" s="254"/>
      <c r="AB317" s="254"/>
      <c r="AC317" s="254"/>
    </row>
    <row r="318" ht="12.75" customHeight="1" spans="1:29">
      <c r="A318" s="254"/>
      <c r="B318" s="254"/>
      <c r="C318" s="254"/>
      <c r="D318" s="276"/>
      <c r="E318" s="254"/>
      <c r="F318" s="254"/>
      <c r="G318" s="254"/>
      <c r="H318" s="254"/>
      <c r="I318" s="254"/>
      <c r="J318" s="254"/>
      <c r="K318" s="254"/>
      <c r="L318" s="254"/>
      <c r="M318" s="254"/>
      <c r="N318" s="254"/>
      <c r="O318" s="254"/>
      <c r="P318" s="254"/>
      <c r="Q318" s="254"/>
      <c r="R318" s="254"/>
      <c r="S318" s="254"/>
      <c r="T318" s="254"/>
      <c r="U318" s="254"/>
      <c r="V318" s="254"/>
      <c r="W318" s="254"/>
      <c r="X318" s="254"/>
      <c r="Y318" s="254"/>
      <c r="Z318" s="254"/>
      <c r="AA318" s="254"/>
      <c r="AB318" s="254"/>
      <c r="AC318" s="254"/>
    </row>
    <row r="319" ht="12.75" customHeight="1" spans="1:29">
      <c r="A319" s="254"/>
      <c r="B319" s="254"/>
      <c r="C319" s="254"/>
      <c r="D319" s="276"/>
      <c r="E319" s="254"/>
      <c r="F319" s="254"/>
      <c r="G319" s="254"/>
      <c r="H319" s="254"/>
      <c r="I319" s="254"/>
      <c r="J319" s="254"/>
      <c r="K319" s="254"/>
      <c r="L319" s="254"/>
      <c r="M319" s="254"/>
      <c r="N319" s="254"/>
      <c r="O319" s="254"/>
      <c r="P319" s="254"/>
      <c r="Q319" s="254"/>
      <c r="R319" s="254"/>
      <c r="S319" s="254"/>
      <c r="T319" s="254"/>
      <c r="U319" s="254"/>
      <c r="V319" s="254"/>
      <c r="W319" s="254"/>
      <c r="X319" s="254"/>
      <c r="Y319" s="254"/>
      <c r="Z319" s="254"/>
      <c r="AA319" s="254"/>
      <c r="AB319" s="254"/>
      <c r="AC319" s="254"/>
    </row>
    <row r="320" ht="12.75" customHeight="1" spans="1:29">
      <c r="A320" s="254"/>
      <c r="B320" s="254"/>
      <c r="C320" s="254"/>
      <c r="D320" s="276"/>
      <c r="E320" s="254"/>
      <c r="F320" s="254"/>
      <c r="G320" s="254"/>
      <c r="H320" s="254"/>
      <c r="I320" s="254"/>
      <c r="J320" s="254"/>
      <c r="K320" s="254"/>
      <c r="L320" s="254"/>
      <c r="M320" s="254"/>
      <c r="N320" s="254"/>
      <c r="O320" s="254"/>
      <c r="P320" s="254"/>
      <c r="Q320" s="254"/>
      <c r="R320" s="254"/>
      <c r="S320" s="254"/>
      <c r="T320" s="254"/>
      <c r="U320" s="254"/>
      <c r="V320" s="254"/>
      <c r="W320" s="254"/>
      <c r="X320" s="254"/>
      <c r="Y320" s="254"/>
      <c r="Z320" s="254"/>
      <c r="AA320" s="254"/>
      <c r="AB320" s="254"/>
      <c r="AC320" s="254"/>
    </row>
    <row r="321" ht="12.75" customHeight="1" spans="1:29">
      <c r="A321" s="254"/>
      <c r="B321" s="254"/>
      <c r="C321" s="254"/>
      <c r="D321" s="276"/>
      <c r="E321" s="254"/>
      <c r="F321" s="254"/>
      <c r="G321" s="254"/>
      <c r="H321" s="254"/>
      <c r="I321" s="254"/>
      <c r="J321" s="254"/>
      <c r="K321" s="254"/>
      <c r="L321" s="254"/>
      <c r="M321" s="254"/>
      <c r="N321" s="254"/>
      <c r="O321" s="254"/>
      <c r="P321" s="254"/>
      <c r="Q321" s="254"/>
      <c r="R321" s="254"/>
      <c r="S321" s="254"/>
      <c r="T321" s="254"/>
      <c r="U321" s="254"/>
      <c r="V321" s="254"/>
      <c r="W321" s="254"/>
      <c r="X321" s="254"/>
      <c r="Y321" s="254"/>
      <c r="Z321" s="254"/>
      <c r="AA321" s="254"/>
      <c r="AB321" s="254"/>
      <c r="AC321" s="254"/>
    </row>
    <row r="322" ht="12.75" customHeight="1" spans="1:29">
      <c r="A322" s="254"/>
      <c r="B322" s="254"/>
      <c r="C322" s="254"/>
      <c r="D322" s="276"/>
      <c r="E322" s="254"/>
      <c r="F322" s="254"/>
      <c r="G322" s="254"/>
      <c r="H322" s="254"/>
      <c r="I322" s="254"/>
      <c r="J322" s="254"/>
      <c r="K322" s="254"/>
      <c r="L322" s="254"/>
      <c r="M322" s="254"/>
      <c r="N322" s="254"/>
      <c r="O322" s="254"/>
      <c r="P322" s="254"/>
      <c r="Q322" s="254"/>
      <c r="R322" s="254"/>
      <c r="S322" s="254"/>
      <c r="T322" s="254"/>
      <c r="U322" s="254"/>
      <c r="V322" s="254"/>
      <c r="W322" s="254"/>
      <c r="X322" s="254"/>
      <c r="Y322" s="254"/>
      <c r="Z322" s="254"/>
      <c r="AA322" s="254"/>
      <c r="AB322" s="254"/>
      <c r="AC322" s="254"/>
    </row>
    <row r="323" ht="12.75" customHeight="1" spans="1:29">
      <c r="A323" s="254"/>
      <c r="B323" s="254"/>
      <c r="C323" s="254"/>
      <c r="D323" s="276"/>
      <c r="E323" s="254"/>
      <c r="F323" s="254"/>
      <c r="G323" s="254"/>
      <c r="H323" s="254"/>
      <c r="I323" s="254"/>
      <c r="J323" s="254"/>
      <c r="K323" s="254"/>
      <c r="L323" s="254"/>
      <c r="M323" s="254"/>
      <c r="N323" s="254"/>
      <c r="O323" s="254"/>
      <c r="P323" s="254"/>
      <c r="Q323" s="254"/>
      <c r="R323" s="254"/>
      <c r="S323" s="254"/>
      <c r="T323" s="254"/>
      <c r="U323" s="254"/>
      <c r="V323" s="254"/>
      <c r="W323" s="254"/>
      <c r="X323" s="254"/>
      <c r="Y323" s="254"/>
      <c r="Z323" s="254"/>
      <c r="AA323" s="254"/>
      <c r="AB323" s="254"/>
      <c r="AC323" s="254"/>
    </row>
    <row r="324" ht="12.75" customHeight="1" spans="1:29">
      <c r="A324" s="254"/>
      <c r="B324" s="254"/>
      <c r="C324" s="254"/>
      <c r="D324" s="276"/>
      <c r="E324" s="254"/>
      <c r="F324" s="254"/>
      <c r="G324" s="254"/>
      <c r="H324" s="254"/>
      <c r="I324" s="254"/>
      <c r="J324" s="254"/>
      <c r="K324" s="254"/>
      <c r="L324" s="254"/>
      <c r="M324" s="254"/>
      <c r="N324" s="254"/>
      <c r="O324" s="254"/>
      <c r="P324" s="254"/>
      <c r="Q324" s="254"/>
      <c r="R324" s="254"/>
      <c r="S324" s="254"/>
      <c r="T324" s="254"/>
      <c r="U324" s="254"/>
      <c r="V324" s="254"/>
      <c r="W324" s="254"/>
      <c r="X324" s="254"/>
      <c r="Y324" s="254"/>
      <c r="Z324" s="254"/>
      <c r="AA324" s="254"/>
      <c r="AB324" s="254"/>
      <c r="AC324" s="254"/>
    </row>
    <row r="325" ht="12.75" customHeight="1" spans="1:29">
      <c r="A325" s="254"/>
      <c r="B325" s="254"/>
      <c r="C325" s="254"/>
      <c r="D325" s="276"/>
      <c r="E325" s="254"/>
      <c r="F325" s="254"/>
      <c r="G325" s="254"/>
      <c r="H325" s="254"/>
      <c r="I325" s="254"/>
      <c r="J325" s="254"/>
      <c r="K325" s="254"/>
      <c r="L325" s="254"/>
      <c r="M325" s="254"/>
      <c r="N325" s="254"/>
      <c r="O325" s="254"/>
      <c r="P325" s="254"/>
      <c r="Q325" s="254"/>
      <c r="R325" s="254"/>
      <c r="S325" s="254"/>
      <c r="T325" s="254"/>
      <c r="U325" s="254"/>
      <c r="V325" s="254"/>
      <c r="W325" s="254"/>
      <c r="X325" s="254"/>
      <c r="Y325" s="254"/>
      <c r="Z325" s="254"/>
      <c r="AA325" s="254"/>
      <c r="AB325" s="254"/>
      <c r="AC325" s="254"/>
    </row>
    <row r="326" ht="12.75" customHeight="1" spans="1:29">
      <c r="A326" s="254"/>
      <c r="B326" s="254"/>
      <c r="C326" s="254"/>
      <c r="D326" s="276"/>
      <c r="E326" s="254"/>
      <c r="F326" s="254"/>
      <c r="G326" s="254"/>
      <c r="H326" s="254"/>
      <c r="I326" s="254"/>
      <c r="J326" s="254"/>
      <c r="K326" s="254"/>
      <c r="L326" s="254"/>
      <c r="M326" s="254"/>
      <c r="N326" s="254"/>
      <c r="O326" s="254"/>
      <c r="P326" s="254"/>
      <c r="Q326" s="254"/>
      <c r="R326" s="254"/>
      <c r="S326" s="254"/>
      <c r="T326" s="254"/>
      <c r="U326" s="254"/>
      <c r="V326" s="254"/>
      <c r="W326" s="254"/>
      <c r="X326" s="254"/>
      <c r="Y326" s="254"/>
      <c r="Z326" s="254"/>
      <c r="AA326" s="254"/>
      <c r="AB326" s="254"/>
      <c r="AC326" s="254"/>
    </row>
    <row r="327" ht="12.75" customHeight="1" spans="1:29">
      <c r="A327" s="254"/>
      <c r="B327" s="254"/>
      <c r="C327" s="254"/>
      <c r="D327" s="276"/>
      <c r="E327" s="254"/>
      <c r="F327" s="254"/>
      <c r="G327" s="254"/>
      <c r="H327" s="254"/>
      <c r="I327" s="254"/>
      <c r="J327" s="254"/>
      <c r="K327" s="254"/>
      <c r="L327" s="254"/>
      <c r="M327" s="254"/>
      <c r="N327" s="254"/>
      <c r="O327" s="254"/>
      <c r="P327" s="254"/>
      <c r="Q327" s="254"/>
      <c r="R327" s="254"/>
      <c r="S327" s="254"/>
      <c r="T327" s="254"/>
      <c r="U327" s="254"/>
      <c r="V327" s="254"/>
      <c r="W327" s="254"/>
      <c r="X327" s="254"/>
      <c r="Y327" s="254"/>
      <c r="Z327" s="254"/>
      <c r="AA327" s="254"/>
      <c r="AB327" s="254"/>
      <c r="AC327" s="254"/>
    </row>
    <row r="328" ht="12.75" customHeight="1" spans="1:29">
      <c r="A328" s="254"/>
      <c r="B328" s="254"/>
      <c r="C328" s="254"/>
      <c r="D328" s="276"/>
      <c r="E328" s="254"/>
      <c r="F328" s="254"/>
      <c r="G328" s="254"/>
      <c r="H328" s="254"/>
      <c r="I328" s="254"/>
      <c r="J328" s="254"/>
      <c r="K328" s="254"/>
      <c r="L328" s="254"/>
      <c r="M328" s="254"/>
      <c r="N328" s="254"/>
      <c r="O328" s="254"/>
      <c r="P328" s="254"/>
      <c r="Q328" s="254"/>
      <c r="R328" s="254"/>
      <c r="S328" s="254"/>
      <c r="T328" s="254"/>
      <c r="U328" s="254"/>
      <c r="V328" s="254"/>
      <c r="W328" s="254"/>
      <c r="X328" s="254"/>
      <c r="Y328" s="254"/>
      <c r="Z328" s="254"/>
      <c r="AA328" s="254"/>
      <c r="AB328" s="254"/>
      <c r="AC328" s="254"/>
    </row>
    <row r="329" ht="12.75" customHeight="1" spans="1:29">
      <c r="A329" s="254"/>
      <c r="B329" s="254"/>
      <c r="C329" s="254"/>
      <c r="D329" s="276"/>
      <c r="E329" s="254"/>
      <c r="F329" s="254"/>
      <c r="G329" s="254"/>
      <c r="H329" s="254"/>
      <c r="I329" s="254"/>
      <c r="J329" s="254"/>
      <c r="K329" s="254"/>
      <c r="L329" s="254"/>
      <c r="M329" s="254"/>
      <c r="N329" s="254"/>
      <c r="O329" s="254"/>
      <c r="P329" s="254"/>
      <c r="Q329" s="254"/>
      <c r="R329" s="254"/>
      <c r="S329" s="254"/>
      <c r="T329" s="254"/>
      <c r="U329" s="254"/>
      <c r="V329" s="254"/>
      <c r="W329" s="254"/>
      <c r="X329" s="254"/>
      <c r="Y329" s="254"/>
      <c r="Z329" s="254"/>
      <c r="AA329" s="254"/>
      <c r="AB329" s="254"/>
      <c r="AC329" s="254"/>
    </row>
    <row r="330" ht="12.75" customHeight="1" spans="1:29">
      <c r="A330" s="254"/>
      <c r="B330" s="254"/>
      <c r="C330" s="254"/>
      <c r="D330" s="276"/>
      <c r="E330" s="254"/>
      <c r="F330" s="254"/>
      <c r="G330" s="254"/>
      <c r="H330" s="254"/>
      <c r="I330" s="254"/>
      <c r="J330" s="254"/>
      <c r="K330" s="254"/>
      <c r="L330" s="254"/>
      <c r="M330" s="254"/>
      <c r="N330" s="254"/>
      <c r="O330" s="254"/>
      <c r="P330" s="254"/>
      <c r="Q330" s="254"/>
      <c r="R330" s="254"/>
      <c r="S330" s="254"/>
      <c r="T330" s="254"/>
      <c r="U330" s="254"/>
      <c r="V330" s="254"/>
      <c r="W330" s="254"/>
      <c r="X330" s="254"/>
      <c r="Y330" s="254"/>
      <c r="Z330" s="254"/>
      <c r="AA330" s="254"/>
      <c r="AB330" s="254"/>
      <c r="AC330" s="254"/>
    </row>
    <row r="331" ht="12.75" customHeight="1" spans="1:29">
      <c r="A331" s="254"/>
      <c r="B331" s="254"/>
      <c r="C331" s="254"/>
      <c r="D331" s="276"/>
      <c r="E331" s="254"/>
      <c r="F331" s="254"/>
      <c r="G331" s="254"/>
      <c r="H331" s="254"/>
      <c r="I331" s="254"/>
      <c r="J331" s="254"/>
      <c r="K331" s="254"/>
      <c r="L331" s="254"/>
      <c r="M331" s="254"/>
      <c r="N331" s="254"/>
      <c r="O331" s="254"/>
      <c r="P331" s="254"/>
      <c r="Q331" s="254"/>
      <c r="R331" s="254"/>
      <c r="S331" s="254"/>
      <c r="T331" s="254"/>
      <c r="U331" s="254"/>
      <c r="V331" s="254"/>
      <c r="W331" s="254"/>
      <c r="X331" s="254"/>
      <c r="Y331" s="254"/>
      <c r="Z331" s="254"/>
      <c r="AA331" s="254"/>
      <c r="AB331" s="254"/>
      <c r="AC331" s="254"/>
    </row>
    <row r="332" ht="12.75" customHeight="1" spans="1:29">
      <c r="A332" s="254"/>
      <c r="B332" s="254"/>
      <c r="C332" s="254"/>
      <c r="D332" s="276"/>
      <c r="E332" s="254"/>
      <c r="F332" s="254"/>
      <c r="G332" s="254"/>
      <c r="H332" s="254"/>
      <c r="I332" s="254"/>
      <c r="J332" s="254"/>
      <c r="K332" s="254"/>
      <c r="L332" s="254"/>
      <c r="M332" s="254"/>
      <c r="N332" s="254"/>
      <c r="O332" s="254"/>
      <c r="P332" s="254"/>
      <c r="Q332" s="254"/>
      <c r="R332" s="254"/>
      <c r="S332" s="254"/>
      <c r="T332" s="254"/>
      <c r="U332" s="254"/>
      <c r="V332" s="254"/>
      <c r="W332" s="254"/>
      <c r="X332" s="254"/>
      <c r="Y332" s="254"/>
      <c r="Z332" s="254"/>
      <c r="AA332" s="254"/>
      <c r="AB332" s="254"/>
      <c r="AC332" s="254"/>
    </row>
    <row r="333" ht="12.75" customHeight="1" spans="1:29">
      <c r="A333" s="254"/>
      <c r="B333" s="254"/>
      <c r="C333" s="254"/>
      <c r="D333" s="276"/>
      <c r="E333" s="254"/>
      <c r="F333" s="254"/>
      <c r="G333" s="254"/>
      <c r="H333" s="254"/>
      <c r="I333" s="254"/>
      <c r="J333" s="254"/>
      <c r="K333" s="254"/>
      <c r="L333" s="254"/>
      <c r="M333" s="254"/>
      <c r="N333" s="254"/>
      <c r="O333" s="254"/>
      <c r="P333" s="254"/>
      <c r="Q333" s="254"/>
      <c r="R333" s="254"/>
      <c r="S333" s="254"/>
      <c r="T333" s="254"/>
      <c r="U333" s="254"/>
      <c r="V333" s="254"/>
      <c r="W333" s="254"/>
      <c r="X333" s="254"/>
      <c r="Y333" s="254"/>
      <c r="Z333" s="254"/>
      <c r="AA333" s="254"/>
      <c r="AB333" s="254"/>
      <c r="AC333" s="254"/>
    </row>
    <row r="334" ht="12.75" customHeight="1" spans="1:29">
      <c r="A334" s="254"/>
      <c r="B334" s="254"/>
      <c r="C334" s="254"/>
      <c r="D334" s="276"/>
      <c r="E334" s="254"/>
      <c r="F334" s="254"/>
      <c r="G334" s="254"/>
      <c r="H334" s="254"/>
      <c r="I334" s="254"/>
      <c r="J334" s="254"/>
      <c r="K334" s="254"/>
      <c r="L334" s="254"/>
      <c r="M334" s="254"/>
      <c r="N334" s="254"/>
      <c r="O334" s="254"/>
      <c r="P334" s="254"/>
      <c r="Q334" s="254"/>
      <c r="R334" s="254"/>
      <c r="S334" s="254"/>
      <c r="T334" s="254"/>
      <c r="U334" s="254"/>
      <c r="V334" s="254"/>
      <c r="W334" s="254"/>
      <c r="X334" s="254"/>
      <c r="Y334" s="254"/>
      <c r="Z334" s="254"/>
      <c r="AA334" s="254"/>
      <c r="AB334" s="254"/>
      <c r="AC334" s="254"/>
    </row>
    <row r="335" ht="12.75" customHeight="1" spans="1:29">
      <c r="A335" s="254"/>
      <c r="B335" s="254"/>
      <c r="C335" s="254"/>
      <c r="D335" s="276"/>
      <c r="E335" s="254"/>
      <c r="F335" s="254"/>
      <c r="G335" s="254"/>
      <c r="H335" s="254"/>
      <c r="I335" s="254"/>
      <c r="J335" s="254"/>
      <c r="K335" s="254"/>
      <c r="L335" s="254"/>
      <c r="M335" s="254"/>
      <c r="N335" s="254"/>
      <c r="O335" s="254"/>
      <c r="P335" s="254"/>
      <c r="Q335" s="254"/>
      <c r="R335" s="254"/>
      <c r="S335" s="254"/>
      <c r="T335" s="254"/>
      <c r="U335" s="254"/>
      <c r="V335" s="254"/>
      <c r="W335" s="254"/>
      <c r="X335" s="254"/>
      <c r="Y335" s="254"/>
      <c r="Z335" s="254"/>
      <c r="AA335" s="254"/>
      <c r="AB335" s="254"/>
      <c r="AC335" s="254"/>
    </row>
    <row r="336" ht="12.75" customHeight="1" spans="1:29">
      <c r="A336" s="254"/>
      <c r="B336" s="254"/>
      <c r="C336" s="254"/>
      <c r="D336" s="276"/>
      <c r="E336" s="254"/>
      <c r="F336" s="254"/>
      <c r="G336" s="254"/>
      <c r="H336" s="254"/>
      <c r="I336" s="254"/>
      <c r="J336" s="254"/>
      <c r="K336" s="254"/>
      <c r="L336" s="254"/>
      <c r="M336" s="254"/>
      <c r="N336" s="254"/>
      <c r="O336" s="254"/>
      <c r="P336" s="254"/>
      <c r="Q336" s="254"/>
      <c r="R336" s="254"/>
      <c r="S336" s="254"/>
      <c r="T336" s="254"/>
      <c r="U336" s="254"/>
      <c r="V336" s="254"/>
      <c r="W336" s="254"/>
      <c r="X336" s="254"/>
      <c r="Y336" s="254"/>
      <c r="Z336" s="254"/>
      <c r="AA336" s="254"/>
      <c r="AB336" s="254"/>
      <c r="AC336" s="254"/>
    </row>
    <row r="337" ht="12.75" customHeight="1" spans="1:29">
      <c r="A337" s="254"/>
      <c r="B337" s="254"/>
      <c r="C337" s="254"/>
      <c r="D337" s="276"/>
      <c r="E337" s="254"/>
      <c r="F337" s="254"/>
      <c r="G337" s="254"/>
      <c r="H337" s="254"/>
      <c r="I337" s="254"/>
      <c r="J337" s="254"/>
      <c r="K337" s="254"/>
      <c r="L337" s="254"/>
      <c r="M337" s="254"/>
      <c r="N337" s="254"/>
      <c r="O337" s="254"/>
      <c r="P337" s="254"/>
      <c r="Q337" s="254"/>
      <c r="R337" s="254"/>
      <c r="S337" s="254"/>
      <c r="T337" s="254"/>
      <c r="U337" s="254"/>
      <c r="V337" s="254"/>
      <c r="W337" s="254"/>
      <c r="X337" s="254"/>
      <c r="Y337" s="254"/>
      <c r="Z337" s="254"/>
      <c r="AA337" s="254"/>
      <c r="AB337" s="254"/>
      <c r="AC337" s="254"/>
    </row>
    <row r="338" ht="12.75" customHeight="1" spans="1:29">
      <c r="A338" s="254"/>
      <c r="B338" s="254"/>
      <c r="C338" s="254"/>
      <c r="D338" s="276"/>
      <c r="E338" s="254"/>
      <c r="F338" s="254"/>
      <c r="G338" s="254"/>
      <c r="H338" s="254"/>
      <c r="I338" s="254"/>
      <c r="J338" s="254"/>
      <c r="K338" s="254"/>
      <c r="L338" s="254"/>
      <c r="M338" s="254"/>
      <c r="N338" s="254"/>
      <c r="O338" s="254"/>
      <c r="P338" s="254"/>
      <c r="Q338" s="254"/>
      <c r="R338" s="254"/>
      <c r="S338" s="254"/>
      <c r="T338" s="254"/>
      <c r="U338" s="254"/>
      <c r="V338" s="254"/>
      <c r="W338" s="254"/>
      <c r="X338" s="254"/>
      <c r="Y338" s="254"/>
      <c r="Z338" s="254"/>
      <c r="AA338" s="254"/>
      <c r="AB338" s="254"/>
      <c r="AC338" s="254"/>
    </row>
    <row r="339" ht="12.75" customHeight="1" spans="1:29">
      <c r="A339" s="254"/>
      <c r="B339" s="254"/>
      <c r="C339" s="254"/>
      <c r="D339" s="276"/>
      <c r="E339" s="254"/>
      <c r="F339" s="254"/>
      <c r="G339" s="254"/>
      <c r="H339" s="254"/>
      <c r="I339" s="254"/>
      <c r="J339" s="254"/>
      <c r="K339" s="254"/>
      <c r="L339" s="254"/>
      <c r="M339" s="254"/>
      <c r="N339" s="254"/>
      <c r="O339" s="254"/>
      <c r="P339" s="254"/>
      <c r="Q339" s="254"/>
      <c r="R339" s="254"/>
      <c r="S339" s="254"/>
      <c r="T339" s="254"/>
      <c r="U339" s="254"/>
      <c r="V339" s="254"/>
      <c r="W339" s="254"/>
      <c r="X339" s="254"/>
      <c r="Y339" s="254"/>
      <c r="Z339" s="254"/>
      <c r="AA339" s="254"/>
      <c r="AB339" s="254"/>
      <c r="AC339" s="254"/>
    </row>
    <row r="340" ht="12.75" customHeight="1" spans="1:29">
      <c r="A340" s="254"/>
      <c r="B340" s="254"/>
      <c r="C340" s="254"/>
      <c r="D340" s="276"/>
      <c r="E340" s="254"/>
      <c r="F340" s="254"/>
      <c r="G340" s="254"/>
      <c r="H340" s="254"/>
      <c r="I340" s="254"/>
      <c r="J340" s="254"/>
      <c r="K340" s="254"/>
      <c r="L340" s="254"/>
      <c r="M340" s="254"/>
      <c r="N340" s="254"/>
      <c r="O340" s="254"/>
      <c r="P340" s="254"/>
      <c r="Q340" s="254"/>
      <c r="R340" s="254"/>
      <c r="S340" s="254"/>
      <c r="T340" s="254"/>
      <c r="U340" s="254"/>
      <c r="V340" s="254"/>
      <c r="W340" s="254"/>
      <c r="X340" s="254"/>
      <c r="Y340" s="254"/>
      <c r="Z340" s="254"/>
      <c r="AA340" s="254"/>
      <c r="AB340" s="254"/>
      <c r="AC340" s="254"/>
    </row>
    <row r="341" ht="12.75" customHeight="1" spans="1:29">
      <c r="A341" s="254"/>
      <c r="B341" s="254"/>
      <c r="C341" s="254"/>
      <c r="D341" s="276"/>
      <c r="E341" s="254"/>
      <c r="F341" s="254"/>
      <c r="G341" s="254"/>
      <c r="H341" s="254"/>
      <c r="I341" s="254"/>
      <c r="J341" s="254"/>
      <c r="K341" s="254"/>
      <c r="L341" s="254"/>
      <c r="M341" s="254"/>
      <c r="N341" s="254"/>
      <c r="O341" s="254"/>
      <c r="P341" s="254"/>
      <c r="Q341" s="254"/>
      <c r="R341" s="254"/>
      <c r="S341" s="254"/>
      <c r="T341" s="254"/>
      <c r="U341" s="254"/>
      <c r="V341" s="254"/>
      <c r="W341" s="254"/>
      <c r="X341" s="254"/>
      <c r="Y341" s="254"/>
      <c r="Z341" s="254"/>
      <c r="AA341" s="254"/>
      <c r="AB341" s="254"/>
      <c r="AC341" s="254"/>
    </row>
    <row r="342" ht="12.75" customHeight="1" spans="1:29">
      <c r="A342" s="254"/>
      <c r="B342" s="254"/>
      <c r="C342" s="254"/>
      <c r="D342" s="276"/>
      <c r="E342" s="254"/>
      <c r="F342" s="254"/>
      <c r="G342" s="254"/>
      <c r="H342" s="254"/>
      <c r="I342" s="254"/>
      <c r="J342" s="254"/>
      <c r="K342" s="254"/>
      <c r="L342" s="254"/>
      <c r="M342" s="254"/>
      <c r="N342" s="254"/>
      <c r="O342" s="254"/>
      <c r="P342" s="254"/>
      <c r="Q342" s="254"/>
      <c r="R342" s="254"/>
      <c r="S342" s="254"/>
      <c r="T342" s="254"/>
      <c r="U342" s="254"/>
      <c r="V342" s="254"/>
      <c r="W342" s="254"/>
      <c r="X342" s="254"/>
      <c r="Y342" s="254"/>
      <c r="Z342" s="254"/>
      <c r="AA342" s="254"/>
      <c r="AB342" s="254"/>
      <c r="AC342" s="254"/>
    </row>
    <row r="343" ht="12.75" customHeight="1" spans="1:29">
      <c r="A343" s="254"/>
      <c r="B343" s="254"/>
      <c r="C343" s="254"/>
      <c r="D343" s="276"/>
      <c r="E343" s="254"/>
      <c r="F343" s="254"/>
      <c r="G343" s="254"/>
      <c r="H343" s="254"/>
      <c r="I343" s="254"/>
      <c r="J343" s="254"/>
      <c r="K343" s="254"/>
      <c r="L343" s="254"/>
      <c r="M343" s="254"/>
      <c r="N343" s="254"/>
      <c r="O343" s="254"/>
      <c r="P343" s="254"/>
      <c r="Q343" s="254"/>
      <c r="R343" s="254"/>
      <c r="S343" s="254"/>
      <c r="T343" s="254"/>
      <c r="U343" s="254"/>
      <c r="V343" s="254"/>
      <c r="W343" s="254"/>
      <c r="X343" s="254"/>
      <c r="Y343" s="254"/>
      <c r="Z343" s="254"/>
      <c r="AA343" s="254"/>
      <c r="AB343" s="254"/>
      <c r="AC343" s="254"/>
    </row>
    <row r="344" ht="12.75" customHeight="1" spans="1:29">
      <c r="A344" s="254"/>
      <c r="B344" s="254"/>
      <c r="C344" s="254"/>
      <c r="D344" s="276"/>
      <c r="E344" s="254"/>
      <c r="F344" s="254"/>
      <c r="G344" s="254"/>
      <c r="H344" s="254"/>
      <c r="I344" s="254"/>
      <c r="J344" s="254"/>
      <c r="K344" s="254"/>
      <c r="L344" s="254"/>
      <c r="M344" s="254"/>
      <c r="N344" s="254"/>
      <c r="O344" s="254"/>
      <c r="P344" s="254"/>
      <c r="Q344" s="254"/>
      <c r="R344" s="254"/>
      <c r="S344" s="254"/>
      <c r="T344" s="254"/>
      <c r="U344" s="254"/>
      <c r="V344" s="254"/>
      <c r="W344" s="254"/>
      <c r="X344" s="254"/>
      <c r="Y344" s="254"/>
      <c r="Z344" s="254"/>
      <c r="AA344" s="254"/>
      <c r="AB344" s="254"/>
      <c r="AC344" s="254"/>
    </row>
    <row r="345" ht="12.75" customHeight="1" spans="1:29">
      <c r="A345" s="254"/>
      <c r="B345" s="254"/>
      <c r="C345" s="254"/>
      <c r="D345" s="276"/>
      <c r="E345" s="254"/>
      <c r="F345" s="254"/>
      <c r="G345" s="254"/>
      <c r="H345" s="254"/>
      <c r="I345" s="254"/>
      <c r="J345" s="254"/>
      <c r="K345" s="254"/>
      <c r="L345" s="254"/>
      <c r="M345" s="254"/>
      <c r="N345" s="254"/>
      <c r="O345" s="254"/>
      <c r="P345" s="254"/>
      <c r="Q345" s="254"/>
      <c r="R345" s="254"/>
      <c r="S345" s="254"/>
      <c r="T345" s="254"/>
      <c r="U345" s="254"/>
      <c r="V345" s="254"/>
      <c r="W345" s="254"/>
      <c r="X345" s="254"/>
      <c r="Y345" s="254"/>
      <c r="Z345" s="254"/>
      <c r="AA345" s="254"/>
      <c r="AB345" s="254"/>
      <c r="AC345" s="254"/>
    </row>
    <row r="346" ht="12.75" customHeight="1" spans="1:29">
      <c r="A346" s="254"/>
      <c r="B346" s="254"/>
      <c r="C346" s="254"/>
      <c r="D346" s="276"/>
      <c r="E346" s="254"/>
      <c r="F346" s="254"/>
      <c r="G346" s="254"/>
      <c r="H346" s="254"/>
      <c r="I346" s="254"/>
      <c r="J346" s="254"/>
      <c r="K346" s="254"/>
      <c r="L346" s="254"/>
      <c r="M346" s="254"/>
      <c r="N346" s="254"/>
      <c r="O346" s="254"/>
      <c r="P346" s="254"/>
      <c r="Q346" s="254"/>
      <c r="R346" s="254"/>
      <c r="S346" s="254"/>
      <c r="T346" s="254"/>
      <c r="U346" s="254"/>
      <c r="V346" s="254"/>
      <c r="W346" s="254"/>
      <c r="X346" s="254"/>
      <c r="Y346" s="254"/>
      <c r="Z346" s="254"/>
      <c r="AA346" s="254"/>
      <c r="AB346" s="254"/>
      <c r="AC346" s="254"/>
    </row>
    <row r="347" ht="12.75" customHeight="1" spans="1:29">
      <c r="A347" s="254"/>
      <c r="B347" s="254"/>
      <c r="C347" s="254"/>
      <c r="D347" s="276"/>
      <c r="E347" s="254"/>
      <c r="F347" s="254"/>
      <c r="G347" s="254"/>
      <c r="H347" s="254"/>
      <c r="I347" s="254"/>
      <c r="J347" s="254"/>
      <c r="K347" s="254"/>
      <c r="L347" s="254"/>
      <c r="M347" s="254"/>
      <c r="N347" s="254"/>
      <c r="O347" s="254"/>
      <c r="P347" s="254"/>
      <c r="Q347" s="254"/>
      <c r="R347" s="254"/>
      <c r="S347" s="254"/>
      <c r="T347" s="254"/>
      <c r="U347" s="254"/>
      <c r="V347" s="254"/>
      <c r="W347" s="254"/>
      <c r="X347" s="254"/>
      <c r="Y347" s="254"/>
      <c r="Z347" s="254"/>
      <c r="AA347" s="254"/>
      <c r="AB347" s="254"/>
      <c r="AC347" s="254"/>
    </row>
    <row r="348" ht="12.75" customHeight="1" spans="1:29">
      <c r="A348" s="254"/>
      <c r="B348" s="254"/>
      <c r="C348" s="254"/>
      <c r="D348" s="276"/>
      <c r="E348" s="254"/>
      <c r="F348" s="254"/>
      <c r="G348" s="254"/>
      <c r="H348" s="254"/>
      <c r="I348" s="254"/>
      <c r="J348" s="254"/>
      <c r="K348" s="254"/>
      <c r="L348" s="254"/>
      <c r="M348" s="254"/>
      <c r="N348" s="254"/>
      <c r="O348" s="254"/>
      <c r="P348" s="254"/>
      <c r="Q348" s="254"/>
      <c r="R348" s="254"/>
      <c r="S348" s="254"/>
      <c r="T348" s="254"/>
      <c r="U348" s="254"/>
      <c r="V348" s="254"/>
      <c r="W348" s="254"/>
      <c r="X348" s="254"/>
      <c r="Y348" s="254"/>
      <c r="Z348" s="254"/>
      <c r="AA348" s="254"/>
      <c r="AB348" s="254"/>
      <c r="AC348" s="254"/>
    </row>
    <row r="349" ht="12.75" customHeight="1" spans="1:29">
      <c r="A349" s="254"/>
      <c r="B349" s="254"/>
      <c r="C349" s="254"/>
      <c r="D349" s="276"/>
      <c r="E349" s="254"/>
      <c r="F349" s="254"/>
      <c r="G349" s="254"/>
      <c r="H349" s="254"/>
      <c r="I349" s="254"/>
      <c r="J349" s="254"/>
      <c r="K349" s="254"/>
      <c r="L349" s="254"/>
      <c r="M349" s="254"/>
      <c r="N349" s="254"/>
      <c r="O349" s="254"/>
      <c r="P349" s="254"/>
      <c r="Q349" s="254"/>
      <c r="R349" s="254"/>
      <c r="S349" s="254"/>
      <c r="T349" s="254"/>
      <c r="U349" s="254"/>
      <c r="V349" s="254"/>
      <c r="W349" s="254"/>
      <c r="X349" s="254"/>
      <c r="Y349" s="254"/>
      <c r="Z349" s="254"/>
      <c r="AA349" s="254"/>
      <c r="AB349" s="254"/>
      <c r="AC349" s="254"/>
    </row>
    <row r="350" ht="12.75" customHeight="1" spans="1:29">
      <c r="A350" s="254"/>
      <c r="B350" s="254"/>
      <c r="C350" s="254"/>
      <c r="D350" s="276"/>
      <c r="E350" s="254"/>
      <c r="F350" s="254"/>
      <c r="G350" s="254"/>
      <c r="H350" s="254"/>
      <c r="I350" s="254"/>
      <c r="J350" s="254"/>
      <c r="K350" s="254"/>
      <c r="L350" s="254"/>
      <c r="M350" s="254"/>
      <c r="N350" s="254"/>
      <c r="O350" s="254"/>
      <c r="P350" s="254"/>
      <c r="Q350" s="254"/>
      <c r="R350" s="254"/>
      <c r="S350" s="254"/>
      <c r="T350" s="254"/>
      <c r="U350" s="254"/>
      <c r="V350" s="254"/>
      <c r="W350" s="254"/>
      <c r="X350" s="254"/>
      <c r="Y350" s="254"/>
      <c r="Z350" s="254"/>
      <c r="AA350" s="254"/>
      <c r="AB350" s="254"/>
      <c r="AC350" s="254"/>
    </row>
    <row r="351" ht="12.75" customHeight="1" spans="1:29">
      <c r="A351" s="254"/>
      <c r="B351" s="254"/>
      <c r="C351" s="254"/>
      <c r="D351" s="276"/>
      <c r="E351" s="254"/>
      <c r="F351" s="254"/>
      <c r="G351" s="254"/>
      <c r="H351" s="254"/>
      <c r="I351" s="254"/>
      <c r="J351" s="254"/>
      <c r="K351" s="254"/>
      <c r="L351" s="254"/>
      <c r="M351" s="254"/>
      <c r="N351" s="254"/>
      <c r="O351" s="254"/>
      <c r="P351" s="254"/>
      <c r="Q351" s="254"/>
      <c r="R351" s="254"/>
      <c r="S351" s="254"/>
      <c r="T351" s="254"/>
      <c r="U351" s="254"/>
      <c r="V351" s="254"/>
      <c r="W351" s="254"/>
      <c r="X351" s="254"/>
      <c r="Y351" s="254"/>
      <c r="Z351" s="254"/>
      <c r="AA351" s="254"/>
      <c r="AB351" s="254"/>
      <c r="AC351" s="254"/>
    </row>
    <row r="352" ht="12.75" customHeight="1" spans="1:29">
      <c r="A352" s="254"/>
      <c r="B352" s="254"/>
      <c r="C352" s="254"/>
      <c r="D352" s="276"/>
      <c r="E352" s="254"/>
      <c r="F352" s="254"/>
      <c r="G352" s="254"/>
      <c r="H352" s="254"/>
      <c r="I352" s="254"/>
      <c r="J352" s="254"/>
      <c r="K352" s="254"/>
      <c r="L352" s="254"/>
      <c r="M352" s="254"/>
      <c r="N352" s="254"/>
      <c r="O352" s="254"/>
      <c r="P352" s="254"/>
      <c r="Q352" s="254"/>
      <c r="R352" s="254"/>
      <c r="S352" s="254"/>
      <c r="T352" s="254"/>
      <c r="U352" s="254"/>
      <c r="V352" s="254"/>
      <c r="W352" s="254"/>
      <c r="X352" s="254"/>
      <c r="Y352" s="254"/>
      <c r="Z352" s="254"/>
      <c r="AA352" s="254"/>
      <c r="AB352" s="254"/>
      <c r="AC352" s="254"/>
    </row>
    <row r="353" ht="12.75" customHeight="1" spans="1:29">
      <c r="A353" s="254"/>
      <c r="B353" s="254"/>
      <c r="C353" s="254"/>
      <c r="D353" s="276"/>
      <c r="E353" s="254"/>
      <c r="F353" s="254"/>
      <c r="G353" s="254"/>
      <c r="H353" s="254"/>
      <c r="I353" s="254"/>
      <c r="J353" s="254"/>
      <c r="K353" s="254"/>
      <c r="L353" s="254"/>
      <c r="M353" s="254"/>
      <c r="N353" s="254"/>
      <c r="O353" s="254"/>
      <c r="P353" s="254"/>
      <c r="Q353" s="254"/>
      <c r="R353" s="254"/>
      <c r="S353" s="254"/>
      <c r="T353" s="254"/>
      <c r="U353" s="254"/>
      <c r="V353" s="254"/>
      <c r="W353" s="254"/>
      <c r="X353" s="254"/>
      <c r="Y353" s="254"/>
      <c r="Z353" s="254"/>
      <c r="AA353" s="254"/>
      <c r="AB353" s="254"/>
      <c r="AC353" s="254"/>
    </row>
    <row r="354" ht="12.75" customHeight="1" spans="1:29">
      <c r="A354" s="254"/>
      <c r="B354" s="254"/>
      <c r="C354" s="254"/>
      <c r="D354" s="276"/>
      <c r="E354" s="254"/>
      <c r="F354" s="254"/>
      <c r="G354" s="254"/>
      <c r="H354" s="254"/>
      <c r="I354" s="254"/>
      <c r="J354" s="254"/>
      <c r="K354" s="254"/>
      <c r="L354" s="254"/>
      <c r="M354" s="254"/>
      <c r="N354" s="254"/>
      <c r="O354" s="254"/>
      <c r="P354" s="254"/>
      <c r="Q354" s="254"/>
      <c r="R354" s="254"/>
      <c r="S354" s="254"/>
      <c r="T354" s="254"/>
      <c r="U354" s="254"/>
      <c r="V354" s="254"/>
      <c r="W354" s="254"/>
      <c r="X354" s="254"/>
      <c r="Y354" s="254"/>
      <c r="Z354" s="254"/>
      <c r="AA354" s="254"/>
      <c r="AB354" s="254"/>
      <c r="AC354" s="254"/>
    </row>
    <row r="355" ht="12.75" customHeight="1" spans="1:29">
      <c r="A355" s="254"/>
      <c r="B355" s="254"/>
      <c r="C355" s="254"/>
      <c r="D355" s="276"/>
      <c r="E355" s="254"/>
      <c r="F355" s="254"/>
      <c r="G355" s="254"/>
      <c r="H355" s="254"/>
      <c r="I355" s="254"/>
      <c r="J355" s="254"/>
      <c r="K355" s="254"/>
      <c r="L355" s="254"/>
      <c r="M355" s="254"/>
      <c r="N355" s="254"/>
      <c r="O355" s="254"/>
      <c r="P355" s="254"/>
      <c r="Q355" s="254"/>
      <c r="R355" s="254"/>
      <c r="S355" s="254"/>
      <c r="T355" s="254"/>
      <c r="U355" s="254"/>
      <c r="V355" s="254"/>
      <c r="W355" s="254"/>
      <c r="X355" s="254"/>
      <c r="Y355" s="254"/>
      <c r="Z355" s="254"/>
      <c r="AA355" s="254"/>
      <c r="AB355" s="254"/>
      <c r="AC355" s="254"/>
    </row>
    <row r="356" ht="12.75" customHeight="1" spans="1:29">
      <c r="A356" s="254"/>
      <c r="B356" s="254"/>
      <c r="C356" s="254"/>
      <c r="D356" s="276"/>
      <c r="E356" s="254"/>
      <c r="F356" s="254"/>
      <c r="G356" s="254"/>
      <c r="H356" s="254"/>
      <c r="I356" s="254"/>
      <c r="J356" s="254"/>
      <c r="K356" s="254"/>
      <c r="L356" s="254"/>
      <c r="M356" s="254"/>
      <c r="N356" s="254"/>
      <c r="O356" s="254"/>
      <c r="P356" s="254"/>
      <c r="Q356" s="254"/>
      <c r="R356" s="254"/>
      <c r="S356" s="254"/>
      <c r="T356" s="254"/>
      <c r="U356" s="254"/>
      <c r="V356" s="254"/>
      <c r="W356" s="254"/>
      <c r="X356" s="254"/>
      <c r="Y356" s="254"/>
      <c r="Z356" s="254"/>
      <c r="AA356" s="254"/>
      <c r="AB356" s="254"/>
      <c r="AC356" s="254"/>
    </row>
    <row r="357" ht="12.75" customHeight="1" spans="1:29">
      <c r="A357" s="254"/>
      <c r="B357" s="254"/>
      <c r="C357" s="254"/>
      <c r="D357" s="276"/>
      <c r="E357" s="254"/>
      <c r="F357" s="254"/>
      <c r="G357" s="254"/>
      <c r="H357" s="254"/>
      <c r="I357" s="254"/>
      <c r="J357" s="254"/>
      <c r="K357" s="254"/>
      <c r="L357" s="254"/>
      <c r="M357" s="254"/>
      <c r="N357" s="254"/>
      <c r="O357" s="254"/>
      <c r="P357" s="254"/>
      <c r="Q357" s="254"/>
      <c r="R357" s="254"/>
      <c r="S357" s="254"/>
      <c r="T357" s="254"/>
      <c r="U357" s="254"/>
      <c r="V357" s="254"/>
      <c r="W357" s="254"/>
      <c r="X357" s="254"/>
      <c r="Y357" s="254"/>
      <c r="Z357" s="254"/>
      <c r="AA357" s="254"/>
      <c r="AB357" s="254"/>
      <c r="AC357" s="254"/>
    </row>
    <row r="358" ht="12.75" customHeight="1" spans="1:29">
      <c r="A358" s="254"/>
      <c r="B358" s="254"/>
      <c r="C358" s="254"/>
      <c r="D358" s="276"/>
      <c r="E358" s="254"/>
      <c r="F358" s="254"/>
      <c r="G358" s="254"/>
      <c r="H358" s="254"/>
      <c r="I358" s="254"/>
      <c r="J358" s="254"/>
      <c r="K358" s="254"/>
      <c r="L358" s="254"/>
      <c r="M358" s="254"/>
      <c r="N358" s="254"/>
      <c r="O358" s="254"/>
      <c r="P358" s="254"/>
      <c r="Q358" s="254"/>
      <c r="R358" s="254"/>
      <c r="S358" s="254"/>
      <c r="T358" s="254"/>
      <c r="U358" s="254"/>
      <c r="V358" s="254"/>
      <c r="W358" s="254"/>
      <c r="X358" s="254"/>
      <c r="Y358" s="254"/>
      <c r="Z358" s="254"/>
      <c r="AA358" s="254"/>
      <c r="AB358" s="254"/>
      <c r="AC358" s="254"/>
    </row>
    <row r="359" ht="12.75" customHeight="1" spans="1:29">
      <c r="A359" s="254"/>
      <c r="B359" s="254"/>
      <c r="C359" s="254"/>
      <c r="D359" s="276"/>
      <c r="E359" s="254"/>
      <c r="F359" s="254"/>
      <c r="G359" s="254"/>
      <c r="H359" s="254"/>
      <c r="I359" s="254"/>
      <c r="J359" s="254"/>
      <c r="K359" s="254"/>
      <c r="L359" s="254"/>
      <c r="M359" s="254"/>
      <c r="N359" s="254"/>
      <c r="O359" s="254"/>
      <c r="P359" s="254"/>
      <c r="Q359" s="254"/>
      <c r="R359" s="254"/>
      <c r="S359" s="254"/>
      <c r="T359" s="254"/>
      <c r="U359" s="254"/>
      <c r="V359" s="254"/>
      <c r="W359" s="254"/>
      <c r="X359" s="254"/>
      <c r="Y359" s="254"/>
      <c r="Z359" s="254"/>
      <c r="AA359" s="254"/>
      <c r="AB359" s="254"/>
      <c r="AC359" s="254"/>
    </row>
    <row r="360" ht="12.75" customHeight="1" spans="1:29">
      <c r="A360" s="254"/>
      <c r="B360" s="254"/>
      <c r="C360" s="254"/>
      <c r="D360" s="276"/>
      <c r="E360" s="254"/>
      <c r="F360" s="254"/>
      <c r="G360" s="254"/>
      <c r="H360" s="254"/>
      <c r="I360" s="254"/>
      <c r="J360" s="254"/>
      <c r="K360" s="254"/>
      <c r="L360" s="254"/>
      <c r="M360" s="254"/>
      <c r="N360" s="254"/>
      <c r="O360" s="254"/>
      <c r="P360" s="254"/>
      <c r="Q360" s="254"/>
      <c r="R360" s="254"/>
      <c r="S360" s="254"/>
      <c r="T360" s="254"/>
      <c r="U360" s="254"/>
      <c r="V360" s="254"/>
      <c r="W360" s="254"/>
      <c r="X360" s="254"/>
      <c r="Y360" s="254"/>
      <c r="Z360" s="254"/>
      <c r="AA360" s="254"/>
      <c r="AB360" s="254"/>
      <c r="AC360" s="254"/>
    </row>
    <row r="361" ht="12.75" customHeight="1" spans="1:29">
      <c r="A361" s="254"/>
      <c r="B361" s="254"/>
      <c r="C361" s="254"/>
      <c r="D361" s="276"/>
      <c r="E361" s="254"/>
      <c r="F361" s="254"/>
      <c r="G361" s="254"/>
      <c r="H361" s="254"/>
      <c r="I361" s="254"/>
      <c r="J361" s="254"/>
      <c r="K361" s="254"/>
      <c r="L361" s="254"/>
      <c r="M361" s="254"/>
      <c r="N361" s="254"/>
      <c r="O361" s="254"/>
      <c r="P361" s="254"/>
      <c r="Q361" s="254"/>
      <c r="R361" s="254"/>
      <c r="S361" s="254"/>
      <c r="T361" s="254"/>
      <c r="U361" s="254"/>
      <c r="V361" s="254"/>
      <c r="W361" s="254"/>
      <c r="X361" s="254"/>
      <c r="Y361" s="254"/>
      <c r="Z361" s="254"/>
      <c r="AA361" s="254"/>
      <c r="AB361" s="254"/>
      <c r="AC361" s="254"/>
    </row>
    <row r="362" ht="12.75" customHeight="1" spans="1:29">
      <c r="A362" s="254"/>
      <c r="B362" s="254"/>
      <c r="C362" s="254"/>
      <c r="D362" s="276"/>
      <c r="E362" s="254"/>
      <c r="F362" s="254"/>
      <c r="G362" s="254"/>
      <c r="H362" s="254"/>
      <c r="I362" s="254"/>
      <c r="J362" s="254"/>
      <c r="K362" s="254"/>
      <c r="L362" s="254"/>
      <c r="M362" s="254"/>
      <c r="N362" s="254"/>
      <c r="O362" s="254"/>
      <c r="P362" s="254"/>
      <c r="Q362" s="254"/>
      <c r="R362" s="254"/>
      <c r="S362" s="254"/>
      <c r="T362" s="254"/>
      <c r="U362" s="254"/>
      <c r="V362" s="254"/>
      <c r="W362" s="254"/>
      <c r="X362" s="254"/>
      <c r="Y362" s="254"/>
      <c r="Z362" s="254"/>
      <c r="AA362" s="254"/>
      <c r="AB362" s="254"/>
      <c r="AC362" s="254"/>
    </row>
    <row r="363" ht="12.75" customHeight="1" spans="1:29">
      <c r="A363" s="254"/>
      <c r="B363" s="254"/>
      <c r="C363" s="254"/>
      <c r="D363" s="276"/>
      <c r="E363" s="254"/>
      <c r="F363" s="254"/>
      <c r="G363" s="254"/>
      <c r="H363" s="254"/>
      <c r="I363" s="254"/>
      <c r="J363" s="254"/>
      <c r="K363" s="254"/>
      <c r="L363" s="254"/>
      <c r="M363" s="254"/>
      <c r="N363" s="254"/>
      <c r="O363" s="254"/>
      <c r="P363" s="254"/>
      <c r="Q363" s="254"/>
      <c r="R363" s="254"/>
      <c r="S363" s="254"/>
      <c r="T363" s="254"/>
      <c r="U363" s="254"/>
      <c r="V363" s="254"/>
      <c r="W363" s="254"/>
      <c r="X363" s="254"/>
      <c r="Y363" s="254"/>
      <c r="Z363" s="254"/>
      <c r="AA363" s="254"/>
      <c r="AB363" s="254"/>
      <c r="AC363" s="254"/>
    </row>
    <row r="364" ht="12.75" customHeight="1" spans="1:29">
      <c r="A364" s="254"/>
      <c r="B364" s="254"/>
      <c r="C364" s="254"/>
      <c r="D364" s="276"/>
      <c r="E364" s="254"/>
      <c r="F364" s="254"/>
      <c r="G364" s="254"/>
      <c r="H364" s="254"/>
      <c r="I364" s="254"/>
      <c r="J364" s="254"/>
      <c r="K364" s="254"/>
      <c r="L364" s="254"/>
      <c r="M364" s="254"/>
      <c r="N364" s="254"/>
      <c r="O364" s="254"/>
      <c r="P364" s="254"/>
      <c r="Q364" s="254"/>
      <c r="R364" s="254"/>
      <c r="S364" s="254"/>
      <c r="T364" s="254"/>
      <c r="U364" s="254"/>
      <c r="V364" s="254"/>
      <c r="W364" s="254"/>
      <c r="X364" s="254"/>
      <c r="Y364" s="254"/>
      <c r="Z364" s="254"/>
      <c r="AA364" s="254"/>
      <c r="AB364" s="254"/>
      <c r="AC364" s="254"/>
    </row>
    <row r="365" ht="12.75" customHeight="1" spans="1:29">
      <c r="A365" s="254"/>
      <c r="B365" s="254"/>
      <c r="C365" s="254"/>
      <c r="D365" s="276"/>
      <c r="E365" s="254"/>
      <c r="F365" s="254"/>
      <c r="G365" s="254"/>
      <c r="H365" s="254"/>
      <c r="I365" s="254"/>
      <c r="J365" s="254"/>
      <c r="K365" s="254"/>
      <c r="L365" s="254"/>
      <c r="M365" s="254"/>
      <c r="N365" s="254"/>
      <c r="O365" s="254"/>
      <c r="P365" s="254"/>
      <c r="Q365" s="254"/>
      <c r="R365" s="254"/>
      <c r="S365" s="254"/>
      <c r="T365" s="254"/>
      <c r="U365" s="254"/>
      <c r="V365" s="254"/>
      <c r="W365" s="254"/>
      <c r="X365" s="254"/>
      <c r="Y365" s="254"/>
      <c r="Z365" s="254"/>
      <c r="AA365" s="254"/>
      <c r="AB365" s="254"/>
      <c r="AC365" s="254"/>
    </row>
    <row r="366" ht="12.75" customHeight="1" spans="1:29">
      <c r="A366" s="254"/>
      <c r="B366" s="254"/>
      <c r="C366" s="254"/>
      <c r="D366" s="276"/>
      <c r="E366" s="254"/>
      <c r="F366" s="254"/>
      <c r="G366" s="254"/>
      <c r="H366" s="254"/>
      <c r="I366" s="254"/>
      <c r="J366" s="254"/>
      <c r="K366" s="254"/>
      <c r="L366" s="254"/>
      <c r="M366" s="254"/>
      <c r="N366" s="254"/>
      <c r="O366" s="254"/>
      <c r="P366" s="254"/>
      <c r="Q366" s="254"/>
      <c r="R366" s="254"/>
      <c r="S366" s="254"/>
      <c r="T366" s="254"/>
      <c r="U366" s="254"/>
      <c r="V366" s="254"/>
      <c r="W366" s="254"/>
      <c r="X366" s="254"/>
      <c r="Y366" s="254"/>
      <c r="Z366" s="254"/>
      <c r="AA366" s="254"/>
      <c r="AB366" s="254"/>
      <c r="AC366" s="254"/>
    </row>
    <row r="367" ht="12.75" customHeight="1" spans="1:29">
      <c r="A367" s="254"/>
      <c r="B367" s="254"/>
      <c r="C367" s="254"/>
      <c r="D367" s="276"/>
      <c r="E367" s="254"/>
      <c r="F367" s="254"/>
      <c r="G367" s="254"/>
      <c r="H367" s="254"/>
      <c r="I367" s="254"/>
      <c r="J367" s="254"/>
      <c r="K367" s="254"/>
      <c r="L367" s="254"/>
      <c r="M367" s="254"/>
      <c r="N367" s="254"/>
      <c r="O367" s="254"/>
      <c r="P367" s="254"/>
      <c r="Q367" s="254"/>
      <c r="R367" s="254"/>
      <c r="S367" s="254"/>
      <c r="T367" s="254"/>
      <c r="U367" s="254"/>
      <c r="V367" s="254"/>
      <c r="W367" s="254"/>
      <c r="X367" s="254"/>
      <c r="Y367" s="254"/>
      <c r="Z367" s="254"/>
      <c r="AA367" s="254"/>
      <c r="AB367" s="254"/>
      <c r="AC367" s="254"/>
    </row>
    <row r="368" ht="12.75" customHeight="1" spans="1:29">
      <c r="A368" s="254"/>
      <c r="B368" s="254"/>
      <c r="C368" s="254"/>
      <c r="D368" s="276"/>
      <c r="E368" s="254"/>
      <c r="F368" s="254"/>
      <c r="G368" s="254"/>
      <c r="H368" s="254"/>
      <c r="I368" s="254"/>
      <c r="J368" s="254"/>
      <c r="K368" s="254"/>
      <c r="L368" s="254"/>
      <c r="M368" s="254"/>
      <c r="N368" s="254"/>
      <c r="O368" s="254"/>
      <c r="P368" s="254"/>
      <c r="Q368" s="254"/>
      <c r="R368" s="254"/>
      <c r="S368" s="254"/>
      <c r="T368" s="254"/>
      <c r="U368" s="254"/>
      <c r="V368" s="254"/>
      <c r="W368" s="254"/>
      <c r="X368" s="254"/>
      <c r="Y368" s="254"/>
      <c r="Z368" s="254"/>
      <c r="AA368" s="254"/>
      <c r="AB368" s="254"/>
      <c r="AC368" s="254"/>
    </row>
    <row r="369" ht="12.75" customHeight="1" spans="1:29">
      <c r="A369" s="254"/>
      <c r="B369" s="254"/>
      <c r="C369" s="254"/>
      <c r="D369" s="276"/>
      <c r="E369" s="254"/>
      <c r="F369" s="254"/>
      <c r="G369" s="254"/>
      <c r="H369" s="254"/>
      <c r="I369" s="254"/>
      <c r="J369" s="254"/>
      <c r="K369" s="254"/>
      <c r="L369" s="254"/>
      <c r="M369" s="254"/>
      <c r="N369" s="254"/>
      <c r="O369" s="254"/>
      <c r="P369" s="254"/>
      <c r="Q369" s="254"/>
      <c r="R369" s="254"/>
      <c r="S369" s="254"/>
      <c r="T369" s="254"/>
      <c r="U369" s="254"/>
      <c r="V369" s="254"/>
      <c r="W369" s="254"/>
      <c r="X369" s="254"/>
      <c r="Y369" s="254"/>
      <c r="Z369" s="254"/>
      <c r="AA369" s="254"/>
      <c r="AB369" s="254"/>
      <c r="AC369" s="254"/>
    </row>
    <row r="370" ht="12.75" customHeight="1" spans="1:29">
      <c r="A370" s="254"/>
      <c r="B370" s="254"/>
      <c r="C370" s="254"/>
      <c r="D370" s="276"/>
      <c r="E370" s="254"/>
      <c r="F370" s="254"/>
      <c r="G370" s="254"/>
      <c r="H370" s="254"/>
      <c r="I370" s="254"/>
      <c r="J370" s="254"/>
      <c r="K370" s="254"/>
      <c r="L370" s="254"/>
      <c r="M370" s="254"/>
      <c r="N370" s="254"/>
      <c r="O370" s="254"/>
      <c r="P370" s="254"/>
      <c r="Q370" s="254"/>
      <c r="R370" s="254"/>
      <c r="S370" s="254"/>
      <c r="T370" s="254"/>
      <c r="U370" s="254"/>
      <c r="V370" s="254"/>
      <c r="W370" s="254"/>
      <c r="X370" s="254"/>
      <c r="Y370" s="254"/>
      <c r="Z370" s="254"/>
      <c r="AA370" s="254"/>
      <c r="AB370" s="254"/>
      <c r="AC370" s="254"/>
    </row>
    <row r="371" ht="12.75" customHeight="1" spans="1:29">
      <c r="A371" s="254"/>
      <c r="B371" s="254"/>
      <c r="C371" s="254"/>
      <c r="D371" s="276"/>
      <c r="E371" s="254"/>
      <c r="F371" s="254"/>
      <c r="G371" s="254"/>
      <c r="H371" s="254"/>
      <c r="I371" s="254"/>
      <c r="J371" s="254"/>
      <c r="K371" s="254"/>
      <c r="L371" s="254"/>
      <c r="M371" s="254"/>
      <c r="N371" s="254"/>
      <c r="O371" s="254"/>
      <c r="P371" s="254"/>
      <c r="Q371" s="254"/>
      <c r="R371" s="254"/>
      <c r="S371" s="254"/>
      <c r="T371" s="254"/>
      <c r="U371" s="254"/>
      <c r="V371" s="254"/>
      <c r="W371" s="254"/>
      <c r="X371" s="254"/>
      <c r="Y371" s="254"/>
      <c r="Z371" s="254"/>
      <c r="AA371" s="254"/>
      <c r="AB371" s="254"/>
      <c r="AC371" s="254"/>
    </row>
    <row r="372" ht="12.75" customHeight="1" spans="1:29">
      <c r="A372" s="254"/>
      <c r="B372" s="254"/>
      <c r="C372" s="254"/>
      <c r="D372" s="276"/>
      <c r="E372" s="254"/>
      <c r="F372" s="254"/>
      <c r="G372" s="254"/>
      <c r="H372" s="254"/>
      <c r="I372" s="254"/>
      <c r="J372" s="254"/>
      <c r="K372" s="254"/>
      <c r="L372" s="254"/>
      <c r="M372" s="254"/>
      <c r="N372" s="254"/>
      <c r="O372" s="254"/>
      <c r="P372" s="254"/>
      <c r="Q372" s="254"/>
      <c r="R372" s="254"/>
      <c r="S372" s="254"/>
      <c r="T372" s="254"/>
      <c r="U372" s="254"/>
      <c r="V372" s="254"/>
      <c r="W372" s="254"/>
      <c r="X372" s="254"/>
      <c r="Y372" s="254"/>
      <c r="Z372" s="254"/>
      <c r="AA372" s="254"/>
      <c r="AB372" s="254"/>
      <c r="AC372" s="254"/>
    </row>
    <row r="373" ht="12.75" customHeight="1" spans="1:29">
      <c r="A373" s="254"/>
      <c r="B373" s="254"/>
      <c r="C373" s="254"/>
      <c r="D373" s="276"/>
      <c r="E373" s="254"/>
      <c r="F373" s="254"/>
      <c r="G373" s="254"/>
      <c r="H373" s="254"/>
      <c r="I373" s="254"/>
      <c r="J373" s="254"/>
      <c r="K373" s="254"/>
      <c r="L373" s="254"/>
      <c r="M373" s="254"/>
      <c r="N373" s="254"/>
      <c r="O373" s="254"/>
      <c r="P373" s="254"/>
      <c r="Q373" s="254"/>
      <c r="R373" s="254"/>
      <c r="S373" s="254"/>
      <c r="T373" s="254"/>
      <c r="U373" s="254"/>
      <c r="V373" s="254"/>
      <c r="W373" s="254"/>
      <c r="X373" s="254"/>
      <c r="Y373" s="254"/>
      <c r="Z373" s="254"/>
      <c r="AA373" s="254"/>
      <c r="AB373" s="254"/>
      <c r="AC373" s="254"/>
    </row>
    <row r="374" ht="12.75" customHeight="1" spans="1:29">
      <c r="A374" s="254"/>
      <c r="B374" s="254"/>
      <c r="C374" s="254"/>
      <c r="D374" s="276"/>
      <c r="E374" s="254"/>
      <c r="F374" s="254"/>
      <c r="G374" s="254"/>
      <c r="H374" s="254"/>
      <c r="I374" s="254"/>
      <c r="J374" s="254"/>
      <c r="K374" s="254"/>
      <c r="L374" s="254"/>
      <c r="M374" s="254"/>
      <c r="N374" s="254"/>
      <c r="O374" s="254"/>
      <c r="P374" s="254"/>
      <c r="Q374" s="254"/>
      <c r="R374" s="254"/>
      <c r="S374" s="254"/>
      <c r="T374" s="254"/>
      <c r="U374" s="254"/>
      <c r="V374" s="254"/>
      <c r="W374" s="254"/>
      <c r="X374" s="254"/>
      <c r="Y374" s="254"/>
      <c r="Z374" s="254"/>
      <c r="AA374" s="254"/>
      <c r="AB374" s="254"/>
      <c r="AC374" s="254"/>
    </row>
    <row r="375" ht="12.75" customHeight="1" spans="1:29">
      <c r="A375" s="254"/>
      <c r="B375" s="254"/>
      <c r="C375" s="254"/>
      <c r="D375" s="276"/>
      <c r="E375" s="254"/>
      <c r="F375" s="254"/>
      <c r="G375" s="254"/>
      <c r="H375" s="254"/>
      <c r="I375" s="254"/>
      <c r="J375" s="254"/>
      <c r="K375" s="254"/>
      <c r="L375" s="254"/>
      <c r="M375" s="254"/>
      <c r="N375" s="254"/>
      <c r="O375" s="254"/>
      <c r="P375" s="254"/>
      <c r="Q375" s="254"/>
      <c r="R375" s="254"/>
      <c r="S375" s="254"/>
      <c r="T375" s="254"/>
      <c r="U375" s="254"/>
      <c r="V375" s="254"/>
      <c r="W375" s="254"/>
      <c r="X375" s="254"/>
      <c r="Y375" s="254"/>
      <c r="Z375" s="254"/>
      <c r="AA375" s="254"/>
      <c r="AB375" s="254"/>
      <c r="AC375" s="254"/>
    </row>
    <row r="376" ht="12.75" customHeight="1" spans="1:29">
      <c r="A376" s="254"/>
      <c r="B376" s="254"/>
      <c r="C376" s="254"/>
      <c r="D376" s="276"/>
      <c r="E376" s="254"/>
      <c r="F376" s="254"/>
      <c r="G376" s="254"/>
      <c r="H376" s="254"/>
      <c r="I376" s="254"/>
      <c r="J376" s="254"/>
      <c r="K376" s="254"/>
      <c r="L376" s="254"/>
      <c r="M376" s="254"/>
      <c r="N376" s="254"/>
      <c r="O376" s="254"/>
      <c r="P376" s="254"/>
      <c r="Q376" s="254"/>
      <c r="R376" s="254"/>
      <c r="S376" s="254"/>
      <c r="T376" s="254"/>
      <c r="U376" s="254"/>
      <c r="V376" s="254"/>
      <c r="W376" s="254"/>
      <c r="X376" s="254"/>
      <c r="Y376" s="254"/>
      <c r="Z376" s="254"/>
      <c r="AA376" s="254"/>
      <c r="AB376" s="254"/>
      <c r="AC376" s="254"/>
    </row>
    <row r="377" ht="12.75" customHeight="1" spans="1:29">
      <c r="A377" s="254"/>
      <c r="B377" s="254"/>
      <c r="C377" s="254"/>
      <c r="D377" s="276"/>
      <c r="E377" s="254"/>
      <c r="F377" s="254"/>
      <c r="G377" s="254"/>
      <c r="H377" s="254"/>
      <c r="I377" s="254"/>
      <c r="J377" s="254"/>
      <c r="K377" s="254"/>
      <c r="L377" s="254"/>
      <c r="M377" s="254"/>
      <c r="N377" s="254"/>
      <c r="O377" s="254"/>
      <c r="P377" s="254"/>
      <c r="Q377" s="254"/>
      <c r="R377" s="254"/>
      <c r="S377" s="254"/>
      <c r="T377" s="254"/>
      <c r="U377" s="254"/>
      <c r="V377" s="254"/>
      <c r="W377" s="254"/>
      <c r="X377" s="254"/>
      <c r="Y377" s="254"/>
      <c r="Z377" s="254"/>
      <c r="AA377" s="254"/>
      <c r="AB377" s="254"/>
      <c r="AC377" s="254"/>
    </row>
    <row r="378" ht="12.75" customHeight="1" spans="1:29">
      <c r="A378" s="254"/>
      <c r="B378" s="254"/>
      <c r="C378" s="254"/>
      <c r="D378" s="276"/>
      <c r="E378" s="254"/>
      <c r="F378" s="254"/>
      <c r="G378" s="254"/>
      <c r="H378" s="254"/>
      <c r="I378" s="254"/>
      <c r="J378" s="254"/>
      <c r="K378" s="254"/>
      <c r="L378" s="254"/>
      <c r="M378" s="254"/>
      <c r="N378" s="254"/>
      <c r="O378" s="254"/>
      <c r="P378" s="254"/>
      <c r="Q378" s="254"/>
      <c r="R378" s="254"/>
      <c r="S378" s="254"/>
      <c r="T378" s="254"/>
      <c r="U378" s="254"/>
      <c r="V378" s="254"/>
      <c r="W378" s="254"/>
      <c r="X378" s="254"/>
      <c r="Y378" s="254"/>
      <c r="Z378" s="254"/>
      <c r="AA378" s="254"/>
      <c r="AB378" s="254"/>
      <c r="AC378" s="254"/>
    </row>
    <row r="379" ht="12.75" customHeight="1" spans="1:29">
      <c r="A379" s="254"/>
      <c r="B379" s="254"/>
      <c r="C379" s="254"/>
      <c r="D379" s="276"/>
      <c r="E379" s="254"/>
      <c r="F379" s="254"/>
      <c r="G379" s="254"/>
      <c r="H379" s="254"/>
      <c r="I379" s="254"/>
      <c r="J379" s="254"/>
      <c r="K379" s="254"/>
      <c r="L379" s="254"/>
      <c r="M379" s="254"/>
      <c r="N379" s="254"/>
      <c r="O379" s="254"/>
      <c r="P379" s="254"/>
      <c r="Q379" s="254"/>
      <c r="R379" s="254"/>
      <c r="S379" s="254"/>
      <c r="T379" s="254"/>
      <c r="U379" s="254"/>
      <c r="V379" s="254"/>
      <c r="W379" s="254"/>
      <c r="X379" s="254"/>
      <c r="Y379" s="254"/>
      <c r="Z379" s="254"/>
      <c r="AA379" s="254"/>
      <c r="AB379" s="254"/>
      <c r="AC379" s="254"/>
    </row>
    <row r="380" ht="12.75" customHeight="1" spans="1:29">
      <c r="A380" s="254"/>
      <c r="B380" s="254"/>
      <c r="C380" s="254"/>
      <c r="D380" s="276"/>
      <c r="E380" s="254"/>
      <c r="F380" s="254"/>
      <c r="G380" s="254"/>
      <c r="H380" s="254"/>
      <c r="I380" s="254"/>
      <c r="J380" s="254"/>
      <c r="K380" s="254"/>
      <c r="L380" s="254"/>
      <c r="M380" s="254"/>
      <c r="N380" s="254"/>
      <c r="O380" s="254"/>
      <c r="P380" s="254"/>
      <c r="Q380" s="254"/>
      <c r="R380" s="254"/>
      <c r="S380" s="254"/>
      <c r="T380" s="254"/>
      <c r="U380" s="254"/>
      <c r="V380" s="254"/>
      <c r="W380" s="254"/>
      <c r="X380" s="254"/>
      <c r="Y380" s="254"/>
      <c r="Z380" s="254"/>
      <c r="AA380" s="254"/>
      <c r="AB380" s="254"/>
      <c r="AC380" s="254"/>
    </row>
    <row r="381" ht="12.75" customHeight="1" spans="1:29">
      <c r="A381" s="254"/>
      <c r="B381" s="254"/>
      <c r="C381" s="254"/>
      <c r="D381" s="276"/>
      <c r="E381" s="254"/>
      <c r="F381" s="254"/>
      <c r="G381" s="254"/>
      <c r="H381" s="254"/>
      <c r="I381" s="254"/>
      <c r="J381" s="254"/>
      <c r="K381" s="254"/>
      <c r="L381" s="254"/>
      <c r="M381" s="254"/>
      <c r="N381" s="254"/>
      <c r="O381" s="254"/>
      <c r="P381" s="254"/>
      <c r="Q381" s="254"/>
      <c r="R381" s="254"/>
      <c r="S381" s="254"/>
      <c r="T381" s="254"/>
      <c r="U381" s="254"/>
      <c r="V381" s="254"/>
      <c r="W381" s="254"/>
      <c r="X381" s="254"/>
      <c r="Y381" s="254"/>
      <c r="Z381" s="254"/>
      <c r="AA381" s="254"/>
      <c r="AB381" s="254"/>
      <c r="AC381" s="254"/>
    </row>
    <row r="382" ht="12.75" customHeight="1" spans="1:29">
      <c r="A382" s="254"/>
      <c r="B382" s="254"/>
      <c r="C382" s="254"/>
      <c r="D382" s="276"/>
      <c r="E382" s="254"/>
      <c r="F382" s="254"/>
      <c r="G382" s="254"/>
      <c r="H382" s="254"/>
      <c r="I382" s="254"/>
      <c r="J382" s="254"/>
      <c r="K382" s="254"/>
      <c r="L382" s="254"/>
      <c r="M382" s="254"/>
      <c r="N382" s="254"/>
      <c r="O382" s="254"/>
      <c r="P382" s="254"/>
      <c r="Q382" s="254"/>
      <c r="R382" s="254"/>
      <c r="S382" s="254"/>
      <c r="T382" s="254"/>
      <c r="U382" s="254"/>
      <c r="V382" s="254"/>
      <c r="W382" s="254"/>
      <c r="X382" s="254"/>
      <c r="Y382" s="254"/>
      <c r="Z382" s="254"/>
      <c r="AA382" s="254"/>
      <c r="AB382" s="254"/>
      <c r="AC382" s="254"/>
    </row>
    <row r="383" ht="12.75" customHeight="1" spans="1:29">
      <c r="A383" s="254"/>
      <c r="B383" s="254"/>
      <c r="C383" s="254"/>
      <c r="D383" s="276"/>
      <c r="E383" s="254"/>
      <c r="F383" s="254"/>
      <c r="G383" s="254"/>
      <c r="H383" s="254"/>
      <c r="I383" s="254"/>
      <c r="J383" s="254"/>
      <c r="K383" s="254"/>
      <c r="L383" s="254"/>
      <c r="M383" s="254"/>
      <c r="N383" s="254"/>
      <c r="O383" s="254"/>
      <c r="P383" s="254"/>
      <c r="Q383" s="254"/>
      <c r="R383" s="254"/>
      <c r="S383" s="254"/>
      <c r="T383" s="254"/>
      <c r="U383" s="254"/>
      <c r="V383" s="254"/>
      <c r="W383" s="254"/>
      <c r="X383" s="254"/>
      <c r="Y383" s="254"/>
      <c r="Z383" s="254"/>
      <c r="AA383" s="254"/>
      <c r="AB383" s="254"/>
      <c r="AC383" s="254"/>
    </row>
    <row r="384" ht="12.75" customHeight="1" spans="1:29">
      <c r="A384" s="254"/>
      <c r="B384" s="254"/>
      <c r="C384" s="254"/>
      <c r="D384" s="276"/>
      <c r="E384" s="254"/>
      <c r="F384" s="254"/>
      <c r="G384" s="254"/>
      <c r="H384" s="254"/>
      <c r="I384" s="254"/>
      <c r="J384" s="254"/>
      <c r="K384" s="254"/>
      <c r="L384" s="254"/>
      <c r="M384" s="254"/>
      <c r="N384" s="254"/>
      <c r="O384" s="254"/>
      <c r="P384" s="254"/>
      <c r="Q384" s="254"/>
      <c r="R384" s="254"/>
      <c r="S384" s="254"/>
      <c r="T384" s="254"/>
      <c r="U384" s="254"/>
      <c r="V384" s="254"/>
      <c r="W384" s="254"/>
      <c r="X384" s="254"/>
      <c r="Y384" s="254"/>
      <c r="Z384" s="254"/>
      <c r="AA384" s="254"/>
      <c r="AB384" s="254"/>
      <c r="AC384" s="254"/>
    </row>
    <row r="385" ht="12.75" customHeight="1" spans="1:29">
      <c r="A385" s="254"/>
      <c r="B385" s="254"/>
      <c r="C385" s="254"/>
      <c r="D385" s="276"/>
      <c r="E385" s="254"/>
      <c r="F385" s="254"/>
      <c r="G385" s="254"/>
      <c r="H385" s="254"/>
      <c r="I385" s="254"/>
      <c r="J385" s="254"/>
      <c r="K385" s="254"/>
      <c r="L385" s="254"/>
      <c r="M385" s="254"/>
      <c r="N385" s="254"/>
      <c r="O385" s="254"/>
      <c r="P385" s="254"/>
      <c r="Q385" s="254"/>
      <c r="R385" s="254"/>
      <c r="S385" s="254"/>
      <c r="T385" s="254"/>
      <c r="U385" s="254"/>
      <c r="V385" s="254"/>
      <c r="W385" s="254"/>
      <c r="X385" s="254"/>
      <c r="Y385" s="254"/>
      <c r="Z385" s="254"/>
      <c r="AA385" s="254"/>
      <c r="AB385" s="254"/>
      <c r="AC385" s="254"/>
    </row>
    <row r="386" ht="12.75" customHeight="1" spans="1:29">
      <c r="A386" s="254"/>
      <c r="B386" s="254"/>
      <c r="C386" s="254"/>
      <c r="D386" s="276"/>
      <c r="E386" s="254"/>
      <c r="F386" s="254"/>
      <c r="G386" s="254"/>
      <c r="H386" s="254"/>
      <c r="I386" s="254"/>
      <c r="J386" s="254"/>
      <c r="K386" s="254"/>
      <c r="L386" s="254"/>
      <c r="M386" s="254"/>
      <c r="N386" s="254"/>
      <c r="O386" s="254"/>
      <c r="P386" s="254"/>
      <c r="Q386" s="254"/>
      <c r="R386" s="254"/>
      <c r="S386" s="254"/>
      <c r="T386" s="254"/>
      <c r="U386" s="254"/>
      <c r="V386" s="254"/>
      <c r="W386" s="254"/>
      <c r="X386" s="254"/>
      <c r="Y386" s="254"/>
      <c r="Z386" s="254"/>
      <c r="AA386" s="254"/>
      <c r="AB386" s="254"/>
      <c r="AC386" s="254"/>
    </row>
    <row r="387" ht="12.75" customHeight="1" spans="1:29">
      <c r="A387" s="254"/>
      <c r="B387" s="254"/>
      <c r="C387" s="254"/>
      <c r="D387" s="276"/>
      <c r="E387" s="254"/>
      <c r="F387" s="254"/>
      <c r="G387" s="254"/>
      <c r="H387" s="254"/>
      <c r="I387" s="254"/>
      <c r="J387" s="254"/>
      <c r="K387" s="254"/>
      <c r="L387" s="254"/>
      <c r="M387" s="254"/>
      <c r="N387" s="254"/>
      <c r="O387" s="254"/>
      <c r="P387" s="254"/>
      <c r="Q387" s="254"/>
      <c r="R387" s="254"/>
      <c r="S387" s="254"/>
      <c r="T387" s="254"/>
      <c r="U387" s="254"/>
      <c r="V387" s="254"/>
      <c r="W387" s="254"/>
      <c r="X387" s="254"/>
      <c r="Y387" s="254"/>
      <c r="Z387" s="254"/>
      <c r="AA387" s="254"/>
      <c r="AB387" s="254"/>
      <c r="AC387" s="254"/>
    </row>
    <row r="388" ht="12.75" customHeight="1" spans="1:29">
      <c r="A388" s="254"/>
      <c r="B388" s="254"/>
      <c r="C388" s="254"/>
      <c r="D388" s="276"/>
      <c r="E388" s="254"/>
      <c r="F388" s="254"/>
      <c r="G388" s="254"/>
      <c r="H388" s="254"/>
      <c r="I388" s="254"/>
      <c r="J388" s="254"/>
      <c r="K388" s="254"/>
      <c r="L388" s="254"/>
      <c r="M388" s="254"/>
      <c r="N388" s="254"/>
      <c r="O388" s="254"/>
      <c r="P388" s="254"/>
      <c r="Q388" s="254"/>
      <c r="R388" s="254"/>
      <c r="S388" s="254"/>
      <c r="T388" s="254"/>
      <c r="U388" s="254"/>
      <c r="V388" s="254"/>
      <c r="W388" s="254"/>
      <c r="X388" s="254"/>
      <c r="Y388" s="254"/>
      <c r="Z388" s="254"/>
      <c r="AA388" s="254"/>
      <c r="AB388" s="254"/>
      <c r="AC388" s="254"/>
    </row>
    <row r="389" ht="12.75" customHeight="1" spans="1:29">
      <c r="A389" s="254"/>
      <c r="B389" s="254"/>
      <c r="C389" s="254"/>
      <c r="D389" s="276"/>
      <c r="E389" s="254"/>
      <c r="F389" s="254"/>
      <c r="G389" s="254"/>
      <c r="H389" s="254"/>
      <c r="I389" s="254"/>
      <c r="J389" s="254"/>
      <c r="K389" s="254"/>
      <c r="L389" s="254"/>
      <c r="M389" s="254"/>
      <c r="N389" s="254"/>
      <c r="O389" s="254"/>
      <c r="P389" s="254"/>
      <c r="Q389" s="254"/>
      <c r="R389" s="254"/>
      <c r="S389" s="254"/>
      <c r="T389" s="254"/>
      <c r="U389" s="254"/>
      <c r="V389" s="254"/>
      <c r="W389" s="254"/>
      <c r="X389" s="254"/>
      <c r="Y389" s="254"/>
      <c r="Z389" s="254"/>
      <c r="AA389" s="254"/>
      <c r="AB389" s="254"/>
      <c r="AC389" s="254"/>
    </row>
    <row r="390" ht="12.75" customHeight="1" spans="1:29">
      <c r="A390" s="254"/>
      <c r="B390" s="254"/>
      <c r="C390" s="254"/>
      <c r="D390" s="276"/>
      <c r="E390" s="254"/>
      <c r="F390" s="254"/>
      <c r="G390" s="254"/>
      <c r="H390" s="254"/>
      <c r="I390" s="254"/>
      <c r="J390" s="254"/>
      <c r="K390" s="254"/>
      <c r="L390" s="254"/>
      <c r="M390" s="254"/>
      <c r="N390" s="254"/>
      <c r="O390" s="254"/>
      <c r="P390" s="254"/>
      <c r="Q390" s="254"/>
      <c r="R390" s="254"/>
      <c r="S390" s="254"/>
      <c r="T390" s="254"/>
      <c r="U390" s="254"/>
      <c r="V390" s="254"/>
      <c r="W390" s="254"/>
      <c r="X390" s="254"/>
      <c r="Y390" s="254"/>
      <c r="Z390" s="254"/>
      <c r="AA390" s="254"/>
      <c r="AB390" s="254"/>
      <c r="AC390" s="254"/>
    </row>
    <row r="391" ht="12.75" customHeight="1" spans="1:29">
      <c r="A391" s="254"/>
      <c r="B391" s="254"/>
      <c r="C391" s="254"/>
      <c r="D391" s="276"/>
      <c r="E391" s="254"/>
      <c r="F391" s="254"/>
      <c r="G391" s="254"/>
      <c r="H391" s="254"/>
      <c r="I391" s="254"/>
      <c r="J391" s="254"/>
      <c r="K391" s="254"/>
      <c r="L391" s="254"/>
      <c r="M391" s="254"/>
      <c r="N391" s="254"/>
      <c r="O391" s="254"/>
      <c r="P391" s="254"/>
      <c r="Q391" s="254"/>
      <c r="R391" s="254"/>
      <c r="S391" s="254"/>
      <c r="T391" s="254"/>
      <c r="U391" s="254"/>
      <c r="V391" s="254"/>
      <c r="W391" s="254"/>
      <c r="X391" s="254"/>
      <c r="Y391" s="254"/>
      <c r="Z391" s="254"/>
      <c r="AA391" s="254"/>
      <c r="AB391" s="254"/>
      <c r="AC391" s="254"/>
    </row>
    <row r="392" ht="12.75" customHeight="1" spans="1:29">
      <c r="A392" s="254"/>
      <c r="B392" s="254"/>
      <c r="C392" s="254"/>
      <c r="D392" s="276"/>
      <c r="E392" s="254"/>
      <c r="F392" s="254"/>
      <c r="G392" s="254"/>
      <c r="H392" s="254"/>
      <c r="I392" s="254"/>
      <c r="J392" s="254"/>
      <c r="K392" s="254"/>
      <c r="L392" s="254"/>
      <c r="M392" s="254"/>
      <c r="N392" s="254"/>
      <c r="O392" s="254"/>
      <c r="P392" s="254"/>
      <c r="Q392" s="254"/>
      <c r="R392" s="254"/>
      <c r="S392" s="254"/>
      <c r="T392" s="254"/>
      <c r="U392" s="254"/>
      <c r="V392" s="254"/>
      <c r="W392" s="254"/>
      <c r="X392" s="254"/>
      <c r="Y392" s="254"/>
      <c r="Z392" s="254"/>
      <c r="AA392" s="254"/>
      <c r="AB392" s="254"/>
      <c r="AC392" s="254"/>
    </row>
    <row r="393" ht="12.75" customHeight="1" spans="1:29">
      <c r="A393" s="254"/>
      <c r="B393" s="254"/>
      <c r="C393" s="254"/>
      <c r="D393" s="276"/>
      <c r="E393" s="254"/>
      <c r="F393" s="254"/>
      <c r="G393" s="254"/>
      <c r="H393" s="254"/>
      <c r="I393" s="254"/>
      <c r="J393" s="254"/>
      <c r="K393" s="254"/>
      <c r="L393" s="254"/>
      <c r="M393" s="254"/>
      <c r="N393" s="254"/>
      <c r="O393" s="254"/>
      <c r="P393" s="254"/>
      <c r="Q393" s="254"/>
      <c r="R393" s="254"/>
      <c r="S393" s="254"/>
      <c r="T393" s="254"/>
      <c r="U393" s="254"/>
      <c r="V393" s="254"/>
      <c r="W393" s="254"/>
      <c r="X393" s="254"/>
      <c r="Y393" s="254"/>
      <c r="Z393" s="254"/>
      <c r="AA393" s="254"/>
      <c r="AB393" s="254"/>
      <c r="AC393" s="254"/>
    </row>
    <row r="394" ht="12.75" customHeight="1" spans="1:29">
      <c r="A394" s="254"/>
      <c r="B394" s="254"/>
      <c r="C394" s="254"/>
      <c r="D394" s="276"/>
      <c r="E394" s="254"/>
      <c r="F394" s="254"/>
      <c r="G394" s="254"/>
      <c r="H394" s="254"/>
      <c r="I394" s="254"/>
      <c r="J394" s="254"/>
      <c r="K394" s="254"/>
      <c r="L394" s="254"/>
      <c r="M394" s="254"/>
      <c r="N394" s="254"/>
      <c r="O394" s="254"/>
      <c r="P394" s="254"/>
      <c r="Q394" s="254"/>
      <c r="R394" s="254"/>
      <c r="S394" s="254"/>
      <c r="T394" s="254"/>
      <c r="U394" s="254"/>
      <c r="V394" s="254"/>
      <c r="W394" s="254"/>
      <c r="X394" s="254"/>
      <c r="Y394" s="254"/>
      <c r="Z394" s="254"/>
      <c r="AA394" s="254"/>
      <c r="AB394" s="254"/>
      <c r="AC394" s="254"/>
    </row>
    <row r="395" ht="12.75" customHeight="1" spans="1:29">
      <c r="A395" s="254"/>
      <c r="B395" s="254"/>
      <c r="C395" s="254"/>
      <c r="D395" s="276"/>
      <c r="E395" s="254"/>
      <c r="F395" s="254"/>
      <c r="G395" s="254"/>
      <c r="H395" s="254"/>
      <c r="I395" s="254"/>
      <c r="J395" s="254"/>
      <c r="K395" s="254"/>
      <c r="L395" s="254"/>
      <c r="M395" s="254"/>
      <c r="N395" s="254"/>
      <c r="O395" s="254"/>
      <c r="P395" s="254"/>
      <c r="Q395" s="254"/>
      <c r="R395" s="254"/>
      <c r="S395" s="254"/>
      <c r="T395" s="254"/>
      <c r="U395" s="254"/>
      <c r="V395" s="254"/>
      <c r="W395" s="254"/>
      <c r="X395" s="254"/>
      <c r="Y395" s="254"/>
      <c r="Z395" s="254"/>
      <c r="AA395" s="254"/>
      <c r="AB395" s="254"/>
      <c r="AC395" s="254"/>
    </row>
    <row r="396" ht="12.75" customHeight="1" spans="1:29">
      <c r="A396" s="254"/>
      <c r="B396" s="254"/>
      <c r="C396" s="254"/>
      <c r="D396" s="276"/>
      <c r="E396" s="254"/>
      <c r="F396" s="254"/>
      <c r="G396" s="254"/>
      <c r="H396" s="254"/>
      <c r="I396" s="254"/>
      <c r="J396" s="254"/>
      <c r="K396" s="254"/>
      <c r="L396" s="254"/>
      <c r="M396" s="254"/>
      <c r="N396" s="254"/>
      <c r="O396" s="254"/>
      <c r="P396" s="254"/>
      <c r="Q396" s="254"/>
      <c r="R396" s="254"/>
      <c r="S396" s="254"/>
      <c r="T396" s="254"/>
      <c r="U396" s="254"/>
      <c r="V396" s="254"/>
      <c r="W396" s="254"/>
      <c r="X396" s="254"/>
      <c r="Y396" s="254"/>
      <c r="Z396" s="254"/>
      <c r="AA396" s="254"/>
      <c r="AB396" s="254"/>
      <c r="AC396" s="254"/>
    </row>
    <row r="397" ht="12.75" customHeight="1" spans="1:29">
      <c r="A397" s="254"/>
      <c r="B397" s="254"/>
      <c r="C397" s="254"/>
      <c r="D397" s="276"/>
      <c r="E397" s="254"/>
      <c r="F397" s="254"/>
      <c r="G397" s="254"/>
      <c r="H397" s="254"/>
      <c r="I397" s="254"/>
      <c r="J397" s="254"/>
      <c r="K397" s="254"/>
      <c r="L397" s="254"/>
      <c r="M397" s="254"/>
      <c r="N397" s="254"/>
      <c r="O397" s="254"/>
      <c r="P397" s="254"/>
      <c r="Q397" s="254"/>
      <c r="R397" s="254"/>
      <c r="S397" s="254"/>
      <c r="T397" s="254"/>
      <c r="U397" s="254"/>
      <c r="V397" s="254"/>
      <c r="W397" s="254"/>
      <c r="X397" s="254"/>
      <c r="Y397" s="254"/>
      <c r="Z397" s="254"/>
      <c r="AA397" s="254"/>
      <c r="AB397" s="254"/>
      <c r="AC397" s="254"/>
    </row>
    <row r="398" ht="12.75" customHeight="1" spans="1:29">
      <c r="A398" s="254"/>
      <c r="B398" s="254"/>
      <c r="C398" s="254"/>
      <c r="D398" s="276"/>
      <c r="E398" s="254"/>
      <c r="F398" s="254"/>
      <c r="G398" s="254"/>
      <c r="H398" s="254"/>
      <c r="I398" s="254"/>
      <c r="J398" s="254"/>
      <c r="K398" s="254"/>
      <c r="L398" s="254"/>
      <c r="M398" s="254"/>
      <c r="N398" s="254"/>
      <c r="O398" s="254"/>
      <c r="P398" s="254"/>
      <c r="Q398" s="254"/>
      <c r="R398" s="254"/>
      <c r="S398" s="254"/>
      <c r="T398" s="254"/>
      <c r="U398" s="254"/>
      <c r="V398" s="254"/>
      <c r="W398" s="254"/>
      <c r="X398" s="254"/>
      <c r="Y398" s="254"/>
      <c r="Z398" s="254"/>
      <c r="AA398" s="254"/>
      <c r="AB398" s="254"/>
      <c r="AC398" s="254"/>
    </row>
    <row r="399" ht="12.75" customHeight="1" spans="1:29">
      <c r="A399" s="254"/>
      <c r="B399" s="254"/>
      <c r="C399" s="254"/>
      <c r="D399" s="276"/>
      <c r="E399" s="254"/>
      <c r="F399" s="254"/>
      <c r="G399" s="254"/>
      <c r="H399" s="254"/>
      <c r="I399" s="254"/>
      <c r="J399" s="254"/>
      <c r="K399" s="254"/>
      <c r="L399" s="254"/>
      <c r="M399" s="254"/>
      <c r="N399" s="254"/>
      <c r="O399" s="254"/>
      <c r="P399" s="254"/>
      <c r="Q399" s="254"/>
      <c r="R399" s="254"/>
      <c r="S399" s="254"/>
      <c r="T399" s="254"/>
      <c r="U399" s="254"/>
      <c r="V399" s="254"/>
      <c r="W399" s="254"/>
      <c r="X399" s="254"/>
      <c r="Y399" s="254"/>
      <c r="Z399" s="254"/>
      <c r="AA399" s="254"/>
      <c r="AB399" s="254"/>
      <c r="AC399" s="254"/>
    </row>
    <row r="400" ht="12.75" customHeight="1" spans="1:29">
      <c r="A400" s="254"/>
      <c r="B400" s="254"/>
      <c r="C400" s="254"/>
      <c r="D400" s="276"/>
      <c r="E400" s="254"/>
      <c r="F400" s="254"/>
      <c r="G400" s="254"/>
      <c r="H400" s="254"/>
      <c r="I400" s="254"/>
      <c r="J400" s="254"/>
      <c r="K400" s="254"/>
      <c r="L400" s="254"/>
      <c r="M400" s="254"/>
      <c r="N400" s="254"/>
      <c r="O400" s="254"/>
      <c r="P400" s="254"/>
      <c r="Q400" s="254"/>
      <c r="R400" s="254"/>
      <c r="S400" s="254"/>
      <c r="T400" s="254"/>
      <c r="U400" s="254"/>
      <c r="V400" s="254"/>
      <c r="W400" s="254"/>
      <c r="X400" s="254"/>
      <c r="Y400" s="254"/>
      <c r="Z400" s="254"/>
      <c r="AA400" s="254"/>
      <c r="AB400" s="254"/>
      <c r="AC400" s="254"/>
    </row>
    <row r="401" ht="12.75" customHeight="1" spans="1:29">
      <c r="A401" s="254"/>
      <c r="B401" s="254"/>
      <c r="C401" s="254"/>
      <c r="D401" s="276"/>
      <c r="E401" s="254"/>
      <c r="F401" s="254"/>
      <c r="G401" s="254"/>
      <c r="H401" s="254"/>
      <c r="I401" s="254"/>
      <c r="J401" s="254"/>
      <c r="K401" s="254"/>
      <c r="L401" s="254"/>
      <c r="M401" s="254"/>
      <c r="N401" s="254"/>
      <c r="O401" s="254"/>
      <c r="P401" s="254"/>
      <c r="Q401" s="254"/>
      <c r="R401" s="254"/>
      <c r="S401" s="254"/>
      <c r="T401" s="254"/>
      <c r="U401" s="254"/>
      <c r="V401" s="254"/>
      <c r="W401" s="254"/>
      <c r="X401" s="254"/>
      <c r="Y401" s="254"/>
      <c r="Z401" s="254"/>
      <c r="AA401" s="254"/>
      <c r="AB401" s="254"/>
      <c r="AC401" s="254"/>
    </row>
    <row r="402" ht="12.75" customHeight="1" spans="1:29">
      <c r="A402" s="254"/>
      <c r="B402" s="254"/>
      <c r="C402" s="254"/>
      <c r="D402" s="276"/>
      <c r="E402" s="254"/>
      <c r="F402" s="254"/>
      <c r="G402" s="254"/>
      <c r="H402" s="254"/>
      <c r="I402" s="254"/>
      <c r="J402" s="254"/>
      <c r="K402" s="254"/>
      <c r="L402" s="254"/>
      <c r="M402" s="254"/>
      <c r="N402" s="254"/>
      <c r="O402" s="254"/>
      <c r="P402" s="254"/>
      <c r="Q402" s="254"/>
      <c r="R402" s="254"/>
      <c r="S402" s="254"/>
      <c r="T402" s="254"/>
      <c r="U402" s="254"/>
      <c r="V402" s="254"/>
      <c r="W402" s="254"/>
      <c r="X402" s="254"/>
      <c r="Y402" s="254"/>
      <c r="Z402" s="254"/>
      <c r="AA402" s="254"/>
      <c r="AB402" s="254"/>
      <c r="AC402" s="254"/>
    </row>
    <row r="403" ht="12.75" customHeight="1" spans="1:29">
      <c r="A403" s="254"/>
      <c r="B403" s="254"/>
      <c r="C403" s="254"/>
      <c r="D403" s="276"/>
      <c r="E403" s="254"/>
      <c r="F403" s="254"/>
      <c r="G403" s="254"/>
      <c r="H403" s="254"/>
      <c r="I403" s="254"/>
      <c r="J403" s="254"/>
      <c r="K403" s="254"/>
      <c r="L403" s="254"/>
      <c r="M403" s="254"/>
      <c r="N403" s="254"/>
      <c r="O403" s="254"/>
      <c r="P403" s="254"/>
      <c r="Q403" s="254"/>
      <c r="R403" s="254"/>
      <c r="S403" s="254"/>
      <c r="T403" s="254"/>
      <c r="U403" s="254"/>
      <c r="V403" s="254"/>
      <c r="W403" s="254"/>
      <c r="X403" s="254"/>
      <c r="Y403" s="254"/>
      <c r="Z403" s="254"/>
      <c r="AA403" s="254"/>
      <c r="AB403" s="254"/>
      <c r="AC403" s="254"/>
    </row>
    <row r="404" ht="12.75" customHeight="1" spans="1:29">
      <c r="A404" s="254"/>
      <c r="B404" s="254"/>
      <c r="C404" s="254"/>
      <c r="D404" s="276"/>
      <c r="E404" s="254"/>
      <c r="F404" s="254"/>
      <c r="G404" s="254"/>
      <c r="H404" s="254"/>
      <c r="I404" s="254"/>
      <c r="J404" s="254"/>
      <c r="K404" s="254"/>
      <c r="L404" s="254"/>
      <c r="M404" s="254"/>
      <c r="N404" s="254"/>
      <c r="O404" s="254"/>
      <c r="P404" s="254"/>
      <c r="Q404" s="254"/>
      <c r="R404" s="254"/>
      <c r="S404" s="254"/>
      <c r="T404" s="254"/>
      <c r="U404" s="254"/>
      <c r="V404" s="254"/>
      <c r="W404" s="254"/>
      <c r="X404" s="254"/>
      <c r="Y404" s="254"/>
      <c r="Z404" s="254"/>
      <c r="AA404" s="254"/>
      <c r="AB404" s="254"/>
      <c r="AC404" s="254"/>
    </row>
    <row r="405" ht="12.75" customHeight="1" spans="1:29">
      <c r="A405" s="254"/>
      <c r="B405" s="254"/>
      <c r="C405" s="254"/>
      <c r="D405" s="276"/>
      <c r="E405" s="254"/>
      <c r="F405" s="254"/>
      <c r="G405" s="254"/>
      <c r="H405" s="254"/>
      <c r="I405" s="254"/>
      <c r="J405" s="254"/>
      <c r="K405" s="254"/>
      <c r="L405" s="254"/>
      <c r="M405" s="254"/>
      <c r="N405" s="254"/>
      <c r="O405" s="254"/>
      <c r="P405" s="254"/>
      <c r="Q405" s="254"/>
      <c r="R405" s="254"/>
      <c r="S405" s="254"/>
      <c r="T405" s="254"/>
      <c r="U405" s="254"/>
      <c r="V405" s="254"/>
      <c r="W405" s="254"/>
      <c r="X405" s="254"/>
      <c r="Y405" s="254"/>
      <c r="Z405" s="254"/>
      <c r="AA405" s="254"/>
      <c r="AB405" s="254"/>
      <c r="AC405" s="254"/>
    </row>
    <row r="406" ht="12.75" customHeight="1" spans="1:29">
      <c r="A406" s="254"/>
      <c r="B406" s="254"/>
      <c r="C406" s="254"/>
      <c r="D406" s="276"/>
      <c r="E406" s="254"/>
      <c r="F406" s="254"/>
      <c r="G406" s="254"/>
      <c r="H406" s="254"/>
      <c r="I406" s="254"/>
      <c r="J406" s="254"/>
      <c r="K406" s="254"/>
      <c r="L406" s="254"/>
      <c r="M406" s="254"/>
      <c r="N406" s="254"/>
      <c r="O406" s="254"/>
      <c r="P406" s="254"/>
      <c r="Q406" s="254"/>
      <c r="R406" s="254"/>
      <c r="S406" s="254"/>
      <c r="T406" s="254"/>
      <c r="U406" s="254"/>
      <c r="V406" s="254"/>
      <c r="W406" s="254"/>
      <c r="X406" s="254"/>
      <c r="Y406" s="254"/>
      <c r="Z406" s="254"/>
      <c r="AA406" s="254"/>
      <c r="AB406" s="254"/>
      <c r="AC406" s="254"/>
    </row>
    <row r="407" ht="12.75" customHeight="1" spans="1:29">
      <c r="A407" s="254"/>
      <c r="B407" s="254"/>
      <c r="C407" s="254"/>
      <c r="D407" s="276"/>
      <c r="E407" s="254"/>
      <c r="F407" s="254"/>
      <c r="G407" s="254"/>
      <c r="H407" s="254"/>
      <c r="I407" s="254"/>
      <c r="J407" s="254"/>
      <c r="K407" s="254"/>
      <c r="L407" s="254"/>
      <c r="M407" s="254"/>
      <c r="N407" s="254"/>
      <c r="O407" s="254"/>
      <c r="P407" s="254"/>
      <c r="Q407" s="254"/>
      <c r="R407" s="254"/>
      <c r="S407" s="254"/>
      <c r="T407" s="254"/>
      <c r="U407" s="254"/>
      <c r="V407" s="254"/>
      <c r="W407" s="254"/>
      <c r="X407" s="254"/>
      <c r="Y407" s="254"/>
      <c r="Z407" s="254"/>
      <c r="AA407" s="254"/>
      <c r="AB407" s="254"/>
      <c r="AC407" s="254"/>
    </row>
    <row r="408" ht="12.75" customHeight="1" spans="1:29">
      <c r="A408" s="254"/>
      <c r="B408" s="254"/>
      <c r="C408" s="254"/>
      <c r="D408" s="276"/>
      <c r="E408" s="254"/>
      <c r="F408" s="254"/>
      <c r="G408" s="254"/>
      <c r="H408" s="254"/>
      <c r="I408" s="254"/>
      <c r="J408" s="254"/>
      <c r="K408" s="254"/>
      <c r="L408" s="254"/>
      <c r="M408" s="254"/>
      <c r="N408" s="254"/>
      <c r="O408" s="254"/>
      <c r="P408" s="254"/>
      <c r="Q408" s="254"/>
      <c r="R408" s="254"/>
      <c r="S408" s="254"/>
      <c r="T408" s="254"/>
      <c r="U408" s="254"/>
      <c r="V408" s="254"/>
      <c r="W408" s="254"/>
      <c r="X408" s="254"/>
      <c r="Y408" s="254"/>
      <c r="Z408" s="254"/>
      <c r="AA408" s="254"/>
      <c r="AB408" s="254"/>
      <c r="AC408" s="254"/>
    </row>
    <row r="409" ht="12.75" customHeight="1" spans="1:29">
      <c r="A409" s="254"/>
      <c r="B409" s="254"/>
      <c r="C409" s="254"/>
      <c r="D409" s="276"/>
      <c r="E409" s="254"/>
      <c r="F409" s="254"/>
      <c r="G409" s="254"/>
      <c r="H409" s="254"/>
      <c r="I409" s="254"/>
      <c r="J409" s="254"/>
      <c r="K409" s="254"/>
      <c r="L409" s="254"/>
      <c r="M409" s="254"/>
      <c r="N409" s="254"/>
      <c r="O409" s="254"/>
      <c r="P409" s="254"/>
      <c r="Q409" s="254"/>
      <c r="R409" s="254"/>
      <c r="S409" s="254"/>
      <c r="T409" s="254"/>
      <c r="U409" s="254"/>
      <c r="V409" s="254"/>
      <c r="W409" s="254"/>
      <c r="X409" s="254"/>
      <c r="Y409" s="254"/>
      <c r="Z409" s="254"/>
      <c r="AA409" s="254"/>
      <c r="AB409" s="254"/>
      <c r="AC409" s="254"/>
    </row>
    <row r="410" ht="12.75" customHeight="1" spans="1:29">
      <c r="A410" s="254"/>
      <c r="B410" s="254"/>
      <c r="C410" s="254"/>
      <c r="D410" s="276"/>
      <c r="E410" s="254"/>
      <c r="F410" s="254"/>
      <c r="G410" s="254"/>
      <c r="H410" s="254"/>
      <c r="I410" s="254"/>
      <c r="J410" s="254"/>
      <c r="K410" s="254"/>
      <c r="L410" s="254"/>
      <c r="M410" s="254"/>
      <c r="N410" s="254"/>
      <c r="O410" s="254"/>
      <c r="P410" s="254"/>
      <c r="Q410" s="254"/>
      <c r="R410" s="254"/>
      <c r="S410" s="254"/>
      <c r="T410" s="254"/>
      <c r="U410" s="254"/>
      <c r="V410" s="254"/>
      <c r="W410" s="254"/>
      <c r="X410" s="254"/>
      <c r="Y410" s="254"/>
      <c r="Z410" s="254"/>
      <c r="AA410" s="254"/>
      <c r="AB410" s="254"/>
      <c r="AC410" s="254"/>
    </row>
    <row r="411" ht="12.75" customHeight="1" spans="1:29">
      <c r="A411" s="254"/>
      <c r="B411" s="254"/>
      <c r="C411" s="254"/>
      <c r="D411" s="276"/>
      <c r="E411" s="254"/>
      <c r="F411" s="254"/>
      <c r="G411" s="254"/>
      <c r="H411" s="254"/>
      <c r="I411" s="254"/>
      <c r="J411" s="254"/>
      <c r="K411" s="254"/>
      <c r="L411" s="254"/>
      <c r="M411" s="254"/>
      <c r="N411" s="254"/>
      <c r="O411" s="254"/>
      <c r="P411" s="254"/>
      <c r="Q411" s="254"/>
      <c r="R411" s="254"/>
      <c r="S411" s="254"/>
      <c r="T411" s="254"/>
      <c r="U411" s="254"/>
      <c r="V411" s="254"/>
      <c r="W411" s="254"/>
      <c r="X411" s="254"/>
      <c r="Y411" s="254"/>
      <c r="Z411" s="254"/>
      <c r="AA411" s="254"/>
      <c r="AB411" s="254"/>
      <c r="AC411" s="254"/>
    </row>
    <row r="412" ht="12.75" customHeight="1" spans="1:29">
      <c r="A412" s="254"/>
      <c r="B412" s="254"/>
      <c r="C412" s="254"/>
      <c r="D412" s="276"/>
      <c r="E412" s="254"/>
      <c r="F412" s="254"/>
      <c r="G412" s="254"/>
      <c r="H412" s="254"/>
      <c r="I412" s="254"/>
      <c r="J412" s="254"/>
      <c r="K412" s="254"/>
      <c r="L412" s="254"/>
      <c r="M412" s="254"/>
      <c r="N412" s="254"/>
      <c r="O412" s="254"/>
      <c r="P412" s="254"/>
      <c r="Q412" s="254"/>
      <c r="R412" s="254"/>
      <c r="S412" s="254"/>
      <c r="T412" s="254"/>
      <c r="U412" s="254"/>
      <c r="V412" s="254"/>
      <c r="W412" s="254"/>
      <c r="X412" s="254"/>
      <c r="Y412" s="254"/>
      <c r="Z412" s="254"/>
      <c r="AA412" s="254"/>
      <c r="AB412" s="254"/>
      <c r="AC412" s="254"/>
    </row>
    <row r="413" ht="12.75" customHeight="1" spans="1:29">
      <c r="A413" s="254"/>
      <c r="B413" s="254"/>
      <c r="C413" s="254"/>
      <c r="D413" s="276"/>
      <c r="E413" s="254"/>
      <c r="F413" s="254"/>
      <c r="G413" s="254"/>
      <c r="H413" s="254"/>
      <c r="I413" s="254"/>
      <c r="J413" s="254"/>
      <c r="K413" s="254"/>
      <c r="L413" s="254"/>
      <c r="M413" s="254"/>
      <c r="N413" s="254"/>
      <c r="O413" s="254"/>
      <c r="P413" s="254"/>
      <c r="Q413" s="254"/>
      <c r="R413" s="254"/>
      <c r="S413" s="254"/>
      <c r="T413" s="254"/>
      <c r="U413" s="254"/>
      <c r="V413" s="254"/>
      <c r="W413" s="254"/>
      <c r="X413" s="254"/>
      <c r="Y413" s="254"/>
      <c r="Z413" s="254"/>
      <c r="AA413" s="254"/>
      <c r="AB413" s="254"/>
      <c r="AC413" s="254"/>
    </row>
    <row r="414" ht="12.75" customHeight="1" spans="1:29">
      <c r="A414" s="254"/>
      <c r="B414" s="254"/>
      <c r="C414" s="254"/>
      <c r="D414" s="276"/>
      <c r="E414" s="254"/>
      <c r="F414" s="254"/>
      <c r="G414" s="254"/>
      <c r="H414" s="254"/>
      <c r="I414" s="254"/>
      <c r="J414" s="254"/>
      <c r="K414" s="254"/>
      <c r="L414" s="254"/>
      <c r="M414" s="254"/>
      <c r="N414" s="254"/>
      <c r="O414" s="254"/>
      <c r="P414" s="254"/>
      <c r="Q414" s="254"/>
      <c r="R414" s="254"/>
      <c r="S414" s="254"/>
      <c r="T414" s="254"/>
      <c r="U414" s="254"/>
      <c r="V414" s="254"/>
      <c r="W414" s="254"/>
      <c r="X414" s="254"/>
      <c r="Y414" s="254"/>
      <c r="Z414" s="254"/>
      <c r="AA414" s="254"/>
      <c r="AB414" s="254"/>
      <c r="AC414" s="254"/>
    </row>
    <row r="415" ht="12.75" customHeight="1" spans="1:29">
      <c r="A415" s="254"/>
      <c r="B415" s="254"/>
      <c r="C415" s="254"/>
      <c r="D415" s="276"/>
      <c r="E415" s="254"/>
      <c r="F415" s="254"/>
      <c r="G415" s="254"/>
      <c r="H415" s="254"/>
      <c r="I415" s="254"/>
      <c r="J415" s="254"/>
      <c r="K415" s="254"/>
      <c r="L415" s="254"/>
      <c r="M415" s="254"/>
      <c r="N415" s="254"/>
      <c r="O415" s="254"/>
      <c r="P415" s="254"/>
      <c r="Q415" s="254"/>
      <c r="R415" s="254"/>
      <c r="S415" s="254"/>
      <c r="T415" s="254"/>
      <c r="U415" s="254"/>
      <c r="V415" s="254"/>
      <c r="W415" s="254"/>
      <c r="X415" s="254"/>
      <c r="Y415" s="254"/>
      <c r="Z415" s="254"/>
      <c r="AA415" s="254"/>
      <c r="AB415" s="254"/>
      <c r="AC415" s="254"/>
    </row>
    <row r="416" ht="12.75" customHeight="1" spans="1:29">
      <c r="A416" s="254"/>
      <c r="B416" s="254"/>
      <c r="C416" s="254"/>
      <c r="D416" s="276"/>
      <c r="E416" s="254"/>
      <c r="F416" s="254"/>
      <c r="G416" s="254"/>
      <c r="H416" s="254"/>
      <c r="I416" s="254"/>
      <c r="J416" s="254"/>
      <c r="K416" s="254"/>
      <c r="L416" s="254"/>
      <c r="M416" s="254"/>
      <c r="N416" s="254"/>
      <c r="O416" s="254"/>
      <c r="P416" s="254"/>
      <c r="Q416" s="254"/>
      <c r="R416" s="254"/>
      <c r="S416" s="254"/>
      <c r="T416" s="254"/>
      <c r="U416" s="254"/>
      <c r="V416" s="254"/>
      <c r="W416" s="254"/>
      <c r="X416" s="254"/>
      <c r="Y416" s="254"/>
      <c r="Z416" s="254"/>
      <c r="AA416" s="254"/>
      <c r="AB416" s="254"/>
      <c r="AC416" s="254"/>
    </row>
    <row r="417" ht="12.75" customHeight="1" spans="1:29">
      <c r="A417" s="254"/>
      <c r="B417" s="254"/>
      <c r="C417" s="254"/>
      <c r="D417" s="276"/>
      <c r="E417" s="254"/>
      <c r="F417" s="254"/>
      <c r="G417" s="254"/>
      <c r="H417" s="254"/>
      <c r="I417" s="254"/>
      <c r="J417" s="254"/>
      <c r="K417" s="254"/>
      <c r="L417" s="254"/>
      <c r="M417" s="254"/>
      <c r="N417" s="254"/>
      <c r="O417" s="254"/>
      <c r="P417" s="254"/>
      <c r="Q417" s="254"/>
      <c r="R417" s="254"/>
      <c r="S417" s="254"/>
      <c r="T417" s="254"/>
      <c r="U417" s="254"/>
      <c r="V417" s="254"/>
      <c r="W417" s="254"/>
      <c r="X417" s="254"/>
      <c r="Y417" s="254"/>
      <c r="Z417" s="254"/>
      <c r="AA417" s="254"/>
      <c r="AB417" s="254"/>
      <c r="AC417" s="254"/>
    </row>
    <row r="418" ht="12.75" customHeight="1" spans="1:29">
      <c r="A418" s="254"/>
      <c r="B418" s="254"/>
      <c r="C418" s="254"/>
      <c r="D418" s="276"/>
      <c r="E418" s="254"/>
      <c r="F418" s="254"/>
      <c r="G418" s="254"/>
      <c r="H418" s="254"/>
      <c r="I418" s="254"/>
      <c r="J418" s="254"/>
      <c r="K418" s="254"/>
      <c r="L418" s="254"/>
      <c r="M418" s="254"/>
      <c r="N418" s="254"/>
      <c r="O418" s="254"/>
      <c r="P418" s="254"/>
      <c r="Q418" s="254"/>
      <c r="R418" s="254"/>
      <c r="S418" s="254"/>
      <c r="T418" s="254"/>
      <c r="U418" s="254"/>
      <c r="V418" s="254"/>
      <c r="W418" s="254"/>
      <c r="X418" s="254"/>
      <c r="Y418" s="254"/>
      <c r="Z418" s="254"/>
      <c r="AA418" s="254"/>
      <c r="AB418" s="254"/>
      <c r="AC418" s="254"/>
    </row>
    <row r="419" ht="12.75" customHeight="1" spans="1:29">
      <c r="A419" s="254"/>
      <c r="B419" s="254"/>
      <c r="C419" s="254"/>
      <c r="D419" s="276"/>
      <c r="E419" s="254"/>
      <c r="F419" s="254"/>
      <c r="G419" s="254"/>
      <c r="H419" s="254"/>
      <c r="I419" s="254"/>
      <c r="J419" s="254"/>
      <c r="K419" s="254"/>
      <c r="L419" s="254"/>
      <c r="M419" s="254"/>
      <c r="N419" s="254"/>
      <c r="O419" s="254"/>
      <c r="P419" s="254"/>
      <c r="Q419" s="254"/>
      <c r="R419" s="254"/>
      <c r="S419" s="254"/>
      <c r="T419" s="254"/>
      <c r="U419" s="254"/>
      <c r="V419" s="254"/>
      <c r="W419" s="254"/>
      <c r="X419" s="254"/>
      <c r="Y419" s="254"/>
      <c r="Z419" s="254"/>
      <c r="AA419" s="254"/>
      <c r="AB419" s="254"/>
      <c r="AC419" s="254"/>
    </row>
    <row r="420" ht="12.75" customHeight="1" spans="1:29">
      <c r="A420" s="254"/>
      <c r="B420" s="254"/>
      <c r="C420" s="254"/>
      <c r="D420" s="276"/>
      <c r="E420" s="254"/>
      <c r="F420" s="254"/>
      <c r="G420" s="254"/>
      <c r="H420" s="254"/>
      <c r="I420" s="254"/>
      <c r="J420" s="254"/>
      <c r="K420" s="254"/>
      <c r="L420" s="254"/>
      <c r="M420" s="254"/>
      <c r="N420" s="254"/>
      <c r="O420" s="254"/>
      <c r="P420" s="254"/>
      <c r="Q420" s="254"/>
      <c r="R420" s="254"/>
      <c r="S420" s="254"/>
      <c r="T420" s="254"/>
      <c r="U420" s="254"/>
      <c r="V420" s="254"/>
      <c r="W420" s="254"/>
      <c r="X420" s="254"/>
      <c r="Y420" s="254"/>
      <c r="Z420" s="254"/>
      <c r="AA420" s="254"/>
      <c r="AB420" s="254"/>
      <c r="AC420" s="254"/>
    </row>
    <row r="421" ht="12.75" customHeight="1" spans="1:29">
      <c r="A421" s="254"/>
      <c r="B421" s="254"/>
      <c r="C421" s="254"/>
      <c r="D421" s="276"/>
      <c r="E421" s="254"/>
      <c r="F421" s="254"/>
      <c r="G421" s="254"/>
      <c r="H421" s="254"/>
      <c r="I421" s="254"/>
      <c r="J421" s="254"/>
      <c r="K421" s="254"/>
      <c r="L421" s="254"/>
      <c r="M421" s="254"/>
      <c r="N421" s="254"/>
      <c r="O421" s="254"/>
      <c r="P421" s="254"/>
      <c r="Q421" s="254"/>
      <c r="R421" s="254"/>
      <c r="S421" s="254"/>
      <c r="T421" s="254"/>
      <c r="U421" s="254"/>
      <c r="V421" s="254"/>
      <c r="W421" s="254"/>
      <c r="X421" s="254"/>
      <c r="Y421" s="254"/>
      <c r="Z421" s="254"/>
      <c r="AA421" s="254"/>
      <c r="AB421" s="254"/>
      <c r="AC421" s="254"/>
    </row>
    <row r="422" ht="12.75" customHeight="1" spans="1:29">
      <c r="A422" s="254"/>
      <c r="B422" s="254"/>
      <c r="C422" s="254"/>
      <c r="D422" s="276"/>
      <c r="E422" s="254"/>
      <c r="F422" s="254"/>
      <c r="G422" s="254"/>
      <c r="H422" s="254"/>
      <c r="I422" s="254"/>
      <c r="J422" s="254"/>
      <c r="K422" s="254"/>
      <c r="L422" s="254"/>
      <c r="M422" s="254"/>
      <c r="N422" s="254"/>
      <c r="O422" s="254"/>
      <c r="P422" s="254"/>
      <c r="Q422" s="254"/>
      <c r="R422" s="254"/>
      <c r="S422" s="254"/>
      <c r="T422" s="254"/>
      <c r="U422" s="254"/>
      <c r="V422" s="254"/>
      <c r="W422" s="254"/>
      <c r="X422" s="254"/>
      <c r="Y422" s="254"/>
      <c r="Z422" s="254"/>
      <c r="AA422" s="254"/>
      <c r="AB422" s="254"/>
      <c r="AC422" s="254"/>
    </row>
    <row r="423" ht="12.75" customHeight="1" spans="1:29">
      <c r="A423" s="254"/>
      <c r="B423" s="254"/>
      <c r="C423" s="254"/>
      <c r="D423" s="276"/>
      <c r="E423" s="254"/>
      <c r="F423" s="254"/>
      <c r="G423" s="254"/>
      <c r="H423" s="254"/>
      <c r="I423" s="254"/>
      <c r="J423" s="254"/>
      <c r="K423" s="254"/>
      <c r="L423" s="254"/>
      <c r="M423" s="254"/>
      <c r="N423" s="254"/>
      <c r="O423" s="254"/>
      <c r="P423" s="254"/>
      <c r="Q423" s="254"/>
      <c r="R423" s="254"/>
      <c r="S423" s="254"/>
      <c r="T423" s="254"/>
      <c r="U423" s="254"/>
      <c r="V423" s="254"/>
      <c r="W423" s="254"/>
      <c r="X423" s="254"/>
      <c r="Y423" s="254"/>
      <c r="Z423" s="254"/>
      <c r="AA423" s="254"/>
      <c r="AB423" s="254"/>
      <c r="AC423" s="254"/>
    </row>
    <row r="424" ht="12.75" customHeight="1" spans="1:29">
      <c r="A424" s="254"/>
      <c r="B424" s="254"/>
      <c r="C424" s="254"/>
      <c r="D424" s="276"/>
      <c r="E424" s="254"/>
      <c r="F424" s="254"/>
      <c r="G424" s="254"/>
      <c r="H424" s="254"/>
      <c r="I424" s="254"/>
      <c r="J424" s="254"/>
      <c r="K424" s="254"/>
      <c r="L424" s="254"/>
      <c r="M424" s="254"/>
      <c r="N424" s="254"/>
      <c r="O424" s="254"/>
      <c r="P424" s="254"/>
      <c r="Q424" s="254"/>
      <c r="R424" s="254"/>
      <c r="S424" s="254"/>
      <c r="T424" s="254"/>
      <c r="U424" s="254"/>
      <c r="V424" s="254"/>
      <c r="W424" s="254"/>
      <c r="X424" s="254"/>
      <c r="Y424" s="254"/>
      <c r="Z424" s="254"/>
      <c r="AA424" s="254"/>
      <c r="AB424" s="254"/>
      <c r="AC424" s="254"/>
    </row>
    <row r="425" ht="12.75" customHeight="1" spans="1:29">
      <c r="A425" s="254"/>
      <c r="B425" s="254"/>
      <c r="C425" s="254"/>
      <c r="D425" s="276"/>
      <c r="E425" s="254"/>
      <c r="F425" s="254"/>
      <c r="G425" s="254"/>
      <c r="H425" s="254"/>
      <c r="I425" s="254"/>
      <c r="J425" s="254"/>
      <c r="K425" s="254"/>
      <c r="L425" s="254"/>
      <c r="M425" s="254"/>
      <c r="N425" s="254"/>
      <c r="O425" s="254"/>
      <c r="P425" s="254"/>
      <c r="Q425" s="254"/>
      <c r="R425" s="254"/>
      <c r="S425" s="254"/>
      <c r="T425" s="254"/>
      <c r="U425" s="254"/>
      <c r="V425" s="254"/>
      <c r="W425" s="254"/>
      <c r="X425" s="254"/>
      <c r="Y425" s="254"/>
      <c r="Z425" s="254"/>
      <c r="AA425" s="254"/>
      <c r="AB425" s="254"/>
      <c r="AC425" s="254"/>
    </row>
    <row r="426" ht="12.75" customHeight="1" spans="1:29">
      <c r="A426" s="254"/>
      <c r="B426" s="254"/>
      <c r="C426" s="254"/>
      <c r="D426" s="276"/>
      <c r="E426" s="254"/>
      <c r="F426" s="254"/>
      <c r="G426" s="254"/>
      <c r="H426" s="254"/>
      <c r="I426" s="254"/>
      <c r="J426" s="254"/>
      <c r="K426" s="254"/>
      <c r="L426" s="254"/>
      <c r="M426" s="254"/>
      <c r="N426" s="254"/>
      <c r="O426" s="254"/>
      <c r="P426" s="254"/>
      <c r="Q426" s="254"/>
      <c r="R426" s="254"/>
      <c r="S426" s="254"/>
      <c r="T426" s="254"/>
      <c r="U426" s="254"/>
      <c r="V426" s="254"/>
      <c r="W426" s="254"/>
      <c r="X426" s="254"/>
      <c r="Y426" s="254"/>
      <c r="Z426" s="254"/>
      <c r="AA426" s="254"/>
      <c r="AB426" s="254"/>
      <c r="AC426" s="254"/>
    </row>
    <row r="427" ht="12.75" customHeight="1" spans="1:29">
      <c r="A427" s="254"/>
      <c r="B427" s="254"/>
      <c r="C427" s="254"/>
      <c r="D427" s="276"/>
      <c r="E427" s="254"/>
      <c r="F427" s="254"/>
      <c r="G427" s="254"/>
      <c r="H427" s="254"/>
      <c r="I427" s="254"/>
      <c r="J427" s="254"/>
      <c r="K427" s="254"/>
      <c r="L427" s="254"/>
      <c r="M427" s="254"/>
      <c r="N427" s="254"/>
      <c r="O427" s="254"/>
      <c r="P427" s="254"/>
      <c r="Q427" s="254"/>
      <c r="R427" s="254"/>
      <c r="S427" s="254"/>
      <c r="T427" s="254"/>
      <c r="U427" s="254"/>
      <c r="V427" s="254"/>
      <c r="W427" s="254"/>
      <c r="X427" s="254"/>
      <c r="Y427" s="254"/>
      <c r="Z427" s="254"/>
      <c r="AA427" s="254"/>
      <c r="AB427" s="254"/>
      <c r="AC427" s="254"/>
    </row>
    <row r="428" ht="12.75" customHeight="1" spans="1:29">
      <c r="A428" s="254"/>
      <c r="B428" s="254"/>
      <c r="C428" s="254"/>
      <c r="D428" s="276"/>
      <c r="E428" s="254"/>
      <c r="F428" s="254"/>
      <c r="G428" s="254"/>
      <c r="H428" s="254"/>
      <c r="I428" s="254"/>
      <c r="J428" s="254"/>
      <c r="K428" s="254"/>
      <c r="L428" s="254"/>
      <c r="M428" s="254"/>
      <c r="N428" s="254"/>
      <c r="O428" s="254"/>
      <c r="P428" s="254"/>
      <c r="Q428" s="254"/>
      <c r="R428" s="254"/>
      <c r="S428" s="254"/>
      <c r="T428" s="254"/>
      <c r="U428" s="254"/>
      <c r="V428" s="254"/>
      <c r="W428" s="254"/>
      <c r="X428" s="254"/>
      <c r="Y428" s="254"/>
      <c r="Z428" s="254"/>
      <c r="AA428" s="254"/>
      <c r="AB428" s="254"/>
      <c r="AC428" s="254"/>
    </row>
    <row r="429" ht="12.75" customHeight="1" spans="1:29">
      <c r="A429" s="254"/>
      <c r="B429" s="254"/>
      <c r="C429" s="254"/>
      <c r="D429" s="276"/>
      <c r="E429" s="254"/>
      <c r="F429" s="254"/>
      <c r="G429" s="254"/>
      <c r="H429" s="254"/>
      <c r="I429" s="254"/>
      <c r="J429" s="254"/>
      <c r="K429" s="254"/>
      <c r="L429" s="254"/>
      <c r="M429" s="254"/>
      <c r="N429" s="254"/>
      <c r="O429" s="254"/>
      <c r="P429" s="254"/>
      <c r="Q429" s="254"/>
      <c r="R429" s="254"/>
      <c r="S429" s="254"/>
      <c r="T429" s="254"/>
      <c r="U429" s="254"/>
      <c r="V429" s="254"/>
      <c r="W429" s="254"/>
      <c r="X429" s="254"/>
      <c r="Y429" s="254"/>
      <c r="Z429" s="254"/>
      <c r="AA429" s="254"/>
      <c r="AB429" s="254"/>
      <c r="AC429" s="254"/>
    </row>
    <row r="430" ht="12.75" customHeight="1" spans="1:29">
      <c r="A430" s="254"/>
      <c r="B430" s="254"/>
      <c r="C430" s="254"/>
      <c r="D430" s="276"/>
      <c r="E430" s="254"/>
      <c r="F430" s="254"/>
      <c r="G430" s="254"/>
      <c r="H430" s="254"/>
      <c r="I430" s="254"/>
      <c r="J430" s="254"/>
      <c r="K430" s="254"/>
      <c r="L430" s="254"/>
      <c r="M430" s="254"/>
      <c r="N430" s="254"/>
      <c r="O430" s="254"/>
      <c r="P430" s="254"/>
      <c r="Q430" s="254"/>
      <c r="R430" s="254"/>
      <c r="S430" s="254"/>
      <c r="T430" s="254"/>
      <c r="U430" s="254"/>
      <c r="V430" s="254"/>
      <c r="W430" s="254"/>
      <c r="X430" s="254"/>
      <c r="Y430" s="254"/>
      <c r="Z430" s="254"/>
      <c r="AA430" s="254"/>
      <c r="AB430" s="254"/>
      <c r="AC430" s="254"/>
    </row>
    <row r="431" ht="12.75" customHeight="1" spans="1:29">
      <c r="A431" s="254"/>
      <c r="B431" s="254"/>
      <c r="C431" s="254"/>
      <c r="D431" s="276"/>
      <c r="E431" s="254"/>
      <c r="F431" s="254"/>
      <c r="G431" s="254"/>
      <c r="H431" s="254"/>
      <c r="I431" s="254"/>
      <c r="J431" s="254"/>
      <c r="K431" s="254"/>
      <c r="L431" s="254"/>
      <c r="M431" s="254"/>
      <c r="N431" s="254"/>
      <c r="O431" s="254"/>
      <c r="P431" s="254"/>
      <c r="Q431" s="254"/>
      <c r="R431" s="254"/>
      <c r="S431" s="254"/>
      <c r="T431" s="254"/>
      <c r="U431" s="254"/>
      <c r="V431" s="254"/>
      <c r="W431" s="254"/>
      <c r="X431" s="254"/>
      <c r="Y431" s="254"/>
      <c r="Z431" s="254"/>
      <c r="AA431" s="254"/>
      <c r="AB431" s="254"/>
      <c r="AC431" s="254"/>
    </row>
    <row r="432" ht="12.75" customHeight="1" spans="1:29">
      <c r="A432" s="254"/>
      <c r="B432" s="254"/>
      <c r="C432" s="254"/>
      <c r="D432" s="276"/>
      <c r="E432" s="254"/>
      <c r="F432" s="254"/>
      <c r="G432" s="254"/>
      <c r="H432" s="254"/>
      <c r="I432" s="254"/>
      <c r="J432" s="254"/>
      <c r="K432" s="254"/>
      <c r="L432" s="254"/>
      <c r="M432" s="254"/>
      <c r="N432" s="254"/>
      <c r="O432" s="254"/>
      <c r="P432" s="254"/>
      <c r="Q432" s="254"/>
      <c r="R432" s="254"/>
      <c r="S432" s="254"/>
      <c r="T432" s="254"/>
      <c r="U432" s="254"/>
      <c r="V432" s="254"/>
      <c r="W432" s="254"/>
      <c r="X432" s="254"/>
      <c r="Y432" s="254"/>
      <c r="Z432" s="254"/>
      <c r="AA432" s="254"/>
      <c r="AB432" s="254"/>
      <c r="AC432" s="254"/>
    </row>
    <row r="433" ht="12.75" customHeight="1" spans="1:29">
      <c r="A433" s="254"/>
      <c r="B433" s="254"/>
      <c r="C433" s="254"/>
      <c r="D433" s="276"/>
      <c r="E433" s="254"/>
      <c r="F433" s="254"/>
      <c r="G433" s="254"/>
      <c r="H433" s="254"/>
      <c r="I433" s="254"/>
      <c r="J433" s="254"/>
      <c r="K433" s="254"/>
      <c r="L433" s="254"/>
      <c r="M433" s="254"/>
      <c r="N433" s="254"/>
      <c r="O433" s="254"/>
      <c r="P433" s="254"/>
      <c r="Q433" s="254"/>
      <c r="R433" s="254"/>
      <c r="S433" s="254"/>
      <c r="T433" s="254"/>
      <c r="U433" s="254"/>
      <c r="V433" s="254"/>
      <c r="W433" s="254"/>
      <c r="X433" s="254"/>
      <c r="Y433" s="254"/>
      <c r="Z433" s="254"/>
      <c r="AA433" s="254"/>
      <c r="AB433" s="254"/>
      <c r="AC433" s="254"/>
    </row>
    <row r="434" ht="12.75" customHeight="1" spans="1:29">
      <c r="A434" s="254"/>
      <c r="B434" s="254"/>
      <c r="C434" s="254"/>
      <c r="D434" s="276"/>
      <c r="E434" s="254"/>
      <c r="F434" s="254"/>
      <c r="G434" s="254"/>
      <c r="H434" s="254"/>
      <c r="I434" s="254"/>
      <c r="J434" s="254"/>
      <c r="K434" s="254"/>
      <c r="L434" s="254"/>
      <c r="M434" s="254"/>
      <c r="N434" s="254"/>
      <c r="O434" s="254"/>
      <c r="P434" s="254"/>
      <c r="Q434" s="254"/>
      <c r="R434" s="254"/>
      <c r="S434" s="254"/>
      <c r="T434" s="254"/>
      <c r="U434" s="254"/>
      <c r="V434" s="254"/>
      <c r="W434" s="254"/>
      <c r="X434" s="254"/>
      <c r="Y434" s="254"/>
      <c r="Z434" s="254"/>
      <c r="AA434" s="254"/>
      <c r="AB434" s="254"/>
      <c r="AC434" s="254"/>
    </row>
    <row r="435" ht="12.75" customHeight="1" spans="1:29">
      <c r="A435" s="254"/>
      <c r="B435" s="254"/>
      <c r="C435" s="254"/>
      <c r="D435" s="276"/>
      <c r="E435" s="254"/>
      <c r="F435" s="254"/>
      <c r="G435" s="254"/>
      <c r="H435" s="254"/>
      <c r="I435" s="254"/>
      <c r="J435" s="254"/>
      <c r="K435" s="254"/>
      <c r="L435" s="254"/>
      <c r="M435" s="254"/>
      <c r="N435" s="254"/>
      <c r="O435" s="254"/>
      <c r="P435" s="254"/>
      <c r="Q435" s="254"/>
      <c r="R435" s="254"/>
      <c r="S435" s="254"/>
      <c r="T435" s="254"/>
      <c r="U435" s="254"/>
      <c r="V435" s="254"/>
      <c r="W435" s="254"/>
      <c r="X435" s="254"/>
      <c r="Y435" s="254"/>
      <c r="Z435" s="254"/>
      <c r="AA435" s="254"/>
      <c r="AB435" s="254"/>
      <c r="AC435" s="254"/>
    </row>
    <row r="436" ht="12.75" customHeight="1" spans="1:29">
      <c r="A436" s="254"/>
      <c r="B436" s="254"/>
      <c r="C436" s="254"/>
      <c r="D436" s="276"/>
      <c r="E436" s="254"/>
      <c r="F436" s="254"/>
      <c r="G436" s="254"/>
      <c r="H436" s="254"/>
      <c r="I436" s="254"/>
      <c r="J436" s="254"/>
      <c r="K436" s="254"/>
      <c r="L436" s="254"/>
      <c r="M436" s="254"/>
      <c r="N436" s="254"/>
      <c r="O436" s="254"/>
      <c r="P436" s="254"/>
      <c r="Q436" s="254"/>
      <c r="R436" s="254"/>
      <c r="S436" s="254"/>
      <c r="T436" s="254"/>
      <c r="U436" s="254"/>
      <c r="V436" s="254"/>
      <c r="W436" s="254"/>
      <c r="X436" s="254"/>
      <c r="Y436" s="254"/>
      <c r="Z436" s="254"/>
      <c r="AA436" s="254"/>
      <c r="AB436" s="254"/>
      <c r="AC436" s="254"/>
    </row>
    <row r="437" ht="12.75" customHeight="1" spans="1:29">
      <c r="A437" s="254"/>
      <c r="B437" s="254"/>
      <c r="C437" s="254"/>
      <c r="D437" s="276"/>
      <c r="E437" s="254"/>
      <c r="F437" s="254"/>
      <c r="G437" s="254"/>
      <c r="H437" s="254"/>
      <c r="I437" s="254"/>
      <c r="J437" s="254"/>
      <c r="K437" s="254"/>
      <c r="L437" s="254"/>
      <c r="M437" s="254"/>
      <c r="N437" s="254"/>
      <c r="O437" s="254"/>
      <c r="P437" s="254"/>
      <c r="Q437" s="254"/>
      <c r="R437" s="254"/>
      <c r="S437" s="254"/>
      <c r="T437" s="254"/>
      <c r="U437" s="254"/>
      <c r="V437" s="254"/>
      <c r="W437" s="254"/>
      <c r="X437" s="254"/>
      <c r="Y437" s="254"/>
      <c r="Z437" s="254"/>
      <c r="AA437" s="254"/>
      <c r="AB437" s="254"/>
      <c r="AC437" s="254"/>
    </row>
    <row r="438" ht="12.75" customHeight="1" spans="1:29">
      <c r="A438" s="254"/>
      <c r="B438" s="254"/>
      <c r="C438" s="254"/>
      <c r="D438" s="276"/>
      <c r="E438" s="254"/>
      <c r="F438" s="254"/>
      <c r="G438" s="254"/>
      <c r="H438" s="254"/>
      <c r="I438" s="254"/>
      <c r="J438" s="254"/>
      <c r="K438" s="254"/>
      <c r="L438" s="254"/>
      <c r="M438" s="254"/>
      <c r="N438" s="254"/>
      <c r="O438" s="254"/>
      <c r="P438" s="254"/>
      <c r="Q438" s="254"/>
      <c r="R438" s="254"/>
      <c r="S438" s="254"/>
      <c r="T438" s="254"/>
      <c r="U438" s="254"/>
      <c r="V438" s="254"/>
      <c r="W438" s="254"/>
      <c r="X438" s="254"/>
      <c r="Y438" s="254"/>
      <c r="Z438" s="254"/>
      <c r="AA438" s="254"/>
      <c r="AB438" s="254"/>
      <c r="AC438" s="254"/>
    </row>
    <row r="439" ht="12.75" customHeight="1" spans="1:29">
      <c r="A439" s="254"/>
      <c r="B439" s="254"/>
      <c r="C439" s="254"/>
      <c r="D439" s="276"/>
      <c r="E439" s="254"/>
      <c r="F439" s="254"/>
      <c r="G439" s="254"/>
      <c r="H439" s="254"/>
      <c r="I439" s="254"/>
      <c r="J439" s="254"/>
      <c r="K439" s="254"/>
      <c r="L439" s="254"/>
      <c r="M439" s="254"/>
      <c r="N439" s="254"/>
      <c r="O439" s="254"/>
      <c r="P439" s="254"/>
      <c r="Q439" s="254"/>
      <c r="R439" s="254"/>
      <c r="S439" s="254"/>
      <c r="T439" s="254"/>
      <c r="U439" s="254"/>
      <c r="V439" s="254"/>
      <c r="W439" s="254"/>
      <c r="X439" s="254"/>
      <c r="Y439" s="254"/>
      <c r="Z439" s="254"/>
      <c r="AA439" s="254"/>
      <c r="AB439" s="254"/>
      <c r="AC439" s="254"/>
    </row>
    <row r="440" ht="12.75" customHeight="1" spans="1:29">
      <c r="A440" s="254"/>
      <c r="B440" s="254"/>
      <c r="C440" s="254"/>
      <c r="D440" s="276"/>
      <c r="E440" s="254"/>
      <c r="F440" s="254"/>
      <c r="G440" s="254"/>
      <c r="H440" s="254"/>
      <c r="I440" s="254"/>
      <c r="J440" s="254"/>
      <c r="K440" s="254"/>
      <c r="L440" s="254"/>
      <c r="M440" s="254"/>
      <c r="N440" s="254"/>
      <c r="O440" s="254"/>
      <c r="P440" s="254"/>
      <c r="Q440" s="254"/>
      <c r="R440" s="254"/>
      <c r="S440" s="254"/>
      <c r="T440" s="254"/>
      <c r="U440" s="254"/>
      <c r="V440" s="254"/>
      <c r="W440" s="254"/>
      <c r="X440" s="254"/>
      <c r="Y440" s="254"/>
      <c r="Z440" s="254"/>
      <c r="AA440" s="254"/>
      <c r="AB440" s="254"/>
      <c r="AC440" s="254"/>
    </row>
    <row r="441" ht="12.75" customHeight="1" spans="1:29">
      <c r="A441" s="254"/>
      <c r="B441" s="254"/>
      <c r="C441" s="254"/>
      <c r="D441" s="276"/>
      <c r="E441" s="254"/>
      <c r="F441" s="254"/>
      <c r="G441" s="254"/>
      <c r="H441" s="254"/>
      <c r="I441" s="254"/>
      <c r="J441" s="254"/>
      <c r="K441" s="254"/>
      <c r="L441" s="254"/>
      <c r="M441" s="254"/>
      <c r="N441" s="254"/>
      <c r="O441" s="254"/>
      <c r="P441" s="254"/>
      <c r="Q441" s="254"/>
      <c r="R441" s="254"/>
      <c r="S441" s="254"/>
      <c r="T441" s="254"/>
      <c r="U441" s="254"/>
      <c r="V441" s="254"/>
      <c r="W441" s="254"/>
      <c r="X441" s="254"/>
      <c r="Y441" s="254"/>
      <c r="Z441" s="254"/>
      <c r="AA441" s="254"/>
      <c r="AB441" s="254"/>
      <c r="AC441" s="254"/>
    </row>
    <row r="442" ht="12.75" customHeight="1" spans="1:29">
      <c r="A442" s="254"/>
      <c r="B442" s="254"/>
      <c r="C442" s="254"/>
      <c r="D442" s="276"/>
      <c r="E442" s="254"/>
      <c r="F442" s="254"/>
      <c r="G442" s="254"/>
      <c r="H442" s="254"/>
      <c r="I442" s="254"/>
      <c r="J442" s="254"/>
      <c r="K442" s="254"/>
      <c r="L442" s="254"/>
      <c r="M442" s="254"/>
      <c r="N442" s="254"/>
      <c r="O442" s="254"/>
      <c r="P442" s="254"/>
      <c r="Q442" s="254"/>
      <c r="R442" s="254"/>
      <c r="S442" s="254"/>
      <c r="T442" s="254"/>
      <c r="U442" s="254"/>
      <c r="V442" s="254"/>
      <c r="W442" s="254"/>
      <c r="X442" s="254"/>
      <c r="Y442" s="254"/>
      <c r="Z442" s="254"/>
      <c r="AA442" s="254"/>
      <c r="AB442" s="254"/>
      <c r="AC442" s="254"/>
    </row>
    <row r="443" ht="12.75" customHeight="1" spans="1:29">
      <c r="A443" s="254"/>
      <c r="B443" s="254"/>
      <c r="C443" s="254"/>
      <c r="D443" s="276"/>
      <c r="E443" s="254"/>
      <c r="F443" s="254"/>
      <c r="G443" s="254"/>
      <c r="H443" s="254"/>
      <c r="I443" s="254"/>
      <c r="J443" s="254"/>
      <c r="K443" s="254"/>
      <c r="L443" s="254"/>
      <c r="M443" s="254"/>
      <c r="N443" s="254"/>
      <c r="O443" s="254"/>
      <c r="P443" s="254"/>
      <c r="Q443" s="254"/>
      <c r="R443" s="254"/>
      <c r="S443" s="254"/>
      <c r="T443" s="254"/>
      <c r="U443" s="254"/>
      <c r="V443" s="254"/>
      <c r="W443" s="254"/>
      <c r="X443" s="254"/>
      <c r="Y443" s="254"/>
      <c r="Z443" s="254"/>
      <c r="AA443" s="254"/>
      <c r="AB443" s="254"/>
      <c r="AC443" s="254"/>
    </row>
    <row r="444" ht="12.75" customHeight="1" spans="1:29">
      <c r="A444" s="254"/>
      <c r="B444" s="254"/>
      <c r="C444" s="254"/>
      <c r="D444" s="276"/>
      <c r="E444" s="254"/>
      <c r="F444" s="254"/>
      <c r="G444" s="254"/>
      <c r="H444" s="254"/>
      <c r="I444" s="254"/>
      <c r="J444" s="254"/>
      <c r="K444" s="254"/>
      <c r="L444" s="254"/>
      <c r="M444" s="254"/>
      <c r="N444" s="254"/>
      <c r="O444" s="254"/>
      <c r="P444" s="254"/>
      <c r="Q444" s="254"/>
      <c r="R444" s="254"/>
      <c r="S444" s="254"/>
      <c r="T444" s="254"/>
      <c r="U444" s="254"/>
      <c r="V444" s="254"/>
      <c r="W444" s="254"/>
      <c r="X444" s="254"/>
      <c r="Y444" s="254"/>
      <c r="Z444" s="254"/>
      <c r="AA444" s="254"/>
      <c r="AB444" s="254"/>
      <c r="AC444" s="254"/>
    </row>
    <row r="445" ht="12.75" customHeight="1" spans="1:29">
      <c r="A445" s="254"/>
      <c r="B445" s="254"/>
      <c r="C445" s="254"/>
      <c r="D445" s="276"/>
      <c r="E445" s="254"/>
      <c r="F445" s="254"/>
      <c r="G445" s="254"/>
      <c r="H445" s="254"/>
      <c r="I445" s="254"/>
      <c r="J445" s="254"/>
      <c r="K445" s="254"/>
      <c r="L445" s="254"/>
      <c r="M445" s="254"/>
      <c r="N445" s="254"/>
      <c r="O445" s="254"/>
      <c r="P445" s="254"/>
      <c r="Q445" s="254"/>
      <c r="R445" s="254"/>
      <c r="S445" s="254"/>
      <c r="T445" s="254"/>
      <c r="U445" s="254"/>
      <c r="V445" s="254"/>
      <c r="W445" s="254"/>
      <c r="X445" s="254"/>
      <c r="Y445" s="254"/>
      <c r="Z445" s="254"/>
      <c r="AA445" s="254"/>
      <c r="AB445" s="254"/>
      <c r="AC445" s="254"/>
    </row>
    <row r="446" ht="12.75" customHeight="1" spans="1:29">
      <c r="A446" s="254"/>
      <c r="B446" s="254"/>
      <c r="C446" s="254"/>
      <c r="D446" s="276"/>
      <c r="E446" s="254"/>
      <c r="F446" s="254"/>
      <c r="G446" s="254"/>
      <c r="H446" s="254"/>
      <c r="I446" s="254"/>
      <c r="J446" s="254"/>
      <c r="K446" s="254"/>
      <c r="L446" s="254"/>
      <c r="M446" s="254"/>
      <c r="N446" s="254"/>
      <c r="O446" s="254"/>
      <c r="P446" s="254"/>
      <c r="Q446" s="254"/>
      <c r="R446" s="254"/>
      <c r="S446" s="254"/>
      <c r="T446" s="254"/>
      <c r="U446" s="254"/>
      <c r="V446" s="254"/>
      <c r="W446" s="254"/>
      <c r="X446" s="254"/>
      <c r="Y446" s="254"/>
      <c r="Z446" s="254"/>
      <c r="AA446" s="254"/>
      <c r="AB446" s="254"/>
      <c r="AC446" s="254"/>
    </row>
    <row r="447" ht="12.75" customHeight="1" spans="1:29">
      <c r="A447" s="254"/>
      <c r="B447" s="254"/>
      <c r="C447" s="254"/>
      <c r="D447" s="276"/>
      <c r="E447" s="254"/>
      <c r="F447" s="254"/>
      <c r="G447" s="254"/>
      <c r="H447" s="254"/>
      <c r="I447" s="254"/>
      <c r="J447" s="254"/>
      <c r="K447" s="254"/>
      <c r="L447" s="254"/>
      <c r="M447" s="254"/>
      <c r="N447" s="254"/>
      <c r="O447" s="254"/>
      <c r="P447" s="254"/>
      <c r="Q447" s="254"/>
      <c r="R447" s="254"/>
      <c r="S447" s="254"/>
      <c r="T447" s="254"/>
      <c r="U447" s="254"/>
      <c r="V447" s="254"/>
      <c r="W447" s="254"/>
      <c r="X447" s="254"/>
      <c r="Y447" s="254"/>
      <c r="Z447" s="254"/>
      <c r="AA447" s="254"/>
      <c r="AB447" s="254"/>
      <c r="AC447" s="254"/>
    </row>
    <row r="448" ht="12.75" customHeight="1" spans="1:29">
      <c r="A448" s="254"/>
      <c r="B448" s="254"/>
      <c r="C448" s="254"/>
      <c r="D448" s="276"/>
      <c r="E448" s="254"/>
      <c r="F448" s="254"/>
      <c r="G448" s="254"/>
      <c r="H448" s="254"/>
      <c r="I448" s="254"/>
      <c r="J448" s="254"/>
      <c r="K448" s="254"/>
      <c r="L448" s="254"/>
      <c r="M448" s="254"/>
      <c r="N448" s="254"/>
      <c r="O448" s="254"/>
      <c r="P448" s="254"/>
      <c r="Q448" s="254"/>
      <c r="R448" s="254"/>
      <c r="S448" s="254"/>
      <c r="T448" s="254"/>
      <c r="U448" s="254"/>
      <c r="V448" s="254"/>
      <c r="W448" s="254"/>
      <c r="X448" s="254"/>
      <c r="Y448" s="254"/>
      <c r="Z448" s="254"/>
      <c r="AA448" s="254"/>
      <c r="AB448" s="254"/>
      <c r="AC448" s="254"/>
    </row>
    <row r="449" ht="12.75" customHeight="1" spans="1:29">
      <c r="A449" s="254"/>
      <c r="B449" s="254"/>
      <c r="C449" s="254"/>
      <c r="D449" s="276"/>
      <c r="E449" s="254"/>
      <c r="F449" s="254"/>
      <c r="G449" s="254"/>
      <c r="H449" s="254"/>
      <c r="I449" s="254"/>
      <c r="J449" s="254"/>
      <c r="K449" s="254"/>
      <c r="L449" s="254"/>
      <c r="M449" s="254"/>
      <c r="N449" s="254"/>
      <c r="O449" s="254"/>
      <c r="P449" s="254"/>
      <c r="Q449" s="254"/>
      <c r="R449" s="254"/>
      <c r="S449" s="254"/>
      <c r="T449" s="254"/>
      <c r="U449" s="254"/>
      <c r="V449" s="254"/>
      <c r="W449" s="254"/>
      <c r="X449" s="254"/>
      <c r="Y449" s="254"/>
      <c r="Z449" s="254"/>
      <c r="AA449" s="254"/>
      <c r="AB449" s="254"/>
      <c r="AC449" s="254"/>
    </row>
    <row r="450" ht="12.75" customHeight="1" spans="1:29">
      <c r="A450" s="254"/>
      <c r="B450" s="254"/>
      <c r="C450" s="254"/>
      <c r="D450" s="276"/>
      <c r="E450" s="254"/>
      <c r="F450" s="254"/>
      <c r="G450" s="254"/>
      <c r="H450" s="254"/>
      <c r="I450" s="254"/>
      <c r="J450" s="254"/>
      <c r="K450" s="254"/>
      <c r="L450" s="254"/>
      <c r="M450" s="254"/>
      <c r="N450" s="254"/>
      <c r="O450" s="254"/>
      <c r="P450" s="254"/>
      <c r="Q450" s="254"/>
      <c r="R450" s="254"/>
      <c r="S450" s="254"/>
      <c r="T450" s="254"/>
      <c r="U450" s="254"/>
      <c r="V450" s="254"/>
      <c r="W450" s="254"/>
      <c r="X450" s="254"/>
      <c r="Y450" s="254"/>
      <c r="Z450" s="254"/>
      <c r="AA450" s="254"/>
      <c r="AB450" s="254"/>
      <c r="AC450" s="254"/>
    </row>
    <row r="451" ht="12.75" customHeight="1" spans="1:29">
      <c r="A451" s="254"/>
      <c r="B451" s="254"/>
      <c r="C451" s="254"/>
      <c r="D451" s="276"/>
      <c r="E451" s="254"/>
      <c r="F451" s="254"/>
      <c r="G451" s="254"/>
      <c r="H451" s="254"/>
      <c r="I451" s="254"/>
      <c r="J451" s="254"/>
      <c r="K451" s="254"/>
      <c r="L451" s="254"/>
      <c r="M451" s="254"/>
      <c r="N451" s="254"/>
      <c r="O451" s="254"/>
      <c r="P451" s="254"/>
      <c r="Q451" s="254"/>
      <c r="R451" s="254"/>
      <c r="S451" s="254"/>
      <c r="T451" s="254"/>
      <c r="U451" s="254"/>
      <c r="V451" s="254"/>
      <c r="W451" s="254"/>
      <c r="X451" s="254"/>
      <c r="Y451" s="254"/>
      <c r="Z451" s="254"/>
      <c r="AA451" s="254"/>
      <c r="AB451" s="254"/>
      <c r="AC451" s="254"/>
    </row>
    <row r="452" ht="12.75" customHeight="1" spans="1:29">
      <c r="A452" s="254"/>
      <c r="B452" s="254"/>
      <c r="C452" s="254"/>
      <c r="D452" s="276"/>
      <c r="E452" s="254"/>
      <c r="F452" s="254"/>
      <c r="G452" s="254"/>
      <c r="H452" s="254"/>
      <c r="I452" s="254"/>
      <c r="J452" s="254"/>
      <c r="K452" s="254"/>
      <c r="L452" s="254"/>
      <c r="M452" s="254"/>
      <c r="N452" s="254"/>
      <c r="O452" s="254"/>
      <c r="P452" s="254"/>
      <c r="Q452" s="254"/>
      <c r="R452" s="254"/>
      <c r="S452" s="254"/>
      <c r="T452" s="254"/>
      <c r="U452" s="254"/>
      <c r="V452" s="254"/>
      <c r="W452" s="254"/>
      <c r="X452" s="254"/>
      <c r="Y452" s="254"/>
      <c r="Z452" s="254"/>
      <c r="AA452" s="254"/>
      <c r="AB452" s="254"/>
      <c r="AC452" s="254"/>
    </row>
    <row r="453" ht="12.75" customHeight="1" spans="1:29">
      <c r="A453" s="254"/>
      <c r="B453" s="254"/>
      <c r="C453" s="254"/>
      <c r="D453" s="276"/>
      <c r="E453" s="254"/>
      <c r="F453" s="254"/>
      <c r="G453" s="254"/>
      <c r="H453" s="254"/>
      <c r="I453" s="254"/>
      <c r="J453" s="254"/>
      <c r="K453" s="254"/>
      <c r="L453" s="254"/>
      <c r="M453" s="254"/>
      <c r="N453" s="254"/>
      <c r="O453" s="254"/>
      <c r="P453" s="254"/>
      <c r="Q453" s="254"/>
      <c r="R453" s="254"/>
      <c r="S453" s="254"/>
      <c r="T453" s="254"/>
      <c r="U453" s="254"/>
      <c r="V453" s="254"/>
      <c r="W453" s="254"/>
      <c r="X453" s="254"/>
      <c r="Y453" s="254"/>
      <c r="Z453" s="254"/>
      <c r="AA453" s="254"/>
      <c r="AB453" s="254"/>
      <c r="AC453" s="254"/>
    </row>
    <row r="454" ht="12.75" customHeight="1" spans="1:29">
      <c r="A454" s="254"/>
      <c r="B454" s="254"/>
      <c r="C454" s="254"/>
      <c r="D454" s="276"/>
      <c r="E454" s="254"/>
      <c r="F454" s="254"/>
      <c r="G454" s="254"/>
      <c r="H454" s="254"/>
      <c r="I454" s="254"/>
      <c r="J454" s="254"/>
      <c r="K454" s="254"/>
      <c r="L454" s="254"/>
      <c r="M454" s="254"/>
      <c r="N454" s="254"/>
      <c r="O454" s="254"/>
      <c r="P454" s="254"/>
      <c r="Q454" s="254"/>
      <c r="R454" s="254"/>
      <c r="S454" s="254"/>
      <c r="T454" s="254"/>
      <c r="U454" s="254"/>
      <c r="V454" s="254"/>
      <c r="W454" s="254"/>
      <c r="X454" s="254"/>
      <c r="Y454" s="254"/>
      <c r="Z454" s="254"/>
      <c r="AA454" s="254"/>
      <c r="AB454" s="254"/>
      <c r="AC454" s="254"/>
    </row>
    <row r="455" ht="12.75" customHeight="1" spans="1:29">
      <c r="A455" s="254"/>
      <c r="B455" s="254"/>
      <c r="C455" s="254"/>
      <c r="D455" s="276"/>
      <c r="E455" s="254"/>
      <c r="F455" s="254"/>
      <c r="G455" s="254"/>
      <c r="H455" s="254"/>
      <c r="I455" s="254"/>
      <c r="J455" s="254"/>
      <c r="K455" s="254"/>
      <c r="L455" s="254"/>
      <c r="M455" s="254"/>
      <c r="N455" s="254"/>
      <c r="O455" s="254"/>
      <c r="P455" s="254"/>
      <c r="Q455" s="254"/>
      <c r="R455" s="254"/>
      <c r="S455" s="254"/>
      <c r="T455" s="254"/>
      <c r="U455" s="254"/>
      <c r="V455" s="254"/>
      <c r="W455" s="254"/>
      <c r="X455" s="254"/>
      <c r="Y455" s="254"/>
      <c r="Z455" s="254"/>
      <c r="AA455" s="254"/>
      <c r="AB455" s="254"/>
      <c r="AC455" s="254"/>
    </row>
    <row r="456" ht="12.75" customHeight="1" spans="1:29">
      <c r="A456" s="254"/>
      <c r="B456" s="254"/>
      <c r="C456" s="254"/>
      <c r="D456" s="276"/>
      <c r="E456" s="254"/>
      <c r="F456" s="254"/>
      <c r="G456" s="254"/>
      <c r="H456" s="254"/>
      <c r="I456" s="254"/>
      <c r="J456" s="254"/>
      <c r="K456" s="254"/>
      <c r="L456" s="254"/>
      <c r="M456" s="254"/>
      <c r="N456" s="254"/>
      <c r="O456" s="254"/>
      <c r="P456" s="254"/>
      <c r="Q456" s="254"/>
      <c r="R456" s="254"/>
      <c r="S456" s="254"/>
      <c r="T456" s="254"/>
      <c r="U456" s="254"/>
      <c r="V456" s="254"/>
      <c r="W456" s="254"/>
      <c r="X456" s="254"/>
      <c r="Y456" s="254"/>
      <c r="Z456" s="254"/>
      <c r="AA456" s="254"/>
      <c r="AB456" s="254"/>
      <c r="AC456" s="254"/>
    </row>
    <row r="457" ht="12.75" customHeight="1" spans="1:29">
      <c r="A457" s="254"/>
      <c r="B457" s="254"/>
      <c r="C457" s="254"/>
      <c r="D457" s="276"/>
      <c r="E457" s="254"/>
      <c r="F457" s="254"/>
      <c r="G457" s="254"/>
      <c r="H457" s="254"/>
      <c r="I457" s="254"/>
      <c r="J457" s="254"/>
      <c r="K457" s="254"/>
      <c r="L457" s="254"/>
      <c r="M457" s="254"/>
      <c r="N457" s="254"/>
      <c r="O457" s="254"/>
      <c r="P457" s="254"/>
      <c r="Q457" s="254"/>
      <c r="R457" s="254"/>
      <c r="S457" s="254"/>
      <c r="T457" s="254"/>
      <c r="U457" s="254"/>
      <c r="V457" s="254"/>
      <c r="W457" s="254"/>
      <c r="X457" s="254"/>
      <c r="Y457" s="254"/>
      <c r="Z457" s="254"/>
      <c r="AA457" s="254"/>
      <c r="AB457" s="254"/>
      <c r="AC457" s="254"/>
    </row>
    <row r="458" ht="12.75" customHeight="1" spans="1:29">
      <c r="A458" s="254"/>
      <c r="B458" s="254"/>
      <c r="C458" s="254"/>
      <c r="D458" s="276"/>
      <c r="E458" s="254"/>
      <c r="F458" s="254"/>
      <c r="G458" s="254"/>
      <c r="H458" s="254"/>
      <c r="I458" s="254"/>
      <c r="J458" s="254"/>
      <c r="K458" s="254"/>
      <c r="L458" s="254"/>
      <c r="M458" s="254"/>
      <c r="N458" s="254"/>
      <c r="O458" s="254"/>
      <c r="P458" s="254"/>
      <c r="Q458" s="254"/>
      <c r="R458" s="254"/>
      <c r="S458" s="254"/>
      <c r="T458" s="254"/>
      <c r="U458" s="254"/>
      <c r="V458" s="254"/>
      <c r="W458" s="254"/>
      <c r="X458" s="254"/>
      <c r="Y458" s="254"/>
      <c r="Z458" s="254"/>
      <c r="AA458" s="254"/>
      <c r="AB458" s="254"/>
      <c r="AC458" s="254"/>
    </row>
    <row r="459" ht="12.75" customHeight="1" spans="1:29">
      <c r="A459" s="254"/>
      <c r="B459" s="254"/>
      <c r="C459" s="254"/>
      <c r="D459" s="276"/>
      <c r="E459" s="254"/>
      <c r="F459" s="254"/>
      <c r="G459" s="254"/>
      <c r="H459" s="254"/>
      <c r="I459" s="254"/>
      <c r="J459" s="254"/>
      <c r="K459" s="254"/>
      <c r="L459" s="254"/>
      <c r="M459" s="254"/>
      <c r="N459" s="254"/>
      <c r="O459" s="254"/>
      <c r="P459" s="254"/>
      <c r="Q459" s="254"/>
      <c r="R459" s="254"/>
      <c r="S459" s="254"/>
      <c r="T459" s="254"/>
      <c r="U459" s="254"/>
      <c r="V459" s="254"/>
      <c r="W459" s="254"/>
      <c r="X459" s="254"/>
      <c r="Y459" s="254"/>
      <c r="Z459" s="254"/>
      <c r="AA459" s="254"/>
      <c r="AB459" s="254"/>
      <c r="AC459" s="254"/>
    </row>
    <row r="460" ht="12.75" customHeight="1" spans="1:29">
      <c r="A460" s="254"/>
      <c r="B460" s="254"/>
      <c r="C460" s="254"/>
      <c r="D460" s="276"/>
      <c r="E460" s="254"/>
      <c r="F460" s="254"/>
      <c r="G460" s="254"/>
      <c r="H460" s="254"/>
      <c r="I460" s="254"/>
      <c r="J460" s="254"/>
      <c r="K460" s="254"/>
      <c r="L460" s="254"/>
      <c r="M460" s="254"/>
      <c r="N460" s="254"/>
      <c r="O460" s="254"/>
      <c r="P460" s="254"/>
      <c r="Q460" s="254"/>
      <c r="R460" s="254"/>
      <c r="S460" s="254"/>
      <c r="T460" s="254"/>
      <c r="U460" s="254"/>
      <c r="V460" s="254"/>
      <c r="W460" s="254"/>
      <c r="X460" s="254"/>
      <c r="Y460" s="254"/>
      <c r="Z460" s="254"/>
      <c r="AA460" s="254"/>
      <c r="AB460" s="254"/>
      <c r="AC460" s="254"/>
    </row>
    <row r="461" ht="12.75" customHeight="1" spans="1:29">
      <c r="A461" s="254"/>
      <c r="B461" s="254"/>
      <c r="C461" s="254"/>
      <c r="D461" s="276"/>
      <c r="E461" s="254"/>
      <c r="F461" s="254"/>
      <c r="G461" s="254"/>
      <c r="H461" s="254"/>
      <c r="I461" s="254"/>
      <c r="J461" s="254"/>
      <c r="K461" s="254"/>
      <c r="L461" s="254"/>
      <c r="M461" s="254"/>
      <c r="N461" s="254"/>
      <c r="O461" s="254"/>
      <c r="P461" s="254"/>
      <c r="Q461" s="254"/>
      <c r="R461" s="254"/>
      <c r="S461" s="254"/>
      <c r="T461" s="254"/>
      <c r="U461" s="254"/>
      <c r="V461" s="254"/>
      <c r="W461" s="254"/>
      <c r="X461" s="254"/>
      <c r="Y461" s="254"/>
      <c r="Z461" s="254"/>
      <c r="AA461" s="254"/>
      <c r="AB461" s="254"/>
      <c r="AC461" s="254"/>
    </row>
    <row r="462" ht="12.75" customHeight="1" spans="1:29">
      <c r="A462" s="254"/>
      <c r="B462" s="254"/>
      <c r="C462" s="254"/>
      <c r="D462" s="276"/>
      <c r="E462" s="254"/>
      <c r="F462" s="254"/>
      <c r="G462" s="254"/>
      <c r="H462" s="254"/>
      <c r="I462" s="254"/>
      <c r="J462" s="254"/>
      <c r="K462" s="254"/>
      <c r="L462" s="254"/>
      <c r="M462" s="254"/>
      <c r="N462" s="254"/>
      <c r="O462" s="254"/>
      <c r="P462" s="254"/>
      <c r="Q462" s="254"/>
      <c r="R462" s="254"/>
      <c r="S462" s="254"/>
      <c r="T462" s="254"/>
      <c r="U462" s="254"/>
      <c r="V462" s="254"/>
      <c r="W462" s="254"/>
      <c r="X462" s="254"/>
      <c r="Y462" s="254"/>
      <c r="Z462" s="254"/>
      <c r="AA462" s="254"/>
      <c r="AB462" s="254"/>
      <c r="AC462" s="254"/>
    </row>
    <row r="463" ht="12.75" customHeight="1" spans="1:29">
      <c r="A463" s="254"/>
      <c r="B463" s="254"/>
      <c r="C463" s="254"/>
      <c r="D463" s="276"/>
      <c r="E463" s="254"/>
      <c r="F463" s="254"/>
      <c r="G463" s="254"/>
      <c r="H463" s="254"/>
      <c r="I463" s="254"/>
      <c r="J463" s="254"/>
      <c r="K463" s="254"/>
      <c r="L463" s="254"/>
      <c r="M463" s="254"/>
      <c r="N463" s="254"/>
      <c r="O463" s="254"/>
      <c r="P463" s="254"/>
      <c r="Q463" s="254"/>
      <c r="R463" s="254"/>
      <c r="S463" s="254"/>
      <c r="T463" s="254"/>
      <c r="U463" s="254"/>
      <c r="V463" s="254"/>
      <c r="W463" s="254"/>
      <c r="X463" s="254"/>
      <c r="Y463" s="254"/>
      <c r="Z463" s="254"/>
      <c r="AA463" s="254"/>
      <c r="AB463" s="254"/>
      <c r="AC463" s="254"/>
    </row>
    <row r="464" ht="12.75" customHeight="1" spans="1:29">
      <c r="A464" s="254"/>
      <c r="B464" s="254"/>
      <c r="C464" s="254"/>
      <c r="D464" s="276"/>
      <c r="E464" s="254"/>
      <c r="F464" s="254"/>
      <c r="G464" s="254"/>
      <c r="H464" s="254"/>
      <c r="I464" s="254"/>
      <c r="J464" s="254"/>
      <c r="K464" s="254"/>
      <c r="L464" s="254"/>
      <c r="M464" s="254"/>
      <c r="N464" s="254"/>
      <c r="O464" s="254"/>
      <c r="P464" s="254"/>
      <c r="Q464" s="254"/>
      <c r="R464" s="254"/>
      <c r="S464" s="254"/>
      <c r="T464" s="254"/>
      <c r="U464" s="254"/>
      <c r="V464" s="254"/>
      <c r="W464" s="254"/>
      <c r="X464" s="254"/>
      <c r="Y464" s="254"/>
      <c r="Z464" s="254"/>
      <c r="AA464" s="254"/>
      <c r="AB464" s="254"/>
      <c r="AC464" s="254"/>
    </row>
    <row r="465" ht="12.75" customHeight="1" spans="1:29">
      <c r="A465" s="254"/>
      <c r="B465" s="254"/>
      <c r="C465" s="254"/>
      <c r="D465" s="276"/>
      <c r="E465" s="254"/>
      <c r="F465" s="254"/>
      <c r="G465" s="254"/>
      <c r="H465" s="254"/>
      <c r="I465" s="254"/>
      <c r="J465" s="254"/>
      <c r="K465" s="254"/>
      <c r="L465" s="254"/>
      <c r="M465" s="254"/>
      <c r="N465" s="254"/>
      <c r="O465" s="254"/>
      <c r="P465" s="254"/>
      <c r="Q465" s="254"/>
      <c r="R465" s="254"/>
      <c r="S465" s="254"/>
      <c r="T465" s="254"/>
      <c r="U465" s="254"/>
      <c r="V465" s="254"/>
      <c r="W465" s="254"/>
      <c r="X465" s="254"/>
      <c r="Y465" s="254"/>
      <c r="Z465" s="254"/>
      <c r="AA465" s="254"/>
      <c r="AB465" s="254"/>
      <c r="AC465" s="254"/>
    </row>
    <row r="466" ht="12.75" customHeight="1" spans="1:29">
      <c r="A466" s="254"/>
      <c r="B466" s="254"/>
      <c r="C466" s="254"/>
      <c r="D466" s="276"/>
      <c r="E466" s="254"/>
      <c r="F466" s="254"/>
      <c r="G466" s="254"/>
      <c r="H466" s="254"/>
      <c r="I466" s="254"/>
      <c r="J466" s="254"/>
      <c r="K466" s="254"/>
      <c r="L466" s="254"/>
      <c r="M466" s="254"/>
      <c r="N466" s="254"/>
      <c r="O466" s="254"/>
      <c r="P466" s="254"/>
      <c r="Q466" s="254"/>
      <c r="R466" s="254"/>
      <c r="S466" s="254"/>
      <c r="T466" s="254"/>
      <c r="U466" s="254"/>
      <c r="V466" s="254"/>
      <c r="W466" s="254"/>
      <c r="X466" s="254"/>
      <c r="Y466" s="254"/>
      <c r="Z466" s="254"/>
      <c r="AA466" s="254"/>
      <c r="AB466" s="254"/>
      <c r="AC466" s="254"/>
    </row>
    <row r="467" ht="12.75" customHeight="1" spans="1:29">
      <c r="A467" s="254"/>
      <c r="B467" s="254"/>
      <c r="C467" s="254"/>
      <c r="D467" s="276"/>
      <c r="E467" s="254"/>
      <c r="F467" s="254"/>
      <c r="G467" s="254"/>
      <c r="H467" s="254"/>
      <c r="I467" s="254"/>
      <c r="J467" s="254"/>
      <c r="K467" s="254"/>
      <c r="L467" s="254"/>
      <c r="M467" s="254"/>
      <c r="N467" s="254"/>
      <c r="O467" s="254"/>
      <c r="P467" s="254"/>
      <c r="Q467" s="254"/>
      <c r="R467" s="254"/>
      <c r="S467" s="254"/>
      <c r="T467" s="254"/>
      <c r="U467" s="254"/>
      <c r="V467" s="254"/>
      <c r="W467" s="254"/>
      <c r="X467" s="254"/>
      <c r="Y467" s="254"/>
      <c r="Z467" s="254"/>
      <c r="AA467" s="254"/>
      <c r="AB467" s="254"/>
      <c r="AC467" s="254"/>
    </row>
    <row r="468" ht="12.75" customHeight="1" spans="1:29">
      <c r="A468" s="254"/>
      <c r="B468" s="254"/>
      <c r="C468" s="254"/>
      <c r="D468" s="276"/>
      <c r="E468" s="254"/>
      <c r="F468" s="254"/>
      <c r="G468" s="254"/>
      <c r="H468" s="254"/>
      <c r="I468" s="254"/>
      <c r="J468" s="254"/>
      <c r="K468" s="254"/>
      <c r="L468" s="254"/>
      <c r="M468" s="254"/>
      <c r="N468" s="254"/>
      <c r="O468" s="254"/>
      <c r="P468" s="254"/>
      <c r="Q468" s="254"/>
      <c r="R468" s="254"/>
      <c r="S468" s="254"/>
      <c r="T468" s="254"/>
      <c r="U468" s="254"/>
      <c r="V468" s="254"/>
      <c r="W468" s="254"/>
      <c r="X468" s="254"/>
      <c r="Y468" s="254"/>
      <c r="Z468" s="254"/>
      <c r="AA468" s="254"/>
      <c r="AB468" s="254"/>
      <c r="AC468" s="254"/>
    </row>
    <row r="469" ht="12.75" customHeight="1" spans="1:29">
      <c r="A469" s="254"/>
      <c r="B469" s="254"/>
      <c r="C469" s="254"/>
      <c r="D469" s="276"/>
      <c r="E469" s="254"/>
      <c r="F469" s="254"/>
      <c r="G469" s="254"/>
      <c r="H469" s="254"/>
      <c r="I469" s="254"/>
      <c r="J469" s="254"/>
      <c r="K469" s="254"/>
      <c r="L469" s="254"/>
      <c r="M469" s="254"/>
      <c r="N469" s="254"/>
      <c r="O469" s="254"/>
      <c r="P469" s="254"/>
      <c r="Q469" s="254"/>
      <c r="R469" s="254"/>
      <c r="S469" s="254"/>
      <c r="T469" s="254"/>
      <c r="U469" s="254"/>
      <c r="V469" s="254"/>
      <c r="W469" s="254"/>
      <c r="X469" s="254"/>
      <c r="Y469" s="254"/>
      <c r="Z469" s="254"/>
      <c r="AA469" s="254"/>
      <c r="AB469" s="254"/>
      <c r="AC469" s="254"/>
    </row>
    <row r="470" ht="12.75" customHeight="1" spans="1:29">
      <c r="A470" s="254"/>
      <c r="B470" s="254"/>
      <c r="C470" s="254"/>
      <c r="D470" s="276"/>
      <c r="E470" s="254"/>
      <c r="F470" s="254"/>
      <c r="G470" s="254"/>
      <c r="H470" s="254"/>
      <c r="I470" s="254"/>
      <c r="J470" s="254"/>
      <c r="K470" s="254"/>
      <c r="L470" s="254"/>
      <c r="M470" s="254"/>
      <c r="N470" s="254"/>
      <c r="O470" s="254"/>
      <c r="P470" s="254"/>
      <c r="Q470" s="254"/>
      <c r="R470" s="254"/>
      <c r="S470" s="254"/>
      <c r="T470" s="254"/>
      <c r="U470" s="254"/>
      <c r="V470" s="254"/>
      <c r="W470" s="254"/>
      <c r="X470" s="254"/>
      <c r="Y470" s="254"/>
      <c r="Z470" s="254"/>
      <c r="AA470" s="254"/>
      <c r="AB470" s="254"/>
      <c r="AC470" s="254"/>
    </row>
    <row r="471" ht="12.75" customHeight="1" spans="1:29">
      <c r="A471" s="254"/>
      <c r="B471" s="254"/>
      <c r="C471" s="254"/>
      <c r="D471" s="276"/>
      <c r="E471" s="254"/>
      <c r="F471" s="254"/>
      <c r="G471" s="254"/>
      <c r="H471" s="254"/>
      <c r="I471" s="254"/>
      <c r="J471" s="254"/>
      <c r="K471" s="254"/>
      <c r="L471" s="254"/>
      <c r="M471" s="254"/>
      <c r="N471" s="254"/>
      <c r="O471" s="254"/>
      <c r="P471" s="254"/>
      <c r="Q471" s="254"/>
      <c r="R471" s="254"/>
      <c r="S471" s="254"/>
      <c r="T471" s="254"/>
      <c r="U471" s="254"/>
      <c r="V471" s="254"/>
      <c r="W471" s="254"/>
      <c r="X471" s="254"/>
      <c r="Y471" s="254"/>
      <c r="Z471" s="254"/>
      <c r="AA471" s="254"/>
      <c r="AB471" s="254"/>
      <c r="AC471" s="254"/>
    </row>
    <row r="472" ht="12.75" customHeight="1" spans="1:29">
      <c r="A472" s="254"/>
      <c r="B472" s="254"/>
      <c r="C472" s="254"/>
      <c r="D472" s="276"/>
      <c r="E472" s="254"/>
      <c r="F472" s="254"/>
      <c r="G472" s="254"/>
      <c r="H472" s="254"/>
      <c r="I472" s="254"/>
      <c r="J472" s="254"/>
      <c r="K472" s="254"/>
      <c r="L472" s="254"/>
      <c r="M472" s="254"/>
      <c r="N472" s="254"/>
      <c r="O472" s="254"/>
      <c r="P472" s="254"/>
      <c r="Q472" s="254"/>
      <c r="R472" s="254"/>
      <c r="S472" s="254"/>
      <c r="T472" s="254"/>
      <c r="U472" s="254"/>
      <c r="V472" s="254"/>
      <c r="W472" s="254"/>
      <c r="X472" s="254"/>
      <c r="Y472" s="254"/>
      <c r="Z472" s="254"/>
      <c r="AA472" s="254"/>
      <c r="AB472" s="254"/>
      <c r="AC472" s="254"/>
    </row>
    <row r="473" ht="12.75" customHeight="1" spans="1:29">
      <c r="A473" s="254"/>
      <c r="B473" s="254"/>
      <c r="C473" s="254"/>
      <c r="D473" s="276"/>
      <c r="E473" s="254"/>
      <c r="F473" s="254"/>
      <c r="G473" s="254"/>
      <c r="H473" s="254"/>
      <c r="I473" s="254"/>
      <c r="J473" s="254"/>
      <c r="K473" s="254"/>
      <c r="L473" s="254"/>
      <c r="M473" s="254"/>
      <c r="N473" s="254"/>
      <c r="O473" s="254"/>
      <c r="P473" s="254"/>
      <c r="Q473" s="254"/>
      <c r="R473" s="254"/>
      <c r="S473" s="254"/>
      <c r="T473" s="254"/>
      <c r="U473" s="254"/>
      <c r="V473" s="254"/>
      <c r="W473" s="254"/>
      <c r="X473" s="254"/>
      <c r="Y473" s="254"/>
      <c r="Z473" s="254"/>
      <c r="AA473" s="254"/>
      <c r="AB473" s="254"/>
      <c r="AC473" s="254"/>
    </row>
    <row r="474" ht="12.75" customHeight="1" spans="1:29">
      <c r="A474" s="254"/>
      <c r="B474" s="254"/>
      <c r="C474" s="254"/>
      <c r="D474" s="276"/>
      <c r="E474" s="254"/>
      <c r="F474" s="254"/>
      <c r="G474" s="254"/>
      <c r="H474" s="254"/>
      <c r="I474" s="254"/>
      <c r="J474" s="254"/>
      <c r="K474" s="254"/>
      <c r="L474" s="254"/>
      <c r="M474" s="254"/>
      <c r="N474" s="254"/>
      <c r="O474" s="254"/>
      <c r="P474" s="254"/>
      <c r="Q474" s="254"/>
      <c r="R474" s="254"/>
      <c r="S474" s="254"/>
      <c r="T474" s="254"/>
      <c r="U474" s="254"/>
      <c r="V474" s="254"/>
      <c r="W474" s="254"/>
      <c r="X474" s="254"/>
      <c r="Y474" s="254"/>
      <c r="Z474" s="254"/>
      <c r="AA474" s="254"/>
      <c r="AB474" s="254"/>
      <c r="AC474" s="254"/>
    </row>
    <row r="475" ht="12.75" customHeight="1" spans="1:29">
      <c r="A475" s="254"/>
      <c r="B475" s="254"/>
      <c r="C475" s="254"/>
      <c r="D475" s="276"/>
      <c r="E475" s="254"/>
      <c r="F475" s="254"/>
      <c r="G475" s="254"/>
      <c r="H475" s="254"/>
      <c r="I475" s="254"/>
      <c r="J475" s="254"/>
      <c r="K475" s="254"/>
      <c r="L475" s="254"/>
      <c r="M475" s="254"/>
      <c r="N475" s="254"/>
      <c r="O475" s="254"/>
      <c r="P475" s="254"/>
      <c r="Q475" s="254"/>
      <c r="R475" s="254"/>
      <c r="S475" s="254"/>
      <c r="T475" s="254"/>
      <c r="U475" s="254"/>
      <c r="V475" s="254"/>
      <c r="W475" s="254"/>
      <c r="X475" s="254"/>
      <c r="Y475" s="254"/>
      <c r="Z475" s="254"/>
      <c r="AA475" s="254"/>
      <c r="AB475" s="254"/>
      <c r="AC475" s="254"/>
    </row>
    <row r="476" ht="12.75" customHeight="1" spans="1:29">
      <c r="A476" s="254"/>
      <c r="B476" s="254"/>
      <c r="C476" s="254"/>
      <c r="D476" s="276"/>
      <c r="E476" s="254"/>
      <c r="F476" s="254"/>
      <c r="G476" s="254"/>
      <c r="H476" s="254"/>
      <c r="I476" s="254"/>
      <c r="J476" s="254"/>
      <c r="K476" s="254"/>
      <c r="L476" s="254"/>
      <c r="M476" s="254"/>
      <c r="N476" s="254"/>
      <c r="O476" s="254"/>
      <c r="P476" s="254"/>
      <c r="Q476" s="254"/>
      <c r="R476" s="254"/>
      <c r="S476" s="254"/>
      <c r="T476" s="254"/>
      <c r="U476" s="254"/>
      <c r="V476" s="254"/>
      <c r="W476" s="254"/>
      <c r="X476" s="254"/>
      <c r="Y476" s="254"/>
      <c r="Z476" s="254"/>
      <c r="AA476" s="254"/>
      <c r="AB476" s="254"/>
      <c r="AC476" s="254"/>
    </row>
    <row r="477" ht="12.75" customHeight="1" spans="1:29">
      <c r="A477" s="254"/>
      <c r="B477" s="254"/>
      <c r="C477" s="254"/>
      <c r="D477" s="276"/>
      <c r="E477" s="254"/>
      <c r="F477" s="254"/>
      <c r="G477" s="254"/>
      <c r="H477" s="254"/>
      <c r="I477" s="254"/>
      <c r="J477" s="254"/>
      <c r="K477" s="254"/>
      <c r="L477" s="254"/>
      <c r="M477" s="254"/>
      <c r="N477" s="254"/>
      <c r="O477" s="254"/>
      <c r="P477" s="254"/>
      <c r="Q477" s="254"/>
      <c r="R477" s="254"/>
      <c r="S477" s="254"/>
      <c r="T477" s="254"/>
      <c r="U477" s="254"/>
      <c r="V477" s="254"/>
      <c r="W477" s="254"/>
      <c r="X477" s="254"/>
      <c r="Y477" s="254"/>
      <c r="Z477" s="254"/>
      <c r="AA477" s="254"/>
      <c r="AB477" s="254"/>
      <c r="AC477" s="254"/>
    </row>
    <row r="478" ht="12.75" customHeight="1" spans="1:29">
      <c r="A478" s="254"/>
      <c r="B478" s="254"/>
      <c r="C478" s="254"/>
      <c r="D478" s="276"/>
      <c r="E478" s="254"/>
      <c r="F478" s="254"/>
      <c r="G478" s="254"/>
      <c r="H478" s="254"/>
      <c r="I478" s="254"/>
      <c r="J478" s="254"/>
      <c r="K478" s="254"/>
      <c r="L478" s="254"/>
      <c r="M478" s="254"/>
      <c r="N478" s="254"/>
      <c r="O478" s="254"/>
      <c r="P478" s="254"/>
      <c r="Q478" s="254"/>
      <c r="R478" s="254"/>
      <c r="S478" s="254"/>
      <c r="T478" s="254"/>
      <c r="U478" s="254"/>
      <c r="V478" s="254"/>
      <c r="W478" s="254"/>
      <c r="X478" s="254"/>
      <c r="Y478" s="254"/>
      <c r="Z478" s="254"/>
      <c r="AA478" s="254"/>
      <c r="AB478" s="254"/>
      <c r="AC478" s="254"/>
    </row>
    <row r="479" ht="12.75" customHeight="1" spans="1:29">
      <c r="A479" s="254"/>
      <c r="B479" s="254"/>
      <c r="C479" s="254"/>
      <c r="D479" s="276"/>
      <c r="E479" s="254"/>
      <c r="F479" s="254"/>
      <c r="G479" s="254"/>
      <c r="H479" s="254"/>
      <c r="I479" s="254"/>
      <c r="J479" s="254"/>
      <c r="K479" s="254"/>
      <c r="L479" s="254"/>
      <c r="M479" s="254"/>
      <c r="N479" s="254"/>
      <c r="O479" s="254"/>
      <c r="P479" s="254"/>
      <c r="Q479" s="254"/>
      <c r="R479" s="254"/>
      <c r="S479" s="254"/>
      <c r="T479" s="254"/>
      <c r="U479" s="254"/>
      <c r="V479" s="254"/>
      <c r="W479" s="254"/>
      <c r="X479" s="254"/>
      <c r="Y479" s="254"/>
      <c r="Z479" s="254"/>
      <c r="AA479" s="254"/>
      <c r="AB479" s="254"/>
      <c r="AC479" s="254"/>
    </row>
    <row r="480" ht="12.75" customHeight="1" spans="1:29">
      <c r="A480" s="254"/>
      <c r="B480" s="254"/>
      <c r="C480" s="254"/>
      <c r="D480" s="276"/>
      <c r="E480" s="254"/>
      <c r="F480" s="254"/>
      <c r="G480" s="254"/>
      <c r="H480" s="254"/>
      <c r="I480" s="254"/>
      <c r="J480" s="254"/>
      <c r="K480" s="254"/>
      <c r="L480" s="254"/>
      <c r="M480" s="254"/>
      <c r="N480" s="254"/>
      <c r="O480" s="254"/>
      <c r="P480" s="254"/>
      <c r="Q480" s="254"/>
      <c r="R480" s="254"/>
      <c r="S480" s="254"/>
      <c r="T480" s="254"/>
      <c r="U480" s="254"/>
      <c r="V480" s="254"/>
      <c r="W480" s="254"/>
      <c r="X480" s="254"/>
      <c r="Y480" s="254"/>
      <c r="Z480" s="254"/>
      <c r="AA480" s="254"/>
      <c r="AB480" s="254"/>
      <c r="AC480" s="254"/>
    </row>
    <row r="481" ht="12.75" customHeight="1" spans="1:29">
      <c r="A481" s="254"/>
      <c r="B481" s="254"/>
      <c r="C481" s="254"/>
      <c r="D481" s="276"/>
      <c r="E481" s="254"/>
      <c r="F481" s="254"/>
      <c r="G481" s="254"/>
      <c r="H481" s="254"/>
      <c r="I481" s="254"/>
      <c r="J481" s="254"/>
      <c r="K481" s="254"/>
      <c r="L481" s="254"/>
      <c r="M481" s="254"/>
      <c r="N481" s="254"/>
      <c r="O481" s="254"/>
      <c r="P481" s="254"/>
      <c r="Q481" s="254"/>
      <c r="R481" s="254"/>
      <c r="S481" s="254"/>
      <c r="T481" s="254"/>
      <c r="U481" s="254"/>
      <c r="V481" s="254"/>
      <c r="W481" s="254"/>
      <c r="X481" s="254"/>
      <c r="Y481" s="254"/>
      <c r="Z481" s="254"/>
      <c r="AA481" s="254"/>
      <c r="AB481" s="254"/>
      <c r="AC481" s="254"/>
    </row>
    <row r="482" ht="12.75" customHeight="1" spans="1:29">
      <c r="A482" s="254"/>
      <c r="B482" s="254"/>
      <c r="C482" s="254"/>
      <c r="D482" s="276"/>
      <c r="E482" s="254"/>
      <c r="F482" s="254"/>
      <c r="G482" s="254"/>
      <c r="H482" s="254"/>
      <c r="I482" s="254"/>
      <c r="J482" s="254"/>
      <c r="K482" s="254"/>
      <c r="L482" s="254"/>
      <c r="M482" s="254"/>
      <c r="N482" s="254"/>
      <c r="O482" s="254"/>
      <c r="P482" s="254"/>
      <c r="Q482" s="254"/>
      <c r="R482" s="254"/>
      <c r="S482" s="254"/>
      <c r="T482" s="254"/>
      <c r="U482" s="254"/>
      <c r="V482" s="254"/>
      <c r="W482" s="254"/>
      <c r="X482" s="254"/>
      <c r="Y482" s="254"/>
      <c r="Z482" s="254"/>
      <c r="AA482" s="254"/>
      <c r="AB482" s="254"/>
      <c r="AC482" s="254"/>
    </row>
    <row r="483" ht="12.75" customHeight="1" spans="1:29">
      <c r="A483" s="254"/>
      <c r="B483" s="254"/>
      <c r="C483" s="254"/>
      <c r="D483" s="276"/>
      <c r="E483" s="254"/>
      <c r="F483" s="254"/>
      <c r="G483" s="254"/>
      <c r="H483" s="254"/>
      <c r="I483" s="254"/>
      <c r="J483" s="254"/>
      <c r="K483" s="254"/>
      <c r="L483" s="254"/>
      <c r="M483" s="254"/>
      <c r="N483" s="254"/>
      <c r="O483" s="254"/>
      <c r="P483" s="254"/>
      <c r="Q483" s="254"/>
      <c r="R483" s="254"/>
      <c r="S483" s="254"/>
      <c r="T483" s="254"/>
      <c r="U483" s="254"/>
      <c r="V483" s="254"/>
      <c r="W483" s="254"/>
      <c r="X483" s="254"/>
      <c r="Y483" s="254"/>
      <c r="Z483" s="254"/>
      <c r="AA483" s="254"/>
      <c r="AB483" s="254"/>
      <c r="AC483" s="254"/>
    </row>
    <row r="484" ht="12.75" customHeight="1" spans="1:29">
      <c r="A484" s="254"/>
      <c r="B484" s="254"/>
      <c r="C484" s="254"/>
      <c r="D484" s="276"/>
      <c r="E484" s="254"/>
      <c r="F484" s="254"/>
      <c r="G484" s="254"/>
      <c r="H484" s="254"/>
      <c r="I484" s="254"/>
      <c r="J484" s="254"/>
      <c r="K484" s="254"/>
      <c r="L484" s="254"/>
      <c r="M484" s="254"/>
      <c r="N484" s="254"/>
      <c r="O484" s="254"/>
      <c r="P484" s="254"/>
      <c r="Q484" s="254"/>
      <c r="R484" s="254"/>
      <c r="S484" s="254"/>
      <c r="T484" s="254"/>
      <c r="U484" s="254"/>
      <c r="V484" s="254"/>
      <c r="W484" s="254"/>
      <c r="X484" s="254"/>
      <c r="Y484" s="254"/>
      <c r="Z484" s="254"/>
      <c r="AA484" s="254"/>
      <c r="AB484" s="254"/>
      <c r="AC484" s="254"/>
    </row>
    <row r="485" ht="12.75" customHeight="1" spans="1:29">
      <c r="A485" s="254"/>
      <c r="B485" s="254"/>
      <c r="C485" s="254"/>
      <c r="D485" s="276"/>
      <c r="E485" s="254"/>
      <c r="F485" s="254"/>
      <c r="G485" s="254"/>
      <c r="H485" s="254"/>
      <c r="I485" s="254"/>
      <c r="J485" s="254"/>
      <c r="K485" s="254"/>
      <c r="L485" s="254"/>
      <c r="M485" s="254"/>
      <c r="N485" s="254"/>
      <c r="O485" s="254"/>
      <c r="P485" s="254"/>
      <c r="Q485" s="254"/>
      <c r="R485" s="254"/>
      <c r="S485" s="254"/>
      <c r="T485" s="254"/>
      <c r="U485" s="254"/>
      <c r="V485" s="254"/>
      <c r="W485" s="254"/>
      <c r="X485" s="254"/>
      <c r="Y485" s="254"/>
      <c r="Z485" s="254"/>
      <c r="AA485" s="254"/>
      <c r="AB485" s="254"/>
      <c r="AC485" s="254"/>
    </row>
    <row r="486" ht="12.75" customHeight="1" spans="1:29">
      <c r="A486" s="254"/>
      <c r="B486" s="254"/>
      <c r="C486" s="254"/>
      <c r="D486" s="276"/>
      <c r="E486" s="254"/>
      <c r="F486" s="254"/>
      <c r="G486" s="254"/>
      <c r="H486" s="254"/>
      <c r="I486" s="254"/>
      <c r="J486" s="254"/>
      <c r="K486" s="254"/>
      <c r="L486" s="254"/>
      <c r="M486" s="254"/>
      <c r="N486" s="254"/>
      <c r="O486" s="254"/>
      <c r="P486" s="254"/>
      <c r="Q486" s="254"/>
      <c r="R486" s="254"/>
      <c r="S486" s="254"/>
      <c r="T486" s="254"/>
      <c r="U486" s="254"/>
      <c r="V486" s="254"/>
      <c r="W486" s="254"/>
      <c r="X486" s="254"/>
      <c r="Y486" s="254"/>
      <c r="Z486" s="254"/>
      <c r="AA486" s="254"/>
      <c r="AB486" s="254"/>
      <c r="AC486" s="254"/>
    </row>
    <row r="487" ht="12.75" customHeight="1" spans="1:29">
      <c r="A487" s="254"/>
      <c r="B487" s="254"/>
      <c r="C487" s="254"/>
      <c r="D487" s="276"/>
      <c r="E487" s="254"/>
      <c r="F487" s="254"/>
      <c r="G487" s="254"/>
      <c r="H487" s="254"/>
      <c r="I487" s="254"/>
      <c r="J487" s="254"/>
      <c r="K487" s="254"/>
      <c r="L487" s="254"/>
      <c r="M487" s="254"/>
      <c r="N487" s="254"/>
      <c r="O487" s="254"/>
      <c r="P487" s="254"/>
      <c r="Q487" s="254"/>
      <c r="R487" s="254"/>
      <c r="S487" s="254"/>
      <c r="T487" s="254"/>
      <c r="U487" s="254"/>
      <c r="V487" s="254"/>
      <c r="W487" s="254"/>
      <c r="X487" s="254"/>
      <c r="Y487" s="254"/>
      <c r="Z487" s="254"/>
      <c r="AA487" s="254"/>
      <c r="AB487" s="254"/>
      <c r="AC487" s="254"/>
    </row>
    <row r="488" ht="12.75" customHeight="1" spans="1:29">
      <c r="A488" s="254"/>
      <c r="B488" s="254"/>
      <c r="C488" s="254"/>
      <c r="D488" s="276"/>
      <c r="E488" s="254"/>
      <c r="F488" s="254"/>
      <c r="G488" s="254"/>
      <c r="H488" s="254"/>
      <c r="I488" s="254"/>
      <c r="J488" s="254"/>
      <c r="K488" s="254"/>
      <c r="L488" s="254"/>
      <c r="M488" s="254"/>
      <c r="N488" s="254"/>
      <c r="O488" s="254"/>
      <c r="P488" s="254"/>
      <c r="Q488" s="254"/>
      <c r="R488" s="254"/>
      <c r="S488" s="254"/>
      <c r="T488" s="254"/>
      <c r="U488" s="254"/>
      <c r="V488" s="254"/>
      <c r="W488" s="254"/>
      <c r="X488" s="254"/>
      <c r="Y488" s="254"/>
      <c r="Z488" s="254"/>
      <c r="AA488" s="254"/>
      <c r="AB488" s="254"/>
      <c r="AC488" s="254"/>
    </row>
    <row r="489" ht="12.75" customHeight="1" spans="1:29">
      <c r="A489" s="254"/>
      <c r="B489" s="254"/>
      <c r="C489" s="254"/>
      <c r="D489" s="276"/>
      <c r="E489" s="254"/>
      <c r="F489" s="254"/>
      <c r="G489" s="254"/>
      <c r="H489" s="254"/>
      <c r="I489" s="254"/>
      <c r="J489" s="254"/>
      <c r="K489" s="254"/>
      <c r="L489" s="254"/>
      <c r="M489" s="254"/>
      <c r="N489" s="254"/>
      <c r="O489" s="254"/>
      <c r="P489" s="254"/>
      <c r="Q489" s="254"/>
      <c r="R489" s="254"/>
      <c r="S489" s="254"/>
      <c r="T489" s="254"/>
      <c r="U489" s="254"/>
      <c r="V489" s="254"/>
      <c r="W489" s="254"/>
      <c r="X489" s="254"/>
      <c r="Y489" s="254"/>
      <c r="Z489" s="254"/>
      <c r="AA489" s="254"/>
      <c r="AB489" s="254"/>
      <c r="AC489" s="254"/>
    </row>
    <row r="490" ht="12.75" customHeight="1" spans="1:29">
      <c r="A490" s="254"/>
      <c r="B490" s="254"/>
      <c r="C490" s="254"/>
      <c r="D490" s="276"/>
      <c r="E490" s="254"/>
      <c r="F490" s="254"/>
      <c r="G490" s="254"/>
      <c r="H490" s="254"/>
      <c r="I490" s="254"/>
      <c r="J490" s="254"/>
      <c r="K490" s="254"/>
      <c r="L490" s="254"/>
      <c r="M490" s="254"/>
      <c r="N490" s="254"/>
      <c r="O490" s="254"/>
      <c r="P490" s="254"/>
      <c r="Q490" s="254"/>
      <c r="R490" s="254"/>
      <c r="S490" s="254"/>
      <c r="T490" s="254"/>
      <c r="U490" s="254"/>
      <c r="V490" s="254"/>
      <c r="W490" s="254"/>
      <c r="X490" s="254"/>
      <c r="Y490" s="254"/>
      <c r="Z490" s="254"/>
      <c r="AA490" s="254"/>
      <c r="AB490" s="254"/>
      <c r="AC490" s="254"/>
    </row>
    <row r="491" ht="12.75" customHeight="1" spans="1:29">
      <c r="A491" s="254"/>
      <c r="B491" s="254"/>
      <c r="C491" s="254"/>
      <c r="D491" s="276"/>
      <c r="E491" s="254"/>
      <c r="F491" s="254"/>
      <c r="G491" s="254"/>
      <c r="H491" s="254"/>
      <c r="I491" s="254"/>
      <c r="J491" s="254"/>
      <c r="K491" s="254"/>
      <c r="L491" s="254"/>
      <c r="M491" s="254"/>
      <c r="N491" s="254"/>
      <c r="O491" s="254"/>
      <c r="P491" s="254"/>
      <c r="Q491" s="254"/>
      <c r="R491" s="254"/>
      <c r="S491" s="254"/>
      <c r="T491" s="254"/>
      <c r="U491" s="254"/>
      <c r="V491" s="254"/>
      <c r="W491" s="254"/>
      <c r="X491" s="254"/>
      <c r="Y491" s="254"/>
      <c r="Z491" s="254"/>
      <c r="AA491" s="254"/>
      <c r="AB491" s="254"/>
      <c r="AC491" s="254"/>
    </row>
    <row r="492" ht="12.75" customHeight="1" spans="1:29">
      <c r="A492" s="254"/>
      <c r="B492" s="254"/>
      <c r="C492" s="254"/>
      <c r="D492" s="276"/>
      <c r="E492" s="254"/>
      <c r="F492" s="254"/>
      <c r="G492" s="254"/>
      <c r="H492" s="254"/>
      <c r="I492" s="254"/>
      <c r="J492" s="254"/>
      <c r="K492" s="254"/>
      <c r="L492" s="254"/>
      <c r="M492" s="254"/>
      <c r="N492" s="254"/>
      <c r="O492" s="254"/>
      <c r="P492" s="254"/>
      <c r="Q492" s="254"/>
      <c r="R492" s="254"/>
      <c r="S492" s="254"/>
      <c r="T492" s="254"/>
      <c r="U492" s="254"/>
      <c r="V492" s="254"/>
      <c r="W492" s="254"/>
      <c r="X492" s="254"/>
      <c r="Y492" s="254"/>
      <c r="Z492" s="254"/>
      <c r="AA492" s="254"/>
      <c r="AB492" s="254"/>
      <c r="AC492" s="254"/>
    </row>
    <row r="493" ht="12.75" customHeight="1" spans="1:29">
      <c r="A493" s="254"/>
      <c r="B493" s="254"/>
      <c r="C493" s="254"/>
      <c r="D493" s="276"/>
      <c r="E493" s="254"/>
      <c r="F493" s="254"/>
      <c r="G493" s="254"/>
      <c r="H493" s="254"/>
      <c r="I493" s="254"/>
      <c r="J493" s="254"/>
      <c r="K493" s="254"/>
      <c r="L493" s="254"/>
      <c r="M493" s="254"/>
      <c r="N493" s="254"/>
      <c r="O493" s="254"/>
      <c r="P493" s="254"/>
      <c r="Q493" s="254"/>
      <c r="R493" s="254"/>
      <c r="S493" s="254"/>
      <c r="T493" s="254"/>
      <c r="U493" s="254"/>
      <c r="V493" s="254"/>
      <c r="W493" s="254"/>
      <c r="X493" s="254"/>
      <c r="Y493" s="254"/>
      <c r="Z493" s="254"/>
      <c r="AA493" s="254"/>
      <c r="AB493" s="254"/>
      <c r="AC493" s="254"/>
    </row>
    <row r="494" ht="12.75" customHeight="1" spans="1:29">
      <c r="A494" s="254"/>
      <c r="B494" s="254"/>
      <c r="C494" s="254"/>
      <c r="D494" s="276"/>
      <c r="E494" s="254"/>
      <c r="F494" s="254"/>
      <c r="G494" s="254"/>
      <c r="H494" s="254"/>
      <c r="I494" s="254"/>
      <c r="J494" s="254"/>
      <c r="K494" s="254"/>
      <c r="L494" s="254"/>
      <c r="M494" s="254"/>
      <c r="N494" s="254"/>
      <c r="O494" s="254"/>
      <c r="P494" s="254"/>
      <c r="Q494" s="254"/>
      <c r="R494" s="254"/>
      <c r="S494" s="254"/>
      <c r="T494" s="254"/>
      <c r="U494" s="254"/>
      <c r="V494" s="254"/>
      <c r="W494" s="254"/>
      <c r="X494" s="254"/>
      <c r="Y494" s="254"/>
      <c r="Z494" s="254"/>
      <c r="AA494" s="254"/>
      <c r="AB494" s="254"/>
      <c r="AC494" s="254"/>
    </row>
    <row r="495" ht="12.75" customHeight="1" spans="1:29">
      <c r="A495" s="254"/>
      <c r="B495" s="254"/>
      <c r="C495" s="254"/>
      <c r="D495" s="276"/>
      <c r="E495" s="254"/>
      <c r="F495" s="254"/>
      <c r="G495" s="254"/>
      <c r="H495" s="254"/>
      <c r="I495" s="254"/>
      <c r="J495" s="254"/>
      <c r="K495" s="254"/>
      <c r="L495" s="254"/>
      <c r="M495" s="254"/>
      <c r="N495" s="254"/>
      <c r="O495" s="254"/>
      <c r="P495" s="254"/>
      <c r="Q495" s="254"/>
      <c r="R495" s="254"/>
      <c r="S495" s="254"/>
      <c r="T495" s="254"/>
      <c r="U495" s="254"/>
      <c r="V495" s="254"/>
      <c r="W495" s="254"/>
      <c r="X495" s="254"/>
      <c r="Y495" s="254"/>
      <c r="Z495" s="254"/>
      <c r="AA495" s="254"/>
      <c r="AB495" s="254"/>
      <c r="AC495" s="254"/>
    </row>
    <row r="496" ht="12.75" customHeight="1" spans="1:29">
      <c r="A496" s="254"/>
      <c r="B496" s="254"/>
      <c r="C496" s="254"/>
      <c r="D496" s="276"/>
      <c r="E496" s="254"/>
      <c r="F496" s="254"/>
      <c r="G496" s="254"/>
      <c r="H496" s="254"/>
      <c r="I496" s="254"/>
      <c r="J496" s="254"/>
      <c r="K496" s="254"/>
      <c r="L496" s="254"/>
      <c r="M496" s="254"/>
      <c r="N496" s="254"/>
      <c r="O496" s="254"/>
      <c r="P496" s="254"/>
      <c r="Q496" s="254"/>
      <c r="R496" s="254"/>
      <c r="S496" s="254"/>
      <c r="T496" s="254"/>
      <c r="U496" s="254"/>
      <c r="V496" s="254"/>
      <c r="W496" s="254"/>
      <c r="X496" s="254"/>
      <c r="Y496" s="254"/>
      <c r="Z496" s="254"/>
      <c r="AA496" s="254"/>
      <c r="AB496" s="254"/>
      <c r="AC496" s="254"/>
    </row>
    <row r="497" ht="12.75" customHeight="1" spans="1:29">
      <c r="A497" s="254"/>
      <c r="B497" s="254"/>
      <c r="C497" s="254"/>
      <c r="D497" s="276"/>
      <c r="E497" s="254"/>
      <c r="F497" s="254"/>
      <c r="G497" s="254"/>
      <c r="H497" s="254"/>
      <c r="I497" s="254"/>
      <c r="J497" s="254"/>
      <c r="K497" s="254"/>
      <c r="L497" s="254"/>
      <c r="M497" s="254"/>
      <c r="N497" s="254"/>
      <c r="O497" s="254"/>
      <c r="P497" s="254"/>
      <c r="Q497" s="254"/>
      <c r="R497" s="254"/>
      <c r="S497" s="254"/>
      <c r="T497" s="254"/>
      <c r="U497" s="254"/>
      <c r="V497" s="254"/>
      <c r="W497" s="254"/>
      <c r="X497" s="254"/>
      <c r="Y497" s="254"/>
      <c r="Z497" s="254"/>
      <c r="AA497" s="254"/>
      <c r="AB497" s="254"/>
      <c r="AC497" s="254"/>
    </row>
    <row r="498" ht="12.75" customHeight="1" spans="1:29">
      <c r="A498" s="254"/>
      <c r="B498" s="254"/>
      <c r="C498" s="254"/>
      <c r="D498" s="276"/>
      <c r="E498" s="254"/>
      <c r="F498" s="254"/>
      <c r="G498" s="254"/>
      <c r="H498" s="254"/>
      <c r="I498" s="254"/>
      <c r="J498" s="254"/>
      <c r="K498" s="254"/>
      <c r="L498" s="254"/>
      <c r="M498" s="254"/>
      <c r="N498" s="254"/>
      <c r="O498" s="254"/>
      <c r="P498" s="254"/>
      <c r="Q498" s="254"/>
      <c r="R498" s="254"/>
      <c r="S498" s="254"/>
      <c r="T498" s="254"/>
      <c r="U498" s="254"/>
      <c r="V498" s="254"/>
      <c r="W498" s="254"/>
      <c r="X498" s="254"/>
      <c r="Y498" s="254"/>
      <c r="Z498" s="254"/>
      <c r="AA498" s="254"/>
      <c r="AB498" s="254"/>
      <c r="AC498" s="254"/>
    </row>
    <row r="499" ht="12.75" customHeight="1" spans="1:29">
      <c r="A499" s="254"/>
      <c r="B499" s="254"/>
      <c r="C499" s="254"/>
      <c r="D499" s="276"/>
      <c r="E499" s="254"/>
      <c r="F499" s="254"/>
      <c r="G499" s="254"/>
      <c r="H499" s="254"/>
      <c r="I499" s="254"/>
      <c r="J499" s="254"/>
      <c r="K499" s="254"/>
      <c r="L499" s="254"/>
      <c r="M499" s="254"/>
      <c r="N499" s="254"/>
      <c r="O499" s="254"/>
      <c r="P499" s="254"/>
      <c r="Q499" s="254"/>
      <c r="R499" s="254"/>
      <c r="S499" s="254"/>
      <c r="T499" s="254"/>
      <c r="U499" s="254"/>
      <c r="V499" s="254"/>
      <c r="W499" s="254"/>
      <c r="X499" s="254"/>
      <c r="Y499" s="254"/>
      <c r="Z499" s="254"/>
      <c r="AA499" s="254"/>
      <c r="AB499" s="254"/>
      <c r="AC499" s="254"/>
    </row>
    <row r="500" ht="12.75" customHeight="1" spans="1:29">
      <c r="A500" s="254"/>
      <c r="B500" s="254"/>
      <c r="C500" s="254"/>
      <c r="D500" s="276"/>
      <c r="E500" s="254"/>
      <c r="F500" s="254"/>
      <c r="G500" s="254"/>
      <c r="H500" s="254"/>
      <c r="I500" s="254"/>
      <c r="J500" s="254"/>
      <c r="K500" s="254"/>
      <c r="L500" s="254"/>
      <c r="M500" s="254"/>
      <c r="N500" s="254"/>
      <c r="O500" s="254"/>
      <c r="P500" s="254"/>
      <c r="Q500" s="254"/>
      <c r="R500" s="254"/>
      <c r="S500" s="254"/>
      <c r="T500" s="254"/>
      <c r="U500" s="254"/>
      <c r="V500" s="254"/>
      <c r="W500" s="254"/>
      <c r="X500" s="254"/>
      <c r="Y500" s="254"/>
      <c r="Z500" s="254"/>
      <c r="AA500" s="254"/>
      <c r="AB500" s="254"/>
      <c r="AC500" s="254"/>
    </row>
    <row r="501" ht="12.75" customHeight="1" spans="1:29">
      <c r="A501" s="254"/>
      <c r="B501" s="254"/>
      <c r="C501" s="254"/>
      <c r="D501" s="276"/>
      <c r="E501" s="254"/>
      <c r="F501" s="254"/>
      <c r="G501" s="254"/>
      <c r="H501" s="254"/>
      <c r="I501" s="254"/>
      <c r="J501" s="254"/>
      <c r="K501" s="254"/>
      <c r="L501" s="254"/>
      <c r="M501" s="254"/>
      <c r="N501" s="254"/>
      <c r="O501" s="254"/>
      <c r="P501" s="254"/>
      <c r="Q501" s="254"/>
      <c r="R501" s="254"/>
      <c r="S501" s="254"/>
      <c r="T501" s="254"/>
      <c r="U501" s="254"/>
      <c r="V501" s="254"/>
      <c r="W501" s="254"/>
      <c r="X501" s="254"/>
      <c r="Y501" s="254"/>
      <c r="Z501" s="254"/>
      <c r="AA501" s="254"/>
      <c r="AB501" s="254"/>
      <c r="AC501" s="254"/>
    </row>
    <row r="502" ht="12.75" customHeight="1" spans="1:29">
      <c r="A502" s="254"/>
      <c r="B502" s="254"/>
      <c r="C502" s="254"/>
      <c r="D502" s="276"/>
      <c r="E502" s="254"/>
      <c r="F502" s="254"/>
      <c r="G502" s="254"/>
      <c r="H502" s="254"/>
      <c r="I502" s="254"/>
      <c r="J502" s="254"/>
      <c r="K502" s="254"/>
      <c r="L502" s="254"/>
      <c r="M502" s="254"/>
      <c r="N502" s="254"/>
      <c r="O502" s="254"/>
      <c r="P502" s="254"/>
      <c r="Q502" s="254"/>
      <c r="R502" s="254"/>
      <c r="S502" s="254"/>
      <c r="T502" s="254"/>
      <c r="U502" s="254"/>
      <c r="V502" s="254"/>
      <c r="W502" s="254"/>
      <c r="X502" s="254"/>
      <c r="Y502" s="254"/>
      <c r="Z502" s="254"/>
      <c r="AA502" s="254"/>
      <c r="AB502" s="254"/>
      <c r="AC502" s="254"/>
    </row>
    <row r="503" ht="12.75" customHeight="1" spans="1:29">
      <c r="A503" s="254"/>
      <c r="B503" s="254"/>
      <c r="C503" s="254"/>
      <c r="D503" s="276"/>
      <c r="E503" s="254"/>
      <c r="F503" s="254"/>
      <c r="G503" s="254"/>
      <c r="H503" s="254"/>
      <c r="I503" s="254"/>
      <c r="J503" s="254"/>
      <c r="K503" s="254"/>
      <c r="L503" s="254"/>
      <c r="M503" s="254"/>
      <c r="N503" s="254"/>
      <c r="O503" s="254"/>
      <c r="P503" s="254"/>
      <c r="Q503" s="254"/>
      <c r="R503" s="254"/>
      <c r="S503" s="254"/>
      <c r="T503" s="254"/>
      <c r="U503" s="254"/>
      <c r="V503" s="254"/>
      <c r="W503" s="254"/>
      <c r="X503" s="254"/>
      <c r="Y503" s="254"/>
      <c r="Z503" s="254"/>
      <c r="AA503" s="254"/>
      <c r="AB503" s="254"/>
      <c r="AC503" s="254"/>
    </row>
    <row r="504" ht="12.75" customHeight="1" spans="1:29">
      <c r="A504" s="254"/>
      <c r="B504" s="254"/>
      <c r="C504" s="254"/>
      <c r="D504" s="276"/>
      <c r="E504" s="254"/>
      <c r="F504" s="254"/>
      <c r="G504" s="254"/>
      <c r="H504" s="254"/>
      <c r="I504" s="254"/>
      <c r="J504" s="254"/>
      <c r="K504" s="254"/>
      <c r="L504" s="254"/>
      <c r="M504" s="254"/>
      <c r="N504" s="254"/>
      <c r="O504" s="254"/>
      <c r="P504" s="254"/>
      <c r="Q504" s="254"/>
      <c r="R504" s="254"/>
      <c r="S504" s="254"/>
      <c r="T504" s="254"/>
      <c r="U504" s="254"/>
      <c r="V504" s="254"/>
      <c r="W504" s="254"/>
      <c r="X504" s="254"/>
      <c r="Y504" s="254"/>
      <c r="Z504" s="254"/>
      <c r="AA504" s="254"/>
      <c r="AB504" s="254"/>
      <c r="AC504" s="254"/>
    </row>
    <row r="505" ht="12.75" customHeight="1" spans="1:29">
      <c r="A505" s="254"/>
      <c r="B505" s="254"/>
      <c r="C505" s="254"/>
      <c r="D505" s="276"/>
      <c r="E505" s="254"/>
      <c r="F505" s="254"/>
      <c r="G505" s="254"/>
      <c r="H505" s="254"/>
      <c r="I505" s="254"/>
      <c r="J505" s="254"/>
      <c r="K505" s="254"/>
      <c r="L505" s="254"/>
      <c r="M505" s="254"/>
      <c r="N505" s="254"/>
      <c r="O505" s="254"/>
      <c r="P505" s="254"/>
      <c r="Q505" s="254"/>
      <c r="R505" s="254"/>
      <c r="S505" s="254"/>
      <c r="T505" s="254"/>
      <c r="U505" s="254"/>
      <c r="V505" s="254"/>
      <c r="W505" s="254"/>
      <c r="X505" s="254"/>
      <c r="Y505" s="254"/>
      <c r="Z505" s="254"/>
      <c r="AA505" s="254"/>
      <c r="AB505" s="254"/>
      <c r="AC505" s="254"/>
    </row>
    <row r="506" ht="12.75" customHeight="1" spans="1:29">
      <c r="A506" s="254"/>
      <c r="B506" s="254"/>
      <c r="C506" s="254"/>
      <c r="D506" s="276"/>
      <c r="E506" s="254"/>
      <c r="F506" s="254"/>
      <c r="G506" s="254"/>
      <c r="H506" s="254"/>
      <c r="I506" s="254"/>
      <c r="J506" s="254"/>
      <c r="K506" s="254"/>
      <c r="L506" s="254"/>
      <c r="M506" s="254"/>
      <c r="N506" s="254"/>
      <c r="O506" s="254"/>
      <c r="P506" s="254"/>
      <c r="Q506" s="254"/>
      <c r="R506" s="254"/>
      <c r="S506" s="254"/>
      <c r="T506" s="254"/>
      <c r="U506" s="254"/>
      <c r="V506" s="254"/>
      <c r="W506" s="254"/>
      <c r="X506" s="254"/>
      <c r="Y506" s="254"/>
      <c r="Z506" s="254"/>
      <c r="AA506" s="254"/>
      <c r="AB506" s="254"/>
      <c r="AC506" s="254"/>
    </row>
    <row r="507" ht="12.75" customHeight="1" spans="1:29">
      <c r="A507" s="254"/>
      <c r="B507" s="254"/>
      <c r="C507" s="254"/>
      <c r="D507" s="276"/>
      <c r="E507" s="254"/>
      <c r="F507" s="254"/>
      <c r="G507" s="254"/>
      <c r="H507" s="254"/>
      <c r="I507" s="254"/>
      <c r="J507" s="254"/>
      <c r="K507" s="254"/>
      <c r="L507" s="254"/>
      <c r="M507" s="254"/>
      <c r="N507" s="254"/>
      <c r="O507" s="254"/>
      <c r="P507" s="254"/>
      <c r="Q507" s="254"/>
      <c r="R507" s="254"/>
      <c r="S507" s="254"/>
      <c r="T507" s="254"/>
      <c r="U507" s="254"/>
      <c r="V507" s="254"/>
      <c r="W507" s="254"/>
      <c r="X507" s="254"/>
      <c r="Y507" s="254"/>
      <c r="Z507" s="254"/>
      <c r="AA507" s="254"/>
      <c r="AB507" s="254"/>
      <c r="AC507" s="254"/>
    </row>
    <row r="508" ht="12.75" customHeight="1" spans="1:29">
      <c r="A508" s="254"/>
      <c r="B508" s="254"/>
      <c r="C508" s="254"/>
      <c r="D508" s="276"/>
      <c r="E508" s="254"/>
      <c r="F508" s="254"/>
      <c r="G508" s="254"/>
      <c r="H508" s="254"/>
      <c r="I508" s="254"/>
      <c r="J508" s="254"/>
      <c r="K508" s="254"/>
      <c r="L508" s="254"/>
      <c r="M508" s="254"/>
      <c r="N508" s="254"/>
      <c r="O508" s="254"/>
      <c r="P508" s="254"/>
      <c r="Q508" s="254"/>
      <c r="R508" s="254"/>
      <c r="S508" s="254"/>
      <c r="T508" s="254"/>
      <c r="U508" s="254"/>
      <c r="V508" s="254"/>
      <c r="W508" s="254"/>
      <c r="X508" s="254"/>
      <c r="Y508" s="254"/>
      <c r="Z508" s="254"/>
      <c r="AA508" s="254"/>
      <c r="AB508" s="254"/>
      <c r="AC508" s="254"/>
    </row>
    <row r="509" ht="12.75" customHeight="1" spans="1:29">
      <c r="A509" s="254"/>
      <c r="B509" s="254"/>
      <c r="C509" s="254"/>
      <c r="D509" s="276"/>
      <c r="E509" s="254"/>
      <c r="F509" s="254"/>
      <c r="G509" s="254"/>
      <c r="H509" s="254"/>
      <c r="I509" s="254"/>
      <c r="J509" s="254"/>
      <c r="K509" s="254"/>
      <c r="L509" s="254"/>
      <c r="M509" s="254"/>
      <c r="N509" s="254"/>
      <c r="O509" s="254"/>
      <c r="P509" s="254"/>
      <c r="Q509" s="254"/>
      <c r="R509" s="254"/>
      <c r="S509" s="254"/>
      <c r="T509" s="254"/>
      <c r="U509" s="254"/>
      <c r="V509" s="254"/>
      <c r="W509" s="254"/>
      <c r="X509" s="254"/>
      <c r="Y509" s="254"/>
      <c r="Z509" s="254"/>
      <c r="AA509" s="254"/>
      <c r="AB509" s="254"/>
      <c r="AC509" s="254"/>
    </row>
    <row r="510" ht="12.75" customHeight="1" spans="1:29">
      <c r="A510" s="254"/>
      <c r="B510" s="254"/>
      <c r="C510" s="254"/>
      <c r="D510" s="276"/>
      <c r="E510" s="254"/>
      <c r="F510" s="254"/>
      <c r="G510" s="254"/>
      <c r="H510" s="254"/>
      <c r="I510" s="254"/>
      <c r="J510" s="254"/>
      <c r="K510" s="254"/>
      <c r="L510" s="254"/>
      <c r="M510" s="254"/>
      <c r="N510" s="254"/>
      <c r="O510" s="254"/>
      <c r="P510" s="254"/>
      <c r="Q510" s="254"/>
      <c r="R510" s="254"/>
      <c r="S510" s="254"/>
      <c r="T510" s="254"/>
      <c r="U510" s="254"/>
      <c r="V510" s="254"/>
      <c r="W510" s="254"/>
      <c r="X510" s="254"/>
      <c r="Y510" s="254"/>
      <c r="Z510" s="254"/>
      <c r="AA510" s="254"/>
      <c r="AB510" s="254"/>
      <c r="AC510" s="254"/>
    </row>
    <row r="511" ht="12.75" customHeight="1" spans="1:29">
      <c r="A511" s="254"/>
      <c r="B511" s="254"/>
      <c r="C511" s="254"/>
      <c r="D511" s="276"/>
      <c r="E511" s="254"/>
      <c r="F511" s="254"/>
      <c r="G511" s="254"/>
      <c r="H511" s="254"/>
      <c r="I511" s="254"/>
      <c r="J511" s="254"/>
      <c r="K511" s="254"/>
      <c r="L511" s="254"/>
      <c r="M511" s="254"/>
      <c r="N511" s="254"/>
      <c r="O511" s="254"/>
      <c r="P511" s="254"/>
      <c r="Q511" s="254"/>
      <c r="R511" s="254"/>
      <c r="S511" s="254"/>
      <c r="T511" s="254"/>
      <c r="U511" s="254"/>
      <c r="V511" s="254"/>
      <c r="W511" s="254"/>
      <c r="X511" s="254"/>
      <c r="Y511" s="254"/>
      <c r="Z511" s="254"/>
      <c r="AA511" s="254"/>
      <c r="AB511" s="254"/>
      <c r="AC511" s="254"/>
    </row>
    <row r="512" ht="12.75" customHeight="1" spans="1:29">
      <c r="A512" s="254"/>
      <c r="B512" s="254"/>
      <c r="C512" s="254"/>
      <c r="D512" s="276"/>
      <c r="E512" s="254"/>
      <c r="F512" s="254"/>
      <c r="G512" s="254"/>
      <c r="H512" s="254"/>
      <c r="I512" s="254"/>
      <c r="J512" s="254"/>
      <c r="K512" s="254"/>
      <c r="L512" s="254"/>
      <c r="M512" s="254"/>
      <c r="N512" s="254"/>
      <c r="O512" s="254"/>
      <c r="P512" s="254"/>
      <c r="Q512" s="254"/>
      <c r="R512" s="254"/>
      <c r="S512" s="254"/>
      <c r="T512" s="254"/>
      <c r="U512" s="254"/>
      <c r="V512" s="254"/>
      <c r="W512" s="254"/>
      <c r="X512" s="254"/>
      <c r="Y512" s="254"/>
      <c r="Z512" s="254"/>
      <c r="AA512" s="254"/>
      <c r="AB512" s="254"/>
      <c r="AC512" s="254"/>
    </row>
    <row r="513" ht="12.75" customHeight="1" spans="1:29">
      <c r="A513" s="254"/>
      <c r="B513" s="254"/>
      <c r="C513" s="254"/>
      <c r="D513" s="276"/>
      <c r="E513" s="254"/>
      <c r="F513" s="254"/>
      <c r="G513" s="254"/>
      <c r="H513" s="254"/>
      <c r="I513" s="254"/>
      <c r="J513" s="254"/>
      <c r="K513" s="254"/>
      <c r="L513" s="254"/>
      <c r="M513" s="254"/>
      <c r="N513" s="254"/>
      <c r="O513" s="254"/>
      <c r="P513" s="254"/>
      <c r="Q513" s="254"/>
      <c r="R513" s="254"/>
      <c r="S513" s="254"/>
      <c r="T513" s="254"/>
      <c r="U513" s="254"/>
      <c r="V513" s="254"/>
      <c r="W513" s="254"/>
      <c r="X513" s="254"/>
      <c r="Y513" s="254"/>
      <c r="Z513" s="254"/>
      <c r="AA513" s="254"/>
      <c r="AB513" s="254"/>
      <c r="AC513" s="254"/>
    </row>
    <row r="514" ht="12.75" customHeight="1" spans="1:29">
      <c r="A514" s="254"/>
      <c r="B514" s="254"/>
      <c r="C514" s="254"/>
      <c r="D514" s="276"/>
      <c r="E514" s="254"/>
      <c r="F514" s="254"/>
      <c r="G514" s="254"/>
      <c r="H514" s="254"/>
      <c r="I514" s="254"/>
      <c r="J514" s="254"/>
      <c r="K514" s="254"/>
      <c r="L514" s="254"/>
      <c r="M514" s="254"/>
      <c r="N514" s="254"/>
      <c r="O514" s="254"/>
      <c r="P514" s="254"/>
      <c r="Q514" s="254"/>
      <c r="R514" s="254"/>
      <c r="S514" s="254"/>
      <c r="T514" s="254"/>
      <c r="U514" s="254"/>
      <c r="V514" s="254"/>
      <c r="W514" s="254"/>
      <c r="X514" s="254"/>
      <c r="Y514" s="254"/>
      <c r="Z514" s="254"/>
      <c r="AA514" s="254"/>
      <c r="AB514" s="254"/>
      <c r="AC514" s="254"/>
    </row>
    <row r="515" ht="12.75" customHeight="1" spans="1:29">
      <c r="A515" s="254"/>
      <c r="B515" s="254"/>
      <c r="C515" s="254"/>
      <c r="D515" s="276"/>
      <c r="E515" s="254"/>
      <c r="F515" s="254"/>
      <c r="G515" s="254"/>
      <c r="H515" s="254"/>
      <c r="I515" s="254"/>
      <c r="J515" s="254"/>
      <c r="K515" s="254"/>
      <c r="L515" s="254"/>
      <c r="M515" s="254"/>
      <c r="N515" s="254"/>
      <c r="O515" s="254"/>
      <c r="P515" s="254"/>
      <c r="Q515" s="254"/>
      <c r="R515" s="254"/>
      <c r="S515" s="254"/>
      <c r="T515" s="254"/>
      <c r="U515" s="254"/>
      <c r="V515" s="254"/>
      <c r="W515" s="254"/>
      <c r="X515" s="254"/>
      <c r="Y515" s="254"/>
      <c r="Z515" s="254"/>
      <c r="AA515" s="254"/>
      <c r="AB515" s="254"/>
      <c r="AC515" s="254"/>
    </row>
    <row r="516" ht="12.75" customHeight="1" spans="1:29">
      <c r="A516" s="254"/>
      <c r="B516" s="254"/>
      <c r="C516" s="254"/>
      <c r="D516" s="276"/>
      <c r="E516" s="254"/>
      <c r="F516" s="254"/>
      <c r="G516" s="254"/>
      <c r="H516" s="254"/>
      <c r="I516" s="254"/>
      <c r="J516" s="254"/>
      <c r="K516" s="254"/>
      <c r="L516" s="254"/>
      <c r="M516" s="254"/>
      <c r="N516" s="254"/>
      <c r="O516" s="254"/>
      <c r="P516" s="254"/>
      <c r="Q516" s="254"/>
      <c r="R516" s="254"/>
      <c r="S516" s="254"/>
      <c r="T516" s="254"/>
      <c r="U516" s="254"/>
      <c r="V516" s="254"/>
      <c r="W516" s="254"/>
      <c r="X516" s="254"/>
      <c r="Y516" s="254"/>
      <c r="Z516" s="254"/>
      <c r="AA516" s="254"/>
      <c r="AB516" s="254"/>
      <c r="AC516" s="254"/>
    </row>
    <row r="517" ht="12.75" customHeight="1" spans="1:29">
      <c r="A517" s="254"/>
      <c r="B517" s="254"/>
      <c r="C517" s="254"/>
      <c r="D517" s="276"/>
      <c r="E517" s="254"/>
      <c r="F517" s="254"/>
      <c r="G517" s="254"/>
      <c r="H517" s="254"/>
      <c r="I517" s="254"/>
      <c r="J517" s="254"/>
      <c r="K517" s="254"/>
      <c r="L517" s="254"/>
      <c r="M517" s="254"/>
      <c r="N517" s="254"/>
      <c r="O517" s="254"/>
      <c r="P517" s="254"/>
      <c r="Q517" s="254"/>
      <c r="R517" s="254"/>
      <c r="S517" s="254"/>
      <c r="T517" s="254"/>
      <c r="U517" s="254"/>
      <c r="V517" s="254"/>
      <c r="W517" s="254"/>
      <c r="X517" s="254"/>
      <c r="Y517" s="254"/>
      <c r="Z517" s="254"/>
      <c r="AA517" s="254"/>
      <c r="AB517" s="254"/>
      <c r="AC517" s="254"/>
    </row>
    <row r="518" ht="12.75" customHeight="1" spans="1:29">
      <c r="A518" s="254"/>
      <c r="B518" s="254"/>
      <c r="C518" s="254"/>
      <c r="D518" s="276"/>
      <c r="E518" s="254"/>
      <c r="F518" s="254"/>
      <c r="G518" s="254"/>
      <c r="H518" s="254"/>
      <c r="I518" s="254"/>
      <c r="J518" s="254"/>
      <c r="K518" s="254"/>
      <c r="L518" s="254"/>
      <c r="M518" s="254"/>
      <c r="N518" s="254"/>
      <c r="O518" s="254"/>
      <c r="P518" s="254"/>
      <c r="Q518" s="254"/>
      <c r="R518" s="254"/>
      <c r="S518" s="254"/>
      <c r="T518" s="254"/>
      <c r="U518" s="254"/>
      <c r="V518" s="254"/>
      <c r="W518" s="254"/>
      <c r="X518" s="254"/>
      <c r="Y518" s="254"/>
      <c r="Z518" s="254"/>
      <c r="AA518" s="254"/>
      <c r="AB518" s="254"/>
      <c r="AC518" s="254"/>
    </row>
    <row r="519" ht="12.75" customHeight="1" spans="1:29">
      <c r="A519" s="254"/>
      <c r="B519" s="254"/>
      <c r="C519" s="254"/>
      <c r="D519" s="276"/>
      <c r="E519" s="254"/>
      <c r="F519" s="254"/>
      <c r="G519" s="254"/>
      <c r="H519" s="254"/>
      <c r="I519" s="254"/>
      <c r="J519" s="254"/>
      <c r="K519" s="254"/>
      <c r="L519" s="254"/>
      <c r="M519" s="254"/>
      <c r="N519" s="254"/>
      <c r="O519" s="254"/>
      <c r="P519" s="254"/>
      <c r="Q519" s="254"/>
      <c r="R519" s="254"/>
      <c r="S519" s="254"/>
      <c r="T519" s="254"/>
      <c r="U519" s="254"/>
      <c r="V519" s="254"/>
      <c r="W519" s="254"/>
      <c r="X519" s="254"/>
      <c r="Y519" s="254"/>
      <c r="Z519" s="254"/>
      <c r="AA519" s="254"/>
      <c r="AB519" s="254"/>
      <c r="AC519" s="254"/>
    </row>
    <row r="520" ht="12.75" customHeight="1" spans="1:29">
      <c r="A520" s="254"/>
      <c r="B520" s="254"/>
      <c r="C520" s="254"/>
      <c r="D520" s="276"/>
      <c r="E520" s="254"/>
      <c r="F520" s="254"/>
      <c r="G520" s="254"/>
      <c r="H520" s="254"/>
      <c r="I520" s="254"/>
      <c r="J520" s="254"/>
      <c r="K520" s="254"/>
      <c r="L520" s="254"/>
      <c r="M520" s="254"/>
      <c r="N520" s="254"/>
      <c r="O520" s="254"/>
      <c r="P520" s="254"/>
      <c r="Q520" s="254"/>
      <c r="R520" s="254"/>
      <c r="S520" s="254"/>
      <c r="T520" s="254"/>
      <c r="U520" s="254"/>
      <c r="V520" s="254"/>
      <c r="W520" s="254"/>
      <c r="X520" s="254"/>
      <c r="Y520" s="254"/>
      <c r="Z520" s="254"/>
      <c r="AA520" s="254"/>
      <c r="AB520" s="254"/>
      <c r="AC520" s="254"/>
    </row>
    <row r="521" ht="12.75" customHeight="1" spans="1:29">
      <c r="A521" s="254"/>
      <c r="B521" s="254"/>
      <c r="C521" s="254"/>
      <c r="D521" s="276"/>
      <c r="E521" s="254"/>
      <c r="F521" s="254"/>
      <c r="G521" s="254"/>
      <c r="H521" s="254"/>
      <c r="I521" s="254"/>
      <c r="J521" s="254"/>
      <c r="K521" s="254"/>
      <c r="L521" s="254"/>
      <c r="M521" s="254"/>
      <c r="N521" s="254"/>
      <c r="O521" s="254"/>
      <c r="P521" s="254"/>
      <c r="Q521" s="254"/>
      <c r="R521" s="254"/>
      <c r="S521" s="254"/>
      <c r="T521" s="254"/>
      <c r="U521" s="254"/>
      <c r="V521" s="254"/>
      <c r="W521" s="254"/>
      <c r="X521" s="254"/>
      <c r="Y521" s="254"/>
      <c r="Z521" s="254"/>
      <c r="AA521" s="254"/>
      <c r="AB521" s="254"/>
      <c r="AC521" s="254"/>
    </row>
    <row r="522" ht="12.75" customHeight="1" spans="1:29">
      <c r="A522" s="254"/>
      <c r="B522" s="254"/>
      <c r="C522" s="254"/>
      <c r="D522" s="276"/>
      <c r="E522" s="254"/>
      <c r="F522" s="254"/>
      <c r="G522" s="254"/>
      <c r="H522" s="254"/>
      <c r="I522" s="254"/>
      <c r="J522" s="254"/>
      <c r="K522" s="254"/>
      <c r="L522" s="254"/>
      <c r="M522" s="254"/>
      <c r="N522" s="254"/>
      <c r="O522" s="254"/>
      <c r="P522" s="254"/>
      <c r="Q522" s="254"/>
      <c r="R522" s="254"/>
      <c r="S522" s="254"/>
      <c r="T522" s="254"/>
      <c r="U522" s="254"/>
      <c r="V522" s="254"/>
      <c r="W522" s="254"/>
      <c r="X522" s="254"/>
      <c r="Y522" s="254"/>
      <c r="Z522" s="254"/>
      <c r="AA522" s="254"/>
      <c r="AB522" s="254"/>
      <c r="AC522" s="254"/>
    </row>
    <row r="523" ht="12.75" customHeight="1" spans="1:29">
      <c r="A523" s="254"/>
      <c r="B523" s="254"/>
      <c r="C523" s="254"/>
      <c r="D523" s="276"/>
      <c r="E523" s="254"/>
      <c r="F523" s="254"/>
      <c r="G523" s="254"/>
      <c r="H523" s="254"/>
      <c r="I523" s="254"/>
      <c r="J523" s="254"/>
      <c r="K523" s="254"/>
      <c r="L523" s="254"/>
      <c r="M523" s="254"/>
      <c r="N523" s="254"/>
      <c r="O523" s="254"/>
      <c r="P523" s="254"/>
      <c r="Q523" s="254"/>
      <c r="R523" s="254"/>
      <c r="S523" s="254"/>
      <c r="T523" s="254"/>
      <c r="U523" s="254"/>
      <c r="V523" s="254"/>
      <c r="W523" s="254"/>
      <c r="X523" s="254"/>
      <c r="Y523" s="254"/>
      <c r="Z523" s="254"/>
      <c r="AA523" s="254"/>
      <c r="AB523" s="254"/>
      <c r="AC523" s="254"/>
    </row>
    <row r="524" ht="12.75" customHeight="1" spans="1:29">
      <c r="A524" s="254"/>
      <c r="B524" s="254"/>
      <c r="C524" s="254"/>
      <c r="D524" s="276"/>
      <c r="E524" s="254"/>
      <c r="F524" s="254"/>
      <c r="G524" s="254"/>
      <c r="H524" s="254"/>
      <c r="I524" s="254"/>
      <c r="J524" s="254"/>
      <c r="K524" s="254"/>
      <c r="L524" s="254"/>
      <c r="M524" s="254"/>
      <c r="N524" s="254"/>
      <c r="O524" s="254"/>
      <c r="P524" s="254"/>
      <c r="Q524" s="254"/>
      <c r="R524" s="254"/>
      <c r="S524" s="254"/>
      <c r="T524" s="254"/>
      <c r="U524" s="254"/>
      <c r="V524" s="254"/>
      <c r="W524" s="254"/>
      <c r="X524" s="254"/>
      <c r="Y524" s="254"/>
      <c r="Z524" s="254"/>
      <c r="AA524" s="254"/>
      <c r="AB524" s="254"/>
      <c r="AC524" s="254"/>
    </row>
    <row r="525" ht="12.75" customHeight="1" spans="1:29">
      <c r="A525" s="254"/>
      <c r="B525" s="254"/>
      <c r="C525" s="254"/>
      <c r="D525" s="276"/>
      <c r="E525" s="254"/>
      <c r="F525" s="254"/>
      <c r="G525" s="254"/>
      <c r="H525" s="254"/>
      <c r="I525" s="254"/>
      <c r="J525" s="254"/>
      <c r="K525" s="254"/>
      <c r="L525" s="254"/>
      <c r="M525" s="254"/>
      <c r="N525" s="254"/>
      <c r="O525" s="254"/>
      <c r="P525" s="254"/>
      <c r="Q525" s="254"/>
      <c r="R525" s="254"/>
      <c r="S525" s="254"/>
      <c r="T525" s="254"/>
      <c r="U525" s="254"/>
      <c r="V525" s="254"/>
      <c r="W525" s="254"/>
      <c r="X525" s="254"/>
      <c r="Y525" s="254"/>
      <c r="Z525" s="254"/>
      <c r="AA525" s="254"/>
      <c r="AB525" s="254"/>
      <c r="AC525" s="254"/>
    </row>
    <row r="526" ht="12.75" customHeight="1" spans="1:29">
      <c r="A526" s="254"/>
      <c r="B526" s="254"/>
      <c r="C526" s="254"/>
      <c r="D526" s="276"/>
      <c r="E526" s="254"/>
      <c r="F526" s="254"/>
      <c r="G526" s="254"/>
      <c r="H526" s="254"/>
      <c r="I526" s="254"/>
      <c r="J526" s="254"/>
      <c r="K526" s="254"/>
      <c r="L526" s="254"/>
      <c r="M526" s="254"/>
      <c r="N526" s="254"/>
      <c r="O526" s="254"/>
      <c r="P526" s="254"/>
      <c r="Q526" s="254"/>
      <c r="R526" s="254"/>
      <c r="S526" s="254"/>
      <c r="T526" s="254"/>
      <c r="U526" s="254"/>
      <c r="V526" s="254"/>
      <c r="W526" s="254"/>
      <c r="X526" s="254"/>
      <c r="Y526" s="254"/>
      <c r="Z526" s="254"/>
      <c r="AA526" s="254"/>
      <c r="AB526" s="254"/>
      <c r="AC526" s="254"/>
    </row>
    <row r="527" ht="12.75" customHeight="1" spans="1:29">
      <c r="A527" s="254"/>
      <c r="B527" s="254"/>
      <c r="C527" s="254"/>
      <c r="D527" s="276"/>
      <c r="E527" s="254"/>
      <c r="F527" s="254"/>
      <c r="G527" s="254"/>
      <c r="H527" s="254"/>
      <c r="I527" s="254"/>
      <c r="J527" s="254"/>
      <c r="K527" s="254"/>
      <c r="L527" s="254"/>
      <c r="M527" s="254"/>
      <c r="N527" s="254"/>
      <c r="O527" s="254"/>
      <c r="P527" s="254"/>
      <c r="Q527" s="254"/>
      <c r="R527" s="254"/>
      <c r="S527" s="254"/>
      <c r="T527" s="254"/>
      <c r="U527" s="254"/>
      <c r="V527" s="254"/>
      <c r="W527" s="254"/>
      <c r="X527" s="254"/>
      <c r="Y527" s="254"/>
      <c r="Z527" s="254"/>
      <c r="AA527" s="254"/>
      <c r="AB527" s="254"/>
      <c r="AC527" s="254"/>
    </row>
    <row r="528" ht="12.75" customHeight="1" spans="1:29">
      <c r="A528" s="254"/>
      <c r="B528" s="254"/>
      <c r="C528" s="254"/>
      <c r="D528" s="276"/>
      <c r="E528" s="254"/>
      <c r="F528" s="254"/>
      <c r="G528" s="254"/>
      <c r="H528" s="254"/>
      <c r="I528" s="254"/>
      <c r="J528" s="254"/>
      <c r="K528" s="254"/>
      <c r="L528" s="254"/>
      <c r="M528" s="254"/>
      <c r="N528" s="254"/>
      <c r="O528" s="254"/>
      <c r="P528" s="254"/>
      <c r="Q528" s="254"/>
      <c r="R528" s="254"/>
      <c r="S528" s="254"/>
      <c r="T528" s="254"/>
      <c r="U528" s="254"/>
      <c r="V528" s="254"/>
      <c r="W528" s="254"/>
      <c r="X528" s="254"/>
      <c r="Y528" s="254"/>
      <c r="Z528" s="254"/>
      <c r="AA528" s="254"/>
      <c r="AB528" s="254"/>
      <c r="AC528" s="254"/>
    </row>
    <row r="529" ht="12.75" customHeight="1" spans="1:29">
      <c r="A529" s="254"/>
      <c r="B529" s="254"/>
      <c r="C529" s="254"/>
      <c r="D529" s="276"/>
      <c r="E529" s="254"/>
      <c r="F529" s="254"/>
      <c r="G529" s="254"/>
      <c r="H529" s="254"/>
      <c r="I529" s="254"/>
      <c r="J529" s="254"/>
      <c r="K529" s="254"/>
      <c r="L529" s="254"/>
      <c r="M529" s="254"/>
      <c r="N529" s="254"/>
      <c r="O529" s="254"/>
      <c r="P529" s="254"/>
      <c r="Q529" s="254"/>
      <c r="R529" s="254"/>
      <c r="S529" s="254"/>
      <c r="T529" s="254"/>
      <c r="U529" s="254"/>
      <c r="V529" s="254"/>
      <c r="W529" s="254"/>
      <c r="X529" s="254"/>
      <c r="Y529" s="254"/>
      <c r="Z529" s="254"/>
      <c r="AA529" s="254"/>
      <c r="AB529" s="254"/>
      <c r="AC529" s="254"/>
    </row>
    <row r="530" ht="12.75" customHeight="1" spans="1:29">
      <c r="A530" s="254"/>
      <c r="B530" s="254"/>
      <c r="C530" s="254"/>
      <c r="D530" s="276"/>
      <c r="E530" s="254"/>
      <c r="F530" s="254"/>
      <c r="G530" s="254"/>
      <c r="H530" s="254"/>
      <c r="I530" s="254"/>
      <c r="J530" s="254"/>
      <c r="K530" s="254"/>
      <c r="L530" s="254"/>
      <c r="M530" s="254"/>
      <c r="N530" s="254"/>
      <c r="O530" s="254"/>
      <c r="P530" s="254"/>
      <c r="Q530" s="254"/>
      <c r="R530" s="254"/>
      <c r="S530" s="254"/>
      <c r="T530" s="254"/>
      <c r="U530" s="254"/>
      <c r="V530" s="254"/>
      <c r="W530" s="254"/>
      <c r="X530" s="254"/>
      <c r="Y530" s="254"/>
      <c r="Z530" s="254"/>
      <c r="AA530" s="254"/>
      <c r="AB530" s="254"/>
      <c r="AC530" s="254"/>
    </row>
    <row r="531" ht="12.75" customHeight="1" spans="1:29">
      <c r="A531" s="254"/>
      <c r="B531" s="254"/>
      <c r="C531" s="254"/>
      <c r="D531" s="276"/>
      <c r="E531" s="254"/>
      <c r="F531" s="254"/>
      <c r="G531" s="254"/>
      <c r="H531" s="254"/>
      <c r="I531" s="254"/>
      <c r="J531" s="254"/>
      <c r="K531" s="254"/>
      <c r="L531" s="254"/>
      <c r="M531" s="254"/>
      <c r="N531" s="254"/>
      <c r="O531" s="254"/>
      <c r="P531" s="254"/>
      <c r="Q531" s="254"/>
      <c r="R531" s="254"/>
      <c r="S531" s="254"/>
      <c r="T531" s="254"/>
      <c r="U531" s="254"/>
      <c r="V531" s="254"/>
      <c r="W531" s="254"/>
      <c r="X531" s="254"/>
      <c r="Y531" s="254"/>
      <c r="Z531" s="254"/>
      <c r="AA531" s="254"/>
      <c r="AB531" s="254"/>
      <c r="AC531" s="254"/>
    </row>
    <row r="532" ht="12.75" customHeight="1" spans="1:29">
      <c r="A532" s="254"/>
      <c r="B532" s="254"/>
      <c r="C532" s="254"/>
      <c r="D532" s="276"/>
      <c r="E532" s="254"/>
      <c r="F532" s="254"/>
      <c r="G532" s="254"/>
      <c r="H532" s="254"/>
      <c r="I532" s="254"/>
      <c r="J532" s="254"/>
      <c r="K532" s="254"/>
      <c r="L532" s="254"/>
      <c r="M532" s="254"/>
      <c r="N532" s="254"/>
      <c r="O532" s="254"/>
      <c r="P532" s="254"/>
      <c r="Q532" s="254"/>
      <c r="R532" s="254"/>
      <c r="S532" s="254"/>
      <c r="T532" s="254"/>
      <c r="U532" s="254"/>
      <c r="V532" s="254"/>
      <c r="W532" s="254"/>
      <c r="X532" s="254"/>
      <c r="Y532" s="254"/>
      <c r="Z532" s="254"/>
      <c r="AA532" s="254"/>
      <c r="AB532" s="254"/>
      <c r="AC532" s="254"/>
    </row>
    <row r="533" ht="12.75" customHeight="1" spans="1:29">
      <c r="A533" s="254"/>
      <c r="B533" s="254"/>
      <c r="C533" s="254"/>
      <c r="D533" s="276"/>
      <c r="E533" s="254"/>
      <c r="F533" s="254"/>
      <c r="G533" s="254"/>
      <c r="H533" s="254"/>
      <c r="I533" s="254"/>
      <c r="J533" s="254"/>
      <c r="K533" s="254"/>
      <c r="L533" s="254"/>
      <c r="M533" s="254"/>
      <c r="N533" s="254"/>
      <c r="O533" s="254"/>
      <c r="P533" s="254"/>
      <c r="Q533" s="254"/>
      <c r="R533" s="254"/>
      <c r="S533" s="254"/>
      <c r="T533" s="254"/>
      <c r="U533" s="254"/>
      <c r="V533" s="254"/>
      <c r="W533" s="254"/>
      <c r="X533" s="254"/>
      <c r="Y533" s="254"/>
      <c r="Z533" s="254"/>
      <c r="AA533" s="254"/>
      <c r="AB533" s="254"/>
      <c r="AC533" s="254"/>
    </row>
    <row r="534" ht="12.75" customHeight="1" spans="1:29">
      <c r="A534" s="254"/>
      <c r="B534" s="254"/>
      <c r="C534" s="254"/>
      <c r="D534" s="276"/>
      <c r="E534" s="254"/>
      <c r="F534" s="254"/>
      <c r="G534" s="254"/>
      <c r="H534" s="254"/>
      <c r="I534" s="254"/>
      <c r="J534" s="254"/>
      <c r="K534" s="254"/>
      <c r="L534" s="254"/>
      <c r="M534" s="254"/>
      <c r="N534" s="254"/>
      <c r="O534" s="254"/>
      <c r="P534" s="254"/>
      <c r="Q534" s="254"/>
      <c r="R534" s="254"/>
      <c r="S534" s="254"/>
      <c r="T534" s="254"/>
      <c r="U534" s="254"/>
      <c r="V534" s="254"/>
      <c r="W534" s="254"/>
      <c r="X534" s="254"/>
      <c r="Y534" s="254"/>
      <c r="Z534" s="254"/>
      <c r="AA534" s="254"/>
      <c r="AB534" s="254"/>
      <c r="AC534" s="254"/>
    </row>
    <row r="535" ht="12.75" customHeight="1" spans="1:29">
      <c r="A535" s="254"/>
      <c r="B535" s="254"/>
      <c r="C535" s="254"/>
      <c r="D535" s="276"/>
      <c r="E535" s="254"/>
      <c r="F535" s="254"/>
      <c r="G535" s="254"/>
      <c r="H535" s="254"/>
      <c r="I535" s="254"/>
      <c r="J535" s="254"/>
      <c r="K535" s="254"/>
      <c r="L535" s="254"/>
      <c r="M535" s="254"/>
      <c r="N535" s="254"/>
      <c r="O535" s="254"/>
      <c r="P535" s="254"/>
      <c r="Q535" s="254"/>
      <c r="R535" s="254"/>
      <c r="S535" s="254"/>
      <c r="T535" s="254"/>
      <c r="U535" s="254"/>
      <c r="V535" s="254"/>
      <c r="W535" s="254"/>
      <c r="X535" s="254"/>
      <c r="Y535" s="254"/>
      <c r="Z535" s="254"/>
      <c r="AA535" s="254"/>
      <c r="AB535" s="254"/>
      <c r="AC535" s="254"/>
    </row>
    <row r="536" ht="12.75" customHeight="1" spans="1:29">
      <c r="A536" s="254"/>
      <c r="B536" s="254"/>
      <c r="C536" s="254"/>
      <c r="D536" s="276"/>
      <c r="E536" s="254"/>
      <c r="F536" s="254"/>
      <c r="G536" s="254"/>
      <c r="H536" s="254"/>
      <c r="I536" s="254"/>
      <c r="J536" s="254"/>
      <c r="K536" s="254"/>
      <c r="L536" s="254"/>
      <c r="M536" s="254"/>
      <c r="N536" s="254"/>
      <c r="O536" s="254"/>
      <c r="P536" s="254"/>
      <c r="Q536" s="254"/>
      <c r="R536" s="254"/>
      <c r="S536" s="254"/>
      <c r="T536" s="254"/>
      <c r="U536" s="254"/>
      <c r="V536" s="254"/>
      <c r="W536" s="254"/>
      <c r="X536" s="254"/>
      <c r="Y536" s="254"/>
      <c r="Z536" s="254"/>
      <c r="AA536" s="254"/>
      <c r="AB536" s="254"/>
      <c r="AC536" s="254"/>
    </row>
    <row r="537" ht="12.75" customHeight="1" spans="1:29">
      <c r="A537" s="254"/>
      <c r="B537" s="254"/>
      <c r="C537" s="254"/>
      <c r="D537" s="276"/>
      <c r="E537" s="254"/>
      <c r="F537" s="254"/>
      <c r="G537" s="254"/>
      <c r="H537" s="254"/>
      <c r="I537" s="254"/>
      <c r="J537" s="254"/>
      <c r="K537" s="254"/>
      <c r="L537" s="254"/>
      <c r="M537" s="254"/>
      <c r="N537" s="254"/>
      <c r="O537" s="254"/>
      <c r="P537" s="254"/>
      <c r="Q537" s="254"/>
      <c r="R537" s="254"/>
      <c r="S537" s="254"/>
      <c r="T537" s="254"/>
      <c r="U537" s="254"/>
      <c r="V537" s="254"/>
      <c r="W537" s="254"/>
      <c r="X537" s="254"/>
      <c r="Y537" s="254"/>
      <c r="Z537" s="254"/>
      <c r="AA537" s="254"/>
      <c r="AB537" s="254"/>
      <c r="AC537" s="254"/>
    </row>
    <row r="538" ht="12.75" customHeight="1" spans="1:29">
      <c r="A538" s="254"/>
      <c r="B538" s="254"/>
      <c r="C538" s="254"/>
      <c r="D538" s="276"/>
      <c r="E538" s="254"/>
      <c r="F538" s="254"/>
      <c r="G538" s="254"/>
      <c r="H538" s="254"/>
      <c r="I538" s="254"/>
      <c r="J538" s="254"/>
      <c r="K538" s="254"/>
      <c r="L538" s="254"/>
      <c r="M538" s="254"/>
      <c r="N538" s="254"/>
      <c r="O538" s="254"/>
      <c r="P538" s="254"/>
      <c r="Q538" s="254"/>
      <c r="R538" s="254"/>
      <c r="S538" s="254"/>
      <c r="T538" s="254"/>
      <c r="U538" s="254"/>
      <c r="V538" s="254"/>
      <c r="W538" s="254"/>
      <c r="X538" s="254"/>
      <c r="Y538" s="254"/>
      <c r="Z538" s="254"/>
      <c r="AA538" s="254"/>
      <c r="AB538" s="254"/>
      <c r="AC538" s="254"/>
    </row>
    <row r="539" ht="12.75" customHeight="1" spans="1:29">
      <c r="A539" s="254"/>
      <c r="B539" s="254"/>
      <c r="C539" s="254"/>
      <c r="D539" s="276"/>
      <c r="E539" s="254"/>
      <c r="F539" s="254"/>
      <c r="G539" s="254"/>
      <c r="H539" s="254"/>
      <c r="I539" s="254"/>
      <c r="J539" s="254"/>
      <c r="K539" s="254"/>
      <c r="L539" s="254"/>
      <c r="M539" s="254"/>
      <c r="N539" s="254"/>
      <c r="O539" s="254"/>
      <c r="P539" s="254"/>
      <c r="Q539" s="254"/>
      <c r="R539" s="254"/>
      <c r="S539" s="254"/>
      <c r="T539" s="254"/>
      <c r="U539" s="254"/>
      <c r="V539" s="254"/>
      <c r="W539" s="254"/>
      <c r="X539" s="254"/>
      <c r="Y539" s="254"/>
      <c r="Z539" s="254"/>
      <c r="AA539" s="254"/>
      <c r="AB539" s="254"/>
      <c r="AC539" s="254"/>
    </row>
    <row r="540" ht="12.75" customHeight="1" spans="1:29">
      <c r="A540" s="254"/>
      <c r="B540" s="254"/>
      <c r="C540" s="254"/>
      <c r="D540" s="276"/>
      <c r="E540" s="254"/>
      <c r="F540" s="254"/>
      <c r="G540" s="254"/>
      <c r="H540" s="254"/>
      <c r="I540" s="254"/>
      <c r="J540" s="254"/>
      <c r="K540" s="254"/>
      <c r="L540" s="254"/>
      <c r="M540" s="254"/>
      <c r="N540" s="254"/>
      <c r="O540" s="254"/>
      <c r="P540" s="254"/>
      <c r="Q540" s="254"/>
      <c r="R540" s="254"/>
      <c r="S540" s="254"/>
      <c r="T540" s="254"/>
      <c r="U540" s="254"/>
      <c r="V540" s="254"/>
      <c r="W540" s="254"/>
      <c r="X540" s="254"/>
      <c r="Y540" s="254"/>
      <c r="Z540" s="254"/>
      <c r="AA540" s="254"/>
      <c r="AB540" s="254"/>
      <c r="AC540" s="254"/>
    </row>
    <row r="541" ht="12.75" customHeight="1" spans="1:29">
      <c r="A541" s="254"/>
      <c r="B541" s="254"/>
      <c r="C541" s="254"/>
      <c r="D541" s="276"/>
      <c r="E541" s="254"/>
      <c r="F541" s="254"/>
      <c r="G541" s="254"/>
      <c r="H541" s="254"/>
      <c r="I541" s="254"/>
      <c r="J541" s="254"/>
      <c r="K541" s="254"/>
      <c r="L541" s="254"/>
      <c r="M541" s="254"/>
      <c r="N541" s="254"/>
      <c r="O541" s="254"/>
      <c r="P541" s="254"/>
      <c r="Q541" s="254"/>
      <c r="R541" s="254"/>
      <c r="S541" s="254"/>
      <c r="T541" s="254"/>
      <c r="U541" s="254"/>
      <c r="V541" s="254"/>
      <c r="W541" s="254"/>
      <c r="X541" s="254"/>
      <c r="Y541" s="254"/>
      <c r="Z541" s="254"/>
      <c r="AA541" s="254"/>
      <c r="AB541" s="254"/>
      <c r="AC541" s="254"/>
    </row>
    <row r="542" ht="12.75" customHeight="1" spans="1:29">
      <c r="A542" s="254"/>
      <c r="B542" s="254"/>
      <c r="C542" s="254"/>
      <c r="D542" s="276"/>
      <c r="E542" s="254"/>
      <c r="F542" s="254"/>
      <c r="G542" s="254"/>
      <c r="H542" s="254"/>
      <c r="I542" s="254"/>
      <c r="J542" s="254"/>
      <c r="K542" s="254"/>
      <c r="L542" s="254"/>
      <c r="M542" s="254"/>
      <c r="N542" s="254"/>
      <c r="O542" s="254"/>
      <c r="P542" s="254"/>
      <c r="Q542" s="254"/>
      <c r="R542" s="254"/>
      <c r="S542" s="254"/>
      <c r="T542" s="254"/>
      <c r="U542" s="254"/>
      <c r="V542" s="254"/>
      <c r="W542" s="254"/>
      <c r="X542" s="254"/>
      <c r="Y542" s="254"/>
      <c r="Z542" s="254"/>
      <c r="AA542" s="254"/>
      <c r="AB542" s="254"/>
      <c r="AC542" s="254"/>
    </row>
    <row r="543" ht="12.75" customHeight="1" spans="1:29">
      <c r="A543" s="254"/>
      <c r="B543" s="254"/>
      <c r="C543" s="254"/>
      <c r="D543" s="276"/>
      <c r="E543" s="254"/>
      <c r="F543" s="254"/>
      <c r="G543" s="254"/>
      <c r="H543" s="254"/>
      <c r="I543" s="254"/>
      <c r="J543" s="254"/>
      <c r="K543" s="254"/>
      <c r="L543" s="254"/>
      <c r="M543" s="254"/>
      <c r="N543" s="254"/>
      <c r="O543" s="254"/>
      <c r="P543" s="254"/>
      <c r="Q543" s="254"/>
      <c r="R543" s="254"/>
      <c r="S543" s="254"/>
      <c r="T543" s="254"/>
      <c r="U543" s="254"/>
      <c r="V543" s="254"/>
      <c r="W543" s="254"/>
      <c r="X543" s="254"/>
      <c r="Y543" s="254"/>
      <c r="Z543" s="254"/>
      <c r="AA543" s="254"/>
      <c r="AB543" s="254"/>
      <c r="AC543" s="254"/>
    </row>
    <row r="544" ht="12.75" customHeight="1" spans="1:29">
      <c r="A544" s="254"/>
      <c r="B544" s="254"/>
      <c r="C544" s="254"/>
      <c r="D544" s="276"/>
      <c r="E544" s="254"/>
      <c r="F544" s="254"/>
      <c r="G544" s="254"/>
      <c r="H544" s="254"/>
      <c r="I544" s="254"/>
      <c r="J544" s="254"/>
      <c r="K544" s="254"/>
      <c r="L544" s="254"/>
      <c r="M544" s="254"/>
      <c r="N544" s="254"/>
      <c r="O544" s="254"/>
      <c r="P544" s="254"/>
      <c r="Q544" s="254"/>
      <c r="R544" s="254"/>
      <c r="S544" s="254"/>
      <c r="T544" s="254"/>
      <c r="U544" s="254"/>
      <c r="V544" s="254"/>
      <c r="W544" s="254"/>
      <c r="X544" s="254"/>
      <c r="Y544" s="254"/>
      <c r="Z544" s="254"/>
      <c r="AA544" s="254"/>
      <c r="AB544" s="254"/>
      <c r="AC544" s="254"/>
    </row>
    <row r="545" ht="12.75" customHeight="1" spans="1:29">
      <c r="A545" s="254"/>
      <c r="B545" s="254"/>
      <c r="C545" s="254"/>
      <c r="D545" s="276"/>
      <c r="E545" s="254"/>
      <c r="F545" s="254"/>
      <c r="G545" s="254"/>
      <c r="H545" s="254"/>
      <c r="I545" s="254"/>
      <c r="J545" s="254"/>
      <c r="K545" s="254"/>
      <c r="L545" s="254"/>
      <c r="M545" s="254"/>
      <c r="N545" s="254"/>
      <c r="O545" s="254"/>
      <c r="P545" s="254"/>
      <c r="Q545" s="254"/>
      <c r="R545" s="254"/>
      <c r="S545" s="254"/>
      <c r="T545" s="254"/>
      <c r="U545" s="254"/>
      <c r="V545" s="254"/>
      <c r="W545" s="254"/>
      <c r="X545" s="254"/>
      <c r="Y545" s="254"/>
      <c r="Z545" s="254"/>
      <c r="AA545" s="254"/>
      <c r="AB545" s="254"/>
      <c r="AC545" s="254"/>
    </row>
    <row r="546" ht="12.75" customHeight="1" spans="1:29">
      <c r="A546" s="254"/>
      <c r="B546" s="254"/>
      <c r="C546" s="254"/>
      <c r="D546" s="276"/>
      <c r="E546" s="254"/>
      <c r="F546" s="254"/>
      <c r="G546" s="254"/>
      <c r="H546" s="254"/>
      <c r="I546" s="254"/>
      <c r="J546" s="254"/>
      <c r="K546" s="254"/>
      <c r="L546" s="254"/>
      <c r="M546" s="254"/>
      <c r="N546" s="254"/>
      <c r="O546" s="254"/>
      <c r="P546" s="254"/>
      <c r="Q546" s="254"/>
      <c r="R546" s="254"/>
      <c r="S546" s="254"/>
      <c r="T546" s="254"/>
      <c r="U546" s="254"/>
      <c r="V546" s="254"/>
      <c r="W546" s="254"/>
      <c r="X546" s="254"/>
      <c r="Y546" s="254"/>
      <c r="Z546" s="254"/>
      <c r="AA546" s="254"/>
      <c r="AB546" s="254"/>
      <c r="AC546" s="254"/>
    </row>
    <row r="547" ht="12.75" customHeight="1" spans="1:29">
      <c r="A547" s="254"/>
      <c r="B547" s="254"/>
      <c r="C547" s="254"/>
      <c r="D547" s="276"/>
      <c r="E547" s="254"/>
      <c r="F547" s="254"/>
      <c r="G547" s="254"/>
      <c r="H547" s="254"/>
      <c r="I547" s="254"/>
      <c r="J547" s="254"/>
      <c r="K547" s="254"/>
      <c r="L547" s="254"/>
      <c r="M547" s="254"/>
      <c r="N547" s="254"/>
      <c r="O547" s="254"/>
      <c r="P547" s="254"/>
      <c r="Q547" s="254"/>
      <c r="R547" s="254"/>
      <c r="S547" s="254"/>
      <c r="T547" s="254"/>
      <c r="U547" s="254"/>
      <c r="V547" s="254"/>
      <c r="W547" s="254"/>
      <c r="X547" s="254"/>
      <c r="Y547" s="254"/>
      <c r="Z547" s="254"/>
      <c r="AA547" s="254"/>
      <c r="AB547" s="254"/>
      <c r="AC547" s="254"/>
    </row>
    <row r="548" ht="12.75" customHeight="1" spans="1:29">
      <c r="A548" s="254"/>
      <c r="B548" s="254"/>
      <c r="C548" s="254"/>
      <c r="D548" s="276"/>
      <c r="E548" s="254"/>
      <c r="F548" s="254"/>
      <c r="G548" s="254"/>
      <c r="H548" s="254"/>
      <c r="I548" s="254"/>
      <c r="J548" s="254"/>
      <c r="K548" s="254"/>
      <c r="L548" s="254"/>
      <c r="M548" s="254"/>
      <c r="N548" s="254"/>
      <c r="O548" s="254"/>
      <c r="P548" s="254"/>
      <c r="Q548" s="254"/>
      <c r="R548" s="254"/>
      <c r="S548" s="254"/>
      <c r="T548" s="254"/>
      <c r="U548" s="254"/>
      <c r="V548" s="254"/>
      <c r="W548" s="254"/>
      <c r="X548" s="254"/>
      <c r="Y548" s="254"/>
      <c r="Z548" s="254"/>
      <c r="AA548" s="254"/>
      <c r="AB548" s="254"/>
      <c r="AC548" s="254"/>
    </row>
    <row r="549" ht="12.75" customHeight="1" spans="1:29">
      <c r="A549" s="254"/>
      <c r="B549" s="254"/>
      <c r="C549" s="254"/>
      <c r="D549" s="276"/>
      <c r="E549" s="254"/>
      <c r="F549" s="254"/>
      <c r="G549" s="254"/>
      <c r="H549" s="254"/>
      <c r="I549" s="254"/>
      <c r="J549" s="254"/>
      <c r="K549" s="254"/>
      <c r="L549" s="254"/>
      <c r="M549" s="254"/>
      <c r="N549" s="254"/>
      <c r="O549" s="254"/>
      <c r="P549" s="254"/>
      <c r="Q549" s="254"/>
      <c r="R549" s="254"/>
      <c r="S549" s="254"/>
      <c r="T549" s="254"/>
      <c r="U549" s="254"/>
      <c r="V549" s="254"/>
      <c r="W549" s="254"/>
      <c r="X549" s="254"/>
      <c r="Y549" s="254"/>
      <c r="Z549" s="254"/>
      <c r="AA549" s="254"/>
      <c r="AB549" s="254"/>
      <c r="AC549" s="254"/>
    </row>
    <row r="550" ht="12.75" customHeight="1" spans="1:29">
      <c r="A550" s="254"/>
      <c r="B550" s="254"/>
      <c r="C550" s="254"/>
      <c r="D550" s="276"/>
      <c r="E550" s="254"/>
      <c r="F550" s="254"/>
      <c r="G550" s="254"/>
      <c r="H550" s="254"/>
      <c r="I550" s="254"/>
      <c r="J550" s="254"/>
      <c r="K550" s="254"/>
      <c r="L550" s="254"/>
      <c r="M550" s="254"/>
      <c r="N550" s="254"/>
      <c r="O550" s="254"/>
      <c r="P550" s="254"/>
      <c r="Q550" s="254"/>
      <c r="R550" s="254"/>
      <c r="S550" s="254"/>
      <c r="T550" s="254"/>
      <c r="U550" s="254"/>
      <c r="V550" s="254"/>
      <c r="W550" s="254"/>
      <c r="X550" s="254"/>
      <c r="Y550" s="254"/>
      <c r="Z550" s="254"/>
      <c r="AA550" s="254"/>
      <c r="AB550" s="254"/>
      <c r="AC550" s="254"/>
    </row>
    <row r="551" ht="12.75" customHeight="1" spans="1:29">
      <c r="A551" s="254"/>
      <c r="B551" s="254"/>
      <c r="C551" s="254"/>
      <c r="D551" s="276"/>
      <c r="E551" s="254"/>
      <c r="F551" s="254"/>
      <c r="G551" s="254"/>
      <c r="H551" s="254"/>
      <c r="I551" s="254"/>
      <c r="J551" s="254"/>
      <c r="K551" s="254"/>
      <c r="L551" s="254"/>
      <c r="M551" s="254"/>
      <c r="N551" s="254"/>
      <c r="O551" s="254"/>
      <c r="P551" s="254"/>
      <c r="Q551" s="254"/>
      <c r="R551" s="254"/>
      <c r="S551" s="254"/>
      <c r="T551" s="254"/>
      <c r="U551" s="254"/>
      <c r="V551" s="254"/>
      <c r="W551" s="254"/>
      <c r="X551" s="254"/>
      <c r="Y551" s="254"/>
      <c r="Z551" s="254"/>
      <c r="AA551" s="254"/>
      <c r="AB551" s="254"/>
      <c r="AC551" s="254"/>
    </row>
    <row r="552" ht="12.75" customHeight="1" spans="1:29">
      <c r="A552" s="254"/>
      <c r="B552" s="254"/>
      <c r="C552" s="254"/>
      <c r="D552" s="276"/>
      <c r="E552" s="254"/>
      <c r="F552" s="254"/>
      <c r="G552" s="254"/>
      <c r="H552" s="254"/>
      <c r="I552" s="254"/>
      <c r="J552" s="254"/>
      <c r="K552" s="254"/>
      <c r="L552" s="254"/>
      <c r="M552" s="254"/>
      <c r="N552" s="254"/>
      <c r="O552" s="254"/>
      <c r="P552" s="254"/>
      <c r="Q552" s="254"/>
      <c r="R552" s="254"/>
      <c r="S552" s="254"/>
      <c r="T552" s="254"/>
      <c r="U552" s="254"/>
      <c r="V552" s="254"/>
      <c r="W552" s="254"/>
      <c r="X552" s="254"/>
      <c r="Y552" s="254"/>
      <c r="Z552" s="254"/>
      <c r="AA552" s="254"/>
      <c r="AB552" s="254"/>
      <c r="AC552" s="254"/>
    </row>
    <row r="553" ht="12.75" customHeight="1" spans="1:29">
      <c r="A553" s="254"/>
      <c r="B553" s="254"/>
      <c r="C553" s="254"/>
      <c r="D553" s="276"/>
      <c r="E553" s="254"/>
      <c r="F553" s="254"/>
      <c r="G553" s="254"/>
      <c r="H553" s="254"/>
      <c r="I553" s="254"/>
      <c r="J553" s="254"/>
      <c r="K553" s="254"/>
      <c r="L553" s="254"/>
      <c r="M553" s="254"/>
      <c r="N553" s="254"/>
      <c r="O553" s="254"/>
      <c r="P553" s="254"/>
      <c r="Q553" s="254"/>
      <c r="R553" s="254"/>
      <c r="S553" s="254"/>
      <c r="T553" s="254"/>
      <c r="U553" s="254"/>
      <c r="V553" s="254"/>
      <c r="W553" s="254"/>
      <c r="X553" s="254"/>
      <c r="Y553" s="254"/>
      <c r="Z553" s="254"/>
      <c r="AA553" s="254"/>
      <c r="AB553" s="254"/>
      <c r="AC553" s="254"/>
    </row>
    <row r="554" ht="12.75" customHeight="1" spans="1:29">
      <c r="A554" s="254"/>
      <c r="B554" s="254"/>
      <c r="C554" s="254"/>
      <c r="D554" s="276"/>
      <c r="E554" s="254"/>
      <c r="F554" s="254"/>
      <c r="G554" s="254"/>
      <c r="H554" s="254"/>
      <c r="I554" s="254"/>
      <c r="J554" s="254"/>
      <c r="K554" s="254"/>
      <c r="L554" s="254"/>
      <c r="M554" s="254"/>
      <c r="N554" s="254"/>
      <c r="O554" s="254"/>
      <c r="P554" s="254"/>
      <c r="Q554" s="254"/>
      <c r="R554" s="254"/>
      <c r="S554" s="254"/>
      <c r="T554" s="254"/>
      <c r="U554" s="254"/>
      <c r="V554" s="254"/>
      <c r="W554" s="254"/>
      <c r="X554" s="254"/>
      <c r="Y554" s="254"/>
      <c r="Z554" s="254"/>
      <c r="AA554" s="254"/>
      <c r="AB554" s="254"/>
      <c r="AC554" s="254"/>
    </row>
    <row r="555" ht="12.75" customHeight="1" spans="1:29">
      <c r="A555" s="254"/>
      <c r="B555" s="254"/>
      <c r="C555" s="254"/>
      <c r="D555" s="276"/>
      <c r="E555" s="254"/>
      <c r="F555" s="254"/>
      <c r="G555" s="254"/>
      <c r="H555" s="254"/>
      <c r="I555" s="254"/>
      <c r="J555" s="254"/>
      <c r="K555" s="254"/>
      <c r="L555" s="254"/>
      <c r="M555" s="254"/>
      <c r="N555" s="254"/>
      <c r="O555" s="254"/>
      <c r="P555" s="254"/>
      <c r="Q555" s="254"/>
      <c r="R555" s="254"/>
      <c r="S555" s="254"/>
      <c r="T555" s="254"/>
      <c r="U555" s="254"/>
      <c r="V555" s="254"/>
      <c r="W555" s="254"/>
      <c r="X555" s="254"/>
      <c r="Y555" s="254"/>
      <c r="Z555" s="254"/>
      <c r="AA555" s="254"/>
      <c r="AB555" s="254"/>
      <c r="AC555" s="254"/>
    </row>
    <row r="556" ht="12.75" customHeight="1" spans="1:29">
      <c r="A556" s="254"/>
      <c r="B556" s="254"/>
      <c r="C556" s="254"/>
      <c r="D556" s="276"/>
      <c r="E556" s="254"/>
      <c r="F556" s="254"/>
      <c r="G556" s="254"/>
      <c r="H556" s="254"/>
      <c r="I556" s="254"/>
      <c r="J556" s="254"/>
      <c r="K556" s="254"/>
      <c r="L556" s="254"/>
      <c r="M556" s="254"/>
      <c r="N556" s="254"/>
      <c r="O556" s="254"/>
      <c r="P556" s="254"/>
      <c r="Q556" s="254"/>
      <c r="R556" s="254"/>
      <c r="S556" s="254"/>
      <c r="T556" s="254"/>
      <c r="U556" s="254"/>
      <c r="V556" s="254"/>
      <c r="W556" s="254"/>
      <c r="X556" s="254"/>
      <c r="Y556" s="254"/>
      <c r="Z556" s="254"/>
      <c r="AA556" s="254"/>
      <c r="AB556" s="254"/>
      <c r="AC556" s="254"/>
    </row>
    <row r="557" ht="12.75" customHeight="1" spans="1:29">
      <c r="A557" s="254"/>
      <c r="B557" s="254"/>
      <c r="C557" s="254"/>
      <c r="D557" s="276"/>
      <c r="E557" s="254"/>
      <c r="F557" s="254"/>
      <c r="G557" s="254"/>
      <c r="H557" s="254"/>
      <c r="I557" s="254"/>
      <c r="J557" s="254"/>
      <c r="K557" s="254"/>
      <c r="L557" s="254"/>
      <c r="M557" s="254"/>
      <c r="N557" s="254"/>
      <c r="O557" s="254"/>
      <c r="P557" s="254"/>
      <c r="Q557" s="254"/>
      <c r="R557" s="254"/>
      <c r="S557" s="254"/>
      <c r="T557" s="254"/>
      <c r="U557" s="254"/>
      <c r="V557" s="254"/>
      <c r="W557" s="254"/>
      <c r="X557" s="254"/>
      <c r="Y557" s="254"/>
      <c r="Z557" s="254"/>
      <c r="AA557" s="254"/>
      <c r="AB557" s="254"/>
      <c r="AC557" s="254"/>
    </row>
    <row r="558" ht="12.75" customHeight="1" spans="1:29">
      <c r="A558" s="254"/>
      <c r="B558" s="254"/>
      <c r="C558" s="254"/>
      <c r="D558" s="276"/>
      <c r="E558" s="254"/>
      <c r="F558" s="254"/>
      <c r="G558" s="254"/>
      <c r="H558" s="254"/>
      <c r="I558" s="254"/>
      <c r="J558" s="254"/>
      <c r="K558" s="254"/>
      <c r="L558" s="254"/>
      <c r="M558" s="254"/>
      <c r="N558" s="254"/>
      <c r="O558" s="254"/>
      <c r="P558" s="254"/>
      <c r="Q558" s="254"/>
      <c r="R558" s="254"/>
      <c r="S558" s="254"/>
      <c r="T558" s="254"/>
      <c r="U558" s="254"/>
      <c r="V558" s="254"/>
      <c r="W558" s="254"/>
      <c r="X558" s="254"/>
      <c r="Y558" s="254"/>
      <c r="Z558" s="254"/>
      <c r="AA558" s="254"/>
      <c r="AB558" s="254"/>
      <c r="AC558" s="254"/>
    </row>
    <row r="559" ht="12.75" customHeight="1" spans="1:29">
      <c r="A559" s="254"/>
      <c r="B559" s="254"/>
      <c r="C559" s="254"/>
      <c r="D559" s="276"/>
      <c r="E559" s="254"/>
      <c r="F559" s="254"/>
      <c r="G559" s="254"/>
      <c r="H559" s="254"/>
      <c r="I559" s="254"/>
      <c r="J559" s="254"/>
      <c r="K559" s="254"/>
      <c r="L559" s="254"/>
      <c r="M559" s="254"/>
      <c r="N559" s="254"/>
      <c r="O559" s="254"/>
      <c r="P559" s="254"/>
      <c r="Q559" s="254"/>
      <c r="R559" s="254"/>
      <c r="S559" s="254"/>
      <c r="T559" s="254"/>
      <c r="U559" s="254"/>
      <c r="V559" s="254"/>
      <c r="W559" s="254"/>
      <c r="X559" s="254"/>
      <c r="Y559" s="254"/>
      <c r="Z559" s="254"/>
      <c r="AA559" s="254"/>
      <c r="AB559" s="254"/>
      <c r="AC559" s="254"/>
    </row>
    <row r="560" ht="12.75" customHeight="1" spans="1:29">
      <c r="A560" s="254"/>
      <c r="B560" s="254"/>
      <c r="C560" s="254"/>
      <c r="D560" s="276"/>
      <c r="E560" s="254"/>
      <c r="F560" s="254"/>
      <c r="G560" s="254"/>
      <c r="H560" s="254"/>
      <c r="I560" s="254"/>
      <c r="J560" s="254"/>
      <c r="K560" s="254"/>
      <c r="L560" s="254"/>
      <c r="M560" s="254"/>
      <c r="N560" s="254"/>
      <c r="O560" s="254"/>
      <c r="P560" s="254"/>
      <c r="Q560" s="254"/>
      <c r="R560" s="254"/>
      <c r="S560" s="254"/>
      <c r="T560" s="254"/>
      <c r="U560" s="254"/>
      <c r="V560" s="254"/>
      <c r="W560" s="254"/>
      <c r="X560" s="254"/>
      <c r="Y560" s="254"/>
      <c r="Z560" s="254"/>
      <c r="AA560" s="254"/>
      <c r="AB560" s="254"/>
      <c r="AC560" s="254"/>
    </row>
    <row r="561" ht="12.75" customHeight="1" spans="1:29">
      <c r="A561" s="254"/>
      <c r="B561" s="254"/>
      <c r="C561" s="254"/>
      <c r="D561" s="276"/>
      <c r="E561" s="254"/>
      <c r="F561" s="254"/>
      <c r="G561" s="254"/>
      <c r="H561" s="254"/>
      <c r="I561" s="254"/>
      <c r="J561" s="254"/>
      <c r="K561" s="254"/>
      <c r="L561" s="254"/>
      <c r="M561" s="254"/>
      <c r="N561" s="254"/>
      <c r="O561" s="254"/>
      <c r="P561" s="254"/>
      <c r="Q561" s="254"/>
      <c r="R561" s="254"/>
      <c r="S561" s="254"/>
      <c r="T561" s="254"/>
      <c r="U561" s="254"/>
      <c r="V561" s="254"/>
      <c r="W561" s="254"/>
      <c r="X561" s="254"/>
      <c r="Y561" s="254"/>
      <c r="Z561" s="254"/>
      <c r="AA561" s="254"/>
      <c r="AB561" s="254"/>
      <c r="AC561" s="254"/>
    </row>
    <row r="562" ht="12.75" customHeight="1" spans="1:29">
      <c r="A562" s="254"/>
      <c r="B562" s="254"/>
      <c r="C562" s="254"/>
      <c r="D562" s="276"/>
      <c r="E562" s="254"/>
      <c r="F562" s="254"/>
      <c r="G562" s="254"/>
      <c r="H562" s="254"/>
      <c r="I562" s="254"/>
      <c r="J562" s="254"/>
      <c r="K562" s="254"/>
      <c r="L562" s="254"/>
      <c r="M562" s="254"/>
      <c r="N562" s="254"/>
      <c r="O562" s="254"/>
      <c r="P562" s="254"/>
      <c r="Q562" s="254"/>
      <c r="R562" s="254"/>
      <c r="S562" s="254"/>
      <c r="T562" s="254"/>
      <c r="U562" s="254"/>
      <c r="V562" s="254"/>
      <c r="W562" s="254"/>
      <c r="X562" s="254"/>
      <c r="Y562" s="254"/>
      <c r="Z562" s="254"/>
      <c r="AA562" s="254"/>
      <c r="AB562" s="254"/>
      <c r="AC562" s="254"/>
    </row>
    <row r="563" ht="12.75" customHeight="1" spans="1:29">
      <c r="A563" s="254"/>
      <c r="B563" s="254"/>
      <c r="C563" s="254"/>
      <c r="D563" s="276"/>
      <c r="E563" s="254"/>
      <c r="F563" s="254"/>
      <c r="G563" s="254"/>
      <c r="H563" s="254"/>
      <c r="I563" s="254"/>
      <c r="J563" s="254"/>
      <c r="K563" s="254"/>
      <c r="L563" s="254"/>
      <c r="M563" s="254"/>
      <c r="N563" s="254"/>
      <c r="O563" s="254"/>
      <c r="P563" s="254"/>
      <c r="Q563" s="254"/>
      <c r="R563" s="254"/>
      <c r="S563" s="254"/>
      <c r="T563" s="254"/>
      <c r="U563" s="254"/>
      <c r="V563" s="254"/>
      <c r="W563" s="254"/>
      <c r="X563" s="254"/>
      <c r="Y563" s="254"/>
      <c r="Z563" s="254"/>
      <c r="AA563" s="254"/>
      <c r="AB563" s="254"/>
      <c r="AC563" s="254"/>
    </row>
    <row r="564" ht="12.75" customHeight="1" spans="1:29">
      <c r="A564" s="254"/>
      <c r="B564" s="254"/>
      <c r="C564" s="254"/>
      <c r="D564" s="276"/>
      <c r="E564" s="254"/>
      <c r="F564" s="254"/>
      <c r="G564" s="254"/>
      <c r="H564" s="254"/>
      <c r="I564" s="254"/>
      <c r="J564" s="254"/>
      <c r="K564" s="254"/>
      <c r="L564" s="254"/>
      <c r="M564" s="254"/>
      <c r="N564" s="254"/>
      <c r="O564" s="254"/>
      <c r="P564" s="254"/>
      <c r="Q564" s="254"/>
      <c r="R564" s="254"/>
      <c r="S564" s="254"/>
      <c r="T564" s="254"/>
      <c r="U564" s="254"/>
      <c r="V564" s="254"/>
      <c r="W564" s="254"/>
      <c r="X564" s="254"/>
      <c r="Y564" s="254"/>
      <c r="Z564" s="254"/>
      <c r="AA564" s="254"/>
      <c r="AB564" s="254"/>
      <c r="AC564" s="254"/>
    </row>
    <row r="565" ht="12.75" customHeight="1" spans="1:29">
      <c r="A565" s="254"/>
      <c r="B565" s="254"/>
      <c r="C565" s="254"/>
      <c r="D565" s="276"/>
      <c r="E565" s="254"/>
      <c r="F565" s="254"/>
      <c r="G565" s="254"/>
      <c r="H565" s="254"/>
      <c r="I565" s="254"/>
      <c r="J565" s="254"/>
      <c r="K565" s="254"/>
      <c r="L565" s="254"/>
      <c r="M565" s="254"/>
      <c r="N565" s="254"/>
      <c r="O565" s="254"/>
      <c r="P565" s="254"/>
      <c r="Q565" s="254"/>
      <c r="R565" s="254"/>
      <c r="S565" s="254"/>
      <c r="T565" s="254"/>
      <c r="U565" s="254"/>
      <c r="V565" s="254"/>
      <c r="W565" s="254"/>
      <c r="X565" s="254"/>
      <c r="Y565" s="254"/>
      <c r="Z565" s="254"/>
      <c r="AA565" s="254"/>
      <c r="AB565" s="254"/>
      <c r="AC565" s="254"/>
    </row>
    <row r="566" ht="12.75" customHeight="1" spans="1:29">
      <c r="A566" s="254"/>
      <c r="B566" s="254"/>
      <c r="C566" s="254"/>
      <c r="D566" s="276"/>
      <c r="E566" s="254"/>
      <c r="F566" s="254"/>
      <c r="G566" s="254"/>
      <c r="H566" s="254"/>
      <c r="I566" s="254"/>
      <c r="J566" s="254"/>
      <c r="K566" s="254"/>
      <c r="L566" s="254"/>
      <c r="M566" s="254"/>
      <c r="N566" s="254"/>
      <c r="O566" s="254"/>
      <c r="P566" s="254"/>
      <c r="Q566" s="254"/>
      <c r="R566" s="254"/>
      <c r="S566" s="254"/>
      <c r="T566" s="254"/>
      <c r="U566" s="254"/>
      <c r="V566" s="254"/>
      <c r="W566" s="254"/>
      <c r="X566" s="254"/>
      <c r="Y566" s="254"/>
      <c r="Z566" s="254"/>
      <c r="AA566" s="254"/>
      <c r="AB566" s="254"/>
      <c r="AC566" s="254"/>
    </row>
    <row r="567" ht="12.75" customHeight="1" spans="1:29">
      <c r="A567" s="254"/>
      <c r="B567" s="254"/>
      <c r="C567" s="254"/>
      <c r="D567" s="276"/>
      <c r="E567" s="254"/>
      <c r="F567" s="254"/>
      <c r="G567" s="254"/>
      <c r="H567" s="254"/>
      <c r="I567" s="254"/>
      <c r="J567" s="254"/>
      <c r="K567" s="254"/>
      <c r="L567" s="254"/>
      <c r="M567" s="254"/>
      <c r="N567" s="254"/>
      <c r="O567" s="254"/>
      <c r="P567" s="254"/>
      <c r="Q567" s="254"/>
      <c r="R567" s="254"/>
      <c r="S567" s="254"/>
      <c r="T567" s="254"/>
      <c r="U567" s="254"/>
      <c r="V567" s="254"/>
      <c r="W567" s="254"/>
      <c r="X567" s="254"/>
      <c r="Y567" s="254"/>
      <c r="Z567" s="254"/>
      <c r="AA567" s="254"/>
      <c r="AB567" s="254"/>
      <c r="AC567" s="254"/>
    </row>
    <row r="568" ht="12.75" customHeight="1" spans="1:29">
      <c r="A568" s="254"/>
      <c r="B568" s="254"/>
      <c r="C568" s="254"/>
      <c r="D568" s="276"/>
      <c r="E568" s="254"/>
      <c r="F568" s="254"/>
      <c r="G568" s="254"/>
      <c r="H568" s="254"/>
      <c r="I568" s="254"/>
      <c r="J568" s="254"/>
      <c r="K568" s="254"/>
      <c r="L568" s="254"/>
      <c r="M568" s="254"/>
      <c r="N568" s="254"/>
      <c r="O568" s="254"/>
      <c r="P568" s="254"/>
      <c r="Q568" s="254"/>
      <c r="R568" s="254"/>
      <c r="S568" s="254"/>
      <c r="T568" s="254"/>
      <c r="U568" s="254"/>
      <c r="V568" s="254"/>
      <c r="W568" s="254"/>
      <c r="X568" s="254"/>
      <c r="Y568" s="254"/>
      <c r="Z568" s="254"/>
      <c r="AA568" s="254"/>
      <c r="AB568" s="254"/>
      <c r="AC568" s="254"/>
    </row>
    <row r="569" ht="12.75" customHeight="1" spans="1:29">
      <c r="A569" s="254"/>
      <c r="B569" s="254"/>
      <c r="C569" s="254"/>
      <c r="D569" s="276"/>
      <c r="E569" s="254"/>
      <c r="F569" s="254"/>
      <c r="G569" s="254"/>
      <c r="H569" s="254"/>
      <c r="I569" s="254"/>
      <c r="J569" s="254"/>
      <c r="K569" s="254"/>
      <c r="L569" s="254"/>
      <c r="M569" s="254"/>
      <c r="N569" s="254"/>
      <c r="O569" s="254"/>
      <c r="P569" s="254"/>
      <c r="Q569" s="254"/>
      <c r="R569" s="254"/>
      <c r="S569" s="254"/>
      <c r="T569" s="254"/>
      <c r="U569" s="254"/>
      <c r="V569" s="254"/>
      <c r="W569" s="254"/>
      <c r="X569" s="254"/>
      <c r="Y569" s="254"/>
      <c r="Z569" s="254"/>
      <c r="AA569" s="254"/>
      <c r="AB569" s="254"/>
      <c r="AC569" s="254"/>
    </row>
    <row r="570" ht="12.75" customHeight="1" spans="1:29">
      <c r="A570" s="254"/>
      <c r="B570" s="254"/>
      <c r="C570" s="254"/>
      <c r="D570" s="276"/>
      <c r="E570" s="254"/>
      <c r="F570" s="254"/>
      <c r="G570" s="254"/>
      <c r="H570" s="254"/>
      <c r="I570" s="254"/>
      <c r="J570" s="254"/>
      <c r="K570" s="254"/>
      <c r="L570" s="254"/>
      <c r="M570" s="254"/>
      <c r="N570" s="254"/>
      <c r="O570" s="254"/>
      <c r="P570" s="254"/>
      <c r="Q570" s="254"/>
      <c r="R570" s="254"/>
      <c r="S570" s="254"/>
      <c r="T570" s="254"/>
      <c r="U570" s="254"/>
      <c r="V570" s="254"/>
      <c r="W570" s="254"/>
      <c r="X570" s="254"/>
      <c r="Y570" s="254"/>
      <c r="Z570" s="254"/>
      <c r="AA570" s="254"/>
      <c r="AB570" s="254"/>
      <c r="AC570" s="254"/>
    </row>
    <row r="571" ht="12.75" customHeight="1" spans="1:29">
      <c r="A571" s="254"/>
      <c r="B571" s="254"/>
      <c r="C571" s="254"/>
      <c r="D571" s="276"/>
      <c r="E571" s="254"/>
      <c r="F571" s="254"/>
      <c r="G571" s="254"/>
      <c r="H571" s="254"/>
      <c r="I571" s="254"/>
      <c r="J571" s="254"/>
      <c r="K571" s="254"/>
      <c r="L571" s="254"/>
      <c r="M571" s="254"/>
      <c r="N571" s="254"/>
      <c r="O571" s="254"/>
      <c r="P571" s="254"/>
      <c r="Q571" s="254"/>
      <c r="R571" s="254"/>
      <c r="S571" s="254"/>
      <c r="T571" s="254"/>
      <c r="U571" s="254"/>
      <c r="V571" s="254"/>
      <c r="W571" s="254"/>
      <c r="X571" s="254"/>
      <c r="Y571" s="254"/>
      <c r="Z571" s="254"/>
      <c r="AA571" s="254"/>
      <c r="AB571" s="254"/>
      <c r="AC571" s="254"/>
    </row>
    <row r="572" ht="12.75" customHeight="1" spans="1:29">
      <c r="A572" s="254"/>
      <c r="B572" s="254"/>
      <c r="C572" s="254"/>
      <c r="D572" s="276"/>
      <c r="E572" s="254"/>
      <c r="F572" s="254"/>
      <c r="G572" s="254"/>
      <c r="H572" s="254"/>
      <c r="I572" s="254"/>
      <c r="J572" s="254"/>
      <c r="K572" s="254"/>
      <c r="L572" s="254"/>
      <c r="M572" s="254"/>
      <c r="N572" s="254"/>
      <c r="O572" s="254"/>
      <c r="P572" s="254"/>
      <c r="Q572" s="254"/>
      <c r="R572" s="254"/>
      <c r="S572" s="254"/>
      <c r="T572" s="254"/>
      <c r="U572" s="254"/>
      <c r="V572" s="254"/>
      <c r="W572" s="254"/>
      <c r="X572" s="254"/>
      <c r="Y572" s="254"/>
      <c r="Z572" s="254"/>
      <c r="AA572" s="254"/>
      <c r="AB572" s="254"/>
      <c r="AC572" s="254"/>
    </row>
    <row r="573" ht="12.75" customHeight="1" spans="1:29">
      <c r="A573" s="254"/>
      <c r="B573" s="254"/>
      <c r="C573" s="254"/>
      <c r="D573" s="276"/>
      <c r="E573" s="254"/>
      <c r="F573" s="254"/>
      <c r="G573" s="254"/>
      <c r="H573" s="254"/>
      <c r="I573" s="254"/>
      <c r="J573" s="254"/>
      <c r="K573" s="254"/>
      <c r="L573" s="254"/>
      <c r="M573" s="254"/>
      <c r="N573" s="254"/>
      <c r="O573" s="254"/>
      <c r="P573" s="254"/>
      <c r="Q573" s="254"/>
      <c r="R573" s="254"/>
      <c r="S573" s="254"/>
      <c r="T573" s="254"/>
      <c r="U573" s="254"/>
      <c r="V573" s="254"/>
      <c r="W573" s="254"/>
      <c r="X573" s="254"/>
      <c r="Y573" s="254"/>
      <c r="Z573" s="254"/>
      <c r="AA573" s="254"/>
      <c r="AB573" s="254"/>
      <c r="AC573" s="254"/>
    </row>
    <row r="574" ht="12.75" customHeight="1" spans="1:29">
      <c r="A574" s="254"/>
      <c r="B574" s="254"/>
      <c r="C574" s="254"/>
      <c r="D574" s="276"/>
      <c r="E574" s="254"/>
      <c r="F574" s="254"/>
      <c r="G574" s="254"/>
      <c r="H574" s="254"/>
      <c r="I574" s="254"/>
      <c r="J574" s="254"/>
      <c r="K574" s="254"/>
      <c r="L574" s="254"/>
      <c r="M574" s="254"/>
      <c r="N574" s="254"/>
      <c r="O574" s="254"/>
      <c r="P574" s="254"/>
      <c r="Q574" s="254"/>
      <c r="R574" s="254"/>
      <c r="S574" s="254"/>
      <c r="T574" s="254"/>
      <c r="U574" s="254"/>
      <c r="V574" s="254"/>
      <c r="W574" s="254"/>
      <c r="X574" s="254"/>
      <c r="Y574" s="254"/>
      <c r="Z574" s="254"/>
      <c r="AA574" s="254"/>
      <c r="AB574" s="254"/>
      <c r="AC574" s="254"/>
    </row>
    <row r="575" ht="12.75" customHeight="1" spans="1:29">
      <c r="A575" s="254"/>
      <c r="B575" s="254"/>
      <c r="C575" s="254"/>
      <c r="D575" s="276"/>
      <c r="E575" s="254"/>
      <c r="F575" s="254"/>
      <c r="G575" s="254"/>
      <c r="H575" s="254"/>
      <c r="I575" s="254"/>
      <c r="J575" s="254"/>
      <c r="K575" s="254"/>
      <c r="L575" s="254"/>
      <c r="M575" s="254"/>
      <c r="N575" s="254"/>
      <c r="O575" s="254"/>
      <c r="P575" s="254"/>
      <c r="Q575" s="254"/>
      <c r="R575" s="254"/>
      <c r="S575" s="254"/>
      <c r="T575" s="254"/>
      <c r="U575" s="254"/>
      <c r="V575" s="254"/>
      <c r="W575" s="254"/>
      <c r="X575" s="254"/>
      <c r="Y575" s="254"/>
      <c r="Z575" s="254"/>
      <c r="AA575" s="254"/>
      <c r="AB575" s="254"/>
      <c r="AC575" s="254"/>
    </row>
    <row r="576" ht="12.75" customHeight="1" spans="1:29">
      <c r="A576" s="254"/>
      <c r="B576" s="254"/>
      <c r="C576" s="254"/>
      <c r="D576" s="276"/>
      <c r="E576" s="254"/>
      <c r="F576" s="254"/>
      <c r="G576" s="254"/>
      <c r="H576" s="254"/>
      <c r="I576" s="254"/>
      <c r="J576" s="254"/>
      <c r="K576" s="254"/>
      <c r="L576" s="254"/>
      <c r="M576" s="254"/>
      <c r="N576" s="254"/>
      <c r="O576" s="254"/>
      <c r="P576" s="254"/>
      <c r="Q576" s="254"/>
      <c r="R576" s="254"/>
      <c r="S576" s="254"/>
      <c r="T576" s="254"/>
      <c r="U576" s="254"/>
      <c r="V576" s="254"/>
      <c r="W576" s="254"/>
      <c r="X576" s="254"/>
      <c r="Y576" s="254"/>
      <c r="Z576" s="254"/>
      <c r="AA576" s="254"/>
      <c r="AB576" s="254"/>
      <c r="AC576" s="254"/>
    </row>
    <row r="577" ht="12.75" customHeight="1" spans="1:29">
      <c r="A577" s="254"/>
      <c r="B577" s="254"/>
      <c r="C577" s="254"/>
      <c r="D577" s="276"/>
      <c r="E577" s="254"/>
      <c r="F577" s="254"/>
      <c r="G577" s="254"/>
      <c r="H577" s="254"/>
      <c r="I577" s="254"/>
      <c r="J577" s="254"/>
      <c r="K577" s="254"/>
      <c r="L577" s="254"/>
      <c r="M577" s="254"/>
      <c r="N577" s="254"/>
      <c r="O577" s="254"/>
      <c r="P577" s="254"/>
      <c r="Q577" s="254"/>
      <c r="R577" s="254"/>
      <c r="S577" s="254"/>
      <c r="T577" s="254"/>
      <c r="U577" s="254"/>
      <c r="V577" s="254"/>
      <c r="W577" s="254"/>
      <c r="X577" s="254"/>
      <c r="Y577" s="254"/>
      <c r="Z577" s="254"/>
      <c r="AA577" s="254"/>
      <c r="AB577" s="254"/>
      <c r="AC577" s="254"/>
    </row>
    <row r="578" ht="12.75" customHeight="1" spans="1:29">
      <c r="A578" s="254"/>
      <c r="B578" s="254"/>
      <c r="C578" s="254"/>
      <c r="D578" s="276"/>
      <c r="E578" s="254"/>
      <c r="F578" s="254"/>
      <c r="G578" s="254"/>
      <c r="H578" s="254"/>
      <c r="I578" s="254"/>
      <c r="J578" s="254"/>
      <c r="K578" s="254"/>
      <c r="L578" s="254"/>
      <c r="M578" s="254"/>
      <c r="N578" s="254"/>
      <c r="O578" s="254"/>
      <c r="P578" s="254"/>
      <c r="Q578" s="254"/>
      <c r="R578" s="254"/>
      <c r="S578" s="254"/>
      <c r="T578" s="254"/>
      <c r="U578" s="254"/>
      <c r="V578" s="254"/>
      <c r="W578" s="254"/>
      <c r="X578" s="254"/>
      <c r="Y578" s="254"/>
      <c r="Z578" s="254"/>
      <c r="AA578" s="254"/>
      <c r="AB578" s="254"/>
      <c r="AC578" s="254"/>
    </row>
    <row r="579" ht="12.75" customHeight="1" spans="1:29">
      <c r="A579" s="254"/>
      <c r="B579" s="254"/>
      <c r="C579" s="254"/>
      <c r="D579" s="276"/>
      <c r="E579" s="254"/>
      <c r="F579" s="254"/>
      <c r="G579" s="254"/>
      <c r="H579" s="254"/>
      <c r="I579" s="254"/>
      <c r="J579" s="254"/>
      <c r="K579" s="254"/>
      <c r="L579" s="254"/>
      <c r="M579" s="254"/>
      <c r="N579" s="254"/>
      <c r="O579" s="254"/>
      <c r="P579" s="254"/>
      <c r="Q579" s="254"/>
      <c r="R579" s="254"/>
      <c r="S579" s="254"/>
      <c r="T579" s="254"/>
      <c r="U579" s="254"/>
      <c r="V579" s="254"/>
      <c r="W579" s="254"/>
      <c r="X579" s="254"/>
      <c r="Y579" s="254"/>
      <c r="Z579" s="254"/>
      <c r="AA579" s="254"/>
      <c r="AB579" s="254"/>
      <c r="AC579" s="254"/>
    </row>
    <row r="580" ht="12.75" customHeight="1" spans="1:29">
      <c r="A580" s="254"/>
      <c r="B580" s="254"/>
      <c r="C580" s="254"/>
      <c r="D580" s="276"/>
      <c r="E580" s="254"/>
      <c r="F580" s="254"/>
      <c r="G580" s="254"/>
      <c r="H580" s="254"/>
      <c r="I580" s="254"/>
      <c r="J580" s="254"/>
      <c r="K580" s="254"/>
      <c r="L580" s="254"/>
      <c r="M580" s="254"/>
      <c r="N580" s="254"/>
      <c r="O580" s="254"/>
      <c r="P580" s="254"/>
      <c r="Q580" s="254"/>
      <c r="R580" s="254"/>
      <c r="S580" s="254"/>
      <c r="T580" s="254"/>
      <c r="U580" s="254"/>
      <c r="V580" s="254"/>
      <c r="W580" s="254"/>
      <c r="X580" s="254"/>
      <c r="Y580" s="254"/>
      <c r="Z580" s="254"/>
      <c r="AA580" s="254"/>
      <c r="AB580" s="254"/>
      <c r="AC580" s="254"/>
    </row>
    <row r="581" ht="12.75" customHeight="1" spans="1:29">
      <c r="A581" s="254"/>
      <c r="B581" s="254"/>
      <c r="C581" s="254"/>
      <c r="D581" s="276"/>
      <c r="E581" s="254"/>
      <c r="F581" s="254"/>
      <c r="G581" s="254"/>
      <c r="H581" s="254"/>
      <c r="I581" s="254"/>
      <c r="J581" s="254"/>
      <c r="K581" s="254"/>
      <c r="L581" s="254"/>
      <c r="M581" s="254"/>
      <c r="N581" s="254"/>
      <c r="O581" s="254"/>
      <c r="P581" s="254"/>
      <c r="Q581" s="254"/>
      <c r="R581" s="254"/>
      <c r="S581" s="254"/>
      <c r="T581" s="254"/>
      <c r="U581" s="254"/>
      <c r="V581" s="254"/>
      <c r="W581" s="254"/>
      <c r="X581" s="254"/>
      <c r="Y581" s="254"/>
      <c r="Z581" s="254"/>
      <c r="AA581" s="254"/>
      <c r="AB581" s="254"/>
      <c r="AC581" s="254"/>
    </row>
    <row r="582" ht="12.75" customHeight="1" spans="1:29">
      <c r="A582" s="254"/>
      <c r="B582" s="254"/>
      <c r="C582" s="254"/>
      <c r="D582" s="276"/>
      <c r="E582" s="254"/>
      <c r="F582" s="254"/>
      <c r="G582" s="254"/>
      <c r="H582" s="254"/>
      <c r="I582" s="254"/>
      <c r="J582" s="254"/>
      <c r="K582" s="254"/>
      <c r="L582" s="254"/>
      <c r="M582" s="254"/>
      <c r="N582" s="254"/>
      <c r="O582" s="254"/>
      <c r="P582" s="254"/>
      <c r="Q582" s="254"/>
      <c r="R582" s="254"/>
      <c r="S582" s="254"/>
      <c r="T582" s="254"/>
      <c r="U582" s="254"/>
      <c r="V582" s="254"/>
      <c r="W582" s="254"/>
      <c r="X582" s="254"/>
      <c r="Y582" s="254"/>
      <c r="Z582" s="254"/>
      <c r="AA582" s="254"/>
      <c r="AB582" s="254"/>
      <c r="AC582" s="254"/>
    </row>
    <row r="583" ht="12.75" customHeight="1" spans="1:29">
      <c r="A583" s="254"/>
      <c r="B583" s="254"/>
      <c r="C583" s="254"/>
      <c r="D583" s="276"/>
      <c r="E583" s="254"/>
      <c r="F583" s="254"/>
      <c r="G583" s="254"/>
      <c r="H583" s="254"/>
      <c r="I583" s="254"/>
      <c r="J583" s="254"/>
      <c r="K583" s="254"/>
      <c r="L583" s="254"/>
      <c r="M583" s="254"/>
      <c r="N583" s="254"/>
      <c r="O583" s="254"/>
      <c r="P583" s="254"/>
      <c r="Q583" s="254"/>
      <c r="R583" s="254"/>
      <c r="S583" s="254"/>
      <c r="T583" s="254"/>
      <c r="U583" s="254"/>
      <c r="V583" s="254"/>
      <c r="W583" s="254"/>
      <c r="X583" s="254"/>
      <c r="Y583" s="254"/>
      <c r="Z583" s="254"/>
      <c r="AA583" s="254"/>
      <c r="AB583" s="254"/>
      <c r="AC583" s="254"/>
    </row>
    <row r="584" ht="12.75" customHeight="1" spans="1:29">
      <c r="A584" s="254"/>
      <c r="B584" s="254"/>
      <c r="C584" s="254"/>
      <c r="D584" s="276"/>
      <c r="E584" s="254"/>
      <c r="F584" s="254"/>
      <c r="G584" s="254"/>
      <c r="H584" s="254"/>
      <c r="I584" s="254"/>
      <c r="J584" s="254"/>
      <c r="K584" s="254"/>
      <c r="L584" s="254"/>
      <c r="M584" s="254"/>
      <c r="N584" s="254"/>
      <c r="O584" s="254"/>
      <c r="P584" s="254"/>
      <c r="Q584" s="254"/>
      <c r="R584" s="254"/>
      <c r="S584" s="254"/>
      <c r="T584" s="254"/>
      <c r="U584" s="254"/>
      <c r="V584" s="254"/>
      <c r="W584" s="254"/>
      <c r="X584" s="254"/>
      <c r="Y584" s="254"/>
      <c r="Z584" s="254"/>
      <c r="AA584" s="254"/>
      <c r="AB584" s="254"/>
      <c r="AC584" s="254"/>
    </row>
    <row r="585" ht="12.75" customHeight="1" spans="1:29">
      <c r="A585" s="254"/>
      <c r="B585" s="254"/>
      <c r="C585" s="254"/>
      <c r="D585" s="276"/>
      <c r="E585" s="254"/>
      <c r="F585" s="254"/>
      <c r="G585" s="254"/>
      <c r="H585" s="254"/>
      <c r="I585" s="254"/>
      <c r="J585" s="254"/>
      <c r="K585" s="254"/>
      <c r="L585" s="254"/>
      <c r="M585" s="254"/>
      <c r="N585" s="254"/>
      <c r="O585" s="254"/>
      <c r="P585" s="254"/>
      <c r="Q585" s="254"/>
      <c r="R585" s="254"/>
      <c r="S585" s="254"/>
      <c r="T585" s="254"/>
      <c r="U585" s="254"/>
      <c r="V585" s="254"/>
      <c r="W585" s="254"/>
      <c r="X585" s="254"/>
      <c r="Y585" s="254"/>
      <c r="Z585" s="254"/>
      <c r="AA585" s="254"/>
      <c r="AB585" s="254"/>
      <c r="AC585" s="254"/>
    </row>
    <row r="586" ht="12.75" customHeight="1" spans="1:29">
      <c r="A586" s="254"/>
      <c r="B586" s="254"/>
      <c r="C586" s="254"/>
      <c r="D586" s="276"/>
      <c r="E586" s="254"/>
      <c r="F586" s="254"/>
      <c r="G586" s="254"/>
      <c r="H586" s="254"/>
      <c r="I586" s="254"/>
      <c r="J586" s="254"/>
      <c r="K586" s="254"/>
      <c r="L586" s="254"/>
      <c r="M586" s="254"/>
      <c r="N586" s="254"/>
      <c r="O586" s="254"/>
      <c r="P586" s="254"/>
      <c r="Q586" s="254"/>
      <c r="R586" s="254"/>
      <c r="S586" s="254"/>
      <c r="T586" s="254"/>
      <c r="U586" s="254"/>
      <c r="V586" s="254"/>
      <c r="W586" s="254"/>
      <c r="X586" s="254"/>
      <c r="Y586" s="254"/>
      <c r="Z586" s="254"/>
      <c r="AA586" s="254"/>
      <c r="AB586" s="254"/>
      <c r="AC586" s="254"/>
    </row>
    <row r="587" ht="12.75" customHeight="1" spans="1:29">
      <c r="A587" s="254"/>
      <c r="B587" s="254"/>
      <c r="C587" s="254"/>
      <c r="D587" s="276"/>
      <c r="E587" s="254"/>
      <c r="F587" s="254"/>
      <c r="G587" s="254"/>
      <c r="H587" s="254"/>
      <c r="I587" s="254"/>
      <c r="J587" s="254"/>
      <c r="K587" s="254"/>
      <c r="L587" s="254"/>
      <c r="M587" s="254"/>
      <c r="N587" s="254"/>
      <c r="O587" s="254"/>
      <c r="P587" s="254"/>
      <c r="Q587" s="254"/>
      <c r="R587" s="254"/>
      <c r="S587" s="254"/>
      <c r="T587" s="254"/>
      <c r="U587" s="254"/>
      <c r="V587" s="254"/>
      <c r="W587" s="254"/>
      <c r="X587" s="254"/>
      <c r="Y587" s="254"/>
      <c r="Z587" s="254"/>
      <c r="AA587" s="254"/>
      <c r="AB587" s="254"/>
      <c r="AC587" s="254"/>
    </row>
    <row r="588" ht="12.75" customHeight="1" spans="1:29">
      <c r="A588" s="254"/>
      <c r="B588" s="254"/>
      <c r="C588" s="254"/>
      <c r="D588" s="276"/>
      <c r="E588" s="254"/>
      <c r="F588" s="254"/>
      <c r="G588" s="254"/>
      <c r="H588" s="254"/>
      <c r="I588" s="254"/>
      <c r="J588" s="254"/>
      <c r="K588" s="254"/>
      <c r="L588" s="254"/>
      <c r="M588" s="254"/>
      <c r="N588" s="254"/>
      <c r="O588" s="254"/>
      <c r="P588" s="254"/>
      <c r="Q588" s="254"/>
      <c r="R588" s="254"/>
      <c r="S588" s="254"/>
      <c r="T588" s="254"/>
      <c r="U588" s="254"/>
      <c r="V588" s="254"/>
      <c r="W588" s="254"/>
      <c r="X588" s="254"/>
      <c r="Y588" s="254"/>
      <c r="Z588" s="254"/>
      <c r="AA588" s="254"/>
      <c r="AB588" s="254"/>
      <c r="AC588" s="254"/>
    </row>
    <row r="589" ht="12.75" customHeight="1" spans="1:29">
      <c r="A589" s="254"/>
      <c r="B589" s="254"/>
      <c r="C589" s="254"/>
      <c r="D589" s="276"/>
      <c r="E589" s="254"/>
      <c r="F589" s="254"/>
      <c r="G589" s="254"/>
      <c r="H589" s="254"/>
      <c r="I589" s="254"/>
      <c r="J589" s="254"/>
      <c r="K589" s="254"/>
      <c r="L589" s="254"/>
      <c r="M589" s="254"/>
      <c r="N589" s="254"/>
      <c r="O589" s="254"/>
      <c r="P589" s="254"/>
      <c r="Q589" s="254"/>
      <c r="R589" s="254"/>
      <c r="S589" s="254"/>
      <c r="T589" s="254"/>
      <c r="U589" s="254"/>
      <c r="V589" s="254"/>
      <c r="W589" s="254"/>
      <c r="X589" s="254"/>
      <c r="Y589" s="254"/>
      <c r="Z589" s="254"/>
      <c r="AA589" s="254"/>
      <c r="AB589" s="254"/>
      <c r="AC589" s="254"/>
    </row>
    <row r="590" ht="12.75" customHeight="1" spans="1:29">
      <c r="A590" s="254"/>
      <c r="B590" s="254"/>
      <c r="C590" s="254"/>
      <c r="D590" s="276"/>
      <c r="E590" s="254"/>
      <c r="F590" s="254"/>
      <c r="G590" s="254"/>
      <c r="H590" s="254"/>
      <c r="I590" s="254"/>
      <c r="J590" s="254"/>
      <c r="K590" s="254"/>
      <c r="L590" s="254"/>
      <c r="M590" s="254"/>
      <c r="N590" s="254"/>
      <c r="O590" s="254"/>
      <c r="P590" s="254"/>
      <c r="Q590" s="254"/>
      <c r="R590" s="254"/>
      <c r="S590" s="254"/>
      <c r="T590" s="254"/>
      <c r="U590" s="254"/>
      <c r="V590" s="254"/>
      <c r="W590" s="254"/>
      <c r="X590" s="254"/>
      <c r="Y590" s="254"/>
      <c r="Z590" s="254"/>
      <c r="AA590" s="254"/>
      <c r="AB590" s="254"/>
      <c r="AC590" s="254"/>
    </row>
    <row r="591" ht="12.75" customHeight="1" spans="1:29">
      <c r="A591" s="254"/>
      <c r="B591" s="254"/>
      <c r="C591" s="254"/>
      <c r="D591" s="276"/>
      <c r="E591" s="254"/>
      <c r="F591" s="254"/>
      <c r="G591" s="254"/>
      <c r="H591" s="254"/>
      <c r="I591" s="254"/>
      <c r="J591" s="254"/>
      <c r="K591" s="254"/>
      <c r="L591" s="254"/>
      <c r="M591" s="254"/>
      <c r="N591" s="254"/>
      <c r="O591" s="254"/>
      <c r="P591" s="254"/>
      <c r="Q591" s="254"/>
      <c r="R591" s="254"/>
      <c r="S591" s="254"/>
      <c r="T591" s="254"/>
      <c r="U591" s="254"/>
      <c r="V591" s="254"/>
      <c r="W591" s="254"/>
      <c r="X591" s="254"/>
      <c r="Y591" s="254"/>
      <c r="Z591" s="254"/>
      <c r="AA591" s="254"/>
      <c r="AB591" s="254"/>
      <c r="AC591" s="254"/>
    </row>
    <row r="592" ht="12.75" customHeight="1" spans="1:29">
      <c r="A592" s="254"/>
      <c r="B592" s="254"/>
      <c r="C592" s="254"/>
      <c r="D592" s="276"/>
      <c r="E592" s="254"/>
      <c r="F592" s="254"/>
      <c r="G592" s="254"/>
      <c r="H592" s="254"/>
      <c r="I592" s="254"/>
      <c r="J592" s="254"/>
      <c r="K592" s="254"/>
      <c r="L592" s="254"/>
      <c r="M592" s="254"/>
      <c r="N592" s="254"/>
      <c r="O592" s="254"/>
      <c r="P592" s="254"/>
      <c r="Q592" s="254"/>
      <c r="R592" s="254"/>
      <c r="S592" s="254"/>
      <c r="T592" s="254"/>
      <c r="U592" s="254"/>
      <c r="V592" s="254"/>
      <c r="W592" s="254"/>
      <c r="X592" s="254"/>
      <c r="Y592" s="254"/>
      <c r="Z592" s="254"/>
      <c r="AA592" s="254"/>
      <c r="AB592" s="254"/>
      <c r="AC592" s="254"/>
    </row>
    <row r="593" ht="12.75" customHeight="1" spans="1:29">
      <c r="A593" s="254"/>
      <c r="B593" s="254"/>
      <c r="C593" s="254"/>
      <c r="D593" s="276"/>
      <c r="E593" s="254"/>
      <c r="F593" s="254"/>
      <c r="G593" s="254"/>
      <c r="H593" s="254"/>
      <c r="I593" s="254"/>
      <c r="J593" s="254"/>
      <c r="K593" s="254"/>
      <c r="L593" s="254"/>
      <c r="M593" s="254"/>
      <c r="N593" s="254"/>
      <c r="O593" s="254"/>
      <c r="P593" s="254"/>
      <c r="Q593" s="254"/>
      <c r="R593" s="254"/>
      <c r="S593" s="254"/>
      <c r="T593" s="254"/>
      <c r="U593" s="254"/>
      <c r="V593" s="254"/>
      <c r="W593" s="254"/>
      <c r="X593" s="254"/>
      <c r="Y593" s="254"/>
      <c r="Z593" s="254"/>
      <c r="AA593" s="254"/>
      <c r="AB593" s="254"/>
      <c r="AC593" s="254"/>
    </row>
    <row r="594" ht="12.75" customHeight="1" spans="1:29">
      <c r="A594" s="254"/>
      <c r="B594" s="254"/>
      <c r="C594" s="254"/>
      <c r="D594" s="276"/>
      <c r="E594" s="254"/>
      <c r="F594" s="254"/>
      <c r="G594" s="254"/>
      <c r="H594" s="254"/>
      <c r="I594" s="254"/>
      <c r="J594" s="254"/>
      <c r="K594" s="254"/>
      <c r="L594" s="254"/>
      <c r="M594" s="254"/>
      <c r="N594" s="254"/>
      <c r="O594" s="254"/>
      <c r="P594" s="254"/>
      <c r="Q594" s="254"/>
      <c r="R594" s="254"/>
      <c r="S594" s="254"/>
      <c r="T594" s="254"/>
      <c r="U594" s="254"/>
      <c r="V594" s="254"/>
      <c r="W594" s="254"/>
      <c r="X594" s="254"/>
      <c r="Y594" s="254"/>
      <c r="Z594" s="254"/>
      <c r="AA594" s="254"/>
      <c r="AB594" s="254"/>
      <c r="AC594" s="254"/>
    </row>
    <row r="595" ht="12.75" customHeight="1" spans="1:29">
      <c r="A595" s="254"/>
      <c r="B595" s="254"/>
      <c r="C595" s="254"/>
      <c r="D595" s="276"/>
      <c r="E595" s="254"/>
      <c r="F595" s="254"/>
      <c r="G595" s="254"/>
      <c r="H595" s="254"/>
      <c r="I595" s="254"/>
      <c r="J595" s="254"/>
      <c r="K595" s="254"/>
      <c r="L595" s="254"/>
      <c r="M595" s="254"/>
      <c r="N595" s="254"/>
      <c r="O595" s="254"/>
      <c r="P595" s="254"/>
      <c r="Q595" s="254"/>
      <c r="R595" s="254"/>
      <c r="S595" s="254"/>
      <c r="T595" s="254"/>
      <c r="U595" s="254"/>
      <c r="V595" s="254"/>
      <c r="W595" s="254"/>
      <c r="X595" s="254"/>
      <c r="Y595" s="254"/>
      <c r="Z595" s="254"/>
      <c r="AA595" s="254"/>
      <c r="AB595" s="254"/>
      <c r="AC595" s="254"/>
    </row>
    <row r="596" ht="12.75" customHeight="1" spans="1:29">
      <c r="A596" s="254"/>
      <c r="B596" s="254"/>
      <c r="C596" s="254"/>
      <c r="D596" s="276"/>
      <c r="E596" s="254"/>
      <c r="F596" s="254"/>
      <c r="G596" s="254"/>
      <c r="H596" s="254"/>
      <c r="I596" s="254"/>
      <c r="J596" s="254"/>
      <c r="K596" s="254"/>
      <c r="L596" s="254"/>
      <c r="M596" s="254"/>
      <c r="N596" s="254"/>
      <c r="O596" s="254"/>
      <c r="P596" s="254"/>
      <c r="Q596" s="254"/>
      <c r="R596" s="254"/>
      <c r="S596" s="254"/>
      <c r="T596" s="254"/>
      <c r="U596" s="254"/>
      <c r="V596" s="254"/>
      <c r="W596" s="254"/>
      <c r="X596" s="254"/>
      <c r="Y596" s="254"/>
      <c r="Z596" s="254"/>
      <c r="AA596" s="254"/>
      <c r="AB596" s="254"/>
      <c r="AC596" s="254"/>
    </row>
    <row r="597" ht="12.75" customHeight="1" spans="1:29">
      <c r="A597" s="254"/>
      <c r="B597" s="254"/>
      <c r="C597" s="254"/>
      <c r="D597" s="276"/>
      <c r="E597" s="254"/>
      <c r="F597" s="254"/>
      <c r="G597" s="254"/>
      <c r="H597" s="254"/>
      <c r="I597" s="254"/>
      <c r="J597" s="254"/>
      <c r="K597" s="254"/>
      <c r="L597" s="254"/>
      <c r="M597" s="254"/>
      <c r="N597" s="254"/>
      <c r="O597" s="254"/>
      <c r="P597" s="254"/>
      <c r="Q597" s="254"/>
      <c r="R597" s="254"/>
      <c r="S597" s="254"/>
      <c r="T597" s="254"/>
      <c r="U597" s="254"/>
      <c r="V597" s="254"/>
      <c r="W597" s="254"/>
      <c r="X597" s="254"/>
      <c r="Y597" s="254"/>
      <c r="Z597" s="254"/>
      <c r="AA597" s="254"/>
      <c r="AB597" s="254"/>
      <c r="AC597" s="254"/>
    </row>
    <row r="598" ht="12.75" customHeight="1" spans="1:29">
      <c r="A598" s="254"/>
      <c r="B598" s="254"/>
      <c r="C598" s="254"/>
      <c r="D598" s="276"/>
      <c r="E598" s="254"/>
      <c r="F598" s="254"/>
      <c r="G598" s="254"/>
      <c r="H598" s="254"/>
      <c r="I598" s="254"/>
      <c r="J598" s="254"/>
      <c r="K598" s="254"/>
      <c r="L598" s="254"/>
      <c r="M598" s="254"/>
      <c r="N598" s="254"/>
      <c r="O598" s="254"/>
      <c r="P598" s="254"/>
      <c r="Q598" s="254"/>
      <c r="R598" s="254"/>
      <c r="S598" s="254"/>
      <c r="T598" s="254"/>
      <c r="U598" s="254"/>
      <c r="V598" s="254"/>
      <c r="W598" s="254"/>
      <c r="X598" s="254"/>
      <c r="Y598" s="254"/>
      <c r="Z598" s="254"/>
      <c r="AA598" s="254"/>
      <c r="AB598" s="254"/>
      <c r="AC598" s="254"/>
    </row>
    <row r="599" ht="12.75" customHeight="1" spans="1:29">
      <c r="A599" s="254"/>
      <c r="B599" s="254"/>
      <c r="C599" s="254"/>
      <c r="D599" s="276"/>
      <c r="E599" s="254"/>
      <c r="F599" s="254"/>
      <c r="G599" s="254"/>
      <c r="H599" s="254"/>
      <c r="I599" s="254"/>
      <c r="J599" s="254"/>
      <c r="K599" s="254"/>
      <c r="L599" s="254"/>
      <c r="M599" s="254"/>
      <c r="N599" s="254"/>
      <c r="O599" s="254"/>
      <c r="P599" s="254"/>
      <c r="Q599" s="254"/>
      <c r="R599" s="254"/>
      <c r="S599" s="254"/>
      <c r="T599" s="254"/>
      <c r="U599" s="254"/>
      <c r="V599" s="254"/>
      <c r="W599" s="254"/>
      <c r="X599" s="254"/>
      <c r="Y599" s="254"/>
      <c r="Z599" s="254"/>
      <c r="AA599" s="254"/>
      <c r="AB599" s="254"/>
      <c r="AC599" s="254"/>
    </row>
    <row r="600" ht="12.75" customHeight="1" spans="1:29">
      <c r="A600" s="254"/>
      <c r="B600" s="254"/>
      <c r="C600" s="254"/>
      <c r="D600" s="276"/>
      <c r="E600" s="254"/>
      <c r="F600" s="254"/>
      <c r="G600" s="254"/>
      <c r="H600" s="254"/>
      <c r="I600" s="254"/>
      <c r="J600" s="254"/>
      <c r="K600" s="254"/>
      <c r="L600" s="254"/>
      <c r="M600" s="254"/>
      <c r="N600" s="254"/>
      <c r="O600" s="254"/>
      <c r="P600" s="254"/>
      <c r="Q600" s="254"/>
      <c r="R600" s="254"/>
      <c r="S600" s="254"/>
      <c r="T600" s="254"/>
      <c r="U600" s="254"/>
      <c r="V600" s="254"/>
      <c r="W600" s="254"/>
      <c r="X600" s="254"/>
      <c r="Y600" s="254"/>
      <c r="Z600" s="254"/>
      <c r="AA600" s="254"/>
      <c r="AB600" s="254"/>
      <c r="AC600" s="254"/>
    </row>
    <row r="601" ht="12.75" customHeight="1" spans="1:29">
      <c r="A601" s="254"/>
      <c r="B601" s="254"/>
      <c r="C601" s="254"/>
      <c r="D601" s="276"/>
      <c r="E601" s="254"/>
      <c r="F601" s="254"/>
      <c r="G601" s="254"/>
      <c r="H601" s="254"/>
      <c r="I601" s="254"/>
      <c r="J601" s="254"/>
      <c r="K601" s="254"/>
      <c r="L601" s="254"/>
      <c r="M601" s="254"/>
      <c r="N601" s="254"/>
      <c r="O601" s="254"/>
      <c r="P601" s="254"/>
      <c r="Q601" s="254"/>
      <c r="R601" s="254"/>
      <c r="S601" s="254"/>
      <c r="T601" s="254"/>
      <c r="U601" s="254"/>
      <c r="V601" s="254"/>
      <c r="W601" s="254"/>
      <c r="X601" s="254"/>
      <c r="Y601" s="254"/>
      <c r="Z601" s="254"/>
      <c r="AA601" s="254"/>
      <c r="AB601" s="254"/>
      <c r="AC601" s="254"/>
    </row>
    <row r="602" ht="12.75" customHeight="1" spans="1:29">
      <c r="A602" s="254"/>
      <c r="B602" s="254"/>
      <c r="C602" s="254"/>
      <c r="D602" s="276"/>
      <c r="E602" s="254"/>
      <c r="F602" s="254"/>
      <c r="G602" s="254"/>
      <c r="H602" s="254"/>
      <c r="I602" s="254"/>
      <c r="J602" s="254"/>
      <c r="K602" s="254"/>
      <c r="L602" s="254"/>
      <c r="M602" s="254"/>
      <c r="N602" s="254"/>
      <c r="O602" s="254"/>
      <c r="P602" s="254"/>
      <c r="Q602" s="254"/>
      <c r="R602" s="254"/>
      <c r="S602" s="254"/>
      <c r="T602" s="254"/>
      <c r="U602" s="254"/>
      <c r="V602" s="254"/>
      <c r="W602" s="254"/>
      <c r="X602" s="254"/>
      <c r="Y602" s="254"/>
      <c r="Z602" s="254"/>
      <c r="AA602" s="254"/>
      <c r="AB602" s="254"/>
      <c r="AC602" s="254"/>
    </row>
    <row r="603" ht="12.75" customHeight="1" spans="1:29">
      <c r="A603" s="254"/>
      <c r="B603" s="254"/>
      <c r="C603" s="254"/>
      <c r="D603" s="276"/>
      <c r="E603" s="254"/>
      <c r="F603" s="254"/>
      <c r="G603" s="254"/>
      <c r="H603" s="254"/>
      <c r="I603" s="254"/>
      <c r="J603" s="254"/>
      <c r="K603" s="254"/>
      <c r="L603" s="254"/>
      <c r="M603" s="254"/>
      <c r="N603" s="254"/>
      <c r="O603" s="254"/>
      <c r="P603" s="254"/>
      <c r="Q603" s="254"/>
      <c r="R603" s="254"/>
      <c r="S603" s="254"/>
      <c r="T603" s="254"/>
      <c r="U603" s="254"/>
      <c r="V603" s="254"/>
      <c r="W603" s="254"/>
      <c r="X603" s="254"/>
      <c r="Y603" s="254"/>
      <c r="Z603" s="254"/>
      <c r="AA603" s="254"/>
      <c r="AB603" s="254"/>
      <c r="AC603" s="254"/>
    </row>
    <row r="604" ht="12.75" customHeight="1" spans="1:29">
      <c r="A604" s="254"/>
      <c r="B604" s="254"/>
      <c r="C604" s="254"/>
      <c r="D604" s="276"/>
      <c r="E604" s="254"/>
      <c r="F604" s="254"/>
      <c r="G604" s="254"/>
      <c r="H604" s="254"/>
      <c r="I604" s="254"/>
      <c r="J604" s="254"/>
      <c r="K604" s="254"/>
      <c r="L604" s="254"/>
      <c r="M604" s="254"/>
      <c r="N604" s="254"/>
      <c r="O604" s="254"/>
      <c r="P604" s="254"/>
      <c r="Q604" s="254"/>
      <c r="R604" s="254"/>
      <c r="S604" s="254"/>
      <c r="T604" s="254"/>
      <c r="U604" s="254"/>
      <c r="V604" s="254"/>
      <c r="W604" s="254"/>
      <c r="X604" s="254"/>
      <c r="Y604" s="254"/>
      <c r="Z604" s="254"/>
      <c r="AA604" s="254"/>
      <c r="AB604" s="254"/>
      <c r="AC604" s="254"/>
    </row>
    <row r="605" ht="12.75" customHeight="1" spans="1:29">
      <c r="A605" s="254"/>
      <c r="B605" s="254"/>
      <c r="C605" s="254"/>
      <c r="D605" s="276"/>
      <c r="E605" s="254"/>
      <c r="F605" s="254"/>
      <c r="G605" s="254"/>
      <c r="H605" s="254"/>
      <c r="I605" s="254"/>
      <c r="J605" s="254"/>
      <c r="K605" s="254"/>
      <c r="L605" s="254"/>
      <c r="M605" s="254"/>
      <c r="N605" s="254"/>
      <c r="O605" s="254"/>
      <c r="P605" s="254"/>
      <c r="Q605" s="254"/>
      <c r="R605" s="254"/>
      <c r="S605" s="254"/>
      <c r="T605" s="254"/>
      <c r="U605" s="254"/>
      <c r="V605" s="254"/>
      <c r="W605" s="254"/>
      <c r="X605" s="254"/>
      <c r="Y605" s="254"/>
      <c r="Z605" s="254"/>
      <c r="AA605" s="254"/>
      <c r="AB605" s="254"/>
      <c r="AC605" s="254"/>
    </row>
    <row r="606" ht="12.75" customHeight="1" spans="1:29">
      <c r="A606" s="254"/>
      <c r="B606" s="254"/>
      <c r="C606" s="254"/>
      <c r="D606" s="276"/>
      <c r="E606" s="254"/>
      <c r="F606" s="254"/>
      <c r="G606" s="254"/>
      <c r="H606" s="254"/>
      <c r="I606" s="254"/>
      <c r="J606" s="254"/>
      <c r="K606" s="254"/>
      <c r="L606" s="254"/>
      <c r="M606" s="254"/>
      <c r="N606" s="254"/>
      <c r="O606" s="254"/>
      <c r="P606" s="254"/>
      <c r="Q606" s="254"/>
      <c r="R606" s="254"/>
      <c r="S606" s="254"/>
      <c r="T606" s="254"/>
      <c r="U606" s="254"/>
      <c r="V606" s="254"/>
      <c r="W606" s="254"/>
      <c r="X606" s="254"/>
      <c r="Y606" s="254"/>
      <c r="Z606" s="254"/>
      <c r="AA606" s="254"/>
      <c r="AB606" s="254"/>
      <c r="AC606" s="254"/>
    </row>
    <row r="607" ht="12.75" customHeight="1" spans="1:29">
      <c r="A607" s="254"/>
      <c r="B607" s="254"/>
      <c r="C607" s="254"/>
      <c r="D607" s="276"/>
      <c r="E607" s="254"/>
      <c r="F607" s="254"/>
      <c r="G607" s="254"/>
      <c r="H607" s="254"/>
      <c r="I607" s="254"/>
      <c r="J607" s="254"/>
      <c r="K607" s="254"/>
      <c r="L607" s="254"/>
      <c r="M607" s="254"/>
      <c r="N607" s="254"/>
      <c r="O607" s="254"/>
      <c r="P607" s="254"/>
      <c r="Q607" s="254"/>
      <c r="R607" s="254"/>
      <c r="S607" s="254"/>
      <c r="T607" s="254"/>
      <c r="U607" s="254"/>
      <c r="V607" s="254"/>
      <c r="W607" s="254"/>
      <c r="X607" s="254"/>
      <c r="Y607" s="254"/>
      <c r="Z607" s="254"/>
      <c r="AA607" s="254"/>
      <c r="AB607" s="254"/>
      <c r="AC607" s="254"/>
    </row>
    <row r="608" ht="12.75" customHeight="1" spans="1:29">
      <c r="A608" s="254"/>
      <c r="B608" s="254"/>
      <c r="C608" s="254"/>
      <c r="D608" s="276"/>
      <c r="E608" s="254"/>
      <c r="F608" s="254"/>
      <c r="G608" s="254"/>
      <c r="H608" s="254"/>
      <c r="I608" s="254"/>
      <c r="J608" s="254"/>
      <c r="K608" s="254"/>
      <c r="L608" s="254"/>
      <c r="M608" s="254"/>
      <c r="N608" s="254"/>
      <c r="O608" s="254"/>
      <c r="P608" s="254"/>
      <c r="Q608" s="254"/>
      <c r="R608" s="254"/>
      <c r="S608" s="254"/>
      <c r="T608" s="254"/>
      <c r="U608" s="254"/>
      <c r="V608" s="254"/>
      <c r="W608" s="254"/>
      <c r="X608" s="254"/>
      <c r="Y608" s="254"/>
      <c r="Z608" s="254"/>
      <c r="AA608" s="254"/>
      <c r="AB608" s="254"/>
      <c r="AC608" s="254"/>
    </row>
    <row r="609" ht="12.75" customHeight="1" spans="1:29">
      <c r="A609" s="254"/>
      <c r="B609" s="254"/>
      <c r="C609" s="254"/>
      <c r="D609" s="276"/>
      <c r="E609" s="254"/>
      <c r="F609" s="254"/>
      <c r="G609" s="254"/>
      <c r="H609" s="254"/>
      <c r="I609" s="254"/>
      <c r="J609" s="254"/>
      <c r="K609" s="254"/>
      <c r="L609" s="254"/>
      <c r="M609" s="254"/>
      <c r="N609" s="254"/>
      <c r="O609" s="254"/>
      <c r="P609" s="254"/>
      <c r="Q609" s="254"/>
      <c r="R609" s="254"/>
      <c r="S609" s="254"/>
      <c r="T609" s="254"/>
      <c r="U609" s="254"/>
      <c r="V609" s="254"/>
      <c r="W609" s="254"/>
      <c r="X609" s="254"/>
      <c r="Y609" s="254"/>
      <c r="Z609" s="254"/>
      <c r="AA609" s="254"/>
      <c r="AB609" s="254"/>
      <c r="AC609" s="254"/>
    </row>
    <row r="610" ht="12.75" customHeight="1" spans="1:29">
      <c r="A610" s="254"/>
      <c r="B610" s="254"/>
      <c r="C610" s="254"/>
      <c r="D610" s="276"/>
      <c r="E610" s="254"/>
      <c r="F610" s="254"/>
      <c r="G610" s="254"/>
      <c r="H610" s="254"/>
      <c r="I610" s="254"/>
      <c r="J610" s="254"/>
      <c r="K610" s="254"/>
      <c r="L610" s="254"/>
      <c r="M610" s="254"/>
      <c r="N610" s="254"/>
      <c r="O610" s="254"/>
      <c r="P610" s="254"/>
      <c r="Q610" s="254"/>
      <c r="R610" s="254"/>
      <c r="S610" s="254"/>
      <c r="T610" s="254"/>
      <c r="U610" s="254"/>
      <c r="V610" s="254"/>
      <c r="W610" s="254"/>
      <c r="X610" s="254"/>
      <c r="Y610" s="254"/>
      <c r="Z610" s="254"/>
      <c r="AA610" s="254"/>
      <c r="AB610" s="254"/>
      <c r="AC610" s="254"/>
    </row>
    <row r="611" ht="12.75" customHeight="1" spans="1:29">
      <c r="A611" s="254"/>
      <c r="B611" s="254"/>
      <c r="C611" s="254"/>
      <c r="D611" s="276"/>
      <c r="E611" s="254"/>
      <c r="F611" s="254"/>
      <c r="G611" s="254"/>
      <c r="H611" s="254"/>
      <c r="I611" s="254"/>
      <c r="J611" s="254"/>
      <c r="K611" s="254"/>
      <c r="L611" s="254"/>
      <c r="M611" s="254"/>
      <c r="N611" s="254"/>
      <c r="O611" s="254"/>
      <c r="P611" s="254"/>
      <c r="Q611" s="254"/>
      <c r="R611" s="254"/>
      <c r="S611" s="254"/>
      <c r="T611" s="254"/>
      <c r="U611" s="254"/>
      <c r="V611" s="254"/>
      <c r="W611" s="254"/>
      <c r="X611" s="254"/>
      <c r="Y611" s="254"/>
      <c r="Z611" s="254"/>
      <c r="AA611" s="254"/>
      <c r="AB611" s="254"/>
      <c r="AC611" s="254"/>
    </row>
    <row r="612" ht="12.75" customHeight="1" spans="1:29">
      <c r="A612" s="254"/>
      <c r="B612" s="254"/>
      <c r="C612" s="254"/>
      <c r="D612" s="276"/>
      <c r="E612" s="254"/>
      <c r="F612" s="254"/>
      <c r="G612" s="254"/>
      <c r="H612" s="254"/>
      <c r="I612" s="254"/>
      <c r="J612" s="254"/>
      <c r="K612" s="254"/>
      <c r="L612" s="254"/>
      <c r="M612" s="254"/>
      <c r="N612" s="254"/>
      <c r="O612" s="254"/>
      <c r="P612" s="254"/>
      <c r="Q612" s="254"/>
      <c r="R612" s="254"/>
      <c r="S612" s="254"/>
      <c r="T612" s="254"/>
      <c r="U612" s="254"/>
      <c r="V612" s="254"/>
      <c r="W612" s="254"/>
      <c r="X612" s="254"/>
      <c r="Y612" s="254"/>
      <c r="Z612" s="254"/>
      <c r="AA612" s="254"/>
      <c r="AB612" s="254"/>
      <c r="AC612" s="254"/>
    </row>
    <row r="613" ht="12.75" customHeight="1" spans="1:29">
      <c r="A613" s="254"/>
      <c r="B613" s="254"/>
      <c r="C613" s="254"/>
      <c r="D613" s="276"/>
      <c r="E613" s="254"/>
      <c r="F613" s="254"/>
      <c r="G613" s="254"/>
      <c r="H613" s="254"/>
      <c r="I613" s="254"/>
      <c r="J613" s="254"/>
      <c r="K613" s="254"/>
      <c r="L613" s="254"/>
      <c r="M613" s="254"/>
      <c r="N613" s="254"/>
      <c r="O613" s="254"/>
      <c r="P613" s="254"/>
      <c r="Q613" s="254"/>
      <c r="R613" s="254"/>
      <c r="S613" s="254"/>
      <c r="T613" s="254"/>
      <c r="U613" s="254"/>
      <c r="V613" s="254"/>
      <c r="W613" s="254"/>
      <c r="X613" s="254"/>
      <c r="Y613" s="254"/>
      <c r="Z613" s="254"/>
      <c r="AA613" s="254"/>
      <c r="AB613" s="254"/>
      <c r="AC613" s="254"/>
    </row>
    <row r="614" ht="12.75" customHeight="1" spans="1:29">
      <c r="A614" s="254"/>
      <c r="B614" s="254"/>
      <c r="C614" s="254"/>
      <c r="D614" s="276"/>
      <c r="E614" s="254"/>
      <c r="F614" s="254"/>
      <c r="G614" s="254"/>
      <c r="H614" s="254"/>
      <c r="I614" s="254"/>
      <c r="J614" s="254"/>
      <c r="K614" s="254"/>
      <c r="L614" s="254"/>
      <c r="M614" s="254"/>
      <c r="N614" s="254"/>
      <c r="O614" s="254"/>
      <c r="P614" s="254"/>
      <c r="Q614" s="254"/>
      <c r="R614" s="254"/>
      <c r="S614" s="254"/>
      <c r="T614" s="254"/>
      <c r="U614" s="254"/>
      <c r="V614" s="254"/>
      <c r="W614" s="254"/>
      <c r="X614" s="254"/>
      <c r="Y614" s="254"/>
      <c r="Z614" s="254"/>
      <c r="AA614" s="254"/>
      <c r="AB614" s="254"/>
      <c r="AC614" s="254"/>
    </row>
    <row r="615" ht="12.75" customHeight="1" spans="1:29">
      <c r="A615" s="254"/>
      <c r="B615" s="254"/>
      <c r="C615" s="254"/>
      <c r="D615" s="276"/>
      <c r="E615" s="254"/>
      <c r="F615" s="254"/>
      <c r="G615" s="254"/>
      <c r="H615" s="254"/>
      <c r="I615" s="254"/>
      <c r="J615" s="254"/>
      <c r="K615" s="254"/>
      <c r="L615" s="254"/>
      <c r="M615" s="254"/>
      <c r="N615" s="254"/>
      <c r="O615" s="254"/>
      <c r="P615" s="254"/>
      <c r="Q615" s="254"/>
      <c r="R615" s="254"/>
      <c r="S615" s="254"/>
      <c r="T615" s="254"/>
      <c r="U615" s="254"/>
      <c r="V615" s="254"/>
      <c r="W615" s="254"/>
      <c r="X615" s="254"/>
      <c r="Y615" s="254"/>
      <c r="Z615" s="254"/>
      <c r="AA615" s="254"/>
      <c r="AB615" s="254"/>
      <c r="AC615" s="254"/>
    </row>
    <row r="616" ht="12.75" customHeight="1" spans="1:29">
      <c r="A616" s="254"/>
      <c r="B616" s="254"/>
      <c r="C616" s="254"/>
      <c r="D616" s="276"/>
      <c r="E616" s="254"/>
      <c r="F616" s="254"/>
      <c r="G616" s="254"/>
      <c r="H616" s="254"/>
      <c r="I616" s="254"/>
      <c r="J616" s="254"/>
      <c r="K616" s="254"/>
      <c r="L616" s="254"/>
      <c r="M616" s="254"/>
      <c r="N616" s="254"/>
      <c r="O616" s="254"/>
      <c r="P616" s="254"/>
      <c r="Q616" s="254"/>
      <c r="R616" s="254"/>
      <c r="S616" s="254"/>
      <c r="T616" s="254"/>
      <c r="U616" s="254"/>
      <c r="V616" s="254"/>
      <c r="W616" s="254"/>
      <c r="X616" s="254"/>
      <c r="Y616" s="254"/>
      <c r="Z616" s="254"/>
      <c r="AA616" s="254"/>
      <c r="AB616" s="254"/>
      <c r="AC616" s="254"/>
    </row>
    <row r="617" ht="12.75" customHeight="1" spans="1:29">
      <c r="A617" s="254"/>
      <c r="B617" s="254"/>
      <c r="C617" s="254"/>
      <c r="D617" s="276"/>
      <c r="E617" s="254"/>
      <c r="F617" s="254"/>
      <c r="G617" s="254"/>
      <c r="H617" s="254"/>
      <c r="I617" s="254"/>
      <c r="J617" s="254"/>
      <c r="K617" s="254"/>
      <c r="L617" s="254"/>
      <c r="M617" s="254"/>
      <c r="N617" s="254"/>
      <c r="O617" s="254"/>
      <c r="P617" s="254"/>
      <c r="Q617" s="254"/>
      <c r="R617" s="254"/>
      <c r="S617" s="254"/>
      <c r="T617" s="254"/>
      <c r="U617" s="254"/>
      <c r="V617" s="254"/>
      <c r="W617" s="254"/>
      <c r="X617" s="254"/>
      <c r="Y617" s="254"/>
      <c r="Z617" s="254"/>
      <c r="AA617" s="254"/>
      <c r="AB617" s="254"/>
      <c r="AC617" s="254"/>
    </row>
    <row r="618" ht="12.75" customHeight="1" spans="1:29">
      <c r="A618" s="254"/>
      <c r="B618" s="254"/>
      <c r="C618" s="254"/>
      <c r="D618" s="276"/>
      <c r="E618" s="254"/>
      <c r="F618" s="254"/>
      <c r="G618" s="254"/>
      <c r="H618" s="254"/>
      <c r="I618" s="254"/>
      <c r="J618" s="254"/>
      <c r="K618" s="254"/>
      <c r="L618" s="254"/>
      <c r="M618" s="254"/>
      <c r="N618" s="254"/>
      <c r="O618" s="254"/>
      <c r="P618" s="254"/>
      <c r="Q618" s="254"/>
      <c r="R618" s="254"/>
      <c r="S618" s="254"/>
      <c r="T618" s="254"/>
      <c r="U618" s="254"/>
      <c r="V618" s="254"/>
      <c r="W618" s="254"/>
      <c r="X618" s="254"/>
      <c r="Y618" s="254"/>
      <c r="Z618" s="254"/>
      <c r="AA618" s="254"/>
      <c r="AB618" s="254"/>
      <c r="AC618" s="254"/>
    </row>
    <row r="619" ht="12.75" customHeight="1" spans="1:29">
      <c r="A619" s="254"/>
      <c r="B619" s="254"/>
      <c r="C619" s="254"/>
      <c r="D619" s="276"/>
      <c r="E619" s="254"/>
      <c r="F619" s="254"/>
      <c r="G619" s="254"/>
      <c r="H619" s="254"/>
      <c r="I619" s="254"/>
      <c r="J619" s="254"/>
      <c r="K619" s="254"/>
      <c r="L619" s="254"/>
      <c r="M619" s="254"/>
      <c r="N619" s="254"/>
      <c r="O619" s="254"/>
      <c r="P619" s="254"/>
      <c r="Q619" s="254"/>
      <c r="R619" s="254"/>
      <c r="S619" s="254"/>
      <c r="T619" s="254"/>
      <c r="U619" s="254"/>
      <c r="V619" s="254"/>
      <c r="W619" s="254"/>
      <c r="X619" s="254"/>
      <c r="Y619" s="254"/>
      <c r="Z619" s="254"/>
      <c r="AA619" s="254"/>
      <c r="AB619" s="254"/>
      <c r="AC619" s="254"/>
    </row>
    <row r="620" ht="12.75" customHeight="1" spans="1:29">
      <c r="A620" s="254"/>
      <c r="B620" s="254"/>
      <c r="C620" s="254"/>
      <c r="D620" s="276"/>
      <c r="E620" s="254"/>
      <c r="F620" s="254"/>
      <c r="G620" s="254"/>
      <c r="H620" s="254"/>
      <c r="I620" s="254"/>
      <c r="J620" s="254"/>
      <c r="K620" s="254"/>
      <c r="L620" s="254"/>
      <c r="M620" s="254"/>
      <c r="N620" s="254"/>
      <c r="O620" s="254"/>
      <c r="P620" s="254"/>
      <c r="Q620" s="254"/>
      <c r="R620" s="254"/>
      <c r="S620" s="254"/>
      <c r="T620" s="254"/>
      <c r="U620" s="254"/>
      <c r="V620" s="254"/>
      <c r="W620" s="254"/>
      <c r="X620" s="254"/>
      <c r="Y620" s="254"/>
      <c r="Z620" s="254"/>
      <c r="AA620" s="254"/>
      <c r="AB620" s="254"/>
      <c r="AC620" s="254"/>
    </row>
    <row r="621" ht="12.75" customHeight="1" spans="1:29">
      <c r="A621" s="254"/>
      <c r="B621" s="254"/>
      <c r="C621" s="254"/>
      <c r="D621" s="276"/>
      <c r="E621" s="254"/>
      <c r="F621" s="254"/>
      <c r="G621" s="254"/>
      <c r="H621" s="254"/>
      <c r="I621" s="254"/>
      <c r="J621" s="254"/>
      <c r="K621" s="254"/>
      <c r="L621" s="254"/>
      <c r="M621" s="254"/>
      <c r="N621" s="254"/>
      <c r="O621" s="254"/>
      <c r="P621" s="254"/>
      <c r="Q621" s="254"/>
      <c r="R621" s="254"/>
      <c r="S621" s="254"/>
      <c r="T621" s="254"/>
      <c r="U621" s="254"/>
      <c r="V621" s="254"/>
      <c r="W621" s="254"/>
      <c r="X621" s="254"/>
      <c r="Y621" s="254"/>
      <c r="Z621" s="254"/>
      <c r="AA621" s="254"/>
      <c r="AB621" s="254"/>
      <c r="AC621" s="254"/>
    </row>
    <row r="622" ht="12.75" customHeight="1" spans="1:29">
      <c r="A622" s="254"/>
      <c r="B622" s="254"/>
      <c r="C622" s="254"/>
      <c r="D622" s="276"/>
      <c r="E622" s="254"/>
      <c r="F622" s="254"/>
      <c r="G622" s="254"/>
      <c r="H622" s="254"/>
      <c r="I622" s="254"/>
      <c r="J622" s="254"/>
      <c r="K622" s="254"/>
      <c r="L622" s="254"/>
      <c r="M622" s="254"/>
      <c r="N622" s="254"/>
      <c r="O622" s="254"/>
      <c r="P622" s="254"/>
      <c r="Q622" s="254"/>
      <c r="R622" s="254"/>
      <c r="S622" s="254"/>
      <c r="T622" s="254"/>
      <c r="U622" s="254"/>
      <c r="V622" s="254"/>
      <c r="W622" s="254"/>
      <c r="X622" s="254"/>
      <c r="Y622" s="254"/>
      <c r="Z622" s="254"/>
      <c r="AA622" s="254"/>
      <c r="AB622" s="254"/>
      <c r="AC622" s="254"/>
    </row>
    <row r="623" ht="12.75" customHeight="1" spans="1:29">
      <c r="A623" s="254"/>
      <c r="B623" s="254"/>
      <c r="C623" s="254"/>
      <c r="D623" s="276"/>
      <c r="E623" s="254"/>
      <c r="F623" s="254"/>
      <c r="G623" s="254"/>
      <c r="H623" s="254"/>
      <c r="I623" s="254"/>
      <c r="J623" s="254"/>
      <c r="K623" s="254"/>
      <c r="L623" s="254"/>
      <c r="M623" s="254"/>
      <c r="N623" s="254"/>
      <c r="O623" s="254"/>
      <c r="P623" s="254"/>
      <c r="Q623" s="254"/>
      <c r="R623" s="254"/>
      <c r="S623" s="254"/>
      <c r="T623" s="254"/>
      <c r="U623" s="254"/>
      <c r="V623" s="254"/>
      <c r="W623" s="254"/>
      <c r="X623" s="254"/>
      <c r="Y623" s="254"/>
      <c r="Z623" s="254"/>
      <c r="AA623" s="254"/>
      <c r="AB623" s="254"/>
      <c r="AC623" s="254"/>
    </row>
    <row r="624" ht="12.75" customHeight="1" spans="1:29">
      <c r="A624" s="254"/>
      <c r="B624" s="254"/>
      <c r="C624" s="254"/>
      <c r="D624" s="276"/>
      <c r="E624" s="254"/>
      <c r="F624" s="254"/>
      <c r="G624" s="254"/>
      <c r="H624" s="254"/>
      <c r="I624" s="254"/>
      <c r="J624" s="254"/>
      <c r="K624" s="254"/>
      <c r="L624" s="254"/>
      <c r="M624" s="254"/>
      <c r="N624" s="254"/>
      <c r="O624" s="254"/>
      <c r="P624" s="254"/>
      <c r="Q624" s="254"/>
      <c r="R624" s="254"/>
      <c r="S624" s="254"/>
      <c r="T624" s="254"/>
      <c r="U624" s="254"/>
      <c r="V624" s="254"/>
      <c r="W624" s="254"/>
      <c r="X624" s="254"/>
      <c r="Y624" s="254"/>
      <c r="Z624" s="254"/>
      <c r="AA624" s="254"/>
      <c r="AB624" s="254"/>
      <c r="AC624" s="254"/>
    </row>
    <row r="625" ht="12.75" customHeight="1" spans="1:29">
      <c r="A625" s="254"/>
      <c r="B625" s="254"/>
      <c r="C625" s="254"/>
      <c r="D625" s="276"/>
      <c r="E625" s="254"/>
      <c r="F625" s="254"/>
      <c r="G625" s="254"/>
      <c r="H625" s="254"/>
      <c r="I625" s="254"/>
      <c r="J625" s="254"/>
      <c r="K625" s="254"/>
      <c r="L625" s="254"/>
      <c r="M625" s="254"/>
      <c r="N625" s="254"/>
      <c r="O625" s="254"/>
      <c r="P625" s="254"/>
      <c r="Q625" s="254"/>
      <c r="R625" s="254"/>
      <c r="S625" s="254"/>
      <c r="T625" s="254"/>
      <c r="U625" s="254"/>
      <c r="V625" s="254"/>
      <c r="W625" s="254"/>
      <c r="X625" s="254"/>
      <c r="Y625" s="254"/>
      <c r="Z625" s="254"/>
      <c r="AA625" s="254"/>
      <c r="AB625" s="254"/>
      <c r="AC625" s="254"/>
    </row>
    <row r="626" ht="12.75" customHeight="1" spans="1:29">
      <c r="A626" s="254"/>
      <c r="B626" s="254"/>
      <c r="C626" s="254"/>
      <c r="D626" s="276"/>
      <c r="E626" s="254"/>
      <c r="F626" s="254"/>
      <c r="G626" s="254"/>
      <c r="H626" s="254"/>
      <c r="I626" s="254"/>
      <c r="J626" s="254"/>
      <c r="K626" s="254"/>
      <c r="L626" s="254"/>
      <c r="M626" s="254"/>
      <c r="N626" s="254"/>
      <c r="O626" s="254"/>
      <c r="P626" s="254"/>
      <c r="Q626" s="254"/>
      <c r="R626" s="254"/>
      <c r="S626" s="254"/>
      <c r="T626" s="254"/>
      <c r="U626" s="254"/>
      <c r="V626" s="254"/>
      <c r="W626" s="254"/>
      <c r="X626" s="254"/>
      <c r="Y626" s="254"/>
      <c r="Z626" s="254"/>
      <c r="AA626" s="254"/>
      <c r="AB626" s="254"/>
      <c r="AC626" s="254"/>
    </row>
    <row r="627" ht="12.75" customHeight="1" spans="1:29">
      <c r="A627" s="254"/>
      <c r="B627" s="254"/>
      <c r="C627" s="254"/>
      <c r="D627" s="276"/>
      <c r="E627" s="254"/>
      <c r="F627" s="254"/>
      <c r="G627" s="254"/>
      <c r="H627" s="254"/>
      <c r="I627" s="254"/>
      <c r="J627" s="254"/>
      <c r="K627" s="254"/>
      <c r="L627" s="254"/>
      <c r="M627" s="254"/>
      <c r="N627" s="254"/>
      <c r="O627" s="254"/>
      <c r="P627" s="254"/>
      <c r="Q627" s="254"/>
      <c r="R627" s="254"/>
      <c r="S627" s="254"/>
      <c r="T627" s="254"/>
      <c r="U627" s="254"/>
      <c r="V627" s="254"/>
      <c r="W627" s="254"/>
      <c r="X627" s="254"/>
      <c r="Y627" s="254"/>
      <c r="Z627" s="254"/>
      <c r="AA627" s="254"/>
      <c r="AB627" s="254"/>
      <c r="AC627" s="254"/>
    </row>
    <row r="628" ht="12.75" customHeight="1" spans="1:29">
      <c r="A628" s="254"/>
      <c r="B628" s="254"/>
      <c r="C628" s="254"/>
      <c r="D628" s="276"/>
      <c r="E628" s="254"/>
      <c r="F628" s="254"/>
      <c r="G628" s="254"/>
      <c r="H628" s="254"/>
      <c r="I628" s="254"/>
      <c r="J628" s="254"/>
      <c r="K628" s="254"/>
      <c r="L628" s="254"/>
      <c r="M628" s="254"/>
      <c r="N628" s="254"/>
      <c r="O628" s="254"/>
      <c r="P628" s="254"/>
      <c r="Q628" s="254"/>
      <c r="R628" s="254"/>
      <c r="S628" s="254"/>
      <c r="T628" s="254"/>
      <c r="U628" s="254"/>
      <c r="V628" s="254"/>
      <c r="W628" s="254"/>
      <c r="X628" s="254"/>
      <c r="Y628" s="254"/>
      <c r="Z628" s="254"/>
      <c r="AA628" s="254"/>
      <c r="AB628" s="254"/>
      <c r="AC628" s="254"/>
    </row>
    <row r="629" ht="12.75" customHeight="1" spans="1:29">
      <c r="A629" s="254"/>
      <c r="B629" s="254"/>
      <c r="C629" s="254"/>
      <c r="D629" s="276"/>
      <c r="E629" s="254"/>
      <c r="F629" s="254"/>
      <c r="G629" s="254"/>
      <c r="H629" s="254"/>
      <c r="I629" s="254"/>
      <c r="J629" s="254"/>
      <c r="K629" s="254"/>
      <c r="L629" s="254"/>
      <c r="M629" s="254"/>
      <c r="N629" s="254"/>
      <c r="O629" s="254"/>
      <c r="P629" s="254"/>
      <c r="Q629" s="254"/>
      <c r="R629" s="254"/>
      <c r="S629" s="254"/>
      <c r="T629" s="254"/>
      <c r="U629" s="254"/>
      <c r="V629" s="254"/>
      <c r="W629" s="254"/>
      <c r="X629" s="254"/>
      <c r="Y629" s="254"/>
      <c r="Z629" s="254"/>
      <c r="AA629" s="254"/>
      <c r="AB629" s="254"/>
      <c r="AC629" s="254"/>
    </row>
    <row r="630" ht="12.75" customHeight="1" spans="1:29">
      <c r="A630" s="254"/>
      <c r="B630" s="254"/>
      <c r="C630" s="254"/>
      <c r="D630" s="276"/>
      <c r="E630" s="254"/>
      <c r="F630" s="254"/>
      <c r="G630" s="254"/>
      <c r="H630" s="254"/>
      <c r="I630" s="254"/>
      <c r="J630" s="254"/>
      <c r="K630" s="254"/>
      <c r="L630" s="254"/>
      <c r="M630" s="254"/>
      <c r="N630" s="254"/>
      <c r="O630" s="254"/>
      <c r="P630" s="254"/>
      <c r="Q630" s="254"/>
      <c r="R630" s="254"/>
      <c r="S630" s="254"/>
      <c r="T630" s="254"/>
      <c r="U630" s="254"/>
      <c r="V630" s="254"/>
      <c r="W630" s="254"/>
      <c r="X630" s="254"/>
      <c r="Y630" s="254"/>
      <c r="Z630" s="254"/>
      <c r="AA630" s="254"/>
      <c r="AB630" s="254"/>
      <c r="AC630" s="254"/>
    </row>
    <row r="631" ht="12.75" customHeight="1" spans="1:29">
      <c r="A631" s="254"/>
      <c r="B631" s="254"/>
      <c r="C631" s="254"/>
      <c r="D631" s="276"/>
      <c r="E631" s="254"/>
      <c r="F631" s="254"/>
      <c r="G631" s="254"/>
      <c r="H631" s="254"/>
      <c r="I631" s="254"/>
      <c r="J631" s="254"/>
      <c r="K631" s="254"/>
      <c r="L631" s="254"/>
      <c r="M631" s="254"/>
      <c r="N631" s="254"/>
      <c r="O631" s="254"/>
      <c r="P631" s="254"/>
      <c r="Q631" s="254"/>
      <c r="R631" s="254"/>
      <c r="S631" s="254"/>
      <c r="T631" s="254"/>
      <c r="U631" s="254"/>
      <c r="V631" s="254"/>
      <c r="W631" s="254"/>
      <c r="X631" s="254"/>
      <c r="Y631" s="254"/>
      <c r="Z631" s="254"/>
      <c r="AA631" s="254"/>
      <c r="AB631" s="254"/>
      <c r="AC631" s="254"/>
    </row>
    <row r="632" ht="12.75" customHeight="1" spans="1:29">
      <c r="A632" s="254"/>
      <c r="B632" s="254"/>
      <c r="C632" s="254"/>
      <c r="D632" s="276"/>
      <c r="E632" s="254"/>
      <c r="F632" s="254"/>
      <c r="G632" s="254"/>
      <c r="H632" s="254"/>
      <c r="I632" s="254"/>
      <c r="J632" s="254"/>
      <c r="K632" s="254"/>
      <c r="L632" s="254"/>
      <c r="M632" s="254"/>
      <c r="N632" s="254"/>
      <c r="O632" s="254"/>
      <c r="P632" s="254"/>
      <c r="Q632" s="254"/>
      <c r="R632" s="254"/>
      <c r="S632" s="254"/>
      <c r="T632" s="254"/>
      <c r="U632" s="254"/>
      <c r="V632" s="254"/>
      <c r="W632" s="254"/>
      <c r="X632" s="254"/>
      <c r="Y632" s="254"/>
      <c r="Z632" s="254"/>
      <c r="AA632" s="254"/>
      <c r="AB632" s="254"/>
      <c r="AC632" s="254"/>
    </row>
    <row r="633" ht="12.75" customHeight="1" spans="1:29">
      <c r="A633" s="254"/>
      <c r="B633" s="254"/>
      <c r="C633" s="254"/>
      <c r="D633" s="276"/>
      <c r="E633" s="254"/>
      <c r="F633" s="254"/>
      <c r="G633" s="254"/>
      <c r="H633" s="254"/>
      <c r="I633" s="254"/>
      <c r="J633" s="254"/>
      <c r="K633" s="254"/>
      <c r="L633" s="254"/>
      <c r="M633" s="254"/>
      <c r="N633" s="254"/>
      <c r="O633" s="254"/>
      <c r="P633" s="254"/>
      <c r="Q633" s="254"/>
      <c r="R633" s="254"/>
      <c r="S633" s="254"/>
      <c r="T633" s="254"/>
      <c r="U633" s="254"/>
      <c r="V633" s="254"/>
      <c r="W633" s="254"/>
      <c r="X633" s="254"/>
      <c r="Y633" s="254"/>
      <c r="Z633" s="254"/>
      <c r="AA633" s="254"/>
      <c r="AB633" s="254"/>
      <c r="AC633" s="254"/>
    </row>
    <row r="634" ht="12.75" customHeight="1" spans="1:29">
      <c r="A634" s="254"/>
      <c r="B634" s="254"/>
      <c r="C634" s="254"/>
      <c r="D634" s="276"/>
      <c r="E634" s="254"/>
      <c r="F634" s="254"/>
      <c r="G634" s="254"/>
      <c r="H634" s="254"/>
      <c r="I634" s="254"/>
      <c r="J634" s="254"/>
      <c r="K634" s="254"/>
      <c r="L634" s="254"/>
      <c r="M634" s="254"/>
      <c r="N634" s="254"/>
      <c r="O634" s="254"/>
      <c r="P634" s="254"/>
      <c r="Q634" s="254"/>
      <c r="R634" s="254"/>
      <c r="S634" s="254"/>
      <c r="T634" s="254"/>
      <c r="U634" s="254"/>
      <c r="V634" s="254"/>
      <c r="W634" s="254"/>
      <c r="X634" s="254"/>
      <c r="Y634" s="254"/>
      <c r="Z634" s="254"/>
      <c r="AA634" s="254"/>
      <c r="AB634" s="254"/>
      <c r="AC634" s="254"/>
    </row>
    <row r="635" ht="12.75" customHeight="1" spans="1:29">
      <c r="A635" s="254"/>
      <c r="B635" s="254"/>
      <c r="C635" s="254"/>
      <c r="D635" s="276"/>
      <c r="E635" s="254"/>
      <c r="F635" s="254"/>
      <c r="G635" s="254"/>
      <c r="H635" s="254"/>
      <c r="I635" s="254"/>
      <c r="J635" s="254"/>
      <c r="K635" s="254"/>
      <c r="L635" s="254"/>
      <c r="M635" s="254"/>
      <c r="N635" s="254"/>
      <c r="O635" s="254"/>
      <c r="P635" s="254"/>
      <c r="Q635" s="254"/>
      <c r="R635" s="254"/>
      <c r="S635" s="254"/>
      <c r="T635" s="254"/>
      <c r="U635" s="254"/>
      <c r="V635" s="254"/>
      <c r="W635" s="254"/>
      <c r="X635" s="254"/>
      <c r="Y635" s="254"/>
      <c r="Z635" s="254"/>
      <c r="AA635" s="254"/>
      <c r="AB635" s="254"/>
      <c r="AC635" s="254"/>
    </row>
    <row r="636" ht="12.75" customHeight="1" spans="1:29">
      <c r="A636" s="254"/>
      <c r="B636" s="254"/>
      <c r="C636" s="254"/>
      <c r="D636" s="276"/>
      <c r="E636" s="254"/>
      <c r="F636" s="254"/>
      <c r="G636" s="254"/>
      <c r="H636" s="254"/>
      <c r="I636" s="254"/>
      <c r="J636" s="254"/>
      <c r="K636" s="254"/>
      <c r="L636" s="254"/>
      <c r="M636" s="254"/>
      <c r="N636" s="254"/>
      <c r="O636" s="254"/>
      <c r="P636" s="254"/>
      <c r="Q636" s="254"/>
      <c r="R636" s="254"/>
      <c r="S636" s="254"/>
      <c r="T636" s="254"/>
      <c r="U636" s="254"/>
      <c r="V636" s="254"/>
      <c r="W636" s="254"/>
      <c r="X636" s="254"/>
      <c r="Y636" s="254"/>
      <c r="Z636" s="254"/>
      <c r="AA636" s="254"/>
      <c r="AB636" s="254"/>
      <c r="AC636" s="254"/>
    </row>
    <row r="637" ht="12.75" customHeight="1" spans="1:29">
      <c r="A637" s="254"/>
      <c r="B637" s="254"/>
      <c r="C637" s="254"/>
      <c r="D637" s="276"/>
      <c r="E637" s="254"/>
      <c r="F637" s="254"/>
      <c r="G637" s="254"/>
      <c r="H637" s="254"/>
      <c r="I637" s="254"/>
      <c r="J637" s="254"/>
      <c r="K637" s="254"/>
      <c r="L637" s="254"/>
      <c r="M637" s="254"/>
      <c r="N637" s="254"/>
      <c r="O637" s="254"/>
      <c r="P637" s="254"/>
      <c r="Q637" s="254"/>
      <c r="R637" s="254"/>
      <c r="S637" s="254"/>
      <c r="T637" s="254"/>
      <c r="U637" s="254"/>
      <c r="V637" s="254"/>
      <c r="W637" s="254"/>
      <c r="X637" s="254"/>
      <c r="Y637" s="254"/>
      <c r="Z637" s="254"/>
      <c r="AA637" s="254"/>
      <c r="AB637" s="254"/>
      <c r="AC637" s="254"/>
    </row>
    <row r="638" ht="12.75" customHeight="1" spans="1:29">
      <c r="A638" s="254"/>
      <c r="B638" s="254"/>
      <c r="C638" s="254"/>
      <c r="D638" s="276"/>
      <c r="E638" s="254"/>
      <c r="F638" s="254"/>
      <c r="G638" s="254"/>
      <c r="H638" s="254"/>
      <c r="I638" s="254"/>
      <c r="J638" s="254"/>
      <c r="K638" s="254"/>
      <c r="L638" s="254"/>
      <c r="M638" s="254"/>
      <c r="N638" s="254"/>
      <c r="O638" s="254"/>
      <c r="P638" s="254"/>
      <c r="Q638" s="254"/>
      <c r="R638" s="254"/>
      <c r="S638" s="254"/>
      <c r="T638" s="254"/>
      <c r="U638" s="254"/>
      <c r="V638" s="254"/>
      <c r="W638" s="254"/>
      <c r="X638" s="254"/>
      <c r="Y638" s="254"/>
      <c r="Z638" s="254"/>
      <c r="AA638" s="254"/>
      <c r="AB638" s="254"/>
      <c r="AC638" s="254"/>
    </row>
    <row r="639" ht="12.75" customHeight="1" spans="1:29">
      <c r="A639" s="254"/>
      <c r="B639" s="254"/>
      <c r="C639" s="254"/>
      <c r="D639" s="276"/>
      <c r="E639" s="254"/>
      <c r="F639" s="254"/>
      <c r="G639" s="254"/>
      <c r="H639" s="254"/>
      <c r="I639" s="254"/>
      <c r="J639" s="254"/>
      <c r="K639" s="254"/>
      <c r="L639" s="254"/>
      <c r="M639" s="254"/>
      <c r="N639" s="254"/>
      <c r="O639" s="254"/>
      <c r="P639" s="254"/>
      <c r="Q639" s="254"/>
      <c r="R639" s="254"/>
      <c r="S639" s="254"/>
      <c r="T639" s="254"/>
      <c r="U639" s="254"/>
      <c r="V639" s="254"/>
      <c r="W639" s="254"/>
      <c r="X639" s="254"/>
      <c r="Y639" s="254"/>
      <c r="Z639" s="254"/>
      <c r="AA639" s="254"/>
      <c r="AB639" s="254"/>
      <c r="AC639" s="254"/>
    </row>
    <row r="640" ht="12.75" customHeight="1" spans="1:29">
      <c r="A640" s="254"/>
      <c r="B640" s="254"/>
      <c r="C640" s="254"/>
      <c r="D640" s="276"/>
      <c r="E640" s="254"/>
      <c r="F640" s="254"/>
      <c r="G640" s="254"/>
      <c r="H640" s="254"/>
      <c r="I640" s="254"/>
      <c r="J640" s="254"/>
      <c r="K640" s="254"/>
      <c r="L640" s="254"/>
      <c r="M640" s="254"/>
      <c r="N640" s="254"/>
      <c r="O640" s="254"/>
      <c r="P640" s="254"/>
      <c r="Q640" s="254"/>
      <c r="R640" s="254"/>
      <c r="S640" s="254"/>
      <c r="T640" s="254"/>
      <c r="U640" s="254"/>
      <c r="V640" s="254"/>
      <c r="W640" s="254"/>
      <c r="X640" s="254"/>
      <c r="Y640" s="254"/>
      <c r="Z640" s="254"/>
      <c r="AA640" s="254"/>
      <c r="AB640" s="254"/>
      <c r="AC640" s="254"/>
    </row>
    <row r="641" ht="12.75" customHeight="1" spans="1:29">
      <c r="A641" s="254"/>
      <c r="B641" s="254"/>
      <c r="C641" s="254"/>
      <c r="D641" s="276"/>
      <c r="E641" s="254"/>
      <c r="F641" s="254"/>
      <c r="G641" s="254"/>
      <c r="H641" s="254"/>
      <c r="I641" s="254"/>
      <c r="J641" s="254"/>
      <c r="K641" s="254"/>
      <c r="L641" s="254"/>
      <c r="M641" s="254"/>
      <c r="N641" s="254"/>
      <c r="O641" s="254"/>
      <c r="P641" s="254"/>
      <c r="Q641" s="254"/>
      <c r="R641" s="254"/>
      <c r="S641" s="254"/>
      <c r="T641" s="254"/>
      <c r="U641" s="254"/>
      <c r="V641" s="254"/>
      <c r="W641" s="254"/>
      <c r="X641" s="254"/>
      <c r="Y641" s="254"/>
      <c r="Z641" s="254"/>
      <c r="AA641" s="254"/>
      <c r="AB641" s="254"/>
      <c r="AC641" s="254"/>
    </row>
    <row r="642" ht="12.75" customHeight="1" spans="1:29">
      <c r="A642" s="254"/>
      <c r="B642" s="254"/>
      <c r="C642" s="254"/>
      <c r="D642" s="276"/>
      <c r="E642" s="254"/>
      <c r="F642" s="254"/>
      <c r="G642" s="254"/>
      <c r="H642" s="254"/>
      <c r="I642" s="254"/>
      <c r="J642" s="254"/>
      <c r="K642" s="254"/>
      <c r="L642" s="254"/>
      <c r="M642" s="254"/>
      <c r="N642" s="254"/>
      <c r="O642" s="254"/>
      <c r="P642" s="254"/>
      <c r="Q642" s="254"/>
      <c r="R642" s="254"/>
      <c r="S642" s="254"/>
      <c r="T642" s="254"/>
      <c r="U642" s="254"/>
      <c r="V642" s="254"/>
      <c r="W642" s="254"/>
      <c r="X642" s="254"/>
      <c r="Y642" s="254"/>
      <c r="Z642" s="254"/>
      <c r="AA642" s="254"/>
      <c r="AB642" s="254"/>
      <c r="AC642" s="254"/>
    </row>
    <row r="643" ht="12.75" customHeight="1" spans="1:29">
      <c r="A643" s="254"/>
      <c r="B643" s="254"/>
      <c r="C643" s="254"/>
      <c r="D643" s="276"/>
      <c r="E643" s="254"/>
      <c r="F643" s="254"/>
      <c r="G643" s="254"/>
      <c r="H643" s="254"/>
      <c r="I643" s="254"/>
      <c r="J643" s="254"/>
      <c r="K643" s="254"/>
      <c r="L643" s="254"/>
      <c r="M643" s="254"/>
      <c r="N643" s="254"/>
      <c r="O643" s="254"/>
      <c r="P643" s="254"/>
      <c r="Q643" s="254"/>
      <c r="R643" s="254"/>
      <c r="S643" s="254"/>
      <c r="T643" s="254"/>
      <c r="U643" s="254"/>
      <c r="V643" s="254"/>
      <c r="W643" s="254"/>
      <c r="X643" s="254"/>
      <c r="Y643" s="254"/>
      <c r="Z643" s="254"/>
      <c r="AA643" s="254"/>
      <c r="AB643" s="254"/>
      <c r="AC643" s="254"/>
    </row>
    <row r="644" ht="12.75" customHeight="1" spans="1:29">
      <c r="A644" s="254"/>
      <c r="B644" s="254"/>
      <c r="C644" s="254"/>
      <c r="D644" s="276"/>
      <c r="E644" s="254"/>
      <c r="F644" s="254"/>
      <c r="G644" s="254"/>
      <c r="H644" s="254"/>
      <c r="I644" s="254"/>
      <c r="J644" s="254"/>
      <c r="K644" s="254"/>
      <c r="L644" s="254"/>
      <c r="M644" s="254"/>
      <c r="N644" s="254"/>
      <c r="O644" s="254"/>
      <c r="P644" s="254"/>
      <c r="Q644" s="254"/>
      <c r="R644" s="254"/>
      <c r="S644" s="254"/>
      <c r="T644" s="254"/>
      <c r="U644" s="254"/>
      <c r="V644" s="254"/>
      <c r="W644" s="254"/>
      <c r="X644" s="254"/>
      <c r="Y644" s="254"/>
      <c r="Z644" s="254"/>
      <c r="AA644" s="254"/>
      <c r="AB644" s="254"/>
      <c r="AC644" s="254"/>
    </row>
    <row r="645" ht="12.75" customHeight="1" spans="1:29">
      <c r="A645" s="254"/>
      <c r="B645" s="254"/>
      <c r="C645" s="254"/>
      <c r="D645" s="276"/>
      <c r="E645" s="254"/>
      <c r="F645" s="254"/>
      <c r="G645" s="254"/>
      <c r="H645" s="254"/>
      <c r="I645" s="254"/>
      <c r="J645" s="254"/>
      <c r="K645" s="254"/>
      <c r="L645" s="254"/>
      <c r="M645" s="254"/>
      <c r="N645" s="254"/>
      <c r="O645" s="254"/>
      <c r="P645" s="254"/>
      <c r="Q645" s="254"/>
      <c r="R645" s="254"/>
      <c r="S645" s="254"/>
      <c r="T645" s="254"/>
      <c r="U645" s="254"/>
      <c r="V645" s="254"/>
      <c r="W645" s="254"/>
      <c r="X645" s="254"/>
      <c r="Y645" s="254"/>
      <c r="Z645" s="254"/>
      <c r="AA645" s="254"/>
      <c r="AB645" s="254"/>
      <c r="AC645" s="254"/>
    </row>
    <row r="646" ht="12.75" customHeight="1" spans="1:29">
      <c r="A646" s="254"/>
      <c r="B646" s="254"/>
      <c r="C646" s="254"/>
      <c r="D646" s="276"/>
      <c r="E646" s="254"/>
      <c r="F646" s="254"/>
      <c r="G646" s="254"/>
      <c r="H646" s="254"/>
      <c r="I646" s="254"/>
      <c r="J646" s="254"/>
      <c r="K646" s="254"/>
      <c r="L646" s="254"/>
      <c r="M646" s="254"/>
      <c r="N646" s="254"/>
      <c r="O646" s="254"/>
      <c r="P646" s="254"/>
      <c r="Q646" s="254"/>
      <c r="R646" s="254"/>
      <c r="S646" s="254"/>
      <c r="T646" s="254"/>
      <c r="U646" s="254"/>
      <c r="V646" s="254"/>
      <c r="W646" s="254"/>
      <c r="X646" s="254"/>
      <c r="Y646" s="254"/>
      <c r="Z646" s="254"/>
      <c r="AA646" s="254"/>
      <c r="AB646" s="254"/>
      <c r="AC646" s="254"/>
    </row>
    <row r="647" ht="12.75" customHeight="1" spans="1:29">
      <c r="A647" s="254"/>
      <c r="B647" s="254"/>
      <c r="C647" s="254"/>
      <c r="D647" s="276"/>
      <c r="E647" s="254"/>
      <c r="F647" s="254"/>
      <c r="G647" s="254"/>
      <c r="H647" s="254"/>
      <c r="I647" s="254"/>
      <c r="J647" s="254"/>
      <c r="K647" s="254"/>
      <c r="L647" s="254"/>
      <c r="M647" s="254"/>
      <c r="N647" s="254"/>
      <c r="O647" s="254"/>
      <c r="P647" s="254"/>
      <c r="Q647" s="254"/>
      <c r="R647" s="254"/>
      <c r="S647" s="254"/>
      <c r="T647" s="254"/>
      <c r="U647" s="254"/>
      <c r="V647" s="254"/>
      <c r="W647" s="254"/>
      <c r="X647" s="254"/>
      <c r="Y647" s="254"/>
      <c r="Z647" s="254"/>
      <c r="AA647" s="254"/>
      <c r="AB647" s="254"/>
      <c r="AC647" s="254"/>
    </row>
    <row r="648" ht="12.75" customHeight="1" spans="1:29">
      <c r="A648" s="254"/>
      <c r="B648" s="254"/>
      <c r="C648" s="254"/>
      <c r="D648" s="276"/>
      <c r="E648" s="254"/>
      <c r="F648" s="254"/>
      <c r="G648" s="254"/>
      <c r="H648" s="254"/>
      <c r="I648" s="254"/>
      <c r="J648" s="254"/>
      <c r="K648" s="254"/>
      <c r="L648" s="254"/>
      <c r="M648" s="254"/>
      <c r="N648" s="254"/>
      <c r="O648" s="254"/>
      <c r="P648" s="254"/>
      <c r="Q648" s="254"/>
      <c r="R648" s="254"/>
      <c r="S648" s="254"/>
      <c r="T648" s="254"/>
      <c r="U648" s="254"/>
      <c r="V648" s="254"/>
      <c r="W648" s="254"/>
      <c r="X648" s="254"/>
      <c r="Y648" s="254"/>
      <c r="Z648" s="254"/>
      <c r="AA648" s="254"/>
      <c r="AB648" s="254"/>
      <c r="AC648" s="254"/>
    </row>
    <row r="649" ht="12.75" customHeight="1" spans="1:29">
      <c r="A649" s="254"/>
      <c r="B649" s="254"/>
      <c r="C649" s="254"/>
      <c r="D649" s="276"/>
      <c r="E649" s="254"/>
      <c r="F649" s="254"/>
      <c r="G649" s="254"/>
      <c r="H649" s="254"/>
      <c r="I649" s="254"/>
      <c r="J649" s="254"/>
      <c r="K649" s="254"/>
      <c r="L649" s="254"/>
      <c r="M649" s="254"/>
      <c r="N649" s="254"/>
      <c r="O649" s="254"/>
      <c r="P649" s="254"/>
      <c r="Q649" s="254"/>
      <c r="R649" s="254"/>
      <c r="S649" s="254"/>
      <c r="T649" s="254"/>
      <c r="U649" s="254"/>
      <c r="V649" s="254"/>
      <c r="W649" s="254"/>
      <c r="X649" s="254"/>
      <c r="Y649" s="254"/>
      <c r="Z649" s="254"/>
      <c r="AA649" s="254"/>
      <c r="AB649" s="254"/>
      <c r="AC649" s="254"/>
    </row>
    <row r="650" ht="12.75" customHeight="1" spans="1:29">
      <c r="A650" s="254"/>
      <c r="B650" s="254"/>
      <c r="C650" s="254"/>
      <c r="D650" s="276"/>
      <c r="E650" s="254"/>
      <c r="F650" s="254"/>
      <c r="G650" s="254"/>
      <c r="H650" s="254"/>
      <c r="I650" s="254"/>
      <c r="J650" s="254"/>
      <c r="K650" s="254"/>
      <c r="L650" s="254"/>
      <c r="M650" s="254"/>
      <c r="N650" s="254"/>
      <c r="O650" s="254"/>
      <c r="P650" s="254"/>
      <c r="Q650" s="254"/>
      <c r="R650" s="254"/>
      <c r="S650" s="254"/>
      <c r="T650" s="254"/>
      <c r="U650" s="254"/>
      <c r="V650" s="254"/>
      <c r="W650" s="254"/>
      <c r="X650" s="254"/>
      <c r="Y650" s="254"/>
      <c r="Z650" s="254"/>
      <c r="AA650" s="254"/>
      <c r="AB650" s="254"/>
      <c r="AC650" s="254"/>
    </row>
    <row r="651" ht="12.75" customHeight="1" spans="1:29">
      <c r="A651" s="254"/>
      <c r="B651" s="254"/>
      <c r="C651" s="254"/>
      <c r="D651" s="276"/>
      <c r="E651" s="254"/>
      <c r="F651" s="254"/>
      <c r="G651" s="254"/>
      <c r="H651" s="254"/>
      <c r="I651" s="254"/>
      <c r="J651" s="254"/>
      <c r="K651" s="254"/>
      <c r="L651" s="254"/>
      <c r="M651" s="254"/>
      <c r="N651" s="254"/>
      <c r="O651" s="254"/>
      <c r="P651" s="254"/>
      <c r="Q651" s="254"/>
      <c r="R651" s="254"/>
      <c r="S651" s="254"/>
      <c r="T651" s="254"/>
      <c r="U651" s="254"/>
      <c r="V651" s="254"/>
      <c r="W651" s="254"/>
      <c r="X651" s="254"/>
      <c r="Y651" s="254"/>
      <c r="Z651" s="254"/>
      <c r="AA651" s="254"/>
      <c r="AB651" s="254"/>
      <c r="AC651" s="254"/>
    </row>
    <row r="652" ht="12.75" customHeight="1" spans="1:29">
      <c r="A652" s="254"/>
      <c r="B652" s="254"/>
      <c r="C652" s="254"/>
      <c r="D652" s="276"/>
      <c r="E652" s="254"/>
      <c r="F652" s="254"/>
      <c r="G652" s="254"/>
      <c r="H652" s="254"/>
      <c r="I652" s="254"/>
      <c r="J652" s="254"/>
      <c r="K652" s="254"/>
      <c r="L652" s="254"/>
      <c r="M652" s="254"/>
      <c r="N652" s="254"/>
      <c r="O652" s="254"/>
      <c r="P652" s="254"/>
      <c r="Q652" s="254"/>
      <c r="R652" s="254"/>
      <c r="S652" s="254"/>
      <c r="T652" s="254"/>
      <c r="U652" s="254"/>
      <c r="V652" s="254"/>
      <c r="W652" s="254"/>
      <c r="X652" s="254"/>
      <c r="Y652" s="254"/>
      <c r="Z652" s="254"/>
      <c r="AA652" s="254"/>
      <c r="AB652" s="254"/>
      <c r="AC652" s="254"/>
    </row>
    <row r="653" ht="12.75" customHeight="1" spans="1:29">
      <c r="A653" s="254"/>
      <c r="B653" s="254"/>
      <c r="C653" s="254"/>
      <c r="D653" s="276"/>
      <c r="E653" s="254"/>
      <c r="F653" s="254"/>
      <c r="G653" s="254"/>
      <c r="H653" s="254"/>
      <c r="I653" s="254"/>
      <c r="J653" s="254"/>
      <c r="K653" s="254"/>
      <c r="L653" s="254"/>
      <c r="M653" s="254"/>
      <c r="N653" s="254"/>
      <c r="O653" s="254"/>
      <c r="P653" s="254"/>
      <c r="Q653" s="254"/>
      <c r="R653" s="254"/>
      <c r="S653" s="254"/>
      <c r="T653" s="254"/>
      <c r="U653" s="254"/>
      <c r="V653" s="254"/>
      <c r="W653" s="254"/>
      <c r="X653" s="254"/>
      <c r="Y653" s="254"/>
      <c r="Z653" s="254"/>
      <c r="AA653" s="254"/>
      <c r="AB653" s="254"/>
      <c r="AC653" s="254"/>
    </row>
    <row r="654" ht="12.75" customHeight="1" spans="1:29">
      <c r="A654" s="254"/>
      <c r="B654" s="254"/>
      <c r="C654" s="254"/>
      <c r="D654" s="276"/>
      <c r="E654" s="254"/>
      <c r="F654" s="254"/>
      <c r="G654" s="254"/>
      <c r="H654" s="254"/>
      <c r="I654" s="254"/>
      <c r="J654" s="254"/>
      <c r="K654" s="254"/>
      <c r="L654" s="254"/>
      <c r="M654" s="254"/>
      <c r="N654" s="254"/>
      <c r="O654" s="254"/>
      <c r="P654" s="254"/>
      <c r="Q654" s="254"/>
      <c r="R654" s="254"/>
      <c r="S654" s="254"/>
      <c r="T654" s="254"/>
      <c r="U654" s="254"/>
      <c r="V654" s="254"/>
      <c r="W654" s="254"/>
      <c r="X654" s="254"/>
      <c r="Y654" s="254"/>
      <c r="Z654" s="254"/>
      <c r="AA654" s="254"/>
      <c r="AB654" s="254"/>
      <c r="AC654" s="254"/>
    </row>
    <row r="655" ht="12.75" customHeight="1" spans="1:29">
      <c r="A655" s="254"/>
      <c r="B655" s="254"/>
      <c r="C655" s="254"/>
      <c r="D655" s="276"/>
      <c r="E655" s="254"/>
      <c r="F655" s="254"/>
      <c r="G655" s="254"/>
      <c r="H655" s="254"/>
      <c r="I655" s="254"/>
      <c r="J655" s="254"/>
      <c r="K655" s="254"/>
      <c r="L655" s="254"/>
      <c r="M655" s="254"/>
      <c r="N655" s="254"/>
      <c r="O655" s="254"/>
      <c r="P655" s="254"/>
      <c r="Q655" s="254"/>
      <c r="R655" s="254"/>
      <c r="S655" s="254"/>
      <c r="T655" s="254"/>
      <c r="U655" s="254"/>
      <c r="V655" s="254"/>
      <c r="W655" s="254"/>
      <c r="X655" s="254"/>
      <c r="Y655" s="254"/>
      <c r="Z655" s="254"/>
      <c r="AA655" s="254"/>
      <c r="AB655" s="254"/>
      <c r="AC655" s="254"/>
    </row>
    <row r="656" ht="12.75" customHeight="1" spans="1:29">
      <c r="A656" s="254"/>
      <c r="B656" s="254"/>
      <c r="C656" s="254"/>
      <c r="D656" s="276"/>
      <c r="E656" s="254"/>
      <c r="F656" s="254"/>
      <c r="G656" s="254"/>
      <c r="H656" s="254"/>
      <c r="I656" s="254"/>
      <c r="J656" s="254"/>
      <c r="K656" s="254"/>
      <c r="L656" s="254"/>
      <c r="M656" s="254"/>
      <c r="N656" s="254"/>
      <c r="O656" s="254"/>
      <c r="P656" s="254"/>
      <c r="Q656" s="254"/>
      <c r="R656" s="254"/>
      <c r="S656" s="254"/>
      <c r="T656" s="254"/>
      <c r="U656" s="254"/>
      <c r="V656" s="254"/>
      <c r="W656" s="254"/>
      <c r="X656" s="254"/>
      <c r="Y656" s="254"/>
      <c r="Z656" s="254"/>
      <c r="AA656" s="254"/>
      <c r="AB656" s="254"/>
      <c r="AC656" s="254"/>
    </row>
    <row r="657" ht="12.75" customHeight="1" spans="1:29">
      <c r="A657" s="254"/>
      <c r="B657" s="254"/>
      <c r="C657" s="254"/>
      <c r="D657" s="276"/>
      <c r="E657" s="254"/>
      <c r="F657" s="254"/>
      <c r="G657" s="254"/>
      <c r="H657" s="254"/>
      <c r="I657" s="254"/>
      <c r="J657" s="254"/>
      <c r="K657" s="254"/>
      <c r="L657" s="254"/>
      <c r="M657" s="254"/>
      <c r="N657" s="254"/>
      <c r="O657" s="254"/>
      <c r="P657" s="254"/>
      <c r="Q657" s="254"/>
      <c r="R657" s="254"/>
      <c r="S657" s="254"/>
      <c r="T657" s="254"/>
      <c r="U657" s="254"/>
      <c r="V657" s="254"/>
      <c r="W657" s="254"/>
      <c r="X657" s="254"/>
      <c r="Y657" s="254"/>
      <c r="Z657" s="254"/>
      <c r="AA657" s="254"/>
      <c r="AB657" s="254"/>
      <c r="AC657" s="254"/>
    </row>
    <row r="658" ht="12.75" customHeight="1" spans="1:29">
      <c r="A658" s="254"/>
      <c r="B658" s="254"/>
      <c r="C658" s="254"/>
      <c r="D658" s="276"/>
      <c r="E658" s="254"/>
      <c r="F658" s="254"/>
      <c r="G658" s="254"/>
      <c r="H658" s="254"/>
      <c r="I658" s="254"/>
      <c r="J658" s="254"/>
      <c r="K658" s="254"/>
      <c r="L658" s="254"/>
      <c r="M658" s="254"/>
      <c r="N658" s="254"/>
      <c r="O658" s="254"/>
      <c r="P658" s="254"/>
      <c r="Q658" s="254"/>
      <c r="R658" s="254"/>
      <c r="S658" s="254"/>
      <c r="T658" s="254"/>
      <c r="U658" s="254"/>
      <c r="V658" s="254"/>
      <c r="W658" s="254"/>
      <c r="X658" s="254"/>
      <c r="Y658" s="254"/>
      <c r="Z658" s="254"/>
      <c r="AA658" s="254"/>
      <c r="AB658" s="254"/>
      <c r="AC658" s="254"/>
    </row>
    <row r="659" ht="12.75" customHeight="1" spans="1:29">
      <c r="A659" s="254"/>
      <c r="B659" s="254"/>
      <c r="C659" s="254"/>
      <c r="D659" s="276"/>
      <c r="E659" s="254"/>
      <c r="F659" s="254"/>
      <c r="G659" s="254"/>
      <c r="H659" s="254"/>
      <c r="I659" s="254"/>
      <c r="J659" s="254"/>
      <c r="K659" s="254"/>
      <c r="L659" s="254"/>
      <c r="M659" s="254"/>
      <c r="N659" s="254"/>
      <c r="O659" s="254"/>
      <c r="P659" s="254"/>
      <c r="Q659" s="254"/>
      <c r="R659" s="254"/>
      <c r="S659" s="254"/>
      <c r="T659" s="254"/>
      <c r="U659" s="254"/>
      <c r="V659" s="254"/>
      <c r="W659" s="254"/>
      <c r="X659" s="254"/>
      <c r="Y659" s="254"/>
      <c r="Z659" s="254"/>
      <c r="AA659" s="254"/>
      <c r="AB659" s="254"/>
      <c r="AC659" s="254"/>
    </row>
    <row r="660" ht="12.75" customHeight="1" spans="1:29">
      <c r="A660" s="254"/>
      <c r="B660" s="254"/>
      <c r="C660" s="254"/>
      <c r="D660" s="276"/>
      <c r="E660" s="254"/>
      <c r="F660" s="254"/>
      <c r="G660" s="254"/>
      <c r="H660" s="254"/>
      <c r="I660" s="254"/>
      <c r="J660" s="254"/>
      <c r="K660" s="254"/>
      <c r="L660" s="254"/>
      <c r="M660" s="254"/>
      <c r="N660" s="254"/>
      <c r="O660" s="254"/>
      <c r="P660" s="254"/>
      <c r="Q660" s="254"/>
      <c r="R660" s="254"/>
      <c r="S660" s="254"/>
      <c r="T660" s="254"/>
      <c r="U660" s="254"/>
      <c r="V660" s="254"/>
      <c r="W660" s="254"/>
      <c r="X660" s="254"/>
      <c r="Y660" s="254"/>
      <c r="Z660" s="254"/>
      <c r="AA660" s="254"/>
      <c r="AB660" s="254"/>
      <c r="AC660" s="254"/>
    </row>
    <row r="661" ht="12.75" customHeight="1" spans="1:29">
      <c r="A661" s="254"/>
      <c r="B661" s="254"/>
      <c r="C661" s="254"/>
      <c r="D661" s="276"/>
      <c r="E661" s="254"/>
      <c r="F661" s="254"/>
      <c r="G661" s="254"/>
      <c r="H661" s="254"/>
      <c r="I661" s="254"/>
      <c r="J661" s="254"/>
      <c r="K661" s="254"/>
      <c r="L661" s="254"/>
      <c r="M661" s="254"/>
      <c r="N661" s="254"/>
      <c r="O661" s="254"/>
      <c r="P661" s="254"/>
      <c r="Q661" s="254"/>
      <c r="R661" s="254"/>
      <c r="S661" s="254"/>
      <c r="T661" s="254"/>
      <c r="U661" s="254"/>
      <c r="V661" s="254"/>
      <c r="W661" s="254"/>
      <c r="X661" s="254"/>
      <c r="Y661" s="254"/>
      <c r="Z661" s="254"/>
      <c r="AA661" s="254"/>
      <c r="AB661" s="254"/>
      <c r="AC661" s="254"/>
    </row>
    <row r="662" ht="12.75" customHeight="1" spans="1:29">
      <c r="A662" s="254"/>
      <c r="B662" s="254"/>
      <c r="C662" s="254"/>
      <c r="D662" s="276"/>
      <c r="E662" s="254"/>
      <c r="F662" s="254"/>
      <c r="G662" s="254"/>
      <c r="H662" s="254"/>
      <c r="I662" s="254"/>
      <c r="J662" s="254"/>
      <c r="K662" s="254"/>
      <c r="L662" s="254"/>
      <c r="M662" s="254"/>
      <c r="N662" s="254"/>
      <c r="O662" s="254"/>
      <c r="P662" s="254"/>
      <c r="Q662" s="254"/>
      <c r="R662" s="254"/>
      <c r="S662" s="254"/>
      <c r="T662" s="254"/>
      <c r="U662" s="254"/>
      <c r="V662" s="254"/>
      <c r="W662" s="254"/>
      <c r="X662" s="254"/>
      <c r="Y662" s="254"/>
      <c r="Z662" s="254"/>
      <c r="AA662" s="254"/>
      <c r="AB662" s="254"/>
      <c r="AC662" s="254"/>
    </row>
    <row r="663" ht="12.75" customHeight="1" spans="1:29">
      <c r="A663" s="254"/>
      <c r="B663" s="254"/>
      <c r="C663" s="254"/>
      <c r="D663" s="276"/>
      <c r="E663" s="254"/>
      <c r="F663" s="254"/>
      <c r="G663" s="254"/>
      <c r="H663" s="254"/>
      <c r="I663" s="254"/>
      <c r="J663" s="254"/>
      <c r="K663" s="254"/>
      <c r="L663" s="254"/>
      <c r="M663" s="254"/>
      <c r="N663" s="254"/>
      <c r="O663" s="254"/>
      <c r="P663" s="254"/>
      <c r="Q663" s="254"/>
      <c r="R663" s="254"/>
      <c r="S663" s="254"/>
      <c r="T663" s="254"/>
      <c r="U663" s="254"/>
      <c r="V663" s="254"/>
      <c r="W663" s="254"/>
      <c r="X663" s="254"/>
      <c r="Y663" s="254"/>
      <c r="Z663" s="254"/>
      <c r="AA663" s="254"/>
      <c r="AB663" s="254"/>
      <c r="AC663" s="254"/>
    </row>
    <row r="664" ht="12.75" customHeight="1" spans="1:29">
      <c r="A664" s="254"/>
      <c r="B664" s="254"/>
      <c r="C664" s="254"/>
      <c r="D664" s="276"/>
      <c r="E664" s="254"/>
      <c r="F664" s="254"/>
      <c r="G664" s="254"/>
      <c r="H664" s="254"/>
      <c r="I664" s="254"/>
      <c r="J664" s="254"/>
      <c r="K664" s="254"/>
      <c r="L664" s="254"/>
      <c r="M664" s="254"/>
      <c r="N664" s="254"/>
      <c r="O664" s="254"/>
      <c r="P664" s="254"/>
      <c r="Q664" s="254"/>
      <c r="R664" s="254"/>
      <c r="S664" s="254"/>
      <c r="T664" s="254"/>
      <c r="U664" s="254"/>
      <c r="V664" s="254"/>
      <c r="W664" s="254"/>
      <c r="X664" s="254"/>
      <c r="Y664" s="254"/>
      <c r="Z664" s="254"/>
      <c r="AA664" s="254"/>
      <c r="AB664" s="254"/>
      <c r="AC664" s="254"/>
    </row>
    <row r="665" ht="12.75" customHeight="1" spans="1:29">
      <c r="A665" s="254"/>
      <c r="B665" s="254"/>
      <c r="C665" s="254"/>
      <c r="D665" s="276"/>
      <c r="E665" s="254"/>
      <c r="F665" s="254"/>
      <c r="G665" s="254"/>
      <c r="H665" s="254"/>
      <c r="I665" s="254"/>
      <c r="J665" s="254"/>
      <c r="K665" s="254"/>
      <c r="L665" s="254"/>
      <c r="M665" s="254"/>
      <c r="N665" s="254"/>
      <c r="O665" s="254"/>
      <c r="P665" s="254"/>
      <c r="Q665" s="254"/>
      <c r="R665" s="254"/>
      <c r="S665" s="254"/>
      <c r="T665" s="254"/>
      <c r="U665" s="254"/>
      <c r="V665" s="254"/>
      <c r="W665" s="254"/>
      <c r="X665" s="254"/>
      <c r="Y665" s="254"/>
      <c r="Z665" s="254"/>
      <c r="AA665" s="254"/>
      <c r="AB665" s="254"/>
      <c r="AC665" s="254"/>
    </row>
    <row r="666" ht="12.75" customHeight="1" spans="1:29">
      <c r="A666" s="254"/>
      <c r="B666" s="254"/>
      <c r="C666" s="254"/>
      <c r="D666" s="276"/>
      <c r="E666" s="254"/>
      <c r="F666" s="254"/>
      <c r="G666" s="254"/>
      <c r="H666" s="254"/>
      <c r="I666" s="254"/>
      <c r="J666" s="254"/>
      <c r="K666" s="254"/>
      <c r="L666" s="254"/>
      <c r="M666" s="254"/>
      <c r="N666" s="254"/>
      <c r="O666" s="254"/>
      <c r="P666" s="254"/>
      <c r="Q666" s="254"/>
      <c r="R666" s="254"/>
      <c r="S666" s="254"/>
      <c r="T666" s="254"/>
      <c r="U666" s="254"/>
      <c r="V666" s="254"/>
      <c r="W666" s="254"/>
      <c r="X666" s="254"/>
      <c r="Y666" s="254"/>
      <c r="Z666" s="254"/>
      <c r="AA666" s="254"/>
      <c r="AB666" s="254"/>
      <c r="AC666" s="254"/>
    </row>
    <row r="667" ht="12.75" customHeight="1" spans="1:29">
      <c r="A667" s="254"/>
      <c r="B667" s="254"/>
      <c r="C667" s="254"/>
      <c r="D667" s="276"/>
      <c r="E667" s="254"/>
      <c r="F667" s="254"/>
      <c r="G667" s="254"/>
      <c r="H667" s="254"/>
      <c r="I667" s="254"/>
      <c r="J667" s="254"/>
      <c r="K667" s="254"/>
      <c r="L667" s="254"/>
      <c r="M667" s="254"/>
      <c r="N667" s="254"/>
      <c r="O667" s="254"/>
      <c r="P667" s="254"/>
      <c r="Q667" s="254"/>
      <c r="R667" s="254"/>
      <c r="S667" s="254"/>
      <c r="T667" s="254"/>
      <c r="U667" s="254"/>
      <c r="V667" s="254"/>
      <c r="W667" s="254"/>
      <c r="X667" s="254"/>
      <c r="Y667" s="254"/>
      <c r="Z667" s="254"/>
      <c r="AA667" s="254"/>
      <c r="AB667" s="254"/>
      <c r="AC667" s="254"/>
    </row>
    <row r="668" ht="12.75" customHeight="1" spans="1:29">
      <c r="A668" s="254"/>
      <c r="B668" s="254"/>
      <c r="C668" s="254"/>
      <c r="D668" s="276"/>
      <c r="E668" s="254"/>
      <c r="F668" s="254"/>
      <c r="G668" s="254"/>
      <c r="H668" s="254"/>
      <c r="I668" s="254"/>
      <c r="J668" s="254"/>
      <c r="K668" s="254"/>
      <c r="L668" s="254"/>
      <c r="M668" s="254"/>
      <c r="N668" s="254"/>
      <c r="O668" s="254"/>
      <c r="P668" s="254"/>
      <c r="Q668" s="254"/>
      <c r="R668" s="254"/>
      <c r="S668" s="254"/>
      <c r="T668" s="254"/>
      <c r="U668" s="254"/>
      <c r="V668" s="254"/>
      <c r="W668" s="254"/>
      <c r="X668" s="254"/>
      <c r="Y668" s="254"/>
      <c r="Z668" s="254"/>
      <c r="AA668" s="254"/>
      <c r="AB668" s="254"/>
      <c r="AC668" s="254"/>
    </row>
    <row r="669" ht="12.75" customHeight="1" spans="1:29">
      <c r="A669" s="254"/>
      <c r="B669" s="254"/>
      <c r="C669" s="254"/>
      <c r="D669" s="276"/>
      <c r="E669" s="254"/>
      <c r="F669" s="254"/>
      <c r="G669" s="254"/>
      <c r="H669" s="254"/>
      <c r="I669" s="254"/>
      <c r="J669" s="254"/>
      <c r="K669" s="254"/>
      <c r="L669" s="254"/>
      <c r="M669" s="254"/>
      <c r="N669" s="254"/>
      <c r="O669" s="254"/>
      <c r="P669" s="254"/>
      <c r="Q669" s="254"/>
      <c r="R669" s="254"/>
      <c r="S669" s="254"/>
      <c r="T669" s="254"/>
      <c r="U669" s="254"/>
      <c r="V669" s="254"/>
      <c r="W669" s="254"/>
      <c r="X669" s="254"/>
      <c r="Y669" s="254"/>
      <c r="Z669" s="254"/>
      <c r="AA669" s="254"/>
      <c r="AB669" s="254"/>
      <c r="AC669" s="254"/>
    </row>
    <row r="670" ht="12.75" customHeight="1" spans="1:29">
      <c r="A670" s="254"/>
      <c r="B670" s="254"/>
      <c r="C670" s="254"/>
      <c r="D670" s="276"/>
      <c r="E670" s="254"/>
      <c r="F670" s="254"/>
      <c r="G670" s="254"/>
      <c r="H670" s="254"/>
      <c r="I670" s="254"/>
      <c r="J670" s="254"/>
      <c r="K670" s="254"/>
      <c r="L670" s="254"/>
      <c r="M670" s="254"/>
      <c r="N670" s="254"/>
      <c r="O670" s="254"/>
      <c r="P670" s="254"/>
      <c r="Q670" s="254"/>
      <c r="R670" s="254"/>
      <c r="S670" s="254"/>
      <c r="T670" s="254"/>
      <c r="U670" s="254"/>
      <c r="V670" s="254"/>
      <c r="W670" s="254"/>
      <c r="X670" s="254"/>
      <c r="Y670" s="254"/>
      <c r="Z670" s="254"/>
      <c r="AA670" s="254"/>
      <c r="AB670" s="254"/>
      <c r="AC670" s="254"/>
    </row>
    <row r="671" ht="12.75" customHeight="1" spans="1:29">
      <c r="A671" s="254"/>
      <c r="B671" s="254"/>
      <c r="C671" s="254"/>
      <c r="D671" s="276"/>
      <c r="E671" s="254"/>
      <c r="F671" s="254"/>
      <c r="G671" s="254"/>
      <c r="H671" s="254"/>
      <c r="I671" s="254"/>
      <c r="J671" s="254"/>
      <c r="K671" s="254"/>
      <c r="L671" s="254"/>
      <c r="M671" s="254"/>
      <c r="N671" s="254"/>
      <c r="O671" s="254"/>
      <c r="P671" s="254"/>
      <c r="Q671" s="254"/>
      <c r="R671" s="254"/>
      <c r="S671" s="254"/>
      <c r="T671" s="254"/>
      <c r="U671" s="254"/>
      <c r="V671" s="254"/>
      <c r="W671" s="254"/>
      <c r="X671" s="254"/>
      <c r="Y671" s="254"/>
      <c r="Z671" s="254"/>
      <c r="AA671" s="254"/>
      <c r="AB671" s="254"/>
      <c r="AC671" s="254"/>
    </row>
    <row r="672" ht="12.75" customHeight="1" spans="1:29">
      <c r="A672" s="254"/>
      <c r="B672" s="254"/>
      <c r="C672" s="254"/>
      <c r="D672" s="276"/>
      <c r="E672" s="254"/>
      <c r="F672" s="254"/>
      <c r="G672" s="254"/>
      <c r="H672" s="254"/>
      <c r="I672" s="254"/>
      <c r="J672" s="254"/>
      <c r="K672" s="254"/>
      <c r="L672" s="254"/>
      <c r="M672" s="254"/>
      <c r="N672" s="254"/>
      <c r="O672" s="254"/>
      <c r="P672" s="254"/>
      <c r="Q672" s="254"/>
      <c r="R672" s="254"/>
      <c r="S672" s="254"/>
      <c r="T672" s="254"/>
      <c r="U672" s="254"/>
      <c r="V672" s="254"/>
      <c r="W672" s="254"/>
      <c r="X672" s="254"/>
      <c r="Y672" s="254"/>
      <c r="Z672" s="254"/>
      <c r="AA672" s="254"/>
      <c r="AB672" s="254"/>
      <c r="AC672" s="254"/>
    </row>
    <row r="673" ht="12.75" customHeight="1" spans="1:29">
      <c r="A673" s="254"/>
      <c r="B673" s="254"/>
      <c r="C673" s="254"/>
      <c r="D673" s="276"/>
      <c r="E673" s="254"/>
      <c r="F673" s="254"/>
      <c r="G673" s="254"/>
      <c r="H673" s="254"/>
      <c r="I673" s="254"/>
      <c r="J673" s="254"/>
      <c r="K673" s="254"/>
      <c r="L673" s="254"/>
      <c r="M673" s="254"/>
      <c r="N673" s="254"/>
      <c r="O673" s="254"/>
      <c r="P673" s="254"/>
      <c r="Q673" s="254"/>
      <c r="R673" s="254"/>
      <c r="S673" s="254"/>
      <c r="T673" s="254"/>
      <c r="U673" s="254"/>
      <c r="V673" s="254"/>
      <c r="W673" s="254"/>
      <c r="X673" s="254"/>
      <c r="Y673" s="254"/>
      <c r="Z673" s="254"/>
      <c r="AA673" s="254"/>
      <c r="AB673" s="254"/>
      <c r="AC673" s="254"/>
    </row>
    <row r="674" ht="12.75" customHeight="1" spans="1:29">
      <c r="A674" s="254"/>
      <c r="B674" s="254"/>
      <c r="C674" s="254"/>
      <c r="D674" s="276"/>
      <c r="E674" s="254"/>
      <c r="F674" s="254"/>
      <c r="G674" s="254"/>
      <c r="H674" s="254"/>
      <c r="I674" s="254"/>
      <c r="J674" s="254"/>
      <c r="K674" s="254"/>
      <c r="L674" s="254"/>
      <c r="M674" s="254"/>
      <c r="N674" s="254"/>
      <c r="O674" s="254"/>
      <c r="P674" s="254"/>
      <c r="Q674" s="254"/>
      <c r="R674" s="254"/>
      <c r="S674" s="254"/>
      <c r="T674" s="254"/>
      <c r="U674" s="254"/>
      <c r="V674" s="254"/>
      <c r="W674" s="254"/>
      <c r="X674" s="254"/>
      <c r="Y674" s="254"/>
      <c r="Z674" s="254"/>
      <c r="AA674" s="254"/>
      <c r="AB674" s="254"/>
      <c r="AC674" s="254"/>
    </row>
    <row r="675" ht="12.75" customHeight="1" spans="1:29">
      <c r="A675" s="254"/>
      <c r="B675" s="254"/>
      <c r="C675" s="254"/>
      <c r="D675" s="276"/>
      <c r="E675" s="254"/>
      <c r="F675" s="254"/>
      <c r="G675" s="254"/>
      <c r="H675" s="254"/>
      <c r="I675" s="254"/>
      <c r="J675" s="254"/>
      <c r="K675" s="254"/>
      <c r="L675" s="254"/>
      <c r="M675" s="254"/>
      <c r="N675" s="254"/>
      <c r="O675" s="254"/>
      <c r="P675" s="254"/>
      <c r="Q675" s="254"/>
      <c r="R675" s="254"/>
      <c r="S675" s="254"/>
      <c r="T675" s="254"/>
      <c r="U675" s="254"/>
      <c r="V675" s="254"/>
      <c r="W675" s="254"/>
      <c r="X675" s="254"/>
      <c r="Y675" s="254"/>
      <c r="Z675" s="254"/>
      <c r="AA675" s="254"/>
      <c r="AB675" s="254"/>
      <c r="AC675" s="254"/>
    </row>
    <row r="676" ht="12.75" customHeight="1" spans="1:29">
      <c r="A676" s="254"/>
      <c r="B676" s="254"/>
      <c r="C676" s="254"/>
      <c r="D676" s="276"/>
      <c r="E676" s="254"/>
      <c r="F676" s="254"/>
      <c r="G676" s="254"/>
      <c r="H676" s="254"/>
      <c r="I676" s="254"/>
      <c r="J676" s="254"/>
      <c r="K676" s="254"/>
      <c r="L676" s="254"/>
      <c r="M676" s="254"/>
      <c r="N676" s="254"/>
      <c r="O676" s="254"/>
      <c r="P676" s="254"/>
      <c r="Q676" s="254"/>
      <c r="R676" s="254"/>
      <c r="S676" s="254"/>
      <c r="T676" s="254"/>
      <c r="U676" s="254"/>
      <c r="V676" s="254"/>
      <c r="W676" s="254"/>
      <c r="X676" s="254"/>
      <c r="Y676" s="254"/>
      <c r="Z676" s="254"/>
      <c r="AA676" s="254"/>
      <c r="AB676" s="254"/>
      <c r="AC676" s="254"/>
    </row>
    <row r="677" ht="12.75" customHeight="1" spans="1:29">
      <c r="A677" s="254"/>
      <c r="B677" s="254"/>
      <c r="C677" s="254"/>
      <c r="D677" s="276"/>
      <c r="E677" s="254"/>
      <c r="F677" s="254"/>
      <c r="G677" s="254"/>
      <c r="H677" s="254"/>
      <c r="I677" s="254"/>
      <c r="J677" s="254"/>
      <c r="K677" s="254"/>
      <c r="L677" s="254"/>
      <c r="M677" s="254"/>
      <c r="N677" s="254"/>
      <c r="O677" s="254"/>
      <c r="P677" s="254"/>
      <c r="Q677" s="254"/>
      <c r="R677" s="254"/>
      <c r="S677" s="254"/>
      <c r="T677" s="254"/>
      <c r="U677" s="254"/>
      <c r="V677" s="254"/>
      <c r="W677" s="254"/>
      <c r="X677" s="254"/>
      <c r="Y677" s="254"/>
      <c r="Z677" s="254"/>
      <c r="AA677" s="254"/>
      <c r="AB677" s="254"/>
      <c r="AC677" s="254"/>
    </row>
    <row r="678" ht="12.75" customHeight="1" spans="1:29">
      <c r="A678" s="254"/>
      <c r="B678" s="254"/>
      <c r="C678" s="254"/>
      <c r="D678" s="276"/>
      <c r="E678" s="254"/>
      <c r="F678" s="254"/>
      <c r="G678" s="254"/>
      <c r="H678" s="254"/>
      <c r="I678" s="254"/>
      <c r="J678" s="254"/>
      <c r="K678" s="254"/>
      <c r="L678" s="254"/>
      <c r="M678" s="254"/>
      <c r="N678" s="254"/>
      <c r="O678" s="254"/>
      <c r="P678" s="254"/>
      <c r="Q678" s="254"/>
      <c r="R678" s="254"/>
      <c r="S678" s="254"/>
      <c r="T678" s="254"/>
      <c r="U678" s="254"/>
      <c r="V678" s="254"/>
      <c r="W678" s="254"/>
      <c r="X678" s="254"/>
      <c r="Y678" s="254"/>
      <c r="Z678" s="254"/>
      <c r="AA678" s="254"/>
      <c r="AB678" s="254"/>
      <c r="AC678" s="254"/>
    </row>
    <row r="679" ht="12.75" customHeight="1" spans="1:29">
      <c r="A679" s="254"/>
      <c r="B679" s="254"/>
      <c r="C679" s="254"/>
      <c r="D679" s="276"/>
      <c r="E679" s="254"/>
      <c r="F679" s="254"/>
      <c r="G679" s="254"/>
      <c r="H679" s="254"/>
      <c r="I679" s="254"/>
      <c r="J679" s="254"/>
      <c r="K679" s="254"/>
      <c r="L679" s="254"/>
      <c r="M679" s="254"/>
      <c r="N679" s="254"/>
      <c r="O679" s="254"/>
      <c r="P679" s="254"/>
      <c r="Q679" s="254"/>
      <c r="R679" s="254"/>
      <c r="S679" s="254"/>
      <c r="T679" s="254"/>
      <c r="U679" s="254"/>
      <c r="V679" s="254"/>
      <c r="W679" s="254"/>
      <c r="X679" s="254"/>
      <c r="Y679" s="254"/>
      <c r="Z679" s="254"/>
      <c r="AA679" s="254"/>
      <c r="AB679" s="254"/>
      <c r="AC679" s="254"/>
    </row>
    <row r="680" ht="12.75" customHeight="1" spans="1:29">
      <c r="A680" s="254"/>
      <c r="B680" s="254"/>
      <c r="C680" s="254"/>
      <c r="D680" s="276"/>
      <c r="E680" s="254"/>
      <c r="F680" s="254"/>
      <c r="G680" s="254"/>
      <c r="H680" s="254"/>
      <c r="I680" s="254"/>
      <c r="J680" s="254"/>
      <c r="K680" s="254"/>
      <c r="L680" s="254"/>
      <c r="M680" s="254"/>
      <c r="N680" s="254"/>
      <c r="O680" s="254"/>
      <c r="P680" s="254"/>
      <c r="Q680" s="254"/>
      <c r="R680" s="254"/>
      <c r="S680" s="254"/>
      <c r="T680" s="254"/>
      <c r="U680" s="254"/>
      <c r="V680" s="254"/>
      <c r="W680" s="254"/>
      <c r="X680" s="254"/>
      <c r="Y680" s="254"/>
      <c r="Z680" s="254"/>
      <c r="AA680" s="254"/>
      <c r="AB680" s="254"/>
      <c r="AC680" s="254"/>
    </row>
    <row r="681" ht="12.75" customHeight="1" spans="1:29">
      <c r="A681" s="254"/>
      <c r="B681" s="254"/>
      <c r="C681" s="254"/>
      <c r="D681" s="276"/>
      <c r="E681" s="254"/>
      <c r="F681" s="254"/>
      <c r="G681" s="254"/>
      <c r="H681" s="254"/>
      <c r="I681" s="254"/>
      <c r="J681" s="254"/>
      <c r="K681" s="254"/>
      <c r="L681" s="254"/>
      <c r="M681" s="254"/>
      <c r="N681" s="254"/>
      <c r="O681" s="254"/>
      <c r="P681" s="254"/>
      <c r="Q681" s="254"/>
      <c r="R681" s="254"/>
      <c r="S681" s="254"/>
      <c r="T681" s="254"/>
      <c r="U681" s="254"/>
      <c r="V681" s="254"/>
      <c r="W681" s="254"/>
      <c r="X681" s="254"/>
      <c r="Y681" s="254"/>
      <c r="Z681" s="254"/>
      <c r="AA681" s="254"/>
      <c r="AB681" s="254"/>
      <c r="AC681" s="254"/>
    </row>
    <row r="682" ht="12.75" customHeight="1" spans="1:29">
      <c r="A682" s="254"/>
      <c r="B682" s="254"/>
      <c r="C682" s="254"/>
      <c r="D682" s="276"/>
      <c r="E682" s="254"/>
      <c r="F682" s="254"/>
      <c r="G682" s="254"/>
      <c r="H682" s="254"/>
      <c r="I682" s="254"/>
      <c r="J682" s="254"/>
      <c r="K682" s="254"/>
      <c r="L682" s="254"/>
      <c r="M682" s="254"/>
      <c r="N682" s="254"/>
      <c r="O682" s="254"/>
      <c r="P682" s="254"/>
      <c r="Q682" s="254"/>
      <c r="R682" s="254"/>
      <c r="S682" s="254"/>
      <c r="T682" s="254"/>
      <c r="U682" s="254"/>
      <c r="V682" s="254"/>
      <c r="W682" s="254"/>
      <c r="X682" s="254"/>
      <c r="Y682" s="254"/>
      <c r="Z682" s="254"/>
      <c r="AA682" s="254"/>
      <c r="AB682" s="254"/>
      <c r="AC682" s="254"/>
    </row>
    <row r="683" ht="12.75" customHeight="1" spans="1:29">
      <c r="A683" s="254"/>
      <c r="B683" s="254"/>
      <c r="C683" s="254"/>
      <c r="D683" s="276"/>
      <c r="E683" s="254"/>
      <c r="F683" s="254"/>
      <c r="G683" s="254"/>
      <c r="H683" s="254"/>
      <c r="I683" s="254"/>
      <c r="J683" s="254"/>
      <c r="K683" s="254"/>
      <c r="L683" s="254"/>
      <c r="M683" s="254"/>
      <c r="N683" s="254"/>
      <c r="O683" s="254"/>
      <c r="P683" s="254"/>
      <c r="Q683" s="254"/>
      <c r="R683" s="254"/>
      <c r="S683" s="254"/>
      <c r="T683" s="254"/>
      <c r="U683" s="254"/>
      <c r="V683" s="254"/>
      <c r="W683" s="254"/>
      <c r="X683" s="254"/>
      <c r="Y683" s="254"/>
      <c r="Z683" s="254"/>
      <c r="AA683" s="254"/>
      <c r="AB683" s="254"/>
      <c r="AC683" s="254"/>
    </row>
    <row r="684" ht="12.75" customHeight="1" spans="1:29">
      <c r="A684" s="254"/>
      <c r="B684" s="254"/>
      <c r="C684" s="254"/>
      <c r="D684" s="276"/>
      <c r="E684" s="254"/>
      <c r="F684" s="254"/>
      <c r="G684" s="254"/>
      <c r="H684" s="254"/>
      <c r="I684" s="254"/>
      <c r="J684" s="254"/>
      <c r="K684" s="254"/>
      <c r="L684" s="254"/>
      <c r="M684" s="254"/>
      <c r="N684" s="254"/>
      <c r="O684" s="254"/>
      <c r="P684" s="254"/>
      <c r="Q684" s="254"/>
      <c r="R684" s="254"/>
      <c r="S684" s="254"/>
      <c r="T684" s="254"/>
      <c r="U684" s="254"/>
      <c r="V684" s="254"/>
      <c r="W684" s="254"/>
      <c r="X684" s="254"/>
      <c r="Y684" s="254"/>
      <c r="Z684" s="254"/>
      <c r="AA684" s="254"/>
      <c r="AB684" s="254"/>
      <c r="AC684" s="254"/>
    </row>
    <row r="685" ht="12.75" customHeight="1" spans="1:29">
      <c r="A685" s="254"/>
      <c r="B685" s="254"/>
      <c r="C685" s="254"/>
      <c r="D685" s="276"/>
      <c r="E685" s="254"/>
      <c r="F685" s="254"/>
      <c r="G685" s="254"/>
      <c r="H685" s="254"/>
      <c r="I685" s="254"/>
      <c r="J685" s="254"/>
      <c r="K685" s="254"/>
      <c r="L685" s="254"/>
      <c r="M685" s="254"/>
      <c r="N685" s="254"/>
      <c r="O685" s="254"/>
      <c r="P685" s="254"/>
      <c r="Q685" s="254"/>
      <c r="R685" s="254"/>
      <c r="S685" s="254"/>
      <c r="T685" s="254"/>
      <c r="U685" s="254"/>
      <c r="V685" s="254"/>
      <c r="W685" s="254"/>
      <c r="X685" s="254"/>
      <c r="Y685" s="254"/>
      <c r="Z685" s="254"/>
      <c r="AA685" s="254"/>
      <c r="AB685" s="254"/>
      <c r="AC685" s="254"/>
    </row>
    <row r="686" ht="12.75" customHeight="1" spans="1:29">
      <c r="A686" s="254"/>
      <c r="B686" s="254"/>
      <c r="C686" s="254"/>
      <c r="D686" s="276"/>
      <c r="E686" s="254"/>
      <c r="F686" s="254"/>
      <c r="G686" s="254"/>
      <c r="H686" s="254"/>
      <c r="I686" s="254"/>
      <c r="J686" s="254"/>
      <c r="K686" s="254"/>
      <c r="L686" s="254"/>
      <c r="M686" s="254"/>
      <c r="N686" s="254"/>
      <c r="O686" s="254"/>
      <c r="P686" s="254"/>
      <c r="Q686" s="254"/>
      <c r="R686" s="254"/>
      <c r="S686" s="254"/>
      <c r="T686" s="254"/>
      <c r="U686" s="254"/>
      <c r="V686" s="254"/>
      <c r="W686" s="254"/>
      <c r="X686" s="254"/>
      <c r="Y686" s="254"/>
      <c r="Z686" s="254"/>
      <c r="AA686" s="254"/>
      <c r="AB686" s="254"/>
      <c r="AC686" s="254"/>
    </row>
    <row r="687" ht="12.75" customHeight="1" spans="1:29">
      <c r="A687" s="254"/>
      <c r="B687" s="254"/>
      <c r="C687" s="254"/>
      <c r="D687" s="276"/>
      <c r="E687" s="254"/>
      <c r="F687" s="254"/>
      <c r="G687" s="254"/>
      <c r="H687" s="254"/>
      <c r="I687" s="254"/>
      <c r="J687" s="254"/>
      <c r="K687" s="254"/>
      <c r="L687" s="254"/>
      <c r="M687" s="254"/>
      <c r="N687" s="254"/>
      <c r="O687" s="254"/>
      <c r="P687" s="254"/>
      <c r="Q687" s="254"/>
      <c r="R687" s="254"/>
      <c r="S687" s="254"/>
      <c r="T687" s="254"/>
      <c r="U687" s="254"/>
      <c r="V687" s="254"/>
      <c r="W687" s="254"/>
      <c r="X687" s="254"/>
      <c r="Y687" s="254"/>
      <c r="Z687" s="254"/>
      <c r="AA687" s="254"/>
      <c r="AB687" s="254"/>
      <c r="AC687" s="254"/>
    </row>
    <row r="688" ht="12.75" customHeight="1" spans="1:29">
      <c r="A688" s="254"/>
      <c r="B688" s="254"/>
      <c r="C688" s="254"/>
      <c r="D688" s="276"/>
      <c r="E688" s="254"/>
      <c r="F688" s="254"/>
      <c r="G688" s="254"/>
      <c r="H688" s="254"/>
      <c r="I688" s="254"/>
      <c r="J688" s="254"/>
      <c r="K688" s="254"/>
      <c r="L688" s="254"/>
      <c r="M688" s="254"/>
      <c r="N688" s="254"/>
      <c r="O688" s="254"/>
      <c r="P688" s="254"/>
      <c r="Q688" s="254"/>
      <c r="R688" s="254"/>
      <c r="S688" s="254"/>
      <c r="T688" s="254"/>
      <c r="U688" s="254"/>
      <c r="V688" s="254"/>
      <c r="W688" s="254"/>
      <c r="X688" s="254"/>
      <c r="Y688" s="254"/>
      <c r="Z688" s="254"/>
      <c r="AA688" s="254"/>
      <c r="AB688" s="254"/>
      <c r="AC688" s="254"/>
    </row>
    <row r="689" ht="12.75" customHeight="1" spans="1:29">
      <c r="A689" s="254"/>
      <c r="B689" s="254"/>
      <c r="C689" s="254"/>
      <c r="D689" s="276"/>
      <c r="E689" s="254"/>
      <c r="F689" s="254"/>
      <c r="G689" s="254"/>
      <c r="H689" s="254"/>
      <c r="I689" s="254"/>
      <c r="J689" s="254"/>
      <c r="K689" s="254"/>
      <c r="L689" s="254"/>
      <c r="M689" s="254"/>
      <c r="N689" s="254"/>
      <c r="O689" s="254"/>
      <c r="P689" s="254"/>
      <c r="Q689" s="254"/>
      <c r="R689" s="254"/>
      <c r="S689" s="254"/>
      <c r="T689" s="254"/>
      <c r="U689" s="254"/>
      <c r="V689" s="254"/>
      <c r="W689" s="254"/>
      <c r="X689" s="254"/>
      <c r="Y689" s="254"/>
      <c r="Z689" s="254"/>
      <c r="AA689" s="254"/>
      <c r="AB689" s="254"/>
      <c r="AC689" s="254"/>
    </row>
    <row r="690" ht="12.75" customHeight="1" spans="1:29">
      <c r="A690" s="254"/>
      <c r="B690" s="254"/>
      <c r="C690" s="254"/>
      <c r="D690" s="276"/>
      <c r="E690" s="254"/>
      <c r="F690" s="254"/>
      <c r="G690" s="254"/>
      <c r="H690" s="254"/>
      <c r="I690" s="254"/>
      <c r="J690" s="254"/>
      <c r="K690" s="254"/>
      <c r="L690" s="254"/>
      <c r="M690" s="254"/>
      <c r="N690" s="254"/>
      <c r="O690" s="254"/>
      <c r="P690" s="254"/>
      <c r="Q690" s="254"/>
      <c r="R690" s="254"/>
      <c r="S690" s="254"/>
      <c r="T690" s="254"/>
      <c r="U690" s="254"/>
      <c r="V690" s="254"/>
      <c r="W690" s="254"/>
      <c r="X690" s="254"/>
      <c r="Y690" s="254"/>
      <c r="Z690" s="254"/>
      <c r="AA690" s="254"/>
      <c r="AB690" s="254"/>
      <c r="AC690" s="254"/>
    </row>
    <row r="691" ht="12.75" customHeight="1" spans="1:29">
      <c r="A691" s="254"/>
      <c r="B691" s="254"/>
      <c r="C691" s="254"/>
      <c r="D691" s="276"/>
      <c r="E691" s="254"/>
      <c r="F691" s="254"/>
      <c r="G691" s="254"/>
      <c r="H691" s="254"/>
      <c r="I691" s="254"/>
      <c r="J691" s="254"/>
      <c r="K691" s="254"/>
      <c r="L691" s="254"/>
      <c r="M691" s="254"/>
      <c r="N691" s="254"/>
      <c r="O691" s="254"/>
      <c r="P691" s="254"/>
      <c r="Q691" s="254"/>
      <c r="R691" s="254"/>
      <c r="S691" s="254"/>
      <c r="T691" s="254"/>
      <c r="U691" s="254"/>
      <c r="V691" s="254"/>
      <c r="W691" s="254"/>
      <c r="X691" s="254"/>
      <c r="Y691" s="254"/>
      <c r="Z691" s="254"/>
      <c r="AA691" s="254"/>
      <c r="AB691" s="254"/>
      <c r="AC691" s="254"/>
    </row>
    <row r="692" ht="12.75" customHeight="1" spans="1:29">
      <c r="A692" s="254"/>
      <c r="B692" s="254"/>
      <c r="C692" s="254"/>
      <c r="D692" s="276"/>
      <c r="E692" s="254"/>
      <c r="F692" s="254"/>
      <c r="G692" s="254"/>
      <c r="H692" s="254"/>
      <c r="I692" s="254"/>
      <c r="J692" s="254"/>
      <c r="K692" s="254"/>
      <c r="L692" s="254"/>
      <c r="M692" s="254"/>
      <c r="N692" s="254"/>
      <c r="O692" s="254"/>
      <c r="P692" s="254"/>
      <c r="Q692" s="254"/>
      <c r="R692" s="254"/>
      <c r="S692" s="254"/>
      <c r="T692" s="254"/>
      <c r="U692" s="254"/>
      <c r="V692" s="254"/>
      <c r="W692" s="254"/>
      <c r="X692" s="254"/>
      <c r="Y692" s="254"/>
      <c r="Z692" s="254"/>
      <c r="AA692" s="254"/>
      <c r="AB692" s="254"/>
      <c r="AC692" s="254"/>
    </row>
    <row r="693" ht="12.75" customHeight="1" spans="1:29">
      <c r="A693" s="254"/>
      <c r="B693" s="254"/>
      <c r="C693" s="254"/>
      <c r="D693" s="276"/>
      <c r="E693" s="254"/>
      <c r="F693" s="254"/>
      <c r="G693" s="254"/>
      <c r="H693" s="254"/>
      <c r="I693" s="254"/>
      <c r="J693" s="254"/>
      <c r="K693" s="254"/>
      <c r="L693" s="254"/>
      <c r="M693" s="254"/>
      <c r="N693" s="254"/>
      <c r="O693" s="254"/>
      <c r="P693" s="254"/>
      <c r="Q693" s="254"/>
      <c r="R693" s="254"/>
      <c r="S693" s="254"/>
      <c r="T693" s="254"/>
      <c r="U693" s="254"/>
      <c r="V693" s="254"/>
      <c r="W693" s="254"/>
      <c r="X693" s="254"/>
      <c r="Y693" s="254"/>
      <c r="Z693" s="254"/>
      <c r="AA693" s="254"/>
      <c r="AB693" s="254"/>
      <c r="AC693" s="254"/>
    </row>
    <row r="694" ht="12.75" customHeight="1" spans="1:29">
      <c r="A694" s="254"/>
      <c r="B694" s="254"/>
      <c r="C694" s="254"/>
      <c r="D694" s="276"/>
      <c r="E694" s="254"/>
      <c r="F694" s="254"/>
      <c r="G694" s="254"/>
      <c r="H694" s="254"/>
      <c r="I694" s="254"/>
      <c r="J694" s="254"/>
      <c r="K694" s="254"/>
      <c r="L694" s="254"/>
      <c r="M694" s="254"/>
      <c r="N694" s="254"/>
      <c r="O694" s="254"/>
      <c r="P694" s="254"/>
      <c r="Q694" s="254"/>
      <c r="R694" s="254"/>
      <c r="S694" s="254"/>
      <c r="T694" s="254"/>
      <c r="U694" s="254"/>
      <c r="V694" s="254"/>
      <c r="W694" s="254"/>
      <c r="X694" s="254"/>
      <c r="Y694" s="254"/>
      <c r="Z694" s="254"/>
      <c r="AA694" s="254"/>
      <c r="AB694" s="254"/>
      <c r="AC694" s="254"/>
    </row>
    <row r="695" ht="12.75" customHeight="1" spans="1:29">
      <c r="A695" s="254"/>
      <c r="B695" s="254"/>
      <c r="C695" s="254"/>
      <c r="D695" s="276"/>
      <c r="E695" s="254"/>
      <c r="F695" s="254"/>
      <c r="G695" s="254"/>
      <c r="H695" s="254"/>
      <c r="I695" s="254"/>
      <c r="J695" s="254"/>
      <c r="K695" s="254"/>
      <c r="L695" s="254"/>
      <c r="M695" s="254"/>
      <c r="N695" s="254"/>
      <c r="O695" s="254"/>
      <c r="P695" s="254"/>
      <c r="Q695" s="254"/>
      <c r="R695" s="254"/>
      <c r="S695" s="254"/>
      <c r="T695" s="254"/>
      <c r="U695" s="254"/>
      <c r="V695" s="254"/>
      <c r="W695" s="254"/>
      <c r="X695" s="254"/>
      <c r="Y695" s="254"/>
      <c r="Z695" s="254"/>
      <c r="AA695" s="254"/>
      <c r="AB695" s="254"/>
      <c r="AC695" s="254"/>
    </row>
    <row r="696" ht="12.75" customHeight="1" spans="1:29">
      <c r="A696" s="254"/>
      <c r="B696" s="254"/>
      <c r="C696" s="254"/>
      <c r="D696" s="276"/>
      <c r="E696" s="254"/>
      <c r="F696" s="254"/>
      <c r="G696" s="254"/>
      <c r="H696" s="254"/>
      <c r="I696" s="254"/>
      <c r="J696" s="254"/>
      <c r="K696" s="254"/>
      <c r="L696" s="254"/>
      <c r="M696" s="254"/>
      <c r="N696" s="254"/>
      <c r="O696" s="254"/>
      <c r="P696" s="254"/>
      <c r="Q696" s="254"/>
      <c r="R696" s="254"/>
      <c r="S696" s="254"/>
      <c r="T696" s="254"/>
      <c r="U696" s="254"/>
      <c r="V696" s="254"/>
      <c r="W696" s="254"/>
      <c r="X696" s="254"/>
      <c r="Y696" s="254"/>
      <c r="Z696" s="254"/>
      <c r="AA696" s="254"/>
      <c r="AB696" s="254"/>
      <c r="AC696" s="254"/>
    </row>
    <row r="697" ht="12.75" customHeight="1" spans="1:29">
      <c r="A697" s="254"/>
      <c r="B697" s="254"/>
      <c r="C697" s="254"/>
      <c r="D697" s="276"/>
      <c r="E697" s="254"/>
      <c r="F697" s="254"/>
      <c r="G697" s="254"/>
      <c r="H697" s="254"/>
      <c r="I697" s="254"/>
      <c r="J697" s="254"/>
      <c r="K697" s="254"/>
      <c r="L697" s="254"/>
      <c r="M697" s="254"/>
      <c r="N697" s="254"/>
      <c r="O697" s="254"/>
      <c r="P697" s="254"/>
      <c r="Q697" s="254"/>
      <c r="R697" s="254"/>
      <c r="S697" s="254"/>
      <c r="T697" s="254"/>
      <c r="U697" s="254"/>
      <c r="V697" s="254"/>
      <c r="W697" s="254"/>
      <c r="X697" s="254"/>
      <c r="Y697" s="254"/>
      <c r="Z697" s="254"/>
      <c r="AA697" s="254"/>
      <c r="AB697" s="254"/>
      <c r="AC697" s="254"/>
    </row>
    <row r="698" ht="12.75" customHeight="1" spans="1:29">
      <c r="A698" s="254"/>
      <c r="B698" s="254"/>
      <c r="C698" s="254"/>
      <c r="D698" s="276"/>
      <c r="E698" s="254"/>
      <c r="F698" s="254"/>
      <c r="G698" s="254"/>
      <c r="H698" s="254"/>
      <c r="I698" s="254"/>
      <c r="J698" s="254"/>
      <c r="K698" s="254"/>
      <c r="L698" s="254"/>
      <c r="M698" s="254"/>
      <c r="N698" s="254"/>
      <c r="O698" s="254"/>
      <c r="P698" s="254"/>
      <c r="Q698" s="254"/>
      <c r="R698" s="254"/>
      <c r="S698" s="254"/>
      <c r="T698" s="254"/>
      <c r="U698" s="254"/>
      <c r="V698" s="254"/>
      <c r="W698" s="254"/>
      <c r="X698" s="254"/>
      <c r="Y698" s="254"/>
      <c r="Z698" s="254"/>
      <c r="AA698" s="254"/>
      <c r="AB698" s="254"/>
      <c r="AC698" s="254"/>
    </row>
    <row r="699" ht="12.75" customHeight="1" spans="1:29">
      <c r="A699" s="254"/>
      <c r="B699" s="254"/>
      <c r="C699" s="254"/>
      <c r="D699" s="276"/>
      <c r="E699" s="254"/>
      <c r="F699" s="254"/>
      <c r="G699" s="254"/>
      <c r="H699" s="254"/>
      <c r="I699" s="254"/>
      <c r="J699" s="254"/>
      <c r="K699" s="254"/>
      <c r="L699" s="254"/>
      <c r="M699" s="254"/>
      <c r="N699" s="254"/>
      <c r="O699" s="254"/>
      <c r="P699" s="254"/>
      <c r="Q699" s="254"/>
      <c r="R699" s="254"/>
      <c r="S699" s="254"/>
      <c r="T699" s="254"/>
      <c r="U699" s="254"/>
      <c r="V699" s="254"/>
      <c r="W699" s="254"/>
      <c r="X699" s="254"/>
      <c r="Y699" s="254"/>
      <c r="Z699" s="254"/>
      <c r="AA699" s="254"/>
      <c r="AB699" s="254"/>
      <c r="AC699" s="254"/>
    </row>
    <row r="700" ht="12.75" customHeight="1" spans="1:29">
      <c r="A700" s="254"/>
      <c r="B700" s="254"/>
      <c r="C700" s="254"/>
      <c r="D700" s="276"/>
      <c r="E700" s="254"/>
      <c r="F700" s="254"/>
      <c r="G700" s="254"/>
      <c r="H700" s="254"/>
      <c r="I700" s="254"/>
      <c r="J700" s="254"/>
      <c r="K700" s="254"/>
      <c r="L700" s="254"/>
      <c r="M700" s="254"/>
      <c r="N700" s="254"/>
      <c r="O700" s="254"/>
      <c r="P700" s="254"/>
      <c r="Q700" s="254"/>
      <c r="R700" s="254"/>
      <c r="S700" s="254"/>
      <c r="T700" s="254"/>
      <c r="U700" s="254"/>
      <c r="V700" s="254"/>
      <c r="W700" s="254"/>
      <c r="X700" s="254"/>
      <c r="Y700" s="254"/>
      <c r="Z700" s="254"/>
      <c r="AA700" s="254"/>
      <c r="AB700" s="254"/>
      <c r="AC700" s="254"/>
    </row>
    <row r="701" ht="12.75" customHeight="1" spans="1:29">
      <c r="A701" s="254"/>
      <c r="B701" s="254"/>
      <c r="C701" s="254"/>
      <c r="D701" s="276"/>
      <c r="E701" s="254"/>
      <c r="F701" s="254"/>
      <c r="G701" s="254"/>
      <c r="H701" s="254"/>
      <c r="I701" s="254"/>
      <c r="J701" s="254"/>
      <c r="K701" s="254"/>
      <c r="L701" s="254"/>
      <c r="M701" s="254"/>
      <c r="N701" s="254"/>
      <c r="O701" s="254"/>
      <c r="P701" s="254"/>
      <c r="Q701" s="254"/>
      <c r="R701" s="254"/>
      <c r="S701" s="254"/>
      <c r="T701" s="254"/>
      <c r="U701" s="254"/>
      <c r="V701" s="254"/>
      <c r="W701" s="254"/>
      <c r="X701" s="254"/>
      <c r="Y701" s="254"/>
      <c r="Z701" s="254"/>
      <c r="AA701" s="254"/>
      <c r="AB701" s="254"/>
      <c r="AC701" s="254"/>
    </row>
    <row r="702" ht="12.75" customHeight="1" spans="1:29">
      <c r="A702" s="254"/>
      <c r="B702" s="254"/>
      <c r="C702" s="254"/>
      <c r="D702" s="276"/>
      <c r="E702" s="254"/>
      <c r="F702" s="254"/>
      <c r="G702" s="254"/>
      <c r="H702" s="254"/>
      <c r="I702" s="254"/>
      <c r="J702" s="254"/>
      <c r="K702" s="254"/>
      <c r="L702" s="254"/>
      <c r="M702" s="254"/>
      <c r="N702" s="254"/>
      <c r="O702" s="254"/>
      <c r="P702" s="254"/>
      <c r="Q702" s="254"/>
      <c r="R702" s="254"/>
      <c r="S702" s="254"/>
      <c r="T702" s="254"/>
      <c r="U702" s="254"/>
      <c r="V702" s="254"/>
      <c r="W702" s="254"/>
      <c r="X702" s="254"/>
      <c r="Y702" s="254"/>
      <c r="Z702" s="254"/>
      <c r="AA702" s="254"/>
      <c r="AB702" s="254"/>
      <c r="AC702" s="254"/>
    </row>
    <row r="703" ht="12.75" customHeight="1" spans="1:29">
      <c r="A703" s="254"/>
      <c r="B703" s="254"/>
      <c r="C703" s="254"/>
      <c r="D703" s="276"/>
      <c r="E703" s="254"/>
      <c r="F703" s="254"/>
      <c r="G703" s="254"/>
      <c r="H703" s="254"/>
      <c r="I703" s="254"/>
      <c r="J703" s="254"/>
      <c r="K703" s="254"/>
      <c r="L703" s="254"/>
      <c r="M703" s="254"/>
      <c r="N703" s="254"/>
      <c r="O703" s="254"/>
      <c r="P703" s="254"/>
      <c r="Q703" s="254"/>
      <c r="R703" s="254"/>
      <c r="S703" s="254"/>
      <c r="T703" s="254"/>
      <c r="U703" s="254"/>
      <c r="V703" s="254"/>
      <c r="W703" s="254"/>
      <c r="X703" s="254"/>
      <c r="Y703" s="254"/>
      <c r="Z703" s="254"/>
      <c r="AA703" s="254"/>
      <c r="AB703" s="254"/>
      <c r="AC703" s="254"/>
    </row>
    <row r="704" ht="12.75" customHeight="1" spans="1:29">
      <c r="A704" s="254"/>
      <c r="B704" s="254"/>
      <c r="C704" s="254"/>
      <c r="D704" s="276"/>
      <c r="E704" s="254"/>
      <c r="F704" s="254"/>
      <c r="G704" s="254"/>
      <c r="H704" s="254"/>
      <c r="I704" s="254"/>
      <c r="J704" s="254"/>
      <c r="K704" s="254"/>
      <c r="L704" s="254"/>
      <c r="M704" s="254"/>
      <c r="N704" s="254"/>
      <c r="O704" s="254"/>
      <c r="P704" s="254"/>
      <c r="Q704" s="254"/>
      <c r="R704" s="254"/>
      <c r="S704" s="254"/>
      <c r="T704" s="254"/>
      <c r="U704" s="254"/>
      <c r="V704" s="254"/>
      <c r="W704" s="254"/>
      <c r="X704" s="254"/>
      <c r="Y704" s="254"/>
      <c r="Z704" s="254"/>
      <c r="AA704" s="254"/>
      <c r="AB704" s="254"/>
      <c r="AC704" s="254"/>
    </row>
    <row r="705" ht="12.75" customHeight="1" spans="1:29">
      <c r="A705" s="254"/>
      <c r="B705" s="254"/>
      <c r="C705" s="254"/>
      <c r="D705" s="276"/>
      <c r="E705" s="254"/>
      <c r="F705" s="254"/>
      <c r="G705" s="254"/>
      <c r="H705" s="254"/>
      <c r="I705" s="254"/>
      <c r="J705" s="254"/>
      <c r="K705" s="254"/>
      <c r="L705" s="254"/>
      <c r="M705" s="254"/>
      <c r="N705" s="254"/>
      <c r="O705" s="254"/>
      <c r="P705" s="254"/>
      <c r="Q705" s="254"/>
      <c r="R705" s="254"/>
      <c r="S705" s="254"/>
      <c r="T705" s="254"/>
      <c r="U705" s="254"/>
      <c r="V705" s="254"/>
      <c r="W705" s="254"/>
      <c r="X705" s="254"/>
      <c r="Y705" s="254"/>
      <c r="Z705" s="254"/>
      <c r="AA705" s="254"/>
      <c r="AB705" s="254"/>
      <c r="AC705" s="254"/>
    </row>
    <row r="706" ht="12.75" customHeight="1" spans="1:29">
      <c r="A706" s="254"/>
      <c r="B706" s="254"/>
      <c r="C706" s="254"/>
      <c r="D706" s="276"/>
      <c r="E706" s="254"/>
      <c r="F706" s="254"/>
      <c r="G706" s="254"/>
      <c r="H706" s="254"/>
      <c r="I706" s="254"/>
      <c r="J706" s="254"/>
      <c r="K706" s="254"/>
      <c r="L706" s="254"/>
      <c r="M706" s="254"/>
      <c r="N706" s="254"/>
      <c r="O706" s="254"/>
      <c r="P706" s="254"/>
      <c r="Q706" s="254"/>
      <c r="R706" s="254"/>
      <c r="S706" s="254"/>
      <c r="T706" s="254"/>
      <c r="U706" s="254"/>
      <c r="V706" s="254"/>
      <c r="W706" s="254"/>
      <c r="X706" s="254"/>
      <c r="Y706" s="254"/>
      <c r="Z706" s="254"/>
      <c r="AA706" s="254"/>
      <c r="AB706" s="254"/>
      <c r="AC706" s="254"/>
    </row>
    <row r="707" ht="12.75" customHeight="1" spans="1:29">
      <c r="A707" s="254"/>
      <c r="B707" s="254"/>
      <c r="C707" s="254"/>
      <c r="D707" s="276"/>
      <c r="E707" s="254"/>
      <c r="F707" s="254"/>
      <c r="G707" s="254"/>
      <c r="H707" s="254"/>
      <c r="I707" s="254"/>
      <c r="J707" s="254"/>
      <c r="K707" s="254"/>
      <c r="L707" s="254"/>
      <c r="M707" s="254"/>
      <c r="N707" s="254"/>
      <c r="O707" s="254"/>
      <c r="P707" s="254"/>
      <c r="Q707" s="254"/>
      <c r="R707" s="254"/>
      <c r="S707" s="254"/>
      <c r="T707" s="254"/>
      <c r="U707" s="254"/>
      <c r="V707" s="254"/>
      <c r="W707" s="254"/>
      <c r="X707" s="254"/>
      <c r="Y707" s="254"/>
      <c r="Z707" s="254"/>
      <c r="AA707" s="254"/>
      <c r="AB707" s="254"/>
      <c r="AC707" s="254"/>
    </row>
    <row r="708" ht="12.75" customHeight="1" spans="1:29">
      <c r="A708" s="254"/>
      <c r="B708" s="254"/>
      <c r="C708" s="254"/>
      <c r="D708" s="276"/>
      <c r="E708" s="254"/>
      <c r="F708" s="254"/>
      <c r="G708" s="254"/>
      <c r="H708" s="254"/>
      <c r="I708" s="254"/>
      <c r="J708" s="254"/>
      <c r="K708" s="254"/>
      <c r="L708" s="254"/>
      <c r="M708" s="254"/>
      <c r="N708" s="254"/>
      <c r="O708" s="254"/>
      <c r="P708" s="254"/>
      <c r="Q708" s="254"/>
      <c r="R708" s="254"/>
      <c r="S708" s="254"/>
      <c r="T708" s="254"/>
      <c r="U708" s="254"/>
      <c r="V708" s="254"/>
      <c r="W708" s="254"/>
      <c r="X708" s="254"/>
      <c r="Y708" s="254"/>
      <c r="Z708" s="254"/>
      <c r="AA708" s="254"/>
      <c r="AB708" s="254"/>
      <c r="AC708" s="254"/>
    </row>
    <row r="709" ht="12.75" customHeight="1" spans="1:29">
      <c r="A709" s="254"/>
      <c r="B709" s="254"/>
      <c r="C709" s="254"/>
      <c r="D709" s="276"/>
      <c r="E709" s="254"/>
      <c r="F709" s="254"/>
      <c r="G709" s="254"/>
      <c r="H709" s="254"/>
      <c r="I709" s="254"/>
      <c r="J709" s="254"/>
      <c r="K709" s="254"/>
      <c r="L709" s="254"/>
      <c r="M709" s="254"/>
      <c r="N709" s="254"/>
      <c r="O709" s="254"/>
      <c r="P709" s="254"/>
      <c r="Q709" s="254"/>
      <c r="R709" s="254"/>
      <c r="S709" s="254"/>
      <c r="T709" s="254"/>
      <c r="U709" s="254"/>
      <c r="V709" s="254"/>
      <c r="W709" s="254"/>
      <c r="X709" s="254"/>
      <c r="Y709" s="254"/>
      <c r="Z709" s="254"/>
      <c r="AA709" s="254"/>
      <c r="AB709" s="254"/>
      <c r="AC709" s="254"/>
    </row>
    <row r="710" ht="12.75" customHeight="1" spans="1:29">
      <c r="A710" s="254"/>
      <c r="B710" s="254"/>
      <c r="C710" s="254"/>
      <c r="D710" s="276"/>
      <c r="E710" s="254"/>
      <c r="F710" s="254"/>
      <c r="G710" s="254"/>
      <c r="H710" s="254"/>
      <c r="I710" s="254"/>
      <c r="J710" s="254"/>
      <c r="K710" s="254"/>
      <c r="L710" s="254"/>
      <c r="M710" s="254"/>
      <c r="N710" s="254"/>
      <c r="O710" s="254"/>
      <c r="P710" s="254"/>
      <c r="Q710" s="254"/>
      <c r="R710" s="254"/>
      <c r="S710" s="254"/>
      <c r="T710" s="254"/>
      <c r="U710" s="254"/>
      <c r="V710" s="254"/>
      <c r="W710" s="254"/>
      <c r="X710" s="254"/>
      <c r="Y710" s="254"/>
      <c r="Z710" s="254"/>
      <c r="AA710" s="254"/>
      <c r="AB710" s="254"/>
      <c r="AC710" s="254"/>
    </row>
    <row r="711" ht="12.75" customHeight="1" spans="1:29">
      <c r="A711" s="254"/>
      <c r="B711" s="254"/>
      <c r="C711" s="254"/>
      <c r="D711" s="276"/>
      <c r="E711" s="254"/>
      <c r="F711" s="254"/>
      <c r="G711" s="254"/>
      <c r="H711" s="254"/>
      <c r="I711" s="254"/>
      <c r="J711" s="254"/>
      <c r="K711" s="254"/>
      <c r="L711" s="254"/>
      <c r="M711" s="254"/>
      <c r="N711" s="254"/>
      <c r="O711" s="254"/>
      <c r="P711" s="254"/>
      <c r="Q711" s="254"/>
      <c r="R711" s="254"/>
      <c r="S711" s="254"/>
      <c r="T711" s="254"/>
      <c r="U711" s="254"/>
      <c r="V711" s="254"/>
      <c r="W711" s="254"/>
      <c r="X711" s="254"/>
      <c r="Y711" s="254"/>
      <c r="Z711" s="254"/>
      <c r="AA711" s="254"/>
      <c r="AB711" s="254"/>
      <c r="AC711" s="254"/>
    </row>
    <row r="712" ht="12.75" customHeight="1" spans="1:29">
      <c r="A712" s="254"/>
      <c r="B712" s="254"/>
      <c r="C712" s="254"/>
      <c r="D712" s="276"/>
      <c r="E712" s="254"/>
      <c r="F712" s="254"/>
      <c r="G712" s="254"/>
      <c r="H712" s="254"/>
      <c r="I712" s="254"/>
      <c r="J712" s="254"/>
      <c r="K712" s="254"/>
      <c r="L712" s="254"/>
      <c r="M712" s="254"/>
      <c r="N712" s="254"/>
      <c r="O712" s="254"/>
      <c r="P712" s="254"/>
      <c r="Q712" s="254"/>
      <c r="R712" s="254"/>
      <c r="S712" s="254"/>
      <c r="T712" s="254"/>
      <c r="U712" s="254"/>
      <c r="V712" s="254"/>
      <c r="W712" s="254"/>
      <c r="X712" s="254"/>
      <c r="Y712" s="254"/>
      <c r="Z712" s="254"/>
      <c r="AA712" s="254"/>
      <c r="AB712" s="254"/>
      <c r="AC712" s="254"/>
    </row>
    <row r="713" ht="12.75" customHeight="1" spans="1:29">
      <c r="A713" s="254"/>
      <c r="B713" s="254"/>
      <c r="C713" s="254"/>
      <c r="D713" s="276"/>
      <c r="E713" s="254"/>
      <c r="F713" s="254"/>
      <c r="G713" s="254"/>
      <c r="H713" s="254"/>
      <c r="I713" s="254"/>
      <c r="J713" s="254"/>
      <c r="K713" s="254"/>
      <c r="L713" s="254"/>
      <c r="M713" s="254"/>
      <c r="N713" s="254"/>
      <c r="O713" s="254"/>
      <c r="P713" s="254"/>
      <c r="Q713" s="254"/>
      <c r="R713" s="254"/>
      <c r="S713" s="254"/>
      <c r="T713" s="254"/>
      <c r="U713" s="254"/>
      <c r="V713" s="254"/>
      <c r="W713" s="254"/>
      <c r="X713" s="254"/>
      <c r="Y713" s="254"/>
      <c r="Z713" s="254"/>
      <c r="AA713" s="254"/>
      <c r="AB713" s="254"/>
      <c r="AC713" s="254"/>
    </row>
    <row r="714" ht="12.75" customHeight="1" spans="1:29">
      <c r="A714" s="254"/>
      <c r="B714" s="254"/>
      <c r="C714" s="254"/>
      <c r="D714" s="276"/>
      <c r="E714" s="254"/>
      <c r="F714" s="254"/>
      <c r="G714" s="254"/>
      <c r="H714" s="254"/>
      <c r="I714" s="254"/>
      <c r="J714" s="254"/>
      <c r="K714" s="254"/>
      <c r="L714" s="254"/>
      <c r="M714" s="254"/>
      <c r="N714" s="254"/>
      <c r="O714" s="254"/>
      <c r="P714" s="254"/>
      <c r="Q714" s="254"/>
      <c r="R714" s="254"/>
      <c r="S714" s="254"/>
      <c r="T714" s="254"/>
      <c r="U714" s="254"/>
      <c r="V714" s="254"/>
      <c r="W714" s="254"/>
      <c r="X714" s="254"/>
      <c r="Y714" s="254"/>
      <c r="Z714" s="254"/>
      <c r="AA714" s="254"/>
      <c r="AB714" s="254"/>
      <c r="AC714" s="254"/>
    </row>
    <row r="715" ht="12.75" customHeight="1" spans="1:29">
      <c r="A715" s="254"/>
      <c r="B715" s="254"/>
      <c r="C715" s="254"/>
      <c r="D715" s="276"/>
      <c r="E715" s="254"/>
      <c r="F715" s="254"/>
      <c r="G715" s="254"/>
      <c r="H715" s="254"/>
      <c r="I715" s="254"/>
      <c r="J715" s="254"/>
      <c r="K715" s="254"/>
      <c r="L715" s="254"/>
      <c r="M715" s="254"/>
      <c r="N715" s="254"/>
      <c r="O715" s="254"/>
      <c r="P715" s="254"/>
      <c r="Q715" s="254"/>
      <c r="R715" s="254"/>
      <c r="S715" s="254"/>
      <c r="T715" s="254"/>
      <c r="U715" s="254"/>
      <c r="V715" s="254"/>
      <c r="W715" s="254"/>
      <c r="X715" s="254"/>
      <c r="Y715" s="254"/>
      <c r="Z715" s="254"/>
      <c r="AA715" s="254"/>
      <c r="AB715" s="254"/>
      <c r="AC715" s="254"/>
    </row>
    <row r="716" ht="12.75" customHeight="1" spans="1:29">
      <c r="A716" s="254"/>
      <c r="B716" s="254"/>
      <c r="C716" s="254"/>
      <c r="D716" s="276"/>
      <c r="E716" s="254"/>
      <c r="F716" s="254"/>
      <c r="G716" s="254"/>
      <c r="H716" s="254"/>
      <c r="I716" s="254"/>
      <c r="J716" s="254"/>
      <c r="K716" s="254"/>
      <c r="L716" s="254"/>
      <c r="M716" s="254"/>
      <c r="N716" s="254"/>
      <c r="O716" s="254"/>
      <c r="P716" s="254"/>
      <c r="Q716" s="254"/>
      <c r="R716" s="254"/>
      <c r="S716" s="254"/>
      <c r="T716" s="254"/>
      <c r="U716" s="254"/>
      <c r="V716" s="254"/>
      <c r="W716" s="254"/>
      <c r="X716" s="254"/>
      <c r="Y716" s="254"/>
      <c r="Z716" s="254"/>
      <c r="AA716" s="254"/>
      <c r="AB716" s="254"/>
      <c r="AC716" s="254"/>
    </row>
    <row r="717" ht="12.75" customHeight="1" spans="1:29">
      <c r="A717" s="254"/>
      <c r="B717" s="254"/>
      <c r="C717" s="254"/>
      <c r="D717" s="276"/>
      <c r="E717" s="254"/>
      <c r="F717" s="254"/>
      <c r="G717" s="254"/>
      <c r="H717" s="254"/>
      <c r="I717" s="254"/>
      <c r="J717" s="254"/>
      <c r="K717" s="254"/>
      <c r="L717" s="254"/>
      <c r="M717" s="254"/>
      <c r="N717" s="254"/>
      <c r="O717" s="254"/>
      <c r="P717" s="254"/>
      <c r="Q717" s="254"/>
      <c r="R717" s="254"/>
      <c r="S717" s="254"/>
      <c r="T717" s="254"/>
      <c r="U717" s="254"/>
      <c r="V717" s="254"/>
      <c r="W717" s="254"/>
      <c r="X717" s="254"/>
      <c r="Y717" s="254"/>
      <c r="Z717" s="254"/>
      <c r="AA717" s="254"/>
      <c r="AB717" s="254"/>
      <c r="AC717" s="254"/>
    </row>
    <row r="718" ht="12.75" customHeight="1" spans="1:29">
      <c r="A718" s="254"/>
      <c r="B718" s="254"/>
      <c r="C718" s="254"/>
      <c r="D718" s="276"/>
      <c r="E718" s="254"/>
      <c r="F718" s="254"/>
      <c r="G718" s="254"/>
      <c r="H718" s="254"/>
      <c r="I718" s="254"/>
      <c r="J718" s="254"/>
      <c r="K718" s="254"/>
      <c r="L718" s="254"/>
      <c r="M718" s="254"/>
      <c r="N718" s="254"/>
      <c r="O718" s="254"/>
      <c r="P718" s="254"/>
      <c r="Q718" s="254"/>
      <c r="R718" s="254"/>
      <c r="S718" s="254"/>
      <c r="T718" s="254"/>
      <c r="U718" s="254"/>
      <c r="V718" s="254"/>
      <c r="W718" s="254"/>
      <c r="X718" s="254"/>
      <c r="Y718" s="254"/>
      <c r="Z718" s="254"/>
      <c r="AA718" s="254"/>
      <c r="AB718" s="254"/>
      <c r="AC718" s="254"/>
    </row>
    <row r="719" ht="12.75" customHeight="1" spans="1:29">
      <c r="A719" s="254"/>
      <c r="B719" s="254"/>
      <c r="C719" s="254"/>
      <c r="D719" s="276"/>
      <c r="E719" s="254"/>
      <c r="F719" s="254"/>
      <c r="G719" s="254"/>
      <c r="H719" s="254"/>
      <c r="I719" s="254"/>
      <c r="J719" s="254"/>
      <c r="K719" s="254"/>
      <c r="L719" s="254"/>
      <c r="M719" s="254"/>
      <c r="N719" s="254"/>
      <c r="O719" s="254"/>
      <c r="P719" s="254"/>
      <c r="Q719" s="254"/>
      <c r="R719" s="254"/>
      <c r="S719" s="254"/>
      <c r="T719" s="254"/>
      <c r="U719" s="254"/>
      <c r="V719" s="254"/>
      <c r="W719" s="254"/>
      <c r="X719" s="254"/>
      <c r="Y719" s="254"/>
      <c r="Z719" s="254"/>
      <c r="AA719" s="254"/>
      <c r="AB719" s="254"/>
      <c r="AC719" s="254"/>
    </row>
    <row r="720" ht="12.75" customHeight="1" spans="1:29">
      <c r="A720" s="254"/>
      <c r="B720" s="254"/>
      <c r="C720" s="254"/>
      <c r="D720" s="276"/>
      <c r="E720" s="254"/>
      <c r="F720" s="254"/>
      <c r="G720" s="254"/>
      <c r="H720" s="254"/>
      <c r="I720" s="254"/>
      <c r="J720" s="254"/>
      <c r="K720" s="254"/>
      <c r="L720" s="254"/>
      <c r="M720" s="254"/>
      <c r="N720" s="254"/>
      <c r="O720" s="254"/>
      <c r="P720" s="254"/>
      <c r="Q720" s="254"/>
      <c r="R720" s="254"/>
      <c r="S720" s="254"/>
      <c r="T720" s="254"/>
      <c r="U720" s="254"/>
      <c r="V720" s="254"/>
      <c r="W720" s="254"/>
      <c r="X720" s="254"/>
      <c r="Y720" s="254"/>
      <c r="Z720" s="254"/>
      <c r="AA720" s="254"/>
      <c r="AB720" s="254"/>
      <c r="AC720" s="254"/>
    </row>
    <row r="721" ht="12.75" customHeight="1" spans="1:29">
      <c r="A721" s="254"/>
      <c r="B721" s="254"/>
      <c r="C721" s="254"/>
      <c r="D721" s="276"/>
      <c r="E721" s="254"/>
      <c r="F721" s="254"/>
      <c r="G721" s="254"/>
      <c r="H721" s="254"/>
      <c r="I721" s="254"/>
      <c r="J721" s="254"/>
      <c r="K721" s="254"/>
      <c r="L721" s="254"/>
      <c r="M721" s="254"/>
      <c r="N721" s="254"/>
      <c r="O721" s="254"/>
      <c r="P721" s="254"/>
      <c r="Q721" s="254"/>
      <c r="R721" s="254"/>
      <c r="S721" s="254"/>
      <c r="T721" s="254"/>
      <c r="U721" s="254"/>
      <c r="V721" s="254"/>
      <c r="W721" s="254"/>
      <c r="X721" s="254"/>
      <c r="Y721" s="254"/>
      <c r="Z721" s="254"/>
      <c r="AA721" s="254"/>
      <c r="AB721" s="254"/>
      <c r="AC721" s="254"/>
    </row>
    <row r="722" ht="12.75" customHeight="1" spans="1:29">
      <c r="A722" s="254"/>
      <c r="B722" s="254"/>
      <c r="C722" s="254"/>
      <c r="D722" s="276"/>
      <c r="E722" s="254"/>
      <c r="F722" s="254"/>
      <c r="G722" s="254"/>
      <c r="H722" s="254"/>
      <c r="I722" s="254"/>
      <c r="J722" s="254"/>
      <c r="K722" s="254"/>
      <c r="L722" s="254"/>
      <c r="M722" s="254"/>
      <c r="N722" s="254"/>
      <c r="O722" s="254"/>
      <c r="P722" s="254"/>
      <c r="Q722" s="254"/>
      <c r="R722" s="254"/>
      <c r="S722" s="254"/>
      <c r="T722" s="254"/>
      <c r="U722" s="254"/>
      <c r="V722" s="254"/>
      <c r="W722" s="254"/>
      <c r="X722" s="254"/>
      <c r="Y722" s="254"/>
      <c r="Z722" s="254"/>
      <c r="AA722" s="254"/>
      <c r="AB722" s="254"/>
      <c r="AC722" s="254"/>
    </row>
    <row r="723" ht="12.75" customHeight="1" spans="1:29">
      <c r="A723" s="254"/>
      <c r="B723" s="254"/>
      <c r="C723" s="254"/>
      <c r="D723" s="276"/>
      <c r="E723" s="254"/>
      <c r="F723" s="254"/>
      <c r="G723" s="254"/>
      <c r="H723" s="254"/>
      <c r="I723" s="254"/>
      <c r="J723" s="254"/>
      <c r="K723" s="254"/>
      <c r="L723" s="254"/>
      <c r="M723" s="254"/>
      <c r="N723" s="254"/>
      <c r="O723" s="254"/>
      <c r="P723" s="254"/>
      <c r="Q723" s="254"/>
      <c r="R723" s="254"/>
      <c r="S723" s="254"/>
      <c r="T723" s="254"/>
      <c r="U723" s="254"/>
      <c r="V723" s="254"/>
      <c r="W723" s="254"/>
      <c r="X723" s="254"/>
      <c r="Y723" s="254"/>
      <c r="Z723" s="254"/>
      <c r="AA723" s="254"/>
      <c r="AB723" s="254"/>
      <c r="AC723" s="254"/>
    </row>
    <row r="724" ht="12.75" customHeight="1" spans="1:29">
      <c r="A724" s="254"/>
      <c r="B724" s="254"/>
      <c r="C724" s="254"/>
      <c r="D724" s="276"/>
      <c r="E724" s="254"/>
      <c r="F724" s="254"/>
      <c r="G724" s="254"/>
      <c r="H724" s="254"/>
      <c r="I724" s="254"/>
      <c r="J724" s="254"/>
      <c r="K724" s="254"/>
      <c r="L724" s="254"/>
      <c r="M724" s="254"/>
      <c r="N724" s="254"/>
      <c r="O724" s="254"/>
      <c r="P724" s="254"/>
      <c r="Q724" s="254"/>
      <c r="R724" s="254"/>
      <c r="S724" s="254"/>
      <c r="T724" s="254"/>
      <c r="U724" s="254"/>
      <c r="V724" s="254"/>
      <c r="W724" s="254"/>
      <c r="X724" s="254"/>
      <c r="Y724" s="254"/>
      <c r="Z724" s="254"/>
      <c r="AA724" s="254"/>
      <c r="AB724" s="254"/>
      <c r="AC724" s="254"/>
    </row>
    <row r="725" ht="12.75" customHeight="1" spans="1:29">
      <c r="A725" s="254"/>
      <c r="B725" s="254"/>
      <c r="C725" s="254"/>
      <c r="D725" s="276"/>
      <c r="E725" s="254"/>
      <c r="F725" s="254"/>
      <c r="G725" s="254"/>
      <c r="H725" s="254"/>
      <c r="I725" s="254"/>
      <c r="J725" s="254"/>
      <c r="K725" s="254"/>
      <c r="L725" s="254"/>
      <c r="M725" s="254"/>
      <c r="N725" s="254"/>
      <c r="O725" s="254"/>
      <c r="P725" s="254"/>
      <c r="Q725" s="254"/>
      <c r="R725" s="254"/>
      <c r="S725" s="254"/>
      <c r="T725" s="254"/>
      <c r="U725" s="254"/>
      <c r="V725" s="254"/>
      <c r="W725" s="254"/>
      <c r="X725" s="254"/>
      <c r="Y725" s="254"/>
      <c r="Z725" s="254"/>
      <c r="AA725" s="254"/>
      <c r="AB725" s="254"/>
      <c r="AC725" s="254"/>
    </row>
    <row r="726" ht="12.75" customHeight="1" spans="1:29">
      <c r="A726" s="254"/>
      <c r="B726" s="254"/>
      <c r="C726" s="254"/>
      <c r="D726" s="276"/>
      <c r="E726" s="254"/>
      <c r="F726" s="254"/>
      <c r="G726" s="254"/>
      <c r="H726" s="254"/>
      <c r="I726" s="254"/>
      <c r="J726" s="254"/>
      <c r="K726" s="254"/>
      <c r="L726" s="254"/>
      <c r="M726" s="254"/>
      <c r="N726" s="254"/>
      <c r="O726" s="254"/>
      <c r="P726" s="254"/>
      <c r="Q726" s="254"/>
      <c r="R726" s="254"/>
      <c r="S726" s="254"/>
      <c r="T726" s="254"/>
      <c r="U726" s="254"/>
      <c r="V726" s="254"/>
      <c r="W726" s="254"/>
      <c r="X726" s="254"/>
      <c r="Y726" s="254"/>
      <c r="Z726" s="254"/>
      <c r="AA726" s="254"/>
      <c r="AB726" s="254"/>
      <c r="AC726" s="254"/>
    </row>
    <row r="727" ht="12.75" customHeight="1" spans="1:29">
      <c r="A727" s="254"/>
      <c r="B727" s="254"/>
      <c r="C727" s="254"/>
      <c r="D727" s="276"/>
      <c r="E727" s="254"/>
      <c r="F727" s="254"/>
      <c r="G727" s="254"/>
      <c r="H727" s="254"/>
      <c r="I727" s="254"/>
      <c r="J727" s="254"/>
      <c r="K727" s="254"/>
      <c r="L727" s="254"/>
      <c r="M727" s="254"/>
      <c r="N727" s="254"/>
      <c r="O727" s="254"/>
      <c r="P727" s="254"/>
      <c r="Q727" s="254"/>
      <c r="R727" s="254"/>
      <c r="S727" s="254"/>
      <c r="T727" s="254"/>
      <c r="U727" s="254"/>
      <c r="V727" s="254"/>
      <c r="W727" s="254"/>
      <c r="X727" s="254"/>
      <c r="Y727" s="254"/>
      <c r="Z727" s="254"/>
      <c r="AA727" s="254"/>
      <c r="AB727" s="254"/>
      <c r="AC727" s="254"/>
    </row>
    <row r="728" ht="12.75" customHeight="1" spans="1:29">
      <c r="A728" s="254"/>
      <c r="B728" s="254"/>
      <c r="C728" s="254"/>
      <c r="D728" s="276"/>
      <c r="E728" s="254"/>
      <c r="F728" s="254"/>
      <c r="G728" s="254"/>
      <c r="H728" s="254"/>
      <c r="I728" s="254"/>
      <c r="J728" s="254"/>
      <c r="K728" s="254"/>
      <c r="L728" s="254"/>
      <c r="M728" s="254"/>
      <c r="N728" s="254"/>
      <c r="O728" s="254"/>
      <c r="P728" s="254"/>
      <c r="Q728" s="254"/>
      <c r="R728" s="254"/>
      <c r="S728" s="254"/>
      <c r="T728" s="254"/>
      <c r="U728" s="254"/>
      <c r="V728" s="254"/>
      <c r="W728" s="254"/>
      <c r="X728" s="254"/>
      <c r="Y728" s="254"/>
      <c r="Z728" s="254"/>
      <c r="AA728" s="254"/>
      <c r="AB728" s="254"/>
      <c r="AC728" s="254"/>
    </row>
    <row r="729" ht="12.75" customHeight="1" spans="1:29">
      <c r="A729" s="254"/>
      <c r="B729" s="254"/>
      <c r="C729" s="254"/>
      <c r="D729" s="276"/>
      <c r="E729" s="254"/>
      <c r="F729" s="254"/>
      <c r="G729" s="254"/>
      <c r="H729" s="254"/>
      <c r="I729" s="254"/>
      <c r="J729" s="254"/>
      <c r="K729" s="254"/>
      <c r="L729" s="254"/>
      <c r="M729" s="254"/>
      <c r="N729" s="254"/>
      <c r="O729" s="254"/>
      <c r="P729" s="254"/>
      <c r="Q729" s="254"/>
      <c r="R729" s="254"/>
      <c r="S729" s="254"/>
      <c r="T729" s="254"/>
      <c r="U729" s="254"/>
      <c r="V729" s="254"/>
      <c r="W729" s="254"/>
      <c r="X729" s="254"/>
      <c r="Y729" s="254"/>
      <c r="Z729" s="254"/>
      <c r="AA729" s="254"/>
      <c r="AB729" s="254"/>
      <c r="AC729" s="254"/>
    </row>
    <row r="730" ht="12.75" customHeight="1" spans="1:29">
      <c r="A730" s="254"/>
      <c r="B730" s="254"/>
      <c r="C730" s="254"/>
      <c r="D730" s="276"/>
      <c r="E730" s="254"/>
      <c r="F730" s="254"/>
      <c r="G730" s="254"/>
      <c r="H730" s="254"/>
      <c r="I730" s="254"/>
      <c r="J730" s="254"/>
      <c r="K730" s="254"/>
      <c r="L730" s="254"/>
      <c r="M730" s="254"/>
      <c r="N730" s="254"/>
      <c r="O730" s="254"/>
      <c r="P730" s="254"/>
      <c r="Q730" s="254"/>
      <c r="R730" s="254"/>
      <c r="S730" s="254"/>
      <c r="T730" s="254"/>
      <c r="U730" s="254"/>
      <c r="V730" s="254"/>
      <c r="W730" s="254"/>
      <c r="X730" s="254"/>
      <c r="Y730" s="254"/>
      <c r="Z730" s="254"/>
      <c r="AA730" s="254"/>
      <c r="AB730" s="254"/>
      <c r="AC730" s="254"/>
    </row>
    <row r="731" ht="12.75" customHeight="1" spans="1:29">
      <c r="A731" s="254"/>
      <c r="B731" s="254"/>
      <c r="C731" s="254"/>
      <c r="D731" s="276"/>
      <c r="E731" s="254"/>
      <c r="F731" s="254"/>
      <c r="G731" s="254"/>
      <c r="H731" s="254"/>
      <c r="I731" s="254"/>
      <c r="J731" s="254"/>
      <c r="K731" s="254"/>
      <c r="L731" s="254"/>
      <c r="M731" s="254"/>
      <c r="N731" s="254"/>
      <c r="O731" s="254"/>
      <c r="P731" s="254"/>
      <c r="Q731" s="254"/>
      <c r="R731" s="254"/>
      <c r="S731" s="254"/>
      <c r="T731" s="254"/>
      <c r="U731" s="254"/>
      <c r="V731" s="254"/>
      <c r="W731" s="254"/>
      <c r="X731" s="254"/>
      <c r="Y731" s="254"/>
      <c r="Z731" s="254"/>
      <c r="AA731" s="254"/>
      <c r="AB731" s="254"/>
      <c r="AC731" s="254"/>
    </row>
    <row r="732" ht="12.75" customHeight="1" spans="1:29">
      <c r="A732" s="254"/>
      <c r="B732" s="254"/>
      <c r="C732" s="254"/>
      <c r="D732" s="276"/>
      <c r="E732" s="254"/>
      <c r="F732" s="254"/>
      <c r="G732" s="254"/>
      <c r="H732" s="254"/>
      <c r="I732" s="254"/>
      <c r="J732" s="254"/>
      <c r="K732" s="254"/>
      <c r="L732" s="254"/>
      <c r="M732" s="254"/>
      <c r="N732" s="254"/>
      <c r="O732" s="254"/>
      <c r="P732" s="254"/>
      <c r="Q732" s="254"/>
      <c r="R732" s="254"/>
      <c r="S732" s="254"/>
      <c r="T732" s="254"/>
      <c r="U732" s="254"/>
      <c r="V732" s="254"/>
      <c r="W732" s="254"/>
      <c r="X732" s="254"/>
      <c r="Y732" s="254"/>
      <c r="Z732" s="254"/>
      <c r="AA732" s="254"/>
      <c r="AB732" s="254"/>
      <c r="AC732" s="254"/>
    </row>
    <row r="733" ht="12.75" customHeight="1" spans="1:29">
      <c r="A733" s="254"/>
      <c r="B733" s="254"/>
      <c r="C733" s="254"/>
      <c r="D733" s="276"/>
      <c r="E733" s="254"/>
      <c r="F733" s="254"/>
      <c r="G733" s="254"/>
      <c r="H733" s="254"/>
      <c r="I733" s="254"/>
      <c r="J733" s="254"/>
      <c r="K733" s="254"/>
      <c r="L733" s="254"/>
      <c r="M733" s="254"/>
      <c r="N733" s="254"/>
      <c r="O733" s="254"/>
      <c r="P733" s="254"/>
      <c r="Q733" s="254"/>
      <c r="R733" s="254"/>
      <c r="S733" s="254"/>
      <c r="T733" s="254"/>
      <c r="U733" s="254"/>
      <c r="V733" s="254"/>
      <c r="W733" s="254"/>
      <c r="X733" s="254"/>
      <c r="Y733" s="254"/>
      <c r="Z733" s="254"/>
      <c r="AA733" s="254"/>
      <c r="AB733" s="254"/>
      <c r="AC733" s="254"/>
    </row>
    <row r="734" ht="12.75" customHeight="1" spans="1:29">
      <c r="A734" s="254"/>
      <c r="B734" s="254"/>
      <c r="C734" s="254"/>
      <c r="D734" s="276"/>
      <c r="E734" s="254"/>
      <c r="F734" s="254"/>
      <c r="G734" s="254"/>
      <c r="H734" s="254"/>
      <c r="I734" s="254"/>
      <c r="J734" s="254"/>
      <c r="K734" s="254"/>
      <c r="L734" s="254"/>
      <c r="M734" s="254"/>
      <c r="N734" s="254"/>
      <c r="O734" s="254"/>
      <c r="P734" s="254"/>
      <c r="Q734" s="254"/>
      <c r="R734" s="254"/>
      <c r="S734" s="254"/>
      <c r="T734" s="254"/>
      <c r="U734" s="254"/>
      <c r="V734" s="254"/>
      <c r="W734" s="254"/>
      <c r="X734" s="254"/>
      <c r="Y734" s="254"/>
      <c r="Z734" s="254"/>
      <c r="AA734" s="254"/>
      <c r="AB734" s="254"/>
      <c r="AC734" s="254"/>
    </row>
    <row r="735" ht="12.75" customHeight="1" spans="1:29">
      <c r="A735" s="254"/>
      <c r="B735" s="254"/>
      <c r="C735" s="254"/>
      <c r="D735" s="276"/>
      <c r="E735" s="254"/>
      <c r="F735" s="254"/>
      <c r="G735" s="254"/>
      <c r="H735" s="254"/>
      <c r="I735" s="254"/>
      <c r="J735" s="254"/>
      <c r="K735" s="254"/>
      <c r="L735" s="254"/>
      <c r="M735" s="254"/>
      <c r="N735" s="254"/>
      <c r="O735" s="254"/>
      <c r="P735" s="254"/>
      <c r="Q735" s="254"/>
      <c r="R735" s="254"/>
      <c r="S735" s="254"/>
      <c r="T735" s="254"/>
      <c r="U735" s="254"/>
      <c r="V735" s="254"/>
      <c r="W735" s="254"/>
      <c r="X735" s="254"/>
      <c r="Y735" s="254"/>
      <c r="Z735" s="254"/>
      <c r="AA735" s="254"/>
      <c r="AB735" s="254"/>
      <c r="AC735" s="254"/>
    </row>
    <row r="736" ht="12.75" customHeight="1" spans="1:29">
      <c r="A736" s="254"/>
      <c r="B736" s="254"/>
      <c r="C736" s="254"/>
      <c r="D736" s="276"/>
      <c r="E736" s="254"/>
      <c r="F736" s="254"/>
      <c r="G736" s="254"/>
      <c r="H736" s="254"/>
      <c r="I736" s="254"/>
      <c r="J736" s="254"/>
      <c r="K736" s="254"/>
      <c r="L736" s="254"/>
      <c r="M736" s="254"/>
      <c r="N736" s="254"/>
      <c r="O736" s="254"/>
      <c r="P736" s="254"/>
      <c r="Q736" s="254"/>
      <c r="R736" s="254"/>
      <c r="S736" s="254"/>
      <c r="T736" s="254"/>
      <c r="U736" s="254"/>
      <c r="V736" s="254"/>
      <c r="W736" s="254"/>
      <c r="X736" s="254"/>
      <c r="Y736" s="254"/>
      <c r="Z736" s="254"/>
      <c r="AA736" s="254"/>
      <c r="AB736" s="254"/>
      <c r="AC736" s="254"/>
    </row>
    <row r="737" ht="12.75" customHeight="1" spans="1:29">
      <c r="A737" s="254"/>
      <c r="B737" s="254"/>
      <c r="C737" s="254"/>
      <c r="D737" s="276"/>
      <c r="E737" s="254"/>
      <c r="F737" s="254"/>
      <c r="G737" s="254"/>
      <c r="H737" s="254"/>
      <c r="I737" s="254"/>
      <c r="J737" s="254"/>
      <c r="K737" s="254"/>
      <c r="L737" s="254"/>
      <c r="M737" s="254"/>
      <c r="N737" s="254"/>
      <c r="O737" s="254"/>
      <c r="P737" s="254"/>
      <c r="Q737" s="254"/>
      <c r="R737" s="254"/>
      <c r="S737" s="254"/>
      <c r="T737" s="254"/>
      <c r="U737" s="254"/>
      <c r="V737" s="254"/>
      <c r="W737" s="254"/>
      <c r="X737" s="254"/>
      <c r="Y737" s="254"/>
      <c r="Z737" s="254"/>
      <c r="AA737" s="254"/>
      <c r="AB737" s="254"/>
      <c r="AC737" s="254"/>
    </row>
    <row r="738" ht="12.75" customHeight="1" spans="1:29">
      <c r="A738" s="254"/>
      <c r="B738" s="254"/>
      <c r="C738" s="254"/>
      <c r="D738" s="276"/>
      <c r="E738" s="254"/>
      <c r="F738" s="254"/>
      <c r="G738" s="254"/>
      <c r="H738" s="254"/>
      <c r="I738" s="254"/>
      <c r="J738" s="254"/>
      <c r="K738" s="254"/>
      <c r="L738" s="254"/>
      <c r="M738" s="254"/>
      <c r="N738" s="254"/>
      <c r="O738" s="254"/>
      <c r="P738" s="254"/>
      <c r="Q738" s="254"/>
      <c r="R738" s="254"/>
      <c r="S738" s="254"/>
      <c r="T738" s="254"/>
      <c r="U738" s="254"/>
      <c r="V738" s="254"/>
      <c r="W738" s="254"/>
      <c r="X738" s="254"/>
      <c r="Y738" s="254"/>
      <c r="Z738" s="254"/>
      <c r="AA738" s="254"/>
      <c r="AB738" s="254"/>
      <c r="AC738" s="254"/>
    </row>
    <row r="739" ht="12.75" customHeight="1" spans="1:29">
      <c r="A739" s="254"/>
      <c r="B739" s="254"/>
      <c r="C739" s="254"/>
      <c r="D739" s="276"/>
      <c r="E739" s="254"/>
      <c r="F739" s="254"/>
      <c r="G739" s="254"/>
      <c r="H739" s="254"/>
      <c r="I739" s="254"/>
      <c r="J739" s="254"/>
      <c r="K739" s="254"/>
      <c r="L739" s="254"/>
      <c r="M739" s="254"/>
      <c r="N739" s="254"/>
      <c r="O739" s="254"/>
      <c r="P739" s="254"/>
      <c r="Q739" s="254"/>
      <c r="R739" s="254"/>
      <c r="S739" s="254"/>
      <c r="T739" s="254"/>
      <c r="U739" s="254"/>
      <c r="V739" s="254"/>
      <c r="W739" s="254"/>
      <c r="X739" s="254"/>
      <c r="Y739" s="254"/>
      <c r="Z739" s="254"/>
      <c r="AA739" s="254"/>
      <c r="AB739" s="254"/>
      <c r="AC739" s="254"/>
    </row>
    <row r="740" ht="12.75" customHeight="1" spans="1:29">
      <c r="A740" s="254"/>
      <c r="B740" s="254"/>
      <c r="C740" s="254"/>
      <c r="D740" s="276"/>
      <c r="E740" s="254"/>
      <c r="F740" s="254"/>
      <c r="G740" s="254"/>
      <c r="H740" s="254"/>
      <c r="I740" s="254"/>
      <c r="J740" s="254"/>
      <c r="K740" s="254"/>
      <c r="L740" s="254"/>
      <c r="M740" s="254"/>
      <c r="N740" s="254"/>
      <c r="O740" s="254"/>
      <c r="P740" s="254"/>
      <c r="Q740" s="254"/>
      <c r="R740" s="254"/>
      <c r="S740" s="254"/>
      <c r="T740" s="254"/>
      <c r="U740" s="254"/>
      <c r="V740" s="254"/>
      <c r="W740" s="254"/>
      <c r="X740" s="254"/>
      <c r="Y740" s="254"/>
      <c r="Z740" s="254"/>
      <c r="AA740" s="254"/>
      <c r="AB740" s="254"/>
      <c r="AC740" s="254"/>
    </row>
    <row r="741" ht="12.75" customHeight="1" spans="1:29">
      <c r="A741" s="254"/>
      <c r="B741" s="254"/>
      <c r="C741" s="254"/>
      <c r="D741" s="276"/>
      <c r="E741" s="254"/>
      <c r="F741" s="254"/>
      <c r="G741" s="254"/>
      <c r="H741" s="254"/>
      <c r="I741" s="254"/>
      <c r="J741" s="254"/>
      <c r="K741" s="254"/>
      <c r="L741" s="254"/>
      <c r="M741" s="254"/>
      <c r="N741" s="254"/>
      <c r="O741" s="254"/>
      <c r="P741" s="254"/>
      <c r="Q741" s="254"/>
      <c r="R741" s="254"/>
      <c r="S741" s="254"/>
      <c r="T741" s="254"/>
      <c r="U741" s="254"/>
      <c r="V741" s="254"/>
      <c r="W741" s="254"/>
      <c r="X741" s="254"/>
      <c r="Y741" s="254"/>
      <c r="Z741" s="254"/>
      <c r="AA741" s="254"/>
      <c r="AB741" s="254"/>
      <c r="AC741" s="254"/>
    </row>
    <row r="742" ht="12.75" customHeight="1" spans="1:29">
      <c r="A742" s="254"/>
      <c r="B742" s="254"/>
      <c r="C742" s="254"/>
      <c r="D742" s="276"/>
      <c r="E742" s="254"/>
      <c r="F742" s="254"/>
      <c r="G742" s="254"/>
      <c r="H742" s="254"/>
      <c r="I742" s="254"/>
      <c r="J742" s="254"/>
      <c r="K742" s="254"/>
      <c r="L742" s="254"/>
      <c r="M742" s="254"/>
      <c r="N742" s="254"/>
      <c r="O742" s="254"/>
      <c r="P742" s="254"/>
      <c r="Q742" s="254"/>
      <c r="R742" s="254"/>
      <c r="S742" s="254"/>
      <c r="T742" s="254"/>
      <c r="U742" s="254"/>
      <c r="V742" s="254"/>
      <c r="W742" s="254"/>
      <c r="X742" s="254"/>
      <c r="Y742" s="254"/>
      <c r="Z742" s="254"/>
      <c r="AA742" s="254"/>
      <c r="AB742" s="254"/>
      <c r="AC742" s="254"/>
    </row>
    <row r="743" ht="12.75" customHeight="1" spans="1:29">
      <c r="A743" s="254"/>
      <c r="B743" s="254"/>
      <c r="C743" s="254"/>
      <c r="D743" s="276"/>
      <c r="E743" s="254"/>
      <c r="F743" s="254"/>
      <c r="G743" s="254"/>
      <c r="H743" s="254"/>
      <c r="I743" s="254"/>
      <c r="J743" s="254"/>
      <c r="K743" s="254"/>
      <c r="L743" s="254"/>
      <c r="M743" s="254"/>
      <c r="N743" s="254"/>
      <c r="O743" s="254"/>
      <c r="P743" s="254"/>
      <c r="Q743" s="254"/>
      <c r="R743" s="254"/>
      <c r="S743" s="254"/>
      <c r="T743" s="254"/>
      <c r="U743" s="254"/>
      <c r="V743" s="254"/>
      <c r="W743" s="254"/>
      <c r="X743" s="254"/>
      <c r="Y743" s="254"/>
      <c r="Z743" s="254"/>
      <c r="AA743" s="254"/>
      <c r="AB743" s="254"/>
      <c r="AC743" s="254"/>
    </row>
    <row r="744" ht="12.75" customHeight="1" spans="1:29">
      <c r="A744" s="254"/>
      <c r="B744" s="254"/>
      <c r="C744" s="254"/>
      <c r="D744" s="276"/>
      <c r="E744" s="254"/>
      <c r="F744" s="254"/>
      <c r="G744" s="254"/>
      <c r="H744" s="254"/>
      <c r="I744" s="254"/>
      <c r="J744" s="254"/>
      <c r="K744" s="254"/>
      <c r="L744" s="254"/>
      <c r="M744" s="254"/>
      <c r="N744" s="254"/>
      <c r="O744" s="254"/>
      <c r="P744" s="254"/>
      <c r="Q744" s="254"/>
      <c r="R744" s="254"/>
      <c r="S744" s="254"/>
      <c r="T744" s="254"/>
      <c r="U744" s="254"/>
      <c r="V744" s="254"/>
      <c r="W744" s="254"/>
      <c r="X744" s="254"/>
      <c r="Y744" s="254"/>
      <c r="Z744" s="254"/>
      <c r="AA744" s="254"/>
      <c r="AB744" s="254"/>
      <c r="AC744" s="254"/>
    </row>
    <row r="745" ht="12.75" customHeight="1" spans="1:29">
      <c r="A745" s="254"/>
      <c r="B745" s="254"/>
      <c r="C745" s="254"/>
      <c r="D745" s="276"/>
      <c r="E745" s="254"/>
      <c r="F745" s="254"/>
      <c r="G745" s="254"/>
      <c r="H745" s="254"/>
      <c r="I745" s="254"/>
      <c r="J745" s="254"/>
      <c r="K745" s="254"/>
      <c r="L745" s="254"/>
      <c r="M745" s="254"/>
      <c r="N745" s="254"/>
      <c r="O745" s="254"/>
      <c r="P745" s="254"/>
      <c r="Q745" s="254"/>
      <c r="R745" s="254"/>
      <c r="S745" s="254"/>
      <c r="T745" s="254"/>
      <c r="U745" s="254"/>
      <c r="V745" s="254"/>
      <c r="W745" s="254"/>
      <c r="X745" s="254"/>
      <c r="Y745" s="254"/>
      <c r="Z745" s="254"/>
      <c r="AA745" s="254"/>
      <c r="AB745" s="254"/>
      <c r="AC745" s="254"/>
    </row>
    <row r="746" ht="12.75" customHeight="1" spans="1:29">
      <c r="A746" s="254"/>
      <c r="B746" s="254"/>
      <c r="C746" s="254"/>
      <c r="D746" s="276"/>
      <c r="E746" s="254"/>
      <c r="F746" s="254"/>
      <c r="G746" s="254"/>
      <c r="H746" s="254"/>
      <c r="I746" s="254"/>
      <c r="J746" s="254"/>
      <c r="K746" s="254"/>
      <c r="L746" s="254"/>
      <c r="M746" s="254"/>
      <c r="N746" s="254"/>
      <c r="O746" s="254"/>
      <c r="P746" s="254"/>
      <c r="Q746" s="254"/>
      <c r="R746" s="254"/>
      <c r="S746" s="254"/>
      <c r="T746" s="254"/>
      <c r="U746" s="254"/>
      <c r="V746" s="254"/>
      <c r="W746" s="254"/>
      <c r="X746" s="254"/>
      <c r="Y746" s="254"/>
      <c r="Z746" s="254"/>
      <c r="AA746" s="254"/>
      <c r="AB746" s="254"/>
      <c r="AC746" s="254"/>
    </row>
    <row r="747" ht="12.75" customHeight="1" spans="1:29">
      <c r="A747" s="254"/>
      <c r="B747" s="254"/>
      <c r="C747" s="254"/>
      <c r="D747" s="276"/>
      <c r="E747" s="254"/>
      <c r="F747" s="254"/>
      <c r="G747" s="254"/>
      <c r="H747" s="254"/>
      <c r="I747" s="254"/>
      <c r="J747" s="254"/>
      <c r="K747" s="254"/>
      <c r="L747" s="254"/>
      <c r="M747" s="254"/>
      <c r="N747" s="254"/>
      <c r="O747" s="254"/>
      <c r="P747" s="254"/>
      <c r="Q747" s="254"/>
      <c r="R747" s="254"/>
      <c r="S747" s="254"/>
      <c r="T747" s="254"/>
      <c r="U747" s="254"/>
      <c r="V747" s="254"/>
      <c r="W747" s="254"/>
      <c r="X747" s="254"/>
      <c r="Y747" s="254"/>
      <c r="Z747" s="254"/>
      <c r="AA747" s="254"/>
      <c r="AB747" s="254"/>
      <c r="AC747" s="254"/>
    </row>
    <row r="748" ht="12.75" customHeight="1" spans="1:29">
      <c r="A748" s="254"/>
      <c r="B748" s="254"/>
      <c r="C748" s="254"/>
      <c r="D748" s="276"/>
      <c r="E748" s="254"/>
      <c r="F748" s="254"/>
      <c r="G748" s="254"/>
      <c r="H748" s="254"/>
      <c r="I748" s="254"/>
      <c r="J748" s="254"/>
      <c r="K748" s="254"/>
      <c r="L748" s="254"/>
      <c r="M748" s="254"/>
      <c r="N748" s="254"/>
      <c r="O748" s="254"/>
      <c r="P748" s="254"/>
      <c r="Q748" s="254"/>
      <c r="R748" s="254"/>
      <c r="S748" s="254"/>
      <c r="T748" s="254"/>
      <c r="U748" s="254"/>
      <c r="V748" s="254"/>
      <c r="W748" s="254"/>
      <c r="X748" s="254"/>
      <c r="Y748" s="254"/>
      <c r="Z748" s="254"/>
      <c r="AA748" s="254"/>
      <c r="AB748" s="254"/>
      <c r="AC748" s="254"/>
    </row>
    <row r="749" ht="12.75" customHeight="1" spans="1:29">
      <c r="A749" s="254"/>
      <c r="B749" s="254"/>
      <c r="C749" s="254"/>
      <c r="D749" s="276"/>
      <c r="E749" s="254"/>
      <c r="F749" s="254"/>
      <c r="G749" s="254"/>
      <c r="H749" s="254"/>
      <c r="I749" s="254"/>
      <c r="J749" s="254"/>
      <c r="K749" s="254"/>
      <c r="L749" s="254"/>
      <c r="M749" s="254"/>
      <c r="N749" s="254"/>
      <c r="O749" s="254"/>
      <c r="P749" s="254"/>
      <c r="Q749" s="254"/>
      <c r="R749" s="254"/>
      <c r="S749" s="254"/>
      <c r="T749" s="254"/>
      <c r="U749" s="254"/>
      <c r="V749" s="254"/>
      <c r="W749" s="254"/>
      <c r="X749" s="254"/>
      <c r="Y749" s="254"/>
      <c r="Z749" s="254"/>
      <c r="AA749" s="254"/>
      <c r="AB749" s="254"/>
      <c r="AC749" s="254"/>
    </row>
    <row r="750" ht="12.75" customHeight="1" spans="1:29">
      <c r="A750" s="254"/>
      <c r="B750" s="254"/>
      <c r="C750" s="254"/>
      <c r="D750" s="276"/>
      <c r="E750" s="254"/>
      <c r="F750" s="254"/>
      <c r="G750" s="254"/>
      <c r="H750" s="254"/>
      <c r="I750" s="254"/>
      <c r="J750" s="254"/>
      <c r="K750" s="254"/>
      <c r="L750" s="254"/>
      <c r="M750" s="254"/>
      <c r="N750" s="254"/>
      <c r="O750" s="254"/>
      <c r="P750" s="254"/>
      <c r="Q750" s="254"/>
      <c r="R750" s="254"/>
      <c r="S750" s="254"/>
      <c r="T750" s="254"/>
      <c r="U750" s="254"/>
      <c r="V750" s="254"/>
      <c r="W750" s="254"/>
      <c r="X750" s="254"/>
      <c r="Y750" s="254"/>
      <c r="Z750" s="254"/>
      <c r="AA750" s="254"/>
      <c r="AB750" s="254"/>
      <c r="AC750" s="254"/>
    </row>
    <row r="751" ht="12.75" customHeight="1" spans="1:29">
      <c r="A751" s="254"/>
      <c r="B751" s="254"/>
      <c r="C751" s="254"/>
      <c r="D751" s="276"/>
      <c r="E751" s="254"/>
      <c r="F751" s="254"/>
      <c r="G751" s="254"/>
      <c r="H751" s="254"/>
      <c r="I751" s="254"/>
      <c r="J751" s="254"/>
      <c r="K751" s="254"/>
      <c r="L751" s="254"/>
      <c r="M751" s="254"/>
      <c r="N751" s="254"/>
      <c r="O751" s="254"/>
      <c r="P751" s="254"/>
      <c r="Q751" s="254"/>
      <c r="R751" s="254"/>
      <c r="S751" s="254"/>
      <c r="T751" s="254"/>
      <c r="U751" s="254"/>
      <c r="V751" s="254"/>
      <c r="W751" s="254"/>
      <c r="X751" s="254"/>
      <c r="Y751" s="254"/>
      <c r="Z751" s="254"/>
      <c r="AA751" s="254"/>
      <c r="AB751" s="254"/>
      <c r="AC751" s="254"/>
    </row>
    <row r="752" ht="12.75" customHeight="1" spans="1:29">
      <c r="A752" s="254"/>
      <c r="B752" s="254"/>
      <c r="C752" s="254"/>
      <c r="D752" s="276"/>
      <c r="E752" s="254"/>
      <c r="F752" s="254"/>
      <c r="G752" s="254"/>
      <c r="H752" s="254"/>
      <c r="I752" s="254"/>
      <c r="J752" s="254"/>
      <c r="K752" s="254"/>
      <c r="L752" s="254"/>
      <c r="M752" s="254"/>
      <c r="N752" s="254"/>
      <c r="O752" s="254"/>
      <c r="P752" s="254"/>
      <c r="Q752" s="254"/>
      <c r="R752" s="254"/>
      <c r="S752" s="254"/>
      <c r="T752" s="254"/>
      <c r="U752" s="254"/>
      <c r="V752" s="254"/>
      <c r="W752" s="254"/>
      <c r="X752" s="254"/>
      <c r="Y752" s="254"/>
      <c r="Z752" s="254"/>
      <c r="AA752" s="254"/>
      <c r="AB752" s="254"/>
      <c r="AC752" s="254"/>
    </row>
    <row r="753" ht="12.75" customHeight="1" spans="1:29">
      <c r="A753" s="254"/>
      <c r="B753" s="254"/>
      <c r="C753" s="254"/>
      <c r="D753" s="276"/>
      <c r="E753" s="254"/>
      <c r="F753" s="254"/>
      <c r="G753" s="254"/>
      <c r="H753" s="254"/>
      <c r="I753" s="254"/>
      <c r="J753" s="254"/>
      <c r="K753" s="254"/>
      <c r="L753" s="254"/>
      <c r="M753" s="254"/>
      <c r="N753" s="254"/>
      <c r="O753" s="254"/>
      <c r="P753" s="254"/>
      <c r="Q753" s="254"/>
      <c r="R753" s="254"/>
      <c r="S753" s="254"/>
      <c r="T753" s="254"/>
      <c r="U753" s="254"/>
      <c r="V753" s="254"/>
      <c r="W753" s="254"/>
      <c r="X753" s="254"/>
      <c r="Y753" s="254"/>
      <c r="Z753" s="254"/>
      <c r="AA753" s="254"/>
      <c r="AB753" s="254"/>
      <c r="AC753" s="254"/>
    </row>
    <row r="754" ht="12.75" customHeight="1" spans="1:29">
      <c r="A754" s="254"/>
      <c r="B754" s="254"/>
      <c r="C754" s="254"/>
      <c r="D754" s="276"/>
      <c r="E754" s="254"/>
      <c r="F754" s="254"/>
      <c r="G754" s="254"/>
      <c r="H754" s="254"/>
      <c r="I754" s="254"/>
      <c r="J754" s="254"/>
      <c r="K754" s="254"/>
      <c r="L754" s="254"/>
      <c r="M754" s="254"/>
      <c r="N754" s="254"/>
      <c r="O754" s="254"/>
      <c r="P754" s="254"/>
      <c r="Q754" s="254"/>
      <c r="R754" s="254"/>
      <c r="S754" s="254"/>
      <c r="T754" s="254"/>
      <c r="U754" s="254"/>
      <c r="V754" s="254"/>
      <c r="W754" s="254"/>
      <c r="X754" s="254"/>
      <c r="Y754" s="254"/>
      <c r="Z754" s="254"/>
      <c r="AA754" s="254"/>
      <c r="AB754" s="254"/>
      <c r="AC754" s="254"/>
    </row>
    <row r="755" ht="12.75" customHeight="1" spans="1:29">
      <c r="A755" s="254"/>
      <c r="B755" s="254"/>
      <c r="C755" s="254"/>
      <c r="D755" s="276"/>
      <c r="E755" s="254"/>
      <c r="F755" s="254"/>
      <c r="G755" s="254"/>
      <c r="H755" s="254"/>
      <c r="I755" s="254"/>
      <c r="J755" s="254"/>
      <c r="K755" s="254"/>
      <c r="L755" s="254"/>
      <c r="M755" s="254"/>
      <c r="N755" s="254"/>
      <c r="O755" s="254"/>
      <c r="P755" s="254"/>
      <c r="Q755" s="254"/>
      <c r="R755" s="254"/>
      <c r="S755" s="254"/>
      <c r="T755" s="254"/>
      <c r="U755" s="254"/>
      <c r="V755" s="254"/>
      <c r="W755" s="254"/>
      <c r="X755" s="254"/>
      <c r="Y755" s="254"/>
      <c r="Z755" s="254"/>
      <c r="AA755" s="254"/>
      <c r="AB755" s="254"/>
      <c r="AC755" s="254"/>
    </row>
    <row r="756" ht="12.75" customHeight="1" spans="1:29">
      <c r="A756" s="254"/>
      <c r="B756" s="254"/>
      <c r="C756" s="254"/>
      <c r="D756" s="276"/>
      <c r="E756" s="254"/>
      <c r="F756" s="254"/>
      <c r="G756" s="254"/>
      <c r="H756" s="254"/>
      <c r="I756" s="254"/>
      <c r="J756" s="254"/>
      <c r="K756" s="254"/>
      <c r="L756" s="254"/>
      <c r="M756" s="254"/>
      <c r="N756" s="254"/>
      <c r="O756" s="254"/>
      <c r="P756" s="254"/>
      <c r="Q756" s="254"/>
      <c r="R756" s="254"/>
      <c r="S756" s="254"/>
      <c r="T756" s="254"/>
      <c r="U756" s="254"/>
      <c r="V756" s="254"/>
      <c r="W756" s="254"/>
      <c r="X756" s="254"/>
      <c r="Y756" s="254"/>
      <c r="Z756" s="254"/>
      <c r="AA756" s="254"/>
      <c r="AB756" s="254"/>
      <c r="AC756" s="254"/>
    </row>
    <row r="757" ht="12.75" customHeight="1" spans="1:29">
      <c r="A757" s="254"/>
      <c r="B757" s="254"/>
      <c r="C757" s="254"/>
      <c r="D757" s="276"/>
      <c r="E757" s="254"/>
      <c r="F757" s="254"/>
      <c r="G757" s="254"/>
      <c r="H757" s="254"/>
      <c r="I757" s="254"/>
      <c r="J757" s="254"/>
      <c r="K757" s="254"/>
      <c r="L757" s="254"/>
      <c r="M757" s="254"/>
      <c r="N757" s="254"/>
      <c r="O757" s="254"/>
      <c r="P757" s="254"/>
      <c r="Q757" s="254"/>
      <c r="R757" s="254"/>
      <c r="S757" s="254"/>
      <c r="T757" s="254"/>
      <c r="U757" s="254"/>
      <c r="V757" s="254"/>
      <c r="W757" s="254"/>
      <c r="X757" s="254"/>
      <c r="Y757" s="254"/>
      <c r="Z757" s="254"/>
      <c r="AA757" s="254"/>
      <c r="AB757" s="254"/>
      <c r="AC757" s="254"/>
    </row>
    <row r="758" ht="12.75" customHeight="1" spans="1:29">
      <c r="A758" s="254"/>
      <c r="B758" s="254"/>
      <c r="C758" s="254"/>
      <c r="D758" s="276"/>
      <c r="E758" s="254"/>
      <c r="F758" s="254"/>
      <c r="G758" s="254"/>
      <c r="H758" s="254"/>
      <c r="I758" s="254"/>
      <c r="J758" s="254"/>
      <c r="K758" s="254"/>
      <c r="L758" s="254"/>
      <c r="M758" s="254"/>
      <c r="N758" s="254"/>
      <c r="O758" s="254"/>
      <c r="P758" s="254"/>
      <c r="Q758" s="254"/>
      <c r="R758" s="254"/>
      <c r="S758" s="254"/>
      <c r="T758" s="254"/>
      <c r="U758" s="254"/>
      <c r="V758" s="254"/>
      <c r="W758" s="254"/>
      <c r="X758" s="254"/>
      <c r="Y758" s="254"/>
      <c r="Z758" s="254"/>
      <c r="AA758" s="254"/>
      <c r="AB758" s="254"/>
      <c r="AC758" s="254"/>
    </row>
    <row r="759" ht="12.75" customHeight="1" spans="1:29">
      <c r="A759" s="254"/>
      <c r="B759" s="254"/>
      <c r="C759" s="254"/>
      <c r="D759" s="276"/>
      <c r="E759" s="254"/>
      <c r="F759" s="254"/>
      <c r="G759" s="254"/>
      <c r="H759" s="254"/>
      <c r="I759" s="254"/>
      <c r="J759" s="254"/>
      <c r="K759" s="254"/>
      <c r="L759" s="254"/>
      <c r="M759" s="254"/>
      <c r="N759" s="254"/>
      <c r="O759" s="254"/>
      <c r="P759" s="254"/>
      <c r="Q759" s="254"/>
      <c r="R759" s="254"/>
      <c r="S759" s="254"/>
      <c r="T759" s="254"/>
      <c r="U759" s="254"/>
      <c r="V759" s="254"/>
      <c r="W759" s="254"/>
      <c r="X759" s="254"/>
      <c r="Y759" s="254"/>
      <c r="Z759" s="254"/>
      <c r="AA759" s="254"/>
      <c r="AB759" s="254"/>
      <c r="AC759" s="254"/>
    </row>
    <row r="760" ht="12.75" customHeight="1" spans="1:29">
      <c r="A760" s="254"/>
      <c r="B760" s="254"/>
      <c r="C760" s="254"/>
      <c r="D760" s="276"/>
      <c r="E760" s="254"/>
      <c r="F760" s="254"/>
      <c r="G760" s="254"/>
      <c r="H760" s="254"/>
      <c r="I760" s="254"/>
      <c r="J760" s="254"/>
      <c r="K760" s="254"/>
      <c r="L760" s="254"/>
      <c r="M760" s="254"/>
      <c r="N760" s="254"/>
      <c r="O760" s="254"/>
      <c r="P760" s="254"/>
      <c r="Q760" s="254"/>
      <c r="R760" s="254"/>
      <c r="S760" s="254"/>
      <c r="T760" s="254"/>
      <c r="U760" s="254"/>
      <c r="V760" s="254"/>
      <c r="W760" s="254"/>
      <c r="X760" s="254"/>
      <c r="Y760" s="254"/>
      <c r="Z760" s="254"/>
      <c r="AA760" s="254"/>
      <c r="AB760" s="254"/>
      <c r="AC760" s="254"/>
    </row>
    <row r="761" ht="12.75" customHeight="1" spans="1:29">
      <c r="A761" s="254"/>
      <c r="B761" s="254"/>
      <c r="C761" s="254"/>
      <c r="D761" s="276"/>
      <c r="E761" s="254"/>
      <c r="F761" s="254"/>
      <c r="G761" s="254"/>
      <c r="H761" s="254"/>
      <c r="I761" s="254"/>
      <c r="J761" s="254"/>
      <c r="K761" s="254"/>
      <c r="L761" s="254"/>
      <c r="M761" s="254"/>
      <c r="N761" s="254"/>
      <c r="O761" s="254"/>
      <c r="P761" s="254"/>
      <c r="Q761" s="254"/>
      <c r="R761" s="254"/>
      <c r="S761" s="254"/>
      <c r="T761" s="254"/>
      <c r="U761" s="254"/>
      <c r="V761" s="254"/>
      <c r="W761" s="254"/>
      <c r="X761" s="254"/>
      <c r="Y761" s="254"/>
      <c r="Z761" s="254"/>
      <c r="AA761" s="254"/>
      <c r="AB761" s="254"/>
      <c r="AC761" s="254"/>
    </row>
    <row r="762" ht="12.75" customHeight="1" spans="1:29">
      <c r="A762" s="254"/>
      <c r="B762" s="254"/>
      <c r="C762" s="254"/>
      <c r="D762" s="276"/>
      <c r="E762" s="254"/>
      <c r="F762" s="254"/>
      <c r="G762" s="254"/>
      <c r="H762" s="254"/>
      <c r="I762" s="254"/>
      <c r="J762" s="254"/>
      <c r="K762" s="254"/>
      <c r="L762" s="254"/>
      <c r="M762" s="254"/>
      <c r="N762" s="254"/>
      <c r="O762" s="254"/>
      <c r="P762" s="254"/>
      <c r="Q762" s="254"/>
      <c r="R762" s="254"/>
      <c r="S762" s="254"/>
      <c r="T762" s="254"/>
      <c r="U762" s="254"/>
      <c r="V762" s="254"/>
      <c r="W762" s="254"/>
      <c r="X762" s="254"/>
      <c r="Y762" s="254"/>
      <c r="Z762" s="254"/>
      <c r="AA762" s="254"/>
      <c r="AB762" s="254"/>
      <c r="AC762" s="254"/>
    </row>
    <row r="763" ht="12.75" customHeight="1" spans="1:29">
      <c r="A763" s="254"/>
      <c r="B763" s="254"/>
      <c r="C763" s="254"/>
      <c r="D763" s="276"/>
      <c r="E763" s="254"/>
      <c r="F763" s="254"/>
      <c r="G763" s="254"/>
      <c r="H763" s="254"/>
      <c r="I763" s="254"/>
      <c r="J763" s="254"/>
      <c r="K763" s="254"/>
      <c r="L763" s="254"/>
      <c r="M763" s="254"/>
      <c r="N763" s="254"/>
      <c r="O763" s="254"/>
      <c r="P763" s="254"/>
      <c r="Q763" s="254"/>
      <c r="R763" s="254"/>
      <c r="S763" s="254"/>
      <c r="T763" s="254"/>
      <c r="U763" s="254"/>
      <c r="V763" s="254"/>
      <c r="W763" s="254"/>
      <c r="X763" s="254"/>
      <c r="Y763" s="254"/>
      <c r="Z763" s="254"/>
      <c r="AA763" s="254"/>
      <c r="AB763" s="254"/>
      <c r="AC763" s="254"/>
    </row>
    <row r="764" ht="12.75" customHeight="1" spans="1:29">
      <c r="A764" s="254"/>
      <c r="B764" s="254"/>
      <c r="C764" s="254"/>
      <c r="D764" s="276"/>
      <c r="E764" s="254"/>
      <c r="F764" s="254"/>
      <c r="G764" s="254"/>
      <c r="H764" s="254"/>
      <c r="I764" s="254"/>
      <c r="J764" s="254"/>
      <c r="K764" s="254"/>
      <c r="L764" s="254"/>
      <c r="M764" s="254"/>
      <c r="N764" s="254"/>
      <c r="O764" s="254"/>
      <c r="P764" s="254"/>
      <c r="Q764" s="254"/>
      <c r="R764" s="254"/>
      <c r="S764" s="254"/>
      <c r="T764" s="254"/>
      <c r="U764" s="254"/>
      <c r="V764" s="254"/>
      <c r="W764" s="254"/>
      <c r="X764" s="254"/>
      <c r="Y764" s="254"/>
      <c r="Z764" s="254"/>
      <c r="AA764" s="254"/>
      <c r="AB764" s="254"/>
      <c r="AC764" s="254"/>
    </row>
    <row r="765" ht="12.75" customHeight="1" spans="1:29">
      <c r="A765" s="254"/>
      <c r="B765" s="254"/>
      <c r="C765" s="254"/>
      <c r="D765" s="276"/>
      <c r="E765" s="254"/>
      <c r="F765" s="254"/>
      <c r="G765" s="254"/>
      <c r="H765" s="254"/>
      <c r="I765" s="254"/>
      <c r="J765" s="254"/>
      <c r="K765" s="254"/>
      <c r="L765" s="254"/>
      <c r="M765" s="254"/>
      <c r="N765" s="254"/>
      <c r="O765" s="254"/>
      <c r="P765" s="254"/>
      <c r="Q765" s="254"/>
      <c r="R765" s="254"/>
      <c r="S765" s="254"/>
      <c r="T765" s="254"/>
      <c r="U765" s="254"/>
      <c r="V765" s="254"/>
      <c r="W765" s="254"/>
      <c r="X765" s="254"/>
      <c r="Y765" s="254"/>
      <c r="Z765" s="254"/>
      <c r="AA765" s="254"/>
      <c r="AB765" s="254"/>
      <c r="AC765" s="254"/>
    </row>
    <row r="766" ht="12.75" customHeight="1" spans="1:29">
      <c r="A766" s="254"/>
      <c r="B766" s="254"/>
      <c r="C766" s="254"/>
      <c r="D766" s="276"/>
      <c r="E766" s="254"/>
      <c r="F766" s="254"/>
      <c r="G766" s="254"/>
      <c r="H766" s="254"/>
      <c r="I766" s="254"/>
      <c r="J766" s="254"/>
      <c r="K766" s="254"/>
      <c r="L766" s="254"/>
      <c r="M766" s="254"/>
      <c r="N766" s="254"/>
      <c r="O766" s="254"/>
      <c r="P766" s="254"/>
      <c r="Q766" s="254"/>
      <c r="R766" s="254"/>
      <c r="S766" s="254"/>
      <c r="T766" s="254"/>
      <c r="U766" s="254"/>
      <c r="V766" s="254"/>
      <c r="W766" s="254"/>
      <c r="X766" s="254"/>
      <c r="Y766" s="254"/>
      <c r="Z766" s="254"/>
      <c r="AA766" s="254"/>
      <c r="AB766" s="254"/>
      <c r="AC766" s="254"/>
    </row>
    <row r="767" ht="12.75" customHeight="1" spans="1:29">
      <c r="A767" s="254"/>
      <c r="B767" s="254"/>
      <c r="C767" s="254"/>
      <c r="D767" s="276"/>
      <c r="E767" s="254"/>
      <c r="F767" s="254"/>
      <c r="G767" s="254"/>
      <c r="H767" s="254"/>
      <c r="I767" s="254"/>
      <c r="J767" s="254"/>
      <c r="K767" s="254"/>
      <c r="L767" s="254"/>
      <c r="M767" s="254"/>
      <c r="N767" s="254"/>
      <c r="O767" s="254"/>
      <c r="P767" s="254"/>
      <c r="Q767" s="254"/>
      <c r="R767" s="254"/>
      <c r="S767" s="254"/>
      <c r="T767" s="254"/>
      <c r="U767" s="254"/>
      <c r="V767" s="254"/>
      <c r="W767" s="254"/>
      <c r="X767" s="254"/>
      <c r="Y767" s="254"/>
      <c r="Z767" s="254"/>
      <c r="AA767" s="254"/>
      <c r="AB767" s="254"/>
      <c r="AC767" s="254"/>
    </row>
    <row r="768" ht="12.75" customHeight="1" spans="1:29">
      <c r="A768" s="254"/>
      <c r="B768" s="254"/>
      <c r="C768" s="254"/>
      <c r="D768" s="276"/>
      <c r="E768" s="254"/>
      <c r="F768" s="254"/>
      <c r="G768" s="254"/>
      <c r="H768" s="254"/>
      <c r="I768" s="254"/>
      <c r="J768" s="254"/>
      <c r="K768" s="254"/>
      <c r="L768" s="254"/>
      <c r="M768" s="254"/>
      <c r="N768" s="254"/>
      <c r="O768" s="254"/>
      <c r="P768" s="254"/>
      <c r="Q768" s="254"/>
      <c r="R768" s="254"/>
      <c r="S768" s="254"/>
      <c r="T768" s="254"/>
      <c r="U768" s="254"/>
      <c r="V768" s="254"/>
      <c r="W768" s="254"/>
      <c r="X768" s="254"/>
      <c r="Y768" s="254"/>
      <c r="Z768" s="254"/>
      <c r="AA768" s="254"/>
      <c r="AB768" s="254"/>
      <c r="AC768" s="254"/>
    </row>
    <row r="769" ht="12.75" customHeight="1" spans="1:29">
      <c r="A769" s="254"/>
      <c r="B769" s="254"/>
      <c r="C769" s="254"/>
      <c r="D769" s="276"/>
      <c r="E769" s="254"/>
      <c r="F769" s="254"/>
      <c r="G769" s="254"/>
      <c r="H769" s="254"/>
      <c r="I769" s="254"/>
      <c r="J769" s="254"/>
      <c r="K769" s="254"/>
      <c r="L769" s="254"/>
      <c r="M769" s="254"/>
      <c r="N769" s="254"/>
      <c r="O769" s="254"/>
      <c r="P769" s="254"/>
      <c r="Q769" s="254"/>
      <c r="R769" s="254"/>
      <c r="S769" s="254"/>
      <c r="T769" s="254"/>
      <c r="U769" s="254"/>
      <c r="V769" s="254"/>
      <c r="W769" s="254"/>
      <c r="X769" s="254"/>
      <c r="Y769" s="254"/>
      <c r="Z769" s="254"/>
      <c r="AA769" s="254"/>
      <c r="AB769" s="254"/>
      <c r="AC769" s="254"/>
    </row>
    <row r="770" ht="12.75" customHeight="1" spans="1:29">
      <c r="A770" s="254"/>
      <c r="B770" s="254"/>
      <c r="C770" s="254"/>
      <c r="D770" s="276"/>
      <c r="E770" s="254"/>
      <c r="F770" s="254"/>
      <c r="G770" s="254"/>
      <c r="H770" s="254"/>
      <c r="I770" s="254"/>
      <c r="J770" s="254"/>
      <c r="K770" s="254"/>
      <c r="L770" s="254"/>
      <c r="M770" s="254"/>
      <c r="N770" s="254"/>
      <c r="O770" s="254"/>
      <c r="P770" s="254"/>
      <c r="Q770" s="254"/>
      <c r="R770" s="254"/>
      <c r="S770" s="254"/>
      <c r="T770" s="254"/>
      <c r="U770" s="254"/>
      <c r="V770" s="254"/>
      <c r="W770" s="254"/>
      <c r="X770" s="254"/>
      <c r="Y770" s="254"/>
      <c r="Z770" s="254"/>
      <c r="AA770" s="254"/>
      <c r="AB770" s="254"/>
      <c r="AC770" s="254"/>
    </row>
    <row r="771" ht="12.75" customHeight="1" spans="1:29">
      <c r="A771" s="254"/>
      <c r="B771" s="254"/>
      <c r="C771" s="254"/>
      <c r="D771" s="276"/>
      <c r="E771" s="254"/>
      <c r="F771" s="254"/>
      <c r="G771" s="254"/>
      <c r="H771" s="254"/>
      <c r="I771" s="254"/>
      <c r="J771" s="254"/>
      <c r="K771" s="254"/>
      <c r="L771" s="254"/>
      <c r="M771" s="254"/>
      <c r="N771" s="254"/>
      <c r="O771" s="254"/>
      <c r="P771" s="254"/>
      <c r="Q771" s="254"/>
      <c r="R771" s="254"/>
      <c r="S771" s="254"/>
      <c r="T771" s="254"/>
      <c r="U771" s="254"/>
      <c r="V771" s="254"/>
      <c r="W771" s="254"/>
      <c r="X771" s="254"/>
      <c r="Y771" s="254"/>
      <c r="Z771" s="254"/>
      <c r="AA771" s="254"/>
      <c r="AB771" s="254"/>
      <c r="AC771" s="254"/>
    </row>
    <row r="772" ht="12.75" customHeight="1" spans="1:29">
      <c r="A772" s="254"/>
      <c r="B772" s="254"/>
      <c r="C772" s="254"/>
      <c r="D772" s="276"/>
      <c r="E772" s="254"/>
      <c r="F772" s="254"/>
      <c r="G772" s="254"/>
      <c r="H772" s="254"/>
      <c r="I772" s="254"/>
      <c r="J772" s="254"/>
      <c r="K772" s="254"/>
      <c r="L772" s="254"/>
      <c r="M772" s="254"/>
      <c r="N772" s="254"/>
      <c r="O772" s="254"/>
      <c r="P772" s="254"/>
      <c r="Q772" s="254"/>
      <c r="R772" s="254"/>
      <c r="S772" s="254"/>
      <c r="T772" s="254"/>
      <c r="U772" s="254"/>
      <c r="V772" s="254"/>
      <c r="W772" s="254"/>
      <c r="X772" s="254"/>
      <c r="Y772" s="254"/>
      <c r="Z772" s="254"/>
      <c r="AA772" s="254"/>
      <c r="AB772" s="254"/>
      <c r="AC772" s="254"/>
    </row>
    <row r="773" ht="12.75" customHeight="1" spans="1:29">
      <c r="A773" s="254"/>
      <c r="B773" s="254"/>
      <c r="C773" s="254"/>
      <c r="D773" s="276"/>
      <c r="E773" s="254"/>
      <c r="F773" s="254"/>
      <c r="G773" s="254"/>
      <c r="H773" s="254"/>
      <c r="I773" s="254"/>
      <c r="J773" s="254"/>
      <c r="K773" s="254"/>
      <c r="L773" s="254"/>
      <c r="M773" s="254"/>
      <c r="N773" s="254"/>
      <c r="O773" s="254"/>
      <c r="P773" s="254"/>
      <c r="Q773" s="254"/>
      <c r="R773" s="254"/>
      <c r="S773" s="254"/>
      <c r="T773" s="254"/>
      <c r="U773" s="254"/>
      <c r="V773" s="254"/>
      <c r="W773" s="254"/>
      <c r="X773" s="254"/>
      <c r="Y773" s="254"/>
      <c r="Z773" s="254"/>
      <c r="AA773" s="254"/>
      <c r="AB773" s="254"/>
      <c r="AC773" s="254"/>
    </row>
    <row r="774" ht="12.75" customHeight="1" spans="1:29">
      <c r="A774" s="254"/>
      <c r="B774" s="254"/>
      <c r="C774" s="254"/>
      <c r="D774" s="276"/>
      <c r="E774" s="254"/>
      <c r="F774" s="254"/>
      <c r="G774" s="254"/>
      <c r="H774" s="254"/>
      <c r="I774" s="254"/>
      <c r="J774" s="254"/>
      <c r="K774" s="254"/>
      <c r="L774" s="254"/>
      <c r="M774" s="254"/>
      <c r="N774" s="254"/>
      <c r="O774" s="254"/>
      <c r="P774" s="254"/>
      <c r="Q774" s="254"/>
      <c r="R774" s="254"/>
      <c r="S774" s="254"/>
      <c r="T774" s="254"/>
      <c r="U774" s="254"/>
      <c r="V774" s="254"/>
      <c r="W774" s="254"/>
      <c r="X774" s="254"/>
      <c r="Y774" s="254"/>
      <c r="Z774" s="254"/>
      <c r="AA774" s="254"/>
      <c r="AB774" s="254"/>
      <c r="AC774" s="254"/>
    </row>
    <row r="775" ht="12.75" customHeight="1" spans="1:29">
      <c r="A775" s="254"/>
      <c r="B775" s="254"/>
      <c r="C775" s="254"/>
      <c r="D775" s="276"/>
      <c r="E775" s="254"/>
      <c r="F775" s="254"/>
      <c r="G775" s="254"/>
      <c r="H775" s="254"/>
      <c r="I775" s="254"/>
      <c r="J775" s="254"/>
      <c r="K775" s="254"/>
      <c r="L775" s="254"/>
      <c r="M775" s="254"/>
      <c r="N775" s="254"/>
      <c r="O775" s="254"/>
      <c r="P775" s="254"/>
      <c r="Q775" s="254"/>
      <c r="R775" s="254"/>
      <c r="S775" s="254"/>
      <c r="T775" s="254"/>
      <c r="U775" s="254"/>
      <c r="V775" s="254"/>
      <c r="W775" s="254"/>
      <c r="X775" s="254"/>
      <c r="Y775" s="254"/>
      <c r="Z775" s="254"/>
      <c r="AA775" s="254"/>
      <c r="AB775" s="254"/>
      <c r="AC775" s="254"/>
    </row>
    <row r="776" ht="12.75" customHeight="1" spans="1:29">
      <c r="A776" s="254"/>
      <c r="B776" s="254"/>
      <c r="C776" s="254"/>
      <c r="D776" s="276"/>
      <c r="E776" s="254"/>
      <c r="F776" s="254"/>
      <c r="G776" s="254"/>
      <c r="H776" s="254"/>
      <c r="I776" s="254"/>
      <c r="J776" s="254"/>
      <c r="K776" s="254"/>
      <c r="L776" s="254"/>
      <c r="M776" s="254"/>
      <c r="N776" s="254"/>
      <c r="O776" s="254"/>
      <c r="P776" s="254"/>
      <c r="Q776" s="254"/>
      <c r="R776" s="254"/>
      <c r="S776" s="254"/>
      <c r="T776" s="254"/>
      <c r="U776" s="254"/>
      <c r="V776" s="254"/>
      <c r="W776" s="254"/>
      <c r="X776" s="254"/>
      <c r="Y776" s="254"/>
      <c r="Z776" s="254"/>
      <c r="AA776" s="254"/>
      <c r="AB776" s="254"/>
      <c r="AC776" s="254"/>
    </row>
    <row r="777" ht="12.75" customHeight="1" spans="1:29">
      <c r="A777" s="254"/>
      <c r="B777" s="254"/>
      <c r="C777" s="254"/>
      <c r="D777" s="276"/>
      <c r="E777" s="254"/>
      <c r="F777" s="254"/>
      <c r="G777" s="254"/>
      <c r="H777" s="254"/>
      <c r="I777" s="254"/>
      <c r="J777" s="254"/>
      <c r="K777" s="254"/>
      <c r="L777" s="254"/>
      <c r="M777" s="254"/>
      <c r="N777" s="254"/>
      <c r="O777" s="254"/>
      <c r="P777" s="254"/>
      <c r="Q777" s="254"/>
      <c r="R777" s="254"/>
      <c r="S777" s="254"/>
      <c r="T777" s="254"/>
      <c r="U777" s="254"/>
      <c r="V777" s="254"/>
      <c r="W777" s="254"/>
      <c r="X777" s="254"/>
      <c r="Y777" s="254"/>
      <c r="Z777" s="254"/>
      <c r="AA777" s="254"/>
      <c r="AB777" s="254"/>
      <c r="AC777" s="254"/>
    </row>
    <row r="778" ht="12.75" customHeight="1" spans="1:29">
      <c r="A778" s="254"/>
      <c r="B778" s="254"/>
      <c r="C778" s="254"/>
      <c r="D778" s="276"/>
      <c r="E778" s="254"/>
      <c r="F778" s="254"/>
      <c r="G778" s="254"/>
      <c r="H778" s="254"/>
      <c r="I778" s="254"/>
      <c r="J778" s="254"/>
      <c r="K778" s="254"/>
      <c r="L778" s="254"/>
      <c r="M778" s="254"/>
      <c r="N778" s="254"/>
      <c r="O778" s="254"/>
      <c r="P778" s="254"/>
      <c r="Q778" s="254"/>
      <c r="R778" s="254"/>
      <c r="S778" s="254"/>
      <c r="T778" s="254"/>
      <c r="U778" s="254"/>
      <c r="V778" s="254"/>
      <c r="W778" s="254"/>
      <c r="X778" s="254"/>
      <c r="Y778" s="254"/>
      <c r="Z778" s="254"/>
      <c r="AA778" s="254"/>
      <c r="AB778" s="254"/>
      <c r="AC778" s="254"/>
    </row>
    <row r="779" ht="12.75" customHeight="1" spans="1:29">
      <c r="A779" s="254"/>
      <c r="B779" s="254"/>
      <c r="C779" s="254"/>
      <c r="D779" s="276"/>
      <c r="E779" s="254"/>
      <c r="F779" s="254"/>
      <c r="G779" s="254"/>
      <c r="H779" s="254"/>
      <c r="I779" s="254"/>
      <c r="J779" s="254"/>
      <c r="K779" s="254"/>
      <c r="L779" s="254"/>
      <c r="M779" s="254"/>
      <c r="N779" s="254"/>
      <c r="O779" s="254"/>
      <c r="P779" s="254"/>
      <c r="Q779" s="254"/>
      <c r="R779" s="254"/>
      <c r="S779" s="254"/>
      <c r="T779" s="254"/>
      <c r="U779" s="254"/>
      <c r="V779" s="254"/>
      <c r="W779" s="254"/>
      <c r="X779" s="254"/>
      <c r="Y779" s="254"/>
      <c r="Z779" s="254"/>
      <c r="AA779" s="254"/>
      <c r="AB779" s="254"/>
      <c r="AC779" s="254"/>
    </row>
    <row r="780" ht="12.75" customHeight="1" spans="1:29">
      <c r="A780" s="254"/>
      <c r="B780" s="254"/>
      <c r="C780" s="254"/>
      <c r="D780" s="276"/>
      <c r="E780" s="254"/>
      <c r="F780" s="254"/>
      <c r="G780" s="254"/>
      <c r="H780" s="254"/>
      <c r="I780" s="254"/>
      <c r="J780" s="254"/>
      <c r="K780" s="254"/>
      <c r="L780" s="254"/>
      <c r="M780" s="254"/>
      <c r="N780" s="254"/>
      <c r="O780" s="254"/>
      <c r="P780" s="254"/>
      <c r="Q780" s="254"/>
      <c r="R780" s="254"/>
      <c r="S780" s="254"/>
      <c r="T780" s="254"/>
      <c r="U780" s="254"/>
      <c r="V780" s="254"/>
      <c r="W780" s="254"/>
      <c r="X780" s="254"/>
      <c r="Y780" s="254"/>
      <c r="Z780" s="254"/>
      <c r="AA780" s="254"/>
      <c r="AB780" s="254"/>
      <c r="AC780" s="254"/>
    </row>
    <row r="781" ht="12.75" customHeight="1" spans="1:29">
      <c r="A781" s="254"/>
      <c r="B781" s="254"/>
      <c r="C781" s="254"/>
      <c r="D781" s="276"/>
      <c r="E781" s="254"/>
      <c r="F781" s="254"/>
      <c r="G781" s="254"/>
      <c r="H781" s="254"/>
      <c r="I781" s="254"/>
      <c r="J781" s="254"/>
      <c r="K781" s="254"/>
      <c r="L781" s="254"/>
      <c r="M781" s="254"/>
      <c r="N781" s="254"/>
      <c r="O781" s="254"/>
      <c r="P781" s="254"/>
      <c r="Q781" s="254"/>
      <c r="R781" s="254"/>
      <c r="S781" s="254"/>
      <c r="T781" s="254"/>
      <c r="U781" s="254"/>
      <c r="V781" s="254"/>
      <c r="W781" s="254"/>
      <c r="X781" s="254"/>
      <c r="Y781" s="254"/>
      <c r="Z781" s="254"/>
      <c r="AA781" s="254"/>
      <c r="AB781" s="254"/>
      <c r="AC781" s="254"/>
    </row>
    <row r="782" ht="12.75" customHeight="1" spans="1:29">
      <c r="A782" s="254"/>
      <c r="B782" s="254"/>
      <c r="C782" s="254"/>
      <c r="D782" s="276"/>
      <c r="E782" s="254"/>
      <c r="F782" s="254"/>
      <c r="G782" s="254"/>
      <c r="H782" s="254"/>
      <c r="I782" s="254"/>
      <c r="J782" s="254"/>
      <c r="K782" s="254"/>
      <c r="L782" s="254"/>
      <c r="M782" s="254"/>
      <c r="N782" s="254"/>
      <c r="O782" s="254"/>
      <c r="P782" s="254"/>
      <c r="Q782" s="254"/>
      <c r="R782" s="254"/>
      <c r="S782" s="254"/>
      <c r="T782" s="254"/>
      <c r="U782" s="254"/>
      <c r="V782" s="254"/>
      <c r="W782" s="254"/>
      <c r="X782" s="254"/>
      <c r="Y782" s="254"/>
      <c r="Z782" s="254"/>
      <c r="AA782" s="254"/>
      <c r="AB782" s="254"/>
      <c r="AC782" s="254"/>
    </row>
    <row r="783" ht="12.75" customHeight="1" spans="1:29">
      <c r="A783" s="254"/>
      <c r="B783" s="254"/>
      <c r="C783" s="254"/>
      <c r="D783" s="276"/>
      <c r="E783" s="254"/>
      <c r="F783" s="254"/>
      <c r="G783" s="254"/>
      <c r="H783" s="254"/>
      <c r="I783" s="254"/>
      <c r="J783" s="254"/>
      <c r="K783" s="254"/>
      <c r="L783" s="254"/>
      <c r="M783" s="254"/>
      <c r="N783" s="254"/>
      <c r="O783" s="254"/>
      <c r="P783" s="254"/>
      <c r="Q783" s="254"/>
      <c r="R783" s="254"/>
      <c r="S783" s="254"/>
      <c r="T783" s="254"/>
      <c r="U783" s="254"/>
      <c r="V783" s="254"/>
      <c r="W783" s="254"/>
      <c r="X783" s="254"/>
      <c r="Y783" s="254"/>
      <c r="Z783" s="254"/>
      <c r="AA783" s="254"/>
      <c r="AB783" s="254"/>
      <c r="AC783" s="254"/>
    </row>
    <row r="784" ht="12.75" customHeight="1" spans="1:29">
      <c r="A784" s="254"/>
      <c r="B784" s="254"/>
      <c r="C784" s="254"/>
      <c r="D784" s="276"/>
      <c r="E784" s="254"/>
      <c r="F784" s="254"/>
      <c r="G784" s="254"/>
      <c r="H784" s="254"/>
      <c r="I784" s="254"/>
      <c r="J784" s="254"/>
      <c r="K784" s="254"/>
      <c r="L784" s="254"/>
      <c r="M784" s="254"/>
      <c r="N784" s="254"/>
      <c r="O784" s="254"/>
      <c r="P784" s="254"/>
      <c r="Q784" s="254"/>
      <c r="R784" s="254"/>
      <c r="S784" s="254"/>
      <c r="T784" s="254"/>
      <c r="U784" s="254"/>
      <c r="V784" s="254"/>
      <c r="W784" s="254"/>
      <c r="X784" s="254"/>
      <c r="Y784" s="254"/>
      <c r="Z784" s="254"/>
      <c r="AA784" s="254"/>
      <c r="AB784" s="254"/>
      <c r="AC784" s="254"/>
    </row>
    <row r="785" ht="12.75" customHeight="1" spans="1:29">
      <c r="A785" s="254"/>
      <c r="B785" s="254"/>
      <c r="C785" s="254"/>
      <c r="D785" s="276"/>
      <c r="E785" s="254"/>
      <c r="F785" s="254"/>
      <c r="G785" s="254"/>
      <c r="H785" s="254"/>
      <c r="I785" s="254"/>
      <c r="J785" s="254"/>
      <c r="K785" s="254"/>
      <c r="L785" s="254"/>
      <c r="M785" s="254"/>
      <c r="N785" s="254"/>
      <c r="O785" s="254"/>
      <c r="P785" s="254"/>
      <c r="Q785" s="254"/>
      <c r="R785" s="254"/>
      <c r="S785" s="254"/>
      <c r="T785" s="254"/>
      <c r="U785" s="254"/>
      <c r="V785" s="254"/>
      <c r="W785" s="254"/>
      <c r="X785" s="254"/>
      <c r="Y785" s="254"/>
      <c r="Z785" s="254"/>
      <c r="AA785" s="254"/>
      <c r="AB785" s="254"/>
      <c r="AC785" s="254"/>
    </row>
    <row r="786" ht="12.75" customHeight="1" spans="1:29">
      <c r="A786" s="254"/>
      <c r="B786" s="254"/>
      <c r="C786" s="254"/>
      <c r="D786" s="276"/>
      <c r="E786" s="254"/>
      <c r="F786" s="254"/>
      <c r="G786" s="254"/>
      <c r="H786" s="254"/>
      <c r="I786" s="254"/>
      <c r="J786" s="254"/>
      <c r="K786" s="254"/>
      <c r="L786" s="254"/>
      <c r="M786" s="254"/>
      <c r="N786" s="254"/>
      <c r="O786" s="254"/>
      <c r="P786" s="254"/>
      <c r="Q786" s="254"/>
      <c r="R786" s="254"/>
      <c r="S786" s="254"/>
      <c r="T786" s="254"/>
      <c r="U786" s="254"/>
      <c r="V786" s="254"/>
      <c r="W786" s="254"/>
      <c r="X786" s="254"/>
      <c r="Y786" s="254"/>
      <c r="Z786" s="254"/>
      <c r="AA786" s="254"/>
      <c r="AB786" s="254"/>
      <c r="AC786" s="254"/>
    </row>
    <row r="787" ht="12.75" customHeight="1" spans="1:29">
      <c r="A787" s="254"/>
      <c r="B787" s="254"/>
      <c r="C787" s="254"/>
      <c r="D787" s="276"/>
      <c r="E787" s="254"/>
      <c r="F787" s="254"/>
      <c r="G787" s="254"/>
      <c r="H787" s="254"/>
      <c r="I787" s="254"/>
      <c r="J787" s="254"/>
      <c r="K787" s="254"/>
      <c r="L787" s="254"/>
      <c r="M787" s="254"/>
      <c r="N787" s="254"/>
      <c r="O787" s="254"/>
      <c r="P787" s="254"/>
      <c r="Q787" s="254"/>
      <c r="R787" s="254"/>
      <c r="S787" s="254"/>
      <c r="T787" s="254"/>
      <c r="U787" s="254"/>
      <c r="V787" s="254"/>
      <c r="W787" s="254"/>
      <c r="X787" s="254"/>
      <c r="Y787" s="254"/>
      <c r="Z787" s="254"/>
      <c r="AA787" s="254"/>
      <c r="AB787" s="254"/>
      <c r="AC787" s="254"/>
    </row>
    <row r="788" ht="12.75" customHeight="1" spans="1:29">
      <c r="A788" s="254"/>
      <c r="B788" s="254"/>
      <c r="C788" s="254"/>
      <c r="D788" s="276"/>
      <c r="E788" s="254"/>
      <c r="F788" s="254"/>
      <c r="G788" s="254"/>
      <c r="H788" s="254"/>
      <c r="I788" s="254"/>
      <c r="J788" s="254"/>
      <c r="K788" s="254"/>
      <c r="L788" s="254"/>
      <c r="M788" s="254"/>
      <c r="N788" s="254"/>
      <c r="O788" s="254"/>
      <c r="P788" s="254"/>
      <c r="Q788" s="254"/>
      <c r="R788" s="254"/>
      <c r="S788" s="254"/>
      <c r="T788" s="254"/>
      <c r="U788" s="254"/>
      <c r="V788" s="254"/>
      <c r="W788" s="254"/>
      <c r="X788" s="254"/>
      <c r="Y788" s="254"/>
      <c r="Z788" s="254"/>
      <c r="AA788" s="254"/>
      <c r="AB788" s="254"/>
      <c r="AC788" s="254"/>
    </row>
    <row r="789" ht="12.75" customHeight="1" spans="1:29">
      <c r="A789" s="254"/>
      <c r="B789" s="254"/>
      <c r="C789" s="254"/>
      <c r="D789" s="276"/>
      <c r="E789" s="254"/>
      <c r="F789" s="254"/>
      <c r="G789" s="254"/>
      <c r="H789" s="254"/>
      <c r="I789" s="254"/>
      <c r="J789" s="254"/>
      <c r="K789" s="254"/>
      <c r="L789" s="254"/>
      <c r="M789" s="254"/>
      <c r="N789" s="254"/>
      <c r="O789" s="254"/>
      <c r="P789" s="254"/>
      <c r="Q789" s="254"/>
      <c r="R789" s="254"/>
      <c r="S789" s="254"/>
      <c r="T789" s="254"/>
      <c r="U789" s="254"/>
      <c r="V789" s="254"/>
      <c r="W789" s="254"/>
      <c r="X789" s="254"/>
      <c r="Y789" s="254"/>
      <c r="Z789" s="254"/>
      <c r="AA789" s="254"/>
      <c r="AB789" s="254"/>
      <c r="AC789" s="254"/>
    </row>
    <row r="790" ht="12.75" customHeight="1" spans="1:29">
      <c r="A790" s="254"/>
      <c r="B790" s="254"/>
      <c r="C790" s="254"/>
      <c r="D790" s="276"/>
      <c r="E790" s="254"/>
      <c r="F790" s="254"/>
      <c r="G790" s="254"/>
      <c r="H790" s="254"/>
      <c r="I790" s="254"/>
      <c r="J790" s="254"/>
      <c r="K790" s="254"/>
      <c r="L790" s="254"/>
      <c r="M790" s="254"/>
      <c r="N790" s="254"/>
      <c r="O790" s="254"/>
      <c r="P790" s="254"/>
      <c r="Q790" s="254"/>
      <c r="R790" s="254"/>
      <c r="S790" s="254"/>
      <c r="T790" s="254"/>
      <c r="U790" s="254"/>
      <c r="V790" s="254"/>
      <c r="W790" s="254"/>
      <c r="X790" s="254"/>
      <c r="Y790" s="254"/>
      <c r="Z790" s="254"/>
      <c r="AA790" s="254"/>
      <c r="AB790" s="254"/>
      <c r="AC790" s="254"/>
    </row>
    <row r="791" ht="12.75" customHeight="1" spans="1:29">
      <c r="A791" s="254"/>
      <c r="B791" s="254"/>
      <c r="C791" s="254"/>
      <c r="D791" s="276"/>
      <c r="E791" s="254"/>
      <c r="F791" s="254"/>
      <c r="G791" s="254"/>
      <c r="H791" s="254"/>
      <c r="I791" s="254"/>
      <c r="J791" s="254"/>
      <c r="K791" s="254"/>
      <c r="L791" s="254"/>
      <c r="M791" s="254"/>
      <c r="N791" s="254"/>
      <c r="O791" s="254"/>
      <c r="P791" s="254"/>
      <c r="Q791" s="254"/>
      <c r="R791" s="254"/>
      <c r="S791" s="254"/>
      <c r="T791" s="254"/>
      <c r="U791" s="254"/>
      <c r="V791" s="254"/>
      <c r="W791" s="254"/>
      <c r="X791" s="254"/>
      <c r="Y791" s="254"/>
      <c r="Z791" s="254"/>
      <c r="AA791" s="254"/>
      <c r="AB791" s="254"/>
      <c r="AC791" s="254"/>
    </row>
    <row r="792" ht="12.75" customHeight="1" spans="1:29">
      <c r="A792" s="254"/>
      <c r="B792" s="254"/>
      <c r="C792" s="254"/>
      <c r="D792" s="276"/>
      <c r="E792" s="254"/>
      <c r="F792" s="254"/>
      <c r="G792" s="254"/>
      <c r="H792" s="254"/>
      <c r="I792" s="254"/>
      <c r="J792" s="254"/>
      <c r="K792" s="254"/>
      <c r="L792" s="254"/>
      <c r="M792" s="254"/>
      <c r="N792" s="254"/>
      <c r="O792" s="254"/>
      <c r="P792" s="254"/>
      <c r="Q792" s="254"/>
      <c r="R792" s="254"/>
      <c r="S792" s="254"/>
      <c r="T792" s="254"/>
      <c r="U792" s="254"/>
      <c r="V792" s="254"/>
      <c r="W792" s="254"/>
      <c r="X792" s="254"/>
      <c r="Y792" s="254"/>
      <c r="Z792" s="254"/>
      <c r="AA792" s="254"/>
      <c r="AB792" s="254"/>
      <c r="AC792" s="254"/>
    </row>
    <row r="793" ht="12.75" customHeight="1" spans="1:29">
      <c r="A793" s="254"/>
      <c r="B793" s="254"/>
      <c r="C793" s="254"/>
      <c r="D793" s="276"/>
      <c r="E793" s="254"/>
      <c r="F793" s="254"/>
      <c r="G793" s="254"/>
      <c r="H793" s="254"/>
      <c r="I793" s="254"/>
      <c r="J793" s="254"/>
      <c r="K793" s="254"/>
      <c r="L793" s="254"/>
      <c r="M793" s="254"/>
      <c r="N793" s="254"/>
      <c r="O793" s="254"/>
      <c r="P793" s="254"/>
      <c r="Q793" s="254"/>
      <c r="R793" s="254"/>
      <c r="S793" s="254"/>
      <c r="T793" s="254"/>
      <c r="U793" s="254"/>
      <c r="V793" s="254"/>
      <c r="W793" s="254"/>
      <c r="X793" s="254"/>
      <c r="Y793" s="254"/>
      <c r="Z793" s="254"/>
      <c r="AA793" s="254"/>
      <c r="AB793" s="254"/>
      <c r="AC793" s="254"/>
    </row>
    <row r="794" ht="12.75" customHeight="1" spans="1:29">
      <c r="A794" s="254"/>
      <c r="B794" s="254"/>
      <c r="C794" s="254"/>
      <c r="D794" s="276"/>
      <c r="E794" s="254"/>
      <c r="F794" s="254"/>
      <c r="G794" s="254"/>
      <c r="H794" s="254"/>
      <c r="I794" s="254"/>
      <c r="J794" s="254"/>
      <c r="K794" s="254"/>
      <c r="L794" s="254"/>
      <c r="M794" s="254"/>
      <c r="N794" s="254"/>
      <c r="O794" s="254"/>
      <c r="P794" s="254"/>
      <c r="Q794" s="254"/>
      <c r="R794" s="254"/>
      <c r="S794" s="254"/>
      <c r="T794" s="254"/>
      <c r="U794" s="254"/>
      <c r="V794" s="254"/>
      <c r="W794" s="254"/>
      <c r="X794" s="254"/>
      <c r="Y794" s="254"/>
      <c r="Z794" s="254"/>
      <c r="AA794" s="254"/>
      <c r="AB794" s="254"/>
      <c r="AC794" s="254"/>
    </row>
    <row r="795" ht="12.75" customHeight="1" spans="1:29">
      <c r="A795" s="254"/>
      <c r="B795" s="254"/>
      <c r="C795" s="254"/>
      <c r="D795" s="276"/>
      <c r="E795" s="254"/>
      <c r="F795" s="254"/>
      <c r="G795" s="254"/>
      <c r="H795" s="254"/>
      <c r="I795" s="254"/>
      <c r="J795" s="254"/>
      <c r="K795" s="254"/>
      <c r="L795" s="254"/>
      <c r="M795" s="254"/>
      <c r="N795" s="254"/>
      <c r="O795" s="254"/>
      <c r="P795" s="254"/>
      <c r="Q795" s="254"/>
      <c r="R795" s="254"/>
      <c r="S795" s="254"/>
      <c r="T795" s="254"/>
      <c r="U795" s="254"/>
      <c r="V795" s="254"/>
      <c r="W795" s="254"/>
      <c r="X795" s="254"/>
      <c r="Y795" s="254"/>
      <c r="Z795" s="254"/>
      <c r="AA795" s="254"/>
      <c r="AB795" s="254"/>
      <c r="AC795" s="254"/>
    </row>
    <row r="796" ht="12.75" customHeight="1" spans="1:29">
      <c r="A796" s="254"/>
      <c r="B796" s="254"/>
      <c r="C796" s="254"/>
      <c r="D796" s="276"/>
      <c r="E796" s="254"/>
      <c r="F796" s="254"/>
      <c r="G796" s="254"/>
      <c r="H796" s="254"/>
      <c r="I796" s="254"/>
      <c r="J796" s="254"/>
      <c r="K796" s="254"/>
      <c r="L796" s="254"/>
      <c r="M796" s="254"/>
      <c r="N796" s="254"/>
      <c r="O796" s="254"/>
      <c r="P796" s="254"/>
      <c r="Q796" s="254"/>
      <c r="R796" s="254"/>
      <c r="S796" s="254"/>
      <c r="T796" s="254"/>
      <c r="U796" s="254"/>
      <c r="V796" s="254"/>
      <c r="W796" s="254"/>
      <c r="X796" s="254"/>
      <c r="Y796" s="254"/>
      <c r="Z796" s="254"/>
      <c r="AA796" s="254"/>
      <c r="AB796" s="254"/>
      <c r="AC796" s="254"/>
    </row>
    <row r="797" ht="12.75" customHeight="1" spans="1:29">
      <c r="A797" s="254"/>
      <c r="B797" s="254"/>
      <c r="C797" s="254"/>
      <c r="D797" s="276"/>
      <c r="E797" s="254"/>
      <c r="F797" s="254"/>
      <c r="G797" s="254"/>
      <c r="H797" s="254"/>
      <c r="I797" s="254"/>
      <c r="J797" s="254"/>
      <c r="K797" s="254"/>
      <c r="L797" s="254"/>
      <c r="M797" s="254"/>
      <c r="N797" s="254"/>
      <c r="O797" s="254"/>
      <c r="P797" s="254"/>
      <c r="Q797" s="254"/>
      <c r="R797" s="254"/>
      <c r="S797" s="254"/>
      <c r="T797" s="254"/>
      <c r="U797" s="254"/>
      <c r="V797" s="254"/>
      <c r="W797" s="254"/>
      <c r="X797" s="254"/>
      <c r="Y797" s="254"/>
      <c r="Z797" s="254"/>
      <c r="AA797" s="254"/>
      <c r="AB797" s="254"/>
      <c r="AC797" s="254"/>
    </row>
    <row r="798" ht="12.75" customHeight="1" spans="1:29">
      <c r="A798" s="254"/>
      <c r="B798" s="254"/>
      <c r="C798" s="254"/>
      <c r="D798" s="276"/>
      <c r="E798" s="254"/>
      <c r="F798" s="254"/>
      <c r="G798" s="254"/>
      <c r="H798" s="254"/>
      <c r="I798" s="254"/>
      <c r="J798" s="254"/>
      <c r="K798" s="254"/>
      <c r="L798" s="254"/>
      <c r="M798" s="254"/>
      <c r="N798" s="254"/>
      <c r="O798" s="254"/>
      <c r="P798" s="254"/>
      <c r="Q798" s="254"/>
      <c r="R798" s="254"/>
      <c r="S798" s="254"/>
      <c r="T798" s="254"/>
      <c r="U798" s="254"/>
      <c r="V798" s="254"/>
      <c r="W798" s="254"/>
      <c r="X798" s="254"/>
      <c r="Y798" s="254"/>
      <c r="Z798" s="254"/>
      <c r="AA798" s="254"/>
      <c r="AB798" s="254"/>
      <c r="AC798" s="254"/>
    </row>
    <row r="799" ht="12.75" customHeight="1" spans="1:29">
      <c r="A799" s="254"/>
      <c r="B799" s="254"/>
      <c r="C799" s="254"/>
      <c r="D799" s="276"/>
      <c r="E799" s="254"/>
      <c r="F799" s="254"/>
      <c r="G799" s="254"/>
      <c r="H799" s="254"/>
      <c r="I799" s="254"/>
      <c r="J799" s="254"/>
      <c r="K799" s="254"/>
      <c r="L799" s="254"/>
      <c r="M799" s="254"/>
      <c r="N799" s="254"/>
      <c r="O799" s="254"/>
      <c r="P799" s="254"/>
      <c r="Q799" s="254"/>
      <c r="R799" s="254"/>
      <c r="S799" s="254"/>
      <c r="T799" s="254"/>
      <c r="U799" s="254"/>
      <c r="V799" s="254"/>
      <c r="W799" s="254"/>
      <c r="X799" s="254"/>
      <c r="Y799" s="254"/>
      <c r="Z799" s="254"/>
      <c r="AA799" s="254"/>
      <c r="AB799" s="254"/>
      <c r="AC799" s="254"/>
    </row>
    <row r="800" ht="12.75" customHeight="1" spans="1:29">
      <c r="A800" s="254"/>
      <c r="B800" s="254"/>
      <c r="C800" s="254"/>
      <c r="D800" s="276"/>
      <c r="E800" s="254"/>
      <c r="F800" s="254"/>
      <c r="G800" s="254"/>
      <c r="H800" s="254"/>
      <c r="I800" s="254"/>
      <c r="J800" s="254"/>
      <c r="K800" s="254"/>
      <c r="L800" s="254"/>
      <c r="M800" s="254"/>
      <c r="N800" s="254"/>
      <c r="O800" s="254"/>
      <c r="P800" s="254"/>
      <c r="Q800" s="254"/>
      <c r="R800" s="254"/>
      <c r="S800" s="254"/>
      <c r="T800" s="254"/>
      <c r="U800" s="254"/>
      <c r="V800" s="254"/>
      <c r="W800" s="254"/>
      <c r="X800" s="254"/>
      <c r="Y800" s="254"/>
      <c r="Z800" s="254"/>
      <c r="AA800" s="254"/>
      <c r="AB800" s="254"/>
      <c r="AC800" s="254"/>
    </row>
    <row r="801" ht="12.75" customHeight="1" spans="1:29">
      <c r="A801" s="254"/>
      <c r="B801" s="254"/>
      <c r="C801" s="254"/>
      <c r="D801" s="276"/>
      <c r="E801" s="254"/>
      <c r="F801" s="254"/>
      <c r="G801" s="254"/>
      <c r="H801" s="254"/>
      <c r="I801" s="254"/>
      <c r="J801" s="254"/>
      <c r="K801" s="254"/>
      <c r="L801" s="254"/>
      <c r="M801" s="254"/>
      <c r="N801" s="254"/>
      <c r="O801" s="254"/>
      <c r="P801" s="254"/>
      <c r="Q801" s="254"/>
      <c r="R801" s="254"/>
      <c r="S801" s="254"/>
      <c r="T801" s="254"/>
      <c r="U801" s="254"/>
      <c r="V801" s="254"/>
      <c r="W801" s="254"/>
      <c r="X801" s="254"/>
      <c r="Y801" s="254"/>
      <c r="Z801" s="254"/>
      <c r="AA801" s="254"/>
      <c r="AB801" s="254"/>
      <c r="AC801" s="254"/>
    </row>
    <row r="802" ht="12.75" customHeight="1" spans="1:29">
      <c r="A802" s="254"/>
      <c r="B802" s="254"/>
      <c r="C802" s="254"/>
      <c r="D802" s="276"/>
      <c r="E802" s="254"/>
      <c r="F802" s="254"/>
      <c r="G802" s="254"/>
      <c r="H802" s="254"/>
      <c r="I802" s="254"/>
      <c r="J802" s="254"/>
      <c r="K802" s="254"/>
      <c r="L802" s="254"/>
      <c r="M802" s="254"/>
      <c r="N802" s="254"/>
      <c r="O802" s="254"/>
      <c r="P802" s="254"/>
      <c r="Q802" s="254"/>
      <c r="R802" s="254"/>
      <c r="S802" s="254"/>
      <c r="T802" s="254"/>
      <c r="U802" s="254"/>
      <c r="V802" s="254"/>
      <c r="W802" s="254"/>
      <c r="X802" s="254"/>
      <c r="Y802" s="254"/>
      <c r="Z802" s="254"/>
      <c r="AA802" s="254"/>
      <c r="AB802" s="254"/>
      <c r="AC802" s="254"/>
    </row>
    <row r="803" ht="12.75" customHeight="1" spans="1:29">
      <c r="A803" s="254"/>
      <c r="B803" s="254"/>
      <c r="C803" s="254"/>
      <c r="D803" s="276"/>
      <c r="E803" s="254"/>
      <c r="F803" s="254"/>
      <c r="G803" s="254"/>
      <c r="H803" s="254"/>
      <c r="I803" s="254"/>
      <c r="J803" s="254"/>
      <c r="K803" s="254"/>
      <c r="L803" s="254"/>
      <c r="M803" s="254"/>
      <c r="N803" s="254"/>
      <c r="O803" s="254"/>
      <c r="P803" s="254"/>
      <c r="Q803" s="254"/>
      <c r="R803" s="254"/>
      <c r="S803" s="254"/>
      <c r="T803" s="254"/>
      <c r="U803" s="254"/>
      <c r="V803" s="254"/>
      <c r="W803" s="254"/>
      <c r="X803" s="254"/>
      <c r="Y803" s="254"/>
      <c r="Z803" s="254"/>
      <c r="AA803" s="254"/>
      <c r="AB803" s="254"/>
      <c r="AC803" s="254"/>
    </row>
    <row r="804" ht="12.75" customHeight="1" spans="1:29">
      <c r="A804" s="254"/>
      <c r="B804" s="254"/>
      <c r="C804" s="254"/>
      <c r="D804" s="276"/>
      <c r="E804" s="254"/>
      <c r="F804" s="254"/>
      <c r="G804" s="254"/>
      <c r="H804" s="254"/>
      <c r="I804" s="254"/>
      <c r="J804" s="254"/>
      <c r="K804" s="254"/>
      <c r="L804" s="254"/>
      <c r="M804" s="254"/>
      <c r="N804" s="254"/>
      <c r="O804" s="254"/>
      <c r="P804" s="254"/>
      <c r="Q804" s="254"/>
      <c r="R804" s="254"/>
      <c r="S804" s="254"/>
      <c r="T804" s="254"/>
      <c r="U804" s="254"/>
      <c r="V804" s="254"/>
      <c r="W804" s="254"/>
      <c r="X804" s="254"/>
      <c r="Y804" s="254"/>
      <c r="Z804" s="254"/>
      <c r="AA804" s="254"/>
      <c r="AB804" s="254"/>
      <c r="AC804" s="254"/>
    </row>
    <row r="805" ht="12.75" customHeight="1" spans="1:29">
      <c r="A805" s="254"/>
      <c r="B805" s="254"/>
      <c r="C805" s="254"/>
      <c r="D805" s="276"/>
      <c r="E805" s="254"/>
      <c r="F805" s="254"/>
      <c r="G805" s="254"/>
      <c r="H805" s="254"/>
      <c r="I805" s="254"/>
      <c r="J805" s="254"/>
      <c r="K805" s="254"/>
      <c r="L805" s="254"/>
      <c r="M805" s="254"/>
      <c r="N805" s="254"/>
      <c r="O805" s="254"/>
      <c r="P805" s="254"/>
      <c r="Q805" s="254"/>
      <c r="R805" s="254"/>
      <c r="S805" s="254"/>
      <c r="T805" s="254"/>
      <c r="U805" s="254"/>
      <c r="V805" s="254"/>
      <c r="W805" s="254"/>
      <c r="X805" s="254"/>
      <c r="Y805" s="254"/>
      <c r="Z805" s="254"/>
      <c r="AA805" s="254"/>
      <c r="AB805" s="254"/>
      <c r="AC805" s="254"/>
    </row>
    <row r="806" ht="12.75" customHeight="1" spans="1:29">
      <c r="A806" s="254"/>
      <c r="B806" s="254"/>
      <c r="C806" s="254"/>
      <c r="D806" s="276"/>
      <c r="E806" s="254"/>
      <c r="F806" s="254"/>
      <c r="G806" s="254"/>
      <c r="H806" s="254"/>
      <c r="I806" s="254"/>
      <c r="J806" s="254"/>
      <c r="K806" s="254"/>
      <c r="L806" s="254"/>
      <c r="M806" s="254"/>
      <c r="N806" s="254"/>
      <c r="O806" s="254"/>
      <c r="P806" s="254"/>
      <c r="Q806" s="254"/>
      <c r="R806" s="254"/>
      <c r="S806" s="254"/>
      <c r="T806" s="254"/>
      <c r="U806" s="254"/>
      <c r="V806" s="254"/>
      <c r="W806" s="254"/>
      <c r="X806" s="254"/>
      <c r="Y806" s="254"/>
      <c r="Z806" s="254"/>
      <c r="AA806" s="254"/>
      <c r="AB806" s="254"/>
      <c r="AC806" s="254"/>
    </row>
    <row r="807" ht="12.75" customHeight="1" spans="1:29">
      <c r="A807" s="254"/>
      <c r="B807" s="254"/>
      <c r="C807" s="254"/>
      <c r="D807" s="276"/>
      <c r="E807" s="254"/>
      <c r="F807" s="254"/>
      <c r="G807" s="254"/>
      <c r="H807" s="254"/>
      <c r="I807" s="254"/>
      <c r="J807" s="254"/>
      <c r="K807" s="254"/>
      <c r="L807" s="254"/>
      <c r="M807" s="254"/>
      <c r="N807" s="254"/>
      <c r="O807" s="254"/>
      <c r="P807" s="254"/>
      <c r="Q807" s="254"/>
      <c r="R807" s="254"/>
      <c r="S807" s="254"/>
      <c r="T807" s="254"/>
      <c r="U807" s="254"/>
      <c r="V807" s="254"/>
      <c r="W807" s="254"/>
      <c r="X807" s="254"/>
      <c r="Y807" s="254"/>
      <c r="Z807" s="254"/>
      <c r="AA807" s="254"/>
      <c r="AB807" s="254"/>
      <c r="AC807" s="254"/>
    </row>
    <row r="808" ht="12.75" customHeight="1" spans="1:29">
      <c r="A808" s="254"/>
      <c r="B808" s="254"/>
      <c r="C808" s="254"/>
      <c r="D808" s="276"/>
      <c r="E808" s="254"/>
      <c r="F808" s="254"/>
      <c r="G808" s="254"/>
      <c r="H808" s="254"/>
      <c r="I808" s="254"/>
      <c r="J808" s="254"/>
      <c r="K808" s="254"/>
      <c r="L808" s="254"/>
      <c r="M808" s="254"/>
      <c r="N808" s="254"/>
      <c r="O808" s="254"/>
      <c r="P808" s="254"/>
      <c r="Q808" s="254"/>
      <c r="R808" s="254"/>
      <c r="S808" s="254"/>
      <c r="T808" s="254"/>
      <c r="U808" s="254"/>
      <c r="V808" s="254"/>
      <c r="W808" s="254"/>
      <c r="X808" s="254"/>
      <c r="Y808" s="254"/>
      <c r="Z808" s="254"/>
      <c r="AA808" s="254"/>
      <c r="AB808" s="254"/>
      <c r="AC808" s="254"/>
    </row>
    <row r="809" ht="12.75" customHeight="1" spans="1:29">
      <c r="A809" s="254"/>
      <c r="B809" s="254"/>
      <c r="C809" s="254"/>
      <c r="D809" s="276"/>
      <c r="E809" s="254"/>
      <c r="F809" s="254"/>
      <c r="G809" s="254"/>
      <c r="H809" s="254"/>
      <c r="I809" s="254"/>
      <c r="J809" s="254"/>
      <c r="K809" s="254"/>
      <c r="L809" s="254"/>
      <c r="M809" s="254"/>
      <c r="N809" s="254"/>
      <c r="O809" s="254"/>
      <c r="P809" s="254"/>
      <c r="Q809" s="254"/>
      <c r="R809" s="254"/>
      <c r="S809" s="254"/>
      <c r="T809" s="254"/>
      <c r="U809" s="254"/>
      <c r="V809" s="254"/>
      <c r="W809" s="254"/>
      <c r="X809" s="254"/>
      <c r="Y809" s="254"/>
      <c r="Z809" s="254"/>
      <c r="AA809" s="254"/>
      <c r="AB809" s="254"/>
      <c r="AC809" s="254"/>
    </row>
    <row r="810" ht="12.75" customHeight="1" spans="1:29">
      <c r="A810" s="254"/>
      <c r="B810" s="254"/>
      <c r="C810" s="254"/>
      <c r="D810" s="276"/>
      <c r="E810" s="254"/>
      <c r="F810" s="254"/>
      <c r="G810" s="254"/>
      <c r="H810" s="254"/>
      <c r="I810" s="254"/>
      <c r="J810" s="254"/>
      <c r="K810" s="254"/>
      <c r="L810" s="254"/>
      <c r="M810" s="254"/>
      <c r="N810" s="254"/>
      <c r="O810" s="254"/>
      <c r="P810" s="254"/>
      <c r="Q810" s="254"/>
      <c r="R810" s="254"/>
      <c r="S810" s="254"/>
      <c r="T810" s="254"/>
      <c r="U810" s="254"/>
      <c r="V810" s="254"/>
      <c r="W810" s="254"/>
      <c r="X810" s="254"/>
      <c r="Y810" s="254"/>
      <c r="Z810" s="254"/>
      <c r="AA810" s="254"/>
      <c r="AB810" s="254"/>
      <c r="AC810" s="254"/>
    </row>
    <row r="811" ht="12.75" customHeight="1" spans="1:29">
      <c r="A811" s="254"/>
      <c r="B811" s="254"/>
      <c r="C811" s="254"/>
      <c r="D811" s="276"/>
      <c r="E811" s="254"/>
      <c r="F811" s="254"/>
      <c r="G811" s="254"/>
      <c r="H811" s="254"/>
      <c r="I811" s="254"/>
      <c r="J811" s="254"/>
      <c r="K811" s="254"/>
      <c r="L811" s="254"/>
      <c r="M811" s="254"/>
      <c r="N811" s="254"/>
      <c r="O811" s="254"/>
      <c r="P811" s="254"/>
      <c r="Q811" s="254"/>
      <c r="R811" s="254"/>
      <c r="S811" s="254"/>
      <c r="T811" s="254"/>
      <c r="U811" s="254"/>
      <c r="V811" s="254"/>
      <c r="W811" s="254"/>
      <c r="X811" s="254"/>
      <c r="Y811" s="254"/>
      <c r="Z811" s="254"/>
      <c r="AA811" s="254"/>
      <c r="AB811" s="254"/>
      <c r="AC811" s="254"/>
    </row>
    <row r="812" ht="12.75" customHeight="1" spans="1:29">
      <c r="A812" s="254"/>
      <c r="B812" s="254"/>
      <c r="C812" s="254"/>
      <c r="D812" s="276"/>
      <c r="E812" s="254"/>
      <c r="F812" s="254"/>
      <c r="G812" s="254"/>
      <c r="H812" s="254"/>
      <c r="I812" s="254"/>
      <c r="J812" s="254"/>
      <c r="K812" s="254"/>
      <c r="L812" s="254"/>
      <c r="M812" s="254"/>
      <c r="N812" s="254"/>
      <c r="O812" s="254"/>
      <c r="P812" s="254"/>
      <c r="Q812" s="254"/>
      <c r="R812" s="254"/>
      <c r="S812" s="254"/>
      <c r="T812" s="254"/>
      <c r="U812" s="254"/>
      <c r="V812" s="254"/>
      <c r="W812" s="254"/>
      <c r="X812" s="254"/>
      <c r="Y812" s="254"/>
      <c r="Z812" s="254"/>
      <c r="AA812" s="254"/>
      <c r="AB812" s="254"/>
      <c r="AC812" s="254"/>
    </row>
    <row r="813" ht="12.75" customHeight="1" spans="1:29">
      <c r="A813" s="254"/>
      <c r="B813" s="254"/>
      <c r="C813" s="254"/>
      <c r="D813" s="276"/>
      <c r="E813" s="254"/>
      <c r="F813" s="254"/>
      <c r="G813" s="254"/>
      <c r="H813" s="254"/>
      <c r="I813" s="254"/>
      <c r="J813" s="254"/>
      <c r="K813" s="254"/>
      <c r="L813" s="254"/>
      <c r="M813" s="254"/>
      <c r="N813" s="254"/>
      <c r="O813" s="254"/>
      <c r="P813" s="254"/>
      <c r="Q813" s="254"/>
      <c r="R813" s="254"/>
      <c r="S813" s="254"/>
      <c r="T813" s="254"/>
      <c r="U813" s="254"/>
      <c r="V813" s="254"/>
      <c r="W813" s="254"/>
      <c r="X813" s="254"/>
      <c r="Y813" s="254"/>
      <c r="Z813" s="254"/>
      <c r="AA813" s="254"/>
      <c r="AB813" s="254"/>
      <c r="AC813" s="254"/>
    </row>
    <row r="814" ht="12.75" customHeight="1" spans="1:29">
      <c r="A814" s="254"/>
      <c r="B814" s="254"/>
      <c r="C814" s="254"/>
      <c r="D814" s="276"/>
      <c r="E814" s="254"/>
      <c r="F814" s="254"/>
      <c r="G814" s="254"/>
      <c r="H814" s="254"/>
      <c r="I814" s="254"/>
      <c r="J814" s="254"/>
      <c r="K814" s="254"/>
      <c r="L814" s="254"/>
      <c r="M814" s="254"/>
      <c r="N814" s="254"/>
      <c r="O814" s="254"/>
      <c r="P814" s="254"/>
      <c r="Q814" s="254"/>
      <c r="R814" s="254"/>
      <c r="S814" s="254"/>
      <c r="T814" s="254"/>
      <c r="U814" s="254"/>
      <c r="V814" s="254"/>
      <c r="W814" s="254"/>
      <c r="X814" s="254"/>
      <c r="Y814" s="254"/>
      <c r="Z814" s="254"/>
      <c r="AA814" s="254"/>
      <c r="AB814" s="254"/>
      <c r="AC814" s="254"/>
    </row>
    <row r="815" ht="12.75" customHeight="1" spans="1:29">
      <c r="A815" s="254"/>
      <c r="B815" s="254"/>
      <c r="C815" s="254"/>
      <c r="D815" s="276"/>
      <c r="E815" s="254"/>
      <c r="F815" s="254"/>
      <c r="G815" s="254"/>
      <c r="H815" s="254"/>
      <c r="I815" s="254"/>
      <c r="J815" s="254"/>
      <c r="K815" s="254"/>
      <c r="L815" s="254"/>
      <c r="M815" s="254"/>
      <c r="N815" s="254"/>
      <c r="O815" s="254"/>
      <c r="P815" s="254"/>
      <c r="Q815" s="254"/>
      <c r="R815" s="254"/>
      <c r="S815" s="254"/>
      <c r="T815" s="254"/>
      <c r="U815" s="254"/>
      <c r="V815" s="254"/>
      <c r="W815" s="254"/>
      <c r="X815" s="254"/>
      <c r="Y815" s="254"/>
      <c r="Z815" s="254"/>
      <c r="AA815" s="254"/>
      <c r="AB815" s="254"/>
      <c r="AC815" s="254"/>
    </row>
    <row r="816" ht="12.75" customHeight="1" spans="1:29">
      <c r="A816" s="254"/>
      <c r="B816" s="254"/>
      <c r="C816" s="254"/>
      <c r="D816" s="276"/>
      <c r="E816" s="254"/>
      <c r="F816" s="254"/>
      <c r="G816" s="254"/>
      <c r="H816" s="254"/>
      <c r="I816" s="254"/>
      <c r="J816" s="254"/>
      <c r="K816" s="254"/>
      <c r="L816" s="254"/>
      <c r="M816" s="254"/>
      <c r="N816" s="254"/>
      <c r="O816" s="254"/>
      <c r="P816" s="254"/>
      <c r="Q816" s="254"/>
      <c r="R816" s="254"/>
      <c r="S816" s="254"/>
      <c r="T816" s="254"/>
      <c r="U816" s="254"/>
      <c r="V816" s="254"/>
      <c r="W816" s="254"/>
      <c r="X816" s="254"/>
      <c r="Y816" s="254"/>
      <c r="Z816" s="254"/>
      <c r="AA816" s="254"/>
      <c r="AB816" s="254"/>
      <c r="AC816" s="254"/>
    </row>
    <row r="817" ht="12.75" customHeight="1" spans="1:29">
      <c r="A817" s="254"/>
      <c r="B817" s="254"/>
      <c r="C817" s="254"/>
      <c r="D817" s="276"/>
      <c r="E817" s="254"/>
      <c r="F817" s="254"/>
      <c r="G817" s="254"/>
      <c r="H817" s="254"/>
      <c r="I817" s="254"/>
      <c r="J817" s="254"/>
      <c r="K817" s="254"/>
      <c r="L817" s="254"/>
      <c r="M817" s="254"/>
      <c r="N817" s="254"/>
      <c r="O817" s="254"/>
      <c r="P817" s="254"/>
      <c r="Q817" s="254"/>
      <c r="R817" s="254"/>
      <c r="S817" s="254"/>
      <c r="T817" s="254"/>
      <c r="U817" s="254"/>
      <c r="V817" s="254"/>
      <c r="W817" s="254"/>
      <c r="X817" s="254"/>
      <c r="Y817" s="254"/>
      <c r="Z817" s="254"/>
      <c r="AA817" s="254"/>
      <c r="AB817" s="254"/>
      <c r="AC817" s="254"/>
    </row>
    <row r="818" ht="12.75" customHeight="1" spans="1:29">
      <c r="A818" s="254"/>
      <c r="B818" s="254"/>
      <c r="C818" s="254"/>
      <c r="D818" s="276"/>
      <c r="E818" s="254"/>
      <c r="F818" s="254"/>
      <c r="G818" s="254"/>
      <c r="H818" s="254"/>
      <c r="I818" s="254"/>
      <c r="J818" s="254"/>
      <c r="K818" s="254"/>
      <c r="L818" s="254"/>
      <c r="M818" s="254"/>
      <c r="N818" s="254"/>
      <c r="O818" s="254"/>
      <c r="P818" s="254"/>
      <c r="Q818" s="254"/>
      <c r="R818" s="254"/>
      <c r="S818" s="254"/>
      <c r="T818" s="254"/>
      <c r="U818" s="254"/>
      <c r="V818" s="254"/>
      <c r="W818" s="254"/>
      <c r="X818" s="254"/>
      <c r="Y818" s="254"/>
      <c r="Z818" s="254"/>
      <c r="AA818" s="254"/>
      <c r="AB818" s="254"/>
      <c r="AC818" s="254"/>
    </row>
    <row r="819" ht="12.75" customHeight="1" spans="1:29">
      <c r="A819" s="254"/>
      <c r="B819" s="254"/>
      <c r="C819" s="254"/>
      <c r="D819" s="276"/>
      <c r="E819" s="254"/>
      <c r="F819" s="254"/>
      <c r="G819" s="254"/>
      <c r="H819" s="254"/>
      <c r="I819" s="254"/>
      <c r="J819" s="254"/>
      <c r="K819" s="254"/>
      <c r="L819" s="254"/>
      <c r="M819" s="254"/>
      <c r="N819" s="254"/>
      <c r="O819" s="254"/>
      <c r="P819" s="254"/>
      <c r="Q819" s="254"/>
      <c r="R819" s="254"/>
      <c r="S819" s="254"/>
      <c r="T819" s="254"/>
      <c r="U819" s="254"/>
      <c r="V819" s="254"/>
      <c r="W819" s="254"/>
      <c r="X819" s="254"/>
      <c r="Y819" s="254"/>
      <c r="Z819" s="254"/>
      <c r="AA819" s="254"/>
      <c r="AB819" s="254"/>
      <c r="AC819" s="254"/>
    </row>
    <row r="820" ht="12.75" customHeight="1" spans="1:29">
      <c r="A820" s="254"/>
      <c r="B820" s="254"/>
      <c r="C820" s="254"/>
      <c r="D820" s="276"/>
      <c r="E820" s="254"/>
      <c r="F820" s="254"/>
      <c r="G820" s="254"/>
      <c r="H820" s="254"/>
      <c r="I820" s="254"/>
      <c r="J820" s="254"/>
      <c r="K820" s="254"/>
      <c r="L820" s="254"/>
      <c r="M820" s="254"/>
      <c r="N820" s="254"/>
      <c r="O820" s="254"/>
      <c r="P820" s="254"/>
      <c r="Q820" s="254"/>
      <c r="R820" s="254"/>
      <c r="S820" s="254"/>
      <c r="T820" s="254"/>
      <c r="U820" s="254"/>
      <c r="V820" s="254"/>
      <c r="W820" s="254"/>
      <c r="X820" s="254"/>
      <c r="Y820" s="254"/>
      <c r="Z820" s="254"/>
      <c r="AA820" s="254"/>
      <c r="AB820" s="254"/>
      <c r="AC820" s="254"/>
    </row>
    <row r="821" ht="12.75" customHeight="1" spans="1:29">
      <c r="A821" s="254"/>
      <c r="B821" s="254"/>
      <c r="C821" s="254"/>
      <c r="D821" s="276"/>
      <c r="E821" s="254"/>
      <c r="F821" s="254"/>
      <c r="G821" s="254"/>
      <c r="H821" s="254"/>
      <c r="I821" s="254"/>
      <c r="J821" s="254"/>
      <c r="K821" s="254"/>
      <c r="L821" s="254"/>
      <c r="M821" s="254"/>
      <c r="N821" s="254"/>
      <c r="O821" s="254"/>
      <c r="P821" s="254"/>
      <c r="Q821" s="254"/>
      <c r="R821" s="254"/>
      <c r="S821" s="254"/>
      <c r="T821" s="254"/>
      <c r="U821" s="254"/>
      <c r="V821" s="254"/>
      <c r="W821" s="254"/>
      <c r="X821" s="254"/>
      <c r="Y821" s="254"/>
      <c r="Z821" s="254"/>
      <c r="AA821" s="254"/>
      <c r="AB821" s="254"/>
      <c r="AC821" s="254"/>
    </row>
    <row r="822" ht="12.75" customHeight="1" spans="1:29">
      <c r="A822" s="254"/>
      <c r="B822" s="254"/>
      <c r="C822" s="254"/>
      <c r="D822" s="276"/>
      <c r="E822" s="254"/>
      <c r="F822" s="254"/>
      <c r="G822" s="254"/>
      <c r="H822" s="254"/>
      <c r="I822" s="254"/>
      <c r="J822" s="254"/>
      <c r="K822" s="254"/>
      <c r="L822" s="254"/>
      <c r="M822" s="254"/>
      <c r="N822" s="254"/>
      <c r="O822" s="254"/>
      <c r="P822" s="254"/>
      <c r="Q822" s="254"/>
      <c r="R822" s="254"/>
      <c r="S822" s="254"/>
      <c r="T822" s="254"/>
      <c r="U822" s="254"/>
      <c r="V822" s="254"/>
      <c r="W822" s="254"/>
      <c r="X822" s="254"/>
      <c r="Y822" s="254"/>
      <c r="Z822" s="254"/>
      <c r="AA822" s="254"/>
      <c r="AB822" s="254"/>
      <c r="AC822" s="254"/>
    </row>
    <row r="823" ht="12.75" customHeight="1" spans="1:29">
      <c r="A823" s="254"/>
      <c r="B823" s="254"/>
      <c r="C823" s="254"/>
      <c r="D823" s="276"/>
      <c r="E823" s="254"/>
      <c r="F823" s="254"/>
      <c r="G823" s="254"/>
      <c r="H823" s="254"/>
      <c r="I823" s="254"/>
      <c r="J823" s="254"/>
      <c r="K823" s="254"/>
      <c r="L823" s="254"/>
      <c r="M823" s="254"/>
      <c r="N823" s="254"/>
      <c r="O823" s="254"/>
      <c r="P823" s="254"/>
      <c r="Q823" s="254"/>
      <c r="R823" s="254"/>
      <c r="S823" s="254"/>
      <c r="T823" s="254"/>
      <c r="U823" s="254"/>
      <c r="V823" s="254"/>
      <c r="W823" s="254"/>
      <c r="X823" s="254"/>
      <c r="Y823" s="254"/>
      <c r="Z823" s="254"/>
      <c r="AA823" s="254"/>
      <c r="AB823" s="254"/>
      <c r="AC823" s="254"/>
    </row>
    <row r="824" ht="12.75" customHeight="1" spans="1:29">
      <c r="A824" s="254"/>
      <c r="B824" s="254"/>
      <c r="C824" s="254"/>
      <c r="D824" s="276"/>
      <c r="E824" s="254"/>
      <c r="F824" s="254"/>
      <c r="G824" s="254"/>
      <c r="H824" s="254"/>
      <c r="I824" s="254"/>
      <c r="J824" s="254"/>
      <c r="K824" s="254"/>
      <c r="L824" s="254"/>
      <c r="M824" s="254"/>
      <c r="N824" s="254"/>
      <c r="O824" s="254"/>
      <c r="P824" s="254"/>
      <c r="Q824" s="254"/>
      <c r="R824" s="254"/>
      <c r="S824" s="254"/>
      <c r="T824" s="254"/>
      <c r="U824" s="254"/>
      <c r="V824" s="254"/>
      <c r="W824" s="254"/>
      <c r="X824" s="254"/>
      <c r="Y824" s="254"/>
      <c r="Z824" s="254"/>
      <c r="AA824" s="254"/>
      <c r="AB824" s="254"/>
      <c r="AC824" s="254"/>
    </row>
    <row r="825" ht="12.75" customHeight="1" spans="1:29">
      <c r="A825" s="254"/>
      <c r="B825" s="254"/>
      <c r="C825" s="254"/>
      <c r="D825" s="276"/>
      <c r="E825" s="254"/>
      <c r="F825" s="254"/>
      <c r="G825" s="254"/>
      <c r="H825" s="254"/>
      <c r="I825" s="254"/>
      <c r="J825" s="254"/>
      <c r="K825" s="254"/>
      <c r="L825" s="254"/>
      <c r="M825" s="254"/>
      <c r="N825" s="254"/>
      <c r="O825" s="254"/>
      <c r="P825" s="254"/>
      <c r="Q825" s="254"/>
      <c r="R825" s="254"/>
      <c r="S825" s="254"/>
      <c r="T825" s="254"/>
      <c r="U825" s="254"/>
      <c r="V825" s="254"/>
      <c r="W825" s="254"/>
      <c r="X825" s="254"/>
      <c r="Y825" s="254"/>
      <c r="Z825" s="254"/>
      <c r="AA825" s="254"/>
      <c r="AB825" s="254"/>
      <c r="AC825" s="254"/>
    </row>
    <row r="826" ht="12.75" customHeight="1" spans="1:29">
      <c r="A826" s="254"/>
      <c r="B826" s="254"/>
      <c r="C826" s="254"/>
      <c r="D826" s="276"/>
      <c r="E826" s="254"/>
      <c r="F826" s="254"/>
      <c r="G826" s="254"/>
      <c r="H826" s="254"/>
      <c r="I826" s="254"/>
      <c r="J826" s="254"/>
      <c r="K826" s="254"/>
      <c r="L826" s="254"/>
      <c r="M826" s="254"/>
      <c r="N826" s="254"/>
      <c r="O826" s="254"/>
      <c r="P826" s="254"/>
      <c r="Q826" s="254"/>
      <c r="R826" s="254"/>
      <c r="S826" s="254"/>
      <c r="T826" s="254"/>
      <c r="U826" s="254"/>
      <c r="V826" s="254"/>
      <c r="W826" s="254"/>
      <c r="X826" s="254"/>
      <c r="Y826" s="254"/>
      <c r="Z826" s="254"/>
      <c r="AA826" s="254"/>
      <c r="AB826" s="254"/>
      <c r="AC826" s="254"/>
    </row>
    <row r="827" ht="12.75" customHeight="1" spans="1:29">
      <c r="A827" s="254"/>
      <c r="B827" s="254"/>
      <c r="C827" s="254"/>
      <c r="D827" s="276"/>
      <c r="E827" s="254"/>
      <c r="F827" s="254"/>
      <c r="G827" s="254"/>
      <c r="H827" s="254"/>
      <c r="I827" s="254"/>
      <c r="J827" s="254"/>
      <c r="K827" s="254"/>
      <c r="L827" s="254"/>
      <c r="M827" s="254"/>
      <c r="N827" s="254"/>
      <c r="O827" s="254"/>
      <c r="P827" s="254"/>
      <c r="Q827" s="254"/>
      <c r="R827" s="254"/>
      <c r="S827" s="254"/>
      <c r="T827" s="254"/>
      <c r="U827" s="254"/>
      <c r="V827" s="254"/>
      <c r="W827" s="254"/>
      <c r="X827" s="254"/>
      <c r="Y827" s="254"/>
      <c r="Z827" s="254"/>
      <c r="AA827" s="254"/>
      <c r="AB827" s="254"/>
      <c r="AC827" s="254"/>
    </row>
    <row r="828" ht="12.75" customHeight="1" spans="1:29">
      <c r="A828" s="254"/>
      <c r="B828" s="254"/>
      <c r="C828" s="254"/>
      <c r="D828" s="276"/>
      <c r="E828" s="254"/>
      <c r="F828" s="254"/>
      <c r="G828" s="254"/>
      <c r="H828" s="254"/>
      <c r="I828" s="254"/>
      <c r="J828" s="254"/>
      <c r="K828" s="254"/>
      <c r="L828" s="254"/>
      <c r="M828" s="254"/>
      <c r="N828" s="254"/>
      <c r="O828" s="254"/>
      <c r="P828" s="254"/>
      <c r="Q828" s="254"/>
      <c r="R828" s="254"/>
      <c r="S828" s="254"/>
      <c r="T828" s="254"/>
      <c r="U828" s="254"/>
      <c r="V828" s="254"/>
      <c r="W828" s="254"/>
      <c r="X828" s="254"/>
      <c r="Y828" s="254"/>
      <c r="Z828" s="254"/>
      <c r="AA828" s="254"/>
      <c r="AB828" s="254"/>
      <c r="AC828" s="254"/>
    </row>
    <row r="829" ht="12.75" customHeight="1" spans="1:29">
      <c r="A829" s="254"/>
      <c r="B829" s="254"/>
      <c r="C829" s="254"/>
      <c r="D829" s="276"/>
      <c r="E829" s="254"/>
      <c r="F829" s="254"/>
      <c r="G829" s="254"/>
      <c r="H829" s="254"/>
      <c r="I829" s="254"/>
      <c r="J829" s="254"/>
      <c r="K829" s="254"/>
      <c r="L829" s="254"/>
      <c r="M829" s="254"/>
      <c r="N829" s="254"/>
      <c r="O829" s="254"/>
      <c r="P829" s="254"/>
      <c r="Q829" s="254"/>
      <c r="R829" s="254"/>
      <c r="S829" s="254"/>
      <c r="T829" s="254"/>
      <c r="U829" s="254"/>
      <c r="V829" s="254"/>
      <c r="W829" s="254"/>
      <c r="X829" s="254"/>
      <c r="Y829" s="254"/>
      <c r="Z829" s="254"/>
      <c r="AA829" s="254"/>
      <c r="AB829" s="254"/>
      <c r="AC829" s="254"/>
    </row>
    <row r="830" ht="12.75" customHeight="1" spans="1:29">
      <c r="A830" s="254"/>
      <c r="B830" s="254"/>
      <c r="C830" s="254"/>
      <c r="D830" s="276"/>
      <c r="E830" s="254"/>
      <c r="F830" s="254"/>
      <c r="G830" s="254"/>
      <c r="H830" s="254"/>
      <c r="I830" s="254"/>
      <c r="J830" s="254"/>
      <c r="K830" s="254"/>
      <c r="L830" s="254"/>
      <c r="M830" s="254"/>
      <c r="N830" s="254"/>
      <c r="O830" s="254"/>
      <c r="P830" s="254"/>
      <c r="Q830" s="254"/>
      <c r="R830" s="254"/>
      <c r="S830" s="254"/>
      <c r="T830" s="254"/>
      <c r="U830" s="254"/>
      <c r="V830" s="254"/>
      <c r="W830" s="254"/>
      <c r="X830" s="254"/>
      <c r="Y830" s="254"/>
      <c r="Z830" s="254"/>
      <c r="AA830" s="254"/>
      <c r="AB830" s="254"/>
      <c r="AC830" s="254"/>
    </row>
    <row r="831" ht="12.75" customHeight="1" spans="1:29">
      <c r="A831" s="254"/>
      <c r="B831" s="254"/>
      <c r="C831" s="254"/>
      <c r="D831" s="276"/>
      <c r="E831" s="254"/>
      <c r="F831" s="254"/>
      <c r="G831" s="254"/>
      <c r="H831" s="254"/>
      <c r="I831" s="254"/>
      <c r="J831" s="254"/>
      <c r="K831" s="254"/>
      <c r="L831" s="254"/>
      <c r="M831" s="254"/>
      <c r="N831" s="254"/>
      <c r="O831" s="254"/>
      <c r="P831" s="254"/>
      <c r="Q831" s="254"/>
      <c r="R831" s="254"/>
      <c r="S831" s="254"/>
      <c r="T831" s="254"/>
      <c r="U831" s="254"/>
      <c r="V831" s="254"/>
      <c r="W831" s="254"/>
      <c r="X831" s="254"/>
      <c r="Y831" s="254"/>
      <c r="Z831" s="254"/>
      <c r="AA831" s="254"/>
      <c r="AB831" s="254"/>
      <c r="AC831" s="254"/>
    </row>
    <row r="832" ht="12.75" customHeight="1" spans="1:29">
      <c r="A832" s="254"/>
      <c r="B832" s="254"/>
      <c r="C832" s="254"/>
      <c r="D832" s="276"/>
      <c r="E832" s="254"/>
      <c r="F832" s="254"/>
      <c r="G832" s="254"/>
      <c r="H832" s="254"/>
      <c r="I832" s="254"/>
      <c r="J832" s="254"/>
      <c r="K832" s="254"/>
      <c r="L832" s="254"/>
      <c r="M832" s="254"/>
      <c r="N832" s="254"/>
      <c r="O832" s="254"/>
      <c r="P832" s="254"/>
      <c r="Q832" s="254"/>
      <c r="R832" s="254"/>
      <c r="S832" s="254"/>
      <c r="T832" s="254"/>
      <c r="U832" s="254"/>
      <c r="V832" s="254"/>
      <c r="W832" s="254"/>
      <c r="X832" s="254"/>
      <c r="Y832" s="254"/>
      <c r="Z832" s="254"/>
      <c r="AA832" s="254"/>
      <c r="AB832" s="254"/>
      <c r="AC832" s="254"/>
    </row>
    <row r="833" ht="12.75" customHeight="1" spans="1:29">
      <c r="A833" s="254"/>
      <c r="B833" s="254"/>
      <c r="C833" s="254"/>
      <c r="D833" s="276"/>
      <c r="E833" s="254"/>
      <c r="F833" s="254"/>
      <c r="G833" s="254"/>
      <c r="H833" s="254"/>
      <c r="I833" s="254"/>
      <c r="J833" s="254"/>
      <c r="K833" s="254"/>
      <c r="L833" s="254"/>
      <c r="M833" s="254"/>
      <c r="N833" s="254"/>
      <c r="O833" s="254"/>
      <c r="P833" s="254"/>
      <c r="Q833" s="254"/>
      <c r="R833" s="254"/>
      <c r="S833" s="254"/>
      <c r="T833" s="254"/>
      <c r="U833" s="254"/>
      <c r="V833" s="254"/>
      <c r="W833" s="254"/>
      <c r="X833" s="254"/>
      <c r="Y833" s="254"/>
      <c r="Z833" s="254"/>
      <c r="AA833" s="254"/>
      <c r="AB833" s="254"/>
      <c r="AC833" s="254"/>
    </row>
    <row r="834" ht="12.75" customHeight="1" spans="1:29">
      <c r="A834" s="254"/>
      <c r="B834" s="254"/>
      <c r="C834" s="254"/>
      <c r="D834" s="276"/>
      <c r="E834" s="254"/>
      <c r="F834" s="254"/>
      <c r="G834" s="254"/>
      <c r="H834" s="254"/>
      <c r="I834" s="254"/>
      <c r="J834" s="254"/>
      <c r="K834" s="254"/>
      <c r="L834" s="254"/>
      <c r="M834" s="254"/>
      <c r="N834" s="254"/>
      <c r="O834" s="254"/>
      <c r="P834" s="254"/>
      <c r="Q834" s="254"/>
      <c r="R834" s="254"/>
      <c r="S834" s="254"/>
      <c r="T834" s="254"/>
      <c r="U834" s="254"/>
      <c r="V834" s="254"/>
      <c r="W834" s="254"/>
      <c r="X834" s="254"/>
      <c r="Y834" s="254"/>
      <c r="Z834" s="254"/>
      <c r="AA834" s="254"/>
      <c r="AB834" s="254"/>
      <c r="AC834" s="254"/>
    </row>
    <row r="835" ht="12.75" customHeight="1" spans="1:29">
      <c r="A835" s="254"/>
      <c r="B835" s="254"/>
      <c r="C835" s="254"/>
      <c r="D835" s="276"/>
      <c r="E835" s="254"/>
      <c r="F835" s="254"/>
      <c r="G835" s="254"/>
      <c r="H835" s="254"/>
      <c r="I835" s="254"/>
      <c r="J835" s="254"/>
      <c r="K835" s="254"/>
      <c r="L835" s="254"/>
      <c r="M835" s="254"/>
      <c r="N835" s="254"/>
      <c r="O835" s="254"/>
      <c r="P835" s="254"/>
      <c r="Q835" s="254"/>
      <c r="R835" s="254"/>
      <c r="S835" s="254"/>
      <c r="T835" s="254"/>
      <c r="U835" s="254"/>
      <c r="V835" s="254"/>
      <c r="W835" s="254"/>
      <c r="X835" s="254"/>
      <c r="Y835" s="254"/>
      <c r="Z835" s="254"/>
      <c r="AA835" s="254"/>
      <c r="AB835" s="254"/>
      <c r="AC835" s="254"/>
    </row>
    <row r="836" ht="12.75" customHeight="1" spans="1:29">
      <c r="A836" s="254"/>
      <c r="B836" s="254"/>
      <c r="C836" s="254"/>
      <c r="D836" s="276"/>
      <c r="E836" s="254"/>
      <c r="F836" s="254"/>
      <c r="G836" s="254"/>
      <c r="H836" s="254"/>
      <c r="I836" s="254"/>
      <c r="J836" s="254"/>
      <c r="K836" s="254"/>
      <c r="L836" s="254"/>
      <c r="M836" s="254"/>
      <c r="N836" s="254"/>
      <c r="O836" s="254"/>
      <c r="P836" s="254"/>
      <c r="Q836" s="254"/>
      <c r="R836" s="254"/>
      <c r="S836" s="254"/>
      <c r="T836" s="254"/>
      <c r="U836" s="254"/>
      <c r="V836" s="254"/>
      <c r="W836" s="254"/>
      <c r="X836" s="254"/>
      <c r="Y836" s="254"/>
      <c r="Z836" s="254"/>
      <c r="AA836" s="254"/>
      <c r="AB836" s="254"/>
      <c r="AC836" s="254"/>
    </row>
    <row r="837" ht="12.75" customHeight="1" spans="1:29">
      <c r="A837" s="254"/>
      <c r="B837" s="254"/>
      <c r="C837" s="254"/>
      <c r="D837" s="276"/>
      <c r="E837" s="254"/>
      <c r="F837" s="254"/>
      <c r="G837" s="254"/>
      <c r="H837" s="254"/>
      <c r="I837" s="254"/>
      <c r="J837" s="254"/>
      <c r="K837" s="254"/>
      <c r="L837" s="254"/>
      <c r="M837" s="254"/>
      <c r="N837" s="254"/>
      <c r="O837" s="254"/>
      <c r="P837" s="254"/>
      <c r="Q837" s="254"/>
      <c r="R837" s="254"/>
      <c r="S837" s="254"/>
      <c r="T837" s="254"/>
      <c r="U837" s="254"/>
      <c r="V837" s="254"/>
      <c r="W837" s="254"/>
      <c r="X837" s="254"/>
      <c r="Y837" s="254"/>
      <c r="Z837" s="254"/>
      <c r="AA837" s="254"/>
      <c r="AB837" s="254"/>
      <c r="AC837" s="254"/>
    </row>
    <row r="838" ht="12.75" customHeight="1" spans="1:29">
      <c r="A838" s="254"/>
      <c r="B838" s="254"/>
      <c r="C838" s="254"/>
      <c r="D838" s="276"/>
      <c r="E838" s="254"/>
      <c r="F838" s="254"/>
      <c r="G838" s="254"/>
      <c r="H838" s="254"/>
      <c r="I838" s="254"/>
      <c r="J838" s="254"/>
      <c r="K838" s="254"/>
      <c r="L838" s="254"/>
      <c r="M838" s="254"/>
      <c r="N838" s="254"/>
      <c r="O838" s="254"/>
      <c r="P838" s="254"/>
      <c r="Q838" s="254"/>
      <c r="R838" s="254"/>
      <c r="S838" s="254"/>
      <c r="T838" s="254"/>
      <c r="U838" s="254"/>
      <c r="V838" s="254"/>
      <c r="W838" s="254"/>
      <c r="X838" s="254"/>
      <c r="Y838" s="254"/>
      <c r="Z838" s="254"/>
      <c r="AA838" s="254"/>
      <c r="AB838" s="254"/>
      <c r="AC838" s="254"/>
    </row>
    <row r="839" ht="12.75" customHeight="1" spans="1:29">
      <c r="A839" s="254"/>
      <c r="B839" s="254"/>
      <c r="C839" s="254"/>
      <c r="D839" s="276"/>
      <c r="E839" s="254"/>
      <c r="F839" s="254"/>
      <c r="G839" s="254"/>
      <c r="H839" s="254"/>
      <c r="I839" s="254"/>
      <c r="J839" s="254"/>
      <c r="K839" s="254"/>
      <c r="L839" s="254"/>
      <c r="M839" s="254"/>
      <c r="N839" s="254"/>
      <c r="O839" s="254"/>
      <c r="P839" s="254"/>
      <c r="Q839" s="254"/>
      <c r="R839" s="254"/>
      <c r="S839" s="254"/>
      <c r="T839" s="254"/>
      <c r="U839" s="254"/>
      <c r="V839" s="254"/>
      <c r="W839" s="254"/>
      <c r="X839" s="254"/>
      <c r="Y839" s="254"/>
      <c r="Z839" s="254"/>
      <c r="AA839" s="254"/>
      <c r="AB839" s="254"/>
      <c r="AC839" s="254"/>
    </row>
    <row r="840" ht="12.75" customHeight="1" spans="1:29">
      <c r="A840" s="254"/>
      <c r="B840" s="254"/>
      <c r="C840" s="254"/>
      <c r="D840" s="276"/>
      <c r="E840" s="254"/>
      <c r="F840" s="254"/>
      <c r="G840" s="254"/>
      <c r="H840" s="254"/>
      <c r="I840" s="254"/>
      <c r="J840" s="254"/>
      <c r="K840" s="254"/>
      <c r="L840" s="254"/>
      <c r="M840" s="254"/>
      <c r="N840" s="254"/>
      <c r="O840" s="254"/>
      <c r="P840" s="254"/>
      <c r="Q840" s="254"/>
      <c r="R840" s="254"/>
      <c r="S840" s="254"/>
      <c r="T840" s="254"/>
      <c r="U840" s="254"/>
      <c r="V840" s="254"/>
      <c r="W840" s="254"/>
      <c r="X840" s="254"/>
      <c r="Y840" s="254"/>
      <c r="Z840" s="254"/>
      <c r="AA840" s="254"/>
      <c r="AB840" s="254"/>
      <c r="AC840" s="254"/>
    </row>
    <row r="841" ht="12.75" customHeight="1" spans="1:29">
      <c r="A841" s="254"/>
      <c r="B841" s="254"/>
      <c r="C841" s="254"/>
      <c r="D841" s="276"/>
      <c r="E841" s="254"/>
      <c r="F841" s="254"/>
      <c r="G841" s="254"/>
      <c r="H841" s="254"/>
      <c r="I841" s="254"/>
      <c r="J841" s="254"/>
      <c r="K841" s="254"/>
      <c r="L841" s="254"/>
      <c r="M841" s="254"/>
      <c r="N841" s="254"/>
      <c r="O841" s="254"/>
      <c r="P841" s="254"/>
      <c r="Q841" s="254"/>
      <c r="R841" s="254"/>
      <c r="S841" s="254"/>
      <c r="T841" s="254"/>
      <c r="U841" s="254"/>
      <c r="V841" s="254"/>
      <c r="W841" s="254"/>
      <c r="X841" s="254"/>
      <c r="Y841" s="254"/>
      <c r="Z841" s="254"/>
      <c r="AA841" s="254"/>
      <c r="AB841" s="254"/>
      <c r="AC841" s="254"/>
    </row>
    <row r="842" ht="12.75" customHeight="1" spans="1:29">
      <c r="A842" s="254"/>
      <c r="B842" s="254"/>
      <c r="C842" s="254"/>
      <c r="D842" s="276"/>
      <c r="E842" s="254"/>
      <c r="F842" s="254"/>
      <c r="G842" s="254"/>
      <c r="H842" s="254"/>
      <c r="I842" s="254"/>
      <c r="J842" s="254"/>
      <c r="K842" s="254"/>
      <c r="L842" s="254"/>
      <c r="M842" s="254"/>
      <c r="N842" s="254"/>
      <c r="O842" s="254"/>
      <c r="P842" s="254"/>
      <c r="Q842" s="254"/>
      <c r="R842" s="254"/>
      <c r="S842" s="254"/>
      <c r="T842" s="254"/>
      <c r="U842" s="254"/>
      <c r="V842" s="254"/>
      <c r="W842" s="254"/>
      <c r="X842" s="254"/>
      <c r="Y842" s="254"/>
      <c r="Z842" s="254"/>
      <c r="AA842" s="254"/>
      <c r="AB842" s="254"/>
      <c r="AC842" s="254"/>
    </row>
    <row r="843" ht="12.75" customHeight="1" spans="1:29">
      <c r="A843" s="254"/>
      <c r="B843" s="254"/>
      <c r="C843" s="254"/>
      <c r="D843" s="276"/>
      <c r="E843" s="254"/>
      <c r="F843" s="254"/>
      <c r="G843" s="254"/>
      <c r="H843" s="254"/>
      <c r="I843" s="254"/>
      <c r="J843" s="254"/>
      <c r="K843" s="254"/>
      <c r="L843" s="254"/>
      <c r="M843" s="254"/>
      <c r="N843" s="254"/>
      <c r="O843" s="254"/>
      <c r="P843" s="254"/>
      <c r="Q843" s="254"/>
      <c r="R843" s="254"/>
      <c r="S843" s="254"/>
      <c r="T843" s="254"/>
      <c r="U843" s="254"/>
      <c r="V843" s="254"/>
      <c r="W843" s="254"/>
      <c r="X843" s="254"/>
      <c r="Y843" s="254"/>
      <c r="Z843" s="254"/>
      <c r="AA843" s="254"/>
      <c r="AB843" s="254"/>
      <c r="AC843" s="254"/>
    </row>
    <row r="844" ht="12.75" customHeight="1" spans="1:29">
      <c r="A844" s="254"/>
      <c r="B844" s="254"/>
      <c r="C844" s="254"/>
      <c r="D844" s="276"/>
      <c r="E844" s="254"/>
      <c r="F844" s="254"/>
      <c r="G844" s="254"/>
      <c r="H844" s="254"/>
      <c r="I844" s="254"/>
      <c r="J844" s="254"/>
      <c r="K844" s="254"/>
      <c r="L844" s="254"/>
      <c r="M844" s="254"/>
      <c r="N844" s="254"/>
      <c r="O844" s="254"/>
      <c r="P844" s="254"/>
      <c r="Q844" s="254"/>
      <c r="R844" s="254"/>
      <c r="S844" s="254"/>
      <c r="T844" s="254"/>
      <c r="U844" s="254"/>
      <c r="V844" s="254"/>
      <c r="W844" s="254"/>
      <c r="X844" s="254"/>
      <c r="Y844" s="254"/>
      <c r="Z844" s="254"/>
      <c r="AA844" s="254"/>
      <c r="AB844" s="254"/>
      <c r="AC844" s="254"/>
    </row>
    <row r="845" ht="12.75" customHeight="1" spans="1:29">
      <c r="A845" s="254"/>
      <c r="B845" s="254"/>
      <c r="C845" s="254"/>
      <c r="D845" s="276"/>
      <c r="E845" s="254"/>
      <c r="F845" s="254"/>
      <c r="G845" s="254"/>
      <c r="H845" s="254"/>
      <c r="I845" s="254"/>
      <c r="J845" s="254"/>
      <c r="K845" s="254"/>
      <c r="L845" s="254"/>
      <c r="M845" s="254"/>
      <c r="N845" s="254"/>
      <c r="O845" s="254"/>
      <c r="P845" s="254"/>
      <c r="Q845" s="254"/>
      <c r="R845" s="254"/>
      <c r="S845" s="254"/>
      <c r="T845" s="254"/>
      <c r="U845" s="254"/>
      <c r="V845" s="254"/>
      <c r="W845" s="254"/>
      <c r="X845" s="254"/>
      <c r="Y845" s="254"/>
      <c r="Z845" s="254"/>
      <c r="AA845" s="254"/>
      <c r="AB845" s="254"/>
      <c r="AC845" s="254"/>
    </row>
    <row r="846" ht="12.75" customHeight="1" spans="1:29">
      <c r="A846" s="254"/>
      <c r="B846" s="254"/>
      <c r="C846" s="254"/>
      <c r="D846" s="276"/>
      <c r="E846" s="254"/>
      <c r="F846" s="254"/>
      <c r="G846" s="254"/>
      <c r="H846" s="254"/>
      <c r="I846" s="254"/>
      <c r="J846" s="254"/>
      <c r="K846" s="254"/>
      <c r="L846" s="254"/>
      <c r="M846" s="254"/>
      <c r="N846" s="254"/>
      <c r="O846" s="254"/>
      <c r="P846" s="254"/>
      <c r="Q846" s="254"/>
      <c r="R846" s="254"/>
      <c r="S846" s="254"/>
      <c r="T846" s="254"/>
      <c r="U846" s="254"/>
      <c r="V846" s="254"/>
      <c r="W846" s="254"/>
      <c r="X846" s="254"/>
      <c r="Y846" s="254"/>
      <c r="Z846" s="254"/>
      <c r="AA846" s="254"/>
      <c r="AB846" s="254"/>
      <c r="AC846" s="254"/>
    </row>
    <row r="847" ht="12.75" customHeight="1" spans="1:29">
      <c r="A847" s="254"/>
      <c r="B847" s="254"/>
      <c r="C847" s="254"/>
      <c r="D847" s="276"/>
      <c r="E847" s="254"/>
      <c r="F847" s="254"/>
      <c r="G847" s="254"/>
      <c r="H847" s="254"/>
      <c r="I847" s="254"/>
      <c r="J847" s="254"/>
      <c r="K847" s="254"/>
      <c r="L847" s="254"/>
      <c r="M847" s="254"/>
      <c r="N847" s="254"/>
      <c r="O847" s="254"/>
      <c r="P847" s="254"/>
      <c r="Q847" s="254"/>
      <c r="R847" s="254"/>
      <c r="S847" s="254"/>
      <c r="T847" s="254"/>
      <c r="U847" s="254"/>
      <c r="V847" s="254"/>
      <c r="W847" s="254"/>
      <c r="X847" s="254"/>
      <c r="Y847" s="254"/>
      <c r="Z847" s="254"/>
      <c r="AA847" s="254"/>
      <c r="AB847" s="254"/>
      <c r="AC847" s="254"/>
    </row>
    <row r="848" ht="12.75" customHeight="1" spans="1:29">
      <c r="A848" s="254"/>
      <c r="B848" s="254"/>
      <c r="C848" s="254"/>
      <c r="D848" s="276"/>
      <c r="E848" s="254"/>
      <c r="F848" s="254"/>
      <c r="G848" s="254"/>
      <c r="H848" s="254"/>
      <c r="I848" s="254"/>
      <c r="J848" s="254"/>
      <c r="K848" s="254"/>
      <c r="L848" s="254"/>
      <c r="M848" s="254"/>
      <c r="N848" s="254"/>
      <c r="O848" s="254"/>
      <c r="P848" s="254"/>
      <c r="Q848" s="254"/>
      <c r="R848" s="254"/>
      <c r="S848" s="254"/>
      <c r="T848" s="254"/>
      <c r="U848" s="254"/>
      <c r="V848" s="254"/>
      <c r="W848" s="254"/>
      <c r="X848" s="254"/>
      <c r="Y848" s="254"/>
      <c r="Z848" s="254"/>
      <c r="AA848" s="254"/>
      <c r="AB848" s="254"/>
      <c r="AC848" s="254"/>
    </row>
    <row r="849" ht="12.75" customHeight="1" spans="1:29">
      <c r="A849" s="254"/>
      <c r="B849" s="254"/>
      <c r="C849" s="254"/>
      <c r="D849" s="276"/>
      <c r="E849" s="254"/>
      <c r="F849" s="254"/>
      <c r="G849" s="254"/>
      <c r="H849" s="254"/>
      <c r="I849" s="254"/>
      <c r="J849" s="254"/>
      <c r="K849" s="254"/>
      <c r="L849" s="254"/>
      <c r="M849" s="254"/>
      <c r="N849" s="254"/>
      <c r="O849" s="254"/>
      <c r="P849" s="254"/>
      <c r="Q849" s="254"/>
      <c r="R849" s="254"/>
      <c r="S849" s="254"/>
      <c r="T849" s="254"/>
      <c r="U849" s="254"/>
      <c r="V849" s="254"/>
      <c r="W849" s="254"/>
      <c r="X849" s="254"/>
      <c r="Y849" s="254"/>
      <c r="Z849" s="254"/>
      <c r="AA849" s="254"/>
      <c r="AB849" s="254"/>
      <c r="AC849" s="254"/>
    </row>
    <row r="850" ht="12.75" customHeight="1" spans="1:29">
      <c r="A850" s="254"/>
      <c r="B850" s="254"/>
      <c r="C850" s="254"/>
      <c r="D850" s="276"/>
      <c r="E850" s="254"/>
      <c r="F850" s="254"/>
      <c r="G850" s="254"/>
      <c r="H850" s="254"/>
      <c r="I850" s="254"/>
      <c r="J850" s="254"/>
      <c r="K850" s="254"/>
      <c r="L850" s="254"/>
      <c r="M850" s="254"/>
      <c r="N850" s="254"/>
      <c r="O850" s="254"/>
      <c r="P850" s="254"/>
      <c r="Q850" s="254"/>
      <c r="R850" s="254"/>
      <c r="S850" s="254"/>
      <c r="T850" s="254"/>
      <c r="U850" s="254"/>
      <c r="V850" s="254"/>
      <c r="W850" s="254"/>
      <c r="X850" s="254"/>
      <c r="Y850" s="254"/>
      <c r="Z850" s="254"/>
      <c r="AA850" s="254"/>
      <c r="AB850" s="254"/>
      <c r="AC850" s="254"/>
    </row>
    <row r="851" ht="12.75" customHeight="1" spans="1:29">
      <c r="A851" s="254"/>
      <c r="B851" s="254"/>
      <c r="C851" s="254"/>
      <c r="D851" s="276"/>
      <c r="E851" s="254"/>
      <c r="F851" s="254"/>
      <c r="G851" s="254"/>
      <c r="H851" s="254"/>
      <c r="I851" s="254"/>
      <c r="J851" s="254"/>
      <c r="K851" s="254"/>
      <c r="L851" s="254"/>
      <c r="M851" s="254"/>
      <c r="N851" s="254"/>
      <c r="O851" s="254"/>
      <c r="P851" s="254"/>
      <c r="Q851" s="254"/>
      <c r="R851" s="254"/>
      <c r="S851" s="254"/>
      <c r="T851" s="254"/>
      <c r="U851" s="254"/>
      <c r="V851" s="254"/>
      <c r="W851" s="254"/>
      <c r="X851" s="254"/>
      <c r="Y851" s="254"/>
      <c r="Z851" s="254"/>
      <c r="AA851" s="254"/>
      <c r="AB851" s="254"/>
      <c r="AC851" s="254"/>
    </row>
    <row r="852" ht="12.75" customHeight="1" spans="1:29">
      <c r="A852" s="254"/>
      <c r="B852" s="254"/>
      <c r="C852" s="254"/>
      <c r="D852" s="276"/>
      <c r="E852" s="254"/>
      <c r="F852" s="254"/>
      <c r="G852" s="254"/>
      <c r="H852" s="254"/>
      <c r="I852" s="254"/>
      <c r="J852" s="254"/>
      <c r="K852" s="254"/>
      <c r="L852" s="254"/>
      <c r="M852" s="254"/>
      <c r="N852" s="254"/>
      <c r="O852" s="254"/>
      <c r="P852" s="254"/>
      <c r="Q852" s="254"/>
      <c r="R852" s="254"/>
      <c r="S852" s="254"/>
      <c r="T852" s="254"/>
      <c r="U852" s="254"/>
      <c r="V852" s="254"/>
      <c r="W852" s="254"/>
      <c r="X852" s="254"/>
      <c r="Y852" s="254"/>
      <c r="Z852" s="254"/>
      <c r="AA852" s="254"/>
      <c r="AB852" s="254"/>
      <c r="AC852" s="254"/>
    </row>
    <row r="853" ht="12.75" customHeight="1" spans="1:29">
      <c r="A853" s="254"/>
      <c r="B853" s="254"/>
      <c r="C853" s="254"/>
      <c r="D853" s="276"/>
      <c r="E853" s="254"/>
      <c r="F853" s="254"/>
      <c r="G853" s="254"/>
      <c r="H853" s="254"/>
      <c r="I853" s="254"/>
      <c r="J853" s="254"/>
      <c r="K853" s="254"/>
      <c r="L853" s="254"/>
      <c r="M853" s="254"/>
      <c r="N853" s="254"/>
      <c r="O853" s="254"/>
      <c r="P853" s="254"/>
      <c r="Q853" s="254"/>
      <c r="R853" s="254"/>
      <c r="S853" s="254"/>
      <c r="T853" s="254"/>
      <c r="U853" s="254"/>
      <c r="V853" s="254"/>
      <c r="W853" s="254"/>
      <c r="X853" s="254"/>
      <c r="Y853" s="254"/>
      <c r="Z853" s="254"/>
      <c r="AA853" s="254"/>
      <c r="AB853" s="254"/>
      <c r="AC853" s="254"/>
    </row>
    <row r="854" ht="12.75" customHeight="1" spans="1:29">
      <c r="A854" s="254"/>
      <c r="B854" s="254"/>
      <c r="C854" s="254"/>
      <c r="D854" s="276"/>
      <c r="E854" s="254"/>
      <c r="F854" s="254"/>
      <c r="G854" s="254"/>
      <c r="H854" s="254"/>
      <c r="I854" s="254"/>
      <c r="J854" s="254"/>
      <c r="K854" s="254"/>
      <c r="L854" s="254"/>
      <c r="M854" s="254"/>
      <c r="N854" s="254"/>
      <c r="O854" s="254"/>
      <c r="P854" s="254"/>
      <c r="Q854" s="254"/>
      <c r="R854" s="254"/>
      <c r="S854" s="254"/>
      <c r="T854" s="254"/>
      <c r="U854" s="254"/>
      <c r="V854" s="254"/>
      <c r="W854" s="254"/>
      <c r="X854" s="254"/>
      <c r="Y854" s="254"/>
      <c r="Z854" s="254"/>
      <c r="AA854" s="254"/>
      <c r="AB854" s="254"/>
      <c r="AC854" s="254"/>
    </row>
    <row r="855" ht="12.75" customHeight="1" spans="1:29">
      <c r="A855" s="254"/>
      <c r="B855" s="254"/>
      <c r="C855" s="254"/>
      <c r="D855" s="276"/>
      <c r="E855" s="254"/>
      <c r="F855" s="254"/>
      <c r="G855" s="254"/>
      <c r="H855" s="254"/>
      <c r="I855" s="254"/>
      <c r="J855" s="254"/>
      <c r="K855" s="254"/>
      <c r="L855" s="254"/>
      <c r="M855" s="254"/>
      <c r="N855" s="254"/>
      <c r="O855" s="254"/>
      <c r="P855" s="254"/>
      <c r="Q855" s="254"/>
      <c r="R855" s="254"/>
      <c r="S855" s="254"/>
      <c r="T855" s="254"/>
      <c r="U855" s="254"/>
      <c r="V855" s="254"/>
      <c r="W855" s="254"/>
      <c r="X855" s="254"/>
      <c r="Y855" s="254"/>
      <c r="Z855" s="254"/>
      <c r="AA855" s="254"/>
      <c r="AB855" s="254"/>
      <c r="AC855" s="254"/>
    </row>
    <row r="856" ht="12.75" customHeight="1" spans="1:29">
      <c r="A856" s="254"/>
      <c r="B856" s="254"/>
      <c r="C856" s="254"/>
      <c r="D856" s="276"/>
      <c r="E856" s="254"/>
      <c r="F856" s="254"/>
      <c r="G856" s="254"/>
      <c r="H856" s="254"/>
      <c r="I856" s="254"/>
      <c r="J856" s="254"/>
      <c r="K856" s="254"/>
      <c r="L856" s="254"/>
      <c r="M856" s="254"/>
      <c r="N856" s="254"/>
      <c r="O856" s="254"/>
      <c r="P856" s="254"/>
      <c r="Q856" s="254"/>
      <c r="R856" s="254"/>
      <c r="S856" s="254"/>
      <c r="T856" s="254"/>
      <c r="U856" s="254"/>
      <c r="V856" s="254"/>
      <c r="W856" s="254"/>
      <c r="X856" s="254"/>
      <c r="Y856" s="254"/>
      <c r="Z856" s="254"/>
      <c r="AA856" s="254"/>
      <c r="AB856" s="254"/>
      <c r="AC856" s="254"/>
    </row>
    <row r="857" ht="12.75" customHeight="1" spans="1:29">
      <c r="A857" s="254"/>
      <c r="B857" s="254"/>
      <c r="C857" s="254"/>
      <c r="D857" s="276"/>
      <c r="E857" s="254"/>
      <c r="F857" s="254"/>
      <c r="G857" s="254"/>
      <c r="H857" s="254"/>
      <c r="I857" s="254"/>
      <c r="J857" s="254"/>
      <c r="K857" s="254"/>
      <c r="L857" s="254"/>
      <c r="M857" s="254"/>
      <c r="N857" s="254"/>
      <c r="O857" s="254"/>
      <c r="P857" s="254"/>
      <c r="Q857" s="254"/>
      <c r="R857" s="254"/>
      <c r="S857" s="254"/>
      <c r="T857" s="254"/>
      <c r="U857" s="254"/>
      <c r="V857" s="254"/>
      <c r="W857" s="254"/>
      <c r="X857" s="254"/>
      <c r="Y857" s="254"/>
      <c r="Z857" s="254"/>
      <c r="AA857" s="254"/>
      <c r="AB857" s="254"/>
      <c r="AC857" s="254"/>
    </row>
    <row r="858" ht="12.75" customHeight="1" spans="1:29">
      <c r="A858" s="254"/>
      <c r="B858" s="254"/>
      <c r="C858" s="254"/>
      <c r="D858" s="276"/>
      <c r="E858" s="254"/>
      <c r="F858" s="254"/>
      <c r="G858" s="254"/>
      <c r="H858" s="254"/>
      <c r="I858" s="254"/>
      <c r="J858" s="254"/>
      <c r="K858" s="254"/>
      <c r="L858" s="254"/>
      <c r="M858" s="254"/>
      <c r="N858" s="254"/>
      <c r="O858" s="254"/>
      <c r="P858" s="254"/>
      <c r="Q858" s="254"/>
      <c r="R858" s="254"/>
      <c r="S858" s="254"/>
      <c r="T858" s="254"/>
      <c r="U858" s="254"/>
      <c r="V858" s="254"/>
      <c r="W858" s="254"/>
      <c r="X858" s="254"/>
      <c r="Y858" s="254"/>
      <c r="Z858" s="254"/>
      <c r="AA858" s="254"/>
      <c r="AB858" s="254"/>
      <c r="AC858" s="254"/>
    </row>
    <row r="859" ht="12.75" customHeight="1" spans="1:29">
      <c r="A859" s="254"/>
      <c r="B859" s="254"/>
      <c r="C859" s="254"/>
      <c r="D859" s="276"/>
      <c r="E859" s="254"/>
      <c r="F859" s="254"/>
      <c r="G859" s="254"/>
      <c r="H859" s="254"/>
      <c r="I859" s="254"/>
      <c r="J859" s="254"/>
      <c r="K859" s="254"/>
      <c r="L859" s="254"/>
      <c r="M859" s="254"/>
      <c r="N859" s="254"/>
      <c r="O859" s="254"/>
      <c r="P859" s="254"/>
      <c r="Q859" s="254"/>
      <c r="R859" s="254"/>
      <c r="S859" s="254"/>
      <c r="T859" s="254"/>
      <c r="U859" s="254"/>
      <c r="V859" s="254"/>
      <c r="W859" s="254"/>
      <c r="X859" s="254"/>
      <c r="Y859" s="254"/>
      <c r="Z859" s="254"/>
      <c r="AA859" s="254"/>
      <c r="AB859" s="254"/>
      <c r="AC859" s="254"/>
    </row>
    <row r="860" ht="12.75" customHeight="1" spans="1:29">
      <c r="A860" s="254"/>
      <c r="B860" s="254"/>
      <c r="C860" s="254"/>
      <c r="D860" s="276"/>
      <c r="E860" s="254"/>
      <c r="F860" s="254"/>
      <c r="G860" s="254"/>
      <c r="H860" s="254"/>
      <c r="I860" s="254"/>
      <c r="J860" s="254"/>
      <c r="K860" s="254"/>
      <c r="L860" s="254"/>
      <c r="M860" s="254"/>
      <c r="N860" s="254"/>
      <c r="O860" s="254"/>
      <c r="P860" s="254"/>
      <c r="Q860" s="254"/>
      <c r="R860" s="254"/>
      <c r="S860" s="254"/>
      <c r="T860" s="254"/>
      <c r="U860" s="254"/>
      <c r="V860" s="254"/>
      <c r="W860" s="254"/>
      <c r="X860" s="254"/>
      <c r="Y860" s="254"/>
      <c r="Z860" s="254"/>
      <c r="AA860" s="254"/>
      <c r="AB860" s="254"/>
      <c r="AC860" s="254"/>
    </row>
    <row r="861" ht="12.75" customHeight="1" spans="1:29">
      <c r="A861" s="254"/>
      <c r="B861" s="254"/>
      <c r="C861" s="254"/>
      <c r="D861" s="276"/>
      <c r="E861" s="254"/>
      <c r="F861" s="254"/>
      <c r="G861" s="254"/>
      <c r="H861" s="254"/>
      <c r="I861" s="254"/>
      <c r="J861" s="254"/>
      <c r="K861" s="254"/>
      <c r="L861" s="254"/>
      <c r="M861" s="254"/>
      <c r="N861" s="254"/>
      <c r="O861" s="254"/>
      <c r="P861" s="254"/>
      <c r="Q861" s="254"/>
      <c r="R861" s="254"/>
      <c r="S861" s="254"/>
      <c r="T861" s="254"/>
      <c r="U861" s="254"/>
      <c r="V861" s="254"/>
      <c r="W861" s="254"/>
      <c r="X861" s="254"/>
      <c r="Y861" s="254"/>
      <c r="Z861" s="254"/>
      <c r="AA861" s="254"/>
      <c r="AB861" s="254"/>
      <c r="AC861" s="254"/>
    </row>
    <row r="862" ht="12.75" customHeight="1" spans="1:29">
      <c r="A862" s="254"/>
      <c r="B862" s="254"/>
      <c r="C862" s="254"/>
      <c r="D862" s="276"/>
      <c r="E862" s="254"/>
      <c r="F862" s="254"/>
      <c r="G862" s="254"/>
      <c r="H862" s="254"/>
      <c r="I862" s="254"/>
      <c r="J862" s="254"/>
      <c r="K862" s="254"/>
      <c r="L862" s="254"/>
      <c r="M862" s="254"/>
      <c r="N862" s="254"/>
      <c r="O862" s="254"/>
      <c r="P862" s="254"/>
      <c r="Q862" s="254"/>
      <c r="R862" s="254"/>
      <c r="S862" s="254"/>
      <c r="T862" s="254"/>
      <c r="U862" s="254"/>
      <c r="V862" s="254"/>
      <c r="W862" s="254"/>
      <c r="X862" s="254"/>
      <c r="Y862" s="254"/>
      <c r="Z862" s="254"/>
      <c r="AA862" s="254"/>
      <c r="AB862" s="254"/>
      <c r="AC862" s="254"/>
    </row>
    <row r="863" ht="12.75" customHeight="1" spans="1:29">
      <c r="A863" s="254"/>
      <c r="B863" s="254"/>
      <c r="C863" s="254"/>
      <c r="D863" s="276"/>
      <c r="E863" s="254"/>
      <c r="F863" s="254"/>
      <c r="G863" s="254"/>
      <c r="H863" s="254"/>
      <c r="I863" s="254"/>
      <c r="J863" s="254"/>
      <c r="K863" s="254"/>
      <c r="L863" s="254"/>
      <c r="M863" s="254"/>
      <c r="N863" s="254"/>
      <c r="O863" s="254"/>
      <c r="P863" s="254"/>
      <c r="Q863" s="254"/>
      <c r="R863" s="254"/>
      <c r="S863" s="254"/>
      <c r="T863" s="254"/>
      <c r="U863" s="254"/>
      <c r="V863" s="254"/>
      <c r="W863" s="254"/>
      <c r="X863" s="254"/>
      <c r="Y863" s="254"/>
      <c r="Z863" s="254"/>
      <c r="AA863" s="254"/>
      <c r="AB863" s="254"/>
      <c r="AC863" s="254"/>
    </row>
    <row r="864" ht="12.75" customHeight="1" spans="1:29">
      <c r="A864" s="254"/>
      <c r="B864" s="254"/>
      <c r="C864" s="254"/>
      <c r="D864" s="276"/>
      <c r="E864" s="254"/>
      <c r="F864" s="254"/>
      <c r="G864" s="254"/>
      <c r="H864" s="254"/>
      <c r="I864" s="254"/>
      <c r="J864" s="254"/>
      <c r="K864" s="254"/>
      <c r="L864" s="254"/>
      <c r="M864" s="254"/>
      <c r="N864" s="254"/>
      <c r="O864" s="254"/>
      <c r="P864" s="254"/>
      <c r="Q864" s="254"/>
      <c r="R864" s="254"/>
      <c r="S864" s="254"/>
      <c r="T864" s="254"/>
      <c r="U864" s="254"/>
      <c r="V864" s="254"/>
      <c r="W864" s="254"/>
      <c r="X864" s="254"/>
      <c r="Y864" s="254"/>
      <c r="Z864" s="254"/>
      <c r="AA864" s="254"/>
      <c r="AB864" s="254"/>
      <c r="AC864" s="254"/>
    </row>
    <row r="865" ht="12.75" customHeight="1" spans="1:29">
      <c r="A865" s="254"/>
      <c r="B865" s="254"/>
      <c r="C865" s="254"/>
      <c r="D865" s="276"/>
      <c r="E865" s="254"/>
      <c r="F865" s="254"/>
      <c r="G865" s="254"/>
      <c r="H865" s="254"/>
      <c r="I865" s="254"/>
      <c r="J865" s="254"/>
      <c r="K865" s="254"/>
      <c r="L865" s="254"/>
      <c r="M865" s="254"/>
      <c r="N865" s="254"/>
      <c r="O865" s="254"/>
      <c r="P865" s="254"/>
      <c r="Q865" s="254"/>
      <c r="R865" s="254"/>
      <c r="S865" s="254"/>
      <c r="T865" s="254"/>
      <c r="U865" s="254"/>
      <c r="V865" s="254"/>
      <c r="W865" s="254"/>
      <c r="X865" s="254"/>
      <c r="Y865" s="254"/>
      <c r="Z865" s="254"/>
      <c r="AA865" s="254"/>
      <c r="AB865" s="254"/>
      <c r="AC865" s="254"/>
    </row>
    <row r="866" ht="12.75" customHeight="1" spans="1:29">
      <c r="A866" s="254"/>
      <c r="B866" s="254"/>
      <c r="C866" s="254"/>
      <c r="D866" s="276"/>
      <c r="E866" s="254"/>
      <c r="F866" s="254"/>
      <c r="G866" s="254"/>
      <c r="H866" s="254"/>
      <c r="I866" s="254"/>
      <c r="J866" s="254"/>
      <c r="K866" s="254"/>
      <c r="L866" s="254"/>
      <c r="M866" s="254"/>
      <c r="N866" s="254"/>
      <c r="O866" s="254"/>
      <c r="P866" s="254"/>
      <c r="Q866" s="254"/>
      <c r="R866" s="254"/>
      <c r="S866" s="254"/>
      <c r="T866" s="254"/>
      <c r="U866" s="254"/>
      <c r="V866" s="254"/>
      <c r="W866" s="254"/>
      <c r="X866" s="254"/>
      <c r="Y866" s="254"/>
      <c r="Z866" s="254"/>
      <c r="AA866" s="254"/>
      <c r="AB866" s="254"/>
      <c r="AC866" s="254"/>
    </row>
    <row r="867" ht="12.75" customHeight="1" spans="1:29">
      <c r="A867" s="254"/>
      <c r="B867" s="254"/>
      <c r="C867" s="254"/>
      <c r="D867" s="276"/>
      <c r="E867" s="254"/>
      <c r="F867" s="254"/>
      <c r="G867" s="254"/>
      <c r="H867" s="254"/>
      <c r="I867" s="254"/>
      <c r="J867" s="254"/>
      <c r="K867" s="254"/>
      <c r="L867" s="254"/>
      <c r="M867" s="254"/>
      <c r="N867" s="254"/>
      <c r="O867" s="254"/>
      <c r="P867" s="254"/>
      <c r="Q867" s="254"/>
      <c r="R867" s="254"/>
      <c r="S867" s="254"/>
      <c r="T867" s="254"/>
      <c r="U867" s="254"/>
      <c r="V867" s="254"/>
      <c r="W867" s="254"/>
      <c r="X867" s="254"/>
      <c r="Y867" s="254"/>
      <c r="Z867" s="254"/>
      <c r="AA867" s="254"/>
      <c r="AB867" s="254"/>
      <c r="AC867" s="254"/>
    </row>
    <row r="868" ht="12.75" customHeight="1" spans="1:29">
      <c r="A868" s="254"/>
      <c r="B868" s="254"/>
      <c r="C868" s="254"/>
      <c r="D868" s="276"/>
      <c r="E868" s="254"/>
      <c r="F868" s="254"/>
      <c r="G868" s="254"/>
      <c r="H868" s="254"/>
      <c r="I868" s="254"/>
      <c r="J868" s="254"/>
      <c r="K868" s="254"/>
      <c r="L868" s="254"/>
      <c r="M868" s="254"/>
      <c r="N868" s="254"/>
      <c r="O868" s="254"/>
      <c r="P868" s="254"/>
      <c r="Q868" s="254"/>
      <c r="R868" s="254"/>
      <c r="S868" s="254"/>
      <c r="T868" s="254"/>
      <c r="U868" s="254"/>
      <c r="V868" s="254"/>
      <c r="W868" s="254"/>
      <c r="X868" s="254"/>
      <c r="Y868" s="254"/>
      <c r="Z868" s="254"/>
      <c r="AA868" s="254"/>
      <c r="AB868" s="254"/>
      <c r="AC868" s="254"/>
    </row>
    <row r="869" ht="12.75" customHeight="1" spans="1:29">
      <c r="A869" s="254"/>
      <c r="B869" s="254"/>
      <c r="C869" s="254"/>
      <c r="D869" s="276"/>
      <c r="E869" s="254"/>
      <c r="F869" s="254"/>
      <c r="G869" s="254"/>
      <c r="H869" s="254"/>
      <c r="I869" s="254"/>
      <c r="J869" s="254"/>
      <c r="K869" s="254"/>
      <c r="L869" s="254"/>
      <c r="M869" s="254"/>
      <c r="N869" s="254"/>
      <c r="O869" s="254"/>
      <c r="P869" s="254"/>
      <c r="Q869" s="254"/>
      <c r="R869" s="254"/>
      <c r="S869" s="254"/>
      <c r="T869" s="254"/>
      <c r="U869" s="254"/>
      <c r="V869" s="254"/>
      <c r="W869" s="254"/>
      <c r="X869" s="254"/>
      <c r="Y869" s="254"/>
      <c r="Z869" s="254"/>
      <c r="AA869" s="254"/>
      <c r="AB869" s="254"/>
      <c r="AC869" s="254"/>
    </row>
    <row r="870" ht="12.75" customHeight="1" spans="1:29">
      <c r="A870" s="254"/>
      <c r="B870" s="254"/>
      <c r="C870" s="254"/>
      <c r="D870" s="276"/>
      <c r="E870" s="254"/>
      <c r="F870" s="254"/>
      <c r="G870" s="254"/>
      <c r="H870" s="254"/>
      <c r="I870" s="254"/>
      <c r="J870" s="254"/>
      <c r="K870" s="254"/>
      <c r="L870" s="254"/>
      <c r="M870" s="254"/>
      <c r="N870" s="254"/>
      <c r="O870" s="254"/>
      <c r="P870" s="254"/>
      <c r="Q870" s="254"/>
      <c r="R870" s="254"/>
      <c r="S870" s="254"/>
      <c r="T870" s="254"/>
      <c r="U870" s="254"/>
      <c r="V870" s="254"/>
      <c r="W870" s="254"/>
      <c r="X870" s="254"/>
      <c r="Y870" s="254"/>
      <c r="Z870" s="254"/>
      <c r="AA870" s="254"/>
      <c r="AB870" s="254"/>
      <c r="AC870" s="254"/>
    </row>
    <row r="871" ht="12.75" customHeight="1" spans="1:29">
      <c r="A871" s="254"/>
      <c r="B871" s="254"/>
      <c r="C871" s="254"/>
      <c r="D871" s="276"/>
      <c r="E871" s="254"/>
      <c r="F871" s="254"/>
      <c r="G871" s="254"/>
      <c r="H871" s="254"/>
      <c r="I871" s="254"/>
      <c r="J871" s="254"/>
      <c r="K871" s="254"/>
      <c r="L871" s="254"/>
      <c r="M871" s="254"/>
      <c r="N871" s="254"/>
      <c r="O871" s="254"/>
      <c r="P871" s="254"/>
      <c r="Q871" s="254"/>
      <c r="R871" s="254"/>
      <c r="S871" s="254"/>
      <c r="T871" s="254"/>
      <c r="U871" s="254"/>
      <c r="V871" s="254"/>
      <c r="W871" s="254"/>
      <c r="X871" s="254"/>
      <c r="Y871" s="254"/>
      <c r="Z871" s="254"/>
      <c r="AA871" s="254"/>
      <c r="AB871" s="254"/>
      <c r="AC871" s="254"/>
    </row>
    <row r="872" ht="12.75" customHeight="1" spans="1:29">
      <c r="A872" s="254"/>
      <c r="B872" s="254"/>
      <c r="C872" s="254"/>
      <c r="D872" s="276"/>
      <c r="E872" s="254"/>
      <c r="F872" s="254"/>
      <c r="G872" s="254"/>
      <c r="H872" s="254"/>
      <c r="I872" s="254"/>
      <c r="J872" s="254"/>
      <c r="K872" s="254"/>
      <c r="L872" s="254"/>
      <c r="M872" s="254"/>
      <c r="N872" s="254"/>
      <c r="O872" s="254"/>
      <c r="P872" s="254"/>
      <c r="Q872" s="254"/>
      <c r="R872" s="254"/>
      <c r="S872" s="254"/>
      <c r="T872" s="254"/>
      <c r="U872" s="254"/>
      <c r="V872" s="254"/>
      <c r="W872" s="254"/>
      <c r="X872" s="254"/>
      <c r="Y872" s="254"/>
      <c r="Z872" s="254"/>
      <c r="AA872" s="254"/>
      <c r="AB872" s="254"/>
      <c r="AC872" s="254"/>
    </row>
    <row r="873" ht="12.75" customHeight="1" spans="1:29">
      <c r="A873" s="254"/>
      <c r="B873" s="254"/>
      <c r="C873" s="254"/>
      <c r="D873" s="276"/>
      <c r="E873" s="254"/>
      <c r="F873" s="254"/>
      <c r="G873" s="254"/>
      <c r="H873" s="254"/>
      <c r="I873" s="254"/>
      <c r="J873" s="254"/>
      <c r="K873" s="254"/>
      <c r="L873" s="254"/>
      <c r="M873" s="254"/>
      <c r="N873" s="254"/>
      <c r="O873" s="254"/>
      <c r="P873" s="254"/>
      <c r="Q873" s="254"/>
      <c r="R873" s="254"/>
      <c r="S873" s="254"/>
      <c r="T873" s="254"/>
      <c r="U873" s="254"/>
      <c r="V873" s="254"/>
      <c r="W873" s="254"/>
      <c r="X873" s="254"/>
      <c r="Y873" s="254"/>
      <c r="Z873" s="254"/>
      <c r="AA873" s="254"/>
      <c r="AB873" s="254"/>
      <c r="AC873" s="254"/>
    </row>
    <row r="874" ht="12.75" customHeight="1" spans="1:29">
      <c r="A874" s="254"/>
      <c r="B874" s="254"/>
      <c r="C874" s="254"/>
      <c r="D874" s="276"/>
      <c r="E874" s="254"/>
      <c r="F874" s="254"/>
      <c r="G874" s="254"/>
      <c r="H874" s="254"/>
      <c r="I874" s="254"/>
      <c r="J874" s="254"/>
      <c r="K874" s="254"/>
      <c r="L874" s="254"/>
      <c r="M874" s="254"/>
      <c r="N874" s="254"/>
      <c r="O874" s="254"/>
      <c r="P874" s="254"/>
      <c r="Q874" s="254"/>
      <c r="R874" s="254"/>
      <c r="S874" s="254"/>
      <c r="T874" s="254"/>
      <c r="U874" s="254"/>
      <c r="V874" s="254"/>
      <c r="W874" s="254"/>
      <c r="X874" s="254"/>
      <c r="Y874" s="254"/>
      <c r="Z874" s="254"/>
      <c r="AA874" s="254"/>
      <c r="AB874" s="254"/>
      <c r="AC874" s="254"/>
    </row>
    <row r="875" ht="12.75" customHeight="1" spans="1:29">
      <c r="A875" s="254"/>
      <c r="B875" s="254"/>
      <c r="C875" s="254"/>
      <c r="D875" s="276"/>
      <c r="E875" s="254"/>
      <c r="F875" s="254"/>
      <c r="G875" s="254"/>
      <c r="H875" s="254"/>
      <c r="I875" s="254"/>
      <c r="J875" s="254"/>
      <c r="K875" s="254"/>
      <c r="L875" s="254"/>
      <c r="M875" s="254"/>
      <c r="N875" s="254"/>
      <c r="O875" s="254"/>
      <c r="P875" s="254"/>
      <c r="Q875" s="254"/>
      <c r="R875" s="254"/>
      <c r="S875" s="254"/>
      <c r="T875" s="254"/>
      <c r="U875" s="254"/>
      <c r="V875" s="254"/>
      <c r="W875" s="254"/>
      <c r="X875" s="254"/>
      <c r="Y875" s="254"/>
      <c r="Z875" s="254"/>
      <c r="AA875" s="254"/>
      <c r="AB875" s="254"/>
      <c r="AC875" s="254"/>
    </row>
    <row r="876" ht="12.75" customHeight="1" spans="1:29">
      <c r="A876" s="254"/>
      <c r="B876" s="254"/>
      <c r="C876" s="254"/>
      <c r="D876" s="276"/>
      <c r="E876" s="254"/>
      <c r="F876" s="254"/>
      <c r="G876" s="254"/>
      <c r="H876" s="254"/>
      <c r="I876" s="254"/>
      <c r="J876" s="254"/>
      <c r="K876" s="254"/>
      <c r="L876" s="254"/>
      <c r="M876" s="254"/>
      <c r="N876" s="254"/>
      <c r="O876" s="254"/>
      <c r="P876" s="254"/>
      <c r="Q876" s="254"/>
      <c r="R876" s="254"/>
      <c r="S876" s="254"/>
      <c r="T876" s="254"/>
      <c r="U876" s="254"/>
      <c r="V876" s="254"/>
      <c r="W876" s="254"/>
      <c r="X876" s="254"/>
      <c r="Y876" s="254"/>
      <c r="Z876" s="254"/>
      <c r="AA876" s="254"/>
      <c r="AB876" s="254"/>
      <c r="AC876" s="254"/>
    </row>
    <row r="877" ht="12.75" customHeight="1" spans="1:29">
      <c r="A877" s="254"/>
      <c r="B877" s="254"/>
      <c r="C877" s="254"/>
      <c r="D877" s="276"/>
      <c r="E877" s="254"/>
      <c r="F877" s="254"/>
      <c r="G877" s="254"/>
      <c r="H877" s="254"/>
      <c r="I877" s="254"/>
      <c r="J877" s="254"/>
      <c r="K877" s="254"/>
      <c r="L877" s="254"/>
      <c r="M877" s="254"/>
      <c r="N877" s="254"/>
      <c r="O877" s="254"/>
      <c r="P877" s="254"/>
      <c r="Q877" s="254"/>
      <c r="R877" s="254"/>
      <c r="S877" s="254"/>
      <c r="T877" s="254"/>
      <c r="U877" s="254"/>
      <c r="V877" s="254"/>
      <c r="W877" s="254"/>
      <c r="X877" s="254"/>
      <c r="Y877" s="254"/>
      <c r="Z877" s="254"/>
      <c r="AA877" s="254"/>
      <c r="AB877" s="254"/>
      <c r="AC877" s="254"/>
    </row>
    <row r="878" ht="12.75" customHeight="1" spans="1:29">
      <c r="A878" s="254"/>
      <c r="B878" s="254"/>
      <c r="C878" s="254"/>
      <c r="D878" s="276"/>
      <c r="E878" s="254"/>
      <c r="F878" s="254"/>
      <c r="G878" s="254"/>
      <c r="H878" s="254"/>
      <c r="I878" s="254"/>
      <c r="J878" s="254"/>
      <c r="K878" s="254"/>
      <c r="L878" s="254"/>
      <c r="M878" s="254"/>
      <c r="N878" s="254"/>
      <c r="O878" s="254"/>
      <c r="P878" s="254"/>
      <c r="Q878" s="254"/>
      <c r="R878" s="254"/>
      <c r="S878" s="254"/>
      <c r="T878" s="254"/>
      <c r="U878" s="254"/>
      <c r="V878" s="254"/>
      <c r="W878" s="254"/>
      <c r="X878" s="254"/>
      <c r="Y878" s="254"/>
      <c r="Z878" s="254"/>
      <c r="AA878" s="254"/>
      <c r="AB878" s="254"/>
      <c r="AC878" s="254"/>
    </row>
    <row r="879" ht="12.75" customHeight="1" spans="1:29">
      <c r="A879" s="254"/>
      <c r="B879" s="254"/>
      <c r="C879" s="254"/>
      <c r="D879" s="276"/>
      <c r="E879" s="254"/>
      <c r="F879" s="254"/>
      <c r="G879" s="254"/>
      <c r="H879" s="254"/>
      <c r="I879" s="254"/>
      <c r="J879" s="254"/>
      <c r="K879" s="254"/>
      <c r="L879" s="254"/>
      <c r="M879" s="254"/>
      <c r="N879" s="254"/>
      <c r="O879" s="254"/>
      <c r="P879" s="254"/>
      <c r="Q879" s="254"/>
      <c r="R879" s="254"/>
      <c r="S879" s="254"/>
      <c r="T879" s="254"/>
      <c r="U879" s="254"/>
      <c r="V879" s="254"/>
      <c r="W879" s="254"/>
      <c r="X879" s="254"/>
      <c r="Y879" s="254"/>
      <c r="Z879" s="254"/>
      <c r="AA879" s="254"/>
      <c r="AB879" s="254"/>
      <c r="AC879" s="254"/>
    </row>
    <row r="880" ht="12.75" customHeight="1" spans="1:29">
      <c r="A880" s="254"/>
      <c r="B880" s="254"/>
      <c r="C880" s="254"/>
      <c r="D880" s="276"/>
      <c r="E880" s="254"/>
      <c r="F880" s="254"/>
      <c r="G880" s="254"/>
      <c r="H880" s="254"/>
      <c r="I880" s="254"/>
      <c r="J880" s="254"/>
      <c r="K880" s="254"/>
      <c r="L880" s="254"/>
      <c r="M880" s="254"/>
      <c r="N880" s="254"/>
      <c r="O880" s="254"/>
      <c r="P880" s="254"/>
      <c r="Q880" s="254"/>
      <c r="R880" s="254"/>
      <c r="S880" s="254"/>
      <c r="T880" s="254"/>
      <c r="U880" s="254"/>
      <c r="V880" s="254"/>
      <c r="W880" s="254"/>
      <c r="X880" s="254"/>
      <c r="Y880" s="254"/>
      <c r="Z880" s="254"/>
      <c r="AA880" s="254"/>
      <c r="AB880" s="254"/>
      <c r="AC880" s="254"/>
    </row>
    <row r="881" ht="12.75" customHeight="1" spans="1:29">
      <c r="A881" s="254"/>
      <c r="B881" s="254"/>
      <c r="C881" s="254"/>
      <c r="D881" s="276"/>
      <c r="E881" s="254"/>
      <c r="F881" s="254"/>
      <c r="G881" s="254"/>
      <c r="H881" s="254"/>
      <c r="I881" s="254"/>
      <c r="J881" s="254"/>
      <c r="K881" s="254"/>
      <c r="L881" s="254"/>
      <c r="M881" s="254"/>
      <c r="N881" s="254"/>
      <c r="O881" s="254"/>
      <c r="P881" s="254"/>
      <c r="Q881" s="254"/>
      <c r="R881" s="254"/>
      <c r="S881" s="254"/>
      <c r="T881" s="254"/>
      <c r="U881" s="254"/>
      <c r="V881" s="254"/>
      <c r="W881" s="254"/>
      <c r="X881" s="254"/>
      <c r="Y881" s="254"/>
      <c r="Z881" s="254"/>
      <c r="AA881" s="254"/>
      <c r="AB881" s="254"/>
      <c r="AC881" s="254"/>
    </row>
    <row r="882" ht="12.75" customHeight="1" spans="1:29">
      <c r="A882" s="254"/>
      <c r="B882" s="254"/>
      <c r="C882" s="254"/>
      <c r="D882" s="276"/>
      <c r="E882" s="254"/>
      <c r="F882" s="254"/>
      <c r="G882" s="254"/>
      <c r="H882" s="254"/>
      <c r="I882" s="254"/>
      <c r="J882" s="254"/>
      <c r="K882" s="254"/>
      <c r="L882" s="254"/>
      <c r="M882" s="254"/>
      <c r="N882" s="254"/>
      <c r="O882" s="254"/>
      <c r="P882" s="254"/>
      <c r="Q882" s="254"/>
      <c r="R882" s="254"/>
      <c r="S882" s="254"/>
      <c r="T882" s="254"/>
      <c r="U882" s="254"/>
      <c r="V882" s="254"/>
      <c r="W882" s="254"/>
      <c r="X882" s="254"/>
      <c r="Y882" s="254"/>
      <c r="Z882" s="254"/>
      <c r="AA882" s="254"/>
      <c r="AB882" s="254"/>
      <c r="AC882" s="254"/>
    </row>
    <row r="883" ht="12.75" customHeight="1" spans="1:29">
      <c r="A883" s="254"/>
      <c r="B883" s="254"/>
      <c r="C883" s="254"/>
      <c r="D883" s="276"/>
      <c r="E883" s="254"/>
      <c r="F883" s="254"/>
      <c r="G883" s="254"/>
      <c r="H883" s="254"/>
      <c r="I883" s="254"/>
      <c r="J883" s="254"/>
      <c r="K883" s="254"/>
      <c r="L883" s="254"/>
      <c r="M883" s="254"/>
      <c r="N883" s="254"/>
      <c r="O883" s="254"/>
      <c r="P883" s="254"/>
      <c r="Q883" s="254"/>
      <c r="R883" s="254"/>
      <c r="S883" s="254"/>
      <c r="T883" s="254"/>
      <c r="U883" s="254"/>
      <c r="V883" s="254"/>
      <c r="W883" s="254"/>
      <c r="X883" s="254"/>
      <c r="Y883" s="254"/>
      <c r="Z883" s="254"/>
      <c r="AA883" s="254"/>
      <c r="AB883" s="254"/>
      <c r="AC883" s="254"/>
    </row>
    <row r="884" ht="12.75" customHeight="1" spans="1:29">
      <c r="A884" s="254"/>
      <c r="B884" s="254"/>
      <c r="C884" s="254"/>
      <c r="D884" s="276"/>
      <c r="E884" s="254"/>
      <c r="F884" s="254"/>
      <c r="G884" s="254"/>
      <c r="H884" s="254"/>
      <c r="I884" s="254"/>
      <c r="J884" s="254"/>
      <c r="K884" s="254"/>
      <c r="L884" s="254"/>
      <c r="M884" s="254"/>
      <c r="N884" s="254"/>
      <c r="O884" s="254"/>
      <c r="P884" s="254"/>
      <c r="Q884" s="254"/>
      <c r="R884" s="254"/>
      <c r="S884" s="254"/>
      <c r="T884" s="254"/>
      <c r="U884" s="254"/>
      <c r="V884" s="254"/>
      <c r="W884" s="254"/>
      <c r="X884" s="254"/>
      <c r="Y884" s="254"/>
      <c r="Z884" s="254"/>
      <c r="AA884" s="254"/>
      <c r="AB884" s="254"/>
      <c r="AC884" s="254"/>
    </row>
    <row r="885" ht="12.75" customHeight="1" spans="1:29">
      <c r="A885" s="254"/>
      <c r="B885" s="254"/>
      <c r="C885" s="254"/>
      <c r="D885" s="276"/>
      <c r="E885" s="254"/>
      <c r="F885" s="254"/>
      <c r="G885" s="254"/>
      <c r="H885" s="254"/>
      <c r="I885" s="254"/>
      <c r="J885" s="254"/>
      <c r="K885" s="254"/>
      <c r="L885" s="254"/>
      <c r="M885" s="254"/>
      <c r="N885" s="254"/>
      <c r="O885" s="254"/>
      <c r="P885" s="254"/>
      <c r="Q885" s="254"/>
      <c r="R885" s="254"/>
      <c r="S885" s="254"/>
      <c r="T885" s="254"/>
      <c r="U885" s="254"/>
      <c r="V885" s="254"/>
      <c r="W885" s="254"/>
      <c r="X885" s="254"/>
      <c r="Y885" s="254"/>
      <c r="Z885" s="254"/>
      <c r="AA885" s="254"/>
      <c r="AB885" s="254"/>
      <c r="AC885" s="254"/>
    </row>
    <row r="886" ht="12.75" customHeight="1" spans="1:29">
      <c r="A886" s="254"/>
      <c r="B886" s="254"/>
      <c r="C886" s="254"/>
      <c r="D886" s="276"/>
      <c r="E886" s="254"/>
      <c r="F886" s="254"/>
      <c r="G886" s="254"/>
      <c r="H886" s="254"/>
      <c r="I886" s="254"/>
      <c r="J886" s="254"/>
      <c r="K886" s="254"/>
      <c r="L886" s="254"/>
      <c r="M886" s="254"/>
      <c r="N886" s="254"/>
      <c r="O886" s="254"/>
      <c r="P886" s="254"/>
      <c r="Q886" s="254"/>
      <c r="R886" s="254"/>
      <c r="S886" s="254"/>
      <c r="T886" s="254"/>
      <c r="U886" s="254"/>
      <c r="V886" s="254"/>
      <c r="W886" s="254"/>
      <c r="X886" s="254"/>
      <c r="Y886" s="254"/>
      <c r="Z886" s="254"/>
      <c r="AA886" s="254"/>
      <c r="AB886" s="254"/>
      <c r="AC886" s="254"/>
    </row>
    <row r="887" ht="12.75" customHeight="1" spans="1:29">
      <c r="A887" s="254"/>
      <c r="B887" s="254"/>
      <c r="C887" s="254"/>
      <c r="D887" s="276"/>
      <c r="E887" s="254"/>
      <c r="F887" s="254"/>
      <c r="G887" s="254"/>
      <c r="H887" s="254"/>
      <c r="I887" s="254"/>
      <c r="J887" s="254"/>
      <c r="K887" s="254"/>
      <c r="L887" s="254"/>
      <c r="M887" s="254"/>
      <c r="N887" s="254"/>
      <c r="O887" s="254"/>
      <c r="P887" s="254"/>
      <c r="Q887" s="254"/>
      <c r="R887" s="254"/>
      <c r="S887" s="254"/>
      <c r="T887" s="254"/>
      <c r="U887" s="254"/>
      <c r="V887" s="254"/>
      <c r="W887" s="254"/>
      <c r="X887" s="254"/>
      <c r="Y887" s="254"/>
      <c r="Z887" s="254"/>
      <c r="AA887" s="254"/>
      <c r="AB887" s="254"/>
      <c r="AC887" s="254"/>
    </row>
    <row r="888" ht="12.75" customHeight="1" spans="1:29">
      <c r="A888" s="254"/>
      <c r="B888" s="254"/>
      <c r="C888" s="254"/>
      <c r="D888" s="276"/>
      <c r="E888" s="254"/>
      <c r="F888" s="254"/>
      <c r="G888" s="254"/>
      <c r="H888" s="254"/>
      <c r="I888" s="254"/>
      <c r="J888" s="254"/>
      <c r="K888" s="254"/>
      <c r="L888" s="254"/>
      <c r="M888" s="254"/>
      <c r="N888" s="254"/>
      <c r="O888" s="254"/>
      <c r="P888" s="254"/>
      <c r="Q888" s="254"/>
      <c r="R888" s="254"/>
      <c r="S888" s="254"/>
      <c r="T888" s="254"/>
      <c r="U888" s="254"/>
      <c r="V888" s="254"/>
      <c r="W888" s="254"/>
      <c r="X888" s="254"/>
      <c r="Y888" s="254"/>
      <c r="Z888" s="254"/>
      <c r="AA888" s="254"/>
      <c r="AB888" s="254"/>
      <c r="AC888" s="254"/>
    </row>
    <row r="889" ht="12.75" customHeight="1" spans="1:29">
      <c r="A889" s="254"/>
      <c r="B889" s="254"/>
      <c r="C889" s="254"/>
      <c r="D889" s="276"/>
      <c r="E889" s="254"/>
      <c r="F889" s="254"/>
      <c r="G889" s="254"/>
      <c r="H889" s="254"/>
      <c r="I889" s="254"/>
      <c r="J889" s="254"/>
      <c r="K889" s="254"/>
      <c r="L889" s="254"/>
      <c r="M889" s="254"/>
      <c r="N889" s="254"/>
      <c r="O889" s="254"/>
      <c r="P889" s="254"/>
      <c r="Q889" s="254"/>
      <c r="R889" s="254"/>
      <c r="S889" s="254"/>
      <c r="T889" s="254"/>
      <c r="U889" s="254"/>
      <c r="V889" s="254"/>
      <c r="W889" s="254"/>
      <c r="X889" s="254"/>
      <c r="Y889" s="254"/>
      <c r="Z889" s="254"/>
      <c r="AA889" s="254"/>
      <c r="AB889" s="254"/>
      <c r="AC889" s="254"/>
    </row>
    <row r="890" ht="12.75" customHeight="1" spans="1:29">
      <c r="A890" s="254"/>
      <c r="B890" s="254"/>
      <c r="C890" s="254"/>
      <c r="D890" s="276"/>
      <c r="E890" s="254"/>
      <c r="F890" s="254"/>
      <c r="G890" s="254"/>
      <c r="H890" s="254"/>
      <c r="I890" s="254"/>
      <c r="J890" s="254"/>
      <c r="K890" s="254"/>
      <c r="L890" s="254"/>
      <c r="M890" s="254"/>
      <c r="N890" s="254"/>
      <c r="O890" s="254"/>
      <c r="P890" s="254"/>
      <c r="Q890" s="254"/>
      <c r="R890" s="254"/>
      <c r="S890" s="254"/>
      <c r="T890" s="254"/>
      <c r="U890" s="254"/>
      <c r="V890" s="254"/>
      <c r="W890" s="254"/>
      <c r="X890" s="254"/>
      <c r="Y890" s="254"/>
      <c r="Z890" s="254"/>
      <c r="AA890" s="254"/>
      <c r="AB890" s="254"/>
      <c r="AC890" s="254"/>
    </row>
    <row r="891" ht="12.75" customHeight="1" spans="1:29">
      <c r="A891" s="254"/>
      <c r="B891" s="254"/>
      <c r="C891" s="254"/>
      <c r="D891" s="276"/>
      <c r="E891" s="254"/>
      <c r="F891" s="254"/>
      <c r="G891" s="254"/>
      <c r="H891" s="254"/>
      <c r="I891" s="254"/>
      <c r="J891" s="254"/>
      <c r="K891" s="254"/>
      <c r="L891" s="254"/>
      <c r="M891" s="254"/>
      <c r="N891" s="254"/>
      <c r="O891" s="254"/>
      <c r="P891" s="254"/>
      <c r="Q891" s="254"/>
      <c r="R891" s="254"/>
      <c r="S891" s="254"/>
      <c r="T891" s="254"/>
      <c r="U891" s="254"/>
      <c r="V891" s="254"/>
      <c r="W891" s="254"/>
      <c r="X891" s="254"/>
      <c r="Y891" s="254"/>
      <c r="Z891" s="254"/>
      <c r="AA891" s="254"/>
      <c r="AB891" s="254"/>
      <c r="AC891" s="254"/>
    </row>
    <row r="892" ht="12.75" customHeight="1" spans="1:29">
      <c r="A892" s="254"/>
      <c r="B892" s="254"/>
      <c r="C892" s="254"/>
      <c r="D892" s="276"/>
      <c r="E892" s="254"/>
      <c r="F892" s="254"/>
      <c r="G892" s="254"/>
      <c r="H892" s="254"/>
      <c r="I892" s="254"/>
      <c r="J892" s="254"/>
      <c r="K892" s="254"/>
      <c r="L892" s="254"/>
      <c r="M892" s="254"/>
      <c r="N892" s="254"/>
      <c r="O892" s="254"/>
      <c r="P892" s="254"/>
      <c r="Q892" s="254"/>
      <c r="R892" s="254"/>
      <c r="S892" s="254"/>
      <c r="T892" s="254"/>
      <c r="U892" s="254"/>
      <c r="V892" s="254"/>
      <c r="W892" s="254"/>
      <c r="X892" s="254"/>
      <c r="Y892" s="254"/>
      <c r="Z892" s="254"/>
      <c r="AA892" s="254"/>
      <c r="AB892" s="254"/>
      <c r="AC892" s="254"/>
    </row>
    <row r="893" ht="12.75" customHeight="1" spans="1:29">
      <c r="A893" s="254"/>
      <c r="B893" s="254"/>
      <c r="C893" s="254"/>
      <c r="D893" s="276"/>
      <c r="E893" s="254"/>
      <c r="F893" s="254"/>
      <c r="G893" s="254"/>
      <c r="H893" s="254"/>
      <c r="I893" s="254"/>
      <c r="J893" s="254"/>
      <c r="K893" s="254"/>
      <c r="L893" s="254"/>
      <c r="M893" s="254"/>
      <c r="N893" s="254"/>
      <c r="O893" s="254"/>
      <c r="P893" s="254"/>
      <c r="Q893" s="254"/>
      <c r="R893" s="254"/>
      <c r="S893" s="254"/>
      <c r="T893" s="254"/>
      <c r="U893" s="254"/>
      <c r="V893" s="254"/>
      <c r="W893" s="254"/>
      <c r="X893" s="254"/>
      <c r="Y893" s="254"/>
      <c r="Z893" s="254"/>
      <c r="AA893" s="254"/>
      <c r="AB893" s="254"/>
      <c r="AC893" s="254"/>
    </row>
    <row r="894" ht="12.75" customHeight="1" spans="1:29">
      <c r="A894" s="254"/>
      <c r="B894" s="254"/>
      <c r="C894" s="254"/>
      <c r="D894" s="276"/>
      <c r="E894" s="254"/>
      <c r="F894" s="254"/>
      <c r="G894" s="254"/>
      <c r="H894" s="254"/>
      <c r="I894" s="254"/>
      <c r="J894" s="254"/>
      <c r="K894" s="254"/>
      <c r="L894" s="254"/>
      <c r="M894" s="254"/>
      <c r="N894" s="254"/>
      <c r="O894" s="254"/>
      <c r="P894" s="254"/>
      <c r="Q894" s="254"/>
      <c r="R894" s="254"/>
      <c r="S894" s="254"/>
      <c r="T894" s="254"/>
      <c r="U894" s="254"/>
      <c r="V894" s="254"/>
      <c r="W894" s="254"/>
      <c r="X894" s="254"/>
      <c r="Y894" s="254"/>
      <c r="Z894" s="254"/>
      <c r="AA894" s="254"/>
      <c r="AB894" s="254"/>
      <c r="AC894" s="254"/>
    </row>
    <row r="895" ht="12.75" customHeight="1" spans="1:29">
      <c r="A895" s="254"/>
      <c r="B895" s="254"/>
      <c r="C895" s="254"/>
      <c r="D895" s="276"/>
      <c r="E895" s="254"/>
      <c r="F895" s="254"/>
      <c r="G895" s="254"/>
      <c r="H895" s="254"/>
      <c r="I895" s="254"/>
      <c r="J895" s="254"/>
      <c r="K895" s="254"/>
      <c r="L895" s="254"/>
      <c r="M895" s="254"/>
      <c r="N895" s="254"/>
      <c r="O895" s="254"/>
      <c r="P895" s="254"/>
      <c r="Q895" s="254"/>
      <c r="R895" s="254"/>
      <c r="S895" s="254"/>
      <c r="T895" s="254"/>
      <c r="U895" s="254"/>
      <c r="V895" s="254"/>
      <c r="W895" s="254"/>
      <c r="X895" s="254"/>
      <c r="Y895" s="254"/>
      <c r="Z895" s="254"/>
      <c r="AA895" s="254"/>
      <c r="AB895" s="254"/>
      <c r="AC895" s="254"/>
    </row>
    <row r="896" ht="12.75" customHeight="1" spans="1:29">
      <c r="A896" s="254"/>
      <c r="B896" s="254"/>
      <c r="C896" s="254"/>
      <c r="D896" s="276"/>
      <c r="E896" s="254"/>
      <c r="F896" s="254"/>
      <c r="G896" s="254"/>
      <c r="H896" s="254"/>
      <c r="I896" s="254"/>
      <c r="J896" s="254"/>
      <c r="K896" s="254"/>
      <c r="L896" s="254"/>
      <c r="M896" s="254"/>
      <c r="N896" s="254"/>
      <c r="O896" s="254"/>
      <c r="P896" s="254"/>
      <c r="Q896" s="254"/>
      <c r="R896" s="254"/>
      <c r="S896" s="254"/>
      <c r="T896" s="254"/>
      <c r="U896" s="254"/>
      <c r="V896" s="254"/>
      <c r="W896" s="254"/>
      <c r="X896" s="254"/>
      <c r="Y896" s="254"/>
      <c r="Z896" s="254"/>
      <c r="AA896" s="254"/>
      <c r="AB896" s="254"/>
      <c r="AC896" s="254"/>
    </row>
    <row r="897" ht="12.75" customHeight="1" spans="1:29">
      <c r="A897" s="254"/>
      <c r="B897" s="254"/>
      <c r="C897" s="254"/>
      <c r="D897" s="276"/>
      <c r="E897" s="254"/>
      <c r="F897" s="254"/>
      <c r="G897" s="254"/>
      <c r="H897" s="254"/>
      <c r="I897" s="254"/>
      <c r="J897" s="254"/>
      <c r="K897" s="254"/>
      <c r="L897" s="254"/>
      <c r="M897" s="254"/>
      <c r="N897" s="254"/>
      <c r="O897" s="254"/>
      <c r="P897" s="254"/>
      <c r="Q897" s="254"/>
      <c r="R897" s="254"/>
      <c r="S897" s="254"/>
      <c r="T897" s="254"/>
      <c r="U897" s="254"/>
      <c r="V897" s="254"/>
      <c r="W897" s="254"/>
      <c r="X897" s="254"/>
      <c r="Y897" s="254"/>
      <c r="Z897" s="254"/>
      <c r="AA897" s="254"/>
      <c r="AB897" s="254"/>
      <c r="AC897" s="254"/>
    </row>
    <row r="898" ht="12.75" customHeight="1" spans="1:29">
      <c r="A898" s="254"/>
      <c r="B898" s="254"/>
      <c r="C898" s="254"/>
      <c r="D898" s="276"/>
      <c r="E898" s="254"/>
      <c r="F898" s="254"/>
      <c r="G898" s="254"/>
      <c r="H898" s="254"/>
      <c r="I898" s="254"/>
      <c r="J898" s="254"/>
      <c r="K898" s="254"/>
      <c r="L898" s="254"/>
      <c r="M898" s="254"/>
      <c r="N898" s="254"/>
      <c r="O898" s="254"/>
      <c r="P898" s="254"/>
      <c r="Q898" s="254"/>
      <c r="R898" s="254"/>
      <c r="S898" s="254"/>
      <c r="T898" s="254"/>
      <c r="U898" s="254"/>
      <c r="V898" s="254"/>
      <c r="W898" s="254"/>
      <c r="X898" s="254"/>
      <c r="Y898" s="254"/>
      <c r="Z898" s="254"/>
      <c r="AA898" s="254"/>
      <c r="AB898" s="254"/>
      <c r="AC898" s="254"/>
    </row>
    <row r="899" ht="12.75" customHeight="1" spans="1:29">
      <c r="A899" s="254"/>
      <c r="B899" s="254"/>
      <c r="C899" s="254"/>
      <c r="D899" s="276"/>
      <c r="E899" s="254"/>
      <c r="F899" s="254"/>
      <c r="G899" s="254"/>
      <c r="H899" s="254"/>
      <c r="I899" s="254"/>
      <c r="J899" s="254"/>
      <c r="K899" s="254"/>
      <c r="L899" s="254"/>
      <c r="M899" s="254"/>
      <c r="N899" s="254"/>
      <c r="O899" s="254"/>
      <c r="P899" s="254"/>
      <c r="Q899" s="254"/>
      <c r="R899" s="254"/>
      <c r="S899" s="254"/>
      <c r="T899" s="254"/>
      <c r="U899" s="254"/>
      <c r="V899" s="254"/>
      <c r="W899" s="254"/>
      <c r="X899" s="254"/>
      <c r="Y899" s="254"/>
      <c r="Z899" s="254"/>
      <c r="AA899" s="254"/>
      <c r="AB899" s="254"/>
      <c r="AC899" s="254"/>
    </row>
    <row r="900" ht="12.75" customHeight="1" spans="1:29">
      <c r="A900" s="254"/>
      <c r="B900" s="254"/>
      <c r="C900" s="254"/>
      <c r="D900" s="276"/>
      <c r="E900" s="254"/>
      <c r="F900" s="254"/>
      <c r="G900" s="254"/>
      <c r="H900" s="254"/>
      <c r="I900" s="254"/>
      <c r="J900" s="254"/>
      <c r="K900" s="254"/>
      <c r="L900" s="254"/>
      <c r="M900" s="254"/>
      <c r="N900" s="254"/>
      <c r="O900" s="254"/>
      <c r="P900" s="254"/>
      <c r="Q900" s="254"/>
      <c r="R900" s="254"/>
      <c r="S900" s="254"/>
      <c r="T900" s="254"/>
      <c r="U900" s="254"/>
      <c r="V900" s="254"/>
      <c r="W900" s="254"/>
      <c r="X900" s="254"/>
      <c r="Y900" s="254"/>
      <c r="Z900" s="254"/>
      <c r="AA900" s="254"/>
      <c r="AB900" s="254"/>
      <c r="AC900" s="254"/>
    </row>
    <row r="901" ht="12.75" customHeight="1" spans="1:29">
      <c r="A901" s="254"/>
      <c r="B901" s="254"/>
      <c r="C901" s="254"/>
      <c r="D901" s="276"/>
      <c r="E901" s="254"/>
      <c r="F901" s="254"/>
      <c r="G901" s="254"/>
      <c r="H901" s="254"/>
      <c r="I901" s="254"/>
      <c r="J901" s="254"/>
      <c r="K901" s="254"/>
      <c r="L901" s="254"/>
      <c r="M901" s="254"/>
      <c r="N901" s="254"/>
      <c r="O901" s="254"/>
      <c r="P901" s="254"/>
      <c r="Q901" s="254"/>
      <c r="R901" s="254"/>
      <c r="S901" s="254"/>
      <c r="T901" s="254"/>
      <c r="U901" s="254"/>
      <c r="V901" s="254"/>
      <c r="W901" s="254"/>
      <c r="X901" s="254"/>
      <c r="Y901" s="254"/>
      <c r="Z901" s="254"/>
      <c r="AA901" s="254"/>
      <c r="AB901" s="254"/>
      <c r="AC901" s="254"/>
    </row>
    <row r="902" ht="12.75" customHeight="1" spans="1:29">
      <c r="A902" s="254"/>
      <c r="B902" s="254"/>
      <c r="C902" s="254"/>
      <c r="D902" s="276"/>
      <c r="E902" s="254"/>
      <c r="F902" s="254"/>
      <c r="G902" s="254"/>
      <c r="H902" s="254"/>
      <c r="I902" s="254"/>
      <c r="J902" s="254"/>
      <c r="K902" s="254"/>
      <c r="L902" s="254"/>
      <c r="M902" s="254"/>
      <c r="N902" s="254"/>
      <c r="O902" s="254"/>
      <c r="P902" s="254"/>
      <c r="Q902" s="254"/>
      <c r="R902" s="254"/>
      <c r="S902" s="254"/>
      <c r="T902" s="254"/>
      <c r="U902" s="254"/>
      <c r="V902" s="254"/>
      <c r="W902" s="254"/>
      <c r="X902" s="254"/>
      <c r="Y902" s="254"/>
      <c r="Z902" s="254"/>
      <c r="AA902" s="254"/>
      <c r="AB902" s="254"/>
      <c r="AC902" s="254"/>
    </row>
    <row r="903" ht="12.75" customHeight="1" spans="1:29">
      <c r="A903" s="254"/>
      <c r="B903" s="254"/>
      <c r="C903" s="254"/>
      <c r="D903" s="276"/>
      <c r="E903" s="254"/>
      <c r="F903" s="254"/>
      <c r="G903" s="254"/>
      <c r="H903" s="254"/>
      <c r="I903" s="254"/>
      <c r="J903" s="254"/>
      <c r="K903" s="254"/>
      <c r="L903" s="254"/>
      <c r="M903" s="254"/>
      <c r="N903" s="254"/>
      <c r="O903" s="254"/>
      <c r="P903" s="254"/>
      <c r="Q903" s="254"/>
      <c r="R903" s="254"/>
      <c r="S903" s="254"/>
      <c r="T903" s="254"/>
      <c r="U903" s="254"/>
      <c r="V903" s="254"/>
      <c r="W903" s="254"/>
      <c r="X903" s="254"/>
      <c r="Y903" s="254"/>
      <c r="Z903" s="254"/>
      <c r="AA903" s="254"/>
      <c r="AB903" s="254"/>
      <c r="AC903" s="254"/>
    </row>
    <row r="904" ht="12.75" customHeight="1" spans="1:29">
      <c r="A904" s="254"/>
      <c r="B904" s="254"/>
      <c r="C904" s="254"/>
      <c r="D904" s="276"/>
      <c r="E904" s="254"/>
      <c r="F904" s="254"/>
      <c r="G904" s="254"/>
      <c r="H904" s="254"/>
      <c r="I904" s="254"/>
      <c r="J904" s="254"/>
      <c r="K904" s="254"/>
      <c r="L904" s="254"/>
      <c r="M904" s="254"/>
      <c r="N904" s="254"/>
      <c r="O904" s="254"/>
      <c r="P904" s="254"/>
      <c r="Q904" s="254"/>
      <c r="R904" s="254"/>
      <c r="S904" s="254"/>
      <c r="T904" s="254"/>
      <c r="U904" s="254"/>
      <c r="V904" s="254"/>
      <c r="W904" s="254"/>
      <c r="X904" s="254"/>
      <c r="Y904" s="254"/>
      <c r="Z904" s="254"/>
      <c r="AA904" s="254"/>
      <c r="AB904" s="254"/>
      <c r="AC904" s="254"/>
    </row>
    <row r="905" ht="12.75" customHeight="1" spans="1:29">
      <c r="A905" s="254"/>
      <c r="B905" s="254"/>
      <c r="C905" s="254"/>
      <c r="D905" s="276"/>
      <c r="E905" s="254"/>
      <c r="F905" s="254"/>
      <c r="G905" s="254"/>
      <c r="H905" s="254"/>
      <c r="I905" s="254"/>
      <c r="J905" s="254"/>
      <c r="K905" s="254"/>
      <c r="L905" s="254"/>
      <c r="M905" s="254"/>
      <c r="N905" s="254"/>
      <c r="O905" s="254"/>
      <c r="P905" s="254"/>
      <c r="Q905" s="254"/>
      <c r="R905" s="254"/>
      <c r="S905" s="254"/>
      <c r="T905" s="254"/>
      <c r="U905" s="254"/>
      <c r="V905" s="254"/>
      <c r="W905" s="254"/>
      <c r="X905" s="254"/>
      <c r="Y905" s="254"/>
      <c r="Z905" s="254"/>
      <c r="AA905" s="254"/>
      <c r="AB905" s="254"/>
      <c r="AC905" s="254"/>
    </row>
    <row r="906" ht="12.75" customHeight="1" spans="1:29">
      <c r="A906" s="254"/>
      <c r="B906" s="254"/>
      <c r="C906" s="254"/>
      <c r="D906" s="276"/>
      <c r="E906" s="254"/>
      <c r="F906" s="254"/>
      <c r="G906" s="254"/>
      <c r="H906" s="254"/>
      <c r="I906" s="254"/>
      <c r="J906" s="254"/>
      <c r="K906" s="254"/>
      <c r="L906" s="254"/>
      <c r="M906" s="254"/>
      <c r="N906" s="254"/>
      <c r="O906" s="254"/>
      <c r="P906" s="254"/>
      <c r="Q906" s="254"/>
      <c r="R906" s="254"/>
      <c r="S906" s="254"/>
      <c r="T906" s="254"/>
      <c r="U906" s="254"/>
      <c r="V906" s="254"/>
      <c r="W906" s="254"/>
      <c r="X906" s="254"/>
      <c r="Y906" s="254"/>
      <c r="Z906" s="254"/>
      <c r="AA906" s="254"/>
      <c r="AB906" s="254"/>
      <c r="AC906" s="254"/>
    </row>
    <row r="907" ht="12.75" customHeight="1" spans="1:29">
      <c r="A907" s="254"/>
      <c r="B907" s="254"/>
      <c r="C907" s="254"/>
      <c r="D907" s="276"/>
      <c r="E907" s="254"/>
      <c r="F907" s="254"/>
      <c r="G907" s="254"/>
      <c r="H907" s="254"/>
      <c r="I907" s="254"/>
      <c r="J907" s="254"/>
      <c r="K907" s="254"/>
      <c r="L907" s="254"/>
      <c r="M907" s="254"/>
      <c r="N907" s="254"/>
      <c r="O907" s="254"/>
      <c r="P907" s="254"/>
      <c r="Q907" s="254"/>
      <c r="R907" s="254"/>
      <c r="S907" s="254"/>
      <c r="T907" s="254"/>
      <c r="U907" s="254"/>
      <c r="V907" s="254"/>
      <c r="W907" s="254"/>
      <c r="X907" s="254"/>
      <c r="Y907" s="254"/>
      <c r="Z907" s="254"/>
      <c r="AA907" s="254"/>
      <c r="AB907" s="254"/>
      <c r="AC907" s="254"/>
    </row>
    <row r="908" ht="12.75" customHeight="1" spans="1:29">
      <c r="A908" s="254"/>
      <c r="B908" s="254"/>
      <c r="C908" s="254"/>
      <c r="D908" s="276"/>
      <c r="E908" s="254"/>
      <c r="F908" s="254"/>
      <c r="G908" s="254"/>
      <c r="H908" s="254"/>
      <c r="I908" s="254"/>
      <c r="J908" s="254"/>
      <c r="K908" s="254"/>
      <c r="L908" s="254"/>
      <c r="M908" s="254"/>
      <c r="N908" s="254"/>
      <c r="O908" s="254"/>
      <c r="P908" s="254"/>
      <c r="Q908" s="254"/>
      <c r="R908" s="254"/>
      <c r="S908" s="254"/>
      <c r="T908" s="254"/>
      <c r="U908" s="254"/>
      <c r="V908" s="254"/>
      <c r="W908" s="254"/>
      <c r="X908" s="254"/>
      <c r="Y908" s="254"/>
      <c r="Z908" s="254"/>
      <c r="AA908" s="254"/>
      <c r="AB908" s="254"/>
      <c r="AC908" s="254"/>
    </row>
    <row r="909" ht="12.75" customHeight="1" spans="1:29">
      <c r="A909" s="254"/>
      <c r="B909" s="254"/>
      <c r="C909" s="254"/>
      <c r="D909" s="276"/>
      <c r="E909" s="254"/>
      <c r="F909" s="254"/>
      <c r="G909" s="254"/>
      <c r="H909" s="254"/>
      <c r="I909" s="254"/>
      <c r="J909" s="254"/>
      <c r="K909" s="254"/>
      <c r="L909" s="254"/>
      <c r="M909" s="254"/>
      <c r="N909" s="254"/>
      <c r="O909" s="254"/>
      <c r="P909" s="254"/>
      <c r="Q909" s="254"/>
      <c r="R909" s="254"/>
      <c r="S909" s="254"/>
      <c r="T909" s="254"/>
      <c r="U909" s="254"/>
      <c r="V909" s="254"/>
      <c r="W909" s="254"/>
      <c r="X909" s="254"/>
      <c r="Y909" s="254"/>
      <c r="Z909" s="254"/>
      <c r="AA909" s="254"/>
      <c r="AB909" s="254"/>
      <c r="AC909" s="254"/>
    </row>
    <row r="910" ht="12.75" customHeight="1" spans="1:29">
      <c r="A910" s="254"/>
      <c r="B910" s="254"/>
      <c r="C910" s="254"/>
      <c r="D910" s="276"/>
      <c r="E910" s="254"/>
      <c r="F910" s="254"/>
      <c r="G910" s="254"/>
      <c r="H910" s="254"/>
      <c r="I910" s="254"/>
      <c r="J910" s="254"/>
      <c r="K910" s="254"/>
      <c r="L910" s="254"/>
      <c r="M910" s="254"/>
      <c r="N910" s="254"/>
      <c r="O910" s="254"/>
      <c r="P910" s="254"/>
      <c r="Q910" s="254"/>
      <c r="R910" s="254"/>
      <c r="S910" s="254"/>
      <c r="T910" s="254"/>
      <c r="U910" s="254"/>
      <c r="V910" s="254"/>
      <c r="W910" s="254"/>
      <c r="X910" s="254"/>
      <c r="Y910" s="254"/>
      <c r="Z910" s="254"/>
      <c r="AA910" s="254"/>
      <c r="AB910" s="254"/>
      <c r="AC910" s="254"/>
    </row>
    <row r="911" ht="12.75" customHeight="1" spans="1:29">
      <c r="A911" s="254"/>
      <c r="B911" s="254"/>
      <c r="C911" s="254"/>
      <c r="D911" s="276"/>
      <c r="E911" s="254"/>
      <c r="F911" s="254"/>
      <c r="G911" s="254"/>
      <c r="H911" s="254"/>
      <c r="I911" s="254"/>
      <c r="J911" s="254"/>
      <c r="K911" s="254"/>
      <c r="L911" s="254"/>
      <c r="M911" s="254"/>
      <c r="N911" s="254"/>
      <c r="O911" s="254"/>
      <c r="P911" s="254"/>
      <c r="Q911" s="254"/>
      <c r="R911" s="254"/>
      <c r="S911" s="254"/>
      <c r="T911" s="254"/>
      <c r="U911" s="254"/>
      <c r="V911" s="254"/>
      <c r="W911" s="254"/>
      <c r="X911" s="254"/>
      <c r="Y911" s="254"/>
      <c r="Z911" s="254"/>
      <c r="AA911" s="254"/>
      <c r="AB911" s="254"/>
      <c r="AC911" s="254"/>
    </row>
    <row r="912" ht="12.75" customHeight="1" spans="1:29">
      <c r="A912" s="254"/>
      <c r="B912" s="254"/>
      <c r="C912" s="254"/>
      <c r="D912" s="276"/>
      <c r="E912" s="254"/>
      <c r="F912" s="254"/>
      <c r="G912" s="254"/>
      <c r="H912" s="254"/>
      <c r="I912" s="254"/>
      <c r="J912" s="254"/>
      <c r="K912" s="254"/>
      <c r="L912" s="254"/>
      <c r="M912" s="254"/>
      <c r="N912" s="254"/>
      <c r="O912" s="254"/>
      <c r="P912" s="254"/>
      <c r="Q912" s="254"/>
      <c r="R912" s="254"/>
      <c r="S912" s="254"/>
      <c r="T912" s="254"/>
      <c r="U912" s="254"/>
      <c r="V912" s="254"/>
      <c r="W912" s="254"/>
      <c r="X912" s="254"/>
      <c r="Y912" s="254"/>
      <c r="Z912" s="254"/>
      <c r="AA912" s="254"/>
      <c r="AB912" s="254"/>
      <c r="AC912" s="254"/>
    </row>
    <row r="913" ht="12.75" customHeight="1" spans="1:29">
      <c r="A913" s="254"/>
      <c r="B913" s="254"/>
      <c r="C913" s="254"/>
      <c r="D913" s="276"/>
      <c r="E913" s="254"/>
      <c r="F913" s="254"/>
      <c r="G913" s="254"/>
      <c r="H913" s="254"/>
      <c r="I913" s="254"/>
      <c r="J913" s="254"/>
      <c r="K913" s="254"/>
      <c r="L913" s="254"/>
      <c r="M913" s="254"/>
      <c r="N913" s="254"/>
      <c r="O913" s="254"/>
      <c r="P913" s="254"/>
      <c r="Q913" s="254"/>
      <c r="R913" s="254"/>
      <c r="S913" s="254"/>
      <c r="T913" s="254"/>
      <c r="U913" s="254"/>
      <c r="V913" s="254"/>
      <c r="W913" s="254"/>
      <c r="X913" s="254"/>
      <c r="Y913" s="254"/>
      <c r="Z913" s="254"/>
      <c r="AA913" s="254"/>
      <c r="AB913" s="254"/>
      <c r="AC913" s="254"/>
    </row>
    <row r="914" ht="12.75" customHeight="1" spans="1:29">
      <c r="A914" s="254"/>
      <c r="B914" s="254"/>
      <c r="C914" s="254"/>
      <c r="D914" s="276"/>
      <c r="E914" s="254"/>
      <c r="F914" s="254"/>
      <c r="G914" s="254"/>
      <c r="H914" s="254"/>
      <c r="I914" s="254"/>
      <c r="J914" s="254"/>
      <c r="K914" s="254"/>
      <c r="L914" s="254"/>
      <c r="M914" s="254"/>
      <c r="N914" s="254"/>
      <c r="O914" s="254"/>
      <c r="P914" s="254"/>
      <c r="Q914" s="254"/>
      <c r="R914" s="254"/>
      <c r="S914" s="254"/>
      <c r="T914" s="254"/>
      <c r="U914" s="254"/>
      <c r="V914" s="254"/>
      <c r="W914" s="254"/>
      <c r="X914" s="254"/>
      <c r="Y914" s="254"/>
      <c r="Z914" s="254"/>
      <c r="AA914" s="254"/>
      <c r="AB914" s="254"/>
      <c r="AC914" s="254"/>
    </row>
    <row r="915" ht="12.75" customHeight="1" spans="1:29">
      <c r="A915" s="254"/>
      <c r="B915" s="254"/>
      <c r="C915" s="254"/>
      <c r="D915" s="276"/>
      <c r="E915" s="254"/>
      <c r="F915" s="254"/>
      <c r="G915" s="254"/>
      <c r="H915" s="254"/>
      <c r="I915" s="254"/>
      <c r="J915" s="254"/>
      <c r="K915" s="254"/>
      <c r="L915" s="254"/>
      <c r="M915" s="254"/>
      <c r="N915" s="254"/>
      <c r="O915" s="254"/>
      <c r="P915" s="254"/>
      <c r="Q915" s="254"/>
      <c r="R915" s="254"/>
      <c r="S915" s="254"/>
      <c r="T915" s="254"/>
      <c r="U915" s="254"/>
      <c r="V915" s="254"/>
      <c r="W915" s="254"/>
      <c r="X915" s="254"/>
      <c r="Y915" s="254"/>
      <c r="Z915" s="254"/>
      <c r="AA915" s="254"/>
      <c r="AB915" s="254"/>
      <c r="AC915" s="254"/>
    </row>
    <row r="916" ht="12.75" customHeight="1" spans="1:29">
      <c r="A916" s="254"/>
      <c r="B916" s="254"/>
      <c r="C916" s="254"/>
      <c r="D916" s="276"/>
      <c r="E916" s="254"/>
      <c r="F916" s="254"/>
      <c r="G916" s="254"/>
      <c r="H916" s="254"/>
      <c r="I916" s="254"/>
      <c r="J916" s="254"/>
      <c r="K916" s="254"/>
      <c r="L916" s="254"/>
      <c r="M916" s="254"/>
      <c r="N916" s="254"/>
      <c r="O916" s="254"/>
      <c r="P916" s="254"/>
      <c r="Q916" s="254"/>
      <c r="R916" s="254"/>
      <c r="S916" s="254"/>
      <c r="T916" s="254"/>
      <c r="U916" s="254"/>
      <c r="V916" s="254"/>
      <c r="W916" s="254"/>
      <c r="X916" s="254"/>
      <c r="Y916" s="254"/>
      <c r="Z916" s="254"/>
      <c r="AA916" s="254"/>
      <c r="AB916" s="254"/>
      <c r="AC916" s="254"/>
    </row>
    <row r="917" ht="12.75" customHeight="1" spans="1:29">
      <c r="A917" s="254"/>
      <c r="B917" s="254"/>
      <c r="C917" s="254"/>
      <c r="D917" s="276"/>
      <c r="E917" s="254"/>
      <c r="F917" s="254"/>
      <c r="G917" s="254"/>
      <c r="H917" s="254"/>
      <c r="I917" s="254"/>
      <c r="J917" s="254"/>
      <c r="K917" s="254"/>
      <c r="L917" s="254"/>
      <c r="M917" s="254"/>
      <c r="N917" s="254"/>
      <c r="O917" s="254"/>
      <c r="P917" s="254"/>
      <c r="Q917" s="254"/>
      <c r="R917" s="254"/>
      <c r="S917" s="254"/>
      <c r="T917" s="254"/>
      <c r="U917" s="254"/>
      <c r="V917" s="254"/>
      <c r="W917" s="254"/>
      <c r="X917" s="254"/>
      <c r="Y917" s="254"/>
      <c r="Z917" s="254"/>
      <c r="AA917" s="254"/>
      <c r="AB917" s="254"/>
      <c r="AC917" s="254"/>
    </row>
    <row r="918" ht="12.75" customHeight="1" spans="1:29">
      <c r="A918" s="254"/>
      <c r="B918" s="254"/>
      <c r="C918" s="254"/>
      <c r="D918" s="276"/>
      <c r="E918" s="254"/>
      <c r="F918" s="254"/>
      <c r="G918" s="254"/>
      <c r="H918" s="254"/>
      <c r="I918" s="254"/>
      <c r="J918" s="254"/>
      <c r="K918" s="254"/>
      <c r="L918" s="254"/>
      <c r="M918" s="254"/>
      <c r="N918" s="254"/>
      <c r="O918" s="254"/>
      <c r="P918" s="254"/>
      <c r="Q918" s="254"/>
      <c r="R918" s="254"/>
      <c r="S918" s="254"/>
      <c r="T918" s="254"/>
      <c r="U918" s="254"/>
      <c r="V918" s="254"/>
      <c r="W918" s="254"/>
      <c r="X918" s="254"/>
      <c r="Y918" s="254"/>
      <c r="Z918" s="254"/>
      <c r="AA918" s="254"/>
      <c r="AB918" s="254"/>
      <c r="AC918" s="254"/>
    </row>
    <row r="919" ht="12.75" customHeight="1" spans="1:29">
      <c r="A919" s="254"/>
      <c r="B919" s="254"/>
      <c r="C919" s="254"/>
      <c r="D919" s="276"/>
      <c r="E919" s="254"/>
      <c r="F919" s="254"/>
      <c r="G919" s="254"/>
      <c r="H919" s="254"/>
      <c r="I919" s="254"/>
      <c r="J919" s="254"/>
      <c r="K919" s="254"/>
      <c r="L919" s="254"/>
      <c r="M919" s="254"/>
      <c r="N919" s="254"/>
      <c r="O919" s="254"/>
      <c r="P919" s="254"/>
      <c r="Q919" s="254"/>
      <c r="R919" s="254"/>
      <c r="S919" s="254"/>
      <c r="T919" s="254"/>
      <c r="U919" s="254"/>
      <c r="V919" s="254"/>
      <c r="W919" s="254"/>
      <c r="X919" s="254"/>
      <c r="Y919" s="254"/>
      <c r="Z919" s="254"/>
      <c r="AA919" s="254"/>
      <c r="AB919" s="254"/>
      <c r="AC919" s="254"/>
    </row>
    <row r="920" ht="12.75" customHeight="1" spans="1:29">
      <c r="A920" s="254"/>
      <c r="B920" s="254"/>
      <c r="C920" s="254"/>
      <c r="D920" s="276"/>
      <c r="E920" s="254"/>
      <c r="F920" s="254"/>
      <c r="G920" s="254"/>
      <c r="H920" s="254"/>
      <c r="I920" s="254"/>
      <c r="J920" s="254"/>
      <c r="K920" s="254"/>
      <c r="L920" s="254"/>
      <c r="M920" s="254"/>
      <c r="N920" s="254"/>
      <c r="O920" s="254"/>
      <c r="P920" s="254"/>
      <c r="Q920" s="254"/>
      <c r="R920" s="254"/>
      <c r="S920" s="254"/>
      <c r="T920" s="254"/>
      <c r="U920" s="254"/>
      <c r="V920" s="254"/>
      <c r="W920" s="254"/>
      <c r="X920" s="254"/>
      <c r="Y920" s="254"/>
      <c r="Z920" s="254"/>
      <c r="AA920" s="254"/>
      <c r="AB920" s="254"/>
      <c r="AC920" s="254"/>
    </row>
    <row r="921" ht="12.75" customHeight="1" spans="1:29">
      <c r="A921" s="254"/>
      <c r="B921" s="254"/>
      <c r="C921" s="254"/>
      <c r="D921" s="276"/>
      <c r="E921" s="254"/>
      <c r="F921" s="254"/>
      <c r="G921" s="254"/>
      <c r="H921" s="254"/>
      <c r="I921" s="254"/>
      <c r="J921" s="254"/>
      <c r="K921" s="254"/>
      <c r="L921" s="254"/>
      <c r="M921" s="254"/>
      <c r="N921" s="254"/>
      <c r="O921" s="254"/>
      <c r="P921" s="254"/>
      <c r="Q921" s="254"/>
      <c r="R921" s="254"/>
      <c r="S921" s="254"/>
      <c r="T921" s="254"/>
      <c r="U921" s="254"/>
      <c r="V921" s="254"/>
      <c r="W921" s="254"/>
      <c r="X921" s="254"/>
      <c r="Y921" s="254"/>
      <c r="Z921" s="254"/>
      <c r="AA921" s="254"/>
      <c r="AB921" s="254"/>
      <c r="AC921" s="254"/>
    </row>
    <row r="922" ht="12.75" customHeight="1" spans="1:29">
      <c r="A922" s="254"/>
      <c r="B922" s="254"/>
      <c r="C922" s="254"/>
      <c r="D922" s="276"/>
      <c r="E922" s="254"/>
      <c r="F922" s="254"/>
      <c r="G922" s="254"/>
      <c r="H922" s="254"/>
      <c r="I922" s="254"/>
      <c r="J922" s="254"/>
      <c r="K922" s="254"/>
      <c r="L922" s="254"/>
      <c r="M922" s="254"/>
      <c r="N922" s="254"/>
      <c r="O922" s="254"/>
      <c r="P922" s="254"/>
      <c r="Q922" s="254"/>
      <c r="R922" s="254"/>
      <c r="S922" s="254"/>
      <c r="T922" s="254"/>
      <c r="U922" s="254"/>
      <c r="V922" s="254"/>
      <c r="W922" s="254"/>
      <c r="X922" s="254"/>
      <c r="Y922" s="254"/>
      <c r="Z922" s="254"/>
      <c r="AA922" s="254"/>
      <c r="AB922" s="254"/>
      <c r="AC922" s="254"/>
    </row>
    <row r="923" ht="12.75" customHeight="1" spans="1:29">
      <c r="A923" s="254"/>
      <c r="B923" s="254"/>
      <c r="C923" s="254"/>
      <c r="D923" s="276"/>
      <c r="E923" s="254"/>
      <c r="F923" s="254"/>
      <c r="G923" s="254"/>
      <c r="H923" s="254"/>
      <c r="I923" s="254"/>
      <c r="J923" s="254"/>
      <c r="K923" s="254"/>
      <c r="L923" s="254"/>
      <c r="M923" s="254"/>
      <c r="N923" s="254"/>
      <c r="O923" s="254"/>
      <c r="P923" s="254"/>
      <c r="Q923" s="254"/>
      <c r="R923" s="254"/>
      <c r="S923" s="254"/>
      <c r="T923" s="254"/>
      <c r="U923" s="254"/>
      <c r="V923" s="254"/>
      <c r="W923" s="254"/>
      <c r="X923" s="254"/>
      <c r="Y923" s="254"/>
      <c r="Z923" s="254"/>
      <c r="AA923" s="254"/>
      <c r="AB923" s="254"/>
      <c r="AC923" s="254"/>
    </row>
    <row r="924" ht="12.75" customHeight="1" spans="1:29">
      <c r="A924" s="254"/>
      <c r="B924" s="254"/>
      <c r="C924" s="254"/>
      <c r="D924" s="276"/>
      <c r="E924" s="254"/>
      <c r="F924" s="254"/>
      <c r="G924" s="254"/>
      <c r="H924" s="254"/>
      <c r="I924" s="254"/>
      <c r="J924" s="254"/>
      <c r="K924" s="254"/>
      <c r="L924" s="254"/>
      <c r="M924" s="254"/>
      <c r="N924" s="254"/>
      <c r="O924" s="254"/>
      <c r="P924" s="254"/>
      <c r="Q924" s="254"/>
      <c r="R924" s="254"/>
      <c r="S924" s="254"/>
      <c r="T924" s="254"/>
      <c r="U924" s="254"/>
      <c r="V924" s="254"/>
      <c r="W924" s="254"/>
      <c r="X924" s="254"/>
      <c r="Y924" s="254"/>
      <c r="Z924" s="254"/>
      <c r="AA924" s="254"/>
      <c r="AB924" s="254"/>
      <c r="AC924" s="254"/>
    </row>
    <row r="925" ht="12.75" customHeight="1" spans="1:29">
      <c r="A925" s="254"/>
      <c r="B925" s="254"/>
      <c r="C925" s="254"/>
      <c r="D925" s="276"/>
      <c r="E925" s="254"/>
      <c r="F925" s="254"/>
      <c r="G925" s="254"/>
      <c r="H925" s="254"/>
      <c r="I925" s="254"/>
      <c r="J925" s="254"/>
      <c r="K925" s="254"/>
      <c r="L925" s="254"/>
      <c r="M925" s="254"/>
      <c r="N925" s="254"/>
      <c r="O925" s="254"/>
      <c r="P925" s="254"/>
      <c r="Q925" s="254"/>
      <c r="R925" s="254"/>
      <c r="S925" s="254"/>
      <c r="T925" s="254"/>
      <c r="U925" s="254"/>
      <c r="V925" s="254"/>
      <c r="W925" s="254"/>
      <c r="X925" s="254"/>
      <c r="Y925" s="254"/>
      <c r="Z925" s="254"/>
      <c r="AA925" s="254"/>
      <c r="AB925" s="254"/>
      <c r="AC925" s="254"/>
    </row>
    <row r="926" ht="12.75" customHeight="1" spans="1:29">
      <c r="A926" s="254"/>
      <c r="B926" s="254"/>
      <c r="C926" s="254"/>
      <c r="D926" s="276"/>
      <c r="E926" s="254"/>
      <c r="F926" s="254"/>
      <c r="G926" s="254"/>
      <c r="H926" s="254"/>
      <c r="I926" s="254"/>
      <c r="J926" s="254"/>
      <c r="K926" s="254"/>
      <c r="L926" s="254"/>
      <c r="M926" s="254"/>
      <c r="N926" s="254"/>
      <c r="O926" s="254"/>
      <c r="P926" s="254"/>
      <c r="Q926" s="254"/>
      <c r="R926" s="254"/>
      <c r="S926" s="254"/>
      <c r="T926" s="254"/>
      <c r="U926" s="254"/>
      <c r="V926" s="254"/>
      <c r="W926" s="254"/>
      <c r="X926" s="254"/>
      <c r="Y926" s="254"/>
      <c r="Z926" s="254"/>
      <c r="AA926" s="254"/>
      <c r="AB926" s="254"/>
      <c r="AC926" s="254"/>
    </row>
    <row r="927" ht="12.75" customHeight="1" spans="1:29">
      <c r="A927" s="254"/>
      <c r="B927" s="254"/>
      <c r="C927" s="254"/>
      <c r="D927" s="276"/>
      <c r="E927" s="254"/>
      <c r="F927" s="254"/>
      <c r="G927" s="254"/>
      <c r="H927" s="254"/>
      <c r="I927" s="254"/>
      <c r="J927" s="254"/>
      <c r="K927" s="254"/>
      <c r="L927" s="254"/>
      <c r="M927" s="254"/>
      <c r="N927" s="254"/>
      <c r="O927" s="254"/>
      <c r="P927" s="254"/>
      <c r="Q927" s="254"/>
      <c r="R927" s="254"/>
      <c r="S927" s="254"/>
      <c r="T927" s="254"/>
      <c r="U927" s="254"/>
      <c r="V927" s="254"/>
      <c r="W927" s="254"/>
      <c r="X927" s="254"/>
      <c r="Y927" s="254"/>
      <c r="Z927" s="254"/>
      <c r="AA927" s="254"/>
      <c r="AB927" s="254"/>
      <c r="AC927" s="254"/>
    </row>
    <row r="928" ht="12.75" customHeight="1" spans="1:29">
      <c r="A928" s="254"/>
      <c r="B928" s="254"/>
      <c r="C928" s="254"/>
      <c r="D928" s="276"/>
      <c r="E928" s="254"/>
      <c r="F928" s="254"/>
      <c r="G928" s="254"/>
      <c r="H928" s="254"/>
      <c r="I928" s="254"/>
      <c r="J928" s="254"/>
      <c r="K928" s="254"/>
      <c r="L928" s="254"/>
      <c r="M928" s="254"/>
      <c r="N928" s="254"/>
      <c r="O928" s="254"/>
      <c r="P928" s="254"/>
      <c r="Q928" s="254"/>
      <c r="R928" s="254"/>
      <c r="S928" s="254"/>
      <c r="T928" s="254"/>
      <c r="U928" s="254"/>
      <c r="V928" s="254"/>
      <c r="W928" s="254"/>
      <c r="X928" s="254"/>
      <c r="Y928" s="254"/>
      <c r="Z928" s="254"/>
      <c r="AA928" s="254"/>
      <c r="AB928" s="254"/>
      <c r="AC928" s="254"/>
    </row>
    <row r="929" ht="12.75" customHeight="1" spans="1:29">
      <c r="A929" s="254"/>
      <c r="B929" s="254"/>
      <c r="C929" s="254"/>
      <c r="D929" s="276"/>
      <c r="E929" s="254"/>
      <c r="F929" s="254"/>
      <c r="G929" s="254"/>
      <c r="H929" s="254"/>
      <c r="I929" s="254"/>
      <c r="J929" s="254"/>
      <c r="K929" s="254"/>
      <c r="L929" s="254"/>
      <c r="M929" s="254"/>
      <c r="N929" s="254"/>
      <c r="O929" s="254"/>
      <c r="P929" s="254"/>
      <c r="Q929" s="254"/>
      <c r="R929" s="254"/>
      <c r="S929" s="254"/>
      <c r="T929" s="254"/>
      <c r="U929" s="254"/>
      <c r="V929" s="254"/>
      <c r="W929" s="254"/>
      <c r="X929" s="254"/>
      <c r="Y929" s="254"/>
      <c r="Z929" s="254"/>
      <c r="AA929" s="254"/>
      <c r="AB929" s="254"/>
      <c r="AC929" s="254"/>
    </row>
    <row r="930" ht="12.75" customHeight="1" spans="1:29">
      <c r="A930" s="254"/>
      <c r="B930" s="254"/>
      <c r="C930" s="254"/>
      <c r="D930" s="276"/>
      <c r="E930" s="254"/>
      <c r="F930" s="254"/>
      <c r="G930" s="254"/>
      <c r="H930" s="254"/>
      <c r="I930" s="254"/>
      <c r="J930" s="254"/>
      <c r="K930" s="254"/>
      <c r="L930" s="254"/>
      <c r="M930" s="254"/>
      <c r="N930" s="254"/>
      <c r="O930" s="254"/>
      <c r="P930" s="254"/>
      <c r="Q930" s="254"/>
      <c r="R930" s="254"/>
      <c r="S930" s="254"/>
      <c r="T930" s="254"/>
      <c r="U930" s="254"/>
      <c r="V930" s="254"/>
      <c r="W930" s="254"/>
      <c r="X930" s="254"/>
      <c r="Y930" s="254"/>
      <c r="Z930" s="254"/>
      <c r="AA930" s="254"/>
      <c r="AB930" s="254"/>
      <c r="AC930" s="254"/>
    </row>
    <row r="931" ht="12.75" customHeight="1" spans="1:29">
      <c r="A931" s="254"/>
      <c r="B931" s="254"/>
      <c r="C931" s="254"/>
      <c r="D931" s="276"/>
      <c r="E931" s="254"/>
      <c r="F931" s="254"/>
      <c r="G931" s="254"/>
      <c r="H931" s="254"/>
      <c r="I931" s="254"/>
      <c r="J931" s="254"/>
      <c r="K931" s="254"/>
      <c r="L931" s="254"/>
      <c r="M931" s="254"/>
      <c r="N931" s="254"/>
      <c r="O931" s="254"/>
      <c r="P931" s="254"/>
      <c r="Q931" s="254"/>
      <c r="R931" s="254"/>
      <c r="S931" s="254"/>
      <c r="T931" s="254"/>
      <c r="U931" s="254"/>
      <c r="V931" s="254"/>
      <c r="W931" s="254"/>
      <c r="X931" s="254"/>
      <c r="Y931" s="254"/>
      <c r="Z931" s="254"/>
      <c r="AA931" s="254"/>
      <c r="AB931" s="254"/>
      <c r="AC931" s="254"/>
    </row>
    <row r="932" ht="12.75" customHeight="1" spans="1:29">
      <c r="A932" s="254"/>
      <c r="B932" s="254"/>
      <c r="C932" s="254"/>
      <c r="D932" s="276"/>
      <c r="E932" s="254"/>
      <c r="F932" s="254"/>
      <c r="G932" s="254"/>
      <c r="H932" s="254"/>
      <c r="I932" s="254"/>
      <c r="J932" s="254"/>
      <c r="K932" s="254"/>
      <c r="L932" s="254"/>
      <c r="M932" s="254"/>
      <c r="N932" s="254"/>
      <c r="O932" s="254"/>
      <c r="P932" s="254"/>
      <c r="Q932" s="254"/>
      <c r="R932" s="254"/>
      <c r="S932" s="254"/>
      <c r="T932" s="254"/>
      <c r="U932" s="254"/>
      <c r="V932" s="254"/>
      <c r="W932" s="254"/>
      <c r="X932" s="254"/>
      <c r="Y932" s="254"/>
      <c r="Z932" s="254"/>
      <c r="AA932" s="254"/>
      <c r="AB932" s="254"/>
      <c r="AC932" s="254"/>
    </row>
    <row r="933" ht="12.75" customHeight="1" spans="1:29">
      <c r="A933" s="254"/>
      <c r="B933" s="254"/>
      <c r="C933" s="254"/>
      <c r="D933" s="276"/>
      <c r="E933" s="254"/>
      <c r="F933" s="254"/>
      <c r="G933" s="254"/>
      <c r="H933" s="254"/>
      <c r="I933" s="254"/>
      <c r="J933" s="254"/>
      <c r="K933" s="254"/>
      <c r="L933" s="254"/>
      <c r="M933" s="254"/>
      <c r="N933" s="254"/>
      <c r="O933" s="254"/>
      <c r="P933" s="254"/>
      <c r="Q933" s="254"/>
      <c r="R933" s="254"/>
      <c r="S933" s="254"/>
      <c r="T933" s="254"/>
      <c r="U933" s="254"/>
      <c r="V933" s="254"/>
      <c r="W933" s="254"/>
      <c r="X933" s="254"/>
      <c r="Y933" s="254"/>
      <c r="Z933" s="254"/>
      <c r="AA933" s="254"/>
      <c r="AB933" s="254"/>
      <c r="AC933" s="254"/>
    </row>
    <row r="934" ht="12.75" customHeight="1" spans="1:29">
      <c r="A934" s="254"/>
      <c r="B934" s="254"/>
      <c r="C934" s="254"/>
      <c r="D934" s="276"/>
      <c r="E934" s="254"/>
      <c r="F934" s="254"/>
      <c r="G934" s="254"/>
      <c r="H934" s="254"/>
      <c r="I934" s="254"/>
      <c r="J934" s="254"/>
      <c r="K934" s="254"/>
      <c r="L934" s="254"/>
      <c r="M934" s="254"/>
      <c r="N934" s="254"/>
      <c r="O934" s="254"/>
      <c r="P934" s="254"/>
      <c r="Q934" s="254"/>
      <c r="R934" s="254"/>
      <c r="S934" s="254"/>
      <c r="T934" s="254"/>
      <c r="U934" s="254"/>
      <c r="V934" s="254"/>
      <c r="W934" s="254"/>
      <c r="X934" s="254"/>
      <c r="Y934" s="254"/>
      <c r="Z934" s="254"/>
      <c r="AA934" s="254"/>
      <c r="AB934" s="254"/>
      <c r="AC934" s="254"/>
    </row>
    <row r="935" ht="12.75" customHeight="1" spans="1:29">
      <c r="A935" s="254"/>
      <c r="B935" s="254"/>
      <c r="C935" s="254"/>
      <c r="D935" s="276"/>
      <c r="E935" s="254"/>
      <c r="F935" s="254"/>
      <c r="G935" s="254"/>
      <c r="H935" s="254"/>
      <c r="I935" s="254"/>
      <c r="J935" s="254"/>
      <c r="K935" s="254"/>
      <c r="L935" s="254"/>
      <c r="M935" s="254"/>
      <c r="N935" s="254"/>
      <c r="O935" s="254"/>
      <c r="P935" s="254"/>
      <c r="Q935" s="254"/>
      <c r="R935" s="254"/>
      <c r="S935" s="254"/>
      <c r="T935" s="254"/>
      <c r="U935" s="254"/>
      <c r="V935" s="254"/>
      <c r="W935" s="254"/>
      <c r="X935" s="254"/>
      <c r="Y935" s="254"/>
      <c r="Z935" s="254"/>
      <c r="AA935" s="254"/>
      <c r="AB935" s="254"/>
      <c r="AC935" s="254"/>
    </row>
    <row r="936" ht="12.75" customHeight="1" spans="1:29">
      <c r="A936" s="254"/>
      <c r="B936" s="254"/>
      <c r="C936" s="254"/>
      <c r="D936" s="276"/>
      <c r="E936" s="254"/>
      <c r="F936" s="254"/>
      <c r="G936" s="254"/>
      <c r="H936" s="254"/>
      <c r="I936" s="254"/>
      <c r="J936" s="254"/>
      <c r="K936" s="254"/>
      <c r="L936" s="254"/>
      <c r="M936" s="254"/>
      <c r="N936" s="254"/>
      <c r="O936" s="254"/>
      <c r="P936" s="254"/>
      <c r="Q936" s="254"/>
      <c r="R936" s="254"/>
      <c r="S936" s="254"/>
      <c r="T936" s="254"/>
      <c r="U936" s="254"/>
      <c r="V936" s="254"/>
      <c r="W936" s="254"/>
      <c r="X936" s="254"/>
      <c r="Y936" s="254"/>
      <c r="Z936" s="254"/>
      <c r="AA936" s="254"/>
      <c r="AB936" s="254"/>
      <c r="AC936" s="254"/>
    </row>
    <row r="937" ht="12.75" customHeight="1" spans="1:29">
      <c r="A937" s="254"/>
      <c r="B937" s="254"/>
      <c r="C937" s="254"/>
      <c r="D937" s="276"/>
      <c r="E937" s="254"/>
      <c r="F937" s="254"/>
      <c r="G937" s="254"/>
      <c r="H937" s="254"/>
      <c r="I937" s="254"/>
      <c r="J937" s="254"/>
      <c r="K937" s="254"/>
      <c r="L937" s="254"/>
      <c r="M937" s="254"/>
      <c r="N937" s="254"/>
      <c r="O937" s="254"/>
      <c r="P937" s="254"/>
      <c r="Q937" s="254"/>
      <c r="R937" s="254"/>
      <c r="S937" s="254"/>
      <c r="T937" s="254"/>
      <c r="U937" s="254"/>
      <c r="V937" s="254"/>
      <c r="W937" s="254"/>
      <c r="X937" s="254"/>
      <c r="Y937" s="254"/>
      <c r="Z937" s="254"/>
      <c r="AA937" s="254"/>
      <c r="AB937" s="254"/>
      <c r="AC937" s="254"/>
    </row>
    <row r="938" ht="12.75" customHeight="1" spans="1:29">
      <c r="A938" s="254"/>
      <c r="B938" s="254"/>
      <c r="C938" s="254"/>
      <c r="D938" s="276"/>
      <c r="E938" s="254"/>
      <c r="F938" s="254"/>
      <c r="G938" s="254"/>
      <c r="H938" s="254"/>
      <c r="I938" s="254"/>
      <c r="J938" s="254"/>
      <c r="K938" s="254"/>
      <c r="L938" s="254"/>
      <c r="M938" s="254"/>
      <c r="N938" s="254"/>
      <c r="O938" s="254"/>
      <c r="P938" s="254"/>
      <c r="Q938" s="254"/>
      <c r="R938" s="254"/>
      <c r="S938" s="254"/>
      <c r="T938" s="254"/>
      <c r="U938" s="254"/>
      <c r="V938" s="254"/>
      <c r="W938" s="254"/>
      <c r="X938" s="254"/>
      <c r="Y938" s="254"/>
      <c r="Z938" s="254"/>
      <c r="AA938" s="254"/>
      <c r="AB938" s="254"/>
      <c r="AC938" s="254"/>
    </row>
    <row r="939" ht="12.75" customHeight="1" spans="1:29">
      <c r="A939" s="254"/>
      <c r="B939" s="254"/>
      <c r="C939" s="254"/>
      <c r="D939" s="276"/>
      <c r="E939" s="254"/>
      <c r="F939" s="254"/>
      <c r="G939" s="254"/>
      <c r="H939" s="254"/>
      <c r="I939" s="254"/>
      <c r="J939" s="254"/>
      <c r="K939" s="254"/>
      <c r="L939" s="254"/>
      <c r="M939" s="254"/>
      <c r="N939" s="254"/>
      <c r="O939" s="254"/>
      <c r="P939" s="254"/>
      <c r="Q939" s="254"/>
      <c r="R939" s="254"/>
      <c r="S939" s="254"/>
      <c r="T939" s="254"/>
      <c r="U939" s="254"/>
      <c r="V939" s="254"/>
      <c r="W939" s="254"/>
      <c r="X939" s="254"/>
      <c r="Y939" s="254"/>
      <c r="Z939" s="254"/>
      <c r="AA939" s="254"/>
      <c r="AB939" s="254"/>
      <c r="AC939" s="254"/>
    </row>
    <row r="940" ht="12.75" customHeight="1" spans="1:29">
      <c r="A940" s="254"/>
      <c r="B940" s="254"/>
      <c r="C940" s="254"/>
      <c r="D940" s="276"/>
      <c r="E940" s="254"/>
      <c r="F940" s="254"/>
      <c r="G940" s="254"/>
      <c r="H940" s="254"/>
      <c r="I940" s="254"/>
      <c r="J940" s="254"/>
      <c r="K940" s="254"/>
      <c r="L940" s="254"/>
      <c r="M940" s="254"/>
      <c r="N940" s="254"/>
      <c r="O940" s="254"/>
      <c r="P940" s="254"/>
      <c r="Q940" s="254"/>
      <c r="R940" s="254"/>
      <c r="S940" s="254"/>
      <c r="T940" s="254"/>
      <c r="U940" s="254"/>
      <c r="V940" s="254"/>
      <c r="W940" s="254"/>
      <c r="X940" s="254"/>
      <c r="Y940" s="254"/>
      <c r="Z940" s="254"/>
      <c r="AA940" s="254"/>
      <c r="AB940" s="254"/>
      <c r="AC940" s="254"/>
    </row>
    <row r="941" ht="12.75" customHeight="1" spans="1:29">
      <c r="A941" s="254"/>
      <c r="B941" s="254"/>
      <c r="C941" s="254"/>
      <c r="D941" s="276"/>
      <c r="E941" s="254"/>
      <c r="F941" s="254"/>
      <c r="G941" s="254"/>
      <c r="H941" s="254"/>
      <c r="I941" s="254"/>
      <c r="J941" s="254"/>
      <c r="K941" s="254"/>
      <c r="L941" s="254"/>
      <c r="M941" s="254"/>
      <c r="N941" s="254"/>
      <c r="O941" s="254"/>
      <c r="P941" s="254"/>
      <c r="Q941" s="254"/>
      <c r="R941" s="254"/>
      <c r="S941" s="254"/>
      <c r="T941" s="254"/>
      <c r="U941" s="254"/>
      <c r="V941" s="254"/>
      <c r="W941" s="254"/>
      <c r="X941" s="254"/>
      <c r="Y941" s="254"/>
      <c r="Z941" s="254"/>
      <c r="AA941" s="254"/>
      <c r="AB941" s="254"/>
      <c r="AC941" s="254"/>
    </row>
    <row r="942" ht="12.75" customHeight="1" spans="1:29">
      <c r="A942" s="254"/>
      <c r="B942" s="254"/>
      <c r="C942" s="254"/>
      <c r="D942" s="276"/>
      <c r="E942" s="254"/>
      <c r="F942" s="254"/>
      <c r="G942" s="254"/>
      <c r="H942" s="254"/>
      <c r="I942" s="254"/>
      <c r="J942" s="254"/>
      <c r="K942" s="254"/>
      <c r="L942" s="254"/>
      <c r="M942" s="254"/>
      <c r="N942" s="254"/>
      <c r="O942" s="254"/>
      <c r="P942" s="254"/>
      <c r="Q942" s="254"/>
      <c r="R942" s="254"/>
      <c r="S942" s="254"/>
      <c r="T942" s="254"/>
      <c r="U942" s="254"/>
      <c r="V942" s="254"/>
      <c r="W942" s="254"/>
      <c r="X942" s="254"/>
      <c r="Y942" s="254"/>
      <c r="Z942" s="254"/>
      <c r="AA942" s="254"/>
      <c r="AB942" s="254"/>
      <c r="AC942" s="254"/>
    </row>
    <row r="943" ht="12.75" customHeight="1" spans="1:29">
      <c r="A943" s="254"/>
      <c r="B943" s="254"/>
      <c r="C943" s="254"/>
      <c r="D943" s="276"/>
      <c r="E943" s="254"/>
      <c r="F943" s="254"/>
      <c r="G943" s="254"/>
      <c r="H943" s="254"/>
      <c r="I943" s="254"/>
      <c r="J943" s="254"/>
      <c r="K943" s="254"/>
      <c r="L943" s="254"/>
      <c r="M943" s="254"/>
      <c r="N943" s="254"/>
      <c r="O943" s="254"/>
      <c r="P943" s="254"/>
      <c r="Q943" s="254"/>
      <c r="R943" s="254"/>
      <c r="S943" s="254"/>
      <c r="T943" s="254"/>
      <c r="U943" s="254"/>
      <c r="V943" s="254"/>
      <c r="W943" s="254"/>
      <c r="X943" s="254"/>
      <c r="Y943" s="254"/>
      <c r="Z943" s="254"/>
      <c r="AA943" s="254"/>
      <c r="AB943" s="254"/>
      <c r="AC943" s="254"/>
    </row>
    <row r="944" ht="12.75" customHeight="1" spans="1:29">
      <c r="A944" s="254"/>
      <c r="B944" s="254"/>
      <c r="C944" s="254"/>
      <c r="D944" s="276"/>
      <c r="E944" s="254"/>
      <c r="F944" s="254"/>
      <c r="G944" s="254"/>
      <c r="H944" s="254"/>
      <c r="I944" s="254"/>
      <c r="J944" s="254"/>
      <c r="K944" s="254"/>
      <c r="L944" s="254"/>
      <c r="M944" s="254"/>
      <c r="N944" s="254"/>
      <c r="O944" s="254"/>
      <c r="P944" s="254"/>
      <c r="Q944" s="254"/>
      <c r="R944" s="254"/>
      <c r="S944" s="254"/>
      <c r="T944" s="254"/>
      <c r="U944" s="254"/>
      <c r="V944" s="254"/>
      <c r="W944" s="254"/>
      <c r="X944" s="254"/>
      <c r="Y944" s="254"/>
      <c r="Z944" s="254"/>
      <c r="AA944" s="254"/>
      <c r="AB944" s="254"/>
      <c r="AC944" s="254"/>
    </row>
    <row r="945" ht="12.75" customHeight="1" spans="1:29">
      <c r="A945" s="254"/>
      <c r="B945" s="254"/>
      <c r="C945" s="254"/>
      <c r="D945" s="276"/>
      <c r="E945" s="254"/>
      <c r="F945" s="254"/>
      <c r="G945" s="254"/>
      <c r="H945" s="254"/>
      <c r="I945" s="254"/>
      <c r="J945" s="254"/>
      <c r="K945" s="254"/>
      <c r="L945" s="254"/>
      <c r="M945" s="254"/>
      <c r="N945" s="254"/>
      <c r="O945" s="254"/>
      <c r="P945" s="254"/>
      <c r="Q945" s="254"/>
      <c r="R945" s="254"/>
      <c r="S945" s="254"/>
      <c r="T945" s="254"/>
      <c r="U945" s="254"/>
      <c r="V945" s="254"/>
      <c r="W945" s="254"/>
      <c r="X945" s="254"/>
      <c r="Y945" s="254"/>
      <c r="Z945" s="254"/>
      <c r="AA945" s="254"/>
      <c r="AB945" s="254"/>
      <c r="AC945" s="254"/>
    </row>
    <row r="946" ht="12.75" customHeight="1" spans="1:29">
      <c r="A946" s="254"/>
      <c r="B946" s="254"/>
      <c r="C946" s="254"/>
      <c r="D946" s="276"/>
      <c r="E946" s="254"/>
      <c r="F946" s="254"/>
      <c r="G946" s="254"/>
      <c r="H946" s="254"/>
      <c r="I946" s="254"/>
      <c r="J946" s="254"/>
      <c r="K946" s="254"/>
      <c r="L946" s="254"/>
      <c r="M946" s="254"/>
      <c r="N946" s="254"/>
      <c r="O946" s="254"/>
      <c r="P946" s="254"/>
      <c r="Q946" s="254"/>
      <c r="R946" s="254"/>
      <c r="S946" s="254"/>
      <c r="T946" s="254"/>
      <c r="U946" s="254"/>
      <c r="V946" s="254"/>
      <c r="W946" s="254"/>
      <c r="X946" s="254"/>
      <c r="Y946" s="254"/>
      <c r="Z946" s="254"/>
      <c r="AA946" s="254"/>
      <c r="AB946" s="254"/>
      <c r="AC946" s="254"/>
    </row>
    <row r="947" ht="12.75" customHeight="1" spans="1:29">
      <c r="A947" s="254"/>
      <c r="B947" s="254"/>
      <c r="C947" s="254"/>
      <c r="D947" s="276"/>
      <c r="E947" s="254"/>
      <c r="F947" s="254"/>
      <c r="G947" s="254"/>
      <c r="H947" s="254"/>
      <c r="I947" s="254"/>
      <c r="J947" s="254"/>
      <c r="K947" s="254"/>
      <c r="L947" s="254"/>
      <c r="M947" s="254"/>
      <c r="N947" s="254"/>
      <c r="O947" s="254"/>
      <c r="P947" s="254"/>
      <c r="Q947" s="254"/>
      <c r="R947" s="254"/>
      <c r="S947" s="254"/>
      <c r="T947" s="254"/>
      <c r="U947" s="254"/>
      <c r="V947" s="254"/>
      <c r="W947" s="254"/>
      <c r="X947" s="254"/>
      <c r="Y947" s="254"/>
      <c r="Z947" s="254"/>
      <c r="AA947" s="254"/>
      <c r="AB947" s="254"/>
      <c r="AC947" s="254"/>
    </row>
    <row r="948" ht="12.75" customHeight="1" spans="1:29">
      <c r="A948" s="254"/>
      <c r="B948" s="254"/>
      <c r="C948" s="254"/>
      <c r="D948" s="276"/>
      <c r="E948" s="254"/>
      <c r="F948" s="254"/>
      <c r="G948" s="254"/>
      <c r="H948" s="254"/>
      <c r="I948" s="254"/>
      <c r="J948" s="254"/>
      <c r="K948" s="254"/>
      <c r="L948" s="254"/>
      <c r="M948" s="254"/>
      <c r="N948" s="254"/>
      <c r="O948" s="254"/>
      <c r="P948" s="254"/>
      <c r="Q948" s="254"/>
      <c r="R948" s="254"/>
      <c r="S948" s="254"/>
      <c r="T948" s="254"/>
      <c r="U948" s="254"/>
      <c r="V948" s="254"/>
      <c r="W948" s="254"/>
      <c r="X948" s="254"/>
      <c r="Y948" s="254"/>
      <c r="Z948" s="254"/>
      <c r="AA948" s="254"/>
      <c r="AB948" s="254"/>
      <c r="AC948" s="254"/>
    </row>
    <row r="949" ht="12.75" customHeight="1" spans="1:29">
      <c r="A949" s="254"/>
      <c r="B949" s="254"/>
      <c r="C949" s="254"/>
      <c r="D949" s="276"/>
      <c r="E949" s="254"/>
      <c r="F949" s="254"/>
      <c r="G949" s="254"/>
      <c r="H949" s="254"/>
      <c r="I949" s="254"/>
      <c r="J949" s="254"/>
      <c r="K949" s="254"/>
      <c r="L949" s="254"/>
      <c r="M949" s="254"/>
      <c r="N949" s="254"/>
      <c r="O949" s="254"/>
      <c r="P949" s="254"/>
      <c r="Q949" s="254"/>
      <c r="R949" s="254"/>
      <c r="S949" s="254"/>
      <c r="T949" s="254"/>
      <c r="U949" s="254"/>
      <c r="V949" s="254"/>
      <c r="W949" s="254"/>
      <c r="X949" s="254"/>
      <c r="Y949" s="254"/>
      <c r="Z949" s="254"/>
      <c r="AA949" s="254"/>
      <c r="AB949" s="254"/>
      <c r="AC949" s="254"/>
    </row>
    <row r="950" ht="12.75" customHeight="1" spans="1:29">
      <c r="A950" s="254"/>
      <c r="B950" s="254"/>
      <c r="C950" s="254"/>
      <c r="D950" s="276"/>
      <c r="E950" s="254"/>
      <c r="F950" s="254"/>
      <c r="G950" s="254"/>
      <c r="H950" s="254"/>
      <c r="I950" s="254"/>
      <c r="J950" s="254"/>
      <c r="K950" s="254"/>
      <c r="L950" s="254"/>
      <c r="M950" s="254"/>
      <c r="N950" s="254"/>
      <c r="O950" s="254"/>
      <c r="P950" s="254"/>
      <c r="Q950" s="254"/>
      <c r="R950" s="254"/>
      <c r="S950" s="254"/>
      <c r="T950" s="254"/>
      <c r="U950" s="254"/>
      <c r="V950" s="254"/>
      <c r="W950" s="254"/>
      <c r="X950" s="254"/>
      <c r="Y950" s="254"/>
      <c r="Z950" s="254"/>
      <c r="AA950" s="254"/>
      <c r="AB950" s="254"/>
      <c r="AC950" s="254"/>
    </row>
    <row r="951" ht="12.75" customHeight="1" spans="1:29">
      <c r="A951" s="254"/>
      <c r="B951" s="254"/>
      <c r="C951" s="254"/>
      <c r="D951" s="276"/>
      <c r="E951" s="254"/>
      <c r="F951" s="254"/>
      <c r="G951" s="254"/>
      <c r="H951" s="254"/>
      <c r="I951" s="254"/>
      <c r="J951" s="254"/>
      <c r="K951" s="254"/>
      <c r="L951" s="254"/>
      <c r="M951" s="254"/>
      <c r="N951" s="254"/>
      <c r="O951" s="254"/>
      <c r="P951" s="254"/>
      <c r="Q951" s="254"/>
      <c r="R951" s="254"/>
      <c r="S951" s="254"/>
      <c r="T951" s="254"/>
      <c r="U951" s="254"/>
      <c r="V951" s="254"/>
      <c r="W951" s="254"/>
      <c r="X951" s="254"/>
      <c r="Y951" s="254"/>
      <c r="Z951" s="254"/>
      <c r="AA951" s="254"/>
      <c r="AB951" s="254"/>
      <c r="AC951" s="254"/>
    </row>
    <row r="952" ht="12.75" customHeight="1" spans="1:29">
      <c r="A952" s="254"/>
      <c r="B952" s="254"/>
      <c r="C952" s="254"/>
      <c r="D952" s="276"/>
      <c r="E952" s="254"/>
      <c r="F952" s="254"/>
      <c r="G952" s="254"/>
      <c r="H952" s="254"/>
      <c r="I952" s="254"/>
      <c r="J952" s="254"/>
      <c r="K952" s="254"/>
      <c r="L952" s="254"/>
      <c r="M952" s="254"/>
      <c r="N952" s="254"/>
      <c r="O952" s="254"/>
      <c r="P952" s="254"/>
      <c r="Q952" s="254"/>
      <c r="R952" s="254"/>
      <c r="S952" s="254"/>
      <c r="T952" s="254"/>
      <c r="U952" s="254"/>
      <c r="V952" s="254"/>
      <c r="W952" s="254"/>
      <c r="X952" s="254"/>
      <c r="Y952" s="254"/>
      <c r="Z952" s="254"/>
      <c r="AA952" s="254"/>
      <c r="AB952" s="254"/>
      <c r="AC952" s="254"/>
    </row>
    <row r="953" ht="12.75" customHeight="1" spans="1:29">
      <c r="A953" s="254"/>
      <c r="B953" s="254"/>
      <c r="C953" s="254"/>
      <c r="D953" s="276"/>
      <c r="E953" s="254"/>
      <c r="F953" s="254"/>
      <c r="G953" s="254"/>
      <c r="H953" s="254"/>
      <c r="I953" s="254"/>
      <c r="J953" s="254"/>
      <c r="K953" s="254"/>
      <c r="L953" s="254"/>
      <c r="M953" s="254"/>
      <c r="N953" s="254"/>
      <c r="O953" s="254"/>
      <c r="P953" s="254"/>
      <c r="Q953" s="254"/>
      <c r="R953" s="254"/>
      <c r="S953" s="254"/>
      <c r="T953" s="254"/>
      <c r="U953" s="254"/>
      <c r="V953" s="254"/>
      <c r="W953" s="254"/>
      <c r="X953" s="254"/>
      <c r="Y953" s="254"/>
      <c r="Z953" s="254"/>
      <c r="AA953" s="254"/>
      <c r="AB953" s="254"/>
      <c r="AC953" s="254"/>
    </row>
    <row r="954" ht="12.75" customHeight="1" spans="1:29">
      <c r="A954" s="254"/>
      <c r="B954" s="254"/>
      <c r="C954" s="254"/>
      <c r="D954" s="276"/>
      <c r="E954" s="254"/>
      <c r="F954" s="254"/>
      <c r="G954" s="254"/>
      <c r="H954" s="254"/>
      <c r="I954" s="254"/>
      <c r="J954" s="254"/>
      <c r="K954" s="254"/>
      <c r="L954" s="254"/>
      <c r="M954" s="254"/>
      <c r="N954" s="254"/>
      <c r="O954" s="254"/>
      <c r="P954" s="254"/>
      <c r="Q954" s="254"/>
      <c r="R954" s="254"/>
      <c r="S954" s="254"/>
      <c r="T954" s="254"/>
      <c r="U954" s="254"/>
      <c r="V954" s="254"/>
      <c r="W954" s="254"/>
      <c r="X954" s="254"/>
      <c r="Y954" s="254"/>
      <c r="Z954" s="254"/>
      <c r="AA954" s="254"/>
      <c r="AB954" s="254"/>
      <c r="AC954" s="254"/>
    </row>
    <row r="955" ht="12.75" customHeight="1" spans="1:29">
      <c r="A955" s="254"/>
      <c r="B955" s="254"/>
      <c r="C955" s="254"/>
      <c r="D955" s="276"/>
      <c r="E955" s="254"/>
      <c r="F955" s="254"/>
      <c r="G955" s="254"/>
      <c r="H955" s="254"/>
      <c r="I955" s="254"/>
      <c r="J955" s="254"/>
      <c r="K955" s="254"/>
      <c r="L955" s="254"/>
      <c r="M955" s="254"/>
      <c r="N955" s="254"/>
      <c r="O955" s="254"/>
      <c r="P955" s="254"/>
      <c r="Q955" s="254"/>
      <c r="R955" s="254"/>
      <c r="S955" s="254"/>
      <c r="T955" s="254"/>
      <c r="U955" s="254"/>
      <c r="V955" s="254"/>
      <c r="W955" s="254"/>
      <c r="X955" s="254"/>
      <c r="Y955" s="254"/>
      <c r="Z955" s="254"/>
      <c r="AA955" s="254"/>
      <c r="AB955" s="254"/>
      <c r="AC955" s="254"/>
    </row>
    <row r="956" ht="12.75" customHeight="1" spans="1:29">
      <c r="A956" s="254"/>
      <c r="B956" s="254"/>
      <c r="C956" s="254"/>
      <c r="D956" s="276"/>
      <c r="E956" s="254"/>
      <c r="F956" s="254"/>
      <c r="G956" s="254"/>
      <c r="H956" s="254"/>
      <c r="I956" s="254"/>
      <c r="J956" s="254"/>
      <c r="K956" s="254"/>
      <c r="L956" s="254"/>
      <c r="M956" s="254"/>
      <c r="N956" s="254"/>
      <c r="O956" s="254"/>
      <c r="P956" s="254"/>
      <c r="Q956" s="254"/>
      <c r="R956" s="254"/>
      <c r="S956" s="254"/>
      <c r="T956" s="254"/>
      <c r="U956" s="254"/>
      <c r="V956" s="254"/>
      <c r="W956" s="254"/>
      <c r="X956" s="254"/>
      <c r="Y956" s="254"/>
      <c r="Z956" s="254"/>
      <c r="AA956" s="254"/>
      <c r="AB956" s="254"/>
      <c r="AC956" s="254"/>
    </row>
    <row r="957" ht="12.75" customHeight="1" spans="1:29">
      <c r="A957" s="254"/>
      <c r="B957" s="254"/>
      <c r="C957" s="254"/>
      <c r="D957" s="276"/>
      <c r="E957" s="254"/>
      <c r="F957" s="254"/>
      <c r="G957" s="254"/>
      <c r="H957" s="254"/>
      <c r="I957" s="254"/>
      <c r="J957" s="254"/>
      <c r="K957" s="254"/>
      <c r="L957" s="254"/>
      <c r="M957" s="254"/>
      <c r="N957" s="254"/>
      <c r="O957" s="254"/>
      <c r="P957" s="254"/>
      <c r="Q957" s="254"/>
      <c r="R957" s="254"/>
      <c r="S957" s="254"/>
      <c r="T957" s="254"/>
      <c r="U957" s="254"/>
      <c r="V957" s="254"/>
      <c r="W957" s="254"/>
      <c r="X957" s="254"/>
      <c r="Y957" s="254"/>
      <c r="Z957" s="254"/>
      <c r="AA957" s="254"/>
      <c r="AB957" s="254"/>
      <c r="AC957" s="254"/>
    </row>
    <row r="958" ht="12.75" customHeight="1" spans="1:29">
      <c r="A958" s="254"/>
      <c r="B958" s="254"/>
      <c r="C958" s="254"/>
      <c r="D958" s="276"/>
      <c r="E958" s="254"/>
      <c r="F958" s="254"/>
      <c r="G958" s="254"/>
      <c r="H958" s="254"/>
      <c r="I958" s="254"/>
      <c r="J958" s="254"/>
      <c r="K958" s="254"/>
      <c r="L958" s="254"/>
      <c r="M958" s="254"/>
      <c r="N958" s="254"/>
      <c r="O958" s="254"/>
      <c r="P958" s="254"/>
      <c r="Q958" s="254"/>
      <c r="R958" s="254"/>
      <c r="S958" s="254"/>
      <c r="T958" s="254"/>
      <c r="U958" s="254"/>
      <c r="V958" s="254"/>
      <c r="W958" s="254"/>
      <c r="X958" s="254"/>
      <c r="Y958" s="254"/>
      <c r="Z958" s="254"/>
      <c r="AA958" s="254"/>
      <c r="AB958" s="254"/>
      <c r="AC958" s="254"/>
    </row>
    <row r="959" ht="12.75" customHeight="1" spans="1:29">
      <c r="A959" s="254"/>
      <c r="B959" s="254"/>
      <c r="C959" s="254"/>
      <c r="D959" s="276"/>
      <c r="E959" s="254"/>
      <c r="F959" s="254"/>
      <c r="G959" s="254"/>
      <c r="H959" s="254"/>
      <c r="I959" s="254"/>
      <c r="J959" s="254"/>
      <c r="K959" s="254"/>
      <c r="L959" s="254"/>
      <c r="M959" s="254"/>
      <c r="N959" s="254"/>
      <c r="O959" s="254"/>
      <c r="P959" s="254"/>
      <c r="Q959" s="254"/>
      <c r="R959" s="254"/>
      <c r="S959" s="254"/>
      <c r="T959" s="254"/>
      <c r="U959" s="254"/>
      <c r="V959" s="254"/>
      <c r="W959" s="254"/>
      <c r="X959" s="254"/>
      <c r="Y959" s="254"/>
      <c r="Z959" s="254"/>
      <c r="AA959" s="254"/>
      <c r="AB959" s="254"/>
      <c r="AC959" s="254"/>
    </row>
    <row r="960" ht="12.75" customHeight="1" spans="1:29">
      <c r="A960" s="254"/>
      <c r="B960" s="254"/>
      <c r="C960" s="254"/>
      <c r="D960" s="276"/>
      <c r="E960" s="254"/>
      <c r="F960" s="254"/>
      <c r="G960" s="254"/>
      <c r="H960" s="254"/>
      <c r="I960" s="254"/>
      <c r="J960" s="254"/>
      <c r="K960" s="254"/>
      <c r="L960" s="254"/>
      <c r="M960" s="254"/>
      <c r="N960" s="254"/>
      <c r="O960" s="254"/>
      <c r="P960" s="254"/>
      <c r="Q960" s="254"/>
      <c r="R960" s="254"/>
      <c r="S960" s="254"/>
      <c r="T960" s="254"/>
      <c r="U960" s="254"/>
      <c r="V960" s="254"/>
      <c r="W960" s="254"/>
      <c r="X960" s="254"/>
      <c r="Y960" s="254"/>
      <c r="Z960" s="254"/>
      <c r="AA960" s="254"/>
      <c r="AB960" s="254"/>
      <c r="AC960" s="254"/>
    </row>
    <row r="961" ht="12.75" customHeight="1" spans="1:29">
      <c r="A961" s="254"/>
      <c r="B961" s="254"/>
      <c r="C961" s="254"/>
      <c r="D961" s="276"/>
      <c r="E961" s="254"/>
      <c r="F961" s="254"/>
      <c r="G961" s="254"/>
      <c r="H961" s="254"/>
      <c r="I961" s="254"/>
      <c r="J961" s="254"/>
      <c r="K961" s="254"/>
      <c r="L961" s="254"/>
      <c r="M961" s="254"/>
      <c r="N961" s="254"/>
      <c r="O961" s="254"/>
      <c r="P961" s="254"/>
      <c r="Q961" s="254"/>
      <c r="R961" s="254"/>
      <c r="S961" s="254"/>
      <c r="T961" s="254"/>
      <c r="U961" s="254"/>
      <c r="V961" s="254"/>
      <c r="W961" s="254"/>
      <c r="X961" s="254"/>
      <c r="Y961" s="254"/>
      <c r="Z961" s="254"/>
      <c r="AA961" s="254"/>
      <c r="AB961" s="254"/>
      <c r="AC961" s="254"/>
    </row>
    <row r="962" ht="12.75" customHeight="1" spans="1:29">
      <c r="A962" s="254"/>
      <c r="B962" s="254"/>
      <c r="C962" s="254"/>
      <c r="D962" s="276"/>
      <c r="E962" s="254"/>
      <c r="F962" s="254"/>
      <c r="G962" s="254"/>
      <c r="H962" s="254"/>
      <c r="I962" s="254"/>
      <c r="J962" s="254"/>
      <c r="K962" s="254"/>
      <c r="L962" s="254"/>
      <c r="M962" s="254"/>
      <c r="N962" s="254"/>
      <c r="O962" s="254"/>
      <c r="P962" s="254"/>
      <c r="Q962" s="254"/>
      <c r="R962" s="254"/>
      <c r="S962" s="254"/>
      <c r="T962" s="254"/>
      <c r="U962" s="254"/>
      <c r="V962" s="254"/>
      <c r="W962" s="254"/>
      <c r="X962" s="254"/>
      <c r="Y962" s="254"/>
      <c r="Z962" s="254"/>
      <c r="AA962" s="254"/>
      <c r="AB962" s="254"/>
      <c r="AC962" s="254"/>
    </row>
    <row r="963" ht="12.75" customHeight="1" spans="1:29">
      <c r="A963" s="254"/>
      <c r="B963" s="254"/>
      <c r="C963" s="254"/>
      <c r="D963" s="276"/>
      <c r="E963" s="254"/>
      <c r="F963" s="254"/>
      <c r="G963" s="254"/>
      <c r="H963" s="254"/>
      <c r="I963" s="254"/>
      <c r="J963" s="254"/>
      <c r="K963" s="254"/>
      <c r="L963" s="254"/>
      <c r="M963" s="254"/>
      <c r="N963" s="254"/>
      <c r="O963" s="254"/>
      <c r="P963" s="254"/>
      <c r="Q963" s="254"/>
      <c r="R963" s="254"/>
      <c r="S963" s="254"/>
      <c r="T963" s="254"/>
      <c r="U963" s="254"/>
      <c r="V963" s="254"/>
      <c r="W963" s="254"/>
      <c r="X963" s="254"/>
      <c r="Y963" s="254"/>
      <c r="Z963" s="254"/>
      <c r="AA963" s="254"/>
      <c r="AB963" s="254"/>
      <c r="AC963" s="254"/>
    </row>
    <row r="964" ht="12.75" customHeight="1" spans="1:29">
      <c r="A964" s="254"/>
      <c r="B964" s="254"/>
      <c r="C964" s="254"/>
      <c r="D964" s="276"/>
      <c r="E964" s="254"/>
      <c r="F964" s="254"/>
      <c r="G964" s="254"/>
      <c r="H964" s="254"/>
      <c r="I964" s="254"/>
      <c r="J964" s="254"/>
      <c r="K964" s="254"/>
      <c r="L964" s="254"/>
      <c r="M964" s="254"/>
      <c r="N964" s="254"/>
      <c r="O964" s="254"/>
      <c r="P964" s="254"/>
      <c r="Q964" s="254"/>
      <c r="R964" s="254"/>
      <c r="S964" s="254"/>
      <c r="T964" s="254"/>
      <c r="U964" s="254"/>
      <c r="V964" s="254"/>
      <c r="W964" s="254"/>
      <c r="X964" s="254"/>
      <c r="Y964" s="254"/>
      <c r="Z964" s="254"/>
      <c r="AA964" s="254"/>
      <c r="AB964" s="254"/>
      <c r="AC964" s="254"/>
    </row>
    <row r="965" ht="12.75" customHeight="1" spans="1:29">
      <c r="A965" s="254"/>
      <c r="B965" s="254"/>
      <c r="C965" s="254"/>
      <c r="D965" s="276"/>
      <c r="E965" s="254"/>
      <c r="F965" s="254"/>
      <c r="G965" s="254"/>
      <c r="H965" s="254"/>
      <c r="I965" s="254"/>
      <c r="J965" s="254"/>
      <c r="K965" s="254"/>
      <c r="L965" s="254"/>
      <c r="M965" s="254"/>
      <c r="N965" s="254"/>
      <c r="O965" s="254"/>
      <c r="P965" s="254"/>
      <c r="Q965" s="254"/>
      <c r="R965" s="254"/>
      <c r="S965" s="254"/>
      <c r="T965" s="254"/>
      <c r="U965" s="254"/>
      <c r="V965" s="254"/>
      <c r="W965" s="254"/>
      <c r="X965" s="254"/>
      <c r="Y965" s="254"/>
      <c r="Z965" s="254"/>
      <c r="AA965" s="254"/>
      <c r="AB965" s="254"/>
      <c r="AC965" s="254"/>
    </row>
    <row r="966" ht="12.75" customHeight="1" spans="1:29">
      <c r="A966" s="254"/>
      <c r="B966" s="254"/>
      <c r="C966" s="254"/>
      <c r="D966" s="276"/>
      <c r="E966" s="254"/>
      <c r="F966" s="254"/>
      <c r="G966" s="254"/>
      <c r="H966" s="254"/>
      <c r="I966" s="254"/>
      <c r="J966" s="254"/>
      <c r="K966" s="254"/>
      <c r="L966" s="254"/>
      <c r="M966" s="254"/>
      <c r="N966" s="254"/>
      <c r="O966" s="254"/>
      <c r="P966" s="254"/>
      <c r="Q966" s="254"/>
      <c r="R966" s="254"/>
      <c r="S966" s="254"/>
      <c r="T966" s="254"/>
      <c r="U966" s="254"/>
      <c r="V966" s="254"/>
      <c r="W966" s="254"/>
      <c r="X966" s="254"/>
      <c r="Y966" s="254"/>
      <c r="Z966" s="254"/>
      <c r="AA966" s="254"/>
      <c r="AB966" s="254"/>
      <c r="AC966" s="254"/>
    </row>
    <row r="967" ht="12.75" customHeight="1" spans="1:29">
      <c r="A967" s="254"/>
      <c r="B967" s="254"/>
      <c r="C967" s="254"/>
      <c r="D967" s="276"/>
      <c r="E967" s="254"/>
      <c r="F967" s="254"/>
      <c r="G967" s="254"/>
      <c r="H967" s="254"/>
      <c r="I967" s="254"/>
      <c r="J967" s="254"/>
      <c r="K967" s="254"/>
      <c r="L967" s="254"/>
      <c r="M967" s="254"/>
      <c r="N967" s="254"/>
      <c r="O967" s="254"/>
      <c r="P967" s="254"/>
      <c r="Q967" s="254"/>
      <c r="R967" s="254"/>
      <c r="S967" s="254"/>
      <c r="T967" s="254"/>
      <c r="U967" s="254"/>
      <c r="V967" s="254"/>
      <c r="W967" s="254"/>
      <c r="X967" s="254"/>
      <c r="Y967" s="254"/>
      <c r="Z967" s="254"/>
      <c r="AA967" s="254"/>
      <c r="AB967" s="254"/>
      <c r="AC967" s="254"/>
    </row>
    <row r="968" ht="12.75" customHeight="1" spans="1:29">
      <c r="A968" s="254"/>
      <c r="B968" s="254"/>
      <c r="C968" s="254"/>
      <c r="D968" s="276"/>
      <c r="E968" s="254"/>
      <c r="F968" s="254"/>
      <c r="G968" s="254"/>
      <c r="H968" s="254"/>
      <c r="I968" s="254"/>
      <c r="J968" s="254"/>
      <c r="K968" s="254"/>
      <c r="L968" s="254"/>
      <c r="M968" s="254"/>
      <c r="N968" s="254"/>
      <c r="O968" s="254"/>
      <c r="P968" s="254"/>
      <c r="Q968" s="254"/>
      <c r="R968" s="254"/>
      <c r="S968" s="254"/>
      <c r="T968" s="254"/>
      <c r="U968" s="254"/>
      <c r="V968" s="254"/>
      <c r="W968" s="254"/>
      <c r="X968" s="254"/>
      <c r="Y968" s="254"/>
      <c r="Z968" s="254"/>
      <c r="AA968" s="254"/>
      <c r="AB968" s="254"/>
      <c r="AC968" s="254"/>
    </row>
    <row r="969" ht="12.75" customHeight="1" spans="1:29">
      <c r="A969" s="254"/>
      <c r="B969" s="254"/>
      <c r="C969" s="254"/>
      <c r="D969" s="276"/>
      <c r="E969" s="254"/>
      <c r="F969" s="254"/>
      <c r="G969" s="254"/>
      <c r="H969" s="254"/>
      <c r="I969" s="254"/>
      <c r="J969" s="254"/>
      <c r="K969" s="254"/>
      <c r="L969" s="254"/>
      <c r="M969" s="254"/>
      <c r="N969" s="254"/>
      <c r="O969" s="254"/>
      <c r="P969" s="254"/>
      <c r="Q969" s="254"/>
      <c r="R969" s="254"/>
      <c r="S969" s="254"/>
      <c r="T969" s="254"/>
      <c r="U969" s="254"/>
      <c r="V969" s="254"/>
      <c r="W969" s="254"/>
      <c r="X969" s="254"/>
      <c r="Y969" s="254"/>
      <c r="Z969" s="254"/>
      <c r="AA969" s="254"/>
      <c r="AB969" s="254"/>
      <c r="AC969" s="254"/>
    </row>
    <row r="970" ht="12.75" customHeight="1" spans="1:29">
      <c r="A970" s="254"/>
      <c r="B970" s="254"/>
      <c r="C970" s="254"/>
      <c r="D970" s="276"/>
      <c r="E970" s="254"/>
      <c r="F970" s="254"/>
      <c r="G970" s="254"/>
      <c r="H970" s="254"/>
      <c r="I970" s="254"/>
      <c r="J970" s="254"/>
      <c r="K970" s="254"/>
      <c r="L970" s="254"/>
      <c r="M970" s="254"/>
      <c r="N970" s="254"/>
      <c r="O970" s="254"/>
      <c r="P970" s="254"/>
      <c r="Q970" s="254"/>
      <c r="R970" s="254"/>
      <c r="S970" s="254"/>
      <c r="T970" s="254"/>
      <c r="U970" s="254"/>
      <c r="V970" s="254"/>
      <c r="W970" s="254"/>
      <c r="X970" s="254"/>
      <c r="Y970" s="254"/>
      <c r="Z970" s="254"/>
      <c r="AA970" s="254"/>
      <c r="AB970" s="254"/>
      <c r="AC970" s="254"/>
    </row>
    <row r="971" ht="12.75" customHeight="1" spans="1:29">
      <c r="A971" s="254"/>
      <c r="B971" s="254"/>
      <c r="C971" s="254"/>
      <c r="D971" s="276"/>
      <c r="E971" s="254"/>
      <c r="F971" s="254"/>
      <c r="G971" s="254"/>
      <c r="H971" s="254"/>
      <c r="I971" s="254"/>
      <c r="J971" s="254"/>
      <c r="K971" s="254"/>
      <c r="L971" s="254"/>
      <c r="M971" s="254"/>
      <c r="N971" s="254"/>
      <c r="O971" s="254"/>
      <c r="P971" s="254"/>
      <c r="Q971" s="254"/>
      <c r="R971" s="254"/>
      <c r="S971" s="254"/>
      <c r="T971" s="254"/>
      <c r="U971" s="254"/>
      <c r="V971" s="254"/>
      <c r="W971" s="254"/>
      <c r="X971" s="254"/>
      <c r="Y971" s="254"/>
      <c r="Z971" s="254"/>
      <c r="AA971" s="254"/>
      <c r="AB971" s="254"/>
      <c r="AC971" s="254"/>
    </row>
    <row r="972" ht="12.75" customHeight="1" spans="1:29">
      <c r="A972" s="254"/>
      <c r="B972" s="254"/>
      <c r="C972" s="254"/>
      <c r="D972" s="276"/>
      <c r="E972" s="254"/>
      <c r="F972" s="254"/>
      <c r="G972" s="254"/>
      <c r="H972" s="254"/>
      <c r="I972" s="254"/>
      <c r="J972" s="254"/>
      <c r="K972" s="254"/>
      <c r="L972" s="254"/>
      <c r="M972" s="254"/>
      <c r="N972" s="254"/>
      <c r="O972" s="254"/>
      <c r="P972" s="254"/>
      <c r="Q972" s="254"/>
      <c r="R972" s="254"/>
      <c r="S972" s="254"/>
      <c r="T972" s="254"/>
      <c r="U972" s="254"/>
      <c r="V972" s="254"/>
      <c r="W972" s="254"/>
      <c r="X972" s="254"/>
      <c r="Y972" s="254"/>
      <c r="Z972" s="254"/>
      <c r="AA972" s="254"/>
      <c r="AB972" s="254"/>
      <c r="AC972" s="254"/>
    </row>
    <row r="973" ht="12.75" customHeight="1" spans="1:29">
      <c r="A973" s="254"/>
      <c r="B973" s="254"/>
      <c r="C973" s="254"/>
      <c r="D973" s="276"/>
      <c r="E973" s="254"/>
      <c r="F973" s="254"/>
      <c r="G973" s="254"/>
      <c r="H973" s="254"/>
      <c r="I973" s="254"/>
      <c r="J973" s="254"/>
      <c r="K973" s="254"/>
      <c r="L973" s="254"/>
      <c r="M973" s="254"/>
      <c r="N973" s="254"/>
      <c r="O973" s="254"/>
      <c r="P973" s="254"/>
      <c r="Q973" s="254"/>
      <c r="R973" s="254"/>
      <c r="S973" s="254"/>
      <c r="T973" s="254"/>
      <c r="U973" s="254"/>
      <c r="V973" s="254"/>
      <c r="W973" s="254"/>
      <c r="X973" s="254"/>
      <c r="Y973" s="254"/>
      <c r="Z973" s="254"/>
      <c r="AA973" s="254"/>
      <c r="AB973" s="254"/>
      <c r="AC973" s="254"/>
    </row>
    <row r="974" ht="12.75" customHeight="1" spans="1:29">
      <c r="A974" s="254"/>
      <c r="B974" s="254"/>
      <c r="C974" s="254"/>
      <c r="D974" s="276"/>
      <c r="E974" s="254"/>
      <c r="F974" s="254"/>
      <c r="G974" s="254"/>
      <c r="H974" s="254"/>
      <c r="I974" s="254"/>
      <c r="J974" s="254"/>
      <c r="K974" s="254"/>
      <c r="L974" s="254"/>
      <c r="M974" s="254"/>
      <c r="N974" s="254"/>
      <c r="O974" s="254"/>
      <c r="P974" s="254"/>
      <c r="Q974" s="254"/>
      <c r="R974" s="254"/>
      <c r="S974" s="254"/>
      <c r="T974" s="254"/>
      <c r="U974" s="254"/>
      <c r="V974" s="254"/>
      <c r="W974" s="254"/>
      <c r="X974" s="254"/>
      <c r="Y974" s="254"/>
      <c r="Z974" s="254"/>
      <c r="AA974" s="254"/>
      <c r="AB974" s="254"/>
      <c r="AC974" s="254"/>
    </row>
    <row r="975" ht="12.75" customHeight="1" spans="1:29">
      <c r="A975" s="254"/>
      <c r="B975" s="254"/>
      <c r="C975" s="254"/>
      <c r="D975" s="276"/>
      <c r="E975" s="254"/>
      <c r="F975" s="254"/>
      <c r="G975" s="254"/>
      <c r="H975" s="254"/>
      <c r="I975" s="254"/>
      <c r="J975" s="254"/>
      <c r="K975" s="254"/>
      <c r="L975" s="254"/>
      <c r="M975" s="254"/>
      <c r="N975" s="254"/>
      <c r="O975" s="254"/>
      <c r="P975" s="254"/>
      <c r="Q975" s="254"/>
      <c r="R975" s="254"/>
      <c r="S975" s="254"/>
      <c r="T975" s="254"/>
      <c r="U975" s="254"/>
      <c r="V975" s="254"/>
      <c r="W975" s="254"/>
      <c r="X975" s="254"/>
      <c r="Y975" s="254"/>
      <c r="Z975" s="254"/>
      <c r="AA975" s="254"/>
      <c r="AB975" s="254"/>
      <c r="AC975" s="254"/>
    </row>
    <row r="976" ht="12.75" customHeight="1" spans="1:29">
      <c r="A976" s="254"/>
      <c r="B976" s="254"/>
      <c r="C976" s="254"/>
      <c r="D976" s="276"/>
      <c r="E976" s="254"/>
      <c r="F976" s="254"/>
      <c r="G976" s="254"/>
      <c r="H976" s="254"/>
      <c r="I976" s="254"/>
      <c r="J976" s="254"/>
      <c r="K976" s="254"/>
      <c r="L976" s="254"/>
      <c r="M976" s="254"/>
      <c r="N976" s="254"/>
      <c r="O976" s="254"/>
      <c r="P976" s="254"/>
      <c r="Q976" s="254"/>
      <c r="R976" s="254"/>
      <c r="S976" s="254"/>
      <c r="T976" s="254"/>
      <c r="U976" s="254"/>
      <c r="V976" s="254"/>
      <c r="W976" s="254"/>
      <c r="X976" s="254"/>
      <c r="Y976" s="254"/>
      <c r="Z976" s="254"/>
      <c r="AA976" s="254"/>
      <c r="AB976" s="254"/>
      <c r="AC976" s="254"/>
    </row>
    <row r="977" ht="12.75" customHeight="1" spans="1:29">
      <c r="A977" s="254"/>
      <c r="B977" s="254"/>
      <c r="C977" s="254"/>
      <c r="D977" s="276"/>
      <c r="E977" s="254"/>
      <c r="F977" s="254"/>
      <c r="G977" s="254"/>
      <c r="H977" s="254"/>
      <c r="I977" s="254"/>
      <c r="J977" s="254"/>
      <c r="K977" s="254"/>
      <c r="L977" s="254"/>
      <c r="M977" s="254"/>
      <c r="N977" s="254"/>
      <c r="O977" s="254"/>
      <c r="P977" s="254"/>
      <c r="Q977" s="254"/>
      <c r="R977" s="254"/>
      <c r="S977" s="254"/>
      <c r="T977" s="254"/>
      <c r="U977" s="254"/>
      <c r="V977" s="254"/>
      <c r="W977" s="254"/>
      <c r="X977" s="254"/>
      <c r="Y977" s="254"/>
      <c r="Z977" s="254"/>
      <c r="AA977" s="254"/>
      <c r="AB977" s="254"/>
      <c r="AC977" s="254"/>
    </row>
    <row r="978" ht="12.75" customHeight="1" spans="1:29">
      <c r="A978" s="254"/>
      <c r="B978" s="254"/>
      <c r="C978" s="254"/>
      <c r="D978" s="276"/>
      <c r="E978" s="254"/>
      <c r="F978" s="254"/>
      <c r="G978" s="254"/>
      <c r="H978" s="254"/>
      <c r="I978" s="254"/>
      <c r="J978" s="254"/>
      <c r="K978" s="254"/>
      <c r="L978" s="254"/>
      <c r="M978" s="254"/>
      <c r="N978" s="254"/>
      <c r="O978" s="254"/>
      <c r="P978" s="254"/>
      <c r="Q978" s="254"/>
      <c r="R978" s="254"/>
      <c r="S978" s="254"/>
      <c r="T978" s="254"/>
      <c r="U978" s="254"/>
      <c r="V978" s="254"/>
      <c r="W978" s="254"/>
      <c r="X978" s="254"/>
      <c r="Y978" s="254"/>
      <c r="Z978" s="254"/>
      <c r="AA978" s="254"/>
      <c r="AB978" s="254"/>
      <c r="AC978" s="254"/>
    </row>
    <row r="979" ht="12.75" customHeight="1" spans="1:29">
      <c r="A979" s="254"/>
      <c r="B979" s="254"/>
      <c r="C979" s="254"/>
      <c r="D979" s="276"/>
      <c r="E979" s="254"/>
      <c r="F979" s="254"/>
      <c r="G979" s="254"/>
      <c r="H979" s="254"/>
      <c r="I979" s="254"/>
      <c r="J979" s="254"/>
      <c r="K979" s="254"/>
      <c r="L979" s="254"/>
      <c r="M979" s="254"/>
      <c r="N979" s="254"/>
      <c r="O979" s="254"/>
      <c r="P979" s="254"/>
      <c r="Q979" s="254"/>
      <c r="R979" s="254"/>
      <c r="S979" s="254"/>
      <c r="T979" s="254"/>
      <c r="U979" s="254"/>
      <c r="V979" s="254"/>
      <c r="W979" s="254"/>
      <c r="X979" s="254"/>
      <c r="Y979" s="254"/>
      <c r="Z979" s="254"/>
      <c r="AA979" s="254"/>
      <c r="AB979" s="254"/>
      <c r="AC979" s="254"/>
    </row>
    <row r="980" ht="12.75" customHeight="1" spans="1:29">
      <c r="A980" s="254"/>
      <c r="B980" s="254"/>
      <c r="C980" s="254"/>
      <c r="D980" s="276"/>
      <c r="E980" s="254"/>
      <c r="F980" s="254"/>
      <c r="G980" s="254"/>
      <c r="H980" s="254"/>
      <c r="I980" s="254"/>
      <c r="J980" s="254"/>
      <c r="K980" s="254"/>
      <c r="L980" s="254"/>
      <c r="M980" s="254"/>
      <c r="N980" s="254"/>
      <c r="O980" s="254"/>
      <c r="P980" s="254"/>
      <c r="Q980" s="254"/>
      <c r="R980" s="254"/>
      <c r="S980" s="254"/>
      <c r="T980" s="254"/>
      <c r="U980" s="254"/>
      <c r="V980" s="254"/>
      <c r="W980" s="254"/>
      <c r="X980" s="254"/>
      <c r="Y980" s="254"/>
      <c r="Z980" s="254"/>
      <c r="AA980" s="254"/>
      <c r="AB980" s="254"/>
      <c r="AC980" s="254"/>
    </row>
    <row r="981" ht="12.75" customHeight="1" spans="1:29">
      <c r="A981" s="254"/>
      <c r="B981" s="254"/>
      <c r="C981" s="254"/>
      <c r="D981" s="276"/>
      <c r="E981" s="254"/>
      <c r="F981" s="254"/>
      <c r="G981" s="254"/>
      <c r="H981" s="254"/>
      <c r="I981" s="254"/>
      <c r="J981" s="254"/>
      <c r="K981" s="254"/>
      <c r="L981" s="254"/>
      <c r="M981" s="254"/>
      <c r="N981" s="254"/>
      <c r="O981" s="254"/>
      <c r="P981" s="254"/>
      <c r="Q981" s="254"/>
      <c r="R981" s="254"/>
      <c r="S981" s="254"/>
      <c r="T981" s="254"/>
      <c r="U981" s="254"/>
      <c r="V981" s="254"/>
      <c r="W981" s="254"/>
      <c r="X981" s="254"/>
      <c r="Y981" s="254"/>
      <c r="Z981" s="254"/>
      <c r="AA981" s="254"/>
      <c r="AB981" s="254"/>
      <c r="AC981" s="254"/>
    </row>
    <row r="982" ht="12.75" customHeight="1" spans="1:29">
      <c r="A982" s="254"/>
      <c r="B982" s="254"/>
      <c r="C982" s="254"/>
      <c r="D982" s="276"/>
      <c r="E982" s="254"/>
      <c r="F982" s="254"/>
      <c r="G982" s="254"/>
      <c r="H982" s="254"/>
      <c r="I982" s="254"/>
      <c r="J982" s="254"/>
      <c r="K982" s="254"/>
      <c r="L982" s="254"/>
      <c r="M982" s="254"/>
      <c r="N982" s="254"/>
      <c r="O982" s="254"/>
      <c r="P982" s="254"/>
      <c r="Q982" s="254"/>
      <c r="R982" s="254"/>
      <c r="S982" s="254"/>
      <c r="T982" s="254"/>
      <c r="U982" s="254"/>
      <c r="V982" s="254"/>
      <c r="W982" s="254"/>
      <c r="X982" s="254"/>
      <c r="Y982" s="254"/>
      <c r="Z982" s="254"/>
      <c r="AA982" s="254"/>
      <c r="AB982" s="254"/>
      <c r="AC982" s="254"/>
    </row>
    <row r="983" ht="12.75" customHeight="1" spans="1:29">
      <c r="A983" s="254"/>
      <c r="B983" s="254"/>
      <c r="C983" s="254"/>
      <c r="D983" s="276"/>
      <c r="E983" s="254"/>
      <c r="F983" s="254"/>
      <c r="G983" s="254"/>
      <c r="H983" s="254"/>
      <c r="I983" s="254"/>
      <c r="J983" s="254"/>
      <c r="K983" s="254"/>
      <c r="L983" s="254"/>
      <c r="M983" s="254"/>
      <c r="N983" s="254"/>
      <c r="O983" s="254"/>
      <c r="P983" s="254"/>
      <c r="Q983" s="254"/>
      <c r="R983" s="254"/>
      <c r="S983" s="254"/>
      <c r="T983" s="254"/>
      <c r="U983" s="254"/>
      <c r="V983" s="254"/>
      <c r="W983" s="254"/>
      <c r="X983" s="254"/>
      <c r="Y983" s="254"/>
      <c r="Z983" s="254"/>
      <c r="AA983" s="254"/>
      <c r="AB983" s="254"/>
      <c r="AC983" s="254"/>
    </row>
    <row r="984" ht="12.75" customHeight="1" spans="1:29">
      <c r="A984" s="254"/>
      <c r="B984" s="254"/>
      <c r="C984" s="254"/>
      <c r="D984" s="276"/>
      <c r="E984" s="254"/>
      <c r="F984" s="254"/>
      <c r="G984" s="254"/>
      <c r="H984" s="254"/>
      <c r="I984" s="254"/>
      <c r="J984" s="254"/>
      <c r="K984" s="254"/>
      <c r="L984" s="254"/>
      <c r="M984" s="254"/>
      <c r="N984" s="254"/>
      <c r="O984" s="254"/>
      <c r="P984" s="254"/>
      <c r="Q984" s="254"/>
      <c r="R984" s="254"/>
      <c r="S984" s="254"/>
      <c r="T984" s="254"/>
      <c r="U984" s="254"/>
      <c r="V984" s="254"/>
      <c r="W984" s="254"/>
      <c r="X984" s="254"/>
      <c r="Y984" s="254"/>
      <c r="Z984" s="254"/>
      <c r="AA984" s="254"/>
      <c r="AB984" s="254"/>
      <c r="AC984" s="254"/>
    </row>
    <row r="985" ht="12.75" customHeight="1" spans="1:29">
      <c r="A985" s="254"/>
      <c r="B985" s="254"/>
      <c r="C985" s="254"/>
      <c r="D985" s="276"/>
      <c r="E985" s="254"/>
      <c r="F985" s="254"/>
      <c r="G985" s="254"/>
      <c r="H985" s="254"/>
      <c r="I985" s="254"/>
      <c r="J985" s="254"/>
      <c r="K985" s="254"/>
      <c r="L985" s="254"/>
      <c r="M985" s="254"/>
      <c r="N985" s="254"/>
      <c r="O985" s="254"/>
      <c r="P985" s="254"/>
      <c r="Q985" s="254"/>
      <c r="R985" s="254"/>
      <c r="S985" s="254"/>
      <c r="T985" s="254"/>
      <c r="U985" s="254"/>
      <c r="V985" s="254"/>
      <c r="W985" s="254"/>
      <c r="X985" s="254"/>
      <c r="Y985" s="254"/>
      <c r="Z985" s="254"/>
      <c r="AA985" s="254"/>
      <c r="AB985" s="254"/>
      <c r="AC985" s="254"/>
    </row>
    <row r="986" ht="12.75" customHeight="1" spans="1:29">
      <c r="A986" s="254"/>
      <c r="B986" s="254"/>
      <c r="C986" s="254"/>
      <c r="D986" s="276"/>
      <c r="E986" s="254"/>
      <c r="F986" s="254"/>
      <c r="G986" s="254"/>
      <c r="H986" s="254"/>
      <c r="I986" s="254"/>
      <c r="J986" s="254"/>
      <c r="K986" s="254"/>
      <c r="L986" s="254"/>
      <c r="M986" s="254"/>
      <c r="N986" s="254"/>
      <c r="O986" s="254"/>
      <c r="P986" s="254"/>
      <c r="Q986" s="254"/>
      <c r="R986" s="254"/>
      <c r="S986" s="254"/>
      <c r="T986" s="254"/>
      <c r="U986" s="254"/>
      <c r="V986" s="254"/>
      <c r="W986" s="254"/>
      <c r="X986" s="254"/>
      <c r="Y986" s="254"/>
      <c r="Z986" s="254"/>
      <c r="AA986" s="254"/>
      <c r="AB986" s="254"/>
      <c r="AC986" s="254"/>
    </row>
    <row r="987" ht="12.75" customHeight="1" spans="1:29">
      <c r="A987" s="254"/>
      <c r="B987" s="254"/>
      <c r="C987" s="254"/>
      <c r="D987" s="276"/>
      <c r="E987" s="254"/>
      <c r="F987" s="254"/>
      <c r="G987" s="254"/>
      <c r="H987" s="254"/>
      <c r="I987" s="254"/>
      <c r="J987" s="254"/>
      <c r="K987" s="254"/>
      <c r="L987" s="254"/>
      <c r="M987" s="254"/>
      <c r="N987" s="254"/>
      <c r="O987" s="254"/>
      <c r="P987" s="254"/>
      <c r="Q987" s="254"/>
      <c r="R987" s="254"/>
      <c r="S987" s="254"/>
      <c r="T987" s="254"/>
      <c r="U987" s="254"/>
      <c r="V987" s="254"/>
      <c r="W987" s="254"/>
      <c r="X987" s="254"/>
      <c r="Y987" s="254"/>
      <c r="Z987" s="254"/>
      <c r="AA987" s="254"/>
      <c r="AB987" s="254"/>
      <c r="AC987" s="254"/>
    </row>
    <row r="988" ht="12.75" customHeight="1" spans="1:29">
      <c r="A988" s="254"/>
      <c r="B988" s="254"/>
      <c r="C988" s="254"/>
      <c r="D988" s="276"/>
      <c r="E988" s="254"/>
      <c r="F988" s="254"/>
      <c r="G988" s="254"/>
      <c r="H988" s="254"/>
      <c r="I988" s="254"/>
      <c r="J988" s="254"/>
      <c r="K988" s="254"/>
      <c r="L988" s="254"/>
      <c r="M988" s="254"/>
      <c r="N988" s="254"/>
      <c r="O988" s="254"/>
      <c r="P988" s="254"/>
      <c r="Q988" s="254"/>
      <c r="R988" s="254"/>
      <c r="S988" s="254"/>
      <c r="T988" s="254"/>
      <c r="U988" s="254"/>
      <c r="V988" s="254"/>
      <c r="W988" s="254"/>
      <c r="X988" s="254"/>
      <c r="Y988" s="254"/>
      <c r="Z988" s="254"/>
      <c r="AA988" s="254"/>
      <c r="AB988" s="254"/>
      <c r="AC988" s="254"/>
    </row>
    <row r="989" ht="12.75" customHeight="1" spans="1:29">
      <c r="A989" s="254"/>
      <c r="B989" s="254"/>
      <c r="C989" s="254"/>
      <c r="D989" s="276"/>
      <c r="E989" s="254"/>
      <c r="F989" s="254"/>
      <c r="G989" s="254"/>
      <c r="H989" s="254"/>
      <c r="I989" s="254"/>
      <c r="J989" s="254"/>
      <c r="K989" s="254"/>
      <c r="L989" s="254"/>
      <c r="M989" s="254"/>
      <c r="N989" s="254"/>
      <c r="O989" s="254"/>
      <c r="P989" s="254"/>
      <c r="Q989" s="254"/>
      <c r="R989" s="254"/>
      <c r="S989" s="254"/>
      <c r="T989" s="254"/>
      <c r="U989" s="254"/>
      <c r="V989" s="254"/>
      <c r="W989" s="254"/>
      <c r="X989" s="254"/>
      <c r="Y989" s="254"/>
      <c r="Z989" s="254"/>
      <c r="AA989" s="254"/>
      <c r="AB989" s="254"/>
      <c r="AC989" s="254"/>
    </row>
    <row r="990" ht="12.75" customHeight="1" spans="1:29">
      <c r="A990" s="254"/>
      <c r="B990" s="254"/>
      <c r="C990" s="254"/>
      <c r="D990" s="276"/>
      <c r="E990" s="254"/>
      <c r="F990" s="254"/>
      <c r="G990" s="254"/>
      <c r="H990" s="254"/>
      <c r="I990" s="254"/>
      <c r="J990" s="254"/>
      <c r="K990" s="254"/>
      <c r="L990" s="254"/>
      <c r="M990" s="254"/>
      <c r="N990" s="254"/>
      <c r="O990" s="254"/>
      <c r="P990" s="254"/>
      <c r="Q990" s="254"/>
      <c r="R990" s="254"/>
      <c r="S990" s="254"/>
      <c r="T990" s="254"/>
      <c r="U990" s="254"/>
      <c r="V990" s="254"/>
      <c r="W990" s="254"/>
      <c r="X990" s="254"/>
      <c r="Y990" s="254"/>
      <c r="Z990" s="254"/>
      <c r="AA990" s="254"/>
      <c r="AB990" s="254"/>
      <c r="AC990" s="254"/>
    </row>
    <row r="991" ht="12.75" customHeight="1" spans="1:29">
      <c r="A991" s="254"/>
      <c r="B991" s="254"/>
      <c r="C991" s="254"/>
      <c r="D991" s="276"/>
      <c r="E991" s="254"/>
      <c r="F991" s="254"/>
      <c r="G991" s="254"/>
      <c r="H991" s="254"/>
      <c r="I991" s="254"/>
      <c r="J991" s="254"/>
      <c r="K991" s="254"/>
      <c r="L991" s="254"/>
      <c r="M991" s="254"/>
      <c r="N991" s="254"/>
      <c r="O991" s="254"/>
      <c r="P991" s="254"/>
      <c r="Q991" s="254"/>
      <c r="R991" s="254"/>
      <c r="S991" s="254"/>
      <c r="T991" s="254"/>
      <c r="U991" s="254"/>
      <c r="V991" s="254"/>
      <c r="W991" s="254"/>
      <c r="X991" s="254"/>
      <c r="Y991" s="254"/>
      <c r="Z991" s="254"/>
      <c r="AA991" s="254"/>
      <c r="AB991" s="254"/>
      <c r="AC991" s="254"/>
    </row>
    <row r="992" ht="12.75" customHeight="1" spans="1:29">
      <c r="A992" s="254"/>
      <c r="B992" s="254"/>
      <c r="C992" s="254"/>
      <c r="D992" s="276"/>
      <c r="E992" s="254"/>
      <c r="F992" s="254"/>
      <c r="G992" s="254"/>
      <c r="H992" s="254"/>
      <c r="I992" s="254"/>
      <c r="J992" s="254"/>
      <c r="K992" s="254"/>
      <c r="L992" s="254"/>
      <c r="M992" s="254"/>
      <c r="N992" s="254"/>
      <c r="O992" s="254"/>
      <c r="P992" s="254"/>
      <c r="Q992" s="254"/>
      <c r="R992" s="254"/>
      <c r="S992" s="254"/>
      <c r="T992" s="254"/>
      <c r="U992" s="254"/>
      <c r="V992" s="254"/>
      <c r="W992" s="254"/>
      <c r="X992" s="254"/>
      <c r="Y992" s="254"/>
      <c r="Z992" s="254"/>
      <c r="AA992" s="254"/>
      <c r="AB992" s="254"/>
      <c r="AC992" s="254"/>
    </row>
    <row r="993" ht="12.75" customHeight="1" spans="1:29">
      <c r="A993" s="254"/>
      <c r="B993" s="254"/>
      <c r="C993" s="254"/>
      <c r="D993" s="276"/>
      <c r="E993" s="254"/>
      <c r="F993" s="254"/>
      <c r="G993" s="254"/>
      <c r="H993" s="254"/>
      <c r="I993" s="254"/>
      <c r="J993" s="254"/>
      <c r="K993" s="254"/>
      <c r="L993" s="254"/>
      <c r="M993" s="254"/>
      <c r="N993" s="254"/>
      <c r="O993" s="254"/>
      <c r="P993" s="254"/>
      <c r="Q993" s="254"/>
      <c r="R993" s="254"/>
      <c r="S993" s="254"/>
      <c r="T993" s="254"/>
      <c r="U993" s="254"/>
      <c r="V993" s="254"/>
      <c r="W993" s="254"/>
      <c r="X993" s="254"/>
      <c r="Y993" s="254"/>
      <c r="Z993" s="254"/>
      <c r="AA993" s="254"/>
      <c r="AB993" s="254"/>
      <c r="AC993" s="254"/>
    </row>
    <row r="994" ht="12.75" customHeight="1" spans="1:29">
      <c r="A994" s="254"/>
      <c r="B994" s="254"/>
      <c r="C994" s="254"/>
      <c r="D994" s="276"/>
      <c r="E994" s="254"/>
      <c r="F994" s="254"/>
      <c r="G994" s="254"/>
      <c r="H994" s="254"/>
      <c r="I994" s="254"/>
      <c r="J994" s="254"/>
      <c r="K994" s="254"/>
      <c r="L994" s="254"/>
      <c r="M994" s="254"/>
      <c r="N994" s="254"/>
      <c r="O994" s="254"/>
      <c r="P994" s="254"/>
      <c r="Q994" s="254"/>
      <c r="R994" s="254"/>
      <c r="S994" s="254"/>
      <c r="T994" s="254"/>
      <c r="U994" s="254"/>
      <c r="V994" s="254"/>
      <c r="W994" s="254"/>
      <c r="X994" s="254"/>
      <c r="Y994" s="254"/>
      <c r="Z994" s="254"/>
      <c r="AA994" s="254"/>
      <c r="AB994" s="254"/>
      <c r="AC994" s="254"/>
    </row>
    <row r="995" ht="12.75" customHeight="1" spans="1:29">
      <c r="A995" s="254"/>
      <c r="B995" s="254"/>
      <c r="C995" s="254"/>
      <c r="D995" s="276"/>
      <c r="E995" s="254"/>
      <c r="F995" s="254"/>
      <c r="G995" s="254"/>
      <c r="H995" s="254"/>
      <c r="I995" s="254"/>
      <c r="J995" s="254"/>
      <c r="K995" s="254"/>
      <c r="L995" s="254"/>
      <c r="M995" s="254"/>
      <c r="N995" s="254"/>
      <c r="O995" s="254"/>
      <c r="P995" s="254"/>
      <c r="Q995" s="254"/>
      <c r="R995" s="254"/>
      <c r="S995" s="254"/>
      <c r="T995" s="254"/>
      <c r="U995" s="254"/>
      <c r="V995" s="254"/>
      <c r="W995" s="254"/>
      <c r="X995" s="254"/>
      <c r="Y995" s="254"/>
      <c r="Z995" s="254"/>
      <c r="AA995" s="254"/>
      <c r="AB995" s="254"/>
      <c r="AC995" s="254"/>
    </row>
    <row r="996" ht="12.75" customHeight="1" spans="1:29">
      <c r="A996" s="254"/>
      <c r="B996" s="254"/>
      <c r="C996" s="254"/>
      <c r="D996" s="276"/>
      <c r="E996" s="254"/>
      <c r="F996" s="254"/>
      <c r="G996" s="254"/>
      <c r="H996" s="254"/>
      <c r="I996" s="254"/>
      <c r="J996" s="254"/>
      <c r="K996" s="254"/>
      <c r="L996" s="254"/>
      <c r="M996" s="254"/>
      <c r="N996" s="254"/>
      <c r="O996" s="254"/>
      <c r="P996" s="254"/>
      <c r="Q996" s="254"/>
      <c r="R996" s="254"/>
      <c r="S996" s="254"/>
      <c r="T996" s="254"/>
      <c r="U996" s="254"/>
      <c r="V996" s="254"/>
      <c r="W996" s="254"/>
      <c r="X996" s="254"/>
      <c r="Y996" s="254"/>
      <c r="Z996" s="254"/>
      <c r="AA996" s="254"/>
      <c r="AB996" s="254"/>
      <c r="AC996" s="254"/>
    </row>
    <row r="997" ht="12.75" customHeight="1" spans="1:29">
      <c r="A997" s="254"/>
      <c r="B997" s="254"/>
      <c r="C997" s="254"/>
      <c r="D997" s="276"/>
      <c r="E997" s="254"/>
      <c r="F997" s="254"/>
      <c r="G997" s="254"/>
      <c r="H997" s="254"/>
      <c r="I997" s="254"/>
      <c r="J997" s="254"/>
      <c r="K997" s="254"/>
      <c r="L997" s="254"/>
      <c r="M997" s="254"/>
      <c r="N997" s="254"/>
      <c r="O997" s="254"/>
      <c r="P997" s="254"/>
      <c r="Q997" s="254"/>
      <c r="R997" s="254"/>
      <c r="S997" s="254"/>
      <c r="T997" s="254"/>
      <c r="U997" s="254"/>
      <c r="V997" s="254"/>
      <c r="W997" s="254"/>
      <c r="X997" s="254"/>
      <c r="Y997" s="254"/>
      <c r="Z997" s="254"/>
      <c r="AA997" s="254"/>
      <c r="AB997" s="254"/>
      <c r="AC997" s="254"/>
    </row>
    <row r="998" ht="12.75" customHeight="1" spans="1:29">
      <c r="A998" s="254"/>
      <c r="B998" s="254"/>
      <c r="C998" s="254"/>
      <c r="D998" s="276"/>
      <c r="E998" s="254"/>
      <c r="F998" s="254"/>
      <c r="G998" s="254"/>
      <c r="H998" s="254"/>
      <c r="I998" s="254"/>
      <c r="J998" s="254"/>
      <c r="K998" s="254"/>
      <c r="L998" s="254"/>
      <c r="M998" s="254"/>
      <c r="N998" s="254"/>
      <c r="O998" s="254"/>
      <c r="P998" s="254"/>
      <c r="Q998" s="254"/>
      <c r="R998" s="254"/>
      <c r="S998" s="254"/>
      <c r="T998" s="254"/>
      <c r="U998" s="254"/>
      <c r="V998" s="254"/>
      <c r="W998" s="254"/>
      <c r="X998" s="254"/>
      <c r="Y998" s="254"/>
      <c r="Z998" s="254"/>
      <c r="AA998" s="254"/>
      <c r="AB998" s="254"/>
      <c r="AC998" s="254"/>
    </row>
    <row r="999" ht="12.75" customHeight="1" spans="1:29">
      <c r="A999" s="254"/>
      <c r="B999" s="254"/>
      <c r="C999" s="254"/>
      <c r="D999" s="276"/>
      <c r="E999" s="254"/>
      <c r="F999" s="254"/>
      <c r="G999" s="254"/>
      <c r="H999" s="254"/>
      <c r="I999" s="254"/>
      <c r="J999" s="254"/>
      <c r="K999" s="254"/>
      <c r="L999" s="254"/>
      <c r="M999" s="254"/>
      <c r="N999" s="254"/>
      <c r="O999" s="254"/>
      <c r="P999" s="254"/>
      <c r="Q999" s="254"/>
      <c r="R999" s="254"/>
      <c r="S999" s="254"/>
      <c r="T999" s="254"/>
      <c r="U999" s="254"/>
      <c r="V999" s="254"/>
      <c r="W999" s="254"/>
      <c r="X999" s="254"/>
      <c r="Y999" s="254"/>
      <c r="Z999" s="254"/>
      <c r="AA999" s="254"/>
      <c r="AB999" s="254"/>
      <c r="AC999" s="254"/>
    </row>
    <row r="1000" ht="12.75" customHeight="1" spans="1:29">
      <c r="A1000" s="254"/>
      <c r="B1000" s="254"/>
      <c r="C1000" s="254"/>
      <c r="D1000" s="276"/>
      <c r="E1000" s="254"/>
      <c r="F1000" s="254"/>
      <c r="G1000" s="254"/>
      <c r="H1000" s="254"/>
      <c r="I1000" s="254"/>
      <c r="J1000" s="254"/>
      <c r="K1000" s="254"/>
      <c r="L1000" s="254"/>
      <c r="M1000" s="254"/>
      <c r="N1000" s="254"/>
      <c r="O1000" s="254"/>
      <c r="P1000" s="254"/>
      <c r="Q1000" s="254"/>
      <c r="R1000" s="254"/>
      <c r="S1000" s="254"/>
      <c r="T1000" s="254"/>
      <c r="U1000" s="254"/>
      <c r="V1000" s="254"/>
      <c r="W1000" s="254"/>
      <c r="X1000" s="254"/>
      <c r="Y1000" s="254"/>
      <c r="Z1000" s="254"/>
      <c r="AA1000" s="254"/>
      <c r="AB1000" s="254"/>
      <c r="AC1000" s="254"/>
    </row>
  </sheetData>
  <mergeCells count="20">
    <mergeCell ref="A1:I1"/>
    <mergeCell ref="A2:I2"/>
    <mergeCell ref="A3:D3"/>
    <mergeCell ref="E3:G3"/>
    <mergeCell ref="H3:I3"/>
    <mergeCell ref="A4:D4"/>
    <mergeCell ref="E4:G4"/>
    <mergeCell ref="H4:I4"/>
    <mergeCell ref="A5:D5"/>
    <mergeCell ref="A6:D6"/>
    <mergeCell ref="B29:H29"/>
    <mergeCell ref="B31:H31"/>
    <mergeCell ref="B33:E33"/>
    <mergeCell ref="C35:E35"/>
    <mergeCell ref="C36:E36"/>
    <mergeCell ref="B40:E40"/>
    <mergeCell ref="B44:E44"/>
    <mergeCell ref="B48:E48"/>
    <mergeCell ref="B57:E57"/>
    <mergeCell ref="B65:E65"/>
  </mergeCells>
  <dataValidations count="2">
    <dataValidation type="list" allowBlank="1" showErrorMessage="1" sqref="C42">
      <formula1>"Com Desoneração,Sem Desoneração"</formula1>
    </dataValidation>
    <dataValidation type="list" allowBlank="1" showErrorMessage="1" sqref="C46">
      <formula1>"Edificações,Fornecimento de Materiais e Equipamentos,Redes de Água,Esgoto ou Correlatas,Rodovias e Ferrovias,Portuárias,Marítimas e Fluviais"</formula1>
    </dataValidation>
  </dataValidations>
  <printOptions horizontalCentered="1"/>
  <pageMargins left="0.511805555555556" right="0.511805555555556" top="0.39375" bottom="0.39375" header="0.511811023622047" footer="0.511811023622047"/>
  <pageSetup paperSize="9" orientation="portrait" horizontalDpi="300" verticalDpi="300"/>
  <headerFooter/>
  <drawing r:id="rId2"/>
  <legacyDrawing r:id="rId3"/>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Z1000"/>
  <sheetViews>
    <sheetView zoomScale="50" zoomScaleNormal="50" workbookViewId="0">
      <selection activeCell="E4" sqref="E4:G4"/>
    </sheetView>
  </sheetViews>
  <sheetFormatPr defaultColWidth="12.625" defaultRowHeight="14.25"/>
  <cols>
    <col min="1" max="1" width="13.8833333333333" style="1" customWidth="1"/>
    <col min="2" max="2" width="30.8833333333333" style="1" customWidth="1"/>
    <col min="3" max="3" width="8.5" style="1" customWidth="1"/>
    <col min="4" max="4" width="11.1166666666667" style="1" customWidth="1"/>
    <col min="5" max="6" width="10.5" style="1" customWidth="1"/>
    <col min="7" max="7" width="33" style="1" customWidth="1"/>
    <col min="8" max="8" width="9.25" style="1" customWidth="1"/>
    <col min="9" max="9" width="9.75" style="1" customWidth="1"/>
  </cols>
  <sheetData>
    <row r="1" ht="131.25" customHeight="1" spans="1:26">
      <c r="A1" s="61"/>
      <c r="B1" s="61"/>
      <c r="C1" s="61"/>
      <c r="D1" s="61"/>
      <c r="E1" s="61"/>
      <c r="F1" s="61"/>
      <c r="G1" s="61"/>
      <c r="H1" s="61"/>
      <c r="I1" s="61"/>
      <c r="J1" s="187"/>
      <c r="K1" s="96"/>
      <c r="L1" s="83"/>
      <c r="M1" s="83"/>
      <c r="N1" s="83"/>
      <c r="O1" s="83"/>
      <c r="P1" s="83"/>
      <c r="Q1" s="83"/>
      <c r="R1" s="83"/>
      <c r="S1" s="83"/>
      <c r="T1" s="83"/>
      <c r="U1" s="83"/>
      <c r="V1" s="83"/>
      <c r="W1" s="83"/>
      <c r="X1" s="83"/>
      <c r="Y1" s="98"/>
      <c r="Z1" s="98"/>
    </row>
    <row r="2" ht="20.25" customHeight="1" spans="1:26">
      <c r="A2" s="62" t="s">
        <v>6598</v>
      </c>
      <c r="B2" s="62"/>
      <c r="C2" s="62"/>
      <c r="D2" s="62"/>
      <c r="E2" s="62"/>
      <c r="F2" s="62"/>
      <c r="G2" s="62"/>
      <c r="H2" s="62"/>
      <c r="I2" s="62"/>
      <c r="J2" s="187"/>
      <c r="K2" s="96"/>
      <c r="L2" s="83"/>
      <c r="M2" s="83"/>
      <c r="N2" s="83"/>
      <c r="O2" s="83"/>
      <c r="P2" s="83"/>
      <c r="Q2" s="83"/>
      <c r="R2" s="83"/>
      <c r="S2" s="83"/>
      <c r="T2" s="83"/>
      <c r="U2" s="83"/>
      <c r="V2" s="83"/>
      <c r="W2" s="83"/>
      <c r="X2" s="83"/>
      <c r="Y2" s="98"/>
      <c r="Z2" s="98"/>
    </row>
    <row r="3" ht="20.25" customHeight="1" spans="1:26">
      <c r="A3" s="63" t="s">
        <v>1</v>
      </c>
      <c r="B3" s="63"/>
      <c r="C3" s="63"/>
      <c r="D3" s="63"/>
      <c r="E3" s="64" t="s">
        <v>2</v>
      </c>
      <c r="F3" s="64"/>
      <c r="G3" s="64"/>
      <c r="H3" s="135" t="s">
        <v>3</v>
      </c>
      <c r="I3" s="135"/>
      <c r="J3" s="187"/>
      <c r="K3" s="96"/>
      <c r="L3" s="84"/>
      <c r="M3" s="84"/>
      <c r="N3" s="84"/>
      <c r="O3" s="84"/>
      <c r="P3" s="84"/>
      <c r="Q3" s="84"/>
      <c r="R3" s="84"/>
      <c r="S3" s="84"/>
      <c r="T3" s="84"/>
      <c r="U3" s="84"/>
      <c r="V3" s="93"/>
      <c r="W3" s="83"/>
      <c r="X3" s="83"/>
      <c r="Y3" s="98"/>
      <c r="Z3" s="98"/>
    </row>
    <row r="4" ht="20.25" customHeight="1" spans="1:26">
      <c r="A4" s="66" t="s">
        <v>4</v>
      </c>
      <c r="B4" s="66"/>
      <c r="C4" s="66"/>
      <c r="D4" s="66"/>
      <c r="E4" s="67" t="s">
        <v>6569</v>
      </c>
      <c r="F4" s="67"/>
      <c r="G4" s="67"/>
      <c r="H4" s="136" t="s">
        <v>6</v>
      </c>
      <c r="I4" s="136"/>
      <c r="J4" s="187"/>
      <c r="K4" s="96"/>
      <c r="L4" s="86"/>
      <c r="M4" s="86"/>
      <c r="N4" s="86"/>
      <c r="O4" s="86"/>
      <c r="P4" s="86"/>
      <c r="Q4" s="86"/>
      <c r="R4" s="86"/>
      <c r="S4" s="86"/>
      <c r="T4" s="86"/>
      <c r="U4" s="86"/>
      <c r="V4" s="94"/>
      <c r="W4" s="83"/>
      <c r="X4" s="83"/>
      <c r="Y4" s="98"/>
      <c r="Z4" s="98"/>
    </row>
    <row r="5" ht="20.25" customHeight="1" spans="1:26">
      <c r="A5" s="66" t="s">
        <v>7</v>
      </c>
      <c r="B5" s="66"/>
      <c r="C5" s="66"/>
      <c r="D5" s="66"/>
      <c r="E5" s="62" t="s">
        <v>8</v>
      </c>
      <c r="F5" s="62" t="s">
        <v>9</v>
      </c>
      <c r="G5" s="62" t="s">
        <v>10</v>
      </c>
      <c r="H5" s="62" t="s">
        <v>11</v>
      </c>
      <c r="I5" s="62" t="s">
        <v>12</v>
      </c>
      <c r="J5" s="187"/>
      <c r="K5" s="96"/>
      <c r="L5" s="88"/>
      <c r="M5" s="88"/>
      <c r="N5" s="88"/>
      <c r="O5" s="88"/>
      <c r="P5" s="88"/>
      <c r="Q5" s="84"/>
      <c r="R5" s="84"/>
      <c r="S5" s="84"/>
      <c r="T5" s="84"/>
      <c r="U5" s="84"/>
      <c r="V5" s="84"/>
      <c r="W5" s="83"/>
      <c r="X5" s="83"/>
      <c r="Y5" s="98"/>
      <c r="Z5" s="98"/>
    </row>
    <row r="6" ht="32.25" customHeight="1" spans="1:26">
      <c r="A6" s="137" t="str">
        <f>RESUMO!A16</f>
        <v>BASE DE DADOS: SINAPI - 07/2025 - Rio de Janeiro; SBC - 07/2025 - Rio de Janeiro; EMOP - 07/2025 - Rio de Janeiro; SCO - 07/2025 - Rio de Janeiro - DESONERADO</v>
      </c>
      <c r="B6" s="137"/>
      <c r="C6" s="137"/>
      <c r="D6" s="137"/>
      <c r="E6" s="138">
        <f>BDI!E6</f>
        <v>0.2549</v>
      </c>
      <c r="F6" s="117">
        <f>BDI_DIF.!F6</f>
        <v>0.1612</v>
      </c>
      <c r="G6" s="139"/>
      <c r="H6" s="73">
        <f>'Orçamento Sintético'!H6</f>
        <v>45931</v>
      </c>
      <c r="I6" s="188" t="str">
        <f>'Orçamento Sintético'!I6</f>
        <v>R21</v>
      </c>
      <c r="J6" s="187"/>
      <c r="K6" s="96"/>
      <c r="L6" s="88"/>
      <c r="M6" s="88"/>
      <c r="N6" s="88"/>
      <c r="O6" s="88"/>
      <c r="P6" s="88"/>
      <c r="Q6" s="95"/>
      <c r="R6" s="95"/>
      <c r="S6" s="96"/>
      <c r="T6" s="96"/>
      <c r="U6" s="97"/>
      <c r="V6" s="95"/>
      <c r="W6" s="83"/>
      <c r="X6" s="83"/>
      <c r="Y6" s="98"/>
      <c r="Z6" s="98"/>
    </row>
    <row r="7" ht="15" spans="1:26">
      <c r="A7" s="140"/>
      <c r="B7" s="141"/>
      <c r="C7" s="142"/>
      <c r="D7" s="142"/>
      <c r="E7" s="142"/>
      <c r="F7" s="141"/>
      <c r="G7" s="141"/>
      <c r="H7" s="142"/>
      <c r="I7" s="189"/>
      <c r="J7" s="183"/>
      <c r="K7" s="183"/>
      <c r="L7" s="183"/>
      <c r="M7" s="183"/>
      <c r="N7" s="183"/>
      <c r="O7" s="183"/>
      <c r="P7" s="183"/>
      <c r="Q7" s="183"/>
      <c r="R7" s="183"/>
      <c r="S7" s="183"/>
      <c r="T7" s="183"/>
      <c r="U7" s="183"/>
      <c r="V7" s="183"/>
      <c r="W7" s="183"/>
      <c r="X7" s="183"/>
      <c r="Y7" s="183"/>
      <c r="Z7" s="190"/>
    </row>
    <row r="8" ht="15" spans="1:26">
      <c r="A8" s="143"/>
      <c r="B8" s="143"/>
      <c r="C8" s="143"/>
      <c r="D8" s="143"/>
      <c r="E8" s="144"/>
      <c r="F8" s="145"/>
      <c r="G8" s="145"/>
      <c r="H8" s="145"/>
      <c r="I8" s="145"/>
      <c r="J8" s="190"/>
      <c r="K8" s="190"/>
      <c r="L8" s="190"/>
      <c r="M8" s="190"/>
      <c r="N8" s="183"/>
      <c r="O8" s="183"/>
      <c r="P8" s="183"/>
      <c r="Q8" s="183"/>
      <c r="R8" s="183"/>
      <c r="S8" s="183"/>
      <c r="T8" s="183"/>
      <c r="U8" s="183"/>
      <c r="V8" s="183"/>
      <c r="W8" s="183"/>
      <c r="X8" s="183"/>
      <c r="Y8" s="183"/>
      <c r="Z8" s="190"/>
    </row>
    <row r="9" ht="15" spans="1:26">
      <c r="A9" s="146"/>
      <c r="B9" s="146"/>
      <c r="C9" s="146"/>
      <c r="D9" s="146"/>
      <c r="E9" s="144"/>
      <c r="F9" s="147"/>
      <c r="G9" s="147"/>
      <c r="H9" s="147"/>
      <c r="I9" s="147"/>
      <c r="J9" s="190"/>
      <c r="K9" s="190"/>
      <c r="L9" s="190"/>
      <c r="M9" s="190"/>
      <c r="N9" s="183"/>
      <c r="O9" s="183"/>
      <c r="P9" s="183"/>
      <c r="Q9" s="183"/>
      <c r="R9" s="183"/>
      <c r="S9" s="183"/>
      <c r="T9" s="183"/>
      <c r="U9" s="183"/>
      <c r="V9" s="183"/>
      <c r="W9" s="183"/>
      <c r="X9" s="183"/>
      <c r="Y9" s="183"/>
      <c r="Z9" s="190"/>
    </row>
    <row r="10" ht="15" spans="1:26">
      <c r="A10" s="148"/>
      <c r="B10" s="148"/>
      <c r="C10" s="148"/>
      <c r="D10" s="148"/>
      <c r="E10" s="144"/>
      <c r="F10" s="149"/>
      <c r="G10" s="149"/>
      <c r="H10" s="149"/>
      <c r="I10" s="149"/>
      <c r="J10" s="190"/>
      <c r="K10" s="190"/>
      <c r="L10" s="190"/>
      <c r="M10" s="190"/>
      <c r="N10" s="183"/>
      <c r="O10" s="183"/>
      <c r="P10" s="183"/>
      <c r="Q10" s="183"/>
      <c r="R10" s="183"/>
      <c r="S10" s="183"/>
      <c r="T10" s="183"/>
      <c r="U10" s="183"/>
      <c r="V10" s="183"/>
      <c r="W10" s="183"/>
      <c r="X10" s="183"/>
      <c r="Y10" s="183"/>
      <c r="Z10" s="190"/>
    </row>
    <row r="11" ht="15" spans="1:26">
      <c r="A11" s="150"/>
      <c r="B11" s="151"/>
      <c r="C11" s="152"/>
      <c r="D11" s="152"/>
      <c r="E11" s="144"/>
      <c r="F11" s="152"/>
      <c r="G11" s="151"/>
      <c r="H11" s="151"/>
      <c r="I11" s="191"/>
      <c r="J11" s="190"/>
      <c r="K11" s="190"/>
      <c r="L11" s="190"/>
      <c r="M11" s="190"/>
      <c r="N11" s="183"/>
      <c r="O11" s="183"/>
      <c r="P11" s="183"/>
      <c r="Q11" s="183"/>
      <c r="R11" s="183"/>
      <c r="S11" s="183"/>
      <c r="T11" s="183"/>
      <c r="U11" s="183"/>
      <c r="V11" s="183"/>
      <c r="W11" s="183"/>
      <c r="X11" s="183"/>
      <c r="Y11" s="183"/>
      <c r="Z11" s="190"/>
    </row>
    <row r="12" ht="15" spans="1:26">
      <c r="A12" s="153"/>
      <c r="B12" s="153"/>
      <c r="C12" s="153"/>
      <c r="D12" s="153"/>
      <c r="E12" s="144"/>
      <c r="F12" s="154"/>
      <c r="G12" s="154"/>
      <c r="H12" s="154"/>
      <c r="I12" s="154"/>
      <c r="J12" s="190"/>
      <c r="K12" s="190"/>
      <c r="L12" s="190"/>
      <c r="M12" s="190"/>
      <c r="N12" s="183"/>
      <c r="O12" s="183"/>
      <c r="P12" s="183"/>
      <c r="Q12" s="183"/>
      <c r="R12" s="183"/>
      <c r="S12" s="183"/>
      <c r="T12" s="183"/>
      <c r="U12" s="183"/>
      <c r="V12" s="183"/>
      <c r="W12" s="183"/>
      <c r="X12" s="183"/>
      <c r="Y12" s="183"/>
      <c r="Z12" s="190"/>
    </row>
    <row r="13" ht="15" spans="1:26">
      <c r="A13" s="155"/>
      <c r="B13" s="155"/>
      <c r="C13" s="155"/>
      <c r="D13" s="155"/>
      <c r="E13" s="144"/>
      <c r="F13" s="156"/>
      <c r="G13" s="156"/>
      <c r="H13" s="156"/>
      <c r="I13" s="156"/>
      <c r="J13" s="190"/>
      <c r="K13" s="190"/>
      <c r="L13" s="190"/>
      <c r="M13" s="190"/>
      <c r="N13" s="183"/>
      <c r="O13" s="183"/>
      <c r="P13" s="183"/>
      <c r="Q13" s="183"/>
      <c r="R13" s="183"/>
      <c r="S13" s="183"/>
      <c r="T13" s="183"/>
      <c r="U13" s="183"/>
      <c r="V13" s="183"/>
      <c r="W13" s="183"/>
      <c r="X13" s="183"/>
      <c r="Y13" s="183"/>
      <c r="Z13" s="190"/>
    </row>
    <row r="14" ht="15" spans="1:26">
      <c r="A14" s="153"/>
      <c r="B14" s="153"/>
      <c r="C14" s="153"/>
      <c r="D14" s="153"/>
      <c r="E14" s="144"/>
      <c r="F14" s="154"/>
      <c r="G14" s="154"/>
      <c r="H14" s="154"/>
      <c r="I14" s="154"/>
      <c r="J14" s="190"/>
      <c r="K14" s="190"/>
      <c r="L14" s="190"/>
      <c r="M14" s="190"/>
      <c r="N14" s="183"/>
      <c r="O14" s="183"/>
      <c r="P14" s="183"/>
      <c r="Q14" s="183"/>
      <c r="R14" s="183"/>
      <c r="S14" s="183"/>
      <c r="T14" s="183"/>
      <c r="U14" s="183"/>
      <c r="V14" s="183"/>
      <c r="W14" s="183"/>
      <c r="X14" s="183"/>
      <c r="Y14" s="183"/>
      <c r="Z14" s="190"/>
    </row>
    <row r="15" ht="15" spans="1:26">
      <c r="A15" s="157"/>
      <c r="B15" s="157"/>
      <c r="C15" s="157"/>
      <c r="D15" s="157"/>
      <c r="E15" s="144"/>
      <c r="F15" s="158"/>
      <c r="G15" s="158"/>
      <c r="H15" s="158"/>
      <c r="I15" s="158"/>
      <c r="J15" s="190"/>
      <c r="K15" s="190"/>
      <c r="L15" s="190"/>
      <c r="M15" s="190"/>
      <c r="N15" s="183"/>
      <c r="O15" s="183"/>
      <c r="P15" s="183"/>
      <c r="Q15" s="183"/>
      <c r="R15" s="183"/>
      <c r="S15" s="183"/>
      <c r="T15" s="183"/>
      <c r="U15" s="183"/>
      <c r="V15" s="183"/>
      <c r="W15" s="183"/>
      <c r="X15" s="183"/>
      <c r="Y15" s="183"/>
      <c r="Z15" s="190"/>
    </row>
    <row r="16" ht="15" spans="1:26">
      <c r="A16" s="159"/>
      <c r="B16" s="159"/>
      <c r="C16" s="159"/>
      <c r="D16" s="159"/>
      <c r="E16" s="144"/>
      <c r="F16" s="160"/>
      <c r="G16" s="160"/>
      <c r="H16" s="160"/>
      <c r="I16" s="160"/>
      <c r="J16" s="190"/>
      <c r="K16" s="190"/>
      <c r="L16" s="190"/>
      <c r="M16" s="190"/>
      <c r="N16" s="183"/>
      <c r="O16" s="183"/>
      <c r="P16" s="183"/>
      <c r="Q16" s="183"/>
      <c r="R16" s="183"/>
      <c r="S16" s="183"/>
      <c r="T16" s="183"/>
      <c r="U16" s="183"/>
      <c r="V16" s="183"/>
      <c r="W16" s="183"/>
      <c r="X16" s="183"/>
      <c r="Y16" s="183"/>
      <c r="Z16" s="190"/>
    </row>
    <row r="17" ht="15" spans="1:26">
      <c r="A17" s="161"/>
      <c r="B17" s="162"/>
      <c r="C17" s="162"/>
      <c r="D17" s="162"/>
      <c r="E17" s="144"/>
      <c r="F17" s="162"/>
      <c r="G17" s="162"/>
      <c r="H17" s="162"/>
      <c r="I17" s="192"/>
      <c r="J17" s="190"/>
      <c r="K17" s="190"/>
      <c r="L17" s="190"/>
      <c r="M17" s="190"/>
      <c r="N17" s="183"/>
      <c r="O17" s="183"/>
      <c r="P17" s="183"/>
      <c r="Q17" s="183"/>
      <c r="R17" s="183"/>
      <c r="S17" s="183"/>
      <c r="T17" s="183"/>
      <c r="U17" s="183"/>
      <c r="V17" s="183"/>
      <c r="W17" s="183"/>
      <c r="X17" s="183"/>
      <c r="Y17" s="183"/>
      <c r="Z17" s="190"/>
    </row>
    <row r="18" ht="15" spans="1:26">
      <c r="A18" s="161"/>
      <c r="B18" s="161"/>
      <c r="C18" s="162"/>
      <c r="D18" s="162"/>
      <c r="E18" s="144"/>
      <c r="F18" s="162"/>
      <c r="G18" s="162"/>
      <c r="H18" s="162"/>
      <c r="I18" s="192"/>
      <c r="J18" s="190"/>
      <c r="K18" s="190"/>
      <c r="L18" s="190"/>
      <c r="M18" s="190"/>
      <c r="N18" s="183"/>
      <c r="O18" s="183"/>
      <c r="P18" s="183"/>
      <c r="Q18" s="183"/>
      <c r="R18" s="183"/>
      <c r="S18" s="183"/>
      <c r="T18" s="183"/>
      <c r="U18" s="183"/>
      <c r="V18" s="183"/>
      <c r="W18" s="183"/>
      <c r="X18" s="183"/>
      <c r="Y18" s="183"/>
      <c r="Z18" s="190"/>
    </row>
    <row r="19" ht="15" spans="1:26">
      <c r="A19" s="163"/>
      <c r="B19" s="164"/>
      <c r="C19" s="165"/>
      <c r="D19" s="165"/>
      <c r="E19" s="144"/>
      <c r="F19" s="166"/>
      <c r="G19" s="164"/>
      <c r="H19" s="165"/>
      <c r="I19" s="193"/>
      <c r="J19" s="190"/>
      <c r="K19" s="190"/>
      <c r="L19" s="190"/>
      <c r="M19" s="190"/>
      <c r="N19" s="183"/>
      <c r="O19" s="183"/>
      <c r="P19" s="183"/>
      <c r="Q19" s="183"/>
      <c r="R19" s="183"/>
      <c r="S19" s="183"/>
      <c r="T19" s="183"/>
      <c r="U19" s="183"/>
      <c r="V19" s="183"/>
      <c r="W19" s="183"/>
      <c r="X19" s="183"/>
      <c r="Y19" s="183"/>
      <c r="Z19" s="190"/>
    </row>
    <row r="20" ht="15" spans="1:26">
      <c r="A20" s="163"/>
      <c r="B20" s="164"/>
      <c r="C20" s="165"/>
      <c r="D20" s="165"/>
      <c r="E20" s="144"/>
      <c r="F20" s="166"/>
      <c r="G20" s="164"/>
      <c r="H20" s="165"/>
      <c r="I20" s="193"/>
      <c r="J20" s="190"/>
      <c r="K20" s="190"/>
      <c r="L20" s="190"/>
      <c r="M20" s="190"/>
      <c r="N20" s="183"/>
      <c r="O20" s="183"/>
      <c r="P20" s="183"/>
      <c r="Q20" s="183"/>
      <c r="R20" s="183"/>
      <c r="S20" s="183"/>
      <c r="T20" s="183"/>
      <c r="U20" s="183"/>
      <c r="V20" s="183"/>
      <c r="W20" s="183"/>
      <c r="X20" s="183"/>
      <c r="Y20" s="183"/>
      <c r="Z20" s="190"/>
    </row>
    <row r="21" ht="15.75" customHeight="1" spans="1:26">
      <c r="A21" s="163"/>
      <c r="B21" s="164"/>
      <c r="C21" s="165"/>
      <c r="D21" s="165"/>
      <c r="E21" s="144"/>
      <c r="F21" s="166"/>
      <c r="G21" s="164"/>
      <c r="H21" s="165"/>
      <c r="I21" s="193"/>
      <c r="J21" s="190"/>
      <c r="K21" s="190"/>
      <c r="L21" s="190"/>
      <c r="M21" s="190"/>
      <c r="N21" s="183"/>
      <c r="O21" s="183"/>
      <c r="P21" s="183"/>
      <c r="Q21" s="183"/>
      <c r="R21" s="183"/>
      <c r="S21" s="183"/>
      <c r="T21" s="183"/>
      <c r="U21" s="183"/>
      <c r="V21" s="183"/>
      <c r="W21" s="183"/>
      <c r="X21" s="183"/>
      <c r="Y21" s="183"/>
      <c r="Z21" s="190"/>
    </row>
    <row r="22" ht="15.75" customHeight="1" spans="1:26">
      <c r="A22" s="163"/>
      <c r="B22" s="164"/>
      <c r="C22" s="165"/>
      <c r="D22" s="165"/>
      <c r="E22" s="144"/>
      <c r="F22" s="166"/>
      <c r="G22" s="164"/>
      <c r="H22" s="165"/>
      <c r="I22" s="193"/>
      <c r="J22" s="190"/>
      <c r="K22" s="190"/>
      <c r="L22" s="190"/>
      <c r="M22" s="190"/>
      <c r="N22" s="183"/>
      <c r="O22" s="183"/>
      <c r="P22" s="183"/>
      <c r="Q22" s="183"/>
      <c r="R22" s="183"/>
      <c r="S22" s="183"/>
      <c r="T22" s="183"/>
      <c r="U22" s="183"/>
      <c r="V22" s="183"/>
      <c r="W22" s="183"/>
      <c r="X22" s="183"/>
      <c r="Y22" s="183"/>
      <c r="Z22" s="190"/>
    </row>
    <row r="23" ht="15.75" customHeight="1" spans="1:26">
      <c r="A23" s="163"/>
      <c r="B23" s="164"/>
      <c r="C23" s="165"/>
      <c r="D23" s="165"/>
      <c r="E23" s="144"/>
      <c r="F23" s="166"/>
      <c r="G23" s="164"/>
      <c r="H23" s="165"/>
      <c r="I23" s="193"/>
      <c r="J23" s="190"/>
      <c r="K23" s="190"/>
      <c r="L23" s="190"/>
      <c r="M23" s="190"/>
      <c r="N23" s="183"/>
      <c r="O23" s="183"/>
      <c r="P23" s="183"/>
      <c r="Q23" s="183"/>
      <c r="R23" s="183"/>
      <c r="S23" s="183"/>
      <c r="T23" s="183"/>
      <c r="U23" s="183"/>
      <c r="V23" s="183"/>
      <c r="W23" s="183"/>
      <c r="X23" s="183"/>
      <c r="Y23" s="183"/>
      <c r="Z23" s="190"/>
    </row>
    <row r="24" ht="15.75" customHeight="1" spans="1:26">
      <c r="A24" s="163"/>
      <c r="B24" s="167"/>
      <c r="C24" s="165"/>
      <c r="D24" s="165"/>
      <c r="E24" s="144"/>
      <c r="F24" s="166"/>
      <c r="G24" s="167"/>
      <c r="H24" s="165"/>
      <c r="I24" s="193"/>
      <c r="J24" s="190"/>
      <c r="K24" s="190"/>
      <c r="L24" s="190"/>
      <c r="M24" s="190"/>
      <c r="N24" s="183"/>
      <c r="O24" s="183"/>
      <c r="P24" s="183"/>
      <c r="Q24" s="183"/>
      <c r="R24" s="183"/>
      <c r="S24" s="183"/>
      <c r="T24" s="183"/>
      <c r="U24" s="183"/>
      <c r="V24" s="183"/>
      <c r="W24" s="183"/>
      <c r="X24" s="183"/>
      <c r="Y24" s="183"/>
      <c r="Z24" s="190"/>
    </row>
    <row r="25" ht="15.75" customHeight="1" spans="1:26">
      <c r="A25" s="163"/>
      <c r="B25" s="164"/>
      <c r="C25" s="165"/>
      <c r="D25" s="165"/>
      <c r="E25" s="144"/>
      <c r="F25" s="166"/>
      <c r="G25" s="164"/>
      <c r="H25" s="165"/>
      <c r="I25" s="193"/>
      <c r="J25" s="190"/>
      <c r="K25" s="190"/>
      <c r="L25" s="190"/>
      <c r="M25" s="190"/>
      <c r="N25" s="183"/>
      <c r="O25" s="183"/>
      <c r="P25" s="183"/>
      <c r="Q25" s="183"/>
      <c r="R25" s="183"/>
      <c r="S25" s="183"/>
      <c r="T25" s="183"/>
      <c r="U25" s="183"/>
      <c r="V25" s="183"/>
      <c r="W25" s="183"/>
      <c r="X25" s="183"/>
      <c r="Y25" s="183"/>
      <c r="Z25" s="190"/>
    </row>
    <row r="26" ht="15.75" customHeight="1" spans="1:26">
      <c r="A26" s="163"/>
      <c r="B26" s="164"/>
      <c r="C26" s="165"/>
      <c r="D26" s="165"/>
      <c r="E26" s="144"/>
      <c r="F26" s="166"/>
      <c r="G26" s="164"/>
      <c r="H26" s="165"/>
      <c r="I26" s="193"/>
      <c r="J26" s="190"/>
      <c r="K26" s="190"/>
      <c r="L26" s="190"/>
      <c r="M26" s="190"/>
      <c r="N26" s="183"/>
      <c r="O26" s="183"/>
      <c r="P26" s="183"/>
      <c r="Q26" s="183"/>
      <c r="R26" s="183"/>
      <c r="S26" s="183"/>
      <c r="T26" s="183"/>
      <c r="U26" s="183"/>
      <c r="V26" s="183"/>
      <c r="W26" s="183"/>
      <c r="X26" s="183"/>
      <c r="Y26" s="183"/>
      <c r="Z26" s="190"/>
    </row>
    <row r="27" ht="15.75" customHeight="1" spans="1:26">
      <c r="A27" s="163"/>
      <c r="B27" s="164"/>
      <c r="C27" s="165"/>
      <c r="D27" s="165"/>
      <c r="E27" s="144"/>
      <c r="F27" s="166"/>
      <c r="G27" s="164"/>
      <c r="H27" s="165"/>
      <c r="I27" s="193"/>
      <c r="J27" s="190"/>
      <c r="K27" s="190"/>
      <c r="L27" s="190"/>
      <c r="M27" s="190"/>
      <c r="N27" s="183"/>
      <c r="O27" s="183"/>
      <c r="P27" s="183"/>
      <c r="Q27" s="183"/>
      <c r="R27" s="183"/>
      <c r="S27" s="183"/>
      <c r="T27" s="183"/>
      <c r="U27" s="183"/>
      <c r="V27" s="183"/>
      <c r="W27" s="183"/>
      <c r="X27" s="183"/>
      <c r="Y27" s="183"/>
      <c r="Z27" s="190"/>
    </row>
    <row r="28" ht="15.75" customHeight="1" spans="1:26">
      <c r="A28" s="168"/>
      <c r="B28" s="169"/>
      <c r="C28" s="170"/>
      <c r="D28" s="170"/>
      <c r="E28" s="144"/>
      <c r="F28" s="171"/>
      <c r="G28" s="169"/>
      <c r="H28" s="170"/>
      <c r="I28" s="194"/>
      <c r="J28" s="190"/>
      <c r="K28" s="190"/>
      <c r="L28" s="190"/>
      <c r="M28" s="190"/>
      <c r="N28" s="183"/>
      <c r="O28" s="183"/>
      <c r="P28" s="183"/>
      <c r="Q28" s="183"/>
      <c r="R28" s="183"/>
      <c r="S28" s="183"/>
      <c r="T28" s="183"/>
      <c r="U28" s="183"/>
      <c r="V28" s="183"/>
      <c r="W28" s="183"/>
      <c r="X28" s="183"/>
      <c r="Y28" s="183"/>
      <c r="Z28" s="190"/>
    </row>
    <row r="29" ht="15.75" customHeight="1" spans="1:26">
      <c r="A29" s="168"/>
      <c r="B29" s="164"/>
      <c r="C29" s="172"/>
      <c r="D29" s="172"/>
      <c r="E29" s="144"/>
      <c r="F29" s="171"/>
      <c r="G29" s="164"/>
      <c r="H29" s="173"/>
      <c r="I29" s="195"/>
      <c r="J29" s="190"/>
      <c r="K29" s="190"/>
      <c r="L29" s="190"/>
      <c r="M29" s="190"/>
      <c r="N29" s="183"/>
      <c r="O29" s="183"/>
      <c r="P29" s="183"/>
      <c r="Q29" s="183"/>
      <c r="R29" s="183"/>
      <c r="S29" s="183"/>
      <c r="T29" s="183"/>
      <c r="U29" s="183"/>
      <c r="V29" s="183"/>
      <c r="W29" s="183"/>
      <c r="X29" s="183"/>
      <c r="Y29" s="183"/>
      <c r="Z29" s="190"/>
    </row>
    <row r="30" ht="15.75" customHeight="1" spans="1:26">
      <c r="A30" s="161"/>
      <c r="B30" s="161"/>
      <c r="C30" s="172"/>
      <c r="D30" s="172"/>
      <c r="E30" s="144"/>
      <c r="F30" s="162"/>
      <c r="G30" s="162"/>
      <c r="H30" s="173"/>
      <c r="I30" s="195"/>
      <c r="J30" s="190"/>
      <c r="K30" s="190"/>
      <c r="L30" s="190"/>
      <c r="M30" s="190"/>
      <c r="N30" s="183"/>
      <c r="O30" s="183"/>
      <c r="P30" s="183"/>
      <c r="Q30" s="183"/>
      <c r="R30" s="183"/>
      <c r="S30" s="183"/>
      <c r="T30" s="183"/>
      <c r="U30" s="183"/>
      <c r="V30" s="183"/>
      <c r="W30" s="183"/>
      <c r="X30" s="183"/>
      <c r="Y30" s="183"/>
      <c r="Z30" s="190"/>
    </row>
    <row r="31" ht="15.75" customHeight="1" spans="1:26">
      <c r="A31" s="163"/>
      <c r="B31" s="164"/>
      <c r="C31" s="165"/>
      <c r="D31" s="165"/>
      <c r="E31" s="144"/>
      <c r="F31" s="166"/>
      <c r="G31" s="164"/>
      <c r="H31" s="165"/>
      <c r="I31" s="193"/>
      <c r="J31" s="190"/>
      <c r="K31" s="190"/>
      <c r="L31" s="190"/>
      <c r="M31" s="190"/>
      <c r="N31" s="183"/>
      <c r="O31" s="183"/>
      <c r="P31" s="183"/>
      <c r="Q31" s="183"/>
      <c r="R31" s="183"/>
      <c r="S31" s="183"/>
      <c r="T31" s="183"/>
      <c r="U31" s="183"/>
      <c r="V31" s="183"/>
      <c r="W31" s="183"/>
      <c r="X31" s="183"/>
      <c r="Y31" s="183"/>
      <c r="Z31" s="190"/>
    </row>
    <row r="32" ht="15.75" customHeight="1" spans="1:26">
      <c r="A32" s="163"/>
      <c r="B32" s="164"/>
      <c r="C32" s="165"/>
      <c r="D32" s="165"/>
      <c r="E32" s="144"/>
      <c r="F32" s="166"/>
      <c r="G32" s="164"/>
      <c r="H32" s="165"/>
      <c r="I32" s="193"/>
      <c r="J32" s="190"/>
      <c r="K32" s="190"/>
      <c r="L32" s="190"/>
      <c r="M32" s="190"/>
      <c r="N32" s="183"/>
      <c r="O32" s="183"/>
      <c r="P32" s="183"/>
      <c r="Q32" s="183"/>
      <c r="R32" s="183"/>
      <c r="S32" s="183"/>
      <c r="T32" s="183"/>
      <c r="U32" s="183"/>
      <c r="V32" s="183"/>
      <c r="W32" s="183"/>
      <c r="X32" s="183"/>
      <c r="Y32" s="183"/>
      <c r="Z32" s="190"/>
    </row>
    <row r="33" ht="15.75" customHeight="1" spans="1:26">
      <c r="A33" s="163"/>
      <c r="B33" s="164"/>
      <c r="C33" s="165"/>
      <c r="D33" s="165"/>
      <c r="E33" s="144"/>
      <c r="F33" s="166"/>
      <c r="G33" s="164"/>
      <c r="H33" s="165"/>
      <c r="I33" s="193"/>
      <c r="J33" s="190"/>
      <c r="K33" s="190"/>
      <c r="L33" s="190"/>
      <c r="M33" s="190"/>
      <c r="N33" s="183"/>
      <c r="O33" s="183"/>
      <c r="P33" s="183"/>
      <c r="Q33" s="183"/>
      <c r="R33" s="183"/>
      <c r="S33" s="183"/>
      <c r="T33" s="183"/>
      <c r="U33" s="183"/>
      <c r="V33" s="183"/>
      <c r="W33" s="183"/>
      <c r="X33" s="183"/>
      <c r="Y33" s="183"/>
      <c r="Z33" s="190"/>
    </row>
    <row r="34" ht="15.75" customHeight="1" spans="1:26">
      <c r="A34" s="163"/>
      <c r="B34" s="164"/>
      <c r="C34" s="165"/>
      <c r="D34" s="165"/>
      <c r="E34" s="144"/>
      <c r="F34" s="166"/>
      <c r="G34" s="164"/>
      <c r="H34" s="165"/>
      <c r="I34" s="193"/>
      <c r="J34" s="190"/>
      <c r="K34" s="190"/>
      <c r="L34" s="190"/>
      <c r="M34" s="190"/>
      <c r="N34" s="183"/>
      <c r="O34" s="183"/>
      <c r="P34" s="183"/>
      <c r="Q34" s="183"/>
      <c r="R34" s="183"/>
      <c r="S34" s="183"/>
      <c r="T34" s="183"/>
      <c r="U34" s="183"/>
      <c r="V34" s="183"/>
      <c r="W34" s="183"/>
      <c r="X34" s="183"/>
      <c r="Y34" s="183"/>
      <c r="Z34" s="190"/>
    </row>
    <row r="35" ht="15.75" customHeight="1" spans="1:26">
      <c r="A35" s="163"/>
      <c r="B35" s="164"/>
      <c r="C35" s="165"/>
      <c r="D35" s="165"/>
      <c r="E35" s="144"/>
      <c r="F35" s="166"/>
      <c r="G35" s="164"/>
      <c r="H35" s="165"/>
      <c r="I35" s="193"/>
      <c r="J35" s="190"/>
      <c r="K35" s="190"/>
      <c r="L35" s="190"/>
      <c r="M35" s="190"/>
      <c r="N35" s="183"/>
      <c r="O35" s="183"/>
      <c r="P35" s="183"/>
      <c r="Q35" s="183"/>
      <c r="R35" s="183"/>
      <c r="S35" s="183"/>
      <c r="T35" s="183"/>
      <c r="U35" s="183"/>
      <c r="V35" s="183"/>
      <c r="W35" s="183"/>
      <c r="X35" s="183"/>
      <c r="Y35" s="183"/>
      <c r="Z35" s="190"/>
    </row>
    <row r="36" ht="15.75" customHeight="1" spans="1:26">
      <c r="A36" s="163"/>
      <c r="B36" s="164"/>
      <c r="C36" s="165"/>
      <c r="D36" s="165"/>
      <c r="E36" s="144"/>
      <c r="F36" s="166"/>
      <c r="G36" s="164"/>
      <c r="H36" s="165"/>
      <c r="I36" s="193"/>
      <c r="J36" s="190"/>
      <c r="K36" s="190"/>
      <c r="L36" s="190"/>
      <c r="M36" s="190"/>
      <c r="N36" s="183"/>
      <c r="O36" s="183"/>
      <c r="P36" s="183"/>
      <c r="Q36" s="183"/>
      <c r="R36" s="183"/>
      <c r="S36" s="183"/>
      <c r="T36" s="183"/>
      <c r="U36" s="183"/>
      <c r="V36" s="183"/>
      <c r="W36" s="183"/>
      <c r="X36" s="183"/>
      <c r="Y36" s="183"/>
      <c r="Z36" s="190"/>
    </row>
    <row r="37" ht="15.75" customHeight="1" spans="1:26">
      <c r="A37" s="163"/>
      <c r="B37" s="164"/>
      <c r="C37" s="165"/>
      <c r="D37" s="165"/>
      <c r="E37" s="144"/>
      <c r="F37" s="166"/>
      <c r="G37" s="164"/>
      <c r="H37" s="165"/>
      <c r="I37" s="193"/>
      <c r="J37" s="190"/>
      <c r="K37" s="190"/>
      <c r="L37" s="190"/>
      <c r="M37" s="190"/>
      <c r="N37" s="183"/>
      <c r="O37" s="183"/>
      <c r="P37" s="183"/>
      <c r="Q37" s="183"/>
      <c r="R37" s="183"/>
      <c r="S37" s="183"/>
      <c r="T37" s="183"/>
      <c r="U37" s="183"/>
      <c r="V37" s="183"/>
      <c r="W37" s="183"/>
      <c r="X37" s="183"/>
      <c r="Y37" s="183"/>
      <c r="Z37" s="190"/>
    </row>
    <row r="38" ht="15.75" customHeight="1" spans="1:26">
      <c r="A38" s="163"/>
      <c r="B38" s="164"/>
      <c r="C38" s="165"/>
      <c r="D38" s="165"/>
      <c r="E38" s="144"/>
      <c r="F38" s="166"/>
      <c r="G38" s="164"/>
      <c r="H38" s="165"/>
      <c r="I38" s="193"/>
      <c r="J38" s="190"/>
      <c r="K38" s="190"/>
      <c r="L38" s="190"/>
      <c r="M38" s="190"/>
      <c r="N38" s="183"/>
      <c r="O38" s="183"/>
      <c r="P38" s="183"/>
      <c r="Q38" s="183"/>
      <c r="R38" s="183"/>
      <c r="S38" s="183"/>
      <c r="T38" s="183"/>
      <c r="U38" s="183"/>
      <c r="V38" s="183"/>
      <c r="W38" s="183"/>
      <c r="X38" s="183"/>
      <c r="Y38" s="183"/>
      <c r="Z38" s="190"/>
    </row>
    <row r="39" ht="15.75" customHeight="1" spans="1:26">
      <c r="A39" s="163"/>
      <c r="B39" s="164"/>
      <c r="C39" s="165"/>
      <c r="D39" s="165"/>
      <c r="E39" s="144"/>
      <c r="F39" s="166"/>
      <c r="G39" s="164"/>
      <c r="H39" s="165"/>
      <c r="I39" s="193"/>
      <c r="J39" s="190"/>
      <c r="K39" s="190"/>
      <c r="L39" s="190"/>
      <c r="M39" s="190"/>
      <c r="N39" s="183"/>
      <c r="O39" s="183"/>
      <c r="P39" s="183"/>
      <c r="Q39" s="183"/>
      <c r="R39" s="183"/>
      <c r="S39" s="183"/>
      <c r="T39" s="183"/>
      <c r="U39" s="183"/>
      <c r="V39" s="183"/>
      <c r="W39" s="183"/>
      <c r="X39" s="183"/>
      <c r="Y39" s="183"/>
      <c r="Z39" s="190"/>
    </row>
    <row r="40" ht="15.75" customHeight="1" spans="1:26">
      <c r="A40" s="163"/>
      <c r="B40" s="164"/>
      <c r="C40" s="165"/>
      <c r="D40" s="165"/>
      <c r="E40" s="144"/>
      <c r="F40" s="166"/>
      <c r="G40" s="164"/>
      <c r="H40" s="165"/>
      <c r="I40" s="193"/>
      <c r="J40" s="190"/>
      <c r="K40" s="190"/>
      <c r="L40" s="190"/>
      <c r="M40" s="190"/>
      <c r="N40" s="183"/>
      <c r="O40" s="183"/>
      <c r="P40" s="183"/>
      <c r="Q40" s="183"/>
      <c r="R40" s="183"/>
      <c r="S40" s="183"/>
      <c r="T40" s="183"/>
      <c r="U40" s="183"/>
      <c r="V40" s="183"/>
      <c r="W40" s="183"/>
      <c r="X40" s="183"/>
      <c r="Y40" s="183"/>
      <c r="Z40" s="190"/>
    </row>
    <row r="41" ht="15.75" customHeight="1" spans="1:26">
      <c r="A41" s="163"/>
      <c r="B41" s="162"/>
      <c r="C41" s="170"/>
      <c r="D41" s="170"/>
      <c r="E41" s="144"/>
      <c r="F41" s="166"/>
      <c r="G41" s="162"/>
      <c r="H41" s="170"/>
      <c r="I41" s="194"/>
      <c r="J41" s="190"/>
      <c r="K41" s="190"/>
      <c r="L41" s="190"/>
      <c r="M41" s="190"/>
      <c r="N41" s="183"/>
      <c r="O41" s="183"/>
      <c r="P41" s="183"/>
      <c r="Q41" s="183"/>
      <c r="R41" s="183"/>
      <c r="S41" s="183"/>
      <c r="T41" s="183"/>
      <c r="U41" s="183"/>
      <c r="V41" s="183"/>
      <c r="W41" s="183"/>
      <c r="X41" s="183"/>
      <c r="Y41" s="183"/>
      <c r="Z41" s="190"/>
    </row>
    <row r="42" ht="15.75" customHeight="1" spans="1:26">
      <c r="A42" s="168"/>
      <c r="B42" s="164"/>
      <c r="C42" s="172"/>
      <c r="D42" s="172"/>
      <c r="E42" s="144"/>
      <c r="F42" s="171"/>
      <c r="G42" s="164"/>
      <c r="H42" s="173"/>
      <c r="I42" s="195"/>
      <c r="J42" s="190"/>
      <c r="K42" s="190"/>
      <c r="L42" s="190"/>
      <c r="M42" s="190"/>
      <c r="N42" s="183"/>
      <c r="O42" s="183"/>
      <c r="P42" s="183"/>
      <c r="Q42" s="183"/>
      <c r="R42" s="183"/>
      <c r="S42" s="183"/>
      <c r="T42" s="183"/>
      <c r="U42" s="183"/>
      <c r="V42" s="183"/>
      <c r="W42" s="183"/>
      <c r="X42" s="183"/>
      <c r="Y42" s="183"/>
      <c r="Z42" s="190"/>
    </row>
    <row r="43" ht="15.75" customHeight="1" spans="1:26">
      <c r="A43" s="161"/>
      <c r="B43" s="161"/>
      <c r="C43" s="172"/>
      <c r="D43" s="172"/>
      <c r="E43" s="144"/>
      <c r="F43" s="162"/>
      <c r="G43" s="162"/>
      <c r="H43" s="173"/>
      <c r="I43" s="195"/>
      <c r="J43" s="190"/>
      <c r="K43" s="190"/>
      <c r="L43" s="190"/>
      <c r="M43" s="190"/>
      <c r="N43" s="183"/>
      <c r="O43" s="183"/>
      <c r="P43" s="183"/>
      <c r="Q43" s="183"/>
      <c r="R43" s="183"/>
      <c r="S43" s="183"/>
      <c r="T43" s="183"/>
      <c r="U43" s="183"/>
      <c r="V43" s="183"/>
      <c r="W43" s="183"/>
      <c r="X43" s="183"/>
      <c r="Y43" s="183"/>
      <c r="Z43" s="190"/>
    </row>
    <row r="44" ht="15.75" customHeight="1" spans="1:26">
      <c r="A44" s="163"/>
      <c r="B44" s="164"/>
      <c r="C44" s="165"/>
      <c r="D44" s="165"/>
      <c r="E44" s="144"/>
      <c r="F44" s="166"/>
      <c r="G44" s="164"/>
      <c r="H44" s="165"/>
      <c r="I44" s="193"/>
      <c r="J44" s="190"/>
      <c r="K44" s="190"/>
      <c r="L44" s="190"/>
      <c r="M44" s="190"/>
      <c r="N44" s="183"/>
      <c r="O44" s="183"/>
      <c r="P44" s="183"/>
      <c r="Q44" s="183"/>
      <c r="R44" s="183"/>
      <c r="S44" s="183"/>
      <c r="T44" s="183"/>
      <c r="U44" s="183"/>
      <c r="V44" s="183"/>
      <c r="W44" s="183"/>
      <c r="X44" s="183"/>
      <c r="Y44" s="183"/>
      <c r="Z44" s="190"/>
    </row>
    <row r="45" ht="15.75" customHeight="1" spans="1:26">
      <c r="A45" s="163"/>
      <c r="B45" s="164"/>
      <c r="C45" s="165"/>
      <c r="D45" s="165"/>
      <c r="E45" s="144"/>
      <c r="F45" s="166"/>
      <c r="G45" s="164"/>
      <c r="H45" s="165"/>
      <c r="I45" s="193"/>
      <c r="J45" s="190"/>
      <c r="K45" s="190"/>
      <c r="L45" s="190"/>
      <c r="M45" s="190"/>
      <c r="N45" s="183"/>
      <c r="O45" s="183"/>
      <c r="P45" s="183"/>
      <c r="Q45" s="183"/>
      <c r="R45" s="183"/>
      <c r="S45" s="183"/>
      <c r="T45" s="183"/>
      <c r="U45" s="183"/>
      <c r="V45" s="183"/>
      <c r="W45" s="183"/>
      <c r="X45" s="183"/>
      <c r="Y45" s="183"/>
      <c r="Z45" s="190"/>
    </row>
    <row r="46" ht="15.75" customHeight="1" spans="1:26">
      <c r="A46" s="163"/>
      <c r="B46" s="164"/>
      <c r="C46" s="165"/>
      <c r="D46" s="165"/>
      <c r="E46" s="144"/>
      <c r="F46" s="166"/>
      <c r="G46" s="164"/>
      <c r="H46" s="165"/>
      <c r="I46" s="193"/>
      <c r="J46" s="190"/>
      <c r="K46" s="190"/>
      <c r="L46" s="190"/>
      <c r="M46" s="190"/>
      <c r="N46" s="183"/>
      <c r="O46" s="183"/>
      <c r="P46" s="183"/>
      <c r="Q46" s="183"/>
      <c r="R46" s="183"/>
      <c r="S46" s="183"/>
      <c r="T46" s="183"/>
      <c r="U46" s="183"/>
      <c r="V46" s="183"/>
      <c r="W46" s="183"/>
      <c r="X46" s="183"/>
      <c r="Y46" s="183"/>
      <c r="Z46" s="190"/>
    </row>
    <row r="47" ht="15.75" customHeight="1" spans="1:26">
      <c r="A47" s="163"/>
      <c r="B47" s="164"/>
      <c r="C47" s="165"/>
      <c r="D47" s="165"/>
      <c r="E47" s="144"/>
      <c r="F47" s="166"/>
      <c r="G47" s="164"/>
      <c r="H47" s="165"/>
      <c r="I47" s="193"/>
      <c r="J47" s="190"/>
      <c r="K47" s="190"/>
      <c r="L47" s="190"/>
      <c r="M47" s="190"/>
      <c r="N47" s="183"/>
      <c r="O47" s="183"/>
      <c r="P47" s="183"/>
      <c r="Q47" s="183"/>
      <c r="R47" s="183"/>
      <c r="S47" s="183"/>
      <c r="T47" s="183"/>
      <c r="U47" s="183"/>
      <c r="V47" s="183"/>
      <c r="W47" s="183"/>
      <c r="X47" s="183"/>
      <c r="Y47" s="183"/>
      <c r="Z47" s="190"/>
    </row>
    <row r="48" ht="15.75" customHeight="1" spans="1:26">
      <c r="A48" s="163"/>
      <c r="B48" s="164"/>
      <c r="C48" s="165"/>
      <c r="D48" s="165"/>
      <c r="E48" s="144"/>
      <c r="F48" s="166"/>
      <c r="G48" s="164"/>
      <c r="H48" s="165"/>
      <c r="I48" s="193"/>
      <c r="J48" s="190"/>
      <c r="K48" s="190"/>
      <c r="L48" s="190"/>
      <c r="M48" s="190"/>
      <c r="N48" s="183"/>
      <c r="O48" s="183"/>
      <c r="P48" s="183"/>
      <c r="Q48" s="183"/>
      <c r="R48" s="183"/>
      <c r="S48" s="183"/>
      <c r="T48" s="183"/>
      <c r="U48" s="183"/>
      <c r="V48" s="183"/>
      <c r="W48" s="183"/>
      <c r="X48" s="183"/>
      <c r="Y48" s="183"/>
      <c r="Z48" s="190"/>
    </row>
    <row r="49" ht="15.75" customHeight="1" spans="1:26">
      <c r="A49" s="163"/>
      <c r="B49" s="162"/>
      <c r="C49" s="170"/>
      <c r="D49" s="170"/>
      <c r="E49" s="144"/>
      <c r="F49" s="166"/>
      <c r="G49" s="162"/>
      <c r="H49" s="170"/>
      <c r="I49" s="194"/>
      <c r="J49" s="190"/>
      <c r="K49" s="190"/>
      <c r="L49" s="190"/>
      <c r="M49" s="190"/>
      <c r="N49" s="183"/>
      <c r="O49" s="183"/>
      <c r="P49" s="183"/>
      <c r="Q49" s="183"/>
      <c r="R49" s="183"/>
      <c r="S49" s="183"/>
      <c r="T49" s="183"/>
      <c r="U49" s="183"/>
      <c r="V49" s="183"/>
      <c r="W49" s="183"/>
      <c r="X49" s="183"/>
      <c r="Y49" s="183"/>
      <c r="Z49" s="190"/>
    </row>
    <row r="50" ht="15.75" customHeight="1" spans="1:26">
      <c r="A50" s="168"/>
      <c r="B50" s="164"/>
      <c r="C50" s="172"/>
      <c r="D50" s="172"/>
      <c r="E50" s="144"/>
      <c r="F50" s="171"/>
      <c r="G50" s="164"/>
      <c r="H50" s="173"/>
      <c r="I50" s="195"/>
      <c r="J50" s="190"/>
      <c r="K50" s="190"/>
      <c r="L50" s="190"/>
      <c r="M50" s="190"/>
      <c r="N50" s="183"/>
      <c r="O50" s="183"/>
      <c r="P50" s="183"/>
      <c r="Q50" s="183"/>
      <c r="R50" s="183"/>
      <c r="S50" s="183"/>
      <c r="T50" s="183"/>
      <c r="U50" s="183"/>
      <c r="V50" s="183"/>
      <c r="W50" s="183"/>
      <c r="X50" s="183"/>
      <c r="Y50" s="183"/>
      <c r="Z50" s="190"/>
    </row>
    <row r="51" ht="15.75" customHeight="1" spans="1:26">
      <c r="A51" s="161"/>
      <c r="B51" s="161"/>
      <c r="C51" s="172"/>
      <c r="D51" s="172"/>
      <c r="E51" s="144"/>
      <c r="F51" s="162"/>
      <c r="G51" s="162"/>
      <c r="H51" s="173"/>
      <c r="I51" s="195"/>
      <c r="J51" s="190"/>
      <c r="K51" s="190"/>
      <c r="L51" s="190"/>
      <c r="M51" s="190"/>
      <c r="N51" s="183"/>
      <c r="O51" s="183"/>
      <c r="P51" s="183"/>
      <c r="Q51" s="183"/>
      <c r="R51" s="183"/>
      <c r="S51" s="183"/>
      <c r="T51" s="183"/>
      <c r="U51" s="183"/>
      <c r="V51" s="183"/>
      <c r="W51" s="183"/>
      <c r="X51" s="183"/>
      <c r="Y51" s="183"/>
      <c r="Z51" s="190"/>
    </row>
    <row r="52" ht="15.75" customHeight="1" spans="1:26">
      <c r="A52" s="163"/>
      <c r="B52" s="164"/>
      <c r="C52" s="165"/>
      <c r="D52" s="165"/>
      <c r="E52" s="144"/>
      <c r="F52" s="166"/>
      <c r="G52" s="164"/>
      <c r="H52" s="165"/>
      <c r="I52" s="193"/>
      <c r="J52" s="190"/>
      <c r="K52" s="190"/>
      <c r="L52" s="190"/>
      <c r="M52" s="190"/>
      <c r="N52" s="183"/>
      <c r="O52" s="183"/>
      <c r="P52" s="183"/>
      <c r="Q52" s="183"/>
      <c r="R52" s="183"/>
      <c r="S52" s="183"/>
      <c r="T52" s="183"/>
      <c r="U52" s="183"/>
      <c r="V52" s="183"/>
      <c r="W52" s="183"/>
      <c r="X52" s="183"/>
      <c r="Y52" s="183"/>
      <c r="Z52" s="190"/>
    </row>
    <row r="53" ht="15.75" customHeight="1" spans="1:26">
      <c r="A53" s="163"/>
      <c r="B53" s="164"/>
      <c r="C53" s="165"/>
      <c r="D53" s="165"/>
      <c r="E53" s="144"/>
      <c r="F53" s="166"/>
      <c r="G53" s="164"/>
      <c r="H53" s="165"/>
      <c r="I53" s="193"/>
      <c r="J53" s="190"/>
      <c r="K53" s="190"/>
      <c r="L53" s="190"/>
      <c r="M53" s="190"/>
      <c r="N53" s="183"/>
      <c r="O53" s="183"/>
      <c r="P53" s="183"/>
      <c r="Q53" s="183"/>
      <c r="R53" s="183"/>
      <c r="S53" s="183"/>
      <c r="T53" s="183"/>
      <c r="U53" s="183"/>
      <c r="V53" s="183"/>
      <c r="W53" s="183"/>
      <c r="X53" s="183"/>
      <c r="Y53" s="183"/>
      <c r="Z53" s="190"/>
    </row>
    <row r="54" ht="15.75" customHeight="1" spans="1:26">
      <c r="A54" s="168"/>
      <c r="B54" s="162"/>
      <c r="C54" s="170"/>
      <c r="D54" s="170"/>
      <c r="E54" s="144"/>
      <c r="F54" s="171"/>
      <c r="G54" s="162"/>
      <c r="H54" s="170"/>
      <c r="I54" s="194"/>
      <c r="J54" s="190"/>
      <c r="K54" s="190"/>
      <c r="L54" s="190"/>
      <c r="M54" s="190"/>
      <c r="N54" s="183"/>
      <c r="O54" s="183"/>
      <c r="P54" s="183"/>
      <c r="Q54" s="183"/>
      <c r="R54" s="183"/>
      <c r="S54" s="183"/>
      <c r="T54" s="183"/>
      <c r="U54" s="183"/>
      <c r="V54" s="183"/>
      <c r="W54" s="183"/>
      <c r="X54" s="183"/>
      <c r="Y54" s="183"/>
      <c r="Z54" s="190"/>
    </row>
    <row r="55" ht="15.75" customHeight="1" spans="1:26">
      <c r="A55" s="168"/>
      <c r="B55" s="164"/>
      <c r="C55" s="172"/>
      <c r="D55" s="172"/>
      <c r="E55" s="144"/>
      <c r="F55" s="171"/>
      <c r="G55" s="164"/>
      <c r="H55" s="173"/>
      <c r="I55" s="195"/>
      <c r="J55" s="190"/>
      <c r="K55" s="190"/>
      <c r="L55" s="190"/>
      <c r="M55" s="190"/>
      <c r="N55" s="183"/>
      <c r="O55" s="183"/>
      <c r="P55" s="183"/>
      <c r="Q55" s="183"/>
      <c r="R55" s="183"/>
      <c r="S55" s="183"/>
      <c r="T55" s="183"/>
      <c r="U55" s="183"/>
      <c r="V55" s="183"/>
      <c r="W55" s="183"/>
      <c r="X55" s="183"/>
      <c r="Y55" s="183"/>
      <c r="Z55" s="190"/>
    </row>
    <row r="56" ht="15.75" customHeight="1" spans="1:26">
      <c r="A56" s="168"/>
      <c r="B56" s="162"/>
      <c r="C56" s="174"/>
      <c r="D56" s="174"/>
      <c r="E56" s="144"/>
      <c r="F56" s="171"/>
      <c r="G56" s="162"/>
      <c r="H56" s="170"/>
      <c r="I56" s="196"/>
      <c r="J56" s="190"/>
      <c r="K56" s="190"/>
      <c r="L56" s="190"/>
      <c r="M56" s="190"/>
      <c r="N56" s="183"/>
      <c r="O56" s="183"/>
      <c r="P56" s="183"/>
      <c r="Q56" s="183"/>
      <c r="R56" s="183"/>
      <c r="S56" s="183"/>
      <c r="T56" s="183"/>
      <c r="U56" s="183"/>
      <c r="V56" s="183"/>
      <c r="W56" s="183"/>
      <c r="X56" s="183"/>
      <c r="Y56" s="183"/>
      <c r="Z56" s="190"/>
    </row>
    <row r="57" ht="15.75" customHeight="1" spans="1:26">
      <c r="A57" s="175"/>
      <c r="B57" s="175"/>
      <c r="C57" s="175"/>
      <c r="D57" s="175"/>
      <c r="E57" s="144"/>
      <c r="F57" s="176"/>
      <c r="G57" s="176"/>
      <c r="H57" s="176"/>
      <c r="I57" s="176"/>
      <c r="J57" s="190"/>
      <c r="K57" s="190"/>
      <c r="L57" s="190"/>
      <c r="M57" s="190"/>
      <c r="N57" s="183"/>
      <c r="O57" s="183"/>
      <c r="P57" s="183"/>
      <c r="Q57" s="183"/>
      <c r="R57" s="183"/>
      <c r="S57" s="183"/>
      <c r="T57" s="183"/>
      <c r="U57" s="183"/>
      <c r="V57" s="183"/>
      <c r="W57" s="183"/>
      <c r="X57" s="183"/>
      <c r="Y57" s="183"/>
      <c r="Z57" s="190"/>
    </row>
    <row r="58" ht="15.75" customHeight="1" spans="1:26">
      <c r="A58" s="177"/>
      <c r="B58" s="177"/>
      <c r="C58" s="178"/>
      <c r="D58" s="178"/>
      <c r="E58" s="144"/>
      <c r="F58" s="179"/>
      <c r="G58" s="179"/>
      <c r="H58" s="178"/>
      <c r="I58" s="197"/>
      <c r="J58" s="190"/>
      <c r="K58" s="190"/>
      <c r="L58" s="190"/>
      <c r="M58" s="190"/>
      <c r="N58" s="183"/>
      <c r="O58" s="183"/>
      <c r="P58" s="183"/>
      <c r="Q58" s="183"/>
      <c r="R58" s="183"/>
      <c r="S58" s="183"/>
      <c r="T58" s="183"/>
      <c r="U58" s="183"/>
      <c r="V58" s="183"/>
      <c r="W58" s="183"/>
      <c r="X58" s="183"/>
      <c r="Y58" s="183"/>
      <c r="Z58" s="190"/>
    </row>
    <row r="59" ht="15.75" customHeight="1" spans="1:26">
      <c r="A59" s="180"/>
      <c r="B59" s="180"/>
      <c r="C59" s="180"/>
      <c r="D59" s="180"/>
      <c r="E59" s="144"/>
      <c r="F59" s="181"/>
      <c r="G59" s="181"/>
      <c r="H59" s="181"/>
      <c r="I59" s="181"/>
      <c r="J59" s="190"/>
      <c r="K59" s="190"/>
      <c r="L59" s="190"/>
      <c r="M59" s="190"/>
      <c r="N59" s="183"/>
      <c r="O59" s="183"/>
      <c r="P59" s="183"/>
      <c r="Q59" s="183"/>
      <c r="R59" s="183"/>
      <c r="S59" s="183"/>
      <c r="T59" s="183"/>
      <c r="U59" s="183"/>
      <c r="V59" s="183"/>
      <c r="W59" s="183"/>
      <c r="X59" s="183"/>
      <c r="Y59" s="183"/>
      <c r="Z59" s="190"/>
    </row>
    <row r="60" ht="15.75" customHeight="1" spans="1:26">
      <c r="A60" s="180"/>
      <c r="B60" s="180"/>
      <c r="C60" s="180"/>
      <c r="D60" s="180"/>
      <c r="E60" s="182"/>
      <c r="F60" s="181"/>
      <c r="G60" s="181"/>
      <c r="H60" s="181"/>
      <c r="I60" s="181"/>
      <c r="J60" s="190"/>
      <c r="K60" s="190"/>
      <c r="L60" s="190"/>
      <c r="M60" s="190"/>
      <c r="N60" s="183"/>
      <c r="O60" s="183"/>
      <c r="P60" s="183"/>
      <c r="Q60" s="183"/>
      <c r="R60" s="183"/>
      <c r="S60" s="183"/>
      <c r="T60" s="183"/>
      <c r="U60" s="183"/>
      <c r="V60" s="183"/>
      <c r="W60" s="183"/>
      <c r="X60" s="183"/>
      <c r="Y60" s="183"/>
      <c r="Z60" s="190"/>
    </row>
    <row r="61" ht="15.75" customHeight="1" spans="1:26">
      <c r="A61" s="142"/>
      <c r="B61" s="142"/>
      <c r="C61" s="142"/>
      <c r="D61" s="142"/>
      <c r="E61" s="183"/>
      <c r="F61" s="184"/>
      <c r="G61" s="184"/>
      <c r="H61" s="183"/>
      <c r="I61" s="183"/>
      <c r="J61" s="183"/>
      <c r="K61" s="183"/>
      <c r="L61" s="183"/>
      <c r="M61" s="183"/>
      <c r="N61" s="183"/>
      <c r="O61" s="183"/>
      <c r="P61" s="183"/>
      <c r="Q61" s="183"/>
      <c r="R61" s="183"/>
      <c r="S61" s="183"/>
      <c r="T61" s="183"/>
      <c r="U61" s="183"/>
      <c r="V61" s="183"/>
      <c r="W61" s="183"/>
      <c r="X61" s="183"/>
      <c r="Y61" s="183"/>
      <c r="Z61" s="190"/>
    </row>
    <row r="62" ht="15.75" customHeight="1" spans="1:26">
      <c r="A62" s="185"/>
      <c r="B62" s="186"/>
      <c r="C62" s="185"/>
      <c r="D62" s="185"/>
      <c r="E62" s="183"/>
      <c r="F62" s="184"/>
      <c r="G62" s="184"/>
      <c r="H62" s="183"/>
      <c r="I62" s="183"/>
      <c r="J62" s="183"/>
      <c r="K62" s="183"/>
      <c r="L62" s="183"/>
      <c r="M62" s="183"/>
      <c r="N62" s="183"/>
      <c r="O62" s="183"/>
      <c r="P62" s="183"/>
      <c r="Q62" s="183"/>
      <c r="R62" s="183"/>
      <c r="S62" s="183"/>
      <c r="T62" s="183"/>
      <c r="U62" s="183"/>
      <c r="V62" s="183"/>
      <c r="W62" s="183"/>
      <c r="X62" s="183"/>
      <c r="Y62" s="183"/>
      <c r="Z62" s="190"/>
    </row>
    <row r="63" ht="15.75" customHeight="1" spans="1:26">
      <c r="A63" s="183"/>
      <c r="B63" s="184"/>
      <c r="C63" s="183"/>
      <c r="D63" s="183"/>
      <c r="E63" s="183"/>
      <c r="F63" s="184"/>
      <c r="G63" s="184"/>
      <c r="H63" s="183"/>
      <c r="I63" s="183"/>
      <c r="J63" s="183"/>
      <c r="K63" s="183"/>
      <c r="L63" s="183"/>
      <c r="M63" s="183"/>
      <c r="N63" s="183"/>
      <c r="O63" s="183"/>
      <c r="P63" s="183"/>
      <c r="Q63" s="183"/>
      <c r="R63" s="183"/>
      <c r="S63" s="183"/>
      <c r="T63" s="183"/>
      <c r="U63" s="183"/>
      <c r="V63" s="183"/>
      <c r="W63" s="183"/>
      <c r="X63" s="183"/>
      <c r="Y63" s="183"/>
      <c r="Z63" s="190"/>
    </row>
    <row r="64" ht="15.75" customHeight="1" spans="1:26">
      <c r="A64" s="183"/>
      <c r="B64" s="184"/>
      <c r="C64" s="183"/>
      <c r="D64" s="183"/>
      <c r="E64" s="183"/>
      <c r="F64" s="184"/>
      <c r="G64" s="184"/>
      <c r="H64" s="183"/>
      <c r="I64" s="183"/>
      <c r="J64" s="183"/>
      <c r="K64" s="183"/>
      <c r="L64" s="183"/>
      <c r="M64" s="183"/>
      <c r="N64" s="183"/>
      <c r="O64" s="183"/>
      <c r="P64" s="183"/>
      <c r="Q64" s="183"/>
      <c r="R64" s="183"/>
      <c r="S64" s="183"/>
      <c r="T64" s="183"/>
      <c r="U64" s="183"/>
      <c r="V64" s="183"/>
      <c r="W64" s="183"/>
      <c r="X64" s="183"/>
      <c r="Y64" s="183"/>
      <c r="Z64" s="190"/>
    </row>
    <row r="65" ht="15.75" customHeight="1" spans="1:26">
      <c r="A65" s="183"/>
      <c r="B65" s="184"/>
      <c r="C65" s="183"/>
      <c r="D65" s="183"/>
      <c r="E65" s="183"/>
      <c r="F65" s="184"/>
      <c r="G65" s="184"/>
      <c r="H65" s="183"/>
      <c r="I65" s="183"/>
      <c r="J65" s="183"/>
      <c r="K65" s="183"/>
      <c r="L65" s="183"/>
      <c r="M65" s="183"/>
      <c r="N65" s="183"/>
      <c r="O65" s="183"/>
      <c r="P65" s="183"/>
      <c r="Q65" s="183"/>
      <c r="R65" s="183"/>
      <c r="S65" s="183"/>
      <c r="T65" s="183"/>
      <c r="U65" s="183"/>
      <c r="V65" s="183"/>
      <c r="W65" s="183"/>
      <c r="X65" s="183"/>
      <c r="Y65" s="183"/>
      <c r="Z65" s="190"/>
    </row>
    <row r="66" ht="15.75" customHeight="1" spans="1:26">
      <c r="A66" s="183"/>
      <c r="B66" s="184"/>
      <c r="C66" s="183"/>
      <c r="D66" s="183"/>
      <c r="E66" s="183"/>
      <c r="F66" s="184"/>
      <c r="G66" s="184"/>
      <c r="H66" s="183"/>
      <c r="I66" s="183"/>
      <c r="J66" s="183"/>
      <c r="K66" s="183"/>
      <c r="L66" s="183"/>
      <c r="M66" s="183"/>
      <c r="N66" s="183"/>
      <c r="O66" s="183"/>
      <c r="P66" s="183"/>
      <c r="Q66" s="183"/>
      <c r="R66" s="183"/>
      <c r="S66" s="183"/>
      <c r="T66" s="183"/>
      <c r="U66" s="183"/>
      <c r="V66" s="183"/>
      <c r="W66" s="183"/>
      <c r="X66" s="183"/>
      <c r="Y66" s="183"/>
      <c r="Z66" s="190"/>
    </row>
    <row r="67" ht="15.75" customHeight="1" spans="1:26">
      <c r="A67" s="183"/>
      <c r="B67" s="184"/>
      <c r="C67" s="183"/>
      <c r="D67" s="183"/>
      <c r="E67" s="183"/>
      <c r="F67" s="184"/>
      <c r="G67" s="184"/>
      <c r="H67" s="183"/>
      <c r="I67" s="183"/>
      <c r="J67" s="183"/>
      <c r="K67" s="183"/>
      <c r="L67" s="183"/>
      <c r="M67" s="183"/>
      <c r="N67" s="183"/>
      <c r="O67" s="183"/>
      <c r="P67" s="183"/>
      <c r="Q67" s="183"/>
      <c r="R67" s="183"/>
      <c r="S67" s="183"/>
      <c r="T67" s="183"/>
      <c r="U67" s="183"/>
      <c r="V67" s="183"/>
      <c r="W67" s="183"/>
      <c r="X67" s="183"/>
      <c r="Y67" s="183"/>
      <c r="Z67" s="190"/>
    </row>
    <row r="68" ht="15.75" customHeight="1" spans="1:26">
      <c r="A68" s="183"/>
      <c r="B68" s="184"/>
      <c r="C68" s="183"/>
      <c r="D68" s="183"/>
      <c r="E68" s="183"/>
      <c r="F68" s="184"/>
      <c r="G68" s="184"/>
      <c r="H68" s="183"/>
      <c r="I68" s="183"/>
      <c r="J68" s="183"/>
      <c r="K68" s="183"/>
      <c r="L68" s="183"/>
      <c r="M68" s="183"/>
      <c r="N68" s="183"/>
      <c r="O68" s="183"/>
      <c r="P68" s="183"/>
      <c r="Q68" s="183"/>
      <c r="R68" s="183"/>
      <c r="S68" s="183"/>
      <c r="T68" s="183"/>
      <c r="U68" s="183"/>
      <c r="V68" s="183"/>
      <c r="W68" s="183"/>
      <c r="X68" s="183"/>
      <c r="Y68" s="183"/>
      <c r="Z68" s="190"/>
    </row>
    <row r="69" ht="15.75" customHeight="1" spans="1:26">
      <c r="A69" s="183"/>
      <c r="B69" s="184"/>
      <c r="C69" s="183"/>
      <c r="D69" s="183"/>
      <c r="E69" s="183"/>
      <c r="F69" s="184"/>
      <c r="G69" s="184"/>
      <c r="H69" s="183"/>
      <c r="I69" s="183"/>
      <c r="J69" s="183"/>
      <c r="K69" s="183"/>
      <c r="L69" s="183"/>
      <c r="M69" s="183"/>
      <c r="N69" s="183"/>
      <c r="O69" s="183"/>
      <c r="P69" s="183"/>
      <c r="Q69" s="183"/>
      <c r="R69" s="183"/>
      <c r="S69" s="183"/>
      <c r="T69" s="183"/>
      <c r="U69" s="183"/>
      <c r="V69" s="183"/>
      <c r="W69" s="183"/>
      <c r="X69" s="183"/>
      <c r="Y69" s="183"/>
      <c r="Z69" s="190"/>
    </row>
    <row r="70" ht="15.75" customHeight="1" spans="1:26">
      <c r="A70" s="183"/>
      <c r="B70" s="184"/>
      <c r="C70" s="183"/>
      <c r="D70" s="183"/>
      <c r="E70" s="183"/>
      <c r="F70" s="184"/>
      <c r="G70" s="184"/>
      <c r="H70" s="183"/>
      <c r="I70" s="183"/>
      <c r="J70" s="183"/>
      <c r="K70" s="183"/>
      <c r="L70" s="183"/>
      <c r="M70" s="183"/>
      <c r="N70" s="183"/>
      <c r="O70" s="183"/>
      <c r="P70" s="183"/>
      <c r="Q70" s="183"/>
      <c r="R70" s="183"/>
      <c r="S70" s="183"/>
      <c r="T70" s="183"/>
      <c r="U70" s="183"/>
      <c r="V70" s="183"/>
      <c r="W70" s="183"/>
      <c r="X70" s="183"/>
      <c r="Y70" s="183"/>
      <c r="Z70" s="190"/>
    </row>
    <row r="71" ht="15.75" customHeight="1" spans="1:26">
      <c r="A71" s="183"/>
      <c r="B71" s="184"/>
      <c r="C71" s="183"/>
      <c r="D71" s="183"/>
      <c r="E71" s="183"/>
      <c r="F71" s="184"/>
      <c r="G71" s="184"/>
      <c r="H71" s="183"/>
      <c r="I71" s="183"/>
      <c r="J71" s="183"/>
      <c r="K71" s="183"/>
      <c r="L71" s="183"/>
      <c r="M71" s="183"/>
      <c r="N71" s="183"/>
      <c r="O71" s="183"/>
      <c r="P71" s="183"/>
      <c r="Q71" s="183"/>
      <c r="R71" s="183"/>
      <c r="S71" s="183"/>
      <c r="T71" s="183"/>
      <c r="U71" s="183"/>
      <c r="V71" s="183"/>
      <c r="W71" s="183"/>
      <c r="X71" s="183"/>
      <c r="Y71" s="183"/>
      <c r="Z71" s="190"/>
    </row>
    <row r="72" ht="15.75" customHeight="1" spans="1:26">
      <c r="A72" s="183"/>
      <c r="B72" s="184"/>
      <c r="C72" s="183"/>
      <c r="D72" s="183"/>
      <c r="E72" s="183"/>
      <c r="F72" s="184"/>
      <c r="G72" s="184"/>
      <c r="H72" s="183"/>
      <c r="I72" s="183"/>
      <c r="J72" s="183"/>
      <c r="K72" s="183"/>
      <c r="L72" s="183"/>
      <c r="M72" s="183"/>
      <c r="N72" s="183"/>
      <c r="O72" s="183"/>
      <c r="P72" s="183"/>
      <c r="Q72" s="183"/>
      <c r="R72" s="183"/>
      <c r="S72" s="183"/>
      <c r="T72" s="183"/>
      <c r="U72" s="183"/>
      <c r="V72" s="183"/>
      <c r="W72" s="183"/>
      <c r="X72" s="183"/>
      <c r="Y72" s="183"/>
      <c r="Z72" s="190"/>
    </row>
    <row r="73" ht="15.75" customHeight="1" spans="1:26">
      <c r="A73" s="183"/>
      <c r="B73" s="184"/>
      <c r="C73" s="183"/>
      <c r="D73" s="183"/>
      <c r="E73" s="183"/>
      <c r="F73" s="184"/>
      <c r="G73" s="184"/>
      <c r="H73" s="183"/>
      <c r="I73" s="183"/>
      <c r="J73" s="183"/>
      <c r="K73" s="183"/>
      <c r="L73" s="183"/>
      <c r="M73" s="183"/>
      <c r="N73" s="183"/>
      <c r="O73" s="183"/>
      <c r="P73" s="183"/>
      <c r="Q73" s="183"/>
      <c r="R73" s="183"/>
      <c r="S73" s="183"/>
      <c r="T73" s="183"/>
      <c r="U73" s="183"/>
      <c r="V73" s="183"/>
      <c r="W73" s="183"/>
      <c r="X73" s="183"/>
      <c r="Y73" s="183"/>
      <c r="Z73" s="190"/>
    </row>
    <row r="74" ht="15.75" customHeight="1" spans="1:26">
      <c r="A74" s="183"/>
      <c r="B74" s="184"/>
      <c r="C74" s="183"/>
      <c r="D74" s="183"/>
      <c r="E74" s="183"/>
      <c r="F74" s="184"/>
      <c r="G74" s="184"/>
      <c r="H74" s="183"/>
      <c r="I74" s="183"/>
      <c r="J74" s="183"/>
      <c r="K74" s="183"/>
      <c r="L74" s="183"/>
      <c r="M74" s="183"/>
      <c r="N74" s="183"/>
      <c r="O74" s="183"/>
      <c r="P74" s="183"/>
      <c r="Q74" s="183"/>
      <c r="R74" s="183"/>
      <c r="S74" s="183"/>
      <c r="T74" s="183"/>
      <c r="U74" s="183"/>
      <c r="V74" s="183"/>
      <c r="W74" s="183"/>
      <c r="X74" s="183"/>
      <c r="Y74" s="183"/>
      <c r="Z74" s="190"/>
    </row>
    <row r="75" ht="15.75" customHeight="1" spans="1:26">
      <c r="A75" s="183"/>
      <c r="B75" s="184"/>
      <c r="C75" s="183"/>
      <c r="D75" s="183"/>
      <c r="E75" s="183"/>
      <c r="F75" s="184"/>
      <c r="G75" s="184"/>
      <c r="H75" s="183"/>
      <c r="I75" s="183"/>
      <c r="J75" s="183"/>
      <c r="K75" s="183"/>
      <c r="L75" s="183"/>
      <c r="M75" s="183"/>
      <c r="N75" s="183"/>
      <c r="O75" s="183"/>
      <c r="P75" s="183"/>
      <c r="Q75" s="183"/>
      <c r="R75" s="183"/>
      <c r="S75" s="183"/>
      <c r="T75" s="183"/>
      <c r="U75" s="183"/>
      <c r="V75" s="183"/>
      <c r="W75" s="183"/>
      <c r="X75" s="183"/>
      <c r="Y75" s="183"/>
      <c r="Z75" s="190"/>
    </row>
    <row r="76" ht="15.75" customHeight="1" spans="1:26">
      <c r="A76" s="183"/>
      <c r="B76" s="184"/>
      <c r="C76" s="183"/>
      <c r="D76" s="183"/>
      <c r="E76" s="183"/>
      <c r="F76" s="184"/>
      <c r="G76" s="184"/>
      <c r="H76" s="183"/>
      <c r="I76" s="183"/>
      <c r="J76" s="183"/>
      <c r="K76" s="183"/>
      <c r="L76" s="183"/>
      <c r="M76" s="183"/>
      <c r="N76" s="183"/>
      <c r="O76" s="183"/>
      <c r="P76" s="183"/>
      <c r="Q76" s="183"/>
      <c r="R76" s="183"/>
      <c r="S76" s="183"/>
      <c r="T76" s="183"/>
      <c r="U76" s="183"/>
      <c r="V76" s="183"/>
      <c r="W76" s="183"/>
      <c r="X76" s="183"/>
      <c r="Y76" s="183"/>
      <c r="Z76" s="190"/>
    </row>
    <row r="77" ht="15.75" customHeight="1" spans="1:26">
      <c r="A77" s="183"/>
      <c r="B77" s="184"/>
      <c r="C77" s="183"/>
      <c r="D77" s="183"/>
      <c r="E77" s="183"/>
      <c r="F77" s="184"/>
      <c r="G77" s="184"/>
      <c r="H77" s="183"/>
      <c r="I77" s="183"/>
      <c r="J77" s="183"/>
      <c r="K77" s="183"/>
      <c r="L77" s="183"/>
      <c r="M77" s="183"/>
      <c r="N77" s="183"/>
      <c r="O77" s="183"/>
      <c r="P77" s="183"/>
      <c r="Q77" s="183"/>
      <c r="R77" s="183"/>
      <c r="S77" s="183"/>
      <c r="T77" s="183"/>
      <c r="U77" s="183"/>
      <c r="V77" s="183"/>
      <c r="W77" s="183"/>
      <c r="X77" s="183"/>
      <c r="Y77" s="183"/>
      <c r="Z77" s="190"/>
    </row>
    <row r="78" ht="15.75" customHeight="1" spans="1:26">
      <c r="A78" s="183"/>
      <c r="B78" s="184"/>
      <c r="C78" s="183"/>
      <c r="D78" s="183"/>
      <c r="E78" s="183"/>
      <c r="F78" s="184"/>
      <c r="G78" s="184"/>
      <c r="H78" s="183"/>
      <c r="I78" s="183"/>
      <c r="J78" s="183"/>
      <c r="K78" s="183"/>
      <c r="L78" s="183"/>
      <c r="M78" s="183"/>
      <c r="N78" s="183"/>
      <c r="O78" s="183"/>
      <c r="P78" s="183"/>
      <c r="Q78" s="183"/>
      <c r="R78" s="183"/>
      <c r="S78" s="183"/>
      <c r="T78" s="183"/>
      <c r="U78" s="183"/>
      <c r="V78" s="183"/>
      <c r="W78" s="183"/>
      <c r="X78" s="183"/>
      <c r="Y78" s="183"/>
      <c r="Z78" s="190"/>
    </row>
    <row r="79" ht="15.75" customHeight="1" spans="1:26">
      <c r="A79" s="183"/>
      <c r="B79" s="184"/>
      <c r="C79" s="183"/>
      <c r="D79" s="183"/>
      <c r="E79" s="183"/>
      <c r="F79" s="184"/>
      <c r="G79" s="184"/>
      <c r="H79" s="183"/>
      <c r="I79" s="183"/>
      <c r="J79" s="183"/>
      <c r="K79" s="183"/>
      <c r="L79" s="183"/>
      <c r="M79" s="183"/>
      <c r="N79" s="183"/>
      <c r="O79" s="183"/>
      <c r="P79" s="183"/>
      <c r="Q79" s="183"/>
      <c r="R79" s="183"/>
      <c r="S79" s="183"/>
      <c r="T79" s="183"/>
      <c r="U79" s="183"/>
      <c r="V79" s="183"/>
      <c r="W79" s="183"/>
      <c r="X79" s="183"/>
      <c r="Y79" s="183"/>
      <c r="Z79" s="190"/>
    </row>
    <row r="80" ht="15.75" customHeight="1" spans="1:26">
      <c r="A80" s="183"/>
      <c r="B80" s="184"/>
      <c r="C80" s="183"/>
      <c r="D80" s="183"/>
      <c r="E80" s="183"/>
      <c r="F80" s="184"/>
      <c r="G80" s="184"/>
      <c r="H80" s="183"/>
      <c r="I80" s="183"/>
      <c r="J80" s="183"/>
      <c r="K80" s="183"/>
      <c r="L80" s="183"/>
      <c r="M80" s="183"/>
      <c r="N80" s="183"/>
      <c r="O80" s="183"/>
      <c r="P80" s="183"/>
      <c r="Q80" s="183"/>
      <c r="R80" s="183"/>
      <c r="S80" s="183"/>
      <c r="T80" s="183"/>
      <c r="U80" s="183"/>
      <c r="V80" s="183"/>
      <c r="W80" s="183"/>
      <c r="X80" s="183"/>
      <c r="Y80" s="183"/>
      <c r="Z80" s="190"/>
    </row>
    <row r="81" ht="15.75" customHeight="1" spans="1:26">
      <c r="A81" s="183"/>
      <c r="B81" s="184"/>
      <c r="C81" s="183"/>
      <c r="D81" s="183"/>
      <c r="E81" s="183"/>
      <c r="F81" s="184"/>
      <c r="G81" s="184"/>
      <c r="H81" s="183"/>
      <c r="I81" s="183"/>
      <c r="J81" s="183"/>
      <c r="K81" s="183"/>
      <c r="L81" s="183"/>
      <c r="M81" s="183"/>
      <c r="N81" s="183"/>
      <c r="O81" s="183"/>
      <c r="P81" s="183"/>
      <c r="Q81" s="183"/>
      <c r="R81" s="183"/>
      <c r="S81" s="183"/>
      <c r="T81" s="183"/>
      <c r="U81" s="183"/>
      <c r="V81" s="183"/>
      <c r="W81" s="183"/>
      <c r="X81" s="183"/>
      <c r="Y81" s="183"/>
      <c r="Z81" s="190"/>
    </row>
    <row r="82" ht="15.75" customHeight="1" spans="1:26">
      <c r="A82" s="183"/>
      <c r="B82" s="184"/>
      <c r="C82" s="183"/>
      <c r="D82" s="183"/>
      <c r="E82" s="183"/>
      <c r="F82" s="184"/>
      <c r="G82" s="184"/>
      <c r="H82" s="183"/>
      <c r="I82" s="183"/>
      <c r="J82" s="183"/>
      <c r="K82" s="183"/>
      <c r="L82" s="183"/>
      <c r="M82" s="183"/>
      <c r="N82" s="183"/>
      <c r="O82" s="183"/>
      <c r="P82" s="183"/>
      <c r="Q82" s="183"/>
      <c r="R82" s="183"/>
      <c r="S82" s="183"/>
      <c r="T82" s="183"/>
      <c r="U82" s="183"/>
      <c r="V82" s="183"/>
      <c r="W82" s="183"/>
      <c r="X82" s="183"/>
      <c r="Y82" s="183"/>
      <c r="Z82" s="190"/>
    </row>
    <row r="83" ht="15.75" customHeight="1" spans="1:26">
      <c r="A83" s="183"/>
      <c r="B83" s="184"/>
      <c r="C83" s="183"/>
      <c r="D83" s="183"/>
      <c r="E83" s="183"/>
      <c r="F83" s="184"/>
      <c r="G83" s="184"/>
      <c r="H83" s="183"/>
      <c r="I83" s="183"/>
      <c r="J83" s="183"/>
      <c r="K83" s="183"/>
      <c r="L83" s="183"/>
      <c r="M83" s="183"/>
      <c r="N83" s="183"/>
      <c r="O83" s="183"/>
      <c r="P83" s="183"/>
      <c r="Q83" s="183"/>
      <c r="R83" s="183"/>
      <c r="S83" s="183"/>
      <c r="T83" s="183"/>
      <c r="U83" s="183"/>
      <c r="V83" s="183"/>
      <c r="W83" s="183"/>
      <c r="X83" s="183"/>
      <c r="Y83" s="183"/>
      <c r="Z83" s="190"/>
    </row>
    <row r="84" ht="15.75" customHeight="1" spans="1:26">
      <c r="A84" s="183"/>
      <c r="B84" s="184"/>
      <c r="C84" s="183"/>
      <c r="D84" s="183"/>
      <c r="E84" s="183"/>
      <c r="F84" s="184"/>
      <c r="G84" s="184"/>
      <c r="H84" s="183"/>
      <c r="I84" s="183"/>
      <c r="J84" s="183"/>
      <c r="K84" s="183"/>
      <c r="L84" s="183"/>
      <c r="M84" s="183"/>
      <c r="N84" s="183"/>
      <c r="O84" s="183"/>
      <c r="P84" s="183"/>
      <c r="Q84" s="183"/>
      <c r="R84" s="183"/>
      <c r="S84" s="183"/>
      <c r="T84" s="183"/>
      <c r="U84" s="183"/>
      <c r="V84" s="183"/>
      <c r="W84" s="183"/>
      <c r="X84" s="183"/>
      <c r="Y84" s="183"/>
      <c r="Z84" s="190"/>
    </row>
    <row r="85" ht="15.75" customHeight="1" spans="1:26">
      <c r="A85" s="183"/>
      <c r="B85" s="184"/>
      <c r="C85" s="183"/>
      <c r="D85" s="183"/>
      <c r="E85" s="183"/>
      <c r="F85" s="184"/>
      <c r="G85" s="184"/>
      <c r="H85" s="183"/>
      <c r="I85" s="183"/>
      <c r="J85" s="183"/>
      <c r="K85" s="183"/>
      <c r="L85" s="183"/>
      <c r="M85" s="183"/>
      <c r="N85" s="183"/>
      <c r="O85" s="183"/>
      <c r="P85" s="183"/>
      <c r="Q85" s="183"/>
      <c r="R85" s="183"/>
      <c r="S85" s="183"/>
      <c r="T85" s="183"/>
      <c r="U85" s="183"/>
      <c r="V85" s="183"/>
      <c r="W85" s="183"/>
      <c r="X85" s="183"/>
      <c r="Y85" s="183"/>
      <c r="Z85" s="190"/>
    </row>
    <row r="86" ht="15.75" customHeight="1" spans="1:26">
      <c r="A86" s="183"/>
      <c r="B86" s="184"/>
      <c r="C86" s="183"/>
      <c r="D86" s="183"/>
      <c r="E86" s="183"/>
      <c r="F86" s="184"/>
      <c r="G86" s="184"/>
      <c r="H86" s="183"/>
      <c r="I86" s="183"/>
      <c r="J86" s="183"/>
      <c r="K86" s="183"/>
      <c r="L86" s="183"/>
      <c r="M86" s="183"/>
      <c r="N86" s="183"/>
      <c r="O86" s="183"/>
      <c r="P86" s="183"/>
      <c r="Q86" s="183"/>
      <c r="R86" s="183"/>
      <c r="S86" s="183"/>
      <c r="T86" s="183"/>
      <c r="U86" s="183"/>
      <c r="V86" s="183"/>
      <c r="W86" s="183"/>
      <c r="X86" s="183"/>
      <c r="Y86" s="183"/>
      <c r="Z86" s="190"/>
    </row>
    <row r="87" ht="15.75" customHeight="1" spans="1:26">
      <c r="A87" s="183"/>
      <c r="B87" s="184"/>
      <c r="C87" s="183"/>
      <c r="D87" s="183"/>
      <c r="E87" s="183"/>
      <c r="F87" s="184"/>
      <c r="G87" s="184"/>
      <c r="H87" s="183"/>
      <c r="I87" s="183"/>
      <c r="J87" s="183"/>
      <c r="K87" s="183"/>
      <c r="L87" s="183"/>
      <c r="M87" s="183"/>
      <c r="N87" s="183"/>
      <c r="O87" s="183"/>
      <c r="P87" s="183"/>
      <c r="Q87" s="183"/>
      <c r="R87" s="183"/>
      <c r="S87" s="183"/>
      <c r="T87" s="183"/>
      <c r="U87" s="183"/>
      <c r="V87" s="183"/>
      <c r="W87" s="183"/>
      <c r="X87" s="183"/>
      <c r="Y87" s="183"/>
      <c r="Z87" s="190"/>
    </row>
    <row r="88" ht="15.75" customHeight="1" spans="1:26">
      <c r="A88" s="183"/>
      <c r="B88" s="184"/>
      <c r="C88" s="183"/>
      <c r="D88" s="183"/>
      <c r="E88" s="183"/>
      <c r="F88" s="184"/>
      <c r="G88" s="184"/>
      <c r="H88" s="183"/>
      <c r="I88" s="183"/>
      <c r="J88" s="183"/>
      <c r="K88" s="183"/>
      <c r="L88" s="183"/>
      <c r="M88" s="183"/>
      <c r="N88" s="183"/>
      <c r="O88" s="183"/>
      <c r="P88" s="183"/>
      <c r="Q88" s="183"/>
      <c r="R88" s="183"/>
      <c r="S88" s="183"/>
      <c r="T88" s="183"/>
      <c r="U88" s="183"/>
      <c r="V88" s="183"/>
      <c r="W88" s="183"/>
      <c r="X88" s="183"/>
      <c r="Y88" s="183"/>
      <c r="Z88" s="190"/>
    </row>
    <row r="89" ht="15.75" customHeight="1" spans="1:26">
      <c r="A89" s="183"/>
      <c r="B89" s="184"/>
      <c r="C89" s="183"/>
      <c r="D89" s="183"/>
      <c r="E89" s="183"/>
      <c r="F89" s="184"/>
      <c r="G89" s="184"/>
      <c r="H89" s="183"/>
      <c r="I89" s="183"/>
      <c r="J89" s="183"/>
      <c r="K89" s="183"/>
      <c r="L89" s="183"/>
      <c r="M89" s="183"/>
      <c r="N89" s="183"/>
      <c r="O89" s="183"/>
      <c r="P89" s="183"/>
      <c r="Q89" s="183"/>
      <c r="R89" s="183"/>
      <c r="S89" s="183"/>
      <c r="T89" s="183"/>
      <c r="U89" s="183"/>
      <c r="V89" s="183"/>
      <c r="W89" s="183"/>
      <c r="X89" s="183"/>
      <c r="Y89" s="183"/>
      <c r="Z89" s="190"/>
    </row>
    <row r="90" ht="15.75" customHeight="1" spans="1:26">
      <c r="A90" s="183"/>
      <c r="B90" s="184"/>
      <c r="C90" s="183"/>
      <c r="D90" s="183"/>
      <c r="E90" s="183"/>
      <c r="F90" s="184"/>
      <c r="G90" s="184"/>
      <c r="H90" s="183"/>
      <c r="I90" s="183"/>
      <c r="J90" s="183"/>
      <c r="K90" s="183"/>
      <c r="L90" s="183"/>
      <c r="M90" s="183"/>
      <c r="N90" s="183"/>
      <c r="O90" s="183"/>
      <c r="P90" s="183"/>
      <c r="Q90" s="183"/>
      <c r="R90" s="183"/>
      <c r="S90" s="183"/>
      <c r="T90" s="183"/>
      <c r="U90" s="183"/>
      <c r="V90" s="183"/>
      <c r="W90" s="183"/>
      <c r="X90" s="183"/>
      <c r="Y90" s="183"/>
      <c r="Z90" s="190"/>
    </row>
    <row r="91" ht="15.75" customHeight="1" spans="1:26">
      <c r="A91" s="183"/>
      <c r="B91" s="184"/>
      <c r="C91" s="183"/>
      <c r="D91" s="183"/>
      <c r="E91" s="183"/>
      <c r="F91" s="184"/>
      <c r="G91" s="184"/>
      <c r="H91" s="183"/>
      <c r="I91" s="183"/>
      <c r="J91" s="183"/>
      <c r="K91" s="183"/>
      <c r="L91" s="183"/>
      <c r="M91" s="183"/>
      <c r="N91" s="183"/>
      <c r="O91" s="183"/>
      <c r="P91" s="183"/>
      <c r="Q91" s="183"/>
      <c r="R91" s="183"/>
      <c r="S91" s="183"/>
      <c r="T91" s="183"/>
      <c r="U91" s="183"/>
      <c r="V91" s="183"/>
      <c r="W91" s="183"/>
      <c r="X91" s="183"/>
      <c r="Y91" s="183"/>
      <c r="Z91" s="190"/>
    </row>
    <row r="92" ht="15.75" customHeight="1" spans="1:26">
      <c r="A92" s="183"/>
      <c r="B92" s="184"/>
      <c r="C92" s="183"/>
      <c r="D92" s="183"/>
      <c r="E92" s="183"/>
      <c r="F92" s="184"/>
      <c r="G92" s="184"/>
      <c r="H92" s="183"/>
      <c r="I92" s="183"/>
      <c r="J92" s="183"/>
      <c r="K92" s="183"/>
      <c r="L92" s="183"/>
      <c r="M92" s="183"/>
      <c r="N92" s="183"/>
      <c r="O92" s="183"/>
      <c r="P92" s="183"/>
      <c r="Q92" s="183"/>
      <c r="R92" s="183"/>
      <c r="S92" s="183"/>
      <c r="T92" s="183"/>
      <c r="U92" s="183"/>
      <c r="V92" s="183"/>
      <c r="W92" s="183"/>
      <c r="X92" s="183"/>
      <c r="Y92" s="183"/>
      <c r="Z92" s="190"/>
    </row>
    <row r="93" ht="15.75" customHeight="1" spans="1:26">
      <c r="A93" s="183"/>
      <c r="B93" s="184"/>
      <c r="C93" s="183"/>
      <c r="D93" s="183"/>
      <c r="E93" s="183"/>
      <c r="F93" s="184"/>
      <c r="G93" s="184"/>
      <c r="H93" s="183"/>
      <c r="I93" s="183"/>
      <c r="J93" s="183"/>
      <c r="K93" s="183"/>
      <c r="L93" s="183"/>
      <c r="M93" s="183"/>
      <c r="N93" s="183"/>
      <c r="O93" s="183"/>
      <c r="P93" s="183"/>
      <c r="Q93" s="183"/>
      <c r="R93" s="183"/>
      <c r="S93" s="183"/>
      <c r="T93" s="183"/>
      <c r="U93" s="183"/>
      <c r="V93" s="183"/>
      <c r="W93" s="183"/>
      <c r="X93" s="183"/>
      <c r="Y93" s="183"/>
      <c r="Z93" s="190"/>
    </row>
    <row r="94" ht="15.75" customHeight="1" spans="1:26">
      <c r="A94" s="183"/>
      <c r="B94" s="184"/>
      <c r="C94" s="183"/>
      <c r="D94" s="183"/>
      <c r="E94" s="183"/>
      <c r="F94" s="184"/>
      <c r="G94" s="184"/>
      <c r="H94" s="183"/>
      <c r="I94" s="183"/>
      <c r="J94" s="183"/>
      <c r="K94" s="183"/>
      <c r="L94" s="183"/>
      <c r="M94" s="183"/>
      <c r="N94" s="183"/>
      <c r="O94" s="183"/>
      <c r="P94" s="183"/>
      <c r="Q94" s="183"/>
      <c r="R94" s="183"/>
      <c r="S94" s="183"/>
      <c r="T94" s="183"/>
      <c r="U94" s="183"/>
      <c r="V94" s="183"/>
      <c r="W94" s="183"/>
      <c r="X94" s="183"/>
      <c r="Y94" s="183"/>
      <c r="Z94" s="190"/>
    </row>
    <row r="95" ht="15.75" customHeight="1" spans="1:26">
      <c r="A95" s="183"/>
      <c r="B95" s="184"/>
      <c r="C95" s="183"/>
      <c r="D95" s="183"/>
      <c r="E95" s="183"/>
      <c r="F95" s="184"/>
      <c r="G95" s="184"/>
      <c r="H95" s="183"/>
      <c r="I95" s="183"/>
      <c r="J95" s="183"/>
      <c r="K95" s="183"/>
      <c r="L95" s="183"/>
      <c r="M95" s="183"/>
      <c r="N95" s="183"/>
      <c r="O95" s="183"/>
      <c r="P95" s="183"/>
      <c r="Q95" s="183"/>
      <c r="R95" s="183"/>
      <c r="S95" s="183"/>
      <c r="T95" s="183"/>
      <c r="U95" s="183"/>
      <c r="V95" s="183"/>
      <c r="W95" s="183"/>
      <c r="X95" s="183"/>
      <c r="Y95" s="183"/>
      <c r="Z95" s="190"/>
    </row>
    <row r="96" ht="15.75" customHeight="1" spans="1:26">
      <c r="A96" s="183"/>
      <c r="B96" s="184"/>
      <c r="C96" s="183"/>
      <c r="D96" s="183"/>
      <c r="E96" s="183"/>
      <c r="F96" s="184"/>
      <c r="G96" s="184"/>
      <c r="H96" s="183"/>
      <c r="I96" s="183"/>
      <c r="J96" s="183"/>
      <c r="K96" s="183"/>
      <c r="L96" s="183"/>
      <c r="M96" s="183"/>
      <c r="N96" s="183"/>
      <c r="O96" s="183"/>
      <c r="P96" s="183"/>
      <c r="Q96" s="183"/>
      <c r="R96" s="183"/>
      <c r="S96" s="183"/>
      <c r="T96" s="183"/>
      <c r="U96" s="183"/>
      <c r="V96" s="183"/>
      <c r="W96" s="183"/>
      <c r="X96" s="183"/>
      <c r="Y96" s="183"/>
      <c r="Z96" s="190"/>
    </row>
    <row r="97" ht="15.75" customHeight="1" spans="1:26">
      <c r="A97" s="183"/>
      <c r="B97" s="184"/>
      <c r="C97" s="183"/>
      <c r="D97" s="183"/>
      <c r="E97" s="183"/>
      <c r="F97" s="184"/>
      <c r="G97" s="184"/>
      <c r="H97" s="183"/>
      <c r="I97" s="183"/>
      <c r="J97" s="183"/>
      <c r="K97" s="183"/>
      <c r="L97" s="183"/>
      <c r="M97" s="183"/>
      <c r="N97" s="183"/>
      <c r="O97" s="183"/>
      <c r="P97" s="183"/>
      <c r="Q97" s="183"/>
      <c r="R97" s="183"/>
      <c r="S97" s="183"/>
      <c r="T97" s="183"/>
      <c r="U97" s="183"/>
      <c r="V97" s="183"/>
      <c r="W97" s="183"/>
      <c r="X97" s="183"/>
      <c r="Y97" s="183"/>
      <c r="Z97" s="190"/>
    </row>
    <row r="98" ht="15.75" customHeight="1" spans="1:26">
      <c r="A98" s="183"/>
      <c r="B98" s="184"/>
      <c r="C98" s="183"/>
      <c r="D98" s="183"/>
      <c r="E98" s="183"/>
      <c r="F98" s="184"/>
      <c r="G98" s="184"/>
      <c r="H98" s="183"/>
      <c r="I98" s="183"/>
      <c r="J98" s="183"/>
      <c r="K98" s="183"/>
      <c r="L98" s="183"/>
      <c r="M98" s="183"/>
      <c r="N98" s="183"/>
      <c r="O98" s="183"/>
      <c r="P98" s="183"/>
      <c r="Q98" s="183"/>
      <c r="R98" s="183"/>
      <c r="S98" s="183"/>
      <c r="T98" s="183"/>
      <c r="U98" s="183"/>
      <c r="V98" s="183"/>
      <c r="W98" s="183"/>
      <c r="X98" s="183"/>
      <c r="Y98" s="183"/>
      <c r="Z98" s="190"/>
    </row>
    <row r="99" ht="15.75" customHeight="1" spans="1:26">
      <c r="A99" s="183"/>
      <c r="B99" s="184"/>
      <c r="C99" s="183"/>
      <c r="D99" s="183"/>
      <c r="E99" s="183"/>
      <c r="F99" s="184"/>
      <c r="G99" s="184"/>
      <c r="H99" s="183"/>
      <c r="I99" s="183"/>
      <c r="J99" s="183"/>
      <c r="K99" s="183"/>
      <c r="L99" s="183"/>
      <c r="M99" s="183"/>
      <c r="N99" s="183"/>
      <c r="O99" s="183"/>
      <c r="P99" s="183"/>
      <c r="Q99" s="183"/>
      <c r="R99" s="183"/>
      <c r="S99" s="183"/>
      <c r="T99" s="183"/>
      <c r="U99" s="183"/>
      <c r="V99" s="183"/>
      <c r="W99" s="183"/>
      <c r="X99" s="183"/>
      <c r="Y99" s="183"/>
      <c r="Z99" s="190"/>
    </row>
    <row r="100" ht="15.75" customHeight="1" spans="1:26">
      <c r="A100" s="183"/>
      <c r="B100" s="184"/>
      <c r="C100" s="183"/>
      <c r="D100" s="183"/>
      <c r="E100" s="183"/>
      <c r="F100" s="184"/>
      <c r="G100" s="184"/>
      <c r="H100" s="183"/>
      <c r="I100" s="183"/>
      <c r="J100" s="183"/>
      <c r="K100" s="183"/>
      <c r="L100" s="183"/>
      <c r="M100" s="183"/>
      <c r="N100" s="183"/>
      <c r="O100" s="183"/>
      <c r="P100" s="183"/>
      <c r="Q100" s="183"/>
      <c r="R100" s="183"/>
      <c r="S100" s="183"/>
      <c r="T100" s="183"/>
      <c r="U100" s="183"/>
      <c r="V100" s="183"/>
      <c r="W100" s="183"/>
      <c r="X100" s="183"/>
      <c r="Y100" s="183"/>
      <c r="Z100" s="190"/>
    </row>
    <row r="101" ht="15.75" customHeight="1" spans="1:26">
      <c r="A101" s="183"/>
      <c r="B101" s="184"/>
      <c r="C101" s="183"/>
      <c r="D101" s="183"/>
      <c r="E101" s="183"/>
      <c r="F101" s="184"/>
      <c r="G101" s="184"/>
      <c r="H101" s="183"/>
      <c r="I101" s="183"/>
      <c r="J101" s="183"/>
      <c r="K101" s="183"/>
      <c r="L101" s="183"/>
      <c r="M101" s="183"/>
      <c r="N101" s="183"/>
      <c r="O101" s="183"/>
      <c r="P101" s="183"/>
      <c r="Q101" s="183"/>
      <c r="R101" s="183"/>
      <c r="S101" s="183"/>
      <c r="T101" s="183"/>
      <c r="U101" s="183"/>
      <c r="V101" s="183"/>
      <c r="W101" s="183"/>
      <c r="X101" s="183"/>
      <c r="Y101" s="183"/>
      <c r="Z101" s="190"/>
    </row>
    <row r="102" ht="15.75" customHeight="1" spans="1:26">
      <c r="A102" s="183"/>
      <c r="B102" s="184"/>
      <c r="C102" s="183"/>
      <c r="D102" s="183"/>
      <c r="E102" s="183"/>
      <c r="F102" s="184"/>
      <c r="G102" s="184"/>
      <c r="H102" s="183"/>
      <c r="I102" s="183"/>
      <c r="J102" s="183"/>
      <c r="K102" s="183"/>
      <c r="L102" s="183"/>
      <c r="M102" s="183"/>
      <c r="N102" s="183"/>
      <c r="O102" s="183"/>
      <c r="P102" s="183"/>
      <c r="Q102" s="183"/>
      <c r="R102" s="183"/>
      <c r="S102" s="183"/>
      <c r="T102" s="183"/>
      <c r="U102" s="183"/>
      <c r="V102" s="183"/>
      <c r="W102" s="183"/>
      <c r="X102" s="183"/>
      <c r="Y102" s="183"/>
      <c r="Z102" s="190"/>
    </row>
    <row r="103" ht="15.75" customHeight="1" spans="1:26">
      <c r="A103" s="183"/>
      <c r="B103" s="184"/>
      <c r="C103" s="183"/>
      <c r="D103" s="183"/>
      <c r="E103" s="183"/>
      <c r="F103" s="184"/>
      <c r="G103" s="184"/>
      <c r="H103" s="183"/>
      <c r="I103" s="183"/>
      <c r="J103" s="183"/>
      <c r="K103" s="183"/>
      <c r="L103" s="183"/>
      <c r="M103" s="183"/>
      <c r="N103" s="183"/>
      <c r="O103" s="183"/>
      <c r="P103" s="183"/>
      <c r="Q103" s="183"/>
      <c r="R103" s="183"/>
      <c r="S103" s="183"/>
      <c r="T103" s="183"/>
      <c r="U103" s="183"/>
      <c r="V103" s="183"/>
      <c r="W103" s="183"/>
      <c r="X103" s="183"/>
      <c r="Y103" s="183"/>
      <c r="Z103" s="190"/>
    </row>
    <row r="104" ht="15.75" customHeight="1" spans="1:26">
      <c r="A104" s="183"/>
      <c r="B104" s="184"/>
      <c r="C104" s="183"/>
      <c r="D104" s="183"/>
      <c r="E104" s="183"/>
      <c r="F104" s="184"/>
      <c r="G104" s="184"/>
      <c r="H104" s="183"/>
      <c r="I104" s="183"/>
      <c r="J104" s="183"/>
      <c r="K104" s="183"/>
      <c r="L104" s="183"/>
      <c r="M104" s="183"/>
      <c r="N104" s="183"/>
      <c r="O104" s="183"/>
      <c r="P104" s="183"/>
      <c r="Q104" s="183"/>
      <c r="R104" s="183"/>
      <c r="S104" s="183"/>
      <c r="T104" s="183"/>
      <c r="U104" s="183"/>
      <c r="V104" s="183"/>
      <c r="W104" s="183"/>
      <c r="X104" s="183"/>
      <c r="Y104" s="183"/>
      <c r="Z104" s="190"/>
    </row>
    <row r="105" ht="15.75" customHeight="1" spans="1:26">
      <c r="A105" s="183"/>
      <c r="B105" s="184"/>
      <c r="C105" s="183"/>
      <c r="D105" s="183"/>
      <c r="E105" s="183"/>
      <c r="F105" s="184"/>
      <c r="G105" s="184"/>
      <c r="H105" s="183"/>
      <c r="I105" s="183"/>
      <c r="J105" s="183"/>
      <c r="K105" s="183"/>
      <c r="L105" s="183"/>
      <c r="M105" s="183"/>
      <c r="N105" s="183"/>
      <c r="O105" s="183"/>
      <c r="P105" s="183"/>
      <c r="Q105" s="183"/>
      <c r="R105" s="183"/>
      <c r="S105" s="183"/>
      <c r="T105" s="183"/>
      <c r="U105" s="183"/>
      <c r="V105" s="183"/>
      <c r="W105" s="183"/>
      <c r="X105" s="183"/>
      <c r="Y105" s="183"/>
      <c r="Z105" s="190"/>
    </row>
    <row r="106" ht="15.75" customHeight="1" spans="1:26">
      <c r="A106" s="183"/>
      <c r="B106" s="184"/>
      <c r="C106" s="183"/>
      <c r="D106" s="183"/>
      <c r="E106" s="183"/>
      <c r="F106" s="184"/>
      <c r="G106" s="184"/>
      <c r="H106" s="183"/>
      <c r="I106" s="183"/>
      <c r="J106" s="183"/>
      <c r="K106" s="183"/>
      <c r="L106" s="183"/>
      <c r="M106" s="183"/>
      <c r="N106" s="183"/>
      <c r="O106" s="183"/>
      <c r="P106" s="183"/>
      <c r="Q106" s="183"/>
      <c r="R106" s="183"/>
      <c r="S106" s="183"/>
      <c r="T106" s="183"/>
      <c r="U106" s="183"/>
      <c r="V106" s="183"/>
      <c r="W106" s="183"/>
      <c r="X106" s="183"/>
      <c r="Y106" s="183"/>
      <c r="Z106" s="190"/>
    </row>
    <row r="107" ht="15.75" customHeight="1" spans="1:26">
      <c r="A107" s="183"/>
      <c r="B107" s="184"/>
      <c r="C107" s="183"/>
      <c r="D107" s="183"/>
      <c r="E107" s="183"/>
      <c r="F107" s="184"/>
      <c r="G107" s="184"/>
      <c r="H107" s="183"/>
      <c r="I107" s="183"/>
      <c r="J107" s="183"/>
      <c r="K107" s="183"/>
      <c r="L107" s="183"/>
      <c r="M107" s="183"/>
      <c r="N107" s="183"/>
      <c r="O107" s="183"/>
      <c r="P107" s="183"/>
      <c r="Q107" s="183"/>
      <c r="R107" s="183"/>
      <c r="S107" s="183"/>
      <c r="T107" s="183"/>
      <c r="U107" s="183"/>
      <c r="V107" s="183"/>
      <c r="W107" s="183"/>
      <c r="X107" s="183"/>
      <c r="Y107" s="183"/>
      <c r="Z107" s="190"/>
    </row>
    <row r="108" ht="15.75" customHeight="1" spans="1:26">
      <c r="A108" s="183"/>
      <c r="B108" s="184"/>
      <c r="C108" s="183"/>
      <c r="D108" s="183"/>
      <c r="E108" s="183"/>
      <c r="F108" s="184"/>
      <c r="G108" s="184"/>
      <c r="H108" s="183"/>
      <c r="I108" s="183"/>
      <c r="J108" s="183"/>
      <c r="K108" s="183"/>
      <c r="L108" s="183"/>
      <c r="M108" s="183"/>
      <c r="N108" s="183"/>
      <c r="O108" s="183"/>
      <c r="P108" s="183"/>
      <c r="Q108" s="183"/>
      <c r="R108" s="183"/>
      <c r="S108" s="183"/>
      <c r="T108" s="183"/>
      <c r="U108" s="183"/>
      <c r="V108" s="183"/>
      <c r="W108" s="183"/>
      <c r="X108" s="183"/>
      <c r="Y108" s="183"/>
      <c r="Z108" s="190"/>
    </row>
    <row r="109" ht="15.75" customHeight="1" spans="1:26">
      <c r="A109" s="183"/>
      <c r="B109" s="184"/>
      <c r="C109" s="183"/>
      <c r="D109" s="183"/>
      <c r="E109" s="183"/>
      <c r="F109" s="184"/>
      <c r="G109" s="184"/>
      <c r="H109" s="183"/>
      <c r="I109" s="183"/>
      <c r="J109" s="183"/>
      <c r="K109" s="183"/>
      <c r="L109" s="183"/>
      <c r="M109" s="183"/>
      <c r="N109" s="183"/>
      <c r="O109" s="183"/>
      <c r="P109" s="183"/>
      <c r="Q109" s="183"/>
      <c r="R109" s="183"/>
      <c r="S109" s="183"/>
      <c r="T109" s="183"/>
      <c r="U109" s="183"/>
      <c r="V109" s="183"/>
      <c r="W109" s="183"/>
      <c r="X109" s="183"/>
      <c r="Y109" s="183"/>
      <c r="Z109" s="190"/>
    </row>
    <row r="110" ht="15.75" customHeight="1" spans="1:26">
      <c r="A110" s="183"/>
      <c r="B110" s="184"/>
      <c r="C110" s="183"/>
      <c r="D110" s="183"/>
      <c r="E110" s="183"/>
      <c r="F110" s="184"/>
      <c r="G110" s="184"/>
      <c r="H110" s="183"/>
      <c r="I110" s="183"/>
      <c r="J110" s="183"/>
      <c r="K110" s="183"/>
      <c r="L110" s="183"/>
      <c r="M110" s="183"/>
      <c r="N110" s="183"/>
      <c r="O110" s="183"/>
      <c r="P110" s="183"/>
      <c r="Q110" s="183"/>
      <c r="R110" s="183"/>
      <c r="S110" s="183"/>
      <c r="T110" s="183"/>
      <c r="U110" s="183"/>
      <c r="V110" s="183"/>
      <c r="W110" s="183"/>
      <c r="X110" s="183"/>
      <c r="Y110" s="183"/>
      <c r="Z110" s="190"/>
    </row>
    <row r="111" ht="15.75" customHeight="1" spans="1:26">
      <c r="A111" s="183"/>
      <c r="B111" s="184"/>
      <c r="C111" s="183"/>
      <c r="D111" s="183"/>
      <c r="E111" s="183"/>
      <c r="F111" s="184"/>
      <c r="G111" s="184"/>
      <c r="H111" s="183"/>
      <c r="I111" s="183"/>
      <c r="J111" s="183"/>
      <c r="K111" s="183"/>
      <c r="L111" s="183"/>
      <c r="M111" s="183"/>
      <c r="N111" s="183"/>
      <c r="O111" s="183"/>
      <c r="P111" s="183"/>
      <c r="Q111" s="183"/>
      <c r="R111" s="183"/>
      <c r="S111" s="183"/>
      <c r="T111" s="183"/>
      <c r="U111" s="183"/>
      <c r="V111" s="183"/>
      <c r="W111" s="183"/>
      <c r="X111" s="183"/>
      <c r="Y111" s="183"/>
      <c r="Z111" s="190"/>
    </row>
    <row r="112" ht="15.75" customHeight="1" spans="1:26">
      <c r="A112" s="183"/>
      <c r="B112" s="184"/>
      <c r="C112" s="183"/>
      <c r="D112" s="183"/>
      <c r="E112" s="183"/>
      <c r="F112" s="184"/>
      <c r="G112" s="184"/>
      <c r="H112" s="183"/>
      <c r="I112" s="183"/>
      <c r="J112" s="183"/>
      <c r="K112" s="183"/>
      <c r="L112" s="183"/>
      <c r="M112" s="183"/>
      <c r="N112" s="183"/>
      <c r="O112" s="183"/>
      <c r="P112" s="183"/>
      <c r="Q112" s="183"/>
      <c r="R112" s="183"/>
      <c r="S112" s="183"/>
      <c r="T112" s="183"/>
      <c r="U112" s="183"/>
      <c r="V112" s="183"/>
      <c r="W112" s="183"/>
      <c r="X112" s="183"/>
      <c r="Y112" s="183"/>
      <c r="Z112" s="190"/>
    </row>
    <row r="113" ht="15.75" customHeight="1" spans="1:26">
      <c r="A113" s="183"/>
      <c r="B113" s="184"/>
      <c r="C113" s="183"/>
      <c r="D113" s="183"/>
      <c r="E113" s="183"/>
      <c r="F113" s="184"/>
      <c r="G113" s="184"/>
      <c r="H113" s="183"/>
      <c r="I113" s="183"/>
      <c r="J113" s="183"/>
      <c r="K113" s="183"/>
      <c r="L113" s="183"/>
      <c r="M113" s="183"/>
      <c r="N113" s="183"/>
      <c r="O113" s="183"/>
      <c r="P113" s="183"/>
      <c r="Q113" s="183"/>
      <c r="R113" s="183"/>
      <c r="S113" s="183"/>
      <c r="T113" s="183"/>
      <c r="U113" s="183"/>
      <c r="V113" s="183"/>
      <c r="W113" s="183"/>
      <c r="X113" s="183"/>
      <c r="Y113" s="183"/>
      <c r="Z113" s="190"/>
    </row>
    <row r="114" ht="15.75" customHeight="1" spans="1:26">
      <c r="A114" s="183"/>
      <c r="B114" s="184"/>
      <c r="C114" s="183"/>
      <c r="D114" s="183"/>
      <c r="E114" s="183"/>
      <c r="F114" s="184"/>
      <c r="G114" s="184"/>
      <c r="H114" s="183"/>
      <c r="I114" s="183"/>
      <c r="J114" s="183"/>
      <c r="K114" s="183"/>
      <c r="L114" s="183"/>
      <c r="M114" s="183"/>
      <c r="N114" s="183"/>
      <c r="O114" s="183"/>
      <c r="P114" s="183"/>
      <c r="Q114" s="183"/>
      <c r="R114" s="183"/>
      <c r="S114" s="183"/>
      <c r="T114" s="183"/>
      <c r="U114" s="183"/>
      <c r="V114" s="183"/>
      <c r="W114" s="183"/>
      <c r="X114" s="183"/>
      <c r="Y114" s="183"/>
      <c r="Z114" s="190"/>
    </row>
    <row r="115" ht="15.75" customHeight="1" spans="1:26">
      <c r="A115" s="183"/>
      <c r="B115" s="184"/>
      <c r="C115" s="183"/>
      <c r="D115" s="183"/>
      <c r="E115" s="183"/>
      <c r="F115" s="184"/>
      <c r="G115" s="184"/>
      <c r="H115" s="183"/>
      <c r="I115" s="183"/>
      <c r="J115" s="183"/>
      <c r="K115" s="183"/>
      <c r="L115" s="183"/>
      <c r="M115" s="183"/>
      <c r="N115" s="183"/>
      <c r="O115" s="183"/>
      <c r="P115" s="183"/>
      <c r="Q115" s="183"/>
      <c r="R115" s="183"/>
      <c r="S115" s="183"/>
      <c r="T115" s="183"/>
      <c r="U115" s="183"/>
      <c r="V115" s="183"/>
      <c r="W115" s="183"/>
      <c r="X115" s="183"/>
      <c r="Y115" s="183"/>
      <c r="Z115" s="190"/>
    </row>
    <row r="116" ht="15.75" customHeight="1" spans="1:26">
      <c r="A116" s="183"/>
      <c r="B116" s="184"/>
      <c r="C116" s="183"/>
      <c r="D116" s="183"/>
      <c r="E116" s="183"/>
      <c r="F116" s="184"/>
      <c r="G116" s="184"/>
      <c r="H116" s="183"/>
      <c r="I116" s="183"/>
      <c r="J116" s="183"/>
      <c r="K116" s="183"/>
      <c r="L116" s="183"/>
      <c r="M116" s="183"/>
      <c r="N116" s="183"/>
      <c r="O116" s="183"/>
      <c r="P116" s="183"/>
      <c r="Q116" s="183"/>
      <c r="R116" s="183"/>
      <c r="S116" s="183"/>
      <c r="T116" s="183"/>
      <c r="U116" s="183"/>
      <c r="V116" s="183"/>
      <c r="W116" s="183"/>
      <c r="X116" s="183"/>
      <c r="Y116" s="183"/>
      <c r="Z116" s="190"/>
    </row>
    <row r="117" ht="15.75" customHeight="1" spans="1:26">
      <c r="A117" s="183"/>
      <c r="B117" s="184"/>
      <c r="C117" s="183"/>
      <c r="D117" s="183"/>
      <c r="E117" s="183"/>
      <c r="F117" s="184"/>
      <c r="G117" s="184"/>
      <c r="H117" s="183"/>
      <c r="I117" s="183"/>
      <c r="J117" s="183"/>
      <c r="K117" s="183"/>
      <c r="L117" s="183"/>
      <c r="M117" s="183"/>
      <c r="N117" s="183"/>
      <c r="O117" s="183"/>
      <c r="P117" s="183"/>
      <c r="Q117" s="183"/>
      <c r="R117" s="183"/>
      <c r="S117" s="183"/>
      <c r="T117" s="183"/>
      <c r="U117" s="183"/>
      <c r="V117" s="183"/>
      <c r="W117" s="183"/>
      <c r="X117" s="183"/>
      <c r="Y117" s="183"/>
      <c r="Z117" s="190"/>
    </row>
    <row r="118" ht="15.75" customHeight="1" spans="1:26">
      <c r="A118" s="183"/>
      <c r="B118" s="184"/>
      <c r="C118" s="183"/>
      <c r="D118" s="183"/>
      <c r="E118" s="183"/>
      <c r="F118" s="184"/>
      <c r="G118" s="184"/>
      <c r="H118" s="183"/>
      <c r="I118" s="183"/>
      <c r="J118" s="183"/>
      <c r="K118" s="183"/>
      <c r="L118" s="183"/>
      <c r="M118" s="183"/>
      <c r="N118" s="183"/>
      <c r="O118" s="183"/>
      <c r="P118" s="183"/>
      <c r="Q118" s="183"/>
      <c r="R118" s="183"/>
      <c r="S118" s="183"/>
      <c r="T118" s="183"/>
      <c r="U118" s="183"/>
      <c r="V118" s="183"/>
      <c r="W118" s="183"/>
      <c r="X118" s="183"/>
      <c r="Y118" s="183"/>
      <c r="Z118" s="190"/>
    </row>
    <row r="119" ht="15.75" customHeight="1" spans="1:26">
      <c r="A119" s="183"/>
      <c r="B119" s="184"/>
      <c r="C119" s="183"/>
      <c r="D119" s="183"/>
      <c r="E119" s="183"/>
      <c r="F119" s="184"/>
      <c r="G119" s="184"/>
      <c r="H119" s="183"/>
      <c r="I119" s="183"/>
      <c r="J119" s="183"/>
      <c r="K119" s="183"/>
      <c r="L119" s="183"/>
      <c r="M119" s="183"/>
      <c r="N119" s="183"/>
      <c r="O119" s="183"/>
      <c r="P119" s="183"/>
      <c r="Q119" s="183"/>
      <c r="R119" s="183"/>
      <c r="S119" s="183"/>
      <c r="T119" s="183"/>
      <c r="U119" s="183"/>
      <c r="V119" s="183"/>
      <c r="W119" s="183"/>
      <c r="X119" s="183"/>
      <c r="Y119" s="183"/>
      <c r="Z119" s="190"/>
    </row>
    <row r="120" ht="15.75" customHeight="1" spans="1:26">
      <c r="A120" s="183"/>
      <c r="B120" s="184"/>
      <c r="C120" s="183"/>
      <c r="D120" s="183"/>
      <c r="E120" s="183"/>
      <c r="F120" s="184"/>
      <c r="G120" s="184"/>
      <c r="H120" s="183"/>
      <c r="I120" s="183"/>
      <c r="J120" s="183"/>
      <c r="K120" s="183"/>
      <c r="L120" s="183"/>
      <c r="M120" s="183"/>
      <c r="N120" s="183"/>
      <c r="O120" s="183"/>
      <c r="P120" s="183"/>
      <c r="Q120" s="183"/>
      <c r="R120" s="183"/>
      <c r="S120" s="183"/>
      <c r="T120" s="183"/>
      <c r="U120" s="183"/>
      <c r="V120" s="183"/>
      <c r="W120" s="183"/>
      <c r="X120" s="183"/>
      <c r="Y120" s="183"/>
      <c r="Z120" s="190"/>
    </row>
    <row r="121" ht="15.75" customHeight="1" spans="1:26">
      <c r="A121" s="183"/>
      <c r="B121" s="184"/>
      <c r="C121" s="183"/>
      <c r="D121" s="183"/>
      <c r="E121" s="183"/>
      <c r="F121" s="184"/>
      <c r="G121" s="184"/>
      <c r="H121" s="183"/>
      <c r="I121" s="183"/>
      <c r="J121" s="183"/>
      <c r="K121" s="183"/>
      <c r="L121" s="183"/>
      <c r="M121" s="183"/>
      <c r="N121" s="183"/>
      <c r="O121" s="183"/>
      <c r="P121" s="183"/>
      <c r="Q121" s="183"/>
      <c r="R121" s="183"/>
      <c r="S121" s="183"/>
      <c r="T121" s="183"/>
      <c r="U121" s="183"/>
      <c r="V121" s="183"/>
      <c r="W121" s="183"/>
      <c r="X121" s="183"/>
      <c r="Y121" s="183"/>
      <c r="Z121" s="190"/>
    </row>
    <row r="122" ht="15.75" customHeight="1" spans="1:26">
      <c r="A122" s="183"/>
      <c r="B122" s="184"/>
      <c r="C122" s="183"/>
      <c r="D122" s="183"/>
      <c r="E122" s="183"/>
      <c r="F122" s="184"/>
      <c r="G122" s="184"/>
      <c r="H122" s="183"/>
      <c r="I122" s="183"/>
      <c r="J122" s="183"/>
      <c r="K122" s="183"/>
      <c r="L122" s="183"/>
      <c r="M122" s="183"/>
      <c r="N122" s="183"/>
      <c r="O122" s="183"/>
      <c r="P122" s="183"/>
      <c r="Q122" s="183"/>
      <c r="R122" s="183"/>
      <c r="S122" s="183"/>
      <c r="T122" s="183"/>
      <c r="U122" s="183"/>
      <c r="V122" s="183"/>
      <c r="W122" s="183"/>
      <c r="X122" s="183"/>
      <c r="Y122" s="183"/>
      <c r="Z122" s="190"/>
    </row>
    <row r="123" ht="15.75" customHeight="1" spans="1:26">
      <c r="A123" s="183"/>
      <c r="B123" s="184"/>
      <c r="C123" s="183"/>
      <c r="D123" s="183"/>
      <c r="E123" s="183"/>
      <c r="F123" s="184"/>
      <c r="G123" s="184"/>
      <c r="H123" s="183"/>
      <c r="I123" s="183"/>
      <c r="J123" s="183"/>
      <c r="K123" s="183"/>
      <c r="L123" s="183"/>
      <c r="M123" s="183"/>
      <c r="N123" s="183"/>
      <c r="O123" s="183"/>
      <c r="P123" s="183"/>
      <c r="Q123" s="183"/>
      <c r="R123" s="183"/>
      <c r="S123" s="183"/>
      <c r="T123" s="183"/>
      <c r="U123" s="183"/>
      <c r="V123" s="183"/>
      <c r="W123" s="183"/>
      <c r="X123" s="183"/>
      <c r="Y123" s="183"/>
      <c r="Z123" s="190"/>
    </row>
    <row r="124" ht="15.75" customHeight="1" spans="1:26">
      <c r="A124" s="183"/>
      <c r="B124" s="184"/>
      <c r="C124" s="183"/>
      <c r="D124" s="183"/>
      <c r="E124" s="183"/>
      <c r="F124" s="184"/>
      <c r="G124" s="184"/>
      <c r="H124" s="183"/>
      <c r="I124" s="183"/>
      <c r="J124" s="183"/>
      <c r="K124" s="183"/>
      <c r="L124" s="183"/>
      <c r="M124" s="183"/>
      <c r="N124" s="183"/>
      <c r="O124" s="183"/>
      <c r="P124" s="183"/>
      <c r="Q124" s="183"/>
      <c r="R124" s="183"/>
      <c r="S124" s="183"/>
      <c r="T124" s="183"/>
      <c r="U124" s="183"/>
      <c r="V124" s="183"/>
      <c r="W124" s="183"/>
      <c r="X124" s="183"/>
      <c r="Y124" s="183"/>
      <c r="Z124" s="190"/>
    </row>
    <row r="125" ht="15.75" customHeight="1" spans="1:26">
      <c r="A125" s="183"/>
      <c r="B125" s="184"/>
      <c r="C125" s="183"/>
      <c r="D125" s="183"/>
      <c r="E125" s="183"/>
      <c r="F125" s="184"/>
      <c r="G125" s="184"/>
      <c r="H125" s="183"/>
      <c r="I125" s="183"/>
      <c r="J125" s="183"/>
      <c r="K125" s="183"/>
      <c r="L125" s="183"/>
      <c r="M125" s="183"/>
      <c r="N125" s="183"/>
      <c r="O125" s="183"/>
      <c r="P125" s="183"/>
      <c r="Q125" s="183"/>
      <c r="R125" s="183"/>
      <c r="S125" s="183"/>
      <c r="T125" s="183"/>
      <c r="U125" s="183"/>
      <c r="V125" s="183"/>
      <c r="W125" s="183"/>
      <c r="X125" s="183"/>
      <c r="Y125" s="183"/>
      <c r="Z125" s="190"/>
    </row>
    <row r="126" ht="15.75" customHeight="1" spans="1:26">
      <c r="A126" s="183"/>
      <c r="B126" s="184"/>
      <c r="C126" s="183"/>
      <c r="D126" s="183"/>
      <c r="E126" s="183"/>
      <c r="F126" s="184"/>
      <c r="G126" s="184"/>
      <c r="H126" s="183"/>
      <c r="I126" s="183"/>
      <c r="J126" s="183"/>
      <c r="K126" s="183"/>
      <c r="L126" s="183"/>
      <c r="M126" s="183"/>
      <c r="N126" s="183"/>
      <c r="O126" s="183"/>
      <c r="P126" s="183"/>
      <c r="Q126" s="183"/>
      <c r="R126" s="183"/>
      <c r="S126" s="183"/>
      <c r="T126" s="183"/>
      <c r="U126" s="183"/>
      <c r="V126" s="183"/>
      <c r="W126" s="183"/>
      <c r="X126" s="183"/>
      <c r="Y126" s="183"/>
      <c r="Z126" s="190"/>
    </row>
    <row r="127" ht="15.75" customHeight="1" spans="1:26">
      <c r="A127" s="183"/>
      <c r="B127" s="184"/>
      <c r="C127" s="183"/>
      <c r="D127" s="183"/>
      <c r="E127" s="183"/>
      <c r="F127" s="184"/>
      <c r="G127" s="184"/>
      <c r="H127" s="183"/>
      <c r="I127" s="183"/>
      <c r="J127" s="183"/>
      <c r="K127" s="183"/>
      <c r="L127" s="183"/>
      <c r="M127" s="183"/>
      <c r="N127" s="183"/>
      <c r="O127" s="183"/>
      <c r="P127" s="183"/>
      <c r="Q127" s="183"/>
      <c r="R127" s="183"/>
      <c r="S127" s="183"/>
      <c r="T127" s="183"/>
      <c r="U127" s="183"/>
      <c r="V127" s="183"/>
      <c r="W127" s="183"/>
      <c r="X127" s="183"/>
      <c r="Y127" s="183"/>
      <c r="Z127" s="190"/>
    </row>
    <row r="128" ht="15.75" customHeight="1" spans="1:26">
      <c r="A128" s="183"/>
      <c r="B128" s="184"/>
      <c r="C128" s="183"/>
      <c r="D128" s="183"/>
      <c r="E128" s="183"/>
      <c r="F128" s="184"/>
      <c r="G128" s="184"/>
      <c r="H128" s="183"/>
      <c r="I128" s="183"/>
      <c r="J128" s="183"/>
      <c r="K128" s="183"/>
      <c r="L128" s="183"/>
      <c r="M128" s="183"/>
      <c r="N128" s="183"/>
      <c r="O128" s="183"/>
      <c r="P128" s="183"/>
      <c r="Q128" s="183"/>
      <c r="R128" s="183"/>
      <c r="S128" s="183"/>
      <c r="T128" s="183"/>
      <c r="U128" s="183"/>
      <c r="V128" s="183"/>
      <c r="W128" s="183"/>
      <c r="X128" s="183"/>
      <c r="Y128" s="183"/>
      <c r="Z128" s="190"/>
    </row>
    <row r="129" ht="15.75" customHeight="1" spans="1:26">
      <c r="A129" s="183"/>
      <c r="B129" s="184"/>
      <c r="C129" s="183"/>
      <c r="D129" s="183"/>
      <c r="E129" s="183"/>
      <c r="F129" s="184"/>
      <c r="G129" s="184"/>
      <c r="H129" s="183"/>
      <c r="I129" s="183"/>
      <c r="J129" s="183"/>
      <c r="K129" s="183"/>
      <c r="L129" s="183"/>
      <c r="M129" s="183"/>
      <c r="N129" s="183"/>
      <c r="O129" s="183"/>
      <c r="P129" s="183"/>
      <c r="Q129" s="183"/>
      <c r="R129" s="183"/>
      <c r="S129" s="183"/>
      <c r="T129" s="183"/>
      <c r="U129" s="183"/>
      <c r="V129" s="183"/>
      <c r="W129" s="183"/>
      <c r="X129" s="183"/>
      <c r="Y129" s="183"/>
      <c r="Z129" s="190"/>
    </row>
    <row r="130" ht="15.75" customHeight="1" spans="1:26">
      <c r="A130" s="183"/>
      <c r="B130" s="184"/>
      <c r="C130" s="183"/>
      <c r="D130" s="183"/>
      <c r="E130" s="183"/>
      <c r="F130" s="184"/>
      <c r="G130" s="184"/>
      <c r="H130" s="183"/>
      <c r="I130" s="183"/>
      <c r="J130" s="183"/>
      <c r="K130" s="183"/>
      <c r="L130" s="183"/>
      <c r="M130" s="183"/>
      <c r="N130" s="183"/>
      <c r="O130" s="183"/>
      <c r="P130" s="183"/>
      <c r="Q130" s="183"/>
      <c r="R130" s="183"/>
      <c r="S130" s="183"/>
      <c r="T130" s="183"/>
      <c r="U130" s="183"/>
      <c r="V130" s="183"/>
      <c r="W130" s="183"/>
      <c r="X130" s="183"/>
      <c r="Y130" s="183"/>
      <c r="Z130" s="190"/>
    </row>
    <row r="131" ht="15.75" customHeight="1" spans="1:26">
      <c r="A131" s="183"/>
      <c r="B131" s="184"/>
      <c r="C131" s="183"/>
      <c r="D131" s="183"/>
      <c r="E131" s="183"/>
      <c r="F131" s="184"/>
      <c r="G131" s="184"/>
      <c r="H131" s="183"/>
      <c r="I131" s="183"/>
      <c r="J131" s="183"/>
      <c r="K131" s="183"/>
      <c r="L131" s="183"/>
      <c r="M131" s="183"/>
      <c r="N131" s="183"/>
      <c r="O131" s="183"/>
      <c r="P131" s="183"/>
      <c r="Q131" s="183"/>
      <c r="R131" s="183"/>
      <c r="S131" s="183"/>
      <c r="T131" s="183"/>
      <c r="U131" s="183"/>
      <c r="V131" s="183"/>
      <c r="W131" s="183"/>
      <c r="X131" s="183"/>
      <c r="Y131" s="183"/>
      <c r="Z131" s="190"/>
    </row>
    <row r="132" ht="15.75" customHeight="1" spans="1:26">
      <c r="A132" s="183"/>
      <c r="B132" s="184"/>
      <c r="C132" s="183"/>
      <c r="D132" s="183"/>
      <c r="E132" s="183"/>
      <c r="F132" s="184"/>
      <c r="G132" s="184"/>
      <c r="H132" s="183"/>
      <c r="I132" s="183"/>
      <c r="J132" s="183"/>
      <c r="K132" s="183"/>
      <c r="L132" s="183"/>
      <c r="M132" s="183"/>
      <c r="N132" s="183"/>
      <c r="O132" s="183"/>
      <c r="P132" s="183"/>
      <c r="Q132" s="183"/>
      <c r="R132" s="183"/>
      <c r="S132" s="183"/>
      <c r="T132" s="183"/>
      <c r="U132" s="183"/>
      <c r="V132" s="183"/>
      <c r="W132" s="183"/>
      <c r="X132" s="183"/>
      <c r="Y132" s="183"/>
      <c r="Z132" s="190"/>
    </row>
    <row r="133" ht="15.75" customHeight="1" spans="1:26">
      <c r="A133" s="183"/>
      <c r="B133" s="184"/>
      <c r="C133" s="183"/>
      <c r="D133" s="183"/>
      <c r="E133" s="183"/>
      <c r="F133" s="184"/>
      <c r="G133" s="184"/>
      <c r="H133" s="183"/>
      <c r="I133" s="183"/>
      <c r="J133" s="183"/>
      <c r="K133" s="183"/>
      <c r="L133" s="183"/>
      <c r="M133" s="183"/>
      <c r="N133" s="183"/>
      <c r="O133" s="183"/>
      <c r="P133" s="183"/>
      <c r="Q133" s="183"/>
      <c r="R133" s="183"/>
      <c r="S133" s="183"/>
      <c r="T133" s="183"/>
      <c r="U133" s="183"/>
      <c r="V133" s="183"/>
      <c r="W133" s="183"/>
      <c r="X133" s="183"/>
      <c r="Y133" s="183"/>
      <c r="Z133" s="190"/>
    </row>
    <row r="134" ht="15.75" customHeight="1" spans="1:26">
      <c r="A134" s="183"/>
      <c r="B134" s="184"/>
      <c r="C134" s="183"/>
      <c r="D134" s="183"/>
      <c r="E134" s="183"/>
      <c r="F134" s="184"/>
      <c r="G134" s="184"/>
      <c r="H134" s="183"/>
      <c r="I134" s="183"/>
      <c r="J134" s="183"/>
      <c r="K134" s="183"/>
      <c r="L134" s="183"/>
      <c r="M134" s="183"/>
      <c r="N134" s="183"/>
      <c r="O134" s="183"/>
      <c r="P134" s="183"/>
      <c r="Q134" s="183"/>
      <c r="R134" s="183"/>
      <c r="S134" s="183"/>
      <c r="T134" s="183"/>
      <c r="U134" s="183"/>
      <c r="V134" s="183"/>
      <c r="W134" s="183"/>
      <c r="X134" s="183"/>
      <c r="Y134" s="183"/>
      <c r="Z134" s="190"/>
    </row>
    <row r="135" ht="15.75" customHeight="1" spans="1:26">
      <c r="A135" s="183"/>
      <c r="B135" s="184"/>
      <c r="C135" s="183"/>
      <c r="D135" s="183"/>
      <c r="E135" s="183"/>
      <c r="F135" s="184"/>
      <c r="G135" s="184"/>
      <c r="H135" s="183"/>
      <c r="I135" s="183"/>
      <c r="J135" s="183"/>
      <c r="K135" s="183"/>
      <c r="L135" s="183"/>
      <c r="M135" s="183"/>
      <c r="N135" s="183"/>
      <c r="O135" s="183"/>
      <c r="P135" s="183"/>
      <c r="Q135" s="183"/>
      <c r="R135" s="183"/>
      <c r="S135" s="183"/>
      <c r="T135" s="183"/>
      <c r="U135" s="183"/>
      <c r="V135" s="183"/>
      <c r="W135" s="183"/>
      <c r="X135" s="183"/>
      <c r="Y135" s="183"/>
      <c r="Z135" s="190"/>
    </row>
    <row r="136" ht="15.75" customHeight="1" spans="1:26">
      <c r="A136" s="183"/>
      <c r="B136" s="184"/>
      <c r="C136" s="183"/>
      <c r="D136" s="183"/>
      <c r="E136" s="183"/>
      <c r="F136" s="184"/>
      <c r="G136" s="184"/>
      <c r="H136" s="183"/>
      <c r="I136" s="183"/>
      <c r="J136" s="183"/>
      <c r="K136" s="183"/>
      <c r="L136" s="183"/>
      <c r="M136" s="183"/>
      <c r="N136" s="183"/>
      <c r="O136" s="183"/>
      <c r="P136" s="183"/>
      <c r="Q136" s="183"/>
      <c r="R136" s="183"/>
      <c r="S136" s="183"/>
      <c r="T136" s="183"/>
      <c r="U136" s="183"/>
      <c r="V136" s="183"/>
      <c r="W136" s="183"/>
      <c r="X136" s="183"/>
      <c r="Y136" s="183"/>
      <c r="Z136" s="190"/>
    </row>
    <row r="137" ht="15.75" customHeight="1" spans="1:26">
      <c r="A137" s="183"/>
      <c r="B137" s="184"/>
      <c r="C137" s="183"/>
      <c r="D137" s="183"/>
      <c r="E137" s="183"/>
      <c r="F137" s="184"/>
      <c r="G137" s="184"/>
      <c r="H137" s="183"/>
      <c r="I137" s="183"/>
      <c r="J137" s="183"/>
      <c r="K137" s="183"/>
      <c r="L137" s="183"/>
      <c r="M137" s="183"/>
      <c r="N137" s="183"/>
      <c r="O137" s="183"/>
      <c r="P137" s="183"/>
      <c r="Q137" s="183"/>
      <c r="R137" s="183"/>
      <c r="S137" s="183"/>
      <c r="T137" s="183"/>
      <c r="U137" s="183"/>
      <c r="V137" s="183"/>
      <c r="W137" s="183"/>
      <c r="X137" s="183"/>
      <c r="Y137" s="183"/>
      <c r="Z137" s="190"/>
    </row>
    <row r="138" ht="15.75" customHeight="1" spans="1:26">
      <c r="A138" s="183"/>
      <c r="B138" s="184"/>
      <c r="C138" s="183"/>
      <c r="D138" s="183"/>
      <c r="E138" s="183"/>
      <c r="F138" s="184"/>
      <c r="G138" s="184"/>
      <c r="H138" s="183"/>
      <c r="I138" s="183"/>
      <c r="J138" s="183"/>
      <c r="K138" s="183"/>
      <c r="L138" s="183"/>
      <c r="M138" s="183"/>
      <c r="N138" s="183"/>
      <c r="O138" s="183"/>
      <c r="P138" s="183"/>
      <c r="Q138" s="183"/>
      <c r="R138" s="183"/>
      <c r="S138" s="183"/>
      <c r="T138" s="183"/>
      <c r="U138" s="183"/>
      <c r="V138" s="183"/>
      <c r="W138" s="183"/>
      <c r="X138" s="183"/>
      <c r="Y138" s="183"/>
      <c r="Z138" s="190"/>
    </row>
    <row r="139" ht="15.75" customHeight="1" spans="1:26">
      <c r="A139" s="183"/>
      <c r="B139" s="184"/>
      <c r="C139" s="183"/>
      <c r="D139" s="183"/>
      <c r="E139" s="183"/>
      <c r="F139" s="184"/>
      <c r="G139" s="184"/>
      <c r="H139" s="183"/>
      <c r="I139" s="183"/>
      <c r="J139" s="183"/>
      <c r="K139" s="183"/>
      <c r="L139" s="183"/>
      <c r="M139" s="183"/>
      <c r="N139" s="183"/>
      <c r="O139" s="183"/>
      <c r="P139" s="183"/>
      <c r="Q139" s="183"/>
      <c r="R139" s="183"/>
      <c r="S139" s="183"/>
      <c r="T139" s="183"/>
      <c r="U139" s="183"/>
      <c r="V139" s="183"/>
      <c r="W139" s="183"/>
      <c r="X139" s="183"/>
      <c r="Y139" s="183"/>
      <c r="Z139" s="190"/>
    </row>
    <row r="140" ht="15.75" customHeight="1" spans="1:26">
      <c r="A140" s="183"/>
      <c r="B140" s="184"/>
      <c r="C140" s="183"/>
      <c r="D140" s="183"/>
      <c r="E140" s="183"/>
      <c r="F140" s="184"/>
      <c r="G140" s="184"/>
      <c r="H140" s="183"/>
      <c r="I140" s="183"/>
      <c r="J140" s="183"/>
      <c r="K140" s="183"/>
      <c r="L140" s="183"/>
      <c r="M140" s="183"/>
      <c r="N140" s="183"/>
      <c r="O140" s="183"/>
      <c r="P140" s="183"/>
      <c r="Q140" s="183"/>
      <c r="R140" s="183"/>
      <c r="S140" s="183"/>
      <c r="T140" s="183"/>
      <c r="U140" s="183"/>
      <c r="V140" s="183"/>
      <c r="W140" s="183"/>
      <c r="X140" s="183"/>
      <c r="Y140" s="183"/>
      <c r="Z140" s="190"/>
    </row>
    <row r="141" ht="15.75" customHeight="1" spans="1:26">
      <c r="A141" s="183"/>
      <c r="B141" s="184"/>
      <c r="C141" s="183"/>
      <c r="D141" s="183"/>
      <c r="E141" s="183"/>
      <c r="F141" s="184"/>
      <c r="G141" s="184"/>
      <c r="H141" s="183"/>
      <c r="I141" s="183"/>
      <c r="J141" s="183"/>
      <c r="K141" s="183"/>
      <c r="L141" s="183"/>
      <c r="M141" s="183"/>
      <c r="N141" s="183"/>
      <c r="O141" s="183"/>
      <c r="P141" s="183"/>
      <c r="Q141" s="183"/>
      <c r="R141" s="183"/>
      <c r="S141" s="183"/>
      <c r="T141" s="183"/>
      <c r="U141" s="183"/>
      <c r="V141" s="183"/>
      <c r="W141" s="183"/>
      <c r="X141" s="183"/>
      <c r="Y141" s="183"/>
      <c r="Z141" s="190"/>
    </row>
    <row r="142" ht="15.75" customHeight="1" spans="1:26">
      <c r="A142" s="183"/>
      <c r="B142" s="184"/>
      <c r="C142" s="183"/>
      <c r="D142" s="183"/>
      <c r="E142" s="183"/>
      <c r="F142" s="184"/>
      <c r="G142" s="184"/>
      <c r="H142" s="183"/>
      <c r="I142" s="183"/>
      <c r="J142" s="183"/>
      <c r="K142" s="183"/>
      <c r="L142" s="183"/>
      <c r="M142" s="183"/>
      <c r="N142" s="183"/>
      <c r="O142" s="183"/>
      <c r="P142" s="183"/>
      <c r="Q142" s="183"/>
      <c r="R142" s="183"/>
      <c r="S142" s="183"/>
      <c r="T142" s="183"/>
      <c r="U142" s="183"/>
      <c r="V142" s="183"/>
      <c r="W142" s="183"/>
      <c r="X142" s="183"/>
      <c r="Y142" s="183"/>
      <c r="Z142" s="190"/>
    </row>
    <row r="143" ht="15.75" customHeight="1" spans="1:26">
      <c r="A143" s="183"/>
      <c r="B143" s="184"/>
      <c r="C143" s="183"/>
      <c r="D143" s="183"/>
      <c r="E143" s="183"/>
      <c r="F143" s="184"/>
      <c r="G143" s="184"/>
      <c r="H143" s="183"/>
      <c r="I143" s="183"/>
      <c r="J143" s="183"/>
      <c r="K143" s="183"/>
      <c r="L143" s="183"/>
      <c r="M143" s="183"/>
      <c r="N143" s="183"/>
      <c r="O143" s="183"/>
      <c r="P143" s="183"/>
      <c r="Q143" s="183"/>
      <c r="R143" s="183"/>
      <c r="S143" s="183"/>
      <c r="T143" s="183"/>
      <c r="U143" s="183"/>
      <c r="V143" s="183"/>
      <c r="W143" s="183"/>
      <c r="X143" s="183"/>
      <c r="Y143" s="183"/>
      <c r="Z143" s="190"/>
    </row>
    <row r="144" ht="15.75" customHeight="1" spans="1:26">
      <c r="A144" s="183"/>
      <c r="B144" s="184"/>
      <c r="C144" s="183"/>
      <c r="D144" s="183"/>
      <c r="E144" s="183"/>
      <c r="F144" s="184"/>
      <c r="G144" s="184"/>
      <c r="H144" s="183"/>
      <c r="I144" s="183"/>
      <c r="J144" s="183"/>
      <c r="K144" s="183"/>
      <c r="L144" s="183"/>
      <c r="M144" s="183"/>
      <c r="N144" s="183"/>
      <c r="O144" s="183"/>
      <c r="P144" s="183"/>
      <c r="Q144" s="183"/>
      <c r="R144" s="183"/>
      <c r="S144" s="183"/>
      <c r="T144" s="183"/>
      <c r="U144" s="183"/>
      <c r="V144" s="183"/>
      <c r="W144" s="183"/>
      <c r="X144" s="183"/>
      <c r="Y144" s="183"/>
      <c r="Z144" s="190"/>
    </row>
    <row r="145" ht="15.75" customHeight="1" spans="1:26">
      <c r="A145" s="183"/>
      <c r="B145" s="184"/>
      <c r="C145" s="183"/>
      <c r="D145" s="183"/>
      <c r="E145" s="183"/>
      <c r="F145" s="184"/>
      <c r="G145" s="184"/>
      <c r="H145" s="183"/>
      <c r="I145" s="183"/>
      <c r="J145" s="183"/>
      <c r="K145" s="183"/>
      <c r="L145" s="183"/>
      <c r="M145" s="183"/>
      <c r="N145" s="183"/>
      <c r="O145" s="183"/>
      <c r="P145" s="183"/>
      <c r="Q145" s="183"/>
      <c r="R145" s="183"/>
      <c r="S145" s="183"/>
      <c r="T145" s="183"/>
      <c r="U145" s="183"/>
      <c r="V145" s="183"/>
      <c r="W145" s="183"/>
      <c r="X145" s="183"/>
      <c r="Y145" s="183"/>
      <c r="Z145" s="190"/>
    </row>
    <row r="146" ht="15.75" customHeight="1" spans="1:26">
      <c r="A146" s="183"/>
      <c r="B146" s="184"/>
      <c r="C146" s="183"/>
      <c r="D146" s="183"/>
      <c r="E146" s="183"/>
      <c r="F146" s="184"/>
      <c r="G146" s="184"/>
      <c r="H146" s="183"/>
      <c r="I146" s="183"/>
      <c r="J146" s="183"/>
      <c r="K146" s="183"/>
      <c r="L146" s="183"/>
      <c r="M146" s="183"/>
      <c r="N146" s="183"/>
      <c r="O146" s="183"/>
      <c r="P146" s="183"/>
      <c r="Q146" s="183"/>
      <c r="R146" s="183"/>
      <c r="S146" s="183"/>
      <c r="T146" s="183"/>
      <c r="U146" s="183"/>
      <c r="V146" s="183"/>
      <c r="W146" s="183"/>
      <c r="X146" s="183"/>
      <c r="Y146" s="183"/>
      <c r="Z146" s="190"/>
    </row>
    <row r="147" ht="15.75" customHeight="1" spans="1:26">
      <c r="A147" s="183"/>
      <c r="B147" s="184"/>
      <c r="C147" s="183"/>
      <c r="D147" s="183"/>
      <c r="E147" s="183"/>
      <c r="F147" s="184"/>
      <c r="G147" s="184"/>
      <c r="H147" s="183"/>
      <c r="I147" s="183"/>
      <c r="J147" s="183"/>
      <c r="K147" s="183"/>
      <c r="L147" s="183"/>
      <c r="M147" s="183"/>
      <c r="N147" s="183"/>
      <c r="O147" s="183"/>
      <c r="P147" s="183"/>
      <c r="Q147" s="183"/>
      <c r="R147" s="183"/>
      <c r="S147" s="183"/>
      <c r="T147" s="183"/>
      <c r="U147" s="183"/>
      <c r="V147" s="183"/>
      <c r="W147" s="183"/>
      <c r="X147" s="183"/>
      <c r="Y147" s="183"/>
      <c r="Z147" s="190"/>
    </row>
    <row r="148" ht="15.75" customHeight="1" spans="1:26">
      <c r="A148" s="183"/>
      <c r="B148" s="184"/>
      <c r="C148" s="183"/>
      <c r="D148" s="183"/>
      <c r="E148" s="183"/>
      <c r="F148" s="184"/>
      <c r="G148" s="184"/>
      <c r="H148" s="183"/>
      <c r="I148" s="183"/>
      <c r="J148" s="183"/>
      <c r="K148" s="183"/>
      <c r="L148" s="183"/>
      <c r="M148" s="183"/>
      <c r="N148" s="183"/>
      <c r="O148" s="183"/>
      <c r="P148" s="183"/>
      <c r="Q148" s="183"/>
      <c r="R148" s="183"/>
      <c r="S148" s="183"/>
      <c r="T148" s="183"/>
      <c r="U148" s="183"/>
      <c r="V148" s="183"/>
      <c r="W148" s="183"/>
      <c r="X148" s="183"/>
      <c r="Y148" s="183"/>
      <c r="Z148" s="190"/>
    </row>
    <row r="149" ht="15.75" customHeight="1" spans="1:26">
      <c r="A149" s="183"/>
      <c r="B149" s="184"/>
      <c r="C149" s="183"/>
      <c r="D149" s="183"/>
      <c r="E149" s="183"/>
      <c r="F149" s="184"/>
      <c r="G149" s="184"/>
      <c r="H149" s="183"/>
      <c r="I149" s="183"/>
      <c r="J149" s="183"/>
      <c r="K149" s="183"/>
      <c r="L149" s="183"/>
      <c r="M149" s="183"/>
      <c r="N149" s="183"/>
      <c r="O149" s="183"/>
      <c r="P149" s="183"/>
      <c r="Q149" s="183"/>
      <c r="R149" s="183"/>
      <c r="S149" s="183"/>
      <c r="T149" s="183"/>
      <c r="U149" s="183"/>
      <c r="V149" s="183"/>
      <c r="W149" s="183"/>
      <c r="X149" s="183"/>
      <c r="Y149" s="183"/>
      <c r="Z149" s="190"/>
    </row>
    <row r="150" ht="15.75" customHeight="1" spans="1:26">
      <c r="A150" s="183"/>
      <c r="B150" s="184"/>
      <c r="C150" s="183"/>
      <c r="D150" s="183"/>
      <c r="E150" s="183"/>
      <c r="F150" s="184"/>
      <c r="G150" s="184"/>
      <c r="H150" s="183"/>
      <c r="I150" s="183"/>
      <c r="J150" s="183"/>
      <c r="K150" s="183"/>
      <c r="L150" s="183"/>
      <c r="M150" s="183"/>
      <c r="N150" s="183"/>
      <c r="O150" s="183"/>
      <c r="P150" s="183"/>
      <c r="Q150" s="183"/>
      <c r="R150" s="183"/>
      <c r="S150" s="183"/>
      <c r="T150" s="183"/>
      <c r="U150" s="183"/>
      <c r="V150" s="183"/>
      <c r="W150" s="183"/>
      <c r="X150" s="183"/>
      <c r="Y150" s="183"/>
      <c r="Z150" s="190"/>
    </row>
    <row r="151" ht="15.75" customHeight="1" spans="1:26">
      <c r="A151" s="183"/>
      <c r="B151" s="184"/>
      <c r="C151" s="183"/>
      <c r="D151" s="183"/>
      <c r="E151" s="183"/>
      <c r="F151" s="184"/>
      <c r="G151" s="184"/>
      <c r="H151" s="183"/>
      <c r="I151" s="183"/>
      <c r="J151" s="183"/>
      <c r="K151" s="183"/>
      <c r="L151" s="183"/>
      <c r="M151" s="183"/>
      <c r="N151" s="183"/>
      <c r="O151" s="183"/>
      <c r="P151" s="183"/>
      <c r="Q151" s="183"/>
      <c r="R151" s="183"/>
      <c r="S151" s="183"/>
      <c r="T151" s="183"/>
      <c r="U151" s="183"/>
      <c r="V151" s="183"/>
      <c r="W151" s="183"/>
      <c r="X151" s="183"/>
      <c r="Y151" s="183"/>
      <c r="Z151" s="190"/>
    </row>
    <row r="152" ht="15.75" customHeight="1" spans="1:26">
      <c r="A152" s="183"/>
      <c r="B152" s="184"/>
      <c r="C152" s="183"/>
      <c r="D152" s="183"/>
      <c r="E152" s="183"/>
      <c r="F152" s="184"/>
      <c r="G152" s="184"/>
      <c r="H152" s="183"/>
      <c r="I152" s="183"/>
      <c r="J152" s="183"/>
      <c r="K152" s="183"/>
      <c r="L152" s="183"/>
      <c r="M152" s="183"/>
      <c r="N152" s="183"/>
      <c r="O152" s="183"/>
      <c r="P152" s="183"/>
      <c r="Q152" s="183"/>
      <c r="R152" s="183"/>
      <c r="S152" s="183"/>
      <c r="T152" s="183"/>
      <c r="U152" s="183"/>
      <c r="V152" s="183"/>
      <c r="W152" s="183"/>
      <c r="X152" s="183"/>
      <c r="Y152" s="183"/>
      <c r="Z152" s="190"/>
    </row>
    <row r="153" ht="15.75" customHeight="1" spans="1:26">
      <c r="A153" s="183"/>
      <c r="B153" s="184"/>
      <c r="C153" s="183"/>
      <c r="D153" s="183"/>
      <c r="E153" s="183"/>
      <c r="F153" s="184"/>
      <c r="G153" s="184"/>
      <c r="H153" s="183"/>
      <c r="I153" s="183"/>
      <c r="J153" s="183"/>
      <c r="K153" s="183"/>
      <c r="L153" s="183"/>
      <c r="M153" s="183"/>
      <c r="N153" s="183"/>
      <c r="O153" s="183"/>
      <c r="P153" s="183"/>
      <c r="Q153" s="183"/>
      <c r="R153" s="183"/>
      <c r="S153" s="183"/>
      <c r="T153" s="183"/>
      <c r="U153" s="183"/>
      <c r="V153" s="183"/>
      <c r="W153" s="183"/>
      <c r="X153" s="183"/>
      <c r="Y153" s="183"/>
      <c r="Z153" s="190"/>
    </row>
    <row r="154" ht="15.75" customHeight="1" spans="1:26">
      <c r="A154" s="183"/>
      <c r="B154" s="184"/>
      <c r="C154" s="183"/>
      <c r="D154" s="183"/>
      <c r="E154" s="183"/>
      <c r="F154" s="184"/>
      <c r="G154" s="184"/>
      <c r="H154" s="183"/>
      <c r="I154" s="183"/>
      <c r="J154" s="183"/>
      <c r="K154" s="183"/>
      <c r="L154" s="183"/>
      <c r="M154" s="183"/>
      <c r="N154" s="183"/>
      <c r="O154" s="183"/>
      <c r="P154" s="183"/>
      <c r="Q154" s="183"/>
      <c r="R154" s="183"/>
      <c r="S154" s="183"/>
      <c r="T154" s="183"/>
      <c r="U154" s="183"/>
      <c r="V154" s="183"/>
      <c r="W154" s="183"/>
      <c r="X154" s="183"/>
      <c r="Y154" s="183"/>
      <c r="Z154" s="190"/>
    </row>
    <row r="155" ht="15.75" customHeight="1" spans="1:26">
      <c r="A155" s="183"/>
      <c r="B155" s="184"/>
      <c r="C155" s="183"/>
      <c r="D155" s="183"/>
      <c r="E155" s="183"/>
      <c r="F155" s="184"/>
      <c r="G155" s="184"/>
      <c r="H155" s="183"/>
      <c r="I155" s="183"/>
      <c r="J155" s="183"/>
      <c r="K155" s="183"/>
      <c r="L155" s="183"/>
      <c r="M155" s="183"/>
      <c r="N155" s="183"/>
      <c r="O155" s="183"/>
      <c r="P155" s="183"/>
      <c r="Q155" s="183"/>
      <c r="R155" s="183"/>
      <c r="S155" s="183"/>
      <c r="T155" s="183"/>
      <c r="U155" s="183"/>
      <c r="V155" s="183"/>
      <c r="W155" s="183"/>
      <c r="X155" s="183"/>
      <c r="Y155" s="183"/>
      <c r="Z155" s="190"/>
    </row>
    <row r="156" ht="15.75" customHeight="1" spans="1:26">
      <c r="A156" s="183"/>
      <c r="B156" s="184"/>
      <c r="C156" s="183"/>
      <c r="D156" s="183"/>
      <c r="E156" s="183"/>
      <c r="F156" s="184"/>
      <c r="G156" s="184"/>
      <c r="H156" s="183"/>
      <c r="I156" s="183"/>
      <c r="J156" s="183"/>
      <c r="K156" s="183"/>
      <c r="L156" s="183"/>
      <c r="M156" s="183"/>
      <c r="N156" s="183"/>
      <c r="O156" s="183"/>
      <c r="P156" s="183"/>
      <c r="Q156" s="183"/>
      <c r="R156" s="183"/>
      <c r="S156" s="183"/>
      <c r="T156" s="183"/>
      <c r="U156" s="183"/>
      <c r="V156" s="183"/>
      <c r="W156" s="183"/>
      <c r="X156" s="183"/>
      <c r="Y156" s="183"/>
      <c r="Z156" s="190"/>
    </row>
    <row r="157" ht="15.75" customHeight="1" spans="1:26">
      <c r="A157" s="183"/>
      <c r="B157" s="184"/>
      <c r="C157" s="183"/>
      <c r="D157" s="183"/>
      <c r="E157" s="183"/>
      <c r="F157" s="184"/>
      <c r="G157" s="184"/>
      <c r="H157" s="183"/>
      <c r="I157" s="183"/>
      <c r="J157" s="183"/>
      <c r="K157" s="183"/>
      <c r="L157" s="183"/>
      <c r="M157" s="183"/>
      <c r="N157" s="183"/>
      <c r="O157" s="183"/>
      <c r="P157" s="183"/>
      <c r="Q157" s="183"/>
      <c r="R157" s="183"/>
      <c r="S157" s="183"/>
      <c r="T157" s="183"/>
      <c r="U157" s="183"/>
      <c r="V157" s="183"/>
      <c r="W157" s="183"/>
      <c r="X157" s="183"/>
      <c r="Y157" s="183"/>
      <c r="Z157" s="190"/>
    </row>
    <row r="158" ht="15.75" customHeight="1" spans="1:26">
      <c r="A158" s="183"/>
      <c r="B158" s="184"/>
      <c r="C158" s="183"/>
      <c r="D158" s="183"/>
      <c r="E158" s="183"/>
      <c r="F158" s="184"/>
      <c r="G158" s="184"/>
      <c r="H158" s="183"/>
      <c r="I158" s="183"/>
      <c r="J158" s="183"/>
      <c r="K158" s="183"/>
      <c r="L158" s="183"/>
      <c r="M158" s="183"/>
      <c r="N158" s="183"/>
      <c r="O158" s="183"/>
      <c r="P158" s="183"/>
      <c r="Q158" s="183"/>
      <c r="R158" s="183"/>
      <c r="S158" s="183"/>
      <c r="T158" s="183"/>
      <c r="U158" s="183"/>
      <c r="V158" s="183"/>
      <c r="W158" s="183"/>
      <c r="X158" s="183"/>
      <c r="Y158" s="183"/>
      <c r="Z158" s="190"/>
    </row>
    <row r="159" ht="15.75" customHeight="1" spans="1:26">
      <c r="A159" s="183"/>
      <c r="B159" s="184"/>
      <c r="C159" s="183"/>
      <c r="D159" s="183"/>
      <c r="E159" s="183"/>
      <c r="F159" s="184"/>
      <c r="G159" s="184"/>
      <c r="H159" s="183"/>
      <c r="I159" s="183"/>
      <c r="J159" s="183"/>
      <c r="K159" s="183"/>
      <c r="L159" s="183"/>
      <c r="M159" s="183"/>
      <c r="N159" s="183"/>
      <c r="O159" s="183"/>
      <c r="P159" s="183"/>
      <c r="Q159" s="183"/>
      <c r="R159" s="183"/>
      <c r="S159" s="183"/>
      <c r="T159" s="183"/>
      <c r="U159" s="183"/>
      <c r="V159" s="183"/>
      <c r="W159" s="183"/>
      <c r="X159" s="183"/>
      <c r="Y159" s="183"/>
      <c r="Z159" s="190"/>
    </row>
    <row r="160" ht="15.75" customHeight="1" spans="1:26">
      <c r="A160" s="183"/>
      <c r="B160" s="184"/>
      <c r="C160" s="183"/>
      <c r="D160" s="183"/>
      <c r="E160" s="183"/>
      <c r="F160" s="184"/>
      <c r="G160" s="184"/>
      <c r="H160" s="183"/>
      <c r="I160" s="183"/>
      <c r="J160" s="183"/>
      <c r="K160" s="183"/>
      <c r="L160" s="183"/>
      <c r="M160" s="183"/>
      <c r="N160" s="183"/>
      <c r="O160" s="183"/>
      <c r="P160" s="183"/>
      <c r="Q160" s="183"/>
      <c r="R160" s="183"/>
      <c r="S160" s="183"/>
      <c r="T160" s="183"/>
      <c r="U160" s="183"/>
      <c r="V160" s="183"/>
      <c r="W160" s="183"/>
      <c r="X160" s="183"/>
      <c r="Y160" s="183"/>
      <c r="Z160" s="190"/>
    </row>
    <row r="161" ht="15.75" customHeight="1" spans="1:26">
      <c r="A161" s="183"/>
      <c r="B161" s="184"/>
      <c r="C161" s="183"/>
      <c r="D161" s="183"/>
      <c r="E161" s="183"/>
      <c r="F161" s="184"/>
      <c r="G161" s="184"/>
      <c r="H161" s="183"/>
      <c r="I161" s="183"/>
      <c r="J161" s="183"/>
      <c r="K161" s="183"/>
      <c r="L161" s="183"/>
      <c r="M161" s="183"/>
      <c r="N161" s="183"/>
      <c r="O161" s="183"/>
      <c r="P161" s="183"/>
      <c r="Q161" s="183"/>
      <c r="R161" s="183"/>
      <c r="S161" s="183"/>
      <c r="T161" s="183"/>
      <c r="U161" s="183"/>
      <c r="V161" s="183"/>
      <c r="W161" s="183"/>
      <c r="X161" s="183"/>
      <c r="Y161" s="183"/>
      <c r="Z161" s="190"/>
    </row>
    <row r="162" ht="15.75" customHeight="1" spans="1:26">
      <c r="A162" s="183"/>
      <c r="B162" s="184"/>
      <c r="C162" s="183"/>
      <c r="D162" s="183"/>
      <c r="E162" s="183"/>
      <c r="F162" s="184"/>
      <c r="G162" s="184"/>
      <c r="H162" s="183"/>
      <c r="I162" s="183"/>
      <c r="J162" s="183"/>
      <c r="K162" s="183"/>
      <c r="L162" s="183"/>
      <c r="M162" s="183"/>
      <c r="N162" s="183"/>
      <c r="O162" s="183"/>
      <c r="P162" s="183"/>
      <c r="Q162" s="183"/>
      <c r="R162" s="183"/>
      <c r="S162" s="183"/>
      <c r="T162" s="183"/>
      <c r="U162" s="183"/>
      <c r="V162" s="183"/>
      <c r="W162" s="183"/>
      <c r="X162" s="183"/>
      <c r="Y162" s="183"/>
      <c r="Z162" s="190"/>
    </row>
    <row r="163" ht="15.75" customHeight="1" spans="1:26">
      <c r="A163" s="183"/>
      <c r="B163" s="184"/>
      <c r="C163" s="183"/>
      <c r="D163" s="183"/>
      <c r="E163" s="183"/>
      <c r="F163" s="184"/>
      <c r="G163" s="184"/>
      <c r="H163" s="183"/>
      <c r="I163" s="183"/>
      <c r="J163" s="183"/>
      <c r="K163" s="183"/>
      <c r="L163" s="183"/>
      <c r="M163" s="183"/>
      <c r="N163" s="183"/>
      <c r="O163" s="183"/>
      <c r="P163" s="183"/>
      <c r="Q163" s="183"/>
      <c r="R163" s="183"/>
      <c r="S163" s="183"/>
      <c r="T163" s="183"/>
      <c r="U163" s="183"/>
      <c r="V163" s="183"/>
      <c r="W163" s="183"/>
      <c r="X163" s="183"/>
      <c r="Y163" s="183"/>
      <c r="Z163" s="190"/>
    </row>
    <row r="164" ht="15.75" customHeight="1" spans="1:26">
      <c r="A164" s="183"/>
      <c r="B164" s="184"/>
      <c r="C164" s="183"/>
      <c r="D164" s="183"/>
      <c r="E164" s="183"/>
      <c r="F164" s="184"/>
      <c r="G164" s="184"/>
      <c r="H164" s="183"/>
      <c r="I164" s="183"/>
      <c r="J164" s="183"/>
      <c r="K164" s="183"/>
      <c r="L164" s="183"/>
      <c r="M164" s="183"/>
      <c r="N164" s="183"/>
      <c r="O164" s="183"/>
      <c r="P164" s="183"/>
      <c r="Q164" s="183"/>
      <c r="R164" s="183"/>
      <c r="S164" s="183"/>
      <c r="T164" s="183"/>
      <c r="U164" s="183"/>
      <c r="V164" s="183"/>
      <c r="W164" s="183"/>
      <c r="X164" s="183"/>
      <c r="Y164" s="183"/>
      <c r="Z164" s="190"/>
    </row>
    <row r="165" ht="15.75" customHeight="1" spans="1:26">
      <c r="A165" s="183"/>
      <c r="B165" s="184"/>
      <c r="C165" s="183"/>
      <c r="D165" s="183"/>
      <c r="E165" s="183"/>
      <c r="F165" s="184"/>
      <c r="G165" s="184"/>
      <c r="H165" s="183"/>
      <c r="I165" s="183"/>
      <c r="J165" s="183"/>
      <c r="K165" s="183"/>
      <c r="L165" s="183"/>
      <c r="M165" s="183"/>
      <c r="N165" s="183"/>
      <c r="O165" s="183"/>
      <c r="P165" s="183"/>
      <c r="Q165" s="183"/>
      <c r="R165" s="183"/>
      <c r="S165" s="183"/>
      <c r="T165" s="183"/>
      <c r="U165" s="183"/>
      <c r="V165" s="183"/>
      <c r="W165" s="183"/>
      <c r="X165" s="183"/>
      <c r="Y165" s="183"/>
      <c r="Z165" s="190"/>
    </row>
    <row r="166" ht="15.75" customHeight="1" spans="1:26">
      <c r="A166" s="183"/>
      <c r="B166" s="184"/>
      <c r="C166" s="183"/>
      <c r="D166" s="183"/>
      <c r="E166" s="183"/>
      <c r="F166" s="184"/>
      <c r="G166" s="184"/>
      <c r="H166" s="183"/>
      <c r="I166" s="183"/>
      <c r="J166" s="183"/>
      <c r="K166" s="183"/>
      <c r="L166" s="183"/>
      <c r="M166" s="183"/>
      <c r="N166" s="183"/>
      <c r="O166" s="183"/>
      <c r="P166" s="183"/>
      <c r="Q166" s="183"/>
      <c r="R166" s="183"/>
      <c r="S166" s="183"/>
      <c r="T166" s="183"/>
      <c r="U166" s="183"/>
      <c r="V166" s="183"/>
      <c r="W166" s="183"/>
      <c r="X166" s="183"/>
      <c r="Y166" s="183"/>
      <c r="Z166" s="190"/>
    </row>
    <row r="167" ht="15.75" customHeight="1" spans="1:26">
      <c r="A167" s="183"/>
      <c r="B167" s="184"/>
      <c r="C167" s="183"/>
      <c r="D167" s="183"/>
      <c r="E167" s="183"/>
      <c r="F167" s="184"/>
      <c r="G167" s="184"/>
      <c r="H167" s="183"/>
      <c r="I167" s="183"/>
      <c r="J167" s="183"/>
      <c r="K167" s="183"/>
      <c r="L167" s="183"/>
      <c r="M167" s="183"/>
      <c r="N167" s="183"/>
      <c r="O167" s="183"/>
      <c r="P167" s="183"/>
      <c r="Q167" s="183"/>
      <c r="R167" s="183"/>
      <c r="S167" s="183"/>
      <c r="T167" s="183"/>
      <c r="U167" s="183"/>
      <c r="V167" s="183"/>
      <c r="W167" s="183"/>
      <c r="X167" s="183"/>
      <c r="Y167" s="183"/>
      <c r="Z167" s="190"/>
    </row>
    <row r="168" ht="15.75" customHeight="1" spans="1:26">
      <c r="A168" s="183"/>
      <c r="B168" s="184"/>
      <c r="C168" s="183"/>
      <c r="D168" s="183"/>
      <c r="E168" s="183"/>
      <c r="F168" s="184"/>
      <c r="G168" s="184"/>
      <c r="H168" s="183"/>
      <c r="I168" s="183"/>
      <c r="J168" s="183"/>
      <c r="K168" s="183"/>
      <c r="L168" s="183"/>
      <c r="M168" s="183"/>
      <c r="N168" s="183"/>
      <c r="O168" s="183"/>
      <c r="P168" s="183"/>
      <c r="Q168" s="183"/>
      <c r="R168" s="183"/>
      <c r="S168" s="183"/>
      <c r="T168" s="183"/>
      <c r="U168" s="183"/>
      <c r="V168" s="183"/>
      <c r="W168" s="183"/>
      <c r="X168" s="183"/>
      <c r="Y168" s="183"/>
      <c r="Z168" s="190"/>
    </row>
    <row r="169" ht="15.75" customHeight="1" spans="1:26">
      <c r="A169" s="183"/>
      <c r="B169" s="184"/>
      <c r="C169" s="183"/>
      <c r="D169" s="183"/>
      <c r="E169" s="183"/>
      <c r="F169" s="184"/>
      <c r="G169" s="184"/>
      <c r="H169" s="183"/>
      <c r="I169" s="183"/>
      <c r="J169" s="183"/>
      <c r="K169" s="183"/>
      <c r="L169" s="183"/>
      <c r="M169" s="183"/>
      <c r="N169" s="183"/>
      <c r="O169" s="183"/>
      <c r="P169" s="183"/>
      <c r="Q169" s="183"/>
      <c r="R169" s="183"/>
      <c r="S169" s="183"/>
      <c r="T169" s="183"/>
      <c r="U169" s="183"/>
      <c r="V169" s="183"/>
      <c r="W169" s="183"/>
      <c r="X169" s="183"/>
      <c r="Y169" s="183"/>
      <c r="Z169" s="190"/>
    </row>
    <row r="170" ht="15.75" customHeight="1" spans="1:26">
      <c r="A170" s="183"/>
      <c r="B170" s="184"/>
      <c r="C170" s="183"/>
      <c r="D170" s="183"/>
      <c r="E170" s="183"/>
      <c r="F170" s="184"/>
      <c r="G170" s="184"/>
      <c r="H170" s="183"/>
      <c r="I170" s="183"/>
      <c r="J170" s="183"/>
      <c r="K170" s="183"/>
      <c r="L170" s="183"/>
      <c r="M170" s="183"/>
      <c r="N170" s="183"/>
      <c r="O170" s="183"/>
      <c r="P170" s="183"/>
      <c r="Q170" s="183"/>
      <c r="R170" s="183"/>
      <c r="S170" s="183"/>
      <c r="T170" s="183"/>
      <c r="U170" s="183"/>
      <c r="V170" s="183"/>
      <c r="W170" s="183"/>
      <c r="X170" s="183"/>
      <c r="Y170" s="183"/>
      <c r="Z170" s="190"/>
    </row>
    <row r="171" ht="15.75" customHeight="1" spans="1:26">
      <c r="A171" s="183"/>
      <c r="B171" s="184"/>
      <c r="C171" s="183"/>
      <c r="D171" s="183"/>
      <c r="E171" s="183"/>
      <c r="F171" s="184"/>
      <c r="G171" s="184"/>
      <c r="H171" s="183"/>
      <c r="I171" s="183"/>
      <c r="J171" s="183"/>
      <c r="K171" s="183"/>
      <c r="L171" s="183"/>
      <c r="M171" s="183"/>
      <c r="N171" s="183"/>
      <c r="O171" s="183"/>
      <c r="P171" s="183"/>
      <c r="Q171" s="183"/>
      <c r="R171" s="183"/>
      <c r="S171" s="183"/>
      <c r="T171" s="183"/>
      <c r="U171" s="183"/>
      <c r="V171" s="183"/>
      <c r="W171" s="183"/>
      <c r="X171" s="183"/>
      <c r="Y171" s="183"/>
      <c r="Z171" s="190"/>
    </row>
    <row r="172" ht="15.75" customHeight="1" spans="1:26">
      <c r="A172" s="183"/>
      <c r="B172" s="184"/>
      <c r="C172" s="183"/>
      <c r="D172" s="183"/>
      <c r="E172" s="183"/>
      <c r="F172" s="184"/>
      <c r="G172" s="184"/>
      <c r="H172" s="183"/>
      <c r="I172" s="183"/>
      <c r="J172" s="183"/>
      <c r="K172" s="183"/>
      <c r="L172" s="183"/>
      <c r="M172" s="183"/>
      <c r="N172" s="183"/>
      <c r="O172" s="183"/>
      <c r="P172" s="183"/>
      <c r="Q172" s="183"/>
      <c r="R172" s="183"/>
      <c r="S172" s="183"/>
      <c r="T172" s="183"/>
      <c r="U172" s="183"/>
      <c r="V172" s="183"/>
      <c r="W172" s="183"/>
      <c r="X172" s="183"/>
      <c r="Y172" s="183"/>
      <c r="Z172" s="190"/>
    </row>
    <row r="173" ht="15.75" customHeight="1" spans="1:26">
      <c r="A173" s="183"/>
      <c r="B173" s="184"/>
      <c r="C173" s="183"/>
      <c r="D173" s="183"/>
      <c r="E173" s="183"/>
      <c r="F173" s="184"/>
      <c r="G173" s="184"/>
      <c r="H173" s="183"/>
      <c r="I173" s="183"/>
      <c r="J173" s="183"/>
      <c r="K173" s="183"/>
      <c r="L173" s="183"/>
      <c r="M173" s="183"/>
      <c r="N173" s="183"/>
      <c r="O173" s="183"/>
      <c r="P173" s="183"/>
      <c r="Q173" s="183"/>
      <c r="R173" s="183"/>
      <c r="S173" s="183"/>
      <c r="T173" s="183"/>
      <c r="U173" s="183"/>
      <c r="V173" s="183"/>
      <c r="W173" s="183"/>
      <c r="X173" s="183"/>
      <c r="Y173" s="183"/>
      <c r="Z173" s="190"/>
    </row>
    <row r="174" ht="15.75" customHeight="1" spans="1:26">
      <c r="A174" s="183"/>
      <c r="B174" s="184"/>
      <c r="C174" s="183"/>
      <c r="D174" s="183"/>
      <c r="E174" s="183"/>
      <c r="F174" s="184"/>
      <c r="G174" s="184"/>
      <c r="H174" s="183"/>
      <c r="I174" s="183"/>
      <c r="J174" s="183"/>
      <c r="K174" s="183"/>
      <c r="L174" s="183"/>
      <c r="M174" s="183"/>
      <c r="N174" s="183"/>
      <c r="O174" s="183"/>
      <c r="P174" s="183"/>
      <c r="Q174" s="183"/>
      <c r="R174" s="183"/>
      <c r="S174" s="183"/>
      <c r="T174" s="183"/>
      <c r="U174" s="183"/>
      <c r="V174" s="183"/>
      <c r="W174" s="183"/>
      <c r="X174" s="183"/>
      <c r="Y174" s="183"/>
      <c r="Z174" s="190"/>
    </row>
    <row r="175" ht="15.75" customHeight="1" spans="1:26">
      <c r="A175" s="183"/>
      <c r="B175" s="184"/>
      <c r="C175" s="183"/>
      <c r="D175" s="183"/>
      <c r="E175" s="183"/>
      <c r="F175" s="184"/>
      <c r="G175" s="184"/>
      <c r="H175" s="183"/>
      <c r="I175" s="183"/>
      <c r="J175" s="183"/>
      <c r="K175" s="183"/>
      <c r="L175" s="183"/>
      <c r="M175" s="183"/>
      <c r="N175" s="183"/>
      <c r="O175" s="183"/>
      <c r="P175" s="183"/>
      <c r="Q175" s="183"/>
      <c r="R175" s="183"/>
      <c r="S175" s="183"/>
      <c r="T175" s="183"/>
      <c r="U175" s="183"/>
      <c r="V175" s="183"/>
      <c r="W175" s="183"/>
      <c r="X175" s="183"/>
      <c r="Y175" s="183"/>
      <c r="Z175" s="190"/>
    </row>
    <row r="176" ht="15.75" customHeight="1" spans="1:26">
      <c r="A176" s="183"/>
      <c r="B176" s="184"/>
      <c r="C176" s="183"/>
      <c r="D176" s="183"/>
      <c r="E176" s="183"/>
      <c r="F176" s="184"/>
      <c r="G176" s="184"/>
      <c r="H176" s="183"/>
      <c r="I176" s="183"/>
      <c r="J176" s="183"/>
      <c r="K176" s="183"/>
      <c r="L176" s="183"/>
      <c r="M176" s="183"/>
      <c r="N176" s="183"/>
      <c r="O176" s="183"/>
      <c r="P176" s="183"/>
      <c r="Q176" s="183"/>
      <c r="R176" s="183"/>
      <c r="S176" s="183"/>
      <c r="T176" s="183"/>
      <c r="U176" s="183"/>
      <c r="V176" s="183"/>
      <c r="W176" s="183"/>
      <c r="X176" s="183"/>
      <c r="Y176" s="183"/>
      <c r="Z176" s="190"/>
    </row>
    <row r="177" ht="15.75" customHeight="1" spans="1:26">
      <c r="A177" s="183"/>
      <c r="B177" s="184"/>
      <c r="C177" s="183"/>
      <c r="D177" s="183"/>
      <c r="E177" s="183"/>
      <c r="F177" s="184"/>
      <c r="G177" s="184"/>
      <c r="H177" s="183"/>
      <c r="I177" s="183"/>
      <c r="J177" s="183"/>
      <c r="K177" s="183"/>
      <c r="L177" s="183"/>
      <c r="M177" s="183"/>
      <c r="N177" s="183"/>
      <c r="O177" s="183"/>
      <c r="P177" s="183"/>
      <c r="Q177" s="183"/>
      <c r="R177" s="183"/>
      <c r="S177" s="183"/>
      <c r="T177" s="183"/>
      <c r="U177" s="183"/>
      <c r="V177" s="183"/>
      <c r="W177" s="183"/>
      <c r="X177" s="183"/>
      <c r="Y177" s="183"/>
      <c r="Z177" s="190"/>
    </row>
    <row r="178" ht="15.75" customHeight="1" spans="1:26">
      <c r="A178" s="183"/>
      <c r="B178" s="184"/>
      <c r="C178" s="183"/>
      <c r="D178" s="183"/>
      <c r="E178" s="183"/>
      <c r="F178" s="184"/>
      <c r="G178" s="184"/>
      <c r="H178" s="183"/>
      <c r="I178" s="183"/>
      <c r="J178" s="183"/>
      <c r="K178" s="183"/>
      <c r="L178" s="183"/>
      <c r="M178" s="183"/>
      <c r="N178" s="183"/>
      <c r="O178" s="183"/>
      <c r="P178" s="183"/>
      <c r="Q178" s="183"/>
      <c r="R178" s="183"/>
      <c r="S178" s="183"/>
      <c r="T178" s="183"/>
      <c r="U178" s="183"/>
      <c r="V178" s="183"/>
      <c r="W178" s="183"/>
      <c r="X178" s="183"/>
      <c r="Y178" s="183"/>
      <c r="Z178" s="190"/>
    </row>
    <row r="179" ht="15.75" customHeight="1" spans="1:26">
      <c r="A179" s="183"/>
      <c r="B179" s="184"/>
      <c r="C179" s="183"/>
      <c r="D179" s="183"/>
      <c r="E179" s="183"/>
      <c r="F179" s="184"/>
      <c r="G179" s="184"/>
      <c r="H179" s="183"/>
      <c r="I179" s="183"/>
      <c r="J179" s="183"/>
      <c r="K179" s="183"/>
      <c r="L179" s="183"/>
      <c r="M179" s="183"/>
      <c r="N179" s="183"/>
      <c r="O179" s="183"/>
      <c r="P179" s="183"/>
      <c r="Q179" s="183"/>
      <c r="R179" s="183"/>
      <c r="S179" s="183"/>
      <c r="T179" s="183"/>
      <c r="U179" s="183"/>
      <c r="V179" s="183"/>
      <c r="W179" s="183"/>
      <c r="X179" s="183"/>
      <c r="Y179" s="183"/>
      <c r="Z179" s="190"/>
    </row>
    <row r="180" ht="15.75" customHeight="1" spans="1:26">
      <c r="A180" s="183"/>
      <c r="B180" s="184"/>
      <c r="C180" s="183"/>
      <c r="D180" s="183"/>
      <c r="E180" s="183"/>
      <c r="F180" s="184"/>
      <c r="G180" s="184"/>
      <c r="H180" s="183"/>
      <c r="I180" s="183"/>
      <c r="J180" s="183"/>
      <c r="K180" s="183"/>
      <c r="L180" s="183"/>
      <c r="M180" s="183"/>
      <c r="N180" s="183"/>
      <c r="O180" s="183"/>
      <c r="P180" s="183"/>
      <c r="Q180" s="183"/>
      <c r="R180" s="183"/>
      <c r="S180" s="183"/>
      <c r="T180" s="183"/>
      <c r="U180" s="183"/>
      <c r="V180" s="183"/>
      <c r="W180" s="183"/>
      <c r="X180" s="183"/>
      <c r="Y180" s="183"/>
      <c r="Z180" s="190"/>
    </row>
    <row r="181" ht="15.75" customHeight="1" spans="1:26">
      <c r="A181" s="183"/>
      <c r="B181" s="184"/>
      <c r="C181" s="183"/>
      <c r="D181" s="183"/>
      <c r="E181" s="183"/>
      <c r="F181" s="184"/>
      <c r="G181" s="184"/>
      <c r="H181" s="183"/>
      <c r="I181" s="183"/>
      <c r="J181" s="183"/>
      <c r="K181" s="183"/>
      <c r="L181" s="183"/>
      <c r="M181" s="183"/>
      <c r="N181" s="183"/>
      <c r="O181" s="183"/>
      <c r="P181" s="183"/>
      <c r="Q181" s="183"/>
      <c r="R181" s="183"/>
      <c r="S181" s="183"/>
      <c r="T181" s="183"/>
      <c r="U181" s="183"/>
      <c r="V181" s="183"/>
      <c r="W181" s="183"/>
      <c r="X181" s="183"/>
      <c r="Y181" s="183"/>
      <c r="Z181" s="190"/>
    </row>
    <row r="182" ht="15.75" customHeight="1" spans="1:26">
      <c r="A182" s="183"/>
      <c r="B182" s="184"/>
      <c r="C182" s="183"/>
      <c r="D182" s="183"/>
      <c r="E182" s="183"/>
      <c r="F182" s="184"/>
      <c r="G182" s="184"/>
      <c r="H182" s="183"/>
      <c r="I182" s="183"/>
      <c r="J182" s="183"/>
      <c r="K182" s="183"/>
      <c r="L182" s="183"/>
      <c r="M182" s="183"/>
      <c r="N182" s="183"/>
      <c r="O182" s="183"/>
      <c r="P182" s="183"/>
      <c r="Q182" s="183"/>
      <c r="R182" s="183"/>
      <c r="S182" s="183"/>
      <c r="T182" s="183"/>
      <c r="U182" s="183"/>
      <c r="V182" s="183"/>
      <c r="W182" s="183"/>
      <c r="X182" s="183"/>
      <c r="Y182" s="183"/>
      <c r="Z182" s="190"/>
    </row>
    <row r="183" ht="15.75" customHeight="1" spans="1:26">
      <c r="A183" s="183"/>
      <c r="B183" s="184"/>
      <c r="C183" s="183"/>
      <c r="D183" s="183"/>
      <c r="E183" s="183"/>
      <c r="F183" s="184"/>
      <c r="G183" s="184"/>
      <c r="H183" s="183"/>
      <c r="I183" s="183"/>
      <c r="J183" s="183"/>
      <c r="K183" s="183"/>
      <c r="L183" s="183"/>
      <c r="M183" s="183"/>
      <c r="N183" s="183"/>
      <c r="O183" s="183"/>
      <c r="P183" s="183"/>
      <c r="Q183" s="183"/>
      <c r="R183" s="183"/>
      <c r="S183" s="183"/>
      <c r="T183" s="183"/>
      <c r="U183" s="183"/>
      <c r="V183" s="183"/>
      <c r="W183" s="183"/>
      <c r="X183" s="183"/>
      <c r="Y183" s="183"/>
      <c r="Z183" s="190"/>
    </row>
    <row r="184" ht="15.75" customHeight="1" spans="1:26">
      <c r="A184" s="183"/>
      <c r="B184" s="184"/>
      <c r="C184" s="183"/>
      <c r="D184" s="183"/>
      <c r="E184" s="183"/>
      <c r="F184" s="184"/>
      <c r="G184" s="184"/>
      <c r="H184" s="183"/>
      <c r="I184" s="183"/>
      <c r="J184" s="183"/>
      <c r="K184" s="183"/>
      <c r="L184" s="183"/>
      <c r="M184" s="183"/>
      <c r="N184" s="183"/>
      <c r="O184" s="183"/>
      <c r="P184" s="183"/>
      <c r="Q184" s="183"/>
      <c r="R184" s="183"/>
      <c r="S184" s="183"/>
      <c r="T184" s="183"/>
      <c r="U184" s="183"/>
      <c r="V184" s="183"/>
      <c r="W184" s="183"/>
      <c r="X184" s="183"/>
      <c r="Y184" s="183"/>
      <c r="Z184" s="190"/>
    </row>
    <row r="185" ht="15.75" customHeight="1" spans="1:26">
      <c r="A185" s="183"/>
      <c r="B185" s="184"/>
      <c r="C185" s="183"/>
      <c r="D185" s="183"/>
      <c r="E185" s="183"/>
      <c r="F185" s="184"/>
      <c r="G185" s="184"/>
      <c r="H185" s="183"/>
      <c r="I185" s="183"/>
      <c r="J185" s="183"/>
      <c r="K185" s="183"/>
      <c r="L185" s="183"/>
      <c r="M185" s="183"/>
      <c r="N185" s="183"/>
      <c r="O185" s="183"/>
      <c r="P185" s="183"/>
      <c r="Q185" s="183"/>
      <c r="R185" s="183"/>
      <c r="S185" s="183"/>
      <c r="T185" s="183"/>
      <c r="U185" s="183"/>
      <c r="V185" s="183"/>
      <c r="W185" s="183"/>
      <c r="X185" s="183"/>
      <c r="Y185" s="183"/>
      <c r="Z185" s="190"/>
    </row>
    <row r="186" ht="15.75" customHeight="1" spans="1:26">
      <c r="A186" s="183"/>
      <c r="B186" s="184"/>
      <c r="C186" s="183"/>
      <c r="D186" s="183"/>
      <c r="E186" s="183"/>
      <c r="F186" s="184"/>
      <c r="G186" s="184"/>
      <c r="H186" s="183"/>
      <c r="I186" s="183"/>
      <c r="J186" s="183"/>
      <c r="K186" s="183"/>
      <c r="L186" s="183"/>
      <c r="M186" s="183"/>
      <c r="N186" s="183"/>
      <c r="O186" s="183"/>
      <c r="P186" s="183"/>
      <c r="Q186" s="183"/>
      <c r="R186" s="183"/>
      <c r="S186" s="183"/>
      <c r="T186" s="183"/>
      <c r="U186" s="183"/>
      <c r="V186" s="183"/>
      <c r="W186" s="183"/>
      <c r="X186" s="183"/>
      <c r="Y186" s="183"/>
      <c r="Z186" s="190"/>
    </row>
    <row r="187" ht="15.75" customHeight="1" spans="1:26">
      <c r="A187" s="183"/>
      <c r="B187" s="184"/>
      <c r="C187" s="183"/>
      <c r="D187" s="183"/>
      <c r="E187" s="183"/>
      <c r="F187" s="184"/>
      <c r="G187" s="184"/>
      <c r="H187" s="183"/>
      <c r="I187" s="183"/>
      <c r="J187" s="183"/>
      <c r="K187" s="183"/>
      <c r="L187" s="183"/>
      <c r="M187" s="183"/>
      <c r="N187" s="183"/>
      <c r="O187" s="183"/>
      <c r="P187" s="183"/>
      <c r="Q187" s="183"/>
      <c r="R187" s="183"/>
      <c r="S187" s="183"/>
      <c r="T187" s="183"/>
      <c r="U187" s="183"/>
      <c r="V187" s="183"/>
      <c r="W187" s="183"/>
      <c r="X187" s="183"/>
      <c r="Y187" s="183"/>
      <c r="Z187" s="190"/>
    </row>
    <row r="188" ht="15.75" customHeight="1" spans="1:26">
      <c r="A188" s="183"/>
      <c r="B188" s="184"/>
      <c r="C188" s="183"/>
      <c r="D188" s="183"/>
      <c r="E188" s="183"/>
      <c r="F188" s="184"/>
      <c r="G188" s="184"/>
      <c r="H188" s="183"/>
      <c r="I188" s="183"/>
      <c r="J188" s="183"/>
      <c r="K188" s="183"/>
      <c r="L188" s="183"/>
      <c r="M188" s="183"/>
      <c r="N188" s="183"/>
      <c r="O188" s="183"/>
      <c r="P188" s="183"/>
      <c r="Q188" s="183"/>
      <c r="R188" s="183"/>
      <c r="S188" s="183"/>
      <c r="T188" s="183"/>
      <c r="U188" s="183"/>
      <c r="V188" s="183"/>
      <c r="W188" s="183"/>
      <c r="X188" s="183"/>
      <c r="Y188" s="183"/>
      <c r="Z188" s="190"/>
    </row>
    <row r="189" ht="15.75" customHeight="1" spans="1:26">
      <c r="A189" s="183"/>
      <c r="B189" s="184"/>
      <c r="C189" s="183"/>
      <c r="D189" s="183"/>
      <c r="E189" s="183"/>
      <c r="F189" s="184"/>
      <c r="G189" s="184"/>
      <c r="H189" s="183"/>
      <c r="I189" s="183"/>
      <c r="J189" s="183"/>
      <c r="K189" s="183"/>
      <c r="L189" s="183"/>
      <c r="M189" s="183"/>
      <c r="N189" s="183"/>
      <c r="O189" s="183"/>
      <c r="P189" s="183"/>
      <c r="Q189" s="183"/>
      <c r="R189" s="183"/>
      <c r="S189" s="183"/>
      <c r="T189" s="183"/>
      <c r="U189" s="183"/>
      <c r="V189" s="183"/>
      <c r="W189" s="183"/>
      <c r="X189" s="183"/>
      <c r="Y189" s="183"/>
      <c r="Z189" s="190"/>
    </row>
    <row r="190" ht="15.75" customHeight="1" spans="1:26">
      <c r="A190" s="183"/>
      <c r="B190" s="184"/>
      <c r="C190" s="183"/>
      <c r="D190" s="183"/>
      <c r="E190" s="183"/>
      <c r="F190" s="184"/>
      <c r="G190" s="184"/>
      <c r="H190" s="183"/>
      <c r="I190" s="183"/>
      <c r="J190" s="183"/>
      <c r="K190" s="183"/>
      <c r="L190" s="183"/>
      <c r="M190" s="183"/>
      <c r="N190" s="183"/>
      <c r="O190" s="183"/>
      <c r="P190" s="183"/>
      <c r="Q190" s="183"/>
      <c r="R190" s="183"/>
      <c r="S190" s="183"/>
      <c r="T190" s="183"/>
      <c r="U190" s="183"/>
      <c r="V190" s="183"/>
      <c r="W190" s="183"/>
      <c r="X190" s="183"/>
      <c r="Y190" s="183"/>
      <c r="Z190" s="190"/>
    </row>
    <row r="191" ht="15.75" customHeight="1" spans="1:26">
      <c r="A191" s="183"/>
      <c r="B191" s="184"/>
      <c r="C191" s="183"/>
      <c r="D191" s="183"/>
      <c r="E191" s="183"/>
      <c r="F191" s="184"/>
      <c r="G191" s="184"/>
      <c r="H191" s="183"/>
      <c r="I191" s="183"/>
      <c r="J191" s="183"/>
      <c r="K191" s="183"/>
      <c r="L191" s="183"/>
      <c r="M191" s="183"/>
      <c r="N191" s="183"/>
      <c r="O191" s="183"/>
      <c r="P191" s="183"/>
      <c r="Q191" s="183"/>
      <c r="R191" s="183"/>
      <c r="S191" s="183"/>
      <c r="T191" s="183"/>
      <c r="U191" s="183"/>
      <c r="V191" s="183"/>
      <c r="W191" s="183"/>
      <c r="X191" s="183"/>
      <c r="Y191" s="183"/>
      <c r="Z191" s="190"/>
    </row>
    <row r="192" ht="15.75" customHeight="1" spans="1:26">
      <c r="A192" s="183"/>
      <c r="B192" s="184"/>
      <c r="C192" s="183"/>
      <c r="D192" s="183"/>
      <c r="E192" s="183"/>
      <c r="F192" s="184"/>
      <c r="G192" s="184"/>
      <c r="H192" s="183"/>
      <c r="I192" s="183"/>
      <c r="J192" s="183"/>
      <c r="K192" s="183"/>
      <c r="L192" s="183"/>
      <c r="M192" s="183"/>
      <c r="N192" s="183"/>
      <c r="O192" s="183"/>
      <c r="P192" s="183"/>
      <c r="Q192" s="183"/>
      <c r="R192" s="183"/>
      <c r="S192" s="183"/>
      <c r="T192" s="183"/>
      <c r="U192" s="183"/>
      <c r="V192" s="183"/>
      <c r="W192" s="183"/>
      <c r="X192" s="183"/>
      <c r="Y192" s="183"/>
      <c r="Z192" s="190"/>
    </row>
    <row r="193" ht="15.75" customHeight="1" spans="1:26">
      <c r="A193" s="183"/>
      <c r="B193" s="184"/>
      <c r="C193" s="183"/>
      <c r="D193" s="183"/>
      <c r="E193" s="183"/>
      <c r="F193" s="184"/>
      <c r="G193" s="184"/>
      <c r="H193" s="183"/>
      <c r="I193" s="183"/>
      <c r="J193" s="183"/>
      <c r="K193" s="183"/>
      <c r="L193" s="183"/>
      <c r="M193" s="183"/>
      <c r="N193" s="183"/>
      <c r="O193" s="183"/>
      <c r="P193" s="183"/>
      <c r="Q193" s="183"/>
      <c r="R193" s="183"/>
      <c r="S193" s="183"/>
      <c r="T193" s="183"/>
      <c r="U193" s="183"/>
      <c r="V193" s="183"/>
      <c r="W193" s="183"/>
      <c r="X193" s="183"/>
      <c r="Y193" s="183"/>
      <c r="Z193" s="190"/>
    </row>
    <row r="194" ht="15.75" customHeight="1" spans="1:26">
      <c r="A194" s="183"/>
      <c r="B194" s="184"/>
      <c r="C194" s="183"/>
      <c r="D194" s="183"/>
      <c r="E194" s="183"/>
      <c r="F194" s="184"/>
      <c r="G194" s="184"/>
      <c r="H194" s="183"/>
      <c r="I194" s="183"/>
      <c r="J194" s="183"/>
      <c r="K194" s="183"/>
      <c r="L194" s="183"/>
      <c r="M194" s="183"/>
      <c r="N194" s="183"/>
      <c r="O194" s="183"/>
      <c r="P194" s="183"/>
      <c r="Q194" s="183"/>
      <c r="R194" s="183"/>
      <c r="S194" s="183"/>
      <c r="T194" s="183"/>
      <c r="U194" s="183"/>
      <c r="V194" s="183"/>
      <c r="W194" s="183"/>
      <c r="X194" s="183"/>
      <c r="Y194" s="183"/>
      <c r="Z194" s="190"/>
    </row>
    <row r="195" ht="15.75" customHeight="1" spans="1:26">
      <c r="A195" s="183"/>
      <c r="B195" s="184"/>
      <c r="C195" s="183"/>
      <c r="D195" s="183"/>
      <c r="E195" s="183"/>
      <c r="F195" s="184"/>
      <c r="G195" s="184"/>
      <c r="H195" s="183"/>
      <c r="I195" s="183"/>
      <c r="J195" s="183"/>
      <c r="K195" s="183"/>
      <c r="L195" s="183"/>
      <c r="M195" s="183"/>
      <c r="N195" s="183"/>
      <c r="O195" s="183"/>
      <c r="P195" s="183"/>
      <c r="Q195" s="183"/>
      <c r="R195" s="183"/>
      <c r="S195" s="183"/>
      <c r="T195" s="183"/>
      <c r="U195" s="183"/>
      <c r="V195" s="183"/>
      <c r="W195" s="183"/>
      <c r="X195" s="183"/>
      <c r="Y195" s="183"/>
      <c r="Z195" s="190"/>
    </row>
    <row r="196" ht="15.75" customHeight="1" spans="1:26">
      <c r="A196" s="183"/>
      <c r="B196" s="184"/>
      <c r="C196" s="183"/>
      <c r="D196" s="183"/>
      <c r="E196" s="183"/>
      <c r="F196" s="184"/>
      <c r="G196" s="184"/>
      <c r="H196" s="183"/>
      <c r="I196" s="183"/>
      <c r="J196" s="183"/>
      <c r="K196" s="183"/>
      <c r="L196" s="183"/>
      <c r="M196" s="183"/>
      <c r="N196" s="183"/>
      <c r="O196" s="183"/>
      <c r="P196" s="183"/>
      <c r="Q196" s="183"/>
      <c r="R196" s="183"/>
      <c r="S196" s="183"/>
      <c r="T196" s="183"/>
      <c r="U196" s="183"/>
      <c r="V196" s="183"/>
      <c r="W196" s="183"/>
      <c r="X196" s="183"/>
      <c r="Y196" s="183"/>
      <c r="Z196" s="190"/>
    </row>
    <row r="197" ht="15.75" customHeight="1" spans="1:26">
      <c r="A197" s="183"/>
      <c r="B197" s="184"/>
      <c r="C197" s="183"/>
      <c r="D197" s="183"/>
      <c r="E197" s="183"/>
      <c r="F197" s="184"/>
      <c r="G197" s="184"/>
      <c r="H197" s="183"/>
      <c r="I197" s="183"/>
      <c r="J197" s="183"/>
      <c r="K197" s="183"/>
      <c r="L197" s="183"/>
      <c r="M197" s="183"/>
      <c r="N197" s="183"/>
      <c r="O197" s="183"/>
      <c r="P197" s="183"/>
      <c r="Q197" s="183"/>
      <c r="R197" s="183"/>
      <c r="S197" s="183"/>
      <c r="T197" s="183"/>
      <c r="U197" s="183"/>
      <c r="V197" s="183"/>
      <c r="W197" s="183"/>
      <c r="X197" s="183"/>
      <c r="Y197" s="183"/>
      <c r="Z197" s="190"/>
    </row>
    <row r="198" ht="15.75" customHeight="1" spans="1:26">
      <c r="A198" s="183"/>
      <c r="B198" s="184"/>
      <c r="C198" s="183"/>
      <c r="D198" s="183"/>
      <c r="E198" s="183"/>
      <c r="F198" s="184"/>
      <c r="G198" s="184"/>
      <c r="H198" s="183"/>
      <c r="I198" s="183"/>
      <c r="J198" s="183"/>
      <c r="K198" s="183"/>
      <c r="L198" s="183"/>
      <c r="M198" s="183"/>
      <c r="N198" s="183"/>
      <c r="O198" s="183"/>
      <c r="P198" s="183"/>
      <c r="Q198" s="183"/>
      <c r="R198" s="183"/>
      <c r="S198" s="183"/>
      <c r="T198" s="183"/>
      <c r="U198" s="183"/>
      <c r="V198" s="183"/>
      <c r="W198" s="183"/>
      <c r="X198" s="183"/>
      <c r="Y198" s="183"/>
      <c r="Z198" s="190"/>
    </row>
    <row r="199" ht="15.75" customHeight="1" spans="1:26">
      <c r="A199" s="183"/>
      <c r="B199" s="184"/>
      <c r="C199" s="183"/>
      <c r="D199" s="183"/>
      <c r="E199" s="183"/>
      <c r="F199" s="184"/>
      <c r="G199" s="184"/>
      <c r="H199" s="183"/>
      <c r="I199" s="183"/>
      <c r="J199" s="183"/>
      <c r="K199" s="183"/>
      <c r="L199" s="183"/>
      <c r="M199" s="183"/>
      <c r="N199" s="183"/>
      <c r="O199" s="183"/>
      <c r="P199" s="183"/>
      <c r="Q199" s="183"/>
      <c r="R199" s="183"/>
      <c r="S199" s="183"/>
      <c r="T199" s="183"/>
      <c r="U199" s="183"/>
      <c r="V199" s="183"/>
      <c r="W199" s="183"/>
      <c r="X199" s="183"/>
      <c r="Y199" s="183"/>
      <c r="Z199" s="190"/>
    </row>
    <row r="200" ht="15.75" customHeight="1" spans="1:26">
      <c r="A200" s="183"/>
      <c r="B200" s="184"/>
      <c r="C200" s="183"/>
      <c r="D200" s="183"/>
      <c r="E200" s="183"/>
      <c r="F200" s="184"/>
      <c r="G200" s="184"/>
      <c r="H200" s="183"/>
      <c r="I200" s="183"/>
      <c r="J200" s="183"/>
      <c r="K200" s="183"/>
      <c r="L200" s="183"/>
      <c r="M200" s="183"/>
      <c r="N200" s="183"/>
      <c r="O200" s="183"/>
      <c r="P200" s="183"/>
      <c r="Q200" s="183"/>
      <c r="R200" s="183"/>
      <c r="S200" s="183"/>
      <c r="T200" s="183"/>
      <c r="U200" s="183"/>
      <c r="V200" s="183"/>
      <c r="W200" s="183"/>
      <c r="X200" s="183"/>
      <c r="Y200" s="183"/>
      <c r="Z200" s="190"/>
    </row>
    <row r="201" ht="15.75" customHeight="1" spans="1:26">
      <c r="A201" s="183"/>
      <c r="B201" s="184"/>
      <c r="C201" s="183"/>
      <c r="D201" s="183"/>
      <c r="E201" s="183"/>
      <c r="F201" s="184"/>
      <c r="G201" s="184"/>
      <c r="H201" s="183"/>
      <c r="I201" s="183"/>
      <c r="J201" s="183"/>
      <c r="K201" s="183"/>
      <c r="L201" s="183"/>
      <c r="M201" s="183"/>
      <c r="N201" s="183"/>
      <c r="O201" s="183"/>
      <c r="P201" s="183"/>
      <c r="Q201" s="183"/>
      <c r="R201" s="183"/>
      <c r="S201" s="183"/>
      <c r="T201" s="183"/>
      <c r="U201" s="183"/>
      <c r="V201" s="183"/>
      <c r="W201" s="183"/>
      <c r="X201" s="183"/>
      <c r="Y201" s="183"/>
      <c r="Z201" s="190"/>
    </row>
    <row r="202" ht="15.75" customHeight="1" spans="1:26">
      <c r="A202" s="183"/>
      <c r="B202" s="184"/>
      <c r="C202" s="183"/>
      <c r="D202" s="183"/>
      <c r="E202" s="183"/>
      <c r="F202" s="184"/>
      <c r="G202" s="184"/>
      <c r="H202" s="183"/>
      <c r="I202" s="183"/>
      <c r="J202" s="183"/>
      <c r="K202" s="183"/>
      <c r="L202" s="183"/>
      <c r="M202" s="183"/>
      <c r="N202" s="183"/>
      <c r="O202" s="183"/>
      <c r="P202" s="183"/>
      <c r="Q202" s="183"/>
      <c r="R202" s="183"/>
      <c r="S202" s="183"/>
      <c r="T202" s="183"/>
      <c r="U202" s="183"/>
      <c r="V202" s="183"/>
      <c r="W202" s="183"/>
      <c r="X202" s="183"/>
      <c r="Y202" s="183"/>
      <c r="Z202" s="190"/>
    </row>
    <row r="203" ht="15.75" customHeight="1" spans="1:26">
      <c r="A203" s="183"/>
      <c r="B203" s="184"/>
      <c r="C203" s="183"/>
      <c r="D203" s="183"/>
      <c r="E203" s="183"/>
      <c r="F203" s="184"/>
      <c r="G203" s="184"/>
      <c r="H203" s="183"/>
      <c r="I203" s="183"/>
      <c r="J203" s="183"/>
      <c r="K203" s="183"/>
      <c r="L203" s="183"/>
      <c r="M203" s="183"/>
      <c r="N203" s="183"/>
      <c r="O203" s="183"/>
      <c r="P203" s="183"/>
      <c r="Q203" s="183"/>
      <c r="R203" s="183"/>
      <c r="S203" s="183"/>
      <c r="T203" s="183"/>
      <c r="U203" s="183"/>
      <c r="V203" s="183"/>
      <c r="W203" s="183"/>
      <c r="X203" s="183"/>
      <c r="Y203" s="183"/>
      <c r="Z203" s="190"/>
    </row>
    <row r="204" ht="15.75" customHeight="1" spans="1:26">
      <c r="A204" s="183"/>
      <c r="B204" s="184"/>
      <c r="C204" s="183"/>
      <c r="D204" s="183"/>
      <c r="E204" s="183"/>
      <c r="F204" s="184"/>
      <c r="G204" s="184"/>
      <c r="H204" s="183"/>
      <c r="I204" s="183"/>
      <c r="J204" s="183"/>
      <c r="K204" s="183"/>
      <c r="L204" s="183"/>
      <c r="M204" s="183"/>
      <c r="N204" s="183"/>
      <c r="O204" s="183"/>
      <c r="P204" s="183"/>
      <c r="Q204" s="183"/>
      <c r="R204" s="183"/>
      <c r="S204" s="183"/>
      <c r="T204" s="183"/>
      <c r="U204" s="183"/>
      <c r="V204" s="183"/>
      <c r="W204" s="183"/>
      <c r="X204" s="183"/>
      <c r="Y204" s="183"/>
      <c r="Z204" s="190"/>
    </row>
    <row r="205" ht="15.75" customHeight="1" spans="1:26">
      <c r="A205" s="183"/>
      <c r="B205" s="184"/>
      <c r="C205" s="183"/>
      <c r="D205" s="183"/>
      <c r="E205" s="183"/>
      <c r="F205" s="184"/>
      <c r="G205" s="184"/>
      <c r="H205" s="183"/>
      <c r="I205" s="183"/>
      <c r="J205" s="183"/>
      <c r="K205" s="183"/>
      <c r="L205" s="183"/>
      <c r="M205" s="183"/>
      <c r="N205" s="183"/>
      <c r="O205" s="183"/>
      <c r="P205" s="183"/>
      <c r="Q205" s="183"/>
      <c r="R205" s="183"/>
      <c r="S205" s="183"/>
      <c r="T205" s="183"/>
      <c r="U205" s="183"/>
      <c r="V205" s="183"/>
      <c r="W205" s="183"/>
      <c r="X205" s="183"/>
      <c r="Y205" s="183"/>
      <c r="Z205" s="190"/>
    </row>
    <row r="206" ht="15.75" customHeight="1" spans="1:26">
      <c r="A206" s="183"/>
      <c r="B206" s="184"/>
      <c r="C206" s="183"/>
      <c r="D206" s="183"/>
      <c r="E206" s="183"/>
      <c r="F206" s="184"/>
      <c r="G206" s="184"/>
      <c r="H206" s="183"/>
      <c r="I206" s="183"/>
      <c r="J206" s="183"/>
      <c r="K206" s="183"/>
      <c r="L206" s="183"/>
      <c r="M206" s="183"/>
      <c r="N206" s="183"/>
      <c r="O206" s="183"/>
      <c r="P206" s="183"/>
      <c r="Q206" s="183"/>
      <c r="R206" s="183"/>
      <c r="S206" s="183"/>
      <c r="T206" s="183"/>
      <c r="U206" s="183"/>
      <c r="V206" s="183"/>
      <c r="W206" s="183"/>
      <c r="X206" s="183"/>
      <c r="Y206" s="183"/>
      <c r="Z206" s="190"/>
    </row>
    <row r="207" ht="15.75" customHeight="1" spans="1:26">
      <c r="A207" s="183"/>
      <c r="B207" s="184"/>
      <c r="C207" s="183"/>
      <c r="D207" s="183"/>
      <c r="E207" s="183"/>
      <c r="F207" s="184"/>
      <c r="G207" s="184"/>
      <c r="H207" s="183"/>
      <c r="I207" s="183"/>
      <c r="J207" s="183"/>
      <c r="K207" s="183"/>
      <c r="L207" s="183"/>
      <c r="M207" s="183"/>
      <c r="N207" s="183"/>
      <c r="O207" s="183"/>
      <c r="P207" s="183"/>
      <c r="Q207" s="183"/>
      <c r="R207" s="183"/>
      <c r="S207" s="183"/>
      <c r="T207" s="183"/>
      <c r="U207" s="183"/>
      <c r="V207" s="183"/>
      <c r="W207" s="183"/>
      <c r="X207" s="183"/>
      <c r="Y207" s="183"/>
      <c r="Z207" s="190"/>
    </row>
    <row r="208" ht="15.75" customHeight="1" spans="1:26">
      <c r="A208" s="183"/>
      <c r="B208" s="184"/>
      <c r="C208" s="183"/>
      <c r="D208" s="183"/>
      <c r="E208" s="183"/>
      <c r="F208" s="184"/>
      <c r="G208" s="184"/>
      <c r="H208" s="183"/>
      <c r="I208" s="183"/>
      <c r="J208" s="183"/>
      <c r="K208" s="183"/>
      <c r="L208" s="183"/>
      <c r="M208" s="183"/>
      <c r="N208" s="183"/>
      <c r="O208" s="183"/>
      <c r="P208" s="183"/>
      <c r="Q208" s="183"/>
      <c r="R208" s="183"/>
      <c r="S208" s="183"/>
      <c r="T208" s="183"/>
      <c r="U208" s="183"/>
      <c r="V208" s="183"/>
      <c r="W208" s="183"/>
      <c r="X208" s="183"/>
      <c r="Y208" s="183"/>
      <c r="Z208" s="190"/>
    </row>
    <row r="209" ht="15.75" customHeight="1" spans="1:26">
      <c r="A209" s="183"/>
      <c r="B209" s="184"/>
      <c r="C209" s="183"/>
      <c r="D209" s="183"/>
      <c r="E209" s="183"/>
      <c r="F209" s="184"/>
      <c r="G209" s="184"/>
      <c r="H209" s="183"/>
      <c r="I209" s="183"/>
      <c r="J209" s="183"/>
      <c r="K209" s="183"/>
      <c r="L209" s="183"/>
      <c r="M209" s="183"/>
      <c r="N209" s="183"/>
      <c r="O209" s="183"/>
      <c r="P209" s="183"/>
      <c r="Q209" s="183"/>
      <c r="R209" s="183"/>
      <c r="S209" s="183"/>
      <c r="T209" s="183"/>
      <c r="U209" s="183"/>
      <c r="V209" s="183"/>
      <c r="W209" s="183"/>
      <c r="X209" s="183"/>
      <c r="Y209" s="183"/>
      <c r="Z209" s="190"/>
    </row>
    <row r="210" ht="15.75" customHeight="1" spans="1:26">
      <c r="A210" s="183"/>
      <c r="B210" s="184"/>
      <c r="C210" s="183"/>
      <c r="D210" s="183"/>
      <c r="E210" s="183"/>
      <c r="F210" s="184"/>
      <c r="G210" s="184"/>
      <c r="H210" s="183"/>
      <c r="I210" s="183"/>
      <c r="J210" s="183"/>
      <c r="K210" s="183"/>
      <c r="L210" s="183"/>
      <c r="M210" s="183"/>
      <c r="N210" s="183"/>
      <c r="O210" s="183"/>
      <c r="P210" s="183"/>
      <c r="Q210" s="183"/>
      <c r="R210" s="183"/>
      <c r="S210" s="183"/>
      <c r="T210" s="183"/>
      <c r="U210" s="183"/>
      <c r="V210" s="183"/>
      <c r="W210" s="183"/>
      <c r="X210" s="183"/>
      <c r="Y210" s="183"/>
      <c r="Z210" s="190"/>
    </row>
    <row r="211" ht="15.75" customHeight="1" spans="1:26">
      <c r="A211" s="183"/>
      <c r="B211" s="184"/>
      <c r="C211" s="183"/>
      <c r="D211" s="183"/>
      <c r="E211" s="183"/>
      <c r="F211" s="184"/>
      <c r="G211" s="184"/>
      <c r="H211" s="183"/>
      <c r="I211" s="183"/>
      <c r="J211" s="183"/>
      <c r="K211" s="183"/>
      <c r="L211" s="183"/>
      <c r="M211" s="183"/>
      <c r="N211" s="183"/>
      <c r="O211" s="183"/>
      <c r="P211" s="183"/>
      <c r="Q211" s="183"/>
      <c r="R211" s="183"/>
      <c r="S211" s="183"/>
      <c r="T211" s="183"/>
      <c r="U211" s="183"/>
      <c r="V211" s="183"/>
      <c r="W211" s="183"/>
      <c r="X211" s="183"/>
      <c r="Y211" s="183"/>
      <c r="Z211" s="190"/>
    </row>
    <row r="212" ht="15.75" customHeight="1" spans="1:26">
      <c r="A212" s="183"/>
      <c r="B212" s="184"/>
      <c r="C212" s="183"/>
      <c r="D212" s="183"/>
      <c r="E212" s="183"/>
      <c r="F212" s="184"/>
      <c r="G212" s="184"/>
      <c r="H212" s="183"/>
      <c r="I212" s="183"/>
      <c r="J212" s="183"/>
      <c r="K212" s="183"/>
      <c r="L212" s="183"/>
      <c r="M212" s="183"/>
      <c r="N212" s="183"/>
      <c r="O212" s="183"/>
      <c r="P212" s="183"/>
      <c r="Q212" s="183"/>
      <c r="R212" s="183"/>
      <c r="S212" s="183"/>
      <c r="T212" s="183"/>
      <c r="U212" s="183"/>
      <c r="V212" s="183"/>
      <c r="W212" s="183"/>
      <c r="X212" s="183"/>
      <c r="Y212" s="183"/>
      <c r="Z212" s="190"/>
    </row>
    <row r="213" ht="15.75" customHeight="1" spans="1:26">
      <c r="A213" s="183"/>
      <c r="B213" s="184"/>
      <c r="C213" s="183"/>
      <c r="D213" s="183"/>
      <c r="E213" s="183"/>
      <c r="F213" s="184"/>
      <c r="G213" s="184"/>
      <c r="H213" s="183"/>
      <c r="I213" s="183"/>
      <c r="J213" s="183"/>
      <c r="K213" s="183"/>
      <c r="L213" s="183"/>
      <c r="M213" s="183"/>
      <c r="N213" s="183"/>
      <c r="O213" s="183"/>
      <c r="P213" s="183"/>
      <c r="Q213" s="183"/>
      <c r="R213" s="183"/>
      <c r="S213" s="183"/>
      <c r="T213" s="183"/>
      <c r="U213" s="183"/>
      <c r="V213" s="183"/>
      <c r="W213" s="183"/>
      <c r="X213" s="183"/>
      <c r="Y213" s="183"/>
      <c r="Z213" s="190"/>
    </row>
    <row r="214" ht="15.75" customHeight="1" spans="1:26">
      <c r="A214" s="183"/>
      <c r="B214" s="184"/>
      <c r="C214" s="183"/>
      <c r="D214" s="183"/>
      <c r="E214" s="183"/>
      <c r="F214" s="184"/>
      <c r="G214" s="184"/>
      <c r="H214" s="183"/>
      <c r="I214" s="183"/>
      <c r="J214" s="183"/>
      <c r="K214" s="183"/>
      <c r="L214" s="183"/>
      <c r="M214" s="183"/>
      <c r="N214" s="183"/>
      <c r="O214" s="183"/>
      <c r="P214" s="183"/>
      <c r="Q214" s="183"/>
      <c r="R214" s="183"/>
      <c r="S214" s="183"/>
      <c r="T214" s="183"/>
      <c r="U214" s="183"/>
      <c r="V214" s="183"/>
      <c r="W214" s="183"/>
      <c r="X214" s="183"/>
      <c r="Y214" s="183"/>
      <c r="Z214" s="190"/>
    </row>
    <row r="215" ht="15.75" customHeight="1" spans="1:26">
      <c r="A215" s="183"/>
      <c r="B215" s="184"/>
      <c r="C215" s="183"/>
      <c r="D215" s="183"/>
      <c r="E215" s="183"/>
      <c r="F215" s="184"/>
      <c r="G215" s="184"/>
      <c r="H215" s="183"/>
      <c r="I215" s="183"/>
      <c r="J215" s="183"/>
      <c r="K215" s="183"/>
      <c r="L215" s="183"/>
      <c r="M215" s="183"/>
      <c r="N215" s="183"/>
      <c r="O215" s="183"/>
      <c r="P215" s="183"/>
      <c r="Q215" s="183"/>
      <c r="R215" s="183"/>
      <c r="S215" s="183"/>
      <c r="T215" s="183"/>
      <c r="U215" s="183"/>
      <c r="V215" s="183"/>
      <c r="W215" s="183"/>
      <c r="X215" s="183"/>
      <c r="Y215" s="183"/>
      <c r="Z215" s="190"/>
    </row>
    <row r="216" ht="15.75" customHeight="1" spans="1:26">
      <c r="A216" s="183"/>
      <c r="B216" s="184"/>
      <c r="C216" s="183"/>
      <c r="D216" s="183"/>
      <c r="E216" s="183"/>
      <c r="F216" s="184"/>
      <c r="G216" s="184"/>
      <c r="H216" s="183"/>
      <c r="I216" s="183"/>
      <c r="J216" s="183"/>
      <c r="K216" s="183"/>
      <c r="L216" s="183"/>
      <c r="M216" s="183"/>
      <c r="N216" s="183"/>
      <c r="O216" s="183"/>
      <c r="P216" s="183"/>
      <c r="Q216" s="183"/>
      <c r="R216" s="183"/>
      <c r="S216" s="183"/>
      <c r="T216" s="183"/>
      <c r="U216" s="183"/>
      <c r="V216" s="183"/>
      <c r="W216" s="183"/>
      <c r="X216" s="183"/>
      <c r="Y216" s="183"/>
      <c r="Z216" s="190"/>
    </row>
    <row r="217" ht="15.75" customHeight="1" spans="1:26">
      <c r="A217" s="183"/>
      <c r="B217" s="184"/>
      <c r="C217" s="183"/>
      <c r="D217" s="183"/>
      <c r="E217" s="183"/>
      <c r="F217" s="184"/>
      <c r="G217" s="184"/>
      <c r="H217" s="183"/>
      <c r="I217" s="183"/>
      <c r="J217" s="183"/>
      <c r="K217" s="183"/>
      <c r="L217" s="183"/>
      <c r="M217" s="183"/>
      <c r="N217" s="183"/>
      <c r="O217" s="183"/>
      <c r="P217" s="183"/>
      <c r="Q217" s="183"/>
      <c r="R217" s="183"/>
      <c r="S217" s="183"/>
      <c r="T217" s="183"/>
      <c r="U217" s="183"/>
      <c r="V217" s="183"/>
      <c r="W217" s="183"/>
      <c r="X217" s="183"/>
      <c r="Y217" s="183"/>
      <c r="Z217" s="190"/>
    </row>
    <row r="218" ht="15.75" customHeight="1" spans="1:26">
      <c r="A218" s="183"/>
      <c r="B218" s="184"/>
      <c r="C218" s="183"/>
      <c r="D218" s="183"/>
      <c r="E218" s="183"/>
      <c r="F218" s="184"/>
      <c r="G218" s="184"/>
      <c r="H218" s="183"/>
      <c r="I218" s="183"/>
      <c r="J218" s="183"/>
      <c r="K218" s="183"/>
      <c r="L218" s="183"/>
      <c r="M218" s="183"/>
      <c r="N218" s="183"/>
      <c r="O218" s="183"/>
      <c r="P218" s="183"/>
      <c r="Q218" s="183"/>
      <c r="R218" s="183"/>
      <c r="S218" s="183"/>
      <c r="T218" s="183"/>
      <c r="U218" s="183"/>
      <c r="V218" s="183"/>
      <c r="W218" s="183"/>
      <c r="X218" s="183"/>
      <c r="Y218" s="183"/>
      <c r="Z218" s="190"/>
    </row>
    <row r="219" ht="15.75" customHeight="1" spans="1:26">
      <c r="A219" s="183"/>
      <c r="B219" s="184"/>
      <c r="C219" s="183"/>
      <c r="D219" s="183"/>
      <c r="E219" s="183"/>
      <c r="F219" s="184"/>
      <c r="G219" s="184"/>
      <c r="H219" s="183"/>
      <c r="I219" s="183"/>
      <c r="J219" s="183"/>
      <c r="K219" s="183"/>
      <c r="L219" s="183"/>
      <c r="M219" s="183"/>
      <c r="N219" s="183"/>
      <c r="O219" s="183"/>
      <c r="P219" s="183"/>
      <c r="Q219" s="183"/>
      <c r="R219" s="183"/>
      <c r="S219" s="183"/>
      <c r="T219" s="183"/>
      <c r="U219" s="183"/>
      <c r="V219" s="183"/>
      <c r="W219" s="183"/>
      <c r="X219" s="183"/>
      <c r="Y219" s="183"/>
      <c r="Z219" s="190"/>
    </row>
    <row r="220" ht="15.75" customHeight="1" spans="1:26">
      <c r="A220" s="183"/>
      <c r="B220" s="184"/>
      <c r="C220" s="183"/>
      <c r="D220" s="183"/>
      <c r="E220" s="183"/>
      <c r="F220" s="184"/>
      <c r="G220" s="184"/>
      <c r="H220" s="183"/>
      <c r="I220" s="183"/>
      <c r="J220" s="183"/>
      <c r="K220" s="183"/>
      <c r="L220" s="183"/>
      <c r="M220" s="183"/>
      <c r="N220" s="183"/>
      <c r="O220" s="183"/>
      <c r="P220" s="183"/>
      <c r="Q220" s="183"/>
      <c r="R220" s="183"/>
      <c r="S220" s="183"/>
      <c r="T220" s="183"/>
      <c r="U220" s="183"/>
      <c r="V220" s="183"/>
      <c r="W220" s="183"/>
      <c r="X220" s="183"/>
      <c r="Y220" s="183"/>
      <c r="Z220" s="190"/>
    </row>
    <row r="221" ht="15.75" customHeight="1" spans="1:26">
      <c r="A221" s="183"/>
      <c r="B221" s="184"/>
      <c r="C221" s="183"/>
      <c r="D221" s="183"/>
      <c r="E221" s="183"/>
      <c r="F221" s="184"/>
      <c r="G221" s="184"/>
      <c r="H221" s="183"/>
      <c r="I221" s="183"/>
      <c r="J221" s="183"/>
      <c r="K221" s="183"/>
      <c r="L221" s="183"/>
      <c r="M221" s="183"/>
      <c r="N221" s="183"/>
      <c r="O221" s="183"/>
      <c r="P221" s="183"/>
      <c r="Q221" s="183"/>
      <c r="R221" s="183"/>
      <c r="S221" s="183"/>
      <c r="T221" s="183"/>
      <c r="U221" s="183"/>
      <c r="V221" s="183"/>
      <c r="W221" s="183"/>
      <c r="X221" s="183"/>
      <c r="Y221" s="183"/>
      <c r="Z221" s="190"/>
    </row>
    <row r="222" ht="15.75" customHeight="1" spans="1:26">
      <c r="A222" s="183"/>
      <c r="B222" s="184"/>
      <c r="C222" s="183"/>
      <c r="D222" s="183"/>
      <c r="E222" s="183"/>
      <c r="F222" s="184"/>
      <c r="G222" s="184"/>
      <c r="H222" s="183"/>
      <c r="I222" s="183"/>
      <c r="J222" s="183"/>
      <c r="K222" s="183"/>
      <c r="L222" s="183"/>
      <c r="M222" s="183"/>
      <c r="N222" s="183"/>
      <c r="O222" s="183"/>
      <c r="P222" s="183"/>
      <c r="Q222" s="183"/>
      <c r="R222" s="183"/>
      <c r="S222" s="183"/>
      <c r="T222" s="183"/>
      <c r="U222" s="183"/>
      <c r="V222" s="183"/>
      <c r="W222" s="183"/>
      <c r="X222" s="183"/>
      <c r="Y222" s="183"/>
      <c r="Z222" s="190"/>
    </row>
    <row r="223" ht="15.75" customHeight="1" spans="1:26">
      <c r="A223" s="183"/>
      <c r="B223" s="184"/>
      <c r="C223" s="183"/>
      <c r="D223" s="183"/>
      <c r="E223" s="183"/>
      <c r="F223" s="184"/>
      <c r="G223" s="184"/>
      <c r="H223" s="183"/>
      <c r="I223" s="183"/>
      <c r="J223" s="183"/>
      <c r="K223" s="183"/>
      <c r="L223" s="183"/>
      <c r="M223" s="183"/>
      <c r="N223" s="183"/>
      <c r="O223" s="183"/>
      <c r="P223" s="183"/>
      <c r="Q223" s="183"/>
      <c r="R223" s="183"/>
      <c r="S223" s="183"/>
      <c r="T223" s="183"/>
      <c r="U223" s="183"/>
      <c r="V223" s="183"/>
      <c r="W223" s="183"/>
      <c r="X223" s="183"/>
      <c r="Y223" s="183"/>
      <c r="Z223" s="190"/>
    </row>
    <row r="224" ht="15.75" customHeight="1" spans="1:26">
      <c r="A224" s="183"/>
      <c r="B224" s="184"/>
      <c r="C224" s="183"/>
      <c r="D224" s="183"/>
      <c r="E224" s="183"/>
      <c r="F224" s="184"/>
      <c r="G224" s="184"/>
      <c r="H224" s="183"/>
      <c r="I224" s="183"/>
      <c r="J224" s="183"/>
      <c r="K224" s="183"/>
      <c r="L224" s="183"/>
      <c r="M224" s="183"/>
      <c r="N224" s="183"/>
      <c r="O224" s="183"/>
      <c r="P224" s="183"/>
      <c r="Q224" s="183"/>
      <c r="R224" s="183"/>
      <c r="S224" s="183"/>
      <c r="T224" s="183"/>
      <c r="U224" s="183"/>
      <c r="V224" s="183"/>
      <c r="W224" s="183"/>
      <c r="X224" s="183"/>
      <c r="Y224" s="183"/>
      <c r="Z224" s="190"/>
    </row>
    <row r="225" ht="15.75" customHeight="1" spans="1:26">
      <c r="A225" s="183"/>
      <c r="B225" s="184"/>
      <c r="C225" s="183"/>
      <c r="D225" s="183"/>
      <c r="E225" s="183"/>
      <c r="F225" s="184"/>
      <c r="G225" s="184"/>
      <c r="H225" s="183"/>
      <c r="I225" s="183"/>
      <c r="J225" s="183"/>
      <c r="K225" s="183"/>
      <c r="L225" s="183"/>
      <c r="M225" s="183"/>
      <c r="N225" s="183"/>
      <c r="O225" s="183"/>
      <c r="P225" s="183"/>
      <c r="Q225" s="183"/>
      <c r="R225" s="183"/>
      <c r="S225" s="183"/>
      <c r="T225" s="183"/>
      <c r="U225" s="183"/>
      <c r="V225" s="183"/>
      <c r="W225" s="183"/>
      <c r="X225" s="183"/>
      <c r="Y225" s="183"/>
      <c r="Z225" s="190"/>
    </row>
    <row r="226" ht="15.75" customHeight="1" spans="1:26">
      <c r="A226" s="183"/>
      <c r="B226" s="184"/>
      <c r="C226" s="183"/>
      <c r="D226" s="183"/>
      <c r="E226" s="183"/>
      <c r="F226" s="184"/>
      <c r="G226" s="184"/>
      <c r="H226" s="183"/>
      <c r="I226" s="183"/>
      <c r="J226" s="183"/>
      <c r="K226" s="183"/>
      <c r="L226" s="183"/>
      <c r="M226" s="183"/>
      <c r="N226" s="183"/>
      <c r="O226" s="183"/>
      <c r="P226" s="183"/>
      <c r="Q226" s="183"/>
      <c r="R226" s="183"/>
      <c r="S226" s="183"/>
      <c r="T226" s="183"/>
      <c r="U226" s="183"/>
      <c r="V226" s="183"/>
      <c r="W226" s="183"/>
      <c r="X226" s="183"/>
      <c r="Y226" s="183"/>
      <c r="Z226" s="190"/>
    </row>
    <row r="227" ht="15.75" customHeight="1" spans="1:26">
      <c r="A227" s="183"/>
      <c r="B227" s="184"/>
      <c r="C227" s="183"/>
      <c r="D227" s="183"/>
      <c r="E227" s="183"/>
      <c r="F227" s="184"/>
      <c r="G227" s="184"/>
      <c r="H227" s="183"/>
      <c r="I227" s="183"/>
      <c r="J227" s="183"/>
      <c r="K227" s="183"/>
      <c r="L227" s="183"/>
      <c r="M227" s="183"/>
      <c r="N227" s="183"/>
      <c r="O227" s="183"/>
      <c r="P227" s="183"/>
      <c r="Q227" s="183"/>
      <c r="R227" s="183"/>
      <c r="S227" s="183"/>
      <c r="T227" s="183"/>
      <c r="U227" s="183"/>
      <c r="V227" s="183"/>
      <c r="W227" s="183"/>
      <c r="X227" s="183"/>
      <c r="Y227" s="183"/>
      <c r="Z227" s="190"/>
    </row>
    <row r="228" ht="15.75" customHeight="1" spans="1:26">
      <c r="A228" s="183"/>
      <c r="B228" s="184"/>
      <c r="C228" s="183"/>
      <c r="D228" s="183"/>
      <c r="E228" s="183"/>
      <c r="F228" s="184"/>
      <c r="G228" s="184"/>
      <c r="H228" s="183"/>
      <c r="I228" s="183"/>
      <c r="J228" s="183"/>
      <c r="K228" s="183"/>
      <c r="L228" s="183"/>
      <c r="M228" s="183"/>
      <c r="N228" s="183"/>
      <c r="O228" s="183"/>
      <c r="P228" s="183"/>
      <c r="Q228" s="183"/>
      <c r="R228" s="183"/>
      <c r="S228" s="183"/>
      <c r="T228" s="183"/>
      <c r="U228" s="183"/>
      <c r="V228" s="183"/>
      <c r="W228" s="183"/>
      <c r="X228" s="183"/>
      <c r="Y228" s="183"/>
      <c r="Z228" s="190"/>
    </row>
    <row r="229" ht="15.75" customHeight="1" spans="1:26">
      <c r="A229" s="183"/>
      <c r="B229" s="184"/>
      <c r="C229" s="183"/>
      <c r="D229" s="183"/>
      <c r="E229" s="183"/>
      <c r="F229" s="184"/>
      <c r="G229" s="184"/>
      <c r="H229" s="183"/>
      <c r="I229" s="183"/>
      <c r="J229" s="183"/>
      <c r="K229" s="183"/>
      <c r="L229" s="183"/>
      <c r="M229" s="183"/>
      <c r="N229" s="183"/>
      <c r="O229" s="183"/>
      <c r="P229" s="183"/>
      <c r="Q229" s="183"/>
      <c r="R229" s="183"/>
      <c r="S229" s="183"/>
      <c r="T229" s="183"/>
      <c r="U229" s="183"/>
      <c r="V229" s="183"/>
      <c r="W229" s="183"/>
      <c r="X229" s="183"/>
      <c r="Y229" s="183"/>
      <c r="Z229" s="190"/>
    </row>
    <row r="230" ht="15.75" customHeight="1" spans="1:26">
      <c r="A230" s="183"/>
      <c r="B230" s="184"/>
      <c r="C230" s="183"/>
      <c r="D230" s="183"/>
      <c r="E230" s="183"/>
      <c r="F230" s="184"/>
      <c r="G230" s="184"/>
      <c r="H230" s="183"/>
      <c r="I230" s="183"/>
      <c r="J230" s="183"/>
      <c r="K230" s="183"/>
      <c r="L230" s="183"/>
      <c r="M230" s="183"/>
      <c r="N230" s="183"/>
      <c r="O230" s="183"/>
      <c r="P230" s="183"/>
      <c r="Q230" s="183"/>
      <c r="R230" s="183"/>
      <c r="S230" s="183"/>
      <c r="T230" s="183"/>
      <c r="U230" s="183"/>
      <c r="V230" s="183"/>
      <c r="W230" s="183"/>
      <c r="X230" s="183"/>
      <c r="Y230" s="183"/>
      <c r="Z230" s="190"/>
    </row>
    <row r="231" ht="15.75" customHeight="1" spans="1:26">
      <c r="A231" s="183"/>
      <c r="B231" s="184"/>
      <c r="C231" s="183"/>
      <c r="D231" s="183"/>
      <c r="E231" s="183"/>
      <c r="F231" s="184"/>
      <c r="G231" s="184"/>
      <c r="H231" s="183"/>
      <c r="I231" s="183"/>
      <c r="J231" s="183"/>
      <c r="K231" s="183"/>
      <c r="L231" s="183"/>
      <c r="M231" s="183"/>
      <c r="N231" s="183"/>
      <c r="O231" s="183"/>
      <c r="P231" s="183"/>
      <c r="Q231" s="183"/>
      <c r="R231" s="183"/>
      <c r="S231" s="183"/>
      <c r="T231" s="183"/>
      <c r="U231" s="183"/>
      <c r="V231" s="183"/>
      <c r="W231" s="183"/>
      <c r="X231" s="183"/>
      <c r="Y231" s="183"/>
      <c r="Z231" s="190"/>
    </row>
    <row r="232" ht="15.75" customHeight="1" spans="1:26">
      <c r="A232" s="183"/>
      <c r="B232" s="184"/>
      <c r="C232" s="183"/>
      <c r="D232" s="183"/>
      <c r="E232" s="183"/>
      <c r="F232" s="184"/>
      <c r="G232" s="184"/>
      <c r="H232" s="183"/>
      <c r="I232" s="183"/>
      <c r="J232" s="183"/>
      <c r="K232" s="183"/>
      <c r="L232" s="183"/>
      <c r="M232" s="183"/>
      <c r="N232" s="183"/>
      <c r="O232" s="183"/>
      <c r="P232" s="183"/>
      <c r="Q232" s="183"/>
      <c r="R232" s="183"/>
      <c r="S232" s="183"/>
      <c r="T232" s="183"/>
      <c r="U232" s="183"/>
      <c r="V232" s="183"/>
      <c r="W232" s="183"/>
      <c r="X232" s="183"/>
      <c r="Y232" s="183"/>
      <c r="Z232" s="190"/>
    </row>
    <row r="233" ht="15.75" customHeight="1" spans="1:26">
      <c r="A233" s="183"/>
      <c r="B233" s="184"/>
      <c r="C233" s="183"/>
      <c r="D233" s="183"/>
      <c r="E233" s="183"/>
      <c r="F233" s="184"/>
      <c r="G233" s="184"/>
      <c r="H233" s="183"/>
      <c r="I233" s="183"/>
      <c r="J233" s="183"/>
      <c r="K233" s="183"/>
      <c r="L233" s="183"/>
      <c r="M233" s="183"/>
      <c r="N233" s="183"/>
      <c r="O233" s="183"/>
      <c r="P233" s="183"/>
      <c r="Q233" s="183"/>
      <c r="R233" s="183"/>
      <c r="S233" s="183"/>
      <c r="T233" s="183"/>
      <c r="U233" s="183"/>
      <c r="V233" s="183"/>
      <c r="W233" s="183"/>
      <c r="X233" s="183"/>
      <c r="Y233" s="183"/>
      <c r="Z233" s="190"/>
    </row>
    <row r="234" ht="15.75" customHeight="1" spans="1:26">
      <c r="A234" s="183"/>
      <c r="B234" s="184"/>
      <c r="C234" s="183"/>
      <c r="D234" s="183"/>
      <c r="E234" s="183"/>
      <c r="F234" s="184"/>
      <c r="G234" s="184"/>
      <c r="H234" s="183"/>
      <c r="I234" s="183"/>
      <c r="J234" s="183"/>
      <c r="K234" s="183"/>
      <c r="L234" s="183"/>
      <c r="M234" s="183"/>
      <c r="N234" s="183"/>
      <c r="O234" s="183"/>
      <c r="P234" s="183"/>
      <c r="Q234" s="183"/>
      <c r="R234" s="183"/>
      <c r="S234" s="183"/>
      <c r="T234" s="183"/>
      <c r="U234" s="183"/>
      <c r="V234" s="183"/>
      <c r="W234" s="183"/>
      <c r="X234" s="183"/>
      <c r="Y234" s="183"/>
      <c r="Z234" s="190"/>
    </row>
    <row r="235" ht="15.75" customHeight="1" spans="1:26">
      <c r="A235" s="183"/>
      <c r="B235" s="184"/>
      <c r="C235" s="183"/>
      <c r="D235" s="183"/>
      <c r="E235" s="183"/>
      <c r="F235" s="184"/>
      <c r="G235" s="184"/>
      <c r="H235" s="183"/>
      <c r="I235" s="183"/>
      <c r="J235" s="183"/>
      <c r="K235" s="183"/>
      <c r="L235" s="183"/>
      <c r="M235" s="183"/>
      <c r="N235" s="183"/>
      <c r="O235" s="183"/>
      <c r="P235" s="183"/>
      <c r="Q235" s="183"/>
      <c r="R235" s="183"/>
      <c r="S235" s="183"/>
      <c r="T235" s="183"/>
      <c r="U235" s="183"/>
      <c r="V235" s="183"/>
      <c r="W235" s="183"/>
      <c r="X235" s="183"/>
      <c r="Y235" s="183"/>
      <c r="Z235" s="190"/>
    </row>
    <row r="236" ht="15.75" customHeight="1" spans="1:26">
      <c r="A236" s="183"/>
      <c r="B236" s="184"/>
      <c r="C236" s="183"/>
      <c r="D236" s="183"/>
      <c r="E236" s="183"/>
      <c r="F236" s="184"/>
      <c r="G236" s="184"/>
      <c r="H236" s="183"/>
      <c r="I236" s="183"/>
      <c r="J236" s="183"/>
      <c r="K236" s="183"/>
      <c r="L236" s="183"/>
      <c r="M236" s="183"/>
      <c r="N236" s="183"/>
      <c r="O236" s="183"/>
      <c r="P236" s="183"/>
      <c r="Q236" s="183"/>
      <c r="R236" s="183"/>
      <c r="S236" s="183"/>
      <c r="T236" s="183"/>
      <c r="U236" s="183"/>
      <c r="V236" s="183"/>
      <c r="W236" s="183"/>
      <c r="X236" s="183"/>
      <c r="Y236" s="183"/>
      <c r="Z236" s="190"/>
    </row>
    <row r="237" ht="15.75" customHeight="1" spans="1:26">
      <c r="A237" s="183"/>
      <c r="B237" s="184"/>
      <c r="C237" s="183"/>
      <c r="D237" s="183"/>
      <c r="E237" s="183"/>
      <c r="F237" s="184"/>
      <c r="G237" s="184"/>
      <c r="H237" s="183"/>
      <c r="I237" s="183"/>
      <c r="J237" s="183"/>
      <c r="K237" s="183"/>
      <c r="L237" s="183"/>
      <c r="M237" s="183"/>
      <c r="N237" s="183"/>
      <c r="O237" s="183"/>
      <c r="P237" s="183"/>
      <c r="Q237" s="183"/>
      <c r="R237" s="183"/>
      <c r="S237" s="183"/>
      <c r="T237" s="183"/>
      <c r="U237" s="183"/>
      <c r="V237" s="183"/>
      <c r="W237" s="183"/>
      <c r="X237" s="183"/>
      <c r="Y237" s="183"/>
      <c r="Z237" s="190"/>
    </row>
    <row r="238" ht="15.75" customHeight="1" spans="1:26">
      <c r="A238" s="183"/>
      <c r="B238" s="184"/>
      <c r="C238" s="183"/>
      <c r="D238" s="183"/>
      <c r="E238" s="183"/>
      <c r="F238" s="184"/>
      <c r="G238" s="184"/>
      <c r="H238" s="183"/>
      <c r="I238" s="183"/>
      <c r="J238" s="183"/>
      <c r="K238" s="183"/>
      <c r="L238" s="183"/>
      <c r="M238" s="183"/>
      <c r="N238" s="183"/>
      <c r="O238" s="183"/>
      <c r="P238" s="183"/>
      <c r="Q238" s="183"/>
      <c r="R238" s="183"/>
      <c r="S238" s="183"/>
      <c r="T238" s="183"/>
      <c r="U238" s="183"/>
      <c r="V238" s="183"/>
      <c r="W238" s="183"/>
      <c r="X238" s="183"/>
      <c r="Y238" s="183"/>
      <c r="Z238" s="190"/>
    </row>
    <row r="239" ht="15.75" customHeight="1" spans="1:26">
      <c r="A239" s="183"/>
      <c r="B239" s="184"/>
      <c r="C239" s="183"/>
      <c r="D239" s="183"/>
      <c r="E239" s="183"/>
      <c r="F239" s="184"/>
      <c r="G239" s="184"/>
      <c r="H239" s="183"/>
      <c r="I239" s="183"/>
      <c r="J239" s="183"/>
      <c r="K239" s="183"/>
      <c r="L239" s="183"/>
      <c r="M239" s="183"/>
      <c r="N239" s="183"/>
      <c r="O239" s="183"/>
      <c r="P239" s="183"/>
      <c r="Q239" s="183"/>
      <c r="R239" s="183"/>
      <c r="S239" s="183"/>
      <c r="T239" s="183"/>
      <c r="U239" s="183"/>
      <c r="V239" s="183"/>
      <c r="W239" s="183"/>
      <c r="X239" s="183"/>
      <c r="Y239" s="183"/>
      <c r="Z239" s="190"/>
    </row>
    <row r="240" ht="15.75" customHeight="1" spans="1:26">
      <c r="A240" s="183"/>
      <c r="B240" s="184"/>
      <c r="C240" s="183"/>
      <c r="D240" s="183"/>
      <c r="E240" s="183"/>
      <c r="F240" s="184"/>
      <c r="G240" s="184"/>
      <c r="H240" s="183"/>
      <c r="I240" s="183"/>
      <c r="J240" s="183"/>
      <c r="K240" s="183"/>
      <c r="L240" s="183"/>
      <c r="M240" s="183"/>
      <c r="N240" s="183"/>
      <c r="O240" s="183"/>
      <c r="P240" s="183"/>
      <c r="Q240" s="183"/>
      <c r="R240" s="183"/>
      <c r="S240" s="183"/>
      <c r="T240" s="183"/>
      <c r="U240" s="183"/>
      <c r="V240" s="183"/>
      <c r="W240" s="183"/>
      <c r="X240" s="183"/>
      <c r="Y240" s="183"/>
      <c r="Z240" s="190"/>
    </row>
    <row r="241" ht="15.75" customHeight="1" spans="1:26">
      <c r="A241" s="183"/>
      <c r="B241" s="184"/>
      <c r="C241" s="183"/>
      <c r="D241" s="183"/>
      <c r="E241" s="183"/>
      <c r="F241" s="184"/>
      <c r="G241" s="184"/>
      <c r="H241" s="183"/>
      <c r="I241" s="183"/>
      <c r="J241" s="183"/>
      <c r="K241" s="183"/>
      <c r="L241" s="183"/>
      <c r="M241" s="183"/>
      <c r="N241" s="183"/>
      <c r="O241" s="183"/>
      <c r="P241" s="183"/>
      <c r="Q241" s="183"/>
      <c r="R241" s="183"/>
      <c r="S241" s="183"/>
      <c r="T241" s="183"/>
      <c r="U241" s="183"/>
      <c r="V241" s="183"/>
      <c r="W241" s="183"/>
      <c r="X241" s="183"/>
      <c r="Y241" s="183"/>
      <c r="Z241" s="190"/>
    </row>
    <row r="242" ht="15.75" customHeight="1" spans="1:26">
      <c r="A242" s="183"/>
      <c r="B242" s="184"/>
      <c r="C242" s="183"/>
      <c r="D242" s="183"/>
      <c r="E242" s="183"/>
      <c r="F242" s="184"/>
      <c r="G242" s="184"/>
      <c r="H242" s="183"/>
      <c r="I242" s="183"/>
      <c r="J242" s="183"/>
      <c r="K242" s="183"/>
      <c r="L242" s="183"/>
      <c r="M242" s="183"/>
      <c r="N242" s="183"/>
      <c r="O242" s="183"/>
      <c r="P242" s="183"/>
      <c r="Q242" s="183"/>
      <c r="R242" s="183"/>
      <c r="S242" s="183"/>
      <c r="T242" s="183"/>
      <c r="U242" s="183"/>
      <c r="V242" s="183"/>
      <c r="W242" s="183"/>
      <c r="X242" s="183"/>
      <c r="Y242" s="183"/>
      <c r="Z242" s="190"/>
    </row>
    <row r="243" ht="15.75" customHeight="1" spans="1:26">
      <c r="A243" s="183"/>
      <c r="B243" s="184"/>
      <c r="C243" s="183"/>
      <c r="D243" s="183"/>
      <c r="E243" s="183"/>
      <c r="F243" s="184"/>
      <c r="G243" s="184"/>
      <c r="H243" s="183"/>
      <c r="I243" s="183"/>
      <c r="J243" s="183"/>
      <c r="K243" s="183"/>
      <c r="L243" s="183"/>
      <c r="M243" s="183"/>
      <c r="N243" s="183"/>
      <c r="O243" s="183"/>
      <c r="P243" s="183"/>
      <c r="Q243" s="183"/>
      <c r="R243" s="183"/>
      <c r="S243" s="183"/>
      <c r="T243" s="183"/>
      <c r="U243" s="183"/>
      <c r="V243" s="183"/>
      <c r="W243" s="183"/>
      <c r="X243" s="183"/>
      <c r="Y243" s="183"/>
      <c r="Z243" s="190"/>
    </row>
    <row r="244" ht="15.75" customHeight="1" spans="1:26">
      <c r="A244" s="183"/>
      <c r="B244" s="184"/>
      <c r="C244" s="183"/>
      <c r="D244" s="183"/>
      <c r="E244" s="183"/>
      <c r="F244" s="184"/>
      <c r="G244" s="184"/>
      <c r="H244" s="183"/>
      <c r="I244" s="183"/>
      <c r="J244" s="183"/>
      <c r="K244" s="183"/>
      <c r="L244" s="183"/>
      <c r="M244" s="183"/>
      <c r="N244" s="183"/>
      <c r="O244" s="183"/>
      <c r="P244" s="183"/>
      <c r="Q244" s="183"/>
      <c r="R244" s="183"/>
      <c r="S244" s="183"/>
      <c r="T244" s="183"/>
      <c r="U244" s="183"/>
      <c r="V244" s="183"/>
      <c r="W244" s="183"/>
      <c r="X244" s="183"/>
      <c r="Y244" s="183"/>
      <c r="Z244" s="190"/>
    </row>
    <row r="245" ht="15.75" customHeight="1" spans="1:26">
      <c r="A245" s="183"/>
      <c r="B245" s="184"/>
      <c r="C245" s="183"/>
      <c r="D245" s="183"/>
      <c r="E245" s="183"/>
      <c r="F245" s="184"/>
      <c r="G245" s="184"/>
      <c r="H245" s="183"/>
      <c r="I245" s="183"/>
      <c r="J245" s="183"/>
      <c r="K245" s="183"/>
      <c r="L245" s="183"/>
      <c r="M245" s="183"/>
      <c r="N245" s="183"/>
      <c r="O245" s="183"/>
      <c r="P245" s="183"/>
      <c r="Q245" s="183"/>
      <c r="R245" s="183"/>
      <c r="S245" s="183"/>
      <c r="T245" s="183"/>
      <c r="U245" s="183"/>
      <c r="V245" s="183"/>
      <c r="W245" s="183"/>
      <c r="X245" s="183"/>
      <c r="Y245" s="183"/>
      <c r="Z245" s="190"/>
    </row>
    <row r="246" ht="15.75" customHeight="1" spans="1:26">
      <c r="A246" s="183"/>
      <c r="B246" s="184"/>
      <c r="C246" s="183"/>
      <c r="D246" s="183"/>
      <c r="E246" s="183"/>
      <c r="F246" s="184"/>
      <c r="G246" s="184"/>
      <c r="H246" s="183"/>
      <c r="I246" s="183"/>
      <c r="J246" s="183"/>
      <c r="K246" s="183"/>
      <c r="L246" s="183"/>
      <c r="M246" s="183"/>
      <c r="N246" s="183"/>
      <c r="O246" s="183"/>
      <c r="P246" s="183"/>
      <c r="Q246" s="183"/>
      <c r="R246" s="183"/>
      <c r="S246" s="183"/>
      <c r="T246" s="183"/>
      <c r="U246" s="183"/>
      <c r="V246" s="183"/>
      <c r="W246" s="183"/>
      <c r="X246" s="183"/>
      <c r="Y246" s="183"/>
      <c r="Z246" s="190"/>
    </row>
    <row r="247" ht="15.75" customHeight="1" spans="1:26">
      <c r="A247" s="183"/>
      <c r="B247" s="184"/>
      <c r="C247" s="183"/>
      <c r="D247" s="183"/>
      <c r="E247" s="183"/>
      <c r="F247" s="184"/>
      <c r="G247" s="184"/>
      <c r="H247" s="183"/>
      <c r="I247" s="183"/>
      <c r="J247" s="183"/>
      <c r="K247" s="183"/>
      <c r="L247" s="183"/>
      <c r="M247" s="183"/>
      <c r="N247" s="183"/>
      <c r="O247" s="183"/>
      <c r="P247" s="183"/>
      <c r="Q247" s="183"/>
      <c r="R247" s="183"/>
      <c r="S247" s="183"/>
      <c r="T247" s="183"/>
      <c r="U247" s="183"/>
      <c r="V247" s="183"/>
      <c r="W247" s="183"/>
      <c r="X247" s="183"/>
      <c r="Y247" s="183"/>
      <c r="Z247" s="190"/>
    </row>
    <row r="248" ht="15.75" customHeight="1" spans="1:26">
      <c r="A248" s="183"/>
      <c r="B248" s="184"/>
      <c r="C248" s="183"/>
      <c r="D248" s="183"/>
      <c r="E248" s="183"/>
      <c r="F248" s="184"/>
      <c r="G248" s="184"/>
      <c r="H248" s="183"/>
      <c r="I248" s="183"/>
      <c r="J248" s="183"/>
      <c r="K248" s="183"/>
      <c r="L248" s="183"/>
      <c r="M248" s="183"/>
      <c r="N248" s="183"/>
      <c r="O248" s="183"/>
      <c r="P248" s="183"/>
      <c r="Q248" s="183"/>
      <c r="R248" s="183"/>
      <c r="S248" s="183"/>
      <c r="T248" s="183"/>
      <c r="U248" s="183"/>
      <c r="V248" s="183"/>
      <c r="W248" s="183"/>
      <c r="X248" s="183"/>
      <c r="Y248" s="183"/>
      <c r="Z248" s="190"/>
    </row>
    <row r="249" ht="15.75" customHeight="1" spans="1:26">
      <c r="A249" s="183"/>
      <c r="B249" s="184"/>
      <c r="C249" s="183"/>
      <c r="D249" s="183"/>
      <c r="E249" s="183"/>
      <c r="F249" s="184"/>
      <c r="G249" s="184"/>
      <c r="H249" s="183"/>
      <c r="I249" s="183"/>
      <c r="J249" s="183"/>
      <c r="K249" s="183"/>
      <c r="L249" s="183"/>
      <c r="M249" s="183"/>
      <c r="N249" s="183"/>
      <c r="O249" s="183"/>
      <c r="P249" s="183"/>
      <c r="Q249" s="183"/>
      <c r="R249" s="183"/>
      <c r="S249" s="183"/>
      <c r="T249" s="183"/>
      <c r="U249" s="183"/>
      <c r="V249" s="183"/>
      <c r="W249" s="183"/>
      <c r="X249" s="183"/>
      <c r="Y249" s="183"/>
      <c r="Z249" s="190"/>
    </row>
    <row r="250" ht="15.75" customHeight="1" spans="1:26">
      <c r="A250" s="183"/>
      <c r="B250" s="184"/>
      <c r="C250" s="183"/>
      <c r="D250" s="183"/>
      <c r="E250" s="183"/>
      <c r="F250" s="184"/>
      <c r="G250" s="184"/>
      <c r="H250" s="183"/>
      <c r="I250" s="183"/>
      <c r="J250" s="183"/>
      <c r="K250" s="183"/>
      <c r="L250" s="183"/>
      <c r="M250" s="183"/>
      <c r="N250" s="183"/>
      <c r="O250" s="183"/>
      <c r="P250" s="183"/>
      <c r="Q250" s="183"/>
      <c r="R250" s="183"/>
      <c r="S250" s="183"/>
      <c r="T250" s="183"/>
      <c r="U250" s="183"/>
      <c r="V250" s="183"/>
      <c r="W250" s="183"/>
      <c r="X250" s="183"/>
      <c r="Y250" s="183"/>
      <c r="Z250" s="190"/>
    </row>
    <row r="251" ht="15.75" customHeight="1" spans="1:26">
      <c r="A251" s="183"/>
      <c r="B251" s="184"/>
      <c r="C251" s="183"/>
      <c r="D251" s="183"/>
      <c r="E251" s="183"/>
      <c r="F251" s="184"/>
      <c r="G251" s="184"/>
      <c r="H251" s="183"/>
      <c r="I251" s="183"/>
      <c r="J251" s="183"/>
      <c r="K251" s="183"/>
      <c r="L251" s="183"/>
      <c r="M251" s="183"/>
      <c r="N251" s="183"/>
      <c r="O251" s="183"/>
      <c r="P251" s="183"/>
      <c r="Q251" s="183"/>
      <c r="R251" s="183"/>
      <c r="S251" s="183"/>
      <c r="T251" s="183"/>
      <c r="U251" s="183"/>
      <c r="V251" s="183"/>
      <c r="W251" s="183"/>
      <c r="X251" s="183"/>
      <c r="Y251" s="183"/>
      <c r="Z251" s="190"/>
    </row>
    <row r="252" ht="15.75" customHeight="1" spans="1:26">
      <c r="A252" s="183"/>
      <c r="B252" s="184"/>
      <c r="C252" s="183"/>
      <c r="D252" s="183"/>
      <c r="E252" s="183"/>
      <c r="F252" s="184"/>
      <c r="G252" s="184"/>
      <c r="H252" s="183"/>
      <c r="I252" s="183"/>
      <c r="J252" s="183"/>
      <c r="K252" s="183"/>
      <c r="L252" s="183"/>
      <c r="M252" s="183"/>
      <c r="N252" s="183"/>
      <c r="O252" s="183"/>
      <c r="P252" s="183"/>
      <c r="Q252" s="183"/>
      <c r="R252" s="183"/>
      <c r="S252" s="183"/>
      <c r="T252" s="183"/>
      <c r="U252" s="183"/>
      <c r="V252" s="183"/>
      <c r="W252" s="183"/>
      <c r="X252" s="183"/>
      <c r="Y252" s="183"/>
      <c r="Z252" s="190"/>
    </row>
    <row r="253" ht="15.75" customHeight="1" spans="1:26">
      <c r="A253" s="183"/>
      <c r="B253" s="184"/>
      <c r="C253" s="183"/>
      <c r="D253" s="183"/>
      <c r="E253" s="183"/>
      <c r="F253" s="184"/>
      <c r="G253" s="184"/>
      <c r="H253" s="183"/>
      <c r="I253" s="183"/>
      <c r="J253" s="183"/>
      <c r="K253" s="183"/>
      <c r="L253" s="183"/>
      <c r="M253" s="183"/>
      <c r="N253" s="183"/>
      <c r="O253" s="183"/>
      <c r="P253" s="183"/>
      <c r="Q253" s="183"/>
      <c r="R253" s="183"/>
      <c r="S253" s="183"/>
      <c r="T253" s="183"/>
      <c r="U253" s="183"/>
      <c r="V253" s="183"/>
      <c r="W253" s="183"/>
      <c r="X253" s="183"/>
      <c r="Y253" s="183"/>
      <c r="Z253" s="190"/>
    </row>
    <row r="254" ht="15.75" customHeight="1" spans="1:26">
      <c r="A254" s="183"/>
      <c r="B254" s="184"/>
      <c r="C254" s="183"/>
      <c r="D254" s="183"/>
      <c r="E254" s="183"/>
      <c r="F254" s="184"/>
      <c r="G254" s="184"/>
      <c r="H254" s="183"/>
      <c r="I254" s="183"/>
      <c r="J254" s="183"/>
      <c r="K254" s="183"/>
      <c r="L254" s="183"/>
      <c r="M254" s="183"/>
      <c r="N254" s="183"/>
      <c r="O254" s="183"/>
      <c r="P254" s="183"/>
      <c r="Q254" s="183"/>
      <c r="R254" s="183"/>
      <c r="S254" s="183"/>
      <c r="T254" s="183"/>
      <c r="U254" s="183"/>
      <c r="V254" s="183"/>
      <c r="W254" s="183"/>
      <c r="X254" s="183"/>
      <c r="Y254" s="183"/>
      <c r="Z254" s="190"/>
    </row>
    <row r="255" ht="15.75" customHeight="1" spans="1:26">
      <c r="A255" s="183"/>
      <c r="B255" s="184"/>
      <c r="C255" s="183"/>
      <c r="D255" s="183"/>
      <c r="E255" s="183"/>
      <c r="F255" s="184"/>
      <c r="G255" s="184"/>
      <c r="H255" s="183"/>
      <c r="I255" s="183"/>
      <c r="J255" s="183"/>
      <c r="K255" s="183"/>
      <c r="L255" s="183"/>
      <c r="M255" s="183"/>
      <c r="N255" s="183"/>
      <c r="O255" s="183"/>
      <c r="P255" s="183"/>
      <c r="Q255" s="183"/>
      <c r="R255" s="183"/>
      <c r="S255" s="183"/>
      <c r="T255" s="183"/>
      <c r="U255" s="183"/>
      <c r="V255" s="183"/>
      <c r="W255" s="183"/>
      <c r="X255" s="183"/>
      <c r="Y255" s="183"/>
      <c r="Z255" s="190"/>
    </row>
    <row r="256" ht="15.75" customHeight="1" spans="1:26">
      <c r="A256" s="183"/>
      <c r="B256" s="184"/>
      <c r="C256" s="183"/>
      <c r="D256" s="183"/>
      <c r="E256" s="183"/>
      <c r="F256" s="184"/>
      <c r="G256" s="184"/>
      <c r="H256" s="183"/>
      <c r="I256" s="183"/>
      <c r="J256" s="183"/>
      <c r="K256" s="183"/>
      <c r="L256" s="183"/>
      <c r="M256" s="183"/>
      <c r="N256" s="183"/>
      <c r="O256" s="183"/>
      <c r="P256" s="183"/>
      <c r="Q256" s="183"/>
      <c r="R256" s="183"/>
      <c r="S256" s="183"/>
      <c r="T256" s="183"/>
      <c r="U256" s="183"/>
      <c r="V256" s="183"/>
      <c r="W256" s="183"/>
      <c r="X256" s="183"/>
      <c r="Y256" s="183"/>
      <c r="Z256" s="190"/>
    </row>
    <row r="257" ht="15.75" customHeight="1" spans="1:26">
      <c r="A257" s="183"/>
      <c r="B257" s="184"/>
      <c r="C257" s="183"/>
      <c r="D257" s="183"/>
      <c r="E257" s="183"/>
      <c r="F257" s="184"/>
      <c r="G257" s="184"/>
      <c r="H257" s="183"/>
      <c r="I257" s="183"/>
      <c r="J257" s="183"/>
      <c r="K257" s="183"/>
      <c r="L257" s="183"/>
      <c r="M257" s="183"/>
      <c r="N257" s="183"/>
      <c r="O257" s="183"/>
      <c r="P257" s="183"/>
      <c r="Q257" s="183"/>
      <c r="R257" s="183"/>
      <c r="S257" s="183"/>
      <c r="T257" s="183"/>
      <c r="U257" s="183"/>
      <c r="V257" s="183"/>
      <c r="W257" s="183"/>
      <c r="X257" s="183"/>
      <c r="Y257" s="183"/>
      <c r="Z257" s="190"/>
    </row>
    <row r="258" ht="15.75" customHeight="1" spans="1:26">
      <c r="A258" s="183"/>
      <c r="B258" s="184"/>
      <c r="C258" s="183"/>
      <c r="D258" s="183"/>
      <c r="E258" s="183"/>
      <c r="F258" s="184"/>
      <c r="G258" s="184"/>
      <c r="H258" s="183"/>
      <c r="I258" s="183"/>
      <c r="J258" s="183"/>
      <c r="K258" s="183"/>
      <c r="L258" s="183"/>
      <c r="M258" s="183"/>
      <c r="N258" s="183"/>
      <c r="O258" s="183"/>
      <c r="P258" s="183"/>
      <c r="Q258" s="183"/>
      <c r="R258" s="183"/>
      <c r="S258" s="183"/>
      <c r="T258" s="183"/>
      <c r="U258" s="183"/>
      <c r="V258" s="183"/>
      <c r="W258" s="183"/>
      <c r="X258" s="183"/>
      <c r="Y258" s="183"/>
      <c r="Z258" s="190"/>
    </row>
    <row r="259" ht="15.75" customHeight="1" spans="1:26">
      <c r="A259" s="183"/>
      <c r="B259" s="184"/>
      <c r="C259" s="183"/>
      <c r="D259" s="183"/>
      <c r="E259" s="183"/>
      <c r="F259" s="184"/>
      <c r="G259" s="184"/>
      <c r="H259" s="183"/>
      <c r="I259" s="183"/>
      <c r="J259" s="183"/>
      <c r="K259" s="183"/>
      <c r="L259" s="183"/>
      <c r="M259" s="183"/>
      <c r="N259" s="183"/>
      <c r="O259" s="183"/>
      <c r="P259" s="183"/>
      <c r="Q259" s="183"/>
      <c r="R259" s="183"/>
      <c r="S259" s="183"/>
      <c r="T259" s="183"/>
      <c r="U259" s="183"/>
      <c r="V259" s="183"/>
      <c r="W259" s="183"/>
      <c r="X259" s="183"/>
      <c r="Y259" s="183"/>
      <c r="Z259" s="190"/>
    </row>
    <row r="260" ht="15.75" customHeight="1" spans="1:26">
      <c r="A260" s="190"/>
      <c r="B260" s="190"/>
      <c r="C260" s="190"/>
      <c r="D260" s="190"/>
      <c r="E260" s="190"/>
      <c r="F260" s="190"/>
      <c r="G260" s="190"/>
      <c r="H260" s="190"/>
      <c r="I260" s="190"/>
      <c r="J260" s="190"/>
      <c r="K260" s="190"/>
      <c r="L260" s="190"/>
      <c r="M260" s="190"/>
      <c r="N260" s="190"/>
      <c r="O260" s="190"/>
      <c r="P260" s="190"/>
      <c r="Q260" s="190"/>
      <c r="R260" s="190"/>
      <c r="S260" s="190"/>
      <c r="T260" s="190"/>
      <c r="U260" s="190"/>
      <c r="V260" s="190"/>
      <c r="W260" s="190"/>
      <c r="X260" s="190"/>
      <c r="Y260" s="190"/>
      <c r="Z260" s="190"/>
    </row>
    <row r="261" ht="15.75" customHeight="1" spans="1:26">
      <c r="A261" s="190"/>
      <c r="B261" s="190"/>
      <c r="C261" s="190"/>
      <c r="D261" s="190"/>
      <c r="E261" s="190"/>
      <c r="F261" s="190"/>
      <c r="G261" s="190"/>
      <c r="H261" s="190"/>
      <c r="I261" s="190"/>
      <c r="J261" s="190"/>
      <c r="K261" s="190"/>
      <c r="L261" s="190"/>
      <c r="M261" s="190"/>
      <c r="N261" s="190"/>
      <c r="O261" s="190"/>
      <c r="P261" s="190"/>
      <c r="Q261" s="190"/>
      <c r="R261" s="190"/>
      <c r="S261" s="190"/>
      <c r="T261" s="190"/>
      <c r="U261" s="190"/>
      <c r="V261" s="190"/>
      <c r="W261" s="190"/>
      <c r="X261" s="190"/>
      <c r="Y261" s="190"/>
      <c r="Z261" s="190"/>
    </row>
    <row r="262" ht="15.75" customHeight="1" spans="1:26">
      <c r="A262" s="190"/>
      <c r="B262" s="190"/>
      <c r="C262" s="190"/>
      <c r="D262" s="190"/>
      <c r="E262" s="190"/>
      <c r="F262" s="190"/>
      <c r="G262" s="190"/>
      <c r="H262" s="190"/>
      <c r="I262" s="190"/>
      <c r="J262" s="190"/>
      <c r="K262" s="190"/>
      <c r="L262" s="190"/>
      <c r="M262" s="190"/>
      <c r="N262" s="190"/>
      <c r="O262" s="190"/>
      <c r="P262" s="190"/>
      <c r="Q262" s="190"/>
      <c r="R262" s="190"/>
      <c r="S262" s="190"/>
      <c r="T262" s="190"/>
      <c r="U262" s="190"/>
      <c r="V262" s="190"/>
      <c r="W262" s="190"/>
      <c r="X262" s="190"/>
      <c r="Y262" s="190"/>
      <c r="Z262" s="190"/>
    </row>
    <row r="263" ht="15.75" customHeight="1" spans="1:26">
      <c r="A263" s="190"/>
      <c r="B263" s="190"/>
      <c r="C263" s="190"/>
      <c r="D263" s="190"/>
      <c r="E263" s="190"/>
      <c r="F263" s="190"/>
      <c r="G263" s="190"/>
      <c r="H263" s="190"/>
      <c r="I263" s="190"/>
      <c r="J263" s="190"/>
      <c r="K263" s="190"/>
      <c r="L263" s="190"/>
      <c r="M263" s="190"/>
      <c r="N263" s="190"/>
      <c r="O263" s="190"/>
      <c r="P263" s="190"/>
      <c r="Q263" s="190"/>
      <c r="R263" s="190"/>
      <c r="S263" s="190"/>
      <c r="T263" s="190"/>
      <c r="U263" s="190"/>
      <c r="V263" s="190"/>
      <c r="W263" s="190"/>
      <c r="X263" s="190"/>
      <c r="Y263" s="190"/>
      <c r="Z263" s="190"/>
    </row>
    <row r="264" ht="15.75" customHeight="1" spans="1:26">
      <c r="A264" s="190"/>
      <c r="B264" s="190"/>
      <c r="C264" s="190"/>
      <c r="D264" s="190"/>
      <c r="E264" s="190"/>
      <c r="F264" s="190"/>
      <c r="G264" s="190"/>
      <c r="H264" s="190"/>
      <c r="I264" s="190"/>
      <c r="J264" s="190"/>
      <c r="K264" s="190"/>
      <c r="L264" s="190"/>
      <c r="M264" s="190"/>
      <c r="N264" s="190"/>
      <c r="O264" s="190"/>
      <c r="P264" s="190"/>
      <c r="Q264" s="190"/>
      <c r="R264" s="190"/>
      <c r="S264" s="190"/>
      <c r="T264" s="190"/>
      <c r="U264" s="190"/>
      <c r="V264" s="190"/>
      <c r="W264" s="190"/>
      <c r="X264" s="190"/>
      <c r="Y264" s="190"/>
      <c r="Z264" s="190"/>
    </row>
    <row r="265" ht="15.75" customHeight="1" spans="1:26">
      <c r="A265" s="190"/>
      <c r="B265" s="190"/>
      <c r="C265" s="190"/>
      <c r="D265" s="190"/>
      <c r="E265" s="190"/>
      <c r="F265" s="190"/>
      <c r="G265" s="190"/>
      <c r="H265" s="190"/>
      <c r="I265" s="190"/>
      <c r="J265" s="190"/>
      <c r="K265" s="190"/>
      <c r="L265" s="190"/>
      <c r="M265" s="190"/>
      <c r="N265" s="190"/>
      <c r="O265" s="190"/>
      <c r="P265" s="190"/>
      <c r="Q265" s="190"/>
      <c r="R265" s="190"/>
      <c r="S265" s="190"/>
      <c r="T265" s="190"/>
      <c r="U265" s="190"/>
      <c r="V265" s="190"/>
      <c r="W265" s="190"/>
      <c r="X265" s="190"/>
      <c r="Y265" s="190"/>
      <c r="Z265" s="190"/>
    </row>
    <row r="266" ht="15.75" customHeight="1" spans="1:26">
      <c r="A266" s="190"/>
      <c r="B266" s="190"/>
      <c r="C266" s="190"/>
      <c r="D266" s="190"/>
      <c r="E266" s="190"/>
      <c r="F266" s="190"/>
      <c r="G266" s="190"/>
      <c r="H266" s="190"/>
      <c r="I266" s="190"/>
      <c r="J266" s="190"/>
      <c r="K266" s="190"/>
      <c r="L266" s="190"/>
      <c r="M266" s="190"/>
      <c r="N266" s="190"/>
      <c r="O266" s="190"/>
      <c r="P266" s="190"/>
      <c r="Q266" s="190"/>
      <c r="R266" s="190"/>
      <c r="S266" s="190"/>
      <c r="T266" s="190"/>
      <c r="U266" s="190"/>
      <c r="V266" s="190"/>
      <c r="W266" s="190"/>
      <c r="X266" s="190"/>
      <c r="Y266" s="190"/>
      <c r="Z266" s="190"/>
    </row>
    <row r="267" ht="15.75" customHeight="1" spans="1:26">
      <c r="A267" s="190"/>
      <c r="B267" s="190"/>
      <c r="C267" s="190"/>
      <c r="D267" s="190"/>
      <c r="E267" s="190"/>
      <c r="F267" s="190"/>
      <c r="G267" s="190"/>
      <c r="H267" s="190"/>
      <c r="I267" s="190"/>
      <c r="J267" s="190"/>
      <c r="K267" s="190"/>
      <c r="L267" s="190"/>
      <c r="M267" s="190"/>
      <c r="N267" s="190"/>
      <c r="O267" s="190"/>
      <c r="P267" s="190"/>
      <c r="Q267" s="190"/>
      <c r="R267" s="190"/>
      <c r="S267" s="190"/>
      <c r="T267" s="190"/>
      <c r="U267" s="190"/>
      <c r="V267" s="190"/>
      <c r="W267" s="190"/>
      <c r="X267" s="190"/>
      <c r="Y267" s="190"/>
      <c r="Z267" s="190"/>
    </row>
    <row r="268" ht="15.75" customHeight="1" spans="1:26">
      <c r="A268" s="190"/>
      <c r="B268" s="190"/>
      <c r="C268" s="190"/>
      <c r="D268" s="190"/>
      <c r="E268" s="190"/>
      <c r="F268" s="190"/>
      <c r="G268" s="190"/>
      <c r="H268" s="190"/>
      <c r="I268" s="190"/>
      <c r="J268" s="190"/>
      <c r="K268" s="190"/>
      <c r="L268" s="190"/>
      <c r="M268" s="190"/>
      <c r="N268" s="190"/>
      <c r="O268" s="190"/>
      <c r="P268" s="190"/>
      <c r="Q268" s="190"/>
      <c r="R268" s="190"/>
      <c r="S268" s="190"/>
      <c r="T268" s="190"/>
      <c r="U268" s="190"/>
      <c r="V268" s="190"/>
      <c r="W268" s="190"/>
      <c r="X268" s="190"/>
      <c r="Y268" s="190"/>
      <c r="Z268" s="190"/>
    </row>
    <row r="269" ht="15.75" customHeight="1" spans="1:26">
      <c r="A269" s="190"/>
      <c r="B269" s="190"/>
      <c r="C269" s="190"/>
      <c r="D269" s="190"/>
      <c r="E269" s="190"/>
      <c r="F269" s="190"/>
      <c r="G269" s="190"/>
      <c r="H269" s="190"/>
      <c r="I269" s="190"/>
      <c r="J269" s="190"/>
      <c r="K269" s="190"/>
      <c r="L269" s="190"/>
      <c r="M269" s="190"/>
      <c r="N269" s="190"/>
      <c r="O269" s="190"/>
      <c r="P269" s="190"/>
      <c r="Q269" s="190"/>
      <c r="R269" s="190"/>
      <c r="S269" s="190"/>
      <c r="T269" s="190"/>
      <c r="U269" s="190"/>
      <c r="V269" s="190"/>
      <c r="W269" s="190"/>
      <c r="X269" s="190"/>
      <c r="Y269" s="190"/>
      <c r="Z269" s="190"/>
    </row>
    <row r="270" ht="15.75" customHeight="1" spans="1:26">
      <c r="A270" s="190"/>
      <c r="B270" s="190"/>
      <c r="C270" s="190"/>
      <c r="D270" s="190"/>
      <c r="E270" s="190"/>
      <c r="F270" s="190"/>
      <c r="G270" s="190"/>
      <c r="H270" s="190"/>
      <c r="I270" s="190"/>
      <c r="J270" s="190"/>
      <c r="K270" s="190"/>
      <c r="L270" s="190"/>
      <c r="M270" s="190"/>
      <c r="N270" s="190"/>
      <c r="O270" s="190"/>
      <c r="P270" s="190"/>
      <c r="Q270" s="190"/>
      <c r="R270" s="190"/>
      <c r="S270" s="190"/>
      <c r="T270" s="190"/>
      <c r="U270" s="190"/>
      <c r="V270" s="190"/>
      <c r="W270" s="190"/>
      <c r="X270" s="190"/>
      <c r="Y270" s="190"/>
      <c r="Z270" s="190"/>
    </row>
    <row r="271" ht="15.75" customHeight="1" spans="1:26">
      <c r="A271" s="190"/>
      <c r="B271" s="190"/>
      <c r="C271" s="190"/>
      <c r="D271" s="190"/>
      <c r="E271" s="190"/>
      <c r="F271" s="190"/>
      <c r="G271" s="190"/>
      <c r="H271" s="190"/>
      <c r="I271" s="190"/>
      <c r="J271" s="190"/>
      <c r="K271" s="190"/>
      <c r="L271" s="190"/>
      <c r="M271" s="190"/>
      <c r="N271" s="190"/>
      <c r="O271" s="190"/>
      <c r="P271" s="190"/>
      <c r="Q271" s="190"/>
      <c r="R271" s="190"/>
      <c r="S271" s="190"/>
      <c r="T271" s="190"/>
      <c r="U271" s="190"/>
      <c r="V271" s="190"/>
      <c r="W271" s="190"/>
      <c r="X271" s="190"/>
      <c r="Y271" s="190"/>
      <c r="Z271" s="190"/>
    </row>
    <row r="272" ht="15.75" customHeight="1" spans="1:26">
      <c r="A272" s="190"/>
      <c r="B272" s="190"/>
      <c r="C272" s="190"/>
      <c r="D272" s="190"/>
      <c r="E272" s="190"/>
      <c r="F272" s="190"/>
      <c r="G272" s="190"/>
      <c r="H272" s="190"/>
      <c r="I272" s="190"/>
      <c r="J272" s="190"/>
      <c r="K272" s="190"/>
      <c r="L272" s="190"/>
      <c r="M272" s="190"/>
      <c r="N272" s="190"/>
      <c r="O272" s="190"/>
      <c r="P272" s="190"/>
      <c r="Q272" s="190"/>
      <c r="R272" s="190"/>
      <c r="S272" s="190"/>
      <c r="T272" s="190"/>
      <c r="U272" s="190"/>
      <c r="V272" s="190"/>
      <c r="W272" s="190"/>
      <c r="X272" s="190"/>
      <c r="Y272" s="190"/>
      <c r="Z272" s="190"/>
    </row>
    <row r="273" ht="15.75" customHeight="1" spans="1:26">
      <c r="A273" s="190"/>
      <c r="B273" s="190"/>
      <c r="C273" s="190"/>
      <c r="D273" s="190"/>
      <c r="E273" s="190"/>
      <c r="F273" s="190"/>
      <c r="G273" s="190"/>
      <c r="H273" s="190"/>
      <c r="I273" s="190"/>
      <c r="J273" s="190"/>
      <c r="K273" s="190"/>
      <c r="L273" s="190"/>
      <c r="M273" s="190"/>
      <c r="N273" s="190"/>
      <c r="O273" s="190"/>
      <c r="P273" s="190"/>
      <c r="Q273" s="190"/>
      <c r="R273" s="190"/>
      <c r="S273" s="190"/>
      <c r="T273" s="190"/>
      <c r="U273" s="190"/>
      <c r="V273" s="190"/>
      <c r="W273" s="190"/>
      <c r="X273" s="190"/>
      <c r="Y273" s="190"/>
      <c r="Z273" s="190"/>
    </row>
    <row r="274" ht="15.75" customHeight="1" spans="1:26">
      <c r="A274" s="190"/>
      <c r="B274" s="190"/>
      <c r="C274" s="190"/>
      <c r="D274" s="190"/>
      <c r="E274" s="190"/>
      <c r="F274" s="190"/>
      <c r="G274" s="190"/>
      <c r="H274" s="190"/>
      <c r="I274" s="190"/>
      <c r="J274" s="190"/>
      <c r="K274" s="190"/>
      <c r="L274" s="190"/>
      <c r="M274" s="190"/>
      <c r="N274" s="190"/>
      <c r="O274" s="190"/>
      <c r="P274" s="190"/>
      <c r="Q274" s="190"/>
      <c r="R274" s="190"/>
      <c r="S274" s="190"/>
      <c r="T274" s="190"/>
      <c r="U274" s="190"/>
      <c r="V274" s="190"/>
      <c r="W274" s="190"/>
      <c r="X274" s="190"/>
      <c r="Y274" s="190"/>
      <c r="Z274" s="190"/>
    </row>
    <row r="275" ht="15.75" customHeight="1" spans="1:26">
      <c r="A275" s="190"/>
      <c r="B275" s="190"/>
      <c r="C275" s="190"/>
      <c r="D275" s="190"/>
      <c r="E275" s="190"/>
      <c r="F275" s="190"/>
      <c r="G275" s="190"/>
      <c r="H275" s="190"/>
      <c r="I275" s="190"/>
      <c r="J275" s="190"/>
      <c r="K275" s="190"/>
      <c r="L275" s="190"/>
      <c r="M275" s="190"/>
      <c r="N275" s="190"/>
      <c r="O275" s="190"/>
      <c r="P275" s="190"/>
      <c r="Q275" s="190"/>
      <c r="R275" s="190"/>
      <c r="S275" s="190"/>
      <c r="T275" s="190"/>
      <c r="U275" s="190"/>
      <c r="V275" s="190"/>
      <c r="W275" s="190"/>
      <c r="X275" s="190"/>
      <c r="Y275" s="190"/>
      <c r="Z275" s="190"/>
    </row>
    <row r="276" ht="15.75" customHeight="1" spans="1:26">
      <c r="A276" s="190"/>
      <c r="B276" s="190"/>
      <c r="C276" s="190"/>
      <c r="D276" s="190"/>
      <c r="E276" s="190"/>
      <c r="F276" s="190"/>
      <c r="G276" s="190"/>
      <c r="H276" s="190"/>
      <c r="I276" s="190"/>
      <c r="J276" s="190"/>
      <c r="K276" s="190"/>
      <c r="L276" s="190"/>
      <c r="M276" s="190"/>
      <c r="N276" s="190"/>
      <c r="O276" s="190"/>
      <c r="P276" s="190"/>
      <c r="Q276" s="190"/>
      <c r="R276" s="190"/>
      <c r="S276" s="190"/>
      <c r="T276" s="190"/>
      <c r="U276" s="190"/>
      <c r="V276" s="190"/>
      <c r="W276" s="190"/>
      <c r="X276" s="190"/>
      <c r="Y276" s="190"/>
      <c r="Z276" s="190"/>
    </row>
    <row r="277" ht="15.75" customHeight="1" spans="1:26">
      <c r="A277" s="190"/>
      <c r="B277" s="190"/>
      <c r="C277" s="190"/>
      <c r="D277" s="190"/>
      <c r="E277" s="190"/>
      <c r="F277" s="190"/>
      <c r="G277" s="190"/>
      <c r="H277" s="190"/>
      <c r="I277" s="190"/>
      <c r="J277" s="190"/>
      <c r="K277" s="190"/>
      <c r="L277" s="190"/>
      <c r="M277" s="190"/>
      <c r="N277" s="190"/>
      <c r="O277" s="190"/>
      <c r="P277" s="190"/>
      <c r="Q277" s="190"/>
      <c r="R277" s="190"/>
      <c r="S277" s="190"/>
      <c r="T277" s="190"/>
      <c r="U277" s="190"/>
      <c r="V277" s="190"/>
      <c r="W277" s="190"/>
      <c r="X277" s="190"/>
      <c r="Y277" s="190"/>
      <c r="Z277" s="190"/>
    </row>
    <row r="278" ht="15.75" customHeight="1" spans="1:26">
      <c r="A278" s="190"/>
      <c r="B278" s="190"/>
      <c r="C278" s="190"/>
      <c r="D278" s="190"/>
      <c r="E278" s="190"/>
      <c r="F278" s="190"/>
      <c r="G278" s="190"/>
      <c r="H278" s="190"/>
      <c r="I278" s="190"/>
      <c r="J278" s="190"/>
      <c r="K278" s="190"/>
      <c r="L278" s="190"/>
      <c r="M278" s="190"/>
      <c r="N278" s="190"/>
      <c r="O278" s="190"/>
      <c r="P278" s="190"/>
      <c r="Q278" s="190"/>
      <c r="R278" s="190"/>
      <c r="S278" s="190"/>
      <c r="T278" s="190"/>
      <c r="U278" s="190"/>
      <c r="V278" s="190"/>
      <c r="W278" s="190"/>
      <c r="X278" s="190"/>
      <c r="Y278" s="190"/>
      <c r="Z278" s="190"/>
    </row>
    <row r="279" ht="15.75" customHeight="1" spans="1:26">
      <c r="A279" s="190"/>
      <c r="B279" s="190"/>
      <c r="C279" s="190"/>
      <c r="D279" s="190"/>
      <c r="E279" s="190"/>
      <c r="F279" s="190"/>
      <c r="G279" s="190"/>
      <c r="H279" s="190"/>
      <c r="I279" s="190"/>
      <c r="J279" s="190"/>
      <c r="K279" s="190"/>
      <c r="L279" s="190"/>
      <c r="M279" s="190"/>
      <c r="N279" s="190"/>
      <c r="O279" s="190"/>
      <c r="P279" s="190"/>
      <c r="Q279" s="190"/>
      <c r="R279" s="190"/>
      <c r="S279" s="190"/>
      <c r="T279" s="190"/>
      <c r="U279" s="190"/>
      <c r="V279" s="190"/>
      <c r="W279" s="190"/>
      <c r="X279" s="190"/>
      <c r="Y279" s="190"/>
      <c r="Z279" s="190"/>
    </row>
    <row r="280" ht="15.75" customHeight="1" spans="1:26">
      <c r="A280" s="190"/>
      <c r="B280" s="190"/>
      <c r="C280" s="190"/>
      <c r="D280" s="190"/>
      <c r="E280" s="190"/>
      <c r="F280" s="190"/>
      <c r="G280" s="190"/>
      <c r="H280" s="190"/>
      <c r="I280" s="190"/>
      <c r="J280" s="190"/>
      <c r="K280" s="190"/>
      <c r="L280" s="190"/>
      <c r="M280" s="190"/>
      <c r="N280" s="190"/>
      <c r="O280" s="190"/>
      <c r="P280" s="190"/>
      <c r="Q280" s="190"/>
      <c r="R280" s="190"/>
      <c r="S280" s="190"/>
      <c r="T280" s="190"/>
      <c r="U280" s="190"/>
      <c r="V280" s="190"/>
      <c r="W280" s="190"/>
      <c r="X280" s="190"/>
      <c r="Y280" s="190"/>
      <c r="Z280" s="190"/>
    </row>
    <row r="281" ht="15.75" customHeight="1" spans="1:26">
      <c r="A281" s="190"/>
      <c r="B281" s="190"/>
      <c r="C281" s="190"/>
      <c r="D281" s="190"/>
      <c r="E281" s="190"/>
      <c r="F281" s="190"/>
      <c r="G281" s="190"/>
      <c r="H281" s="190"/>
      <c r="I281" s="190"/>
      <c r="J281" s="190"/>
      <c r="K281" s="190"/>
      <c r="L281" s="190"/>
      <c r="M281" s="190"/>
      <c r="N281" s="190"/>
      <c r="O281" s="190"/>
      <c r="P281" s="190"/>
      <c r="Q281" s="190"/>
      <c r="R281" s="190"/>
      <c r="S281" s="190"/>
      <c r="T281" s="190"/>
      <c r="U281" s="190"/>
      <c r="V281" s="190"/>
      <c r="W281" s="190"/>
      <c r="X281" s="190"/>
      <c r="Y281" s="190"/>
      <c r="Z281" s="190"/>
    </row>
    <row r="282" ht="15.75" customHeight="1" spans="1:26">
      <c r="A282" s="190"/>
      <c r="B282" s="190"/>
      <c r="C282" s="190"/>
      <c r="D282" s="190"/>
      <c r="E282" s="190"/>
      <c r="F282" s="190"/>
      <c r="G282" s="190"/>
      <c r="H282" s="190"/>
      <c r="I282" s="190"/>
      <c r="J282" s="190"/>
      <c r="K282" s="190"/>
      <c r="L282" s="190"/>
      <c r="M282" s="190"/>
      <c r="N282" s="190"/>
      <c r="O282" s="190"/>
      <c r="P282" s="190"/>
      <c r="Q282" s="190"/>
      <c r="R282" s="190"/>
      <c r="S282" s="190"/>
      <c r="T282" s="190"/>
      <c r="U282" s="190"/>
      <c r="V282" s="190"/>
      <c r="W282" s="190"/>
      <c r="X282" s="190"/>
      <c r="Y282" s="190"/>
      <c r="Z282" s="190"/>
    </row>
    <row r="283" ht="15.75" customHeight="1" spans="1:26">
      <c r="A283" s="190"/>
      <c r="B283" s="190"/>
      <c r="C283" s="190"/>
      <c r="D283" s="190"/>
      <c r="E283" s="190"/>
      <c r="F283" s="190"/>
      <c r="G283" s="190"/>
      <c r="H283" s="190"/>
      <c r="I283" s="190"/>
      <c r="J283" s="190"/>
      <c r="K283" s="190"/>
      <c r="L283" s="190"/>
      <c r="M283" s="190"/>
      <c r="N283" s="190"/>
      <c r="O283" s="190"/>
      <c r="P283" s="190"/>
      <c r="Q283" s="190"/>
      <c r="R283" s="190"/>
      <c r="S283" s="190"/>
      <c r="T283" s="190"/>
      <c r="U283" s="190"/>
      <c r="V283" s="190"/>
      <c r="W283" s="190"/>
      <c r="X283" s="190"/>
      <c r="Y283" s="190"/>
      <c r="Z283" s="190"/>
    </row>
    <row r="284" ht="15.75" customHeight="1" spans="1:26">
      <c r="A284" s="190"/>
      <c r="B284" s="190"/>
      <c r="C284" s="190"/>
      <c r="D284" s="190"/>
      <c r="E284" s="190"/>
      <c r="F284" s="190"/>
      <c r="G284" s="190"/>
      <c r="H284" s="190"/>
      <c r="I284" s="190"/>
      <c r="J284" s="190"/>
      <c r="K284" s="190"/>
      <c r="L284" s="190"/>
      <c r="M284" s="190"/>
      <c r="N284" s="190"/>
      <c r="O284" s="190"/>
      <c r="P284" s="190"/>
      <c r="Q284" s="190"/>
      <c r="R284" s="190"/>
      <c r="S284" s="190"/>
      <c r="T284" s="190"/>
      <c r="U284" s="190"/>
      <c r="V284" s="190"/>
      <c r="W284" s="190"/>
      <c r="X284" s="190"/>
      <c r="Y284" s="190"/>
      <c r="Z284" s="190"/>
    </row>
    <row r="285" ht="15.75" customHeight="1" spans="1:26">
      <c r="A285" s="190"/>
      <c r="B285" s="190"/>
      <c r="C285" s="190"/>
      <c r="D285" s="190"/>
      <c r="E285" s="190"/>
      <c r="F285" s="190"/>
      <c r="G285" s="190"/>
      <c r="H285" s="190"/>
      <c r="I285" s="190"/>
      <c r="J285" s="190"/>
      <c r="K285" s="190"/>
      <c r="L285" s="190"/>
      <c r="M285" s="190"/>
      <c r="N285" s="190"/>
      <c r="O285" s="190"/>
      <c r="P285" s="190"/>
      <c r="Q285" s="190"/>
      <c r="R285" s="190"/>
      <c r="S285" s="190"/>
      <c r="T285" s="190"/>
      <c r="U285" s="190"/>
      <c r="V285" s="190"/>
      <c r="W285" s="190"/>
      <c r="X285" s="190"/>
      <c r="Y285" s="190"/>
      <c r="Z285" s="190"/>
    </row>
    <row r="286" ht="15.75" customHeight="1" spans="1:26">
      <c r="A286" s="190"/>
      <c r="B286" s="190"/>
      <c r="C286" s="190"/>
      <c r="D286" s="190"/>
      <c r="E286" s="190"/>
      <c r="F286" s="190"/>
      <c r="G286" s="190"/>
      <c r="H286" s="190"/>
      <c r="I286" s="190"/>
      <c r="J286" s="190"/>
      <c r="K286" s="190"/>
      <c r="L286" s="190"/>
      <c r="M286" s="190"/>
      <c r="N286" s="190"/>
      <c r="O286" s="190"/>
      <c r="P286" s="190"/>
      <c r="Q286" s="190"/>
      <c r="R286" s="190"/>
      <c r="S286" s="190"/>
      <c r="T286" s="190"/>
      <c r="U286" s="190"/>
      <c r="V286" s="190"/>
      <c r="W286" s="190"/>
      <c r="X286" s="190"/>
      <c r="Y286" s="190"/>
      <c r="Z286" s="190"/>
    </row>
    <row r="287" ht="15.75" customHeight="1" spans="1:26">
      <c r="A287" s="190"/>
      <c r="B287" s="190"/>
      <c r="C287" s="190"/>
      <c r="D287" s="190"/>
      <c r="E287" s="190"/>
      <c r="F287" s="190"/>
      <c r="G287" s="190"/>
      <c r="H287" s="190"/>
      <c r="I287" s="190"/>
      <c r="J287" s="190"/>
      <c r="K287" s="190"/>
      <c r="L287" s="190"/>
      <c r="M287" s="190"/>
      <c r="N287" s="190"/>
      <c r="O287" s="190"/>
      <c r="P287" s="190"/>
      <c r="Q287" s="190"/>
      <c r="R287" s="190"/>
      <c r="S287" s="190"/>
      <c r="T287" s="190"/>
      <c r="U287" s="190"/>
      <c r="V287" s="190"/>
      <c r="W287" s="190"/>
      <c r="X287" s="190"/>
      <c r="Y287" s="190"/>
      <c r="Z287" s="190"/>
    </row>
    <row r="288" ht="15.75" customHeight="1" spans="1:26">
      <c r="A288" s="190"/>
      <c r="B288" s="190"/>
      <c r="C288" s="190"/>
      <c r="D288" s="190"/>
      <c r="E288" s="190"/>
      <c r="F288" s="190"/>
      <c r="G288" s="190"/>
      <c r="H288" s="190"/>
      <c r="I288" s="190"/>
      <c r="J288" s="190"/>
      <c r="K288" s="190"/>
      <c r="L288" s="190"/>
      <c r="M288" s="190"/>
      <c r="N288" s="190"/>
      <c r="O288" s="190"/>
      <c r="P288" s="190"/>
      <c r="Q288" s="190"/>
      <c r="R288" s="190"/>
      <c r="S288" s="190"/>
      <c r="T288" s="190"/>
      <c r="U288" s="190"/>
      <c r="V288" s="190"/>
      <c r="W288" s="190"/>
      <c r="X288" s="190"/>
      <c r="Y288" s="190"/>
      <c r="Z288" s="190"/>
    </row>
    <row r="289" ht="15.75" customHeight="1" spans="1:26">
      <c r="A289" s="190"/>
      <c r="B289" s="190"/>
      <c r="C289" s="190"/>
      <c r="D289" s="190"/>
      <c r="E289" s="190"/>
      <c r="F289" s="190"/>
      <c r="G289" s="190"/>
      <c r="H289" s="190"/>
      <c r="I289" s="190"/>
      <c r="J289" s="190"/>
      <c r="K289" s="190"/>
      <c r="L289" s="190"/>
      <c r="M289" s="190"/>
      <c r="N289" s="190"/>
      <c r="O289" s="190"/>
      <c r="P289" s="190"/>
      <c r="Q289" s="190"/>
      <c r="R289" s="190"/>
      <c r="S289" s="190"/>
      <c r="T289" s="190"/>
      <c r="U289" s="190"/>
      <c r="V289" s="190"/>
      <c r="W289" s="190"/>
      <c r="X289" s="190"/>
      <c r="Y289" s="190"/>
      <c r="Z289" s="190"/>
    </row>
    <row r="290" ht="15.75" customHeight="1" spans="1:26">
      <c r="A290" s="190"/>
      <c r="B290" s="190"/>
      <c r="C290" s="190"/>
      <c r="D290" s="190"/>
      <c r="E290" s="190"/>
      <c r="F290" s="190"/>
      <c r="G290" s="190"/>
      <c r="H290" s="190"/>
      <c r="I290" s="190"/>
      <c r="J290" s="190"/>
      <c r="K290" s="190"/>
      <c r="L290" s="190"/>
      <c r="M290" s="190"/>
      <c r="N290" s="190"/>
      <c r="O290" s="190"/>
      <c r="P290" s="190"/>
      <c r="Q290" s="190"/>
      <c r="R290" s="190"/>
      <c r="S290" s="190"/>
      <c r="T290" s="190"/>
      <c r="U290" s="190"/>
      <c r="V290" s="190"/>
      <c r="W290" s="190"/>
      <c r="X290" s="190"/>
      <c r="Y290" s="190"/>
      <c r="Z290" s="190"/>
    </row>
    <row r="291" ht="15.75" customHeight="1" spans="1:26">
      <c r="A291" s="190"/>
      <c r="B291" s="190"/>
      <c r="C291" s="190"/>
      <c r="D291" s="190"/>
      <c r="E291" s="190"/>
      <c r="F291" s="190"/>
      <c r="G291" s="190"/>
      <c r="H291" s="190"/>
      <c r="I291" s="190"/>
      <c r="J291" s="190"/>
      <c r="K291" s="190"/>
      <c r="L291" s="190"/>
      <c r="M291" s="190"/>
      <c r="N291" s="190"/>
      <c r="O291" s="190"/>
      <c r="P291" s="190"/>
      <c r="Q291" s="190"/>
      <c r="R291" s="190"/>
      <c r="S291" s="190"/>
      <c r="T291" s="190"/>
      <c r="U291" s="190"/>
      <c r="V291" s="190"/>
      <c r="W291" s="190"/>
      <c r="X291" s="190"/>
      <c r="Y291" s="190"/>
      <c r="Z291" s="190"/>
    </row>
    <row r="292" ht="15.75" customHeight="1" spans="1:26">
      <c r="A292" s="190"/>
      <c r="B292" s="190"/>
      <c r="C292" s="190"/>
      <c r="D292" s="190"/>
      <c r="E292" s="190"/>
      <c r="F292" s="190"/>
      <c r="G292" s="190"/>
      <c r="H292" s="190"/>
      <c r="I292" s="190"/>
      <c r="J292" s="190"/>
      <c r="K292" s="190"/>
      <c r="L292" s="190"/>
      <c r="M292" s="190"/>
      <c r="N292" s="190"/>
      <c r="O292" s="190"/>
      <c r="P292" s="190"/>
      <c r="Q292" s="190"/>
      <c r="R292" s="190"/>
      <c r="S292" s="190"/>
      <c r="T292" s="190"/>
      <c r="U292" s="190"/>
      <c r="V292" s="190"/>
      <c r="W292" s="190"/>
      <c r="X292" s="190"/>
      <c r="Y292" s="190"/>
      <c r="Z292" s="190"/>
    </row>
    <row r="293" ht="15.75" customHeight="1" spans="1:26">
      <c r="A293" s="190"/>
      <c r="B293" s="190"/>
      <c r="C293" s="190"/>
      <c r="D293" s="190"/>
      <c r="E293" s="190"/>
      <c r="F293" s="190"/>
      <c r="G293" s="190"/>
      <c r="H293" s="190"/>
      <c r="I293" s="190"/>
      <c r="J293" s="190"/>
      <c r="K293" s="190"/>
      <c r="L293" s="190"/>
      <c r="M293" s="190"/>
      <c r="N293" s="190"/>
      <c r="O293" s="190"/>
      <c r="P293" s="190"/>
      <c r="Q293" s="190"/>
      <c r="R293" s="190"/>
      <c r="S293" s="190"/>
      <c r="T293" s="190"/>
      <c r="U293" s="190"/>
      <c r="V293" s="190"/>
      <c r="W293" s="190"/>
      <c r="X293" s="190"/>
      <c r="Y293" s="190"/>
      <c r="Z293" s="190"/>
    </row>
    <row r="294" ht="15.75" customHeight="1" spans="1:26">
      <c r="A294" s="190"/>
      <c r="B294" s="190"/>
      <c r="C294" s="190"/>
      <c r="D294" s="190"/>
      <c r="E294" s="190"/>
      <c r="F294" s="190"/>
      <c r="G294" s="190"/>
      <c r="H294" s="190"/>
      <c r="I294" s="190"/>
      <c r="J294" s="190"/>
      <c r="K294" s="190"/>
      <c r="L294" s="190"/>
      <c r="M294" s="190"/>
      <c r="N294" s="190"/>
      <c r="O294" s="190"/>
      <c r="P294" s="190"/>
      <c r="Q294" s="190"/>
      <c r="R294" s="190"/>
      <c r="S294" s="190"/>
      <c r="T294" s="190"/>
      <c r="U294" s="190"/>
      <c r="V294" s="190"/>
      <c r="W294" s="190"/>
      <c r="X294" s="190"/>
      <c r="Y294" s="190"/>
      <c r="Z294" s="190"/>
    </row>
    <row r="295" ht="15.75" customHeight="1" spans="1:26">
      <c r="A295" s="190"/>
      <c r="B295" s="190"/>
      <c r="C295" s="190"/>
      <c r="D295" s="190"/>
      <c r="E295" s="190"/>
      <c r="F295" s="190"/>
      <c r="G295" s="190"/>
      <c r="H295" s="190"/>
      <c r="I295" s="190"/>
      <c r="J295" s="190"/>
      <c r="K295" s="190"/>
      <c r="L295" s="190"/>
      <c r="M295" s="190"/>
      <c r="N295" s="190"/>
      <c r="O295" s="190"/>
      <c r="P295" s="190"/>
      <c r="Q295" s="190"/>
      <c r="R295" s="190"/>
      <c r="S295" s="190"/>
      <c r="T295" s="190"/>
      <c r="U295" s="190"/>
      <c r="V295" s="190"/>
      <c r="W295" s="190"/>
      <c r="X295" s="190"/>
      <c r="Y295" s="190"/>
      <c r="Z295" s="190"/>
    </row>
    <row r="296" ht="15.75" customHeight="1" spans="1:26">
      <c r="A296" s="190"/>
      <c r="B296" s="190"/>
      <c r="C296" s="190"/>
      <c r="D296" s="190"/>
      <c r="E296" s="190"/>
      <c r="F296" s="190"/>
      <c r="G296" s="190"/>
      <c r="H296" s="190"/>
      <c r="I296" s="190"/>
      <c r="J296" s="190"/>
      <c r="K296" s="190"/>
      <c r="L296" s="190"/>
      <c r="M296" s="190"/>
      <c r="N296" s="190"/>
      <c r="O296" s="190"/>
      <c r="P296" s="190"/>
      <c r="Q296" s="190"/>
      <c r="R296" s="190"/>
      <c r="S296" s="190"/>
      <c r="T296" s="190"/>
      <c r="U296" s="190"/>
      <c r="V296" s="190"/>
      <c r="W296" s="190"/>
      <c r="X296" s="190"/>
      <c r="Y296" s="190"/>
      <c r="Z296" s="190"/>
    </row>
    <row r="297" ht="15.75" customHeight="1" spans="1:26">
      <c r="A297" s="190"/>
      <c r="B297" s="190"/>
      <c r="C297" s="190"/>
      <c r="D297" s="190"/>
      <c r="E297" s="190"/>
      <c r="F297" s="190"/>
      <c r="G297" s="190"/>
      <c r="H297" s="190"/>
      <c r="I297" s="190"/>
      <c r="J297" s="190"/>
      <c r="K297" s="190"/>
      <c r="L297" s="190"/>
      <c r="M297" s="190"/>
      <c r="N297" s="190"/>
      <c r="O297" s="190"/>
      <c r="P297" s="190"/>
      <c r="Q297" s="190"/>
      <c r="R297" s="190"/>
      <c r="S297" s="190"/>
      <c r="T297" s="190"/>
      <c r="U297" s="190"/>
      <c r="V297" s="190"/>
      <c r="W297" s="190"/>
      <c r="X297" s="190"/>
      <c r="Y297" s="190"/>
      <c r="Z297" s="190"/>
    </row>
    <row r="298" ht="15.75" customHeight="1" spans="1:26">
      <c r="A298" s="190"/>
      <c r="B298" s="190"/>
      <c r="C298" s="190"/>
      <c r="D298" s="190"/>
      <c r="E298" s="190"/>
      <c r="F298" s="190"/>
      <c r="G298" s="190"/>
      <c r="H298" s="190"/>
      <c r="I298" s="190"/>
      <c r="J298" s="190"/>
      <c r="K298" s="190"/>
      <c r="L298" s="190"/>
      <c r="M298" s="190"/>
      <c r="N298" s="190"/>
      <c r="O298" s="190"/>
      <c r="P298" s="190"/>
      <c r="Q298" s="190"/>
      <c r="R298" s="190"/>
      <c r="S298" s="190"/>
      <c r="T298" s="190"/>
      <c r="U298" s="190"/>
      <c r="V298" s="190"/>
      <c r="W298" s="190"/>
      <c r="X298" s="190"/>
      <c r="Y298" s="190"/>
      <c r="Z298" s="190"/>
    </row>
    <row r="299" ht="15.75" customHeight="1" spans="1:26">
      <c r="A299" s="190"/>
      <c r="B299" s="190"/>
      <c r="C299" s="190"/>
      <c r="D299" s="190"/>
      <c r="E299" s="190"/>
      <c r="F299" s="190"/>
      <c r="G299" s="190"/>
      <c r="H299" s="190"/>
      <c r="I299" s="190"/>
      <c r="J299" s="190"/>
      <c r="K299" s="190"/>
      <c r="L299" s="190"/>
      <c r="M299" s="190"/>
      <c r="N299" s="190"/>
      <c r="O299" s="190"/>
      <c r="P299" s="190"/>
      <c r="Q299" s="190"/>
      <c r="R299" s="190"/>
      <c r="S299" s="190"/>
      <c r="T299" s="190"/>
      <c r="U299" s="190"/>
      <c r="V299" s="190"/>
      <c r="W299" s="190"/>
      <c r="X299" s="190"/>
      <c r="Y299" s="190"/>
      <c r="Z299" s="190"/>
    </row>
    <row r="300" ht="15.75" customHeight="1" spans="1:26">
      <c r="A300" s="190"/>
      <c r="B300" s="190"/>
      <c r="C300" s="190"/>
      <c r="D300" s="190"/>
      <c r="E300" s="190"/>
      <c r="F300" s="190"/>
      <c r="G300" s="190"/>
      <c r="H300" s="190"/>
      <c r="I300" s="190"/>
      <c r="J300" s="190"/>
      <c r="K300" s="190"/>
      <c r="L300" s="190"/>
      <c r="M300" s="190"/>
      <c r="N300" s="190"/>
      <c r="O300" s="190"/>
      <c r="P300" s="190"/>
      <c r="Q300" s="190"/>
      <c r="R300" s="190"/>
      <c r="S300" s="190"/>
      <c r="T300" s="190"/>
      <c r="U300" s="190"/>
      <c r="V300" s="190"/>
      <c r="W300" s="190"/>
      <c r="X300" s="190"/>
      <c r="Y300" s="190"/>
      <c r="Z300" s="190"/>
    </row>
    <row r="301" ht="15.75" customHeight="1" spans="1:26">
      <c r="A301" s="190"/>
      <c r="B301" s="190"/>
      <c r="C301" s="190"/>
      <c r="D301" s="190"/>
      <c r="E301" s="190"/>
      <c r="F301" s="190"/>
      <c r="G301" s="190"/>
      <c r="H301" s="190"/>
      <c r="I301" s="190"/>
      <c r="J301" s="190"/>
      <c r="K301" s="190"/>
      <c r="L301" s="190"/>
      <c r="M301" s="190"/>
      <c r="N301" s="190"/>
      <c r="O301" s="190"/>
      <c r="P301" s="190"/>
      <c r="Q301" s="190"/>
      <c r="R301" s="190"/>
      <c r="S301" s="190"/>
      <c r="T301" s="190"/>
      <c r="U301" s="190"/>
      <c r="V301" s="190"/>
      <c r="W301" s="190"/>
      <c r="X301" s="190"/>
      <c r="Y301" s="190"/>
      <c r="Z301" s="190"/>
    </row>
    <row r="302" ht="15.75" customHeight="1" spans="1:26">
      <c r="A302" s="190"/>
      <c r="B302" s="190"/>
      <c r="C302" s="190"/>
      <c r="D302" s="190"/>
      <c r="E302" s="190"/>
      <c r="F302" s="190"/>
      <c r="G302" s="190"/>
      <c r="H302" s="190"/>
      <c r="I302" s="190"/>
      <c r="J302" s="190"/>
      <c r="K302" s="190"/>
      <c r="L302" s="190"/>
      <c r="M302" s="190"/>
      <c r="N302" s="190"/>
      <c r="O302" s="190"/>
      <c r="P302" s="190"/>
      <c r="Q302" s="190"/>
      <c r="R302" s="190"/>
      <c r="S302" s="190"/>
      <c r="T302" s="190"/>
      <c r="U302" s="190"/>
      <c r="V302" s="190"/>
      <c r="W302" s="190"/>
      <c r="X302" s="190"/>
      <c r="Y302" s="190"/>
      <c r="Z302" s="190"/>
    </row>
    <row r="303" ht="15.75" customHeight="1" spans="1:26">
      <c r="A303" s="190"/>
      <c r="B303" s="190"/>
      <c r="C303" s="190"/>
      <c r="D303" s="190"/>
      <c r="E303" s="190"/>
      <c r="F303" s="190"/>
      <c r="G303" s="190"/>
      <c r="H303" s="190"/>
      <c r="I303" s="190"/>
      <c r="J303" s="190"/>
      <c r="K303" s="190"/>
      <c r="L303" s="190"/>
      <c r="M303" s="190"/>
      <c r="N303" s="190"/>
      <c r="O303" s="190"/>
      <c r="P303" s="190"/>
      <c r="Q303" s="190"/>
      <c r="R303" s="190"/>
      <c r="S303" s="190"/>
      <c r="T303" s="190"/>
      <c r="U303" s="190"/>
      <c r="V303" s="190"/>
      <c r="W303" s="190"/>
      <c r="X303" s="190"/>
      <c r="Y303" s="190"/>
      <c r="Z303" s="190"/>
    </row>
    <row r="304" ht="15.75" customHeight="1" spans="1:26">
      <c r="A304" s="190"/>
      <c r="B304" s="190"/>
      <c r="C304" s="190"/>
      <c r="D304" s="190"/>
      <c r="E304" s="190"/>
      <c r="F304" s="190"/>
      <c r="G304" s="190"/>
      <c r="H304" s="190"/>
      <c r="I304" s="190"/>
      <c r="J304" s="190"/>
      <c r="K304" s="190"/>
      <c r="L304" s="190"/>
      <c r="M304" s="190"/>
      <c r="N304" s="190"/>
      <c r="O304" s="190"/>
      <c r="P304" s="190"/>
      <c r="Q304" s="190"/>
      <c r="R304" s="190"/>
      <c r="S304" s="190"/>
      <c r="T304" s="190"/>
      <c r="U304" s="190"/>
      <c r="V304" s="190"/>
      <c r="W304" s="190"/>
      <c r="X304" s="190"/>
      <c r="Y304" s="190"/>
      <c r="Z304" s="190"/>
    </row>
    <row r="305" ht="15.75" customHeight="1" spans="1:26">
      <c r="A305" s="190"/>
      <c r="B305" s="190"/>
      <c r="C305" s="190"/>
      <c r="D305" s="190"/>
      <c r="E305" s="190"/>
      <c r="F305" s="190"/>
      <c r="G305" s="190"/>
      <c r="H305" s="190"/>
      <c r="I305" s="190"/>
      <c r="J305" s="190"/>
      <c r="K305" s="190"/>
      <c r="L305" s="190"/>
      <c r="M305" s="190"/>
      <c r="N305" s="190"/>
      <c r="O305" s="190"/>
      <c r="P305" s="190"/>
      <c r="Q305" s="190"/>
      <c r="R305" s="190"/>
      <c r="S305" s="190"/>
      <c r="T305" s="190"/>
      <c r="U305" s="190"/>
      <c r="V305" s="190"/>
      <c r="W305" s="190"/>
      <c r="X305" s="190"/>
      <c r="Y305" s="190"/>
      <c r="Z305" s="190"/>
    </row>
    <row r="306" ht="15.75" customHeight="1" spans="1:26">
      <c r="A306" s="190"/>
      <c r="B306" s="190"/>
      <c r="C306" s="190"/>
      <c r="D306" s="190"/>
      <c r="E306" s="190"/>
      <c r="F306" s="190"/>
      <c r="G306" s="190"/>
      <c r="H306" s="190"/>
      <c r="I306" s="190"/>
      <c r="J306" s="190"/>
      <c r="K306" s="190"/>
      <c r="L306" s="190"/>
      <c r="M306" s="190"/>
      <c r="N306" s="190"/>
      <c r="O306" s="190"/>
      <c r="P306" s="190"/>
      <c r="Q306" s="190"/>
      <c r="R306" s="190"/>
      <c r="S306" s="190"/>
      <c r="T306" s="190"/>
      <c r="U306" s="190"/>
      <c r="V306" s="190"/>
      <c r="W306" s="190"/>
      <c r="X306" s="190"/>
      <c r="Y306" s="190"/>
      <c r="Z306" s="190"/>
    </row>
    <row r="307" ht="15.75" customHeight="1" spans="1:26">
      <c r="A307" s="190"/>
      <c r="B307" s="190"/>
      <c r="C307" s="190"/>
      <c r="D307" s="190"/>
      <c r="E307" s="190"/>
      <c r="F307" s="190"/>
      <c r="G307" s="190"/>
      <c r="H307" s="190"/>
      <c r="I307" s="190"/>
      <c r="J307" s="190"/>
      <c r="K307" s="190"/>
      <c r="L307" s="190"/>
      <c r="M307" s="190"/>
      <c r="N307" s="190"/>
      <c r="O307" s="190"/>
      <c r="P307" s="190"/>
      <c r="Q307" s="190"/>
      <c r="R307" s="190"/>
      <c r="S307" s="190"/>
      <c r="T307" s="190"/>
      <c r="U307" s="190"/>
      <c r="V307" s="190"/>
      <c r="W307" s="190"/>
      <c r="X307" s="190"/>
      <c r="Y307" s="190"/>
      <c r="Z307" s="190"/>
    </row>
    <row r="308" ht="15.75" customHeight="1" spans="1:26">
      <c r="A308" s="190"/>
      <c r="B308" s="190"/>
      <c r="C308" s="190"/>
      <c r="D308" s="190"/>
      <c r="E308" s="190"/>
      <c r="F308" s="190"/>
      <c r="G308" s="190"/>
      <c r="H308" s="190"/>
      <c r="I308" s="190"/>
      <c r="J308" s="190"/>
      <c r="K308" s="190"/>
      <c r="L308" s="190"/>
      <c r="M308" s="190"/>
      <c r="N308" s="190"/>
      <c r="O308" s="190"/>
      <c r="P308" s="190"/>
      <c r="Q308" s="190"/>
      <c r="R308" s="190"/>
      <c r="S308" s="190"/>
      <c r="T308" s="190"/>
      <c r="U308" s="190"/>
      <c r="V308" s="190"/>
      <c r="W308" s="190"/>
      <c r="X308" s="190"/>
      <c r="Y308" s="190"/>
      <c r="Z308" s="190"/>
    </row>
    <row r="309" ht="15.75" customHeight="1" spans="1:26">
      <c r="A309" s="190"/>
      <c r="B309" s="190"/>
      <c r="C309" s="190"/>
      <c r="D309" s="190"/>
      <c r="E309" s="190"/>
      <c r="F309" s="190"/>
      <c r="G309" s="190"/>
      <c r="H309" s="190"/>
      <c r="I309" s="190"/>
      <c r="J309" s="190"/>
      <c r="K309" s="190"/>
      <c r="L309" s="190"/>
      <c r="M309" s="190"/>
      <c r="N309" s="190"/>
      <c r="O309" s="190"/>
      <c r="P309" s="190"/>
      <c r="Q309" s="190"/>
      <c r="R309" s="190"/>
      <c r="S309" s="190"/>
      <c r="T309" s="190"/>
      <c r="U309" s="190"/>
      <c r="V309" s="190"/>
      <c r="W309" s="190"/>
      <c r="X309" s="190"/>
      <c r="Y309" s="190"/>
      <c r="Z309" s="190"/>
    </row>
    <row r="310" ht="15.75" customHeight="1" spans="1:26">
      <c r="A310" s="190"/>
      <c r="B310" s="190"/>
      <c r="C310" s="190"/>
      <c r="D310" s="190"/>
      <c r="E310" s="190"/>
      <c r="F310" s="190"/>
      <c r="G310" s="190"/>
      <c r="H310" s="190"/>
      <c r="I310" s="190"/>
      <c r="J310" s="190"/>
      <c r="K310" s="190"/>
      <c r="L310" s="190"/>
      <c r="M310" s="190"/>
      <c r="N310" s="190"/>
      <c r="O310" s="190"/>
      <c r="P310" s="190"/>
      <c r="Q310" s="190"/>
      <c r="R310" s="190"/>
      <c r="S310" s="190"/>
      <c r="T310" s="190"/>
      <c r="U310" s="190"/>
      <c r="V310" s="190"/>
      <c r="W310" s="190"/>
      <c r="X310" s="190"/>
      <c r="Y310" s="190"/>
      <c r="Z310" s="190"/>
    </row>
    <row r="311" ht="15.75" customHeight="1" spans="1:26">
      <c r="A311" s="190"/>
      <c r="B311" s="190"/>
      <c r="C311" s="190"/>
      <c r="D311" s="190"/>
      <c r="E311" s="190"/>
      <c r="F311" s="190"/>
      <c r="G311" s="190"/>
      <c r="H311" s="190"/>
      <c r="I311" s="190"/>
      <c r="J311" s="190"/>
      <c r="K311" s="190"/>
      <c r="L311" s="190"/>
      <c r="M311" s="190"/>
      <c r="N311" s="190"/>
      <c r="O311" s="190"/>
      <c r="P311" s="190"/>
      <c r="Q311" s="190"/>
      <c r="R311" s="190"/>
      <c r="S311" s="190"/>
      <c r="T311" s="190"/>
      <c r="U311" s="190"/>
      <c r="V311" s="190"/>
      <c r="W311" s="190"/>
      <c r="X311" s="190"/>
      <c r="Y311" s="190"/>
      <c r="Z311" s="190"/>
    </row>
    <row r="312" ht="15.75" customHeight="1" spans="1:26">
      <c r="A312" s="190"/>
      <c r="B312" s="190"/>
      <c r="C312" s="190"/>
      <c r="D312" s="190"/>
      <c r="E312" s="190"/>
      <c r="F312" s="190"/>
      <c r="G312" s="190"/>
      <c r="H312" s="190"/>
      <c r="I312" s="190"/>
      <c r="J312" s="190"/>
      <c r="K312" s="190"/>
      <c r="L312" s="190"/>
      <c r="M312" s="190"/>
      <c r="N312" s="190"/>
      <c r="O312" s="190"/>
      <c r="P312" s="190"/>
      <c r="Q312" s="190"/>
      <c r="R312" s="190"/>
      <c r="S312" s="190"/>
      <c r="T312" s="190"/>
      <c r="U312" s="190"/>
      <c r="V312" s="190"/>
      <c r="W312" s="190"/>
      <c r="X312" s="190"/>
      <c r="Y312" s="190"/>
      <c r="Z312" s="190"/>
    </row>
    <row r="313" ht="15.75" customHeight="1" spans="1:26">
      <c r="A313" s="190"/>
      <c r="B313" s="190"/>
      <c r="C313" s="190"/>
      <c r="D313" s="190"/>
      <c r="E313" s="190"/>
      <c r="F313" s="190"/>
      <c r="G313" s="190"/>
      <c r="H313" s="190"/>
      <c r="I313" s="190"/>
      <c r="J313" s="190"/>
      <c r="K313" s="190"/>
      <c r="L313" s="190"/>
      <c r="M313" s="190"/>
      <c r="N313" s="190"/>
      <c r="O313" s="190"/>
      <c r="P313" s="190"/>
      <c r="Q313" s="190"/>
      <c r="R313" s="190"/>
      <c r="S313" s="190"/>
      <c r="T313" s="190"/>
      <c r="U313" s="190"/>
      <c r="V313" s="190"/>
      <c r="W313" s="190"/>
      <c r="X313" s="190"/>
      <c r="Y313" s="190"/>
      <c r="Z313" s="190"/>
    </row>
    <row r="314" ht="15.75" customHeight="1" spans="1:26">
      <c r="A314" s="190"/>
      <c r="B314" s="190"/>
      <c r="C314" s="190"/>
      <c r="D314" s="190"/>
      <c r="E314" s="190"/>
      <c r="F314" s="190"/>
      <c r="G314" s="190"/>
      <c r="H314" s="190"/>
      <c r="I314" s="190"/>
      <c r="J314" s="190"/>
      <c r="K314" s="190"/>
      <c r="L314" s="190"/>
      <c r="M314" s="190"/>
      <c r="N314" s="190"/>
      <c r="O314" s="190"/>
      <c r="P314" s="190"/>
      <c r="Q314" s="190"/>
      <c r="R314" s="190"/>
      <c r="S314" s="190"/>
      <c r="T314" s="190"/>
      <c r="U314" s="190"/>
      <c r="V314" s="190"/>
      <c r="W314" s="190"/>
      <c r="X314" s="190"/>
      <c r="Y314" s="190"/>
      <c r="Z314" s="190"/>
    </row>
    <row r="315" ht="15.75" customHeight="1" spans="1:26">
      <c r="A315" s="190"/>
      <c r="B315" s="190"/>
      <c r="C315" s="190"/>
      <c r="D315" s="190"/>
      <c r="E315" s="190"/>
      <c r="F315" s="190"/>
      <c r="G315" s="190"/>
      <c r="H315" s="190"/>
      <c r="I315" s="190"/>
      <c r="J315" s="190"/>
      <c r="K315" s="190"/>
      <c r="L315" s="190"/>
      <c r="M315" s="190"/>
      <c r="N315" s="190"/>
      <c r="O315" s="190"/>
      <c r="P315" s="190"/>
      <c r="Q315" s="190"/>
      <c r="R315" s="190"/>
      <c r="S315" s="190"/>
      <c r="T315" s="190"/>
      <c r="U315" s="190"/>
      <c r="V315" s="190"/>
      <c r="W315" s="190"/>
      <c r="X315" s="190"/>
      <c r="Y315" s="190"/>
      <c r="Z315" s="190"/>
    </row>
    <row r="316" ht="15.75" customHeight="1" spans="1:26">
      <c r="A316" s="190"/>
      <c r="B316" s="190"/>
      <c r="C316" s="190"/>
      <c r="D316" s="190"/>
      <c r="E316" s="190"/>
      <c r="F316" s="190"/>
      <c r="G316" s="190"/>
      <c r="H316" s="190"/>
      <c r="I316" s="190"/>
      <c r="J316" s="190"/>
      <c r="K316" s="190"/>
      <c r="L316" s="190"/>
      <c r="M316" s="190"/>
      <c r="N316" s="190"/>
      <c r="O316" s="190"/>
      <c r="P316" s="190"/>
      <c r="Q316" s="190"/>
      <c r="R316" s="190"/>
      <c r="S316" s="190"/>
      <c r="T316" s="190"/>
      <c r="U316" s="190"/>
      <c r="V316" s="190"/>
      <c r="W316" s="190"/>
      <c r="X316" s="190"/>
      <c r="Y316" s="190"/>
      <c r="Z316" s="190"/>
    </row>
    <row r="317" ht="15.75" customHeight="1" spans="1:26">
      <c r="A317" s="190"/>
      <c r="B317" s="190"/>
      <c r="C317" s="190"/>
      <c r="D317" s="190"/>
      <c r="E317" s="190"/>
      <c r="F317" s="190"/>
      <c r="G317" s="190"/>
      <c r="H317" s="190"/>
      <c r="I317" s="190"/>
      <c r="J317" s="190"/>
      <c r="K317" s="190"/>
      <c r="L317" s="190"/>
      <c r="M317" s="190"/>
      <c r="N317" s="190"/>
      <c r="O317" s="190"/>
      <c r="P317" s="190"/>
      <c r="Q317" s="190"/>
      <c r="R317" s="190"/>
      <c r="S317" s="190"/>
      <c r="T317" s="190"/>
      <c r="U317" s="190"/>
      <c r="V317" s="190"/>
      <c r="W317" s="190"/>
      <c r="X317" s="190"/>
      <c r="Y317" s="190"/>
      <c r="Z317" s="190"/>
    </row>
    <row r="318" ht="15.75" customHeight="1" spans="1:26">
      <c r="A318" s="190"/>
      <c r="B318" s="190"/>
      <c r="C318" s="190"/>
      <c r="D318" s="190"/>
      <c r="E318" s="190"/>
      <c r="F318" s="190"/>
      <c r="G318" s="190"/>
      <c r="H318" s="190"/>
      <c r="I318" s="190"/>
      <c r="J318" s="190"/>
      <c r="K318" s="190"/>
      <c r="L318" s="190"/>
      <c r="M318" s="190"/>
      <c r="N318" s="190"/>
      <c r="O318" s="190"/>
      <c r="P318" s="190"/>
      <c r="Q318" s="190"/>
      <c r="R318" s="190"/>
      <c r="S318" s="190"/>
      <c r="T318" s="190"/>
      <c r="U318" s="190"/>
      <c r="V318" s="190"/>
      <c r="W318" s="190"/>
      <c r="X318" s="190"/>
      <c r="Y318" s="190"/>
      <c r="Z318" s="190"/>
    </row>
    <row r="319" ht="15.75" customHeight="1" spans="1:26">
      <c r="A319" s="190"/>
      <c r="B319" s="190"/>
      <c r="C319" s="190"/>
      <c r="D319" s="190"/>
      <c r="E319" s="190"/>
      <c r="F319" s="190"/>
      <c r="G319" s="190"/>
      <c r="H319" s="190"/>
      <c r="I319" s="190"/>
      <c r="J319" s="190"/>
      <c r="K319" s="190"/>
      <c r="L319" s="190"/>
      <c r="M319" s="190"/>
      <c r="N319" s="190"/>
      <c r="O319" s="190"/>
      <c r="P319" s="190"/>
      <c r="Q319" s="190"/>
      <c r="R319" s="190"/>
      <c r="S319" s="190"/>
      <c r="T319" s="190"/>
      <c r="U319" s="190"/>
      <c r="V319" s="190"/>
      <c r="W319" s="190"/>
      <c r="X319" s="190"/>
      <c r="Y319" s="190"/>
      <c r="Z319" s="190"/>
    </row>
    <row r="320" ht="15.75" customHeight="1" spans="1:26">
      <c r="A320" s="190"/>
      <c r="B320" s="190"/>
      <c r="C320" s="190"/>
      <c r="D320" s="190"/>
      <c r="E320" s="190"/>
      <c r="F320" s="190"/>
      <c r="G320" s="190"/>
      <c r="H320" s="190"/>
      <c r="I320" s="190"/>
      <c r="J320" s="190"/>
      <c r="K320" s="190"/>
      <c r="L320" s="190"/>
      <c r="M320" s="190"/>
      <c r="N320" s="190"/>
      <c r="O320" s="190"/>
      <c r="P320" s="190"/>
      <c r="Q320" s="190"/>
      <c r="R320" s="190"/>
      <c r="S320" s="190"/>
      <c r="T320" s="190"/>
      <c r="U320" s="190"/>
      <c r="V320" s="190"/>
      <c r="W320" s="190"/>
      <c r="X320" s="190"/>
      <c r="Y320" s="190"/>
      <c r="Z320" s="190"/>
    </row>
    <row r="321" ht="15.75" customHeight="1" spans="1:26">
      <c r="A321" s="190"/>
      <c r="B321" s="190"/>
      <c r="C321" s="190"/>
      <c r="D321" s="190"/>
      <c r="E321" s="190"/>
      <c r="F321" s="190"/>
      <c r="G321" s="190"/>
      <c r="H321" s="190"/>
      <c r="I321" s="190"/>
      <c r="J321" s="190"/>
      <c r="K321" s="190"/>
      <c r="L321" s="190"/>
      <c r="M321" s="190"/>
      <c r="N321" s="190"/>
      <c r="O321" s="190"/>
      <c r="P321" s="190"/>
      <c r="Q321" s="190"/>
      <c r="R321" s="190"/>
      <c r="S321" s="190"/>
      <c r="T321" s="190"/>
      <c r="U321" s="190"/>
      <c r="V321" s="190"/>
      <c r="W321" s="190"/>
      <c r="X321" s="190"/>
      <c r="Y321" s="190"/>
      <c r="Z321" s="190"/>
    </row>
    <row r="322" ht="15.75" customHeight="1" spans="1:26">
      <c r="A322" s="190"/>
      <c r="B322" s="190"/>
      <c r="C322" s="190"/>
      <c r="D322" s="190"/>
      <c r="E322" s="190"/>
      <c r="F322" s="190"/>
      <c r="G322" s="190"/>
      <c r="H322" s="190"/>
      <c r="I322" s="190"/>
      <c r="J322" s="190"/>
      <c r="K322" s="190"/>
      <c r="L322" s="190"/>
      <c r="M322" s="190"/>
      <c r="N322" s="190"/>
      <c r="O322" s="190"/>
      <c r="P322" s="190"/>
      <c r="Q322" s="190"/>
      <c r="R322" s="190"/>
      <c r="S322" s="190"/>
      <c r="T322" s="190"/>
      <c r="U322" s="190"/>
      <c r="V322" s="190"/>
      <c r="W322" s="190"/>
      <c r="X322" s="190"/>
      <c r="Y322" s="190"/>
      <c r="Z322" s="190"/>
    </row>
    <row r="323" ht="15.75" customHeight="1" spans="1:26">
      <c r="A323" s="190"/>
      <c r="B323" s="190"/>
      <c r="C323" s="190"/>
      <c r="D323" s="190"/>
      <c r="E323" s="190"/>
      <c r="F323" s="190"/>
      <c r="G323" s="190"/>
      <c r="H323" s="190"/>
      <c r="I323" s="190"/>
      <c r="J323" s="190"/>
      <c r="K323" s="190"/>
      <c r="L323" s="190"/>
      <c r="M323" s="190"/>
      <c r="N323" s="190"/>
      <c r="O323" s="190"/>
      <c r="P323" s="190"/>
      <c r="Q323" s="190"/>
      <c r="R323" s="190"/>
      <c r="S323" s="190"/>
      <c r="T323" s="190"/>
      <c r="U323" s="190"/>
      <c r="V323" s="190"/>
      <c r="W323" s="190"/>
      <c r="X323" s="190"/>
      <c r="Y323" s="190"/>
      <c r="Z323" s="190"/>
    </row>
    <row r="324" ht="15.75" customHeight="1" spans="1:26">
      <c r="A324" s="190"/>
      <c r="B324" s="190"/>
      <c r="C324" s="190"/>
      <c r="D324" s="190"/>
      <c r="E324" s="190"/>
      <c r="F324" s="190"/>
      <c r="G324" s="190"/>
      <c r="H324" s="190"/>
      <c r="I324" s="190"/>
      <c r="J324" s="190"/>
      <c r="K324" s="190"/>
      <c r="L324" s="190"/>
      <c r="M324" s="190"/>
      <c r="N324" s="190"/>
      <c r="O324" s="190"/>
      <c r="P324" s="190"/>
      <c r="Q324" s="190"/>
      <c r="R324" s="190"/>
      <c r="S324" s="190"/>
      <c r="T324" s="190"/>
      <c r="U324" s="190"/>
      <c r="V324" s="190"/>
      <c r="W324" s="190"/>
      <c r="X324" s="190"/>
      <c r="Y324" s="190"/>
      <c r="Z324" s="190"/>
    </row>
    <row r="325" ht="15.75" customHeight="1" spans="1:26">
      <c r="A325" s="190"/>
      <c r="B325" s="190"/>
      <c r="C325" s="190"/>
      <c r="D325" s="190"/>
      <c r="E325" s="190"/>
      <c r="F325" s="190"/>
      <c r="G325" s="190"/>
      <c r="H325" s="190"/>
      <c r="I325" s="190"/>
      <c r="J325" s="190"/>
      <c r="K325" s="190"/>
      <c r="L325" s="190"/>
      <c r="M325" s="190"/>
      <c r="N325" s="190"/>
      <c r="O325" s="190"/>
      <c r="P325" s="190"/>
      <c r="Q325" s="190"/>
      <c r="R325" s="190"/>
      <c r="S325" s="190"/>
      <c r="T325" s="190"/>
      <c r="U325" s="190"/>
      <c r="V325" s="190"/>
      <c r="W325" s="190"/>
      <c r="X325" s="190"/>
      <c r="Y325" s="190"/>
      <c r="Z325" s="190"/>
    </row>
    <row r="326" ht="15.75" customHeight="1" spans="1:26">
      <c r="A326" s="190"/>
      <c r="B326" s="190"/>
      <c r="C326" s="190"/>
      <c r="D326" s="190"/>
      <c r="E326" s="190"/>
      <c r="F326" s="190"/>
      <c r="G326" s="190"/>
      <c r="H326" s="190"/>
      <c r="I326" s="190"/>
      <c r="J326" s="190"/>
      <c r="K326" s="190"/>
      <c r="L326" s="190"/>
      <c r="M326" s="190"/>
      <c r="N326" s="190"/>
      <c r="O326" s="190"/>
      <c r="P326" s="190"/>
      <c r="Q326" s="190"/>
      <c r="R326" s="190"/>
      <c r="S326" s="190"/>
      <c r="T326" s="190"/>
      <c r="U326" s="190"/>
      <c r="V326" s="190"/>
      <c r="W326" s="190"/>
      <c r="X326" s="190"/>
      <c r="Y326" s="190"/>
      <c r="Z326" s="190"/>
    </row>
    <row r="327" ht="15.75" customHeight="1" spans="1:26">
      <c r="A327" s="190"/>
      <c r="B327" s="190"/>
      <c r="C327" s="190"/>
      <c r="D327" s="190"/>
      <c r="E327" s="190"/>
      <c r="F327" s="190"/>
      <c r="G327" s="190"/>
      <c r="H327" s="190"/>
      <c r="I327" s="190"/>
      <c r="J327" s="190"/>
      <c r="K327" s="190"/>
      <c r="L327" s="190"/>
      <c r="M327" s="190"/>
      <c r="N327" s="190"/>
      <c r="O327" s="190"/>
      <c r="P327" s="190"/>
      <c r="Q327" s="190"/>
      <c r="R327" s="190"/>
      <c r="S327" s="190"/>
      <c r="T327" s="190"/>
      <c r="U327" s="190"/>
      <c r="V327" s="190"/>
      <c r="W327" s="190"/>
      <c r="X327" s="190"/>
      <c r="Y327" s="190"/>
      <c r="Z327" s="190"/>
    </row>
    <row r="328" ht="15.75" customHeight="1" spans="1:26">
      <c r="A328" s="190"/>
      <c r="B328" s="190"/>
      <c r="C328" s="190"/>
      <c r="D328" s="190"/>
      <c r="E328" s="190"/>
      <c r="F328" s="190"/>
      <c r="G328" s="190"/>
      <c r="H328" s="190"/>
      <c r="I328" s="190"/>
      <c r="J328" s="190"/>
      <c r="K328" s="190"/>
      <c r="L328" s="190"/>
      <c r="M328" s="190"/>
      <c r="N328" s="190"/>
      <c r="O328" s="190"/>
      <c r="P328" s="190"/>
      <c r="Q328" s="190"/>
      <c r="R328" s="190"/>
      <c r="S328" s="190"/>
      <c r="T328" s="190"/>
      <c r="U328" s="190"/>
      <c r="V328" s="190"/>
      <c r="W328" s="190"/>
      <c r="X328" s="190"/>
      <c r="Y328" s="190"/>
      <c r="Z328" s="190"/>
    </row>
    <row r="329" ht="15.75" customHeight="1" spans="1:26">
      <c r="A329" s="190"/>
      <c r="B329" s="190"/>
      <c r="C329" s="190"/>
      <c r="D329" s="190"/>
      <c r="E329" s="190"/>
      <c r="F329" s="190"/>
      <c r="G329" s="190"/>
      <c r="H329" s="190"/>
      <c r="I329" s="190"/>
      <c r="J329" s="190"/>
      <c r="K329" s="190"/>
      <c r="L329" s="190"/>
      <c r="M329" s="190"/>
      <c r="N329" s="190"/>
      <c r="O329" s="190"/>
      <c r="P329" s="190"/>
      <c r="Q329" s="190"/>
      <c r="R329" s="190"/>
      <c r="S329" s="190"/>
      <c r="T329" s="190"/>
      <c r="U329" s="190"/>
      <c r="V329" s="190"/>
      <c r="W329" s="190"/>
      <c r="X329" s="190"/>
      <c r="Y329" s="190"/>
      <c r="Z329" s="190"/>
    </row>
    <row r="330" ht="15.75" customHeight="1" spans="1:26">
      <c r="A330" s="190"/>
      <c r="B330" s="190"/>
      <c r="C330" s="190"/>
      <c r="D330" s="190"/>
      <c r="E330" s="190"/>
      <c r="F330" s="190"/>
      <c r="G330" s="190"/>
      <c r="H330" s="190"/>
      <c r="I330" s="190"/>
      <c r="J330" s="190"/>
      <c r="K330" s="190"/>
      <c r="L330" s="190"/>
      <c r="M330" s="190"/>
      <c r="N330" s="190"/>
      <c r="O330" s="190"/>
      <c r="P330" s="190"/>
      <c r="Q330" s="190"/>
      <c r="R330" s="190"/>
      <c r="S330" s="190"/>
      <c r="T330" s="190"/>
      <c r="U330" s="190"/>
      <c r="V330" s="190"/>
      <c r="W330" s="190"/>
      <c r="X330" s="190"/>
      <c r="Y330" s="190"/>
      <c r="Z330" s="190"/>
    </row>
    <row r="331" ht="15.75" customHeight="1" spans="1:26">
      <c r="A331" s="190"/>
      <c r="B331" s="190"/>
      <c r="C331" s="190"/>
      <c r="D331" s="190"/>
      <c r="E331" s="190"/>
      <c r="F331" s="190"/>
      <c r="G331" s="190"/>
      <c r="H331" s="190"/>
      <c r="I331" s="190"/>
      <c r="J331" s="190"/>
      <c r="K331" s="190"/>
      <c r="L331" s="190"/>
      <c r="M331" s="190"/>
      <c r="N331" s="190"/>
      <c r="O331" s="190"/>
      <c r="P331" s="190"/>
      <c r="Q331" s="190"/>
      <c r="R331" s="190"/>
      <c r="S331" s="190"/>
      <c r="T331" s="190"/>
      <c r="U331" s="190"/>
      <c r="V331" s="190"/>
      <c r="W331" s="190"/>
      <c r="X331" s="190"/>
      <c r="Y331" s="190"/>
      <c r="Z331" s="190"/>
    </row>
    <row r="332" ht="15.75" customHeight="1" spans="1:26">
      <c r="A332" s="190"/>
      <c r="B332" s="190"/>
      <c r="C332" s="190"/>
      <c r="D332" s="190"/>
      <c r="E332" s="190"/>
      <c r="F332" s="190"/>
      <c r="G332" s="190"/>
      <c r="H332" s="190"/>
      <c r="I332" s="190"/>
      <c r="J332" s="190"/>
      <c r="K332" s="190"/>
      <c r="L332" s="190"/>
      <c r="M332" s="190"/>
      <c r="N332" s="190"/>
      <c r="O332" s="190"/>
      <c r="P332" s="190"/>
      <c r="Q332" s="190"/>
      <c r="R332" s="190"/>
      <c r="S332" s="190"/>
      <c r="T332" s="190"/>
      <c r="U332" s="190"/>
      <c r="V332" s="190"/>
      <c r="W332" s="190"/>
      <c r="X332" s="190"/>
      <c r="Y332" s="190"/>
      <c r="Z332" s="190"/>
    </row>
    <row r="333" ht="15.75" customHeight="1" spans="1:26">
      <c r="A333" s="190"/>
      <c r="B333" s="190"/>
      <c r="C333" s="190"/>
      <c r="D333" s="190"/>
      <c r="E333" s="190"/>
      <c r="F333" s="190"/>
      <c r="G333" s="190"/>
      <c r="H333" s="190"/>
      <c r="I333" s="190"/>
      <c r="J333" s="190"/>
      <c r="K333" s="190"/>
      <c r="L333" s="190"/>
      <c r="M333" s="190"/>
      <c r="N333" s="190"/>
      <c r="O333" s="190"/>
      <c r="P333" s="190"/>
      <c r="Q333" s="190"/>
      <c r="R333" s="190"/>
      <c r="S333" s="190"/>
      <c r="T333" s="190"/>
      <c r="U333" s="190"/>
      <c r="V333" s="190"/>
      <c r="W333" s="190"/>
      <c r="X333" s="190"/>
      <c r="Y333" s="190"/>
      <c r="Z333" s="190"/>
    </row>
    <row r="334" ht="15.75" customHeight="1" spans="1:26">
      <c r="A334" s="190"/>
      <c r="B334" s="190"/>
      <c r="C334" s="190"/>
      <c r="D334" s="190"/>
      <c r="E334" s="190"/>
      <c r="F334" s="190"/>
      <c r="G334" s="190"/>
      <c r="H334" s="190"/>
      <c r="I334" s="190"/>
      <c r="J334" s="190"/>
      <c r="K334" s="190"/>
      <c r="L334" s="190"/>
      <c r="M334" s="190"/>
      <c r="N334" s="190"/>
      <c r="O334" s="190"/>
      <c r="P334" s="190"/>
      <c r="Q334" s="190"/>
      <c r="R334" s="190"/>
      <c r="S334" s="190"/>
      <c r="T334" s="190"/>
      <c r="U334" s="190"/>
      <c r="V334" s="190"/>
      <c r="W334" s="190"/>
      <c r="X334" s="190"/>
      <c r="Y334" s="190"/>
      <c r="Z334" s="190"/>
    </row>
    <row r="335" ht="15.75" customHeight="1" spans="1:26">
      <c r="A335" s="190"/>
      <c r="B335" s="190"/>
      <c r="C335" s="190"/>
      <c r="D335" s="190"/>
      <c r="E335" s="190"/>
      <c r="F335" s="190"/>
      <c r="G335" s="190"/>
      <c r="H335" s="190"/>
      <c r="I335" s="190"/>
      <c r="J335" s="190"/>
      <c r="K335" s="190"/>
      <c r="L335" s="190"/>
      <c r="M335" s="190"/>
      <c r="N335" s="190"/>
      <c r="O335" s="190"/>
      <c r="P335" s="190"/>
      <c r="Q335" s="190"/>
      <c r="R335" s="190"/>
      <c r="S335" s="190"/>
      <c r="T335" s="190"/>
      <c r="U335" s="190"/>
      <c r="V335" s="190"/>
      <c r="W335" s="190"/>
      <c r="X335" s="190"/>
      <c r="Y335" s="190"/>
      <c r="Z335" s="190"/>
    </row>
    <row r="336" ht="15.75" customHeight="1" spans="1:26">
      <c r="A336" s="190"/>
      <c r="B336" s="190"/>
      <c r="C336" s="190"/>
      <c r="D336" s="190"/>
      <c r="E336" s="190"/>
      <c r="F336" s="190"/>
      <c r="G336" s="190"/>
      <c r="H336" s="190"/>
      <c r="I336" s="190"/>
      <c r="J336" s="190"/>
      <c r="K336" s="190"/>
      <c r="L336" s="190"/>
      <c r="M336" s="190"/>
      <c r="N336" s="190"/>
      <c r="O336" s="190"/>
      <c r="P336" s="190"/>
      <c r="Q336" s="190"/>
      <c r="R336" s="190"/>
      <c r="S336" s="190"/>
      <c r="T336" s="190"/>
      <c r="U336" s="190"/>
      <c r="V336" s="190"/>
      <c r="W336" s="190"/>
      <c r="X336" s="190"/>
      <c r="Y336" s="190"/>
      <c r="Z336" s="190"/>
    </row>
    <row r="337" ht="15.75" customHeight="1" spans="1:26">
      <c r="A337" s="190"/>
      <c r="B337" s="190"/>
      <c r="C337" s="190"/>
      <c r="D337" s="190"/>
      <c r="E337" s="190"/>
      <c r="F337" s="190"/>
      <c r="G337" s="190"/>
      <c r="H337" s="190"/>
      <c r="I337" s="190"/>
      <c r="J337" s="190"/>
      <c r="K337" s="190"/>
      <c r="L337" s="190"/>
      <c r="M337" s="190"/>
      <c r="N337" s="190"/>
      <c r="O337" s="190"/>
      <c r="P337" s="190"/>
      <c r="Q337" s="190"/>
      <c r="R337" s="190"/>
      <c r="S337" s="190"/>
      <c r="T337" s="190"/>
      <c r="U337" s="190"/>
      <c r="V337" s="190"/>
      <c r="W337" s="190"/>
      <c r="X337" s="190"/>
      <c r="Y337" s="190"/>
      <c r="Z337" s="190"/>
    </row>
    <row r="338" ht="15.75" customHeight="1" spans="1:26">
      <c r="A338" s="190"/>
      <c r="B338" s="190"/>
      <c r="C338" s="190"/>
      <c r="D338" s="190"/>
      <c r="E338" s="190"/>
      <c r="F338" s="190"/>
      <c r="G338" s="190"/>
      <c r="H338" s="190"/>
      <c r="I338" s="190"/>
      <c r="J338" s="190"/>
      <c r="K338" s="190"/>
      <c r="L338" s="190"/>
      <c r="M338" s="190"/>
      <c r="N338" s="190"/>
      <c r="O338" s="190"/>
      <c r="P338" s="190"/>
      <c r="Q338" s="190"/>
      <c r="R338" s="190"/>
      <c r="S338" s="190"/>
      <c r="T338" s="190"/>
      <c r="U338" s="190"/>
      <c r="V338" s="190"/>
      <c r="W338" s="190"/>
      <c r="X338" s="190"/>
      <c r="Y338" s="190"/>
      <c r="Z338" s="190"/>
    </row>
    <row r="339" ht="15.75" customHeight="1" spans="1:26">
      <c r="A339" s="190"/>
      <c r="B339" s="190"/>
      <c r="C339" s="190"/>
      <c r="D339" s="190"/>
      <c r="E339" s="190"/>
      <c r="F339" s="190"/>
      <c r="G339" s="190"/>
      <c r="H339" s="190"/>
      <c r="I339" s="190"/>
      <c r="J339" s="190"/>
      <c r="K339" s="190"/>
      <c r="L339" s="190"/>
      <c r="M339" s="190"/>
      <c r="N339" s="190"/>
      <c r="O339" s="190"/>
      <c r="P339" s="190"/>
      <c r="Q339" s="190"/>
      <c r="R339" s="190"/>
      <c r="S339" s="190"/>
      <c r="T339" s="190"/>
      <c r="U339" s="190"/>
      <c r="V339" s="190"/>
      <c r="W339" s="190"/>
      <c r="X339" s="190"/>
      <c r="Y339" s="190"/>
      <c r="Z339" s="190"/>
    </row>
    <row r="340" ht="15.75" customHeight="1" spans="1:26">
      <c r="A340" s="190"/>
      <c r="B340" s="190"/>
      <c r="C340" s="190"/>
      <c r="D340" s="190"/>
      <c r="E340" s="190"/>
      <c r="F340" s="190"/>
      <c r="G340" s="190"/>
      <c r="H340" s="190"/>
      <c r="I340" s="190"/>
      <c r="J340" s="190"/>
      <c r="K340" s="190"/>
      <c r="L340" s="190"/>
      <c r="M340" s="190"/>
      <c r="N340" s="190"/>
      <c r="O340" s="190"/>
      <c r="P340" s="190"/>
      <c r="Q340" s="190"/>
      <c r="R340" s="190"/>
      <c r="S340" s="190"/>
      <c r="T340" s="190"/>
      <c r="U340" s="190"/>
      <c r="V340" s="190"/>
      <c r="W340" s="190"/>
      <c r="X340" s="190"/>
      <c r="Y340" s="190"/>
      <c r="Z340" s="190"/>
    </row>
    <row r="341" ht="15.75" customHeight="1" spans="1:26">
      <c r="A341" s="190"/>
      <c r="B341" s="190"/>
      <c r="C341" s="190"/>
      <c r="D341" s="190"/>
      <c r="E341" s="190"/>
      <c r="F341" s="190"/>
      <c r="G341" s="190"/>
      <c r="H341" s="190"/>
      <c r="I341" s="190"/>
      <c r="J341" s="190"/>
      <c r="K341" s="190"/>
      <c r="L341" s="190"/>
      <c r="M341" s="190"/>
      <c r="N341" s="190"/>
      <c r="O341" s="190"/>
      <c r="P341" s="190"/>
      <c r="Q341" s="190"/>
      <c r="R341" s="190"/>
      <c r="S341" s="190"/>
      <c r="T341" s="190"/>
      <c r="U341" s="190"/>
      <c r="V341" s="190"/>
      <c r="W341" s="190"/>
      <c r="X341" s="190"/>
      <c r="Y341" s="190"/>
      <c r="Z341" s="190"/>
    </row>
    <row r="342" ht="15.75" customHeight="1" spans="1:26">
      <c r="A342" s="190"/>
      <c r="B342" s="190"/>
      <c r="C342" s="190"/>
      <c r="D342" s="190"/>
      <c r="E342" s="190"/>
      <c r="F342" s="190"/>
      <c r="G342" s="190"/>
      <c r="H342" s="190"/>
      <c r="I342" s="190"/>
      <c r="J342" s="190"/>
      <c r="K342" s="190"/>
      <c r="L342" s="190"/>
      <c r="M342" s="190"/>
      <c r="N342" s="190"/>
      <c r="O342" s="190"/>
      <c r="P342" s="190"/>
      <c r="Q342" s="190"/>
      <c r="R342" s="190"/>
      <c r="S342" s="190"/>
      <c r="T342" s="190"/>
      <c r="U342" s="190"/>
      <c r="V342" s="190"/>
      <c r="W342" s="190"/>
      <c r="X342" s="190"/>
      <c r="Y342" s="190"/>
      <c r="Z342" s="190"/>
    </row>
    <row r="343" ht="15.75" customHeight="1" spans="1:26">
      <c r="A343" s="190"/>
      <c r="B343" s="190"/>
      <c r="C343" s="190"/>
      <c r="D343" s="190"/>
      <c r="E343" s="190"/>
      <c r="F343" s="190"/>
      <c r="G343" s="190"/>
      <c r="H343" s="190"/>
      <c r="I343" s="190"/>
      <c r="J343" s="190"/>
      <c r="K343" s="190"/>
      <c r="L343" s="190"/>
      <c r="M343" s="190"/>
      <c r="N343" s="190"/>
      <c r="O343" s="190"/>
      <c r="P343" s="190"/>
      <c r="Q343" s="190"/>
      <c r="R343" s="190"/>
      <c r="S343" s="190"/>
      <c r="T343" s="190"/>
      <c r="U343" s="190"/>
      <c r="V343" s="190"/>
      <c r="W343" s="190"/>
      <c r="X343" s="190"/>
      <c r="Y343" s="190"/>
      <c r="Z343" s="190"/>
    </row>
    <row r="344" ht="15.75" customHeight="1" spans="1:26">
      <c r="A344" s="190"/>
      <c r="B344" s="190"/>
      <c r="C344" s="190"/>
      <c r="D344" s="190"/>
      <c r="E344" s="190"/>
      <c r="F344" s="190"/>
      <c r="G344" s="190"/>
      <c r="H344" s="190"/>
      <c r="I344" s="190"/>
      <c r="J344" s="190"/>
      <c r="K344" s="190"/>
      <c r="L344" s="190"/>
      <c r="M344" s="190"/>
      <c r="N344" s="190"/>
      <c r="O344" s="190"/>
      <c r="P344" s="190"/>
      <c r="Q344" s="190"/>
      <c r="R344" s="190"/>
      <c r="S344" s="190"/>
      <c r="T344" s="190"/>
      <c r="U344" s="190"/>
      <c r="V344" s="190"/>
      <c r="W344" s="190"/>
      <c r="X344" s="190"/>
      <c r="Y344" s="190"/>
      <c r="Z344" s="190"/>
    </row>
    <row r="345" ht="15.75" customHeight="1" spans="1:26">
      <c r="A345" s="190"/>
      <c r="B345" s="190"/>
      <c r="C345" s="190"/>
      <c r="D345" s="190"/>
      <c r="E345" s="190"/>
      <c r="F345" s="190"/>
      <c r="G345" s="190"/>
      <c r="H345" s="190"/>
      <c r="I345" s="190"/>
      <c r="J345" s="190"/>
      <c r="K345" s="190"/>
      <c r="L345" s="190"/>
      <c r="M345" s="190"/>
      <c r="N345" s="190"/>
      <c r="O345" s="190"/>
      <c r="P345" s="190"/>
      <c r="Q345" s="190"/>
      <c r="R345" s="190"/>
      <c r="S345" s="190"/>
      <c r="T345" s="190"/>
      <c r="U345" s="190"/>
      <c r="V345" s="190"/>
      <c r="W345" s="190"/>
      <c r="X345" s="190"/>
      <c r="Y345" s="190"/>
      <c r="Z345" s="190"/>
    </row>
    <row r="346" ht="15.75" customHeight="1" spans="1:26">
      <c r="A346" s="190"/>
      <c r="B346" s="190"/>
      <c r="C346" s="190"/>
      <c r="D346" s="190"/>
      <c r="E346" s="190"/>
      <c r="F346" s="190"/>
      <c r="G346" s="190"/>
      <c r="H346" s="190"/>
      <c r="I346" s="190"/>
      <c r="J346" s="190"/>
      <c r="K346" s="190"/>
      <c r="L346" s="190"/>
      <c r="M346" s="190"/>
      <c r="N346" s="190"/>
      <c r="O346" s="190"/>
      <c r="P346" s="190"/>
      <c r="Q346" s="190"/>
      <c r="R346" s="190"/>
      <c r="S346" s="190"/>
      <c r="T346" s="190"/>
      <c r="U346" s="190"/>
      <c r="V346" s="190"/>
      <c r="W346" s="190"/>
      <c r="X346" s="190"/>
      <c r="Y346" s="190"/>
      <c r="Z346" s="190"/>
    </row>
    <row r="347" ht="15.75" customHeight="1" spans="1:26">
      <c r="A347" s="190"/>
      <c r="B347" s="190"/>
      <c r="C347" s="190"/>
      <c r="D347" s="190"/>
      <c r="E347" s="190"/>
      <c r="F347" s="190"/>
      <c r="G347" s="190"/>
      <c r="H347" s="190"/>
      <c r="I347" s="190"/>
      <c r="J347" s="190"/>
      <c r="K347" s="190"/>
      <c r="L347" s="190"/>
      <c r="M347" s="190"/>
      <c r="N347" s="190"/>
      <c r="O347" s="190"/>
      <c r="P347" s="190"/>
      <c r="Q347" s="190"/>
      <c r="R347" s="190"/>
      <c r="S347" s="190"/>
      <c r="T347" s="190"/>
      <c r="U347" s="190"/>
      <c r="V347" s="190"/>
      <c r="W347" s="190"/>
      <c r="X347" s="190"/>
      <c r="Y347" s="190"/>
      <c r="Z347" s="190"/>
    </row>
    <row r="348" ht="15.75" customHeight="1" spans="1:26">
      <c r="A348" s="190"/>
      <c r="B348" s="190"/>
      <c r="C348" s="190"/>
      <c r="D348" s="190"/>
      <c r="E348" s="190"/>
      <c r="F348" s="190"/>
      <c r="G348" s="190"/>
      <c r="H348" s="190"/>
      <c r="I348" s="190"/>
      <c r="J348" s="190"/>
      <c r="K348" s="190"/>
      <c r="L348" s="190"/>
      <c r="M348" s="190"/>
      <c r="N348" s="190"/>
      <c r="O348" s="190"/>
      <c r="P348" s="190"/>
      <c r="Q348" s="190"/>
      <c r="R348" s="190"/>
      <c r="S348" s="190"/>
      <c r="T348" s="190"/>
      <c r="U348" s="190"/>
      <c r="V348" s="190"/>
      <c r="W348" s="190"/>
      <c r="X348" s="190"/>
      <c r="Y348" s="190"/>
      <c r="Z348" s="190"/>
    </row>
    <row r="349" ht="15.75" customHeight="1" spans="1:26">
      <c r="A349" s="190"/>
      <c r="B349" s="190"/>
      <c r="C349" s="190"/>
      <c r="D349" s="190"/>
      <c r="E349" s="190"/>
      <c r="F349" s="190"/>
      <c r="G349" s="190"/>
      <c r="H349" s="190"/>
      <c r="I349" s="190"/>
      <c r="J349" s="190"/>
      <c r="K349" s="190"/>
      <c r="L349" s="190"/>
      <c r="M349" s="190"/>
      <c r="N349" s="190"/>
      <c r="O349" s="190"/>
      <c r="P349" s="190"/>
      <c r="Q349" s="190"/>
      <c r="R349" s="190"/>
      <c r="S349" s="190"/>
      <c r="T349" s="190"/>
      <c r="U349" s="190"/>
      <c r="V349" s="190"/>
      <c r="W349" s="190"/>
      <c r="X349" s="190"/>
      <c r="Y349" s="190"/>
      <c r="Z349" s="190"/>
    </row>
    <row r="350" ht="15.75" customHeight="1" spans="1:26">
      <c r="A350" s="190"/>
      <c r="B350" s="190"/>
      <c r="C350" s="190"/>
      <c r="D350" s="190"/>
      <c r="E350" s="190"/>
      <c r="F350" s="190"/>
      <c r="G350" s="190"/>
      <c r="H350" s="190"/>
      <c r="I350" s="190"/>
      <c r="J350" s="190"/>
      <c r="K350" s="190"/>
      <c r="L350" s="190"/>
      <c r="M350" s="190"/>
      <c r="N350" s="190"/>
      <c r="O350" s="190"/>
      <c r="P350" s="190"/>
      <c r="Q350" s="190"/>
      <c r="R350" s="190"/>
      <c r="S350" s="190"/>
      <c r="T350" s="190"/>
      <c r="U350" s="190"/>
      <c r="V350" s="190"/>
      <c r="W350" s="190"/>
      <c r="X350" s="190"/>
      <c r="Y350" s="190"/>
      <c r="Z350" s="190"/>
    </row>
    <row r="351" ht="15.75" customHeight="1" spans="1:26">
      <c r="A351" s="190"/>
      <c r="B351" s="190"/>
      <c r="C351" s="190"/>
      <c r="D351" s="190"/>
      <c r="E351" s="190"/>
      <c r="F351" s="190"/>
      <c r="G351" s="190"/>
      <c r="H351" s="190"/>
      <c r="I351" s="190"/>
      <c r="J351" s="190"/>
      <c r="K351" s="190"/>
      <c r="L351" s="190"/>
      <c r="M351" s="190"/>
      <c r="N351" s="190"/>
      <c r="O351" s="190"/>
      <c r="P351" s="190"/>
      <c r="Q351" s="190"/>
      <c r="R351" s="190"/>
      <c r="S351" s="190"/>
      <c r="T351" s="190"/>
      <c r="U351" s="190"/>
      <c r="V351" s="190"/>
      <c r="W351" s="190"/>
      <c r="X351" s="190"/>
      <c r="Y351" s="190"/>
      <c r="Z351" s="190"/>
    </row>
    <row r="352" ht="15.75" customHeight="1" spans="1:26">
      <c r="A352" s="190"/>
      <c r="B352" s="190"/>
      <c r="C352" s="190"/>
      <c r="D352" s="190"/>
      <c r="E352" s="190"/>
      <c r="F352" s="190"/>
      <c r="G352" s="190"/>
      <c r="H352" s="190"/>
      <c r="I352" s="190"/>
      <c r="J352" s="190"/>
      <c r="K352" s="190"/>
      <c r="L352" s="190"/>
      <c r="M352" s="190"/>
      <c r="N352" s="190"/>
      <c r="O352" s="190"/>
      <c r="P352" s="190"/>
      <c r="Q352" s="190"/>
      <c r="R352" s="190"/>
      <c r="S352" s="190"/>
      <c r="T352" s="190"/>
      <c r="U352" s="190"/>
      <c r="V352" s="190"/>
      <c r="W352" s="190"/>
      <c r="X352" s="190"/>
      <c r="Y352" s="190"/>
      <c r="Z352" s="190"/>
    </row>
    <row r="353" ht="15.75" customHeight="1" spans="1:26">
      <c r="A353" s="190"/>
      <c r="B353" s="190"/>
      <c r="C353" s="190"/>
      <c r="D353" s="190"/>
      <c r="E353" s="190"/>
      <c r="F353" s="190"/>
      <c r="G353" s="190"/>
      <c r="H353" s="190"/>
      <c r="I353" s="190"/>
      <c r="J353" s="190"/>
      <c r="K353" s="190"/>
      <c r="L353" s="190"/>
      <c r="M353" s="190"/>
      <c r="N353" s="190"/>
      <c r="O353" s="190"/>
      <c r="P353" s="190"/>
      <c r="Q353" s="190"/>
      <c r="R353" s="190"/>
      <c r="S353" s="190"/>
      <c r="T353" s="190"/>
      <c r="U353" s="190"/>
      <c r="V353" s="190"/>
      <c r="W353" s="190"/>
      <c r="X353" s="190"/>
      <c r="Y353" s="190"/>
      <c r="Z353" s="190"/>
    </row>
    <row r="354" ht="15.75" customHeight="1" spans="1:26">
      <c r="A354" s="190"/>
      <c r="B354" s="190"/>
      <c r="C354" s="190"/>
      <c r="D354" s="190"/>
      <c r="E354" s="190"/>
      <c r="F354" s="190"/>
      <c r="G354" s="190"/>
      <c r="H354" s="190"/>
      <c r="I354" s="190"/>
      <c r="J354" s="190"/>
      <c r="K354" s="190"/>
      <c r="L354" s="190"/>
      <c r="M354" s="190"/>
      <c r="N354" s="190"/>
      <c r="O354" s="190"/>
      <c r="P354" s="190"/>
      <c r="Q354" s="190"/>
      <c r="R354" s="190"/>
      <c r="S354" s="190"/>
      <c r="T354" s="190"/>
      <c r="U354" s="190"/>
      <c r="V354" s="190"/>
      <c r="W354" s="190"/>
      <c r="X354" s="190"/>
      <c r="Y354" s="190"/>
      <c r="Z354" s="190"/>
    </row>
    <row r="355" ht="15.75" customHeight="1" spans="1:26">
      <c r="A355" s="190"/>
      <c r="B355" s="190"/>
      <c r="C355" s="190"/>
      <c r="D355" s="190"/>
      <c r="E355" s="190"/>
      <c r="F355" s="190"/>
      <c r="G355" s="190"/>
      <c r="H355" s="190"/>
      <c r="I355" s="190"/>
      <c r="J355" s="190"/>
      <c r="K355" s="190"/>
      <c r="L355" s="190"/>
      <c r="M355" s="190"/>
      <c r="N355" s="190"/>
      <c r="O355" s="190"/>
      <c r="P355" s="190"/>
      <c r="Q355" s="190"/>
      <c r="R355" s="190"/>
      <c r="S355" s="190"/>
      <c r="T355" s="190"/>
      <c r="U355" s="190"/>
      <c r="V355" s="190"/>
      <c r="W355" s="190"/>
      <c r="X355" s="190"/>
      <c r="Y355" s="190"/>
      <c r="Z355" s="190"/>
    </row>
    <row r="356" ht="15.75" customHeight="1" spans="1:26">
      <c r="A356" s="190"/>
      <c r="B356" s="190"/>
      <c r="C356" s="190"/>
      <c r="D356" s="190"/>
      <c r="E356" s="190"/>
      <c r="F356" s="190"/>
      <c r="G356" s="190"/>
      <c r="H356" s="190"/>
      <c r="I356" s="190"/>
      <c r="J356" s="190"/>
      <c r="K356" s="190"/>
      <c r="L356" s="190"/>
      <c r="M356" s="190"/>
      <c r="N356" s="190"/>
      <c r="O356" s="190"/>
      <c r="P356" s="190"/>
      <c r="Q356" s="190"/>
      <c r="R356" s="190"/>
      <c r="S356" s="190"/>
      <c r="T356" s="190"/>
      <c r="U356" s="190"/>
      <c r="V356" s="190"/>
      <c r="W356" s="190"/>
      <c r="X356" s="190"/>
      <c r="Y356" s="190"/>
      <c r="Z356" s="190"/>
    </row>
    <row r="357" ht="15.75" customHeight="1" spans="1:26">
      <c r="A357" s="190"/>
      <c r="B357" s="190"/>
      <c r="C357" s="190"/>
      <c r="D357" s="190"/>
      <c r="E357" s="190"/>
      <c r="F357" s="190"/>
      <c r="G357" s="190"/>
      <c r="H357" s="190"/>
      <c r="I357" s="190"/>
      <c r="J357" s="190"/>
      <c r="K357" s="190"/>
      <c r="L357" s="190"/>
      <c r="M357" s="190"/>
      <c r="N357" s="190"/>
      <c r="O357" s="190"/>
      <c r="P357" s="190"/>
      <c r="Q357" s="190"/>
      <c r="R357" s="190"/>
      <c r="S357" s="190"/>
      <c r="T357" s="190"/>
      <c r="U357" s="190"/>
      <c r="V357" s="190"/>
      <c r="W357" s="190"/>
      <c r="X357" s="190"/>
      <c r="Y357" s="190"/>
      <c r="Z357" s="190"/>
    </row>
    <row r="358" ht="15.75" customHeight="1" spans="1:26">
      <c r="A358" s="190"/>
      <c r="B358" s="190"/>
      <c r="C358" s="190"/>
      <c r="D358" s="190"/>
      <c r="E358" s="190"/>
      <c r="F358" s="190"/>
      <c r="G358" s="190"/>
      <c r="H358" s="190"/>
      <c r="I358" s="190"/>
      <c r="J358" s="190"/>
      <c r="K358" s="190"/>
      <c r="L358" s="190"/>
      <c r="M358" s="190"/>
      <c r="N358" s="190"/>
      <c r="O358" s="190"/>
      <c r="P358" s="190"/>
      <c r="Q358" s="190"/>
      <c r="R358" s="190"/>
      <c r="S358" s="190"/>
      <c r="T358" s="190"/>
      <c r="U358" s="190"/>
      <c r="V358" s="190"/>
      <c r="W358" s="190"/>
      <c r="X358" s="190"/>
      <c r="Y358" s="190"/>
      <c r="Z358" s="190"/>
    </row>
    <row r="359" ht="15.75" customHeight="1" spans="1:26">
      <c r="A359" s="190"/>
      <c r="B359" s="190"/>
      <c r="C359" s="190"/>
      <c r="D359" s="190"/>
      <c r="E359" s="190"/>
      <c r="F359" s="190"/>
      <c r="G359" s="190"/>
      <c r="H359" s="190"/>
      <c r="I359" s="190"/>
      <c r="J359" s="190"/>
      <c r="K359" s="190"/>
      <c r="L359" s="190"/>
      <c r="M359" s="190"/>
      <c r="N359" s="190"/>
      <c r="O359" s="190"/>
      <c r="P359" s="190"/>
      <c r="Q359" s="190"/>
      <c r="R359" s="190"/>
      <c r="S359" s="190"/>
      <c r="T359" s="190"/>
      <c r="U359" s="190"/>
      <c r="V359" s="190"/>
      <c r="W359" s="190"/>
      <c r="X359" s="190"/>
      <c r="Y359" s="190"/>
      <c r="Z359" s="190"/>
    </row>
    <row r="360" ht="15.75" customHeight="1" spans="1:26">
      <c r="A360" s="190"/>
      <c r="B360" s="190"/>
      <c r="C360" s="190"/>
      <c r="D360" s="190"/>
      <c r="E360" s="190"/>
      <c r="F360" s="190"/>
      <c r="G360" s="190"/>
      <c r="H360" s="190"/>
      <c r="I360" s="190"/>
      <c r="J360" s="190"/>
      <c r="K360" s="190"/>
      <c r="L360" s="190"/>
      <c r="M360" s="190"/>
      <c r="N360" s="190"/>
      <c r="O360" s="190"/>
      <c r="P360" s="190"/>
      <c r="Q360" s="190"/>
      <c r="R360" s="190"/>
      <c r="S360" s="190"/>
      <c r="T360" s="190"/>
      <c r="U360" s="190"/>
      <c r="V360" s="190"/>
      <c r="W360" s="190"/>
      <c r="X360" s="190"/>
      <c r="Y360" s="190"/>
      <c r="Z360" s="190"/>
    </row>
    <row r="361" ht="15.75" customHeight="1" spans="1:26">
      <c r="A361" s="190"/>
      <c r="B361" s="190"/>
      <c r="C361" s="190"/>
      <c r="D361" s="190"/>
      <c r="E361" s="190"/>
      <c r="F361" s="190"/>
      <c r="G361" s="190"/>
      <c r="H361" s="190"/>
      <c r="I361" s="190"/>
      <c r="J361" s="190"/>
      <c r="K361" s="190"/>
      <c r="L361" s="190"/>
      <c r="M361" s="190"/>
      <c r="N361" s="190"/>
      <c r="O361" s="190"/>
      <c r="P361" s="190"/>
      <c r="Q361" s="190"/>
      <c r="R361" s="190"/>
      <c r="S361" s="190"/>
      <c r="T361" s="190"/>
      <c r="U361" s="190"/>
      <c r="V361" s="190"/>
      <c r="W361" s="190"/>
      <c r="X361" s="190"/>
      <c r="Y361" s="190"/>
      <c r="Z361" s="190"/>
    </row>
    <row r="362" ht="15.75" customHeight="1" spans="1:26">
      <c r="A362" s="190"/>
      <c r="B362" s="190"/>
      <c r="C362" s="190"/>
      <c r="D362" s="190"/>
      <c r="E362" s="190"/>
      <c r="F362" s="190"/>
      <c r="G362" s="190"/>
      <c r="H362" s="190"/>
      <c r="I362" s="190"/>
      <c r="J362" s="190"/>
      <c r="K362" s="190"/>
      <c r="L362" s="190"/>
      <c r="M362" s="190"/>
      <c r="N362" s="190"/>
      <c r="O362" s="190"/>
      <c r="P362" s="190"/>
      <c r="Q362" s="190"/>
      <c r="R362" s="190"/>
      <c r="S362" s="190"/>
      <c r="T362" s="190"/>
      <c r="U362" s="190"/>
      <c r="V362" s="190"/>
      <c r="W362" s="190"/>
      <c r="X362" s="190"/>
      <c r="Y362" s="190"/>
      <c r="Z362" s="190"/>
    </row>
    <row r="363" ht="15.75" customHeight="1" spans="1:26">
      <c r="A363" s="190"/>
      <c r="B363" s="190"/>
      <c r="C363" s="190"/>
      <c r="D363" s="190"/>
      <c r="E363" s="190"/>
      <c r="F363" s="190"/>
      <c r="G363" s="190"/>
      <c r="H363" s="190"/>
      <c r="I363" s="190"/>
      <c r="J363" s="190"/>
      <c r="K363" s="190"/>
      <c r="L363" s="190"/>
      <c r="M363" s="190"/>
      <c r="N363" s="190"/>
      <c r="O363" s="190"/>
      <c r="P363" s="190"/>
      <c r="Q363" s="190"/>
      <c r="R363" s="190"/>
      <c r="S363" s="190"/>
      <c r="T363" s="190"/>
      <c r="U363" s="190"/>
      <c r="V363" s="190"/>
      <c r="W363" s="190"/>
      <c r="X363" s="190"/>
      <c r="Y363" s="190"/>
      <c r="Z363" s="190"/>
    </row>
    <row r="364" ht="15.75" customHeight="1" spans="1:26">
      <c r="A364" s="190"/>
      <c r="B364" s="190"/>
      <c r="C364" s="190"/>
      <c r="D364" s="190"/>
      <c r="E364" s="190"/>
      <c r="F364" s="190"/>
      <c r="G364" s="190"/>
      <c r="H364" s="190"/>
      <c r="I364" s="190"/>
      <c r="J364" s="190"/>
      <c r="K364" s="190"/>
      <c r="L364" s="190"/>
      <c r="M364" s="190"/>
      <c r="N364" s="190"/>
      <c r="O364" s="190"/>
      <c r="P364" s="190"/>
      <c r="Q364" s="190"/>
      <c r="R364" s="190"/>
      <c r="S364" s="190"/>
      <c r="T364" s="190"/>
      <c r="U364" s="190"/>
      <c r="V364" s="190"/>
      <c r="W364" s="190"/>
      <c r="X364" s="190"/>
      <c r="Y364" s="190"/>
      <c r="Z364" s="190"/>
    </row>
    <row r="365" ht="15.75" customHeight="1" spans="1:26">
      <c r="A365" s="190"/>
      <c r="B365" s="190"/>
      <c r="C365" s="190"/>
      <c r="D365" s="190"/>
      <c r="E365" s="190"/>
      <c r="F365" s="190"/>
      <c r="G365" s="190"/>
      <c r="H365" s="190"/>
      <c r="I365" s="190"/>
      <c r="J365" s="190"/>
      <c r="K365" s="190"/>
      <c r="L365" s="190"/>
      <c r="M365" s="190"/>
      <c r="N365" s="190"/>
      <c r="O365" s="190"/>
      <c r="P365" s="190"/>
      <c r="Q365" s="190"/>
      <c r="R365" s="190"/>
      <c r="S365" s="190"/>
      <c r="T365" s="190"/>
      <c r="U365" s="190"/>
      <c r="V365" s="190"/>
      <c r="W365" s="190"/>
      <c r="X365" s="190"/>
      <c r="Y365" s="190"/>
      <c r="Z365" s="190"/>
    </row>
    <row r="366" ht="15.75" customHeight="1" spans="1:26">
      <c r="A366" s="190"/>
      <c r="B366" s="190"/>
      <c r="C366" s="190"/>
      <c r="D366" s="190"/>
      <c r="E366" s="190"/>
      <c r="F366" s="190"/>
      <c r="G366" s="190"/>
      <c r="H366" s="190"/>
      <c r="I366" s="190"/>
      <c r="J366" s="190"/>
      <c r="K366" s="190"/>
      <c r="L366" s="190"/>
      <c r="M366" s="190"/>
      <c r="N366" s="190"/>
      <c r="O366" s="190"/>
      <c r="P366" s="190"/>
      <c r="Q366" s="190"/>
      <c r="R366" s="190"/>
      <c r="S366" s="190"/>
      <c r="T366" s="190"/>
      <c r="U366" s="190"/>
      <c r="V366" s="190"/>
      <c r="W366" s="190"/>
      <c r="X366" s="190"/>
      <c r="Y366" s="190"/>
      <c r="Z366" s="190"/>
    </row>
    <row r="367" ht="15.75" customHeight="1" spans="1:26">
      <c r="A367" s="190"/>
      <c r="B367" s="190"/>
      <c r="C367" s="190"/>
      <c r="D367" s="190"/>
      <c r="E367" s="190"/>
      <c r="F367" s="190"/>
      <c r="G367" s="190"/>
      <c r="H367" s="190"/>
      <c r="I367" s="190"/>
      <c r="J367" s="190"/>
      <c r="K367" s="190"/>
      <c r="L367" s="190"/>
      <c r="M367" s="190"/>
      <c r="N367" s="190"/>
      <c r="O367" s="190"/>
      <c r="P367" s="190"/>
      <c r="Q367" s="190"/>
      <c r="R367" s="190"/>
      <c r="S367" s="190"/>
      <c r="T367" s="190"/>
      <c r="U367" s="190"/>
      <c r="V367" s="190"/>
      <c r="W367" s="190"/>
      <c r="X367" s="190"/>
      <c r="Y367" s="190"/>
      <c r="Z367" s="190"/>
    </row>
    <row r="368" ht="15.75" customHeight="1" spans="1:26">
      <c r="A368" s="190"/>
      <c r="B368" s="190"/>
      <c r="C368" s="190"/>
      <c r="D368" s="190"/>
      <c r="E368" s="190"/>
      <c r="F368" s="190"/>
      <c r="G368" s="190"/>
      <c r="H368" s="190"/>
      <c r="I368" s="190"/>
      <c r="J368" s="190"/>
      <c r="K368" s="190"/>
      <c r="L368" s="190"/>
      <c r="M368" s="190"/>
      <c r="N368" s="190"/>
      <c r="O368" s="190"/>
      <c r="P368" s="190"/>
      <c r="Q368" s="190"/>
      <c r="R368" s="190"/>
      <c r="S368" s="190"/>
      <c r="T368" s="190"/>
      <c r="U368" s="190"/>
      <c r="V368" s="190"/>
      <c r="W368" s="190"/>
      <c r="X368" s="190"/>
      <c r="Y368" s="190"/>
      <c r="Z368" s="190"/>
    </row>
    <row r="369" ht="15.75" customHeight="1" spans="1:26">
      <c r="A369" s="190"/>
      <c r="B369" s="190"/>
      <c r="C369" s="190"/>
      <c r="D369" s="190"/>
      <c r="E369" s="190"/>
      <c r="F369" s="190"/>
      <c r="G369" s="190"/>
      <c r="H369" s="190"/>
      <c r="I369" s="190"/>
      <c r="J369" s="190"/>
      <c r="K369" s="190"/>
      <c r="L369" s="190"/>
      <c r="M369" s="190"/>
      <c r="N369" s="190"/>
      <c r="O369" s="190"/>
      <c r="P369" s="190"/>
      <c r="Q369" s="190"/>
      <c r="R369" s="190"/>
      <c r="S369" s="190"/>
      <c r="T369" s="190"/>
      <c r="U369" s="190"/>
      <c r="V369" s="190"/>
      <c r="W369" s="190"/>
      <c r="X369" s="190"/>
      <c r="Y369" s="190"/>
      <c r="Z369" s="190"/>
    </row>
    <row r="370" ht="15.75" customHeight="1" spans="1:26">
      <c r="A370" s="190"/>
      <c r="B370" s="190"/>
      <c r="C370" s="190"/>
      <c r="D370" s="190"/>
      <c r="E370" s="190"/>
      <c r="F370" s="190"/>
      <c r="G370" s="190"/>
      <c r="H370" s="190"/>
      <c r="I370" s="190"/>
      <c r="J370" s="190"/>
      <c r="K370" s="190"/>
      <c r="L370" s="190"/>
      <c r="M370" s="190"/>
      <c r="N370" s="190"/>
      <c r="O370" s="190"/>
      <c r="P370" s="190"/>
      <c r="Q370" s="190"/>
      <c r="R370" s="190"/>
      <c r="S370" s="190"/>
      <c r="T370" s="190"/>
      <c r="U370" s="190"/>
      <c r="V370" s="190"/>
      <c r="W370" s="190"/>
      <c r="X370" s="190"/>
      <c r="Y370" s="190"/>
      <c r="Z370" s="190"/>
    </row>
    <row r="371" ht="15.75" customHeight="1" spans="1:26">
      <c r="A371" s="190"/>
      <c r="B371" s="190"/>
      <c r="C371" s="190"/>
      <c r="D371" s="190"/>
      <c r="E371" s="190"/>
      <c r="F371" s="190"/>
      <c r="G371" s="190"/>
      <c r="H371" s="190"/>
      <c r="I371" s="190"/>
      <c r="J371" s="190"/>
      <c r="K371" s="190"/>
      <c r="L371" s="190"/>
      <c r="M371" s="190"/>
      <c r="N371" s="190"/>
      <c r="O371" s="190"/>
      <c r="P371" s="190"/>
      <c r="Q371" s="190"/>
      <c r="R371" s="190"/>
      <c r="S371" s="190"/>
      <c r="T371" s="190"/>
      <c r="U371" s="190"/>
      <c r="V371" s="190"/>
      <c r="W371" s="190"/>
      <c r="X371" s="190"/>
      <c r="Y371" s="190"/>
      <c r="Z371" s="190"/>
    </row>
    <row r="372" ht="15.75" customHeight="1" spans="1:26">
      <c r="A372" s="190"/>
      <c r="B372" s="190"/>
      <c r="C372" s="190"/>
      <c r="D372" s="190"/>
      <c r="E372" s="190"/>
      <c r="F372" s="190"/>
      <c r="G372" s="190"/>
      <c r="H372" s="190"/>
      <c r="I372" s="190"/>
      <c r="J372" s="190"/>
      <c r="K372" s="190"/>
      <c r="L372" s="190"/>
      <c r="M372" s="190"/>
      <c r="N372" s="190"/>
      <c r="O372" s="190"/>
      <c r="P372" s="190"/>
      <c r="Q372" s="190"/>
      <c r="R372" s="190"/>
      <c r="S372" s="190"/>
      <c r="T372" s="190"/>
      <c r="U372" s="190"/>
      <c r="V372" s="190"/>
      <c r="W372" s="190"/>
      <c r="X372" s="190"/>
      <c r="Y372" s="190"/>
      <c r="Z372" s="190"/>
    </row>
    <row r="373" ht="15.75" customHeight="1" spans="1:26">
      <c r="A373" s="190"/>
      <c r="B373" s="190"/>
      <c r="C373" s="190"/>
      <c r="D373" s="190"/>
      <c r="E373" s="190"/>
      <c r="F373" s="190"/>
      <c r="G373" s="190"/>
      <c r="H373" s="190"/>
      <c r="I373" s="190"/>
      <c r="J373" s="190"/>
      <c r="K373" s="190"/>
      <c r="L373" s="190"/>
      <c r="M373" s="190"/>
      <c r="N373" s="190"/>
      <c r="O373" s="190"/>
      <c r="P373" s="190"/>
      <c r="Q373" s="190"/>
      <c r="R373" s="190"/>
      <c r="S373" s="190"/>
      <c r="T373" s="190"/>
      <c r="U373" s="190"/>
      <c r="V373" s="190"/>
      <c r="W373" s="190"/>
      <c r="X373" s="190"/>
      <c r="Y373" s="190"/>
      <c r="Z373" s="190"/>
    </row>
    <row r="374" ht="15.75" customHeight="1" spans="1:26">
      <c r="A374" s="190"/>
      <c r="B374" s="190"/>
      <c r="C374" s="190"/>
      <c r="D374" s="190"/>
      <c r="E374" s="190"/>
      <c r="F374" s="190"/>
      <c r="G374" s="190"/>
      <c r="H374" s="190"/>
      <c r="I374" s="190"/>
      <c r="J374" s="190"/>
      <c r="K374" s="190"/>
      <c r="L374" s="190"/>
      <c r="M374" s="190"/>
      <c r="N374" s="190"/>
      <c r="O374" s="190"/>
      <c r="P374" s="190"/>
      <c r="Q374" s="190"/>
      <c r="R374" s="190"/>
      <c r="S374" s="190"/>
      <c r="T374" s="190"/>
      <c r="U374" s="190"/>
      <c r="V374" s="190"/>
      <c r="W374" s="190"/>
      <c r="X374" s="190"/>
      <c r="Y374" s="190"/>
      <c r="Z374" s="190"/>
    </row>
    <row r="375" ht="15.75" customHeight="1" spans="1:26">
      <c r="A375" s="190"/>
      <c r="B375" s="190"/>
      <c r="C375" s="190"/>
      <c r="D375" s="190"/>
      <c r="E375" s="190"/>
      <c r="F375" s="190"/>
      <c r="G375" s="190"/>
      <c r="H375" s="190"/>
      <c r="I375" s="190"/>
      <c r="J375" s="190"/>
      <c r="K375" s="190"/>
      <c r="L375" s="190"/>
      <c r="M375" s="190"/>
      <c r="N375" s="190"/>
      <c r="O375" s="190"/>
      <c r="P375" s="190"/>
      <c r="Q375" s="190"/>
      <c r="R375" s="190"/>
      <c r="S375" s="190"/>
      <c r="T375" s="190"/>
      <c r="U375" s="190"/>
      <c r="V375" s="190"/>
      <c r="W375" s="190"/>
      <c r="X375" s="190"/>
      <c r="Y375" s="190"/>
      <c r="Z375" s="190"/>
    </row>
    <row r="376" ht="15.75" customHeight="1" spans="1:26">
      <c r="A376" s="190"/>
      <c r="B376" s="190"/>
      <c r="C376" s="190"/>
      <c r="D376" s="190"/>
      <c r="E376" s="190"/>
      <c r="F376" s="190"/>
      <c r="G376" s="190"/>
      <c r="H376" s="190"/>
      <c r="I376" s="190"/>
      <c r="J376" s="190"/>
      <c r="K376" s="190"/>
      <c r="L376" s="190"/>
      <c r="M376" s="190"/>
      <c r="N376" s="190"/>
      <c r="O376" s="190"/>
      <c r="P376" s="190"/>
      <c r="Q376" s="190"/>
      <c r="R376" s="190"/>
      <c r="S376" s="190"/>
      <c r="T376" s="190"/>
      <c r="U376" s="190"/>
      <c r="V376" s="190"/>
      <c r="W376" s="190"/>
      <c r="X376" s="190"/>
      <c r="Y376" s="190"/>
      <c r="Z376" s="190"/>
    </row>
    <row r="377" ht="15.75" customHeight="1" spans="1:26">
      <c r="A377" s="190"/>
      <c r="B377" s="190"/>
      <c r="C377" s="190"/>
      <c r="D377" s="190"/>
      <c r="E377" s="190"/>
      <c r="F377" s="190"/>
      <c r="G377" s="190"/>
      <c r="H377" s="190"/>
      <c r="I377" s="190"/>
      <c r="J377" s="190"/>
      <c r="K377" s="190"/>
      <c r="L377" s="190"/>
      <c r="M377" s="190"/>
      <c r="N377" s="190"/>
      <c r="O377" s="190"/>
      <c r="P377" s="190"/>
      <c r="Q377" s="190"/>
      <c r="R377" s="190"/>
      <c r="S377" s="190"/>
      <c r="T377" s="190"/>
      <c r="U377" s="190"/>
      <c r="V377" s="190"/>
      <c r="W377" s="190"/>
      <c r="X377" s="190"/>
      <c r="Y377" s="190"/>
      <c r="Z377" s="190"/>
    </row>
    <row r="378" ht="15.75" customHeight="1" spans="1:26">
      <c r="A378" s="190"/>
      <c r="B378" s="190"/>
      <c r="C378" s="190"/>
      <c r="D378" s="190"/>
      <c r="E378" s="190"/>
      <c r="F378" s="190"/>
      <c r="G378" s="190"/>
      <c r="H378" s="190"/>
      <c r="I378" s="190"/>
      <c r="J378" s="190"/>
      <c r="K378" s="190"/>
      <c r="L378" s="190"/>
      <c r="M378" s="190"/>
      <c r="N378" s="190"/>
      <c r="O378" s="190"/>
      <c r="P378" s="190"/>
      <c r="Q378" s="190"/>
      <c r="R378" s="190"/>
      <c r="S378" s="190"/>
      <c r="T378" s="190"/>
      <c r="U378" s="190"/>
      <c r="V378" s="190"/>
      <c r="W378" s="190"/>
      <c r="X378" s="190"/>
      <c r="Y378" s="190"/>
      <c r="Z378" s="190"/>
    </row>
    <row r="379" ht="15.75" customHeight="1" spans="1:26">
      <c r="A379" s="190"/>
      <c r="B379" s="190"/>
      <c r="C379" s="190"/>
      <c r="D379" s="190"/>
      <c r="E379" s="190"/>
      <c r="F379" s="190"/>
      <c r="G379" s="190"/>
      <c r="H379" s="190"/>
      <c r="I379" s="190"/>
      <c r="J379" s="190"/>
      <c r="K379" s="190"/>
      <c r="L379" s="190"/>
      <c r="M379" s="190"/>
      <c r="N379" s="190"/>
      <c r="O379" s="190"/>
      <c r="P379" s="190"/>
      <c r="Q379" s="190"/>
      <c r="R379" s="190"/>
      <c r="S379" s="190"/>
      <c r="T379" s="190"/>
      <c r="U379" s="190"/>
      <c r="V379" s="190"/>
      <c r="W379" s="190"/>
      <c r="X379" s="190"/>
      <c r="Y379" s="190"/>
      <c r="Z379" s="190"/>
    </row>
    <row r="380" ht="15.75" customHeight="1" spans="1:26">
      <c r="A380" s="190"/>
      <c r="B380" s="190"/>
      <c r="C380" s="190"/>
      <c r="D380" s="190"/>
      <c r="E380" s="190"/>
      <c r="F380" s="190"/>
      <c r="G380" s="190"/>
      <c r="H380" s="190"/>
      <c r="I380" s="190"/>
      <c r="J380" s="190"/>
      <c r="K380" s="190"/>
      <c r="L380" s="190"/>
      <c r="M380" s="190"/>
      <c r="N380" s="190"/>
      <c r="O380" s="190"/>
      <c r="P380" s="190"/>
      <c r="Q380" s="190"/>
      <c r="R380" s="190"/>
      <c r="S380" s="190"/>
      <c r="T380" s="190"/>
      <c r="U380" s="190"/>
      <c r="V380" s="190"/>
      <c r="W380" s="190"/>
      <c r="X380" s="190"/>
      <c r="Y380" s="190"/>
      <c r="Z380" s="190"/>
    </row>
    <row r="381" ht="15.75" customHeight="1" spans="1:26">
      <c r="A381" s="190"/>
      <c r="B381" s="190"/>
      <c r="C381" s="190"/>
      <c r="D381" s="190"/>
      <c r="E381" s="190"/>
      <c r="F381" s="190"/>
      <c r="G381" s="190"/>
      <c r="H381" s="190"/>
      <c r="I381" s="190"/>
      <c r="J381" s="190"/>
      <c r="K381" s="190"/>
      <c r="L381" s="190"/>
      <c r="M381" s="190"/>
      <c r="N381" s="190"/>
      <c r="O381" s="190"/>
      <c r="P381" s="190"/>
      <c r="Q381" s="190"/>
      <c r="R381" s="190"/>
      <c r="S381" s="190"/>
      <c r="T381" s="190"/>
      <c r="U381" s="190"/>
      <c r="V381" s="190"/>
      <c r="W381" s="190"/>
      <c r="X381" s="190"/>
      <c r="Y381" s="190"/>
      <c r="Z381" s="190"/>
    </row>
    <row r="382" ht="15.75" customHeight="1" spans="1:26">
      <c r="A382" s="190"/>
      <c r="B382" s="190"/>
      <c r="C382" s="190"/>
      <c r="D382" s="190"/>
      <c r="E382" s="190"/>
      <c r="F382" s="190"/>
      <c r="G382" s="190"/>
      <c r="H382" s="190"/>
      <c r="I382" s="190"/>
      <c r="J382" s="190"/>
      <c r="K382" s="190"/>
      <c r="L382" s="190"/>
      <c r="M382" s="190"/>
      <c r="N382" s="190"/>
      <c r="O382" s="190"/>
      <c r="P382" s="190"/>
      <c r="Q382" s="190"/>
      <c r="R382" s="190"/>
      <c r="S382" s="190"/>
      <c r="T382" s="190"/>
      <c r="U382" s="190"/>
      <c r="V382" s="190"/>
      <c r="W382" s="190"/>
      <c r="X382" s="190"/>
      <c r="Y382" s="190"/>
      <c r="Z382" s="190"/>
    </row>
    <row r="383" ht="15.75" customHeight="1" spans="1:26">
      <c r="A383" s="190"/>
      <c r="B383" s="190"/>
      <c r="C383" s="190"/>
      <c r="D383" s="190"/>
      <c r="E383" s="190"/>
      <c r="F383" s="190"/>
      <c r="G383" s="190"/>
      <c r="H383" s="190"/>
      <c r="I383" s="190"/>
      <c r="J383" s="190"/>
      <c r="K383" s="190"/>
      <c r="L383" s="190"/>
      <c r="M383" s="190"/>
      <c r="N383" s="190"/>
      <c r="O383" s="190"/>
      <c r="P383" s="190"/>
      <c r="Q383" s="190"/>
      <c r="R383" s="190"/>
      <c r="S383" s="190"/>
      <c r="T383" s="190"/>
      <c r="U383" s="190"/>
      <c r="V383" s="190"/>
      <c r="W383" s="190"/>
      <c r="X383" s="190"/>
      <c r="Y383" s="190"/>
      <c r="Z383" s="190"/>
    </row>
    <row r="384" ht="15.75" customHeight="1" spans="1:26">
      <c r="A384" s="190"/>
      <c r="B384" s="190"/>
      <c r="C384" s="190"/>
      <c r="D384" s="190"/>
      <c r="E384" s="190"/>
      <c r="F384" s="190"/>
      <c r="G384" s="190"/>
      <c r="H384" s="190"/>
      <c r="I384" s="190"/>
      <c r="J384" s="190"/>
      <c r="K384" s="190"/>
      <c r="L384" s="190"/>
      <c r="M384" s="190"/>
      <c r="N384" s="190"/>
      <c r="O384" s="190"/>
      <c r="P384" s="190"/>
      <c r="Q384" s="190"/>
      <c r="R384" s="190"/>
      <c r="S384" s="190"/>
      <c r="T384" s="190"/>
      <c r="U384" s="190"/>
      <c r="V384" s="190"/>
      <c r="W384" s="190"/>
      <c r="X384" s="190"/>
      <c r="Y384" s="190"/>
      <c r="Z384" s="190"/>
    </row>
    <row r="385" ht="15.75" customHeight="1" spans="1:26">
      <c r="A385" s="190"/>
      <c r="B385" s="190"/>
      <c r="C385" s="190"/>
      <c r="D385" s="190"/>
      <c r="E385" s="190"/>
      <c r="F385" s="190"/>
      <c r="G385" s="190"/>
      <c r="H385" s="190"/>
      <c r="I385" s="190"/>
      <c r="J385" s="190"/>
      <c r="K385" s="190"/>
      <c r="L385" s="190"/>
      <c r="M385" s="190"/>
      <c r="N385" s="190"/>
      <c r="O385" s="190"/>
      <c r="P385" s="190"/>
      <c r="Q385" s="190"/>
      <c r="R385" s="190"/>
      <c r="S385" s="190"/>
      <c r="T385" s="190"/>
      <c r="U385" s="190"/>
      <c r="V385" s="190"/>
      <c r="W385" s="190"/>
      <c r="X385" s="190"/>
      <c r="Y385" s="190"/>
      <c r="Z385" s="190"/>
    </row>
    <row r="386" ht="15.75" customHeight="1" spans="1:26">
      <c r="A386" s="190"/>
      <c r="B386" s="190"/>
      <c r="C386" s="190"/>
      <c r="D386" s="190"/>
      <c r="E386" s="190"/>
      <c r="F386" s="190"/>
      <c r="G386" s="190"/>
      <c r="H386" s="190"/>
      <c r="I386" s="190"/>
      <c r="J386" s="190"/>
      <c r="K386" s="190"/>
      <c r="L386" s="190"/>
      <c r="M386" s="190"/>
      <c r="N386" s="190"/>
      <c r="O386" s="190"/>
      <c r="P386" s="190"/>
      <c r="Q386" s="190"/>
      <c r="R386" s="190"/>
      <c r="S386" s="190"/>
      <c r="T386" s="190"/>
      <c r="U386" s="190"/>
      <c r="V386" s="190"/>
      <c r="W386" s="190"/>
      <c r="X386" s="190"/>
      <c r="Y386" s="190"/>
      <c r="Z386" s="190"/>
    </row>
    <row r="387" ht="15.75" customHeight="1" spans="1:26">
      <c r="A387" s="190"/>
      <c r="B387" s="190"/>
      <c r="C387" s="190"/>
      <c r="D387" s="190"/>
      <c r="E387" s="190"/>
      <c r="F387" s="190"/>
      <c r="G387" s="190"/>
      <c r="H387" s="190"/>
      <c r="I387" s="190"/>
      <c r="J387" s="190"/>
      <c r="K387" s="190"/>
      <c r="L387" s="190"/>
      <c r="M387" s="190"/>
      <c r="N387" s="190"/>
      <c r="O387" s="190"/>
      <c r="P387" s="190"/>
      <c r="Q387" s="190"/>
      <c r="R387" s="190"/>
      <c r="S387" s="190"/>
      <c r="T387" s="190"/>
      <c r="U387" s="190"/>
      <c r="V387" s="190"/>
      <c r="W387" s="190"/>
      <c r="X387" s="190"/>
      <c r="Y387" s="190"/>
      <c r="Z387" s="190"/>
    </row>
    <row r="388" ht="15.75" customHeight="1" spans="1:26">
      <c r="A388" s="190"/>
      <c r="B388" s="190"/>
      <c r="C388" s="190"/>
      <c r="D388" s="190"/>
      <c r="E388" s="190"/>
      <c r="F388" s="190"/>
      <c r="G388" s="190"/>
      <c r="H388" s="190"/>
      <c r="I388" s="190"/>
      <c r="J388" s="190"/>
      <c r="K388" s="190"/>
      <c r="L388" s="190"/>
      <c r="M388" s="190"/>
      <c r="N388" s="190"/>
      <c r="O388" s="190"/>
      <c r="P388" s="190"/>
      <c r="Q388" s="190"/>
      <c r="R388" s="190"/>
      <c r="S388" s="190"/>
      <c r="T388" s="190"/>
      <c r="U388" s="190"/>
      <c r="V388" s="190"/>
      <c r="W388" s="190"/>
      <c r="X388" s="190"/>
      <c r="Y388" s="190"/>
      <c r="Z388" s="190"/>
    </row>
    <row r="389" ht="15.75" customHeight="1" spans="1:26">
      <c r="A389" s="190"/>
      <c r="B389" s="190"/>
      <c r="C389" s="190"/>
      <c r="D389" s="190"/>
      <c r="E389" s="190"/>
      <c r="F389" s="190"/>
      <c r="G389" s="190"/>
      <c r="H389" s="190"/>
      <c r="I389" s="190"/>
      <c r="J389" s="190"/>
      <c r="K389" s="190"/>
      <c r="L389" s="190"/>
      <c r="M389" s="190"/>
      <c r="N389" s="190"/>
      <c r="O389" s="190"/>
      <c r="P389" s="190"/>
      <c r="Q389" s="190"/>
      <c r="R389" s="190"/>
      <c r="S389" s="190"/>
      <c r="T389" s="190"/>
      <c r="U389" s="190"/>
      <c r="V389" s="190"/>
      <c r="W389" s="190"/>
      <c r="X389" s="190"/>
      <c r="Y389" s="190"/>
      <c r="Z389" s="190"/>
    </row>
    <row r="390" ht="15.75" customHeight="1" spans="1:26">
      <c r="A390" s="190"/>
      <c r="B390" s="190"/>
      <c r="C390" s="190"/>
      <c r="D390" s="190"/>
      <c r="E390" s="190"/>
      <c r="F390" s="190"/>
      <c r="G390" s="190"/>
      <c r="H390" s="190"/>
      <c r="I390" s="190"/>
      <c r="J390" s="190"/>
      <c r="K390" s="190"/>
      <c r="L390" s="190"/>
      <c r="M390" s="190"/>
      <c r="N390" s="190"/>
      <c r="O390" s="190"/>
      <c r="P390" s="190"/>
      <c r="Q390" s="190"/>
      <c r="R390" s="190"/>
      <c r="S390" s="190"/>
      <c r="T390" s="190"/>
      <c r="U390" s="190"/>
      <c r="V390" s="190"/>
      <c r="W390" s="190"/>
      <c r="X390" s="190"/>
      <c r="Y390" s="190"/>
      <c r="Z390" s="190"/>
    </row>
    <row r="391" ht="15.75" customHeight="1" spans="1:26">
      <c r="A391" s="190"/>
      <c r="B391" s="190"/>
      <c r="C391" s="190"/>
      <c r="D391" s="190"/>
      <c r="E391" s="190"/>
      <c r="F391" s="190"/>
      <c r="G391" s="190"/>
      <c r="H391" s="190"/>
      <c r="I391" s="190"/>
      <c r="J391" s="190"/>
      <c r="K391" s="190"/>
      <c r="L391" s="190"/>
      <c r="M391" s="190"/>
      <c r="N391" s="190"/>
      <c r="O391" s="190"/>
      <c r="P391" s="190"/>
      <c r="Q391" s="190"/>
      <c r="R391" s="190"/>
      <c r="S391" s="190"/>
      <c r="T391" s="190"/>
      <c r="U391" s="190"/>
      <c r="V391" s="190"/>
      <c r="W391" s="190"/>
      <c r="X391" s="190"/>
      <c r="Y391" s="190"/>
      <c r="Z391" s="190"/>
    </row>
    <row r="392" ht="15.75" customHeight="1" spans="1:26">
      <c r="A392" s="190"/>
      <c r="B392" s="190"/>
      <c r="C392" s="190"/>
      <c r="D392" s="190"/>
      <c r="E392" s="190"/>
      <c r="F392" s="190"/>
      <c r="G392" s="190"/>
      <c r="H392" s="190"/>
      <c r="I392" s="190"/>
      <c r="J392" s="190"/>
      <c r="K392" s="190"/>
      <c r="L392" s="190"/>
      <c r="M392" s="190"/>
      <c r="N392" s="190"/>
      <c r="O392" s="190"/>
      <c r="P392" s="190"/>
      <c r="Q392" s="190"/>
      <c r="R392" s="190"/>
      <c r="S392" s="190"/>
      <c r="T392" s="190"/>
      <c r="U392" s="190"/>
      <c r="V392" s="190"/>
      <c r="W392" s="190"/>
      <c r="X392" s="190"/>
      <c r="Y392" s="190"/>
      <c r="Z392" s="190"/>
    </row>
    <row r="393" ht="15.75" customHeight="1" spans="1:26">
      <c r="A393" s="190"/>
      <c r="B393" s="190"/>
      <c r="C393" s="190"/>
      <c r="D393" s="190"/>
      <c r="E393" s="190"/>
      <c r="F393" s="190"/>
      <c r="G393" s="190"/>
      <c r="H393" s="190"/>
      <c r="I393" s="190"/>
      <c r="J393" s="190"/>
      <c r="K393" s="190"/>
      <c r="L393" s="190"/>
      <c r="M393" s="190"/>
      <c r="N393" s="190"/>
      <c r="O393" s="190"/>
      <c r="P393" s="190"/>
      <c r="Q393" s="190"/>
      <c r="R393" s="190"/>
      <c r="S393" s="190"/>
      <c r="T393" s="190"/>
      <c r="U393" s="190"/>
      <c r="V393" s="190"/>
      <c r="W393" s="190"/>
      <c r="X393" s="190"/>
      <c r="Y393" s="190"/>
      <c r="Z393" s="190"/>
    </row>
    <row r="394" ht="15.75" customHeight="1" spans="1:26">
      <c r="A394" s="190"/>
      <c r="B394" s="190"/>
      <c r="C394" s="190"/>
      <c r="D394" s="190"/>
      <c r="E394" s="190"/>
      <c r="F394" s="190"/>
      <c r="G394" s="190"/>
      <c r="H394" s="190"/>
      <c r="I394" s="190"/>
      <c r="J394" s="190"/>
      <c r="K394" s="190"/>
      <c r="L394" s="190"/>
      <c r="M394" s="190"/>
      <c r="N394" s="190"/>
      <c r="O394" s="190"/>
      <c r="P394" s="190"/>
      <c r="Q394" s="190"/>
      <c r="R394" s="190"/>
      <c r="S394" s="190"/>
      <c r="T394" s="190"/>
      <c r="U394" s="190"/>
      <c r="V394" s="190"/>
      <c r="W394" s="190"/>
      <c r="X394" s="190"/>
      <c r="Y394" s="190"/>
      <c r="Z394" s="190"/>
    </row>
    <row r="395" ht="15.75" customHeight="1" spans="1:26">
      <c r="A395" s="190"/>
      <c r="B395" s="190"/>
      <c r="C395" s="190"/>
      <c r="D395" s="190"/>
      <c r="E395" s="190"/>
      <c r="F395" s="190"/>
      <c r="G395" s="190"/>
      <c r="H395" s="190"/>
      <c r="I395" s="190"/>
      <c r="J395" s="190"/>
      <c r="K395" s="190"/>
      <c r="L395" s="190"/>
      <c r="M395" s="190"/>
      <c r="N395" s="190"/>
      <c r="O395" s="190"/>
      <c r="P395" s="190"/>
      <c r="Q395" s="190"/>
      <c r="R395" s="190"/>
      <c r="S395" s="190"/>
      <c r="T395" s="190"/>
      <c r="U395" s="190"/>
      <c r="V395" s="190"/>
      <c r="W395" s="190"/>
      <c r="X395" s="190"/>
      <c r="Y395" s="190"/>
      <c r="Z395" s="190"/>
    </row>
    <row r="396" ht="15.75" customHeight="1" spans="1:26">
      <c r="A396" s="190"/>
      <c r="B396" s="190"/>
      <c r="C396" s="190"/>
      <c r="D396" s="190"/>
      <c r="E396" s="190"/>
      <c r="F396" s="190"/>
      <c r="G396" s="190"/>
      <c r="H396" s="190"/>
      <c r="I396" s="190"/>
      <c r="J396" s="190"/>
      <c r="K396" s="190"/>
      <c r="L396" s="190"/>
      <c r="M396" s="190"/>
      <c r="N396" s="190"/>
      <c r="O396" s="190"/>
      <c r="P396" s="190"/>
      <c r="Q396" s="190"/>
      <c r="R396" s="190"/>
      <c r="S396" s="190"/>
      <c r="T396" s="190"/>
      <c r="U396" s="190"/>
      <c r="V396" s="190"/>
      <c r="W396" s="190"/>
      <c r="X396" s="190"/>
      <c r="Y396" s="190"/>
      <c r="Z396" s="190"/>
    </row>
    <row r="397" ht="15.75" customHeight="1" spans="1:26">
      <c r="A397" s="190"/>
      <c r="B397" s="190"/>
      <c r="C397" s="190"/>
      <c r="D397" s="190"/>
      <c r="E397" s="190"/>
      <c r="F397" s="190"/>
      <c r="G397" s="190"/>
      <c r="H397" s="190"/>
      <c r="I397" s="190"/>
      <c r="J397" s="190"/>
      <c r="K397" s="190"/>
      <c r="L397" s="190"/>
      <c r="M397" s="190"/>
      <c r="N397" s="190"/>
      <c r="O397" s="190"/>
      <c r="P397" s="190"/>
      <c r="Q397" s="190"/>
      <c r="R397" s="190"/>
      <c r="S397" s="190"/>
      <c r="T397" s="190"/>
      <c r="U397" s="190"/>
      <c r="V397" s="190"/>
      <c r="W397" s="190"/>
      <c r="X397" s="190"/>
      <c r="Y397" s="190"/>
      <c r="Z397" s="190"/>
    </row>
    <row r="398" ht="15.75" customHeight="1" spans="1:26">
      <c r="A398" s="190"/>
      <c r="B398" s="190"/>
      <c r="C398" s="190"/>
      <c r="D398" s="190"/>
      <c r="E398" s="190"/>
      <c r="F398" s="190"/>
      <c r="G398" s="190"/>
      <c r="H398" s="190"/>
      <c r="I398" s="190"/>
      <c r="J398" s="190"/>
      <c r="K398" s="190"/>
      <c r="L398" s="190"/>
      <c r="M398" s="190"/>
      <c r="N398" s="190"/>
      <c r="O398" s="190"/>
      <c r="P398" s="190"/>
      <c r="Q398" s="190"/>
      <c r="R398" s="190"/>
      <c r="S398" s="190"/>
      <c r="T398" s="190"/>
      <c r="U398" s="190"/>
      <c r="V398" s="190"/>
      <c r="W398" s="190"/>
      <c r="X398" s="190"/>
      <c r="Y398" s="190"/>
      <c r="Z398" s="190"/>
    </row>
    <row r="399" ht="15.75" customHeight="1" spans="1:26">
      <c r="A399" s="190"/>
      <c r="B399" s="190"/>
      <c r="C399" s="190"/>
      <c r="D399" s="190"/>
      <c r="E399" s="190"/>
      <c r="F399" s="190"/>
      <c r="G399" s="190"/>
      <c r="H399" s="190"/>
      <c r="I399" s="190"/>
      <c r="J399" s="190"/>
      <c r="K399" s="190"/>
      <c r="L399" s="190"/>
      <c r="M399" s="190"/>
      <c r="N399" s="190"/>
      <c r="O399" s="190"/>
      <c r="P399" s="190"/>
      <c r="Q399" s="190"/>
      <c r="R399" s="190"/>
      <c r="S399" s="190"/>
      <c r="T399" s="190"/>
      <c r="U399" s="190"/>
      <c r="V399" s="190"/>
      <c r="W399" s="190"/>
      <c r="X399" s="190"/>
      <c r="Y399" s="190"/>
      <c r="Z399" s="190"/>
    </row>
    <row r="400" ht="15.75" customHeight="1" spans="1:26">
      <c r="A400" s="190"/>
      <c r="B400" s="190"/>
      <c r="C400" s="190"/>
      <c r="D400" s="190"/>
      <c r="E400" s="190"/>
      <c r="F400" s="190"/>
      <c r="G400" s="190"/>
      <c r="H400" s="190"/>
      <c r="I400" s="190"/>
      <c r="J400" s="190"/>
      <c r="K400" s="190"/>
      <c r="L400" s="190"/>
      <c r="M400" s="190"/>
      <c r="N400" s="190"/>
      <c r="O400" s="190"/>
      <c r="P400" s="190"/>
      <c r="Q400" s="190"/>
      <c r="R400" s="190"/>
      <c r="S400" s="190"/>
      <c r="T400" s="190"/>
      <c r="U400" s="190"/>
      <c r="V400" s="190"/>
      <c r="W400" s="190"/>
      <c r="X400" s="190"/>
      <c r="Y400" s="190"/>
      <c r="Z400" s="190"/>
    </row>
    <row r="401" ht="15.75" customHeight="1" spans="1:26">
      <c r="A401" s="190"/>
      <c r="B401" s="190"/>
      <c r="C401" s="190"/>
      <c r="D401" s="190"/>
      <c r="E401" s="190"/>
      <c r="F401" s="190"/>
      <c r="G401" s="190"/>
      <c r="H401" s="190"/>
      <c r="I401" s="190"/>
      <c r="J401" s="190"/>
      <c r="K401" s="190"/>
      <c r="L401" s="190"/>
      <c r="M401" s="190"/>
      <c r="N401" s="190"/>
      <c r="O401" s="190"/>
      <c r="P401" s="190"/>
      <c r="Q401" s="190"/>
      <c r="R401" s="190"/>
      <c r="S401" s="190"/>
      <c r="T401" s="190"/>
      <c r="U401" s="190"/>
      <c r="V401" s="190"/>
      <c r="W401" s="190"/>
      <c r="X401" s="190"/>
      <c r="Y401" s="190"/>
      <c r="Z401" s="190"/>
    </row>
    <row r="402" ht="15.75" customHeight="1" spans="1:26">
      <c r="A402" s="190"/>
      <c r="B402" s="190"/>
      <c r="C402" s="190"/>
      <c r="D402" s="190"/>
      <c r="E402" s="190"/>
      <c r="F402" s="190"/>
      <c r="G402" s="190"/>
      <c r="H402" s="190"/>
      <c r="I402" s="190"/>
      <c r="J402" s="190"/>
      <c r="K402" s="190"/>
      <c r="L402" s="190"/>
      <c r="M402" s="190"/>
      <c r="N402" s="190"/>
      <c r="O402" s="190"/>
      <c r="P402" s="190"/>
      <c r="Q402" s="190"/>
      <c r="R402" s="190"/>
      <c r="S402" s="190"/>
      <c r="T402" s="190"/>
      <c r="U402" s="190"/>
      <c r="V402" s="190"/>
      <c r="W402" s="190"/>
      <c r="X402" s="190"/>
      <c r="Y402" s="190"/>
      <c r="Z402" s="190"/>
    </row>
    <row r="403" ht="15.75" customHeight="1" spans="1:26">
      <c r="A403" s="190"/>
      <c r="B403" s="190"/>
      <c r="C403" s="190"/>
      <c r="D403" s="190"/>
      <c r="E403" s="190"/>
      <c r="F403" s="190"/>
      <c r="G403" s="190"/>
      <c r="H403" s="190"/>
      <c r="I403" s="190"/>
      <c r="J403" s="190"/>
      <c r="K403" s="190"/>
      <c r="L403" s="190"/>
      <c r="M403" s="190"/>
      <c r="N403" s="190"/>
      <c r="O403" s="190"/>
      <c r="P403" s="190"/>
      <c r="Q403" s="190"/>
      <c r="R403" s="190"/>
      <c r="S403" s="190"/>
      <c r="T403" s="190"/>
      <c r="U403" s="190"/>
      <c r="V403" s="190"/>
      <c r="W403" s="190"/>
      <c r="X403" s="190"/>
      <c r="Y403" s="190"/>
      <c r="Z403" s="190"/>
    </row>
    <row r="404" ht="15.75" customHeight="1" spans="1:26">
      <c r="A404" s="190"/>
      <c r="B404" s="190"/>
      <c r="C404" s="190"/>
      <c r="D404" s="190"/>
      <c r="E404" s="190"/>
      <c r="F404" s="190"/>
      <c r="G404" s="190"/>
      <c r="H404" s="190"/>
      <c r="I404" s="190"/>
      <c r="J404" s="190"/>
      <c r="K404" s="190"/>
      <c r="L404" s="190"/>
      <c r="M404" s="190"/>
      <c r="N404" s="190"/>
      <c r="O404" s="190"/>
      <c r="P404" s="190"/>
      <c r="Q404" s="190"/>
      <c r="R404" s="190"/>
      <c r="S404" s="190"/>
      <c r="T404" s="190"/>
      <c r="U404" s="190"/>
      <c r="V404" s="190"/>
      <c r="W404" s="190"/>
      <c r="X404" s="190"/>
      <c r="Y404" s="190"/>
      <c r="Z404" s="190"/>
    </row>
    <row r="405" ht="15.75" customHeight="1" spans="1:26">
      <c r="A405" s="190"/>
      <c r="B405" s="190"/>
      <c r="C405" s="190"/>
      <c r="D405" s="190"/>
      <c r="E405" s="190"/>
      <c r="F405" s="190"/>
      <c r="G405" s="190"/>
      <c r="H405" s="190"/>
      <c r="I405" s="190"/>
      <c r="J405" s="190"/>
      <c r="K405" s="190"/>
      <c r="L405" s="190"/>
      <c r="M405" s="190"/>
      <c r="N405" s="190"/>
      <c r="O405" s="190"/>
      <c r="P405" s="190"/>
      <c r="Q405" s="190"/>
      <c r="R405" s="190"/>
      <c r="S405" s="190"/>
      <c r="T405" s="190"/>
      <c r="U405" s="190"/>
      <c r="V405" s="190"/>
      <c r="W405" s="190"/>
      <c r="X405" s="190"/>
      <c r="Y405" s="190"/>
      <c r="Z405" s="190"/>
    </row>
    <row r="406" ht="15.75" customHeight="1" spans="1:26">
      <c r="A406" s="190"/>
      <c r="B406" s="190"/>
      <c r="C406" s="190"/>
      <c r="D406" s="190"/>
      <c r="E406" s="190"/>
      <c r="F406" s="190"/>
      <c r="G406" s="190"/>
      <c r="H406" s="190"/>
      <c r="I406" s="190"/>
      <c r="J406" s="190"/>
      <c r="K406" s="190"/>
      <c r="L406" s="190"/>
      <c r="M406" s="190"/>
      <c r="N406" s="190"/>
      <c r="O406" s="190"/>
      <c r="P406" s="190"/>
      <c r="Q406" s="190"/>
      <c r="R406" s="190"/>
      <c r="S406" s="190"/>
      <c r="T406" s="190"/>
      <c r="U406" s="190"/>
      <c r="V406" s="190"/>
      <c r="W406" s="190"/>
      <c r="X406" s="190"/>
      <c r="Y406" s="190"/>
      <c r="Z406" s="190"/>
    </row>
    <row r="407" ht="15.75" customHeight="1" spans="1:26">
      <c r="A407" s="190"/>
      <c r="B407" s="190"/>
      <c r="C407" s="190"/>
      <c r="D407" s="190"/>
      <c r="E407" s="190"/>
      <c r="F407" s="190"/>
      <c r="G407" s="190"/>
      <c r="H407" s="190"/>
      <c r="I407" s="190"/>
      <c r="J407" s="190"/>
      <c r="K407" s="190"/>
      <c r="L407" s="190"/>
      <c r="M407" s="190"/>
      <c r="N407" s="190"/>
      <c r="O407" s="190"/>
      <c r="P407" s="190"/>
      <c r="Q407" s="190"/>
      <c r="R407" s="190"/>
      <c r="S407" s="190"/>
      <c r="T407" s="190"/>
      <c r="U407" s="190"/>
      <c r="V407" s="190"/>
      <c r="W407" s="190"/>
      <c r="X407" s="190"/>
      <c r="Y407" s="190"/>
      <c r="Z407" s="190"/>
    </row>
    <row r="408" ht="15.75" customHeight="1" spans="1:26">
      <c r="A408" s="190"/>
      <c r="B408" s="190"/>
      <c r="C408" s="190"/>
      <c r="D408" s="190"/>
      <c r="E408" s="190"/>
      <c r="F408" s="190"/>
      <c r="G408" s="190"/>
      <c r="H408" s="190"/>
      <c r="I408" s="190"/>
      <c r="J408" s="190"/>
      <c r="K408" s="190"/>
      <c r="L408" s="190"/>
      <c r="M408" s="190"/>
      <c r="N408" s="190"/>
      <c r="O408" s="190"/>
      <c r="P408" s="190"/>
      <c r="Q408" s="190"/>
      <c r="R408" s="190"/>
      <c r="S408" s="190"/>
      <c r="T408" s="190"/>
      <c r="U408" s="190"/>
      <c r="V408" s="190"/>
      <c r="W408" s="190"/>
      <c r="X408" s="190"/>
      <c r="Y408" s="190"/>
      <c r="Z408" s="190"/>
    </row>
    <row r="409" ht="15.75" customHeight="1" spans="1:26">
      <c r="A409" s="190"/>
      <c r="B409" s="190"/>
      <c r="C409" s="190"/>
      <c r="D409" s="190"/>
      <c r="E409" s="190"/>
      <c r="F409" s="190"/>
      <c r="G409" s="190"/>
      <c r="H409" s="190"/>
      <c r="I409" s="190"/>
      <c r="J409" s="190"/>
      <c r="K409" s="190"/>
      <c r="L409" s="190"/>
      <c r="M409" s="190"/>
      <c r="N409" s="190"/>
      <c r="O409" s="190"/>
      <c r="P409" s="190"/>
      <c r="Q409" s="190"/>
      <c r="R409" s="190"/>
      <c r="S409" s="190"/>
      <c r="T409" s="190"/>
      <c r="U409" s="190"/>
      <c r="V409" s="190"/>
      <c r="W409" s="190"/>
      <c r="X409" s="190"/>
      <c r="Y409" s="190"/>
      <c r="Z409" s="190"/>
    </row>
    <row r="410" ht="15.75" customHeight="1" spans="1:26">
      <c r="A410" s="190"/>
      <c r="B410" s="190"/>
      <c r="C410" s="190"/>
      <c r="D410" s="190"/>
      <c r="E410" s="190"/>
      <c r="F410" s="190"/>
      <c r="G410" s="190"/>
      <c r="H410" s="190"/>
      <c r="I410" s="190"/>
      <c r="J410" s="190"/>
      <c r="K410" s="190"/>
      <c r="L410" s="190"/>
      <c r="M410" s="190"/>
      <c r="N410" s="190"/>
      <c r="O410" s="190"/>
      <c r="P410" s="190"/>
      <c r="Q410" s="190"/>
      <c r="R410" s="190"/>
      <c r="S410" s="190"/>
      <c r="T410" s="190"/>
      <c r="U410" s="190"/>
      <c r="V410" s="190"/>
      <c r="W410" s="190"/>
      <c r="X410" s="190"/>
      <c r="Y410" s="190"/>
      <c r="Z410" s="190"/>
    </row>
    <row r="411" ht="15.75" customHeight="1" spans="1:26">
      <c r="A411" s="190"/>
      <c r="B411" s="190"/>
      <c r="C411" s="190"/>
      <c r="D411" s="190"/>
      <c r="E411" s="190"/>
      <c r="F411" s="190"/>
      <c r="G411" s="190"/>
      <c r="H411" s="190"/>
      <c r="I411" s="190"/>
      <c r="J411" s="190"/>
      <c r="K411" s="190"/>
      <c r="L411" s="190"/>
      <c r="M411" s="190"/>
      <c r="N411" s="190"/>
      <c r="O411" s="190"/>
      <c r="P411" s="190"/>
      <c r="Q411" s="190"/>
      <c r="R411" s="190"/>
      <c r="S411" s="190"/>
      <c r="T411" s="190"/>
      <c r="U411" s="190"/>
      <c r="V411" s="190"/>
      <c r="W411" s="190"/>
      <c r="X411" s="190"/>
      <c r="Y411" s="190"/>
      <c r="Z411" s="190"/>
    </row>
    <row r="412" ht="15.75" customHeight="1" spans="1:26">
      <c r="A412" s="190"/>
      <c r="B412" s="190"/>
      <c r="C412" s="190"/>
      <c r="D412" s="190"/>
      <c r="E412" s="190"/>
      <c r="F412" s="190"/>
      <c r="G412" s="190"/>
      <c r="H412" s="190"/>
      <c r="I412" s="190"/>
      <c r="J412" s="190"/>
      <c r="K412" s="190"/>
      <c r="L412" s="190"/>
      <c r="M412" s="190"/>
      <c r="N412" s="190"/>
      <c r="O412" s="190"/>
      <c r="P412" s="190"/>
      <c r="Q412" s="190"/>
      <c r="R412" s="190"/>
      <c r="S412" s="190"/>
      <c r="T412" s="190"/>
      <c r="U412" s="190"/>
      <c r="V412" s="190"/>
      <c r="W412" s="190"/>
      <c r="X412" s="190"/>
      <c r="Y412" s="190"/>
      <c r="Z412" s="190"/>
    </row>
    <row r="413" ht="15.75" customHeight="1" spans="1:26">
      <c r="A413" s="190"/>
      <c r="B413" s="190"/>
      <c r="C413" s="190"/>
      <c r="D413" s="190"/>
      <c r="E413" s="190"/>
      <c r="F413" s="190"/>
      <c r="G413" s="190"/>
      <c r="H413" s="190"/>
      <c r="I413" s="190"/>
      <c r="J413" s="190"/>
      <c r="K413" s="190"/>
      <c r="L413" s="190"/>
      <c r="M413" s="190"/>
      <c r="N413" s="190"/>
      <c r="O413" s="190"/>
      <c r="P413" s="190"/>
      <c r="Q413" s="190"/>
      <c r="R413" s="190"/>
      <c r="S413" s="190"/>
      <c r="T413" s="190"/>
      <c r="U413" s="190"/>
      <c r="V413" s="190"/>
      <c r="W413" s="190"/>
      <c r="X413" s="190"/>
      <c r="Y413" s="190"/>
      <c r="Z413" s="190"/>
    </row>
    <row r="414" ht="15.75" customHeight="1" spans="1:26">
      <c r="A414" s="190"/>
      <c r="B414" s="190"/>
      <c r="C414" s="190"/>
      <c r="D414" s="190"/>
      <c r="E414" s="190"/>
      <c r="F414" s="190"/>
      <c r="G414" s="190"/>
      <c r="H414" s="190"/>
      <c r="I414" s="190"/>
      <c r="J414" s="190"/>
      <c r="K414" s="190"/>
      <c r="L414" s="190"/>
      <c r="M414" s="190"/>
      <c r="N414" s="190"/>
      <c r="O414" s="190"/>
      <c r="P414" s="190"/>
      <c r="Q414" s="190"/>
      <c r="R414" s="190"/>
      <c r="S414" s="190"/>
      <c r="T414" s="190"/>
      <c r="U414" s="190"/>
      <c r="V414" s="190"/>
      <c r="W414" s="190"/>
      <c r="X414" s="190"/>
      <c r="Y414" s="190"/>
      <c r="Z414" s="190"/>
    </row>
    <row r="415" ht="15.75" customHeight="1" spans="1:26">
      <c r="A415" s="190"/>
      <c r="B415" s="190"/>
      <c r="C415" s="190"/>
      <c r="D415" s="190"/>
      <c r="E415" s="190"/>
      <c r="F415" s="190"/>
      <c r="G415" s="190"/>
      <c r="H415" s="190"/>
      <c r="I415" s="190"/>
      <c r="J415" s="190"/>
      <c r="K415" s="190"/>
      <c r="L415" s="190"/>
      <c r="M415" s="190"/>
      <c r="N415" s="190"/>
      <c r="O415" s="190"/>
      <c r="P415" s="190"/>
      <c r="Q415" s="190"/>
      <c r="R415" s="190"/>
      <c r="S415" s="190"/>
      <c r="T415" s="190"/>
      <c r="U415" s="190"/>
      <c r="V415" s="190"/>
      <c r="W415" s="190"/>
      <c r="X415" s="190"/>
      <c r="Y415" s="190"/>
      <c r="Z415" s="190"/>
    </row>
    <row r="416" ht="15.75" customHeight="1" spans="1:26">
      <c r="A416" s="190"/>
      <c r="B416" s="190"/>
      <c r="C416" s="190"/>
      <c r="D416" s="190"/>
      <c r="E416" s="190"/>
      <c r="F416" s="190"/>
      <c r="G416" s="190"/>
      <c r="H416" s="190"/>
      <c r="I416" s="190"/>
      <c r="J416" s="190"/>
      <c r="K416" s="190"/>
      <c r="L416" s="190"/>
      <c r="M416" s="190"/>
      <c r="N416" s="190"/>
      <c r="O416" s="190"/>
      <c r="P416" s="190"/>
      <c r="Q416" s="190"/>
      <c r="R416" s="190"/>
      <c r="S416" s="190"/>
      <c r="T416" s="190"/>
      <c r="U416" s="190"/>
      <c r="V416" s="190"/>
      <c r="W416" s="190"/>
      <c r="X416" s="190"/>
      <c r="Y416" s="190"/>
      <c r="Z416" s="190"/>
    </row>
    <row r="417" ht="15.75" customHeight="1" spans="1:26">
      <c r="A417" s="190"/>
      <c r="B417" s="190"/>
      <c r="C417" s="190"/>
      <c r="D417" s="190"/>
      <c r="E417" s="190"/>
      <c r="F417" s="190"/>
      <c r="G417" s="190"/>
      <c r="H417" s="190"/>
      <c r="I417" s="190"/>
      <c r="J417" s="190"/>
      <c r="K417" s="190"/>
      <c r="L417" s="190"/>
      <c r="M417" s="190"/>
      <c r="N417" s="190"/>
      <c r="O417" s="190"/>
      <c r="P417" s="190"/>
      <c r="Q417" s="190"/>
      <c r="R417" s="190"/>
      <c r="S417" s="190"/>
      <c r="T417" s="190"/>
      <c r="U417" s="190"/>
      <c r="V417" s="190"/>
      <c r="W417" s="190"/>
      <c r="X417" s="190"/>
      <c r="Y417" s="190"/>
      <c r="Z417" s="190"/>
    </row>
    <row r="418" ht="15.75" customHeight="1" spans="1:26">
      <c r="A418" s="190"/>
      <c r="B418" s="190"/>
      <c r="C418" s="190"/>
      <c r="D418" s="190"/>
      <c r="E418" s="190"/>
      <c r="F418" s="190"/>
      <c r="G418" s="190"/>
      <c r="H418" s="190"/>
      <c r="I418" s="190"/>
      <c r="J418" s="190"/>
      <c r="K418" s="190"/>
      <c r="L418" s="190"/>
      <c r="M418" s="190"/>
      <c r="N418" s="190"/>
      <c r="O418" s="190"/>
      <c r="P418" s="190"/>
      <c r="Q418" s="190"/>
      <c r="R418" s="190"/>
      <c r="S418" s="190"/>
      <c r="T418" s="190"/>
      <c r="U418" s="190"/>
      <c r="V418" s="190"/>
      <c r="W418" s="190"/>
      <c r="X418" s="190"/>
      <c r="Y418" s="190"/>
      <c r="Z418" s="190"/>
    </row>
    <row r="419" ht="15.75" customHeight="1" spans="1:26">
      <c r="A419" s="190"/>
      <c r="B419" s="190"/>
      <c r="C419" s="190"/>
      <c r="D419" s="190"/>
      <c r="E419" s="190"/>
      <c r="F419" s="190"/>
      <c r="G419" s="190"/>
      <c r="H419" s="190"/>
      <c r="I419" s="190"/>
      <c r="J419" s="190"/>
      <c r="K419" s="190"/>
      <c r="L419" s="190"/>
      <c r="M419" s="190"/>
      <c r="N419" s="190"/>
      <c r="O419" s="190"/>
      <c r="P419" s="190"/>
      <c r="Q419" s="190"/>
      <c r="R419" s="190"/>
      <c r="S419" s="190"/>
      <c r="T419" s="190"/>
      <c r="U419" s="190"/>
      <c r="V419" s="190"/>
      <c r="W419" s="190"/>
      <c r="X419" s="190"/>
      <c r="Y419" s="190"/>
      <c r="Z419" s="190"/>
    </row>
    <row r="420" ht="15.75" customHeight="1" spans="1:26">
      <c r="A420" s="190"/>
      <c r="B420" s="190"/>
      <c r="C420" s="190"/>
      <c r="D420" s="190"/>
      <c r="E420" s="190"/>
      <c r="F420" s="190"/>
      <c r="G420" s="190"/>
      <c r="H420" s="190"/>
      <c r="I420" s="190"/>
      <c r="J420" s="190"/>
      <c r="K420" s="190"/>
      <c r="L420" s="190"/>
      <c r="M420" s="190"/>
      <c r="N420" s="190"/>
      <c r="O420" s="190"/>
      <c r="P420" s="190"/>
      <c r="Q420" s="190"/>
      <c r="R420" s="190"/>
      <c r="S420" s="190"/>
      <c r="T420" s="190"/>
      <c r="U420" s="190"/>
      <c r="V420" s="190"/>
      <c r="W420" s="190"/>
      <c r="X420" s="190"/>
      <c r="Y420" s="190"/>
      <c r="Z420" s="190"/>
    </row>
    <row r="421" ht="15.75" customHeight="1" spans="1:26">
      <c r="A421" s="190"/>
      <c r="B421" s="190"/>
      <c r="C421" s="190"/>
      <c r="D421" s="190"/>
      <c r="E421" s="190"/>
      <c r="F421" s="190"/>
      <c r="G421" s="190"/>
      <c r="H421" s="190"/>
      <c r="I421" s="190"/>
      <c r="J421" s="190"/>
      <c r="K421" s="190"/>
      <c r="L421" s="190"/>
      <c r="M421" s="190"/>
      <c r="N421" s="190"/>
      <c r="O421" s="190"/>
      <c r="P421" s="190"/>
      <c r="Q421" s="190"/>
      <c r="R421" s="190"/>
      <c r="S421" s="190"/>
      <c r="T421" s="190"/>
      <c r="U421" s="190"/>
      <c r="V421" s="190"/>
      <c r="W421" s="190"/>
      <c r="X421" s="190"/>
      <c r="Y421" s="190"/>
      <c r="Z421" s="190"/>
    </row>
    <row r="422" ht="15.75" customHeight="1" spans="1:26">
      <c r="A422" s="190"/>
      <c r="B422" s="190"/>
      <c r="C422" s="190"/>
      <c r="D422" s="190"/>
      <c r="E422" s="190"/>
      <c r="F422" s="190"/>
      <c r="G422" s="190"/>
      <c r="H422" s="190"/>
      <c r="I422" s="190"/>
      <c r="J422" s="190"/>
      <c r="K422" s="190"/>
      <c r="L422" s="190"/>
      <c r="M422" s="190"/>
      <c r="N422" s="190"/>
      <c r="O422" s="190"/>
      <c r="P422" s="190"/>
      <c r="Q422" s="190"/>
      <c r="R422" s="190"/>
      <c r="S422" s="190"/>
      <c r="T422" s="190"/>
      <c r="U422" s="190"/>
      <c r="V422" s="190"/>
      <c r="W422" s="190"/>
      <c r="X422" s="190"/>
      <c r="Y422" s="190"/>
      <c r="Z422" s="190"/>
    </row>
    <row r="423" ht="15.75" customHeight="1" spans="1:26">
      <c r="A423" s="190"/>
      <c r="B423" s="190"/>
      <c r="C423" s="190"/>
      <c r="D423" s="190"/>
      <c r="E423" s="190"/>
      <c r="F423" s="190"/>
      <c r="G423" s="190"/>
      <c r="H423" s="190"/>
      <c r="I423" s="190"/>
      <c r="J423" s="190"/>
      <c r="K423" s="190"/>
      <c r="L423" s="190"/>
      <c r="M423" s="190"/>
      <c r="N423" s="190"/>
      <c r="O423" s="190"/>
      <c r="P423" s="190"/>
      <c r="Q423" s="190"/>
      <c r="R423" s="190"/>
      <c r="S423" s="190"/>
      <c r="T423" s="190"/>
      <c r="U423" s="190"/>
      <c r="V423" s="190"/>
      <c r="W423" s="190"/>
      <c r="X423" s="190"/>
      <c r="Y423" s="190"/>
      <c r="Z423" s="190"/>
    </row>
    <row r="424" ht="15.75" customHeight="1" spans="1:26">
      <c r="A424" s="190"/>
      <c r="B424" s="190"/>
      <c r="C424" s="190"/>
      <c r="D424" s="190"/>
      <c r="E424" s="190"/>
      <c r="F424" s="190"/>
      <c r="G424" s="190"/>
      <c r="H424" s="190"/>
      <c r="I424" s="190"/>
      <c r="J424" s="190"/>
      <c r="K424" s="190"/>
      <c r="L424" s="190"/>
      <c r="M424" s="190"/>
      <c r="N424" s="190"/>
      <c r="O424" s="190"/>
      <c r="P424" s="190"/>
      <c r="Q424" s="190"/>
      <c r="R424" s="190"/>
      <c r="S424" s="190"/>
      <c r="T424" s="190"/>
      <c r="U424" s="190"/>
      <c r="V424" s="190"/>
      <c r="W424" s="190"/>
      <c r="X424" s="190"/>
      <c r="Y424" s="190"/>
      <c r="Z424" s="190"/>
    </row>
    <row r="425" ht="15.75" customHeight="1" spans="1:26">
      <c r="A425" s="190"/>
      <c r="B425" s="190"/>
      <c r="C425" s="190"/>
      <c r="D425" s="190"/>
      <c r="E425" s="190"/>
      <c r="F425" s="190"/>
      <c r="G425" s="190"/>
      <c r="H425" s="190"/>
      <c r="I425" s="190"/>
      <c r="J425" s="190"/>
      <c r="K425" s="190"/>
      <c r="L425" s="190"/>
      <c r="M425" s="190"/>
      <c r="N425" s="190"/>
      <c r="O425" s="190"/>
      <c r="P425" s="190"/>
      <c r="Q425" s="190"/>
      <c r="R425" s="190"/>
      <c r="S425" s="190"/>
      <c r="T425" s="190"/>
      <c r="U425" s="190"/>
      <c r="V425" s="190"/>
      <c r="W425" s="190"/>
      <c r="X425" s="190"/>
      <c r="Y425" s="190"/>
      <c r="Z425" s="190"/>
    </row>
    <row r="426" ht="15.75" customHeight="1" spans="1:26">
      <c r="A426" s="190"/>
      <c r="B426" s="190"/>
      <c r="C426" s="190"/>
      <c r="D426" s="190"/>
      <c r="E426" s="190"/>
      <c r="F426" s="190"/>
      <c r="G426" s="190"/>
      <c r="H426" s="190"/>
      <c r="I426" s="190"/>
      <c r="J426" s="190"/>
      <c r="K426" s="190"/>
      <c r="L426" s="190"/>
      <c r="M426" s="190"/>
      <c r="N426" s="190"/>
      <c r="O426" s="190"/>
      <c r="P426" s="190"/>
      <c r="Q426" s="190"/>
      <c r="R426" s="190"/>
      <c r="S426" s="190"/>
      <c r="T426" s="190"/>
      <c r="U426" s="190"/>
      <c r="V426" s="190"/>
      <c r="W426" s="190"/>
      <c r="X426" s="190"/>
      <c r="Y426" s="190"/>
      <c r="Z426" s="190"/>
    </row>
    <row r="427" ht="15.75" customHeight="1" spans="1:26">
      <c r="A427" s="190"/>
      <c r="B427" s="190"/>
      <c r="C427" s="190"/>
      <c r="D427" s="190"/>
      <c r="E427" s="190"/>
      <c r="F427" s="190"/>
      <c r="G427" s="190"/>
      <c r="H427" s="190"/>
      <c r="I427" s="190"/>
      <c r="J427" s="190"/>
      <c r="K427" s="190"/>
      <c r="L427" s="190"/>
      <c r="M427" s="190"/>
      <c r="N427" s="190"/>
      <c r="O427" s="190"/>
      <c r="P427" s="190"/>
      <c r="Q427" s="190"/>
      <c r="R427" s="190"/>
      <c r="S427" s="190"/>
      <c r="T427" s="190"/>
      <c r="U427" s="190"/>
      <c r="V427" s="190"/>
      <c r="W427" s="190"/>
      <c r="X427" s="190"/>
      <c r="Y427" s="190"/>
      <c r="Z427" s="190"/>
    </row>
    <row r="428" ht="15.75" customHeight="1" spans="1:26">
      <c r="A428" s="190"/>
      <c r="B428" s="190"/>
      <c r="C428" s="190"/>
      <c r="D428" s="190"/>
      <c r="E428" s="190"/>
      <c r="F428" s="190"/>
      <c r="G428" s="190"/>
      <c r="H428" s="190"/>
      <c r="I428" s="190"/>
      <c r="J428" s="190"/>
      <c r="K428" s="190"/>
      <c r="L428" s="190"/>
      <c r="M428" s="190"/>
      <c r="N428" s="190"/>
      <c r="O428" s="190"/>
      <c r="P428" s="190"/>
      <c r="Q428" s="190"/>
      <c r="R428" s="190"/>
      <c r="S428" s="190"/>
      <c r="T428" s="190"/>
      <c r="U428" s="190"/>
      <c r="V428" s="190"/>
      <c r="W428" s="190"/>
      <c r="X428" s="190"/>
      <c r="Y428" s="190"/>
      <c r="Z428" s="190"/>
    </row>
    <row r="429" ht="15.75" customHeight="1" spans="1:26">
      <c r="A429" s="190"/>
      <c r="B429" s="190"/>
      <c r="C429" s="190"/>
      <c r="D429" s="190"/>
      <c r="E429" s="190"/>
      <c r="F429" s="190"/>
      <c r="G429" s="190"/>
      <c r="H429" s="190"/>
      <c r="I429" s="190"/>
      <c r="J429" s="190"/>
      <c r="K429" s="190"/>
      <c r="L429" s="190"/>
      <c r="M429" s="190"/>
      <c r="N429" s="190"/>
      <c r="O429" s="190"/>
      <c r="P429" s="190"/>
      <c r="Q429" s="190"/>
      <c r="R429" s="190"/>
      <c r="S429" s="190"/>
      <c r="T429" s="190"/>
      <c r="U429" s="190"/>
      <c r="V429" s="190"/>
      <c r="W429" s="190"/>
      <c r="X429" s="190"/>
      <c r="Y429" s="190"/>
      <c r="Z429" s="190"/>
    </row>
    <row r="430" ht="15.75" customHeight="1" spans="1:26">
      <c r="A430" s="190"/>
      <c r="B430" s="190"/>
      <c r="C430" s="190"/>
      <c r="D430" s="190"/>
      <c r="E430" s="190"/>
      <c r="F430" s="190"/>
      <c r="G430" s="190"/>
      <c r="H430" s="190"/>
      <c r="I430" s="190"/>
      <c r="J430" s="190"/>
      <c r="K430" s="190"/>
      <c r="L430" s="190"/>
      <c r="M430" s="190"/>
      <c r="N430" s="190"/>
      <c r="O430" s="190"/>
      <c r="P430" s="190"/>
      <c r="Q430" s="190"/>
      <c r="R430" s="190"/>
      <c r="S430" s="190"/>
      <c r="T430" s="190"/>
      <c r="U430" s="190"/>
      <c r="V430" s="190"/>
      <c r="W430" s="190"/>
      <c r="X430" s="190"/>
      <c r="Y430" s="190"/>
      <c r="Z430" s="190"/>
    </row>
    <row r="431" ht="15.75" customHeight="1" spans="1:26">
      <c r="A431" s="190"/>
      <c r="B431" s="190"/>
      <c r="C431" s="190"/>
      <c r="D431" s="190"/>
      <c r="E431" s="190"/>
      <c r="F431" s="190"/>
      <c r="G431" s="190"/>
      <c r="H431" s="190"/>
      <c r="I431" s="190"/>
      <c r="J431" s="190"/>
      <c r="K431" s="190"/>
      <c r="L431" s="190"/>
      <c r="M431" s="190"/>
      <c r="N431" s="190"/>
      <c r="O431" s="190"/>
      <c r="P431" s="190"/>
      <c r="Q431" s="190"/>
      <c r="R431" s="190"/>
      <c r="S431" s="190"/>
      <c r="T431" s="190"/>
      <c r="U431" s="190"/>
      <c r="V431" s="190"/>
      <c r="W431" s="190"/>
      <c r="X431" s="190"/>
      <c r="Y431" s="190"/>
      <c r="Z431" s="190"/>
    </row>
    <row r="432" ht="15.75" customHeight="1" spans="1:26">
      <c r="A432" s="190"/>
      <c r="B432" s="190"/>
      <c r="C432" s="190"/>
      <c r="D432" s="190"/>
      <c r="E432" s="190"/>
      <c r="F432" s="190"/>
      <c r="G432" s="190"/>
      <c r="H432" s="190"/>
      <c r="I432" s="190"/>
      <c r="J432" s="190"/>
      <c r="K432" s="190"/>
      <c r="L432" s="190"/>
      <c r="M432" s="190"/>
      <c r="N432" s="190"/>
      <c r="O432" s="190"/>
      <c r="P432" s="190"/>
      <c r="Q432" s="190"/>
      <c r="R432" s="190"/>
      <c r="S432" s="190"/>
      <c r="T432" s="190"/>
      <c r="U432" s="190"/>
      <c r="V432" s="190"/>
      <c r="W432" s="190"/>
      <c r="X432" s="190"/>
      <c r="Y432" s="190"/>
      <c r="Z432" s="190"/>
    </row>
    <row r="433" ht="15.75" customHeight="1" spans="1:26">
      <c r="A433" s="190"/>
      <c r="B433" s="190"/>
      <c r="C433" s="190"/>
      <c r="D433" s="190"/>
      <c r="E433" s="190"/>
      <c r="F433" s="190"/>
      <c r="G433" s="190"/>
      <c r="H433" s="190"/>
      <c r="I433" s="190"/>
      <c r="J433" s="190"/>
      <c r="K433" s="190"/>
      <c r="L433" s="190"/>
      <c r="M433" s="190"/>
      <c r="N433" s="190"/>
      <c r="O433" s="190"/>
      <c r="P433" s="190"/>
      <c r="Q433" s="190"/>
      <c r="R433" s="190"/>
      <c r="S433" s="190"/>
      <c r="T433" s="190"/>
      <c r="U433" s="190"/>
      <c r="V433" s="190"/>
      <c r="W433" s="190"/>
      <c r="X433" s="190"/>
      <c r="Y433" s="190"/>
      <c r="Z433" s="190"/>
    </row>
    <row r="434" ht="15.75" customHeight="1" spans="1:26">
      <c r="A434" s="190"/>
      <c r="B434" s="190"/>
      <c r="C434" s="190"/>
      <c r="D434" s="190"/>
      <c r="E434" s="190"/>
      <c r="F434" s="190"/>
      <c r="G434" s="190"/>
      <c r="H434" s="190"/>
      <c r="I434" s="190"/>
      <c r="J434" s="190"/>
      <c r="K434" s="190"/>
      <c r="L434" s="190"/>
      <c r="M434" s="190"/>
      <c r="N434" s="190"/>
      <c r="O434" s="190"/>
      <c r="P434" s="190"/>
      <c r="Q434" s="190"/>
      <c r="R434" s="190"/>
      <c r="S434" s="190"/>
      <c r="T434" s="190"/>
      <c r="U434" s="190"/>
      <c r="V434" s="190"/>
      <c r="W434" s="190"/>
      <c r="X434" s="190"/>
      <c r="Y434" s="190"/>
      <c r="Z434" s="190"/>
    </row>
    <row r="435" ht="15.75" customHeight="1" spans="1:26">
      <c r="A435" s="190"/>
      <c r="B435" s="190"/>
      <c r="C435" s="190"/>
      <c r="D435" s="190"/>
      <c r="E435" s="190"/>
      <c r="F435" s="190"/>
      <c r="G435" s="190"/>
      <c r="H435" s="190"/>
      <c r="I435" s="190"/>
      <c r="J435" s="190"/>
      <c r="K435" s="190"/>
      <c r="L435" s="190"/>
      <c r="M435" s="190"/>
      <c r="N435" s="190"/>
      <c r="O435" s="190"/>
      <c r="P435" s="190"/>
      <c r="Q435" s="190"/>
      <c r="R435" s="190"/>
      <c r="S435" s="190"/>
      <c r="T435" s="190"/>
      <c r="U435" s="190"/>
      <c r="V435" s="190"/>
      <c r="W435" s="190"/>
      <c r="X435" s="190"/>
      <c r="Y435" s="190"/>
      <c r="Z435" s="190"/>
    </row>
    <row r="436" ht="15.75" customHeight="1" spans="1:26">
      <c r="A436" s="190"/>
      <c r="B436" s="190"/>
      <c r="C436" s="190"/>
      <c r="D436" s="190"/>
      <c r="E436" s="190"/>
      <c r="F436" s="190"/>
      <c r="G436" s="190"/>
      <c r="H436" s="190"/>
      <c r="I436" s="190"/>
      <c r="J436" s="190"/>
      <c r="K436" s="190"/>
      <c r="L436" s="190"/>
      <c r="M436" s="190"/>
      <c r="N436" s="190"/>
      <c r="O436" s="190"/>
      <c r="P436" s="190"/>
      <c r="Q436" s="190"/>
      <c r="R436" s="190"/>
      <c r="S436" s="190"/>
      <c r="T436" s="190"/>
      <c r="U436" s="190"/>
      <c r="V436" s="190"/>
      <c r="W436" s="190"/>
      <c r="X436" s="190"/>
      <c r="Y436" s="190"/>
      <c r="Z436" s="190"/>
    </row>
    <row r="437" ht="15.75" customHeight="1" spans="1:26">
      <c r="A437" s="190"/>
      <c r="B437" s="190"/>
      <c r="C437" s="190"/>
      <c r="D437" s="190"/>
      <c r="E437" s="190"/>
      <c r="F437" s="190"/>
      <c r="G437" s="190"/>
      <c r="H437" s="190"/>
      <c r="I437" s="190"/>
      <c r="J437" s="190"/>
      <c r="K437" s="190"/>
      <c r="L437" s="190"/>
      <c r="M437" s="190"/>
      <c r="N437" s="190"/>
      <c r="O437" s="190"/>
      <c r="P437" s="190"/>
      <c r="Q437" s="190"/>
      <c r="R437" s="190"/>
      <c r="S437" s="190"/>
      <c r="T437" s="190"/>
      <c r="U437" s="190"/>
      <c r="V437" s="190"/>
      <c r="W437" s="190"/>
      <c r="X437" s="190"/>
      <c r="Y437" s="190"/>
      <c r="Z437" s="190"/>
    </row>
    <row r="438" ht="15.75" customHeight="1" spans="1:26">
      <c r="A438" s="190"/>
      <c r="B438" s="190"/>
      <c r="C438" s="190"/>
      <c r="D438" s="190"/>
      <c r="E438" s="190"/>
      <c r="F438" s="190"/>
      <c r="G438" s="190"/>
      <c r="H438" s="190"/>
      <c r="I438" s="190"/>
      <c r="J438" s="190"/>
      <c r="K438" s="190"/>
      <c r="L438" s="190"/>
      <c r="M438" s="190"/>
      <c r="N438" s="190"/>
      <c r="O438" s="190"/>
      <c r="P438" s="190"/>
      <c r="Q438" s="190"/>
      <c r="R438" s="190"/>
      <c r="S438" s="190"/>
      <c r="T438" s="190"/>
      <c r="U438" s="190"/>
      <c r="V438" s="190"/>
      <c r="W438" s="190"/>
      <c r="X438" s="190"/>
      <c r="Y438" s="190"/>
      <c r="Z438" s="190"/>
    </row>
    <row r="439" ht="15.75" customHeight="1" spans="1:26">
      <c r="A439" s="190"/>
      <c r="B439" s="190"/>
      <c r="C439" s="190"/>
      <c r="D439" s="190"/>
      <c r="E439" s="190"/>
      <c r="F439" s="190"/>
      <c r="G439" s="190"/>
      <c r="H439" s="190"/>
      <c r="I439" s="190"/>
      <c r="J439" s="190"/>
      <c r="K439" s="190"/>
      <c r="L439" s="190"/>
      <c r="M439" s="190"/>
      <c r="N439" s="190"/>
      <c r="O439" s="190"/>
      <c r="P439" s="190"/>
      <c r="Q439" s="190"/>
      <c r="R439" s="190"/>
      <c r="S439" s="190"/>
      <c r="T439" s="190"/>
      <c r="U439" s="190"/>
      <c r="V439" s="190"/>
      <c r="W439" s="190"/>
      <c r="X439" s="190"/>
      <c r="Y439" s="190"/>
      <c r="Z439" s="190"/>
    </row>
    <row r="440" ht="15.75" customHeight="1" spans="1:26">
      <c r="A440" s="190"/>
      <c r="B440" s="190"/>
      <c r="C440" s="190"/>
      <c r="D440" s="190"/>
      <c r="E440" s="190"/>
      <c r="F440" s="190"/>
      <c r="G440" s="190"/>
      <c r="H440" s="190"/>
      <c r="I440" s="190"/>
      <c r="J440" s="190"/>
      <c r="K440" s="190"/>
      <c r="L440" s="190"/>
      <c r="M440" s="190"/>
      <c r="N440" s="190"/>
      <c r="O440" s="190"/>
      <c r="P440" s="190"/>
      <c r="Q440" s="190"/>
      <c r="R440" s="190"/>
      <c r="S440" s="190"/>
      <c r="T440" s="190"/>
      <c r="U440" s="190"/>
      <c r="V440" s="190"/>
      <c r="W440" s="190"/>
      <c r="X440" s="190"/>
      <c r="Y440" s="190"/>
      <c r="Z440" s="190"/>
    </row>
    <row r="441" ht="15.75" customHeight="1" spans="1:26">
      <c r="A441" s="190"/>
      <c r="B441" s="190"/>
      <c r="C441" s="190"/>
      <c r="D441" s="190"/>
      <c r="E441" s="190"/>
      <c r="F441" s="190"/>
      <c r="G441" s="190"/>
      <c r="H441" s="190"/>
      <c r="I441" s="190"/>
      <c r="J441" s="190"/>
      <c r="K441" s="190"/>
      <c r="L441" s="190"/>
      <c r="M441" s="190"/>
      <c r="N441" s="190"/>
      <c r="O441" s="190"/>
      <c r="P441" s="190"/>
      <c r="Q441" s="190"/>
      <c r="R441" s="190"/>
      <c r="S441" s="190"/>
      <c r="T441" s="190"/>
      <c r="U441" s="190"/>
      <c r="V441" s="190"/>
      <c r="W441" s="190"/>
      <c r="X441" s="190"/>
      <c r="Y441" s="190"/>
      <c r="Z441" s="190"/>
    </row>
    <row r="442" ht="15.75" customHeight="1" spans="1:26">
      <c r="A442" s="190"/>
      <c r="B442" s="190"/>
      <c r="C442" s="190"/>
      <c r="D442" s="190"/>
      <c r="E442" s="190"/>
      <c r="F442" s="190"/>
      <c r="G442" s="190"/>
      <c r="H442" s="190"/>
      <c r="I442" s="190"/>
      <c r="J442" s="190"/>
      <c r="K442" s="190"/>
      <c r="L442" s="190"/>
      <c r="M442" s="190"/>
      <c r="N442" s="190"/>
      <c r="O442" s="190"/>
      <c r="P442" s="190"/>
      <c r="Q442" s="190"/>
      <c r="R442" s="190"/>
      <c r="S442" s="190"/>
      <c r="T442" s="190"/>
      <c r="U442" s="190"/>
      <c r="V442" s="190"/>
      <c r="W442" s="190"/>
      <c r="X442" s="190"/>
      <c r="Y442" s="190"/>
      <c r="Z442" s="190"/>
    </row>
    <row r="443" ht="15.75" customHeight="1" spans="1:26">
      <c r="A443" s="190"/>
      <c r="B443" s="190"/>
      <c r="C443" s="190"/>
      <c r="D443" s="190"/>
      <c r="E443" s="190"/>
      <c r="F443" s="190"/>
      <c r="G443" s="190"/>
      <c r="H443" s="190"/>
      <c r="I443" s="190"/>
      <c r="J443" s="190"/>
      <c r="K443" s="190"/>
      <c r="L443" s="190"/>
      <c r="M443" s="190"/>
      <c r="N443" s="190"/>
      <c r="O443" s="190"/>
      <c r="P443" s="190"/>
      <c r="Q443" s="190"/>
      <c r="R443" s="190"/>
      <c r="S443" s="190"/>
      <c r="T443" s="190"/>
      <c r="U443" s="190"/>
      <c r="V443" s="190"/>
      <c r="W443" s="190"/>
      <c r="X443" s="190"/>
      <c r="Y443" s="190"/>
      <c r="Z443" s="190"/>
    </row>
    <row r="444" ht="15.75" customHeight="1" spans="1:26">
      <c r="A444" s="190"/>
      <c r="B444" s="190"/>
      <c r="C444" s="190"/>
      <c r="D444" s="190"/>
      <c r="E444" s="190"/>
      <c r="F444" s="190"/>
      <c r="G444" s="190"/>
      <c r="H444" s="190"/>
      <c r="I444" s="190"/>
      <c r="J444" s="190"/>
      <c r="K444" s="190"/>
      <c r="L444" s="190"/>
      <c r="M444" s="190"/>
      <c r="N444" s="190"/>
      <c r="O444" s="190"/>
      <c r="P444" s="190"/>
      <c r="Q444" s="190"/>
      <c r="R444" s="190"/>
      <c r="S444" s="190"/>
      <c r="T444" s="190"/>
      <c r="U444" s="190"/>
      <c r="V444" s="190"/>
      <c r="W444" s="190"/>
      <c r="X444" s="190"/>
      <c r="Y444" s="190"/>
      <c r="Z444" s="190"/>
    </row>
    <row r="445" ht="15.75" customHeight="1" spans="1:26">
      <c r="A445" s="190"/>
      <c r="B445" s="190"/>
      <c r="C445" s="190"/>
      <c r="D445" s="190"/>
      <c r="E445" s="190"/>
      <c r="F445" s="190"/>
      <c r="G445" s="190"/>
      <c r="H445" s="190"/>
      <c r="I445" s="190"/>
      <c r="J445" s="190"/>
      <c r="K445" s="190"/>
      <c r="L445" s="190"/>
      <c r="M445" s="190"/>
      <c r="N445" s="190"/>
      <c r="O445" s="190"/>
      <c r="P445" s="190"/>
      <c r="Q445" s="190"/>
      <c r="R445" s="190"/>
      <c r="S445" s="190"/>
      <c r="T445" s="190"/>
      <c r="U445" s="190"/>
      <c r="V445" s="190"/>
      <c r="W445" s="190"/>
      <c r="X445" s="190"/>
      <c r="Y445" s="190"/>
      <c r="Z445" s="190"/>
    </row>
    <row r="446" ht="15.75" customHeight="1" spans="1:26">
      <c r="A446" s="190"/>
      <c r="B446" s="190"/>
      <c r="C446" s="190"/>
      <c r="D446" s="190"/>
      <c r="E446" s="190"/>
      <c r="F446" s="190"/>
      <c r="G446" s="190"/>
      <c r="H446" s="190"/>
      <c r="I446" s="190"/>
      <c r="J446" s="190"/>
      <c r="K446" s="190"/>
      <c r="L446" s="190"/>
      <c r="M446" s="190"/>
      <c r="N446" s="190"/>
      <c r="O446" s="190"/>
      <c r="P446" s="190"/>
      <c r="Q446" s="190"/>
      <c r="R446" s="190"/>
      <c r="S446" s="190"/>
      <c r="T446" s="190"/>
      <c r="U446" s="190"/>
      <c r="V446" s="190"/>
      <c r="W446" s="190"/>
      <c r="X446" s="190"/>
      <c r="Y446" s="190"/>
      <c r="Z446" s="190"/>
    </row>
    <row r="447" ht="15.75" customHeight="1" spans="1:26">
      <c r="A447" s="190"/>
      <c r="B447" s="190"/>
      <c r="C447" s="190"/>
      <c r="D447" s="190"/>
      <c r="E447" s="190"/>
      <c r="F447" s="190"/>
      <c r="G447" s="190"/>
      <c r="H447" s="190"/>
      <c r="I447" s="190"/>
      <c r="J447" s="190"/>
      <c r="K447" s="190"/>
      <c r="L447" s="190"/>
      <c r="M447" s="190"/>
      <c r="N447" s="190"/>
      <c r="O447" s="190"/>
      <c r="P447" s="190"/>
      <c r="Q447" s="190"/>
      <c r="R447" s="190"/>
      <c r="S447" s="190"/>
      <c r="T447" s="190"/>
      <c r="U447" s="190"/>
      <c r="V447" s="190"/>
      <c r="W447" s="190"/>
      <c r="X447" s="190"/>
      <c r="Y447" s="190"/>
      <c r="Z447" s="190"/>
    </row>
    <row r="448" ht="15.75" customHeight="1" spans="1:26">
      <c r="A448" s="190"/>
      <c r="B448" s="190"/>
      <c r="C448" s="190"/>
      <c r="D448" s="190"/>
      <c r="E448" s="190"/>
      <c r="F448" s="190"/>
      <c r="G448" s="190"/>
      <c r="H448" s="190"/>
      <c r="I448" s="190"/>
      <c r="J448" s="190"/>
      <c r="K448" s="190"/>
      <c r="L448" s="190"/>
      <c r="M448" s="190"/>
      <c r="N448" s="190"/>
      <c r="O448" s="190"/>
      <c r="P448" s="190"/>
      <c r="Q448" s="190"/>
      <c r="R448" s="190"/>
      <c r="S448" s="190"/>
      <c r="T448" s="190"/>
      <c r="U448" s="190"/>
      <c r="V448" s="190"/>
      <c r="W448" s="190"/>
      <c r="X448" s="190"/>
      <c r="Y448" s="190"/>
      <c r="Z448" s="190"/>
    </row>
    <row r="449" ht="15.75" customHeight="1" spans="1:26">
      <c r="A449" s="190"/>
      <c r="B449" s="190"/>
      <c r="C449" s="190"/>
      <c r="D449" s="190"/>
      <c r="E449" s="190"/>
      <c r="F449" s="190"/>
      <c r="G449" s="190"/>
      <c r="H449" s="190"/>
      <c r="I449" s="190"/>
      <c r="J449" s="190"/>
      <c r="K449" s="190"/>
      <c r="L449" s="190"/>
      <c r="M449" s="190"/>
      <c r="N449" s="190"/>
      <c r="O449" s="190"/>
      <c r="P449" s="190"/>
      <c r="Q449" s="190"/>
      <c r="R449" s="190"/>
      <c r="S449" s="190"/>
      <c r="T449" s="190"/>
      <c r="U449" s="190"/>
      <c r="V449" s="190"/>
      <c r="W449" s="190"/>
      <c r="X449" s="190"/>
      <c r="Y449" s="190"/>
      <c r="Z449" s="190"/>
    </row>
    <row r="450" ht="15.75" customHeight="1" spans="1:26">
      <c r="A450" s="190"/>
      <c r="B450" s="190"/>
      <c r="C450" s="190"/>
      <c r="D450" s="190"/>
      <c r="E450" s="190"/>
      <c r="F450" s="190"/>
      <c r="G450" s="190"/>
      <c r="H450" s="190"/>
      <c r="I450" s="190"/>
      <c r="J450" s="190"/>
      <c r="K450" s="190"/>
      <c r="L450" s="190"/>
      <c r="M450" s="190"/>
      <c r="N450" s="190"/>
      <c r="O450" s="190"/>
      <c r="P450" s="190"/>
      <c r="Q450" s="190"/>
      <c r="R450" s="190"/>
      <c r="S450" s="190"/>
      <c r="T450" s="190"/>
      <c r="U450" s="190"/>
      <c r="V450" s="190"/>
      <c r="W450" s="190"/>
      <c r="X450" s="190"/>
      <c r="Y450" s="190"/>
      <c r="Z450" s="190"/>
    </row>
    <row r="451" ht="15.75" customHeight="1" spans="1:26">
      <c r="A451" s="190"/>
      <c r="B451" s="190"/>
      <c r="C451" s="190"/>
      <c r="D451" s="190"/>
      <c r="E451" s="190"/>
      <c r="F451" s="190"/>
      <c r="G451" s="190"/>
      <c r="H451" s="190"/>
      <c r="I451" s="190"/>
      <c r="J451" s="190"/>
      <c r="K451" s="190"/>
      <c r="L451" s="190"/>
      <c r="M451" s="190"/>
      <c r="N451" s="190"/>
      <c r="O451" s="190"/>
      <c r="P451" s="190"/>
      <c r="Q451" s="190"/>
      <c r="R451" s="190"/>
      <c r="S451" s="190"/>
      <c r="T451" s="190"/>
      <c r="U451" s="190"/>
      <c r="V451" s="190"/>
      <c r="W451" s="190"/>
      <c r="X451" s="190"/>
      <c r="Y451" s="190"/>
      <c r="Z451" s="190"/>
    </row>
    <row r="452" ht="15.75" customHeight="1" spans="1:26">
      <c r="A452" s="190"/>
      <c r="B452" s="190"/>
      <c r="C452" s="190"/>
      <c r="D452" s="190"/>
      <c r="E452" s="190"/>
      <c r="F452" s="190"/>
      <c r="G452" s="190"/>
      <c r="H452" s="190"/>
      <c r="I452" s="190"/>
      <c r="J452" s="190"/>
      <c r="K452" s="190"/>
      <c r="L452" s="190"/>
      <c r="M452" s="190"/>
      <c r="N452" s="190"/>
      <c r="O452" s="190"/>
      <c r="P452" s="190"/>
      <c r="Q452" s="190"/>
      <c r="R452" s="190"/>
      <c r="S452" s="190"/>
      <c r="T452" s="190"/>
      <c r="U452" s="190"/>
      <c r="V452" s="190"/>
      <c r="W452" s="190"/>
      <c r="X452" s="190"/>
      <c r="Y452" s="190"/>
      <c r="Z452" s="190"/>
    </row>
    <row r="453" ht="15.75" customHeight="1" spans="1:26">
      <c r="A453" s="190"/>
      <c r="B453" s="190"/>
      <c r="C453" s="190"/>
      <c r="D453" s="190"/>
      <c r="E453" s="190"/>
      <c r="F453" s="190"/>
      <c r="G453" s="190"/>
      <c r="H453" s="190"/>
      <c r="I453" s="190"/>
      <c r="J453" s="190"/>
      <c r="K453" s="190"/>
      <c r="L453" s="190"/>
      <c r="M453" s="190"/>
      <c r="N453" s="190"/>
      <c r="O453" s="190"/>
      <c r="P453" s="190"/>
      <c r="Q453" s="190"/>
      <c r="R453" s="190"/>
      <c r="S453" s="190"/>
      <c r="T453" s="190"/>
      <c r="U453" s="190"/>
      <c r="V453" s="190"/>
      <c r="W453" s="190"/>
      <c r="X453" s="190"/>
      <c r="Y453" s="190"/>
      <c r="Z453" s="190"/>
    </row>
    <row r="454" ht="15.75" customHeight="1" spans="1:26">
      <c r="A454" s="190"/>
      <c r="B454" s="190"/>
      <c r="C454" s="190"/>
      <c r="D454" s="190"/>
      <c r="E454" s="190"/>
      <c r="F454" s="190"/>
      <c r="G454" s="190"/>
      <c r="H454" s="190"/>
      <c r="I454" s="190"/>
      <c r="J454" s="190"/>
      <c r="K454" s="190"/>
      <c r="L454" s="190"/>
      <c r="M454" s="190"/>
      <c r="N454" s="190"/>
      <c r="O454" s="190"/>
      <c r="P454" s="190"/>
      <c r="Q454" s="190"/>
      <c r="R454" s="190"/>
      <c r="S454" s="190"/>
      <c r="T454" s="190"/>
      <c r="U454" s="190"/>
      <c r="V454" s="190"/>
      <c r="W454" s="190"/>
      <c r="X454" s="190"/>
      <c r="Y454" s="190"/>
      <c r="Z454" s="190"/>
    </row>
    <row r="455" ht="15.75" customHeight="1" spans="1:26">
      <c r="A455" s="190"/>
      <c r="B455" s="190"/>
      <c r="C455" s="190"/>
      <c r="D455" s="190"/>
      <c r="E455" s="190"/>
      <c r="F455" s="190"/>
      <c r="G455" s="190"/>
      <c r="H455" s="190"/>
      <c r="I455" s="190"/>
      <c r="J455" s="190"/>
      <c r="K455" s="190"/>
      <c r="L455" s="190"/>
      <c r="M455" s="190"/>
      <c r="N455" s="190"/>
      <c r="O455" s="190"/>
      <c r="P455" s="190"/>
      <c r="Q455" s="190"/>
      <c r="R455" s="190"/>
      <c r="S455" s="190"/>
      <c r="T455" s="190"/>
      <c r="U455" s="190"/>
      <c r="V455" s="190"/>
      <c r="W455" s="190"/>
      <c r="X455" s="190"/>
      <c r="Y455" s="190"/>
      <c r="Z455" s="190"/>
    </row>
    <row r="456" ht="15.75" customHeight="1" spans="1:26">
      <c r="A456" s="190"/>
      <c r="B456" s="190"/>
      <c r="C456" s="190"/>
      <c r="D456" s="190"/>
      <c r="E456" s="190"/>
      <c r="F456" s="190"/>
      <c r="G456" s="190"/>
      <c r="H456" s="190"/>
      <c r="I456" s="190"/>
      <c r="J456" s="190"/>
      <c r="K456" s="190"/>
      <c r="L456" s="190"/>
      <c r="M456" s="190"/>
      <c r="N456" s="190"/>
      <c r="O456" s="190"/>
      <c r="P456" s="190"/>
      <c r="Q456" s="190"/>
      <c r="R456" s="190"/>
      <c r="S456" s="190"/>
      <c r="T456" s="190"/>
      <c r="U456" s="190"/>
      <c r="V456" s="190"/>
      <c r="W456" s="190"/>
      <c r="X456" s="190"/>
      <c r="Y456" s="190"/>
      <c r="Z456" s="190"/>
    </row>
    <row r="457" ht="15.75" customHeight="1" spans="1:26">
      <c r="A457" s="190"/>
      <c r="B457" s="190"/>
      <c r="C457" s="190"/>
      <c r="D457" s="190"/>
      <c r="E457" s="190"/>
      <c r="F457" s="190"/>
      <c r="G457" s="190"/>
      <c r="H457" s="190"/>
      <c r="I457" s="190"/>
      <c r="J457" s="190"/>
      <c r="K457" s="190"/>
      <c r="L457" s="190"/>
      <c r="M457" s="190"/>
      <c r="N457" s="190"/>
      <c r="O457" s="190"/>
      <c r="P457" s="190"/>
      <c r="Q457" s="190"/>
      <c r="R457" s="190"/>
      <c r="S457" s="190"/>
      <c r="T457" s="190"/>
      <c r="U457" s="190"/>
      <c r="V457" s="190"/>
      <c r="W457" s="190"/>
      <c r="X457" s="190"/>
      <c r="Y457" s="190"/>
      <c r="Z457" s="190"/>
    </row>
    <row r="458" ht="15.75" customHeight="1" spans="1:26">
      <c r="A458" s="190"/>
      <c r="B458" s="190"/>
      <c r="C458" s="190"/>
      <c r="D458" s="190"/>
      <c r="E458" s="190"/>
      <c r="F458" s="190"/>
      <c r="G458" s="190"/>
      <c r="H458" s="190"/>
      <c r="I458" s="190"/>
      <c r="J458" s="190"/>
      <c r="K458" s="190"/>
      <c r="L458" s="190"/>
      <c r="M458" s="190"/>
      <c r="N458" s="190"/>
      <c r="O458" s="190"/>
      <c r="P458" s="190"/>
      <c r="Q458" s="190"/>
      <c r="R458" s="190"/>
      <c r="S458" s="190"/>
      <c r="T458" s="190"/>
      <c r="U458" s="190"/>
      <c r="V458" s="190"/>
      <c r="W458" s="190"/>
      <c r="X458" s="190"/>
      <c r="Y458" s="190"/>
      <c r="Z458" s="190"/>
    </row>
    <row r="459" ht="15.75" customHeight="1" spans="1:26">
      <c r="A459" s="190"/>
      <c r="B459" s="190"/>
      <c r="C459" s="190"/>
      <c r="D459" s="190"/>
      <c r="E459" s="190"/>
      <c r="F459" s="190"/>
      <c r="G459" s="190"/>
      <c r="H459" s="190"/>
      <c r="I459" s="190"/>
      <c r="J459" s="190"/>
      <c r="K459" s="190"/>
      <c r="L459" s="190"/>
      <c r="M459" s="190"/>
      <c r="N459" s="190"/>
      <c r="O459" s="190"/>
      <c r="P459" s="190"/>
      <c r="Q459" s="190"/>
      <c r="R459" s="190"/>
      <c r="S459" s="190"/>
      <c r="T459" s="190"/>
      <c r="U459" s="190"/>
      <c r="V459" s="190"/>
      <c r="W459" s="190"/>
      <c r="X459" s="190"/>
      <c r="Y459" s="190"/>
      <c r="Z459" s="190"/>
    </row>
    <row r="460" ht="15.75" customHeight="1" spans="1:26">
      <c r="A460" s="190"/>
      <c r="B460" s="190"/>
      <c r="C460" s="190"/>
      <c r="D460" s="190"/>
      <c r="E460" s="190"/>
      <c r="F460" s="190"/>
      <c r="G460" s="190"/>
      <c r="H460" s="190"/>
      <c r="I460" s="190"/>
      <c r="J460" s="190"/>
      <c r="K460" s="190"/>
      <c r="L460" s="190"/>
      <c r="M460" s="190"/>
      <c r="N460" s="190"/>
      <c r="O460" s="190"/>
      <c r="P460" s="190"/>
      <c r="Q460" s="190"/>
      <c r="R460" s="190"/>
      <c r="S460" s="190"/>
      <c r="T460" s="190"/>
      <c r="U460" s="190"/>
      <c r="V460" s="190"/>
      <c r="W460" s="190"/>
      <c r="X460" s="190"/>
      <c r="Y460" s="190"/>
      <c r="Z460" s="190"/>
    </row>
    <row r="461" ht="15.75" customHeight="1" spans="1:26">
      <c r="A461" s="190"/>
      <c r="B461" s="190"/>
      <c r="C461" s="190"/>
      <c r="D461" s="190"/>
      <c r="E461" s="190"/>
      <c r="F461" s="190"/>
      <c r="G461" s="190"/>
      <c r="H461" s="190"/>
      <c r="I461" s="190"/>
      <c r="J461" s="190"/>
      <c r="K461" s="190"/>
      <c r="L461" s="190"/>
      <c r="M461" s="190"/>
      <c r="N461" s="190"/>
      <c r="O461" s="190"/>
      <c r="P461" s="190"/>
      <c r="Q461" s="190"/>
      <c r="R461" s="190"/>
      <c r="S461" s="190"/>
      <c r="T461" s="190"/>
      <c r="U461" s="190"/>
      <c r="V461" s="190"/>
      <c r="W461" s="190"/>
      <c r="X461" s="190"/>
      <c r="Y461" s="190"/>
      <c r="Z461" s="190"/>
    </row>
    <row r="462" ht="15.75" customHeight="1" spans="1:26">
      <c r="A462" s="190"/>
      <c r="B462" s="190"/>
      <c r="C462" s="190"/>
      <c r="D462" s="190"/>
      <c r="E462" s="190"/>
      <c r="F462" s="190"/>
      <c r="G462" s="190"/>
      <c r="H462" s="190"/>
      <c r="I462" s="190"/>
      <c r="J462" s="190"/>
      <c r="K462" s="190"/>
      <c r="L462" s="190"/>
      <c r="M462" s="190"/>
      <c r="N462" s="190"/>
      <c r="O462" s="190"/>
      <c r="P462" s="190"/>
      <c r="Q462" s="190"/>
      <c r="R462" s="190"/>
      <c r="S462" s="190"/>
      <c r="T462" s="190"/>
      <c r="U462" s="190"/>
      <c r="V462" s="190"/>
      <c r="W462" s="190"/>
      <c r="X462" s="190"/>
      <c r="Y462" s="190"/>
      <c r="Z462" s="190"/>
    </row>
    <row r="463" ht="15.75" customHeight="1" spans="1:26">
      <c r="A463" s="190"/>
      <c r="B463" s="190"/>
      <c r="C463" s="190"/>
      <c r="D463" s="190"/>
      <c r="E463" s="190"/>
      <c r="F463" s="190"/>
      <c r="G463" s="190"/>
      <c r="H463" s="190"/>
      <c r="I463" s="190"/>
      <c r="J463" s="190"/>
      <c r="K463" s="190"/>
      <c r="L463" s="190"/>
      <c r="M463" s="190"/>
      <c r="N463" s="190"/>
      <c r="O463" s="190"/>
      <c r="P463" s="190"/>
      <c r="Q463" s="190"/>
      <c r="R463" s="190"/>
      <c r="S463" s="190"/>
      <c r="T463" s="190"/>
      <c r="U463" s="190"/>
      <c r="V463" s="190"/>
      <c r="W463" s="190"/>
      <c r="X463" s="190"/>
      <c r="Y463" s="190"/>
      <c r="Z463" s="190"/>
    </row>
    <row r="464" ht="15.75" customHeight="1" spans="1:26">
      <c r="A464" s="190"/>
      <c r="B464" s="190"/>
      <c r="C464" s="190"/>
      <c r="D464" s="190"/>
      <c r="E464" s="190"/>
      <c r="F464" s="190"/>
      <c r="G464" s="190"/>
      <c r="H464" s="190"/>
      <c r="I464" s="190"/>
      <c r="J464" s="190"/>
      <c r="K464" s="190"/>
      <c r="L464" s="190"/>
      <c r="M464" s="190"/>
      <c r="N464" s="190"/>
      <c r="O464" s="190"/>
      <c r="P464" s="190"/>
      <c r="Q464" s="190"/>
      <c r="R464" s="190"/>
      <c r="S464" s="190"/>
      <c r="T464" s="190"/>
      <c r="U464" s="190"/>
      <c r="V464" s="190"/>
      <c r="W464" s="190"/>
      <c r="X464" s="190"/>
      <c r="Y464" s="190"/>
      <c r="Z464" s="190"/>
    </row>
    <row r="465" ht="15.75" customHeight="1" spans="1:26">
      <c r="A465" s="190"/>
      <c r="B465" s="190"/>
      <c r="C465" s="190"/>
      <c r="D465" s="190"/>
      <c r="E465" s="190"/>
      <c r="F465" s="190"/>
      <c r="G465" s="190"/>
      <c r="H465" s="190"/>
      <c r="I465" s="190"/>
      <c r="J465" s="190"/>
      <c r="K465" s="190"/>
      <c r="L465" s="190"/>
      <c r="M465" s="190"/>
      <c r="N465" s="190"/>
      <c r="O465" s="190"/>
      <c r="P465" s="190"/>
      <c r="Q465" s="190"/>
      <c r="R465" s="190"/>
      <c r="S465" s="190"/>
      <c r="T465" s="190"/>
      <c r="U465" s="190"/>
      <c r="V465" s="190"/>
      <c r="W465" s="190"/>
      <c r="X465" s="190"/>
      <c r="Y465" s="190"/>
      <c r="Z465" s="190"/>
    </row>
    <row r="466" ht="15.75" customHeight="1" spans="1:26">
      <c r="A466" s="190"/>
      <c r="B466" s="190"/>
      <c r="C466" s="190"/>
      <c r="D466" s="190"/>
      <c r="E466" s="190"/>
      <c r="F466" s="190"/>
      <c r="G466" s="190"/>
      <c r="H466" s="190"/>
      <c r="I466" s="190"/>
      <c r="J466" s="190"/>
      <c r="K466" s="190"/>
      <c r="L466" s="190"/>
      <c r="M466" s="190"/>
      <c r="N466" s="190"/>
      <c r="O466" s="190"/>
      <c r="P466" s="190"/>
      <c r="Q466" s="190"/>
      <c r="R466" s="190"/>
      <c r="S466" s="190"/>
      <c r="T466" s="190"/>
      <c r="U466" s="190"/>
      <c r="V466" s="190"/>
      <c r="W466" s="190"/>
      <c r="X466" s="190"/>
      <c r="Y466" s="190"/>
      <c r="Z466" s="190"/>
    </row>
    <row r="467" ht="15.75" customHeight="1" spans="1:26">
      <c r="A467" s="190"/>
      <c r="B467" s="190"/>
      <c r="C467" s="190"/>
      <c r="D467" s="190"/>
      <c r="E467" s="190"/>
      <c r="F467" s="190"/>
      <c r="G467" s="190"/>
      <c r="H467" s="190"/>
      <c r="I467" s="190"/>
      <c r="J467" s="190"/>
      <c r="K467" s="190"/>
      <c r="L467" s="190"/>
      <c r="M467" s="190"/>
      <c r="N467" s="190"/>
      <c r="O467" s="190"/>
      <c r="P467" s="190"/>
      <c r="Q467" s="190"/>
      <c r="R467" s="190"/>
      <c r="S467" s="190"/>
      <c r="T467" s="190"/>
      <c r="U467" s="190"/>
      <c r="V467" s="190"/>
      <c r="W467" s="190"/>
      <c r="X467" s="190"/>
      <c r="Y467" s="190"/>
      <c r="Z467" s="190"/>
    </row>
    <row r="468" ht="15.75" customHeight="1" spans="1:26">
      <c r="A468" s="190"/>
      <c r="B468" s="190"/>
      <c r="C468" s="190"/>
      <c r="D468" s="190"/>
      <c r="E468" s="190"/>
      <c r="F468" s="190"/>
      <c r="G468" s="190"/>
      <c r="H468" s="190"/>
      <c r="I468" s="190"/>
      <c r="J468" s="190"/>
      <c r="K468" s="190"/>
      <c r="L468" s="190"/>
      <c r="M468" s="190"/>
      <c r="N468" s="190"/>
      <c r="O468" s="190"/>
      <c r="P468" s="190"/>
      <c r="Q468" s="190"/>
      <c r="R468" s="190"/>
      <c r="S468" s="190"/>
      <c r="T468" s="190"/>
      <c r="U468" s="190"/>
      <c r="V468" s="190"/>
      <c r="W468" s="190"/>
      <c r="X468" s="190"/>
      <c r="Y468" s="190"/>
      <c r="Z468" s="190"/>
    </row>
    <row r="469" ht="15.75" customHeight="1" spans="1:26">
      <c r="A469" s="190"/>
      <c r="B469" s="190"/>
      <c r="C469" s="190"/>
      <c r="D469" s="190"/>
      <c r="E469" s="190"/>
      <c r="F469" s="190"/>
      <c r="G469" s="190"/>
      <c r="H469" s="190"/>
      <c r="I469" s="190"/>
      <c r="J469" s="190"/>
      <c r="K469" s="190"/>
      <c r="L469" s="190"/>
      <c r="M469" s="190"/>
      <c r="N469" s="190"/>
      <c r="O469" s="190"/>
      <c r="P469" s="190"/>
      <c r="Q469" s="190"/>
      <c r="R469" s="190"/>
      <c r="S469" s="190"/>
      <c r="T469" s="190"/>
      <c r="U469" s="190"/>
      <c r="V469" s="190"/>
      <c r="W469" s="190"/>
      <c r="X469" s="190"/>
      <c r="Y469" s="190"/>
      <c r="Z469" s="190"/>
    </row>
    <row r="470" ht="15.75" customHeight="1" spans="1:26">
      <c r="A470" s="190"/>
      <c r="B470" s="190"/>
      <c r="C470" s="190"/>
      <c r="D470" s="190"/>
      <c r="E470" s="190"/>
      <c r="F470" s="190"/>
      <c r="G470" s="190"/>
      <c r="H470" s="190"/>
      <c r="I470" s="190"/>
      <c r="J470" s="190"/>
      <c r="K470" s="190"/>
      <c r="L470" s="190"/>
      <c r="M470" s="190"/>
      <c r="N470" s="190"/>
      <c r="O470" s="190"/>
      <c r="P470" s="190"/>
      <c r="Q470" s="190"/>
      <c r="R470" s="190"/>
      <c r="S470" s="190"/>
      <c r="T470" s="190"/>
      <c r="U470" s="190"/>
      <c r="V470" s="190"/>
      <c r="W470" s="190"/>
      <c r="X470" s="190"/>
      <c r="Y470" s="190"/>
      <c r="Z470" s="190"/>
    </row>
    <row r="471" ht="15.75" customHeight="1" spans="1:26">
      <c r="A471" s="190"/>
      <c r="B471" s="190"/>
      <c r="C471" s="190"/>
      <c r="D471" s="190"/>
      <c r="E471" s="190"/>
      <c r="F471" s="190"/>
      <c r="G471" s="190"/>
      <c r="H471" s="190"/>
      <c r="I471" s="190"/>
      <c r="J471" s="190"/>
      <c r="K471" s="190"/>
      <c r="L471" s="190"/>
      <c r="M471" s="190"/>
      <c r="N471" s="190"/>
      <c r="O471" s="190"/>
      <c r="P471" s="190"/>
      <c r="Q471" s="190"/>
      <c r="R471" s="190"/>
      <c r="S471" s="190"/>
      <c r="T471" s="190"/>
      <c r="U471" s="190"/>
      <c r="V471" s="190"/>
      <c r="W471" s="190"/>
      <c r="X471" s="190"/>
      <c r="Y471" s="190"/>
      <c r="Z471" s="190"/>
    </row>
    <row r="472" ht="15.75" customHeight="1" spans="1:26">
      <c r="A472" s="190"/>
      <c r="B472" s="190"/>
      <c r="C472" s="190"/>
      <c r="D472" s="190"/>
      <c r="E472" s="190"/>
      <c r="F472" s="190"/>
      <c r="G472" s="190"/>
      <c r="H472" s="190"/>
      <c r="I472" s="190"/>
      <c r="J472" s="190"/>
      <c r="K472" s="190"/>
      <c r="L472" s="190"/>
      <c r="M472" s="190"/>
      <c r="N472" s="190"/>
      <c r="O472" s="190"/>
      <c r="P472" s="190"/>
      <c r="Q472" s="190"/>
      <c r="R472" s="190"/>
      <c r="S472" s="190"/>
      <c r="T472" s="190"/>
      <c r="U472" s="190"/>
      <c r="V472" s="190"/>
      <c r="W472" s="190"/>
      <c r="X472" s="190"/>
      <c r="Y472" s="190"/>
      <c r="Z472" s="190"/>
    </row>
    <row r="473" ht="15.75" customHeight="1" spans="1:26">
      <c r="A473" s="190"/>
      <c r="B473" s="190"/>
      <c r="C473" s="190"/>
      <c r="D473" s="190"/>
      <c r="E473" s="190"/>
      <c r="F473" s="190"/>
      <c r="G473" s="190"/>
      <c r="H473" s="190"/>
      <c r="I473" s="190"/>
      <c r="J473" s="190"/>
      <c r="K473" s="190"/>
      <c r="L473" s="190"/>
      <c r="M473" s="190"/>
      <c r="N473" s="190"/>
      <c r="O473" s="190"/>
      <c r="P473" s="190"/>
      <c r="Q473" s="190"/>
      <c r="R473" s="190"/>
      <c r="S473" s="190"/>
      <c r="T473" s="190"/>
      <c r="U473" s="190"/>
      <c r="V473" s="190"/>
      <c r="W473" s="190"/>
      <c r="X473" s="190"/>
      <c r="Y473" s="190"/>
      <c r="Z473" s="190"/>
    </row>
    <row r="474" ht="15.75" customHeight="1" spans="1:26">
      <c r="A474" s="190"/>
      <c r="B474" s="190"/>
      <c r="C474" s="190"/>
      <c r="D474" s="190"/>
      <c r="E474" s="190"/>
      <c r="F474" s="190"/>
      <c r="G474" s="190"/>
      <c r="H474" s="190"/>
      <c r="I474" s="190"/>
      <c r="J474" s="190"/>
      <c r="K474" s="190"/>
      <c r="L474" s="190"/>
      <c r="M474" s="190"/>
      <c r="N474" s="190"/>
      <c r="O474" s="190"/>
      <c r="P474" s="190"/>
      <c r="Q474" s="190"/>
      <c r="R474" s="190"/>
      <c r="S474" s="190"/>
      <c r="T474" s="190"/>
      <c r="U474" s="190"/>
      <c r="V474" s="190"/>
      <c r="W474" s="190"/>
      <c r="X474" s="190"/>
      <c r="Y474" s="190"/>
      <c r="Z474" s="190"/>
    </row>
    <row r="475" ht="15.75" customHeight="1" spans="1:26">
      <c r="A475" s="190"/>
      <c r="B475" s="190"/>
      <c r="C475" s="190"/>
      <c r="D475" s="190"/>
      <c r="E475" s="190"/>
      <c r="F475" s="190"/>
      <c r="G475" s="190"/>
      <c r="H475" s="190"/>
      <c r="I475" s="190"/>
      <c r="J475" s="190"/>
      <c r="K475" s="190"/>
      <c r="L475" s="190"/>
      <c r="M475" s="190"/>
      <c r="N475" s="190"/>
      <c r="O475" s="190"/>
      <c r="P475" s="190"/>
      <c r="Q475" s="190"/>
      <c r="R475" s="190"/>
      <c r="S475" s="190"/>
      <c r="T475" s="190"/>
      <c r="U475" s="190"/>
      <c r="V475" s="190"/>
      <c r="W475" s="190"/>
      <c r="X475" s="190"/>
      <c r="Y475" s="190"/>
      <c r="Z475" s="190"/>
    </row>
    <row r="476" ht="15.75" customHeight="1" spans="1:26">
      <c r="A476" s="190"/>
      <c r="B476" s="190"/>
      <c r="C476" s="190"/>
      <c r="D476" s="190"/>
      <c r="E476" s="190"/>
      <c r="F476" s="190"/>
      <c r="G476" s="190"/>
      <c r="H476" s="190"/>
      <c r="I476" s="190"/>
      <c r="J476" s="190"/>
      <c r="K476" s="190"/>
      <c r="L476" s="190"/>
      <c r="M476" s="190"/>
      <c r="N476" s="190"/>
      <c r="O476" s="190"/>
      <c r="P476" s="190"/>
      <c r="Q476" s="190"/>
      <c r="R476" s="190"/>
      <c r="S476" s="190"/>
      <c r="T476" s="190"/>
      <c r="U476" s="190"/>
      <c r="V476" s="190"/>
      <c r="W476" s="190"/>
      <c r="X476" s="190"/>
      <c r="Y476" s="190"/>
      <c r="Z476" s="190"/>
    </row>
    <row r="477" ht="15.75" customHeight="1" spans="1:26">
      <c r="A477" s="190"/>
      <c r="B477" s="190"/>
      <c r="C477" s="190"/>
      <c r="D477" s="190"/>
      <c r="E477" s="190"/>
      <c r="F477" s="190"/>
      <c r="G477" s="190"/>
      <c r="H477" s="190"/>
      <c r="I477" s="190"/>
      <c r="J477" s="190"/>
      <c r="K477" s="190"/>
      <c r="L477" s="190"/>
      <c r="M477" s="190"/>
      <c r="N477" s="190"/>
      <c r="O477" s="190"/>
      <c r="P477" s="190"/>
      <c r="Q477" s="190"/>
      <c r="R477" s="190"/>
      <c r="S477" s="190"/>
      <c r="T477" s="190"/>
      <c r="U477" s="190"/>
      <c r="V477" s="190"/>
      <c r="W477" s="190"/>
      <c r="X477" s="190"/>
      <c r="Y477" s="190"/>
      <c r="Z477" s="190"/>
    </row>
    <row r="478" ht="15.75" customHeight="1" spans="1:26">
      <c r="A478" s="190"/>
      <c r="B478" s="190"/>
      <c r="C478" s="190"/>
      <c r="D478" s="190"/>
      <c r="E478" s="190"/>
      <c r="F478" s="190"/>
      <c r="G478" s="190"/>
      <c r="H478" s="190"/>
      <c r="I478" s="190"/>
      <c r="J478" s="190"/>
      <c r="K478" s="190"/>
      <c r="L478" s="190"/>
      <c r="M478" s="190"/>
      <c r="N478" s="190"/>
      <c r="O478" s="190"/>
      <c r="P478" s="190"/>
      <c r="Q478" s="190"/>
      <c r="R478" s="190"/>
      <c r="S478" s="190"/>
      <c r="T478" s="190"/>
      <c r="U478" s="190"/>
      <c r="V478" s="190"/>
      <c r="W478" s="190"/>
      <c r="X478" s="190"/>
      <c r="Y478" s="190"/>
      <c r="Z478" s="190"/>
    </row>
    <row r="479" ht="15.75" customHeight="1" spans="1:26">
      <c r="A479" s="190"/>
      <c r="B479" s="190"/>
      <c r="C479" s="190"/>
      <c r="D479" s="190"/>
      <c r="E479" s="190"/>
      <c r="F479" s="190"/>
      <c r="G479" s="190"/>
      <c r="H479" s="190"/>
      <c r="I479" s="190"/>
      <c r="J479" s="190"/>
      <c r="K479" s="190"/>
      <c r="L479" s="190"/>
      <c r="M479" s="190"/>
      <c r="N479" s="190"/>
      <c r="O479" s="190"/>
      <c r="P479" s="190"/>
      <c r="Q479" s="190"/>
      <c r="R479" s="190"/>
      <c r="S479" s="190"/>
      <c r="T479" s="190"/>
      <c r="U479" s="190"/>
      <c r="V479" s="190"/>
      <c r="W479" s="190"/>
      <c r="X479" s="190"/>
      <c r="Y479" s="190"/>
      <c r="Z479" s="190"/>
    </row>
    <row r="480" ht="15.75" customHeight="1" spans="1:26">
      <c r="A480" s="190"/>
      <c r="B480" s="190"/>
      <c r="C480" s="190"/>
      <c r="D480" s="190"/>
      <c r="E480" s="190"/>
      <c r="F480" s="190"/>
      <c r="G480" s="190"/>
      <c r="H480" s="190"/>
      <c r="I480" s="190"/>
      <c r="J480" s="190"/>
      <c r="K480" s="190"/>
      <c r="L480" s="190"/>
      <c r="M480" s="190"/>
      <c r="N480" s="190"/>
      <c r="O480" s="190"/>
      <c r="P480" s="190"/>
      <c r="Q480" s="190"/>
      <c r="R480" s="190"/>
      <c r="S480" s="190"/>
      <c r="T480" s="190"/>
      <c r="U480" s="190"/>
      <c r="V480" s="190"/>
      <c r="W480" s="190"/>
      <c r="X480" s="190"/>
      <c r="Y480" s="190"/>
      <c r="Z480" s="190"/>
    </row>
    <row r="481" ht="15.75" customHeight="1" spans="1:26">
      <c r="A481" s="190"/>
      <c r="B481" s="190"/>
      <c r="C481" s="190"/>
      <c r="D481" s="190"/>
      <c r="E481" s="190"/>
      <c r="F481" s="190"/>
      <c r="G481" s="190"/>
      <c r="H481" s="190"/>
      <c r="I481" s="190"/>
      <c r="J481" s="190"/>
      <c r="K481" s="190"/>
      <c r="L481" s="190"/>
      <c r="M481" s="190"/>
      <c r="N481" s="190"/>
      <c r="O481" s="190"/>
      <c r="P481" s="190"/>
      <c r="Q481" s="190"/>
      <c r="R481" s="190"/>
      <c r="S481" s="190"/>
      <c r="T481" s="190"/>
      <c r="U481" s="190"/>
      <c r="V481" s="190"/>
      <c r="W481" s="190"/>
      <c r="X481" s="190"/>
      <c r="Y481" s="190"/>
      <c r="Z481" s="190"/>
    </row>
    <row r="482" ht="15.75" customHeight="1" spans="1:26">
      <c r="A482" s="190"/>
      <c r="B482" s="190"/>
      <c r="C482" s="190"/>
      <c r="D482" s="190"/>
      <c r="E482" s="190"/>
      <c r="F482" s="190"/>
      <c r="G482" s="190"/>
      <c r="H482" s="190"/>
      <c r="I482" s="190"/>
      <c r="J482" s="190"/>
      <c r="K482" s="190"/>
      <c r="L482" s="190"/>
      <c r="M482" s="190"/>
      <c r="N482" s="190"/>
      <c r="O482" s="190"/>
      <c r="P482" s="190"/>
      <c r="Q482" s="190"/>
      <c r="R482" s="190"/>
      <c r="S482" s="190"/>
      <c r="T482" s="190"/>
      <c r="U482" s="190"/>
      <c r="V482" s="190"/>
      <c r="W482" s="190"/>
      <c r="X482" s="190"/>
      <c r="Y482" s="190"/>
      <c r="Z482" s="190"/>
    </row>
    <row r="483" ht="15.75" customHeight="1" spans="1:26">
      <c r="A483" s="190"/>
      <c r="B483" s="190"/>
      <c r="C483" s="190"/>
      <c r="D483" s="190"/>
      <c r="E483" s="190"/>
      <c r="F483" s="190"/>
      <c r="G483" s="190"/>
      <c r="H483" s="190"/>
      <c r="I483" s="190"/>
      <c r="J483" s="190"/>
      <c r="K483" s="190"/>
      <c r="L483" s="190"/>
      <c r="M483" s="190"/>
      <c r="N483" s="190"/>
      <c r="O483" s="190"/>
      <c r="P483" s="190"/>
      <c r="Q483" s="190"/>
      <c r="R483" s="190"/>
      <c r="S483" s="190"/>
      <c r="T483" s="190"/>
      <c r="U483" s="190"/>
      <c r="V483" s="190"/>
      <c r="W483" s="190"/>
      <c r="X483" s="190"/>
      <c r="Y483" s="190"/>
      <c r="Z483" s="190"/>
    </row>
    <row r="484" ht="15.75" customHeight="1" spans="1:26">
      <c r="A484" s="190"/>
      <c r="B484" s="190"/>
      <c r="C484" s="190"/>
      <c r="D484" s="190"/>
      <c r="E484" s="190"/>
      <c r="F484" s="190"/>
      <c r="G484" s="190"/>
      <c r="H484" s="190"/>
      <c r="I484" s="190"/>
      <c r="J484" s="190"/>
      <c r="K484" s="190"/>
      <c r="L484" s="190"/>
      <c r="M484" s="190"/>
      <c r="N484" s="190"/>
      <c r="O484" s="190"/>
      <c r="P484" s="190"/>
      <c r="Q484" s="190"/>
      <c r="R484" s="190"/>
      <c r="S484" s="190"/>
      <c r="T484" s="190"/>
      <c r="U484" s="190"/>
      <c r="V484" s="190"/>
      <c r="W484" s="190"/>
      <c r="X484" s="190"/>
      <c r="Y484" s="190"/>
      <c r="Z484" s="190"/>
    </row>
    <row r="485" ht="15.75" customHeight="1" spans="1:26">
      <c r="A485" s="190"/>
      <c r="B485" s="190"/>
      <c r="C485" s="190"/>
      <c r="D485" s="190"/>
      <c r="E485" s="190"/>
      <c r="F485" s="190"/>
      <c r="G485" s="190"/>
      <c r="H485" s="190"/>
      <c r="I485" s="190"/>
      <c r="J485" s="190"/>
      <c r="K485" s="190"/>
      <c r="L485" s="190"/>
      <c r="M485" s="190"/>
      <c r="N485" s="190"/>
      <c r="O485" s="190"/>
      <c r="P485" s="190"/>
      <c r="Q485" s="190"/>
      <c r="R485" s="190"/>
      <c r="S485" s="190"/>
      <c r="T485" s="190"/>
      <c r="U485" s="190"/>
      <c r="V485" s="190"/>
      <c r="W485" s="190"/>
      <c r="X485" s="190"/>
      <c r="Y485" s="190"/>
      <c r="Z485" s="190"/>
    </row>
    <row r="486" ht="15.75" customHeight="1" spans="1:26">
      <c r="A486" s="190"/>
      <c r="B486" s="190"/>
      <c r="C486" s="190"/>
      <c r="D486" s="190"/>
      <c r="E486" s="190"/>
      <c r="F486" s="190"/>
      <c r="G486" s="190"/>
      <c r="H486" s="190"/>
      <c r="I486" s="190"/>
      <c r="J486" s="190"/>
      <c r="K486" s="190"/>
      <c r="L486" s="190"/>
      <c r="M486" s="190"/>
      <c r="N486" s="190"/>
      <c r="O486" s="190"/>
      <c r="P486" s="190"/>
      <c r="Q486" s="190"/>
      <c r="R486" s="190"/>
      <c r="S486" s="190"/>
      <c r="T486" s="190"/>
      <c r="U486" s="190"/>
      <c r="V486" s="190"/>
      <c r="W486" s="190"/>
      <c r="X486" s="190"/>
      <c r="Y486" s="190"/>
      <c r="Z486" s="190"/>
    </row>
    <row r="487" ht="15.75" customHeight="1" spans="1:26">
      <c r="A487" s="190"/>
      <c r="B487" s="190"/>
      <c r="C487" s="190"/>
      <c r="D487" s="190"/>
      <c r="E487" s="190"/>
      <c r="F487" s="190"/>
      <c r="G487" s="190"/>
      <c r="H487" s="190"/>
      <c r="I487" s="190"/>
      <c r="J487" s="190"/>
      <c r="K487" s="190"/>
      <c r="L487" s="190"/>
      <c r="M487" s="190"/>
      <c r="N487" s="190"/>
      <c r="O487" s="190"/>
      <c r="P487" s="190"/>
      <c r="Q487" s="190"/>
      <c r="R487" s="190"/>
      <c r="S487" s="190"/>
      <c r="T487" s="190"/>
      <c r="U487" s="190"/>
      <c r="V487" s="190"/>
      <c r="W487" s="190"/>
      <c r="X487" s="190"/>
      <c r="Y487" s="190"/>
      <c r="Z487" s="190"/>
    </row>
    <row r="488" ht="15.75" customHeight="1" spans="1:26">
      <c r="A488" s="190"/>
      <c r="B488" s="190"/>
      <c r="C488" s="190"/>
      <c r="D488" s="190"/>
      <c r="E488" s="190"/>
      <c r="F488" s="190"/>
      <c r="G488" s="190"/>
      <c r="H488" s="190"/>
      <c r="I488" s="190"/>
      <c r="J488" s="190"/>
      <c r="K488" s="190"/>
      <c r="L488" s="190"/>
      <c r="M488" s="190"/>
      <c r="N488" s="190"/>
      <c r="O488" s="190"/>
      <c r="P488" s="190"/>
      <c r="Q488" s="190"/>
      <c r="R488" s="190"/>
      <c r="S488" s="190"/>
      <c r="T488" s="190"/>
      <c r="U488" s="190"/>
      <c r="V488" s="190"/>
      <c r="W488" s="190"/>
      <c r="X488" s="190"/>
      <c r="Y488" s="190"/>
      <c r="Z488" s="190"/>
    </row>
    <row r="489" ht="15.75" customHeight="1" spans="1:26">
      <c r="A489" s="190"/>
      <c r="B489" s="190"/>
      <c r="C489" s="190"/>
      <c r="D489" s="190"/>
      <c r="E489" s="190"/>
      <c r="F489" s="190"/>
      <c r="G489" s="190"/>
      <c r="H489" s="190"/>
      <c r="I489" s="190"/>
      <c r="J489" s="190"/>
      <c r="K489" s="190"/>
      <c r="L489" s="190"/>
      <c r="M489" s="190"/>
      <c r="N489" s="190"/>
      <c r="O489" s="190"/>
      <c r="P489" s="190"/>
      <c r="Q489" s="190"/>
      <c r="R489" s="190"/>
      <c r="S489" s="190"/>
      <c r="T489" s="190"/>
      <c r="U489" s="190"/>
      <c r="V489" s="190"/>
      <c r="W489" s="190"/>
      <c r="X489" s="190"/>
      <c r="Y489" s="190"/>
      <c r="Z489" s="190"/>
    </row>
    <row r="490" ht="15.75" customHeight="1" spans="1:26">
      <c r="A490" s="190"/>
      <c r="B490" s="190"/>
      <c r="C490" s="190"/>
      <c r="D490" s="190"/>
      <c r="E490" s="190"/>
      <c r="F490" s="190"/>
      <c r="G490" s="190"/>
      <c r="H490" s="190"/>
      <c r="I490" s="190"/>
      <c r="J490" s="190"/>
      <c r="K490" s="190"/>
      <c r="L490" s="190"/>
      <c r="M490" s="190"/>
      <c r="N490" s="190"/>
      <c r="O490" s="190"/>
      <c r="P490" s="190"/>
      <c r="Q490" s="190"/>
      <c r="R490" s="190"/>
      <c r="S490" s="190"/>
      <c r="T490" s="190"/>
      <c r="U490" s="190"/>
      <c r="V490" s="190"/>
      <c r="W490" s="190"/>
      <c r="X490" s="190"/>
      <c r="Y490" s="190"/>
      <c r="Z490" s="190"/>
    </row>
    <row r="491" ht="15.75" customHeight="1" spans="1:26">
      <c r="A491" s="190"/>
      <c r="B491" s="190"/>
      <c r="C491" s="190"/>
      <c r="D491" s="190"/>
      <c r="E491" s="190"/>
      <c r="F491" s="190"/>
      <c r="G491" s="190"/>
      <c r="H491" s="190"/>
      <c r="I491" s="190"/>
      <c r="J491" s="190"/>
      <c r="K491" s="190"/>
      <c r="L491" s="190"/>
      <c r="M491" s="190"/>
      <c r="N491" s="190"/>
      <c r="O491" s="190"/>
      <c r="P491" s="190"/>
      <c r="Q491" s="190"/>
      <c r="R491" s="190"/>
      <c r="S491" s="190"/>
      <c r="T491" s="190"/>
      <c r="U491" s="190"/>
      <c r="V491" s="190"/>
      <c r="W491" s="190"/>
      <c r="X491" s="190"/>
      <c r="Y491" s="190"/>
      <c r="Z491" s="190"/>
    </row>
    <row r="492" ht="15.75" customHeight="1" spans="1:26">
      <c r="A492" s="190"/>
      <c r="B492" s="190"/>
      <c r="C492" s="190"/>
      <c r="D492" s="190"/>
      <c r="E492" s="190"/>
      <c r="F492" s="190"/>
      <c r="G492" s="190"/>
      <c r="H492" s="190"/>
      <c r="I492" s="190"/>
      <c r="J492" s="190"/>
      <c r="K492" s="190"/>
      <c r="L492" s="190"/>
      <c r="M492" s="190"/>
      <c r="N492" s="190"/>
      <c r="O492" s="190"/>
      <c r="P492" s="190"/>
      <c r="Q492" s="190"/>
      <c r="R492" s="190"/>
      <c r="S492" s="190"/>
      <c r="T492" s="190"/>
      <c r="U492" s="190"/>
      <c r="V492" s="190"/>
      <c r="W492" s="190"/>
      <c r="X492" s="190"/>
      <c r="Y492" s="190"/>
      <c r="Z492" s="190"/>
    </row>
    <row r="493" ht="15.75" customHeight="1" spans="1:26">
      <c r="A493" s="190"/>
      <c r="B493" s="190"/>
      <c r="C493" s="190"/>
      <c r="D493" s="190"/>
      <c r="E493" s="190"/>
      <c r="F493" s="190"/>
      <c r="G493" s="190"/>
      <c r="H493" s="190"/>
      <c r="I493" s="190"/>
      <c r="J493" s="190"/>
      <c r="K493" s="190"/>
      <c r="L493" s="190"/>
      <c r="M493" s="190"/>
      <c r="N493" s="190"/>
      <c r="O493" s="190"/>
      <c r="P493" s="190"/>
      <c r="Q493" s="190"/>
      <c r="R493" s="190"/>
      <c r="S493" s="190"/>
      <c r="T493" s="190"/>
      <c r="U493" s="190"/>
      <c r="V493" s="190"/>
      <c r="W493" s="190"/>
      <c r="X493" s="190"/>
      <c r="Y493" s="190"/>
      <c r="Z493" s="190"/>
    </row>
    <row r="494" ht="15.75" customHeight="1" spans="1:26">
      <c r="A494" s="190"/>
      <c r="B494" s="190"/>
      <c r="C494" s="190"/>
      <c r="D494" s="190"/>
      <c r="E494" s="190"/>
      <c r="F494" s="190"/>
      <c r="G494" s="190"/>
      <c r="H494" s="190"/>
      <c r="I494" s="190"/>
      <c r="J494" s="190"/>
      <c r="K494" s="190"/>
      <c r="L494" s="190"/>
      <c r="M494" s="190"/>
      <c r="N494" s="190"/>
      <c r="O494" s="190"/>
      <c r="P494" s="190"/>
      <c r="Q494" s="190"/>
      <c r="R494" s="190"/>
      <c r="S494" s="190"/>
      <c r="T494" s="190"/>
      <c r="U494" s="190"/>
      <c r="V494" s="190"/>
      <c r="W494" s="190"/>
      <c r="X494" s="190"/>
      <c r="Y494" s="190"/>
      <c r="Z494" s="190"/>
    </row>
    <row r="495" ht="15.75" customHeight="1" spans="1:26">
      <c r="A495" s="190"/>
      <c r="B495" s="190"/>
      <c r="C495" s="190"/>
      <c r="D495" s="190"/>
      <c r="E495" s="190"/>
      <c r="F495" s="190"/>
      <c r="G495" s="190"/>
      <c r="H495" s="190"/>
      <c r="I495" s="190"/>
      <c r="J495" s="190"/>
      <c r="K495" s="190"/>
      <c r="L495" s="190"/>
      <c r="M495" s="190"/>
      <c r="N495" s="190"/>
      <c r="O495" s="190"/>
      <c r="P495" s="190"/>
      <c r="Q495" s="190"/>
      <c r="R495" s="190"/>
      <c r="S495" s="190"/>
      <c r="T495" s="190"/>
      <c r="U495" s="190"/>
      <c r="V495" s="190"/>
      <c r="W495" s="190"/>
      <c r="X495" s="190"/>
      <c r="Y495" s="190"/>
      <c r="Z495" s="190"/>
    </row>
    <row r="496" ht="15.75" customHeight="1" spans="1:26">
      <c r="A496" s="190"/>
      <c r="B496" s="190"/>
      <c r="C496" s="190"/>
      <c r="D496" s="190"/>
      <c r="E496" s="190"/>
      <c r="F496" s="190"/>
      <c r="G496" s="190"/>
      <c r="H496" s="190"/>
      <c r="I496" s="190"/>
      <c r="J496" s="190"/>
      <c r="K496" s="190"/>
      <c r="L496" s="190"/>
      <c r="M496" s="190"/>
      <c r="N496" s="190"/>
      <c r="O496" s="190"/>
      <c r="P496" s="190"/>
      <c r="Q496" s="190"/>
      <c r="R496" s="190"/>
      <c r="S496" s="190"/>
      <c r="T496" s="190"/>
      <c r="U496" s="190"/>
      <c r="V496" s="190"/>
      <c r="W496" s="190"/>
      <c r="X496" s="190"/>
      <c r="Y496" s="190"/>
      <c r="Z496" s="190"/>
    </row>
    <row r="497" ht="15.75" customHeight="1" spans="1:26">
      <c r="A497" s="190"/>
      <c r="B497" s="190"/>
      <c r="C497" s="190"/>
      <c r="D497" s="190"/>
      <c r="E497" s="190"/>
      <c r="F497" s="190"/>
      <c r="G497" s="190"/>
      <c r="H497" s="190"/>
      <c r="I497" s="190"/>
      <c r="J497" s="190"/>
      <c r="K497" s="190"/>
      <c r="L497" s="190"/>
      <c r="M497" s="190"/>
      <c r="N497" s="190"/>
      <c r="O497" s="190"/>
      <c r="P497" s="190"/>
      <c r="Q497" s="190"/>
      <c r="R497" s="190"/>
      <c r="S497" s="190"/>
      <c r="T497" s="190"/>
      <c r="U497" s="190"/>
      <c r="V497" s="190"/>
      <c r="W497" s="190"/>
      <c r="X497" s="190"/>
      <c r="Y497" s="190"/>
      <c r="Z497" s="190"/>
    </row>
    <row r="498" ht="15.75" customHeight="1" spans="1:26">
      <c r="A498" s="190"/>
      <c r="B498" s="190"/>
      <c r="C498" s="190"/>
      <c r="D498" s="190"/>
      <c r="E498" s="190"/>
      <c r="F498" s="190"/>
      <c r="G498" s="190"/>
      <c r="H498" s="190"/>
      <c r="I498" s="190"/>
      <c r="J498" s="190"/>
      <c r="K498" s="190"/>
      <c r="L498" s="190"/>
      <c r="M498" s="190"/>
      <c r="N498" s="190"/>
      <c r="O498" s="190"/>
      <c r="P498" s="190"/>
      <c r="Q498" s="190"/>
      <c r="R498" s="190"/>
      <c r="S498" s="190"/>
      <c r="T498" s="190"/>
      <c r="U498" s="190"/>
      <c r="V498" s="190"/>
      <c r="W498" s="190"/>
      <c r="X498" s="190"/>
      <c r="Y498" s="190"/>
      <c r="Z498" s="190"/>
    </row>
    <row r="499" ht="15.75" customHeight="1" spans="1:26">
      <c r="A499" s="190"/>
      <c r="B499" s="190"/>
      <c r="C499" s="190"/>
      <c r="D499" s="190"/>
      <c r="E499" s="190"/>
      <c r="F499" s="190"/>
      <c r="G499" s="190"/>
      <c r="H499" s="190"/>
      <c r="I499" s="190"/>
      <c r="J499" s="190"/>
      <c r="K499" s="190"/>
      <c r="L499" s="190"/>
      <c r="M499" s="190"/>
      <c r="N499" s="190"/>
      <c r="O499" s="190"/>
      <c r="P499" s="190"/>
      <c r="Q499" s="190"/>
      <c r="R499" s="190"/>
      <c r="S499" s="190"/>
      <c r="T499" s="190"/>
      <c r="U499" s="190"/>
      <c r="V499" s="190"/>
      <c r="W499" s="190"/>
      <c r="X499" s="190"/>
      <c r="Y499" s="190"/>
      <c r="Z499" s="190"/>
    </row>
    <row r="500" ht="15.75" customHeight="1" spans="1:26">
      <c r="A500" s="190"/>
      <c r="B500" s="190"/>
      <c r="C500" s="190"/>
      <c r="D500" s="190"/>
      <c r="E500" s="190"/>
      <c r="F500" s="190"/>
      <c r="G500" s="190"/>
      <c r="H500" s="190"/>
      <c r="I500" s="190"/>
      <c r="J500" s="190"/>
      <c r="K500" s="190"/>
      <c r="L500" s="190"/>
      <c r="M500" s="190"/>
      <c r="N500" s="190"/>
      <c r="O500" s="190"/>
      <c r="P500" s="190"/>
      <c r="Q500" s="190"/>
      <c r="R500" s="190"/>
      <c r="S500" s="190"/>
      <c r="T500" s="190"/>
      <c r="U500" s="190"/>
      <c r="V500" s="190"/>
      <c r="W500" s="190"/>
      <c r="X500" s="190"/>
      <c r="Y500" s="190"/>
      <c r="Z500" s="190"/>
    </row>
    <row r="501" ht="15.75" customHeight="1" spans="1:26">
      <c r="A501" s="190"/>
      <c r="B501" s="190"/>
      <c r="C501" s="190"/>
      <c r="D501" s="190"/>
      <c r="E501" s="190"/>
      <c r="F501" s="190"/>
      <c r="G501" s="190"/>
      <c r="H501" s="190"/>
      <c r="I501" s="190"/>
      <c r="J501" s="190"/>
      <c r="K501" s="190"/>
      <c r="L501" s="190"/>
      <c r="M501" s="190"/>
      <c r="N501" s="190"/>
      <c r="O501" s="190"/>
      <c r="P501" s="190"/>
      <c r="Q501" s="190"/>
      <c r="R501" s="190"/>
      <c r="S501" s="190"/>
      <c r="T501" s="190"/>
      <c r="U501" s="190"/>
      <c r="V501" s="190"/>
      <c r="W501" s="190"/>
      <c r="X501" s="190"/>
      <c r="Y501" s="190"/>
      <c r="Z501" s="190"/>
    </row>
    <row r="502" ht="15.75" customHeight="1" spans="1:26">
      <c r="A502" s="190"/>
      <c r="B502" s="190"/>
      <c r="C502" s="190"/>
      <c r="D502" s="190"/>
      <c r="E502" s="190"/>
      <c r="F502" s="190"/>
      <c r="G502" s="190"/>
      <c r="H502" s="190"/>
      <c r="I502" s="190"/>
      <c r="J502" s="190"/>
      <c r="K502" s="190"/>
      <c r="L502" s="190"/>
      <c r="M502" s="190"/>
      <c r="N502" s="190"/>
      <c r="O502" s="190"/>
      <c r="P502" s="190"/>
      <c r="Q502" s="190"/>
      <c r="R502" s="190"/>
      <c r="S502" s="190"/>
      <c r="T502" s="190"/>
      <c r="U502" s="190"/>
      <c r="V502" s="190"/>
      <c r="W502" s="190"/>
      <c r="X502" s="190"/>
      <c r="Y502" s="190"/>
      <c r="Z502" s="190"/>
    </row>
    <row r="503" ht="15.75" customHeight="1" spans="1:26">
      <c r="A503" s="190"/>
      <c r="B503" s="190"/>
      <c r="C503" s="190"/>
      <c r="D503" s="190"/>
      <c r="E503" s="190"/>
      <c r="F503" s="190"/>
      <c r="G503" s="190"/>
      <c r="H503" s="190"/>
      <c r="I503" s="190"/>
      <c r="J503" s="190"/>
      <c r="K503" s="190"/>
      <c r="L503" s="190"/>
      <c r="M503" s="190"/>
      <c r="N503" s="190"/>
      <c r="O503" s="190"/>
      <c r="P503" s="190"/>
      <c r="Q503" s="190"/>
      <c r="R503" s="190"/>
      <c r="S503" s="190"/>
      <c r="T503" s="190"/>
      <c r="U503" s="190"/>
      <c r="V503" s="190"/>
      <c r="W503" s="190"/>
      <c r="X503" s="190"/>
      <c r="Y503" s="190"/>
      <c r="Z503" s="190"/>
    </row>
    <row r="504" ht="15.75" customHeight="1" spans="1:26">
      <c r="A504" s="190"/>
      <c r="B504" s="190"/>
      <c r="C504" s="190"/>
      <c r="D504" s="190"/>
      <c r="E504" s="190"/>
      <c r="F504" s="190"/>
      <c r="G504" s="190"/>
      <c r="H504" s="190"/>
      <c r="I504" s="190"/>
      <c r="J504" s="190"/>
      <c r="K504" s="190"/>
      <c r="L504" s="190"/>
      <c r="M504" s="190"/>
      <c r="N504" s="190"/>
      <c r="O504" s="190"/>
      <c r="P504" s="190"/>
      <c r="Q504" s="190"/>
      <c r="R504" s="190"/>
      <c r="S504" s="190"/>
      <c r="T504" s="190"/>
      <c r="U504" s="190"/>
      <c r="V504" s="190"/>
      <c r="W504" s="190"/>
      <c r="X504" s="190"/>
      <c r="Y504" s="190"/>
      <c r="Z504" s="190"/>
    </row>
    <row r="505" ht="15.75" customHeight="1" spans="1:26">
      <c r="A505" s="190"/>
      <c r="B505" s="190"/>
      <c r="C505" s="190"/>
      <c r="D505" s="190"/>
      <c r="E505" s="190"/>
      <c r="F505" s="190"/>
      <c r="G505" s="190"/>
      <c r="H505" s="190"/>
      <c r="I505" s="190"/>
      <c r="J505" s="190"/>
      <c r="K505" s="190"/>
      <c r="L505" s="190"/>
      <c r="M505" s="190"/>
      <c r="N505" s="190"/>
      <c r="O505" s="190"/>
      <c r="P505" s="190"/>
      <c r="Q505" s="190"/>
      <c r="R505" s="190"/>
      <c r="S505" s="190"/>
      <c r="T505" s="190"/>
      <c r="U505" s="190"/>
      <c r="V505" s="190"/>
      <c r="W505" s="190"/>
      <c r="X505" s="190"/>
      <c r="Y505" s="190"/>
      <c r="Z505" s="190"/>
    </row>
    <row r="506" ht="15.75" customHeight="1" spans="1:26">
      <c r="A506" s="190"/>
      <c r="B506" s="190"/>
      <c r="C506" s="190"/>
      <c r="D506" s="190"/>
      <c r="E506" s="190"/>
      <c r="F506" s="190"/>
      <c r="G506" s="190"/>
      <c r="H506" s="190"/>
      <c r="I506" s="190"/>
      <c r="J506" s="190"/>
      <c r="K506" s="190"/>
      <c r="L506" s="190"/>
      <c r="M506" s="190"/>
      <c r="N506" s="190"/>
      <c r="O506" s="190"/>
      <c r="P506" s="190"/>
      <c r="Q506" s="190"/>
      <c r="R506" s="190"/>
      <c r="S506" s="190"/>
      <c r="T506" s="190"/>
      <c r="U506" s="190"/>
      <c r="V506" s="190"/>
      <c r="W506" s="190"/>
      <c r="X506" s="190"/>
      <c r="Y506" s="190"/>
      <c r="Z506" s="190"/>
    </row>
    <row r="507" ht="15.75" customHeight="1" spans="1:26">
      <c r="A507" s="190"/>
      <c r="B507" s="190"/>
      <c r="C507" s="190"/>
      <c r="D507" s="190"/>
      <c r="E507" s="190"/>
      <c r="F507" s="190"/>
      <c r="G507" s="190"/>
      <c r="H507" s="190"/>
      <c r="I507" s="190"/>
      <c r="J507" s="190"/>
      <c r="K507" s="190"/>
      <c r="L507" s="190"/>
      <c r="M507" s="190"/>
      <c r="N507" s="190"/>
      <c r="O507" s="190"/>
      <c r="P507" s="190"/>
      <c r="Q507" s="190"/>
      <c r="R507" s="190"/>
      <c r="S507" s="190"/>
      <c r="T507" s="190"/>
      <c r="U507" s="190"/>
      <c r="V507" s="190"/>
      <c r="W507" s="190"/>
      <c r="X507" s="190"/>
      <c r="Y507" s="190"/>
      <c r="Z507" s="190"/>
    </row>
    <row r="508" ht="15.75" customHeight="1" spans="1:26">
      <c r="A508" s="190"/>
      <c r="B508" s="190"/>
      <c r="C508" s="190"/>
      <c r="D508" s="190"/>
      <c r="E508" s="190"/>
      <c r="F508" s="190"/>
      <c r="G508" s="190"/>
      <c r="H508" s="190"/>
      <c r="I508" s="190"/>
      <c r="J508" s="190"/>
      <c r="K508" s="190"/>
      <c r="L508" s="190"/>
      <c r="M508" s="190"/>
      <c r="N508" s="190"/>
      <c r="O508" s="190"/>
      <c r="P508" s="190"/>
      <c r="Q508" s="190"/>
      <c r="R508" s="190"/>
      <c r="S508" s="190"/>
      <c r="T508" s="190"/>
      <c r="U508" s="190"/>
      <c r="V508" s="190"/>
      <c r="W508" s="190"/>
      <c r="X508" s="190"/>
      <c r="Y508" s="190"/>
      <c r="Z508" s="190"/>
    </row>
    <row r="509" ht="15.75" customHeight="1" spans="1:26">
      <c r="A509" s="190"/>
      <c r="B509" s="190"/>
      <c r="C509" s="190"/>
      <c r="D509" s="190"/>
      <c r="E509" s="190"/>
      <c r="F509" s="190"/>
      <c r="G509" s="190"/>
      <c r="H509" s="190"/>
      <c r="I509" s="190"/>
      <c r="J509" s="190"/>
      <c r="K509" s="190"/>
      <c r="L509" s="190"/>
      <c r="M509" s="190"/>
      <c r="N509" s="190"/>
      <c r="O509" s="190"/>
      <c r="P509" s="190"/>
      <c r="Q509" s="190"/>
      <c r="R509" s="190"/>
      <c r="S509" s="190"/>
      <c r="T509" s="190"/>
      <c r="U509" s="190"/>
      <c r="V509" s="190"/>
      <c r="W509" s="190"/>
      <c r="X509" s="190"/>
      <c r="Y509" s="190"/>
      <c r="Z509" s="190"/>
    </row>
    <row r="510" ht="15.75" customHeight="1" spans="1:26">
      <c r="A510" s="190"/>
      <c r="B510" s="190"/>
      <c r="C510" s="190"/>
      <c r="D510" s="190"/>
      <c r="E510" s="190"/>
      <c r="F510" s="190"/>
      <c r="G510" s="190"/>
      <c r="H510" s="190"/>
      <c r="I510" s="190"/>
      <c r="J510" s="190"/>
      <c r="K510" s="190"/>
      <c r="L510" s="190"/>
      <c r="M510" s="190"/>
      <c r="N510" s="190"/>
      <c r="O510" s="190"/>
      <c r="P510" s="190"/>
      <c r="Q510" s="190"/>
      <c r="R510" s="190"/>
      <c r="S510" s="190"/>
      <c r="T510" s="190"/>
      <c r="U510" s="190"/>
      <c r="V510" s="190"/>
      <c r="W510" s="190"/>
      <c r="X510" s="190"/>
      <c r="Y510" s="190"/>
      <c r="Z510" s="190"/>
    </row>
    <row r="511" ht="15.75" customHeight="1" spans="1:26">
      <c r="A511" s="190"/>
      <c r="B511" s="190"/>
      <c r="C511" s="190"/>
      <c r="D511" s="190"/>
      <c r="E511" s="190"/>
      <c r="F511" s="190"/>
      <c r="G511" s="190"/>
      <c r="H511" s="190"/>
      <c r="I511" s="190"/>
      <c r="J511" s="190"/>
      <c r="K511" s="190"/>
      <c r="L511" s="190"/>
      <c r="M511" s="190"/>
      <c r="N511" s="190"/>
      <c r="O511" s="190"/>
      <c r="P511" s="190"/>
      <c r="Q511" s="190"/>
      <c r="R511" s="190"/>
      <c r="S511" s="190"/>
      <c r="T511" s="190"/>
      <c r="U511" s="190"/>
      <c r="V511" s="190"/>
      <c r="W511" s="190"/>
      <c r="X511" s="190"/>
      <c r="Y511" s="190"/>
      <c r="Z511" s="190"/>
    </row>
    <row r="512" ht="15.75" customHeight="1" spans="1:26">
      <c r="A512" s="190"/>
      <c r="B512" s="190"/>
      <c r="C512" s="190"/>
      <c r="D512" s="190"/>
      <c r="E512" s="190"/>
      <c r="F512" s="190"/>
      <c r="G512" s="190"/>
      <c r="H512" s="190"/>
      <c r="I512" s="190"/>
      <c r="J512" s="190"/>
      <c r="K512" s="190"/>
      <c r="L512" s="190"/>
      <c r="M512" s="190"/>
      <c r="N512" s="190"/>
      <c r="O512" s="190"/>
      <c r="P512" s="190"/>
      <c r="Q512" s="190"/>
      <c r="R512" s="190"/>
      <c r="S512" s="190"/>
      <c r="T512" s="190"/>
      <c r="U512" s="190"/>
      <c r="V512" s="190"/>
      <c r="W512" s="190"/>
      <c r="X512" s="190"/>
      <c r="Y512" s="190"/>
      <c r="Z512" s="190"/>
    </row>
    <row r="513" ht="15.75" customHeight="1" spans="1:26">
      <c r="A513" s="190"/>
      <c r="B513" s="190"/>
      <c r="C513" s="190"/>
      <c r="D513" s="190"/>
      <c r="E513" s="190"/>
      <c r="F513" s="190"/>
      <c r="G513" s="190"/>
      <c r="H513" s="190"/>
      <c r="I513" s="190"/>
      <c r="J513" s="190"/>
      <c r="K513" s="190"/>
      <c r="L513" s="190"/>
      <c r="M513" s="190"/>
      <c r="N513" s="190"/>
      <c r="O513" s="190"/>
      <c r="P513" s="190"/>
      <c r="Q513" s="190"/>
      <c r="R513" s="190"/>
      <c r="S513" s="190"/>
      <c r="T513" s="190"/>
      <c r="U513" s="190"/>
      <c r="V513" s="190"/>
      <c r="W513" s="190"/>
      <c r="X513" s="190"/>
      <c r="Y513" s="190"/>
      <c r="Z513" s="190"/>
    </row>
    <row r="514" ht="15.75" customHeight="1" spans="1:26">
      <c r="A514" s="190"/>
      <c r="B514" s="190"/>
      <c r="C514" s="190"/>
      <c r="D514" s="190"/>
      <c r="E514" s="190"/>
      <c r="F514" s="190"/>
      <c r="G514" s="190"/>
      <c r="H514" s="190"/>
      <c r="I514" s="190"/>
      <c r="J514" s="190"/>
      <c r="K514" s="190"/>
      <c r="L514" s="190"/>
      <c r="M514" s="190"/>
      <c r="N514" s="190"/>
      <c r="O514" s="190"/>
      <c r="P514" s="190"/>
      <c r="Q514" s="190"/>
      <c r="R514" s="190"/>
      <c r="S514" s="190"/>
      <c r="T514" s="190"/>
      <c r="U514" s="190"/>
      <c r="V514" s="190"/>
      <c r="W514" s="190"/>
      <c r="X514" s="190"/>
      <c r="Y514" s="190"/>
      <c r="Z514" s="190"/>
    </row>
    <row r="515" ht="15.75" customHeight="1" spans="1:26">
      <c r="A515" s="190"/>
      <c r="B515" s="190"/>
      <c r="C515" s="190"/>
      <c r="D515" s="190"/>
      <c r="E515" s="190"/>
      <c r="F515" s="190"/>
      <c r="G515" s="190"/>
      <c r="H515" s="190"/>
      <c r="I515" s="190"/>
      <c r="J515" s="190"/>
      <c r="K515" s="190"/>
      <c r="L515" s="190"/>
      <c r="M515" s="190"/>
      <c r="N515" s="190"/>
      <c r="O515" s="190"/>
      <c r="P515" s="190"/>
      <c r="Q515" s="190"/>
      <c r="R515" s="190"/>
      <c r="S515" s="190"/>
      <c r="T515" s="190"/>
      <c r="U515" s="190"/>
      <c r="V515" s="190"/>
      <c r="W515" s="190"/>
      <c r="X515" s="190"/>
      <c r="Y515" s="190"/>
      <c r="Z515" s="190"/>
    </row>
    <row r="516" ht="15.75" customHeight="1" spans="1:26">
      <c r="A516" s="190"/>
      <c r="B516" s="190"/>
      <c r="C516" s="190"/>
      <c r="D516" s="190"/>
      <c r="E516" s="190"/>
      <c r="F516" s="190"/>
      <c r="G516" s="190"/>
      <c r="H516" s="190"/>
      <c r="I516" s="190"/>
      <c r="J516" s="190"/>
      <c r="K516" s="190"/>
      <c r="L516" s="190"/>
      <c r="M516" s="190"/>
      <c r="N516" s="190"/>
      <c r="O516" s="190"/>
      <c r="P516" s="190"/>
      <c r="Q516" s="190"/>
      <c r="R516" s="190"/>
      <c r="S516" s="190"/>
      <c r="T516" s="190"/>
      <c r="U516" s="190"/>
      <c r="V516" s="190"/>
      <c r="W516" s="190"/>
      <c r="X516" s="190"/>
      <c r="Y516" s="190"/>
      <c r="Z516" s="190"/>
    </row>
    <row r="517" ht="15.75" customHeight="1" spans="1:26">
      <c r="A517" s="190"/>
      <c r="B517" s="190"/>
      <c r="C517" s="190"/>
      <c r="D517" s="190"/>
      <c r="E517" s="190"/>
      <c r="F517" s="190"/>
      <c r="G517" s="190"/>
      <c r="H517" s="190"/>
      <c r="I517" s="190"/>
      <c r="J517" s="190"/>
      <c r="K517" s="190"/>
      <c r="L517" s="190"/>
      <c r="M517" s="190"/>
      <c r="N517" s="190"/>
      <c r="O517" s="190"/>
      <c r="P517" s="190"/>
      <c r="Q517" s="190"/>
      <c r="R517" s="190"/>
      <c r="S517" s="190"/>
      <c r="T517" s="190"/>
      <c r="U517" s="190"/>
      <c r="V517" s="190"/>
      <c r="W517" s="190"/>
      <c r="X517" s="190"/>
      <c r="Y517" s="190"/>
      <c r="Z517" s="190"/>
    </row>
    <row r="518" ht="15.75" customHeight="1" spans="1:26">
      <c r="A518" s="190"/>
      <c r="B518" s="190"/>
      <c r="C518" s="190"/>
      <c r="D518" s="190"/>
      <c r="E518" s="190"/>
      <c r="F518" s="190"/>
      <c r="G518" s="190"/>
      <c r="H518" s="190"/>
      <c r="I518" s="190"/>
      <c r="J518" s="190"/>
      <c r="K518" s="190"/>
      <c r="L518" s="190"/>
      <c r="M518" s="190"/>
      <c r="N518" s="190"/>
      <c r="O518" s="190"/>
      <c r="P518" s="190"/>
      <c r="Q518" s="190"/>
      <c r="R518" s="190"/>
      <c r="S518" s="190"/>
      <c r="T518" s="190"/>
      <c r="U518" s="190"/>
      <c r="V518" s="190"/>
      <c r="W518" s="190"/>
      <c r="X518" s="190"/>
      <c r="Y518" s="190"/>
      <c r="Z518" s="190"/>
    </row>
    <row r="519" ht="15.75" customHeight="1" spans="1:26">
      <c r="A519" s="190"/>
      <c r="B519" s="190"/>
      <c r="C519" s="190"/>
      <c r="D519" s="190"/>
      <c r="E519" s="190"/>
      <c r="F519" s="190"/>
      <c r="G519" s="190"/>
      <c r="H519" s="190"/>
      <c r="I519" s="190"/>
      <c r="J519" s="190"/>
      <c r="K519" s="190"/>
      <c r="L519" s="190"/>
      <c r="M519" s="190"/>
      <c r="N519" s="190"/>
      <c r="O519" s="190"/>
      <c r="P519" s="190"/>
      <c r="Q519" s="190"/>
      <c r="R519" s="190"/>
      <c r="S519" s="190"/>
      <c r="T519" s="190"/>
      <c r="U519" s="190"/>
      <c r="V519" s="190"/>
      <c r="W519" s="190"/>
      <c r="X519" s="190"/>
      <c r="Y519" s="190"/>
      <c r="Z519" s="190"/>
    </row>
    <row r="520" ht="15.75" customHeight="1" spans="1:26">
      <c r="A520" s="190"/>
      <c r="B520" s="190"/>
      <c r="C520" s="190"/>
      <c r="D520" s="190"/>
      <c r="E520" s="190"/>
      <c r="F520" s="190"/>
      <c r="G520" s="190"/>
      <c r="H520" s="190"/>
      <c r="I520" s="190"/>
      <c r="J520" s="190"/>
      <c r="K520" s="190"/>
      <c r="L520" s="190"/>
      <c r="M520" s="190"/>
      <c r="N520" s="190"/>
      <c r="O520" s="190"/>
      <c r="P520" s="190"/>
      <c r="Q520" s="190"/>
      <c r="R520" s="190"/>
      <c r="S520" s="190"/>
      <c r="T520" s="190"/>
      <c r="U520" s="190"/>
      <c r="V520" s="190"/>
      <c r="W520" s="190"/>
      <c r="X520" s="190"/>
      <c r="Y520" s="190"/>
      <c r="Z520" s="190"/>
    </row>
    <row r="521" ht="15.75" customHeight="1" spans="1:26">
      <c r="A521" s="190"/>
      <c r="B521" s="190"/>
      <c r="C521" s="190"/>
      <c r="D521" s="190"/>
      <c r="E521" s="190"/>
      <c r="F521" s="190"/>
      <c r="G521" s="190"/>
      <c r="H521" s="190"/>
      <c r="I521" s="190"/>
      <c r="J521" s="190"/>
      <c r="K521" s="190"/>
      <c r="L521" s="190"/>
      <c r="M521" s="190"/>
      <c r="N521" s="190"/>
      <c r="O521" s="190"/>
      <c r="P521" s="190"/>
      <c r="Q521" s="190"/>
      <c r="R521" s="190"/>
      <c r="S521" s="190"/>
      <c r="T521" s="190"/>
      <c r="U521" s="190"/>
      <c r="V521" s="190"/>
      <c r="W521" s="190"/>
      <c r="X521" s="190"/>
      <c r="Y521" s="190"/>
      <c r="Z521" s="190"/>
    </row>
    <row r="522" ht="15.75" customHeight="1" spans="1:26">
      <c r="A522" s="190"/>
      <c r="B522" s="190"/>
      <c r="C522" s="190"/>
      <c r="D522" s="190"/>
      <c r="E522" s="190"/>
      <c r="F522" s="190"/>
      <c r="G522" s="190"/>
      <c r="H522" s="190"/>
      <c r="I522" s="190"/>
      <c r="J522" s="190"/>
      <c r="K522" s="190"/>
      <c r="L522" s="190"/>
      <c r="M522" s="190"/>
      <c r="N522" s="190"/>
      <c r="O522" s="190"/>
      <c r="P522" s="190"/>
      <c r="Q522" s="190"/>
      <c r="R522" s="190"/>
      <c r="S522" s="190"/>
      <c r="T522" s="190"/>
      <c r="U522" s="190"/>
      <c r="V522" s="190"/>
      <c r="W522" s="190"/>
      <c r="X522" s="190"/>
      <c r="Y522" s="190"/>
      <c r="Z522" s="190"/>
    </row>
    <row r="523" ht="15.75" customHeight="1" spans="1:26">
      <c r="A523" s="190"/>
      <c r="B523" s="190"/>
      <c r="C523" s="190"/>
      <c r="D523" s="190"/>
      <c r="E523" s="190"/>
      <c r="F523" s="190"/>
      <c r="G523" s="190"/>
      <c r="H523" s="190"/>
      <c r="I523" s="190"/>
      <c r="J523" s="190"/>
      <c r="K523" s="190"/>
      <c r="L523" s="190"/>
      <c r="M523" s="190"/>
      <c r="N523" s="190"/>
      <c r="O523" s="190"/>
      <c r="P523" s="190"/>
      <c r="Q523" s="190"/>
      <c r="R523" s="190"/>
      <c r="S523" s="190"/>
      <c r="T523" s="190"/>
      <c r="U523" s="190"/>
      <c r="V523" s="190"/>
      <c r="W523" s="190"/>
      <c r="X523" s="190"/>
      <c r="Y523" s="190"/>
      <c r="Z523" s="190"/>
    </row>
    <row r="524" ht="15.75" customHeight="1" spans="1:26">
      <c r="A524" s="190"/>
      <c r="B524" s="190"/>
      <c r="C524" s="190"/>
      <c r="D524" s="190"/>
      <c r="E524" s="190"/>
      <c r="F524" s="190"/>
      <c r="G524" s="190"/>
      <c r="H524" s="190"/>
      <c r="I524" s="190"/>
      <c r="J524" s="190"/>
      <c r="K524" s="190"/>
      <c r="L524" s="190"/>
      <c r="M524" s="190"/>
      <c r="N524" s="190"/>
      <c r="O524" s="190"/>
      <c r="P524" s="190"/>
      <c r="Q524" s="190"/>
      <c r="R524" s="190"/>
      <c r="S524" s="190"/>
      <c r="T524" s="190"/>
      <c r="U524" s="190"/>
      <c r="V524" s="190"/>
      <c r="W524" s="190"/>
      <c r="X524" s="190"/>
      <c r="Y524" s="190"/>
      <c r="Z524" s="190"/>
    </row>
    <row r="525" ht="15.75" customHeight="1" spans="1:26">
      <c r="A525" s="190"/>
      <c r="B525" s="190"/>
      <c r="C525" s="190"/>
      <c r="D525" s="190"/>
      <c r="E525" s="190"/>
      <c r="F525" s="190"/>
      <c r="G525" s="190"/>
      <c r="H525" s="190"/>
      <c r="I525" s="190"/>
      <c r="J525" s="190"/>
      <c r="K525" s="190"/>
      <c r="L525" s="190"/>
      <c r="M525" s="190"/>
      <c r="N525" s="190"/>
      <c r="O525" s="190"/>
      <c r="P525" s="190"/>
      <c r="Q525" s="190"/>
      <c r="R525" s="190"/>
      <c r="S525" s="190"/>
      <c r="T525" s="190"/>
      <c r="U525" s="190"/>
      <c r="V525" s="190"/>
      <c r="W525" s="190"/>
      <c r="X525" s="190"/>
      <c r="Y525" s="190"/>
      <c r="Z525" s="190"/>
    </row>
    <row r="526" ht="15.75" customHeight="1" spans="1:26">
      <c r="A526" s="190"/>
      <c r="B526" s="190"/>
      <c r="C526" s="190"/>
      <c r="D526" s="190"/>
      <c r="E526" s="190"/>
      <c r="F526" s="190"/>
      <c r="G526" s="190"/>
      <c r="H526" s="190"/>
      <c r="I526" s="190"/>
      <c r="J526" s="190"/>
      <c r="K526" s="190"/>
      <c r="L526" s="190"/>
      <c r="M526" s="190"/>
      <c r="N526" s="190"/>
      <c r="O526" s="190"/>
      <c r="P526" s="190"/>
      <c r="Q526" s="190"/>
      <c r="R526" s="190"/>
      <c r="S526" s="190"/>
      <c r="T526" s="190"/>
      <c r="U526" s="190"/>
      <c r="V526" s="190"/>
      <c r="W526" s="190"/>
      <c r="X526" s="190"/>
      <c r="Y526" s="190"/>
      <c r="Z526" s="190"/>
    </row>
    <row r="527" ht="15.75" customHeight="1" spans="1:26">
      <c r="A527" s="190"/>
      <c r="B527" s="190"/>
      <c r="C527" s="190"/>
      <c r="D527" s="190"/>
      <c r="E527" s="190"/>
      <c r="F527" s="190"/>
      <c r="G527" s="190"/>
      <c r="H527" s="190"/>
      <c r="I527" s="190"/>
      <c r="J527" s="190"/>
      <c r="K527" s="190"/>
      <c r="L527" s="190"/>
      <c r="M527" s="190"/>
      <c r="N527" s="190"/>
      <c r="O527" s="190"/>
      <c r="P527" s="190"/>
      <c r="Q527" s="190"/>
      <c r="R527" s="190"/>
      <c r="S527" s="190"/>
      <c r="T527" s="190"/>
      <c r="U527" s="190"/>
      <c r="V527" s="190"/>
      <c r="W527" s="190"/>
      <c r="X527" s="190"/>
      <c r="Y527" s="190"/>
      <c r="Z527" s="190"/>
    </row>
    <row r="528" ht="15.75" customHeight="1" spans="1:26">
      <c r="A528" s="190"/>
      <c r="B528" s="190"/>
      <c r="C528" s="190"/>
      <c r="D528" s="190"/>
      <c r="E528" s="190"/>
      <c r="F528" s="190"/>
      <c r="G528" s="190"/>
      <c r="H528" s="190"/>
      <c r="I528" s="190"/>
      <c r="J528" s="190"/>
      <c r="K528" s="190"/>
      <c r="L528" s="190"/>
      <c r="M528" s="190"/>
      <c r="N528" s="190"/>
      <c r="O528" s="190"/>
      <c r="P528" s="190"/>
      <c r="Q528" s="190"/>
      <c r="R528" s="190"/>
      <c r="S528" s="190"/>
      <c r="T528" s="190"/>
      <c r="U528" s="190"/>
      <c r="V528" s="190"/>
      <c r="W528" s="190"/>
      <c r="X528" s="190"/>
      <c r="Y528" s="190"/>
      <c r="Z528" s="190"/>
    </row>
    <row r="529" ht="15.75" customHeight="1" spans="1:26">
      <c r="A529" s="190"/>
      <c r="B529" s="190"/>
      <c r="C529" s="190"/>
      <c r="D529" s="190"/>
      <c r="E529" s="190"/>
      <c r="F529" s="190"/>
      <c r="G529" s="190"/>
      <c r="H529" s="190"/>
      <c r="I529" s="190"/>
      <c r="J529" s="190"/>
      <c r="K529" s="190"/>
      <c r="L529" s="190"/>
      <c r="M529" s="190"/>
      <c r="N529" s="190"/>
      <c r="O529" s="190"/>
      <c r="P529" s="190"/>
      <c r="Q529" s="190"/>
      <c r="R529" s="190"/>
      <c r="S529" s="190"/>
      <c r="T529" s="190"/>
      <c r="U529" s="190"/>
      <c r="V529" s="190"/>
      <c r="W529" s="190"/>
      <c r="X529" s="190"/>
      <c r="Y529" s="190"/>
      <c r="Z529" s="190"/>
    </row>
    <row r="530" ht="15.75" customHeight="1" spans="1:26">
      <c r="A530" s="190"/>
      <c r="B530" s="190"/>
      <c r="C530" s="190"/>
      <c r="D530" s="190"/>
      <c r="E530" s="190"/>
      <c r="F530" s="190"/>
      <c r="G530" s="190"/>
      <c r="H530" s="190"/>
      <c r="I530" s="190"/>
      <c r="J530" s="190"/>
      <c r="K530" s="190"/>
      <c r="L530" s="190"/>
      <c r="M530" s="190"/>
      <c r="N530" s="190"/>
      <c r="O530" s="190"/>
      <c r="P530" s="190"/>
      <c r="Q530" s="190"/>
      <c r="R530" s="190"/>
      <c r="S530" s="190"/>
      <c r="T530" s="190"/>
      <c r="U530" s="190"/>
      <c r="V530" s="190"/>
      <c r="W530" s="190"/>
      <c r="X530" s="190"/>
      <c r="Y530" s="190"/>
      <c r="Z530" s="190"/>
    </row>
    <row r="531" ht="15.75" customHeight="1" spans="1:26">
      <c r="A531" s="190"/>
      <c r="B531" s="190"/>
      <c r="C531" s="190"/>
      <c r="D531" s="190"/>
      <c r="E531" s="190"/>
      <c r="F531" s="190"/>
      <c r="G531" s="190"/>
      <c r="H531" s="190"/>
      <c r="I531" s="190"/>
      <c r="J531" s="190"/>
      <c r="K531" s="190"/>
      <c r="L531" s="190"/>
      <c r="M531" s="190"/>
      <c r="N531" s="190"/>
      <c r="O531" s="190"/>
      <c r="P531" s="190"/>
      <c r="Q531" s="190"/>
      <c r="R531" s="190"/>
      <c r="S531" s="190"/>
      <c r="T531" s="190"/>
      <c r="U531" s="190"/>
      <c r="V531" s="190"/>
      <c r="W531" s="190"/>
      <c r="X531" s="190"/>
      <c r="Y531" s="190"/>
      <c r="Z531" s="190"/>
    </row>
    <row r="532" ht="15.75" customHeight="1" spans="1:26">
      <c r="A532" s="190"/>
      <c r="B532" s="190"/>
      <c r="C532" s="190"/>
      <c r="D532" s="190"/>
      <c r="E532" s="190"/>
      <c r="F532" s="190"/>
      <c r="G532" s="190"/>
      <c r="H532" s="190"/>
      <c r="I532" s="190"/>
      <c r="J532" s="190"/>
      <c r="K532" s="190"/>
      <c r="L532" s="190"/>
      <c r="M532" s="190"/>
      <c r="N532" s="190"/>
      <c r="O532" s="190"/>
      <c r="P532" s="190"/>
      <c r="Q532" s="190"/>
      <c r="R532" s="190"/>
      <c r="S532" s="190"/>
      <c r="T532" s="190"/>
      <c r="U532" s="190"/>
      <c r="V532" s="190"/>
      <c r="W532" s="190"/>
      <c r="X532" s="190"/>
      <c r="Y532" s="190"/>
      <c r="Z532" s="190"/>
    </row>
    <row r="533" ht="15.75" customHeight="1" spans="1:26">
      <c r="A533" s="190"/>
      <c r="B533" s="190"/>
      <c r="C533" s="190"/>
      <c r="D533" s="190"/>
      <c r="E533" s="190"/>
      <c r="F533" s="190"/>
      <c r="G533" s="190"/>
      <c r="H533" s="190"/>
      <c r="I533" s="190"/>
      <c r="J533" s="190"/>
      <c r="K533" s="190"/>
      <c r="L533" s="190"/>
      <c r="M533" s="190"/>
      <c r="N533" s="190"/>
      <c r="O533" s="190"/>
      <c r="P533" s="190"/>
      <c r="Q533" s="190"/>
      <c r="R533" s="190"/>
      <c r="S533" s="190"/>
      <c r="T533" s="190"/>
      <c r="U533" s="190"/>
      <c r="V533" s="190"/>
      <c r="W533" s="190"/>
      <c r="X533" s="190"/>
      <c r="Y533" s="190"/>
      <c r="Z533" s="190"/>
    </row>
    <row r="534" ht="15.75" customHeight="1" spans="1:26">
      <c r="A534" s="190"/>
      <c r="B534" s="190"/>
      <c r="C534" s="190"/>
      <c r="D534" s="190"/>
      <c r="E534" s="190"/>
      <c r="F534" s="190"/>
      <c r="G534" s="190"/>
      <c r="H534" s="190"/>
      <c r="I534" s="190"/>
      <c r="J534" s="190"/>
      <c r="K534" s="190"/>
      <c r="L534" s="190"/>
      <c r="M534" s="190"/>
      <c r="N534" s="190"/>
      <c r="O534" s="190"/>
      <c r="P534" s="190"/>
      <c r="Q534" s="190"/>
      <c r="R534" s="190"/>
      <c r="S534" s="190"/>
      <c r="T534" s="190"/>
      <c r="U534" s="190"/>
      <c r="V534" s="190"/>
      <c r="W534" s="190"/>
      <c r="X534" s="190"/>
      <c r="Y534" s="190"/>
      <c r="Z534" s="190"/>
    </row>
    <row r="535" ht="15.75" customHeight="1" spans="1:26">
      <c r="A535" s="190"/>
      <c r="B535" s="190"/>
      <c r="C535" s="190"/>
      <c r="D535" s="190"/>
      <c r="E535" s="190"/>
      <c r="F535" s="190"/>
      <c r="G535" s="190"/>
      <c r="H535" s="190"/>
      <c r="I535" s="190"/>
      <c r="J535" s="190"/>
      <c r="K535" s="190"/>
      <c r="L535" s="190"/>
      <c r="M535" s="190"/>
      <c r="N535" s="190"/>
      <c r="O535" s="190"/>
      <c r="P535" s="190"/>
      <c r="Q535" s="190"/>
      <c r="R535" s="190"/>
      <c r="S535" s="190"/>
      <c r="T535" s="190"/>
      <c r="U535" s="190"/>
      <c r="V535" s="190"/>
      <c r="W535" s="190"/>
      <c r="X535" s="190"/>
      <c r="Y535" s="190"/>
      <c r="Z535" s="190"/>
    </row>
    <row r="536" ht="15.75" customHeight="1" spans="1:26">
      <c r="A536" s="190"/>
      <c r="B536" s="190"/>
      <c r="C536" s="190"/>
      <c r="D536" s="190"/>
      <c r="E536" s="190"/>
      <c r="F536" s="190"/>
      <c r="G536" s="190"/>
      <c r="H536" s="190"/>
      <c r="I536" s="190"/>
      <c r="J536" s="190"/>
      <c r="K536" s="190"/>
      <c r="L536" s="190"/>
      <c r="M536" s="190"/>
      <c r="N536" s="190"/>
      <c r="O536" s="190"/>
      <c r="P536" s="190"/>
      <c r="Q536" s="190"/>
      <c r="R536" s="190"/>
      <c r="S536" s="190"/>
      <c r="T536" s="190"/>
      <c r="U536" s="190"/>
      <c r="V536" s="190"/>
      <c r="W536" s="190"/>
      <c r="X536" s="190"/>
      <c r="Y536" s="190"/>
      <c r="Z536" s="190"/>
    </row>
    <row r="537" ht="15.75" customHeight="1" spans="1:26">
      <c r="A537" s="190"/>
      <c r="B537" s="190"/>
      <c r="C537" s="190"/>
      <c r="D537" s="190"/>
      <c r="E537" s="190"/>
      <c r="F537" s="190"/>
      <c r="G537" s="190"/>
      <c r="H537" s="190"/>
      <c r="I537" s="190"/>
      <c r="J537" s="190"/>
      <c r="K537" s="190"/>
      <c r="L537" s="190"/>
      <c r="M537" s="190"/>
      <c r="N537" s="190"/>
      <c r="O537" s="190"/>
      <c r="P537" s="190"/>
      <c r="Q537" s="190"/>
      <c r="R537" s="190"/>
      <c r="S537" s="190"/>
      <c r="T537" s="190"/>
      <c r="U537" s="190"/>
      <c r="V537" s="190"/>
      <c r="W537" s="190"/>
      <c r="X537" s="190"/>
      <c r="Y537" s="190"/>
      <c r="Z537" s="190"/>
    </row>
    <row r="538" ht="15.75" customHeight="1" spans="1:26">
      <c r="A538" s="190"/>
      <c r="B538" s="190"/>
      <c r="C538" s="190"/>
      <c r="D538" s="190"/>
      <c r="E538" s="190"/>
      <c r="F538" s="190"/>
      <c r="G538" s="190"/>
      <c r="H538" s="190"/>
      <c r="I538" s="190"/>
      <c r="J538" s="190"/>
      <c r="K538" s="190"/>
      <c r="L538" s="190"/>
      <c r="M538" s="190"/>
      <c r="N538" s="190"/>
      <c r="O538" s="190"/>
      <c r="P538" s="190"/>
      <c r="Q538" s="190"/>
      <c r="R538" s="190"/>
      <c r="S538" s="190"/>
      <c r="T538" s="190"/>
      <c r="U538" s="190"/>
      <c r="V538" s="190"/>
      <c r="W538" s="190"/>
      <c r="X538" s="190"/>
      <c r="Y538" s="190"/>
      <c r="Z538" s="190"/>
    </row>
    <row r="539" ht="15.75" customHeight="1" spans="1:26">
      <c r="A539" s="190"/>
      <c r="B539" s="190"/>
      <c r="C539" s="190"/>
      <c r="D539" s="190"/>
      <c r="E539" s="190"/>
      <c r="F539" s="190"/>
      <c r="G539" s="190"/>
      <c r="H539" s="190"/>
      <c r="I539" s="190"/>
      <c r="J539" s="190"/>
      <c r="K539" s="190"/>
      <c r="L539" s="190"/>
      <c r="M539" s="190"/>
      <c r="N539" s="190"/>
      <c r="O539" s="190"/>
      <c r="P539" s="190"/>
      <c r="Q539" s="190"/>
      <c r="R539" s="190"/>
      <c r="S539" s="190"/>
      <c r="T539" s="190"/>
      <c r="U539" s="190"/>
      <c r="V539" s="190"/>
      <c r="W539" s="190"/>
      <c r="X539" s="190"/>
      <c r="Y539" s="190"/>
      <c r="Z539" s="190"/>
    </row>
    <row r="540" ht="15.75" customHeight="1" spans="1:26">
      <c r="A540" s="190"/>
      <c r="B540" s="190"/>
      <c r="C540" s="190"/>
      <c r="D540" s="190"/>
      <c r="E540" s="190"/>
      <c r="F540" s="190"/>
      <c r="G540" s="190"/>
      <c r="H540" s="190"/>
      <c r="I540" s="190"/>
      <c r="J540" s="190"/>
      <c r="K540" s="190"/>
      <c r="L540" s="190"/>
      <c r="M540" s="190"/>
      <c r="N540" s="190"/>
      <c r="O540" s="190"/>
      <c r="P540" s="190"/>
      <c r="Q540" s="190"/>
      <c r="R540" s="190"/>
      <c r="S540" s="190"/>
      <c r="T540" s="190"/>
      <c r="U540" s="190"/>
      <c r="V540" s="190"/>
      <c r="W540" s="190"/>
      <c r="X540" s="190"/>
      <c r="Y540" s="190"/>
      <c r="Z540" s="190"/>
    </row>
    <row r="541" ht="15.75" customHeight="1" spans="1:26">
      <c r="A541" s="190"/>
      <c r="B541" s="190"/>
      <c r="C541" s="190"/>
      <c r="D541" s="190"/>
      <c r="E541" s="190"/>
      <c r="F541" s="190"/>
      <c r="G541" s="190"/>
      <c r="H541" s="190"/>
      <c r="I541" s="190"/>
      <c r="J541" s="190"/>
      <c r="K541" s="190"/>
      <c r="L541" s="190"/>
      <c r="M541" s="190"/>
      <c r="N541" s="190"/>
      <c r="O541" s="190"/>
      <c r="P541" s="190"/>
      <c r="Q541" s="190"/>
      <c r="R541" s="190"/>
      <c r="S541" s="190"/>
      <c r="T541" s="190"/>
      <c r="U541" s="190"/>
      <c r="V541" s="190"/>
      <c r="W541" s="190"/>
      <c r="X541" s="190"/>
      <c r="Y541" s="190"/>
      <c r="Z541" s="190"/>
    </row>
    <row r="542" ht="15.75" customHeight="1" spans="1:26">
      <c r="A542" s="190"/>
      <c r="B542" s="190"/>
      <c r="C542" s="190"/>
      <c r="D542" s="190"/>
      <c r="E542" s="190"/>
      <c r="F542" s="190"/>
      <c r="G542" s="190"/>
      <c r="H542" s="190"/>
      <c r="I542" s="190"/>
      <c r="J542" s="190"/>
      <c r="K542" s="190"/>
      <c r="L542" s="190"/>
      <c r="M542" s="190"/>
      <c r="N542" s="190"/>
      <c r="O542" s="190"/>
      <c r="P542" s="190"/>
      <c r="Q542" s="190"/>
      <c r="R542" s="190"/>
      <c r="S542" s="190"/>
      <c r="T542" s="190"/>
      <c r="U542" s="190"/>
      <c r="V542" s="190"/>
      <c r="W542" s="190"/>
      <c r="X542" s="190"/>
      <c r="Y542" s="190"/>
      <c r="Z542" s="190"/>
    </row>
    <row r="543" ht="15.75" customHeight="1" spans="1:26">
      <c r="A543" s="190"/>
      <c r="B543" s="190"/>
      <c r="C543" s="190"/>
      <c r="D543" s="190"/>
      <c r="E543" s="190"/>
      <c r="F543" s="190"/>
      <c r="G543" s="190"/>
      <c r="H543" s="190"/>
      <c r="I543" s="190"/>
      <c r="J543" s="190"/>
      <c r="K543" s="190"/>
      <c r="L543" s="190"/>
      <c r="M543" s="190"/>
      <c r="N543" s="190"/>
      <c r="O543" s="190"/>
      <c r="P543" s="190"/>
      <c r="Q543" s="190"/>
      <c r="R543" s="190"/>
      <c r="S543" s="190"/>
      <c r="T543" s="190"/>
      <c r="U543" s="190"/>
      <c r="V543" s="190"/>
      <c r="W543" s="190"/>
      <c r="X543" s="190"/>
      <c r="Y543" s="190"/>
      <c r="Z543" s="190"/>
    </row>
    <row r="544" ht="15.75" customHeight="1" spans="1:26">
      <c r="A544" s="190"/>
      <c r="B544" s="190"/>
      <c r="C544" s="190"/>
      <c r="D544" s="190"/>
      <c r="E544" s="190"/>
      <c r="F544" s="190"/>
      <c r="G544" s="190"/>
      <c r="H544" s="190"/>
      <c r="I544" s="190"/>
      <c r="J544" s="190"/>
      <c r="K544" s="190"/>
      <c r="L544" s="190"/>
      <c r="M544" s="190"/>
      <c r="N544" s="190"/>
      <c r="O544" s="190"/>
      <c r="P544" s="190"/>
      <c r="Q544" s="190"/>
      <c r="R544" s="190"/>
      <c r="S544" s="190"/>
      <c r="T544" s="190"/>
      <c r="U544" s="190"/>
      <c r="V544" s="190"/>
      <c r="W544" s="190"/>
      <c r="X544" s="190"/>
      <c r="Y544" s="190"/>
      <c r="Z544" s="190"/>
    </row>
    <row r="545" ht="15.75" customHeight="1" spans="1:26">
      <c r="A545" s="190"/>
      <c r="B545" s="190"/>
      <c r="C545" s="190"/>
      <c r="D545" s="190"/>
      <c r="E545" s="190"/>
      <c r="F545" s="190"/>
      <c r="G545" s="190"/>
      <c r="H545" s="190"/>
      <c r="I545" s="190"/>
      <c r="J545" s="190"/>
      <c r="K545" s="190"/>
      <c r="L545" s="190"/>
      <c r="M545" s="190"/>
      <c r="N545" s="190"/>
      <c r="O545" s="190"/>
      <c r="P545" s="190"/>
      <c r="Q545" s="190"/>
      <c r="R545" s="190"/>
      <c r="S545" s="190"/>
      <c r="T545" s="190"/>
      <c r="U545" s="190"/>
      <c r="V545" s="190"/>
      <c r="W545" s="190"/>
      <c r="X545" s="190"/>
      <c r="Y545" s="190"/>
      <c r="Z545" s="190"/>
    </row>
    <row r="546" ht="15.75" customHeight="1" spans="1:26">
      <c r="A546" s="190"/>
      <c r="B546" s="190"/>
      <c r="C546" s="190"/>
      <c r="D546" s="190"/>
      <c r="E546" s="190"/>
      <c r="F546" s="190"/>
      <c r="G546" s="190"/>
      <c r="H546" s="190"/>
      <c r="I546" s="190"/>
      <c r="J546" s="190"/>
      <c r="K546" s="190"/>
      <c r="L546" s="190"/>
      <c r="M546" s="190"/>
      <c r="N546" s="190"/>
      <c r="O546" s="190"/>
      <c r="P546" s="190"/>
      <c r="Q546" s="190"/>
      <c r="R546" s="190"/>
      <c r="S546" s="190"/>
      <c r="T546" s="190"/>
      <c r="U546" s="190"/>
      <c r="V546" s="190"/>
      <c r="W546" s="190"/>
      <c r="X546" s="190"/>
      <c r="Y546" s="190"/>
      <c r="Z546" s="190"/>
    </row>
    <row r="547" ht="15.75" customHeight="1" spans="1:26">
      <c r="A547" s="190"/>
      <c r="B547" s="190"/>
      <c r="C547" s="190"/>
      <c r="D547" s="190"/>
      <c r="E547" s="190"/>
      <c r="F547" s="190"/>
      <c r="G547" s="190"/>
      <c r="H547" s="190"/>
      <c r="I547" s="190"/>
      <c r="J547" s="190"/>
      <c r="K547" s="190"/>
      <c r="L547" s="190"/>
      <c r="M547" s="190"/>
      <c r="N547" s="190"/>
      <c r="O547" s="190"/>
      <c r="P547" s="190"/>
      <c r="Q547" s="190"/>
      <c r="R547" s="190"/>
      <c r="S547" s="190"/>
      <c r="T547" s="190"/>
      <c r="U547" s="190"/>
      <c r="V547" s="190"/>
      <c r="W547" s="190"/>
      <c r="X547" s="190"/>
      <c r="Y547" s="190"/>
      <c r="Z547" s="190"/>
    </row>
    <row r="548" ht="15.75" customHeight="1" spans="1:26">
      <c r="A548" s="190"/>
      <c r="B548" s="190"/>
      <c r="C548" s="190"/>
      <c r="D548" s="190"/>
      <c r="E548" s="190"/>
      <c r="F548" s="190"/>
      <c r="G548" s="190"/>
      <c r="H548" s="190"/>
      <c r="I548" s="190"/>
      <c r="J548" s="190"/>
      <c r="K548" s="190"/>
      <c r="L548" s="190"/>
      <c r="M548" s="190"/>
      <c r="N548" s="190"/>
      <c r="O548" s="190"/>
      <c r="P548" s="190"/>
      <c r="Q548" s="190"/>
      <c r="R548" s="190"/>
      <c r="S548" s="190"/>
      <c r="T548" s="190"/>
      <c r="U548" s="190"/>
      <c r="V548" s="190"/>
      <c r="W548" s="190"/>
      <c r="X548" s="190"/>
      <c r="Y548" s="190"/>
      <c r="Z548" s="190"/>
    </row>
    <row r="549" ht="15.75" customHeight="1" spans="1:26">
      <c r="A549" s="190"/>
      <c r="B549" s="190"/>
      <c r="C549" s="190"/>
      <c r="D549" s="190"/>
      <c r="E549" s="190"/>
      <c r="F549" s="190"/>
      <c r="G549" s="190"/>
      <c r="H549" s="190"/>
      <c r="I549" s="190"/>
      <c r="J549" s="190"/>
      <c r="K549" s="190"/>
      <c r="L549" s="190"/>
      <c r="M549" s="190"/>
      <c r="N549" s="190"/>
      <c r="O549" s="190"/>
      <c r="P549" s="190"/>
      <c r="Q549" s="190"/>
      <c r="R549" s="190"/>
      <c r="S549" s="190"/>
      <c r="T549" s="190"/>
      <c r="U549" s="190"/>
      <c r="V549" s="190"/>
      <c r="W549" s="190"/>
      <c r="X549" s="190"/>
      <c r="Y549" s="190"/>
      <c r="Z549" s="190"/>
    </row>
    <row r="550" ht="15.75" customHeight="1" spans="1:26">
      <c r="A550" s="190"/>
      <c r="B550" s="190"/>
      <c r="C550" s="190"/>
      <c r="D550" s="190"/>
      <c r="E550" s="190"/>
      <c r="F550" s="190"/>
      <c r="G550" s="190"/>
      <c r="H550" s="190"/>
      <c r="I550" s="190"/>
      <c r="J550" s="190"/>
      <c r="K550" s="190"/>
      <c r="L550" s="190"/>
      <c r="M550" s="190"/>
      <c r="N550" s="190"/>
      <c r="O550" s="190"/>
      <c r="P550" s="190"/>
      <c r="Q550" s="190"/>
      <c r="R550" s="190"/>
      <c r="S550" s="190"/>
      <c r="T550" s="190"/>
      <c r="U550" s="190"/>
      <c r="V550" s="190"/>
      <c r="W550" s="190"/>
      <c r="X550" s="190"/>
      <c r="Y550" s="190"/>
      <c r="Z550" s="190"/>
    </row>
    <row r="551" ht="15.75" customHeight="1" spans="1:26">
      <c r="A551" s="190"/>
      <c r="B551" s="190"/>
      <c r="C551" s="190"/>
      <c r="D551" s="190"/>
      <c r="E551" s="190"/>
      <c r="F551" s="190"/>
      <c r="G551" s="190"/>
      <c r="H551" s="190"/>
      <c r="I551" s="190"/>
      <c r="J551" s="190"/>
      <c r="K551" s="190"/>
      <c r="L551" s="190"/>
      <c r="M551" s="190"/>
      <c r="N551" s="190"/>
      <c r="O551" s="190"/>
      <c r="P551" s="190"/>
      <c r="Q551" s="190"/>
      <c r="R551" s="190"/>
      <c r="S551" s="190"/>
      <c r="T551" s="190"/>
      <c r="U551" s="190"/>
      <c r="V551" s="190"/>
      <c r="W551" s="190"/>
      <c r="X551" s="190"/>
      <c r="Y551" s="190"/>
      <c r="Z551" s="190"/>
    </row>
    <row r="552" ht="15.75" customHeight="1" spans="1:26">
      <c r="A552" s="190"/>
      <c r="B552" s="190"/>
      <c r="C552" s="190"/>
      <c r="D552" s="190"/>
      <c r="E552" s="190"/>
      <c r="F552" s="190"/>
      <c r="G552" s="190"/>
      <c r="H552" s="190"/>
      <c r="I552" s="190"/>
      <c r="J552" s="190"/>
      <c r="K552" s="190"/>
      <c r="L552" s="190"/>
      <c r="M552" s="190"/>
      <c r="N552" s="190"/>
      <c r="O552" s="190"/>
      <c r="P552" s="190"/>
      <c r="Q552" s="190"/>
      <c r="R552" s="190"/>
      <c r="S552" s="190"/>
      <c r="T552" s="190"/>
      <c r="U552" s="190"/>
      <c r="V552" s="190"/>
      <c r="W552" s="190"/>
      <c r="X552" s="190"/>
      <c r="Y552" s="190"/>
      <c r="Z552" s="190"/>
    </row>
    <row r="553" ht="15.75" customHeight="1" spans="1:26">
      <c r="A553" s="190"/>
      <c r="B553" s="190"/>
      <c r="C553" s="190"/>
      <c r="D553" s="190"/>
      <c r="E553" s="190"/>
      <c r="F553" s="190"/>
      <c r="G553" s="190"/>
      <c r="H553" s="190"/>
      <c r="I553" s="190"/>
      <c r="J553" s="190"/>
      <c r="K553" s="190"/>
      <c r="L553" s="190"/>
      <c r="M553" s="190"/>
      <c r="N553" s="190"/>
      <c r="O553" s="190"/>
      <c r="P553" s="190"/>
      <c r="Q553" s="190"/>
      <c r="R553" s="190"/>
      <c r="S553" s="190"/>
      <c r="T553" s="190"/>
      <c r="U553" s="190"/>
      <c r="V553" s="190"/>
      <c r="W553" s="190"/>
      <c r="X553" s="190"/>
      <c r="Y553" s="190"/>
      <c r="Z553" s="190"/>
    </row>
    <row r="554" ht="15.75" customHeight="1" spans="1:26">
      <c r="A554" s="190"/>
      <c r="B554" s="190"/>
      <c r="C554" s="190"/>
      <c r="D554" s="190"/>
      <c r="E554" s="190"/>
      <c r="F554" s="190"/>
      <c r="G554" s="190"/>
      <c r="H554" s="190"/>
      <c r="I554" s="190"/>
      <c r="J554" s="190"/>
      <c r="K554" s="190"/>
      <c r="L554" s="190"/>
      <c r="M554" s="190"/>
      <c r="N554" s="190"/>
      <c r="O554" s="190"/>
      <c r="P554" s="190"/>
      <c r="Q554" s="190"/>
      <c r="R554" s="190"/>
      <c r="S554" s="190"/>
      <c r="T554" s="190"/>
      <c r="U554" s="190"/>
      <c r="V554" s="190"/>
      <c r="W554" s="190"/>
      <c r="X554" s="190"/>
      <c r="Y554" s="190"/>
      <c r="Z554" s="190"/>
    </row>
    <row r="555" ht="15.75" customHeight="1" spans="1:26">
      <c r="A555" s="190"/>
      <c r="B555" s="190"/>
      <c r="C555" s="190"/>
      <c r="D555" s="190"/>
      <c r="E555" s="190"/>
      <c r="F555" s="190"/>
      <c r="G555" s="190"/>
      <c r="H555" s="190"/>
      <c r="I555" s="190"/>
      <c r="J555" s="190"/>
      <c r="K555" s="190"/>
      <c r="L555" s="190"/>
      <c r="M555" s="190"/>
      <c r="N555" s="190"/>
      <c r="O555" s="190"/>
      <c r="P555" s="190"/>
      <c r="Q555" s="190"/>
      <c r="R555" s="190"/>
      <c r="S555" s="190"/>
      <c r="T555" s="190"/>
      <c r="U555" s="190"/>
      <c r="V555" s="190"/>
      <c r="W555" s="190"/>
      <c r="X555" s="190"/>
      <c r="Y555" s="190"/>
      <c r="Z555" s="190"/>
    </row>
    <row r="556" ht="15.75" customHeight="1" spans="1:26">
      <c r="A556" s="190"/>
      <c r="B556" s="190"/>
      <c r="C556" s="190"/>
      <c r="D556" s="190"/>
      <c r="E556" s="190"/>
      <c r="F556" s="190"/>
      <c r="G556" s="190"/>
      <c r="H556" s="190"/>
      <c r="I556" s="190"/>
      <c r="J556" s="190"/>
      <c r="K556" s="190"/>
      <c r="L556" s="190"/>
      <c r="M556" s="190"/>
      <c r="N556" s="190"/>
      <c r="O556" s="190"/>
      <c r="P556" s="190"/>
      <c r="Q556" s="190"/>
      <c r="R556" s="190"/>
      <c r="S556" s="190"/>
      <c r="T556" s="190"/>
      <c r="U556" s="190"/>
      <c r="V556" s="190"/>
      <c r="W556" s="190"/>
      <c r="X556" s="190"/>
      <c r="Y556" s="190"/>
      <c r="Z556" s="190"/>
    </row>
    <row r="557" ht="15.75" customHeight="1" spans="1:26">
      <c r="A557" s="190"/>
      <c r="B557" s="190"/>
      <c r="C557" s="190"/>
      <c r="D557" s="190"/>
      <c r="E557" s="190"/>
      <c r="F557" s="190"/>
      <c r="G557" s="190"/>
      <c r="H557" s="190"/>
      <c r="I557" s="190"/>
      <c r="J557" s="190"/>
      <c r="K557" s="190"/>
      <c r="L557" s="190"/>
      <c r="M557" s="190"/>
      <c r="N557" s="190"/>
      <c r="O557" s="190"/>
      <c r="P557" s="190"/>
      <c r="Q557" s="190"/>
      <c r="R557" s="190"/>
      <c r="S557" s="190"/>
      <c r="T557" s="190"/>
      <c r="U557" s="190"/>
      <c r="V557" s="190"/>
      <c r="W557" s="190"/>
      <c r="X557" s="190"/>
      <c r="Y557" s="190"/>
      <c r="Z557" s="190"/>
    </row>
    <row r="558" ht="15.75" customHeight="1" spans="1:26">
      <c r="A558" s="190"/>
      <c r="B558" s="190"/>
      <c r="C558" s="190"/>
      <c r="D558" s="190"/>
      <c r="E558" s="190"/>
      <c r="F558" s="190"/>
      <c r="G558" s="190"/>
      <c r="H558" s="190"/>
      <c r="I558" s="190"/>
      <c r="J558" s="190"/>
      <c r="K558" s="190"/>
      <c r="L558" s="190"/>
      <c r="M558" s="190"/>
      <c r="N558" s="190"/>
      <c r="O558" s="190"/>
      <c r="P558" s="190"/>
      <c r="Q558" s="190"/>
      <c r="R558" s="190"/>
      <c r="S558" s="190"/>
      <c r="T558" s="190"/>
      <c r="U558" s="190"/>
      <c r="V558" s="190"/>
      <c r="W558" s="190"/>
      <c r="X558" s="190"/>
      <c r="Y558" s="190"/>
      <c r="Z558" s="190"/>
    </row>
    <row r="559" ht="15.75" customHeight="1" spans="1:26">
      <c r="A559" s="190"/>
      <c r="B559" s="190"/>
      <c r="C559" s="190"/>
      <c r="D559" s="190"/>
      <c r="E559" s="190"/>
      <c r="F559" s="190"/>
      <c r="G559" s="190"/>
      <c r="H559" s="190"/>
      <c r="I559" s="190"/>
      <c r="J559" s="190"/>
      <c r="K559" s="190"/>
      <c r="L559" s="190"/>
      <c r="M559" s="190"/>
      <c r="N559" s="190"/>
      <c r="O559" s="190"/>
      <c r="P559" s="190"/>
      <c r="Q559" s="190"/>
      <c r="R559" s="190"/>
      <c r="S559" s="190"/>
      <c r="T559" s="190"/>
      <c r="U559" s="190"/>
      <c r="V559" s="190"/>
      <c r="W559" s="190"/>
      <c r="X559" s="190"/>
      <c r="Y559" s="190"/>
      <c r="Z559" s="190"/>
    </row>
    <row r="560" ht="15.75" customHeight="1" spans="1:26">
      <c r="A560" s="190"/>
      <c r="B560" s="190"/>
      <c r="C560" s="190"/>
      <c r="D560" s="190"/>
      <c r="E560" s="190"/>
      <c r="F560" s="190"/>
      <c r="G560" s="190"/>
      <c r="H560" s="190"/>
      <c r="I560" s="190"/>
      <c r="J560" s="190"/>
      <c r="K560" s="190"/>
      <c r="L560" s="190"/>
      <c r="M560" s="190"/>
      <c r="N560" s="190"/>
      <c r="O560" s="190"/>
      <c r="P560" s="190"/>
      <c r="Q560" s="190"/>
      <c r="R560" s="190"/>
      <c r="S560" s="190"/>
      <c r="T560" s="190"/>
      <c r="U560" s="190"/>
      <c r="V560" s="190"/>
      <c r="W560" s="190"/>
      <c r="X560" s="190"/>
      <c r="Y560" s="190"/>
      <c r="Z560" s="190"/>
    </row>
    <row r="561" ht="15.75" customHeight="1" spans="1:26">
      <c r="A561" s="190"/>
      <c r="B561" s="190"/>
      <c r="C561" s="190"/>
      <c r="D561" s="190"/>
      <c r="E561" s="190"/>
      <c r="F561" s="190"/>
      <c r="G561" s="190"/>
      <c r="H561" s="190"/>
      <c r="I561" s="190"/>
      <c r="J561" s="190"/>
      <c r="K561" s="190"/>
      <c r="L561" s="190"/>
      <c r="M561" s="190"/>
      <c r="N561" s="190"/>
      <c r="O561" s="190"/>
      <c r="P561" s="190"/>
      <c r="Q561" s="190"/>
      <c r="R561" s="190"/>
      <c r="S561" s="190"/>
      <c r="T561" s="190"/>
      <c r="U561" s="190"/>
      <c r="V561" s="190"/>
      <c r="W561" s="190"/>
      <c r="X561" s="190"/>
      <c r="Y561" s="190"/>
      <c r="Z561" s="190"/>
    </row>
    <row r="562" ht="15.75" customHeight="1" spans="1:26">
      <c r="A562" s="190"/>
      <c r="B562" s="190"/>
      <c r="C562" s="190"/>
      <c r="D562" s="190"/>
      <c r="E562" s="190"/>
      <c r="F562" s="190"/>
      <c r="G562" s="190"/>
      <c r="H562" s="190"/>
      <c r="I562" s="190"/>
      <c r="J562" s="190"/>
      <c r="K562" s="190"/>
      <c r="L562" s="190"/>
      <c r="M562" s="190"/>
      <c r="N562" s="190"/>
      <c r="O562" s="190"/>
      <c r="P562" s="190"/>
      <c r="Q562" s="190"/>
      <c r="R562" s="190"/>
      <c r="S562" s="190"/>
      <c r="T562" s="190"/>
      <c r="U562" s="190"/>
      <c r="V562" s="190"/>
      <c r="W562" s="190"/>
      <c r="X562" s="190"/>
      <c r="Y562" s="190"/>
      <c r="Z562" s="190"/>
    </row>
    <row r="563" ht="15.75" customHeight="1" spans="1:26">
      <c r="A563" s="190"/>
      <c r="B563" s="190"/>
      <c r="C563" s="190"/>
      <c r="D563" s="190"/>
      <c r="E563" s="190"/>
      <c r="F563" s="190"/>
      <c r="G563" s="190"/>
      <c r="H563" s="190"/>
      <c r="I563" s="190"/>
      <c r="J563" s="190"/>
      <c r="K563" s="190"/>
      <c r="L563" s="190"/>
      <c r="M563" s="190"/>
      <c r="N563" s="190"/>
      <c r="O563" s="190"/>
      <c r="P563" s="190"/>
      <c r="Q563" s="190"/>
      <c r="R563" s="190"/>
      <c r="S563" s="190"/>
      <c r="T563" s="190"/>
      <c r="U563" s="190"/>
      <c r="V563" s="190"/>
      <c r="W563" s="190"/>
      <c r="X563" s="190"/>
      <c r="Y563" s="190"/>
      <c r="Z563" s="190"/>
    </row>
    <row r="564" ht="15.75" customHeight="1" spans="1:26">
      <c r="A564" s="190"/>
      <c r="B564" s="190"/>
      <c r="C564" s="190"/>
      <c r="D564" s="190"/>
      <c r="E564" s="190"/>
      <c r="F564" s="190"/>
      <c r="G564" s="190"/>
      <c r="H564" s="190"/>
      <c r="I564" s="190"/>
      <c r="J564" s="190"/>
      <c r="K564" s="190"/>
      <c r="L564" s="190"/>
      <c r="M564" s="190"/>
      <c r="N564" s="190"/>
      <c r="O564" s="190"/>
      <c r="P564" s="190"/>
      <c r="Q564" s="190"/>
      <c r="R564" s="190"/>
      <c r="S564" s="190"/>
      <c r="T564" s="190"/>
      <c r="U564" s="190"/>
      <c r="V564" s="190"/>
      <c r="W564" s="190"/>
      <c r="X564" s="190"/>
      <c r="Y564" s="190"/>
      <c r="Z564" s="190"/>
    </row>
    <row r="565" ht="15.75" customHeight="1" spans="1:26">
      <c r="A565" s="190"/>
      <c r="B565" s="190"/>
      <c r="C565" s="190"/>
      <c r="D565" s="190"/>
      <c r="E565" s="190"/>
      <c r="F565" s="190"/>
      <c r="G565" s="190"/>
      <c r="H565" s="190"/>
      <c r="I565" s="190"/>
      <c r="J565" s="190"/>
      <c r="K565" s="190"/>
      <c r="L565" s="190"/>
      <c r="M565" s="190"/>
      <c r="N565" s="190"/>
      <c r="O565" s="190"/>
      <c r="P565" s="190"/>
      <c r="Q565" s="190"/>
      <c r="R565" s="190"/>
      <c r="S565" s="190"/>
      <c r="T565" s="190"/>
      <c r="U565" s="190"/>
      <c r="V565" s="190"/>
      <c r="W565" s="190"/>
      <c r="X565" s="190"/>
      <c r="Y565" s="190"/>
      <c r="Z565" s="190"/>
    </row>
    <row r="566" ht="15.75" customHeight="1" spans="1:26">
      <c r="A566" s="190"/>
      <c r="B566" s="190"/>
      <c r="C566" s="190"/>
      <c r="D566" s="190"/>
      <c r="E566" s="190"/>
      <c r="F566" s="190"/>
      <c r="G566" s="190"/>
      <c r="H566" s="190"/>
      <c r="I566" s="190"/>
      <c r="J566" s="190"/>
      <c r="K566" s="190"/>
      <c r="L566" s="190"/>
      <c r="M566" s="190"/>
      <c r="N566" s="190"/>
      <c r="O566" s="190"/>
      <c r="P566" s="190"/>
      <c r="Q566" s="190"/>
      <c r="R566" s="190"/>
      <c r="S566" s="190"/>
      <c r="T566" s="190"/>
      <c r="U566" s="190"/>
      <c r="V566" s="190"/>
      <c r="W566" s="190"/>
      <c r="X566" s="190"/>
      <c r="Y566" s="190"/>
      <c r="Z566" s="190"/>
    </row>
    <row r="567" ht="15.75" customHeight="1" spans="1:26">
      <c r="A567" s="190"/>
      <c r="B567" s="190"/>
      <c r="C567" s="190"/>
      <c r="D567" s="190"/>
      <c r="E567" s="190"/>
      <c r="F567" s="190"/>
      <c r="G567" s="190"/>
      <c r="H567" s="190"/>
      <c r="I567" s="190"/>
      <c r="J567" s="190"/>
      <c r="K567" s="190"/>
      <c r="L567" s="190"/>
      <c r="M567" s="190"/>
      <c r="N567" s="190"/>
      <c r="O567" s="190"/>
      <c r="P567" s="190"/>
      <c r="Q567" s="190"/>
      <c r="R567" s="190"/>
      <c r="S567" s="190"/>
      <c r="T567" s="190"/>
      <c r="U567" s="190"/>
      <c r="V567" s="190"/>
      <c r="W567" s="190"/>
      <c r="X567" s="190"/>
      <c r="Y567" s="190"/>
      <c r="Z567" s="190"/>
    </row>
    <row r="568" ht="15.75" customHeight="1" spans="1:26">
      <c r="A568" s="190"/>
      <c r="B568" s="190"/>
      <c r="C568" s="190"/>
      <c r="D568" s="190"/>
      <c r="E568" s="190"/>
      <c r="F568" s="190"/>
      <c r="G568" s="190"/>
      <c r="H568" s="190"/>
      <c r="I568" s="190"/>
      <c r="J568" s="190"/>
      <c r="K568" s="190"/>
      <c r="L568" s="190"/>
      <c r="M568" s="190"/>
      <c r="N568" s="190"/>
      <c r="O568" s="190"/>
      <c r="P568" s="190"/>
      <c r="Q568" s="190"/>
      <c r="R568" s="190"/>
      <c r="S568" s="190"/>
      <c r="T568" s="190"/>
      <c r="U568" s="190"/>
      <c r="V568" s="190"/>
      <c r="W568" s="190"/>
      <c r="X568" s="190"/>
      <c r="Y568" s="190"/>
      <c r="Z568" s="190"/>
    </row>
    <row r="569" ht="15.75" customHeight="1" spans="1:26">
      <c r="A569" s="190"/>
      <c r="B569" s="190"/>
      <c r="C569" s="190"/>
      <c r="D569" s="190"/>
      <c r="E569" s="190"/>
      <c r="F569" s="190"/>
      <c r="G569" s="190"/>
      <c r="H569" s="190"/>
      <c r="I569" s="190"/>
      <c r="J569" s="190"/>
      <c r="K569" s="190"/>
      <c r="L569" s="190"/>
      <c r="M569" s="190"/>
      <c r="N569" s="190"/>
      <c r="O569" s="190"/>
      <c r="P569" s="190"/>
      <c r="Q569" s="190"/>
      <c r="R569" s="190"/>
      <c r="S569" s="190"/>
      <c r="T569" s="190"/>
      <c r="U569" s="190"/>
      <c r="V569" s="190"/>
      <c r="W569" s="190"/>
      <c r="X569" s="190"/>
      <c r="Y569" s="190"/>
      <c r="Z569" s="190"/>
    </row>
    <row r="570" ht="15.75" customHeight="1" spans="1:26">
      <c r="A570" s="190"/>
      <c r="B570" s="190"/>
      <c r="C570" s="190"/>
      <c r="D570" s="190"/>
      <c r="E570" s="190"/>
      <c r="F570" s="190"/>
      <c r="G570" s="190"/>
      <c r="H570" s="190"/>
      <c r="I570" s="190"/>
      <c r="J570" s="190"/>
      <c r="K570" s="190"/>
      <c r="L570" s="190"/>
      <c r="M570" s="190"/>
      <c r="N570" s="190"/>
      <c r="O570" s="190"/>
      <c r="P570" s="190"/>
      <c r="Q570" s="190"/>
      <c r="R570" s="190"/>
      <c r="S570" s="190"/>
      <c r="T570" s="190"/>
      <c r="U570" s="190"/>
      <c r="V570" s="190"/>
      <c r="W570" s="190"/>
      <c r="X570" s="190"/>
      <c r="Y570" s="190"/>
      <c r="Z570" s="190"/>
    </row>
    <row r="571" ht="15.75" customHeight="1" spans="1:26">
      <c r="A571" s="190"/>
      <c r="B571" s="190"/>
      <c r="C571" s="190"/>
      <c r="D571" s="190"/>
      <c r="E571" s="190"/>
      <c r="F571" s="190"/>
      <c r="G571" s="190"/>
      <c r="H571" s="190"/>
      <c r="I571" s="190"/>
      <c r="J571" s="190"/>
      <c r="K571" s="190"/>
      <c r="L571" s="190"/>
      <c r="M571" s="190"/>
      <c r="N571" s="190"/>
      <c r="O571" s="190"/>
      <c r="P571" s="190"/>
      <c r="Q571" s="190"/>
      <c r="R571" s="190"/>
      <c r="S571" s="190"/>
      <c r="T571" s="190"/>
      <c r="U571" s="190"/>
      <c r="V571" s="190"/>
      <c r="W571" s="190"/>
      <c r="X571" s="190"/>
      <c r="Y571" s="190"/>
      <c r="Z571" s="190"/>
    </row>
    <row r="572" ht="15.75" customHeight="1" spans="1:26">
      <c r="A572" s="190"/>
      <c r="B572" s="190"/>
      <c r="C572" s="190"/>
      <c r="D572" s="190"/>
      <c r="E572" s="190"/>
      <c r="F572" s="190"/>
      <c r="G572" s="190"/>
      <c r="H572" s="190"/>
      <c r="I572" s="190"/>
      <c r="J572" s="190"/>
      <c r="K572" s="190"/>
      <c r="L572" s="190"/>
      <c r="M572" s="190"/>
      <c r="N572" s="190"/>
      <c r="O572" s="190"/>
      <c r="P572" s="190"/>
      <c r="Q572" s="190"/>
      <c r="R572" s="190"/>
      <c r="S572" s="190"/>
      <c r="T572" s="190"/>
      <c r="U572" s="190"/>
      <c r="V572" s="190"/>
      <c r="W572" s="190"/>
      <c r="X572" s="190"/>
      <c r="Y572" s="190"/>
      <c r="Z572" s="190"/>
    </row>
    <row r="573" ht="15.75" customHeight="1" spans="1:26">
      <c r="A573" s="190"/>
      <c r="B573" s="190"/>
      <c r="C573" s="190"/>
      <c r="D573" s="190"/>
      <c r="E573" s="190"/>
      <c r="F573" s="190"/>
      <c r="G573" s="190"/>
      <c r="H573" s="190"/>
      <c r="I573" s="190"/>
      <c r="J573" s="190"/>
      <c r="K573" s="190"/>
      <c r="L573" s="190"/>
      <c r="M573" s="190"/>
      <c r="N573" s="190"/>
      <c r="O573" s="190"/>
      <c r="P573" s="190"/>
      <c r="Q573" s="190"/>
      <c r="R573" s="190"/>
      <c r="S573" s="190"/>
      <c r="T573" s="190"/>
      <c r="U573" s="190"/>
      <c r="V573" s="190"/>
      <c r="W573" s="190"/>
      <c r="X573" s="190"/>
      <c r="Y573" s="190"/>
      <c r="Z573" s="190"/>
    </row>
    <row r="574" ht="15.75" customHeight="1" spans="1:26">
      <c r="A574" s="190"/>
      <c r="B574" s="190"/>
      <c r="C574" s="190"/>
      <c r="D574" s="190"/>
      <c r="E574" s="190"/>
      <c r="F574" s="190"/>
      <c r="G574" s="190"/>
      <c r="H574" s="190"/>
      <c r="I574" s="190"/>
      <c r="J574" s="190"/>
      <c r="K574" s="190"/>
      <c r="L574" s="190"/>
      <c r="M574" s="190"/>
      <c r="N574" s="190"/>
      <c r="O574" s="190"/>
      <c r="P574" s="190"/>
      <c r="Q574" s="190"/>
      <c r="R574" s="190"/>
      <c r="S574" s="190"/>
      <c r="T574" s="190"/>
      <c r="U574" s="190"/>
      <c r="V574" s="190"/>
      <c r="W574" s="190"/>
      <c r="X574" s="190"/>
      <c r="Y574" s="190"/>
      <c r="Z574" s="190"/>
    </row>
    <row r="575" ht="15.75" customHeight="1" spans="1:26">
      <c r="A575" s="190"/>
      <c r="B575" s="190"/>
      <c r="C575" s="190"/>
      <c r="D575" s="190"/>
      <c r="E575" s="190"/>
      <c r="F575" s="190"/>
      <c r="G575" s="190"/>
      <c r="H575" s="190"/>
      <c r="I575" s="190"/>
      <c r="J575" s="190"/>
      <c r="K575" s="190"/>
      <c r="L575" s="190"/>
      <c r="M575" s="190"/>
      <c r="N575" s="190"/>
      <c r="O575" s="190"/>
      <c r="P575" s="190"/>
      <c r="Q575" s="190"/>
      <c r="R575" s="190"/>
      <c r="S575" s="190"/>
      <c r="T575" s="190"/>
      <c r="U575" s="190"/>
      <c r="V575" s="190"/>
      <c r="W575" s="190"/>
      <c r="X575" s="190"/>
      <c r="Y575" s="190"/>
      <c r="Z575" s="190"/>
    </row>
    <row r="576" ht="15.75" customHeight="1" spans="1:26">
      <c r="A576" s="190"/>
      <c r="B576" s="190"/>
      <c r="C576" s="190"/>
      <c r="D576" s="190"/>
      <c r="E576" s="190"/>
      <c r="F576" s="190"/>
      <c r="G576" s="190"/>
      <c r="H576" s="190"/>
      <c r="I576" s="190"/>
      <c r="J576" s="190"/>
      <c r="K576" s="190"/>
      <c r="L576" s="190"/>
      <c r="M576" s="190"/>
      <c r="N576" s="190"/>
      <c r="O576" s="190"/>
      <c r="P576" s="190"/>
      <c r="Q576" s="190"/>
      <c r="R576" s="190"/>
      <c r="S576" s="190"/>
      <c r="T576" s="190"/>
      <c r="U576" s="190"/>
      <c r="V576" s="190"/>
      <c r="W576" s="190"/>
      <c r="X576" s="190"/>
      <c r="Y576" s="190"/>
      <c r="Z576" s="190"/>
    </row>
    <row r="577" ht="15.75" customHeight="1" spans="1:26">
      <c r="A577" s="190"/>
      <c r="B577" s="190"/>
      <c r="C577" s="190"/>
      <c r="D577" s="190"/>
      <c r="E577" s="190"/>
      <c r="F577" s="190"/>
      <c r="G577" s="190"/>
      <c r="H577" s="190"/>
      <c r="I577" s="190"/>
      <c r="J577" s="190"/>
      <c r="K577" s="190"/>
      <c r="L577" s="190"/>
      <c r="M577" s="190"/>
      <c r="N577" s="190"/>
      <c r="O577" s="190"/>
      <c r="P577" s="190"/>
      <c r="Q577" s="190"/>
      <c r="R577" s="190"/>
      <c r="S577" s="190"/>
      <c r="T577" s="190"/>
      <c r="U577" s="190"/>
      <c r="V577" s="190"/>
      <c r="W577" s="190"/>
      <c r="X577" s="190"/>
      <c r="Y577" s="190"/>
      <c r="Z577" s="190"/>
    </row>
    <row r="578" ht="15.75" customHeight="1" spans="1:26">
      <c r="A578" s="190"/>
      <c r="B578" s="190"/>
      <c r="C578" s="190"/>
      <c r="D578" s="190"/>
      <c r="E578" s="190"/>
      <c r="F578" s="190"/>
      <c r="G578" s="190"/>
      <c r="H578" s="190"/>
      <c r="I578" s="190"/>
      <c r="J578" s="190"/>
      <c r="K578" s="190"/>
      <c r="L578" s="190"/>
      <c r="M578" s="190"/>
      <c r="N578" s="190"/>
      <c r="O578" s="190"/>
      <c r="P578" s="190"/>
      <c r="Q578" s="190"/>
      <c r="R578" s="190"/>
      <c r="S578" s="190"/>
      <c r="T578" s="190"/>
      <c r="U578" s="190"/>
      <c r="V578" s="190"/>
      <c r="W578" s="190"/>
      <c r="X578" s="190"/>
      <c r="Y578" s="190"/>
      <c r="Z578" s="190"/>
    </row>
    <row r="579" ht="15.75" customHeight="1" spans="1:26">
      <c r="A579" s="190"/>
      <c r="B579" s="190"/>
      <c r="C579" s="190"/>
      <c r="D579" s="190"/>
      <c r="E579" s="190"/>
      <c r="F579" s="190"/>
      <c r="G579" s="190"/>
      <c r="H579" s="190"/>
      <c r="I579" s="190"/>
      <c r="J579" s="190"/>
      <c r="K579" s="190"/>
      <c r="L579" s="190"/>
      <c r="M579" s="190"/>
      <c r="N579" s="190"/>
      <c r="O579" s="190"/>
      <c r="P579" s="190"/>
      <c r="Q579" s="190"/>
      <c r="R579" s="190"/>
      <c r="S579" s="190"/>
      <c r="T579" s="190"/>
      <c r="U579" s="190"/>
      <c r="V579" s="190"/>
      <c r="W579" s="190"/>
      <c r="X579" s="190"/>
      <c r="Y579" s="190"/>
      <c r="Z579" s="190"/>
    </row>
    <row r="580" ht="15.75" customHeight="1" spans="1:26">
      <c r="A580" s="190"/>
      <c r="B580" s="190"/>
      <c r="C580" s="190"/>
      <c r="D580" s="190"/>
      <c r="E580" s="190"/>
      <c r="F580" s="190"/>
      <c r="G580" s="190"/>
      <c r="H580" s="190"/>
      <c r="I580" s="190"/>
      <c r="J580" s="190"/>
      <c r="K580" s="190"/>
      <c r="L580" s="190"/>
      <c r="M580" s="190"/>
      <c r="N580" s="190"/>
      <c r="O580" s="190"/>
      <c r="P580" s="190"/>
      <c r="Q580" s="190"/>
      <c r="R580" s="190"/>
      <c r="S580" s="190"/>
      <c r="T580" s="190"/>
      <c r="U580" s="190"/>
      <c r="V580" s="190"/>
      <c r="W580" s="190"/>
      <c r="X580" s="190"/>
      <c r="Y580" s="190"/>
      <c r="Z580" s="190"/>
    </row>
    <row r="581" ht="15.75" customHeight="1" spans="1:26">
      <c r="A581" s="190"/>
      <c r="B581" s="190"/>
      <c r="C581" s="190"/>
      <c r="D581" s="190"/>
      <c r="E581" s="190"/>
      <c r="F581" s="190"/>
      <c r="G581" s="190"/>
      <c r="H581" s="190"/>
      <c r="I581" s="190"/>
      <c r="J581" s="190"/>
      <c r="K581" s="190"/>
      <c r="L581" s="190"/>
      <c r="M581" s="190"/>
      <c r="N581" s="190"/>
      <c r="O581" s="190"/>
      <c r="P581" s="190"/>
      <c r="Q581" s="190"/>
      <c r="R581" s="190"/>
      <c r="S581" s="190"/>
      <c r="T581" s="190"/>
      <c r="U581" s="190"/>
      <c r="V581" s="190"/>
      <c r="W581" s="190"/>
      <c r="X581" s="190"/>
      <c r="Y581" s="190"/>
      <c r="Z581" s="190"/>
    </row>
    <row r="582" ht="15.75" customHeight="1" spans="1:26">
      <c r="A582" s="190"/>
      <c r="B582" s="190"/>
      <c r="C582" s="190"/>
      <c r="D582" s="190"/>
      <c r="E582" s="190"/>
      <c r="F582" s="190"/>
      <c r="G582" s="190"/>
      <c r="H582" s="190"/>
      <c r="I582" s="190"/>
      <c r="J582" s="190"/>
      <c r="K582" s="190"/>
      <c r="L582" s="190"/>
      <c r="M582" s="190"/>
      <c r="N582" s="190"/>
      <c r="O582" s="190"/>
      <c r="P582" s="190"/>
      <c r="Q582" s="190"/>
      <c r="R582" s="190"/>
      <c r="S582" s="190"/>
      <c r="T582" s="190"/>
      <c r="U582" s="190"/>
      <c r="V582" s="190"/>
      <c r="W582" s="190"/>
      <c r="X582" s="190"/>
      <c r="Y582" s="190"/>
      <c r="Z582" s="190"/>
    </row>
    <row r="583" ht="15.75" customHeight="1" spans="1:26">
      <c r="A583" s="190"/>
      <c r="B583" s="190"/>
      <c r="C583" s="190"/>
      <c r="D583" s="190"/>
      <c r="E583" s="190"/>
      <c r="F583" s="190"/>
      <c r="G583" s="190"/>
      <c r="H583" s="190"/>
      <c r="I583" s="190"/>
      <c r="J583" s="190"/>
      <c r="K583" s="190"/>
      <c r="L583" s="190"/>
      <c r="M583" s="190"/>
      <c r="N583" s="190"/>
      <c r="O583" s="190"/>
      <c r="P583" s="190"/>
      <c r="Q583" s="190"/>
      <c r="R583" s="190"/>
      <c r="S583" s="190"/>
      <c r="T583" s="190"/>
      <c r="U583" s="190"/>
      <c r="V583" s="190"/>
      <c r="W583" s="190"/>
      <c r="X583" s="190"/>
      <c r="Y583" s="190"/>
      <c r="Z583" s="190"/>
    </row>
    <row r="584" ht="15.75" customHeight="1" spans="1:26">
      <c r="A584" s="190"/>
      <c r="B584" s="190"/>
      <c r="C584" s="190"/>
      <c r="D584" s="190"/>
      <c r="E584" s="190"/>
      <c r="F584" s="190"/>
      <c r="G584" s="190"/>
      <c r="H584" s="190"/>
      <c r="I584" s="190"/>
      <c r="J584" s="190"/>
      <c r="K584" s="190"/>
      <c r="L584" s="190"/>
      <c r="M584" s="190"/>
      <c r="N584" s="190"/>
      <c r="O584" s="190"/>
      <c r="P584" s="190"/>
      <c r="Q584" s="190"/>
      <c r="R584" s="190"/>
      <c r="S584" s="190"/>
      <c r="T584" s="190"/>
      <c r="U584" s="190"/>
      <c r="V584" s="190"/>
      <c r="W584" s="190"/>
      <c r="X584" s="190"/>
      <c r="Y584" s="190"/>
      <c r="Z584" s="190"/>
    </row>
    <row r="585" ht="15.75" customHeight="1" spans="1:26">
      <c r="A585" s="190"/>
      <c r="B585" s="190"/>
      <c r="C585" s="190"/>
      <c r="D585" s="190"/>
      <c r="E585" s="190"/>
      <c r="F585" s="190"/>
      <c r="G585" s="190"/>
      <c r="H585" s="190"/>
      <c r="I585" s="190"/>
      <c r="J585" s="190"/>
      <c r="K585" s="190"/>
      <c r="L585" s="190"/>
      <c r="M585" s="190"/>
      <c r="N585" s="190"/>
      <c r="O585" s="190"/>
      <c r="P585" s="190"/>
      <c r="Q585" s="190"/>
      <c r="R585" s="190"/>
      <c r="S585" s="190"/>
      <c r="T585" s="190"/>
      <c r="U585" s="190"/>
      <c r="V585" s="190"/>
      <c r="W585" s="190"/>
      <c r="X585" s="190"/>
      <c r="Y585" s="190"/>
      <c r="Z585" s="190"/>
    </row>
    <row r="586" ht="15.75" customHeight="1" spans="1:26">
      <c r="A586" s="190"/>
      <c r="B586" s="190"/>
      <c r="C586" s="190"/>
      <c r="D586" s="190"/>
      <c r="E586" s="190"/>
      <c r="F586" s="190"/>
      <c r="G586" s="190"/>
      <c r="H586" s="190"/>
      <c r="I586" s="190"/>
      <c r="J586" s="190"/>
      <c r="K586" s="190"/>
      <c r="L586" s="190"/>
      <c r="M586" s="190"/>
      <c r="N586" s="190"/>
      <c r="O586" s="190"/>
      <c r="P586" s="190"/>
      <c r="Q586" s="190"/>
      <c r="R586" s="190"/>
      <c r="S586" s="190"/>
      <c r="T586" s="190"/>
      <c r="U586" s="190"/>
      <c r="V586" s="190"/>
      <c r="W586" s="190"/>
      <c r="X586" s="190"/>
      <c r="Y586" s="190"/>
      <c r="Z586" s="190"/>
    </row>
    <row r="587" ht="15.75" customHeight="1" spans="1:26">
      <c r="A587" s="190"/>
      <c r="B587" s="190"/>
      <c r="C587" s="190"/>
      <c r="D587" s="190"/>
      <c r="E587" s="190"/>
      <c r="F587" s="190"/>
      <c r="G587" s="190"/>
      <c r="H587" s="190"/>
      <c r="I587" s="190"/>
      <c r="J587" s="190"/>
      <c r="K587" s="190"/>
      <c r="L587" s="190"/>
      <c r="M587" s="190"/>
      <c r="N587" s="190"/>
      <c r="O587" s="190"/>
      <c r="P587" s="190"/>
      <c r="Q587" s="190"/>
      <c r="R587" s="190"/>
      <c r="S587" s="190"/>
      <c r="T587" s="190"/>
      <c r="U587" s="190"/>
      <c r="V587" s="190"/>
      <c r="W587" s="190"/>
      <c r="X587" s="190"/>
      <c r="Y587" s="190"/>
      <c r="Z587" s="190"/>
    </row>
    <row r="588" ht="15.75" customHeight="1" spans="1:26">
      <c r="A588" s="190"/>
      <c r="B588" s="190"/>
      <c r="C588" s="190"/>
      <c r="D588" s="190"/>
      <c r="E588" s="190"/>
      <c r="F588" s="190"/>
      <c r="G588" s="190"/>
      <c r="H588" s="190"/>
      <c r="I588" s="190"/>
      <c r="J588" s="190"/>
      <c r="K588" s="190"/>
      <c r="L588" s="190"/>
      <c r="M588" s="190"/>
      <c r="N588" s="190"/>
      <c r="O588" s="190"/>
      <c r="P588" s="190"/>
      <c r="Q588" s="190"/>
      <c r="R588" s="190"/>
      <c r="S588" s="190"/>
      <c r="T588" s="190"/>
      <c r="U588" s="190"/>
      <c r="V588" s="190"/>
      <c r="W588" s="190"/>
      <c r="X588" s="190"/>
      <c r="Y588" s="190"/>
      <c r="Z588" s="190"/>
    </row>
    <row r="589" ht="15.75" customHeight="1" spans="1:26">
      <c r="A589" s="190"/>
      <c r="B589" s="190"/>
      <c r="C589" s="190"/>
      <c r="D589" s="190"/>
      <c r="E589" s="190"/>
      <c r="F589" s="190"/>
      <c r="G589" s="190"/>
      <c r="H589" s="190"/>
      <c r="I589" s="190"/>
      <c r="J589" s="190"/>
      <c r="K589" s="190"/>
      <c r="L589" s="190"/>
      <c r="M589" s="190"/>
      <c r="N589" s="190"/>
      <c r="O589" s="190"/>
      <c r="P589" s="190"/>
      <c r="Q589" s="190"/>
      <c r="R589" s="190"/>
      <c r="S589" s="190"/>
      <c r="T589" s="190"/>
      <c r="U589" s="190"/>
      <c r="V589" s="190"/>
      <c r="W589" s="190"/>
      <c r="X589" s="190"/>
      <c r="Y589" s="190"/>
      <c r="Z589" s="190"/>
    </row>
    <row r="590" ht="15.75" customHeight="1" spans="1:26">
      <c r="A590" s="190"/>
      <c r="B590" s="190"/>
      <c r="C590" s="190"/>
      <c r="D590" s="190"/>
      <c r="E590" s="190"/>
      <c r="F590" s="190"/>
      <c r="G590" s="190"/>
      <c r="H590" s="190"/>
      <c r="I590" s="190"/>
      <c r="J590" s="190"/>
      <c r="K590" s="190"/>
      <c r="L590" s="190"/>
      <c r="M590" s="190"/>
      <c r="N590" s="190"/>
      <c r="O590" s="190"/>
      <c r="P590" s="190"/>
      <c r="Q590" s="190"/>
      <c r="R590" s="190"/>
      <c r="S590" s="190"/>
      <c r="T590" s="190"/>
      <c r="U590" s="190"/>
      <c r="V590" s="190"/>
      <c r="W590" s="190"/>
      <c r="X590" s="190"/>
      <c r="Y590" s="190"/>
      <c r="Z590" s="190"/>
    </row>
    <row r="591" ht="15.75" customHeight="1" spans="1:26">
      <c r="A591" s="190"/>
      <c r="B591" s="190"/>
      <c r="C591" s="190"/>
      <c r="D591" s="190"/>
      <c r="E591" s="190"/>
      <c r="F591" s="190"/>
      <c r="G591" s="190"/>
      <c r="H591" s="190"/>
      <c r="I591" s="190"/>
      <c r="J591" s="190"/>
      <c r="K591" s="190"/>
      <c r="L591" s="190"/>
      <c r="M591" s="190"/>
      <c r="N591" s="190"/>
      <c r="O591" s="190"/>
      <c r="P591" s="190"/>
      <c r="Q591" s="190"/>
      <c r="R591" s="190"/>
      <c r="S591" s="190"/>
      <c r="T591" s="190"/>
      <c r="U591" s="190"/>
      <c r="V591" s="190"/>
      <c r="W591" s="190"/>
      <c r="X591" s="190"/>
      <c r="Y591" s="190"/>
      <c r="Z591" s="190"/>
    </row>
    <row r="592" ht="15.75" customHeight="1" spans="1:26">
      <c r="A592" s="190"/>
      <c r="B592" s="190"/>
      <c r="C592" s="190"/>
      <c r="D592" s="190"/>
      <c r="E592" s="190"/>
      <c r="F592" s="190"/>
      <c r="G592" s="190"/>
      <c r="H592" s="190"/>
      <c r="I592" s="190"/>
      <c r="J592" s="190"/>
      <c r="K592" s="190"/>
      <c r="L592" s="190"/>
      <c r="M592" s="190"/>
      <c r="N592" s="190"/>
      <c r="O592" s="190"/>
      <c r="P592" s="190"/>
      <c r="Q592" s="190"/>
      <c r="R592" s="190"/>
      <c r="S592" s="190"/>
      <c r="T592" s="190"/>
      <c r="U592" s="190"/>
      <c r="V592" s="190"/>
      <c r="W592" s="190"/>
      <c r="X592" s="190"/>
      <c r="Y592" s="190"/>
      <c r="Z592" s="190"/>
    </row>
    <row r="593" ht="15.75" customHeight="1" spans="1:26">
      <c r="A593" s="190"/>
      <c r="B593" s="190"/>
      <c r="C593" s="190"/>
      <c r="D593" s="190"/>
      <c r="E593" s="190"/>
      <c r="F593" s="190"/>
      <c r="G593" s="190"/>
      <c r="H593" s="190"/>
      <c r="I593" s="190"/>
      <c r="J593" s="190"/>
      <c r="K593" s="190"/>
      <c r="L593" s="190"/>
      <c r="M593" s="190"/>
      <c r="N593" s="190"/>
      <c r="O593" s="190"/>
      <c r="P593" s="190"/>
      <c r="Q593" s="190"/>
      <c r="R593" s="190"/>
      <c r="S593" s="190"/>
      <c r="T593" s="190"/>
      <c r="U593" s="190"/>
      <c r="V593" s="190"/>
      <c r="W593" s="190"/>
      <c r="X593" s="190"/>
      <c r="Y593" s="190"/>
      <c r="Z593" s="190"/>
    </row>
    <row r="594" ht="15.75" customHeight="1" spans="1:26">
      <c r="A594" s="190"/>
      <c r="B594" s="190"/>
      <c r="C594" s="190"/>
      <c r="D594" s="190"/>
      <c r="E594" s="190"/>
      <c r="F594" s="190"/>
      <c r="G594" s="190"/>
      <c r="H594" s="190"/>
      <c r="I594" s="190"/>
      <c r="J594" s="190"/>
      <c r="K594" s="190"/>
      <c r="L594" s="190"/>
      <c r="M594" s="190"/>
      <c r="N594" s="190"/>
      <c r="O594" s="190"/>
      <c r="P594" s="190"/>
      <c r="Q594" s="190"/>
      <c r="R594" s="190"/>
      <c r="S594" s="190"/>
      <c r="T594" s="190"/>
      <c r="U594" s="190"/>
      <c r="V594" s="190"/>
      <c r="W594" s="190"/>
      <c r="X594" s="190"/>
      <c r="Y594" s="190"/>
      <c r="Z594" s="190"/>
    </row>
    <row r="595" ht="15.75" customHeight="1" spans="1:26">
      <c r="A595" s="190"/>
      <c r="B595" s="190"/>
      <c r="C595" s="190"/>
      <c r="D595" s="190"/>
      <c r="E595" s="190"/>
      <c r="F595" s="190"/>
      <c r="G595" s="190"/>
      <c r="H595" s="190"/>
      <c r="I595" s="190"/>
      <c r="J595" s="190"/>
      <c r="K595" s="190"/>
      <c r="L595" s="190"/>
      <c r="M595" s="190"/>
      <c r="N595" s="190"/>
      <c r="O595" s="190"/>
      <c r="P595" s="190"/>
      <c r="Q595" s="190"/>
      <c r="R595" s="190"/>
      <c r="S595" s="190"/>
      <c r="T595" s="190"/>
      <c r="U595" s="190"/>
      <c r="V595" s="190"/>
      <c r="W595" s="190"/>
      <c r="X595" s="190"/>
      <c r="Y595" s="190"/>
      <c r="Z595" s="190"/>
    </row>
    <row r="596" ht="15.75" customHeight="1" spans="1:26">
      <c r="A596" s="190"/>
      <c r="B596" s="190"/>
      <c r="C596" s="190"/>
      <c r="D596" s="190"/>
      <c r="E596" s="190"/>
      <c r="F596" s="190"/>
      <c r="G596" s="190"/>
      <c r="H596" s="190"/>
      <c r="I596" s="190"/>
      <c r="J596" s="190"/>
      <c r="K596" s="190"/>
      <c r="L596" s="190"/>
      <c r="M596" s="190"/>
      <c r="N596" s="190"/>
      <c r="O596" s="190"/>
      <c r="P596" s="190"/>
      <c r="Q596" s="190"/>
      <c r="R596" s="190"/>
      <c r="S596" s="190"/>
      <c r="T596" s="190"/>
      <c r="U596" s="190"/>
      <c r="V596" s="190"/>
      <c r="W596" s="190"/>
      <c r="X596" s="190"/>
      <c r="Y596" s="190"/>
      <c r="Z596" s="190"/>
    </row>
    <row r="597" ht="15.75" customHeight="1" spans="1:26">
      <c r="A597" s="190"/>
      <c r="B597" s="190"/>
      <c r="C597" s="190"/>
      <c r="D597" s="190"/>
      <c r="E597" s="190"/>
      <c r="F597" s="190"/>
      <c r="G597" s="190"/>
      <c r="H597" s="190"/>
      <c r="I597" s="190"/>
      <c r="J597" s="190"/>
      <c r="K597" s="190"/>
      <c r="L597" s="190"/>
      <c r="M597" s="190"/>
      <c r="N597" s="190"/>
      <c r="O597" s="190"/>
      <c r="P597" s="190"/>
      <c r="Q597" s="190"/>
      <c r="R597" s="190"/>
      <c r="S597" s="190"/>
      <c r="T597" s="190"/>
      <c r="U597" s="190"/>
      <c r="V597" s="190"/>
      <c r="W597" s="190"/>
      <c r="X597" s="190"/>
      <c r="Y597" s="190"/>
      <c r="Z597" s="190"/>
    </row>
    <row r="598" ht="15.75" customHeight="1" spans="1:26">
      <c r="A598" s="190"/>
      <c r="B598" s="190"/>
      <c r="C598" s="190"/>
      <c r="D598" s="190"/>
      <c r="E598" s="190"/>
      <c r="F598" s="190"/>
      <c r="G598" s="190"/>
      <c r="H598" s="190"/>
      <c r="I598" s="190"/>
      <c r="J598" s="190"/>
      <c r="K598" s="190"/>
      <c r="L598" s="190"/>
      <c r="M598" s="190"/>
      <c r="N598" s="190"/>
      <c r="O598" s="190"/>
      <c r="P598" s="190"/>
      <c r="Q598" s="190"/>
      <c r="R598" s="190"/>
      <c r="S598" s="190"/>
      <c r="T598" s="190"/>
      <c r="U598" s="190"/>
      <c r="V598" s="190"/>
      <c r="W598" s="190"/>
      <c r="X598" s="190"/>
      <c r="Y598" s="190"/>
      <c r="Z598" s="190"/>
    </row>
    <row r="599" ht="15.75" customHeight="1" spans="1:26">
      <c r="A599" s="190"/>
      <c r="B599" s="190"/>
      <c r="C599" s="190"/>
      <c r="D599" s="190"/>
      <c r="E599" s="190"/>
      <c r="F599" s="190"/>
      <c r="G599" s="190"/>
      <c r="H599" s="190"/>
      <c r="I599" s="190"/>
      <c r="J599" s="190"/>
      <c r="K599" s="190"/>
      <c r="L599" s="190"/>
      <c r="M599" s="190"/>
      <c r="N599" s="190"/>
      <c r="O599" s="190"/>
      <c r="P599" s="190"/>
      <c r="Q599" s="190"/>
      <c r="R599" s="190"/>
      <c r="S599" s="190"/>
      <c r="T599" s="190"/>
      <c r="U599" s="190"/>
      <c r="V599" s="190"/>
      <c r="W599" s="190"/>
      <c r="X599" s="190"/>
      <c r="Y599" s="190"/>
      <c r="Z599" s="190"/>
    </row>
    <row r="600" ht="15.75" customHeight="1" spans="1:26">
      <c r="A600" s="190"/>
      <c r="B600" s="190"/>
      <c r="C600" s="190"/>
      <c r="D600" s="190"/>
      <c r="E600" s="190"/>
      <c r="F600" s="190"/>
      <c r="G600" s="190"/>
      <c r="H600" s="190"/>
      <c r="I600" s="190"/>
      <c r="J600" s="190"/>
      <c r="K600" s="190"/>
      <c r="L600" s="190"/>
      <c r="M600" s="190"/>
      <c r="N600" s="190"/>
      <c r="O600" s="190"/>
      <c r="P600" s="190"/>
      <c r="Q600" s="190"/>
      <c r="R600" s="190"/>
      <c r="S600" s="190"/>
      <c r="T600" s="190"/>
      <c r="U600" s="190"/>
      <c r="V600" s="190"/>
      <c r="W600" s="190"/>
      <c r="X600" s="190"/>
      <c r="Y600" s="190"/>
      <c r="Z600" s="190"/>
    </row>
    <row r="601" ht="15.75" customHeight="1" spans="1:26">
      <c r="A601" s="190"/>
      <c r="B601" s="190"/>
      <c r="C601" s="190"/>
      <c r="D601" s="190"/>
      <c r="E601" s="190"/>
      <c r="F601" s="190"/>
      <c r="G601" s="190"/>
      <c r="H601" s="190"/>
      <c r="I601" s="190"/>
      <c r="J601" s="190"/>
      <c r="K601" s="190"/>
      <c r="L601" s="190"/>
      <c r="M601" s="190"/>
      <c r="N601" s="190"/>
      <c r="O601" s="190"/>
      <c r="P601" s="190"/>
      <c r="Q601" s="190"/>
      <c r="R601" s="190"/>
      <c r="S601" s="190"/>
      <c r="T601" s="190"/>
      <c r="U601" s="190"/>
      <c r="V601" s="190"/>
      <c r="W601" s="190"/>
      <c r="X601" s="190"/>
      <c r="Y601" s="190"/>
      <c r="Z601" s="190"/>
    </row>
    <row r="602" ht="15.75" customHeight="1" spans="1:26">
      <c r="A602" s="190"/>
      <c r="B602" s="190"/>
      <c r="C602" s="190"/>
      <c r="D602" s="190"/>
      <c r="E602" s="190"/>
      <c r="F602" s="190"/>
      <c r="G602" s="190"/>
      <c r="H602" s="190"/>
      <c r="I602" s="190"/>
      <c r="J602" s="190"/>
      <c r="K602" s="190"/>
      <c r="L602" s="190"/>
      <c r="M602" s="190"/>
      <c r="N602" s="190"/>
      <c r="O602" s="190"/>
      <c r="P602" s="190"/>
      <c r="Q602" s="190"/>
      <c r="R602" s="190"/>
      <c r="S602" s="190"/>
      <c r="T602" s="190"/>
      <c r="U602" s="190"/>
      <c r="V602" s="190"/>
      <c r="W602" s="190"/>
      <c r="X602" s="190"/>
      <c r="Y602" s="190"/>
      <c r="Z602" s="190"/>
    </row>
    <row r="603" ht="15.75" customHeight="1" spans="1:26">
      <c r="A603" s="190"/>
      <c r="B603" s="190"/>
      <c r="C603" s="190"/>
      <c r="D603" s="190"/>
      <c r="E603" s="190"/>
      <c r="F603" s="190"/>
      <c r="G603" s="190"/>
      <c r="H603" s="190"/>
      <c r="I603" s="190"/>
      <c r="J603" s="190"/>
      <c r="K603" s="190"/>
      <c r="L603" s="190"/>
      <c r="M603" s="190"/>
      <c r="N603" s="190"/>
      <c r="O603" s="190"/>
      <c r="P603" s="190"/>
      <c r="Q603" s="190"/>
      <c r="R603" s="190"/>
      <c r="S603" s="190"/>
      <c r="T603" s="190"/>
      <c r="U603" s="190"/>
      <c r="V603" s="190"/>
      <c r="W603" s="190"/>
      <c r="X603" s="190"/>
      <c r="Y603" s="190"/>
      <c r="Z603" s="190"/>
    </row>
    <row r="604" ht="15.75" customHeight="1" spans="1:26">
      <c r="A604" s="190"/>
      <c r="B604" s="190"/>
      <c r="C604" s="190"/>
      <c r="D604" s="190"/>
      <c r="E604" s="190"/>
      <c r="F604" s="190"/>
      <c r="G604" s="190"/>
      <c r="H604" s="190"/>
      <c r="I604" s="190"/>
      <c r="J604" s="190"/>
      <c r="K604" s="190"/>
      <c r="L604" s="190"/>
      <c r="M604" s="190"/>
      <c r="N604" s="190"/>
      <c r="O604" s="190"/>
      <c r="P604" s="190"/>
      <c r="Q604" s="190"/>
      <c r="R604" s="190"/>
      <c r="S604" s="190"/>
      <c r="T604" s="190"/>
      <c r="U604" s="190"/>
      <c r="V604" s="190"/>
      <c r="W604" s="190"/>
      <c r="X604" s="190"/>
      <c r="Y604" s="190"/>
      <c r="Z604" s="190"/>
    </row>
    <row r="605" ht="15.75" customHeight="1" spans="1:26">
      <c r="A605" s="190"/>
      <c r="B605" s="190"/>
      <c r="C605" s="190"/>
      <c r="D605" s="190"/>
      <c r="E605" s="190"/>
      <c r="F605" s="190"/>
      <c r="G605" s="190"/>
      <c r="H605" s="190"/>
      <c r="I605" s="190"/>
      <c r="J605" s="190"/>
      <c r="K605" s="190"/>
      <c r="L605" s="190"/>
      <c r="M605" s="190"/>
      <c r="N605" s="190"/>
      <c r="O605" s="190"/>
      <c r="P605" s="190"/>
      <c r="Q605" s="190"/>
      <c r="R605" s="190"/>
      <c r="S605" s="190"/>
      <c r="T605" s="190"/>
      <c r="U605" s="190"/>
      <c r="V605" s="190"/>
      <c r="W605" s="190"/>
      <c r="X605" s="190"/>
      <c r="Y605" s="190"/>
      <c r="Z605" s="190"/>
    </row>
    <row r="606" ht="15.75" customHeight="1" spans="1:26">
      <c r="A606" s="190"/>
      <c r="B606" s="190"/>
      <c r="C606" s="190"/>
      <c r="D606" s="190"/>
      <c r="E606" s="190"/>
      <c r="F606" s="190"/>
      <c r="G606" s="190"/>
      <c r="H606" s="190"/>
      <c r="I606" s="190"/>
      <c r="J606" s="190"/>
      <c r="K606" s="190"/>
      <c r="L606" s="190"/>
      <c r="M606" s="190"/>
      <c r="N606" s="190"/>
      <c r="O606" s="190"/>
      <c r="P606" s="190"/>
      <c r="Q606" s="190"/>
      <c r="R606" s="190"/>
      <c r="S606" s="190"/>
      <c r="T606" s="190"/>
      <c r="U606" s="190"/>
      <c r="V606" s="190"/>
      <c r="W606" s="190"/>
      <c r="X606" s="190"/>
      <c r="Y606" s="190"/>
      <c r="Z606" s="190"/>
    </row>
    <row r="607" ht="15.75" customHeight="1" spans="1:26">
      <c r="A607" s="190"/>
      <c r="B607" s="190"/>
      <c r="C607" s="190"/>
      <c r="D607" s="190"/>
      <c r="E607" s="190"/>
      <c r="F607" s="190"/>
      <c r="G607" s="190"/>
      <c r="H607" s="190"/>
      <c r="I607" s="190"/>
      <c r="J607" s="190"/>
      <c r="K607" s="190"/>
      <c r="L607" s="190"/>
      <c r="M607" s="190"/>
      <c r="N607" s="190"/>
      <c r="O607" s="190"/>
      <c r="P607" s="190"/>
      <c r="Q607" s="190"/>
      <c r="R607" s="190"/>
      <c r="S607" s="190"/>
      <c r="T607" s="190"/>
      <c r="U607" s="190"/>
      <c r="V607" s="190"/>
      <c r="W607" s="190"/>
      <c r="X607" s="190"/>
      <c r="Y607" s="190"/>
      <c r="Z607" s="190"/>
    </row>
    <row r="608" ht="15.75" customHeight="1" spans="1:26">
      <c r="A608" s="190"/>
      <c r="B608" s="190"/>
      <c r="C608" s="190"/>
      <c r="D608" s="190"/>
      <c r="E608" s="190"/>
      <c r="F608" s="190"/>
      <c r="G608" s="190"/>
      <c r="H608" s="190"/>
      <c r="I608" s="190"/>
      <c r="J608" s="190"/>
      <c r="K608" s="190"/>
      <c r="L608" s="190"/>
      <c r="M608" s="190"/>
      <c r="N608" s="190"/>
      <c r="O608" s="190"/>
      <c r="P608" s="190"/>
      <c r="Q608" s="190"/>
      <c r="R608" s="190"/>
      <c r="S608" s="190"/>
      <c r="T608" s="190"/>
      <c r="U608" s="190"/>
      <c r="V608" s="190"/>
      <c r="W608" s="190"/>
      <c r="X608" s="190"/>
      <c r="Y608" s="190"/>
      <c r="Z608" s="190"/>
    </row>
    <row r="609" ht="15.75" customHeight="1" spans="1:26">
      <c r="A609" s="190"/>
      <c r="B609" s="190"/>
      <c r="C609" s="190"/>
      <c r="D609" s="190"/>
      <c r="E609" s="190"/>
      <c r="F609" s="190"/>
      <c r="G609" s="190"/>
      <c r="H609" s="190"/>
      <c r="I609" s="190"/>
      <c r="J609" s="190"/>
      <c r="K609" s="190"/>
      <c r="L609" s="190"/>
      <c r="M609" s="190"/>
      <c r="N609" s="190"/>
      <c r="O609" s="190"/>
      <c r="P609" s="190"/>
      <c r="Q609" s="190"/>
      <c r="R609" s="190"/>
      <c r="S609" s="190"/>
      <c r="T609" s="190"/>
      <c r="U609" s="190"/>
      <c r="V609" s="190"/>
      <c r="W609" s="190"/>
      <c r="X609" s="190"/>
      <c r="Y609" s="190"/>
      <c r="Z609" s="190"/>
    </row>
    <row r="610" ht="15.75" customHeight="1" spans="1:26">
      <c r="A610" s="190"/>
      <c r="B610" s="190"/>
      <c r="C610" s="190"/>
      <c r="D610" s="190"/>
      <c r="E610" s="190"/>
      <c r="F610" s="190"/>
      <c r="G610" s="190"/>
      <c r="H610" s="190"/>
      <c r="I610" s="190"/>
      <c r="J610" s="190"/>
      <c r="K610" s="190"/>
      <c r="L610" s="190"/>
      <c r="M610" s="190"/>
      <c r="N610" s="190"/>
      <c r="O610" s="190"/>
      <c r="P610" s="190"/>
      <c r="Q610" s="190"/>
      <c r="R610" s="190"/>
      <c r="S610" s="190"/>
      <c r="T610" s="190"/>
      <c r="U610" s="190"/>
      <c r="V610" s="190"/>
      <c r="W610" s="190"/>
      <c r="X610" s="190"/>
      <c r="Y610" s="190"/>
      <c r="Z610" s="190"/>
    </row>
    <row r="611" ht="15.75" customHeight="1" spans="1:26">
      <c r="A611" s="190"/>
      <c r="B611" s="190"/>
      <c r="C611" s="190"/>
      <c r="D611" s="190"/>
      <c r="E611" s="190"/>
      <c r="F611" s="190"/>
      <c r="G611" s="190"/>
      <c r="H611" s="190"/>
      <c r="I611" s="190"/>
      <c r="J611" s="190"/>
      <c r="K611" s="190"/>
      <c r="L611" s="190"/>
      <c r="M611" s="190"/>
      <c r="N611" s="190"/>
      <c r="O611" s="190"/>
      <c r="P611" s="190"/>
      <c r="Q611" s="190"/>
      <c r="R611" s="190"/>
      <c r="S611" s="190"/>
      <c r="T611" s="190"/>
      <c r="U611" s="190"/>
      <c r="V611" s="190"/>
      <c r="W611" s="190"/>
      <c r="X611" s="190"/>
      <c r="Y611" s="190"/>
      <c r="Z611" s="190"/>
    </row>
    <row r="612" ht="15.75" customHeight="1" spans="1:26">
      <c r="A612" s="190"/>
      <c r="B612" s="190"/>
      <c r="C612" s="190"/>
      <c r="D612" s="190"/>
      <c r="E612" s="190"/>
      <c r="F612" s="190"/>
      <c r="G612" s="190"/>
      <c r="H612" s="190"/>
      <c r="I612" s="190"/>
      <c r="J612" s="190"/>
      <c r="K612" s="190"/>
      <c r="L612" s="190"/>
      <c r="M612" s="190"/>
      <c r="N612" s="190"/>
      <c r="O612" s="190"/>
      <c r="P612" s="190"/>
      <c r="Q612" s="190"/>
      <c r="R612" s="190"/>
      <c r="S612" s="190"/>
      <c r="T612" s="190"/>
      <c r="U612" s="190"/>
      <c r="V612" s="190"/>
      <c r="W612" s="190"/>
      <c r="X612" s="190"/>
      <c r="Y612" s="190"/>
      <c r="Z612" s="190"/>
    </row>
    <row r="613" ht="15.75" customHeight="1" spans="1:26">
      <c r="A613" s="190"/>
      <c r="B613" s="190"/>
      <c r="C613" s="190"/>
      <c r="D613" s="190"/>
      <c r="E613" s="190"/>
      <c r="F613" s="190"/>
      <c r="G613" s="190"/>
      <c r="H613" s="190"/>
      <c r="I613" s="190"/>
      <c r="J613" s="190"/>
      <c r="K613" s="190"/>
      <c r="L613" s="190"/>
      <c r="M613" s="190"/>
      <c r="N613" s="190"/>
      <c r="O613" s="190"/>
      <c r="P613" s="190"/>
      <c r="Q613" s="190"/>
      <c r="R613" s="190"/>
      <c r="S613" s="190"/>
      <c r="T613" s="190"/>
      <c r="U613" s="190"/>
      <c r="V613" s="190"/>
      <c r="W613" s="190"/>
      <c r="X613" s="190"/>
      <c r="Y613" s="190"/>
      <c r="Z613" s="190"/>
    </row>
    <row r="614" ht="15.75" customHeight="1" spans="1:26">
      <c r="A614" s="190"/>
      <c r="B614" s="190"/>
      <c r="C614" s="190"/>
      <c r="D614" s="190"/>
      <c r="E614" s="190"/>
      <c r="F614" s="190"/>
      <c r="G614" s="190"/>
      <c r="H614" s="190"/>
      <c r="I614" s="190"/>
      <c r="J614" s="190"/>
      <c r="K614" s="190"/>
      <c r="L614" s="190"/>
      <c r="M614" s="190"/>
      <c r="N614" s="190"/>
      <c r="O614" s="190"/>
      <c r="P614" s="190"/>
      <c r="Q614" s="190"/>
      <c r="R614" s="190"/>
      <c r="S614" s="190"/>
      <c r="T614" s="190"/>
      <c r="U614" s="190"/>
      <c r="V614" s="190"/>
      <c r="W614" s="190"/>
      <c r="X614" s="190"/>
      <c r="Y614" s="190"/>
      <c r="Z614" s="190"/>
    </row>
    <row r="615" ht="15.75" customHeight="1" spans="1:26">
      <c r="A615" s="190"/>
      <c r="B615" s="190"/>
      <c r="C615" s="190"/>
      <c r="D615" s="190"/>
      <c r="E615" s="190"/>
      <c r="F615" s="190"/>
      <c r="G615" s="190"/>
      <c r="H615" s="190"/>
      <c r="I615" s="190"/>
      <c r="J615" s="190"/>
      <c r="K615" s="190"/>
      <c r="L615" s="190"/>
      <c r="M615" s="190"/>
      <c r="N615" s="190"/>
      <c r="O615" s="190"/>
      <c r="P615" s="190"/>
      <c r="Q615" s="190"/>
      <c r="R615" s="190"/>
      <c r="S615" s="190"/>
      <c r="T615" s="190"/>
      <c r="U615" s="190"/>
      <c r="V615" s="190"/>
      <c r="W615" s="190"/>
      <c r="X615" s="190"/>
      <c r="Y615" s="190"/>
      <c r="Z615" s="190"/>
    </row>
    <row r="616" ht="15.75" customHeight="1" spans="1:26">
      <c r="A616" s="190"/>
      <c r="B616" s="190"/>
      <c r="C616" s="190"/>
      <c r="D616" s="190"/>
      <c r="E616" s="190"/>
      <c r="F616" s="190"/>
      <c r="G616" s="190"/>
      <c r="H616" s="190"/>
      <c r="I616" s="190"/>
      <c r="J616" s="190"/>
      <c r="K616" s="190"/>
      <c r="L616" s="190"/>
      <c r="M616" s="190"/>
      <c r="N616" s="190"/>
      <c r="O616" s="190"/>
      <c r="P616" s="190"/>
      <c r="Q616" s="190"/>
      <c r="R616" s="190"/>
      <c r="S616" s="190"/>
      <c r="T616" s="190"/>
      <c r="U616" s="190"/>
      <c r="V616" s="190"/>
      <c r="W616" s="190"/>
      <c r="X616" s="190"/>
      <c r="Y616" s="190"/>
      <c r="Z616" s="190"/>
    </row>
    <row r="617" ht="15.75" customHeight="1" spans="1:26">
      <c r="A617" s="190"/>
      <c r="B617" s="190"/>
      <c r="C617" s="190"/>
      <c r="D617" s="190"/>
      <c r="E617" s="190"/>
      <c r="F617" s="190"/>
      <c r="G617" s="190"/>
      <c r="H617" s="190"/>
      <c r="I617" s="190"/>
      <c r="J617" s="190"/>
      <c r="K617" s="190"/>
      <c r="L617" s="190"/>
      <c r="M617" s="190"/>
      <c r="N617" s="190"/>
      <c r="O617" s="190"/>
      <c r="P617" s="190"/>
      <c r="Q617" s="190"/>
      <c r="R617" s="190"/>
      <c r="S617" s="190"/>
      <c r="T617" s="190"/>
      <c r="U617" s="190"/>
      <c r="V617" s="190"/>
      <c r="W617" s="190"/>
      <c r="X617" s="190"/>
      <c r="Y617" s="190"/>
      <c r="Z617" s="190"/>
    </row>
    <row r="618" ht="15.75" customHeight="1" spans="1:26">
      <c r="A618" s="190"/>
      <c r="B618" s="190"/>
      <c r="C618" s="190"/>
      <c r="D618" s="190"/>
      <c r="E618" s="190"/>
      <c r="F618" s="190"/>
      <c r="G618" s="190"/>
      <c r="H618" s="190"/>
      <c r="I618" s="190"/>
      <c r="J618" s="190"/>
      <c r="K618" s="190"/>
      <c r="L618" s="190"/>
      <c r="M618" s="190"/>
      <c r="N618" s="190"/>
      <c r="O618" s="190"/>
      <c r="P618" s="190"/>
      <c r="Q618" s="190"/>
      <c r="R618" s="190"/>
      <c r="S618" s="190"/>
      <c r="T618" s="190"/>
      <c r="U618" s="190"/>
      <c r="V618" s="190"/>
      <c r="W618" s="190"/>
      <c r="X618" s="190"/>
      <c r="Y618" s="190"/>
      <c r="Z618" s="190"/>
    </row>
    <row r="619" ht="15.75" customHeight="1" spans="1:26">
      <c r="A619" s="190"/>
      <c r="B619" s="190"/>
      <c r="C619" s="190"/>
      <c r="D619" s="190"/>
      <c r="E619" s="190"/>
      <c r="F619" s="190"/>
      <c r="G619" s="190"/>
      <c r="H619" s="190"/>
      <c r="I619" s="190"/>
      <c r="J619" s="190"/>
      <c r="K619" s="190"/>
      <c r="L619" s="190"/>
      <c r="M619" s="190"/>
      <c r="N619" s="190"/>
      <c r="O619" s="190"/>
      <c r="P619" s="190"/>
      <c r="Q619" s="190"/>
      <c r="R619" s="190"/>
      <c r="S619" s="190"/>
      <c r="T619" s="190"/>
      <c r="U619" s="190"/>
      <c r="V619" s="190"/>
      <c r="W619" s="190"/>
      <c r="X619" s="190"/>
      <c r="Y619" s="190"/>
      <c r="Z619" s="190"/>
    </row>
    <row r="620" ht="15.75" customHeight="1" spans="1:26">
      <c r="A620" s="190"/>
      <c r="B620" s="190"/>
      <c r="C620" s="190"/>
      <c r="D620" s="190"/>
      <c r="E620" s="190"/>
      <c r="F620" s="190"/>
      <c r="G620" s="190"/>
      <c r="H620" s="190"/>
      <c r="I620" s="190"/>
      <c r="J620" s="190"/>
      <c r="K620" s="190"/>
      <c r="L620" s="190"/>
      <c r="M620" s="190"/>
      <c r="N620" s="190"/>
      <c r="O620" s="190"/>
      <c r="P620" s="190"/>
      <c r="Q620" s="190"/>
      <c r="R620" s="190"/>
      <c r="S620" s="190"/>
      <c r="T620" s="190"/>
      <c r="U620" s="190"/>
      <c r="V620" s="190"/>
      <c r="W620" s="190"/>
      <c r="X620" s="190"/>
      <c r="Y620" s="190"/>
      <c r="Z620" s="190"/>
    </row>
    <row r="621" ht="15.75" customHeight="1" spans="1:26">
      <c r="A621" s="190"/>
      <c r="B621" s="190"/>
      <c r="C621" s="190"/>
      <c r="D621" s="190"/>
      <c r="E621" s="190"/>
      <c r="F621" s="190"/>
      <c r="G621" s="190"/>
      <c r="H621" s="190"/>
      <c r="I621" s="190"/>
      <c r="J621" s="190"/>
      <c r="K621" s="190"/>
      <c r="L621" s="190"/>
      <c r="M621" s="190"/>
      <c r="N621" s="190"/>
      <c r="O621" s="190"/>
      <c r="P621" s="190"/>
      <c r="Q621" s="190"/>
      <c r="R621" s="190"/>
      <c r="S621" s="190"/>
      <c r="T621" s="190"/>
      <c r="U621" s="190"/>
      <c r="V621" s="190"/>
      <c r="W621" s="190"/>
      <c r="X621" s="190"/>
      <c r="Y621" s="190"/>
      <c r="Z621" s="190"/>
    </row>
    <row r="622" ht="15.75" customHeight="1" spans="1:26">
      <c r="A622" s="190"/>
      <c r="B622" s="190"/>
      <c r="C622" s="190"/>
      <c r="D622" s="190"/>
      <c r="E622" s="190"/>
      <c r="F622" s="190"/>
      <c r="G622" s="190"/>
      <c r="H622" s="190"/>
      <c r="I622" s="190"/>
      <c r="J622" s="190"/>
      <c r="K622" s="190"/>
      <c r="L622" s="190"/>
      <c r="M622" s="190"/>
      <c r="N622" s="190"/>
      <c r="O622" s="190"/>
      <c r="P622" s="190"/>
      <c r="Q622" s="190"/>
      <c r="R622" s="190"/>
      <c r="S622" s="190"/>
      <c r="T622" s="190"/>
      <c r="U622" s="190"/>
      <c r="V622" s="190"/>
      <c r="W622" s="190"/>
      <c r="X622" s="190"/>
      <c r="Y622" s="190"/>
      <c r="Z622" s="190"/>
    </row>
    <row r="623" ht="15.75" customHeight="1" spans="1:26">
      <c r="A623" s="190"/>
      <c r="B623" s="190"/>
      <c r="C623" s="190"/>
      <c r="D623" s="190"/>
      <c r="E623" s="190"/>
      <c r="F623" s="190"/>
      <c r="G623" s="190"/>
      <c r="H623" s="190"/>
      <c r="I623" s="190"/>
      <c r="J623" s="190"/>
      <c r="K623" s="190"/>
      <c r="L623" s="190"/>
      <c r="M623" s="190"/>
      <c r="N623" s="190"/>
      <c r="O623" s="190"/>
      <c r="P623" s="190"/>
      <c r="Q623" s="190"/>
      <c r="R623" s="190"/>
      <c r="S623" s="190"/>
      <c r="T623" s="190"/>
      <c r="U623" s="190"/>
      <c r="V623" s="190"/>
      <c r="W623" s="190"/>
      <c r="X623" s="190"/>
      <c r="Y623" s="190"/>
      <c r="Z623" s="190"/>
    </row>
    <row r="624" ht="15.75" customHeight="1" spans="1:26">
      <c r="A624" s="190"/>
      <c r="B624" s="190"/>
      <c r="C624" s="190"/>
      <c r="D624" s="190"/>
      <c r="E624" s="190"/>
      <c r="F624" s="190"/>
      <c r="G624" s="190"/>
      <c r="H624" s="190"/>
      <c r="I624" s="190"/>
      <c r="J624" s="190"/>
      <c r="K624" s="190"/>
      <c r="L624" s="190"/>
      <c r="M624" s="190"/>
      <c r="N624" s="190"/>
      <c r="O624" s="190"/>
      <c r="P624" s="190"/>
      <c r="Q624" s="190"/>
      <c r="R624" s="190"/>
      <c r="S624" s="190"/>
      <c r="T624" s="190"/>
      <c r="U624" s="190"/>
      <c r="V624" s="190"/>
      <c r="W624" s="190"/>
      <c r="X624" s="190"/>
      <c r="Y624" s="190"/>
      <c r="Z624" s="190"/>
    </row>
    <row r="625" ht="15.75" customHeight="1" spans="1:26">
      <c r="A625" s="190"/>
      <c r="B625" s="190"/>
      <c r="C625" s="190"/>
      <c r="D625" s="190"/>
      <c r="E625" s="190"/>
      <c r="F625" s="190"/>
      <c r="G625" s="190"/>
      <c r="H625" s="190"/>
      <c r="I625" s="190"/>
      <c r="J625" s="190"/>
      <c r="K625" s="190"/>
      <c r="L625" s="190"/>
      <c r="M625" s="190"/>
      <c r="N625" s="190"/>
      <c r="O625" s="190"/>
      <c r="P625" s="190"/>
      <c r="Q625" s="190"/>
      <c r="R625" s="190"/>
      <c r="S625" s="190"/>
      <c r="T625" s="190"/>
      <c r="U625" s="190"/>
      <c r="V625" s="190"/>
      <c r="W625" s="190"/>
      <c r="X625" s="190"/>
      <c r="Y625" s="190"/>
      <c r="Z625" s="190"/>
    </row>
    <row r="626" ht="15.75" customHeight="1" spans="1:26">
      <c r="A626" s="190"/>
      <c r="B626" s="190"/>
      <c r="C626" s="190"/>
      <c r="D626" s="190"/>
      <c r="E626" s="190"/>
      <c r="F626" s="190"/>
      <c r="G626" s="190"/>
      <c r="H626" s="190"/>
      <c r="I626" s="190"/>
      <c r="J626" s="190"/>
      <c r="K626" s="190"/>
      <c r="L626" s="190"/>
      <c r="M626" s="190"/>
      <c r="N626" s="190"/>
      <c r="O626" s="190"/>
      <c r="P626" s="190"/>
      <c r="Q626" s="190"/>
      <c r="R626" s="190"/>
      <c r="S626" s="190"/>
      <c r="T626" s="190"/>
      <c r="U626" s="190"/>
      <c r="V626" s="190"/>
      <c r="W626" s="190"/>
      <c r="X626" s="190"/>
      <c r="Y626" s="190"/>
      <c r="Z626" s="190"/>
    </row>
    <row r="627" ht="15.75" customHeight="1" spans="1:26">
      <c r="A627" s="190"/>
      <c r="B627" s="190"/>
      <c r="C627" s="190"/>
      <c r="D627" s="190"/>
      <c r="E627" s="190"/>
      <c r="F627" s="190"/>
      <c r="G627" s="190"/>
      <c r="H627" s="190"/>
      <c r="I627" s="190"/>
      <c r="J627" s="190"/>
      <c r="K627" s="190"/>
      <c r="L627" s="190"/>
      <c r="M627" s="190"/>
      <c r="N627" s="190"/>
      <c r="O627" s="190"/>
      <c r="P627" s="190"/>
      <c r="Q627" s="190"/>
      <c r="R627" s="190"/>
      <c r="S627" s="190"/>
      <c r="T627" s="190"/>
      <c r="U627" s="190"/>
      <c r="V627" s="190"/>
      <c r="W627" s="190"/>
      <c r="X627" s="190"/>
      <c r="Y627" s="190"/>
      <c r="Z627" s="190"/>
    </row>
    <row r="628" ht="15.75" customHeight="1" spans="1:26">
      <c r="A628" s="190"/>
      <c r="B628" s="190"/>
      <c r="C628" s="190"/>
      <c r="D628" s="190"/>
      <c r="E628" s="190"/>
      <c r="F628" s="190"/>
      <c r="G628" s="190"/>
      <c r="H628" s="190"/>
      <c r="I628" s="190"/>
      <c r="J628" s="190"/>
      <c r="K628" s="190"/>
      <c r="L628" s="190"/>
      <c r="M628" s="190"/>
      <c r="N628" s="190"/>
      <c r="O628" s="190"/>
      <c r="P628" s="190"/>
      <c r="Q628" s="190"/>
      <c r="R628" s="190"/>
      <c r="S628" s="190"/>
      <c r="T628" s="190"/>
      <c r="U628" s="190"/>
      <c r="V628" s="190"/>
      <c r="W628" s="190"/>
      <c r="X628" s="190"/>
      <c r="Y628" s="190"/>
      <c r="Z628" s="190"/>
    </row>
    <row r="629" ht="15.75" customHeight="1" spans="1:26">
      <c r="A629" s="190"/>
      <c r="B629" s="190"/>
      <c r="C629" s="190"/>
      <c r="D629" s="190"/>
      <c r="E629" s="190"/>
      <c r="F629" s="190"/>
      <c r="G629" s="190"/>
      <c r="H629" s="190"/>
      <c r="I629" s="190"/>
      <c r="J629" s="190"/>
      <c r="K629" s="190"/>
      <c r="L629" s="190"/>
      <c r="M629" s="190"/>
      <c r="N629" s="190"/>
      <c r="O629" s="190"/>
      <c r="P629" s="190"/>
      <c r="Q629" s="190"/>
      <c r="R629" s="190"/>
      <c r="S629" s="190"/>
      <c r="T629" s="190"/>
      <c r="U629" s="190"/>
      <c r="V629" s="190"/>
      <c r="W629" s="190"/>
      <c r="X629" s="190"/>
      <c r="Y629" s="190"/>
      <c r="Z629" s="190"/>
    </row>
    <row r="630" ht="15.75" customHeight="1" spans="1:26">
      <c r="A630" s="190"/>
      <c r="B630" s="190"/>
      <c r="C630" s="190"/>
      <c r="D630" s="190"/>
      <c r="E630" s="190"/>
      <c r="F630" s="190"/>
      <c r="G630" s="190"/>
      <c r="H630" s="190"/>
      <c r="I630" s="190"/>
      <c r="J630" s="190"/>
      <c r="K630" s="190"/>
      <c r="L630" s="190"/>
      <c r="M630" s="190"/>
      <c r="N630" s="190"/>
      <c r="O630" s="190"/>
      <c r="P630" s="190"/>
      <c r="Q630" s="190"/>
      <c r="R630" s="190"/>
      <c r="S630" s="190"/>
      <c r="T630" s="190"/>
      <c r="U630" s="190"/>
      <c r="V630" s="190"/>
      <c r="W630" s="190"/>
      <c r="X630" s="190"/>
      <c r="Y630" s="190"/>
      <c r="Z630" s="190"/>
    </row>
    <row r="631" ht="15.75" customHeight="1" spans="1:26">
      <c r="A631" s="190"/>
      <c r="B631" s="190"/>
      <c r="C631" s="190"/>
      <c r="D631" s="190"/>
      <c r="E631" s="190"/>
      <c r="F631" s="190"/>
      <c r="G631" s="190"/>
      <c r="H631" s="190"/>
      <c r="I631" s="190"/>
      <c r="J631" s="190"/>
      <c r="K631" s="190"/>
      <c r="L631" s="190"/>
      <c r="M631" s="190"/>
      <c r="N631" s="190"/>
      <c r="O631" s="190"/>
      <c r="P631" s="190"/>
      <c r="Q631" s="190"/>
      <c r="R631" s="190"/>
      <c r="S631" s="190"/>
      <c r="T631" s="190"/>
      <c r="U631" s="190"/>
      <c r="V631" s="190"/>
      <c r="W631" s="190"/>
      <c r="X631" s="190"/>
      <c r="Y631" s="190"/>
      <c r="Z631" s="190"/>
    </row>
    <row r="632" ht="15.75" customHeight="1" spans="1:26">
      <c r="A632" s="190"/>
      <c r="B632" s="190"/>
      <c r="C632" s="190"/>
      <c r="D632" s="190"/>
      <c r="E632" s="190"/>
      <c r="F632" s="190"/>
      <c r="G632" s="190"/>
      <c r="H632" s="190"/>
      <c r="I632" s="190"/>
      <c r="J632" s="190"/>
      <c r="K632" s="190"/>
      <c r="L632" s="190"/>
      <c r="M632" s="190"/>
      <c r="N632" s="190"/>
      <c r="O632" s="190"/>
      <c r="P632" s="190"/>
      <c r="Q632" s="190"/>
      <c r="R632" s="190"/>
      <c r="S632" s="190"/>
      <c r="T632" s="190"/>
      <c r="U632" s="190"/>
      <c r="V632" s="190"/>
      <c r="W632" s="190"/>
      <c r="X632" s="190"/>
      <c r="Y632" s="190"/>
      <c r="Z632" s="190"/>
    </row>
    <row r="633" ht="15.75" customHeight="1" spans="1:26">
      <c r="A633" s="190"/>
      <c r="B633" s="190"/>
      <c r="C633" s="190"/>
      <c r="D633" s="190"/>
      <c r="E633" s="190"/>
      <c r="F633" s="190"/>
      <c r="G633" s="190"/>
      <c r="H633" s="190"/>
      <c r="I633" s="190"/>
      <c r="J633" s="190"/>
      <c r="K633" s="190"/>
      <c r="L633" s="190"/>
      <c r="M633" s="190"/>
      <c r="N633" s="190"/>
      <c r="O633" s="190"/>
      <c r="P633" s="190"/>
      <c r="Q633" s="190"/>
      <c r="R633" s="190"/>
      <c r="S633" s="190"/>
      <c r="T633" s="190"/>
      <c r="U633" s="190"/>
      <c r="V633" s="190"/>
      <c r="W633" s="190"/>
      <c r="X633" s="190"/>
      <c r="Y633" s="190"/>
      <c r="Z633" s="190"/>
    </row>
    <row r="634" ht="15.75" customHeight="1" spans="1:26">
      <c r="A634" s="190"/>
      <c r="B634" s="190"/>
      <c r="C634" s="190"/>
      <c r="D634" s="190"/>
      <c r="E634" s="190"/>
      <c r="F634" s="190"/>
      <c r="G634" s="190"/>
      <c r="H634" s="190"/>
      <c r="I634" s="190"/>
      <c r="J634" s="190"/>
      <c r="K634" s="190"/>
      <c r="L634" s="190"/>
      <c r="M634" s="190"/>
      <c r="N634" s="190"/>
      <c r="O634" s="190"/>
      <c r="P634" s="190"/>
      <c r="Q634" s="190"/>
      <c r="R634" s="190"/>
      <c r="S634" s="190"/>
      <c r="T634" s="190"/>
      <c r="U634" s="190"/>
      <c r="V634" s="190"/>
      <c r="W634" s="190"/>
      <c r="X634" s="190"/>
      <c r="Y634" s="190"/>
      <c r="Z634" s="190"/>
    </row>
    <row r="635" ht="15.75" customHeight="1" spans="1:26">
      <c r="A635" s="190"/>
      <c r="B635" s="190"/>
      <c r="C635" s="190"/>
      <c r="D635" s="190"/>
      <c r="E635" s="190"/>
      <c r="F635" s="190"/>
      <c r="G635" s="190"/>
      <c r="H635" s="190"/>
      <c r="I635" s="190"/>
      <c r="J635" s="190"/>
      <c r="K635" s="190"/>
      <c r="L635" s="190"/>
      <c r="M635" s="190"/>
      <c r="N635" s="190"/>
      <c r="O635" s="190"/>
      <c r="P635" s="190"/>
      <c r="Q635" s="190"/>
      <c r="R635" s="190"/>
      <c r="S635" s="190"/>
      <c r="T635" s="190"/>
      <c r="U635" s="190"/>
      <c r="V635" s="190"/>
      <c r="W635" s="190"/>
      <c r="X635" s="190"/>
      <c r="Y635" s="190"/>
      <c r="Z635" s="190"/>
    </row>
    <row r="636" ht="15.75" customHeight="1" spans="1:26">
      <c r="A636" s="190"/>
      <c r="B636" s="190"/>
      <c r="C636" s="190"/>
      <c r="D636" s="190"/>
      <c r="E636" s="190"/>
      <c r="F636" s="190"/>
      <c r="G636" s="190"/>
      <c r="H636" s="190"/>
      <c r="I636" s="190"/>
      <c r="J636" s="190"/>
      <c r="K636" s="190"/>
      <c r="L636" s="190"/>
      <c r="M636" s="190"/>
      <c r="N636" s="190"/>
      <c r="O636" s="190"/>
      <c r="P636" s="190"/>
      <c r="Q636" s="190"/>
      <c r="R636" s="190"/>
      <c r="S636" s="190"/>
      <c r="T636" s="190"/>
      <c r="U636" s="190"/>
      <c r="V636" s="190"/>
      <c r="W636" s="190"/>
      <c r="X636" s="190"/>
      <c r="Y636" s="190"/>
      <c r="Z636" s="190"/>
    </row>
    <row r="637" ht="15.75" customHeight="1" spans="1:26">
      <c r="A637" s="190"/>
      <c r="B637" s="190"/>
      <c r="C637" s="190"/>
      <c r="D637" s="190"/>
      <c r="E637" s="190"/>
      <c r="F637" s="190"/>
      <c r="G637" s="190"/>
      <c r="H637" s="190"/>
      <c r="I637" s="190"/>
      <c r="J637" s="190"/>
      <c r="K637" s="190"/>
      <c r="L637" s="190"/>
      <c r="M637" s="190"/>
      <c r="N637" s="190"/>
      <c r="O637" s="190"/>
      <c r="P637" s="190"/>
      <c r="Q637" s="190"/>
      <c r="R637" s="190"/>
      <c r="S637" s="190"/>
      <c r="T637" s="190"/>
      <c r="U637" s="190"/>
      <c r="V637" s="190"/>
      <c r="W637" s="190"/>
      <c r="X637" s="190"/>
      <c r="Y637" s="190"/>
      <c r="Z637" s="190"/>
    </row>
    <row r="638" ht="15.75" customHeight="1" spans="1:26">
      <c r="A638" s="190"/>
      <c r="B638" s="190"/>
      <c r="C638" s="190"/>
      <c r="D638" s="190"/>
      <c r="E638" s="190"/>
      <c r="F638" s="190"/>
      <c r="G638" s="190"/>
      <c r="H638" s="190"/>
      <c r="I638" s="190"/>
      <c r="J638" s="190"/>
      <c r="K638" s="190"/>
      <c r="L638" s="190"/>
      <c r="M638" s="190"/>
      <c r="N638" s="190"/>
      <c r="O638" s="190"/>
      <c r="P638" s="190"/>
      <c r="Q638" s="190"/>
      <c r="R638" s="190"/>
      <c r="S638" s="190"/>
      <c r="T638" s="190"/>
      <c r="U638" s="190"/>
      <c r="V638" s="190"/>
      <c r="W638" s="190"/>
      <c r="X638" s="190"/>
      <c r="Y638" s="190"/>
      <c r="Z638" s="190"/>
    </row>
    <row r="639" ht="15.75" customHeight="1" spans="1:26">
      <c r="A639" s="190"/>
      <c r="B639" s="190"/>
      <c r="C639" s="190"/>
      <c r="D639" s="190"/>
      <c r="E639" s="190"/>
      <c r="F639" s="190"/>
      <c r="G639" s="190"/>
      <c r="H639" s="190"/>
      <c r="I639" s="190"/>
      <c r="J639" s="190"/>
      <c r="K639" s="190"/>
      <c r="L639" s="190"/>
      <c r="M639" s="190"/>
      <c r="N639" s="190"/>
      <c r="O639" s="190"/>
      <c r="P639" s="190"/>
      <c r="Q639" s="190"/>
      <c r="R639" s="190"/>
      <c r="S639" s="190"/>
      <c r="T639" s="190"/>
      <c r="U639" s="190"/>
      <c r="V639" s="190"/>
      <c r="W639" s="190"/>
      <c r="X639" s="190"/>
      <c r="Y639" s="190"/>
      <c r="Z639" s="190"/>
    </row>
    <row r="640" ht="15.75" customHeight="1" spans="1:26">
      <c r="A640" s="190"/>
      <c r="B640" s="190"/>
      <c r="C640" s="190"/>
      <c r="D640" s="190"/>
      <c r="E640" s="190"/>
      <c r="F640" s="190"/>
      <c r="G640" s="190"/>
      <c r="H640" s="190"/>
      <c r="I640" s="190"/>
      <c r="J640" s="190"/>
      <c r="K640" s="190"/>
      <c r="L640" s="190"/>
      <c r="M640" s="190"/>
      <c r="N640" s="190"/>
      <c r="O640" s="190"/>
      <c r="P640" s="190"/>
      <c r="Q640" s="190"/>
      <c r="R640" s="190"/>
      <c r="S640" s="190"/>
      <c r="T640" s="190"/>
      <c r="U640" s="190"/>
      <c r="V640" s="190"/>
      <c r="W640" s="190"/>
      <c r="X640" s="190"/>
      <c r="Y640" s="190"/>
      <c r="Z640" s="190"/>
    </row>
    <row r="641" ht="15.75" customHeight="1" spans="1:26">
      <c r="A641" s="190"/>
      <c r="B641" s="190"/>
      <c r="C641" s="190"/>
      <c r="D641" s="190"/>
      <c r="E641" s="190"/>
      <c r="F641" s="190"/>
      <c r="G641" s="190"/>
      <c r="H641" s="190"/>
      <c r="I641" s="190"/>
      <c r="J641" s="190"/>
      <c r="K641" s="190"/>
      <c r="L641" s="190"/>
      <c r="M641" s="190"/>
      <c r="N641" s="190"/>
      <c r="O641" s="190"/>
      <c r="P641" s="190"/>
      <c r="Q641" s="190"/>
      <c r="R641" s="190"/>
      <c r="S641" s="190"/>
      <c r="T641" s="190"/>
      <c r="U641" s="190"/>
      <c r="V641" s="190"/>
      <c r="W641" s="190"/>
      <c r="X641" s="190"/>
      <c r="Y641" s="190"/>
      <c r="Z641" s="190"/>
    </row>
    <row r="642" ht="15.75" customHeight="1" spans="1:26">
      <c r="A642" s="190"/>
      <c r="B642" s="190"/>
      <c r="C642" s="190"/>
      <c r="D642" s="190"/>
      <c r="E642" s="190"/>
      <c r="F642" s="190"/>
      <c r="G642" s="190"/>
      <c r="H642" s="190"/>
      <c r="I642" s="190"/>
      <c r="J642" s="190"/>
      <c r="K642" s="190"/>
      <c r="L642" s="190"/>
      <c r="M642" s="190"/>
      <c r="N642" s="190"/>
      <c r="O642" s="190"/>
      <c r="P642" s="190"/>
      <c r="Q642" s="190"/>
      <c r="R642" s="190"/>
      <c r="S642" s="190"/>
      <c r="T642" s="190"/>
      <c r="U642" s="190"/>
      <c r="V642" s="190"/>
      <c r="W642" s="190"/>
      <c r="X642" s="190"/>
      <c r="Y642" s="190"/>
      <c r="Z642" s="190"/>
    </row>
    <row r="643" ht="15.75" customHeight="1" spans="1:26">
      <c r="A643" s="190"/>
      <c r="B643" s="190"/>
      <c r="C643" s="190"/>
      <c r="D643" s="190"/>
      <c r="E643" s="190"/>
      <c r="F643" s="190"/>
      <c r="G643" s="190"/>
      <c r="H643" s="190"/>
      <c r="I643" s="190"/>
      <c r="J643" s="190"/>
      <c r="K643" s="190"/>
      <c r="L643" s="190"/>
      <c r="M643" s="190"/>
      <c r="N643" s="190"/>
      <c r="O643" s="190"/>
      <c r="P643" s="190"/>
      <c r="Q643" s="190"/>
      <c r="R643" s="190"/>
      <c r="S643" s="190"/>
      <c r="T643" s="190"/>
      <c r="U643" s="190"/>
      <c r="V643" s="190"/>
      <c r="W643" s="190"/>
      <c r="X643" s="190"/>
      <c r="Y643" s="190"/>
      <c r="Z643" s="190"/>
    </row>
    <row r="644" ht="15.75" customHeight="1" spans="1:26">
      <c r="A644" s="190"/>
      <c r="B644" s="190"/>
      <c r="C644" s="190"/>
      <c r="D644" s="190"/>
      <c r="E644" s="190"/>
      <c r="F644" s="190"/>
      <c r="G644" s="190"/>
      <c r="H644" s="190"/>
      <c r="I644" s="190"/>
      <c r="J644" s="190"/>
      <c r="K644" s="190"/>
      <c r="L644" s="190"/>
      <c r="M644" s="190"/>
      <c r="N644" s="190"/>
      <c r="O644" s="190"/>
      <c r="P644" s="190"/>
      <c r="Q644" s="190"/>
      <c r="R644" s="190"/>
      <c r="S644" s="190"/>
      <c r="T644" s="190"/>
      <c r="U644" s="190"/>
      <c r="V644" s="190"/>
      <c r="W644" s="190"/>
      <c r="X644" s="190"/>
      <c r="Y644" s="190"/>
      <c r="Z644" s="190"/>
    </row>
    <row r="645" ht="15.75" customHeight="1" spans="1:26">
      <c r="A645" s="190"/>
      <c r="B645" s="190"/>
      <c r="C645" s="190"/>
      <c r="D645" s="190"/>
      <c r="E645" s="190"/>
      <c r="F645" s="190"/>
      <c r="G645" s="190"/>
      <c r="H645" s="190"/>
      <c r="I645" s="190"/>
      <c r="J645" s="190"/>
      <c r="K645" s="190"/>
      <c r="L645" s="190"/>
      <c r="M645" s="190"/>
      <c r="N645" s="190"/>
      <c r="O645" s="190"/>
      <c r="P645" s="190"/>
      <c r="Q645" s="190"/>
      <c r="R645" s="190"/>
      <c r="S645" s="190"/>
      <c r="T645" s="190"/>
      <c r="U645" s="190"/>
      <c r="V645" s="190"/>
      <c r="W645" s="190"/>
      <c r="X645" s="190"/>
      <c r="Y645" s="190"/>
      <c r="Z645" s="190"/>
    </row>
    <row r="646" ht="15.75" customHeight="1" spans="1:26">
      <c r="A646" s="190"/>
      <c r="B646" s="190"/>
      <c r="C646" s="190"/>
      <c r="D646" s="190"/>
      <c r="E646" s="190"/>
      <c r="F646" s="190"/>
      <c r="G646" s="190"/>
      <c r="H646" s="190"/>
      <c r="I646" s="190"/>
      <c r="J646" s="190"/>
      <c r="K646" s="190"/>
      <c r="L646" s="190"/>
      <c r="M646" s="190"/>
      <c r="N646" s="190"/>
      <c r="O646" s="190"/>
      <c r="P646" s="190"/>
      <c r="Q646" s="190"/>
      <c r="R646" s="190"/>
      <c r="S646" s="190"/>
      <c r="T646" s="190"/>
      <c r="U646" s="190"/>
      <c r="V646" s="190"/>
      <c r="W646" s="190"/>
      <c r="X646" s="190"/>
      <c r="Y646" s="190"/>
      <c r="Z646" s="190"/>
    </row>
    <row r="647" ht="15.75" customHeight="1" spans="1:26">
      <c r="A647" s="190"/>
      <c r="B647" s="190"/>
      <c r="C647" s="190"/>
      <c r="D647" s="190"/>
      <c r="E647" s="190"/>
      <c r="F647" s="190"/>
      <c r="G647" s="190"/>
      <c r="H647" s="190"/>
      <c r="I647" s="190"/>
      <c r="J647" s="190"/>
      <c r="K647" s="190"/>
      <c r="L647" s="190"/>
      <c r="M647" s="190"/>
      <c r="N647" s="190"/>
      <c r="O647" s="190"/>
      <c r="P647" s="190"/>
      <c r="Q647" s="190"/>
      <c r="R647" s="190"/>
      <c r="S647" s="190"/>
      <c r="T647" s="190"/>
      <c r="U647" s="190"/>
      <c r="V647" s="190"/>
      <c r="W647" s="190"/>
      <c r="X647" s="190"/>
      <c r="Y647" s="190"/>
      <c r="Z647" s="190"/>
    </row>
    <row r="648" ht="15.75" customHeight="1" spans="1:26">
      <c r="A648" s="190"/>
      <c r="B648" s="190"/>
      <c r="C648" s="190"/>
      <c r="D648" s="190"/>
      <c r="E648" s="190"/>
      <c r="F648" s="190"/>
      <c r="G648" s="190"/>
      <c r="H648" s="190"/>
      <c r="I648" s="190"/>
      <c r="J648" s="190"/>
      <c r="K648" s="190"/>
      <c r="L648" s="190"/>
      <c r="M648" s="190"/>
      <c r="N648" s="190"/>
      <c r="O648" s="190"/>
      <c r="P648" s="190"/>
      <c r="Q648" s="190"/>
      <c r="R648" s="190"/>
      <c r="S648" s="190"/>
      <c r="T648" s="190"/>
      <c r="U648" s="190"/>
      <c r="V648" s="190"/>
      <c r="W648" s="190"/>
      <c r="X648" s="190"/>
      <c r="Y648" s="190"/>
      <c r="Z648" s="190"/>
    </row>
    <row r="649" ht="15.75" customHeight="1" spans="1:26">
      <c r="A649" s="190"/>
      <c r="B649" s="190"/>
      <c r="C649" s="190"/>
      <c r="D649" s="190"/>
      <c r="E649" s="190"/>
      <c r="F649" s="190"/>
      <c r="G649" s="190"/>
      <c r="H649" s="190"/>
      <c r="I649" s="190"/>
      <c r="J649" s="190"/>
      <c r="K649" s="190"/>
      <c r="L649" s="190"/>
      <c r="M649" s="190"/>
      <c r="N649" s="190"/>
      <c r="O649" s="190"/>
      <c r="P649" s="190"/>
      <c r="Q649" s="190"/>
      <c r="R649" s="190"/>
      <c r="S649" s="190"/>
      <c r="T649" s="190"/>
      <c r="U649" s="190"/>
      <c r="V649" s="190"/>
      <c r="W649" s="190"/>
      <c r="X649" s="190"/>
      <c r="Y649" s="190"/>
      <c r="Z649" s="190"/>
    </row>
    <row r="650" ht="15.75" customHeight="1" spans="1:26">
      <c r="A650" s="190"/>
      <c r="B650" s="190"/>
      <c r="C650" s="190"/>
      <c r="D650" s="190"/>
      <c r="E650" s="190"/>
      <c r="F650" s="190"/>
      <c r="G650" s="190"/>
      <c r="H650" s="190"/>
      <c r="I650" s="190"/>
      <c r="J650" s="190"/>
      <c r="K650" s="190"/>
      <c r="L650" s="190"/>
      <c r="M650" s="190"/>
      <c r="N650" s="190"/>
      <c r="O650" s="190"/>
      <c r="P650" s="190"/>
      <c r="Q650" s="190"/>
      <c r="R650" s="190"/>
      <c r="S650" s="190"/>
      <c r="T650" s="190"/>
      <c r="U650" s="190"/>
      <c r="V650" s="190"/>
      <c r="W650" s="190"/>
      <c r="X650" s="190"/>
      <c r="Y650" s="190"/>
      <c r="Z650" s="190"/>
    </row>
    <row r="651" ht="15.75" customHeight="1" spans="1:26">
      <c r="A651" s="190"/>
      <c r="B651" s="190"/>
      <c r="C651" s="190"/>
      <c r="D651" s="190"/>
      <c r="E651" s="190"/>
      <c r="F651" s="190"/>
      <c r="G651" s="190"/>
      <c r="H651" s="190"/>
      <c r="I651" s="190"/>
      <c r="J651" s="190"/>
      <c r="K651" s="190"/>
      <c r="L651" s="190"/>
      <c r="M651" s="190"/>
      <c r="N651" s="190"/>
      <c r="O651" s="190"/>
      <c r="P651" s="190"/>
      <c r="Q651" s="190"/>
      <c r="R651" s="190"/>
      <c r="S651" s="190"/>
      <c r="T651" s="190"/>
      <c r="U651" s="190"/>
      <c r="V651" s="190"/>
      <c r="W651" s="190"/>
      <c r="X651" s="190"/>
      <c r="Y651" s="190"/>
      <c r="Z651" s="190"/>
    </row>
    <row r="652" ht="15.75" customHeight="1" spans="1:26">
      <c r="A652" s="190"/>
      <c r="B652" s="190"/>
      <c r="C652" s="190"/>
      <c r="D652" s="190"/>
      <c r="E652" s="190"/>
      <c r="F652" s="190"/>
      <c r="G652" s="190"/>
      <c r="H652" s="190"/>
      <c r="I652" s="190"/>
      <c r="J652" s="190"/>
      <c r="K652" s="190"/>
      <c r="L652" s="190"/>
      <c r="M652" s="190"/>
      <c r="N652" s="190"/>
      <c r="O652" s="190"/>
      <c r="P652" s="190"/>
      <c r="Q652" s="190"/>
      <c r="R652" s="190"/>
      <c r="S652" s="190"/>
      <c r="T652" s="190"/>
      <c r="U652" s="190"/>
      <c r="V652" s="190"/>
      <c r="W652" s="190"/>
      <c r="X652" s="190"/>
      <c r="Y652" s="190"/>
      <c r="Z652" s="190"/>
    </row>
    <row r="653" ht="15.75" customHeight="1" spans="1:26">
      <c r="A653" s="190"/>
      <c r="B653" s="190"/>
      <c r="C653" s="190"/>
      <c r="D653" s="190"/>
      <c r="E653" s="190"/>
      <c r="F653" s="190"/>
      <c r="G653" s="190"/>
      <c r="H653" s="190"/>
      <c r="I653" s="190"/>
      <c r="J653" s="190"/>
      <c r="K653" s="190"/>
      <c r="L653" s="190"/>
      <c r="M653" s="190"/>
      <c r="N653" s="190"/>
      <c r="O653" s="190"/>
      <c r="P653" s="190"/>
      <c r="Q653" s="190"/>
      <c r="R653" s="190"/>
      <c r="S653" s="190"/>
      <c r="T653" s="190"/>
      <c r="U653" s="190"/>
      <c r="V653" s="190"/>
      <c r="W653" s="190"/>
      <c r="X653" s="190"/>
      <c r="Y653" s="190"/>
      <c r="Z653" s="190"/>
    </row>
    <row r="654" ht="15.75" customHeight="1" spans="1:26">
      <c r="A654" s="190"/>
      <c r="B654" s="190"/>
      <c r="C654" s="190"/>
      <c r="D654" s="190"/>
      <c r="E654" s="190"/>
      <c r="F654" s="190"/>
      <c r="G654" s="190"/>
      <c r="H654" s="190"/>
      <c r="I654" s="190"/>
      <c r="J654" s="190"/>
      <c r="K654" s="190"/>
      <c r="L654" s="190"/>
      <c r="M654" s="190"/>
      <c r="N654" s="190"/>
      <c r="O654" s="190"/>
      <c r="P654" s="190"/>
      <c r="Q654" s="190"/>
      <c r="R654" s="190"/>
      <c r="S654" s="190"/>
      <c r="T654" s="190"/>
      <c r="U654" s="190"/>
      <c r="V654" s="190"/>
      <c r="W654" s="190"/>
      <c r="X654" s="190"/>
      <c r="Y654" s="190"/>
      <c r="Z654" s="190"/>
    </row>
    <row r="655" ht="15.75" customHeight="1" spans="1:26">
      <c r="A655" s="190"/>
      <c r="B655" s="190"/>
      <c r="C655" s="190"/>
      <c r="D655" s="190"/>
      <c r="E655" s="190"/>
      <c r="F655" s="190"/>
      <c r="G655" s="190"/>
      <c r="H655" s="190"/>
      <c r="I655" s="190"/>
      <c r="J655" s="190"/>
      <c r="K655" s="190"/>
      <c r="L655" s="190"/>
      <c r="M655" s="190"/>
      <c r="N655" s="190"/>
      <c r="O655" s="190"/>
      <c r="P655" s="190"/>
      <c r="Q655" s="190"/>
      <c r="R655" s="190"/>
      <c r="S655" s="190"/>
      <c r="T655" s="190"/>
      <c r="U655" s="190"/>
      <c r="V655" s="190"/>
      <c r="W655" s="190"/>
      <c r="X655" s="190"/>
      <c r="Y655" s="190"/>
      <c r="Z655" s="190"/>
    </row>
    <row r="656" ht="15.75" customHeight="1" spans="1:26">
      <c r="A656" s="190"/>
      <c r="B656" s="190"/>
      <c r="C656" s="190"/>
      <c r="D656" s="190"/>
      <c r="E656" s="190"/>
      <c r="F656" s="190"/>
      <c r="G656" s="190"/>
      <c r="H656" s="190"/>
      <c r="I656" s="190"/>
      <c r="J656" s="190"/>
      <c r="K656" s="190"/>
      <c r="L656" s="190"/>
      <c r="M656" s="190"/>
      <c r="N656" s="190"/>
      <c r="O656" s="190"/>
      <c r="P656" s="190"/>
      <c r="Q656" s="190"/>
      <c r="R656" s="190"/>
      <c r="S656" s="190"/>
      <c r="T656" s="190"/>
      <c r="U656" s="190"/>
      <c r="V656" s="190"/>
      <c r="W656" s="190"/>
      <c r="X656" s="190"/>
      <c r="Y656" s="190"/>
      <c r="Z656" s="190"/>
    </row>
    <row r="657" ht="15.75" customHeight="1" spans="1:26">
      <c r="A657" s="190"/>
      <c r="B657" s="190"/>
      <c r="C657" s="190"/>
      <c r="D657" s="190"/>
      <c r="E657" s="190"/>
      <c r="F657" s="190"/>
      <c r="G657" s="190"/>
      <c r="H657" s="190"/>
      <c r="I657" s="190"/>
      <c r="J657" s="190"/>
      <c r="K657" s="190"/>
      <c r="L657" s="190"/>
      <c r="M657" s="190"/>
      <c r="N657" s="190"/>
      <c r="O657" s="190"/>
      <c r="P657" s="190"/>
      <c r="Q657" s="190"/>
      <c r="R657" s="190"/>
      <c r="S657" s="190"/>
      <c r="T657" s="190"/>
      <c r="U657" s="190"/>
      <c r="V657" s="190"/>
      <c r="W657" s="190"/>
      <c r="X657" s="190"/>
      <c r="Y657" s="190"/>
      <c r="Z657" s="190"/>
    </row>
    <row r="658" ht="15.75" customHeight="1" spans="1:26">
      <c r="A658" s="190"/>
      <c r="B658" s="190"/>
      <c r="C658" s="190"/>
      <c r="D658" s="190"/>
      <c r="E658" s="190"/>
      <c r="F658" s="190"/>
      <c r="G658" s="190"/>
      <c r="H658" s="190"/>
      <c r="I658" s="190"/>
      <c r="J658" s="190"/>
      <c r="K658" s="190"/>
      <c r="L658" s="190"/>
      <c r="M658" s="190"/>
      <c r="N658" s="190"/>
      <c r="O658" s="190"/>
      <c r="P658" s="190"/>
      <c r="Q658" s="190"/>
      <c r="R658" s="190"/>
      <c r="S658" s="190"/>
      <c r="T658" s="190"/>
      <c r="U658" s="190"/>
      <c r="V658" s="190"/>
      <c r="W658" s="190"/>
      <c r="X658" s="190"/>
      <c r="Y658" s="190"/>
      <c r="Z658" s="190"/>
    </row>
    <row r="659" ht="15.75" customHeight="1" spans="1:26">
      <c r="A659" s="190"/>
      <c r="B659" s="190"/>
      <c r="C659" s="190"/>
      <c r="D659" s="190"/>
      <c r="E659" s="190"/>
      <c r="F659" s="190"/>
      <c r="G659" s="190"/>
      <c r="H659" s="190"/>
      <c r="I659" s="190"/>
      <c r="J659" s="190"/>
      <c r="K659" s="190"/>
      <c r="L659" s="190"/>
      <c r="M659" s="190"/>
      <c r="N659" s="190"/>
      <c r="O659" s="190"/>
      <c r="P659" s="190"/>
      <c r="Q659" s="190"/>
      <c r="R659" s="190"/>
      <c r="S659" s="190"/>
      <c r="T659" s="190"/>
      <c r="U659" s="190"/>
      <c r="V659" s="190"/>
      <c r="W659" s="190"/>
      <c r="X659" s="190"/>
      <c r="Y659" s="190"/>
      <c r="Z659" s="190"/>
    </row>
    <row r="660" ht="15.75" customHeight="1" spans="1:26">
      <c r="A660" s="190"/>
      <c r="B660" s="190"/>
      <c r="C660" s="190"/>
      <c r="D660" s="190"/>
      <c r="E660" s="190"/>
      <c r="F660" s="190"/>
      <c r="G660" s="190"/>
      <c r="H660" s="190"/>
      <c r="I660" s="190"/>
      <c r="J660" s="190"/>
      <c r="K660" s="190"/>
      <c r="L660" s="190"/>
      <c r="M660" s="190"/>
      <c r="N660" s="190"/>
      <c r="O660" s="190"/>
      <c r="P660" s="190"/>
      <c r="Q660" s="190"/>
      <c r="R660" s="190"/>
      <c r="S660" s="190"/>
      <c r="T660" s="190"/>
      <c r="U660" s="190"/>
      <c r="V660" s="190"/>
      <c r="W660" s="190"/>
      <c r="X660" s="190"/>
      <c r="Y660" s="190"/>
      <c r="Z660" s="190"/>
    </row>
    <row r="661" ht="15.75" customHeight="1" spans="1:26">
      <c r="A661" s="190"/>
      <c r="B661" s="190"/>
      <c r="C661" s="190"/>
      <c r="D661" s="190"/>
      <c r="E661" s="190"/>
      <c r="F661" s="190"/>
      <c r="G661" s="190"/>
      <c r="H661" s="190"/>
      <c r="I661" s="190"/>
      <c r="J661" s="190"/>
      <c r="K661" s="190"/>
      <c r="L661" s="190"/>
      <c r="M661" s="190"/>
      <c r="N661" s="190"/>
      <c r="O661" s="190"/>
      <c r="P661" s="190"/>
      <c r="Q661" s="190"/>
      <c r="R661" s="190"/>
      <c r="S661" s="190"/>
      <c r="T661" s="190"/>
      <c r="U661" s="190"/>
      <c r="V661" s="190"/>
      <c r="W661" s="190"/>
      <c r="X661" s="190"/>
      <c r="Y661" s="190"/>
      <c r="Z661" s="190"/>
    </row>
    <row r="662" ht="15.75" customHeight="1" spans="1:26">
      <c r="A662" s="190"/>
      <c r="B662" s="190"/>
      <c r="C662" s="190"/>
      <c r="D662" s="190"/>
      <c r="E662" s="190"/>
      <c r="F662" s="190"/>
      <c r="G662" s="190"/>
      <c r="H662" s="190"/>
      <c r="I662" s="190"/>
      <c r="J662" s="190"/>
      <c r="K662" s="190"/>
      <c r="L662" s="190"/>
      <c r="M662" s="190"/>
      <c r="N662" s="190"/>
      <c r="O662" s="190"/>
      <c r="P662" s="190"/>
      <c r="Q662" s="190"/>
      <c r="R662" s="190"/>
      <c r="S662" s="190"/>
      <c r="T662" s="190"/>
      <c r="U662" s="190"/>
      <c r="V662" s="190"/>
      <c r="W662" s="190"/>
      <c r="X662" s="190"/>
      <c r="Y662" s="190"/>
      <c r="Z662" s="190"/>
    </row>
    <row r="663" ht="15.75" customHeight="1" spans="1:26">
      <c r="A663" s="190"/>
      <c r="B663" s="190"/>
      <c r="C663" s="190"/>
      <c r="D663" s="190"/>
      <c r="E663" s="190"/>
      <c r="F663" s="190"/>
      <c r="G663" s="190"/>
      <c r="H663" s="190"/>
      <c r="I663" s="190"/>
      <c r="J663" s="190"/>
      <c r="K663" s="190"/>
      <c r="L663" s="190"/>
      <c r="M663" s="190"/>
      <c r="N663" s="190"/>
      <c r="O663" s="190"/>
      <c r="P663" s="190"/>
      <c r="Q663" s="190"/>
      <c r="R663" s="190"/>
      <c r="S663" s="190"/>
      <c r="T663" s="190"/>
      <c r="U663" s="190"/>
      <c r="V663" s="190"/>
      <c r="W663" s="190"/>
      <c r="X663" s="190"/>
      <c r="Y663" s="190"/>
      <c r="Z663" s="190"/>
    </row>
    <row r="664" ht="15.75" customHeight="1" spans="1:26">
      <c r="A664" s="190"/>
      <c r="B664" s="190"/>
      <c r="C664" s="190"/>
      <c r="D664" s="190"/>
      <c r="E664" s="190"/>
      <c r="F664" s="190"/>
      <c r="G664" s="190"/>
      <c r="H664" s="190"/>
      <c r="I664" s="190"/>
      <c r="J664" s="190"/>
      <c r="K664" s="190"/>
      <c r="L664" s="190"/>
      <c r="M664" s="190"/>
      <c r="N664" s="190"/>
      <c r="O664" s="190"/>
      <c r="P664" s="190"/>
      <c r="Q664" s="190"/>
      <c r="R664" s="190"/>
      <c r="S664" s="190"/>
      <c r="T664" s="190"/>
      <c r="U664" s="190"/>
      <c r="V664" s="190"/>
      <c r="W664" s="190"/>
      <c r="X664" s="190"/>
      <c r="Y664" s="190"/>
      <c r="Z664" s="190"/>
    </row>
    <row r="665" ht="15.75" customHeight="1" spans="1:26">
      <c r="A665" s="190"/>
      <c r="B665" s="190"/>
      <c r="C665" s="190"/>
      <c r="D665" s="190"/>
      <c r="E665" s="190"/>
      <c r="F665" s="190"/>
      <c r="G665" s="190"/>
      <c r="H665" s="190"/>
      <c r="I665" s="190"/>
      <c r="J665" s="190"/>
      <c r="K665" s="190"/>
      <c r="L665" s="190"/>
      <c r="M665" s="190"/>
      <c r="N665" s="190"/>
      <c r="O665" s="190"/>
      <c r="P665" s="190"/>
      <c r="Q665" s="190"/>
      <c r="R665" s="190"/>
      <c r="S665" s="190"/>
      <c r="T665" s="190"/>
      <c r="U665" s="190"/>
      <c r="V665" s="190"/>
      <c r="W665" s="190"/>
      <c r="X665" s="190"/>
      <c r="Y665" s="190"/>
      <c r="Z665" s="190"/>
    </row>
    <row r="666" ht="15.75" customHeight="1" spans="1:26">
      <c r="A666" s="190"/>
      <c r="B666" s="190"/>
      <c r="C666" s="190"/>
      <c r="D666" s="190"/>
      <c r="E666" s="190"/>
      <c r="F666" s="190"/>
      <c r="G666" s="190"/>
      <c r="H666" s="190"/>
      <c r="I666" s="190"/>
      <c r="J666" s="190"/>
      <c r="K666" s="190"/>
      <c r="L666" s="190"/>
      <c r="M666" s="190"/>
      <c r="N666" s="190"/>
      <c r="O666" s="190"/>
      <c r="P666" s="190"/>
      <c r="Q666" s="190"/>
      <c r="R666" s="190"/>
      <c r="S666" s="190"/>
      <c r="T666" s="190"/>
      <c r="U666" s="190"/>
      <c r="V666" s="190"/>
      <c r="W666" s="190"/>
      <c r="X666" s="190"/>
      <c r="Y666" s="190"/>
      <c r="Z666" s="190"/>
    </row>
    <row r="667" ht="15.75" customHeight="1" spans="1:26">
      <c r="A667" s="190"/>
      <c r="B667" s="190"/>
      <c r="C667" s="190"/>
      <c r="D667" s="190"/>
      <c r="E667" s="190"/>
      <c r="F667" s="190"/>
      <c r="G667" s="190"/>
      <c r="H667" s="190"/>
      <c r="I667" s="190"/>
      <c r="J667" s="190"/>
      <c r="K667" s="190"/>
      <c r="L667" s="190"/>
      <c r="M667" s="190"/>
      <c r="N667" s="190"/>
      <c r="O667" s="190"/>
      <c r="P667" s="190"/>
      <c r="Q667" s="190"/>
      <c r="R667" s="190"/>
      <c r="S667" s="190"/>
      <c r="T667" s="190"/>
      <c r="U667" s="190"/>
      <c r="V667" s="190"/>
      <c r="W667" s="190"/>
      <c r="X667" s="190"/>
      <c r="Y667" s="190"/>
      <c r="Z667" s="190"/>
    </row>
    <row r="668" ht="15.75" customHeight="1" spans="1:26">
      <c r="A668" s="190"/>
      <c r="B668" s="190"/>
      <c r="C668" s="190"/>
      <c r="D668" s="190"/>
      <c r="E668" s="190"/>
      <c r="F668" s="190"/>
      <c r="G668" s="190"/>
      <c r="H668" s="190"/>
      <c r="I668" s="190"/>
      <c r="J668" s="190"/>
      <c r="K668" s="190"/>
      <c r="L668" s="190"/>
      <c r="M668" s="190"/>
      <c r="N668" s="190"/>
      <c r="O668" s="190"/>
      <c r="P668" s="190"/>
      <c r="Q668" s="190"/>
      <c r="R668" s="190"/>
      <c r="S668" s="190"/>
      <c r="T668" s="190"/>
      <c r="U668" s="190"/>
      <c r="V668" s="190"/>
      <c r="W668" s="190"/>
      <c r="X668" s="190"/>
      <c r="Y668" s="190"/>
      <c r="Z668" s="190"/>
    </row>
    <row r="669" ht="15.75" customHeight="1" spans="1:26">
      <c r="A669" s="190"/>
      <c r="B669" s="190"/>
      <c r="C669" s="190"/>
      <c r="D669" s="190"/>
      <c r="E669" s="190"/>
      <c r="F669" s="190"/>
      <c r="G669" s="190"/>
      <c r="H669" s="190"/>
      <c r="I669" s="190"/>
      <c r="J669" s="190"/>
      <c r="K669" s="190"/>
      <c r="L669" s="190"/>
      <c r="M669" s="190"/>
      <c r="N669" s="190"/>
      <c r="O669" s="190"/>
      <c r="P669" s="190"/>
      <c r="Q669" s="190"/>
      <c r="R669" s="190"/>
      <c r="S669" s="190"/>
      <c r="T669" s="190"/>
      <c r="U669" s="190"/>
      <c r="V669" s="190"/>
      <c r="W669" s="190"/>
      <c r="X669" s="190"/>
      <c r="Y669" s="190"/>
      <c r="Z669" s="190"/>
    </row>
    <row r="670" ht="15.75" customHeight="1" spans="1:26">
      <c r="A670" s="190"/>
      <c r="B670" s="190"/>
      <c r="C670" s="190"/>
      <c r="D670" s="190"/>
      <c r="E670" s="190"/>
      <c r="F670" s="190"/>
      <c r="G670" s="190"/>
      <c r="H670" s="190"/>
      <c r="I670" s="190"/>
      <c r="J670" s="190"/>
      <c r="K670" s="190"/>
      <c r="L670" s="190"/>
      <c r="M670" s="190"/>
      <c r="N670" s="190"/>
      <c r="O670" s="190"/>
      <c r="P670" s="190"/>
      <c r="Q670" s="190"/>
      <c r="R670" s="190"/>
      <c r="S670" s="190"/>
      <c r="T670" s="190"/>
      <c r="U670" s="190"/>
      <c r="V670" s="190"/>
      <c r="W670" s="190"/>
      <c r="X670" s="190"/>
      <c r="Y670" s="190"/>
      <c r="Z670" s="190"/>
    </row>
    <row r="671" ht="15.75" customHeight="1" spans="1:26">
      <c r="A671" s="190"/>
      <c r="B671" s="190"/>
      <c r="C671" s="190"/>
      <c r="D671" s="190"/>
      <c r="E671" s="190"/>
      <c r="F671" s="190"/>
      <c r="G671" s="190"/>
      <c r="H671" s="190"/>
      <c r="I671" s="190"/>
      <c r="J671" s="190"/>
      <c r="K671" s="190"/>
      <c r="L671" s="190"/>
      <c r="M671" s="190"/>
      <c r="N671" s="190"/>
      <c r="O671" s="190"/>
      <c r="P671" s="190"/>
      <c r="Q671" s="190"/>
      <c r="R671" s="190"/>
      <c r="S671" s="190"/>
      <c r="T671" s="190"/>
      <c r="U671" s="190"/>
      <c r="V671" s="190"/>
      <c r="W671" s="190"/>
      <c r="X671" s="190"/>
      <c r="Y671" s="190"/>
      <c r="Z671" s="190"/>
    </row>
    <row r="672" ht="15.75" customHeight="1" spans="1:26">
      <c r="A672" s="190"/>
      <c r="B672" s="190"/>
      <c r="C672" s="190"/>
      <c r="D672" s="190"/>
      <c r="E672" s="190"/>
      <c r="F672" s="190"/>
      <c r="G672" s="190"/>
      <c r="H672" s="190"/>
      <c r="I672" s="190"/>
      <c r="J672" s="190"/>
      <c r="K672" s="190"/>
      <c r="L672" s="190"/>
      <c r="M672" s="190"/>
      <c r="N672" s="190"/>
      <c r="O672" s="190"/>
      <c r="P672" s="190"/>
      <c r="Q672" s="190"/>
      <c r="R672" s="190"/>
      <c r="S672" s="190"/>
      <c r="T672" s="190"/>
      <c r="U672" s="190"/>
      <c r="V672" s="190"/>
      <c r="W672" s="190"/>
      <c r="X672" s="190"/>
      <c r="Y672" s="190"/>
      <c r="Z672" s="190"/>
    </row>
    <row r="673" ht="15.75" customHeight="1" spans="1:26">
      <c r="A673" s="190"/>
      <c r="B673" s="190"/>
      <c r="C673" s="190"/>
      <c r="D673" s="190"/>
      <c r="E673" s="190"/>
      <c r="F673" s="190"/>
      <c r="G673" s="190"/>
      <c r="H673" s="190"/>
      <c r="I673" s="190"/>
      <c r="J673" s="190"/>
      <c r="K673" s="190"/>
      <c r="L673" s="190"/>
      <c r="M673" s="190"/>
      <c r="N673" s="190"/>
      <c r="O673" s="190"/>
      <c r="P673" s="190"/>
      <c r="Q673" s="190"/>
      <c r="R673" s="190"/>
      <c r="S673" s="190"/>
      <c r="T673" s="190"/>
      <c r="U673" s="190"/>
      <c r="V673" s="190"/>
      <c r="W673" s="190"/>
      <c r="X673" s="190"/>
      <c r="Y673" s="190"/>
      <c r="Z673" s="190"/>
    </row>
    <row r="674" ht="15.75" customHeight="1" spans="1:26">
      <c r="A674" s="190"/>
      <c r="B674" s="190"/>
      <c r="C674" s="190"/>
      <c r="D674" s="190"/>
      <c r="E674" s="190"/>
      <c r="F674" s="190"/>
      <c r="G674" s="190"/>
      <c r="H674" s="190"/>
      <c r="I674" s="190"/>
      <c r="J674" s="190"/>
      <c r="K674" s="190"/>
      <c r="L674" s="190"/>
      <c r="M674" s="190"/>
      <c r="N674" s="190"/>
      <c r="O674" s="190"/>
      <c r="P674" s="190"/>
      <c r="Q674" s="190"/>
      <c r="R674" s="190"/>
      <c r="S674" s="190"/>
      <c r="T674" s="190"/>
      <c r="U674" s="190"/>
      <c r="V674" s="190"/>
      <c r="W674" s="190"/>
      <c r="X674" s="190"/>
      <c r="Y674" s="190"/>
      <c r="Z674" s="190"/>
    </row>
    <row r="675" ht="15.75" customHeight="1" spans="1:26">
      <c r="A675" s="190"/>
      <c r="B675" s="190"/>
      <c r="C675" s="190"/>
      <c r="D675" s="190"/>
      <c r="E675" s="190"/>
      <c r="F675" s="190"/>
      <c r="G675" s="190"/>
      <c r="H675" s="190"/>
      <c r="I675" s="190"/>
      <c r="J675" s="190"/>
      <c r="K675" s="190"/>
      <c r="L675" s="190"/>
      <c r="M675" s="190"/>
      <c r="N675" s="190"/>
      <c r="O675" s="190"/>
      <c r="P675" s="190"/>
      <c r="Q675" s="190"/>
      <c r="R675" s="190"/>
      <c r="S675" s="190"/>
      <c r="T675" s="190"/>
      <c r="U675" s="190"/>
      <c r="V675" s="190"/>
      <c r="W675" s="190"/>
      <c r="X675" s="190"/>
      <c r="Y675" s="190"/>
      <c r="Z675" s="190"/>
    </row>
    <row r="676" ht="15.75" customHeight="1" spans="1:26">
      <c r="A676" s="190"/>
      <c r="B676" s="190"/>
      <c r="C676" s="190"/>
      <c r="D676" s="190"/>
      <c r="E676" s="190"/>
      <c r="F676" s="190"/>
      <c r="G676" s="190"/>
      <c r="H676" s="190"/>
      <c r="I676" s="190"/>
      <c r="J676" s="190"/>
      <c r="K676" s="190"/>
      <c r="L676" s="190"/>
      <c r="M676" s="190"/>
      <c r="N676" s="190"/>
      <c r="O676" s="190"/>
      <c r="P676" s="190"/>
      <c r="Q676" s="190"/>
      <c r="R676" s="190"/>
      <c r="S676" s="190"/>
      <c r="T676" s="190"/>
      <c r="U676" s="190"/>
      <c r="V676" s="190"/>
      <c r="W676" s="190"/>
      <c r="X676" s="190"/>
      <c r="Y676" s="190"/>
      <c r="Z676" s="190"/>
    </row>
    <row r="677" ht="15.75" customHeight="1" spans="1:26">
      <c r="A677" s="190"/>
      <c r="B677" s="190"/>
      <c r="C677" s="190"/>
      <c r="D677" s="190"/>
      <c r="E677" s="190"/>
      <c r="F677" s="190"/>
      <c r="G677" s="190"/>
      <c r="H677" s="190"/>
      <c r="I677" s="190"/>
      <c r="J677" s="190"/>
      <c r="K677" s="190"/>
      <c r="L677" s="190"/>
      <c r="M677" s="190"/>
      <c r="N677" s="190"/>
      <c r="O677" s="190"/>
      <c r="P677" s="190"/>
      <c r="Q677" s="190"/>
      <c r="R677" s="190"/>
      <c r="S677" s="190"/>
      <c r="T677" s="190"/>
      <c r="U677" s="190"/>
      <c r="V677" s="190"/>
      <c r="W677" s="190"/>
      <c r="X677" s="190"/>
      <c r="Y677" s="190"/>
      <c r="Z677" s="190"/>
    </row>
    <row r="678" ht="15.75" customHeight="1" spans="1:26">
      <c r="A678" s="190"/>
      <c r="B678" s="190"/>
      <c r="C678" s="190"/>
      <c r="D678" s="190"/>
      <c r="E678" s="190"/>
      <c r="F678" s="190"/>
      <c r="G678" s="190"/>
      <c r="H678" s="190"/>
      <c r="I678" s="190"/>
      <c r="J678" s="190"/>
      <c r="K678" s="190"/>
      <c r="L678" s="190"/>
      <c r="M678" s="190"/>
      <c r="N678" s="190"/>
      <c r="O678" s="190"/>
      <c r="P678" s="190"/>
      <c r="Q678" s="190"/>
      <c r="R678" s="190"/>
      <c r="S678" s="190"/>
      <c r="T678" s="190"/>
      <c r="U678" s="190"/>
      <c r="V678" s="190"/>
      <c r="W678" s="190"/>
      <c r="X678" s="190"/>
      <c r="Y678" s="190"/>
      <c r="Z678" s="190"/>
    </row>
    <row r="679" ht="15.75" customHeight="1" spans="1:26">
      <c r="A679" s="190"/>
      <c r="B679" s="190"/>
      <c r="C679" s="190"/>
      <c r="D679" s="190"/>
      <c r="E679" s="190"/>
      <c r="F679" s="190"/>
      <c r="G679" s="190"/>
      <c r="H679" s="190"/>
      <c r="I679" s="190"/>
      <c r="J679" s="190"/>
      <c r="K679" s="190"/>
      <c r="L679" s="190"/>
      <c r="M679" s="190"/>
      <c r="N679" s="190"/>
      <c r="O679" s="190"/>
      <c r="P679" s="190"/>
      <c r="Q679" s="190"/>
      <c r="R679" s="190"/>
      <c r="S679" s="190"/>
      <c r="T679" s="190"/>
      <c r="U679" s="190"/>
      <c r="V679" s="190"/>
      <c r="W679" s="190"/>
      <c r="X679" s="190"/>
      <c r="Y679" s="190"/>
      <c r="Z679" s="190"/>
    </row>
    <row r="680" ht="15.75" customHeight="1" spans="1:26">
      <c r="A680" s="190"/>
      <c r="B680" s="190"/>
      <c r="C680" s="190"/>
      <c r="D680" s="190"/>
      <c r="E680" s="190"/>
      <c r="F680" s="190"/>
      <c r="G680" s="190"/>
      <c r="H680" s="190"/>
      <c r="I680" s="190"/>
      <c r="J680" s="190"/>
      <c r="K680" s="190"/>
      <c r="L680" s="190"/>
      <c r="M680" s="190"/>
      <c r="N680" s="190"/>
      <c r="O680" s="190"/>
      <c r="P680" s="190"/>
      <c r="Q680" s="190"/>
      <c r="R680" s="190"/>
      <c r="S680" s="190"/>
      <c r="T680" s="190"/>
      <c r="U680" s="190"/>
      <c r="V680" s="190"/>
      <c r="W680" s="190"/>
      <c r="X680" s="190"/>
      <c r="Y680" s="190"/>
      <c r="Z680" s="190"/>
    </row>
    <row r="681" ht="15.75" customHeight="1" spans="1:26">
      <c r="A681" s="190"/>
      <c r="B681" s="190"/>
      <c r="C681" s="190"/>
      <c r="D681" s="190"/>
      <c r="E681" s="190"/>
      <c r="F681" s="190"/>
      <c r="G681" s="190"/>
      <c r="H681" s="190"/>
      <c r="I681" s="190"/>
      <c r="J681" s="190"/>
      <c r="K681" s="190"/>
      <c r="L681" s="190"/>
      <c r="M681" s="190"/>
      <c r="N681" s="190"/>
      <c r="O681" s="190"/>
      <c r="P681" s="190"/>
      <c r="Q681" s="190"/>
      <c r="R681" s="190"/>
      <c r="S681" s="190"/>
      <c r="T681" s="190"/>
      <c r="U681" s="190"/>
      <c r="V681" s="190"/>
      <c r="W681" s="190"/>
      <c r="X681" s="190"/>
      <c r="Y681" s="190"/>
      <c r="Z681" s="190"/>
    </row>
    <row r="682" ht="15.75" customHeight="1" spans="1:26">
      <c r="A682" s="190"/>
      <c r="B682" s="190"/>
      <c r="C682" s="190"/>
      <c r="D682" s="190"/>
      <c r="E682" s="190"/>
      <c r="F682" s="190"/>
      <c r="G682" s="190"/>
      <c r="H682" s="190"/>
      <c r="I682" s="190"/>
      <c r="J682" s="190"/>
      <c r="K682" s="190"/>
      <c r="L682" s="190"/>
      <c r="M682" s="190"/>
      <c r="N682" s="190"/>
      <c r="O682" s="190"/>
      <c r="P682" s="190"/>
      <c r="Q682" s="190"/>
      <c r="R682" s="190"/>
      <c r="S682" s="190"/>
      <c r="T682" s="190"/>
      <c r="U682" s="190"/>
      <c r="V682" s="190"/>
      <c r="W682" s="190"/>
      <c r="X682" s="190"/>
      <c r="Y682" s="190"/>
      <c r="Z682" s="190"/>
    </row>
    <row r="683" ht="15.75" customHeight="1" spans="1:26">
      <c r="A683" s="190"/>
      <c r="B683" s="190"/>
      <c r="C683" s="190"/>
      <c r="D683" s="190"/>
      <c r="E683" s="190"/>
      <c r="F683" s="190"/>
      <c r="G683" s="190"/>
      <c r="H683" s="190"/>
      <c r="I683" s="190"/>
      <c r="J683" s="190"/>
      <c r="K683" s="190"/>
      <c r="L683" s="190"/>
      <c r="M683" s="190"/>
      <c r="N683" s="190"/>
      <c r="O683" s="190"/>
      <c r="P683" s="190"/>
      <c r="Q683" s="190"/>
      <c r="R683" s="190"/>
      <c r="S683" s="190"/>
      <c r="T683" s="190"/>
      <c r="U683" s="190"/>
      <c r="V683" s="190"/>
      <c r="W683" s="190"/>
      <c r="X683" s="190"/>
      <c r="Y683" s="190"/>
      <c r="Z683" s="190"/>
    </row>
    <row r="684" ht="15.75" customHeight="1" spans="1:26">
      <c r="A684" s="190"/>
      <c r="B684" s="190"/>
      <c r="C684" s="190"/>
      <c r="D684" s="190"/>
      <c r="E684" s="190"/>
      <c r="F684" s="190"/>
      <c r="G684" s="190"/>
      <c r="H684" s="190"/>
      <c r="I684" s="190"/>
      <c r="J684" s="190"/>
      <c r="K684" s="190"/>
      <c r="L684" s="190"/>
      <c r="M684" s="190"/>
      <c r="N684" s="190"/>
      <c r="O684" s="190"/>
      <c r="P684" s="190"/>
      <c r="Q684" s="190"/>
      <c r="R684" s="190"/>
      <c r="S684" s="190"/>
      <c r="T684" s="190"/>
      <c r="U684" s="190"/>
      <c r="V684" s="190"/>
      <c r="W684" s="190"/>
      <c r="X684" s="190"/>
      <c r="Y684" s="190"/>
      <c r="Z684" s="190"/>
    </row>
    <row r="685" ht="15.75" customHeight="1" spans="1:26">
      <c r="A685" s="190"/>
      <c r="B685" s="190"/>
      <c r="C685" s="190"/>
      <c r="D685" s="190"/>
      <c r="E685" s="190"/>
      <c r="F685" s="190"/>
      <c r="G685" s="190"/>
      <c r="H685" s="190"/>
      <c r="I685" s="190"/>
      <c r="J685" s="190"/>
      <c r="K685" s="190"/>
      <c r="L685" s="190"/>
      <c r="M685" s="190"/>
      <c r="N685" s="190"/>
      <c r="O685" s="190"/>
      <c r="P685" s="190"/>
      <c r="Q685" s="190"/>
      <c r="R685" s="190"/>
      <c r="S685" s="190"/>
      <c r="T685" s="190"/>
      <c r="U685" s="190"/>
      <c r="V685" s="190"/>
      <c r="W685" s="190"/>
      <c r="X685" s="190"/>
      <c r="Y685" s="190"/>
      <c r="Z685" s="190"/>
    </row>
    <row r="686" ht="15.75" customHeight="1" spans="1:26">
      <c r="A686" s="190"/>
      <c r="B686" s="190"/>
      <c r="C686" s="190"/>
      <c r="D686" s="190"/>
      <c r="E686" s="190"/>
      <c r="F686" s="190"/>
      <c r="G686" s="190"/>
      <c r="H686" s="190"/>
      <c r="I686" s="190"/>
      <c r="J686" s="190"/>
      <c r="K686" s="190"/>
      <c r="L686" s="190"/>
      <c r="M686" s="190"/>
      <c r="N686" s="190"/>
      <c r="O686" s="190"/>
      <c r="P686" s="190"/>
      <c r="Q686" s="190"/>
      <c r="R686" s="190"/>
      <c r="S686" s="190"/>
      <c r="T686" s="190"/>
      <c r="U686" s="190"/>
      <c r="V686" s="190"/>
      <c r="W686" s="190"/>
      <c r="X686" s="190"/>
      <c r="Y686" s="190"/>
      <c r="Z686" s="190"/>
    </row>
    <row r="687" ht="15.75" customHeight="1" spans="1:26">
      <c r="A687" s="190"/>
      <c r="B687" s="190"/>
      <c r="C687" s="190"/>
      <c r="D687" s="190"/>
      <c r="E687" s="190"/>
      <c r="F687" s="190"/>
      <c r="G687" s="190"/>
      <c r="H687" s="190"/>
      <c r="I687" s="190"/>
      <c r="J687" s="190"/>
      <c r="K687" s="190"/>
      <c r="L687" s="190"/>
      <c r="M687" s="190"/>
      <c r="N687" s="190"/>
      <c r="O687" s="190"/>
      <c r="P687" s="190"/>
      <c r="Q687" s="190"/>
      <c r="R687" s="190"/>
      <c r="S687" s="190"/>
      <c r="T687" s="190"/>
      <c r="U687" s="190"/>
      <c r="V687" s="190"/>
      <c r="W687" s="190"/>
      <c r="X687" s="190"/>
      <c r="Y687" s="190"/>
      <c r="Z687" s="190"/>
    </row>
    <row r="688" ht="15.75" customHeight="1" spans="1:26">
      <c r="A688" s="190"/>
      <c r="B688" s="190"/>
      <c r="C688" s="190"/>
      <c r="D688" s="190"/>
      <c r="E688" s="190"/>
      <c r="F688" s="190"/>
      <c r="G688" s="190"/>
      <c r="H688" s="190"/>
      <c r="I688" s="190"/>
      <c r="J688" s="190"/>
      <c r="K688" s="190"/>
      <c r="L688" s="190"/>
      <c r="M688" s="190"/>
      <c r="N688" s="190"/>
      <c r="O688" s="190"/>
      <c r="P688" s="190"/>
      <c r="Q688" s="190"/>
      <c r="R688" s="190"/>
      <c r="S688" s="190"/>
      <c r="T688" s="190"/>
      <c r="U688" s="190"/>
      <c r="V688" s="190"/>
      <c r="W688" s="190"/>
      <c r="X688" s="190"/>
      <c r="Y688" s="190"/>
      <c r="Z688" s="190"/>
    </row>
    <row r="689" ht="15.75" customHeight="1" spans="1:26">
      <c r="A689" s="190"/>
      <c r="B689" s="190"/>
      <c r="C689" s="190"/>
      <c r="D689" s="190"/>
      <c r="E689" s="190"/>
      <c r="F689" s="190"/>
      <c r="G689" s="190"/>
      <c r="H689" s="190"/>
      <c r="I689" s="190"/>
      <c r="J689" s="190"/>
      <c r="K689" s="190"/>
      <c r="L689" s="190"/>
      <c r="M689" s="190"/>
      <c r="N689" s="190"/>
      <c r="O689" s="190"/>
      <c r="P689" s="190"/>
      <c r="Q689" s="190"/>
      <c r="R689" s="190"/>
      <c r="S689" s="190"/>
      <c r="T689" s="190"/>
      <c r="U689" s="190"/>
      <c r="V689" s="190"/>
      <c r="W689" s="190"/>
      <c r="X689" s="190"/>
      <c r="Y689" s="190"/>
      <c r="Z689" s="190"/>
    </row>
    <row r="690" ht="15.75" customHeight="1" spans="1:26">
      <c r="A690" s="190"/>
      <c r="B690" s="190"/>
      <c r="C690" s="190"/>
      <c r="D690" s="190"/>
      <c r="E690" s="190"/>
      <c r="F690" s="190"/>
      <c r="G690" s="190"/>
      <c r="H690" s="190"/>
      <c r="I690" s="190"/>
      <c r="J690" s="190"/>
      <c r="K690" s="190"/>
      <c r="L690" s="190"/>
      <c r="M690" s="190"/>
      <c r="N690" s="190"/>
      <c r="O690" s="190"/>
      <c r="P690" s="190"/>
      <c r="Q690" s="190"/>
      <c r="R690" s="190"/>
      <c r="S690" s="190"/>
      <c r="T690" s="190"/>
      <c r="U690" s="190"/>
      <c r="V690" s="190"/>
      <c r="W690" s="190"/>
      <c r="X690" s="190"/>
      <c r="Y690" s="190"/>
      <c r="Z690" s="190"/>
    </row>
    <row r="691" ht="15.75" customHeight="1" spans="1:26">
      <c r="A691" s="190"/>
      <c r="B691" s="190"/>
      <c r="C691" s="190"/>
      <c r="D691" s="190"/>
      <c r="E691" s="190"/>
      <c r="F691" s="190"/>
      <c r="G691" s="190"/>
      <c r="H691" s="190"/>
      <c r="I691" s="190"/>
      <c r="J691" s="190"/>
      <c r="K691" s="190"/>
      <c r="L691" s="190"/>
      <c r="M691" s="190"/>
      <c r="N691" s="190"/>
      <c r="O691" s="190"/>
      <c r="P691" s="190"/>
      <c r="Q691" s="190"/>
      <c r="R691" s="190"/>
      <c r="S691" s="190"/>
      <c r="T691" s="190"/>
      <c r="U691" s="190"/>
      <c r="V691" s="190"/>
      <c r="W691" s="190"/>
      <c r="X691" s="190"/>
      <c r="Y691" s="190"/>
      <c r="Z691" s="190"/>
    </row>
    <row r="692" ht="15.75" customHeight="1" spans="1:26">
      <c r="A692" s="190"/>
      <c r="B692" s="190"/>
      <c r="C692" s="190"/>
      <c r="D692" s="190"/>
      <c r="E692" s="190"/>
      <c r="F692" s="190"/>
      <c r="G692" s="190"/>
      <c r="H692" s="190"/>
      <c r="I692" s="190"/>
      <c r="J692" s="190"/>
      <c r="K692" s="190"/>
      <c r="L692" s="190"/>
      <c r="M692" s="190"/>
      <c r="N692" s="190"/>
      <c r="O692" s="190"/>
      <c r="P692" s="190"/>
      <c r="Q692" s="190"/>
      <c r="R692" s="190"/>
      <c r="S692" s="190"/>
      <c r="T692" s="190"/>
      <c r="U692" s="190"/>
      <c r="V692" s="190"/>
      <c r="W692" s="190"/>
      <c r="X692" s="190"/>
      <c r="Y692" s="190"/>
      <c r="Z692" s="190"/>
    </row>
    <row r="693" ht="15.75" customHeight="1" spans="1:26">
      <c r="A693" s="190"/>
      <c r="B693" s="190"/>
      <c r="C693" s="190"/>
      <c r="D693" s="190"/>
      <c r="E693" s="190"/>
      <c r="F693" s="190"/>
      <c r="G693" s="190"/>
      <c r="H693" s="190"/>
      <c r="I693" s="190"/>
      <c r="J693" s="190"/>
      <c r="K693" s="190"/>
      <c r="L693" s="190"/>
      <c r="M693" s="190"/>
      <c r="N693" s="190"/>
      <c r="O693" s="190"/>
      <c r="P693" s="190"/>
      <c r="Q693" s="190"/>
      <c r="R693" s="190"/>
      <c r="S693" s="190"/>
      <c r="T693" s="190"/>
      <c r="U693" s="190"/>
      <c r="V693" s="190"/>
      <c r="W693" s="190"/>
      <c r="X693" s="190"/>
      <c r="Y693" s="190"/>
      <c r="Z693" s="190"/>
    </row>
    <row r="694" ht="15.75" customHeight="1" spans="1:26">
      <c r="A694" s="190"/>
      <c r="B694" s="190"/>
      <c r="C694" s="190"/>
      <c r="D694" s="190"/>
      <c r="E694" s="190"/>
      <c r="F694" s="190"/>
      <c r="G694" s="190"/>
      <c r="H694" s="190"/>
      <c r="I694" s="190"/>
      <c r="J694" s="190"/>
      <c r="K694" s="190"/>
      <c r="L694" s="190"/>
      <c r="M694" s="190"/>
      <c r="N694" s="190"/>
      <c r="O694" s="190"/>
      <c r="P694" s="190"/>
      <c r="Q694" s="190"/>
      <c r="R694" s="190"/>
      <c r="S694" s="190"/>
      <c r="T694" s="190"/>
      <c r="U694" s="190"/>
      <c r="V694" s="190"/>
      <c r="W694" s="190"/>
      <c r="X694" s="190"/>
      <c r="Y694" s="190"/>
      <c r="Z694" s="190"/>
    </row>
    <row r="695" ht="15.75" customHeight="1" spans="1:26">
      <c r="A695" s="190"/>
      <c r="B695" s="190"/>
      <c r="C695" s="190"/>
      <c r="D695" s="190"/>
      <c r="E695" s="190"/>
      <c r="F695" s="190"/>
      <c r="G695" s="190"/>
      <c r="H695" s="190"/>
      <c r="I695" s="190"/>
      <c r="J695" s="190"/>
      <c r="K695" s="190"/>
      <c r="L695" s="190"/>
      <c r="M695" s="190"/>
      <c r="N695" s="190"/>
      <c r="O695" s="190"/>
      <c r="P695" s="190"/>
      <c r="Q695" s="190"/>
      <c r="R695" s="190"/>
      <c r="S695" s="190"/>
      <c r="T695" s="190"/>
      <c r="U695" s="190"/>
      <c r="V695" s="190"/>
      <c r="W695" s="190"/>
      <c r="X695" s="190"/>
      <c r="Y695" s="190"/>
      <c r="Z695" s="190"/>
    </row>
    <row r="696" ht="15.75" customHeight="1" spans="1:26">
      <c r="A696" s="190"/>
      <c r="B696" s="190"/>
      <c r="C696" s="190"/>
      <c r="D696" s="190"/>
      <c r="E696" s="190"/>
      <c r="F696" s="190"/>
      <c r="G696" s="190"/>
      <c r="H696" s="190"/>
      <c r="I696" s="190"/>
      <c r="J696" s="190"/>
      <c r="K696" s="190"/>
      <c r="L696" s="190"/>
      <c r="M696" s="190"/>
      <c r="N696" s="190"/>
      <c r="O696" s="190"/>
      <c r="P696" s="190"/>
      <c r="Q696" s="190"/>
      <c r="R696" s="190"/>
      <c r="S696" s="190"/>
      <c r="T696" s="190"/>
      <c r="U696" s="190"/>
      <c r="V696" s="190"/>
      <c r="W696" s="190"/>
      <c r="X696" s="190"/>
      <c r="Y696" s="190"/>
      <c r="Z696" s="190"/>
    </row>
    <row r="697" ht="15.75" customHeight="1" spans="1:26">
      <c r="A697" s="190"/>
      <c r="B697" s="190"/>
      <c r="C697" s="190"/>
      <c r="D697" s="190"/>
      <c r="E697" s="190"/>
      <c r="F697" s="190"/>
      <c r="G697" s="190"/>
      <c r="H697" s="190"/>
      <c r="I697" s="190"/>
      <c r="J697" s="190"/>
      <c r="K697" s="190"/>
      <c r="L697" s="190"/>
      <c r="M697" s="190"/>
      <c r="N697" s="190"/>
      <c r="O697" s="190"/>
      <c r="P697" s="190"/>
      <c r="Q697" s="190"/>
      <c r="R697" s="190"/>
      <c r="S697" s="190"/>
      <c r="T697" s="190"/>
      <c r="U697" s="190"/>
      <c r="V697" s="190"/>
      <c r="W697" s="190"/>
      <c r="X697" s="190"/>
      <c r="Y697" s="190"/>
      <c r="Z697" s="190"/>
    </row>
    <row r="698" ht="15.75" customHeight="1" spans="1:26">
      <c r="A698" s="190"/>
      <c r="B698" s="190"/>
      <c r="C698" s="190"/>
      <c r="D698" s="190"/>
      <c r="E698" s="190"/>
      <c r="F698" s="190"/>
      <c r="G698" s="190"/>
      <c r="H698" s="190"/>
      <c r="I698" s="190"/>
      <c r="J698" s="190"/>
      <c r="K698" s="190"/>
      <c r="L698" s="190"/>
      <c r="M698" s="190"/>
      <c r="N698" s="190"/>
      <c r="O698" s="190"/>
      <c r="P698" s="190"/>
      <c r="Q698" s="190"/>
      <c r="R698" s="190"/>
      <c r="S698" s="190"/>
      <c r="T698" s="190"/>
      <c r="U698" s="190"/>
      <c r="V698" s="190"/>
      <c r="W698" s="190"/>
      <c r="X698" s="190"/>
      <c r="Y698" s="190"/>
      <c r="Z698" s="190"/>
    </row>
    <row r="699" ht="15.75" customHeight="1" spans="1:26">
      <c r="A699" s="190"/>
      <c r="B699" s="190"/>
      <c r="C699" s="190"/>
      <c r="D699" s="190"/>
      <c r="E699" s="190"/>
      <c r="F699" s="190"/>
      <c r="G699" s="190"/>
      <c r="H699" s="190"/>
      <c r="I699" s="190"/>
      <c r="J699" s="190"/>
      <c r="K699" s="190"/>
      <c r="L699" s="190"/>
      <c r="M699" s="190"/>
      <c r="N699" s="190"/>
      <c r="O699" s="190"/>
      <c r="P699" s="190"/>
      <c r="Q699" s="190"/>
      <c r="R699" s="190"/>
      <c r="S699" s="190"/>
      <c r="T699" s="190"/>
      <c r="U699" s="190"/>
      <c r="V699" s="190"/>
      <c r="W699" s="190"/>
      <c r="X699" s="190"/>
      <c r="Y699" s="190"/>
      <c r="Z699" s="190"/>
    </row>
    <row r="700" ht="15.75" customHeight="1" spans="1:26">
      <c r="A700" s="190"/>
      <c r="B700" s="190"/>
      <c r="C700" s="190"/>
      <c r="D700" s="190"/>
      <c r="E700" s="190"/>
      <c r="F700" s="190"/>
      <c r="G700" s="190"/>
      <c r="H700" s="190"/>
      <c r="I700" s="190"/>
      <c r="J700" s="190"/>
      <c r="K700" s="190"/>
      <c r="L700" s="190"/>
      <c r="M700" s="190"/>
      <c r="N700" s="190"/>
      <c r="O700" s="190"/>
      <c r="P700" s="190"/>
      <c r="Q700" s="190"/>
      <c r="R700" s="190"/>
      <c r="S700" s="190"/>
      <c r="T700" s="190"/>
      <c r="U700" s="190"/>
      <c r="V700" s="190"/>
      <c r="W700" s="190"/>
      <c r="X700" s="190"/>
      <c r="Y700" s="190"/>
      <c r="Z700" s="190"/>
    </row>
    <row r="701" ht="15.75" customHeight="1" spans="1:26">
      <c r="A701" s="190"/>
      <c r="B701" s="190"/>
      <c r="C701" s="190"/>
      <c r="D701" s="190"/>
      <c r="E701" s="190"/>
      <c r="F701" s="190"/>
      <c r="G701" s="190"/>
      <c r="H701" s="190"/>
      <c r="I701" s="190"/>
      <c r="J701" s="190"/>
      <c r="K701" s="190"/>
      <c r="L701" s="190"/>
      <c r="M701" s="190"/>
      <c r="N701" s="190"/>
      <c r="O701" s="190"/>
      <c r="P701" s="190"/>
      <c r="Q701" s="190"/>
      <c r="R701" s="190"/>
      <c r="S701" s="190"/>
      <c r="T701" s="190"/>
      <c r="U701" s="190"/>
      <c r="V701" s="190"/>
      <c r="W701" s="190"/>
      <c r="X701" s="190"/>
      <c r="Y701" s="190"/>
      <c r="Z701" s="190"/>
    </row>
    <row r="702" ht="15.75" customHeight="1" spans="1:26">
      <c r="A702" s="190"/>
      <c r="B702" s="190"/>
      <c r="C702" s="190"/>
      <c r="D702" s="190"/>
      <c r="E702" s="190"/>
      <c r="F702" s="190"/>
      <c r="G702" s="190"/>
      <c r="H702" s="190"/>
      <c r="I702" s="190"/>
      <c r="J702" s="190"/>
      <c r="K702" s="190"/>
      <c r="L702" s="190"/>
      <c r="M702" s="190"/>
      <c r="N702" s="190"/>
      <c r="O702" s="190"/>
      <c r="P702" s="190"/>
      <c r="Q702" s="190"/>
      <c r="R702" s="190"/>
      <c r="S702" s="190"/>
      <c r="T702" s="190"/>
      <c r="U702" s="190"/>
      <c r="V702" s="190"/>
      <c r="W702" s="190"/>
      <c r="X702" s="190"/>
      <c r="Y702" s="190"/>
      <c r="Z702" s="190"/>
    </row>
    <row r="703" ht="15.75" customHeight="1" spans="1:26">
      <c r="A703" s="190"/>
      <c r="B703" s="190"/>
      <c r="C703" s="190"/>
      <c r="D703" s="190"/>
      <c r="E703" s="190"/>
      <c r="F703" s="190"/>
      <c r="G703" s="190"/>
      <c r="H703" s="190"/>
      <c r="I703" s="190"/>
      <c r="J703" s="190"/>
      <c r="K703" s="190"/>
      <c r="L703" s="190"/>
      <c r="M703" s="190"/>
      <c r="N703" s="190"/>
      <c r="O703" s="190"/>
      <c r="P703" s="190"/>
      <c r="Q703" s="190"/>
      <c r="R703" s="190"/>
      <c r="S703" s="190"/>
      <c r="T703" s="190"/>
      <c r="U703" s="190"/>
      <c r="V703" s="190"/>
      <c r="W703" s="190"/>
      <c r="X703" s="190"/>
      <c r="Y703" s="190"/>
      <c r="Z703" s="190"/>
    </row>
    <row r="704" ht="15.75" customHeight="1" spans="1:26">
      <c r="A704" s="190"/>
      <c r="B704" s="190"/>
      <c r="C704" s="190"/>
      <c r="D704" s="190"/>
      <c r="E704" s="190"/>
      <c r="F704" s="190"/>
      <c r="G704" s="190"/>
      <c r="H704" s="190"/>
      <c r="I704" s="190"/>
      <c r="J704" s="190"/>
      <c r="K704" s="190"/>
      <c r="L704" s="190"/>
      <c r="M704" s="190"/>
      <c r="N704" s="190"/>
      <c r="O704" s="190"/>
      <c r="P704" s="190"/>
      <c r="Q704" s="190"/>
      <c r="R704" s="190"/>
      <c r="S704" s="190"/>
      <c r="T704" s="190"/>
      <c r="U704" s="190"/>
      <c r="V704" s="190"/>
      <c r="W704" s="190"/>
      <c r="X704" s="190"/>
      <c r="Y704" s="190"/>
      <c r="Z704" s="190"/>
    </row>
    <row r="705" ht="15.75" customHeight="1" spans="1:26">
      <c r="A705" s="190"/>
      <c r="B705" s="190"/>
      <c r="C705" s="190"/>
      <c r="D705" s="190"/>
      <c r="E705" s="190"/>
      <c r="F705" s="190"/>
      <c r="G705" s="190"/>
      <c r="H705" s="190"/>
      <c r="I705" s="190"/>
      <c r="J705" s="190"/>
      <c r="K705" s="190"/>
      <c r="L705" s="190"/>
      <c r="M705" s="190"/>
      <c r="N705" s="190"/>
      <c r="O705" s="190"/>
      <c r="P705" s="190"/>
      <c r="Q705" s="190"/>
      <c r="R705" s="190"/>
      <c r="S705" s="190"/>
      <c r="T705" s="190"/>
      <c r="U705" s="190"/>
      <c r="V705" s="190"/>
      <c r="W705" s="190"/>
      <c r="X705" s="190"/>
      <c r="Y705" s="190"/>
      <c r="Z705" s="190"/>
    </row>
    <row r="706" ht="15.75" customHeight="1" spans="1:26">
      <c r="A706" s="190"/>
      <c r="B706" s="190"/>
      <c r="C706" s="190"/>
      <c r="D706" s="190"/>
      <c r="E706" s="190"/>
      <c r="F706" s="190"/>
      <c r="G706" s="190"/>
      <c r="H706" s="190"/>
      <c r="I706" s="190"/>
      <c r="J706" s="190"/>
      <c r="K706" s="190"/>
      <c r="L706" s="190"/>
      <c r="M706" s="190"/>
      <c r="N706" s="190"/>
      <c r="O706" s="190"/>
      <c r="P706" s="190"/>
      <c r="Q706" s="190"/>
      <c r="R706" s="190"/>
      <c r="S706" s="190"/>
      <c r="T706" s="190"/>
      <c r="U706" s="190"/>
      <c r="V706" s="190"/>
      <c r="W706" s="190"/>
      <c r="X706" s="190"/>
      <c r="Y706" s="190"/>
      <c r="Z706" s="190"/>
    </row>
    <row r="707" ht="15.75" customHeight="1" spans="1:26">
      <c r="A707" s="190"/>
      <c r="B707" s="190"/>
      <c r="C707" s="190"/>
      <c r="D707" s="190"/>
      <c r="E707" s="190"/>
      <c r="F707" s="190"/>
      <c r="G707" s="190"/>
      <c r="H707" s="190"/>
      <c r="I707" s="190"/>
      <c r="J707" s="190"/>
      <c r="K707" s="190"/>
      <c r="L707" s="190"/>
      <c r="M707" s="190"/>
      <c r="N707" s="190"/>
      <c r="O707" s="190"/>
      <c r="P707" s="190"/>
      <c r="Q707" s="190"/>
      <c r="R707" s="190"/>
      <c r="S707" s="190"/>
      <c r="T707" s="190"/>
      <c r="U707" s="190"/>
      <c r="V707" s="190"/>
      <c r="W707" s="190"/>
      <c r="X707" s="190"/>
      <c r="Y707" s="190"/>
      <c r="Z707" s="190"/>
    </row>
    <row r="708" ht="15.75" customHeight="1" spans="1:26">
      <c r="A708" s="190"/>
      <c r="B708" s="190"/>
      <c r="C708" s="190"/>
      <c r="D708" s="190"/>
      <c r="E708" s="190"/>
      <c r="F708" s="190"/>
      <c r="G708" s="190"/>
      <c r="H708" s="190"/>
      <c r="I708" s="190"/>
      <c r="J708" s="190"/>
      <c r="K708" s="190"/>
      <c r="L708" s="190"/>
      <c r="M708" s="190"/>
      <c r="N708" s="190"/>
      <c r="O708" s="190"/>
      <c r="P708" s="190"/>
      <c r="Q708" s="190"/>
      <c r="R708" s="190"/>
      <c r="S708" s="190"/>
      <c r="T708" s="190"/>
      <c r="U708" s="190"/>
      <c r="V708" s="190"/>
      <c r="W708" s="190"/>
      <c r="X708" s="190"/>
      <c r="Y708" s="190"/>
      <c r="Z708" s="190"/>
    </row>
    <row r="709" ht="15.75" customHeight="1" spans="1:26">
      <c r="A709" s="190"/>
      <c r="B709" s="190"/>
      <c r="C709" s="190"/>
      <c r="D709" s="190"/>
      <c r="E709" s="190"/>
      <c r="F709" s="190"/>
      <c r="G709" s="190"/>
      <c r="H709" s="190"/>
      <c r="I709" s="190"/>
      <c r="J709" s="190"/>
      <c r="K709" s="190"/>
      <c r="L709" s="190"/>
      <c r="M709" s="190"/>
      <c r="N709" s="190"/>
      <c r="O709" s="190"/>
      <c r="P709" s="190"/>
      <c r="Q709" s="190"/>
      <c r="R709" s="190"/>
      <c r="S709" s="190"/>
      <c r="T709" s="190"/>
      <c r="U709" s="190"/>
      <c r="V709" s="190"/>
      <c r="W709" s="190"/>
      <c r="X709" s="190"/>
      <c r="Y709" s="190"/>
      <c r="Z709" s="190"/>
    </row>
    <row r="710" ht="15.75" customHeight="1" spans="1:26">
      <c r="A710" s="190"/>
      <c r="B710" s="190"/>
      <c r="C710" s="190"/>
      <c r="D710" s="190"/>
      <c r="E710" s="190"/>
      <c r="F710" s="190"/>
      <c r="G710" s="190"/>
      <c r="H710" s="190"/>
      <c r="I710" s="190"/>
      <c r="J710" s="190"/>
      <c r="K710" s="190"/>
      <c r="L710" s="190"/>
      <c r="M710" s="190"/>
      <c r="N710" s="190"/>
      <c r="O710" s="190"/>
      <c r="P710" s="190"/>
      <c r="Q710" s="190"/>
      <c r="R710" s="190"/>
      <c r="S710" s="190"/>
      <c r="T710" s="190"/>
      <c r="U710" s="190"/>
      <c r="V710" s="190"/>
      <c r="W710" s="190"/>
      <c r="X710" s="190"/>
      <c r="Y710" s="190"/>
      <c r="Z710" s="190"/>
    </row>
    <row r="711" ht="15.75" customHeight="1" spans="1:26">
      <c r="A711" s="190"/>
      <c r="B711" s="190"/>
      <c r="C711" s="190"/>
      <c r="D711" s="190"/>
      <c r="E711" s="190"/>
      <c r="F711" s="190"/>
      <c r="G711" s="190"/>
      <c r="H711" s="190"/>
      <c r="I711" s="190"/>
      <c r="J711" s="190"/>
      <c r="K711" s="190"/>
      <c r="L711" s="190"/>
      <c r="M711" s="190"/>
      <c r="N711" s="190"/>
      <c r="O711" s="190"/>
      <c r="P711" s="190"/>
      <c r="Q711" s="190"/>
      <c r="R711" s="190"/>
      <c r="S711" s="190"/>
      <c r="T711" s="190"/>
      <c r="U711" s="190"/>
      <c r="V711" s="190"/>
      <c r="W711" s="190"/>
      <c r="X711" s="190"/>
      <c r="Y711" s="190"/>
      <c r="Z711" s="190"/>
    </row>
    <row r="712" ht="15.75" customHeight="1" spans="1:26">
      <c r="A712" s="190"/>
      <c r="B712" s="190"/>
      <c r="C712" s="190"/>
      <c r="D712" s="190"/>
      <c r="E712" s="190"/>
      <c r="F712" s="190"/>
      <c r="G712" s="190"/>
      <c r="H712" s="190"/>
      <c r="I712" s="190"/>
      <c r="J712" s="190"/>
      <c r="K712" s="190"/>
      <c r="L712" s="190"/>
      <c r="M712" s="190"/>
      <c r="N712" s="190"/>
      <c r="O712" s="190"/>
      <c r="P712" s="190"/>
      <c r="Q712" s="190"/>
      <c r="R712" s="190"/>
      <c r="S712" s="190"/>
      <c r="T712" s="190"/>
      <c r="U712" s="190"/>
      <c r="V712" s="190"/>
      <c r="W712" s="190"/>
      <c r="X712" s="190"/>
      <c r="Y712" s="190"/>
      <c r="Z712" s="190"/>
    </row>
    <row r="713" ht="15.75" customHeight="1" spans="1:26">
      <c r="A713" s="190"/>
      <c r="B713" s="190"/>
      <c r="C713" s="190"/>
      <c r="D713" s="190"/>
      <c r="E713" s="190"/>
      <c r="F713" s="190"/>
      <c r="G713" s="190"/>
      <c r="H713" s="190"/>
      <c r="I713" s="190"/>
      <c r="J713" s="190"/>
      <c r="K713" s="190"/>
      <c r="L713" s="190"/>
      <c r="M713" s="190"/>
      <c r="N713" s="190"/>
      <c r="O713" s="190"/>
      <c r="P713" s="190"/>
      <c r="Q713" s="190"/>
      <c r="R713" s="190"/>
      <c r="S713" s="190"/>
      <c r="T713" s="190"/>
      <c r="U713" s="190"/>
      <c r="V713" s="190"/>
      <c r="W713" s="190"/>
      <c r="X713" s="190"/>
      <c r="Y713" s="190"/>
      <c r="Z713" s="190"/>
    </row>
    <row r="714" ht="15.75" customHeight="1" spans="1:26">
      <c r="A714" s="190"/>
      <c r="B714" s="190"/>
      <c r="C714" s="190"/>
      <c r="D714" s="190"/>
      <c r="E714" s="190"/>
      <c r="F714" s="190"/>
      <c r="G714" s="190"/>
      <c r="H714" s="190"/>
      <c r="I714" s="190"/>
      <c r="J714" s="190"/>
      <c r="K714" s="190"/>
      <c r="L714" s="190"/>
      <c r="M714" s="190"/>
      <c r="N714" s="190"/>
      <c r="O714" s="190"/>
      <c r="P714" s="190"/>
      <c r="Q714" s="190"/>
      <c r="R714" s="190"/>
      <c r="S714" s="190"/>
      <c r="T714" s="190"/>
      <c r="U714" s="190"/>
      <c r="V714" s="190"/>
      <c r="W714" s="190"/>
      <c r="X714" s="190"/>
      <c r="Y714" s="190"/>
      <c r="Z714" s="190"/>
    </row>
    <row r="715" ht="15.75" customHeight="1" spans="1:26">
      <c r="A715" s="190"/>
      <c r="B715" s="190"/>
      <c r="C715" s="190"/>
      <c r="D715" s="190"/>
      <c r="E715" s="190"/>
      <c r="F715" s="190"/>
      <c r="G715" s="190"/>
      <c r="H715" s="190"/>
      <c r="I715" s="190"/>
      <c r="J715" s="190"/>
      <c r="K715" s="190"/>
      <c r="L715" s="190"/>
      <c r="M715" s="190"/>
      <c r="N715" s="190"/>
      <c r="O715" s="190"/>
      <c r="P715" s="190"/>
      <c r="Q715" s="190"/>
      <c r="R715" s="190"/>
      <c r="S715" s="190"/>
      <c r="T715" s="190"/>
      <c r="U715" s="190"/>
      <c r="V715" s="190"/>
      <c r="W715" s="190"/>
      <c r="X715" s="190"/>
      <c r="Y715" s="190"/>
      <c r="Z715" s="190"/>
    </row>
    <row r="716" ht="15.75" customHeight="1" spans="1:26">
      <c r="A716" s="190"/>
      <c r="B716" s="190"/>
      <c r="C716" s="190"/>
      <c r="D716" s="190"/>
      <c r="E716" s="190"/>
      <c r="F716" s="190"/>
      <c r="G716" s="190"/>
      <c r="H716" s="190"/>
      <c r="I716" s="190"/>
      <c r="J716" s="190"/>
      <c r="K716" s="190"/>
      <c r="L716" s="190"/>
      <c r="M716" s="190"/>
      <c r="N716" s="190"/>
      <c r="O716" s="190"/>
      <c r="P716" s="190"/>
      <c r="Q716" s="190"/>
      <c r="R716" s="190"/>
      <c r="S716" s="190"/>
      <c r="T716" s="190"/>
      <c r="U716" s="190"/>
      <c r="V716" s="190"/>
      <c r="W716" s="190"/>
      <c r="X716" s="190"/>
      <c r="Y716" s="190"/>
      <c r="Z716" s="190"/>
    </row>
    <row r="717" ht="15.75" customHeight="1" spans="1:26">
      <c r="A717" s="190"/>
      <c r="B717" s="190"/>
      <c r="C717" s="190"/>
      <c r="D717" s="190"/>
      <c r="E717" s="190"/>
      <c r="F717" s="190"/>
      <c r="G717" s="190"/>
      <c r="H717" s="190"/>
      <c r="I717" s="190"/>
      <c r="J717" s="190"/>
      <c r="K717" s="190"/>
      <c r="L717" s="190"/>
      <c r="M717" s="190"/>
      <c r="N717" s="190"/>
      <c r="O717" s="190"/>
      <c r="P717" s="190"/>
      <c r="Q717" s="190"/>
      <c r="R717" s="190"/>
      <c r="S717" s="190"/>
      <c r="T717" s="190"/>
      <c r="U717" s="190"/>
      <c r="V717" s="190"/>
      <c r="W717" s="190"/>
      <c r="X717" s="190"/>
      <c r="Y717" s="190"/>
      <c r="Z717" s="190"/>
    </row>
    <row r="718" ht="15.75" customHeight="1" spans="1:26">
      <c r="A718" s="190"/>
      <c r="B718" s="190"/>
      <c r="C718" s="190"/>
      <c r="D718" s="190"/>
      <c r="E718" s="190"/>
      <c r="F718" s="190"/>
      <c r="G718" s="190"/>
      <c r="H718" s="190"/>
      <c r="I718" s="190"/>
      <c r="J718" s="190"/>
      <c r="K718" s="190"/>
      <c r="L718" s="190"/>
      <c r="M718" s="190"/>
      <c r="N718" s="190"/>
      <c r="O718" s="190"/>
      <c r="P718" s="190"/>
      <c r="Q718" s="190"/>
      <c r="R718" s="190"/>
      <c r="S718" s="190"/>
      <c r="T718" s="190"/>
      <c r="U718" s="190"/>
      <c r="V718" s="190"/>
      <c r="W718" s="190"/>
      <c r="X718" s="190"/>
      <c r="Y718" s="190"/>
      <c r="Z718" s="190"/>
    </row>
    <row r="719" ht="15.75" customHeight="1" spans="1:26">
      <c r="A719" s="190"/>
      <c r="B719" s="190"/>
      <c r="C719" s="190"/>
      <c r="D719" s="190"/>
      <c r="E719" s="190"/>
      <c r="F719" s="190"/>
      <c r="G719" s="190"/>
      <c r="H719" s="190"/>
      <c r="I719" s="190"/>
      <c r="J719" s="190"/>
      <c r="K719" s="190"/>
      <c r="L719" s="190"/>
      <c r="M719" s="190"/>
      <c r="N719" s="190"/>
      <c r="O719" s="190"/>
      <c r="P719" s="190"/>
      <c r="Q719" s="190"/>
      <c r="R719" s="190"/>
      <c r="S719" s="190"/>
      <c r="T719" s="190"/>
      <c r="U719" s="190"/>
      <c r="V719" s="190"/>
      <c r="W719" s="190"/>
      <c r="X719" s="190"/>
      <c r="Y719" s="190"/>
      <c r="Z719" s="190"/>
    </row>
    <row r="720" ht="15.75" customHeight="1" spans="1:26">
      <c r="A720" s="190"/>
      <c r="B720" s="190"/>
      <c r="C720" s="190"/>
      <c r="D720" s="190"/>
      <c r="E720" s="190"/>
      <c r="F720" s="190"/>
      <c r="G720" s="190"/>
      <c r="H720" s="190"/>
      <c r="I720" s="190"/>
      <c r="J720" s="190"/>
      <c r="K720" s="190"/>
      <c r="L720" s="190"/>
      <c r="M720" s="190"/>
      <c r="N720" s="190"/>
      <c r="O720" s="190"/>
      <c r="P720" s="190"/>
      <c r="Q720" s="190"/>
      <c r="R720" s="190"/>
      <c r="S720" s="190"/>
      <c r="T720" s="190"/>
      <c r="U720" s="190"/>
      <c r="V720" s="190"/>
      <c r="W720" s="190"/>
      <c r="X720" s="190"/>
      <c r="Y720" s="190"/>
      <c r="Z720" s="190"/>
    </row>
    <row r="721" ht="15.75" customHeight="1" spans="1:26">
      <c r="A721" s="190"/>
      <c r="B721" s="190"/>
      <c r="C721" s="190"/>
      <c r="D721" s="190"/>
      <c r="E721" s="190"/>
      <c r="F721" s="190"/>
      <c r="G721" s="190"/>
      <c r="H721" s="190"/>
      <c r="I721" s="190"/>
      <c r="J721" s="190"/>
      <c r="K721" s="190"/>
      <c r="L721" s="190"/>
      <c r="M721" s="190"/>
      <c r="N721" s="190"/>
      <c r="O721" s="190"/>
      <c r="P721" s="190"/>
      <c r="Q721" s="190"/>
      <c r="R721" s="190"/>
      <c r="S721" s="190"/>
      <c r="T721" s="190"/>
      <c r="U721" s="190"/>
      <c r="V721" s="190"/>
      <c r="W721" s="190"/>
      <c r="X721" s="190"/>
      <c r="Y721" s="190"/>
      <c r="Z721" s="190"/>
    </row>
    <row r="722" ht="15.75" customHeight="1" spans="1:26">
      <c r="A722" s="190"/>
      <c r="B722" s="190"/>
      <c r="C722" s="190"/>
      <c r="D722" s="190"/>
      <c r="E722" s="190"/>
      <c r="F722" s="190"/>
      <c r="G722" s="190"/>
      <c r="H722" s="190"/>
      <c r="I722" s="190"/>
      <c r="J722" s="190"/>
      <c r="K722" s="190"/>
      <c r="L722" s="190"/>
      <c r="M722" s="190"/>
      <c r="N722" s="190"/>
      <c r="O722" s="190"/>
      <c r="P722" s="190"/>
      <c r="Q722" s="190"/>
      <c r="R722" s="190"/>
      <c r="S722" s="190"/>
      <c r="T722" s="190"/>
      <c r="U722" s="190"/>
      <c r="V722" s="190"/>
      <c r="W722" s="190"/>
      <c r="X722" s="190"/>
      <c r="Y722" s="190"/>
      <c r="Z722" s="190"/>
    </row>
    <row r="723" ht="15.75" customHeight="1" spans="1:26">
      <c r="A723" s="190"/>
      <c r="B723" s="190"/>
      <c r="C723" s="190"/>
      <c r="D723" s="190"/>
      <c r="E723" s="190"/>
      <c r="F723" s="190"/>
      <c r="G723" s="190"/>
      <c r="H723" s="190"/>
      <c r="I723" s="190"/>
      <c r="J723" s="190"/>
      <c r="K723" s="190"/>
      <c r="L723" s="190"/>
      <c r="M723" s="190"/>
      <c r="N723" s="190"/>
      <c r="O723" s="190"/>
      <c r="P723" s="190"/>
      <c r="Q723" s="190"/>
      <c r="R723" s="190"/>
      <c r="S723" s="190"/>
      <c r="T723" s="190"/>
      <c r="U723" s="190"/>
      <c r="V723" s="190"/>
      <c r="W723" s="190"/>
      <c r="X723" s="190"/>
      <c r="Y723" s="190"/>
      <c r="Z723" s="190"/>
    </row>
    <row r="724" ht="15.75" customHeight="1" spans="1:26">
      <c r="A724" s="190"/>
      <c r="B724" s="190"/>
      <c r="C724" s="190"/>
      <c r="D724" s="190"/>
      <c r="E724" s="190"/>
      <c r="F724" s="190"/>
      <c r="G724" s="190"/>
      <c r="H724" s="190"/>
      <c r="I724" s="190"/>
      <c r="J724" s="190"/>
      <c r="K724" s="190"/>
      <c r="L724" s="190"/>
      <c r="M724" s="190"/>
      <c r="N724" s="190"/>
      <c r="O724" s="190"/>
      <c r="P724" s="190"/>
      <c r="Q724" s="190"/>
      <c r="R724" s="190"/>
      <c r="S724" s="190"/>
      <c r="T724" s="190"/>
      <c r="U724" s="190"/>
      <c r="V724" s="190"/>
      <c r="W724" s="190"/>
      <c r="X724" s="190"/>
      <c r="Y724" s="190"/>
      <c r="Z724" s="190"/>
    </row>
    <row r="725" ht="15.75" customHeight="1" spans="1:26">
      <c r="A725" s="190"/>
      <c r="B725" s="190"/>
      <c r="C725" s="190"/>
      <c r="D725" s="190"/>
      <c r="E725" s="190"/>
      <c r="F725" s="190"/>
      <c r="G725" s="190"/>
      <c r="H725" s="190"/>
      <c r="I725" s="190"/>
      <c r="J725" s="190"/>
      <c r="K725" s="190"/>
      <c r="L725" s="190"/>
      <c r="M725" s="190"/>
      <c r="N725" s="190"/>
      <c r="O725" s="190"/>
      <c r="P725" s="190"/>
      <c r="Q725" s="190"/>
      <c r="R725" s="190"/>
      <c r="S725" s="190"/>
      <c r="T725" s="190"/>
      <c r="U725" s="190"/>
      <c r="V725" s="190"/>
      <c r="W725" s="190"/>
      <c r="X725" s="190"/>
      <c r="Y725" s="190"/>
      <c r="Z725" s="190"/>
    </row>
    <row r="726" ht="15.75" customHeight="1" spans="1:26">
      <c r="A726" s="190"/>
      <c r="B726" s="190"/>
      <c r="C726" s="190"/>
      <c r="D726" s="190"/>
      <c r="E726" s="190"/>
      <c r="F726" s="190"/>
      <c r="G726" s="190"/>
      <c r="H726" s="190"/>
      <c r="I726" s="190"/>
      <c r="J726" s="190"/>
      <c r="K726" s="190"/>
      <c r="L726" s="190"/>
      <c r="M726" s="190"/>
      <c r="N726" s="190"/>
      <c r="O726" s="190"/>
      <c r="P726" s="190"/>
      <c r="Q726" s="190"/>
      <c r="R726" s="190"/>
      <c r="S726" s="190"/>
      <c r="T726" s="190"/>
      <c r="U726" s="190"/>
      <c r="V726" s="190"/>
      <c r="W726" s="190"/>
      <c r="X726" s="190"/>
      <c r="Y726" s="190"/>
      <c r="Z726" s="190"/>
    </row>
    <row r="727" ht="15.75" customHeight="1" spans="1:26">
      <c r="A727" s="190"/>
      <c r="B727" s="190"/>
      <c r="C727" s="190"/>
      <c r="D727" s="190"/>
      <c r="E727" s="190"/>
      <c r="F727" s="190"/>
      <c r="G727" s="190"/>
      <c r="H727" s="190"/>
      <c r="I727" s="190"/>
      <c r="J727" s="190"/>
      <c r="K727" s="190"/>
      <c r="L727" s="190"/>
      <c r="M727" s="190"/>
      <c r="N727" s="190"/>
      <c r="O727" s="190"/>
      <c r="P727" s="190"/>
      <c r="Q727" s="190"/>
      <c r="R727" s="190"/>
      <c r="S727" s="190"/>
      <c r="T727" s="190"/>
      <c r="U727" s="190"/>
      <c r="V727" s="190"/>
      <c r="W727" s="190"/>
      <c r="X727" s="190"/>
      <c r="Y727" s="190"/>
      <c r="Z727" s="190"/>
    </row>
    <row r="728" ht="15.75" customHeight="1" spans="1:26">
      <c r="A728" s="190"/>
      <c r="B728" s="190"/>
      <c r="C728" s="190"/>
      <c r="D728" s="190"/>
      <c r="E728" s="190"/>
      <c r="F728" s="190"/>
      <c r="G728" s="190"/>
      <c r="H728" s="190"/>
      <c r="I728" s="190"/>
      <c r="J728" s="190"/>
      <c r="K728" s="190"/>
      <c r="L728" s="190"/>
      <c r="M728" s="190"/>
      <c r="N728" s="190"/>
      <c r="O728" s="190"/>
      <c r="P728" s="190"/>
      <c r="Q728" s="190"/>
      <c r="R728" s="190"/>
      <c r="S728" s="190"/>
      <c r="T728" s="190"/>
      <c r="U728" s="190"/>
      <c r="V728" s="190"/>
      <c r="W728" s="190"/>
      <c r="X728" s="190"/>
      <c r="Y728" s="190"/>
      <c r="Z728" s="190"/>
    </row>
    <row r="729" ht="15.75" customHeight="1" spans="1:26">
      <c r="A729" s="190"/>
      <c r="B729" s="190"/>
      <c r="C729" s="190"/>
      <c r="D729" s="190"/>
      <c r="E729" s="190"/>
      <c r="F729" s="190"/>
      <c r="G729" s="190"/>
      <c r="H729" s="190"/>
      <c r="I729" s="190"/>
      <c r="J729" s="190"/>
      <c r="K729" s="190"/>
      <c r="L729" s="190"/>
      <c r="M729" s="190"/>
      <c r="N729" s="190"/>
      <c r="O729" s="190"/>
      <c r="P729" s="190"/>
      <c r="Q729" s="190"/>
      <c r="R729" s="190"/>
      <c r="S729" s="190"/>
      <c r="T729" s="190"/>
      <c r="U729" s="190"/>
      <c r="V729" s="190"/>
      <c r="W729" s="190"/>
      <c r="X729" s="190"/>
      <c r="Y729" s="190"/>
      <c r="Z729" s="190"/>
    </row>
    <row r="730" ht="15.75" customHeight="1" spans="1:26">
      <c r="A730" s="190"/>
      <c r="B730" s="190"/>
      <c r="C730" s="190"/>
      <c r="D730" s="190"/>
      <c r="E730" s="190"/>
      <c r="F730" s="190"/>
      <c r="G730" s="190"/>
      <c r="H730" s="190"/>
      <c r="I730" s="190"/>
      <c r="J730" s="190"/>
      <c r="K730" s="190"/>
      <c r="L730" s="190"/>
      <c r="M730" s="190"/>
      <c r="N730" s="190"/>
      <c r="O730" s="190"/>
      <c r="P730" s="190"/>
      <c r="Q730" s="190"/>
      <c r="R730" s="190"/>
      <c r="S730" s="190"/>
      <c r="T730" s="190"/>
      <c r="U730" s="190"/>
      <c r="V730" s="190"/>
      <c r="W730" s="190"/>
      <c r="X730" s="190"/>
      <c r="Y730" s="190"/>
      <c r="Z730" s="190"/>
    </row>
    <row r="731" ht="15.75" customHeight="1" spans="1:26">
      <c r="A731" s="190"/>
      <c r="B731" s="190"/>
      <c r="C731" s="190"/>
      <c r="D731" s="190"/>
      <c r="E731" s="190"/>
      <c r="F731" s="190"/>
      <c r="G731" s="190"/>
      <c r="H731" s="190"/>
      <c r="I731" s="190"/>
      <c r="J731" s="190"/>
      <c r="K731" s="190"/>
      <c r="L731" s="190"/>
      <c r="M731" s="190"/>
      <c r="N731" s="190"/>
      <c r="O731" s="190"/>
      <c r="P731" s="190"/>
      <c r="Q731" s="190"/>
      <c r="R731" s="190"/>
      <c r="S731" s="190"/>
      <c r="T731" s="190"/>
      <c r="U731" s="190"/>
      <c r="V731" s="190"/>
      <c r="W731" s="190"/>
      <c r="X731" s="190"/>
      <c r="Y731" s="190"/>
      <c r="Z731" s="190"/>
    </row>
    <row r="732" ht="15.75" customHeight="1" spans="1:26">
      <c r="A732" s="190"/>
      <c r="B732" s="190"/>
      <c r="C732" s="190"/>
      <c r="D732" s="190"/>
      <c r="E732" s="190"/>
      <c r="F732" s="190"/>
      <c r="G732" s="190"/>
      <c r="H732" s="190"/>
      <c r="I732" s="190"/>
      <c r="J732" s="190"/>
      <c r="K732" s="190"/>
      <c r="L732" s="190"/>
      <c r="M732" s="190"/>
      <c r="N732" s="190"/>
      <c r="O732" s="190"/>
      <c r="P732" s="190"/>
      <c r="Q732" s="190"/>
      <c r="R732" s="190"/>
      <c r="S732" s="190"/>
      <c r="T732" s="190"/>
      <c r="U732" s="190"/>
      <c r="V732" s="190"/>
      <c r="W732" s="190"/>
      <c r="X732" s="190"/>
      <c r="Y732" s="190"/>
      <c r="Z732" s="190"/>
    </row>
    <row r="733" ht="15.75" customHeight="1" spans="1:26">
      <c r="A733" s="190"/>
      <c r="B733" s="190"/>
      <c r="C733" s="190"/>
      <c r="D733" s="190"/>
      <c r="E733" s="190"/>
      <c r="F733" s="190"/>
      <c r="G733" s="190"/>
      <c r="H733" s="190"/>
      <c r="I733" s="190"/>
      <c r="J733" s="190"/>
      <c r="K733" s="190"/>
      <c r="L733" s="190"/>
      <c r="M733" s="190"/>
      <c r="N733" s="190"/>
      <c r="O733" s="190"/>
      <c r="P733" s="190"/>
      <c r="Q733" s="190"/>
      <c r="R733" s="190"/>
      <c r="S733" s="190"/>
      <c r="T733" s="190"/>
      <c r="U733" s="190"/>
      <c r="V733" s="190"/>
      <c r="W733" s="190"/>
      <c r="X733" s="190"/>
      <c r="Y733" s="190"/>
      <c r="Z733" s="190"/>
    </row>
    <row r="734" ht="15.75" customHeight="1" spans="1:26">
      <c r="A734" s="190"/>
      <c r="B734" s="190"/>
      <c r="C734" s="190"/>
      <c r="D734" s="190"/>
      <c r="E734" s="190"/>
      <c r="F734" s="190"/>
      <c r="G734" s="190"/>
      <c r="H734" s="190"/>
      <c r="I734" s="190"/>
      <c r="J734" s="190"/>
      <c r="K734" s="190"/>
      <c r="L734" s="190"/>
      <c r="M734" s="190"/>
      <c r="N734" s="190"/>
      <c r="O734" s="190"/>
      <c r="P734" s="190"/>
      <c r="Q734" s="190"/>
      <c r="R734" s="190"/>
      <c r="S734" s="190"/>
      <c r="T734" s="190"/>
      <c r="U734" s="190"/>
      <c r="V734" s="190"/>
      <c r="W734" s="190"/>
      <c r="X734" s="190"/>
      <c r="Y734" s="190"/>
      <c r="Z734" s="190"/>
    </row>
    <row r="735" ht="15.75" customHeight="1" spans="1:26">
      <c r="A735" s="190"/>
      <c r="B735" s="190"/>
      <c r="C735" s="190"/>
      <c r="D735" s="190"/>
      <c r="E735" s="190"/>
      <c r="F735" s="190"/>
      <c r="G735" s="190"/>
      <c r="H735" s="190"/>
      <c r="I735" s="190"/>
      <c r="J735" s="190"/>
      <c r="K735" s="190"/>
      <c r="L735" s="190"/>
      <c r="M735" s="190"/>
      <c r="N735" s="190"/>
      <c r="O735" s="190"/>
      <c r="P735" s="190"/>
      <c r="Q735" s="190"/>
      <c r="R735" s="190"/>
      <c r="S735" s="190"/>
      <c r="T735" s="190"/>
      <c r="U735" s="190"/>
      <c r="V735" s="190"/>
      <c r="W735" s="190"/>
      <c r="X735" s="190"/>
      <c r="Y735" s="190"/>
      <c r="Z735" s="190"/>
    </row>
    <row r="736" ht="15.75" customHeight="1" spans="1:26">
      <c r="A736" s="190"/>
      <c r="B736" s="190"/>
      <c r="C736" s="190"/>
      <c r="D736" s="190"/>
      <c r="E736" s="190"/>
      <c r="F736" s="190"/>
      <c r="G736" s="190"/>
      <c r="H736" s="190"/>
      <c r="I736" s="190"/>
      <c r="J736" s="190"/>
      <c r="K736" s="190"/>
      <c r="L736" s="190"/>
      <c r="M736" s="190"/>
      <c r="N736" s="190"/>
      <c r="O736" s="190"/>
      <c r="P736" s="190"/>
      <c r="Q736" s="190"/>
      <c r="R736" s="190"/>
      <c r="S736" s="190"/>
      <c r="T736" s="190"/>
      <c r="U736" s="190"/>
      <c r="V736" s="190"/>
      <c r="W736" s="190"/>
      <c r="X736" s="190"/>
      <c r="Y736" s="190"/>
      <c r="Z736" s="190"/>
    </row>
    <row r="737" ht="15.75" customHeight="1" spans="1:26">
      <c r="A737" s="190"/>
      <c r="B737" s="190"/>
      <c r="C737" s="190"/>
      <c r="D737" s="190"/>
      <c r="E737" s="190"/>
      <c r="F737" s="190"/>
      <c r="G737" s="190"/>
      <c r="H737" s="190"/>
      <c r="I737" s="190"/>
      <c r="J737" s="190"/>
      <c r="K737" s="190"/>
      <c r="L737" s="190"/>
      <c r="M737" s="190"/>
      <c r="N737" s="190"/>
      <c r="O737" s="190"/>
      <c r="P737" s="190"/>
      <c r="Q737" s="190"/>
      <c r="R737" s="190"/>
      <c r="S737" s="190"/>
      <c r="T737" s="190"/>
      <c r="U737" s="190"/>
      <c r="V737" s="190"/>
      <c r="W737" s="190"/>
      <c r="X737" s="190"/>
      <c r="Y737" s="190"/>
      <c r="Z737" s="190"/>
    </row>
    <row r="738" ht="15.75" customHeight="1" spans="1:26">
      <c r="A738" s="190"/>
      <c r="B738" s="190"/>
      <c r="C738" s="190"/>
      <c r="D738" s="190"/>
      <c r="E738" s="190"/>
      <c r="F738" s="190"/>
      <c r="G738" s="190"/>
      <c r="H738" s="190"/>
      <c r="I738" s="190"/>
      <c r="J738" s="190"/>
      <c r="K738" s="190"/>
      <c r="L738" s="190"/>
      <c r="M738" s="190"/>
      <c r="N738" s="190"/>
      <c r="O738" s="190"/>
      <c r="P738" s="190"/>
      <c r="Q738" s="190"/>
      <c r="R738" s="190"/>
      <c r="S738" s="190"/>
      <c r="T738" s="190"/>
      <c r="U738" s="190"/>
      <c r="V738" s="190"/>
      <c r="W738" s="190"/>
      <c r="X738" s="190"/>
      <c r="Y738" s="190"/>
      <c r="Z738" s="190"/>
    </row>
    <row r="739" ht="15.75" customHeight="1" spans="1:26">
      <c r="A739" s="190"/>
      <c r="B739" s="190"/>
      <c r="C739" s="190"/>
      <c r="D739" s="190"/>
      <c r="E739" s="190"/>
      <c r="F739" s="190"/>
      <c r="G739" s="190"/>
      <c r="H739" s="190"/>
      <c r="I739" s="190"/>
      <c r="J739" s="190"/>
      <c r="K739" s="190"/>
      <c r="L739" s="190"/>
      <c r="M739" s="190"/>
      <c r="N739" s="190"/>
      <c r="O739" s="190"/>
      <c r="P739" s="190"/>
      <c r="Q739" s="190"/>
      <c r="R739" s="190"/>
      <c r="S739" s="190"/>
      <c r="T739" s="190"/>
      <c r="U739" s="190"/>
      <c r="V739" s="190"/>
      <c r="W739" s="190"/>
      <c r="X739" s="190"/>
      <c r="Y739" s="190"/>
      <c r="Z739" s="190"/>
    </row>
    <row r="740" ht="15.75" customHeight="1" spans="1:26">
      <c r="A740" s="190"/>
      <c r="B740" s="190"/>
      <c r="C740" s="190"/>
      <c r="D740" s="190"/>
      <c r="E740" s="190"/>
      <c r="F740" s="190"/>
      <c r="G740" s="190"/>
      <c r="H740" s="190"/>
      <c r="I740" s="190"/>
      <c r="J740" s="190"/>
      <c r="K740" s="190"/>
      <c r="L740" s="190"/>
      <c r="M740" s="190"/>
      <c r="N740" s="190"/>
      <c r="O740" s="190"/>
      <c r="P740" s="190"/>
      <c r="Q740" s="190"/>
      <c r="R740" s="190"/>
      <c r="S740" s="190"/>
      <c r="T740" s="190"/>
      <c r="U740" s="190"/>
      <c r="V740" s="190"/>
      <c r="W740" s="190"/>
      <c r="X740" s="190"/>
      <c r="Y740" s="190"/>
      <c r="Z740" s="190"/>
    </row>
    <row r="741" ht="15.75" customHeight="1" spans="1:26">
      <c r="A741" s="190"/>
      <c r="B741" s="190"/>
      <c r="C741" s="190"/>
      <c r="D741" s="190"/>
      <c r="E741" s="190"/>
      <c r="F741" s="190"/>
      <c r="G741" s="190"/>
      <c r="H741" s="190"/>
      <c r="I741" s="190"/>
      <c r="J741" s="190"/>
      <c r="K741" s="190"/>
      <c r="L741" s="190"/>
      <c r="M741" s="190"/>
      <c r="N741" s="190"/>
      <c r="O741" s="190"/>
      <c r="P741" s="190"/>
      <c r="Q741" s="190"/>
      <c r="R741" s="190"/>
      <c r="S741" s="190"/>
      <c r="T741" s="190"/>
      <c r="U741" s="190"/>
      <c r="V741" s="190"/>
      <c r="W741" s="190"/>
      <c r="X741" s="190"/>
      <c r="Y741" s="190"/>
      <c r="Z741" s="190"/>
    </row>
    <row r="742" ht="15.75" customHeight="1" spans="1:26">
      <c r="A742" s="190"/>
      <c r="B742" s="190"/>
      <c r="C742" s="190"/>
      <c r="D742" s="190"/>
      <c r="E742" s="190"/>
      <c r="F742" s="190"/>
      <c r="G742" s="190"/>
      <c r="H742" s="190"/>
      <c r="I742" s="190"/>
      <c r="J742" s="190"/>
      <c r="K742" s="190"/>
      <c r="L742" s="190"/>
      <c r="M742" s="190"/>
      <c r="N742" s="190"/>
      <c r="O742" s="190"/>
      <c r="P742" s="190"/>
      <c r="Q742" s="190"/>
      <c r="R742" s="190"/>
      <c r="S742" s="190"/>
      <c r="T742" s="190"/>
      <c r="U742" s="190"/>
      <c r="V742" s="190"/>
      <c r="W742" s="190"/>
      <c r="X742" s="190"/>
      <c r="Y742" s="190"/>
      <c r="Z742" s="190"/>
    </row>
    <row r="743" ht="15.75" customHeight="1" spans="1:26">
      <c r="A743" s="190"/>
      <c r="B743" s="190"/>
      <c r="C743" s="190"/>
      <c r="D743" s="190"/>
      <c r="E743" s="190"/>
      <c r="F743" s="190"/>
      <c r="G743" s="190"/>
      <c r="H743" s="190"/>
      <c r="I743" s="190"/>
      <c r="J743" s="190"/>
      <c r="K743" s="190"/>
      <c r="L743" s="190"/>
      <c r="M743" s="190"/>
      <c r="N743" s="190"/>
      <c r="O743" s="190"/>
      <c r="P743" s="190"/>
      <c r="Q743" s="190"/>
      <c r="R743" s="190"/>
      <c r="S743" s="190"/>
      <c r="T743" s="190"/>
      <c r="U743" s="190"/>
      <c r="V743" s="190"/>
      <c r="W743" s="190"/>
      <c r="X743" s="190"/>
      <c r="Y743" s="190"/>
      <c r="Z743" s="190"/>
    </row>
    <row r="744" ht="15.75" customHeight="1" spans="1:26">
      <c r="A744" s="190"/>
      <c r="B744" s="190"/>
      <c r="C744" s="190"/>
      <c r="D744" s="190"/>
      <c r="E744" s="190"/>
      <c r="F744" s="190"/>
      <c r="G744" s="190"/>
      <c r="H744" s="190"/>
      <c r="I744" s="190"/>
      <c r="J744" s="190"/>
      <c r="K744" s="190"/>
      <c r="L744" s="190"/>
      <c r="M744" s="190"/>
      <c r="N744" s="190"/>
      <c r="O744" s="190"/>
      <c r="P744" s="190"/>
      <c r="Q744" s="190"/>
      <c r="R744" s="190"/>
      <c r="S744" s="190"/>
      <c r="T744" s="190"/>
      <c r="U744" s="190"/>
      <c r="V744" s="190"/>
      <c r="W744" s="190"/>
      <c r="X744" s="190"/>
      <c r="Y744" s="190"/>
      <c r="Z744" s="190"/>
    </row>
    <row r="745" ht="15.75" customHeight="1" spans="1:26">
      <c r="A745" s="190"/>
      <c r="B745" s="190"/>
      <c r="C745" s="190"/>
      <c r="D745" s="190"/>
      <c r="E745" s="190"/>
      <c r="F745" s="190"/>
      <c r="G745" s="190"/>
      <c r="H745" s="190"/>
      <c r="I745" s="190"/>
      <c r="J745" s="190"/>
      <c r="K745" s="190"/>
      <c r="L745" s="190"/>
      <c r="M745" s="190"/>
      <c r="N745" s="190"/>
      <c r="O745" s="190"/>
      <c r="P745" s="190"/>
      <c r="Q745" s="190"/>
      <c r="R745" s="190"/>
      <c r="S745" s="190"/>
      <c r="T745" s="190"/>
      <c r="U745" s="190"/>
      <c r="V745" s="190"/>
      <c r="W745" s="190"/>
      <c r="X745" s="190"/>
      <c r="Y745" s="190"/>
      <c r="Z745" s="190"/>
    </row>
    <row r="746" ht="15.75" customHeight="1" spans="1:26">
      <c r="A746" s="190"/>
      <c r="B746" s="190"/>
      <c r="C746" s="190"/>
      <c r="D746" s="190"/>
      <c r="E746" s="190"/>
      <c r="F746" s="190"/>
      <c r="G746" s="190"/>
      <c r="H746" s="190"/>
      <c r="I746" s="190"/>
      <c r="J746" s="190"/>
      <c r="K746" s="190"/>
      <c r="L746" s="190"/>
      <c r="M746" s="190"/>
      <c r="N746" s="190"/>
      <c r="O746" s="190"/>
      <c r="P746" s="190"/>
      <c r="Q746" s="190"/>
      <c r="R746" s="190"/>
      <c r="S746" s="190"/>
      <c r="T746" s="190"/>
      <c r="U746" s="190"/>
      <c r="V746" s="190"/>
      <c r="W746" s="190"/>
      <c r="X746" s="190"/>
      <c r="Y746" s="190"/>
      <c r="Z746" s="190"/>
    </row>
    <row r="747" ht="15.75" customHeight="1" spans="1:26">
      <c r="A747" s="190"/>
      <c r="B747" s="190"/>
      <c r="C747" s="190"/>
      <c r="D747" s="190"/>
      <c r="E747" s="190"/>
      <c r="F747" s="190"/>
      <c r="G747" s="190"/>
      <c r="H747" s="190"/>
      <c r="I747" s="190"/>
      <c r="J747" s="190"/>
      <c r="K747" s="190"/>
      <c r="L747" s="190"/>
      <c r="M747" s="190"/>
      <c r="N747" s="190"/>
      <c r="O747" s="190"/>
      <c r="P747" s="190"/>
      <c r="Q747" s="190"/>
      <c r="R747" s="190"/>
      <c r="S747" s="190"/>
      <c r="T747" s="190"/>
      <c r="U747" s="190"/>
      <c r="V747" s="190"/>
      <c r="W747" s="190"/>
      <c r="X747" s="190"/>
      <c r="Y747" s="190"/>
      <c r="Z747" s="190"/>
    </row>
    <row r="748" ht="15.75" customHeight="1" spans="1:26">
      <c r="A748" s="190"/>
      <c r="B748" s="190"/>
      <c r="C748" s="190"/>
      <c r="D748" s="190"/>
      <c r="E748" s="190"/>
      <c r="F748" s="190"/>
      <c r="G748" s="190"/>
      <c r="H748" s="190"/>
      <c r="I748" s="190"/>
      <c r="J748" s="190"/>
      <c r="K748" s="190"/>
      <c r="L748" s="190"/>
      <c r="M748" s="190"/>
      <c r="N748" s="190"/>
      <c r="O748" s="190"/>
      <c r="P748" s="190"/>
      <c r="Q748" s="190"/>
      <c r="R748" s="190"/>
      <c r="S748" s="190"/>
      <c r="T748" s="190"/>
      <c r="U748" s="190"/>
      <c r="V748" s="190"/>
      <c r="W748" s="190"/>
      <c r="X748" s="190"/>
      <c r="Y748" s="190"/>
      <c r="Z748" s="190"/>
    </row>
    <row r="749" ht="15.75" customHeight="1" spans="1:26">
      <c r="A749" s="190"/>
      <c r="B749" s="190"/>
      <c r="C749" s="190"/>
      <c r="D749" s="190"/>
      <c r="E749" s="190"/>
      <c r="F749" s="190"/>
      <c r="G749" s="190"/>
      <c r="H749" s="190"/>
      <c r="I749" s="190"/>
      <c r="J749" s="190"/>
      <c r="K749" s="190"/>
      <c r="L749" s="190"/>
      <c r="M749" s="190"/>
      <c r="N749" s="190"/>
      <c r="O749" s="190"/>
      <c r="P749" s="190"/>
      <c r="Q749" s="190"/>
      <c r="R749" s="190"/>
      <c r="S749" s="190"/>
      <c r="T749" s="190"/>
      <c r="U749" s="190"/>
      <c r="V749" s="190"/>
      <c r="W749" s="190"/>
      <c r="X749" s="190"/>
      <c r="Y749" s="190"/>
      <c r="Z749" s="190"/>
    </row>
    <row r="750" ht="15.75" customHeight="1" spans="1:26">
      <c r="A750" s="190"/>
      <c r="B750" s="190"/>
      <c r="C750" s="190"/>
      <c r="D750" s="190"/>
      <c r="E750" s="190"/>
      <c r="F750" s="190"/>
      <c r="G750" s="190"/>
      <c r="H750" s="190"/>
      <c r="I750" s="190"/>
      <c r="J750" s="190"/>
      <c r="K750" s="190"/>
      <c r="L750" s="190"/>
      <c r="M750" s="190"/>
      <c r="N750" s="190"/>
      <c r="O750" s="190"/>
      <c r="P750" s="190"/>
      <c r="Q750" s="190"/>
      <c r="R750" s="190"/>
      <c r="S750" s="190"/>
      <c r="T750" s="190"/>
      <c r="U750" s="190"/>
      <c r="V750" s="190"/>
      <c r="W750" s="190"/>
      <c r="X750" s="190"/>
      <c r="Y750" s="190"/>
      <c r="Z750" s="190"/>
    </row>
    <row r="751" ht="15.75" customHeight="1" spans="1:26">
      <c r="A751" s="190"/>
      <c r="B751" s="190"/>
      <c r="C751" s="190"/>
      <c r="D751" s="190"/>
      <c r="E751" s="190"/>
      <c r="F751" s="190"/>
      <c r="G751" s="190"/>
      <c r="H751" s="190"/>
      <c r="I751" s="190"/>
      <c r="J751" s="190"/>
      <c r="K751" s="190"/>
      <c r="L751" s="190"/>
      <c r="M751" s="190"/>
      <c r="N751" s="190"/>
      <c r="O751" s="190"/>
      <c r="P751" s="190"/>
      <c r="Q751" s="190"/>
      <c r="R751" s="190"/>
      <c r="S751" s="190"/>
      <c r="T751" s="190"/>
      <c r="U751" s="190"/>
      <c r="V751" s="190"/>
      <c r="W751" s="190"/>
      <c r="X751" s="190"/>
      <c r="Y751" s="190"/>
      <c r="Z751" s="190"/>
    </row>
    <row r="752" ht="15.75" customHeight="1" spans="1:26">
      <c r="A752" s="190"/>
      <c r="B752" s="190"/>
      <c r="C752" s="190"/>
      <c r="D752" s="190"/>
      <c r="E752" s="190"/>
      <c r="F752" s="190"/>
      <c r="G752" s="190"/>
      <c r="H752" s="190"/>
      <c r="I752" s="190"/>
      <c r="J752" s="190"/>
      <c r="K752" s="190"/>
      <c r="L752" s="190"/>
      <c r="M752" s="190"/>
      <c r="N752" s="190"/>
      <c r="O752" s="190"/>
      <c r="P752" s="190"/>
      <c r="Q752" s="190"/>
      <c r="R752" s="190"/>
      <c r="S752" s="190"/>
      <c r="T752" s="190"/>
      <c r="U752" s="190"/>
      <c r="V752" s="190"/>
      <c r="W752" s="190"/>
      <c r="X752" s="190"/>
      <c r="Y752" s="190"/>
      <c r="Z752" s="190"/>
    </row>
    <row r="753" ht="15.75" customHeight="1" spans="1:26">
      <c r="A753" s="190"/>
      <c r="B753" s="190"/>
      <c r="C753" s="190"/>
      <c r="D753" s="190"/>
      <c r="E753" s="190"/>
      <c r="F753" s="190"/>
      <c r="G753" s="190"/>
      <c r="H753" s="190"/>
      <c r="I753" s="190"/>
      <c r="J753" s="190"/>
      <c r="K753" s="190"/>
      <c r="L753" s="190"/>
      <c r="M753" s="190"/>
      <c r="N753" s="190"/>
      <c r="O753" s="190"/>
      <c r="P753" s="190"/>
      <c r="Q753" s="190"/>
      <c r="R753" s="190"/>
      <c r="S753" s="190"/>
      <c r="T753" s="190"/>
      <c r="U753" s="190"/>
      <c r="V753" s="190"/>
      <c r="W753" s="190"/>
      <c r="X753" s="190"/>
      <c r="Y753" s="190"/>
      <c r="Z753" s="190"/>
    </row>
    <row r="754" ht="15.75" customHeight="1" spans="1:26">
      <c r="A754" s="190"/>
      <c r="B754" s="190"/>
      <c r="C754" s="190"/>
      <c r="D754" s="190"/>
      <c r="E754" s="190"/>
      <c r="F754" s="190"/>
      <c r="G754" s="190"/>
      <c r="H754" s="190"/>
      <c r="I754" s="190"/>
      <c r="J754" s="190"/>
      <c r="K754" s="190"/>
      <c r="L754" s="190"/>
      <c r="M754" s="190"/>
      <c r="N754" s="190"/>
      <c r="O754" s="190"/>
      <c r="P754" s="190"/>
      <c r="Q754" s="190"/>
      <c r="R754" s="190"/>
      <c r="S754" s="190"/>
      <c r="T754" s="190"/>
      <c r="U754" s="190"/>
      <c r="V754" s="190"/>
      <c r="W754" s="190"/>
      <c r="X754" s="190"/>
      <c r="Y754" s="190"/>
      <c r="Z754" s="190"/>
    </row>
    <row r="755" ht="15.75" customHeight="1" spans="1:26">
      <c r="A755" s="190"/>
      <c r="B755" s="190"/>
      <c r="C755" s="190"/>
      <c r="D755" s="190"/>
      <c r="E755" s="190"/>
      <c r="F755" s="190"/>
      <c r="G755" s="190"/>
      <c r="H755" s="190"/>
      <c r="I755" s="190"/>
      <c r="J755" s="190"/>
      <c r="K755" s="190"/>
      <c r="L755" s="190"/>
      <c r="M755" s="190"/>
      <c r="N755" s="190"/>
      <c r="O755" s="190"/>
      <c r="P755" s="190"/>
      <c r="Q755" s="190"/>
      <c r="R755" s="190"/>
      <c r="S755" s="190"/>
      <c r="T755" s="190"/>
      <c r="U755" s="190"/>
      <c r="V755" s="190"/>
      <c r="W755" s="190"/>
      <c r="X755" s="190"/>
      <c r="Y755" s="190"/>
      <c r="Z755" s="190"/>
    </row>
    <row r="756" ht="15.75" customHeight="1" spans="1:26">
      <c r="A756" s="190"/>
      <c r="B756" s="190"/>
      <c r="C756" s="190"/>
      <c r="D756" s="190"/>
      <c r="E756" s="190"/>
      <c r="F756" s="190"/>
      <c r="G756" s="190"/>
      <c r="H756" s="190"/>
      <c r="I756" s="190"/>
      <c r="J756" s="190"/>
      <c r="K756" s="190"/>
      <c r="L756" s="190"/>
      <c r="M756" s="190"/>
      <c r="N756" s="190"/>
      <c r="O756" s="190"/>
      <c r="P756" s="190"/>
      <c r="Q756" s="190"/>
      <c r="R756" s="190"/>
      <c r="S756" s="190"/>
      <c r="T756" s="190"/>
      <c r="U756" s="190"/>
      <c r="V756" s="190"/>
      <c r="W756" s="190"/>
      <c r="X756" s="190"/>
      <c r="Y756" s="190"/>
      <c r="Z756" s="190"/>
    </row>
    <row r="757" ht="15.75" customHeight="1" spans="1:26">
      <c r="A757" s="190"/>
      <c r="B757" s="190"/>
      <c r="C757" s="190"/>
      <c r="D757" s="190"/>
      <c r="E757" s="190"/>
      <c r="F757" s="190"/>
      <c r="G757" s="190"/>
      <c r="H757" s="190"/>
      <c r="I757" s="190"/>
      <c r="J757" s="190"/>
      <c r="K757" s="190"/>
      <c r="L757" s="190"/>
      <c r="M757" s="190"/>
      <c r="N757" s="190"/>
      <c r="O757" s="190"/>
      <c r="P757" s="190"/>
      <c r="Q757" s="190"/>
      <c r="R757" s="190"/>
      <c r="S757" s="190"/>
      <c r="T757" s="190"/>
      <c r="U757" s="190"/>
      <c r="V757" s="190"/>
      <c r="W757" s="190"/>
      <c r="X757" s="190"/>
      <c r="Y757" s="190"/>
      <c r="Z757" s="190"/>
    </row>
    <row r="758" ht="15.75" customHeight="1" spans="1:26">
      <c r="A758" s="190"/>
      <c r="B758" s="190"/>
      <c r="C758" s="190"/>
      <c r="D758" s="190"/>
      <c r="E758" s="190"/>
      <c r="F758" s="190"/>
      <c r="G758" s="190"/>
      <c r="H758" s="190"/>
      <c r="I758" s="190"/>
      <c r="J758" s="190"/>
      <c r="K758" s="190"/>
      <c r="L758" s="190"/>
      <c r="M758" s="190"/>
      <c r="N758" s="190"/>
      <c r="O758" s="190"/>
      <c r="P758" s="190"/>
      <c r="Q758" s="190"/>
      <c r="R758" s="190"/>
      <c r="S758" s="190"/>
      <c r="T758" s="190"/>
      <c r="U758" s="190"/>
      <c r="V758" s="190"/>
      <c r="W758" s="190"/>
      <c r="X758" s="190"/>
      <c r="Y758" s="190"/>
      <c r="Z758" s="190"/>
    </row>
    <row r="759" ht="15.75" customHeight="1" spans="1:26">
      <c r="A759" s="190"/>
      <c r="B759" s="190"/>
      <c r="C759" s="190"/>
      <c r="D759" s="190"/>
      <c r="E759" s="190"/>
      <c r="F759" s="190"/>
      <c r="G759" s="190"/>
      <c r="H759" s="190"/>
      <c r="I759" s="190"/>
      <c r="J759" s="190"/>
      <c r="K759" s="190"/>
      <c r="L759" s="190"/>
      <c r="M759" s="190"/>
      <c r="N759" s="190"/>
      <c r="O759" s="190"/>
      <c r="P759" s="190"/>
      <c r="Q759" s="190"/>
      <c r="R759" s="190"/>
      <c r="S759" s="190"/>
      <c r="T759" s="190"/>
      <c r="U759" s="190"/>
      <c r="V759" s="190"/>
      <c r="W759" s="190"/>
      <c r="X759" s="190"/>
      <c r="Y759" s="190"/>
      <c r="Z759" s="190"/>
    </row>
    <row r="760" ht="15.75" customHeight="1" spans="1:26">
      <c r="A760" s="190"/>
      <c r="B760" s="190"/>
      <c r="C760" s="190"/>
      <c r="D760" s="190"/>
      <c r="E760" s="190"/>
      <c r="F760" s="190"/>
      <c r="G760" s="190"/>
      <c r="H760" s="190"/>
      <c r="I760" s="190"/>
      <c r="J760" s="190"/>
      <c r="K760" s="190"/>
      <c r="L760" s="190"/>
      <c r="M760" s="190"/>
      <c r="N760" s="190"/>
      <c r="O760" s="190"/>
      <c r="P760" s="190"/>
      <c r="Q760" s="190"/>
      <c r="R760" s="190"/>
      <c r="S760" s="190"/>
      <c r="T760" s="190"/>
      <c r="U760" s="190"/>
      <c r="V760" s="190"/>
      <c r="W760" s="190"/>
      <c r="X760" s="190"/>
      <c r="Y760" s="190"/>
      <c r="Z760" s="190"/>
    </row>
    <row r="761" ht="15.75" customHeight="1" spans="1:26">
      <c r="A761" s="190"/>
      <c r="B761" s="190"/>
      <c r="C761" s="190"/>
      <c r="D761" s="190"/>
      <c r="E761" s="190"/>
      <c r="F761" s="190"/>
      <c r="G761" s="190"/>
      <c r="H761" s="190"/>
      <c r="I761" s="190"/>
      <c r="J761" s="190"/>
      <c r="K761" s="190"/>
      <c r="L761" s="190"/>
      <c r="M761" s="190"/>
      <c r="N761" s="190"/>
      <c r="O761" s="190"/>
      <c r="P761" s="190"/>
      <c r="Q761" s="190"/>
      <c r="R761" s="190"/>
      <c r="S761" s="190"/>
      <c r="T761" s="190"/>
      <c r="U761" s="190"/>
      <c r="V761" s="190"/>
      <c r="W761" s="190"/>
      <c r="X761" s="190"/>
      <c r="Y761" s="190"/>
      <c r="Z761" s="190"/>
    </row>
    <row r="762" ht="15.75" customHeight="1" spans="1:26">
      <c r="A762" s="190"/>
      <c r="B762" s="190"/>
      <c r="C762" s="190"/>
      <c r="D762" s="190"/>
      <c r="E762" s="190"/>
      <c r="F762" s="190"/>
      <c r="G762" s="190"/>
      <c r="H762" s="190"/>
      <c r="I762" s="190"/>
      <c r="J762" s="190"/>
      <c r="K762" s="190"/>
      <c r="L762" s="190"/>
      <c r="M762" s="190"/>
      <c r="N762" s="190"/>
      <c r="O762" s="190"/>
      <c r="P762" s="190"/>
      <c r="Q762" s="190"/>
      <c r="R762" s="190"/>
      <c r="S762" s="190"/>
      <c r="T762" s="190"/>
      <c r="U762" s="190"/>
      <c r="V762" s="190"/>
      <c r="W762" s="190"/>
      <c r="X762" s="190"/>
      <c r="Y762" s="190"/>
      <c r="Z762" s="190"/>
    </row>
    <row r="763" ht="15.75" customHeight="1" spans="1:26">
      <c r="A763" s="190"/>
      <c r="B763" s="190"/>
      <c r="C763" s="190"/>
      <c r="D763" s="190"/>
      <c r="E763" s="190"/>
      <c r="F763" s="190"/>
      <c r="G763" s="190"/>
      <c r="H763" s="190"/>
      <c r="I763" s="190"/>
      <c r="J763" s="190"/>
      <c r="K763" s="190"/>
      <c r="L763" s="190"/>
      <c r="M763" s="190"/>
      <c r="N763" s="190"/>
      <c r="O763" s="190"/>
      <c r="P763" s="190"/>
      <c r="Q763" s="190"/>
      <c r="R763" s="190"/>
      <c r="S763" s="190"/>
      <c r="T763" s="190"/>
      <c r="U763" s="190"/>
      <c r="V763" s="190"/>
      <c r="W763" s="190"/>
      <c r="X763" s="190"/>
      <c r="Y763" s="190"/>
      <c r="Z763" s="190"/>
    </row>
    <row r="764" ht="15.75" customHeight="1" spans="1:26">
      <c r="A764" s="190"/>
      <c r="B764" s="190"/>
      <c r="C764" s="190"/>
      <c r="D764" s="190"/>
      <c r="E764" s="190"/>
      <c r="F764" s="190"/>
      <c r="G764" s="190"/>
      <c r="H764" s="190"/>
      <c r="I764" s="190"/>
      <c r="J764" s="190"/>
      <c r="K764" s="190"/>
      <c r="L764" s="190"/>
      <c r="M764" s="190"/>
      <c r="N764" s="190"/>
      <c r="O764" s="190"/>
      <c r="P764" s="190"/>
      <c r="Q764" s="190"/>
      <c r="R764" s="190"/>
      <c r="S764" s="190"/>
      <c r="T764" s="190"/>
      <c r="U764" s="190"/>
      <c r="V764" s="190"/>
      <c r="W764" s="190"/>
      <c r="X764" s="190"/>
      <c r="Y764" s="190"/>
      <c r="Z764" s="190"/>
    </row>
    <row r="765" ht="15.75" customHeight="1" spans="1:26">
      <c r="A765" s="190"/>
      <c r="B765" s="190"/>
      <c r="C765" s="190"/>
      <c r="D765" s="190"/>
      <c r="E765" s="190"/>
      <c r="F765" s="190"/>
      <c r="G765" s="190"/>
      <c r="H765" s="190"/>
      <c r="I765" s="190"/>
      <c r="J765" s="190"/>
      <c r="K765" s="190"/>
      <c r="L765" s="190"/>
      <c r="M765" s="190"/>
      <c r="N765" s="190"/>
      <c r="O765" s="190"/>
      <c r="P765" s="190"/>
      <c r="Q765" s="190"/>
      <c r="R765" s="190"/>
      <c r="S765" s="190"/>
      <c r="T765" s="190"/>
      <c r="U765" s="190"/>
      <c r="V765" s="190"/>
      <c r="W765" s="190"/>
      <c r="X765" s="190"/>
      <c r="Y765" s="190"/>
      <c r="Z765" s="190"/>
    </row>
    <row r="766" ht="15.75" customHeight="1" spans="1:26">
      <c r="A766" s="190"/>
      <c r="B766" s="190"/>
      <c r="C766" s="190"/>
      <c r="D766" s="190"/>
      <c r="E766" s="190"/>
      <c r="F766" s="190"/>
      <c r="G766" s="190"/>
      <c r="H766" s="190"/>
      <c r="I766" s="190"/>
      <c r="J766" s="190"/>
      <c r="K766" s="190"/>
      <c r="L766" s="190"/>
      <c r="M766" s="190"/>
      <c r="N766" s="190"/>
      <c r="O766" s="190"/>
      <c r="P766" s="190"/>
      <c r="Q766" s="190"/>
      <c r="R766" s="190"/>
      <c r="S766" s="190"/>
      <c r="T766" s="190"/>
      <c r="U766" s="190"/>
      <c r="V766" s="190"/>
      <c r="W766" s="190"/>
      <c r="X766" s="190"/>
      <c r="Y766" s="190"/>
      <c r="Z766" s="190"/>
    </row>
    <row r="767" ht="15.75" customHeight="1" spans="1:26">
      <c r="A767" s="190"/>
      <c r="B767" s="190"/>
      <c r="C767" s="190"/>
      <c r="D767" s="190"/>
      <c r="E767" s="190"/>
      <c r="F767" s="190"/>
      <c r="G767" s="190"/>
      <c r="H767" s="190"/>
      <c r="I767" s="190"/>
      <c r="J767" s="190"/>
      <c r="K767" s="190"/>
      <c r="L767" s="190"/>
      <c r="M767" s="190"/>
      <c r="N767" s="190"/>
      <c r="O767" s="190"/>
      <c r="P767" s="190"/>
      <c r="Q767" s="190"/>
      <c r="R767" s="190"/>
      <c r="S767" s="190"/>
      <c r="T767" s="190"/>
      <c r="U767" s="190"/>
      <c r="V767" s="190"/>
      <c r="W767" s="190"/>
      <c r="X767" s="190"/>
      <c r="Y767" s="190"/>
      <c r="Z767" s="190"/>
    </row>
    <row r="768" ht="15.75" customHeight="1" spans="1:26">
      <c r="A768" s="190"/>
      <c r="B768" s="190"/>
      <c r="C768" s="190"/>
      <c r="D768" s="190"/>
      <c r="E768" s="190"/>
      <c r="F768" s="190"/>
      <c r="G768" s="190"/>
      <c r="H768" s="190"/>
      <c r="I768" s="190"/>
      <c r="J768" s="190"/>
      <c r="K768" s="190"/>
      <c r="L768" s="190"/>
      <c r="M768" s="190"/>
      <c r="N768" s="190"/>
      <c r="O768" s="190"/>
      <c r="P768" s="190"/>
      <c r="Q768" s="190"/>
      <c r="R768" s="190"/>
      <c r="S768" s="190"/>
      <c r="T768" s="190"/>
      <c r="U768" s="190"/>
      <c r="V768" s="190"/>
      <c r="W768" s="190"/>
      <c r="X768" s="190"/>
      <c r="Y768" s="190"/>
      <c r="Z768" s="190"/>
    </row>
    <row r="769" ht="15.75" customHeight="1" spans="1:26">
      <c r="A769" s="190"/>
      <c r="B769" s="190"/>
      <c r="C769" s="190"/>
      <c r="D769" s="190"/>
      <c r="E769" s="190"/>
      <c r="F769" s="190"/>
      <c r="G769" s="190"/>
      <c r="H769" s="190"/>
      <c r="I769" s="190"/>
      <c r="J769" s="190"/>
      <c r="K769" s="190"/>
      <c r="L769" s="190"/>
      <c r="M769" s="190"/>
      <c r="N769" s="190"/>
      <c r="O769" s="190"/>
      <c r="P769" s="190"/>
      <c r="Q769" s="190"/>
      <c r="R769" s="190"/>
      <c r="S769" s="190"/>
      <c r="T769" s="190"/>
      <c r="U769" s="190"/>
      <c r="V769" s="190"/>
      <c r="W769" s="190"/>
      <c r="X769" s="190"/>
      <c r="Y769" s="190"/>
      <c r="Z769" s="190"/>
    </row>
    <row r="770" ht="15.75" customHeight="1" spans="1:26">
      <c r="A770" s="190"/>
      <c r="B770" s="190"/>
      <c r="C770" s="190"/>
      <c r="D770" s="190"/>
      <c r="E770" s="190"/>
      <c r="F770" s="190"/>
      <c r="G770" s="190"/>
      <c r="H770" s="190"/>
      <c r="I770" s="190"/>
      <c r="J770" s="190"/>
      <c r="K770" s="190"/>
      <c r="L770" s="190"/>
      <c r="M770" s="190"/>
      <c r="N770" s="190"/>
      <c r="O770" s="190"/>
      <c r="P770" s="190"/>
      <c r="Q770" s="190"/>
      <c r="R770" s="190"/>
      <c r="S770" s="190"/>
      <c r="T770" s="190"/>
      <c r="U770" s="190"/>
      <c r="V770" s="190"/>
      <c r="W770" s="190"/>
      <c r="X770" s="190"/>
      <c r="Y770" s="190"/>
      <c r="Z770" s="190"/>
    </row>
    <row r="771" ht="15.75" customHeight="1" spans="1:26">
      <c r="A771" s="190"/>
      <c r="B771" s="190"/>
      <c r="C771" s="190"/>
      <c r="D771" s="190"/>
      <c r="E771" s="190"/>
      <c r="F771" s="190"/>
      <c r="G771" s="190"/>
      <c r="H771" s="190"/>
      <c r="I771" s="190"/>
      <c r="J771" s="190"/>
      <c r="K771" s="190"/>
      <c r="L771" s="190"/>
      <c r="M771" s="190"/>
      <c r="N771" s="190"/>
      <c r="O771" s="190"/>
      <c r="P771" s="190"/>
      <c r="Q771" s="190"/>
      <c r="R771" s="190"/>
      <c r="S771" s="190"/>
      <c r="T771" s="190"/>
      <c r="U771" s="190"/>
      <c r="V771" s="190"/>
      <c r="W771" s="190"/>
      <c r="X771" s="190"/>
      <c r="Y771" s="190"/>
      <c r="Z771" s="190"/>
    </row>
    <row r="772" ht="15.75" customHeight="1" spans="1:26">
      <c r="A772" s="190"/>
      <c r="B772" s="190"/>
      <c r="C772" s="190"/>
      <c r="D772" s="190"/>
      <c r="E772" s="190"/>
      <c r="F772" s="190"/>
      <c r="G772" s="190"/>
      <c r="H772" s="190"/>
      <c r="I772" s="190"/>
      <c r="J772" s="190"/>
      <c r="K772" s="190"/>
      <c r="L772" s="190"/>
      <c r="M772" s="190"/>
      <c r="N772" s="190"/>
      <c r="O772" s="190"/>
      <c r="P772" s="190"/>
      <c r="Q772" s="190"/>
      <c r="R772" s="190"/>
      <c r="S772" s="190"/>
      <c r="T772" s="190"/>
      <c r="U772" s="190"/>
      <c r="V772" s="190"/>
      <c r="W772" s="190"/>
      <c r="X772" s="190"/>
      <c r="Y772" s="190"/>
      <c r="Z772" s="190"/>
    </row>
    <row r="773" ht="15.75" customHeight="1" spans="1:26">
      <c r="A773" s="190"/>
      <c r="B773" s="190"/>
      <c r="C773" s="190"/>
      <c r="D773" s="190"/>
      <c r="E773" s="190"/>
      <c r="F773" s="190"/>
      <c r="G773" s="190"/>
      <c r="H773" s="190"/>
      <c r="I773" s="190"/>
      <c r="J773" s="190"/>
      <c r="K773" s="190"/>
      <c r="L773" s="190"/>
      <c r="M773" s="190"/>
      <c r="N773" s="190"/>
      <c r="O773" s="190"/>
      <c r="P773" s="190"/>
      <c r="Q773" s="190"/>
      <c r="R773" s="190"/>
      <c r="S773" s="190"/>
      <c r="T773" s="190"/>
      <c r="U773" s="190"/>
      <c r="V773" s="190"/>
      <c r="W773" s="190"/>
      <c r="X773" s="190"/>
      <c r="Y773" s="190"/>
      <c r="Z773" s="190"/>
    </row>
    <row r="774" ht="15.75" customHeight="1" spans="1:26">
      <c r="A774" s="190"/>
      <c r="B774" s="190"/>
      <c r="C774" s="190"/>
      <c r="D774" s="190"/>
      <c r="E774" s="190"/>
      <c r="F774" s="190"/>
      <c r="G774" s="190"/>
      <c r="H774" s="190"/>
      <c r="I774" s="190"/>
      <c r="J774" s="190"/>
      <c r="K774" s="190"/>
      <c r="L774" s="190"/>
      <c r="M774" s="190"/>
      <c r="N774" s="190"/>
      <c r="O774" s="190"/>
      <c r="P774" s="190"/>
      <c r="Q774" s="190"/>
      <c r="R774" s="190"/>
      <c r="S774" s="190"/>
      <c r="T774" s="190"/>
      <c r="U774" s="190"/>
      <c r="V774" s="190"/>
      <c r="W774" s="190"/>
      <c r="X774" s="190"/>
      <c r="Y774" s="190"/>
      <c r="Z774" s="190"/>
    </row>
    <row r="775" ht="15.75" customHeight="1" spans="1:26">
      <c r="A775" s="190"/>
      <c r="B775" s="190"/>
      <c r="C775" s="190"/>
      <c r="D775" s="190"/>
      <c r="E775" s="190"/>
      <c r="F775" s="190"/>
      <c r="G775" s="190"/>
      <c r="H775" s="190"/>
      <c r="I775" s="190"/>
      <c r="J775" s="190"/>
      <c r="K775" s="190"/>
      <c r="L775" s="190"/>
      <c r="M775" s="190"/>
      <c r="N775" s="190"/>
      <c r="O775" s="190"/>
      <c r="P775" s="190"/>
      <c r="Q775" s="190"/>
      <c r="R775" s="190"/>
      <c r="S775" s="190"/>
      <c r="T775" s="190"/>
      <c r="U775" s="190"/>
      <c r="V775" s="190"/>
      <c r="W775" s="190"/>
      <c r="X775" s="190"/>
      <c r="Y775" s="190"/>
      <c r="Z775" s="190"/>
    </row>
    <row r="776" ht="15.75" customHeight="1" spans="1:26">
      <c r="A776" s="190"/>
      <c r="B776" s="190"/>
      <c r="C776" s="190"/>
      <c r="D776" s="190"/>
      <c r="E776" s="190"/>
      <c r="F776" s="190"/>
      <c r="G776" s="190"/>
      <c r="H776" s="190"/>
      <c r="I776" s="190"/>
      <c r="J776" s="190"/>
      <c r="K776" s="190"/>
      <c r="L776" s="190"/>
      <c r="M776" s="190"/>
      <c r="N776" s="190"/>
      <c r="O776" s="190"/>
      <c r="P776" s="190"/>
      <c r="Q776" s="190"/>
      <c r="R776" s="190"/>
      <c r="S776" s="190"/>
      <c r="T776" s="190"/>
      <c r="U776" s="190"/>
      <c r="V776" s="190"/>
      <c r="W776" s="190"/>
      <c r="X776" s="190"/>
      <c r="Y776" s="190"/>
      <c r="Z776" s="190"/>
    </row>
    <row r="777" ht="15.75" customHeight="1" spans="1:26">
      <c r="A777" s="190"/>
      <c r="B777" s="190"/>
      <c r="C777" s="190"/>
      <c r="D777" s="190"/>
      <c r="E777" s="190"/>
      <c r="F777" s="190"/>
      <c r="G777" s="190"/>
      <c r="H777" s="190"/>
      <c r="I777" s="190"/>
      <c r="J777" s="190"/>
      <c r="K777" s="190"/>
      <c r="L777" s="190"/>
      <c r="M777" s="190"/>
      <c r="N777" s="190"/>
      <c r="O777" s="190"/>
      <c r="P777" s="190"/>
      <c r="Q777" s="190"/>
      <c r="R777" s="190"/>
      <c r="S777" s="190"/>
      <c r="T777" s="190"/>
      <c r="U777" s="190"/>
      <c r="V777" s="190"/>
      <c r="W777" s="190"/>
      <c r="X777" s="190"/>
      <c r="Y777" s="190"/>
      <c r="Z777" s="190"/>
    </row>
    <row r="778" ht="15.75" customHeight="1" spans="1:26">
      <c r="A778" s="190"/>
      <c r="B778" s="190"/>
      <c r="C778" s="190"/>
      <c r="D778" s="190"/>
      <c r="E778" s="190"/>
      <c r="F778" s="190"/>
      <c r="G778" s="190"/>
      <c r="H778" s="190"/>
      <c r="I778" s="190"/>
      <c r="J778" s="190"/>
      <c r="K778" s="190"/>
      <c r="L778" s="190"/>
      <c r="M778" s="190"/>
      <c r="N778" s="190"/>
      <c r="O778" s="190"/>
      <c r="P778" s="190"/>
      <c r="Q778" s="190"/>
      <c r="R778" s="190"/>
      <c r="S778" s="190"/>
      <c r="T778" s="190"/>
      <c r="U778" s="190"/>
      <c r="V778" s="190"/>
      <c r="W778" s="190"/>
      <c r="X778" s="190"/>
      <c r="Y778" s="190"/>
      <c r="Z778" s="190"/>
    </row>
    <row r="779" ht="15.75" customHeight="1" spans="1:26">
      <c r="A779" s="190"/>
      <c r="B779" s="190"/>
      <c r="C779" s="190"/>
      <c r="D779" s="190"/>
      <c r="E779" s="190"/>
      <c r="F779" s="190"/>
      <c r="G779" s="190"/>
      <c r="H779" s="190"/>
      <c r="I779" s="190"/>
      <c r="J779" s="190"/>
      <c r="K779" s="190"/>
      <c r="L779" s="190"/>
      <c r="M779" s="190"/>
      <c r="N779" s="190"/>
      <c r="O779" s="190"/>
      <c r="P779" s="190"/>
      <c r="Q779" s="190"/>
      <c r="R779" s="190"/>
      <c r="S779" s="190"/>
      <c r="T779" s="190"/>
      <c r="U779" s="190"/>
      <c r="V779" s="190"/>
      <c r="W779" s="190"/>
      <c r="X779" s="190"/>
      <c r="Y779" s="190"/>
      <c r="Z779" s="190"/>
    </row>
    <row r="780" ht="15.75" customHeight="1" spans="1:26">
      <c r="A780" s="190"/>
      <c r="B780" s="190"/>
      <c r="C780" s="190"/>
      <c r="D780" s="190"/>
      <c r="E780" s="190"/>
      <c r="F780" s="190"/>
      <c r="G780" s="190"/>
      <c r="H780" s="190"/>
      <c r="I780" s="190"/>
      <c r="J780" s="190"/>
      <c r="K780" s="190"/>
      <c r="L780" s="190"/>
      <c r="M780" s="190"/>
      <c r="N780" s="190"/>
      <c r="O780" s="190"/>
      <c r="P780" s="190"/>
      <c r="Q780" s="190"/>
      <c r="R780" s="190"/>
      <c r="S780" s="190"/>
      <c r="T780" s="190"/>
      <c r="U780" s="190"/>
      <c r="V780" s="190"/>
      <c r="W780" s="190"/>
      <c r="X780" s="190"/>
      <c r="Y780" s="190"/>
      <c r="Z780" s="190"/>
    </row>
    <row r="781" ht="15.75" customHeight="1" spans="1:26">
      <c r="A781" s="190"/>
      <c r="B781" s="190"/>
      <c r="C781" s="190"/>
      <c r="D781" s="190"/>
      <c r="E781" s="190"/>
      <c r="F781" s="190"/>
      <c r="G781" s="190"/>
      <c r="H781" s="190"/>
      <c r="I781" s="190"/>
      <c r="J781" s="190"/>
      <c r="K781" s="190"/>
      <c r="L781" s="190"/>
      <c r="M781" s="190"/>
      <c r="N781" s="190"/>
      <c r="O781" s="190"/>
      <c r="P781" s="190"/>
      <c r="Q781" s="190"/>
      <c r="R781" s="190"/>
      <c r="S781" s="190"/>
      <c r="T781" s="190"/>
      <c r="U781" s="190"/>
      <c r="V781" s="190"/>
      <c r="W781" s="190"/>
      <c r="X781" s="190"/>
      <c r="Y781" s="190"/>
      <c r="Z781" s="190"/>
    </row>
    <row r="782" ht="15.75" customHeight="1" spans="1:26">
      <c r="A782" s="190"/>
      <c r="B782" s="190"/>
      <c r="C782" s="190"/>
      <c r="D782" s="190"/>
      <c r="E782" s="190"/>
      <c r="F782" s="190"/>
      <c r="G782" s="190"/>
      <c r="H782" s="190"/>
      <c r="I782" s="190"/>
      <c r="J782" s="190"/>
      <c r="K782" s="190"/>
      <c r="L782" s="190"/>
      <c r="M782" s="190"/>
      <c r="N782" s="190"/>
      <c r="O782" s="190"/>
      <c r="P782" s="190"/>
      <c r="Q782" s="190"/>
      <c r="R782" s="190"/>
      <c r="S782" s="190"/>
      <c r="T782" s="190"/>
      <c r="U782" s="190"/>
      <c r="V782" s="190"/>
      <c r="W782" s="190"/>
      <c r="X782" s="190"/>
      <c r="Y782" s="190"/>
      <c r="Z782" s="190"/>
    </row>
    <row r="783" ht="15.75" customHeight="1" spans="1:26">
      <c r="A783" s="190"/>
      <c r="B783" s="190"/>
      <c r="C783" s="190"/>
      <c r="D783" s="190"/>
      <c r="E783" s="190"/>
      <c r="F783" s="190"/>
      <c r="G783" s="190"/>
      <c r="H783" s="190"/>
      <c r="I783" s="190"/>
      <c r="J783" s="190"/>
      <c r="K783" s="190"/>
      <c r="L783" s="190"/>
      <c r="M783" s="190"/>
      <c r="N783" s="190"/>
      <c r="O783" s="190"/>
      <c r="P783" s="190"/>
      <c r="Q783" s="190"/>
      <c r="R783" s="190"/>
      <c r="S783" s="190"/>
      <c r="T783" s="190"/>
      <c r="U783" s="190"/>
      <c r="V783" s="190"/>
      <c r="W783" s="190"/>
      <c r="X783" s="190"/>
      <c r="Y783" s="190"/>
      <c r="Z783" s="190"/>
    </row>
    <row r="784" ht="15.75" customHeight="1" spans="1:26">
      <c r="A784" s="190"/>
      <c r="B784" s="190"/>
      <c r="C784" s="190"/>
      <c r="D784" s="190"/>
      <c r="E784" s="190"/>
      <c r="F784" s="190"/>
      <c r="G784" s="190"/>
      <c r="H784" s="190"/>
      <c r="I784" s="190"/>
      <c r="J784" s="190"/>
      <c r="K784" s="190"/>
      <c r="L784" s="190"/>
      <c r="M784" s="190"/>
      <c r="N784" s="190"/>
      <c r="O784" s="190"/>
      <c r="P784" s="190"/>
      <c r="Q784" s="190"/>
      <c r="R784" s="190"/>
      <c r="S784" s="190"/>
      <c r="T784" s="190"/>
      <c r="U784" s="190"/>
      <c r="V784" s="190"/>
      <c r="W784" s="190"/>
      <c r="X784" s="190"/>
      <c r="Y784" s="190"/>
      <c r="Z784" s="190"/>
    </row>
    <row r="785" ht="15.75" customHeight="1" spans="1:26">
      <c r="A785" s="190"/>
      <c r="B785" s="190"/>
      <c r="C785" s="190"/>
      <c r="D785" s="190"/>
      <c r="E785" s="190"/>
      <c r="F785" s="190"/>
      <c r="G785" s="190"/>
      <c r="H785" s="190"/>
      <c r="I785" s="190"/>
      <c r="J785" s="190"/>
      <c r="K785" s="190"/>
      <c r="L785" s="190"/>
      <c r="M785" s="190"/>
      <c r="N785" s="190"/>
      <c r="O785" s="190"/>
      <c r="P785" s="190"/>
      <c r="Q785" s="190"/>
      <c r="R785" s="190"/>
      <c r="S785" s="190"/>
      <c r="T785" s="190"/>
      <c r="U785" s="190"/>
      <c r="V785" s="190"/>
      <c r="W785" s="190"/>
      <c r="X785" s="190"/>
      <c r="Y785" s="190"/>
      <c r="Z785" s="190"/>
    </row>
    <row r="786" ht="15.75" customHeight="1" spans="1:26">
      <c r="A786" s="190"/>
      <c r="B786" s="190"/>
      <c r="C786" s="190"/>
      <c r="D786" s="190"/>
      <c r="E786" s="190"/>
      <c r="F786" s="190"/>
      <c r="G786" s="190"/>
      <c r="H786" s="190"/>
      <c r="I786" s="190"/>
      <c r="J786" s="190"/>
      <c r="K786" s="190"/>
      <c r="L786" s="190"/>
      <c r="M786" s="190"/>
      <c r="N786" s="190"/>
      <c r="O786" s="190"/>
      <c r="P786" s="190"/>
      <c r="Q786" s="190"/>
      <c r="R786" s="190"/>
      <c r="S786" s="190"/>
      <c r="T786" s="190"/>
      <c r="U786" s="190"/>
      <c r="V786" s="190"/>
      <c r="W786" s="190"/>
      <c r="X786" s="190"/>
      <c r="Y786" s="190"/>
      <c r="Z786" s="190"/>
    </row>
    <row r="787" ht="15.75" customHeight="1" spans="1:26">
      <c r="A787" s="190"/>
      <c r="B787" s="190"/>
      <c r="C787" s="190"/>
      <c r="D787" s="190"/>
      <c r="E787" s="190"/>
      <c r="F787" s="190"/>
      <c r="G787" s="190"/>
      <c r="H787" s="190"/>
      <c r="I787" s="190"/>
      <c r="J787" s="190"/>
      <c r="K787" s="190"/>
      <c r="L787" s="190"/>
      <c r="M787" s="190"/>
      <c r="N787" s="190"/>
      <c r="O787" s="190"/>
      <c r="P787" s="190"/>
      <c r="Q787" s="190"/>
      <c r="R787" s="190"/>
      <c r="S787" s="190"/>
      <c r="T787" s="190"/>
      <c r="U787" s="190"/>
      <c r="V787" s="190"/>
      <c r="W787" s="190"/>
      <c r="X787" s="190"/>
      <c r="Y787" s="190"/>
      <c r="Z787" s="190"/>
    </row>
    <row r="788" ht="15.75" customHeight="1" spans="1:26">
      <c r="A788" s="190"/>
      <c r="B788" s="190"/>
      <c r="C788" s="190"/>
      <c r="D788" s="190"/>
      <c r="E788" s="190"/>
      <c r="F788" s="190"/>
      <c r="G788" s="190"/>
      <c r="H788" s="190"/>
      <c r="I788" s="190"/>
      <c r="J788" s="190"/>
      <c r="K788" s="190"/>
      <c r="L788" s="190"/>
      <c r="M788" s="190"/>
      <c r="N788" s="190"/>
      <c r="O788" s="190"/>
      <c r="P788" s="190"/>
      <c r="Q788" s="190"/>
      <c r="R788" s="190"/>
      <c r="S788" s="190"/>
      <c r="T788" s="190"/>
      <c r="U788" s="190"/>
      <c r="V788" s="190"/>
      <c r="W788" s="190"/>
      <c r="X788" s="190"/>
      <c r="Y788" s="190"/>
      <c r="Z788" s="190"/>
    </row>
    <row r="789" ht="15.75" customHeight="1" spans="1:26">
      <c r="A789" s="190"/>
      <c r="B789" s="190"/>
      <c r="C789" s="190"/>
      <c r="D789" s="190"/>
      <c r="E789" s="190"/>
      <c r="F789" s="190"/>
      <c r="G789" s="190"/>
      <c r="H789" s="190"/>
      <c r="I789" s="190"/>
      <c r="J789" s="190"/>
      <c r="K789" s="190"/>
      <c r="L789" s="190"/>
      <c r="M789" s="190"/>
      <c r="N789" s="190"/>
      <c r="O789" s="190"/>
      <c r="P789" s="190"/>
      <c r="Q789" s="190"/>
      <c r="R789" s="190"/>
      <c r="S789" s="190"/>
      <c r="T789" s="190"/>
      <c r="U789" s="190"/>
      <c r="V789" s="190"/>
      <c r="W789" s="190"/>
      <c r="X789" s="190"/>
      <c r="Y789" s="190"/>
      <c r="Z789" s="190"/>
    </row>
    <row r="790" ht="15.75" customHeight="1" spans="1:26">
      <c r="A790" s="190"/>
      <c r="B790" s="190"/>
      <c r="C790" s="190"/>
      <c r="D790" s="190"/>
      <c r="E790" s="190"/>
      <c r="F790" s="190"/>
      <c r="G790" s="190"/>
      <c r="H790" s="190"/>
      <c r="I790" s="190"/>
      <c r="J790" s="190"/>
      <c r="K790" s="190"/>
      <c r="L790" s="190"/>
      <c r="M790" s="190"/>
      <c r="N790" s="190"/>
      <c r="O790" s="190"/>
      <c r="P790" s="190"/>
      <c r="Q790" s="190"/>
      <c r="R790" s="190"/>
      <c r="S790" s="190"/>
      <c r="T790" s="190"/>
      <c r="U790" s="190"/>
      <c r="V790" s="190"/>
      <c r="W790" s="190"/>
      <c r="X790" s="190"/>
      <c r="Y790" s="190"/>
      <c r="Z790" s="190"/>
    </row>
    <row r="791" ht="15.75" customHeight="1" spans="1:26">
      <c r="A791" s="190"/>
      <c r="B791" s="190"/>
      <c r="C791" s="190"/>
      <c r="D791" s="190"/>
      <c r="E791" s="190"/>
      <c r="F791" s="190"/>
      <c r="G791" s="190"/>
      <c r="H791" s="190"/>
      <c r="I791" s="190"/>
      <c r="J791" s="190"/>
      <c r="K791" s="190"/>
      <c r="L791" s="190"/>
      <c r="M791" s="190"/>
      <c r="N791" s="190"/>
      <c r="O791" s="190"/>
      <c r="P791" s="190"/>
      <c r="Q791" s="190"/>
      <c r="R791" s="190"/>
      <c r="S791" s="190"/>
      <c r="T791" s="190"/>
      <c r="U791" s="190"/>
      <c r="V791" s="190"/>
      <c r="W791" s="190"/>
      <c r="X791" s="190"/>
      <c r="Y791" s="190"/>
      <c r="Z791" s="190"/>
    </row>
    <row r="792" ht="15.75" customHeight="1" spans="1:26">
      <c r="A792" s="190"/>
      <c r="B792" s="190"/>
      <c r="C792" s="190"/>
      <c r="D792" s="190"/>
      <c r="E792" s="190"/>
      <c r="F792" s="190"/>
      <c r="G792" s="190"/>
      <c r="H792" s="190"/>
      <c r="I792" s="190"/>
      <c r="J792" s="190"/>
      <c r="K792" s="190"/>
      <c r="L792" s="190"/>
      <c r="M792" s="190"/>
      <c r="N792" s="190"/>
      <c r="O792" s="190"/>
      <c r="P792" s="190"/>
      <c r="Q792" s="190"/>
      <c r="R792" s="190"/>
      <c r="S792" s="190"/>
      <c r="T792" s="190"/>
      <c r="U792" s="190"/>
      <c r="V792" s="190"/>
      <c r="W792" s="190"/>
      <c r="X792" s="190"/>
      <c r="Y792" s="190"/>
      <c r="Z792" s="190"/>
    </row>
    <row r="793" ht="15.75" customHeight="1" spans="1:26">
      <c r="A793" s="190"/>
      <c r="B793" s="190"/>
      <c r="C793" s="190"/>
      <c r="D793" s="190"/>
      <c r="E793" s="190"/>
      <c r="F793" s="190"/>
      <c r="G793" s="190"/>
      <c r="H793" s="190"/>
      <c r="I793" s="190"/>
      <c r="J793" s="190"/>
      <c r="K793" s="190"/>
      <c r="L793" s="190"/>
      <c r="M793" s="190"/>
      <c r="N793" s="190"/>
      <c r="O793" s="190"/>
      <c r="P793" s="190"/>
      <c r="Q793" s="190"/>
      <c r="R793" s="190"/>
      <c r="S793" s="190"/>
      <c r="T793" s="190"/>
      <c r="U793" s="190"/>
      <c r="V793" s="190"/>
      <c r="W793" s="190"/>
      <c r="X793" s="190"/>
      <c r="Y793" s="190"/>
      <c r="Z793" s="190"/>
    </row>
    <row r="794" ht="15.75" customHeight="1" spans="1:26">
      <c r="A794" s="190"/>
      <c r="B794" s="190"/>
      <c r="C794" s="190"/>
      <c r="D794" s="190"/>
      <c r="E794" s="190"/>
      <c r="F794" s="190"/>
      <c r="G794" s="190"/>
      <c r="H794" s="190"/>
      <c r="I794" s="190"/>
      <c r="J794" s="190"/>
      <c r="K794" s="190"/>
      <c r="L794" s="190"/>
      <c r="M794" s="190"/>
      <c r="N794" s="190"/>
      <c r="O794" s="190"/>
      <c r="P794" s="190"/>
      <c r="Q794" s="190"/>
      <c r="R794" s="190"/>
      <c r="S794" s="190"/>
      <c r="T794" s="190"/>
      <c r="U794" s="190"/>
      <c r="V794" s="190"/>
      <c r="W794" s="190"/>
      <c r="X794" s="190"/>
      <c r="Y794" s="190"/>
      <c r="Z794" s="190"/>
    </row>
    <row r="795" ht="15.75" customHeight="1" spans="1:26">
      <c r="A795" s="190"/>
      <c r="B795" s="190"/>
      <c r="C795" s="190"/>
      <c r="D795" s="190"/>
      <c r="E795" s="190"/>
      <c r="F795" s="190"/>
      <c r="G795" s="190"/>
      <c r="H795" s="190"/>
      <c r="I795" s="190"/>
      <c r="J795" s="190"/>
      <c r="K795" s="190"/>
      <c r="L795" s="190"/>
      <c r="M795" s="190"/>
      <c r="N795" s="190"/>
      <c r="O795" s="190"/>
      <c r="P795" s="190"/>
      <c r="Q795" s="190"/>
      <c r="R795" s="190"/>
      <c r="S795" s="190"/>
      <c r="T795" s="190"/>
      <c r="U795" s="190"/>
      <c r="V795" s="190"/>
      <c r="W795" s="190"/>
      <c r="X795" s="190"/>
      <c r="Y795" s="190"/>
      <c r="Z795" s="190"/>
    </row>
    <row r="796" ht="15.75" customHeight="1" spans="1:26">
      <c r="A796" s="190"/>
      <c r="B796" s="190"/>
      <c r="C796" s="190"/>
      <c r="D796" s="190"/>
      <c r="E796" s="190"/>
      <c r="F796" s="190"/>
      <c r="G796" s="190"/>
      <c r="H796" s="190"/>
      <c r="I796" s="190"/>
      <c r="J796" s="190"/>
      <c r="K796" s="190"/>
      <c r="L796" s="190"/>
      <c r="M796" s="190"/>
      <c r="N796" s="190"/>
      <c r="O796" s="190"/>
      <c r="P796" s="190"/>
      <c r="Q796" s="190"/>
      <c r="R796" s="190"/>
      <c r="S796" s="190"/>
      <c r="T796" s="190"/>
      <c r="U796" s="190"/>
      <c r="V796" s="190"/>
      <c r="W796" s="190"/>
      <c r="X796" s="190"/>
      <c r="Y796" s="190"/>
      <c r="Z796" s="190"/>
    </row>
    <row r="797" ht="15.75" customHeight="1" spans="1:26">
      <c r="A797" s="190"/>
      <c r="B797" s="190"/>
      <c r="C797" s="190"/>
      <c r="D797" s="190"/>
      <c r="E797" s="190"/>
      <c r="F797" s="190"/>
      <c r="G797" s="190"/>
      <c r="H797" s="190"/>
      <c r="I797" s="190"/>
      <c r="J797" s="190"/>
      <c r="K797" s="190"/>
      <c r="L797" s="190"/>
      <c r="M797" s="190"/>
      <c r="N797" s="190"/>
      <c r="O797" s="190"/>
      <c r="P797" s="190"/>
      <c r="Q797" s="190"/>
      <c r="R797" s="190"/>
      <c r="S797" s="190"/>
      <c r="T797" s="190"/>
      <c r="U797" s="190"/>
      <c r="V797" s="190"/>
      <c r="W797" s="190"/>
      <c r="X797" s="190"/>
      <c r="Y797" s="190"/>
      <c r="Z797" s="190"/>
    </row>
    <row r="798" ht="15.75" customHeight="1" spans="1:26">
      <c r="A798" s="190"/>
      <c r="B798" s="190"/>
      <c r="C798" s="190"/>
      <c r="D798" s="190"/>
      <c r="E798" s="190"/>
      <c r="F798" s="190"/>
      <c r="G798" s="190"/>
      <c r="H798" s="190"/>
      <c r="I798" s="190"/>
      <c r="J798" s="190"/>
      <c r="K798" s="190"/>
      <c r="L798" s="190"/>
      <c r="M798" s="190"/>
      <c r="N798" s="190"/>
      <c r="O798" s="190"/>
      <c r="P798" s="190"/>
      <c r="Q798" s="190"/>
      <c r="R798" s="190"/>
      <c r="S798" s="190"/>
      <c r="T798" s="190"/>
      <c r="U798" s="190"/>
      <c r="V798" s="190"/>
      <c r="W798" s="190"/>
      <c r="X798" s="190"/>
      <c r="Y798" s="190"/>
      <c r="Z798" s="190"/>
    </row>
    <row r="799" ht="15.75" customHeight="1" spans="1:26">
      <c r="A799" s="190"/>
      <c r="B799" s="190"/>
      <c r="C799" s="190"/>
      <c r="D799" s="190"/>
      <c r="E799" s="190"/>
      <c r="F799" s="190"/>
      <c r="G799" s="190"/>
      <c r="H799" s="190"/>
      <c r="I799" s="190"/>
      <c r="J799" s="190"/>
      <c r="K799" s="190"/>
      <c r="L799" s="190"/>
      <c r="M799" s="190"/>
      <c r="N799" s="190"/>
      <c r="O799" s="190"/>
      <c r="P799" s="190"/>
      <c r="Q799" s="190"/>
      <c r="R799" s="190"/>
      <c r="S799" s="190"/>
      <c r="T799" s="190"/>
      <c r="U799" s="190"/>
      <c r="V799" s="190"/>
      <c r="W799" s="190"/>
      <c r="X799" s="190"/>
      <c r="Y799" s="190"/>
      <c r="Z799" s="190"/>
    </row>
    <row r="800" ht="15.75" customHeight="1" spans="1:26">
      <c r="A800" s="190"/>
      <c r="B800" s="190"/>
      <c r="C800" s="190"/>
      <c r="D800" s="190"/>
      <c r="E800" s="190"/>
      <c r="F800" s="190"/>
      <c r="G800" s="190"/>
      <c r="H800" s="190"/>
      <c r="I800" s="190"/>
      <c r="J800" s="190"/>
      <c r="K800" s="190"/>
      <c r="L800" s="190"/>
      <c r="M800" s="190"/>
      <c r="N800" s="190"/>
      <c r="O800" s="190"/>
      <c r="P800" s="190"/>
      <c r="Q800" s="190"/>
      <c r="R800" s="190"/>
      <c r="S800" s="190"/>
      <c r="T800" s="190"/>
      <c r="U800" s="190"/>
      <c r="V800" s="190"/>
      <c r="W800" s="190"/>
      <c r="X800" s="190"/>
      <c r="Y800" s="190"/>
      <c r="Z800" s="190"/>
    </row>
    <row r="801" ht="15.75" customHeight="1" spans="1:26">
      <c r="A801" s="190"/>
      <c r="B801" s="190"/>
      <c r="C801" s="190"/>
      <c r="D801" s="190"/>
      <c r="E801" s="190"/>
      <c r="F801" s="190"/>
      <c r="G801" s="190"/>
      <c r="H801" s="190"/>
      <c r="I801" s="190"/>
      <c r="J801" s="190"/>
      <c r="K801" s="190"/>
      <c r="L801" s="190"/>
      <c r="M801" s="190"/>
      <c r="N801" s="190"/>
      <c r="O801" s="190"/>
      <c r="P801" s="190"/>
      <c r="Q801" s="190"/>
      <c r="R801" s="190"/>
      <c r="S801" s="190"/>
      <c r="T801" s="190"/>
      <c r="U801" s="190"/>
      <c r="V801" s="190"/>
      <c r="W801" s="190"/>
      <c r="X801" s="190"/>
      <c r="Y801" s="190"/>
      <c r="Z801" s="190"/>
    </row>
    <row r="802" ht="15.75" customHeight="1" spans="1:26">
      <c r="A802" s="190"/>
      <c r="B802" s="190"/>
      <c r="C802" s="190"/>
      <c r="D802" s="190"/>
      <c r="E802" s="190"/>
      <c r="F802" s="190"/>
      <c r="G802" s="190"/>
      <c r="H802" s="190"/>
      <c r="I802" s="190"/>
      <c r="J802" s="190"/>
      <c r="K802" s="190"/>
      <c r="L802" s="190"/>
      <c r="M802" s="190"/>
      <c r="N802" s="190"/>
      <c r="O802" s="190"/>
      <c r="P802" s="190"/>
      <c r="Q802" s="190"/>
      <c r="R802" s="190"/>
      <c r="S802" s="190"/>
      <c r="T802" s="190"/>
      <c r="U802" s="190"/>
      <c r="V802" s="190"/>
      <c r="W802" s="190"/>
      <c r="X802" s="190"/>
      <c r="Y802" s="190"/>
      <c r="Z802" s="190"/>
    </row>
    <row r="803" ht="15.75" customHeight="1" spans="1:26">
      <c r="A803" s="190"/>
      <c r="B803" s="190"/>
      <c r="C803" s="190"/>
      <c r="D803" s="190"/>
      <c r="E803" s="190"/>
      <c r="F803" s="190"/>
      <c r="G803" s="190"/>
      <c r="H803" s="190"/>
      <c r="I803" s="190"/>
      <c r="J803" s="190"/>
      <c r="K803" s="190"/>
      <c r="L803" s="190"/>
      <c r="M803" s="190"/>
      <c r="N803" s="190"/>
      <c r="O803" s="190"/>
      <c r="P803" s="190"/>
      <c r="Q803" s="190"/>
      <c r="R803" s="190"/>
      <c r="S803" s="190"/>
      <c r="T803" s="190"/>
      <c r="U803" s="190"/>
      <c r="V803" s="190"/>
      <c r="W803" s="190"/>
      <c r="X803" s="190"/>
      <c r="Y803" s="190"/>
      <c r="Z803" s="190"/>
    </row>
    <row r="804" ht="15.75" customHeight="1" spans="1:26">
      <c r="A804" s="190"/>
      <c r="B804" s="190"/>
      <c r="C804" s="190"/>
      <c r="D804" s="190"/>
      <c r="E804" s="190"/>
      <c r="F804" s="190"/>
      <c r="G804" s="190"/>
      <c r="H804" s="190"/>
      <c r="I804" s="190"/>
      <c r="J804" s="190"/>
      <c r="K804" s="190"/>
      <c r="L804" s="190"/>
      <c r="M804" s="190"/>
      <c r="N804" s="190"/>
      <c r="O804" s="190"/>
      <c r="P804" s="190"/>
      <c r="Q804" s="190"/>
      <c r="R804" s="190"/>
      <c r="S804" s="190"/>
      <c r="T804" s="190"/>
      <c r="U804" s="190"/>
      <c r="V804" s="190"/>
      <c r="W804" s="190"/>
      <c r="X804" s="190"/>
      <c r="Y804" s="190"/>
      <c r="Z804" s="190"/>
    </row>
    <row r="805" ht="15.75" customHeight="1" spans="1:26">
      <c r="A805" s="190"/>
      <c r="B805" s="190"/>
      <c r="C805" s="190"/>
      <c r="D805" s="190"/>
      <c r="E805" s="190"/>
      <c r="F805" s="190"/>
      <c r="G805" s="190"/>
      <c r="H805" s="190"/>
      <c r="I805" s="190"/>
      <c r="J805" s="190"/>
      <c r="K805" s="190"/>
      <c r="L805" s="190"/>
      <c r="M805" s="190"/>
      <c r="N805" s="190"/>
      <c r="O805" s="190"/>
      <c r="P805" s="190"/>
      <c r="Q805" s="190"/>
      <c r="R805" s="190"/>
      <c r="S805" s="190"/>
      <c r="T805" s="190"/>
      <c r="U805" s="190"/>
      <c r="V805" s="190"/>
      <c r="W805" s="190"/>
      <c r="X805" s="190"/>
      <c r="Y805" s="190"/>
      <c r="Z805" s="190"/>
    </row>
    <row r="806" ht="15.75" customHeight="1" spans="1:26">
      <c r="A806" s="190"/>
      <c r="B806" s="190"/>
      <c r="C806" s="190"/>
      <c r="D806" s="190"/>
      <c r="E806" s="190"/>
      <c r="F806" s="190"/>
      <c r="G806" s="190"/>
      <c r="H806" s="190"/>
      <c r="I806" s="190"/>
      <c r="J806" s="190"/>
      <c r="K806" s="190"/>
      <c r="L806" s="190"/>
      <c r="M806" s="190"/>
      <c r="N806" s="190"/>
      <c r="O806" s="190"/>
      <c r="P806" s="190"/>
      <c r="Q806" s="190"/>
      <c r="R806" s="190"/>
      <c r="S806" s="190"/>
      <c r="T806" s="190"/>
      <c r="U806" s="190"/>
      <c r="V806" s="190"/>
      <c r="W806" s="190"/>
      <c r="X806" s="190"/>
      <c r="Y806" s="190"/>
      <c r="Z806" s="190"/>
    </row>
    <row r="807" ht="15.75" customHeight="1" spans="1:26">
      <c r="A807" s="190"/>
      <c r="B807" s="190"/>
      <c r="C807" s="190"/>
      <c r="D807" s="190"/>
      <c r="E807" s="190"/>
      <c r="F807" s="190"/>
      <c r="G807" s="190"/>
      <c r="H807" s="190"/>
      <c r="I807" s="190"/>
      <c r="J807" s="190"/>
      <c r="K807" s="190"/>
      <c r="L807" s="190"/>
      <c r="M807" s="190"/>
      <c r="N807" s="190"/>
      <c r="O807" s="190"/>
      <c r="P807" s="190"/>
      <c r="Q807" s="190"/>
      <c r="R807" s="190"/>
      <c r="S807" s="190"/>
      <c r="T807" s="190"/>
      <c r="U807" s="190"/>
      <c r="V807" s="190"/>
      <c r="W807" s="190"/>
      <c r="X807" s="190"/>
      <c r="Y807" s="190"/>
      <c r="Z807" s="190"/>
    </row>
    <row r="808" ht="15.75" customHeight="1" spans="1:26">
      <c r="A808" s="190"/>
      <c r="B808" s="190"/>
      <c r="C808" s="190"/>
      <c r="D808" s="190"/>
      <c r="E808" s="190"/>
      <c r="F808" s="190"/>
      <c r="G808" s="190"/>
      <c r="H808" s="190"/>
      <c r="I808" s="190"/>
      <c r="J808" s="190"/>
      <c r="K808" s="190"/>
      <c r="L808" s="190"/>
      <c r="M808" s="190"/>
      <c r="N808" s="190"/>
      <c r="O808" s="190"/>
      <c r="P808" s="190"/>
      <c r="Q808" s="190"/>
      <c r="R808" s="190"/>
      <c r="S808" s="190"/>
      <c r="T808" s="190"/>
      <c r="U808" s="190"/>
      <c r="V808" s="190"/>
      <c r="W808" s="190"/>
      <c r="X808" s="190"/>
      <c r="Y808" s="190"/>
      <c r="Z808" s="190"/>
    </row>
    <row r="809" ht="15.75" customHeight="1" spans="1:26">
      <c r="A809" s="190"/>
      <c r="B809" s="190"/>
      <c r="C809" s="190"/>
      <c r="D809" s="190"/>
      <c r="E809" s="190"/>
      <c r="F809" s="190"/>
      <c r="G809" s="190"/>
      <c r="H809" s="190"/>
      <c r="I809" s="190"/>
      <c r="J809" s="190"/>
      <c r="K809" s="190"/>
      <c r="L809" s="190"/>
      <c r="M809" s="190"/>
      <c r="N809" s="190"/>
      <c r="O809" s="190"/>
      <c r="P809" s="190"/>
      <c r="Q809" s="190"/>
      <c r="R809" s="190"/>
      <c r="S809" s="190"/>
      <c r="T809" s="190"/>
      <c r="U809" s="190"/>
      <c r="V809" s="190"/>
      <c r="W809" s="190"/>
      <c r="X809" s="190"/>
      <c r="Y809" s="190"/>
      <c r="Z809" s="190"/>
    </row>
    <row r="810" ht="15.75" customHeight="1" spans="1:26">
      <c r="A810" s="190"/>
      <c r="B810" s="190"/>
      <c r="C810" s="190"/>
      <c r="D810" s="190"/>
      <c r="E810" s="190"/>
      <c r="F810" s="190"/>
      <c r="G810" s="190"/>
      <c r="H810" s="190"/>
      <c r="I810" s="190"/>
      <c r="J810" s="190"/>
      <c r="K810" s="190"/>
      <c r="L810" s="190"/>
      <c r="M810" s="190"/>
      <c r="N810" s="190"/>
      <c r="O810" s="190"/>
      <c r="P810" s="190"/>
      <c r="Q810" s="190"/>
      <c r="R810" s="190"/>
      <c r="S810" s="190"/>
      <c r="T810" s="190"/>
      <c r="U810" s="190"/>
      <c r="V810" s="190"/>
      <c r="W810" s="190"/>
      <c r="X810" s="190"/>
      <c r="Y810" s="190"/>
      <c r="Z810" s="190"/>
    </row>
    <row r="811" ht="15.75" customHeight="1" spans="1:26">
      <c r="A811" s="190"/>
      <c r="B811" s="190"/>
      <c r="C811" s="190"/>
      <c r="D811" s="190"/>
      <c r="E811" s="190"/>
      <c r="F811" s="190"/>
      <c r="G811" s="190"/>
      <c r="H811" s="190"/>
      <c r="I811" s="190"/>
      <c r="J811" s="190"/>
      <c r="K811" s="190"/>
      <c r="L811" s="190"/>
      <c r="M811" s="190"/>
      <c r="N811" s="190"/>
      <c r="O811" s="190"/>
      <c r="P811" s="190"/>
      <c r="Q811" s="190"/>
      <c r="R811" s="190"/>
      <c r="S811" s="190"/>
      <c r="T811" s="190"/>
      <c r="U811" s="190"/>
      <c r="V811" s="190"/>
      <c r="W811" s="190"/>
      <c r="X811" s="190"/>
      <c r="Y811" s="190"/>
      <c r="Z811" s="190"/>
    </row>
    <row r="812" ht="15.75" customHeight="1" spans="1:26">
      <c r="A812" s="190"/>
      <c r="B812" s="190"/>
      <c r="C812" s="190"/>
      <c r="D812" s="190"/>
      <c r="E812" s="190"/>
      <c r="F812" s="190"/>
      <c r="G812" s="190"/>
      <c r="H812" s="190"/>
      <c r="I812" s="190"/>
      <c r="J812" s="190"/>
      <c r="K812" s="190"/>
      <c r="L812" s="190"/>
      <c r="M812" s="190"/>
      <c r="N812" s="190"/>
      <c r="O812" s="190"/>
      <c r="P812" s="190"/>
      <c r="Q812" s="190"/>
      <c r="R812" s="190"/>
      <c r="S812" s="190"/>
      <c r="T812" s="190"/>
      <c r="U812" s="190"/>
      <c r="V812" s="190"/>
      <c r="W812" s="190"/>
      <c r="X812" s="190"/>
      <c r="Y812" s="190"/>
      <c r="Z812" s="190"/>
    </row>
    <row r="813" ht="15.75" customHeight="1" spans="1:26">
      <c r="A813" s="190"/>
      <c r="B813" s="190"/>
      <c r="C813" s="190"/>
      <c r="D813" s="190"/>
      <c r="E813" s="190"/>
      <c r="F813" s="190"/>
      <c r="G813" s="190"/>
      <c r="H813" s="190"/>
      <c r="I813" s="190"/>
      <c r="J813" s="190"/>
      <c r="K813" s="190"/>
      <c r="L813" s="190"/>
      <c r="M813" s="190"/>
      <c r="N813" s="190"/>
      <c r="O813" s="190"/>
      <c r="P813" s="190"/>
      <c r="Q813" s="190"/>
      <c r="R813" s="190"/>
      <c r="S813" s="190"/>
      <c r="T813" s="190"/>
      <c r="U813" s="190"/>
      <c r="V813" s="190"/>
      <c r="W813" s="190"/>
      <c r="X813" s="190"/>
      <c r="Y813" s="190"/>
      <c r="Z813" s="190"/>
    </row>
    <row r="814" ht="15.75" customHeight="1" spans="1:26">
      <c r="A814" s="190"/>
      <c r="B814" s="190"/>
      <c r="C814" s="190"/>
      <c r="D814" s="190"/>
      <c r="E814" s="190"/>
      <c r="F814" s="190"/>
      <c r="G814" s="190"/>
      <c r="H814" s="190"/>
      <c r="I814" s="190"/>
      <c r="J814" s="190"/>
      <c r="K814" s="190"/>
      <c r="L814" s="190"/>
      <c r="M814" s="190"/>
      <c r="N814" s="190"/>
      <c r="O814" s="190"/>
      <c r="P814" s="190"/>
      <c r="Q814" s="190"/>
      <c r="R814" s="190"/>
      <c r="S814" s="190"/>
      <c r="T814" s="190"/>
      <c r="U814" s="190"/>
      <c r="V814" s="190"/>
      <c r="W814" s="190"/>
      <c r="X814" s="190"/>
      <c r="Y814" s="190"/>
      <c r="Z814" s="190"/>
    </row>
    <row r="815" ht="15.75" customHeight="1" spans="1:26">
      <c r="A815" s="190"/>
      <c r="B815" s="190"/>
      <c r="C815" s="190"/>
      <c r="D815" s="190"/>
      <c r="E815" s="190"/>
      <c r="F815" s="190"/>
      <c r="G815" s="190"/>
      <c r="H815" s="190"/>
      <c r="I815" s="190"/>
      <c r="J815" s="190"/>
      <c r="K815" s="190"/>
      <c r="L815" s="190"/>
      <c r="M815" s="190"/>
      <c r="N815" s="190"/>
      <c r="O815" s="190"/>
      <c r="P815" s="190"/>
      <c r="Q815" s="190"/>
      <c r="R815" s="190"/>
      <c r="S815" s="190"/>
      <c r="T815" s="190"/>
      <c r="U815" s="190"/>
      <c r="V815" s="190"/>
      <c r="W815" s="190"/>
      <c r="X815" s="190"/>
      <c r="Y815" s="190"/>
      <c r="Z815" s="190"/>
    </row>
    <row r="816" ht="15.75" customHeight="1" spans="1:26">
      <c r="A816" s="190"/>
      <c r="B816" s="190"/>
      <c r="C816" s="190"/>
      <c r="D816" s="190"/>
      <c r="E816" s="190"/>
      <c r="F816" s="190"/>
      <c r="G816" s="190"/>
      <c r="H816" s="190"/>
      <c r="I816" s="190"/>
      <c r="J816" s="190"/>
      <c r="K816" s="190"/>
      <c r="L816" s="190"/>
      <c r="M816" s="190"/>
      <c r="N816" s="190"/>
      <c r="O816" s="190"/>
      <c r="P816" s="190"/>
      <c r="Q816" s="190"/>
      <c r="R816" s="190"/>
      <c r="S816" s="190"/>
      <c r="T816" s="190"/>
      <c r="U816" s="190"/>
      <c r="V816" s="190"/>
      <c r="W816" s="190"/>
      <c r="X816" s="190"/>
      <c r="Y816" s="190"/>
      <c r="Z816" s="190"/>
    </row>
    <row r="817" ht="15.75" customHeight="1" spans="1:26">
      <c r="A817" s="190"/>
      <c r="B817" s="190"/>
      <c r="C817" s="190"/>
      <c r="D817" s="190"/>
      <c r="E817" s="190"/>
      <c r="F817" s="190"/>
      <c r="G817" s="190"/>
      <c r="H817" s="190"/>
      <c r="I817" s="190"/>
      <c r="J817" s="190"/>
      <c r="K817" s="190"/>
      <c r="L817" s="190"/>
      <c r="M817" s="190"/>
      <c r="N817" s="190"/>
      <c r="O817" s="190"/>
      <c r="P817" s="190"/>
      <c r="Q817" s="190"/>
      <c r="R817" s="190"/>
      <c r="S817" s="190"/>
      <c r="T817" s="190"/>
      <c r="U817" s="190"/>
      <c r="V817" s="190"/>
      <c r="W817" s="190"/>
      <c r="X817" s="190"/>
      <c r="Y817" s="190"/>
      <c r="Z817" s="190"/>
    </row>
    <row r="818" ht="15.75" customHeight="1" spans="1:26">
      <c r="A818" s="190"/>
      <c r="B818" s="190"/>
      <c r="C818" s="190"/>
      <c r="D818" s="190"/>
      <c r="E818" s="190"/>
      <c r="F818" s="190"/>
      <c r="G818" s="190"/>
      <c r="H818" s="190"/>
      <c r="I818" s="190"/>
      <c r="J818" s="190"/>
      <c r="K818" s="190"/>
      <c r="L818" s="190"/>
      <c r="M818" s="190"/>
      <c r="N818" s="190"/>
      <c r="O818" s="190"/>
      <c r="P818" s="190"/>
      <c r="Q818" s="190"/>
      <c r="R818" s="190"/>
      <c r="S818" s="190"/>
      <c r="T818" s="190"/>
      <c r="U818" s="190"/>
      <c r="V818" s="190"/>
      <c r="W818" s="190"/>
      <c r="X818" s="190"/>
      <c r="Y818" s="190"/>
      <c r="Z818" s="190"/>
    </row>
    <row r="819" ht="15.75" customHeight="1" spans="1:26">
      <c r="A819" s="190"/>
      <c r="B819" s="190"/>
      <c r="C819" s="190"/>
      <c r="D819" s="190"/>
      <c r="E819" s="190"/>
      <c r="F819" s="190"/>
      <c r="G819" s="190"/>
      <c r="H819" s="190"/>
      <c r="I819" s="190"/>
      <c r="J819" s="190"/>
      <c r="K819" s="190"/>
      <c r="L819" s="190"/>
      <c r="M819" s="190"/>
      <c r="N819" s="190"/>
      <c r="O819" s="190"/>
      <c r="P819" s="190"/>
      <c r="Q819" s="190"/>
      <c r="R819" s="190"/>
      <c r="S819" s="190"/>
      <c r="T819" s="190"/>
      <c r="U819" s="190"/>
      <c r="V819" s="190"/>
      <c r="W819" s="190"/>
      <c r="X819" s="190"/>
      <c r="Y819" s="190"/>
      <c r="Z819" s="190"/>
    </row>
    <row r="820" ht="15.75" customHeight="1" spans="1:26">
      <c r="A820" s="190"/>
      <c r="B820" s="190"/>
      <c r="C820" s="190"/>
      <c r="D820" s="190"/>
      <c r="E820" s="190"/>
      <c r="F820" s="190"/>
      <c r="G820" s="190"/>
      <c r="H820" s="190"/>
      <c r="I820" s="190"/>
      <c r="J820" s="190"/>
      <c r="K820" s="190"/>
      <c r="L820" s="190"/>
      <c r="M820" s="190"/>
      <c r="N820" s="190"/>
      <c r="O820" s="190"/>
      <c r="P820" s="190"/>
      <c r="Q820" s="190"/>
      <c r="R820" s="190"/>
      <c r="S820" s="190"/>
      <c r="T820" s="190"/>
      <c r="U820" s="190"/>
      <c r="V820" s="190"/>
      <c r="W820" s="190"/>
      <c r="X820" s="190"/>
      <c r="Y820" s="190"/>
      <c r="Z820" s="190"/>
    </row>
    <row r="821" ht="15.75" customHeight="1" spans="1:26">
      <c r="A821" s="190"/>
      <c r="B821" s="190"/>
      <c r="C821" s="190"/>
      <c r="D821" s="190"/>
      <c r="E821" s="190"/>
      <c r="F821" s="190"/>
      <c r="G821" s="190"/>
      <c r="H821" s="190"/>
      <c r="I821" s="190"/>
      <c r="J821" s="190"/>
      <c r="K821" s="190"/>
      <c r="L821" s="190"/>
      <c r="M821" s="190"/>
      <c r="N821" s="190"/>
      <c r="O821" s="190"/>
      <c r="P821" s="190"/>
      <c r="Q821" s="190"/>
      <c r="R821" s="190"/>
      <c r="S821" s="190"/>
      <c r="T821" s="190"/>
      <c r="U821" s="190"/>
      <c r="V821" s="190"/>
      <c r="W821" s="190"/>
      <c r="X821" s="190"/>
      <c r="Y821" s="190"/>
      <c r="Z821" s="190"/>
    </row>
    <row r="822" ht="15.75" customHeight="1" spans="1:26">
      <c r="A822" s="190"/>
      <c r="B822" s="190"/>
      <c r="C822" s="190"/>
      <c r="D822" s="190"/>
      <c r="E822" s="190"/>
      <c r="F822" s="190"/>
      <c r="G822" s="190"/>
      <c r="H822" s="190"/>
      <c r="I822" s="190"/>
      <c r="J822" s="190"/>
      <c r="K822" s="190"/>
      <c r="L822" s="190"/>
      <c r="M822" s="190"/>
      <c r="N822" s="190"/>
      <c r="O822" s="190"/>
      <c r="P822" s="190"/>
      <c r="Q822" s="190"/>
      <c r="R822" s="190"/>
      <c r="S822" s="190"/>
      <c r="T822" s="190"/>
      <c r="U822" s="190"/>
      <c r="V822" s="190"/>
      <c r="W822" s="190"/>
      <c r="X822" s="190"/>
      <c r="Y822" s="190"/>
      <c r="Z822" s="190"/>
    </row>
    <row r="823" ht="15.75" customHeight="1" spans="1:26">
      <c r="A823" s="190"/>
      <c r="B823" s="190"/>
      <c r="C823" s="190"/>
      <c r="D823" s="190"/>
      <c r="E823" s="190"/>
      <c r="F823" s="190"/>
      <c r="G823" s="190"/>
      <c r="H823" s="190"/>
      <c r="I823" s="190"/>
      <c r="J823" s="190"/>
      <c r="K823" s="190"/>
      <c r="L823" s="190"/>
      <c r="M823" s="190"/>
      <c r="N823" s="190"/>
      <c r="O823" s="190"/>
      <c r="P823" s="190"/>
      <c r="Q823" s="190"/>
      <c r="R823" s="190"/>
      <c r="S823" s="190"/>
      <c r="T823" s="190"/>
      <c r="U823" s="190"/>
      <c r="V823" s="190"/>
      <c r="W823" s="190"/>
      <c r="X823" s="190"/>
      <c r="Y823" s="190"/>
      <c r="Z823" s="190"/>
    </row>
    <row r="824" ht="15.75" customHeight="1" spans="1:26">
      <c r="A824" s="190"/>
      <c r="B824" s="190"/>
      <c r="C824" s="190"/>
      <c r="D824" s="190"/>
      <c r="E824" s="190"/>
      <c r="F824" s="190"/>
      <c r="G824" s="190"/>
      <c r="H824" s="190"/>
      <c r="I824" s="190"/>
      <c r="J824" s="190"/>
      <c r="K824" s="190"/>
      <c r="L824" s="190"/>
      <c r="M824" s="190"/>
      <c r="N824" s="190"/>
      <c r="O824" s="190"/>
      <c r="P824" s="190"/>
      <c r="Q824" s="190"/>
      <c r="R824" s="190"/>
      <c r="S824" s="190"/>
      <c r="T824" s="190"/>
      <c r="U824" s="190"/>
      <c r="V824" s="190"/>
      <c r="W824" s="190"/>
      <c r="X824" s="190"/>
      <c r="Y824" s="190"/>
      <c r="Z824" s="190"/>
    </row>
    <row r="825" ht="15.75" customHeight="1" spans="1:26">
      <c r="A825" s="190"/>
      <c r="B825" s="190"/>
      <c r="C825" s="190"/>
      <c r="D825" s="190"/>
      <c r="E825" s="190"/>
      <c r="F825" s="190"/>
      <c r="G825" s="190"/>
      <c r="H825" s="190"/>
      <c r="I825" s="190"/>
      <c r="J825" s="190"/>
      <c r="K825" s="190"/>
      <c r="L825" s="190"/>
      <c r="M825" s="190"/>
      <c r="N825" s="190"/>
      <c r="O825" s="190"/>
      <c r="P825" s="190"/>
      <c r="Q825" s="190"/>
      <c r="R825" s="190"/>
      <c r="S825" s="190"/>
      <c r="T825" s="190"/>
      <c r="U825" s="190"/>
      <c r="V825" s="190"/>
      <c r="W825" s="190"/>
      <c r="X825" s="190"/>
      <c r="Y825" s="190"/>
      <c r="Z825" s="190"/>
    </row>
    <row r="826" ht="15.75" customHeight="1" spans="1:26">
      <c r="A826" s="190"/>
      <c r="B826" s="190"/>
      <c r="C826" s="190"/>
      <c r="D826" s="190"/>
      <c r="E826" s="190"/>
      <c r="F826" s="190"/>
      <c r="G826" s="190"/>
      <c r="H826" s="190"/>
      <c r="I826" s="190"/>
      <c r="J826" s="190"/>
      <c r="K826" s="190"/>
      <c r="L826" s="190"/>
      <c r="M826" s="190"/>
      <c r="N826" s="190"/>
      <c r="O826" s="190"/>
      <c r="P826" s="190"/>
      <c r="Q826" s="190"/>
      <c r="R826" s="190"/>
      <c r="S826" s="190"/>
      <c r="T826" s="190"/>
      <c r="U826" s="190"/>
      <c r="V826" s="190"/>
      <c r="W826" s="190"/>
      <c r="X826" s="190"/>
      <c r="Y826" s="190"/>
      <c r="Z826" s="190"/>
    </row>
    <row r="827" ht="15.75" customHeight="1" spans="1:26">
      <c r="A827" s="190"/>
      <c r="B827" s="190"/>
      <c r="C827" s="190"/>
      <c r="D827" s="190"/>
      <c r="E827" s="190"/>
      <c r="F827" s="190"/>
      <c r="G827" s="190"/>
      <c r="H827" s="190"/>
      <c r="I827" s="190"/>
      <c r="J827" s="190"/>
      <c r="K827" s="190"/>
      <c r="L827" s="190"/>
      <c r="M827" s="190"/>
      <c r="N827" s="190"/>
      <c r="O827" s="190"/>
      <c r="P827" s="190"/>
      <c r="Q827" s="190"/>
      <c r="R827" s="190"/>
      <c r="S827" s="190"/>
      <c r="T827" s="190"/>
      <c r="U827" s="190"/>
      <c r="V827" s="190"/>
      <c r="W827" s="190"/>
      <c r="X827" s="190"/>
      <c r="Y827" s="190"/>
      <c r="Z827" s="190"/>
    </row>
    <row r="828" ht="15.75" customHeight="1" spans="1:26">
      <c r="A828" s="190"/>
      <c r="B828" s="190"/>
      <c r="C828" s="190"/>
      <c r="D828" s="190"/>
      <c r="E828" s="190"/>
      <c r="F828" s="190"/>
      <c r="G828" s="190"/>
      <c r="H828" s="190"/>
      <c r="I828" s="190"/>
      <c r="J828" s="190"/>
      <c r="K828" s="190"/>
      <c r="L828" s="190"/>
      <c r="M828" s="190"/>
      <c r="N828" s="190"/>
      <c r="O828" s="190"/>
      <c r="P828" s="190"/>
      <c r="Q828" s="190"/>
      <c r="R828" s="190"/>
      <c r="S828" s="190"/>
      <c r="T828" s="190"/>
      <c r="U828" s="190"/>
      <c r="V828" s="190"/>
      <c r="W828" s="190"/>
      <c r="X828" s="190"/>
      <c r="Y828" s="190"/>
      <c r="Z828" s="190"/>
    </row>
    <row r="829" ht="15.75" customHeight="1" spans="1:26">
      <c r="A829" s="190"/>
      <c r="B829" s="190"/>
      <c r="C829" s="190"/>
      <c r="D829" s="190"/>
      <c r="E829" s="190"/>
      <c r="F829" s="190"/>
      <c r="G829" s="190"/>
      <c r="H829" s="190"/>
      <c r="I829" s="190"/>
      <c r="J829" s="190"/>
      <c r="K829" s="190"/>
      <c r="L829" s="190"/>
      <c r="M829" s="190"/>
      <c r="N829" s="190"/>
      <c r="O829" s="190"/>
      <c r="P829" s="190"/>
      <c r="Q829" s="190"/>
      <c r="R829" s="190"/>
      <c r="S829" s="190"/>
      <c r="T829" s="190"/>
      <c r="U829" s="190"/>
      <c r="V829" s="190"/>
      <c r="W829" s="190"/>
      <c r="X829" s="190"/>
      <c r="Y829" s="190"/>
      <c r="Z829" s="190"/>
    </row>
    <row r="830" ht="15.75" customHeight="1" spans="1:26">
      <c r="A830" s="190"/>
      <c r="B830" s="190"/>
      <c r="C830" s="190"/>
      <c r="D830" s="190"/>
      <c r="E830" s="190"/>
      <c r="F830" s="190"/>
      <c r="G830" s="190"/>
      <c r="H830" s="190"/>
      <c r="I830" s="190"/>
      <c r="J830" s="190"/>
      <c r="K830" s="190"/>
      <c r="L830" s="190"/>
      <c r="M830" s="190"/>
      <c r="N830" s="190"/>
      <c r="O830" s="190"/>
      <c r="P830" s="190"/>
      <c r="Q830" s="190"/>
      <c r="R830" s="190"/>
      <c r="S830" s="190"/>
      <c r="T830" s="190"/>
      <c r="U830" s="190"/>
      <c r="V830" s="190"/>
      <c r="W830" s="190"/>
      <c r="X830" s="190"/>
      <c r="Y830" s="190"/>
      <c r="Z830" s="190"/>
    </row>
    <row r="831" ht="15.75" customHeight="1" spans="1:26">
      <c r="A831" s="190"/>
      <c r="B831" s="190"/>
      <c r="C831" s="190"/>
      <c r="D831" s="190"/>
      <c r="E831" s="190"/>
      <c r="F831" s="190"/>
      <c r="G831" s="190"/>
      <c r="H831" s="190"/>
      <c r="I831" s="190"/>
      <c r="J831" s="190"/>
      <c r="K831" s="190"/>
      <c r="L831" s="190"/>
      <c r="M831" s="190"/>
      <c r="N831" s="190"/>
      <c r="O831" s="190"/>
      <c r="P831" s="190"/>
      <c r="Q831" s="190"/>
      <c r="R831" s="190"/>
      <c r="S831" s="190"/>
      <c r="T831" s="190"/>
      <c r="U831" s="190"/>
      <c r="V831" s="190"/>
      <c r="W831" s="190"/>
      <c r="X831" s="190"/>
      <c r="Y831" s="190"/>
      <c r="Z831" s="190"/>
    </row>
    <row r="832" ht="15.75" customHeight="1" spans="1:26">
      <c r="A832" s="190"/>
      <c r="B832" s="190"/>
      <c r="C832" s="190"/>
      <c r="D832" s="190"/>
      <c r="E832" s="190"/>
      <c r="F832" s="190"/>
      <c r="G832" s="190"/>
      <c r="H832" s="190"/>
      <c r="I832" s="190"/>
      <c r="J832" s="190"/>
      <c r="K832" s="190"/>
      <c r="L832" s="190"/>
      <c r="M832" s="190"/>
      <c r="N832" s="190"/>
      <c r="O832" s="190"/>
      <c r="P832" s="190"/>
      <c r="Q832" s="190"/>
      <c r="R832" s="190"/>
      <c r="S832" s="190"/>
      <c r="T832" s="190"/>
      <c r="U832" s="190"/>
      <c r="V832" s="190"/>
      <c r="W832" s="190"/>
      <c r="X832" s="190"/>
      <c r="Y832" s="190"/>
      <c r="Z832" s="190"/>
    </row>
    <row r="833" ht="15.75" customHeight="1" spans="1:26">
      <c r="A833" s="190"/>
      <c r="B833" s="190"/>
      <c r="C833" s="190"/>
      <c r="D833" s="190"/>
      <c r="E833" s="190"/>
      <c r="F833" s="190"/>
      <c r="G833" s="190"/>
      <c r="H833" s="190"/>
      <c r="I833" s="190"/>
      <c r="J833" s="190"/>
      <c r="K833" s="190"/>
      <c r="L833" s="190"/>
      <c r="M833" s="190"/>
      <c r="N833" s="190"/>
      <c r="O833" s="190"/>
      <c r="P833" s="190"/>
      <c r="Q833" s="190"/>
      <c r="R833" s="190"/>
      <c r="S833" s="190"/>
      <c r="T833" s="190"/>
      <c r="U833" s="190"/>
      <c r="V833" s="190"/>
      <c r="W833" s="190"/>
      <c r="X833" s="190"/>
      <c r="Y833" s="190"/>
      <c r="Z833" s="190"/>
    </row>
    <row r="834" ht="15.75" customHeight="1" spans="1:26">
      <c r="A834" s="190"/>
      <c r="B834" s="190"/>
      <c r="C834" s="190"/>
      <c r="D834" s="190"/>
      <c r="E834" s="190"/>
      <c r="F834" s="190"/>
      <c r="G834" s="190"/>
      <c r="H834" s="190"/>
      <c r="I834" s="190"/>
      <c r="J834" s="190"/>
      <c r="K834" s="190"/>
      <c r="L834" s="190"/>
      <c r="M834" s="190"/>
      <c r="N834" s="190"/>
      <c r="O834" s="190"/>
      <c r="P834" s="190"/>
      <c r="Q834" s="190"/>
      <c r="R834" s="190"/>
      <c r="S834" s="190"/>
      <c r="T834" s="190"/>
      <c r="U834" s="190"/>
      <c r="V834" s="190"/>
      <c r="W834" s="190"/>
      <c r="X834" s="190"/>
      <c r="Y834" s="190"/>
      <c r="Z834" s="190"/>
    </row>
    <row r="835" ht="15.75" customHeight="1" spans="1:26">
      <c r="A835" s="190"/>
      <c r="B835" s="190"/>
      <c r="C835" s="190"/>
      <c r="D835" s="190"/>
      <c r="E835" s="190"/>
      <c r="F835" s="190"/>
      <c r="G835" s="190"/>
      <c r="H835" s="190"/>
      <c r="I835" s="190"/>
      <c r="J835" s="190"/>
      <c r="K835" s="190"/>
      <c r="L835" s="190"/>
      <c r="M835" s="190"/>
      <c r="N835" s="190"/>
      <c r="O835" s="190"/>
      <c r="P835" s="190"/>
      <c r="Q835" s="190"/>
      <c r="R835" s="190"/>
      <c r="S835" s="190"/>
      <c r="T835" s="190"/>
      <c r="U835" s="190"/>
      <c r="V835" s="190"/>
      <c r="W835" s="190"/>
      <c r="X835" s="190"/>
      <c r="Y835" s="190"/>
      <c r="Z835" s="190"/>
    </row>
    <row r="836" ht="15.75" customHeight="1" spans="1:26">
      <c r="A836" s="190"/>
      <c r="B836" s="190"/>
      <c r="C836" s="190"/>
      <c r="D836" s="190"/>
      <c r="E836" s="190"/>
      <c r="F836" s="190"/>
      <c r="G836" s="190"/>
      <c r="H836" s="190"/>
      <c r="I836" s="190"/>
      <c r="J836" s="190"/>
      <c r="K836" s="190"/>
      <c r="L836" s="190"/>
      <c r="M836" s="190"/>
      <c r="N836" s="190"/>
      <c r="O836" s="190"/>
      <c r="P836" s="190"/>
      <c r="Q836" s="190"/>
      <c r="R836" s="190"/>
      <c r="S836" s="190"/>
      <c r="T836" s="190"/>
      <c r="U836" s="190"/>
      <c r="V836" s="190"/>
      <c r="W836" s="190"/>
      <c r="X836" s="190"/>
      <c r="Y836" s="190"/>
      <c r="Z836" s="190"/>
    </row>
    <row r="837" ht="15.75" customHeight="1" spans="1:26">
      <c r="A837" s="190"/>
      <c r="B837" s="190"/>
      <c r="C837" s="190"/>
      <c r="D837" s="190"/>
      <c r="E837" s="190"/>
      <c r="F837" s="190"/>
      <c r="G837" s="190"/>
      <c r="H837" s="190"/>
      <c r="I837" s="190"/>
      <c r="J837" s="190"/>
      <c r="K837" s="190"/>
      <c r="L837" s="190"/>
      <c r="M837" s="190"/>
      <c r="N837" s="190"/>
      <c r="O837" s="190"/>
      <c r="P837" s="190"/>
      <c r="Q837" s="190"/>
      <c r="R837" s="190"/>
      <c r="S837" s="190"/>
      <c r="T837" s="190"/>
      <c r="U837" s="190"/>
      <c r="V837" s="190"/>
      <c r="W837" s="190"/>
      <c r="X837" s="190"/>
      <c r="Y837" s="190"/>
      <c r="Z837" s="190"/>
    </row>
    <row r="838" ht="15.75" customHeight="1" spans="1:26">
      <c r="A838" s="190"/>
      <c r="B838" s="190"/>
      <c r="C838" s="190"/>
      <c r="D838" s="190"/>
      <c r="E838" s="190"/>
      <c r="F838" s="190"/>
      <c r="G838" s="190"/>
      <c r="H838" s="190"/>
      <c r="I838" s="190"/>
      <c r="J838" s="190"/>
      <c r="K838" s="190"/>
      <c r="L838" s="190"/>
      <c r="M838" s="190"/>
      <c r="N838" s="190"/>
      <c r="O838" s="190"/>
      <c r="P838" s="190"/>
      <c r="Q838" s="190"/>
      <c r="R838" s="190"/>
      <c r="S838" s="190"/>
      <c r="T838" s="190"/>
      <c r="U838" s="190"/>
      <c r="V838" s="190"/>
      <c r="W838" s="190"/>
      <c r="X838" s="190"/>
      <c r="Y838" s="190"/>
      <c r="Z838" s="190"/>
    </row>
    <row r="839" ht="15.75" customHeight="1" spans="1:26">
      <c r="A839" s="190"/>
      <c r="B839" s="190"/>
      <c r="C839" s="190"/>
      <c r="D839" s="190"/>
      <c r="E839" s="190"/>
      <c r="F839" s="190"/>
      <c r="G839" s="190"/>
      <c r="H839" s="190"/>
      <c r="I839" s="190"/>
      <c r="J839" s="190"/>
      <c r="K839" s="190"/>
      <c r="L839" s="190"/>
      <c r="M839" s="190"/>
      <c r="N839" s="190"/>
      <c r="O839" s="190"/>
      <c r="P839" s="190"/>
      <c r="Q839" s="190"/>
      <c r="R839" s="190"/>
      <c r="S839" s="190"/>
      <c r="T839" s="190"/>
      <c r="U839" s="190"/>
      <c r="V839" s="190"/>
      <c r="W839" s="190"/>
      <c r="X839" s="190"/>
      <c r="Y839" s="190"/>
      <c r="Z839" s="190"/>
    </row>
    <row r="840" ht="15.75" customHeight="1" spans="1:26">
      <c r="A840" s="190"/>
      <c r="B840" s="190"/>
      <c r="C840" s="190"/>
      <c r="D840" s="190"/>
      <c r="E840" s="190"/>
      <c r="F840" s="190"/>
      <c r="G840" s="190"/>
      <c r="H840" s="190"/>
      <c r="I840" s="190"/>
      <c r="J840" s="190"/>
      <c r="K840" s="190"/>
      <c r="L840" s="190"/>
      <c r="M840" s="190"/>
      <c r="N840" s="190"/>
      <c r="O840" s="190"/>
      <c r="P840" s="190"/>
      <c r="Q840" s="190"/>
      <c r="R840" s="190"/>
      <c r="S840" s="190"/>
      <c r="T840" s="190"/>
      <c r="U840" s="190"/>
      <c r="V840" s="190"/>
      <c r="W840" s="190"/>
      <c r="X840" s="190"/>
      <c r="Y840" s="190"/>
      <c r="Z840" s="190"/>
    </row>
    <row r="841" ht="15.75" customHeight="1" spans="1:26">
      <c r="A841" s="190"/>
      <c r="B841" s="190"/>
      <c r="C841" s="190"/>
      <c r="D841" s="190"/>
      <c r="E841" s="190"/>
      <c r="F841" s="190"/>
      <c r="G841" s="190"/>
      <c r="H841" s="190"/>
      <c r="I841" s="190"/>
      <c r="J841" s="190"/>
      <c r="K841" s="190"/>
      <c r="L841" s="190"/>
      <c r="M841" s="190"/>
      <c r="N841" s="190"/>
      <c r="O841" s="190"/>
      <c r="P841" s="190"/>
      <c r="Q841" s="190"/>
      <c r="R841" s="190"/>
      <c r="S841" s="190"/>
      <c r="T841" s="190"/>
      <c r="U841" s="190"/>
      <c r="V841" s="190"/>
      <c r="W841" s="190"/>
      <c r="X841" s="190"/>
      <c r="Y841" s="190"/>
      <c r="Z841" s="190"/>
    </row>
    <row r="842" ht="15.75" customHeight="1" spans="1:26">
      <c r="A842" s="190"/>
      <c r="B842" s="190"/>
      <c r="C842" s="190"/>
      <c r="D842" s="190"/>
      <c r="E842" s="190"/>
      <c r="F842" s="190"/>
      <c r="G842" s="190"/>
      <c r="H842" s="190"/>
      <c r="I842" s="190"/>
      <c r="J842" s="190"/>
      <c r="K842" s="190"/>
      <c r="L842" s="190"/>
      <c r="M842" s="190"/>
      <c r="N842" s="190"/>
      <c r="O842" s="190"/>
      <c r="P842" s="190"/>
      <c r="Q842" s="190"/>
      <c r="R842" s="190"/>
      <c r="S842" s="190"/>
      <c r="T842" s="190"/>
      <c r="U842" s="190"/>
      <c r="V842" s="190"/>
      <c r="W842" s="190"/>
      <c r="X842" s="190"/>
      <c r="Y842" s="190"/>
      <c r="Z842" s="190"/>
    </row>
    <row r="843" ht="15.75" customHeight="1" spans="1:26">
      <c r="A843" s="190"/>
      <c r="B843" s="190"/>
      <c r="C843" s="190"/>
      <c r="D843" s="190"/>
      <c r="E843" s="190"/>
      <c r="F843" s="190"/>
      <c r="G843" s="190"/>
      <c r="H843" s="190"/>
      <c r="I843" s="190"/>
      <c r="J843" s="190"/>
      <c r="K843" s="190"/>
      <c r="L843" s="190"/>
      <c r="M843" s="190"/>
      <c r="N843" s="190"/>
      <c r="O843" s="190"/>
      <c r="P843" s="190"/>
      <c r="Q843" s="190"/>
      <c r="R843" s="190"/>
      <c r="S843" s="190"/>
      <c r="T843" s="190"/>
      <c r="U843" s="190"/>
      <c r="V843" s="190"/>
      <c r="W843" s="190"/>
      <c r="X843" s="190"/>
      <c r="Y843" s="190"/>
      <c r="Z843" s="190"/>
    </row>
    <row r="844" ht="15.75" customHeight="1" spans="1:26">
      <c r="A844" s="190"/>
      <c r="B844" s="190"/>
      <c r="C844" s="190"/>
      <c r="D844" s="190"/>
      <c r="E844" s="190"/>
      <c r="F844" s="190"/>
      <c r="G844" s="190"/>
      <c r="H844" s="190"/>
      <c r="I844" s="190"/>
      <c r="J844" s="190"/>
      <c r="K844" s="190"/>
      <c r="L844" s="190"/>
      <c r="M844" s="190"/>
      <c r="N844" s="190"/>
      <c r="O844" s="190"/>
      <c r="P844" s="190"/>
      <c r="Q844" s="190"/>
      <c r="R844" s="190"/>
      <c r="S844" s="190"/>
      <c r="T844" s="190"/>
      <c r="U844" s="190"/>
      <c r="V844" s="190"/>
      <c r="W844" s="190"/>
      <c r="X844" s="190"/>
      <c r="Y844" s="190"/>
      <c r="Z844" s="190"/>
    </row>
    <row r="845" ht="15.75" customHeight="1" spans="1:26">
      <c r="A845" s="190"/>
      <c r="B845" s="190"/>
      <c r="C845" s="190"/>
      <c r="D845" s="190"/>
      <c r="E845" s="190"/>
      <c r="F845" s="190"/>
      <c r="G845" s="190"/>
      <c r="H845" s="190"/>
      <c r="I845" s="190"/>
      <c r="J845" s="190"/>
      <c r="K845" s="190"/>
      <c r="L845" s="190"/>
      <c r="M845" s="190"/>
      <c r="N845" s="190"/>
      <c r="O845" s="190"/>
      <c r="P845" s="190"/>
      <c r="Q845" s="190"/>
      <c r="R845" s="190"/>
      <c r="S845" s="190"/>
      <c r="T845" s="190"/>
      <c r="U845" s="190"/>
      <c r="V845" s="190"/>
      <c r="W845" s="190"/>
      <c r="X845" s="190"/>
      <c r="Y845" s="190"/>
      <c r="Z845" s="190"/>
    </row>
    <row r="846" ht="15.75" customHeight="1" spans="1:26">
      <c r="A846" s="190"/>
      <c r="B846" s="190"/>
      <c r="C846" s="190"/>
      <c r="D846" s="190"/>
      <c r="E846" s="190"/>
      <c r="F846" s="190"/>
      <c r="G846" s="190"/>
      <c r="H846" s="190"/>
      <c r="I846" s="190"/>
      <c r="J846" s="190"/>
      <c r="K846" s="190"/>
      <c r="L846" s="190"/>
      <c r="M846" s="190"/>
      <c r="N846" s="190"/>
      <c r="O846" s="190"/>
      <c r="P846" s="190"/>
      <c r="Q846" s="190"/>
      <c r="R846" s="190"/>
      <c r="S846" s="190"/>
      <c r="T846" s="190"/>
      <c r="U846" s="190"/>
      <c r="V846" s="190"/>
      <c r="W846" s="190"/>
      <c r="X846" s="190"/>
      <c r="Y846" s="190"/>
      <c r="Z846" s="190"/>
    </row>
    <row r="847" ht="15.75" customHeight="1" spans="1:26">
      <c r="A847" s="190"/>
      <c r="B847" s="190"/>
      <c r="C847" s="190"/>
      <c r="D847" s="190"/>
      <c r="E847" s="190"/>
      <c r="F847" s="190"/>
      <c r="G847" s="190"/>
      <c r="H847" s="190"/>
      <c r="I847" s="190"/>
      <c r="J847" s="190"/>
      <c r="K847" s="190"/>
      <c r="L847" s="190"/>
      <c r="M847" s="190"/>
      <c r="N847" s="190"/>
      <c r="O847" s="190"/>
      <c r="P847" s="190"/>
      <c r="Q847" s="190"/>
      <c r="R847" s="190"/>
      <c r="S847" s="190"/>
      <c r="T847" s="190"/>
      <c r="U847" s="190"/>
      <c r="V847" s="190"/>
      <c r="W847" s="190"/>
      <c r="X847" s="190"/>
      <c r="Y847" s="190"/>
      <c r="Z847" s="190"/>
    </row>
    <row r="848" ht="15.75" customHeight="1" spans="1:26">
      <c r="A848" s="190"/>
      <c r="B848" s="190"/>
      <c r="C848" s="190"/>
      <c r="D848" s="190"/>
      <c r="E848" s="190"/>
      <c r="F848" s="190"/>
      <c r="G848" s="190"/>
      <c r="H848" s="190"/>
      <c r="I848" s="190"/>
      <c r="J848" s="190"/>
      <c r="K848" s="190"/>
      <c r="L848" s="190"/>
      <c r="M848" s="190"/>
      <c r="N848" s="190"/>
      <c r="O848" s="190"/>
      <c r="P848" s="190"/>
      <c r="Q848" s="190"/>
      <c r="R848" s="190"/>
      <c r="S848" s="190"/>
      <c r="T848" s="190"/>
      <c r="U848" s="190"/>
      <c r="V848" s="190"/>
      <c r="W848" s="190"/>
      <c r="X848" s="190"/>
      <c r="Y848" s="190"/>
      <c r="Z848" s="190"/>
    </row>
    <row r="849" ht="15.75" customHeight="1" spans="1:26">
      <c r="A849" s="190"/>
      <c r="B849" s="190"/>
      <c r="C849" s="190"/>
      <c r="D849" s="190"/>
      <c r="E849" s="190"/>
      <c r="F849" s="190"/>
      <c r="G849" s="190"/>
      <c r="H849" s="190"/>
      <c r="I849" s="190"/>
      <c r="J849" s="190"/>
      <c r="K849" s="190"/>
      <c r="L849" s="190"/>
      <c r="M849" s="190"/>
      <c r="N849" s="190"/>
      <c r="O849" s="190"/>
      <c r="P849" s="190"/>
      <c r="Q849" s="190"/>
      <c r="R849" s="190"/>
      <c r="S849" s="190"/>
      <c r="T849" s="190"/>
      <c r="U849" s="190"/>
      <c r="V849" s="190"/>
      <c r="W849" s="190"/>
      <c r="X849" s="190"/>
      <c r="Y849" s="190"/>
      <c r="Z849" s="190"/>
    </row>
    <row r="850" ht="15.75" customHeight="1" spans="1:26">
      <c r="A850" s="190"/>
      <c r="B850" s="190"/>
      <c r="C850" s="190"/>
      <c r="D850" s="190"/>
      <c r="E850" s="190"/>
      <c r="F850" s="190"/>
      <c r="G850" s="190"/>
      <c r="H850" s="190"/>
      <c r="I850" s="190"/>
      <c r="J850" s="190"/>
      <c r="K850" s="190"/>
      <c r="L850" s="190"/>
      <c r="M850" s="190"/>
      <c r="N850" s="190"/>
      <c r="O850" s="190"/>
      <c r="P850" s="190"/>
      <c r="Q850" s="190"/>
      <c r="R850" s="190"/>
      <c r="S850" s="190"/>
      <c r="T850" s="190"/>
      <c r="U850" s="190"/>
      <c r="V850" s="190"/>
      <c r="W850" s="190"/>
      <c r="X850" s="190"/>
      <c r="Y850" s="190"/>
      <c r="Z850" s="190"/>
    </row>
    <row r="851" ht="15.75" customHeight="1" spans="1:26">
      <c r="A851" s="190"/>
      <c r="B851" s="190"/>
      <c r="C851" s="190"/>
      <c r="D851" s="190"/>
      <c r="E851" s="190"/>
      <c r="F851" s="190"/>
      <c r="G851" s="190"/>
      <c r="H851" s="190"/>
      <c r="I851" s="190"/>
      <c r="J851" s="190"/>
      <c r="K851" s="190"/>
      <c r="L851" s="190"/>
      <c r="M851" s="190"/>
      <c r="N851" s="190"/>
      <c r="O851" s="190"/>
      <c r="P851" s="190"/>
      <c r="Q851" s="190"/>
      <c r="R851" s="190"/>
      <c r="S851" s="190"/>
      <c r="T851" s="190"/>
      <c r="U851" s="190"/>
      <c r="V851" s="190"/>
      <c r="W851" s="190"/>
      <c r="X851" s="190"/>
      <c r="Y851" s="190"/>
      <c r="Z851" s="190"/>
    </row>
    <row r="852" ht="15.75" customHeight="1" spans="1:26">
      <c r="A852" s="190"/>
      <c r="B852" s="190"/>
      <c r="C852" s="190"/>
      <c r="D852" s="190"/>
      <c r="E852" s="190"/>
      <c r="F852" s="190"/>
      <c r="G852" s="190"/>
      <c r="H852" s="190"/>
      <c r="I852" s="190"/>
      <c r="J852" s="190"/>
      <c r="K852" s="190"/>
      <c r="L852" s="190"/>
      <c r="M852" s="190"/>
      <c r="N852" s="190"/>
      <c r="O852" s="190"/>
      <c r="P852" s="190"/>
      <c r="Q852" s="190"/>
      <c r="R852" s="190"/>
      <c r="S852" s="190"/>
      <c r="T852" s="190"/>
      <c r="U852" s="190"/>
      <c r="V852" s="190"/>
      <c r="W852" s="190"/>
      <c r="X852" s="190"/>
      <c r="Y852" s="190"/>
      <c r="Z852" s="190"/>
    </row>
    <row r="853" ht="15.75" customHeight="1" spans="1:26">
      <c r="A853" s="190"/>
      <c r="B853" s="190"/>
      <c r="C853" s="190"/>
      <c r="D853" s="190"/>
      <c r="E853" s="190"/>
      <c r="F853" s="190"/>
      <c r="G853" s="190"/>
      <c r="H853" s="190"/>
      <c r="I853" s="190"/>
      <c r="J853" s="190"/>
      <c r="K853" s="190"/>
      <c r="L853" s="190"/>
      <c r="M853" s="190"/>
      <c r="N853" s="190"/>
      <c r="O853" s="190"/>
      <c r="P853" s="190"/>
      <c r="Q853" s="190"/>
      <c r="R853" s="190"/>
      <c r="S853" s="190"/>
      <c r="T853" s="190"/>
      <c r="U853" s="190"/>
      <c r="V853" s="190"/>
      <c r="W853" s="190"/>
      <c r="X853" s="190"/>
      <c r="Y853" s="190"/>
      <c r="Z853" s="190"/>
    </row>
    <row r="854" ht="15.75" customHeight="1" spans="1:26">
      <c r="A854" s="190"/>
      <c r="B854" s="190"/>
      <c r="C854" s="190"/>
      <c r="D854" s="190"/>
      <c r="E854" s="190"/>
      <c r="F854" s="190"/>
      <c r="G854" s="190"/>
      <c r="H854" s="190"/>
      <c r="I854" s="190"/>
      <c r="J854" s="190"/>
      <c r="K854" s="190"/>
      <c r="L854" s="190"/>
      <c r="M854" s="190"/>
      <c r="N854" s="190"/>
      <c r="O854" s="190"/>
      <c r="P854" s="190"/>
      <c r="Q854" s="190"/>
      <c r="R854" s="190"/>
      <c r="S854" s="190"/>
      <c r="T854" s="190"/>
      <c r="U854" s="190"/>
      <c r="V854" s="190"/>
      <c r="W854" s="190"/>
      <c r="X854" s="190"/>
      <c r="Y854" s="190"/>
      <c r="Z854" s="190"/>
    </row>
    <row r="855" ht="15.75" customHeight="1" spans="1:26">
      <c r="A855" s="190"/>
      <c r="B855" s="190"/>
      <c r="C855" s="190"/>
      <c r="D855" s="190"/>
      <c r="E855" s="190"/>
      <c r="F855" s="190"/>
      <c r="G855" s="190"/>
      <c r="H855" s="190"/>
      <c r="I855" s="190"/>
      <c r="J855" s="190"/>
      <c r="K855" s="190"/>
      <c r="L855" s="190"/>
      <c r="M855" s="190"/>
      <c r="N855" s="190"/>
      <c r="O855" s="190"/>
      <c r="P855" s="190"/>
      <c r="Q855" s="190"/>
      <c r="R855" s="190"/>
      <c r="S855" s="190"/>
      <c r="T855" s="190"/>
      <c r="U855" s="190"/>
      <c r="V855" s="190"/>
      <c r="W855" s="190"/>
      <c r="X855" s="190"/>
      <c r="Y855" s="190"/>
      <c r="Z855" s="190"/>
    </row>
    <row r="856" ht="15.75" customHeight="1" spans="1:26">
      <c r="A856" s="190"/>
      <c r="B856" s="190"/>
      <c r="C856" s="190"/>
      <c r="D856" s="190"/>
      <c r="E856" s="190"/>
      <c r="F856" s="190"/>
      <c r="G856" s="190"/>
      <c r="H856" s="190"/>
      <c r="I856" s="190"/>
      <c r="J856" s="190"/>
      <c r="K856" s="190"/>
      <c r="L856" s="190"/>
      <c r="M856" s="190"/>
      <c r="N856" s="190"/>
      <c r="O856" s="190"/>
      <c r="P856" s="190"/>
      <c r="Q856" s="190"/>
      <c r="R856" s="190"/>
      <c r="S856" s="190"/>
      <c r="T856" s="190"/>
      <c r="U856" s="190"/>
      <c r="V856" s="190"/>
      <c r="W856" s="190"/>
      <c r="X856" s="190"/>
      <c r="Y856" s="190"/>
      <c r="Z856" s="190"/>
    </row>
    <row r="857" ht="15.75" customHeight="1" spans="1:26">
      <c r="A857" s="190"/>
      <c r="B857" s="190"/>
      <c r="C857" s="190"/>
      <c r="D857" s="190"/>
      <c r="E857" s="190"/>
      <c r="F857" s="190"/>
      <c r="G857" s="190"/>
      <c r="H857" s="190"/>
      <c r="I857" s="190"/>
      <c r="J857" s="190"/>
      <c r="K857" s="190"/>
      <c r="L857" s="190"/>
      <c r="M857" s="190"/>
      <c r="N857" s="190"/>
      <c r="O857" s="190"/>
      <c r="P857" s="190"/>
      <c r="Q857" s="190"/>
      <c r="R857" s="190"/>
      <c r="S857" s="190"/>
      <c r="T857" s="190"/>
      <c r="U857" s="190"/>
      <c r="V857" s="190"/>
      <c r="W857" s="190"/>
      <c r="X857" s="190"/>
      <c r="Y857" s="190"/>
      <c r="Z857" s="190"/>
    </row>
    <row r="858" ht="15.75" customHeight="1" spans="1:26">
      <c r="A858" s="190"/>
      <c r="B858" s="190"/>
      <c r="C858" s="190"/>
      <c r="D858" s="190"/>
      <c r="E858" s="190"/>
      <c r="F858" s="190"/>
      <c r="G858" s="190"/>
      <c r="H858" s="190"/>
      <c r="I858" s="190"/>
      <c r="J858" s="190"/>
      <c r="K858" s="190"/>
      <c r="L858" s="190"/>
      <c r="M858" s="190"/>
      <c r="N858" s="190"/>
      <c r="O858" s="190"/>
      <c r="P858" s="190"/>
      <c r="Q858" s="190"/>
      <c r="R858" s="190"/>
      <c r="S858" s="190"/>
      <c r="T858" s="190"/>
      <c r="U858" s="190"/>
      <c r="V858" s="190"/>
      <c r="W858" s="190"/>
      <c r="X858" s="190"/>
      <c r="Y858" s="190"/>
      <c r="Z858" s="190"/>
    </row>
    <row r="859" ht="15.75" customHeight="1" spans="1:26">
      <c r="A859" s="190"/>
      <c r="B859" s="190"/>
      <c r="C859" s="190"/>
      <c r="D859" s="190"/>
      <c r="E859" s="190"/>
      <c r="F859" s="190"/>
      <c r="G859" s="190"/>
      <c r="H859" s="190"/>
      <c r="I859" s="190"/>
      <c r="J859" s="190"/>
      <c r="K859" s="190"/>
      <c r="L859" s="190"/>
      <c r="M859" s="190"/>
      <c r="N859" s="190"/>
      <c r="O859" s="190"/>
      <c r="P859" s="190"/>
      <c r="Q859" s="190"/>
      <c r="R859" s="190"/>
      <c r="S859" s="190"/>
      <c r="T859" s="190"/>
      <c r="U859" s="190"/>
      <c r="V859" s="190"/>
      <c r="W859" s="190"/>
      <c r="X859" s="190"/>
      <c r="Y859" s="190"/>
      <c r="Z859" s="190"/>
    </row>
    <row r="860" ht="15.75" customHeight="1" spans="1:26">
      <c r="A860" s="190"/>
      <c r="B860" s="190"/>
      <c r="C860" s="190"/>
      <c r="D860" s="190"/>
      <c r="E860" s="190"/>
      <c r="F860" s="190"/>
      <c r="G860" s="190"/>
      <c r="H860" s="190"/>
      <c r="I860" s="190"/>
      <c r="J860" s="190"/>
      <c r="K860" s="190"/>
      <c r="L860" s="190"/>
      <c r="M860" s="190"/>
      <c r="N860" s="190"/>
      <c r="O860" s="190"/>
      <c r="P860" s="190"/>
      <c r="Q860" s="190"/>
      <c r="R860" s="190"/>
      <c r="S860" s="190"/>
      <c r="T860" s="190"/>
      <c r="U860" s="190"/>
      <c r="V860" s="190"/>
      <c r="W860" s="190"/>
      <c r="X860" s="190"/>
      <c r="Y860" s="190"/>
      <c r="Z860" s="190"/>
    </row>
    <row r="861" ht="15.75" customHeight="1" spans="1:26">
      <c r="A861" s="190"/>
      <c r="B861" s="190"/>
      <c r="C861" s="190"/>
      <c r="D861" s="190"/>
      <c r="E861" s="190"/>
      <c r="F861" s="190"/>
      <c r="G861" s="190"/>
      <c r="H861" s="190"/>
      <c r="I861" s="190"/>
      <c r="J861" s="190"/>
      <c r="K861" s="190"/>
      <c r="L861" s="190"/>
      <c r="M861" s="190"/>
      <c r="N861" s="190"/>
      <c r="O861" s="190"/>
      <c r="P861" s="190"/>
      <c r="Q861" s="190"/>
      <c r="R861" s="190"/>
      <c r="S861" s="190"/>
      <c r="T861" s="190"/>
      <c r="U861" s="190"/>
      <c r="V861" s="190"/>
      <c r="W861" s="190"/>
      <c r="X861" s="190"/>
      <c r="Y861" s="190"/>
      <c r="Z861" s="190"/>
    </row>
    <row r="862" ht="15.75" customHeight="1" spans="1:26">
      <c r="A862" s="190"/>
      <c r="B862" s="190"/>
      <c r="C862" s="190"/>
      <c r="D862" s="190"/>
      <c r="E862" s="190"/>
      <c r="F862" s="190"/>
      <c r="G862" s="190"/>
      <c r="H862" s="190"/>
      <c r="I862" s="190"/>
      <c r="J862" s="190"/>
      <c r="K862" s="190"/>
      <c r="L862" s="190"/>
      <c r="M862" s="190"/>
      <c r="N862" s="190"/>
      <c r="O862" s="190"/>
      <c r="P862" s="190"/>
      <c r="Q862" s="190"/>
      <c r="R862" s="190"/>
      <c r="S862" s="190"/>
      <c r="T862" s="190"/>
      <c r="U862" s="190"/>
      <c r="V862" s="190"/>
      <c r="W862" s="190"/>
      <c r="X862" s="190"/>
      <c r="Y862" s="190"/>
      <c r="Z862" s="190"/>
    </row>
    <row r="863" ht="15.75" customHeight="1" spans="1:26">
      <c r="A863" s="190"/>
      <c r="B863" s="190"/>
      <c r="C863" s="190"/>
      <c r="D863" s="190"/>
      <c r="E863" s="190"/>
      <c r="F863" s="190"/>
      <c r="G863" s="190"/>
      <c r="H863" s="190"/>
      <c r="I863" s="190"/>
      <c r="J863" s="190"/>
      <c r="K863" s="190"/>
      <c r="L863" s="190"/>
      <c r="M863" s="190"/>
      <c r="N863" s="190"/>
      <c r="O863" s="190"/>
      <c r="P863" s="190"/>
      <c r="Q863" s="190"/>
      <c r="R863" s="190"/>
      <c r="S863" s="190"/>
      <c r="T863" s="190"/>
      <c r="U863" s="190"/>
      <c r="V863" s="190"/>
      <c r="W863" s="190"/>
      <c r="X863" s="190"/>
      <c r="Y863" s="190"/>
      <c r="Z863" s="190"/>
    </row>
    <row r="864" ht="15.75" customHeight="1" spans="1:26">
      <c r="A864" s="190"/>
      <c r="B864" s="190"/>
      <c r="C864" s="190"/>
      <c r="D864" s="190"/>
      <c r="E864" s="190"/>
      <c r="F864" s="190"/>
      <c r="G864" s="190"/>
      <c r="H864" s="190"/>
      <c r="I864" s="190"/>
      <c r="J864" s="190"/>
      <c r="K864" s="190"/>
      <c r="L864" s="190"/>
      <c r="M864" s="190"/>
      <c r="N864" s="190"/>
      <c r="O864" s="190"/>
      <c r="P864" s="190"/>
      <c r="Q864" s="190"/>
      <c r="R864" s="190"/>
      <c r="S864" s="190"/>
      <c r="T864" s="190"/>
      <c r="U864" s="190"/>
      <c r="V864" s="190"/>
      <c r="W864" s="190"/>
      <c r="X864" s="190"/>
      <c r="Y864" s="190"/>
      <c r="Z864" s="190"/>
    </row>
    <row r="865" ht="15.75" customHeight="1" spans="1:26">
      <c r="A865" s="190"/>
      <c r="B865" s="190"/>
      <c r="C865" s="190"/>
      <c r="D865" s="190"/>
      <c r="E865" s="190"/>
      <c r="F865" s="190"/>
      <c r="G865" s="190"/>
      <c r="H865" s="190"/>
      <c r="I865" s="190"/>
      <c r="J865" s="190"/>
      <c r="K865" s="190"/>
      <c r="L865" s="190"/>
      <c r="M865" s="190"/>
      <c r="N865" s="190"/>
      <c r="O865" s="190"/>
      <c r="P865" s="190"/>
      <c r="Q865" s="190"/>
      <c r="R865" s="190"/>
      <c r="S865" s="190"/>
      <c r="T865" s="190"/>
      <c r="U865" s="190"/>
      <c r="V865" s="190"/>
      <c r="W865" s="190"/>
      <c r="X865" s="190"/>
      <c r="Y865" s="190"/>
      <c r="Z865" s="190"/>
    </row>
    <row r="866" ht="15.75" customHeight="1" spans="1:26">
      <c r="A866" s="190"/>
      <c r="B866" s="190"/>
      <c r="C866" s="190"/>
      <c r="D866" s="190"/>
      <c r="E866" s="190"/>
      <c r="F866" s="190"/>
      <c r="G866" s="190"/>
      <c r="H866" s="190"/>
      <c r="I866" s="190"/>
      <c r="J866" s="190"/>
      <c r="K866" s="190"/>
      <c r="L866" s="190"/>
      <c r="M866" s="190"/>
      <c r="N866" s="190"/>
      <c r="O866" s="190"/>
      <c r="P866" s="190"/>
      <c r="Q866" s="190"/>
      <c r="R866" s="190"/>
      <c r="S866" s="190"/>
      <c r="T866" s="190"/>
      <c r="U866" s="190"/>
      <c r="V866" s="190"/>
      <c r="W866" s="190"/>
      <c r="X866" s="190"/>
      <c r="Y866" s="190"/>
      <c r="Z866" s="190"/>
    </row>
    <row r="867" ht="15.75" customHeight="1" spans="1:26">
      <c r="A867" s="190"/>
      <c r="B867" s="190"/>
      <c r="C867" s="190"/>
      <c r="D867" s="190"/>
      <c r="E867" s="190"/>
      <c r="F867" s="190"/>
      <c r="G867" s="190"/>
      <c r="H867" s="190"/>
      <c r="I867" s="190"/>
      <c r="J867" s="190"/>
      <c r="K867" s="190"/>
      <c r="L867" s="190"/>
      <c r="M867" s="190"/>
      <c r="N867" s="190"/>
      <c r="O867" s="190"/>
      <c r="P867" s="190"/>
      <c r="Q867" s="190"/>
      <c r="R867" s="190"/>
      <c r="S867" s="190"/>
      <c r="T867" s="190"/>
      <c r="U867" s="190"/>
      <c r="V867" s="190"/>
      <c r="W867" s="190"/>
      <c r="X867" s="190"/>
      <c r="Y867" s="190"/>
      <c r="Z867" s="190"/>
    </row>
    <row r="868" ht="15.75" customHeight="1" spans="1:26">
      <c r="A868" s="190"/>
      <c r="B868" s="190"/>
      <c r="C868" s="190"/>
      <c r="D868" s="190"/>
      <c r="E868" s="190"/>
      <c r="F868" s="190"/>
      <c r="G868" s="190"/>
      <c r="H868" s="190"/>
      <c r="I868" s="190"/>
      <c r="J868" s="190"/>
      <c r="K868" s="190"/>
      <c r="L868" s="190"/>
      <c r="M868" s="190"/>
      <c r="N868" s="190"/>
      <c r="O868" s="190"/>
      <c r="P868" s="190"/>
      <c r="Q868" s="190"/>
      <c r="R868" s="190"/>
      <c r="S868" s="190"/>
      <c r="T868" s="190"/>
      <c r="U868" s="190"/>
      <c r="V868" s="190"/>
      <c r="W868" s="190"/>
      <c r="X868" s="190"/>
      <c r="Y868" s="190"/>
      <c r="Z868" s="190"/>
    </row>
    <row r="869" ht="15.75" customHeight="1" spans="1:26">
      <c r="A869" s="190"/>
      <c r="B869" s="190"/>
      <c r="C869" s="190"/>
      <c r="D869" s="190"/>
      <c r="E869" s="190"/>
      <c r="F869" s="190"/>
      <c r="G869" s="190"/>
      <c r="H869" s="190"/>
      <c r="I869" s="190"/>
      <c r="J869" s="190"/>
      <c r="K869" s="190"/>
      <c r="L869" s="190"/>
      <c r="M869" s="190"/>
      <c r="N869" s="190"/>
      <c r="O869" s="190"/>
      <c r="P869" s="190"/>
      <c r="Q869" s="190"/>
      <c r="R869" s="190"/>
      <c r="S869" s="190"/>
      <c r="T869" s="190"/>
      <c r="U869" s="190"/>
      <c r="V869" s="190"/>
      <c r="W869" s="190"/>
      <c r="X869" s="190"/>
      <c r="Y869" s="190"/>
      <c r="Z869" s="190"/>
    </row>
    <row r="870" ht="15.75" customHeight="1" spans="1:26">
      <c r="A870" s="190"/>
      <c r="B870" s="190"/>
      <c r="C870" s="190"/>
      <c r="D870" s="190"/>
      <c r="E870" s="190"/>
      <c r="F870" s="190"/>
      <c r="G870" s="190"/>
      <c r="H870" s="190"/>
      <c r="I870" s="190"/>
      <c r="J870" s="190"/>
      <c r="K870" s="190"/>
      <c r="L870" s="190"/>
      <c r="M870" s="190"/>
      <c r="N870" s="190"/>
      <c r="O870" s="190"/>
      <c r="P870" s="190"/>
      <c r="Q870" s="190"/>
      <c r="R870" s="190"/>
      <c r="S870" s="190"/>
      <c r="T870" s="190"/>
      <c r="U870" s="190"/>
      <c r="V870" s="190"/>
      <c r="W870" s="190"/>
      <c r="X870" s="190"/>
      <c r="Y870" s="190"/>
      <c r="Z870" s="190"/>
    </row>
    <row r="871" ht="15.75" customHeight="1" spans="1:26">
      <c r="A871" s="190"/>
      <c r="B871" s="190"/>
      <c r="C871" s="190"/>
      <c r="D871" s="190"/>
      <c r="E871" s="190"/>
      <c r="F871" s="190"/>
      <c r="G871" s="190"/>
      <c r="H871" s="190"/>
      <c r="I871" s="190"/>
      <c r="J871" s="190"/>
      <c r="K871" s="190"/>
      <c r="L871" s="190"/>
      <c r="M871" s="190"/>
      <c r="N871" s="190"/>
      <c r="O871" s="190"/>
      <c r="P871" s="190"/>
      <c r="Q871" s="190"/>
      <c r="R871" s="190"/>
      <c r="S871" s="190"/>
      <c r="T871" s="190"/>
      <c r="U871" s="190"/>
      <c r="V871" s="190"/>
      <c r="W871" s="190"/>
      <c r="X871" s="190"/>
      <c r="Y871" s="190"/>
      <c r="Z871" s="190"/>
    </row>
    <row r="872" ht="15.75" customHeight="1" spans="1:26">
      <c r="A872" s="190"/>
      <c r="B872" s="190"/>
      <c r="C872" s="190"/>
      <c r="D872" s="190"/>
      <c r="E872" s="190"/>
      <c r="F872" s="190"/>
      <c r="G872" s="190"/>
      <c r="H872" s="190"/>
      <c r="I872" s="190"/>
      <c r="J872" s="190"/>
      <c r="K872" s="190"/>
      <c r="L872" s="190"/>
      <c r="M872" s="190"/>
      <c r="N872" s="190"/>
      <c r="O872" s="190"/>
      <c r="P872" s="190"/>
      <c r="Q872" s="190"/>
      <c r="R872" s="190"/>
      <c r="S872" s="190"/>
      <c r="T872" s="190"/>
      <c r="U872" s="190"/>
      <c r="V872" s="190"/>
      <c r="W872" s="190"/>
      <c r="X872" s="190"/>
      <c r="Y872" s="190"/>
      <c r="Z872" s="190"/>
    </row>
    <row r="873" ht="15.75" customHeight="1" spans="1:26">
      <c r="A873" s="190"/>
      <c r="B873" s="190"/>
      <c r="C873" s="190"/>
      <c r="D873" s="190"/>
      <c r="E873" s="190"/>
      <c r="F873" s="190"/>
      <c r="G873" s="190"/>
      <c r="H873" s="190"/>
      <c r="I873" s="190"/>
      <c r="J873" s="190"/>
      <c r="K873" s="190"/>
      <c r="L873" s="190"/>
      <c r="M873" s="190"/>
      <c r="N873" s="190"/>
      <c r="O873" s="190"/>
      <c r="P873" s="190"/>
      <c r="Q873" s="190"/>
      <c r="R873" s="190"/>
      <c r="S873" s="190"/>
      <c r="T873" s="190"/>
      <c r="U873" s="190"/>
      <c r="V873" s="190"/>
      <c r="W873" s="190"/>
      <c r="X873" s="190"/>
      <c r="Y873" s="190"/>
      <c r="Z873" s="190"/>
    </row>
    <row r="874" ht="15.75" customHeight="1" spans="1:26">
      <c r="A874" s="190"/>
      <c r="B874" s="190"/>
      <c r="C874" s="190"/>
      <c r="D874" s="190"/>
      <c r="E874" s="190"/>
      <c r="F874" s="190"/>
      <c r="G874" s="190"/>
      <c r="H874" s="190"/>
      <c r="I874" s="190"/>
      <c r="J874" s="190"/>
      <c r="K874" s="190"/>
      <c r="L874" s="190"/>
      <c r="M874" s="190"/>
      <c r="N874" s="190"/>
      <c r="O874" s="190"/>
      <c r="P874" s="190"/>
      <c r="Q874" s="190"/>
      <c r="R874" s="190"/>
      <c r="S874" s="190"/>
      <c r="T874" s="190"/>
      <c r="U874" s="190"/>
      <c r="V874" s="190"/>
      <c r="W874" s="190"/>
      <c r="X874" s="190"/>
      <c r="Y874" s="190"/>
      <c r="Z874" s="190"/>
    </row>
    <row r="875" ht="15.75" customHeight="1" spans="1:26">
      <c r="A875" s="190"/>
      <c r="B875" s="190"/>
      <c r="C875" s="190"/>
      <c r="D875" s="190"/>
      <c r="E875" s="190"/>
      <c r="F875" s="190"/>
      <c r="G875" s="190"/>
      <c r="H875" s="190"/>
      <c r="I875" s="190"/>
      <c r="J875" s="190"/>
      <c r="K875" s="190"/>
      <c r="L875" s="190"/>
      <c r="M875" s="190"/>
      <c r="N875" s="190"/>
      <c r="O875" s="190"/>
      <c r="P875" s="190"/>
      <c r="Q875" s="190"/>
      <c r="R875" s="190"/>
      <c r="S875" s="190"/>
      <c r="T875" s="190"/>
      <c r="U875" s="190"/>
      <c r="V875" s="190"/>
      <c r="W875" s="190"/>
      <c r="X875" s="190"/>
      <c r="Y875" s="190"/>
      <c r="Z875" s="190"/>
    </row>
    <row r="876" ht="15.75" customHeight="1" spans="1:26">
      <c r="A876" s="190"/>
      <c r="B876" s="190"/>
      <c r="C876" s="190"/>
      <c r="D876" s="190"/>
      <c r="E876" s="190"/>
      <c r="F876" s="190"/>
      <c r="G876" s="190"/>
      <c r="H876" s="190"/>
      <c r="I876" s="190"/>
      <c r="J876" s="190"/>
      <c r="K876" s="190"/>
      <c r="L876" s="190"/>
      <c r="M876" s="190"/>
      <c r="N876" s="190"/>
      <c r="O876" s="190"/>
      <c r="P876" s="190"/>
      <c r="Q876" s="190"/>
      <c r="R876" s="190"/>
      <c r="S876" s="190"/>
      <c r="T876" s="190"/>
      <c r="U876" s="190"/>
      <c r="V876" s="190"/>
      <c r="W876" s="190"/>
      <c r="X876" s="190"/>
      <c r="Y876" s="190"/>
      <c r="Z876" s="190"/>
    </row>
    <row r="877" ht="15.75" customHeight="1" spans="1:26">
      <c r="A877" s="190"/>
      <c r="B877" s="190"/>
      <c r="C877" s="190"/>
      <c r="D877" s="190"/>
      <c r="E877" s="190"/>
      <c r="F877" s="190"/>
      <c r="G877" s="190"/>
      <c r="H877" s="190"/>
      <c r="I877" s="190"/>
      <c r="J877" s="190"/>
      <c r="K877" s="190"/>
      <c r="L877" s="190"/>
      <c r="M877" s="190"/>
      <c r="N877" s="190"/>
      <c r="O877" s="190"/>
      <c r="P877" s="190"/>
      <c r="Q877" s="190"/>
      <c r="R877" s="190"/>
      <c r="S877" s="190"/>
      <c r="T877" s="190"/>
      <c r="U877" s="190"/>
      <c r="V877" s="190"/>
      <c r="W877" s="190"/>
      <c r="X877" s="190"/>
      <c r="Y877" s="190"/>
      <c r="Z877" s="190"/>
    </row>
    <row r="878" ht="15.75" customHeight="1" spans="1:26">
      <c r="A878" s="190"/>
      <c r="B878" s="190"/>
      <c r="C878" s="190"/>
      <c r="D878" s="190"/>
      <c r="E878" s="190"/>
      <c r="F878" s="190"/>
      <c r="G878" s="190"/>
      <c r="H878" s="190"/>
      <c r="I878" s="190"/>
      <c r="J878" s="190"/>
      <c r="K878" s="190"/>
      <c r="L878" s="190"/>
      <c r="M878" s="190"/>
      <c r="N878" s="190"/>
      <c r="O878" s="190"/>
      <c r="P878" s="190"/>
      <c r="Q878" s="190"/>
      <c r="R878" s="190"/>
      <c r="S878" s="190"/>
      <c r="T878" s="190"/>
      <c r="U878" s="190"/>
      <c r="V878" s="190"/>
      <c r="W878" s="190"/>
      <c r="X878" s="190"/>
      <c r="Y878" s="190"/>
      <c r="Z878" s="190"/>
    </row>
    <row r="879" ht="15.75" customHeight="1" spans="1:26">
      <c r="A879" s="190"/>
      <c r="B879" s="190"/>
      <c r="C879" s="190"/>
      <c r="D879" s="190"/>
      <c r="E879" s="190"/>
      <c r="F879" s="190"/>
      <c r="G879" s="190"/>
      <c r="H879" s="190"/>
      <c r="I879" s="190"/>
      <c r="J879" s="190"/>
      <c r="K879" s="190"/>
      <c r="L879" s="190"/>
      <c r="M879" s="190"/>
      <c r="N879" s="190"/>
      <c r="O879" s="190"/>
      <c r="P879" s="190"/>
      <c r="Q879" s="190"/>
      <c r="R879" s="190"/>
      <c r="S879" s="190"/>
      <c r="T879" s="190"/>
      <c r="U879" s="190"/>
      <c r="V879" s="190"/>
      <c r="W879" s="190"/>
      <c r="X879" s="190"/>
      <c r="Y879" s="190"/>
      <c r="Z879" s="190"/>
    </row>
    <row r="880" ht="15.75" customHeight="1" spans="1:26">
      <c r="A880" s="190"/>
      <c r="B880" s="190"/>
      <c r="C880" s="190"/>
      <c r="D880" s="190"/>
      <c r="E880" s="190"/>
      <c r="F880" s="190"/>
      <c r="G880" s="190"/>
      <c r="H880" s="190"/>
      <c r="I880" s="190"/>
      <c r="J880" s="190"/>
      <c r="K880" s="190"/>
      <c r="L880" s="190"/>
      <c r="M880" s="190"/>
      <c r="N880" s="190"/>
      <c r="O880" s="190"/>
      <c r="P880" s="190"/>
      <c r="Q880" s="190"/>
      <c r="R880" s="190"/>
      <c r="S880" s="190"/>
      <c r="T880" s="190"/>
      <c r="U880" s="190"/>
      <c r="V880" s="190"/>
      <c r="W880" s="190"/>
      <c r="X880" s="190"/>
      <c r="Y880" s="190"/>
      <c r="Z880" s="190"/>
    </row>
    <row r="881" ht="15.75" customHeight="1" spans="1:26">
      <c r="A881" s="190"/>
      <c r="B881" s="190"/>
      <c r="C881" s="190"/>
      <c r="D881" s="190"/>
      <c r="E881" s="190"/>
      <c r="F881" s="190"/>
      <c r="G881" s="190"/>
      <c r="H881" s="190"/>
      <c r="I881" s="190"/>
      <c r="J881" s="190"/>
      <c r="K881" s="190"/>
      <c r="L881" s="190"/>
      <c r="M881" s="190"/>
      <c r="N881" s="190"/>
      <c r="O881" s="190"/>
      <c r="P881" s="190"/>
      <c r="Q881" s="190"/>
      <c r="R881" s="190"/>
      <c r="S881" s="190"/>
      <c r="T881" s="190"/>
      <c r="U881" s="190"/>
      <c r="V881" s="190"/>
      <c r="W881" s="190"/>
      <c r="X881" s="190"/>
      <c r="Y881" s="190"/>
      <c r="Z881" s="190"/>
    </row>
    <row r="882" ht="15.75" customHeight="1" spans="1:26">
      <c r="A882" s="190"/>
      <c r="B882" s="190"/>
      <c r="C882" s="190"/>
      <c r="D882" s="190"/>
      <c r="E882" s="190"/>
      <c r="F882" s="190"/>
      <c r="G882" s="190"/>
      <c r="H882" s="190"/>
      <c r="I882" s="190"/>
      <c r="J882" s="190"/>
      <c r="K882" s="190"/>
      <c r="L882" s="190"/>
      <c r="M882" s="190"/>
      <c r="N882" s="190"/>
      <c r="O882" s="190"/>
      <c r="P882" s="190"/>
      <c r="Q882" s="190"/>
      <c r="R882" s="190"/>
      <c r="S882" s="190"/>
      <c r="T882" s="190"/>
      <c r="U882" s="190"/>
      <c r="V882" s="190"/>
      <c r="W882" s="190"/>
      <c r="X882" s="190"/>
      <c r="Y882" s="190"/>
      <c r="Z882" s="190"/>
    </row>
    <row r="883" ht="15.75" customHeight="1" spans="1:26">
      <c r="A883" s="190"/>
      <c r="B883" s="190"/>
      <c r="C883" s="190"/>
      <c r="D883" s="190"/>
      <c r="E883" s="190"/>
      <c r="F883" s="190"/>
      <c r="G883" s="190"/>
      <c r="H883" s="190"/>
      <c r="I883" s="190"/>
      <c r="J883" s="190"/>
      <c r="K883" s="190"/>
      <c r="L883" s="190"/>
      <c r="M883" s="190"/>
      <c r="N883" s="190"/>
      <c r="O883" s="190"/>
      <c r="P883" s="190"/>
      <c r="Q883" s="190"/>
      <c r="R883" s="190"/>
      <c r="S883" s="190"/>
      <c r="T883" s="190"/>
      <c r="U883" s="190"/>
      <c r="V883" s="190"/>
      <c r="W883" s="190"/>
      <c r="X883" s="190"/>
      <c r="Y883" s="190"/>
      <c r="Z883" s="190"/>
    </row>
    <row r="884" ht="15.75" customHeight="1" spans="1:26">
      <c r="A884" s="190"/>
      <c r="B884" s="190"/>
      <c r="C884" s="190"/>
      <c r="D884" s="190"/>
      <c r="E884" s="190"/>
      <c r="F884" s="190"/>
      <c r="G884" s="190"/>
      <c r="H884" s="190"/>
      <c r="I884" s="190"/>
      <c r="J884" s="190"/>
      <c r="K884" s="190"/>
      <c r="L884" s="190"/>
      <c r="M884" s="190"/>
      <c r="N884" s="190"/>
      <c r="O884" s="190"/>
      <c r="P884" s="190"/>
      <c r="Q884" s="190"/>
      <c r="R884" s="190"/>
      <c r="S884" s="190"/>
      <c r="T884" s="190"/>
      <c r="U884" s="190"/>
      <c r="V884" s="190"/>
      <c r="W884" s="190"/>
      <c r="X884" s="190"/>
      <c r="Y884" s="190"/>
      <c r="Z884" s="190"/>
    </row>
    <row r="885" ht="15.75" customHeight="1" spans="1:26">
      <c r="A885" s="190"/>
      <c r="B885" s="190"/>
      <c r="C885" s="190"/>
      <c r="D885" s="190"/>
      <c r="E885" s="190"/>
      <c r="F885" s="190"/>
      <c r="G885" s="190"/>
      <c r="H885" s="190"/>
      <c r="I885" s="190"/>
      <c r="J885" s="190"/>
      <c r="K885" s="190"/>
      <c r="L885" s="190"/>
      <c r="M885" s="190"/>
      <c r="N885" s="190"/>
      <c r="O885" s="190"/>
      <c r="P885" s="190"/>
      <c r="Q885" s="190"/>
      <c r="R885" s="190"/>
      <c r="S885" s="190"/>
      <c r="T885" s="190"/>
      <c r="U885" s="190"/>
      <c r="V885" s="190"/>
      <c r="W885" s="190"/>
      <c r="X885" s="190"/>
      <c r="Y885" s="190"/>
      <c r="Z885" s="190"/>
    </row>
    <row r="886" ht="15.75" customHeight="1" spans="1:26">
      <c r="A886" s="190"/>
      <c r="B886" s="190"/>
      <c r="C886" s="190"/>
      <c r="D886" s="190"/>
      <c r="E886" s="190"/>
      <c r="F886" s="190"/>
      <c r="G886" s="190"/>
      <c r="H886" s="190"/>
      <c r="I886" s="190"/>
      <c r="J886" s="190"/>
      <c r="K886" s="190"/>
      <c r="L886" s="190"/>
      <c r="M886" s="190"/>
      <c r="N886" s="190"/>
      <c r="O886" s="190"/>
      <c r="P886" s="190"/>
      <c r="Q886" s="190"/>
      <c r="R886" s="190"/>
      <c r="S886" s="190"/>
      <c r="T886" s="190"/>
      <c r="U886" s="190"/>
      <c r="V886" s="190"/>
      <c r="W886" s="190"/>
      <c r="X886" s="190"/>
      <c r="Y886" s="190"/>
      <c r="Z886" s="190"/>
    </row>
    <row r="887" ht="15.75" customHeight="1" spans="1:26">
      <c r="A887" s="190"/>
      <c r="B887" s="190"/>
      <c r="C887" s="190"/>
      <c r="D887" s="190"/>
      <c r="E887" s="190"/>
      <c r="F887" s="190"/>
      <c r="G887" s="190"/>
      <c r="H887" s="190"/>
      <c r="I887" s="190"/>
      <c r="J887" s="190"/>
      <c r="K887" s="190"/>
      <c r="L887" s="190"/>
      <c r="M887" s="190"/>
      <c r="N887" s="190"/>
      <c r="O887" s="190"/>
      <c r="P887" s="190"/>
      <c r="Q887" s="190"/>
      <c r="R887" s="190"/>
      <c r="S887" s="190"/>
      <c r="T887" s="190"/>
      <c r="U887" s="190"/>
      <c r="V887" s="190"/>
      <c r="W887" s="190"/>
      <c r="X887" s="190"/>
      <c r="Y887" s="190"/>
      <c r="Z887" s="190"/>
    </row>
    <row r="888" ht="15.75" customHeight="1" spans="1:26">
      <c r="A888" s="190"/>
      <c r="B888" s="190"/>
      <c r="C888" s="190"/>
      <c r="D888" s="190"/>
      <c r="E888" s="190"/>
      <c r="F888" s="190"/>
      <c r="G888" s="190"/>
      <c r="H888" s="190"/>
      <c r="I888" s="190"/>
      <c r="J888" s="190"/>
      <c r="K888" s="190"/>
      <c r="L888" s="190"/>
      <c r="M888" s="190"/>
      <c r="N888" s="190"/>
      <c r="O888" s="190"/>
      <c r="P888" s="190"/>
      <c r="Q888" s="190"/>
      <c r="R888" s="190"/>
      <c r="S888" s="190"/>
      <c r="T888" s="190"/>
      <c r="U888" s="190"/>
      <c r="V888" s="190"/>
      <c r="W888" s="190"/>
      <c r="X888" s="190"/>
      <c r="Y888" s="190"/>
      <c r="Z888" s="190"/>
    </row>
    <row r="889" ht="15.75" customHeight="1" spans="1:26">
      <c r="A889" s="190"/>
      <c r="B889" s="190"/>
      <c r="C889" s="190"/>
      <c r="D889" s="190"/>
      <c r="E889" s="190"/>
      <c r="F889" s="190"/>
      <c r="G889" s="190"/>
      <c r="H889" s="190"/>
      <c r="I889" s="190"/>
      <c r="J889" s="190"/>
      <c r="K889" s="190"/>
      <c r="L889" s="190"/>
      <c r="M889" s="190"/>
      <c r="N889" s="190"/>
      <c r="O889" s="190"/>
      <c r="P889" s="190"/>
      <c r="Q889" s="190"/>
      <c r="R889" s="190"/>
      <c r="S889" s="190"/>
      <c r="T889" s="190"/>
      <c r="U889" s="190"/>
      <c r="V889" s="190"/>
      <c r="W889" s="190"/>
      <c r="X889" s="190"/>
      <c r="Y889" s="190"/>
      <c r="Z889" s="190"/>
    </row>
    <row r="890" ht="15.75" customHeight="1" spans="1:26">
      <c r="A890" s="190"/>
      <c r="B890" s="190"/>
      <c r="C890" s="190"/>
      <c r="D890" s="190"/>
      <c r="E890" s="190"/>
      <c r="F890" s="190"/>
      <c r="G890" s="190"/>
      <c r="H890" s="190"/>
      <c r="I890" s="190"/>
      <c r="J890" s="190"/>
      <c r="K890" s="190"/>
      <c r="L890" s="190"/>
      <c r="M890" s="190"/>
      <c r="N890" s="190"/>
      <c r="O890" s="190"/>
      <c r="P890" s="190"/>
      <c r="Q890" s="190"/>
      <c r="R890" s="190"/>
      <c r="S890" s="190"/>
      <c r="T890" s="190"/>
      <c r="U890" s="190"/>
      <c r="V890" s="190"/>
      <c r="W890" s="190"/>
      <c r="X890" s="190"/>
      <c r="Y890" s="190"/>
      <c r="Z890" s="190"/>
    </row>
    <row r="891" ht="15.75" customHeight="1" spans="1:26">
      <c r="A891" s="190"/>
      <c r="B891" s="190"/>
      <c r="C891" s="190"/>
      <c r="D891" s="190"/>
      <c r="E891" s="190"/>
      <c r="F891" s="190"/>
      <c r="G891" s="190"/>
      <c r="H891" s="190"/>
      <c r="I891" s="190"/>
      <c r="J891" s="190"/>
      <c r="K891" s="190"/>
      <c r="L891" s="190"/>
      <c r="M891" s="190"/>
      <c r="N891" s="190"/>
      <c r="O891" s="190"/>
      <c r="P891" s="190"/>
      <c r="Q891" s="190"/>
      <c r="R891" s="190"/>
      <c r="S891" s="190"/>
      <c r="T891" s="190"/>
      <c r="U891" s="190"/>
      <c r="V891" s="190"/>
      <c r="W891" s="190"/>
      <c r="X891" s="190"/>
      <c r="Y891" s="190"/>
      <c r="Z891" s="190"/>
    </row>
    <row r="892" ht="15.75" customHeight="1" spans="1:26">
      <c r="A892" s="190"/>
      <c r="B892" s="190"/>
      <c r="C892" s="190"/>
      <c r="D892" s="190"/>
      <c r="E892" s="190"/>
      <c r="F892" s="190"/>
      <c r="G892" s="190"/>
      <c r="H892" s="190"/>
      <c r="I892" s="190"/>
      <c r="J892" s="190"/>
      <c r="K892" s="190"/>
      <c r="L892" s="190"/>
      <c r="M892" s="190"/>
      <c r="N892" s="190"/>
      <c r="O892" s="190"/>
      <c r="P892" s="190"/>
      <c r="Q892" s="190"/>
      <c r="R892" s="190"/>
      <c r="S892" s="190"/>
      <c r="T892" s="190"/>
      <c r="U892" s="190"/>
      <c r="V892" s="190"/>
      <c r="W892" s="190"/>
      <c r="X892" s="190"/>
      <c r="Y892" s="190"/>
      <c r="Z892" s="190"/>
    </row>
    <row r="893" ht="15.75" customHeight="1" spans="1:26">
      <c r="A893" s="190"/>
      <c r="B893" s="190"/>
      <c r="C893" s="190"/>
      <c r="D893" s="190"/>
      <c r="E893" s="190"/>
      <c r="F893" s="190"/>
      <c r="G893" s="190"/>
      <c r="H893" s="190"/>
      <c r="I893" s="190"/>
      <c r="J893" s="190"/>
      <c r="K893" s="190"/>
      <c r="L893" s="190"/>
      <c r="M893" s="190"/>
      <c r="N893" s="190"/>
      <c r="O893" s="190"/>
      <c r="P893" s="190"/>
      <c r="Q893" s="190"/>
      <c r="R893" s="190"/>
      <c r="S893" s="190"/>
      <c r="T893" s="190"/>
      <c r="U893" s="190"/>
      <c r="V893" s="190"/>
      <c r="W893" s="190"/>
      <c r="X893" s="190"/>
      <c r="Y893" s="190"/>
      <c r="Z893" s="190"/>
    </row>
    <row r="894" ht="15.75" customHeight="1" spans="1:26">
      <c r="A894" s="190"/>
      <c r="B894" s="190"/>
      <c r="C894" s="190"/>
      <c r="D894" s="190"/>
      <c r="E894" s="190"/>
      <c r="F894" s="190"/>
      <c r="G894" s="190"/>
      <c r="H894" s="190"/>
      <c r="I894" s="190"/>
      <c r="J894" s="190"/>
      <c r="K894" s="190"/>
      <c r="L894" s="190"/>
      <c r="M894" s="190"/>
      <c r="N894" s="190"/>
      <c r="O894" s="190"/>
      <c r="P894" s="190"/>
      <c r="Q894" s="190"/>
      <c r="R894" s="190"/>
      <c r="S894" s="190"/>
      <c r="T894" s="190"/>
      <c r="U894" s="190"/>
      <c r="V894" s="190"/>
      <c r="W894" s="190"/>
      <c r="X894" s="190"/>
      <c r="Y894" s="190"/>
      <c r="Z894" s="190"/>
    </row>
    <row r="895" ht="15.75" customHeight="1" spans="1:26">
      <c r="A895" s="190"/>
      <c r="B895" s="190"/>
      <c r="C895" s="190"/>
      <c r="D895" s="190"/>
      <c r="E895" s="190"/>
      <c r="F895" s="190"/>
      <c r="G895" s="190"/>
      <c r="H895" s="190"/>
      <c r="I895" s="190"/>
      <c r="J895" s="190"/>
      <c r="K895" s="190"/>
      <c r="L895" s="190"/>
      <c r="M895" s="190"/>
      <c r="N895" s="190"/>
      <c r="O895" s="190"/>
      <c r="P895" s="190"/>
      <c r="Q895" s="190"/>
      <c r="R895" s="190"/>
      <c r="S895" s="190"/>
      <c r="T895" s="190"/>
      <c r="U895" s="190"/>
      <c r="V895" s="190"/>
      <c r="W895" s="190"/>
      <c r="X895" s="190"/>
      <c r="Y895" s="190"/>
      <c r="Z895" s="190"/>
    </row>
    <row r="896" ht="15.75" customHeight="1" spans="1:26">
      <c r="A896" s="190"/>
      <c r="B896" s="190"/>
      <c r="C896" s="190"/>
      <c r="D896" s="190"/>
      <c r="E896" s="190"/>
      <c r="F896" s="190"/>
      <c r="G896" s="190"/>
      <c r="H896" s="190"/>
      <c r="I896" s="190"/>
      <c r="J896" s="190"/>
      <c r="K896" s="190"/>
      <c r="L896" s="190"/>
      <c r="M896" s="190"/>
      <c r="N896" s="190"/>
      <c r="O896" s="190"/>
      <c r="P896" s="190"/>
      <c r="Q896" s="190"/>
      <c r="R896" s="190"/>
      <c r="S896" s="190"/>
      <c r="T896" s="190"/>
      <c r="U896" s="190"/>
      <c r="V896" s="190"/>
      <c r="W896" s="190"/>
      <c r="X896" s="190"/>
      <c r="Y896" s="190"/>
      <c r="Z896" s="190"/>
    </row>
    <row r="897" ht="15.75" customHeight="1" spans="1:26">
      <c r="A897" s="190"/>
      <c r="B897" s="190"/>
      <c r="C897" s="190"/>
      <c r="D897" s="190"/>
      <c r="E897" s="190"/>
      <c r="F897" s="190"/>
      <c r="G897" s="190"/>
      <c r="H897" s="190"/>
      <c r="I897" s="190"/>
      <c r="J897" s="190"/>
      <c r="K897" s="190"/>
      <c r="L897" s="190"/>
      <c r="M897" s="190"/>
      <c r="N897" s="190"/>
      <c r="O897" s="190"/>
      <c r="P897" s="190"/>
      <c r="Q897" s="190"/>
      <c r="R897" s="190"/>
      <c r="S897" s="190"/>
      <c r="T897" s="190"/>
      <c r="U897" s="190"/>
      <c r="V897" s="190"/>
      <c r="W897" s="190"/>
      <c r="X897" s="190"/>
      <c r="Y897" s="190"/>
      <c r="Z897" s="190"/>
    </row>
    <row r="898" ht="15.75" customHeight="1" spans="1:26">
      <c r="A898" s="190"/>
      <c r="B898" s="190"/>
      <c r="C898" s="190"/>
      <c r="D898" s="190"/>
      <c r="E898" s="190"/>
      <c r="F898" s="190"/>
      <c r="G898" s="190"/>
      <c r="H898" s="190"/>
      <c r="I898" s="190"/>
      <c r="J898" s="190"/>
      <c r="K898" s="190"/>
      <c r="L898" s="190"/>
      <c r="M898" s="190"/>
      <c r="N898" s="190"/>
      <c r="O898" s="190"/>
      <c r="P898" s="190"/>
      <c r="Q898" s="190"/>
      <c r="R898" s="190"/>
      <c r="S898" s="190"/>
      <c r="T898" s="190"/>
      <c r="U898" s="190"/>
      <c r="V898" s="190"/>
      <c r="W898" s="190"/>
      <c r="X898" s="190"/>
      <c r="Y898" s="190"/>
      <c r="Z898" s="190"/>
    </row>
    <row r="899" ht="15.75" customHeight="1" spans="1:26">
      <c r="A899" s="190"/>
      <c r="B899" s="190"/>
      <c r="C899" s="190"/>
      <c r="D899" s="190"/>
      <c r="E899" s="190"/>
      <c r="F899" s="190"/>
      <c r="G899" s="190"/>
      <c r="H899" s="190"/>
      <c r="I899" s="190"/>
      <c r="J899" s="190"/>
      <c r="K899" s="190"/>
      <c r="L899" s="190"/>
      <c r="M899" s="190"/>
      <c r="N899" s="190"/>
      <c r="O899" s="190"/>
      <c r="P899" s="190"/>
      <c r="Q899" s="190"/>
      <c r="R899" s="190"/>
      <c r="S899" s="190"/>
      <c r="T899" s="190"/>
      <c r="U899" s="190"/>
      <c r="V899" s="190"/>
      <c r="W899" s="190"/>
      <c r="X899" s="190"/>
      <c r="Y899" s="190"/>
      <c r="Z899" s="190"/>
    </row>
    <row r="900" ht="15.75" customHeight="1" spans="1:26">
      <c r="A900" s="190"/>
      <c r="B900" s="190"/>
      <c r="C900" s="190"/>
      <c r="D900" s="190"/>
      <c r="E900" s="190"/>
      <c r="F900" s="190"/>
      <c r="G900" s="190"/>
      <c r="H900" s="190"/>
      <c r="I900" s="190"/>
      <c r="J900" s="190"/>
      <c r="K900" s="190"/>
      <c r="L900" s="190"/>
      <c r="M900" s="190"/>
      <c r="N900" s="190"/>
      <c r="O900" s="190"/>
      <c r="P900" s="190"/>
      <c r="Q900" s="190"/>
      <c r="R900" s="190"/>
      <c r="S900" s="190"/>
      <c r="T900" s="190"/>
      <c r="U900" s="190"/>
      <c r="V900" s="190"/>
      <c r="W900" s="190"/>
      <c r="X900" s="190"/>
      <c r="Y900" s="190"/>
      <c r="Z900" s="190"/>
    </row>
    <row r="901" ht="15.75" customHeight="1" spans="1:26">
      <c r="A901" s="190"/>
      <c r="B901" s="190"/>
      <c r="C901" s="190"/>
      <c r="D901" s="190"/>
      <c r="E901" s="190"/>
      <c r="F901" s="190"/>
      <c r="G901" s="190"/>
      <c r="H901" s="190"/>
      <c r="I901" s="190"/>
      <c r="J901" s="190"/>
      <c r="K901" s="190"/>
      <c r="L901" s="190"/>
      <c r="M901" s="190"/>
      <c r="N901" s="190"/>
      <c r="O901" s="190"/>
      <c r="P901" s="190"/>
      <c r="Q901" s="190"/>
      <c r="R901" s="190"/>
      <c r="S901" s="190"/>
      <c r="T901" s="190"/>
      <c r="U901" s="190"/>
      <c r="V901" s="190"/>
      <c r="W901" s="190"/>
      <c r="X901" s="190"/>
      <c r="Y901" s="190"/>
      <c r="Z901" s="190"/>
    </row>
    <row r="902" ht="15.75" customHeight="1" spans="1:26">
      <c r="A902" s="190"/>
      <c r="B902" s="190"/>
      <c r="C902" s="190"/>
      <c r="D902" s="190"/>
      <c r="E902" s="190"/>
      <c r="F902" s="190"/>
      <c r="G902" s="190"/>
      <c r="H902" s="190"/>
      <c r="I902" s="190"/>
      <c r="J902" s="190"/>
      <c r="K902" s="190"/>
      <c r="L902" s="190"/>
      <c r="M902" s="190"/>
      <c r="N902" s="190"/>
      <c r="O902" s="190"/>
      <c r="P902" s="190"/>
      <c r="Q902" s="190"/>
      <c r="R902" s="190"/>
      <c r="S902" s="190"/>
      <c r="T902" s="190"/>
      <c r="U902" s="190"/>
      <c r="V902" s="190"/>
      <c r="W902" s="190"/>
      <c r="X902" s="190"/>
      <c r="Y902" s="190"/>
      <c r="Z902" s="190"/>
    </row>
    <row r="903" ht="15.75" customHeight="1" spans="1:26">
      <c r="A903" s="190"/>
      <c r="B903" s="190"/>
      <c r="C903" s="190"/>
      <c r="D903" s="190"/>
      <c r="E903" s="190"/>
      <c r="F903" s="190"/>
      <c r="G903" s="190"/>
      <c r="H903" s="190"/>
      <c r="I903" s="190"/>
      <c r="J903" s="190"/>
      <c r="K903" s="190"/>
      <c r="L903" s="190"/>
      <c r="M903" s="190"/>
      <c r="N903" s="190"/>
      <c r="O903" s="190"/>
      <c r="P903" s="190"/>
      <c r="Q903" s="190"/>
      <c r="R903" s="190"/>
      <c r="S903" s="190"/>
      <c r="T903" s="190"/>
      <c r="U903" s="190"/>
      <c r="V903" s="190"/>
      <c r="W903" s="190"/>
      <c r="X903" s="190"/>
      <c r="Y903" s="190"/>
      <c r="Z903" s="190"/>
    </row>
    <row r="904" ht="15.75" customHeight="1" spans="1:26">
      <c r="A904" s="190"/>
      <c r="B904" s="190"/>
      <c r="C904" s="190"/>
      <c r="D904" s="190"/>
      <c r="E904" s="190"/>
      <c r="F904" s="190"/>
      <c r="G904" s="190"/>
      <c r="H904" s="190"/>
      <c r="I904" s="190"/>
      <c r="J904" s="190"/>
      <c r="K904" s="190"/>
      <c r="L904" s="190"/>
      <c r="M904" s="190"/>
      <c r="N904" s="190"/>
      <c r="O904" s="190"/>
      <c r="P904" s="190"/>
      <c r="Q904" s="190"/>
      <c r="R904" s="190"/>
      <c r="S904" s="190"/>
      <c r="T904" s="190"/>
      <c r="U904" s="190"/>
      <c r="V904" s="190"/>
      <c r="W904" s="190"/>
      <c r="X904" s="190"/>
      <c r="Y904" s="190"/>
      <c r="Z904" s="190"/>
    </row>
    <row r="905" ht="15.75" customHeight="1" spans="1:26">
      <c r="A905" s="190"/>
      <c r="B905" s="190"/>
      <c r="C905" s="190"/>
      <c r="D905" s="190"/>
      <c r="E905" s="190"/>
      <c r="F905" s="190"/>
      <c r="G905" s="190"/>
      <c r="H905" s="190"/>
      <c r="I905" s="190"/>
      <c r="J905" s="190"/>
      <c r="K905" s="190"/>
      <c r="L905" s="190"/>
      <c r="M905" s="190"/>
      <c r="N905" s="190"/>
      <c r="O905" s="190"/>
      <c r="P905" s="190"/>
      <c r="Q905" s="190"/>
      <c r="R905" s="190"/>
      <c r="S905" s="190"/>
      <c r="T905" s="190"/>
      <c r="U905" s="190"/>
      <c r="V905" s="190"/>
      <c r="W905" s="190"/>
      <c r="X905" s="190"/>
      <c r="Y905" s="190"/>
      <c r="Z905" s="190"/>
    </row>
    <row r="906" ht="15.75" customHeight="1" spans="1:26">
      <c r="A906" s="190"/>
      <c r="B906" s="190"/>
      <c r="C906" s="190"/>
      <c r="D906" s="190"/>
      <c r="E906" s="190"/>
      <c r="F906" s="190"/>
      <c r="G906" s="190"/>
      <c r="H906" s="190"/>
      <c r="I906" s="190"/>
      <c r="J906" s="190"/>
      <c r="K906" s="190"/>
      <c r="L906" s="190"/>
      <c r="M906" s="190"/>
      <c r="N906" s="190"/>
      <c r="O906" s="190"/>
      <c r="P906" s="190"/>
      <c r="Q906" s="190"/>
      <c r="R906" s="190"/>
      <c r="S906" s="190"/>
      <c r="T906" s="190"/>
      <c r="U906" s="190"/>
      <c r="V906" s="190"/>
      <c r="W906" s="190"/>
      <c r="X906" s="190"/>
      <c r="Y906" s="190"/>
      <c r="Z906" s="190"/>
    </row>
    <row r="907" ht="15.75" customHeight="1" spans="1:26">
      <c r="A907" s="190"/>
      <c r="B907" s="190"/>
      <c r="C907" s="190"/>
      <c r="D907" s="190"/>
      <c r="E907" s="190"/>
      <c r="F907" s="190"/>
      <c r="G907" s="190"/>
      <c r="H907" s="190"/>
      <c r="I907" s="190"/>
      <c r="J907" s="190"/>
      <c r="K907" s="190"/>
      <c r="L907" s="190"/>
      <c r="M907" s="190"/>
      <c r="N907" s="190"/>
      <c r="O907" s="190"/>
      <c r="P907" s="190"/>
      <c r="Q907" s="190"/>
      <c r="R907" s="190"/>
      <c r="S907" s="190"/>
      <c r="T907" s="190"/>
      <c r="U907" s="190"/>
      <c r="V907" s="190"/>
      <c r="W907" s="190"/>
      <c r="X907" s="190"/>
      <c r="Y907" s="190"/>
      <c r="Z907" s="190"/>
    </row>
    <row r="908" ht="15.75" customHeight="1" spans="1:26">
      <c r="A908" s="190"/>
      <c r="B908" s="190"/>
      <c r="C908" s="190"/>
      <c r="D908" s="190"/>
      <c r="E908" s="190"/>
      <c r="F908" s="190"/>
      <c r="G908" s="190"/>
      <c r="H908" s="190"/>
      <c r="I908" s="190"/>
      <c r="J908" s="190"/>
      <c r="K908" s="190"/>
      <c r="L908" s="190"/>
      <c r="M908" s="190"/>
      <c r="N908" s="190"/>
      <c r="O908" s="190"/>
      <c r="P908" s="190"/>
      <c r="Q908" s="190"/>
      <c r="R908" s="190"/>
      <c r="S908" s="190"/>
      <c r="T908" s="190"/>
      <c r="U908" s="190"/>
      <c r="V908" s="190"/>
      <c r="W908" s="190"/>
      <c r="X908" s="190"/>
      <c r="Y908" s="190"/>
      <c r="Z908" s="190"/>
    </row>
    <row r="909" ht="15.75" customHeight="1" spans="1:26">
      <c r="A909" s="190"/>
      <c r="B909" s="190"/>
      <c r="C909" s="190"/>
      <c r="D909" s="190"/>
      <c r="E909" s="190"/>
      <c r="F909" s="190"/>
      <c r="G909" s="190"/>
      <c r="H909" s="190"/>
      <c r="I909" s="190"/>
      <c r="J909" s="190"/>
      <c r="K909" s="190"/>
      <c r="L909" s="190"/>
      <c r="M909" s="190"/>
      <c r="N909" s="190"/>
      <c r="O909" s="190"/>
      <c r="P909" s="190"/>
      <c r="Q909" s="190"/>
      <c r="R909" s="190"/>
      <c r="S909" s="190"/>
      <c r="T909" s="190"/>
      <c r="U909" s="190"/>
      <c r="V909" s="190"/>
      <c r="W909" s="190"/>
      <c r="X909" s="190"/>
      <c r="Y909" s="190"/>
      <c r="Z909" s="190"/>
    </row>
    <row r="910" ht="15.75" customHeight="1" spans="1:26">
      <c r="A910" s="190"/>
      <c r="B910" s="190"/>
      <c r="C910" s="190"/>
      <c r="D910" s="190"/>
      <c r="E910" s="190"/>
      <c r="F910" s="190"/>
      <c r="G910" s="190"/>
      <c r="H910" s="190"/>
      <c r="I910" s="190"/>
      <c r="J910" s="190"/>
      <c r="K910" s="190"/>
      <c r="L910" s="190"/>
      <c r="M910" s="190"/>
      <c r="N910" s="190"/>
      <c r="O910" s="190"/>
      <c r="P910" s="190"/>
      <c r="Q910" s="190"/>
      <c r="R910" s="190"/>
      <c r="S910" s="190"/>
      <c r="T910" s="190"/>
      <c r="U910" s="190"/>
      <c r="V910" s="190"/>
      <c r="W910" s="190"/>
      <c r="X910" s="190"/>
      <c r="Y910" s="190"/>
      <c r="Z910" s="190"/>
    </row>
    <row r="911" ht="15.75" customHeight="1" spans="1:26">
      <c r="A911" s="190"/>
      <c r="B911" s="190"/>
      <c r="C911" s="190"/>
      <c r="D911" s="190"/>
      <c r="E911" s="190"/>
      <c r="F911" s="190"/>
      <c r="G911" s="190"/>
      <c r="H911" s="190"/>
      <c r="I911" s="190"/>
      <c r="J911" s="190"/>
      <c r="K911" s="190"/>
      <c r="L911" s="190"/>
      <c r="M911" s="190"/>
      <c r="N911" s="190"/>
      <c r="O911" s="190"/>
      <c r="P911" s="190"/>
      <c r="Q911" s="190"/>
      <c r="R911" s="190"/>
      <c r="S911" s="190"/>
      <c r="T911" s="190"/>
      <c r="U911" s="190"/>
      <c r="V911" s="190"/>
      <c r="W911" s="190"/>
      <c r="X911" s="190"/>
      <c r="Y911" s="190"/>
      <c r="Z911" s="190"/>
    </row>
    <row r="912" ht="15.75" customHeight="1" spans="1:26">
      <c r="A912" s="190"/>
      <c r="B912" s="190"/>
      <c r="C912" s="190"/>
      <c r="D912" s="190"/>
      <c r="E912" s="190"/>
      <c r="F912" s="190"/>
      <c r="G912" s="190"/>
      <c r="H912" s="190"/>
      <c r="I912" s="190"/>
      <c r="J912" s="190"/>
      <c r="K912" s="190"/>
      <c r="L912" s="190"/>
      <c r="M912" s="190"/>
      <c r="N912" s="190"/>
      <c r="O912" s="190"/>
      <c r="P912" s="190"/>
      <c r="Q912" s="190"/>
      <c r="R912" s="190"/>
      <c r="S912" s="190"/>
      <c r="T912" s="190"/>
      <c r="U912" s="190"/>
      <c r="V912" s="190"/>
      <c r="W912" s="190"/>
      <c r="X912" s="190"/>
      <c r="Y912" s="190"/>
      <c r="Z912" s="190"/>
    </row>
    <row r="913" ht="15.75" customHeight="1" spans="1:26">
      <c r="A913" s="190"/>
      <c r="B913" s="190"/>
      <c r="C913" s="190"/>
      <c r="D913" s="190"/>
      <c r="E913" s="190"/>
      <c r="F913" s="190"/>
      <c r="G913" s="190"/>
      <c r="H913" s="190"/>
      <c r="I913" s="190"/>
      <c r="J913" s="190"/>
      <c r="K913" s="190"/>
      <c r="L913" s="190"/>
      <c r="M913" s="190"/>
      <c r="N913" s="190"/>
      <c r="O913" s="190"/>
      <c r="P913" s="190"/>
      <c r="Q913" s="190"/>
      <c r="R913" s="190"/>
      <c r="S913" s="190"/>
      <c r="T913" s="190"/>
      <c r="U913" s="190"/>
      <c r="V913" s="190"/>
      <c r="W913" s="190"/>
      <c r="X913" s="190"/>
      <c r="Y913" s="190"/>
      <c r="Z913" s="190"/>
    </row>
    <row r="914" ht="15.75" customHeight="1" spans="1:26">
      <c r="A914" s="190"/>
      <c r="B914" s="190"/>
      <c r="C914" s="190"/>
      <c r="D914" s="190"/>
      <c r="E914" s="190"/>
      <c r="F914" s="190"/>
      <c r="G914" s="190"/>
      <c r="H914" s="190"/>
      <c r="I914" s="190"/>
      <c r="J914" s="190"/>
      <c r="K914" s="190"/>
      <c r="L914" s="190"/>
      <c r="M914" s="190"/>
      <c r="N914" s="190"/>
      <c r="O914" s="190"/>
      <c r="P914" s="190"/>
      <c r="Q914" s="190"/>
      <c r="R914" s="190"/>
      <c r="S914" s="190"/>
      <c r="T914" s="190"/>
      <c r="U914" s="190"/>
      <c r="V914" s="190"/>
      <c r="W914" s="190"/>
      <c r="X914" s="190"/>
      <c r="Y914" s="190"/>
      <c r="Z914" s="190"/>
    </row>
    <row r="915" ht="15.75" customHeight="1" spans="1:26">
      <c r="A915" s="190"/>
      <c r="B915" s="190"/>
      <c r="C915" s="190"/>
      <c r="D915" s="190"/>
      <c r="E915" s="190"/>
      <c r="F915" s="190"/>
      <c r="G915" s="190"/>
      <c r="H915" s="190"/>
      <c r="I915" s="190"/>
      <c r="J915" s="190"/>
      <c r="K915" s="190"/>
      <c r="L915" s="190"/>
      <c r="M915" s="190"/>
      <c r="N915" s="190"/>
      <c r="O915" s="190"/>
      <c r="P915" s="190"/>
      <c r="Q915" s="190"/>
      <c r="R915" s="190"/>
      <c r="S915" s="190"/>
      <c r="T915" s="190"/>
      <c r="U915" s="190"/>
      <c r="V915" s="190"/>
      <c r="W915" s="190"/>
      <c r="X915" s="190"/>
      <c r="Y915" s="190"/>
      <c r="Z915" s="190"/>
    </row>
    <row r="916" ht="15.75" customHeight="1" spans="1:26">
      <c r="A916" s="190"/>
      <c r="B916" s="190"/>
      <c r="C916" s="190"/>
      <c r="D916" s="190"/>
      <c r="E916" s="190"/>
      <c r="F916" s="190"/>
      <c r="G916" s="190"/>
      <c r="H916" s="190"/>
      <c r="I916" s="190"/>
      <c r="J916" s="190"/>
      <c r="K916" s="190"/>
      <c r="L916" s="190"/>
      <c r="M916" s="190"/>
      <c r="N916" s="190"/>
      <c r="O916" s="190"/>
      <c r="P916" s="190"/>
      <c r="Q916" s="190"/>
      <c r="R916" s="190"/>
      <c r="S916" s="190"/>
      <c r="T916" s="190"/>
      <c r="U916" s="190"/>
      <c r="V916" s="190"/>
      <c r="W916" s="190"/>
      <c r="X916" s="190"/>
      <c r="Y916" s="190"/>
      <c r="Z916" s="190"/>
    </row>
    <row r="917" ht="15.75" customHeight="1" spans="1:26">
      <c r="A917" s="190"/>
      <c r="B917" s="190"/>
      <c r="C917" s="190"/>
      <c r="D917" s="190"/>
      <c r="E917" s="190"/>
      <c r="F917" s="190"/>
      <c r="G917" s="190"/>
      <c r="H917" s="190"/>
      <c r="I917" s="190"/>
      <c r="J917" s="190"/>
      <c r="K917" s="190"/>
      <c r="L917" s="190"/>
      <c r="M917" s="190"/>
      <c r="N917" s="190"/>
      <c r="O917" s="190"/>
      <c r="P917" s="190"/>
      <c r="Q917" s="190"/>
      <c r="R917" s="190"/>
      <c r="S917" s="190"/>
      <c r="T917" s="190"/>
      <c r="U917" s="190"/>
      <c r="V917" s="190"/>
      <c r="W917" s="190"/>
      <c r="X917" s="190"/>
      <c r="Y917" s="190"/>
      <c r="Z917" s="190"/>
    </row>
    <row r="918" ht="15.75" customHeight="1" spans="1:26">
      <c r="A918" s="190"/>
      <c r="B918" s="190"/>
      <c r="C918" s="190"/>
      <c r="D918" s="190"/>
      <c r="E918" s="190"/>
      <c r="F918" s="190"/>
      <c r="G918" s="190"/>
      <c r="H918" s="190"/>
      <c r="I918" s="190"/>
      <c r="J918" s="190"/>
      <c r="K918" s="190"/>
      <c r="L918" s="190"/>
      <c r="M918" s="190"/>
      <c r="N918" s="190"/>
      <c r="O918" s="190"/>
      <c r="P918" s="190"/>
      <c r="Q918" s="190"/>
      <c r="R918" s="190"/>
      <c r="S918" s="190"/>
      <c r="T918" s="190"/>
      <c r="U918" s="190"/>
      <c r="V918" s="190"/>
      <c r="W918" s="190"/>
      <c r="X918" s="190"/>
      <c r="Y918" s="190"/>
      <c r="Z918" s="190"/>
    </row>
    <row r="919" ht="15.75" customHeight="1" spans="1:26">
      <c r="A919" s="190"/>
      <c r="B919" s="190"/>
      <c r="C919" s="190"/>
      <c r="D919" s="190"/>
      <c r="E919" s="190"/>
      <c r="F919" s="190"/>
      <c r="G919" s="190"/>
      <c r="H919" s="190"/>
      <c r="I919" s="190"/>
      <c r="J919" s="190"/>
      <c r="K919" s="190"/>
      <c r="L919" s="190"/>
      <c r="M919" s="190"/>
      <c r="N919" s="190"/>
      <c r="O919" s="190"/>
      <c r="P919" s="190"/>
      <c r="Q919" s="190"/>
      <c r="R919" s="190"/>
      <c r="S919" s="190"/>
      <c r="T919" s="190"/>
      <c r="U919" s="190"/>
      <c r="V919" s="190"/>
      <c r="W919" s="190"/>
      <c r="X919" s="190"/>
      <c r="Y919" s="190"/>
      <c r="Z919" s="190"/>
    </row>
    <row r="920" ht="15.75" customHeight="1" spans="1:26">
      <c r="A920" s="190"/>
      <c r="B920" s="190"/>
      <c r="C920" s="190"/>
      <c r="D920" s="190"/>
      <c r="E920" s="190"/>
      <c r="F920" s="190"/>
      <c r="G920" s="190"/>
      <c r="H920" s="190"/>
      <c r="I920" s="190"/>
      <c r="J920" s="190"/>
      <c r="K920" s="190"/>
      <c r="L920" s="190"/>
      <c r="M920" s="190"/>
      <c r="N920" s="190"/>
      <c r="O920" s="190"/>
      <c r="P920" s="190"/>
      <c r="Q920" s="190"/>
      <c r="R920" s="190"/>
      <c r="S920" s="190"/>
      <c r="T920" s="190"/>
      <c r="U920" s="190"/>
      <c r="V920" s="190"/>
      <c r="W920" s="190"/>
      <c r="X920" s="190"/>
      <c r="Y920" s="190"/>
      <c r="Z920" s="190"/>
    </row>
    <row r="921" ht="15.75" customHeight="1" spans="1:26">
      <c r="A921" s="190"/>
      <c r="B921" s="190"/>
      <c r="C921" s="190"/>
      <c r="D921" s="190"/>
      <c r="E921" s="190"/>
      <c r="F921" s="190"/>
      <c r="G921" s="190"/>
      <c r="H921" s="190"/>
      <c r="I921" s="190"/>
      <c r="J921" s="190"/>
      <c r="K921" s="190"/>
      <c r="L921" s="190"/>
      <c r="M921" s="190"/>
      <c r="N921" s="190"/>
      <c r="O921" s="190"/>
      <c r="P921" s="190"/>
      <c r="Q921" s="190"/>
      <c r="R921" s="190"/>
      <c r="S921" s="190"/>
      <c r="T921" s="190"/>
      <c r="U921" s="190"/>
      <c r="V921" s="190"/>
      <c r="W921" s="190"/>
      <c r="X921" s="190"/>
      <c r="Y921" s="190"/>
      <c r="Z921" s="190"/>
    </row>
    <row r="922" ht="15.75" customHeight="1" spans="1:26">
      <c r="A922" s="190"/>
      <c r="B922" s="190"/>
      <c r="C922" s="190"/>
      <c r="D922" s="190"/>
      <c r="E922" s="190"/>
      <c r="F922" s="190"/>
      <c r="G922" s="190"/>
      <c r="H922" s="190"/>
      <c r="I922" s="190"/>
      <c r="J922" s="190"/>
      <c r="K922" s="190"/>
      <c r="L922" s="190"/>
      <c r="M922" s="190"/>
      <c r="N922" s="190"/>
      <c r="O922" s="190"/>
      <c r="P922" s="190"/>
      <c r="Q922" s="190"/>
      <c r="R922" s="190"/>
      <c r="S922" s="190"/>
      <c r="T922" s="190"/>
      <c r="U922" s="190"/>
      <c r="V922" s="190"/>
      <c r="W922" s="190"/>
      <c r="X922" s="190"/>
      <c r="Y922" s="190"/>
      <c r="Z922" s="190"/>
    </row>
    <row r="923" ht="15.75" customHeight="1" spans="1:26">
      <c r="A923" s="190"/>
      <c r="B923" s="190"/>
      <c r="C923" s="190"/>
      <c r="D923" s="190"/>
      <c r="E923" s="190"/>
      <c r="F923" s="190"/>
      <c r="G923" s="190"/>
      <c r="H923" s="190"/>
      <c r="I923" s="190"/>
      <c r="J923" s="190"/>
      <c r="K923" s="190"/>
      <c r="L923" s="190"/>
      <c r="M923" s="190"/>
      <c r="N923" s="190"/>
      <c r="O923" s="190"/>
      <c r="P923" s="190"/>
      <c r="Q923" s="190"/>
      <c r="R923" s="190"/>
      <c r="S923" s="190"/>
      <c r="T923" s="190"/>
      <c r="U923" s="190"/>
      <c r="V923" s="190"/>
      <c r="W923" s="190"/>
      <c r="X923" s="190"/>
      <c r="Y923" s="190"/>
      <c r="Z923" s="190"/>
    </row>
    <row r="924" ht="15.75" customHeight="1" spans="1:26">
      <c r="A924" s="190"/>
      <c r="B924" s="190"/>
      <c r="C924" s="190"/>
      <c r="D924" s="190"/>
      <c r="E924" s="190"/>
      <c r="F924" s="190"/>
      <c r="G924" s="190"/>
      <c r="H924" s="190"/>
      <c r="I924" s="190"/>
      <c r="J924" s="190"/>
      <c r="K924" s="190"/>
      <c r="L924" s="190"/>
      <c r="M924" s="190"/>
      <c r="N924" s="190"/>
      <c r="O924" s="190"/>
      <c r="P924" s="190"/>
      <c r="Q924" s="190"/>
      <c r="R924" s="190"/>
      <c r="S924" s="190"/>
      <c r="T924" s="190"/>
      <c r="U924" s="190"/>
      <c r="V924" s="190"/>
      <c r="W924" s="190"/>
      <c r="X924" s="190"/>
      <c r="Y924" s="190"/>
      <c r="Z924" s="190"/>
    </row>
    <row r="925" ht="15.75" customHeight="1" spans="1:26">
      <c r="A925" s="190"/>
      <c r="B925" s="190"/>
      <c r="C925" s="190"/>
      <c r="D925" s="190"/>
      <c r="E925" s="190"/>
      <c r="F925" s="190"/>
      <c r="G925" s="190"/>
      <c r="H925" s="190"/>
      <c r="I925" s="190"/>
      <c r="J925" s="190"/>
      <c r="K925" s="190"/>
      <c r="L925" s="190"/>
      <c r="M925" s="190"/>
      <c r="N925" s="190"/>
      <c r="O925" s="190"/>
      <c r="P925" s="190"/>
      <c r="Q925" s="190"/>
      <c r="R925" s="190"/>
      <c r="S925" s="190"/>
      <c r="T925" s="190"/>
      <c r="U925" s="190"/>
      <c r="V925" s="190"/>
      <c r="W925" s="190"/>
      <c r="X925" s="190"/>
      <c r="Y925" s="190"/>
      <c r="Z925" s="190"/>
    </row>
    <row r="926" ht="15.75" customHeight="1" spans="1:26">
      <c r="A926" s="190"/>
      <c r="B926" s="190"/>
      <c r="C926" s="190"/>
      <c r="D926" s="190"/>
      <c r="E926" s="190"/>
      <c r="F926" s="190"/>
      <c r="G926" s="190"/>
      <c r="H926" s="190"/>
      <c r="I926" s="190"/>
      <c r="J926" s="190"/>
      <c r="K926" s="190"/>
      <c r="L926" s="190"/>
      <c r="M926" s="190"/>
      <c r="N926" s="190"/>
      <c r="O926" s="190"/>
      <c r="P926" s="190"/>
      <c r="Q926" s="190"/>
      <c r="R926" s="190"/>
      <c r="S926" s="190"/>
      <c r="T926" s="190"/>
      <c r="U926" s="190"/>
      <c r="V926" s="190"/>
      <c r="W926" s="190"/>
      <c r="X926" s="190"/>
      <c r="Y926" s="190"/>
      <c r="Z926" s="190"/>
    </row>
    <row r="927" ht="15.75" customHeight="1" spans="1:26">
      <c r="A927" s="190"/>
      <c r="B927" s="190"/>
      <c r="C927" s="190"/>
      <c r="D927" s="190"/>
      <c r="E927" s="190"/>
      <c r="F927" s="190"/>
      <c r="G927" s="190"/>
      <c r="H927" s="190"/>
      <c r="I927" s="190"/>
      <c r="J927" s="190"/>
      <c r="K927" s="190"/>
      <c r="L927" s="190"/>
      <c r="M927" s="190"/>
      <c r="N927" s="190"/>
      <c r="O927" s="190"/>
      <c r="P927" s="190"/>
      <c r="Q927" s="190"/>
      <c r="R927" s="190"/>
      <c r="S927" s="190"/>
      <c r="T927" s="190"/>
      <c r="U927" s="190"/>
      <c r="V927" s="190"/>
      <c r="W927" s="190"/>
      <c r="X927" s="190"/>
      <c r="Y927" s="190"/>
      <c r="Z927" s="190"/>
    </row>
    <row r="928" ht="15.75" customHeight="1" spans="1:26">
      <c r="A928" s="190"/>
      <c r="B928" s="190"/>
      <c r="C928" s="190"/>
      <c r="D928" s="190"/>
      <c r="E928" s="190"/>
      <c r="F928" s="190"/>
      <c r="G928" s="190"/>
      <c r="H928" s="190"/>
      <c r="I928" s="190"/>
      <c r="J928" s="190"/>
      <c r="K928" s="190"/>
      <c r="L928" s="190"/>
      <c r="M928" s="190"/>
      <c r="N928" s="190"/>
      <c r="O928" s="190"/>
      <c r="P928" s="190"/>
      <c r="Q928" s="190"/>
      <c r="R928" s="190"/>
      <c r="S928" s="190"/>
      <c r="T928" s="190"/>
      <c r="U928" s="190"/>
      <c r="V928" s="190"/>
      <c r="W928" s="190"/>
      <c r="X928" s="190"/>
      <c r="Y928" s="190"/>
      <c r="Z928" s="190"/>
    </row>
    <row r="929" ht="15.75" customHeight="1" spans="1:26">
      <c r="A929" s="190"/>
      <c r="B929" s="190"/>
      <c r="C929" s="190"/>
      <c r="D929" s="190"/>
      <c r="E929" s="190"/>
      <c r="F929" s="190"/>
      <c r="G929" s="190"/>
      <c r="H929" s="190"/>
      <c r="I929" s="190"/>
      <c r="J929" s="190"/>
      <c r="K929" s="190"/>
      <c r="L929" s="190"/>
      <c r="M929" s="190"/>
      <c r="N929" s="190"/>
      <c r="O929" s="190"/>
      <c r="P929" s="190"/>
      <c r="Q929" s="190"/>
      <c r="R929" s="190"/>
      <c r="S929" s="190"/>
      <c r="T929" s="190"/>
      <c r="U929" s="190"/>
      <c r="V929" s="190"/>
      <c r="W929" s="190"/>
      <c r="X929" s="190"/>
      <c r="Y929" s="190"/>
      <c r="Z929" s="190"/>
    </row>
    <row r="930" ht="15.75" customHeight="1" spans="1:26">
      <c r="A930" s="190"/>
      <c r="B930" s="190"/>
      <c r="C930" s="190"/>
      <c r="D930" s="190"/>
      <c r="E930" s="190"/>
      <c r="F930" s="190"/>
      <c r="G930" s="190"/>
      <c r="H930" s="190"/>
      <c r="I930" s="190"/>
      <c r="J930" s="190"/>
      <c r="K930" s="190"/>
      <c r="L930" s="190"/>
      <c r="M930" s="190"/>
      <c r="N930" s="190"/>
      <c r="O930" s="190"/>
      <c r="P930" s="190"/>
      <c r="Q930" s="190"/>
      <c r="R930" s="190"/>
      <c r="S930" s="190"/>
      <c r="T930" s="190"/>
      <c r="U930" s="190"/>
      <c r="V930" s="190"/>
      <c r="W930" s="190"/>
      <c r="X930" s="190"/>
      <c r="Y930" s="190"/>
      <c r="Z930" s="190"/>
    </row>
    <row r="931" ht="15.75" customHeight="1" spans="1:26">
      <c r="A931" s="190"/>
      <c r="B931" s="190"/>
      <c r="C931" s="190"/>
      <c r="D931" s="190"/>
      <c r="E931" s="190"/>
      <c r="F931" s="190"/>
      <c r="G931" s="190"/>
      <c r="H931" s="190"/>
      <c r="I931" s="190"/>
      <c r="J931" s="190"/>
      <c r="K931" s="190"/>
      <c r="L931" s="190"/>
      <c r="M931" s="190"/>
      <c r="N931" s="190"/>
      <c r="O931" s="190"/>
      <c r="P931" s="190"/>
      <c r="Q931" s="190"/>
      <c r="R931" s="190"/>
      <c r="S931" s="190"/>
      <c r="T931" s="190"/>
      <c r="U931" s="190"/>
      <c r="V931" s="190"/>
      <c r="W931" s="190"/>
      <c r="X931" s="190"/>
      <c r="Y931" s="190"/>
      <c r="Z931" s="190"/>
    </row>
    <row r="932" ht="15.75" customHeight="1" spans="1:26">
      <c r="A932" s="190"/>
      <c r="B932" s="190"/>
      <c r="C932" s="190"/>
      <c r="D932" s="190"/>
      <c r="E932" s="190"/>
      <c r="F932" s="190"/>
      <c r="G932" s="190"/>
      <c r="H932" s="190"/>
      <c r="I932" s="190"/>
      <c r="J932" s="190"/>
      <c r="K932" s="190"/>
      <c r="L932" s="190"/>
      <c r="M932" s="190"/>
      <c r="N932" s="190"/>
      <c r="O932" s="190"/>
      <c r="P932" s="190"/>
      <c r="Q932" s="190"/>
      <c r="R932" s="190"/>
      <c r="S932" s="190"/>
      <c r="T932" s="190"/>
      <c r="U932" s="190"/>
      <c r="V932" s="190"/>
      <c r="W932" s="190"/>
      <c r="X932" s="190"/>
      <c r="Y932" s="190"/>
      <c r="Z932" s="190"/>
    </row>
    <row r="933" ht="15.75" customHeight="1" spans="1:26">
      <c r="A933" s="190"/>
      <c r="B933" s="190"/>
      <c r="C933" s="190"/>
      <c r="D933" s="190"/>
      <c r="E933" s="190"/>
      <c r="F933" s="190"/>
      <c r="G933" s="190"/>
      <c r="H933" s="190"/>
      <c r="I933" s="190"/>
      <c r="J933" s="190"/>
      <c r="K933" s="190"/>
      <c r="L933" s="190"/>
      <c r="M933" s="190"/>
      <c r="N933" s="190"/>
      <c r="O933" s="190"/>
      <c r="P933" s="190"/>
      <c r="Q933" s="190"/>
      <c r="R933" s="190"/>
      <c r="S933" s="190"/>
      <c r="T933" s="190"/>
      <c r="U933" s="190"/>
      <c r="V933" s="190"/>
      <c r="W933" s="190"/>
      <c r="X933" s="190"/>
      <c r="Y933" s="190"/>
      <c r="Z933" s="190"/>
    </row>
    <row r="934" ht="15.75" customHeight="1" spans="1:26">
      <c r="A934" s="190"/>
      <c r="B934" s="190"/>
      <c r="C934" s="190"/>
      <c r="D934" s="190"/>
      <c r="E934" s="190"/>
      <c r="F934" s="190"/>
      <c r="G934" s="190"/>
      <c r="H934" s="190"/>
      <c r="I934" s="190"/>
      <c r="J934" s="190"/>
      <c r="K934" s="190"/>
      <c r="L934" s="190"/>
      <c r="M934" s="190"/>
      <c r="N934" s="190"/>
      <c r="O934" s="190"/>
      <c r="P934" s="190"/>
      <c r="Q934" s="190"/>
      <c r="R934" s="190"/>
      <c r="S934" s="190"/>
      <c r="T934" s="190"/>
      <c r="U934" s="190"/>
      <c r="V934" s="190"/>
      <c r="W934" s="190"/>
      <c r="X934" s="190"/>
      <c r="Y934" s="190"/>
      <c r="Z934" s="190"/>
    </row>
    <row r="935" ht="15.75" customHeight="1" spans="1:26">
      <c r="A935" s="190"/>
      <c r="B935" s="190"/>
      <c r="C935" s="190"/>
      <c r="D935" s="190"/>
      <c r="E935" s="190"/>
      <c r="F935" s="190"/>
      <c r="G935" s="190"/>
      <c r="H935" s="190"/>
      <c r="I935" s="190"/>
      <c r="J935" s="190"/>
      <c r="K935" s="190"/>
      <c r="L935" s="190"/>
      <c r="M935" s="190"/>
      <c r="N935" s="190"/>
      <c r="O935" s="190"/>
      <c r="P935" s="190"/>
      <c r="Q935" s="190"/>
      <c r="R935" s="190"/>
      <c r="S935" s="190"/>
      <c r="T935" s="190"/>
      <c r="U935" s="190"/>
      <c r="V935" s="190"/>
      <c r="W935" s="190"/>
      <c r="X935" s="190"/>
      <c r="Y935" s="190"/>
      <c r="Z935" s="190"/>
    </row>
    <row r="936" ht="15.75" customHeight="1" spans="1:26">
      <c r="A936" s="190"/>
      <c r="B936" s="190"/>
      <c r="C936" s="190"/>
      <c r="D936" s="190"/>
      <c r="E936" s="190"/>
      <c r="F936" s="190"/>
      <c r="G936" s="190"/>
      <c r="H936" s="190"/>
      <c r="I936" s="190"/>
      <c r="J936" s="190"/>
      <c r="K936" s="190"/>
      <c r="L936" s="190"/>
      <c r="M936" s="190"/>
      <c r="N936" s="190"/>
      <c r="O936" s="190"/>
      <c r="P936" s="190"/>
      <c r="Q936" s="190"/>
      <c r="R936" s="190"/>
      <c r="S936" s="190"/>
      <c r="T936" s="190"/>
      <c r="U936" s="190"/>
      <c r="V936" s="190"/>
      <c r="W936" s="190"/>
      <c r="X936" s="190"/>
      <c r="Y936" s="190"/>
      <c r="Z936" s="190"/>
    </row>
    <row r="937" ht="15.75" customHeight="1" spans="1:26">
      <c r="A937" s="190"/>
      <c r="B937" s="190"/>
      <c r="C937" s="190"/>
      <c r="D937" s="190"/>
      <c r="E937" s="190"/>
      <c r="F937" s="190"/>
      <c r="G937" s="190"/>
      <c r="H937" s="190"/>
      <c r="I937" s="190"/>
      <c r="J937" s="190"/>
      <c r="K937" s="190"/>
      <c r="L937" s="190"/>
      <c r="M937" s="190"/>
      <c r="N937" s="190"/>
      <c r="O937" s="190"/>
      <c r="P937" s="190"/>
      <c r="Q937" s="190"/>
      <c r="R937" s="190"/>
      <c r="S937" s="190"/>
      <c r="T937" s="190"/>
      <c r="U937" s="190"/>
      <c r="V937" s="190"/>
      <c r="W937" s="190"/>
      <c r="X937" s="190"/>
      <c r="Y937" s="190"/>
      <c r="Z937" s="190"/>
    </row>
    <row r="938" ht="15.75" customHeight="1" spans="1:26">
      <c r="A938" s="190"/>
      <c r="B938" s="190"/>
      <c r="C938" s="190"/>
      <c r="D938" s="190"/>
      <c r="E938" s="190"/>
      <c r="F938" s="190"/>
      <c r="G938" s="190"/>
      <c r="H938" s="190"/>
      <c r="I938" s="190"/>
      <c r="J938" s="190"/>
      <c r="K938" s="190"/>
      <c r="L938" s="190"/>
      <c r="M938" s="190"/>
      <c r="N938" s="190"/>
      <c r="O938" s="190"/>
      <c r="P938" s="190"/>
      <c r="Q938" s="190"/>
      <c r="R938" s="190"/>
      <c r="S938" s="190"/>
      <c r="T938" s="190"/>
      <c r="U938" s="190"/>
      <c r="V938" s="190"/>
      <c r="W938" s="190"/>
      <c r="X938" s="190"/>
      <c r="Y938" s="190"/>
      <c r="Z938" s="190"/>
    </row>
    <row r="939" ht="15.75" customHeight="1" spans="1:26">
      <c r="A939" s="190"/>
      <c r="B939" s="190"/>
      <c r="C939" s="190"/>
      <c r="D939" s="190"/>
      <c r="E939" s="190"/>
      <c r="F939" s="190"/>
      <c r="G939" s="190"/>
      <c r="H939" s="190"/>
      <c r="I939" s="190"/>
      <c r="J939" s="190"/>
      <c r="K939" s="190"/>
      <c r="L939" s="190"/>
      <c r="M939" s="190"/>
      <c r="N939" s="190"/>
      <c r="O939" s="190"/>
      <c r="P939" s="190"/>
      <c r="Q939" s="190"/>
      <c r="R939" s="190"/>
      <c r="S939" s="190"/>
      <c r="T939" s="190"/>
      <c r="U939" s="190"/>
      <c r="V939" s="190"/>
      <c r="W939" s="190"/>
      <c r="X939" s="190"/>
      <c r="Y939" s="190"/>
      <c r="Z939" s="190"/>
    </row>
    <row r="940" ht="15.75" customHeight="1" spans="1:26">
      <c r="A940" s="190"/>
      <c r="B940" s="190"/>
      <c r="C940" s="190"/>
      <c r="D940" s="190"/>
      <c r="E940" s="190"/>
      <c r="F940" s="190"/>
      <c r="G940" s="190"/>
      <c r="H940" s="190"/>
      <c r="I940" s="190"/>
      <c r="J940" s="190"/>
      <c r="K940" s="190"/>
      <c r="L940" s="190"/>
      <c r="M940" s="190"/>
      <c r="N940" s="190"/>
      <c r="O940" s="190"/>
      <c r="P940" s="190"/>
      <c r="Q940" s="190"/>
      <c r="R940" s="190"/>
      <c r="S940" s="190"/>
      <c r="T940" s="190"/>
      <c r="U940" s="190"/>
      <c r="V940" s="190"/>
      <c r="W940" s="190"/>
      <c r="X940" s="190"/>
      <c r="Y940" s="190"/>
      <c r="Z940" s="190"/>
    </row>
    <row r="941" ht="15.75" customHeight="1" spans="1:26">
      <c r="A941" s="190"/>
      <c r="B941" s="190"/>
      <c r="C941" s="190"/>
      <c r="D941" s="190"/>
      <c r="E941" s="190"/>
      <c r="F941" s="190"/>
      <c r="G941" s="190"/>
      <c r="H941" s="190"/>
      <c r="I941" s="190"/>
      <c r="J941" s="190"/>
      <c r="K941" s="190"/>
      <c r="L941" s="190"/>
      <c r="M941" s="190"/>
      <c r="N941" s="190"/>
      <c r="O941" s="190"/>
      <c r="P941" s="190"/>
      <c r="Q941" s="190"/>
      <c r="R941" s="190"/>
      <c r="S941" s="190"/>
      <c r="T941" s="190"/>
      <c r="U941" s="190"/>
      <c r="V941" s="190"/>
      <c r="W941" s="190"/>
      <c r="X941" s="190"/>
      <c r="Y941" s="190"/>
      <c r="Z941" s="190"/>
    </row>
    <row r="942" ht="15.75" customHeight="1" spans="1:26">
      <c r="A942" s="190"/>
      <c r="B942" s="190"/>
      <c r="C942" s="190"/>
      <c r="D942" s="190"/>
      <c r="E942" s="190"/>
      <c r="F942" s="190"/>
      <c r="G942" s="190"/>
      <c r="H942" s="190"/>
      <c r="I942" s="190"/>
      <c r="J942" s="190"/>
      <c r="K942" s="190"/>
      <c r="L942" s="190"/>
      <c r="M942" s="190"/>
      <c r="N942" s="190"/>
      <c r="O942" s="190"/>
      <c r="P942" s="190"/>
      <c r="Q942" s="190"/>
      <c r="R942" s="190"/>
      <c r="S942" s="190"/>
      <c r="T942" s="190"/>
      <c r="U942" s="190"/>
      <c r="V942" s="190"/>
      <c r="W942" s="190"/>
      <c r="X942" s="190"/>
      <c r="Y942" s="190"/>
      <c r="Z942" s="190"/>
    </row>
    <row r="943" ht="15.75" customHeight="1" spans="1:26">
      <c r="A943" s="190"/>
      <c r="B943" s="190"/>
      <c r="C943" s="190"/>
      <c r="D943" s="190"/>
      <c r="E943" s="190"/>
      <c r="F943" s="190"/>
      <c r="G943" s="190"/>
      <c r="H943" s="190"/>
      <c r="I943" s="190"/>
      <c r="J943" s="190"/>
      <c r="K943" s="190"/>
      <c r="L943" s="190"/>
      <c r="M943" s="190"/>
      <c r="N943" s="190"/>
      <c r="O943" s="190"/>
      <c r="P943" s="190"/>
      <c r="Q943" s="190"/>
      <c r="R943" s="190"/>
      <c r="S943" s="190"/>
      <c r="T943" s="190"/>
      <c r="U943" s="190"/>
      <c r="V943" s="190"/>
      <c r="W943" s="190"/>
      <c r="X943" s="190"/>
      <c r="Y943" s="190"/>
      <c r="Z943" s="190"/>
    </row>
    <row r="944" ht="15.75" customHeight="1" spans="1:26">
      <c r="A944" s="190"/>
      <c r="B944" s="190"/>
      <c r="C944" s="190"/>
      <c r="D944" s="190"/>
      <c r="E944" s="190"/>
      <c r="F944" s="190"/>
      <c r="G944" s="190"/>
      <c r="H944" s="190"/>
      <c r="I944" s="190"/>
      <c r="J944" s="190"/>
      <c r="K944" s="190"/>
      <c r="L944" s="190"/>
      <c r="M944" s="190"/>
      <c r="N944" s="190"/>
      <c r="O944" s="190"/>
      <c r="P944" s="190"/>
      <c r="Q944" s="190"/>
      <c r="R944" s="190"/>
      <c r="S944" s="190"/>
      <c r="T944" s="190"/>
      <c r="U944" s="190"/>
      <c r="V944" s="190"/>
      <c r="W944" s="190"/>
      <c r="X944" s="190"/>
      <c r="Y944" s="190"/>
      <c r="Z944" s="190"/>
    </row>
    <row r="945" ht="15.75" customHeight="1" spans="1:26">
      <c r="A945" s="190"/>
      <c r="B945" s="190"/>
      <c r="C945" s="190"/>
      <c r="D945" s="190"/>
      <c r="E945" s="190"/>
      <c r="F945" s="190"/>
      <c r="G945" s="190"/>
      <c r="H945" s="190"/>
      <c r="I945" s="190"/>
      <c r="J945" s="190"/>
      <c r="K945" s="190"/>
      <c r="L945" s="190"/>
      <c r="M945" s="190"/>
      <c r="N945" s="190"/>
      <c r="O945" s="190"/>
      <c r="P945" s="190"/>
      <c r="Q945" s="190"/>
      <c r="R945" s="190"/>
      <c r="S945" s="190"/>
      <c r="T945" s="190"/>
      <c r="U945" s="190"/>
      <c r="V945" s="190"/>
      <c r="W945" s="190"/>
      <c r="X945" s="190"/>
      <c r="Y945" s="190"/>
      <c r="Z945" s="190"/>
    </row>
    <row r="946" ht="15.75" customHeight="1" spans="1:26">
      <c r="A946" s="190"/>
      <c r="B946" s="190"/>
      <c r="C946" s="190"/>
      <c r="D946" s="190"/>
      <c r="E946" s="190"/>
      <c r="F946" s="190"/>
      <c r="G946" s="190"/>
      <c r="H946" s="190"/>
      <c r="I946" s="190"/>
      <c r="J946" s="190"/>
      <c r="K946" s="190"/>
      <c r="L946" s="190"/>
      <c r="M946" s="190"/>
      <c r="N946" s="190"/>
      <c r="O946" s="190"/>
      <c r="P946" s="190"/>
      <c r="Q946" s="190"/>
      <c r="R946" s="190"/>
      <c r="S946" s="190"/>
      <c r="T946" s="190"/>
      <c r="U946" s="190"/>
      <c r="V946" s="190"/>
      <c r="W946" s="190"/>
      <c r="X946" s="190"/>
      <c r="Y946" s="190"/>
      <c r="Z946" s="190"/>
    </row>
    <row r="947" ht="15.75" customHeight="1" spans="1:26">
      <c r="A947" s="190"/>
      <c r="B947" s="190"/>
      <c r="C947" s="190"/>
      <c r="D947" s="190"/>
      <c r="E947" s="190"/>
      <c r="F947" s="190"/>
      <c r="G947" s="190"/>
      <c r="H947" s="190"/>
      <c r="I947" s="190"/>
      <c r="J947" s="190"/>
      <c r="K947" s="190"/>
      <c r="L947" s="190"/>
      <c r="M947" s="190"/>
      <c r="N947" s="190"/>
      <c r="O947" s="190"/>
      <c r="P947" s="190"/>
      <c r="Q947" s="190"/>
      <c r="R947" s="190"/>
      <c r="S947" s="190"/>
      <c r="T947" s="190"/>
      <c r="U947" s="190"/>
      <c r="V947" s="190"/>
      <c r="W947" s="190"/>
      <c r="X947" s="190"/>
      <c r="Y947" s="190"/>
      <c r="Z947" s="190"/>
    </row>
    <row r="948" ht="15.75" customHeight="1" spans="1:26">
      <c r="A948" s="190"/>
      <c r="B948" s="190"/>
      <c r="C948" s="190"/>
      <c r="D948" s="190"/>
      <c r="E948" s="190"/>
      <c r="F948" s="190"/>
      <c r="G948" s="190"/>
      <c r="H948" s="190"/>
      <c r="I948" s="190"/>
      <c r="J948" s="190"/>
      <c r="K948" s="190"/>
      <c r="L948" s="190"/>
      <c r="M948" s="190"/>
      <c r="N948" s="190"/>
      <c r="O948" s="190"/>
      <c r="P948" s="190"/>
      <c r="Q948" s="190"/>
      <c r="R948" s="190"/>
      <c r="S948" s="190"/>
      <c r="T948" s="190"/>
      <c r="U948" s="190"/>
      <c r="V948" s="190"/>
      <c r="W948" s="190"/>
      <c r="X948" s="190"/>
      <c r="Y948" s="190"/>
      <c r="Z948" s="190"/>
    </row>
    <row r="949" ht="15.75" customHeight="1" spans="1:26">
      <c r="A949" s="190"/>
      <c r="B949" s="190"/>
      <c r="C949" s="190"/>
      <c r="D949" s="190"/>
      <c r="E949" s="190"/>
      <c r="F949" s="190"/>
      <c r="G949" s="190"/>
      <c r="H949" s="190"/>
      <c r="I949" s="190"/>
      <c r="J949" s="190"/>
      <c r="K949" s="190"/>
      <c r="L949" s="190"/>
      <c r="M949" s="190"/>
      <c r="N949" s="190"/>
      <c r="O949" s="190"/>
      <c r="P949" s="190"/>
      <c r="Q949" s="190"/>
      <c r="R949" s="190"/>
      <c r="S949" s="190"/>
      <c r="T949" s="190"/>
      <c r="U949" s="190"/>
      <c r="V949" s="190"/>
      <c r="W949" s="190"/>
      <c r="X949" s="190"/>
      <c r="Y949" s="190"/>
      <c r="Z949" s="190"/>
    </row>
    <row r="950" ht="15.75" customHeight="1" spans="1:26">
      <c r="A950" s="190"/>
      <c r="B950" s="190"/>
      <c r="C950" s="190"/>
      <c r="D950" s="190"/>
      <c r="E950" s="190"/>
      <c r="F950" s="190"/>
      <c r="G950" s="190"/>
      <c r="H950" s="190"/>
      <c r="I950" s="190"/>
      <c r="J950" s="190"/>
      <c r="K950" s="190"/>
      <c r="L950" s="190"/>
      <c r="M950" s="190"/>
      <c r="N950" s="190"/>
      <c r="O950" s="190"/>
      <c r="P950" s="190"/>
      <c r="Q950" s="190"/>
      <c r="R950" s="190"/>
      <c r="S950" s="190"/>
      <c r="T950" s="190"/>
      <c r="U950" s="190"/>
      <c r="V950" s="190"/>
      <c r="W950" s="190"/>
      <c r="X950" s="190"/>
      <c r="Y950" s="190"/>
      <c r="Z950" s="190"/>
    </row>
    <row r="951" ht="15.75" customHeight="1" spans="1:26">
      <c r="A951" s="190"/>
      <c r="B951" s="190"/>
      <c r="C951" s="190"/>
      <c r="D951" s="190"/>
      <c r="E951" s="190"/>
      <c r="F951" s="190"/>
      <c r="G951" s="190"/>
      <c r="H951" s="190"/>
      <c r="I951" s="190"/>
      <c r="J951" s="190"/>
      <c r="K951" s="190"/>
      <c r="L951" s="190"/>
      <c r="M951" s="190"/>
      <c r="N951" s="190"/>
      <c r="O951" s="190"/>
      <c r="P951" s="190"/>
      <c r="Q951" s="190"/>
      <c r="R951" s="190"/>
      <c r="S951" s="190"/>
      <c r="T951" s="190"/>
      <c r="U951" s="190"/>
      <c r="V951" s="190"/>
      <c r="W951" s="190"/>
      <c r="X951" s="190"/>
      <c r="Y951" s="190"/>
      <c r="Z951" s="190"/>
    </row>
    <row r="952" ht="15.75" customHeight="1" spans="1:26">
      <c r="A952" s="190"/>
      <c r="B952" s="190"/>
      <c r="C952" s="190"/>
      <c r="D952" s="190"/>
      <c r="E952" s="190"/>
      <c r="F952" s="190"/>
      <c r="G952" s="190"/>
      <c r="H952" s="190"/>
      <c r="I952" s="190"/>
      <c r="J952" s="190"/>
      <c r="K952" s="190"/>
      <c r="L952" s="190"/>
      <c r="M952" s="190"/>
      <c r="N952" s="190"/>
      <c r="O952" s="190"/>
      <c r="P952" s="190"/>
      <c r="Q952" s="190"/>
      <c r="R952" s="190"/>
      <c r="S952" s="190"/>
      <c r="T952" s="190"/>
      <c r="U952" s="190"/>
      <c r="V952" s="190"/>
      <c r="W952" s="190"/>
      <c r="X952" s="190"/>
      <c r="Y952" s="190"/>
      <c r="Z952" s="190"/>
    </row>
    <row r="953" ht="15.75" customHeight="1" spans="1:26">
      <c r="A953" s="190"/>
      <c r="B953" s="190"/>
      <c r="C953" s="190"/>
      <c r="D953" s="190"/>
      <c r="E953" s="190"/>
      <c r="F953" s="190"/>
      <c r="G953" s="190"/>
      <c r="H953" s="190"/>
      <c r="I953" s="190"/>
      <c r="J953" s="190"/>
      <c r="K953" s="190"/>
      <c r="L953" s="190"/>
      <c r="M953" s="190"/>
      <c r="N953" s="190"/>
      <c r="O953" s="190"/>
      <c r="P953" s="190"/>
      <c r="Q953" s="190"/>
      <c r="R953" s="190"/>
      <c r="S953" s="190"/>
      <c r="T953" s="190"/>
      <c r="U953" s="190"/>
      <c r="V953" s="190"/>
      <c r="W953" s="190"/>
      <c r="X953" s="190"/>
      <c r="Y953" s="190"/>
      <c r="Z953" s="190"/>
    </row>
    <row r="954" ht="15.75" customHeight="1" spans="1:26">
      <c r="A954" s="190"/>
      <c r="B954" s="190"/>
      <c r="C954" s="190"/>
      <c r="D954" s="190"/>
      <c r="E954" s="190"/>
      <c r="F954" s="190"/>
      <c r="G954" s="190"/>
      <c r="H954" s="190"/>
      <c r="I954" s="190"/>
      <c r="J954" s="190"/>
      <c r="K954" s="190"/>
      <c r="L954" s="190"/>
      <c r="M954" s="190"/>
      <c r="N954" s="190"/>
      <c r="O954" s="190"/>
      <c r="P954" s="190"/>
      <c r="Q954" s="190"/>
      <c r="R954" s="190"/>
      <c r="S954" s="190"/>
      <c r="T954" s="190"/>
      <c r="U954" s="190"/>
      <c r="V954" s="190"/>
      <c r="W954" s="190"/>
      <c r="X954" s="190"/>
      <c r="Y954" s="190"/>
      <c r="Z954" s="190"/>
    </row>
    <row r="955" ht="15.75" customHeight="1" spans="1:26">
      <c r="A955" s="190"/>
      <c r="B955" s="190"/>
      <c r="C955" s="190"/>
      <c r="D955" s="190"/>
      <c r="E955" s="190"/>
      <c r="F955" s="190"/>
      <c r="G955" s="190"/>
      <c r="H955" s="190"/>
      <c r="I955" s="190"/>
      <c r="J955" s="190"/>
      <c r="K955" s="190"/>
      <c r="L955" s="190"/>
      <c r="M955" s="190"/>
      <c r="N955" s="190"/>
      <c r="O955" s="190"/>
      <c r="P955" s="190"/>
      <c r="Q955" s="190"/>
      <c r="R955" s="190"/>
      <c r="S955" s="190"/>
      <c r="T955" s="190"/>
      <c r="U955" s="190"/>
      <c r="V955" s="190"/>
      <c r="W955" s="190"/>
      <c r="X955" s="190"/>
      <c r="Y955" s="190"/>
      <c r="Z955" s="190"/>
    </row>
    <row r="956" ht="15.75" customHeight="1" spans="1:26">
      <c r="A956" s="190"/>
      <c r="B956" s="190"/>
      <c r="C956" s="190"/>
      <c r="D956" s="190"/>
      <c r="E956" s="190"/>
      <c r="F956" s="190"/>
      <c r="G956" s="190"/>
      <c r="H956" s="190"/>
      <c r="I956" s="190"/>
      <c r="J956" s="190"/>
      <c r="K956" s="190"/>
      <c r="L956" s="190"/>
      <c r="M956" s="190"/>
      <c r="N956" s="190"/>
      <c r="O956" s="190"/>
      <c r="P956" s="190"/>
      <c r="Q956" s="190"/>
      <c r="R956" s="190"/>
      <c r="S956" s="190"/>
      <c r="T956" s="190"/>
      <c r="U956" s="190"/>
      <c r="V956" s="190"/>
      <c r="W956" s="190"/>
      <c r="X956" s="190"/>
      <c r="Y956" s="190"/>
      <c r="Z956" s="190"/>
    </row>
    <row r="957" ht="15.75" customHeight="1" spans="1:26">
      <c r="A957" s="190"/>
      <c r="B957" s="190"/>
      <c r="C957" s="190"/>
      <c r="D957" s="190"/>
      <c r="E957" s="190"/>
      <c r="F957" s="190"/>
      <c r="G957" s="190"/>
      <c r="H957" s="190"/>
      <c r="I957" s="190"/>
      <c r="J957" s="190"/>
      <c r="K957" s="190"/>
      <c r="L957" s="190"/>
      <c r="M957" s="190"/>
      <c r="N957" s="190"/>
      <c r="O957" s="190"/>
      <c r="P957" s="190"/>
      <c r="Q957" s="190"/>
      <c r="R957" s="190"/>
      <c r="S957" s="190"/>
      <c r="T957" s="190"/>
      <c r="U957" s="190"/>
      <c r="V957" s="190"/>
      <c r="W957" s="190"/>
      <c r="X957" s="190"/>
      <c r="Y957" s="190"/>
      <c r="Z957" s="190"/>
    </row>
    <row r="958" ht="15.75" customHeight="1" spans="1:26">
      <c r="A958" s="190"/>
      <c r="B958" s="190"/>
      <c r="C958" s="190"/>
      <c r="D958" s="190"/>
      <c r="E958" s="190"/>
      <c r="F958" s="190"/>
      <c r="G958" s="190"/>
      <c r="H958" s="190"/>
      <c r="I958" s="190"/>
      <c r="J958" s="190"/>
      <c r="K958" s="190"/>
      <c r="L958" s="190"/>
      <c r="M958" s="190"/>
      <c r="N958" s="190"/>
      <c r="O958" s="190"/>
      <c r="P958" s="190"/>
      <c r="Q958" s="190"/>
      <c r="R958" s="190"/>
      <c r="S958" s="190"/>
      <c r="T958" s="190"/>
      <c r="U958" s="190"/>
      <c r="V958" s="190"/>
      <c r="W958" s="190"/>
      <c r="X958" s="190"/>
      <c r="Y958" s="190"/>
      <c r="Z958" s="190"/>
    </row>
    <row r="959" ht="15.75" customHeight="1" spans="1:26">
      <c r="A959" s="190"/>
      <c r="B959" s="190"/>
      <c r="C959" s="190"/>
      <c r="D959" s="190"/>
      <c r="E959" s="190"/>
      <c r="F959" s="190"/>
      <c r="G959" s="190"/>
      <c r="H959" s="190"/>
      <c r="I959" s="190"/>
      <c r="J959" s="190"/>
      <c r="K959" s="190"/>
      <c r="L959" s="190"/>
      <c r="M959" s="190"/>
      <c r="N959" s="190"/>
      <c r="O959" s="190"/>
      <c r="P959" s="190"/>
      <c r="Q959" s="190"/>
      <c r="R959" s="190"/>
      <c r="S959" s="190"/>
      <c r="T959" s="190"/>
      <c r="U959" s="190"/>
      <c r="V959" s="190"/>
      <c r="W959" s="190"/>
      <c r="X959" s="190"/>
      <c r="Y959" s="190"/>
      <c r="Z959" s="190"/>
    </row>
    <row r="960" ht="15.75" customHeight="1" spans="1:26">
      <c r="A960" s="190"/>
      <c r="B960" s="190"/>
      <c r="C960" s="190"/>
      <c r="D960" s="190"/>
      <c r="E960" s="190"/>
      <c r="F960" s="190"/>
      <c r="G960" s="190"/>
      <c r="H960" s="190"/>
      <c r="I960" s="190"/>
      <c r="J960" s="190"/>
      <c r="K960" s="190"/>
      <c r="L960" s="190"/>
      <c r="M960" s="190"/>
      <c r="N960" s="190"/>
      <c r="O960" s="190"/>
      <c r="P960" s="190"/>
      <c r="Q960" s="190"/>
      <c r="R960" s="190"/>
      <c r="S960" s="190"/>
      <c r="T960" s="190"/>
      <c r="U960" s="190"/>
      <c r="V960" s="190"/>
      <c r="W960" s="190"/>
      <c r="X960" s="190"/>
      <c r="Y960" s="190"/>
      <c r="Z960" s="190"/>
    </row>
    <row r="961" ht="15.75" customHeight="1" spans="1:26">
      <c r="A961" s="190"/>
      <c r="B961" s="190"/>
      <c r="C961" s="190"/>
      <c r="D961" s="190"/>
      <c r="E961" s="190"/>
      <c r="F961" s="190"/>
      <c r="G961" s="190"/>
      <c r="H961" s="190"/>
      <c r="I961" s="190"/>
      <c r="J961" s="190"/>
      <c r="K961" s="190"/>
      <c r="L961" s="190"/>
      <c r="M961" s="190"/>
      <c r="N961" s="190"/>
      <c r="O961" s="190"/>
      <c r="P961" s="190"/>
      <c r="Q961" s="190"/>
      <c r="R961" s="190"/>
      <c r="S961" s="190"/>
      <c r="T961" s="190"/>
      <c r="U961" s="190"/>
      <c r="V961" s="190"/>
      <c r="W961" s="190"/>
      <c r="X961" s="190"/>
      <c r="Y961" s="190"/>
      <c r="Z961" s="190"/>
    </row>
    <row r="962" ht="15.75" customHeight="1" spans="1:26">
      <c r="A962" s="190"/>
      <c r="B962" s="190"/>
      <c r="C962" s="190"/>
      <c r="D962" s="190"/>
      <c r="E962" s="190"/>
      <c r="F962" s="190"/>
      <c r="G962" s="190"/>
      <c r="H962" s="190"/>
      <c r="I962" s="190"/>
      <c r="J962" s="190"/>
      <c r="K962" s="190"/>
      <c r="L962" s="190"/>
      <c r="M962" s="190"/>
      <c r="N962" s="190"/>
      <c r="O962" s="190"/>
      <c r="P962" s="190"/>
      <c r="Q962" s="190"/>
      <c r="R962" s="190"/>
      <c r="S962" s="190"/>
      <c r="T962" s="190"/>
      <c r="U962" s="190"/>
      <c r="V962" s="190"/>
      <c r="W962" s="190"/>
      <c r="X962" s="190"/>
      <c r="Y962" s="190"/>
      <c r="Z962" s="190"/>
    </row>
    <row r="963" ht="15.75" customHeight="1" spans="1:26">
      <c r="A963" s="190"/>
      <c r="B963" s="190"/>
      <c r="C963" s="190"/>
      <c r="D963" s="190"/>
      <c r="E963" s="190"/>
      <c r="F963" s="190"/>
      <c r="G963" s="190"/>
      <c r="H963" s="190"/>
      <c r="I963" s="190"/>
      <c r="J963" s="190"/>
      <c r="K963" s="190"/>
      <c r="L963" s="190"/>
      <c r="M963" s="190"/>
      <c r="N963" s="190"/>
      <c r="O963" s="190"/>
      <c r="P963" s="190"/>
      <c r="Q963" s="190"/>
      <c r="R963" s="190"/>
      <c r="S963" s="190"/>
      <c r="T963" s="190"/>
      <c r="U963" s="190"/>
      <c r="V963" s="190"/>
      <c r="W963" s="190"/>
      <c r="X963" s="190"/>
      <c r="Y963" s="190"/>
      <c r="Z963" s="190"/>
    </row>
    <row r="964" ht="15.75" customHeight="1" spans="1:26">
      <c r="A964" s="190"/>
      <c r="B964" s="190"/>
      <c r="C964" s="190"/>
      <c r="D964" s="190"/>
      <c r="E964" s="190"/>
      <c r="F964" s="190"/>
      <c r="G964" s="190"/>
      <c r="H964" s="190"/>
      <c r="I964" s="190"/>
      <c r="J964" s="190"/>
      <c r="K964" s="190"/>
      <c r="L964" s="190"/>
      <c r="M964" s="190"/>
      <c r="N964" s="190"/>
      <c r="O964" s="190"/>
      <c r="P964" s="190"/>
      <c r="Q964" s="190"/>
      <c r="R964" s="190"/>
      <c r="S964" s="190"/>
      <c r="T964" s="190"/>
      <c r="U964" s="190"/>
      <c r="V964" s="190"/>
      <c r="W964" s="190"/>
      <c r="X964" s="190"/>
      <c r="Y964" s="190"/>
      <c r="Z964" s="190"/>
    </row>
    <row r="965" ht="15.75" customHeight="1" spans="1:26">
      <c r="A965" s="190"/>
      <c r="B965" s="190"/>
      <c r="C965" s="190"/>
      <c r="D965" s="190"/>
      <c r="E965" s="190"/>
      <c r="F965" s="190"/>
      <c r="G965" s="190"/>
      <c r="H965" s="190"/>
      <c r="I965" s="190"/>
      <c r="J965" s="190"/>
      <c r="K965" s="190"/>
      <c r="L965" s="190"/>
      <c r="M965" s="190"/>
      <c r="N965" s="190"/>
      <c r="O965" s="190"/>
      <c r="P965" s="190"/>
      <c r="Q965" s="190"/>
      <c r="R965" s="190"/>
      <c r="S965" s="190"/>
      <c r="T965" s="190"/>
      <c r="U965" s="190"/>
      <c r="V965" s="190"/>
      <c r="W965" s="190"/>
      <c r="X965" s="190"/>
      <c r="Y965" s="190"/>
      <c r="Z965" s="190"/>
    </row>
    <row r="966" ht="15.75" customHeight="1" spans="1:26">
      <c r="A966" s="190"/>
      <c r="B966" s="190"/>
      <c r="C966" s="190"/>
      <c r="D966" s="190"/>
      <c r="E966" s="190"/>
      <c r="F966" s="190"/>
      <c r="G966" s="190"/>
      <c r="H966" s="190"/>
      <c r="I966" s="190"/>
      <c r="J966" s="190"/>
      <c r="K966" s="190"/>
      <c r="L966" s="190"/>
      <c r="M966" s="190"/>
      <c r="N966" s="190"/>
      <c r="O966" s="190"/>
      <c r="P966" s="190"/>
      <c r="Q966" s="190"/>
      <c r="R966" s="190"/>
      <c r="S966" s="190"/>
      <c r="T966" s="190"/>
      <c r="U966" s="190"/>
      <c r="V966" s="190"/>
      <c r="W966" s="190"/>
      <c r="X966" s="190"/>
      <c r="Y966" s="190"/>
      <c r="Z966" s="190"/>
    </row>
    <row r="967" ht="15.75" customHeight="1" spans="1:26">
      <c r="A967" s="190"/>
      <c r="B967" s="190"/>
      <c r="C967" s="190"/>
      <c r="D967" s="190"/>
      <c r="E967" s="190"/>
      <c r="F967" s="190"/>
      <c r="G967" s="190"/>
      <c r="H967" s="190"/>
      <c r="I967" s="190"/>
      <c r="J967" s="190"/>
      <c r="K967" s="190"/>
      <c r="L967" s="190"/>
      <c r="M967" s="190"/>
      <c r="N967" s="190"/>
      <c r="O967" s="190"/>
      <c r="P967" s="190"/>
      <c r="Q967" s="190"/>
      <c r="R967" s="190"/>
      <c r="S967" s="190"/>
      <c r="T967" s="190"/>
      <c r="U967" s="190"/>
      <c r="V967" s="190"/>
      <c r="W967" s="190"/>
      <c r="X967" s="190"/>
      <c r="Y967" s="190"/>
      <c r="Z967" s="190"/>
    </row>
    <row r="968" ht="15.75" customHeight="1" spans="1:26">
      <c r="A968" s="190"/>
      <c r="B968" s="190"/>
      <c r="C968" s="190"/>
      <c r="D968" s="190"/>
      <c r="E968" s="190"/>
      <c r="F968" s="190"/>
      <c r="G968" s="190"/>
      <c r="H968" s="190"/>
      <c r="I968" s="190"/>
      <c r="J968" s="190"/>
      <c r="K968" s="190"/>
      <c r="L968" s="190"/>
      <c r="M968" s="190"/>
      <c r="N968" s="190"/>
      <c r="O968" s="190"/>
      <c r="P968" s="190"/>
      <c r="Q968" s="190"/>
      <c r="R968" s="190"/>
      <c r="S968" s="190"/>
      <c r="T968" s="190"/>
      <c r="U968" s="190"/>
      <c r="V968" s="190"/>
      <c r="W968" s="190"/>
      <c r="X968" s="190"/>
      <c r="Y968" s="190"/>
      <c r="Z968" s="190"/>
    </row>
    <row r="969" ht="15.75" customHeight="1" spans="1:26">
      <c r="A969" s="190"/>
      <c r="B969" s="190"/>
      <c r="C969" s="190"/>
      <c r="D969" s="190"/>
      <c r="E969" s="190"/>
      <c r="F969" s="190"/>
      <c r="G969" s="190"/>
      <c r="H969" s="190"/>
      <c r="I969" s="190"/>
      <c r="J969" s="190"/>
      <c r="K969" s="190"/>
      <c r="L969" s="190"/>
      <c r="M969" s="190"/>
      <c r="N969" s="190"/>
      <c r="O969" s="190"/>
      <c r="P969" s="190"/>
      <c r="Q969" s="190"/>
      <c r="R969" s="190"/>
      <c r="S969" s="190"/>
      <c r="T969" s="190"/>
      <c r="U969" s="190"/>
      <c r="V969" s="190"/>
      <c r="W969" s="190"/>
      <c r="X969" s="190"/>
      <c r="Y969" s="190"/>
      <c r="Z969" s="190"/>
    </row>
    <row r="970" ht="15.75" customHeight="1" spans="1:26">
      <c r="A970" s="190"/>
      <c r="B970" s="190"/>
      <c r="C970" s="190"/>
      <c r="D970" s="190"/>
      <c r="E970" s="190"/>
      <c r="F970" s="190"/>
      <c r="G970" s="190"/>
      <c r="H970" s="190"/>
      <c r="I970" s="190"/>
      <c r="J970" s="190"/>
      <c r="K970" s="190"/>
      <c r="L970" s="190"/>
      <c r="M970" s="190"/>
      <c r="N970" s="190"/>
      <c r="O970" s="190"/>
      <c r="P970" s="190"/>
      <c r="Q970" s="190"/>
      <c r="R970" s="190"/>
      <c r="S970" s="190"/>
      <c r="T970" s="190"/>
      <c r="U970" s="190"/>
      <c r="V970" s="190"/>
      <c r="W970" s="190"/>
      <c r="X970" s="190"/>
      <c r="Y970" s="190"/>
      <c r="Z970" s="190"/>
    </row>
    <row r="971" ht="15.75" customHeight="1" spans="1:26">
      <c r="A971" s="190"/>
      <c r="B971" s="190"/>
      <c r="C971" s="190"/>
      <c r="D971" s="190"/>
      <c r="E971" s="190"/>
      <c r="F971" s="190"/>
      <c r="G971" s="190"/>
      <c r="H971" s="190"/>
      <c r="I971" s="190"/>
      <c r="J971" s="190"/>
      <c r="K971" s="190"/>
      <c r="L971" s="190"/>
      <c r="M971" s="190"/>
      <c r="N971" s="190"/>
      <c r="O971" s="190"/>
      <c r="P971" s="190"/>
      <c r="Q971" s="190"/>
      <c r="R971" s="190"/>
      <c r="S971" s="190"/>
      <c r="T971" s="190"/>
      <c r="U971" s="190"/>
      <c r="V971" s="190"/>
      <c r="W971" s="190"/>
      <c r="X971" s="190"/>
      <c r="Y971" s="190"/>
      <c r="Z971" s="190"/>
    </row>
    <row r="972" ht="15.75" customHeight="1" spans="1:26">
      <c r="A972" s="190"/>
      <c r="B972" s="190"/>
      <c r="C972" s="190"/>
      <c r="D972" s="190"/>
      <c r="E972" s="190"/>
      <c r="F972" s="190"/>
      <c r="G972" s="190"/>
      <c r="H972" s="190"/>
      <c r="I972" s="190"/>
      <c r="J972" s="190"/>
      <c r="K972" s="190"/>
      <c r="L972" s="190"/>
      <c r="M972" s="190"/>
      <c r="N972" s="190"/>
      <c r="O972" s="190"/>
      <c r="P972" s="190"/>
      <c r="Q972" s="190"/>
      <c r="R972" s="190"/>
      <c r="S972" s="190"/>
      <c r="T972" s="190"/>
      <c r="U972" s="190"/>
      <c r="V972" s="190"/>
      <c r="W972" s="190"/>
      <c r="X972" s="190"/>
      <c r="Y972" s="190"/>
      <c r="Z972" s="190"/>
    </row>
    <row r="973" ht="15.75" customHeight="1" spans="1:26">
      <c r="A973" s="190"/>
      <c r="B973" s="190"/>
      <c r="C973" s="190"/>
      <c r="D973" s="190"/>
      <c r="E973" s="190"/>
      <c r="F973" s="190"/>
      <c r="G973" s="190"/>
      <c r="H973" s="190"/>
      <c r="I973" s="190"/>
      <c r="J973" s="190"/>
      <c r="K973" s="190"/>
      <c r="L973" s="190"/>
      <c r="M973" s="190"/>
      <c r="N973" s="190"/>
      <c r="O973" s="190"/>
      <c r="P973" s="190"/>
      <c r="Q973" s="190"/>
      <c r="R973" s="190"/>
      <c r="S973" s="190"/>
      <c r="T973" s="190"/>
      <c r="U973" s="190"/>
      <c r="V973" s="190"/>
      <c r="W973" s="190"/>
      <c r="X973" s="190"/>
      <c r="Y973" s="190"/>
      <c r="Z973" s="190"/>
    </row>
    <row r="974" ht="15.75" customHeight="1" spans="1:26">
      <c r="A974" s="190"/>
      <c r="B974" s="190"/>
      <c r="C974" s="190"/>
      <c r="D974" s="190"/>
      <c r="E974" s="190"/>
      <c r="F974" s="190"/>
      <c r="G974" s="190"/>
      <c r="H974" s="190"/>
      <c r="I974" s="190"/>
      <c r="J974" s="190"/>
      <c r="K974" s="190"/>
      <c r="L974" s="190"/>
      <c r="M974" s="190"/>
      <c r="N974" s="190"/>
      <c r="O974" s="190"/>
      <c r="P974" s="190"/>
      <c r="Q974" s="190"/>
      <c r="R974" s="190"/>
      <c r="S974" s="190"/>
      <c r="T974" s="190"/>
      <c r="U974" s="190"/>
      <c r="V974" s="190"/>
      <c r="W974" s="190"/>
      <c r="X974" s="190"/>
      <c r="Y974" s="190"/>
      <c r="Z974" s="190"/>
    </row>
    <row r="975" ht="15.75" customHeight="1" spans="1:26">
      <c r="A975" s="190"/>
      <c r="B975" s="190"/>
      <c r="C975" s="190"/>
      <c r="D975" s="190"/>
      <c r="E975" s="190"/>
      <c r="F975" s="190"/>
      <c r="G975" s="190"/>
      <c r="H975" s="190"/>
      <c r="I975" s="190"/>
      <c r="J975" s="190"/>
      <c r="K975" s="190"/>
      <c r="L975" s="190"/>
      <c r="M975" s="190"/>
      <c r="N975" s="190"/>
      <c r="O975" s="190"/>
      <c r="P975" s="190"/>
      <c r="Q975" s="190"/>
      <c r="R975" s="190"/>
      <c r="S975" s="190"/>
      <c r="T975" s="190"/>
      <c r="U975" s="190"/>
      <c r="V975" s="190"/>
      <c r="W975" s="190"/>
      <c r="X975" s="190"/>
      <c r="Y975" s="190"/>
      <c r="Z975" s="190"/>
    </row>
    <row r="976" ht="15.75" customHeight="1" spans="1:26">
      <c r="A976" s="190"/>
      <c r="B976" s="190"/>
      <c r="C976" s="190"/>
      <c r="D976" s="190"/>
      <c r="E976" s="190"/>
      <c r="F976" s="190"/>
      <c r="G976" s="190"/>
      <c r="H976" s="190"/>
      <c r="I976" s="190"/>
      <c r="J976" s="190"/>
      <c r="K976" s="190"/>
      <c r="L976" s="190"/>
      <c r="M976" s="190"/>
      <c r="N976" s="190"/>
      <c r="O976" s="190"/>
      <c r="P976" s="190"/>
      <c r="Q976" s="190"/>
      <c r="R976" s="190"/>
      <c r="S976" s="190"/>
      <c r="T976" s="190"/>
      <c r="U976" s="190"/>
      <c r="V976" s="190"/>
      <c r="W976" s="190"/>
      <c r="X976" s="190"/>
      <c r="Y976" s="190"/>
      <c r="Z976" s="190"/>
    </row>
    <row r="977" ht="15.75" customHeight="1" spans="1:26">
      <c r="A977" s="190"/>
      <c r="B977" s="190"/>
      <c r="C977" s="190"/>
      <c r="D977" s="190"/>
      <c r="E977" s="190"/>
      <c r="F977" s="190"/>
      <c r="G977" s="190"/>
      <c r="H977" s="190"/>
      <c r="I977" s="190"/>
      <c r="J977" s="190"/>
      <c r="K977" s="190"/>
      <c r="L977" s="190"/>
      <c r="M977" s="190"/>
      <c r="N977" s="190"/>
      <c r="O977" s="190"/>
      <c r="P977" s="190"/>
      <c r="Q977" s="190"/>
      <c r="R977" s="190"/>
      <c r="S977" s="190"/>
      <c r="T977" s="190"/>
      <c r="U977" s="190"/>
      <c r="V977" s="190"/>
      <c r="W977" s="190"/>
      <c r="X977" s="190"/>
      <c r="Y977" s="190"/>
      <c r="Z977" s="190"/>
    </row>
    <row r="978" ht="15.75" customHeight="1" spans="1:26">
      <c r="A978" s="190"/>
      <c r="B978" s="190"/>
      <c r="C978" s="190"/>
      <c r="D978" s="190"/>
      <c r="E978" s="190"/>
      <c r="F978" s="190"/>
      <c r="G978" s="190"/>
      <c r="H978" s="190"/>
      <c r="I978" s="190"/>
      <c r="J978" s="190"/>
      <c r="K978" s="190"/>
      <c r="L978" s="190"/>
      <c r="M978" s="190"/>
      <c r="N978" s="190"/>
      <c r="O978" s="190"/>
      <c r="P978" s="190"/>
      <c r="Q978" s="190"/>
      <c r="R978" s="190"/>
      <c r="S978" s="190"/>
      <c r="T978" s="190"/>
      <c r="U978" s="190"/>
      <c r="V978" s="190"/>
      <c r="W978" s="190"/>
      <c r="X978" s="190"/>
      <c r="Y978" s="190"/>
      <c r="Z978" s="190"/>
    </row>
    <row r="979" ht="15.75" customHeight="1" spans="1:26">
      <c r="A979" s="190"/>
      <c r="B979" s="190"/>
      <c r="C979" s="190"/>
      <c r="D979" s="190"/>
      <c r="E979" s="190"/>
      <c r="F979" s="190"/>
      <c r="G979" s="190"/>
      <c r="H979" s="190"/>
      <c r="I979" s="190"/>
      <c r="J979" s="190"/>
      <c r="K979" s="190"/>
      <c r="L979" s="190"/>
      <c r="M979" s="190"/>
      <c r="N979" s="190"/>
      <c r="O979" s="190"/>
      <c r="P979" s="190"/>
      <c r="Q979" s="190"/>
      <c r="R979" s="190"/>
      <c r="S979" s="190"/>
      <c r="T979" s="190"/>
      <c r="U979" s="190"/>
      <c r="V979" s="190"/>
      <c r="W979" s="190"/>
      <c r="X979" s="190"/>
      <c r="Y979" s="190"/>
      <c r="Z979" s="190"/>
    </row>
    <row r="980" ht="15.75" customHeight="1" spans="1:26">
      <c r="A980" s="190"/>
      <c r="B980" s="190"/>
      <c r="C980" s="190"/>
      <c r="D980" s="190"/>
      <c r="E980" s="190"/>
      <c r="F980" s="190"/>
      <c r="G980" s="190"/>
      <c r="H980" s="190"/>
      <c r="I980" s="190"/>
      <c r="J980" s="190"/>
      <c r="K980" s="190"/>
      <c r="L980" s="190"/>
      <c r="M980" s="190"/>
      <c r="N980" s="190"/>
      <c r="O980" s="190"/>
      <c r="P980" s="190"/>
      <c r="Q980" s="190"/>
      <c r="R980" s="190"/>
      <c r="S980" s="190"/>
      <c r="T980" s="190"/>
      <c r="U980" s="190"/>
      <c r="V980" s="190"/>
      <c r="W980" s="190"/>
      <c r="X980" s="190"/>
      <c r="Y980" s="190"/>
      <c r="Z980" s="190"/>
    </row>
    <row r="981" ht="15.75" customHeight="1" spans="1:26">
      <c r="A981" s="190"/>
      <c r="B981" s="190"/>
      <c r="C981" s="190"/>
      <c r="D981" s="190"/>
      <c r="E981" s="190"/>
      <c r="F981" s="190"/>
      <c r="G981" s="190"/>
      <c r="H981" s="190"/>
      <c r="I981" s="190"/>
      <c r="J981" s="190"/>
      <c r="K981" s="190"/>
      <c r="L981" s="190"/>
      <c r="M981" s="190"/>
      <c r="N981" s="190"/>
      <c r="O981" s="190"/>
      <c r="P981" s="190"/>
      <c r="Q981" s="190"/>
      <c r="R981" s="190"/>
      <c r="S981" s="190"/>
      <c r="T981" s="190"/>
      <c r="U981" s="190"/>
      <c r="V981" s="190"/>
      <c r="W981" s="190"/>
      <c r="X981" s="190"/>
      <c r="Y981" s="190"/>
      <c r="Z981" s="190"/>
    </row>
    <row r="982" ht="15.75" customHeight="1" spans="1:26">
      <c r="A982" s="190"/>
      <c r="B982" s="190"/>
      <c r="C982" s="190"/>
      <c r="D982" s="190"/>
      <c r="E982" s="190"/>
      <c r="F982" s="190"/>
      <c r="G982" s="190"/>
      <c r="H982" s="190"/>
      <c r="I982" s="190"/>
      <c r="J982" s="190"/>
      <c r="K982" s="190"/>
      <c r="L982" s="190"/>
      <c r="M982" s="190"/>
      <c r="N982" s="190"/>
      <c r="O982" s="190"/>
      <c r="P982" s="190"/>
      <c r="Q982" s="190"/>
      <c r="R982" s="190"/>
      <c r="S982" s="190"/>
      <c r="T982" s="190"/>
      <c r="U982" s="190"/>
      <c r="V982" s="190"/>
      <c r="W982" s="190"/>
      <c r="X982" s="190"/>
      <c r="Y982" s="190"/>
      <c r="Z982" s="190"/>
    </row>
    <row r="983" ht="15.75" customHeight="1" spans="1:26">
      <c r="A983" s="190"/>
      <c r="B983" s="190"/>
      <c r="C983" s="190"/>
      <c r="D983" s="190"/>
      <c r="E983" s="190"/>
      <c r="F983" s="190"/>
      <c r="G983" s="190"/>
      <c r="H983" s="190"/>
      <c r="I983" s="190"/>
      <c r="J983" s="190"/>
      <c r="K983" s="190"/>
      <c r="L983" s="190"/>
      <c r="M983" s="190"/>
      <c r="N983" s="190"/>
      <c r="O983" s="190"/>
      <c r="P983" s="190"/>
      <c r="Q983" s="190"/>
      <c r="R983" s="190"/>
      <c r="S983" s="190"/>
      <c r="T983" s="190"/>
      <c r="U983" s="190"/>
      <c r="V983" s="190"/>
      <c r="W983" s="190"/>
      <c r="X983" s="190"/>
      <c r="Y983" s="190"/>
      <c r="Z983" s="190"/>
    </row>
    <row r="984" ht="15.75" customHeight="1" spans="1:26">
      <c r="A984" s="190"/>
      <c r="B984" s="190"/>
      <c r="C984" s="190"/>
      <c r="D984" s="190"/>
      <c r="E984" s="190"/>
      <c r="F984" s="190"/>
      <c r="G984" s="190"/>
      <c r="H984" s="190"/>
      <c r="I984" s="190"/>
      <c r="J984" s="190"/>
      <c r="K984" s="190"/>
      <c r="L984" s="190"/>
      <c r="M984" s="190"/>
      <c r="N984" s="190"/>
      <c r="O984" s="190"/>
      <c r="P984" s="190"/>
      <c r="Q984" s="190"/>
      <c r="R984" s="190"/>
      <c r="S984" s="190"/>
      <c r="T984" s="190"/>
      <c r="U984" s="190"/>
      <c r="V984" s="190"/>
      <c r="W984" s="190"/>
      <c r="X984" s="190"/>
      <c r="Y984" s="190"/>
      <c r="Z984" s="190"/>
    </row>
    <row r="985" ht="15.75" customHeight="1" spans="1:26">
      <c r="A985" s="190"/>
      <c r="B985" s="190"/>
      <c r="C985" s="190"/>
      <c r="D985" s="190"/>
      <c r="E985" s="190"/>
      <c r="F985" s="190"/>
      <c r="G985" s="190"/>
      <c r="H985" s="190"/>
      <c r="I985" s="190"/>
      <c r="J985" s="190"/>
      <c r="K985" s="190"/>
      <c r="L985" s="190"/>
      <c r="M985" s="190"/>
      <c r="N985" s="190"/>
      <c r="O985" s="190"/>
      <c r="P985" s="190"/>
      <c r="Q985" s="190"/>
      <c r="R985" s="190"/>
      <c r="S985" s="190"/>
      <c r="T985" s="190"/>
      <c r="U985" s="190"/>
      <c r="V985" s="190"/>
      <c r="W985" s="190"/>
      <c r="X985" s="190"/>
      <c r="Y985" s="190"/>
      <c r="Z985" s="190"/>
    </row>
    <row r="986" ht="15.75" customHeight="1" spans="1:26">
      <c r="A986" s="190"/>
      <c r="B986" s="190"/>
      <c r="C986" s="190"/>
      <c r="D986" s="190"/>
      <c r="E986" s="190"/>
      <c r="F986" s="190"/>
      <c r="G986" s="190"/>
      <c r="H986" s="190"/>
      <c r="I986" s="190"/>
      <c r="J986" s="190"/>
      <c r="K986" s="190"/>
      <c r="L986" s="190"/>
      <c r="M986" s="190"/>
      <c r="N986" s="190"/>
      <c r="O986" s="190"/>
      <c r="P986" s="190"/>
      <c r="Q986" s="190"/>
      <c r="R986" s="190"/>
      <c r="S986" s="190"/>
      <c r="T986" s="190"/>
      <c r="U986" s="190"/>
      <c r="V986" s="190"/>
      <c r="W986" s="190"/>
      <c r="X986" s="190"/>
      <c r="Y986" s="190"/>
      <c r="Z986" s="190"/>
    </row>
    <row r="987" ht="15.75" customHeight="1" spans="1:26">
      <c r="A987" s="190"/>
      <c r="B987" s="190"/>
      <c r="C987" s="190"/>
      <c r="D987" s="190"/>
      <c r="E987" s="190"/>
      <c r="F987" s="190"/>
      <c r="G987" s="190"/>
      <c r="H987" s="190"/>
      <c r="I987" s="190"/>
      <c r="J987" s="190"/>
      <c r="K987" s="190"/>
      <c r="L987" s="190"/>
      <c r="M987" s="190"/>
      <c r="N987" s="190"/>
      <c r="O987" s="190"/>
      <c r="P987" s="190"/>
      <c r="Q987" s="190"/>
      <c r="R987" s="190"/>
      <c r="S987" s="190"/>
      <c r="T987" s="190"/>
      <c r="U987" s="190"/>
      <c r="V987" s="190"/>
      <c r="W987" s="190"/>
      <c r="X987" s="190"/>
      <c r="Y987" s="190"/>
      <c r="Z987" s="190"/>
    </row>
    <row r="988" ht="15.75" customHeight="1" spans="1:26">
      <c r="A988" s="190"/>
      <c r="B988" s="190"/>
      <c r="C988" s="190"/>
      <c r="D988" s="190"/>
      <c r="E988" s="190"/>
      <c r="F988" s="190"/>
      <c r="G988" s="190"/>
      <c r="H988" s="190"/>
      <c r="I988" s="190"/>
      <c r="J988" s="190"/>
      <c r="K988" s="190"/>
      <c r="L988" s="190"/>
      <c r="M988" s="190"/>
      <c r="N988" s="190"/>
      <c r="O988" s="190"/>
      <c r="P988" s="190"/>
      <c r="Q988" s="190"/>
      <c r="R988" s="190"/>
      <c r="S988" s="190"/>
      <c r="T988" s="190"/>
      <c r="U988" s="190"/>
      <c r="V988" s="190"/>
      <c r="W988" s="190"/>
      <c r="X988" s="190"/>
      <c r="Y988" s="190"/>
      <c r="Z988" s="190"/>
    </row>
    <row r="989" ht="15.75" customHeight="1" spans="1:26">
      <c r="A989" s="190"/>
      <c r="B989" s="190"/>
      <c r="C989" s="190"/>
      <c r="D989" s="190"/>
      <c r="E989" s="190"/>
      <c r="F989" s="190"/>
      <c r="G989" s="190"/>
      <c r="H989" s="190"/>
      <c r="I989" s="190"/>
      <c r="J989" s="190"/>
      <c r="K989" s="190"/>
      <c r="L989" s="190"/>
      <c r="M989" s="190"/>
      <c r="N989" s="190"/>
      <c r="O989" s="190"/>
      <c r="P989" s="190"/>
      <c r="Q989" s="190"/>
      <c r="R989" s="190"/>
      <c r="S989" s="190"/>
      <c r="T989" s="190"/>
      <c r="U989" s="190"/>
      <c r="V989" s="190"/>
      <c r="W989" s="190"/>
      <c r="X989" s="190"/>
      <c r="Y989" s="190"/>
      <c r="Z989" s="190"/>
    </row>
    <row r="990" ht="15.75" customHeight="1" spans="1:26">
      <c r="A990" s="190"/>
      <c r="B990" s="190"/>
      <c r="C990" s="190"/>
      <c r="D990" s="190"/>
      <c r="E990" s="190"/>
      <c r="F990" s="190"/>
      <c r="G990" s="190"/>
      <c r="H990" s="190"/>
      <c r="I990" s="190"/>
      <c r="J990" s="190"/>
      <c r="K990" s="190"/>
      <c r="L990" s="190"/>
      <c r="M990" s="190"/>
      <c r="N990" s="190"/>
      <c r="O990" s="190"/>
      <c r="P990" s="190"/>
      <c r="Q990" s="190"/>
      <c r="R990" s="190"/>
      <c r="S990" s="190"/>
      <c r="T990" s="190"/>
      <c r="U990" s="190"/>
      <c r="V990" s="190"/>
      <c r="W990" s="190"/>
      <c r="X990" s="190"/>
      <c r="Y990" s="190"/>
      <c r="Z990" s="190"/>
    </row>
    <row r="991" ht="15.75" customHeight="1" spans="1:26">
      <c r="A991" s="190"/>
      <c r="B991" s="190"/>
      <c r="C991" s="190"/>
      <c r="D991" s="190"/>
      <c r="E991" s="190"/>
      <c r="F991" s="190"/>
      <c r="G991" s="190"/>
      <c r="H991" s="190"/>
      <c r="I991" s="190"/>
      <c r="J991" s="190"/>
      <c r="K991" s="190"/>
      <c r="L991" s="190"/>
      <c r="M991" s="190"/>
      <c r="N991" s="190"/>
      <c r="O991" s="190"/>
      <c r="P991" s="190"/>
      <c r="Q991" s="190"/>
      <c r="R991" s="190"/>
      <c r="S991" s="190"/>
      <c r="T991" s="190"/>
      <c r="U991" s="190"/>
      <c r="V991" s="190"/>
      <c r="W991" s="190"/>
      <c r="X991" s="190"/>
      <c r="Y991" s="190"/>
      <c r="Z991" s="190"/>
    </row>
    <row r="992" ht="15.75" customHeight="1" spans="1:26">
      <c r="A992" s="190"/>
      <c r="B992" s="190"/>
      <c r="C992" s="190"/>
      <c r="D992" s="190"/>
      <c r="E992" s="190"/>
      <c r="F992" s="190"/>
      <c r="G992" s="190"/>
      <c r="H992" s="190"/>
      <c r="I992" s="190"/>
      <c r="J992" s="190"/>
      <c r="K992" s="190"/>
      <c r="L992" s="190"/>
      <c r="M992" s="190"/>
      <c r="N992" s="190"/>
      <c r="O992" s="190"/>
      <c r="P992" s="190"/>
      <c r="Q992" s="190"/>
      <c r="R992" s="190"/>
      <c r="S992" s="190"/>
      <c r="T992" s="190"/>
      <c r="U992" s="190"/>
      <c r="V992" s="190"/>
      <c r="W992" s="190"/>
      <c r="X992" s="190"/>
      <c r="Y992" s="190"/>
      <c r="Z992" s="190"/>
    </row>
    <row r="993" ht="15.75" customHeight="1" spans="1:26">
      <c r="A993" s="190"/>
      <c r="B993" s="190"/>
      <c r="C993" s="190"/>
      <c r="D993" s="190"/>
      <c r="E993" s="190"/>
      <c r="F993" s="190"/>
      <c r="G993" s="190"/>
      <c r="H993" s="190"/>
      <c r="I993" s="190"/>
      <c r="J993" s="190"/>
      <c r="K993" s="190"/>
      <c r="L993" s="190"/>
      <c r="M993" s="190"/>
      <c r="N993" s="190"/>
      <c r="O993" s="190"/>
      <c r="P993" s="190"/>
      <c r="Q993" s="190"/>
      <c r="R993" s="190"/>
      <c r="S993" s="190"/>
      <c r="T993" s="190"/>
      <c r="U993" s="190"/>
      <c r="V993" s="190"/>
      <c r="W993" s="190"/>
      <c r="X993" s="190"/>
      <c r="Y993" s="190"/>
      <c r="Z993" s="190"/>
    </row>
    <row r="994" ht="15.75" customHeight="1" spans="1:26">
      <c r="A994" s="190"/>
      <c r="B994" s="190"/>
      <c r="C994" s="190"/>
      <c r="D994" s="190"/>
      <c r="E994" s="190"/>
      <c r="F994" s="190"/>
      <c r="G994" s="190"/>
      <c r="H994" s="190"/>
      <c r="I994" s="190"/>
      <c r="J994" s="190"/>
      <c r="K994" s="190"/>
      <c r="L994" s="190"/>
      <c r="M994" s="190"/>
      <c r="N994" s="190"/>
      <c r="O994" s="190"/>
      <c r="P994" s="190"/>
      <c r="Q994" s="190"/>
      <c r="R994" s="190"/>
      <c r="S994" s="190"/>
      <c r="T994" s="190"/>
      <c r="U994" s="190"/>
      <c r="V994" s="190"/>
      <c r="W994" s="190"/>
      <c r="X994" s="190"/>
      <c r="Y994" s="190"/>
      <c r="Z994" s="190"/>
    </row>
    <row r="995" ht="15.75" customHeight="1" spans="1:26">
      <c r="A995" s="190"/>
      <c r="B995" s="190"/>
      <c r="C995" s="190"/>
      <c r="D995" s="190"/>
      <c r="E995" s="190"/>
      <c r="F995" s="190"/>
      <c r="G995" s="190"/>
      <c r="H995" s="190"/>
      <c r="I995" s="190"/>
      <c r="J995" s="190"/>
      <c r="K995" s="190"/>
      <c r="L995" s="190"/>
      <c r="M995" s="190"/>
      <c r="N995" s="190"/>
      <c r="O995" s="190"/>
      <c r="P995" s="190"/>
      <c r="Q995" s="190"/>
      <c r="R995" s="190"/>
      <c r="S995" s="190"/>
      <c r="T995" s="190"/>
      <c r="U995" s="190"/>
      <c r="V995" s="190"/>
      <c r="W995" s="190"/>
      <c r="X995" s="190"/>
      <c r="Y995" s="190"/>
      <c r="Z995" s="190"/>
    </row>
    <row r="996" ht="15.75" customHeight="1" spans="1:26">
      <c r="A996" s="190"/>
      <c r="B996" s="190"/>
      <c r="C996" s="190"/>
      <c r="D996" s="190"/>
      <c r="E996" s="190"/>
      <c r="F996" s="190"/>
      <c r="G996" s="190"/>
      <c r="H996" s="190"/>
      <c r="I996" s="190"/>
      <c r="J996" s="190"/>
      <c r="K996" s="190"/>
      <c r="L996" s="190"/>
      <c r="M996" s="190"/>
      <c r="N996" s="190"/>
      <c r="O996" s="190"/>
      <c r="P996" s="190"/>
      <c r="Q996" s="190"/>
      <c r="R996" s="190"/>
      <c r="S996" s="190"/>
      <c r="T996" s="190"/>
      <c r="U996" s="190"/>
      <c r="V996" s="190"/>
      <c r="W996" s="190"/>
      <c r="X996" s="190"/>
      <c r="Y996" s="190"/>
      <c r="Z996" s="190"/>
    </row>
    <row r="997" ht="15.75" customHeight="1" spans="1:26">
      <c r="A997" s="190"/>
      <c r="B997" s="190"/>
      <c r="C997" s="190"/>
      <c r="D997" s="190"/>
      <c r="E997" s="190"/>
      <c r="F997" s="190"/>
      <c r="G997" s="190"/>
      <c r="H997" s="190"/>
      <c r="I997" s="190"/>
      <c r="J997" s="190"/>
      <c r="K997" s="190"/>
      <c r="L997" s="190"/>
      <c r="M997" s="190"/>
      <c r="N997" s="190"/>
      <c r="O997" s="190"/>
      <c r="P997" s="190"/>
      <c r="Q997" s="190"/>
      <c r="R997" s="190"/>
      <c r="S997" s="190"/>
      <c r="T997" s="190"/>
      <c r="U997" s="190"/>
      <c r="V997" s="190"/>
      <c r="W997" s="190"/>
      <c r="X997" s="190"/>
      <c r="Y997" s="190"/>
      <c r="Z997" s="190"/>
    </row>
    <row r="998" ht="15.75" customHeight="1" spans="1:26">
      <c r="A998" s="190"/>
      <c r="B998" s="190"/>
      <c r="C998" s="190"/>
      <c r="D998" s="190"/>
      <c r="E998" s="190"/>
      <c r="F998" s="190"/>
      <c r="G998" s="190"/>
      <c r="H998" s="190"/>
      <c r="I998" s="190"/>
      <c r="J998" s="190"/>
      <c r="K998" s="190"/>
      <c r="L998" s="190"/>
      <c r="M998" s="190"/>
      <c r="N998" s="190"/>
      <c r="O998" s="190"/>
      <c r="P998" s="190"/>
      <c r="Q998" s="190"/>
      <c r="R998" s="190"/>
      <c r="S998" s="190"/>
      <c r="T998" s="190"/>
      <c r="U998" s="190"/>
      <c r="V998" s="190"/>
      <c r="W998" s="190"/>
      <c r="X998" s="190"/>
      <c r="Y998" s="190"/>
      <c r="Z998" s="190"/>
    </row>
    <row r="999" ht="15.75" customHeight="1" spans="1:26">
      <c r="A999" s="190"/>
      <c r="B999" s="190"/>
      <c r="C999" s="190"/>
      <c r="D999" s="190"/>
      <c r="E999" s="190"/>
      <c r="F999" s="190"/>
      <c r="G999" s="190"/>
      <c r="H999" s="190"/>
      <c r="I999" s="190"/>
      <c r="J999" s="190"/>
      <c r="K999" s="190"/>
      <c r="L999" s="190"/>
      <c r="M999" s="190"/>
      <c r="N999" s="190"/>
      <c r="O999" s="190"/>
      <c r="P999" s="190"/>
      <c r="Q999" s="190"/>
      <c r="R999" s="190"/>
      <c r="S999" s="190"/>
      <c r="T999" s="190"/>
      <c r="U999" s="190"/>
      <c r="V999" s="190"/>
      <c r="W999" s="190"/>
      <c r="X999" s="190"/>
      <c r="Y999" s="190"/>
      <c r="Z999" s="190"/>
    </row>
    <row r="1000" ht="15.75" customHeight="1" spans="1:26">
      <c r="A1000" s="190"/>
      <c r="B1000" s="190"/>
      <c r="C1000" s="190"/>
      <c r="D1000" s="190"/>
      <c r="E1000" s="190"/>
      <c r="F1000" s="190"/>
      <c r="G1000" s="190"/>
      <c r="H1000" s="190"/>
      <c r="I1000" s="190"/>
      <c r="J1000" s="190"/>
      <c r="K1000" s="190"/>
      <c r="L1000" s="190"/>
      <c r="M1000" s="190"/>
      <c r="N1000" s="190"/>
      <c r="O1000" s="190"/>
      <c r="P1000" s="190"/>
      <c r="Q1000" s="190"/>
      <c r="R1000" s="190"/>
      <c r="S1000" s="190"/>
      <c r="T1000" s="190"/>
      <c r="U1000" s="190"/>
      <c r="V1000" s="190"/>
      <c r="W1000" s="190"/>
      <c r="X1000" s="190"/>
      <c r="Y1000" s="190"/>
      <c r="Z1000" s="190"/>
    </row>
  </sheetData>
  <mergeCells count="41">
    <mergeCell ref="A1:I1"/>
    <mergeCell ref="A2:I2"/>
    <mergeCell ref="A3:D3"/>
    <mergeCell ref="E3:G3"/>
    <mergeCell ref="H3:I3"/>
    <mergeCell ref="A4:D4"/>
    <mergeCell ref="E4:G4"/>
    <mergeCell ref="H4:I4"/>
    <mergeCell ref="A5:D5"/>
    <mergeCell ref="A6:D6"/>
    <mergeCell ref="A8:D8"/>
    <mergeCell ref="F8:I8"/>
    <mergeCell ref="A9:D9"/>
    <mergeCell ref="F9:I9"/>
    <mergeCell ref="A10:D10"/>
    <mergeCell ref="F10:I10"/>
    <mergeCell ref="A12:D12"/>
    <mergeCell ref="F12:I12"/>
    <mergeCell ref="A13:D13"/>
    <mergeCell ref="F13:I13"/>
    <mergeCell ref="A14:D14"/>
    <mergeCell ref="F14:I14"/>
    <mergeCell ref="A15:D15"/>
    <mergeCell ref="F15:I15"/>
    <mergeCell ref="A16:D16"/>
    <mergeCell ref="F16:I16"/>
    <mergeCell ref="A18:B18"/>
    <mergeCell ref="F18:G18"/>
    <mergeCell ref="A30:B30"/>
    <mergeCell ref="F30:G30"/>
    <mergeCell ref="A43:B43"/>
    <mergeCell ref="F43:G43"/>
    <mergeCell ref="A51:B51"/>
    <mergeCell ref="F51:G51"/>
    <mergeCell ref="A57:D57"/>
    <mergeCell ref="F57:I57"/>
    <mergeCell ref="A58:B58"/>
    <mergeCell ref="F58:G58"/>
    <mergeCell ref="A61:D61"/>
    <mergeCell ref="A59:D60"/>
    <mergeCell ref="F59:I60"/>
  </mergeCells>
  <printOptions horizontalCentered="1"/>
  <pageMargins left="0.511805555555556" right="0.511805555555556" top="1.16041666666667" bottom="0.590277777777778" header="0.511811023622047" footer="0.511811023622047"/>
  <pageSetup paperSize="9" scale="59" orientation="portrait" horizontalDpi="300" verticalDpi="300"/>
  <headerFooter/>
  <drawing r:id="rId1"/>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Z1122"/>
  <sheetViews>
    <sheetView zoomScale="50" zoomScaleNormal="50" topLeftCell="D1" workbookViewId="0">
      <selection activeCell="I6" sqref="I6"/>
    </sheetView>
  </sheetViews>
  <sheetFormatPr defaultColWidth="12.625" defaultRowHeight="14.25"/>
  <cols>
    <col min="1" max="1" width="20.8833333333333" style="1" customWidth="1"/>
    <col min="2" max="2" width="10" style="1" customWidth="1"/>
    <col min="3" max="3" width="83" style="1" customWidth="1"/>
    <col min="4" max="4" width="30.2583333333333" style="1" customWidth="1"/>
    <col min="5" max="5" width="10" style="1" customWidth="1"/>
    <col min="6" max="6" width="12.8833333333333" style="59" customWidth="1"/>
    <col min="7" max="8" width="11.75" style="60" customWidth="1"/>
    <col min="9" max="9" width="11" style="60" customWidth="1"/>
    <col min="10" max="10" width="15.2583333333333" style="60" customWidth="1"/>
    <col min="11" max="11" width="15" style="60" customWidth="1"/>
    <col min="12" max="12" width="15" style="1" customWidth="1"/>
    <col min="13" max="13" width="9" style="1" customWidth="1"/>
    <col min="14" max="14" width="15.2583333333333" style="1" customWidth="1"/>
    <col min="15" max="25" width="9" style="1" customWidth="1"/>
    <col min="26" max="26" width="8.61666666666667" style="1" customWidth="1"/>
  </cols>
  <sheetData>
    <row r="1" ht="131.25" customHeight="1" spans="1:26">
      <c r="A1" s="61"/>
      <c r="B1" s="61"/>
      <c r="C1" s="61"/>
      <c r="D1" s="61"/>
      <c r="E1" s="61"/>
      <c r="F1" s="61"/>
      <c r="G1" s="61"/>
      <c r="H1" s="61"/>
      <c r="I1" s="61"/>
      <c r="J1" s="61"/>
      <c r="K1" s="81"/>
      <c r="L1" s="96"/>
      <c r="M1" s="83"/>
      <c r="N1" s="83"/>
      <c r="O1" s="83"/>
      <c r="P1" s="83"/>
      <c r="Q1" s="83"/>
      <c r="R1" s="83"/>
      <c r="S1" s="83"/>
      <c r="T1" s="83"/>
      <c r="U1" s="83"/>
      <c r="V1" s="83"/>
      <c r="W1" s="83"/>
      <c r="X1" s="83"/>
      <c r="Y1" s="83"/>
      <c r="Z1" s="98"/>
    </row>
    <row r="2" ht="15.75" spans="1:26">
      <c r="A2" s="62" t="s">
        <v>6599</v>
      </c>
      <c r="B2" s="62"/>
      <c r="C2" s="62"/>
      <c r="D2" s="62"/>
      <c r="E2" s="62"/>
      <c r="F2" s="62"/>
      <c r="G2" s="62"/>
      <c r="H2" s="62"/>
      <c r="I2" s="62"/>
      <c r="J2" s="62"/>
      <c r="K2" s="81"/>
      <c r="L2" s="96"/>
      <c r="M2" s="83"/>
      <c r="N2" s="83"/>
      <c r="O2" s="83"/>
      <c r="P2" s="83"/>
      <c r="Q2" s="83"/>
      <c r="R2" s="83"/>
      <c r="S2" s="83"/>
      <c r="T2" s="83"/>
      <c r="U2" s="83"/>
      <c r="V2" s="83"/>
      <c r="W2" s="83"/>
      <c r="X2" s="83"/>
      <c r="Y2" s="83"/>
      <c r="Z2" s="98"/>
    </row>
    <row r="3" ht="15" customHeight="1" spans="1:26">
      <c r="A3" s="63" t="s">
        <v>1</v>
      </c>
      <c r="B3" s="63"/>
      <c r="C3" s="63"/>
      <c r="D3" s="63"/>
      <c r="E3" s="63"/>
      <c r="F3" s="64" t="s">
        <v>2</v>
      </c>
      <c r="G3" s="64"/>
      <c r="H3" s="64"/>
      <c r="I3" s="65" t="s">
        <v>3</v>
      </c>
      <c r="J3" s="65"/>
      <c r="K3" s="81"/>
      <c r="L3" s="96"/>
      <c r="M3" s="84"/>
      <c r="N3" s="84"/>
      <c r="O3" s="84"/>
      <c r="P3" s="84"/>
      <c r="Q3" s="84"/>
      <c r="R3" s="84"/>
      <c r="S3" s="84"/>
      <c r="T3" s="84"/>
      <c r="U3" s="84"/>
      <c r="V3" s="84"/>
      <c r="W3" s="93"/>
      <c r="X3" s="83"/>
      <c r="Y3" s="83"/>
      <c r="Z3" s="98"/>
    </row>
    <row r="4" ht="15" customHeight="1" spans="1:26">
      <c r="A4" s="66" t="s">
        <v>4</v>
      </c>
      <c r="B4" s="66"/>
      <c r="C4" s="66"/>
      <c r="D4" s="66"/>
      <c r="E4" s="66"/>
      <c r="F4" s="67" t="str">
        <f>RESUMO!E14</f>
        <v>PROCESSO: 23069.180351/2025-62</v>
      </c>
      <c r="G4" s="67"/>
      <c r="H4" s="67"/>
      <c r="I4" s="68" t="s">
        <v>6</v>
      </c>
      <c r="J4" s="68"/>
      <c r="K4" s="81"/>
      <c r="L4" s="96"/>
      <c r="M4" s="86"/>
      <c r="N4" s="86"/>
      <c r="O4" s="86"/>
      <c r="P4" s="86"/>
      <c r="Q4" s="86"/>
      <c r="R4" s="86"/>
      <c r="S4" s="86"/>
      <c r="T4" s="86"/>
      <c r="U4" s="86"/>
      <c r="V4" s="86"/>
      <c r="W4" s="94"/>
      <c r="X4" s="83"/>
      <c r="Y4" s="83"/>
      <c r="Z4" s="98"/>
    </row>
    <row r="5" ht="15" customHeight="1" spans="1:26">
      <c r="A5" s="66" t="s">
        <v>7</v>
      </c>
      <c r="B5" s="66"/>
      <c r="C5" s="66"/>
      <c r="D5" s="66"/>
      <c r="E5" s="66"/>
      <c r="F5" s="62" t="s">
        <v>8</v>
      </c>
      <c r="G5" s="69" t="s">
        <v>9</v>
      </c>
      <c r="H5" s="69" t="s">
        <v>10</v>
      </c>
      <c r="I5" s="69" t="s">
        <v>11</v>
      </c>
      <c r="J5" s="69" t="s">
        <v>12</v>
      </c>
      <c r="K5" s="81"/>
      <c r="L5" s="96"/>
      <c r="M5" s="88"/>
      <c r="N5" s="88"/>
      <c r="O5" s="88"/>
      <c r="P5" s="88"/>
      <c r="Q5" s="88"/>
      <c r="R5" s="84"/>
      <c r="S5" s="84"/>
      <c r="T5" s="84"/>
      <c r="U5" s="84"/>
      <c r="V5" s="84"/>
      <c r="W5" s="84"/>
      <c r="X5" s="83"/>
      <c r="Y5" s="83"/>
      <c r="Z5" s="98"/>
    </row>
    <row r="6" ht="15.75" spans="1:26">
      <c r="A6" s="70" t="str">
        <f>RESUMO!A16</f>
        <v>BASE DE DADOS: SINAPI - 07/2025 - Rio de Janeiro; SBC - 07/2025 - Rio de Janeiro; EMOP - 07/2025 - Rio de Janeiro; SCO - 07/2025 - Rio de Janeiro - DESONERADO</v>
      </c>
      <c r="B6" s="70"/>
      <c r="C6" s="70"/>
      <c r="D6" s="70"/>
      <c r="E6" s="70"/>
      <c r="F6" s="117">
        <f>BDI!E6</f>
        <v>0.2549</v>
      </c>
      <c r="G6" s="71">
        <f>BDI_DIF.!F6</f>
        <v>0.1612</v>
      </c>
      <c r="H6" s="72"/>
      <c r="I6" s="73">
        <f>'Enc. Sociais'!H6</f>
        <v>45931</v>
      </c>
      <c r="J6" s="72" t="str">
        <f>'Orçamento Sintético'!I6</f>
        <v>R21</v>
      </c>
      <c r="K6" s="81"/>
      <c r="L6" s="96"/>
      <c r="M6" s="88"/>
      <c r="N6" s="88"/>
      <c r="O6" s="88"/>
      <c r="P6" s="88"/>
      <c r="Q6" s="88"/>
      <c r="R6" s="95"/>
      <c r="S6" s="95"/>
      <c r="T6" s="96"/>
      <c r="U6" s="96"/>
      <c r="V6" s="97"/>
      <c r="W6" s="95"/>
      <c r="X6" s="83"/>
      <c r="Y6" s="83"/>
      <c r="Z6" s="98"/>
    </row>
    <row r="7" ht="15" customHeight="1" spans="1:26">
      <c r="A7" s="74" t="s">
        <v>6600</v>
      </c>
      <c r="B7" s="74"/>
      <c r="C7" s="74"/>
      <c r="D7" s="74"/>
      <c r="E7" s="74"/>
      <c r="F7" s="74"/>
      <c r="G7" s="74"/>
      <c r="H7" s="74"/>
      <c r="I7" s="74"/>
      <c r="J7" s="74"/>
      <c r="K7" s="90"/>
      <c r="L7" s="58"/>
      <c r="M7" s="58"/>
      <c r="N7" s="58"/>
      <c r="O7" s="58"/>
      <c r="P7" s="58"/>
      <c r="Q7" s="58"/>
      <c r="R7" s="58"/>
      <c r="S7" s="58"/>
      <c r="T7" s="58"/>
      <c r="U7" s="58"/>
      <c r="V7" s="58"/>
      <c r="W7" s="58"/>
      <c r="X7" s="58"/>
      <c r="Y7" s="58"/>
      <c r="Z7" s="58"/>
    </row>
    <row r="8" ht="30" spans="1:26">
      <c r="A8" s="75" t="s">
        <v>63</v>
      </c>
      <c r="B8" s="76" t="s">
        <v>64</v>
      </c>
      <c r="C8" s="76" t="s">
        <v>65</v>
      </c>
      <c r="D8" s="76" t="s">
        <v>2889</v>
      </c>
      <c r="E8" s="77" t="s">
        <v>66</v>
      </c>
      <c r="F8" s="118" t="s">
        <v>67</v>
      </c>
      <c r="G8" s="119" t="s">
        <v>6601</v>
      </c>
      <c r="H8" s="119" t="s">
        <v>70</v>
      </c>
      <c r="I8" s="119" t="s">
        <v>71</v>
      </c>
      <c r="J8" s="119" t="s">
        <v>6602</v>
      </c>
      <c r="K8" s="90"/>
      <c r="L8" s="58"/>
      <c r="M8" s="58"/>
      <c r="N8" s="58"/>
      <c r="O8" s="58"/>
      <c r="P8" s="58"/>
      <c r="Q8" s="58"/>
      <c r="R8" s="58"/>
      <c r="S8" s="58"/>
      <c r="T8" s="58"/>
      <c r="U8" s="58"/>
      <c r="V8" s="58"/>
      <c r="W8" s="58"/>
      <c r="X8" s="58"/>
      <c r="Y8" s="58"/>
      <c r="Z8" s="58"/>
    </row>
    <row r="9" spans="1:26">
      <c r="A9" s="78" t="s">
        <v>131</v>
      </c>
      <c r="B9" s="79" t="s">
        <v>132</v>
      </c>
      <c r="C9" s="79" t="s">
        <v>133</v>
      </c>
      <c r="D9" s="79" t="s">
        <v>2920</v>
      </c>
      <c r="E9" s="80" t="s">
        <v>134</v>
      </c>
      <c r="F9" s="120" t="s">
        <v>6603</v>
      </c>
      <c r="G9" s="121" t="s">
        <v>6604</v>
      </c>
      <c r="H9" s="121" t="s">
        <v>6604</v>
      </c>
      <c r="I9" s="121" t="s">
        <v>6605</v>
      </c>
      <c r="J9" s="121" t="s">
        <v>6605</v>
      </c>
      <c r="K9" s="90"/>
      <c r="L9" s="58"/>
      <c r="M9" s="58"/>
      <c r="N9" s="58"/>
      <c r="O9" s="58"/>
      <c r="P9" s="58"/>
      <c r="Q9" s="58"/>
      <c r="R9" s="58"/>
      <c r="S9" s="58"/>
      <c r="T9" s="58"/>
      <c r="U9" s="58"/>
      <c r="V9" s="58"/>
      <c r="W9" s="58"/>
      <c r="X9" s="58"/>
      <c r="Y9" s="58"/>
      <c r="Z9" s="58"/>
    </row>
    <row r="10" ht="51" spans="1:26">
      <c r="A10" s="78" t="s">
        <v>1432</v>
      </c>
      <c r="B10" s="79" t="s">
        <v>132</v>
      </c>
      <c r="C10" s="79" t="s">
        <v>1433</v>
      </c>
      <c r="D10" s="79">
        <v>80</v>
      </c>
      <c r="E10" s="80" t="s">
        <v>334</v>
      </c>
      <c r="F10" s="122" t="s">
        <v>6603</v>
      </c>
      <c r="G10" s="121" t="s">
        <v>6606</v>
      </c>
      <c r="H10" s="121" t="s">
        <v>6606</v>
      </c>
      <c r="I10" s="121" t="s">
        <v>6607</v>
      </c>
      <c r="J10" s="121" t="s">
        <v>6608</v>
      </c>
      <c r="K10" s="90"/>
      <c r="L10" s="58"/>
      <c r="M10" s="58"/>
      <c r="N10" s="58"/>
      <c r="O10" s="58"/>
      <c r="P10" s="58"/>
      <c r="Q10" s="58"/>
      <c r="R10" s="58"/>
      <c r="S10" s="58"/>
      <c r="T10" s="58"/>
      <c r="U10" s="58"/>
      <c r="V10" s="58"/>
      <c r="W10" s="58"/>
      <c r="X10" s="58"/>
      <c r="Y10" s="58"/>
      <c r="Z10" s="58"/>
    </row>
    <row r="11" ht="63.75" spans="1:26">
      <c r="A11" s="78" t="s">
        <v>2145</v>
      </c>
      <c r="B11" s="79" t="s">
        <v>132</v>
      </c>
      <c r="C11" s="79" t="s">
        <v>2146</v>
      </c>
      <c r="D11" s="79">
        <v>61.1</v>
      </c>
      <c r="E11" s="80" t="s">
        <v>134</v>
      </c>
      <c r="F11" s="122" t="s">
        <v>6603</v>
      </c>
      <c r="G11" s="121" t="s">
        <v>6609</v>
      </c>
      <c r="H11" s="121" t="s">
        <v>6609</v>
      </c>
      <c r="I11" s="121" t="s">
        <v>6610</v>
      </c>
      <c r="J11" s="121" t="s">
        <v>6611</v>
      </c>
      <c r="K11" s="90"/>
      <c r="L11" s="58"/>
      <c r="M11" s="58"/>
      <c r="N11" s="58"/>
      <c r="O11" s="58"/>
      <c r="P11" s="58"/>
      <c r="Q11" s="58"/>
      <c r="R11" s="58"/>
      <c r="S11" s="58"/>
      <c r="T11" s="58"/>
      <c r="U11" s="58"/>
      <c r="V11" s="58"/>
      <c r="W11" s="58"/>
      <c r="X11" s="58"/>
      <c r="Y11" s="58"/>
      <c r="Z11" s="58"/>
    </row>
    <row r="12" ht="25.5" spans="1:26">
      <c r="A12" s="78" t="s">
        <v>1205</v>
      </c>
      <c r="B12" s="79" t="s">
        <v>139</v>
      </c>
      <c r="C12" s="79" t="s">
        <v>1206</v>
      </c>
      <c r="D12" s="79" t="s">
        <v>4073</v>
      </c>
      <c r="E12" s="80" t="s">
        <v>204</v>
      </c>
      <c r="F12" s="122" t="s">
        <v>6612</v>
      </c>
      <c r="G12" s="121" t="s">
        <v>6613</v>
      </c>
      <c r="H12" s="121" t="s">
        <v>6614</v>
      </c>
      <c r="I12" s="121" t="s">
        <v>6615</v>
      </c>
      <c r="J12" s="121" t="s">
        <v>6616</v>
      </c>
      <c r="K12" s="90"/>
      <c r="L12" s="58"/>
      <c r="M12" s="58"/>
      <c r="N12" s="58"/>
      <c r="O12" s="58"/>
      <c r="P12" s="58"/>
      <c r="Q12" s="58"/>
      <c r="R12" s="58"/>
      <c r="S12" s="58"/>
      <c r="T12" s="58"/>
      <c r="U12" s="58"/>
      <c r="V12" s="58"/>
      <c r="W12" s="58"/>
      <c r="X12" s="58"/>
      <c r="Y12" s="58"/>
      <c r="Z12" s="58"/>
    </row>
    <row r="13" ht="51" spans="1:26">
      <c r="A13" s="78" t="s">
        <v>1421</v>
      </c>
      <c r="B13" s="79" t="s">
        <v>132</v>
      </c>
      <c r="C13" s="79" t="s">
        <v>1422</v>
      </c>
      <c r="D13" s="79">
        <v>80</v>
      </c>
      <c r="E13" s="80" t="s">
        <v>334</v>
      </c>
      <c r="F13" s="122" t="s">
        <v>6603</v>
      </c>
      <c r="G13" s="121" t="s">
        <v>6617</v>
      </c>
      <c r="H13" s="121" t="s">
        <v>6617</v>
      </c>
      <c r="I13" s="121" t="s">
        <v>6618</v>
      </c>
      <c r="J13" s="121" t="s">
        <v>6619</v>
      </c>
      <c r="K13" s="90"/>
      <c r="L13" s="58"/>
      <c r="M13" s="58"/>
      <c r="N13" s="58"/>
      <c r="O13" s="58"/>
      <c r="P13" s="58"/>
      <c r="Q13" s="58"/>
      <c r="R13" s="58"/>
      <c r="S13" s="58"/>
      <c r="T13" s="58"/>
      <c r="U13" s="58"/>
      <c r="V13" s="58"/>
      <c r="W13" s="58"/>
      <c r="X13" s="58"/>
      <c r="Y13" s="58"/>
      <c r="Z13" s="58"/>
    </row>
    <row r="14" ht="63.75" spans="1:26">
      <c r="A14" s="78" t="s">
        <v>2770</v>
      </c>
      <c r="B14" s="79" t="s">
        <v>132</v>
      </c>
      <c r="C14" s="79" t="s">
        <v>2771</v>
      </c>
      <c r="D14" s="79" t="s">
        <v>2968</v>
      </c>
      <c r="E14" s="80" t="s">
        <v>5193</v>
      </c>
      <c r="F14" s="122" t="s">
        <v>6603</v>
      </c>
      <c r="G14" s="121" t="s">
        <v>6620</v>
      </c>
      <c r="H14" s="121" t="s">
        <v>6620</v>
      </c>
      <c r="I14" s="121" t="s">
        <v>6621</v>
      </c>
      <c r="J14" s="121" t="s">
        <v>6622</v>
      </c>
      <c r="K14" s="90"/>
      <c r="L14" s="58"/>
      <c r="M14" s="58"/>
      <c r="N14" s="58"/>
      <c r="O14" s="58"/>
      <c r="P14" s="58"/>
      <c r="Q14" s="58"/>
      <c r="R14" s="58"/>
      <c r="S14" s="58"/>
      <c r="T14" s="58"/>
      <c r="U14" s="58"/>
      <c r="V14" s="58"/>
      <c r="W14" s="58"/>
      <c r="X14" s="58"/>
      <c r="Y14" s="58"/>
      <c r="Z14" s="58"/>
    </row>
    <row r="15" ht="38.25" spans="1:26">
      <c r="A15" s="78" t="s">
        <v>227</v>
      </c>
      <c r="B15" s="79" t="s">
        <v>139</v>
      </c>
      <c r="C15" s="79" t="s">
        <v>228</v>
      </c>
      <c r="D15" s="79" t="s">
        <v>3150</v>
      </c>
      <c r="E15" s="80" t="s">
        <v>204</v>
      </c>
      <c r="F15" s="122" t="s">
        <v>6623</v>
      </c>
      <c r="G15" s="121" t="s">
        <v>6624</v>
      </c>
      <c r="H15" s="121" t="s">
        <v>6625</v>
      </c>
      <c r="I15" s="121" t="s">
        <v>6626</v>
      </c>
      <c r="J15" s="121" t="s">
        <v>6627</v>
      </c>
      <c r="K15" s="90"/>
      <c r="L15" s="58"/>
      <c r="M15" s="58"/>
      <c r="N15" s="58"/>
      <c r="O15" s="58"/>
      <c r="P15" s="58"/>
      <c r="Q15" s="58"/>
      <c r="R15" s="58"/>
      <c r="S15" s="58"/>
      <c r="T15" s="58"/>
      <c r="U15" s="58"/>
      <c r="V15" s="58"/>
      <c r="W15" s="58"/>
      <c r="X15" s="58"/>
      <c r="Y15" s="58"/>
      <c r="Z15" s="58"/>
    </row>
    <row r="16" spans="1:26">
      <c r="A16" s="78" t="s">
        <v>716</v>
      </c>
      <c r="B16" s="79" t="s">
        <v>149</v>
      </c>
      <c r="C16" s="79" t="s">
        <v>717</v>
      </c>
      <c r="D16" s="79" t="s">
        <v>3564</v>
      </c>
      <c r="E16" s="80" t="s">
        <v>204</v>
      </c>
      <c r="F16" s="122" t="s">
        <v>6628</v>
      </c>
      <c r="G16" s="121" t="s">
        <v>6629</v>
      </c>
      <c r="H16" s="121" t="s">
        <v>6630</v>
      </c>
      <c r="I16" s="121" t="s">
        <v>6631</v>
      </c>
      <c r="J16" s="121" t="s">
        <v>6632</v>
      </c>
      <c r="K16" s="90"/>
      <c r="L16" s="58"/>
      <c r="M16" s="58"/>
      <c r="N16" s="58"/>
      <c r="O16" s="58"/>
      <c r="P16" s="58"/>
      <c r="Q16" s="58"/>
      <c r="R16" s="58"/>
      <c r="S16" s="58"/>
      <c r="T16" s="58"/>
      <c r="U16" s="58"/>
      <c r="V16" s="58"/>
      <c r="W16" s="58"/>
      <c r="X16" s="58"/>
      <c r="Y16" s="58"/>
      <c r="Z16" s="58"/>
    </row>
    <row r="17" ht="25.5" spans="1:26">
      <c r="A17" s="78" t="s">
        <v>2671</v>
      </c>
      <c r="B17" s="79" t="s">
        <v>139</v>
      </c>
      <c r="C17" s="79" t="s">
        <v>2672</v>
      </c>
      <c r="D17" s="79" t="s">
        <v>3013</v>
      </c>
      <c r="E17" s="80" t="s">
        <v>141</v>
      </c>
      <c r="F17" s="122" t="s">
        <v>6633</v>
      </c>
      <c r="G17" s="121" t="s">
        <v>6634</v>
      </c>
      <c r="H17" s="121" t="s">
        <v>6635</v>
      </c>
      <c r="I17" s="121" t="s">
        <v>6636</v>
      </c>
      <c r="J17" s="121" t="s">
        <v>6637</v>
      </c>
      <c r="K17" s="90"/>
      <c r="L17" s="58"/>
      <c r="M17" s="58"/>
      <c r="N17" s="58"/>
      <c r="O17" s="58"/>
      <c r="P17" s="58"/>
      <c r="Q17" s="58"/>
      <c r="R17" s="58"/>
      <c r="S17" s="58"/>
      <c r="T17" s="58"/>
      <c r="U17" s="58"/>
      <c r="V17" s="58"/>
      <c r="W17" s="58"/>
      <c r="X17" s="58"/>
      <c r="Y17" s="58"/>
      <c r="Z17" s="58"/>
    </row>
    <row r="18" ht="38.25" spans="1:26">
      <c r="A18" s="78" t="s">
        <v>2777</v>
      </c>
      <c r="B18" s="79" t="s">
        <v>77</v>
      </c>
      <c r="C18" s="79" t="s">
        <v>2778</v>
      </c>
      <c r="D18" s="79">
        <v>13</v>
      </c>
      <c r="E18" s="80" t="s">
        <v>141</v>
      </c>
      <c r="F18" s="122" t="s">
        <v>6638</v>
      </c>
      <c r="G18" s="121" t="s">
        <v>6639</v>
      </c>
      <c r="H18" s="121" t="s">
        <v>6640</v>
      </c>
      <c r="I18" s="121" t="s">
        <v>6641</v>
      </c>
      <c r="J18" s="121" t="s">
        <v>6642</v>
      </c>
      <c r="K18" s="90"/>
      <c r="L18" s="58"/>
      <c r="M18" s="58"/>
      <c r="N18" s="58"/>
      <c r="O18" s="58"/>
      <c r="P18" s="58"/>
      <c r="Q18" s="58"/>
      <c r="R18" s="58"/>
      <c r="S18" s="58"/>
      <c r="T18" s="58"/>
      <c r="U18" s="58"/>
      <c r="V18" s="58"/>
      <c r="W18" s="58"/>
      <c r="X18" s="58"/>
      <c r="Y18" s="58"/>
      <c r="Z18" s="58"/>
    </row>
    <row r="19" ht="25.5" spans="1:26">
      <c r="A19" s="78" t="s">
        <v>1834</v>
      </c>
      <c r="B19" s="79" t="s">
        <v>132</v>
      </c>
      <c r="C19" s="79" t="s">
        <v>1835</v>
      </c>
      <c r="D19" s="79" t="s">
        <v>4227</v>
      </c>
      <c r="E19" s="80" t="s">
        <v>134</v>
      </c>
      <c r="F19" s="122" t="s">
        <v>6643</v>
      </c>
      <c r="G19" s="121" t="s">
        <v>6644</v>
      </c>
      <c r="H19" s="121" t="s">
        <v>6645</v>
      </c>
      <c r="I19" s="121" t="s">
        <v>6646</v>
      </c>
      <c r="J19" s="121" t="s">
        <v>6647</v>
      </c>
      <c r="K19" s="90"/>
      <c r="L19" s="58"/>
      <c r="M19" s="58"/>
      <c r="N19" s="58"/>
      <c r="O19" s="58"/>
      <c r="P19" s="58"/>
      <c r="Q19" s="58"/>
      <c r="R19" s="58"/>
      <c r="S19" s="58"/>
      <c r="T19" s="58"/>
      <c r="U19" s="58"/>
      <c r="V19" s="58"/>
      <c r="W19" s="58"/>
      <c r="X19" s="58"/>
      <c r="Y19" s="58"/>
      <c r="Z19" s="58"/>
    </row>
    <row r="20" ht="38.25" spans="1:26">
      <c r="A20" s="78" t="s">
        <v>1208</v>
      </c>
      <c r="B20" s="79" t="s">
        <v>132</v>
      </c>
      <c r="C20" s="79" t="s">
        <v>1209</v>
      </c>
      <c r="D20" s="79" t="s">
        <v>3177</v>
      </c>
      <c r="E20" s="80" t="s">
        <v>134</v>
      </c>
      <c r="F20" s="122" t="s">
        <v>6603</v>
      </c>
      <c r="G20" s="121" t="s">
        <v>6648</v>
      </c>
      <c r="H20" s="121" t="s">
        <v>6648</v>
      </c>
      <c r="I20" s="121" t="s">
        <v>6649</v>
      </c>
      <c r="J20" s="121" t="s">
        <v>6650</v>
      </c>
      <c r="K20" s="90"/>
      <c r="L20" s="58"/>
      <c r="M20" s="58"/>
      <c r="N20" s="58"/>
      <c r="O20" s="58"/>
      <c r="P20" s="58"/>
      <c r="Q20" s="58"/>
      <c r="R20" s="58"/>
      <c r="S20" s="58"/>
      <c r="T20" s="58"/>
      <c r="U20" s="58"/>
      <c r="V20" s="58"/>
      <c r="W20" s="58"/>
      <c r="X20" s="58"/>
      <c r="Y20" s="58"/>
      <c r="Z20" s="58"/>
    </row>
    <row r="21" ht="25.5" spans="1:26">
      <c r="A21" s="78" t="s">
        <v>1489</v>
      </c>
      <c r="B21" s="79" t="s">
        <v>132</v>
      </c>
      <c r="C21" s="79" t="s">
        <v>1490</v>
      </c>
      <c r="D21" s="79">
        <v>36.01</v>
      </c>
      <c r="E21" s="80" t="s">
        <v>1491</v>
      </c>
      <c r="F21" s="122" t="s">
        <v>6603</v>
      </c>
      <c r="G21" s="121" t="s">
        <v>6651</v>
      </c>
      <c r="H21" s="121" t="s">
        <v>6651</v>
      </c>
      <c r="I21" s="121" t="s">
        <v>6649</v>
      </c>
      <c r="J21" s="121" t="s">
        <v>6652</v>
      </c>
      <c r="K21" s="90"/>
      <c r="L21" s="58"/>
      <c r="M21" s="58"/>
      <c r="N21" s="58"/>
      <c r="O21" s="58"/>
      <c r="P21" s="58"/>
      <c r="Q21" s="58"/>
      <c r="R21" s="58"/>
      <c r="S21" s="58"/>
      <c r="T21" s="58"/>
      <c r="U21" s="58"/>
      <c r="V21" s="58"/>
      <c r="W21" s="58"/>
      <c r="X21" s="58"/>
      <c r="Y21" s="58"/>
      <c r="Z21" s="58"/>
    </row>
    <row r="22" ht="38.25" spans="1:26">
      <c r="A22" s="78" t="s">
        <v>1289</v>
      </c>
      <c r="B22" s="79" t="s">
        <v>132</v>
      </c>
      <c r="C22" s="79" t="s">
        <v>1290</v>
      </c>
      <c r="D22" s="79" t="s">
        <v>3177</v>
      </c>
      <c r="E22" s="80" t="s">
        <v>134</v>
      </c>
      <c r="F22" s="122" t="s">
        <v>6653</v>
      </c>
      <c r="G22" s="121" t="s">
        <v>6654</v>
      </c>
      <c r="H22" s="121" t="s">
        <v>6655</v>
      </c>
      <c r="I22" s="121" t="s">
        <v>6656</v>
      </c>
      <c r="J22" s="121" t="s">
        <v>6657</v>
      </c>
      <c r="K22" s="90"/>
      <c r="L22" s="58"/>
      <c r="M22" s="58"/>
      <c r="N22" s="58"/>
      <c r="O22" s="58"/>
      <c r="P22" s="58"/>
      <c r="Q22" s="58"/>
      <c r="R22" s="58"/>
      <c r="S22" s="58"/>
      <c r="T22" s="58"/>
      <c r="U22" s="58"/>
      <c r="V22" s="58"/>
      <c r="W22" s="58"/>
      <c r="X22" s="58"/>
      <c r="Y22" s="58"/>
      <c r="Z22" s="58"/>
    </row>
    <row r="23" ht="25.5" spans="1:26">
      <c r="A23" s="78" t="s">
        <v>2780</v>
      </c>
      <c r="B23" s="79" t="s">
        <v>132</v>
      </c>
      <c r="C23" s="79" t="s">
        <v>2781</v>
      </c>
      <c r="D23" s="79" t="s">
        <v>5209</v>
      </c>
      <c r="E23" s="80" t="s">
        <v>141</v>
      </c>
      <c r="F23" s="122" t="s">
        <v>6658</v>
      </c>
      <c r="G23" s="121" t="s">
        <v>6659</v>
      </c>
      <c r="H23" s="121" t="s">
        <v>6660</v>
      </c>
      <c r="I23" s="121" t="s">
        <v>6661</v>
      </c>
      <c r="J23" s="121" t="s">
        <v>6662</v>
      </c>
      <c r="K23" s="90"/>
      <c r="L23" s="58"/>
      <c r="M23" s="58"/>
      <c r="N23" s="58"/>
      <c r="O23" s="58"/>
      <c r="P23" s="58"/>
      <c r="Q23" s="58"/>
      <c r="R23" s="58"/>
      <c r="S23" s="58"/>
      <c r="T23" s="58"/>
      <c r="U23" s="58"/>
      <c r="V23" s="58"/>
      <c r="W23" s="58"/>
      <c r="X23" s="58"/>
      <c r="Y23" s="58"/>
      <c r="Z23" s="58"/>
    </row>
    <row r="24" ht="25.5" spans="1:26">
      <c r="A24" s="78" t="s">
        <v>1747</v>
      </c>
      <c r="B24" s="79" t="s">
        <v>139</v>
      </c>
      <c r="C24" s="79" t="s">
        <v>1748</v>
      </c>
      <c r="D24" s="79" t="s">
        <v>4227</v>
      </c>
      <c r="E24" s="80" t="s">
        <v>204</v>
      </c>
      <c r="F24" s="122" t="s">
        <v>6663</v>
      </c>
      <c r="G24" s="121" t="s">
        <v>6664</v>
      </c>
      <c r="H24" s="121" t="s">
        <v>6665</v>
      </c>
      <c r="I24" s="121" t="s">
        <v>6666</v>
      </c>
      <c r="J24" s="121" t="s">
        <v>6667</v>
      </c>
      <c r="K24" s="90"/>
      <c r="L24" s="58"/>
      <c r="M24" s="58"/>
      <c r="N24" s="58"/>
      <c r="O24" s="58"/>
      <c r="P24" s="58"/>
      <c r="Q24" s="58"/>
      <c r="R24" s="58"/>
      <c r="S24" s="58"/>
      <c r="T24" s="58"/>
      <c r="U24" s="58"/>
      <c r="V24" s="58"/>
      <c r="W24" s="58"/>
      <c r="X24" s="58"/>
      <c r="Y24" s="58"/>
      <c r="Z24" s="58"/>
    </row>
    <row r="25" ht="63.75" spans="1:26">
      <c r="A25" s="78" t="s">
        <v>2166</v>
      </c>
      <c r="B25" s="79" t="s">
        <v>132</v>
      </c>
      <c r="C25" s="79" t="s">
        <v>2167</v>
      </c>
      <c r="D25" s="79">
        <v>61.1</v>
      </c>
      <c r="E25" s="80" t="s">
        <v>134</v>
      </c>
      <c r="F25" s="122" t="s">
        <v>6603</v>
      </c>
      <c r="G25" s="121" t="s">
        <v>6668</v>
      </c>
      <c r="H25" s="121" t="s">
        <v>6668</v>
      </c>
      <c r="I25" s="121" t="s">
        <v>6669</v>
      </c>
      <c r="J25" s="121" t="s">
        <v>6670</v>
      </c>
      <c r="K25" s="90"/>
      <c r="L25" s="58"/>
      <c r="M25" s="58"/>
      <c r="N25" s="58"/>
      <c r="O25" s="58"/>
      <c r="P25" s="58"/>
      <c r="Q25" s="58"/>
      <c r="R25" s="58"/>
      <c r="S25" s="58"/>
      <c r="T25" s="58"/>
      <c r="U25" s="58"/>
      <c r="V25" s="58"/>
      <c r="W25" s="58"/>
      <c r="X25" s="58"/>
      <c r="Y25" s="58"/>
      <c r="Z25" s="58"/>
    </row>
    <row r="26" ht="38.25" spans="1:26">
      <c r="A26" s="78" t="s">
        <v>1772</v>
      </c>
      <c r="B26" s="79" t="s">
        <v>132</v>
      </c>
      <c r="C26" s="79" t="s">
        <v>1773</v>
      </c>
      <c r="D26" s="79" t="s">
        <v>4532</v>
      </c>
      <c r="E26" s="80" t="s">
        <v>134</v>
      </c>
      <c r="F26" s="122" t="s">
        <v>6671</v>
      </c>
      <c r="G26" s="121" t="s">
        <v>6672</v>
      </c>
      <c r="H26" s="121" t="s">
        <v>6673</v>
      </c>
      <c r="I26" s="121" t="s">
        <v>6674</v>
      </c>
      <c r="J26" s="121" t="s">
        <v>6675</v>
      </c>
      <c r="K26" s="90"/>
      <c r="L26" s="58"/>
      <c r="M26" s="58"/>
      <c r="N26" s="58"/>
      <c r="O26" s="58"/>
      <c r="P26" s="58"/>
      <c r="Q26" s="58"/>
      <c r="R26" s="58"/>
      <c r="S26" s="58"/>
      <c r="T26" s="58"/>
      <c r="U26" s="58"/>
      <c r="V26" s="58"/>
      <c r="W26" s="58"/>
      <c r="X26" s="58"/>
      <c r="Y26" s="58"/>
      <c r="Z26" s="58"/>
    </row>
    <row r="27" ht="63.75" spans="1:26">
      <c r="A27" s="78" t="s">
        <v>1439</v>
      </c>
      <c r="B27" s="79" t="s">
        <v>132</v>
      </c>
      <c r="C27" s="79" t="s">
        <v>1440</v>
      </c>
      <c r="D27" s="79" t="s">
        <v>3177</v>
      </c>
      <c r="E27" s="80" t="s">
        <v>134</v>
      </c>
      <c r="F27" s="122" t="s">
        <v>6676</v>
      </c>
      <c r="G27" s="121" t="s">
        <v>6677</v>
      </c>
      <c r="H27" s="121" t="s">
        <v>6678</v>
      </c>
      <c r="I27" s="121" t="s">
        <v>6679</v>
      </c>
      <c r="J27" s="121" t="s">
        <v>6680</v>
      </c>
      <c r="K27" s="90"/>
      <c r="L27" s="58"/>
      <c r="M27" s="58"/>
      <c r="N27" s="58"/>
      <c r="O27" s="58"/>
      <c r="P27" s="58"/>
      <c r="Q27" s="58"/>
      <c r="R27" s="58"/>
      <c r="S27" s="58"/>
      <c r="T27" s="58"/>
      <c r="U27" s="58"/>
      <c r="V27" s="58"/>
      <c r="W27" s="58"/>
      <c r="X27" s="58"/>
      <c r="Y27" s="58"/>
      <c r="Z27" s="58"/>
    </row>
    <row r="28" ht="63.75" spans="1:26">
      <c r="A28" s="78" t="s">
        <v>2159</v>
      </c>
      <c r="B28" s="79" t="s">
        <v>132</v>
      </c>
      <c r="C28" s="79" t="s">
        <v>2160</v>
      </c>
      <c r="D28" s="79">
        <v>61.1</v>
      </c>
      <c r="E28" s="80" t="s">
        <v>134</v>
      </c>
      <c r="F28" s="122" t="s">
        <v>6603</v>
      </c>
      <c r="G28" s="121" t="s">
        <v>6681</v>
      </c>
      <c r="H28" s="121" t="s">
        <v>6681</v>
      </c>
      <c r="I28" s="121" t="s">
        <v>6682</v>
      </c>
      <c r="J28" s="121" t="s">
        <v>6683</v>
      </c>
      <c r="K28" s="90"/>
      <c r="L28" s="58"/>
      <c r="M28" s="58"/>
      <c r="N28" s="58"/>
      <c r="O28" s="58"/>
      <c r="P28" s="58"/>
      <c r="Q28" s="58"/>
      <c r="R28" s="58"/>
      <c r="S28" s="58"/>
      <c r="T28" s="58"/>
      <c r="U28" s="58"/>
      <c r="V28" s="58"/>
      <c r="W28" s="58"/>
      <c r="X28" s="58"/>
      <c r="Y28" s="58"/>
      <c r="Z28" s="58"/>
    </row>
    <row r="29" ht="38.25" spans="1:26">
      <c r="A29" s="78" t="s">
        <v>682</v>
      </c>
      <c r="B29" s="79" t="s">
        <v>132</v>
      </c>
      <c r="C29" s="79" t="s">
        <v>683</v>
      </c>
      <c r="D29" s="79" t="s">
        <v>3505</v>
      </c>
      <c r="E29" s="80" t="s">
        <v>134</v>
      </c>
      <c r="F29" s="122" t="s">
        <v>6684</v>
      </c>
      <c r="G29" s="121" t="s">
        <v>6685</v>
      </c>
      <c r="H29" s="121" t="s">
        <v>6686</v>
      </c>
      <c r="I29" s="121" t="s">
        <v>6687</v>
      </c>
      <c r="J29" s="121" t="s">
        <v>6688</v>
      </c>
      <c r="K29" s="90"/>
      <c r="L29" s="58"/>
      <c r="M29" s="58"/>
      <c r="N29" s="58"/>
      <c r="O29" s="58"/>
      <c r="P29" s="58"/>
      <c r="Q29" s="58"/>
      <c r="R29" s="58"/>
      <c r="S29" s="58"/>
      <c r="T29" s="58"/>
      <c r="U29" s="58"/>
      <c r="V29" s="58"/>
      <c r="W29" s="58"/>
      <c r="X29" s="58"/>
      <c r="Y29" s="58"/>
      <c r="Z29" s="58"/>
    </row>
    <row r="30" ht="25.5" spans="1:26">
      <c r="A30" s="78" t="s">
        <v>1605</v>
      </c>
      <c r="B30" s="79" t="s">
        <v>132</v>
      </c>
      <c r="C30" s="79" t="s">
        <v>1606</v>
      </c>
      <c r="D30" s="79">
        <v>60</v>
      </c>
      <c r="E30" s="80" t="s">
        <v>134</v>
      </c>
      <c r="F30" s="122" t="s">
        <v>6689</v>
      </c>
      <c r="G30" s="121" t="s">
        <v>6690</v>
      </c>
      <c r="H30" s="121" t="s">
        <v>6691</v>
      </c>
      <c r="I30" s="121" t="s">
        <v>6692</v>
      </c>
      <c r="J30" s="121" t="s">
        <v>6693</v>
      </c>
      <c r="K30" s="90"/>
      <c r="L30" s="58"/>
      <c r="M30" s="58"/>
      <c r="N30" s="58"/>
      <c r="O30" s="58"/>
      <c r="P30" s="58"/>
      <c r="Q30" s="58"/>
      <c r="R30" s="58"/>
      <c r="S30" s="58"/>
      <c r="T30" s="58"/>
      <c r="U30" s="58"/>
      <c r="V30" s="58"/>
      <c r="W30" s="58"/>
      <c r="X30" s="58"/>
      <c r="Y30" s="58"/>
      <c r="Z30" s="58"/>
    </row>
    <row r="31" ht="25.5" spans="1:26">
      <c r="A31" s="78" t="s">
        <v>1193</v>
      </c>
      <c r="B31" s="79" t="s">
        <v>139</v>
      </c>
      <c r="C31" s="79" t="s">
        <v>1194</v>
      </c>
      <c r="D31" s="79" t="s">
        <v>4073</v>
      </c>
      <c r="E31" s="80" t="s">
        <v>204</v>
      </c>
      <c r="F31" s="122" t="s">
        <v>6694</v>
      </c>
      <c r="G31" s="121" t="s">
        <v>6695</v>
      </c>
      <c r="H31" s="121" t="s">
        <v>6696</v>
      </c>
      <c r="I31" s="121" t="s">
        <v>6697</v>
      </c>
      <c r="J31" s="121" t="s">
        <v>6698</v>
      </c>
      <c r="K31" s="90"/>
      <c r="L31" s="58"/>
      <c r="M31" s="58"/>
      <c r="N31" s="58"/>
      <c r="O31" s="58"/>
      <c r="P31" s="58"/>
      <c r="Q31" s="58"/>
      <c r="R31" s="58"/>
      <c r="S31" s="58"/>
      <c r="T31" s="58"/>
      <c r="U31" s="58"/>
      <c r="V31" s="58"/>
      <c r="W31" s="58"/>
      <c r="X31" s="58"/>
      <c r="Y31" s="58"/>
      <c r="Z31" s="58"/>
    </row>
    <row r="32" ht="38.25" spans="1:26">
      <c r="A32" s="78" t="s">
        <v>2152</v>
      </c>
      <c r="B32" s="79" t="s">
        <v>132</v>
      </c>
      <c r="C32" s="79" t="s">
        <v>2153</v>
      </c>
      <c r="D32" s="79">
        <v>43.08</v>
      </c>
      <c r="E32" s="80" t="s">
        <v>134</v>
      </c>
      <c r="F32" s="122" t="s">
        <v>6603</v>
      </c>
      <c r="G32" s="121" t="s">
        <v>6699</v>
      </c>
      <c r="H32" s="121" t="s">
        <v>6699</v>
      </c>
      <c r="I32" s="121" t="s">
        <v>6700</v>
      </c>
      <c r="J32" s="121" t="s">
        <v>6701</v>
      </c>
      <c r="K32" s="90"/>
      <c r="L32" s="58"/>
      <c r="M32" s="58"/>
      <c r="N32" s="58"/>
      <c r="O32" s="58"/>
      <c r="P32" s="58"/>
      <c r="Q32" s="58"/>
      <c r="R32" s="58"/>
      <c r="S32" s="58"/>
      <c r="T32" s="58"/>
      <c r="U32" s="58"/>
      <c r="V32" s="58"/>
      <c r="W32" s="58"/>
      <c r="X32" s="58"/>
      <c r="Y32" s="58"/>
      <c r="Z32" s="58"/>
    </row>
    <row r="33" ht="25.5" spans="1:26">
      <c r="A33" s="78" t="s">
        <v>2474</v>
      </c>
      <c r="B33" s="79" t="s">
        <v>149</v>
      </c>
      <c r="C33" s="79" t="s">
        <v>2475</v>
      </c>
      <c r="D33" s="79" t="s">
        <v>4599</v>
      </c>
      <c r="E33" s="80" t="s">
        <v>141</v>
      </c>
      <c r="F33" s="122" t="s">
        <v>6702</v>
      </c>
      <c r="G33" s="121" t="s">
        <v>6703</v>
      </c>
      <c r="H33" s="121" t="s">
        <v>6704</v>
      </c>
      <c r="I33" s="121" t="s">
        <v>6705</v>
      </c>
      <c r="J33" s="121" t="s">
        <v>6706</v>
      </c>
      <c r="K33" s="90"/>
      <c r="L33" s="58"/>
      <c r="M33" s="58"/>
      <c r="N33" s="58"/>
      <c r="O33" s="58"/>
      <c r="P33" s="58"/>
      <c r="Q33" s="58"/>
      <c r="R33" s="58"/>
      <c r="S33" s="58"/>
      <c r="T33" s="58"/>
      <c r="U33" s="58"/>
      <c r="V33" s="58"/>
      <c r="W33" s="58"/>
      <c r="X33" s="58"/>
      <c r="Y33" s="58"/>
      <c r="Z33" s="58"/>
    </row>
    <row r="34" ht="25.5" spans="1:26">
      <c r="A34" s="78" t="s">
        <v>2756</v>
      </c>
      <c r="B34" s="79" t="s">
        <v>139</v>
      </c>
      <c r="C34" s="79" t="s">
        <v>2757</v>
      </c>
      <c r="D34" s="79" t="s">
        <v>3079</v>
      </c>
      <c r="E34" s="80" t="s">
        <v>141</v>
      </c>
      <c r="F34" s="122" t="s">
        <v>6707</v>
      </c>
      <c r="G34" s="121" t="s">
        <v>6708</v>
      </c>
      <c r="H34" s="121" t="s">
        <v>6709</v>
      </c>
      <c r="I34" s="121" t="s">
        <v>6710</v>
      </c>
      <c r="J34" s="121" t="s">
        <v>6711</v>
      </c>
      <c r="K34" s="90"/>
      <c r="L34" s="58"/>
      <c r="M34" s="58"/>
      <c r="N34" s="58"/>
      <c r="O34" s="58"/>
      <c r="P34" s="58"/>
      <c r="Q34" s="58"/>
      <c r="R34" s="58"/>
      <c r="S34" s="58"/>
      <c r="T34" s="58"/>
      <c r="U34" s="58"/>
      <c r="V34" s="58"/>
      <c r="W34" s="58"/>
      <c r="X34" s="58"/>
      <c r="Y34" s="58"/>
      <c r="Z34" s="58"/>
    </row>
    <row r="35" spans="1:26">
      <c r="A35" s="78" t="s">
        <v>518</v>
      </c>
      <c r="B35" s="79" t="s">
        <v>149</v>
      </c>
      <c r="C35" s="79" t="s">
        <v>519</v>
      </c>
      <c r="D35" s="79" t="s">
        <v>3411</v>
      </c>
      <c r="E35" s="80" t="s">
        <v>279</v>
      </c>
      <c r="F35" s="122" t="s">
        <v>6712</v>
      </c>
      <c r="G35" s="121" t="s">
        <v>6713</v>
      </c>
      <c r="H35" s="121" t="s">
        <v>6714</v>
      </c>
      <c r="I35" s="121" t="s">
        <v>6715</v>
      </c>
      <c r="J35" s="121" t="s">
        <v>6716</v>
      </c>
      <c r="K35" s="90"/>
      <c r="L35" s="58"/>
      <c r="M35" s="58"/>
      <c r="N35" s="58"/>
      <c r="O35" s="58"/>
      <c r="P35" s="58"/>
      <c r="Q35" s="58"/>
      <c r="R35" s="58"/>
      <c r="S35" s="58"/>
      <c r="T35" s="58"/>
      <c r="U35" s="58"/>
      <c r="V35" s="58"/>
      <c r="W35" s="58"/>
      <c r="X35" s="58"/>
      <c r="Y35" s="58"/>
      <c r="Z35" s="58"/>
    </row>
    <row r="36" ht="38.25" spans="1:26">
      <c r="A36" s="78" t="s">
        <v>1482</v>
      </c>
      <c r="B36" s="79" t="s">
        <v>132</v>
      </c>
      <c r="C36" s="79" t="s">
        <v>1483</v>
      </c>
      <c r="D36" s="79">
        <v>18</v>
      </c>
      <c r="E36" s="80" t="s">
        <v>134</v>
      </c>
      <c r="F36" s="122" t="s">
        <v>6603</v>
      </c>
      <c r="G36" s="121" t="s">
        <v>6717</v>
      </c>
      <c r="H36" s="121" t="s">
        <v>6717</v>
      </c>
      <c r="I36" s="121" t="s">
        <v>6718</v>
      </c>
      <c r="J36" s="121" t="s">
        <v>6719</v>
      </c>
      <c r="K36" s="90"/>
      <c r="L36" s="58"/>
      <c r="M36" s="58"/>
      <c r="N36" s="58"/>
      <c r="O36" s="58"/>
      <c r="P36" s="58"/>
      <c r="Q36" s="58"/>
      <c r="R36" s="58"/>
      <c r="S36" s="58"/>
      <c r="T36" s="58"/>
      <c r="U36" s="58"/>
      <c r="V36" s="58"/>
      <c r="W36" s="58"/>
      <c r="X36" s="58"/>
      <c r="Y36" s="58"/>
      <c r="Z36" s="58"/>
    </row>
    <row r="37" ht="25.5" spans="1:26">
      <c r="A37" s="78" t="s">
        <v>2448</v>
      </c>
      <c r="B37" s="79" t="s">
        <v>149</v>
      </c>
      <c r="C37" s="79" t="s">
        <v>2449</v>
      </c>
      <c r="D37" s="79" t="s">
        <v>4599</v>
      </c>
      <c r="E37" s="80" t="s">
        <v>141</v>
      </c>
      <c r="F37" s="122" t="s">
        <v>6720</v>
      </c>
      <c r="G37" s="121" t="s">
        <v>6721</v>
      </c>
      <c r="H37" s="121" t="s">
        <v>6722</v>
      </c>
      <c r="I37" s="121" t="s">
        <v>6723</v>
      </c>
      <c r="J37" s="121" t="s">
        <v>6724</v>
      </c>
      <c r="K37" s="90"/>
      <c r="L37" s="58"/>
      <c r="M37" s="58"/>
      <c r="N37" s="58"/>
      <c r="O37" s="58"/>
      <c r="P37" s="58"/>
      <c r="Q37" s="58"/>
      <c r="R37" s="58"/>
      <c r="S37" s="58"/>
      <c r="T37" s="58"/>
      <c r="U37" s="58"/>
      <c r="V37" s="58"/>
      <c r="W37" s="58"/>
      <c r="X37" s="58"/>
      <c r="Y37" s="58"/>
      <c r="Z37" s="58"/>
    </row>
    <row r="38" ht="63.75" spans="1:26">
      <c r="A38" s="78" t="s">
        <v>655</v>
      </c>
      <c r="B38" s="79" t="s">
        <v>132</v>
      </c>
      <c r="C38" s="79" t="s">
        <v>656</v>
      </c>
      <c r="D38" s="79" t="s">
        <v>3505</v>
      </c>
      <c r="E38" s="80" t="s">
        <v>134</v>
      </c>
      <c r="F38" s="122" t="s">
        <v>6725</v>
      </c>
      <c r="G38" s="121" t="s">
        <v>6726</v>
      </c>
      <c r="H38" s="121" t="s">
        <v>6727</v>
      </c>
      <c r="I38" s="121" t="s">
        <v>6728</v>
      </c>
      <c r="J38" s="121" t="s">
        <v>6729</v>
      </c>
      <c r="K38" s="90"/>
      <c r="L38" s="58"/>
      <c r="M38" s="58"/>
      <c r="N38" s="58"/>
      <c r="O38" s="58"/>
      <c r="P38" s="58"/>
      <c r="Q38" s="58"/>
      <c r="R38" s="58"/>
      <c r="S38" s="58"/>
      <c r="T38" s="58"/>
      <c r="U38" s="58"/>
      <c r="V38" s="58"/>
      <c r="W38" s="58"/>
      <c r="X38" s="58"/>
      <c r="Y38" s="58"/>
      <c r="Z38" s="58"/>
    </row>
    <row r="39" ht="38.25" spans="1:26">
      <c r="A39" s="78" t="s">
        <v>1560</v>
      </c>
      <c r="B39" s="79" t="s">
        <v>132</v>
      </c>
      <c r="C39" s="79" t="s">
        <v>1561</v>
      </c>
      <c r="D39" s="79" t="s">
        <v>3177</v>
      </c>
      <c r="E39" s="80" t="s">
        <v>204</v>
      </c>
      <c r="F39" s="122" t="s">
        <v>6730</v>
      </c>
      <c r="G39" s="121" t="s">
        <v>6731</v>
      </c>
      <c r="H39" s="121" t="s">
        <v>6732</v>
      </c>
      <c r="I39" s="121" t="s">
        <v>6733</v>
      </c>
      <c r="J39" s="121" t="s">
        <v>6734</v>
      </c>
      <c r="K39" s="90"/>
      <c r="L39" s="58"/>
      <c r="M39" s="58"/>
      <c r="N39" s="58"/>
      <c r="O39" s="58"/>
      <c r="P39" s="58"/>
      <c r="Q39" s="58"/>
      <c r="R39" s="58"/>
      <c r="S39" s="58"/>
      <c r="T39" s="58"/>
      <c r="U39" s="58"/>
      <c r="V39" s="58"/>
      <c r="W39" s="58"/>
      <c r="X39" s="58"/>
      <c r="Y39" s="58"/>
      <c r="Z39" s="58"/>
    </row>
    <row r="40" ht="25.5" spans="1:26">
      <c r="A40" s="78" t="s">
        <v>2730</v>
      </c>
      <c r="B40" s="79" t="s">
        <v>139</v>
      </c>
      <c r="C40" s="79" t="s">
        <v>2731</v>
      </c>
      <c r="D40" s="79" t="s">
        <v>3079</v>
      </c>
      <c r="E40" s="80" t="s">
        <v>141</v>
      </c>
      <c r="F40" s="122" t="s">
        <v>6735</v>
      </c>
      <c r="G40" s="121" t="s">
        <v>6736</v>
      </c>
      <c r="H40" s="121" t="s">
        <v>6737</v>
      </c>
      <c r="I40" s="121" t="s">
        <v>6738</v>
      </c>
      <c r="J40" s="121" t="s">
        <v>6739</v>
      </c>
      <c r="K40" s="90"/>
      <c r="L40" s="58"/>
      <c r="M40" s="58"/>
      <c r="N40" s="58"/>
      <c r="O40" s="58"/>
      <c r="P40" s="58"/>
      <c r="Q40" s="58"/>
      <c r="R40" s="58"/>
      <c r="S40" s="58"/>
      <c r="T40" s="58"/>
      <c r="U40" s="58"/>
      <c r="V40" s="58"/>
      <c r="W40" s="58"/>
      <c r="X40" s="58"/>
      <c r="Y40" s="58"/>
      <c r="Z40" s="58"/>
    </row>
    <row r="41" spans="1:26">
      <c r="A41" s="78" t="s">
        <v>2774</v>
      </c>
      <c r="B41" s="79" t="s">
        <v>139</v>
      </c>
      <c r="C41" s="79" t="s">
        <v>2775</v>
      </c>
      <c r="D41" s="79" t="s">
        <v>3112</v>
      </c>
      <c r="E41" s="80" t="s">
        <v>141</v>
      </c>
      <c r="F41" s="122" t="s">
        <v>6740</v>
      </c>
      <c r="G41" s="121" t="s">
        <v>6741</v>
      </c>
      <c r="H41" s="121" t="s">
        <v>6742</v>
      </c>
      <c r="I41" s="121" t="s">
        <v>6743</v>
      </c>
      <c r="J41" s="121" t="s">
        <v>6744</v>
      </c>
      <c r="K41" s="90"/>
      <c r="L41" s="58"/>
      <c r="M41" s="58"/>
      <c r="N41" s="58"/>
      <c r="O41" s="58"/>
      <c r="P41" s="58"/>
      <c r="Q41" s="58"/>
      <c r="R41" s="58"/>
      <c r="S41" s="58"/>
      <c r="T41" s="58"/>
      <c r="U41" s="58"/>
      <c r="V41" s="58"/>
      <c r="W41" s="58"/>
      <c r="X41" s="58"/>
      <c r="Y41" s="58"/>
      <c r="Z41" s="58"/>
    </row>
    <row r="42" ht="25.5" spans="1:26">
      <c r="A42" s="78" t="s">
        <v>2709</v>
      </c>
      <c r="B42" s="79" t="s">
        <v>139</v>
      </c>
      <c r="C42" s="79" t="s">
        <v>2710</v>
      </c>
      <c r="D42" s="79" t="s">
        <v>5162</v>
      </c>
      <c r="E42" s="80" t="s">
        <v>141</v>
      </c>
      <c r="F42" s="122" t="s">
        <v>6745</v>
      </c>
      <c r="G42" s="121" t="s">
        <v>6746</v>
      </c>
      <c r="H42" s="121" t="s">
        <v>6747</v>
      </c>
      <c r="I42" s="121" t="s">
        <v>6743</v>
      </c>
      <c r="J42" s="121" t="s">
        <v>6748</v>
      </c>
      <c r="K42" s="90"/>
      <c r="L42" s="58"/>
      <c r="M42" s="58"/>
      <c r="N42" s="58"/>
      <c r="O42" s="58"/>
      <c r="P42" s="58"/>
      <c r="Q42" s="58"/>
      <c r="R42" s="58"/>
      <c r="S42" s="58"/>
      <c r="T42" s="58"/>
      <c r="U42" s="58"/>
      <c r="V42" s="58"/>
      <c r="W42" s="58"/>
      <c r="X42" s="58"/>
      <c r="Y42" s="58"/>
      <c r="Z42" s="58"/>
    </row>
    <row r="43" ht="38.25" spans="1:26">
      <c r="A43" s="78" t="s">
        <v>859</v>
      </c>
      <c r="B43" s="79" t="s">
        <v>132</v>
      </c>
      <c r="C43" s="79" t="s">
        <v>860</v>
      </c>
      <c r="D43" s="79" t="s">
        <v>3177</v>
      </c>
      <c r="E43" s="80" t="s">
        <v>134</v>
      </c>
      <c r="F43" s="122" t="s">
        <v>6749</v>
      </c>
      <c r="G43" s="121" t="s">
        <v>6750</v>
      </c>
      <c r="H43" s="121" t="s">
        <v>6751</v>
      </c>
      <c r="I43" s="121" t="s">
        <v>6752</v>
      </c>
      <c r="J43" s="121" t="s">
        <v>6753</v>
      </c>
      <c r="K43" s="90"/>
      <c r="L43" s="58"/>
      <c r="M43" s="58"/>
      <c r="N43" s="58"/>
      <c r="O43" s="58"/>
      <c r="P43" s="58"/>
      <c r="Q43" s="58"/>
      <c r="R43" s="58"/>
      <c r="S43" s="58"/>
      <c r="T43" s="58"/>
      <c r="U43" s="58"/>
      <c r="V43" s="58"/>
      <c r="W43" s="58"/>
      <c r="X43" s="58"/>
      <c r="Y43" s="58"/>
      <c r="Z43" s="58"/>
    </row>
    <row r="44" ht="25.5" spans="1:26">
      <c r="A44" s="78" t="s">
        <v>2783</v>
      </c>
      <c r="B44" s="79" t="s">
        <v>132</v>
      </c>
      <c r="C44" s="79" t="s">
        <v>2784</v>
      </c>
      <c r="D44" s="79" t="s">
        <v>4113</v>
      </c>
      <c r="E44" s="80" t="s">
        <v>141</v>
      </c>
      <c r="F44" s="122" t="s">
        <v>6754</v>
      </c>
      <c r="G44" s="121" t="s">
        <v>6755</v>
      </c>
      <c r="H44" s="121" t="s">
        <v>6756</v>
      </c>
      <c r="I44" s="121" t="s">
        <v>6757</v>
      </c>
      <c r="J44" s="121" t="s">
        <v>6758</v>
      </c>
      <c r="K44" s="90"/>
      <c r="L44" s="58"/>
      <c r="M44" s="58"/>
      <c r="N44" s="58"/>
      <c r="O44" s="58"/>
      <c r="P44" s="58"/>
      <c r="Q44" s="58"/>
      <c r="R44" s="58"/>
      <c r="S44" s="58"/>
      <c r="T44" s="58"/>
      <c r="U44" s="58"/>
      <c r="V44" s="58"/>
      <c r="W44" s="58"/>
      <c r="X44" s="58"/>
      <c r="Y44" s="58"/>
      <c r="Z44" s="58"/>
    </row>
    <row r="45" ht="38.25" spans="1:26">
      <c r="A45" s="78" t="s">
        <v>802</v>
      </c>
      <c r="B45" s="79" t="s">
        <v>132</v>
      </c>
      <c r="C45" s="79" t="s">
        <v>803</v>
      </c>
      <c r="D45" s="79">
        <v>18</v>
      </c>
      <c r="E45" s="80" t="s">
        <v>134</v>
      </c>
      <c r="F45" s="122" t="s">
        <v>6676</v>
      </c>
      <c r="G45" s="121" t="s">
        <v>6759</v>
      </c>
      <c r="H45" s="121" t="s">
        <v>6760</v>
      </c>
      <c r="I45" s="121" t="s">
        <v>6761</v>
      </c>
      <c r="J45" s="121" t="s">
        <v>6762</v>
      </c>
      <c r="K45" s="90"/>
      <c r="L45" s="58"/>
      <c r="M45" s="58"/>
      <c r="N45" s="58"/>
      <c r="O45" s="58"/>
      <c r="P45" s="58"/>
      <c r="Q45" s="58"/>
      <c r="R45" s="58"/>
      <c r="S45" s="58"/>
      <c r="T45" s="58"/>
      <c r="U45" s="58"/>
      <c r="V45" s="58"/>
      <c r="W45" s="58"/>
      <c r="X45" s="58"/>
      <c r="Y45" s="58"/>
      <c r="Z45" s="58"/>
    </row>
    <row r="46" ht="38.25" spans="1:26">
      <c r="A46" s="78" t="s">
        <v>1065</v>
      </c>
      <c r="B46" s="79" t="s">
        <v>132</v>
      </c>
      <c r="C46" s="79" t="s">
        <v>1066</v>
      </c>
      <c r="D46" s="79">
        <v>15</v>
      </c>
      <c r="E46" s="80" t="s">
        <v>204</v>
      </c>
      <c r="F46" s="122" t="s">
        <v>6763</v>
      </c>
      <c r="G46" s="121" t="s">
        <v>6764</v>
      </c>
      <c r="H46" s="121" t="s">
        <v>6765</v>
      </c>
      <c r="I46" s="121" t="s">
        <v>6766</v>
      </c>
      <c r="J46" s="121" t="s">
        <v>6767</v>
      </c>
      <c r="K46" s="90"/>
      <c r="L46" s="58"/>
      <c r="M46" s="58"/>
      <c r="N46" s="58"/>
      <c r="O46" s="58"/>
      <c r="P46" s="58"/>
      <c r="Q46" s="58"/>
      <c r="R46" s="58"/>
      <c r="S46" s="58"/>
      <c r="T46" s="58"/>
      <c r="U46" s="58"/>
      <c r="V46" s="58"/>
      <c r="W46" s="58"/>
      <c r="X46" s="58"/>
      <c r="Y46" s="58"/>
      <c r="Z46" s="58"/>
    </row>
    <row r="47" spans="1:26">
      <c r="A47" s="78" t="s">
        <v>2524</v>
      </c>
      <c r="B47" s="79" t="s">
        <v>149</v>
      </c>
      <c r="C47" s="79" t="s">
        <v>2525</v>
      </c>
      <c r="D47" s="79" t="s">
        <v>3755</v>
      </c>
      <c r="E47" s="80" t="s">
        <v>134</v>
      </c>
      <c r="F47" s="122" t="s">
        <v>6768</v>
      </c>
      <c r="G47" s="121" t="s">
        <v>6769</v>
      </c>
      <c r="H47" s="121" t="s">
        <v>6770</v>
      </c>
      <c r="I47" s="121" t="s">
        <v>6771</v>
      </c>
      <c r="J47" s="121" t="s">
        <v>6772</v>
      </c>
      <c r="K47" s="90"/>
      <c r="L47" s="58"/>
      <c r="M47" s="58"/>
      <c r="N47" s="58"/>
      <c r="O47" s="58"/>
      <c r="P47" s="58"/>
      <c r="Q47" s="58"/>
      <c r="R47" s="58"/>
      <c r="S47" s="58"/>
      <c r="T47" s="58"/>
      <c r="U47" s="58"/>
      <c r="V47" s="58"/>
      <c r="W47" s="58"/>
      <c r="X47" s="58"/>
      <c r="Y47" s="58"/>
      <c r="Z47" s="58"/>
    </row>
    <row r="48" ht="25.5" spans="1:26">
      <c r="A48" s="78" t="s">
        <v>1831</v>
      </c>
      <c r="B48" s="79" t="s">
        <v>132</v>
      </c>
      <c r="C48" s="79" t="s">
        <v>1832</v>
      </c>
      <c r="D48" s="79" t="s">
        <v>4227</v>
      </c>
      <c r="E48" s="80" t="s">
        <v>134</v>
      </c>
      <c r="F48" s="122" t="s">
        <v>6773</v>
      </c>
      <c r="G48" s="121" t="s">
        <v>6774</v>
      </c>
      <c r="H48" s="121" t="s">
        <v>6775</v>
      </c>
      <c r="I48" s="121" t="s">
        <v>6776</v>
      </c>
      <c r="J48" s="121" t="s">
        <v>6777</v>
      </c>
      <c r="K48" s="90"/>
      <c r="L48" s="58"/>
      <c r="M48" s="58"/>
      <c r="N48" s="58"/>
      <c r="O48" s="58"/>
      <c r="P48" s="58"/>
      <c r="Q48" s="58"/>
      <c r="R48" s="58"/>
      <c r="S48" s="58"/>
      <c r="T48" s="58"/>
      <c r="U48" s="58"/>
      <c r="V48" s="58"/>
      <c r="W48" s="58"/>
      <c r="X48" s="58"/>
      <c r="Y48" s="58"/>
      <c r="Z48" s="58"/>
    </row>
    <row r="49" ht="25.5" spans="1:26">
      <c r="A49" s="78" t="s">
        <v>1202</v>
      </c>
      <c r="B49" s="79" t="s">
        <v>139</v>
      </c>
      <c r="C49" s="79" t="s">
        <v>1203</v>
      </c>
      <c r="D49" s="79" t="s">
        <v>4073</v>
      </c>
      <c r="E49" s="80" t="s">
        <v>204</v>
      </c>
      <c r="F49" s="122" t="s">
        <v>6778</v>
      </c>
      <c r="G49" s="121" t="s">
        <v>6779</v>
      </c>
      <c r="H49" s="121" t="s">
        <v>6780</v>
      </c>
      <c r="I49" s="121" t="s">
        <v>6776</v>
      </c>
      <c r="J49" s="121" t="s">
        <v>6781</v>
      </c>
      <c r="K49" s="90"/>
      <c r="L49" s="58"/>
      <c r="M49" s="58"/>
      <c r="N49" s="58"/>
      <c r="O49" s="58"/>
      <c r="P49" s="58"/>
      <c r="Q49" s="58"/>
      <c r="R49" s="58"/>
      <c r="S49" s="58"/>
      <c r="T49" s="58"/>
      <c r="U49" s="58"/>
      <c r="V49" s="58"/>
      <c r="W49" s="58"/>
      <c r="X49" s="58"/>
      <c r="Y49" s="58"/>
      <c r="Z49" s="58"/>
    </row>
    <row r="50" ht="25.5" spans="1:26">
      <c r="A50" s="78" t="s">
        <v>419</v>
      </c>
      <c r="B50" s="79" t="s">
        <v>77</v>
      </c>
      <c r="C50" s="79" t="s">
        <v>420</v>
      </c>
      <c r="D50" s="79">
        <v>1</v>
      </c>
      <c r="E50" s="80" t="s">
        <v>204</v>
      </c>
      <c r="F50" s="122" t="s">
        <v>6782</v>
      </c>
      <c r="G50" s="121" t="s">
        <v>6783</v>
      </c>
      <c r="H50" s="121" t="s">
        <v>6784</v>
      </c>
      <c r="I50" s="121" t="s">
        <v>6785</v>
      </c>
      <c r="J50" s="121" t="s">
        <v>6786</v>
      </c>
      <c r="K50" s="90"/>
      <c r="L50" s="58"/>
      <c r="M50" s="58"/>
      <c r="N50" s="58"/>
      <c r="O50" s="58"/>
      <c r="P50" s="58"/>
      <c r="Q50" s="58"/>
      <c r="R50" s="58"/>
      <c r="S50" s="58"/>
      <c r="T50" s="58"/>
      <c r="U50" s="58"/>
      <c r="V50" s="58"/>
      <c r="W50" s="58"/>
      <c r="X50" s="58"/>
      <c r="Y50" s="58"/>
      <c r="Z50" s="58"/>
    </row>
    <row r="51" ht="38.25" spans="1:26">
      <c r="A51" s="78" t="s">
        <v>1818</v>
      </c>
      <c r="B51" s="79" t="s">
        <v>132</v>
      </c>
      <c r="C51" s="79" t="s">
        <v>1819</v>
      </c>
      <c r="D51" s="79" t="s">
        <v>4227</v>
      </c>
      <c r="E51" s="80" t="s">
        <v>204</v>
      </c>
      <c r="F51" s="122" t="s">
        <v>6787</v>
      </c>
      <c r="G51" s="121" t="s">
        <v>6788</v>
      </c>
      <c r="H51" s="121" t="s">
        <v>6789</v>
      </c>
      <c r="I51" s="121" t="s">
        <v>6790</v>
      </c>
      <c r="J51" s="121" t="s">
        <v>6791</v>
      </c>
      <c r="K51" s="90"/>
      <c r="L51" s="58"/>
      <c r="M51" s="58"/>
      <c r="N51" s="58"/>
      <c r="O51" s="58"/>
      <c r="P51" s="58"/>
      <c r="Q51" s="58"/>
      <c r="R51" s="58"/>
      <c r="S51" s="58"/>
      <c r="T51" s="58"/>
      <c r="U51" s="58"/>
      <c r="V51" s="58"/>
      <c r="W51" s="58"/>
      <c r="X51" s="58"/>
      <c r="Y51" s="58"/>
      <c r="Z51" s="58"/>
    </row>
    <row r="52" spans="1:26">
      <c r="A52" s="78" t="s">
        <v>2727</v>
      </c>
      <c r="B52" s="79" t="s">
        <v>139</v>
      </c>
      <c r="C52" s="79" t="s">
        <v>2728</v>
      </c>
      <c r="D52" s="79" t="s">
        <v>3079</v>
      </c>
      <c r="E52" s="80" t="s">
        <v>141</v>
      </c>
      <c r="F52" s="122" t="s">
        <v>6735</v>
      </c>
      <c r="G52" s="121" t="s">
        <v>6792</v>
      </c>
      <c r="H52" s="121" t="s">
        <v>6793</v>
      </c>
      <c r="I52" s="121" t="s">
        <v>6790</v>
      </c>
      <c r="J52" s="121" t="s">
        <v>6794</v>
      </c>
      <c r="K52" s="90"/>
      <c r="L52" s="58"/>
      <c r="M52" s="58"/>
      <c r="N52" s="58"/>
      <c r="O52" s="58"/>
      <c r="P52" s="58"/>
      <c r="Q52" s="58"/>
      <c r="R52" s="58"/>
      <c r="S52" s="58"/>
      <c r="T52" s="58"/>
      <c r="U52" s="58"/>
      <c r="V52" s="58"/>
      <c r="W52" s="58"/>
      <c r="X52" s="58"/>
      <c r="Y52" s="58"/>
      <c r="Z52" s="58"/>
    </row>
    <row r="53" ht="51" spans="1:26">
      <c r="A53" s="78" t="s">
        <v>1428</v>
      </c>
      <c r="B53" s="79" t="s">
        <v>132</v>
      </c>
      <c r="C53" s="79" t="s">
        <v>1429</v>
      </c>
      <c r="D53" s="79">
        <v>80</v>
      </c>
      <c r="E53" s="80" t="s">
        <v>334</v>
      </c>
      <c r="F53" s="122" t="s">
        <v>6603</v>
      </c>
      <c r="G53" s="121" t="s">
        <v>6795</v>
      </c>
      <c r="H53" s="121" t="s">
        <v>6795</v>
      </c>
      <c r="I53" s="121" t="s">
        <v>6796</v>
      </c>
      <c r="J53" s="121" t="s">
        <v>6797</v>
      </c>
      <c r="K53" s="90"/>
      <c r="L53" s="58"/>
      <c r="M53" s="58"/>
      <c r="N53" s="58"/>
      <c r="O53" s="58"/>
      <c r="P53" s="58"/>
      <c r="Q53" s="58"/>
      <c r="R53" s="58"/>
      <c r="S53" s="58"/>
      <c r="T53" s="58"/>
      <c r="U53" s="58"/>
      <c r="V53" s="58"/>
      <c r="W53" s="58"/>
      <c r="X53" s="58"/>
      <c r="Y53" s="58"/>
      <c r="Z53" s="58"/>
    </row>
    <row r="54" ht="38.25" spans="1:26">
      <c r="A54" s="78" t="s">
        <v>360</v>
      </c>
      <c r="B54" s="79" t="s">
        <v>132</v>
      </c>
      <c r="C54" s="79" t="s">
        <v>361</v>
      </c>
      <c r="D54" s="79">
        <v>18</v>
      </c>
      <c r="E54" s="80" t="s">
        <v>134</v>
      </c>
      <c r="F54" s="122" t="s">
        <v>6798</v>
      </c>
      <c r="G54" s="121" t="s">
        <v>6799</v>
      </c>
      <c r="H54" s="121" t="s">
        <v>6800</v>
      </c>
      <c r="I54" s="121" t="s">
        <v>6796</v>
      </c>
      <c r="J54" s="121" t="s">
        <v>6801</v>
      </c>
      <c r="K54" s="90"/>
      <c r="L54" s="58"/>
      <c r="M54" s="58"/>
      <c r="N54" s="58"/>
      <c r="O54" s="58"/>
      <c r="P54" s="58"/>
      <c r="Q54" s="58"/>
      <c r="R54" s="58"/>
      <c r="S54" s="58"/>
      <c r="T54" s="58"/>
      <c r="U54" s="58"/>
      <c r="V54" s="58"/>
      <c r="W54" s="58"/>
      <c r="X54" s="58"/>
      <c r="Y54" s="58"/>
      <c r="Z54" s="58"/>
    </row>
    <row r="55" ht="25.5" spans="1:26">
      <c r="A55" s="78" t="s">
        <v>1074</v>
      </c>
      <c r="B55" s="79" t="s">
        <v>77</v>
      </c>
      <c r="C55" s="79" t="s">
        <v>1075</v>
      </c>
      <c r="D55" s="79">
        <v>15</v>
      </c>
      <c r="E55" s="80" t="s">
        <v>204</v>
      </c>
      <c r="F55" s="122" t="s">
        <v>6802</v>
      </c>
      <c r="G55" s="121" t="s">
        <v>6803</v>
      </c>
      <c r="H55" s="121" t="s">
        <v>6804</v>
      </c>
      <c r="I55" s="121" t="s">
        <v>6796</v>
      </c>
      <c r="J55" s="121" t="s">
        <v>6805</v>
      </c>
      <c r="K55" s="90"/>
      <c r="L55" s="58"/>
      <c r="M55" s="58"/>
      <c r="N55" s="58"/>
      <c r="O55" s="58"/>
      <c r="P55" s="58"/>
      <c r="Q55" s="58"/>
      <c r="R55" s="58"/>
      <c r="S55" s="58"/>
      <c r="T55" s="58"/>
      <c r="U55" s="58"/>
      <c r="V55" s="58"/>
      <c r="W55" s="58"/>
      <c r="X55" s="58"/>
      <c r="Y55" s="58"/>
      <c r="Z55" s="58"/>
    </row>
    <row r="56" ht="38.25" spans="1:26">
      <c r="A56" s="78" t="s">
        <v>2662</v>
      </c>
      <c r="B56" s="79" t="s">
        <v>139</v>
      </c>
      <c r="C56" s="79" t="s">
        <v>2663</v>
      </c>
      <c r="D56" s="79" t="s">
        <v>3013</v>
      </c>
      <c r="E56" s="80" t="s">
        <v>141</v>
      </c>
      <c r="F56" s="122" t="s">
        <v>6806</v>
      </c>
      <c r="G56" s="121" t="s">
        <v>6807</v>
      </c>
      <c r="H56" s="121" t="s">
        <v>6808</v>
      </c>
      <c r="I56" s="121" t="s">
        <v>6809</v>
      </c>
      <c r="J56" s="121" t="s">
        <v>6810</v>
      </c>
      <c r="K56" s="90"/>
      <c r="L56" s="58"/>
      <c r="M56" s="58"/>
      <c r="N56" s="58"/>
      <c r="O56" s="58"/>
      <c r="P56" s="58"/>
      <c r="Q56" s="58"/>
      <c r="R56" s="58"/>
      <c r="S56" s="58"/>
      <c r="T56" s="58"/>
      <c r="U56" s="58"/>
      <c r="V56" s="58"/>
      <c r="W56" s="58"/>
      <c r="X56" s="58"/>
      <c r="Y56" s="58"/>
      <c r="Z56" s="58"/>
    </row>
    <row r="57" ht="38.25" spans="1:26">
      <c r="A57" s="78" t="s">
        <v>2665</v>
      </c>
      <c r="B57" s="79" t="s">
        <v>132</v>
      </c>
      <c r="C57" s="79" t="s">
        <v>2666</v>
      </c>
      <c r="D57" s="79" t="s">
        <v>2924</v>
      </c>
      <c r="E57" s="80" t="s">
        <v>141</v>
      </c>
      <c r="F57" s="122" t="s">
        <v>6811</v>
      </c>
      <c r="G57" s="121" t="s">
        <v>6812</v>
      </c>
      <c r="H57" s="121" t="s">
        <v>6813</v>
      </c>
      <c r="I57" s="121" t="s">
        <v>6809</v>
      </c>
      <c r="J57" s="121" t="s">
        <v>6814</v>
      </c>
      <c r="K57" s="90"/>
      <c r="L57" s="58"/>
      <c r="M57" s="58"/>
      <c r="N57" s="58"/>
      <c r="O57" s="58"/>
      <c r="P57" s="58"/>
      <c r="Q57" s="58"/>
      <c r="R57" s="58"/>
      <c r="S57" s="58"/>
      <c r="T57" s="58"/>
      <c r="U57" s="58"/>
      <c r="V57" s="58"/>
      <c r="W57" s="58"/>
      <c r="X57" s="58"/>
      <c r="Y57" s="58"/>
      <c r="Z57" s="58"/>
    </row>
    <row r="58" ht="38.25" spans="1:26">
      <c r="A58" s="78" t="s">
        <v>722</v>
      </c>
      <c r="B58" s="79" t="s">
        <v>77</v>
      </c>
      <c r="C58" s="79" t="s">
        <v>723</v>
      </c>
      <c r="D58" s="79">
        <v>14</v>
      </c>
      <c r="E58" s="80" t="s">
        <v>204</v>
      </c>
      <c r="F58" s="122" t="s">
        <v>6815</v>
      </c>
      <c r="G58" s="121" t="s">
        <v>6816</v>
      </c>
      <c r="H58" s="121" t="s">
        <v>6817</v>
      </c>
      <c r="I58" s="121" t="s">
        <v>6809</v>
      </c>
      <c r="J58" s="121" t="s">
        <v>6818</v>
      </c>
      <c r="K58" s="90"/>
      <c r="L58" s="58"/>
      <c r="M58" s="58"/>
      <c r="N58" s="58"/>
      <c r="O58" s="58"/>
      <c r="P58" s="58"/>
      <c r="Q58" s="58"/>
      <c r="R58" s="58"/>
      <c r="S58" s="58"/>
      <c r="T58" s="58"/>
      <c r="U58" s="58"/>
      <c r="V58" s="58"/>
      <c r="W58" s="58"/>
      <c r="X58" s="58"/>
      <c r="Y58" s="58"/>
      <c r="Z58" s="58"/>
    </row>
    <row r="59" ht="25.5" spans="1:26">
      <c r="A59" s="78" t="s">
        <v>2703</v>
      </c>
      <c r="B59" s="79" t="s">
        <v>139</v>
      </c>
      <c r="C59" s="79" t="s">
        <v>2704</v>
      </c>
      <c r="D59" s="79" t="s">
        <v>5141</v>
      </c>
      <c r="E59" s="80" t="s">
        <v>141</v>
      </c>
      <c r="F59" s="122" t="s">
        <v>6819</v>
      </c>
      <c r="G59" s="121" t="s">
        <v>6820</v>
      </c>
      <c r="H59" s="121" t="s">
        <v>6821</v>
      </c>
      <c r="I59" s="121" t="s">
        <v>6809</v>
      </c>
      <c r="J59" s="121" t="s">
        <v>6822</v>
      </c>
      <c r="K59" s="90"/>
      <c r="L59" s="58"/>
      <c r="M59" s="58"/>
      <c r="N59" s="58"/>
      <c r="O59" s="58"/>
      <c r="P59" s="58"/>
      <c r="Q59" s="58"/>
      <c r="R59" s="58"/>
      <c r="S59" s="58"/>
      <c r="T59" s="58"/>
      <c r="U59" s="58"/>
      <c r="V59" s="58"/>
      <c r="W59" s="58"/>
      <c r="X59" s="58"/>
      <c r="Y59" s="58"/>
      <c r="Z59" s="58"/>
    </row>
    <row r="60" ht="25.5" spans="1:26">
      <c r="A60" s="78" t="s">
        <v>1888</v>
      </c>
      <c r="B60" s="79" t="s">
        <v>139</v>
      </c>
      <c r="C60" s="79" t="s">
        <v>1889</v>
      </c>
      <c r="D60" s="79" t="s">
        <v>3642</v>
      </c>
      <c r="E60" s="80" t="s">
        <v>134</v>
      </c>
      <c r="F60" s="122" t="s">
        <v>6823</v>
      </c>
      <c r="G60" s="121" t="s">
        <v>6824</v>
      </c>
      <c r="H60" s="121" t="s">
        <v>6825</v>
      </c>
      <c r="I60" s="121" t="s">
        <v>6809</v>
      </c>
      <c r="J60" s="121" t="s">
        <v>6826</v>
      </c>
      <c r="K60" s="90"/>
      <c r="L60" s="58"/>
      <c r="M60" s="58"/>
      <c r="N60" s="58"/>
      <c r="O60" s="58"/>
      <c r="P60" s="58"/>
      <c r="Q60" s="58"/>
      <c r="R60" s="58"/>
      <c r="S60" s="58"/>
      <c r="T60" s="58"/>
      <c r="U60" s="58"/>
      <c r="V60" s="58"/>
      <c r="W60" s="58"/>
      <c r="X60" s="58"/>
      <c r="Y60" s="58"/>
      <c r="Z60" s="58"/>
    </row>
    <row r="61" ht="25.5" spans="1:26">
      <c r="A61" s="78" t="s">
        <v>605</v>
      </c>
      <c r="B61" s="79" t="s">
        <v>139</v>
      </c>
      <c r="C61" s="79" t="s">
        <v>606</v>
      </c>
      <c r="D61" s="79" t="s">
        <v>3484</v>
      </c>
      <c r="E61" s="80" t="s">
        <v>141</v>
      </c>
      <c r="F61" s="122" t="s">
        <v>6827</v>
      </c>
      <c r="G61" s="121" t="s">
        <v>6828</v>
      </c>
      <c r="H61" s="121" t="s">
        <v>6829</v>
      </c>
      <c r="I61" s="121" t="s">
        <v>6830</v>
      </c>
      <c r="J61" s="121" t="s">
        <v>6812</v>
      </c>
      <c r="K61" s="90"/>
      <c r="L61" s="58"/>
      <c r="M61" s="58"/>
      <c r="N61" s="58"/>
      <c r="O61" s="58"/>
      <c r="P61" s="58"/>
      <c r="Q61" s="58"/>
      <c r="R61" s="58"/>
      <c r="S61" s="58"/>
      <c r="T61" s="58"/>
      <c r="U61" s="58"/>
      <c r="V61" s="58"/>
      <c r="W61" s="58"/>
      <c r="X61" s="58"/>
      <c r="Y61" s="58"/>
      <c r="Z61" s="58"/>
    </row>
    <row r="62" ht="25.5" spans="1:26">
      <c r="A62" s="78" t="s">
        <v>1334</v>
      </c>
      <c r="B62" s="79" t="s">
        <v>132</v>
      </c>
      <c r="C62" s="79" t="s">
        <v>1335</v>
      </c>
      <c r="D62" s="79">
        <v>61.15</v>
      </c>
      <c r="E62" s="80" t="s">
        <v>134</v>
      </c>
      <c r="F62" s="122" t="s">
        <v>6831</v>
      </c>
      <c r="G62" s="121" t="s">
        <v>6832</v>
      </c>
      <c r="H62" s="121" t="s">
        <v>6833</v>
      </c>
      <c r="I62" s="121" t="s">
        <v>6830</v>
      </c>
      <c r="J62" s="121" t="s">
        <v>6834</v>
      </c>
      <c r="K62" s="90"/>
      <c r="L62" s="58"/>
      <c r="M62" s="58"/>
      <c r="N62" s="58"/>
      <c r="O62" s="58"/>
      <c r="P62" s="58"/>
      <c r="Q62" s="58"/>
      <c r="R62" s="58"/>
      <c r="S62" s="58"/>
      <c r="T62" s="58"/>
      <c r="U62" s="58"/>
      <c r="V62" s="58"/>
      <c r="W62" s="58"/>
      <c r="X62" s="58"/>
      <c r="Y62" s="58"/>
      <c r="Z62" s="58"/>
    </row>
    <row r="63" ht="51" spans="1:26">
      <c r="A63" s="78" t="s">
        <v>2139</v>
      </c>
      <c r="B63" s="79" t="s">
        <v>132</v>
      </c>
      <c r="C63" s="79" t="s">
        <v>2140</v>
      </c>
      <c r="D63" s="79">
        <v>77</v>
      </c>
      <c r="E63" s="80" t="s">
        <v>134</v>
      </c>
      <c r="F63" s="122" t="s">
        <v>6603</v>
      </c>
      <c r="G63" s="121" t="s">
        <v>6835</v>
      </c>
      <c r="H63" s="121" t="s">
        <v>6835</v>
      </c>
      <c r="I63" s="121" t="s">
        <v>6830</v>
      </c>
      <c r="J63" s="121" t="s">
        <v>6836</v>
      </c>
      <c r="K63" s="90"/>
      <c r="L63" s="58"/>
      <c r="M63" s="58"/>
      <c r="N63" s="58"/>
      <c r="O63" s="58"/>
      <c r="P63" s="58"/>
      <c r="Q63" s="58"/>
      <c r="R63" s="58"/>
      <c r="S63" s="58"/>
      <c r="T63" s="58"/>
      <c r="U63" s="58"/>
      <c r="V63" s="58"/>
      <c r="W63" s="58"/>
      <c r="X63" s="58"/>
      <c r="Y63" s="58"/>
      <c r="Z63" s="58"/>
    </row>
    <row r="64" ht="51" spans="1:26">
      <c r="A64" s="78" t="s">
        <v>2132</v>
      </c>
      <c r="B64" s="79" t="s">
        <v>132</v>
      </c>
      <c r="C64" s="79" t="s">
        <v>2133</v>
      </c>
      <c r="D64" s="79">
        <v>77</v>
      </c>
      <c r="E64" s="80" t="s">
        <v>134</v>
      </c>
      <c r="F64" s="122" t="s">
        <v>6603</v>
      </c>
      <c r="G64" s="121" t="s">
        <v>6835</v>
      </c>
      <c r="H64" s="121" t="s">
        <v>6835</v>
      </c>
      <c r="I64" s="121" t="s">
        <v>6830</v>
      </c>
      <c r="J64" s="121" t="s">
        <v>6837</v>
      </c>
      <c r="K64" s="90"/>
      <c r="L64" s="58"/>
      <c r="M64" s="58"/>
      <c r="N64" s="58"/>
      <c r="O64" s="58"/>
      <c r="P64" s="58"/>
      <c r="Q64" s="58"/>
      <c r="R64" s="58"/>
      <c r="S64" s="58"/>
      <c r="T64" s="58"/>
      <c r="U64" s="58"/>
      <c r="V64" s="58"/>
      <c r="W64" s="58"/>
      <c r="X64" s="58"/>
      <c r="Y64" s="58"/>
      <c r="Z64" s="58"/>
    </row>
    <row r="65" ht="38.25" spans="1:26">
      <c r="A65" s="78" t="s">
        <v>1954</v>
      </c>
      <c r="B65" s="79" t="s">
        <v>132</v>
      </c>
      <c r="C65" s="79" t="s">
        <v>1955</v>
      </c>
      <c r="D65" s="79" t="s">
        <v>3177</v>
      </c>
      <c r="E65" s="80" t="s">
        <v>134</v>
      </c>
      <c r="F65" s="122" t="s">
        <v>6838</v>
      </c>
      <c r="G65" s="121" t="s">
        <v>6839</v>
      </c>
      <c r="H65" s="121" t="s">
        <v>6840</v>
      </c>
      <c r="I65" s="121" t="s">
        <v>6830</v>
      </c>
      <c r="J65" s="121" t="s">
        <v>6841</v>
      </c>
      <c r="K65" s="90"/>
      <c r="L65" s="58"/>
      <c r="M65" s="58"/>
      <c r="N65" s="58"/>
      <c r="O65" s="58"/>
      <c r="P65" s="58"/>
      <c r="Q65" s="58"/>
      <c r="R65" s="58"/>
      <c r="S65" s="58"/>
      <c r="T65" s="58"/>
      <c r="U65" s="58"/>
      <c r="V65" s="58"/>
      <c r="W65" s="58"/>
      <c r="X65" s="58"/>
      <c r="Y65" s="58"/>
      <c r="Z65" s="58"/>
    </row>
    <row r="66" ht="25.5" spans="1:26">
      <c r="A66" s="78" t="s">
        <v>1196</v>
      </c>
      <c r="B66" s="79" t="s">
        <v>139</v>
      </c>
      <c r="C66" s="79" t="s">
        <v>1197</v>
      </c>
      <c r="D66" s="79" t="s">
        <v>4073</v>
      </c>
      <c r="E66" s="80" t="s">
        <v>204</v>
      </c>
      <c r="F66" s="122" t="s">
        <v>6842</v>
      </c>
      <c r="G66" s="121" t="s">
        <v>6843</v>
      </c>
      <c r="H66" s="121" t="s">
        <v>6844</v>
      </c>
      <c r="I66" s="121" t="s">
        <v>6845</v>
      </c>
      <c r="J66" s="121" t="s">
        <v>6846</v>
      </c>
      <c r="K66" s="90"/>
      <c r="L66" s="58"/>
      <c r="M66" s="58"/>
      <c r="N66" s="58"/>
      <c r="O66" s="58"/>
      <c r="P66" s="58"/>
      <c r="Q66" s="58"/>
      <c r="R66" s="58"/>
      <c r="S66" s="58"/>
      <c r="T66" s="58"/>
      <c r="U66" s="58"/>
      <c r="V66" s="58"/>
      <c r="W66" s="58"/>
      <c r="X66" s="58"/>
      <c r="Y66" s="58"/>
      <c r="Z66" s="58"/>
    </row>
    <row r="67" spans="1:26">
      <c r="A67" s="78" t="s">
        <v>1760</v>
      </c>
      <c r="B67" s="79" t="s">
        <v>139</v>
      </c>
      <c r="C67" s="79" t="s">
        <v>1761</v>
      </c>
      <c r="D67" s="79" t="s">
        <v>4518</v>
      </c>
      <c r="E67" s="80" t="s">
        <v>134</v>
      </c>
      <c r="F67" s="122" t="s">
        <v>6847</v>
      </c>
      <c r="G67" s="121" t="s">
        <v>6848</v>
      </c>
      <c r="H67" s="121" t="s">
        <v>6849</v>
      </c>
      <c r="I67" s="121" t="s">
        <v>6845</v>
      </c>
      <c r="J67" s="121" t="s">
        <v>6850</v>
      </c>
      <c r="K67" s="90"/>
      <c r="L67" s="58"/>
      <c r="M67" s="58"/>
      <c r="N67" s="58"/>
      <c r="O67" s="58"/>
      <c r="P67" s="58"/>
      <c r="Q67" s="58"/>
      <c r="R67" s="58"/>
      <c r="S67" s="58"/>
      <c r="T67" s="58"/>
      <c r="U67" s="58"/>
      <c r="V67" s="58"/>
      <c r="W67" s="58"/>
      <c r="X67" s="58"/>
      <c r="Y67" s="58"/>
      <c r="Z67" s="58"/>
    </row>
    <row r="68" ht="38.25" spans="1:26">
      <c r="A68" s="78" t="s">
        <v>422</v>
      </c>
      <c r="B68" s="79" t="s">
        <v>77</v>
      </c>
      <c r="C68" s="79" t="s">
        <v>423</v>
      </c>
      <c r="D68" s="79">
        <v>10</v>
      </c>
      <c r="E68" s="80" t="s">
        <v>204</v>
      </c>
      <c r="F68" s="122" t="s">
        <v>6782</v>
      </c>
      <c r="G68" s="121" t="s">
        <v>6851</v>
      </c>
      <c r="H68" s="121" t="s">
        <v>6852</v>
      </c>
      <c r="I68" s="121" t="s">
        <v>6853</v>
      </c>
      <c r="J68" s="121" t="s">
        <v>6854</v>
      </c>
      <c r="K68" s="90"/>
      <c r="L68" s="58"/>
      <c r="M68" s="58"/>
      <c r="N68" s="58"/>
      <c r="O68" s="58"/>
      <c r="P68" s="58"/>
      <c r="Q68" s="58"/>
      <c r="R68" s="58"/>
      <c r="S68" s="58"/>
      <c r="T68" s="58"/>
      <c r="U68" s="58"/>
      <c r="V68" s="58"/>
      <c r="W68" s="58"/>
      <c r="X68" s="58"/>
      <c r="Y68" s="58"/>
      <c r="Z68" s="58"/>
    </row>
    <row r="69" ht="51" spans="1:26">
      <c r="A69" s="78" t="s">
        <v>2119</v>
      </c>
      <c r="B69" s="79" t="s">
        <v>132</v>
      </c>
      <c r="C69" s="79" t="s">
        <v>2120</v>
      </c>
      <c r="D69" s="79">
        <v>77</v>
      </c>
      <c r="E69" s="80" t="s">
        <v>134</v>
      </c>
      <c r="F69" s="122" t="s">
        <v>6603</v>
      </c>
      <c r="G69" s="121" t="s">
        <v>6855</v>
      </c>
      <c r="H69" s="121" t="s">
        <v>6855</v>
      </c>
      <c r="I69" s="121" t="s">
        <v>6853</v>
      </c>
      <c r="J69" s="121" t="s">
        <v>6856</v>
      </c>
      <c r="K69" s="90"/>
      <c r="L69" s="58"/>
      <c r="M69" s="58"/>
      <c r="N69" s="58"/>
      <c r="O69" s="58"/>
      <c r="P69" s="58"/>
      <c r="Q69" s="58"/>
      <c r="R69" s="58"/>
      <c r="S69" s="58"/>
      <c r="T69" s="58"/>
      <c r="U69" s="58"/>
      <c r="V69" s="58"/>
      <c r="W69" s="58"/>
      <c r="X69" s="58"/>
      <c r="Y69" s="58"/>
      <c r="Z69" s="58"/>
    </row>
    <row r="70" ht="51" spans="1:26">
      <c r="A70" s="78" t="s">
        <v>2126</v>
      </c>
      <c r="B70" s="79" t="s">
        <v>132</v>
      </c>
      <c r="C70" s="79" t="s">
        <v>2127</v>
      </c>
      <c r="D70" s="79">
        <v>77</v>
      </c>
      <c r="E70" s="80" t="s">
        <v>134</v>
      </c>
      <c r="F70" s="122" t="s">
        <v>6603</v>
      </c>
      <c r="G70" s="121" t="s">
        <v>6855</v>
      </c>
      <c r="H70" s="121" t="s">
        <v>6855</v>
      </c>
      <c r="I70" s="121" t="s">
        <v>6853</v>
      </c>
      <c r="J70" s="121" t="s">
        <v>6857</v>
      </c>
      <c r="K70" s="90"/>
      <c r="L70" s="58"/>
      <c r="M70" s="58"/>
      <c r="N70" s="58"/>
      <c r="O70" s="58"/>
      <c r="P70" s="58"/>
      <c r="Q70" s="58"/>
      <c r="R70" s="58"/>
      <c r="S70" s="58"/>
      <c r="T70" s="58"/>
      <c r="U70" s="58"/>
      <c r="V70" s="58"/>
      <c r="W70" s="58"/>
      <c r="X70" s="58"/>
      <c r="Y70" s="58"/>
      <c r="Z70" s="58"/>
    </row>
    <row r="71" ht="51" spans="1:26">
      <c r="A71" s="78" t="s">
        <v>649</v>
      </c>
      <c r="B71" s="79" t="s">
        <v>132</v>
      </c>
      <c r="C71" s="79" t="s">
        <v>650</v>
      </c>
      <c r="D71" s="79" t="s">
        <v>3505</v>
      </c>
      <c r="E71" s="80" t="s">
        <v>134</v>
      </c>
      <c r="F71" s="122" t="s">
        <v>6858</v>
      </c>
      <c r="G71" s="121" t="s">
        <v>6859</v>
      </c>
      <c r="H71" s="121" t="s">
        <v>6860</v>
      </c>
      <c r="I71" s="121" t="s">
        <v>6853</v>
      </c>
      <c r="J71" s="121" t="s">
        <v>6861</v>
      </c>
      <c r="K71" s="90"/>
      <c r="L71" s="58"/>
      <c r="M71" s="58"/>
      <c r="N71" s="58"/>
      <c r="O71" s="58"/>
      <c r="P71" s="58"/>
      <c r="Q71" s="58"/>
      <c r="R71" s="58"/>
      <c r="S71" s="58"/>
      <c r="T71" s="58"/>
      <c r="U71" s="58"/>
      <c r="V71" s="58"/>
      <c r="W71" s="58"/>
      <c r="X71" s="58"/>
      <c r="Y71" s="58"/>
      <c r="Z71" s="58"/>
    </row>
    <row r="72" ht="25.5" spans="1:26">
      <c r="A72" s="78" t="s">
        <v>1691</v>
      </c>
      <c r="B72" s="79" t="s">
        <v>132</v>
      </c>
      <c r="C72" s="79" t="s">
        <v>1692</v>
      </c>
      <c r="D72" s="79">
        <v>65</v>
      </c>
      <c r="E72" s="80" t="s">
        <v>134</v>
      </c>
      <c r="F72" s="122" t="s">
        <v>6603</v>
      </c>
      <c r="G72" s="121" t="s">
        <v>6862</v>
      </c>
      <c r="H72" s="121" t="s">
        <v>6862</v>
      </c>
      <c r="I72" s="121" t="s">
        <v>6863</v>
      </c>
      <c r="J72" s="121" t="s">
        <v>6864</v>
      </c>
      <c r="K72" s="90"/>
      <c r="L72" s="58"/>
      <c r="M72" s="58"/>
      <c r="N72" s="58"/>
      <c r="O72" s="58"/>
      <c r="P72" s="58"/>
      <c r="Q72" s="58"/>
      <c r="R72" s="58"/>
      <c r="S72" s="58"/>
      <c r="T72" s="58"/>
      <c r="U72" s="58"/>
      <c r="V72" s="58"/>
      <c r="W72" s="58"/>
      <c r="X72" s="58"/>
      <c r="Y72" s="58"/>
      <c r="Z72" s="58"/>
    </row>
    <row r="73" ht="38.25" spans="1:26">
      <c r="A73" s="78" t="s">
        <v>2104</v>
      </c>
      <c r="B73" s="79" t="s">
        <v>132</v>
      </c>
      <c r="C73" s="79" t="s">
        <v>2105</v>
      </c>
      <c r="D73" s="79">
        <v>61.1</v>
      </c>
      <c r="E73" s="80" t="s">
        <v>134</v>
      </c>
      <c r="F73" s="122" t="s">
        <v>6725</v>
      </c>
      <c r="G73" s="121" t="s">
        <v>6865</v>
      </c>
      <c r="H73" s="121" t="s">
        <v>6866</v>
      </c>
      <c r="I73" s="121" t="s">
        <v>6867</v>
      </c>
      <c r="J73" s="121" t="s">
        <v>6868</v>
      </c>
      <c r="K73" s="90"/>
      <c r="L73" s="58"/>
      <c r="M73" s="58"/>
      <c r="N73" s="58"/>
      <c r="O73" s="58"/>
      <c r="P73" s="58"/>
      <c r="Q73" s="58"/>
      <c r="R73" s="58"/>
      <c r="S73" s="58"/>
      <c r="T73" s="58"/>
      <c r="U73" s="58"/>
      <c r="V73" s="58"/>
      <c r="W73" s="58"/>
      <c r="X73" s="58"/>
      <c r="Y73" s="58"/>
      <c r="Z73" s="58"/>
    </row>
    <row r="74" ht="25.5" spans="1:26">
      <c r="A74" s="78" t="s">
        <v>608</v>
      </c>
      <c r="B74" s="79" t="s">
        <v>139</v>
      </c>
      <c r="C74" s="79" t="s">
        <v>609</v>
      </c>
      <c r="D74" s="79" t="s">
        <v>3484</v>
      </c>
      <c r="E74" s="80" t="s">
        <v>141</v>
      </c>
      <c r="F74" s="122" t="s">
        <v>6869</v>
      </c>
      <c r="G74" s="121" t="s">
        <v>6870</v>
      </c>
      <c r="H74" s="121" t="s">
        <v>6871</v>
      </c>
      <c r="I74" s="121" t="s">
        <v>6867</v>
      </c>
      <c r="J74" s="121" t="s">
        <v>6872</v>
      </c>
      <c r="K74" s="90"/>
      <c r="L74" s="58"/>
      <c r="M74" s="58"/>
      <c r="N74" s="58"/>
      <c r="O74" s="58"/>
      <c r="P74" s="58"/>
      <c r="Q74" s="58"/>
      <c r="R74" s="58"/>
      <c r="S74" s="58"/>
      <c r="T74" s="58"/>
      <c r="U74" s="58"/>
      <c r="V74" s="58"/>
      <c r="W74" s="58"/>
      <c r="X74" s="58"/>
      <c r="Y74" s="58"/>
      <c r="Z74" s="58"/>
    </row>
    <row r="75" ht="51" spans="1:26">
      <c r="A75" s="78" t="s">
        <v>646</v>
      </c>
      <c r="B75" s="79" t="s">
        <v>132</v>
      </c>
      <c r="C75" s="79" t="s">
        <v>647</v>
      </c>
      <c r="D75" s="79" t="s">
        <v>3505</v>
      </c>
      <c r="E75" s="80" t="s">
        <v>134</v>
      </c>
      <c r="F75" s="122" t="s">
        <v>6768</v>
      </c>
      <c r="G75" s="121" t="s">
        <v>6873</v>
      </c>
      <c r="H75" s="121" t="s">
        <v>6874</v>
      </c>
      <c r="I75" s="121" t="s">
        <v>6867</v>
      </c>
      <c r="J75" s="121" t="s">
        <v>6875</v>
      </c>
      <c r="K75" s="90"/>
      <c r="L75" s="58"/>
      <c r="M75" s="58"/>
      <c r="N75" s="58"/>
      <c r="O75" s="58"/>
      <c r="P75" s="58"/>
      <c r="Q75" s="58"/>
      <c r="R75" s="58"/>
      <c r="S75" s="58"/>
      <c r="T75" s="58"/>
      <c r="U75" s="58"/>
      <c r="V75" s="58"/>
      <c r="W75" s="58"/>
      <c r="X75" s="58"/>
      <c r="Y75" s="58"/>
      <c r="Z75" s="58"/>
    </row>
    <row r="76" ht="25.5" spans="1:26">
      <c r="A76" s="78" t="s">
        <v>1190</v>
      </c>
      <c r="B76" s="79" t="s">
        <v>139</v>
      </c>
      <c r="C76" s="79" t="s">
        <v>1191</v>
      </c>
      <c r="D76" s="79" t="s">
        <v>4073</v>
      </c>
      <c r="E76" s="80" t="s">
        <v>204</v>
      </c>
      <c r="F76" s="122" t="s">
        <v>6876</v>
      </c>
      <c r="G76" s="121" t="s">
        <v>6877</v>
      </c>
      <c r="H76" s="121" t="s">
        <v>6878</v>
      </c>
      <c r="I76" s="121" t="s">
        <v>6879</v>
      </c>
      <c r="J76" s="121" t="s">
        <v>6880</v>
      </c>
      <c r="K76" s="90"/>
      <c r="L76" s="58"/>
      <c r="M76" s="58"/>
      <c r="N76" s="58"/>
      <c r="O76" s="58"/>
      <c r="P76" s="58"/>
      <c r="Q76" s="58"/>
      <c r="R76" s="58"/>
      <c r="S76" s="58"/>
      <c r="T76" s="58"/>
      <c r="U76" s="58"/>
      <c r="V76" s="58"/>
      <c r="W76" s="58"/>
      <c r="X76" s="58"/>
      <c r="Y76" s="58"/>
      <c r="Z76" s="58"/>
    </row>
    <row r="77" ht="38.25" spans="1:26">
      <c r="A77" s="78" t="s">
        <v>2107</v>
      </c>
      <c r="B77" s="79" t="s">
        <v>132</v>
      </c>
      <c r="C77" s="79" t="s">
        <v>2108</v>
      </c>
      <c r="D77" s="79">
        <v>61.1</v>
      </c>
      <c r="E77" s="80" t="s">
        <v>134</v>
      </c>
      <c r="F77" s="122" t="s">
        <v>6881</v>
      </c>
      <c r="G77" s="121" t="s">
        <v>6882</v>
      </c>
      <c r="H77" s="121" t="s">
        <v>6883</v>
      </c>
      <c r="I77" s="121" t="s">
        <v>6884</v>
      </c>
      <c r="J77" s="121" t="s">
        <v>6885</v>
      </c>
      <c r="K77" s="90"/>
      <c r="L77" s="58"/>
      <c r="M77" s="58"/>
      <c r="N77" s="58"/>
      <c r="O77" s="58"/>
      <c r="P77" s="58"/>
      <c r="Q77" s="58"/>
      <c r="R77" s="58"/>
      <c r="S77" s="58"/>
      <c r="T77" s="58"/>
      <c r="U77" s="58"/>
      <c r="V77" s="58"/>
      <c r="W77" s="58"/>
      <c r="X77" s="58"/>
      <c r="Y77" s="58"/>
      <c r="Z77" s="58"/>
    </row>
    <row r="78" spans="1:26">
      <c r="A78" s="78" t="s">
        <v>2753</v>
      </c>
      <c r="B78" s="79" t="s">
        <v>139</v>
      </c>
      <c r="C78" s="79" t="s">
        <v>2754</v>
      </c>
      <c r="D78" s="79" t="s">
        <v>3079</v>
      </c>
      <c r="E78" s="80" t="s">
        <v>141</v>
      </c>
      <c r="F78" s="122" t="s">
        <v>6707</v>
      </c>
      <c r="G78" s="121" t="s">
        <v>6886</v>
      </c>
      <c r="H78" s="121" t="s">
        <v>6887</v>
      </c>
      <c r="I78" s="121" t="s">
        <v>6884</v>
      </c>
      <c r="J78" s="121" t="s">
        <v>6888</v>
      </c>
      <c r="K78" s="90"/>
      <c r="L78" s="58"/>
      <c r="M78" s="58"/>
      <c r="N78" s="58"/>
      <c r="O78" s="58"/>
      <c r="P78" s="58"/>
      <c r="Q78" s="58"/>
      <c r="R78" s="58"/>
      <c r="S78" s="58"/>
      <c r="T78" s="58"/>
      <c r="U78" s="58"/>
      <c r="V78" s="58"/>
      <c r="W78" s="58"/>
      <c r="X78" s="58"/>
      <c r="Y78" s="58"/>
      <c r="Z78" s="58"/>
    </row>
    <row r="79" ht="51" spans="1:26">
      <c r="A79" s="78" t="s">
        <v>719</v>
      </c>
      <c r="B79" s="79" t="s">
        <v>77</v>
      </c>
      <c r="C79" s="79" t="s">
        <v>720</v>
      </c>
      <c r="D79" s="79">
        <v>14</v>
      </c>
      <c r="E79" s="80" t="s">
        <v>204</v>
      </c>
      <c r="F79" s="122" t="s">
        <v>6889</v>
      </c>
      <c r="G79" s="121" t="s">
        <v>6890</v>
      </c>
      <c r="H79" s="121" t="s">
        <v>6891</v>
      </c>
      <c r="I79" s="121" t="s">
        <v>6884</v>
      </c>
      <c r="J79" s="121" t="s">
        <v>6892</v>
      </c>
      <c r="K79" s="90"/>
      <c r="L79" s="58"/>
      <c r="M79" s="58"/>
      <c r="N79" s="58"/>
      <c r="O79" s="58"/>
      <c r="P79" s="58"/>
      <c r="Q79" s="58"/>
      <c r="R79" s="58"/>
      <c r="S79" s="58"/>
      <c r="T79" s="58"/>
      <c r="U79" s="58"/>
      <c r="V79" s="58"/>
      <c r="W79" s="58"/>
      <c r="X79" s="58"/>
      <c r="Y79" s="58"/>
      <c r="Z79" s="58"/>
    </row>
    <row r="80" ht="38.25" spans="1:26">
      <c r="A80" s="78" t="s">
        <v>670</v>
      </c>
      <c r="B80" s="79" t="s">
        <v>132</v>
      </c>
      <c r="C80" s="79" t="s">
        <v>671</v>
      </c>
      <c r="D80" s="79" t="s">
        <v>3505</v>
      </c>
      <c r="E80" s="80" t="s">
        <v>134</v>
      </c>
      <c r="F80" s="122" t="s">
        <v>6725</v>
      </c>
      <c r="G80" s="121" t="s">
        <v>6893</v>
      </c>
      <c r="H80" s="121" t="s">
        <v>6894</v>
      </c>
      <c r="I80" s="121" t="s">
        <v>6895</v>
      </c>
      <c r="J80" s="121" t="s">
        <v>6896</v>
      </c>
      <c r="K80" s="90"/>
      <c r="L80" s="58"/>
      <c r="M80" s="58"/>
      <c r="N80" s="58"/>
      <c r="O80" s="58"/>
      <c r="P80" s="58"/>
      <c r="Q80" s="58"/>
      <c r="R80" s="58"/>
      <c r="S80" s="58"/>
      <c r="T80" s="58"/>
      <c r="U80" s="58"/>
      <c r="V80" s="58"/>
      <c r="W80" s="58"/>
      <c r="X80" s="58"/>
      <c r="Y80" s="58"/>
      <c r="Z80" s="58"/>
    </row>
    <row r="81" ht="38.25" spans="1:26">
      <c r="A81" s="78" t="s">
        <v>1870</v>
      </c>
      <c r="B81" s="79" t="s">
        <v>139</v>
      </c>
      <c r="C81" s="79" t="s">
        <v>1871</v>
      </c>
      <c r="D81" s="79" t="s">
        <v>3642</v>
      </c>
      <c r="E81" s="80" t="s">
        <v>204</v>
      </c>
      <c r="F81" s="122" t="s">
        <v>6897</v>
      </c>
      <c r="G81" s="121" t="s">
        <v>6898</v>
      </c>
      <c r="H81" s="121" t="s">
        <v>6899</v>
      </c>
      <c r="I81" s="121" t="s">
        <v>6895</v>
      </c>
      <c r="J81" s="121" t="s">
        <v>6900</v>
      </c>
      <c r="K81" s="90"/>
      <c r="L81" s="58"/>
      <c r="M81" s="58"/>
      <c r="N81" s="58"/>
      <c r="O81" s="58"/>
      <c r="P81" s="58"/>
      <c r="Q81" s="58"/>
      <c r="R81" s="58"/>
      <c r="S81" s="58"/>
      <c r="T81" s="58"/>
      <c r="U81" s="58"/>
      <c r="V81" s="58"/>
      <c r="W81" s="58"/>
      <c r="X81" s="58"/>
      <c r="Y81" s="58"/>
      <c r="Z81" s="58"/>
    </row>
    <row r="82" ht="38.25" spans="1:26">
      <c r="A82" s="78" t="s">
        <v>2648</v>
      </c>
      <c r="B82" s="79" t="s">
        <v>139</v>
      </c>
      <c r="C82" s="79" t="s">
        <v>2649</v>
      </c>
      <c r="D82" s="79" t="s">
        <v>5050</v>
      </c>
      <c r="E82" s="80" t="s">
        <v>141</v>
      </c>
      <c r="F82" s="122" t="s">
        <v>6901</v>
      </c>
      <c r="G82" s="121" t="s">
        <v>6902</v>
      </c>
      <c r="H82" s="121" t="s">
        <v>6903</v>
      </c>
      <c r="I82" s="121" t="s">
        <v>6904</v>
      </c>
      <c r="J82" s="121" t="s">
        <v>6905</v>
      </c>
      <c r="K82" s="90"/>
      <c r="L82" s="58"/>
      <c r="M82" s="58"/>
      <c r="N82" s="58"/>
      <c r="O82" s="58"/>
      <c r="P82" s="58"/>
      <c r="Q82" s="58"/>
      <c r="R82" s="58"/>
      <c r="S82" s="58"/>
      <c r="T82" s="58"/>
      <c r="U82" s="58"/>
      <c r="V82" s="58"/>
      <c r="W82" s="58"/>
      <c r="X82" s="58"/>
      <c r="Y82" s="58"/>
      <c r="Z82" s="58"/>
    </row>
    <row r="83" ht="25.5" spans="1:26">
      <c r="A83" s="78" t="s">
        <v>2403</v>
      </c>
      <c r="B83" s="79" t="s">
        <v>149</v>
      </c>
      <c r="C83" s="79" t="s">
        <v>2404</v>
      </c>
      <c r="D83" s="79" t="s">
        <v>4867</v>
      </c>
      <c r="E83" s="80" t="s">
        <v>393</v>
      </c>
      <c r="F83" s="122" t="s">
        <v>6906</v>
      </c>
      <c r="G83" s="121" t="s">
        <v>6907</v>
      </c>
      <c r="H83" s="121" t="s">
        <v>6908</v>
      </c>
      <c r="I83" s="121" t="s">
        <v>6904</v>
      </c>
      <c r="J83" s="121" t="s">
        <v>6909</v>
      </c>
      <c r="K83" s="90"/>
      <c r="L83" s="58"/>
      <c r="M83" s="58"/>
      <c r="N83" s="58"/>
      <c r="O83" s="58"/>
      <c r="P83" s="58"/>
      <c r="Q83" s="58"/>
      <c r="R83" s="58"/>
      <c r="S83" s="58"/>
      <c r="T83" s="58"/>
      <c r="U83" s="58"/>
      <c r="V83" s="58"/>
      <c r="W83" s="58"/>
      <c r="X83" s="58"/>
      <c r="Y83" s="58"/>
      <c r="Z83" s="58"/>
    </row>
    <row r="84" ht="25.5" spans="1:26">
      <c r="A84" s="78" t="s">
        <v>1160</v>
      </c>
      <c r="B84" s="79" t="s">
        <v>132</v>
      </c>
      <c r="C84" s="79" t="s">
        <v>1161</v>
      </c>
      <c r="D84" s="79">
        <v>61</v>
      </c>
      <c r="E84" s="80" t="s">
        <v>204</v>
      </c>
      <c r="F84" s="122" t="s">
        <v>6910</v>
      </c>
      <c r="G84" s="121" t="s">
        <v>6911</v>
      </c>
      <c r="H84" s="121" t="s">
        <v>6912</v>
      </c>
      <c r="I84" s="121" t="s">
        <v>6904</v>
      </c>
      <c r="J84" s="121" t="s">
        <v>6913</v>
      </c>
      <c r="K84" s="90"/>
      <c r="L84" s="58"/>
      <c r="M84" s="58"/>
      <c r="N84" s="58"/>
      <c r="O84" s="58"/>
      <c r="P84" s="58"/>
      <c r="Q84" s="58"/>
      <c r="R84" s="58"/>
      <c r="S84" s="58"/>
      <c r="T84" s="58"/>
      <c r="U84" s="58"/>
      <c r="V84" s="58"/>
      <c r="W84" s="58"/>
      <c r="X84" s="58"/>
      <c r="Y84" s="58"/>
      <c r="Z84" s="58"/>
    </row>
    <row r="85" spans="1:26">
      <c r="A85" s="78" t="s">
        <v>711</v>
      </c>
      <c r="B85" s="79" t="s">
        <v>149</v>
      </c>
      <c r="C85" s="79" t="s">
        <v>712</v>
      </c>
      <c r="D85" s="79" t="s">
        <v>3564</v>
      </c>
      <c r="E85" s="80" t="s">
        <v>141</v>
      </c>
      <c r="F85" s="122" t="s">
        <v>6914</v>
      </c>
      <c r="G85" s="121" t="s">
        <v>6915</v>
      </c>
      <c r="H85" s="121" t="s">
        <v>6916</v>
      </c>
      <c r="I85" s="121" t="s">
        <v>6904</v>
      </c>
      <c r="J85" s="121" t="s">
        <v>6917</v>
      </c>
      <c r="K85" s="90"/>
      <c r="L85" s="58"/>
      <c r="M85" s="58"/>
      <c r="N85" s="58"/>
      <c r="O85" s="58"/>
      <c r="P85" s="58"/>
      <c r="Q85" s="58"/>
      <c r="R85" s="58"/>
      <c r="S85" s="58"/>
      <c r="T85" s="58"/>
      <c r="U85" s="58"/>
      <c r="V85" s="58"/>
      <c r="W85" s="58"/>
      <c r="X85" s="58"/>
      <c r="Y85" s="58"/>
      <c r="Z85" s="58"/>
    </row>
    <row r="86" spans="1:26">
      <c r="A86" s="78" t="s">
        <v>1295</v>
      </c>
      <c r="B86" s="79" t="s">
        <v>77</v>
      </c>
      <c r="C86" s="79" t="s">
        <v>1296</v>
      </c>
      <c r="D86" s="79">
        <v>15</v>
      </c>
      <c r="E86" s="80" t="s">
        <v>134</v>
      </c>
      <c r="F86" s="122" t="s">
        <v>6918</v>
      </c>
      <c r="G86" s="121" t="s">
        <v>6919</v>
      </c>
      <c r="H86" s="121" t="s">
        <v>6920</v>
      </c>
      <c r="I86" s="121" t="s">
        <v>6921</v>
      </c>
      <c r="J86" s="121" t="s">
        <v>6922</v>
      </c>
      <c r="K86" s="90"/>
      <c r="L86" s="58"/>
      <c r="M86" s="58"/>
      <c r="N86" s="58"/>
      <c r="O86" s="58"/>
      <c r="P86" s="58"/>
      <c r="Q86" s="58"/>
      <c r="R86" s="58"/>
      <c r="S86" s="58"/>
      <c r="T86" s="58"/>
      <c r="U86" s="58"/>
      <c r="V86" s="58"/>
      <c r="W86" s="58"/>
      <c r="X86" s="58"/>
      <c r="Y86" s="58"/>
      <c r="Z86" s="58"/>
    </row>
    <row r="87" ht="25.5" spans="1:26">
      <c r="A87" s="78" t="s">
        <v>2527</v>
      </c>
      <c r="B87" s="79" t="s">
        <v>132</v>
      </c>
      <c r="C87" s="79" t="s">
        <v>2528</v>
      </c>
      <c r="D87" s="79">
        <v>726</v>
      </c>
      <c r="E87" s="80" t="s">
        <v>204</v>
      </c>
      <c r="F87" s="122" t="s">
        <v>6923</v>
      </c>
      <c r="G87" s="121" t="s">
        <v>6924</v>
      </c>
      <c r="H87" s="121" t="s">
        <v>6925</v>
      </c>
      <c r="I87" s="121" t="s">
        <v>6921</v>
      </c>
      <c r="J87" s="121" t="s">
        <v>6926</v>
      </c>
      <c r="K87" s="90"/>
      <c r="L87" s="58"/>
      <c r="M87" s="58"/>
      <c r="N87" s="58"/>
      <c r="O87" s="58"/>
      <c r="P87" s="58"/>
      <c r="Q87" s="58"/>
      <c r="R87" s="58"/>
      <c r="S87" s="58"/>
      <c r="T87" s="58"/>
      <c r="U87" s="58"/>
      <c r="V87" s="58"/>
      <c r="W87" s="58"/>
      <c r="X87" s="58"/>
      <c r="Y87" s="58"/>
      <c r="Z87" s="58"/>
    </row>
    <row r="88" ht="38.25" spans="1:26">
      <c r="A88" s="78" t="s">
        <v>1903</v>
      </c>
      <c r="B88" s="79" t="s">
        <v>132</v>
      </c>
      <c r="C88" s="79" t="s">
        <v>1904</v>
      </c>
      <c r="D88" s="79" t="s">
        <v>4227</v>
      </c>
      <c r="E88" s="80" t="s">
        <v>134</v>
      </c>
      <c r="F88" s="122" t="s">
        <v>6927</v>
      </c>
      <c r="G88" s="121" t="s">
        <v>6928</v>
      </c>
      <c r="H88" s="121" t="s">
        <v>6929</v>
      </c>
      <c r="I88" s="121" t="s">
        <v>6921</v>
      </c>
      <c r="J88" s="121" t="s">
        <v>6930</v>
      </c>
      <c r="K88" s="90"/>
      <c r="L88" s="58"/>
      <c r="M88" s="58"/>
      <c r="N88" s="58"/>
      <c r="O88" s="58"/>
      <c r="P88" s="58"/>
      <c r="Q88" s="58"/>
      <c r="R88" s="58"/>
      <c r="S88" s="58"/>
      <c r="T88" s="58"/>
      <c r="U88" s="58"/>
      <c r="V88" s="58"/>
      <c r="W88" s="58"/>
      <c r="X88" s="58"/>
      <c r="Y88" s="58"/>
      <c r="Z88" s="58"/>
    </row>
    <row r="89" ht="51" spans="1:26">
      <c r="A89" s="78" t="s">
        <v>338</v>
      </c>
      <c r="B89" s="79" t="s">
        <v>77</v>
      </c>
      <c r="C89" s="79" t="s">
        <v>339</v>
      </c>
      <c r="D89" s="79">
        <v>5</v>
      </c>
      <c r="E89" s="80" t="s">
        <v>340</v>
      </c>
      <c r="F89" s="122" t="s">
        <v>6931</v>
      </c>
      <c r="G89" s="121" t="s">
        <v>6932</v>
      </c>
      <c r="H89" s="121" t="s">
        <v>6933</v>
      </c>
      <c r="I89" s="121" t="s">
        <v>6934</v>
      </c>
      <c r="J89" s="121" t="s">
        <v>6935</v>
      </c>
      <c r="K89" s="90"/>
      <c r="L89" s="58"/>
      <c r="M89" s="58"/>
      <c r="N89" s="58"/>
      <c r="O89" s="58"/>
      <c r="P89" s="58"/>
      <c r="Q89" s="58"/>
      <c r="R89" s="58"/>
      <c r="S89" s="58"/>
      <c r="T89" s="58"/>
      <c r="U89" s="58"/>
      <c r="V89" s="58"/>
      <c r="W89" s="58"/>
      <c r="X89" s="58"/>
      <c r="Y89" s="58"/>
      <c r="Z89" s="58"/>
    </row>
    <row r="90" ht="25.5" spans="1:26">
      <c r="A90" s="78" t="s">
        <v>2629</v>
      </c>
      <c r="B90" s="79" t="s">
        <v>132</v>
      </c>
      <c r="C90" s="79" t="s">
        <v>2630</v>
      </c>
      <c r="D90" s="79" t="s">
        <v>3129</v>
      </c>
      <c r="E90" s="80" t="s">
        <v>204</v>
      </c>
      <c r="F90" s="122" t="s">
        <v>6936</v>
      </c>
      <c r="G90" s="121" t="s">
        <v>6937</v>
      </c>
      <c r="H90" s="121" t="s">
        <v>6938</v>
      </c>
      <c r="I90" s="121" t="s">
        <v>6939</v>
      </c>
      <c r="J90" s="121" t="s">
        <v>6940</v>
      </c>
      <c r="K90" s="90"/>
      <c r="L90" s="58"/>
      <c r="M90" s="58"/>
      <c r="N90" s="58"/>
      <c r="O90" s="58"/>
      <c r="P90" s="58"/>
      <c r="Q90" s="58"/>
      <c r="R90" s="58"/>
      <c r="S90" s="58"/>
      <c r="T90" s="58"/>
      <c r="U90" s="58"/>
      <c r="V90" s="58"/>
      <c r="W90" s="58"/>
      <c r="X90" s="58"/>
      <c r="Y90" s="58"/>
      <c r="Z90" s="58"/>
    </row>
    <row r="91" ht="25.5" spans="1:26">
      <c r="A91" s="78" t="s">
        <v>762</v>
      </c>
      <c r="B91" s="79" t="s">
        <v>132</v>
      </c>
      <c r="C91" s="79" t="s">
        <v>763</v>
      </c>
      <c r="D91" s="79" t="s">
        <v>3129</v>
      </c>
      <c r="E91" s="80" t="s">
        <v>204</v>
      </c>
      <c r="F91" s="122" t="s">
        <v>6941</v>
      </c>
      <c r="G91" s="121" t="s">
        <v>6942</v>
      </c>
      <c r="H91" s="121" t="s">
        <v>6943</v>
      </c>
      <c r="I91" s="121" t="s">
        <v>6939</v>
      </c>
      <c r="J91" s="121" t="s">
        <v>6944</v>
      </c>
      <c r="K91" s="90"/>
      <c r="L91" s="58"/>
      <c r="M91" s="58"/>
      <c r="N91" s="58"/>
      <c r="O91" s="58"/>
      <c r="P91" s="58"/>
      <c r="Q91" s="58"/>
      <c r="R91" s="58"/>
      <c r="S91" s="58"/>
      <c r="T91" s="58"/>
      <c r="U91" s="58"/>
      <c r="V91" s="58"/>
      <c r="W91" s="58"/>
      <c r="X91" s="58"/>
      <c r="Y91" s="58"/>
      <c r="Z91" s="58"/>
    </row>
    <row r="92" spans="1:26">
      <c r="A92" s="78" t="s">
        <v>887</v>
      </c>
      <c r="B92" s="79" t="s">
        <v>149</v>
      </c>
      <c r="C92" s="79" t="s">
        <v>888</v>
      </c>
      <c r="D92" s="79" t="s">
        <v>3789</v>
      </c>
      <c r="E92" s="80" t="s">
        <v>134</v>
      </c>
      <c r="F92" s="122" t="s">
        <v>6945</v>
      </c>
      <c r="G92" s="121" t="s">
        <v>6946</v>
      </c>
      <c r="H92" s="121" t="s">
        <v>6947</v>
      </c>
      <c r="I92" s="121" t="s">
        <v>6939</v>
      </c>
      <c r="J92" s="121" t="s">
        <v>6948</v>
      </c>
      <c r="K92" s="90"/>
      <c r="L92" s="58"/>
      <c r="M92" s="58"/>
      <c r="N92" s="58"/>
      <c r="O92" s="58"/>
      <c r="P92" s="58"/>
      <c r="Q92" s="58"/>
      <c r="R92" s="58"/>
      <c r="S92" s="58"/>
      <c r="T92" s="58"/>
      <c r="U92" s="58"/>
      <c r="V92" s="58"/>
      <c r="W92" s="58"/>
      <c r="X92" s="58"/>
      <c r="Y92" s="58"/>
      <c r="Z92" s="58"/>
    </row>
    <row r="93" ht="25.5" spans="1:26">
      <c r="A93" s="78" t="s">
        <v>1417</v>
      </c>
      <c r="B93" s="79" t="s">
        <v>132</v>
      </c>
      <c r="C93" s="79" t="s">
        <v>1418</v>
      </c>
      <c r="D93" s="79">
        <v>69.05</v>
      </c>
      <c r="E93" s="80" t="s">
        <v>134</v>
      </c>
      <c r="F93" s="122" t="s">
        <v>6676</v>
      </c>
      <c r="G93" s="121" t="s">
        <v>6949</v>
      </c>
      <c r="H93" s="121" t="s">
        <v>6950</v>
      </c>
      <c r="I93" s="121" t="s">
        <v>6951</v>
      </c>
      <c r="J93" s="121" t="s">
        <v>6952</v>
      </c>
      <c r="K93" s="90"/>
      <c r="L93" s="58"/>
      <c r="M93" s="58"/>
      <c r="N93" s="58"/>
      <c r="O93" s="58"/>
      <c r="P93" s="58"/>
      <c r="Q93" s="58"/>
      <c r="R93" s="58"/>
      <c r="S93" s="58"/>
      <c r="T93" s="58"/>
      <c r="U93" s="58"/>
      <c r="V93" s="58"/>
      <c r="W93" s="58"/>
      <c r="X93" s="58"/>
      <c r="Y93" s="58"/>
      <c r="Z93" s="58"/>
    </row>
    <row r="94" ht="25.5" spans="1:26">
      <c r="A94" s="78" t="s">
        <v>1655</v>
      </c>
      <c r="B94" s="79" t="s">
        <v>139</v>
      </c>
      <c r="C94" s="79" t="s">
        <v>1656</v>
      </c>
      <c r="D94" s="79" t="s">
        <v>3221</v>
      </c>
      <c r="E94" s="80" t="s">
        <v>204</v>
      </c>
      <c r="F94" s="122" t="s">
        <v>6953</v>
      </c>
      <c r="G94" s="121" t="s">
        <v>6954</v>
      </c>
      <c r="H94" s="121" t="s">
        <v>6955</v>
      </c>
      <c r="I94" s="121" t="s">
        <v>6951</v>
      </c>
      <c r="J94" s="121" t="s">
        <v>6956</v>
      </c>
      <c r="K94" s="90"/>
      <c r="L94" s="58"/>
      <c r="M94" s="58"/>
      <c r="N94" s="58"/>
      <c r="O94" s="58"/>
      <c r="P94" s="58"/>
      <c r="Q94" s="58"/>
      <c r="R94" s="58"/>
      <c r="S94" s="58"/>
      <c r="T94" s="58"/>
      <c r="U94" s="58"/>
      <c r="V94" s="58"/>
      <c r="W94" s="58"/>
      <c r="X94" s="58"/>
      <c r="Y94" s="58"/>
      <c r="Z94" s="58"/>
    </row>
    <row r="95" ht="63.75" spans="1:26">
      <c r="A95" s="78" t="s">
        <v>1154</v>
      </c>
      <c r="B95" s="79" t="s">
        <v>77</v>
      </c>
      <c r="C95" s="79" t="s">
        <v>1155</v>
      </c>
      <c r="D95" s="79">
        <v>6</v>
      </c>
      <c r="E95" s="80" t="s">
        <v>204</v>
      </c>
      <c r="F95" s="122" t="s">
        <v>6957</v>
      </c>
      <c r="G95" s="121" t="s">
        <v>6958</v>
      </c>
      <c r="H95" s="121" t="s">
        <v>6959</v>
      </c>
      <c r="I95" s="121" t="s">
        <v>6960</v>
      </c>
      <c r="J95" s="121" t="s">
        <v>6902</v>
      </c>
      <c r="K95" s="90"/>
      <c r="L95" s="58"/>
      <c r="M95" s="58"/>
      <c r="N95" s="58"/>
      <c r="O95" s="58"/>
      <c r="P95" s="58"/>
      <c r="Q95" s="58"/>
      <c r="R95" s="58"/>
      <c r="S95" s="58"/>
      <c r="T95" s="58"/>
      <c r="U95" s="58"/>
      <c r="V95" s="58"/>
      <c r="W95" s="58"/>
      <c r="X95" s="58"/>
      <c r="Y95" s="58"/>
      <c r="Z95" s="58"/>
    </row>
    <row r="96" ht="25.5" spans="1:26">
      <c r="A96" s="78" t="s">
        <v>1213</v>
      </c>
      <c r="B96" s="79" t="s">
        <v>77</v>
      </c>
      <c r="C96" s="79" t="s">
        <v>1214</v>
      </c>
      <c r="D96" s="79">
        <v>15</v>
      </c>
      <c r="E96" s="80" t="s">
        <v>204</v>
      </c>
      <c r="F96" s="122" t="s">
        <v>6961</v>
      </c>
      <c r="G96" s="121" t="s">
        <v>6962</v>
      </c>
      <c r="H96" s="121" t="s">
        <v>6963</v>
      </c>
      <c r="I96" s="121" t="s">
        <v>6960</v>
      </c>
      <c r="J96" s="121" t="s">
        <v>6964</v>
      </c>
      <c r="K96" s="90"/>
      <c r="L96" s="58"/>
      <c r="M96" s="58"/>
      <c r="N96" s="58"/>
      <c r="O96" s="58"/>
      <c r="P96" s="58"/>
      <c r="Q96" s="58"/>
      <c r="R96" s="58"/>
      <c r="S96" s="58"/>
      <c r="T96" s="58"/>
      <c r="U96" s="58"/>
      <c r="V96" s="58"/>
      <c r="W96" s="58"/>
      <c r="X96" s="58"/>
      <c r="Y96" s="58"/>
      <c r="Z96" s="58"/>
    </row>
    <row r="97" ht="38.25" spans="1:26">
      <c r="A97" s="78" t="s">
        <v>1821</v>
      </c>
      <c r="B97" s="79" t="s">
        <v>132</v>
      </c>
      <c r="C97" s="79" t="s">
        <v>1822</v>
      </c>
      <c r="D97" s="79" t="s">
        <v>4227</v>
      </c>
      <c r="E97" s="80" t="s">
        <v>134</v>
      </c>
      <c r="F97" s="122" t="s">
        <v>6603</v>
      </c>
      <c r="G97" s="121" t="s">
        <v>6965</v>
      </c>
      <c r="H97" s="121" t="s">
        <v>6965</v>
      </c>
      <c r="I97" s="121" t="s">
        <v>6960</v>
      </c>
      <c r="J97" s="121" t="s">
        <v>6966</v>
      </c>
      <c r="K97" s="90"/>
      <c r="L97" s="58"/>
      <c r="M97" s="58"/>
      <c r="N97" s="58"/>
      <c r="O97" s="58"/>
      <c r="P97" s="58"/>
      <c r="Q97" s="58"/>
      <c r="R97" s="58"/>
      <c r="S97" s="58"/>
      <c r="T97" s="58"/>
      <c r="U97" s="58"/>
      <c r="V97" s="58"/>
      <c r="W97" s="58"/>
      <c r="X97" s="58"/>
      <c r="Y97" s="58"/>
      <c r="Z97" s="58"/>
    </row>
    <row r="98" ht="38.25" spans="1:26">
      <c r="A98" s="78" t="s">
        <v>667</v>
      </c>
      <c r="B98" s="79" t="s">
        <v>132</v>
      </c>
      <c r="C98" s="79" t="s">
        <v>668</v>
      </c>
      <c r="D98" s="79" t="s">
        <v>3505</v>
      </c>
      <c r="E98" s="80" t="s">
        <v>134</v>
      </c>
      <c r="F98" s="122" t="s">
        <v>6653</v>
      </c>
      <c r="G98" s="121" t="s">
        <v>6967</v>
      </c>
      <c r="H98" s="121" t="s">
        <v>6968</v>
      </c>
      <c r="I98" s="121" t="s">
        <v>6969</v>
      </c>
      <c r="J98" s="121" t="s">
        <v>6970</v>
      </c>
      <c r="K98" s="90"/>
      <c r="L98" s="58"/>
      <c r="M98" s="58"/>
      <c r="N98" s="58"/>
      <c r="O98" s="58"/>
      <c r="P98" s="58"/>
      <c r="Q98" s="58"/>
      <c r="R98" s="58"/>
      <c r="S98" s="58"/>
      <c r="T98" s="58"/>
      <c r="U98" s="58"/>
      <c r="V98" s="58"/>
      <c r="W98" s="58"/>
      <c r="X98" s="58"/>
      <c r="Y98" s="58"/>
      <c r="Z98" s="58"/>
    </row>
    <row r="99" ht="25.5" spans="1:26">
      <c r="A99" s="78" t="s">
        <v>588</v>
      </c>
      <c r="B99" s="79" t="s">
        <v>139</v>
      </c>
      <c r="C99" s="79" t="s">
        <v>589</v>
      </c>
      <c r="D99" s="79" t="s">
        <v>3094</v>
      </c>
      <c r="E99" s="80" t="s">
        <v>141</v>
      </c>
      <c r="F99" s="122" t="s">
        <v>6971</v>
      </c>
      <c r="G99" s="121" t="s">
        <v>6972</v>
      </c>
      <c r="H99" s="121" t="s">
        <v>6973</v>
      </c>
      <c r="I99" s="121" t="s">
        <v>6969</v>
      </c>
      <c r="J99" s="121" t="s">
        <v>6974</v>
      </c>
      <c r="K99" s="90"/>
      <c r="L99" s="58"/>
      <c r="M99" s="58"/>
      <c r="N99" s="58"/>
      <c r="O99" s="58"/>
      <c r="P99" s="58"/>
      <c r="Q99" s="58"/>
      <c r="R99" s="58"/>
      <c r="S99" s="58"/>
      <c r="T99" s="58"/>
      <c r="U99" s="58"/>
      <c r="V99" s="58"/>
      <c r="W99" s="58"/>
      <c r="X99" s="58"/>
      <c r="Y99" s="58"/>
      <c r="Z99" s="58"/>
    </row>
    <row r="100" ht="25.5" spans="1:26">
      <c r="A100" s="78" t="s">
        <v>2509</v>
      </c>
      <c r="B100" s="79" t="s">
        <v>139</v>
      </c>
      <c r="C100" s="79" t="s">
        <v>2510</v>
      </c>
      <c r="D100" s="79" t="s">
        <v>4954</v>
      </c>
      <c r="E100" s="80" t="s">
        <v>134</v>
      </c>
      <c r="F100" s="122" t="s">
        <v>6975</v>
      </c>
      <c r="G100" s="121" t="s">
        <v>6976</v>
      </c>
      <c r="H100" s="121" t="s">
        <v>6977</v>
      </c>
      <c r="I100" s="121" t="s">
        <v>6969</v>
      </c>
      <c r="J100" s="121" t="s">
        <v>6978</v>
      </c>
      <c r="K100" s="90"/>
      <c r="L100" s="58"/>
      <c r="M100" s="58"/>
      <c r="N100" s="58"/>
      <c r="O100" s="58"/>
      <c r="P100" s="58"/>
      <c r="Q100" s="58"/>
      <c r="R100" s="58"/>
      <c r="S100" s="58"/>
      <c r="T100" s="58"/>
      <c r="U100" s="58"/>
      <c r="V100" s="58"/>
      <c r="W100" s="58"/>
      <c r="X100" s="58"/>
      <c r="Y100" s="58"/>
      <c r="Z100" s="58"/>
    </row>
    <row r="101" ht="38.25" spans="1:26">
      <c r="A101" s="78" t="s">
        <v>2668</v>
      </c>
      <c r="B101" s="79" t="s">
        <v>77</v>
      </c>
      <c r="C101" s="79" t="s">
        <v>2669</v>
      </c>
      <c r="D101" s="79">
        <v>13</v>
      </c>
      <c r="E101" s="80" t="s">
        <v>204</v>
      </c>
      <c r="F101" s="122" t="s">
        <v>6979</v>
      </c>
      <c r="G101" s="121" t="s">
        <v>6980</v>
      </c>
      <c r="H101" s="121" t="s">
        <v>6981</v>
      </c>
      <c r="I101" s="121" t="s">
        <v>6969</v>
      </c>
      <c r="J101" s="121" t="s">
        <v>6982</v>
      </c>
      <c r="K101" s="90"/>
      <c r="L101" s="58"/>
      <c r="M101" s="58"/>
      <c r="N101" s="58"/>
      <c r="O101" s="58"/>
      <c r="P101" s="58"/>
      <c r="Q101" s="58"/>
      <c r="R101" s="58"/>
      <c r="S101" s="58"/>
      <c r="T101" s="58"/>
      <c r="U101" s="58"/>
      <c r="V101" s="58"/>
      <c r="W101" s="58"/>
      <c r="X101" s="58"/>
      <c r="Y101" s="58"/>
      <c r="Z101" s="58"/>
    </row>
    <row r="102" ht="63.75" spans="1:26">
      <c r="A102" s="78" t="s">
        <v>2149</v>
      </c>
      <c r="B102" s="79" t="s">
        <v>132</v>
      </c>
      <c r="C102" s="79" t="s">
        <v>2150</v>
      </c>
      <c r="D102" s="79" t="s">
        <v>4227</v>
      </c>
      <c r="E102" s="80" t="s">
        <v>134</v>
      </c>
      <c r="F102" s="122" t="s">
        <v>6603</v>
      </c>
      <c r="G102" s="121" t="s">
        <v>6983</v>
      </c>
      <c r="H102" s="121" t="s">
        <v>6983</v>
      </c>
      <c r="I102" s="121" t="s">
        <v>6969</v>
      </c>
      <c r="J102" s="121" t="s">
        <v>6984</v>
      </c>
      <c r="K102" s="90"/>
      <c r="L102" s="58"/>
      <c r="M102" s="58"/>
      <c r="N102" s="58"/>
      <c r="O102" s="58"/>
      <c r="P102" s="58"/>
      <c r="Q102" s="58"/>
      <c r="R102" s="58"/>
      <c r="S102" s="58"/>
      <c r="T102" s="58"/>
      <c r="U102" s="58"/>
      <c r="V102" s="58"/>
      <c r="W102" s="58"/>
      <c r="X102" s="58"/>
      <c r="Y102" s="58"/>
      <c r="Z102" s="58"/>
    </row>
    <row r="103" ht="25.5" spans="1:26">
      <c r="A103" s="78" t="s">
        <v>2692</v>
      </c>
      <c r="B103" s="79" t="s">
        <v>139</v>
      </c>
      <c r="C103" s="79" t="s">
        <v>2693</v>
      </c>
      <c r="D103" s="79" t="s">
        <v>5132</v>
      </c>
      <c r="E103" s="80" t="s">
        <v>141</v>
      </c>
      <c r="F103" s="122" t="s">
        <v>6985</v>
      </c>
      <c r="G103" s="121" t="s">
        <v>6986</v>
      </c>
      <c r="H103" s="121" t="s">
        <v>6987</v>
      </c>
      <c r="I103" s="121" t="s">
        <v>6969</v>
      </c>
      <c r="J103" s="121" t="s">
        <v>6988</v>
      </c>
      <c r="K103" s="90"/>
      <c r="L103" s="58"/>
      <c r="M103" s="58"/>
      <c r="N103" s="58"/>
      <c r="O103" s="58"/>
      <c r="P103" s="58"/>
      <c r="Q103" s="58"/>
      <c r="R103" s="58"/>
      <c r="S103" s="58"/>
      <c r="T103" s="58"/>
      <c r="U103" s="58"/>
      <c r="V103" s="58"/>
      <c r="W103" s="58"/>
      <c r="X103" s="58"/>
      <c r="Y103" s="58"/>
      <c r="Z103" s="58"/>
    </row>
    <row r="104" ht="25.5" spans="1:26">
      <c r="A104" s="78" t="s">
        <v>2406</v>
      </c>
      <c r="B104" s="79" t="s">
        <v>149</v>
      </c>
      <c r="C104" s="79" t="s">
        <v>2407</v>
      </c>
      <c r="D104" s="79" t="s">
        <v>4867</v>
      </c>
      <c r="E104" s="80" t="s">
        <v>393</v>
      </c>
      <c r="F104" s="122" t="s">
        <v>6989</v>
      </c>
      <c r="G104" s="121" t="s">
        <v>6990</v>
      </c>
      <c r="H104" s="121" t="s">
        <v>6991</v>
      </c>
      <c r="I104" s="121" t="s">
        <v>6969</v>
      </c>
      <c r="J104" s="121" t="s">
        <v>6992</v>
      </c>
      <c r="K104" s="90"/>
      <c r="L104" s="58"/>
      <c r="M104" s="58"/>
      <c r="N104" s="58"/>
      <c r="O104" s="58"/>
      <c r="P104" s="58"/>
      <c r="Q104" s="58"/>
      <c r="R104" s="58"/>
      <c r="S104" s="58"/>
      <c r="T104" s="58"/>
      <c r="U104" s="58"/>
      <c r="V104" s="58"/>
      <c r="W104" s="58"/>
      <c r="X104" s="58"/>
      <c r="Y104" s="58"/>
      <c r="Z104" s="58"/>
    </row>
    <row r="105" ht="38.25" spans="1:26">
      <c r="A105" s="78" t="s">
        <v>673</v>
      </c>
      <c r="B105" s="79" t="s">
        <v>132</v>
      </c>
      <c r="C105" s="79" t="s">
        <v>674</v>
      </c>
      <c r="D105" s="79" t="s">
        <v>3505</v>
      </c>
      <c r="E105" s="80" t="s">
        <v>141</v>
      </c>
      <c r="F105" s="122" t="s">
        <v>6993</v>
      </c>
      <c r="G105" s="121" t="s">
        <v>6994</v>
      </c>
      <c r="H105" s="121" t="s">
        <v>6995</v>
      </c>
      <c r="I105" s="121" t="s">
        <v>6996</v>
      </c>
      <c r="J105" s="121" t="s">
        <v>6997</v>
      </c>
      <c r="K105" s="90"/>
      <c r="L105" s="58"/>
      <c r="M105" s="58"/>
      <c r="N105" s="58"/>
      <c r="O105" s="58"/>
      <c r="P105" s="58"/>
      <c r="Q105" s="58"/>
      <c r="R105" s="58"/>
      <c r="S105" s="58"/>
      <c r="T105" s="58"/>
      <c r="U105" s="58"/>
      <c r="V105" s="58"/>
      <c r="W105" s="58"/>
      <c r="X105" s="58"/>
      <c r="Y105" s="58"/>
      <c r="Z105" s="58"/>
    </row>
    <row r="106" ht="38.25" spans="1:26">
      <c r="A106" s="78" t="s">
        <v>1137</v>
      </c>
      <c r="B106" s="79" t="s">
        <v>132</v>
      </c>
      <c r="C106" s="79" t="s">
        <v>1138</v>
      </c>
      <c r="D106" s="79" t="s">
        <v>3177</v>
      </c>
      <c r="E106" s="80" t="s">
        <v>134</v>
      </c>
      <c r="F106" s="122" t="s">
        <v>6998</v>
      </c>
      <c r="G106" s="121" t="s">
        <v>6999</v>
      </c>
      <c r="H106" s="121" t="s">
        <v>7000</v>
      </c>
      <c r="I106" s="121" t="s">
        <v>6996</v>
      </c>
      <c r="J106" s="121" t="s">
        <v>7001</v>
      </c>
      <c r="K106" s="90"/>
      <c r="L106" s="58"/>
      <c r="M106" s="58"/>
      <c r="N106" s="58"/>
      <c r="O106" s="58"/>
      <c r="P106" s="58"/>
      <c r="Q106" s="58"/>
      <c r="R106" s="58"/>
      <c r="S106" s="58"/>
      <c r="T106" s="58"/>
      <c r="U106" s="58"/>
      <c r="V106" s="58"/>
      <c r="W106" s="58"/>
      <c r="X106" s="58"/>
      <c r="Y106" s="58"/>
      <c r="Z106" s="58"/>
    </row>
    <row r="107" spans="1:26">
      <c r="A107" s="78" t="s">
        <v>708</v>
      </c>
      <c r="B107" s="79" t="s">
        <v>149</v>
      </c>
      <c r="C107" s="79" t="s">
        <v>709</v>
      </c>
      <c r="D107" s="79" t="s">
        <v>3564</v>
      </c>
      <c r="E107" s="80" t="s">
        <v>141</v>
      </c>
      <c r="F107" s="122" t="s">
        <v>7002</v>
      </c>
      <c r="G107" s="121" t="s">
        <v>7003</v>
      </c>
      <c r="H107" s="121" t="s">
        <v>7004</v>
      </c>
      <c r="I107" s="121" t="s">
        <v>7005</v>
      </c>
      <c r="J107" s="121" t="s">
        <v>7006</v>
      </c>
      <c r="K107" s="90"/>
      <c r="L107" s="58"/>
      <c r="M107" s="58"/>
      <c r="N107" s="58"/>
      <c r="O107" s="58"/>
      <c r="P107" s="58"/>
      <c r="Q107" s="58"/>
      <c r="R107" s="58"/>
      <c r="S107" s="58"/>
      <c r="T107" s="58"/>
      <c r="U107" s="58"/>
      <c r="V107" s="58"/>
      <c r="W107" s="58"/>
      <c r="X107" s="58"/>
      <c r="Y107" s="58"/>
      <c r="Z107" s="58"/>
    </row>
    <row r="108" ht="25.5" spans="1:26">
      <c r="A108" s="78" t="s">
        <v>2878</v>
      </c>
      <c r="B108" s="79" t="s">
        <v>132</v>
      </c>
      <c r="C108" s="79" t="s">
        <v>2879</v>
      </c>
      <c r="D108" s="79" t="s">
        <v>2924</v>
      </c>
      <c r="E108" s="80" t="s">
        <v>141</v>
      </c>
      <c r="F108" s="122" t="s">
        <v>7007</v>
      </c>
      <c r="G108" s="121" t="s">
        <v>7008</v>
      </c>
      <c r="H108" s="121" t="s">
        <v>7009</v>
      </c>
      <c r="I108" s="121" t="s">
        <v>7005</v>
      </c>
      <c r="J108" s="121" t="s">
        <v>7010</v>
      </c>
      <c r="K108" s="90"/>
      <c r="L108" s="58"/>
      <c r="M108" s="58"/>
      <c r="N108" s="58"/>
      <c r="O108" s="58"/>
      <c r="P108" s="58"/>
      <c r="Q108" s="58"/>
      <c r="R108" s="58"/>
      <c r="S108" s="58"/>
      <c r="T108" s="58"/>
      <c r="U108" s="58"/>
      <c r="V108" s="58"/>
      <c r="W108" s="58"/>
      <c r="X108" s="58"/>
      <c r="Y108" s="58"/>
      <c r="Z108" s="58"/>
    </row>
    <row r="109" ht="38.25" spans="1:26">
      <c r="A109" s="78" t="s">
        <v>83</v>
      </c>
      <c r="B109" s="79" t="s">
        <v>77</v>
      </c>
      <c r="C109" s="79" t="s">
        <v>84</v>
      </c>
      <c r="D109" s="79">
        <v>1</v>
      </c>
      <c r="E109" s="80" t="s">
        <v>141</v>
      </c>
      <c r="F109" s="122" t="s">
        <v>7011</v>
      </c>
      <c r="G109" s="121" t="s">
        <v>7012</v>
      </c>
      <c r="H109" s="121" t="s">
        <v>7013</v>
      </c>
      <c r="I109" s="121" t="s">
        <v>7005</v>
      </c>
      <c r="J109" s="121" t="s">
        <v>7014</v>
      </c>
      <c r="K109" s="90"/>
      <c r="L109" s="58"/>
      <c r="M109" s="58"/>
      <c r="N109" s="58"/>
      <c r="O109" s="58"/>
      <c r="P109" s="58"/>
      <c r="Q109" s="58"/>
      <c r="R109" s="58"/>
      <c r="S109" s="58"/>
      <c r="T109" s="58"/>
      <c r="U109" s="58"/>
      <c r="V109" s="58"/>
      <c r="W109" s="58"/>
      <c r="X109" s="58"/>
      <c r="Y109" s="58"/>
      <c r="Z109" s="58"/>
    </row>
    <row r="110" ht="38.25" spans="1:26">
      <c r="A110" s="78" t="s">
        <v>658</v>
      </c>
      <c r="B110" s="79" t="s">
        <v>132</v>
      </c>
      <c r="C110" s="79" t="s">
        <v>659</v>
      </c>
      <c r="D110" s="79" t="s">
        <v>3505</v>
      </c>
      <c r="E110" s="80" t="s">
        <v>134</v>
      </c>
      <c r="F110" s="122" t="s">
        <v>6653</v>
      </c>
      <c r="G110" s="121" t="s">
        <v>7015</v>
      </c>
      <c r="H110" s="121" t="s">
        <v>7016</v>
      </c>
      <c r="I110" s="121" t="s">
        <v>7017</v>
      </c>
      <c r="J110" s="121" t="s">
        <v>7018</v>
      </c>
      <c r="K110" s="90"/>
      <c r="L110" s="58"/>
      <c r="M110" s="58"/>
      <c r="N110" s="58"/>
      <c r="O110" s="58"/>
      <c r="P110" s="58"/>
      <c r="Q110" s="58"/>
      <c r="R110" s="58"/>
      <c r="S110" s="58"/>
      <c r="T110" s="58"/>
      <c r="U110" s="58"/>
      <c r="V110" s="58"/>
      <c r="W110" s="58"/>
      <c r="X110" s="58"/>
      <c r="Y110" s="58"/>
      <c r="Z110" s="58"/>
    </row>
    <row r="111" ht="25.5" spans="1:26">
      <c r="A111" s="78" t="s">
        <v>1557</v>
      </c>
      <c r="B111" s="79" t="s">
        <v>132</v>
      </c>
      <c r="C111" s="79" t="s">
        <v>1558</v>
      </c>
      <c r="D111" s="79">
        <v>61</v>
      </c>
      <c r="E111" s="80" t="s">
        <v>204</v>
      </c>
      <c r="F111" s="122" t="s">
        <v>7019</v>
      </c>
      <c r="G111" s="121" t="s">
        <v>7020</v>
      </c>
      <c r="H111" s="121" t="s">
        <v>7021</v>
      </c>
      <c r="I111" s="121" t="s">
        <v>7017</v>
      </c>
      <c r="J111" s="121" t="s">
        <v>7022</v>
      </c>
      <c r="K111" s="90"/>
      <c r="L111" s="58"/>
      <c r="M111" s="58"/>
      <c r="N111" s="58"/>
      <c r="O111" s="58"/>
      <c r="P111" s="58"/>
      <c r="Q111" s="58"/>
      <c r="R111" s="58"/>
      <c r="S111" s="58"/>
      <c r="T111" s="58"/>
      <c r="U111" s="58"/>
      <c r="V111" s="58"/>
      <c r="W111" s="58"/>
      <c r="X111" s="58"/>
      <c r="Y111" s="58"/>
      <c r="Z111" s="58"/>
    </row>
    <row r="112" ht="38.25" spans="1:26">
      <c r="A112" s="78" t="s">
        <v>1960</v>
      </c>
      <c r="B112" s="79" t="s">
        <v>132</v>
      </c>
      <c r="C112" s="79" t="s">
        <v>1961</v>
      </c>
      <c r="D112" s="79" t="s">
        <v>4227</v>
      </c>
      <c r="E112" s="80" t="s">
        <v>134</v>
      </c>
      <c r="F112" s="122" t="s">
        <v>7023</v>
      </c>
      <c r="G112" s="121" t="s">
        <v>7024</v>
      </c>
      <c r="H112" s="121" t="s">
        <v>7025</v>
      </c>
      <c r="I112" s="121" t="s">
        <v>7017</v>
      </c>
      <c r="J112" s="121" t="s">
        <v>7026</v>
      </c>
      <c r="K112" s="90"/>
      <c r="L112" s="58"/>
      <c r="M112" s="58"/>
      <c r="N112" s="58"/>
      <c r="O112" s="58"/>
      <c r="P112" s="58"/>
      <c r="Q112" s="58"/>
      <c r="R112" s="58"/>
      <c r="S112" s="58"/>
      <c r="T112" s="58"/>
      <c r="U112" s="58"/>
      <c r="V112" s="58"/>
      <c r="W112" s="58"/>
      <c r="X112" s="58"/>
      <c r="Y112" s="58"/>
      <c r="Z112" s="58"/>
    </row>
    <row r="113" ht="25.5" spans="1:26">
      <c r="A113" s="78" t="s">
        <v>1602</v>
      </c>
      <c r="B113" s="79" t="s">
        <v>132</v>
      </c>
      <c r="C113" s="79" t="s">
        <v>1603</v>
      </c>
      <c r="D113" s="79">
        <v>60</v>
      </c>
      <c r="E113" s="80" t="s">
        <v>134</v>
      </c>
      <c r="F113" s="122" t="s">
        <v>7027</v>
      </c>
      <c r="G113" s="121" t="s">
        <v>7028</v>
      </c>
      <c r="H113" s="121" t="s">
        <v>7029</v>
      </c>
      <c r="I113" s="121" t="s">
        <v>7017</v>
      </c>
      <c r="J113" s="121" t="s">
        <v>7030</v>
      </c>
      <c r="K113" s="90"/>
      <c r="L113" s="58"/>
      <c r="M113" s="58"/>
      <c r="N113" s="58"/>
      <c r="O113" s="58"/>
      <c r="P113" s="58"/>
      <c r="Q113" s="58"/>
      <c r="R113" s="58"/>
      <c r="S113" s="58"/>
      <c r="T113" s="58"/>
      <c r="U113" s="58"/>
      <c r="V113" s="58"/>
      <c r="W113" s="58"/>
      <c r="X113" s="58"/>
      <c r="Y113" s="58"/>
      <c r="Z113" s="58"/>
    </row>
    <row r="114" ht="38.25" spans="1:26">
      <c r="A114" s="78" t="s">
        <v>1283</v>
      </c>
      <c r="B114" s="79" t="s">
        <v>132</v>
      </c>
      <c r="C114" s="79" t="s">
        <v>1284</v>
      </c>
      <c r="D114" s="79" t="s">
        <v>3177</v>
      </c>
      <c r="E114" s="80" t="s">
        <v>204</v>
      </c>
      <c r="F114" s="122" t="s">
        <v>7031</v>
      </c>
      <c r="G114" s="121" t="s">
        <v>7032</v>
      </c>
      <c r="H114" s="121" t="s">
        <v>7033</v>
      </c>
      <c r="I114" s="121" t="s">
        <v>7017</v>
      </c>
      <c r="J114" s="121" t="s">
        <v>7034</v>
      </c>
      <c r="K114" s="90"/>
      <c r="L114" s="58"/>
      <c r="M114" s="58"/>
      <c r="N114" s="58"/>
      <c r="O114" s="58"/>
      <c r="P114" s="58"/>
      <c r="Q114" s="58"/>
      <c r="R114" s="58"/>
      <c r="S114" s="58"/>
      <c r="T114" s="58"/>
      <c r="U114" s="58"/>
      <c r="V114" s="58"/>
      <c r="W114" s="58"/>
      <c r="X114" s="58"/>
      <c r="Y114" s="58"/>
      <c r="Z114" s="58"/>
    </row>
    <row r="115" ht="25.5" spans="1:26">
      <c r="A115" s="78" t="s">
        <v>1684</v>
      </c>
      <c r="B115" s="79" t="s">
        <v>132</v>
      </c>
      <c r="C115" s="79" t="s">
        <v>1685</v>
      </c>
      <c r="D115" s="79" t="s">
        <v>4227</v>
      </c>
      <c r="E115" s="80" t="s">
        <v>204</v>
      </c>
      <c r="F115" s="122" t="s">
        <v>7035</v>
      </c>
      <c r="G115" s="121" t="s">
        <v>7036</v>
      </c>
      <c r="H115" s="121" t="s">
        <v>7037</v>
      </c>
      <c r="I115" s="121" t="s">
        <v>7017</v>
      </c>
      <c r="J115" s="121" t="s">
        <v>7038</v>
      </c>
      <c r="K115" s="90"/>
      <c r="L115" s="58"/>
      <c r="M115" s="58"/>
      <c r="N115" s="58"/>
      <c r="O115" s="58"/>
      <c r="P115" s="58"/>
      <c r="Q115" s="58"/>
      <c r="R115" s="58"/>
      <c r="S115" s="58"/>
      <c r="T115" s="58"/>
      <c r="U115" s="58"/>
      <c r="V115" s="58"/>
      <c r="W115" s="58"/>
      <c r="X115" s="58"/>
      <c r="Y115" s="58"/>
      <c r="Z115" s="58"/>
    </row>
    <row r="116" ht="25.5" spans="1:26">
      <c r="A116" s="78" t="s">
        <v>1199</v>
      </c>
      <c r="B116" s="79" t="s">
        <v>139</v>
      </c>
      <c r="C116" s="79" t="s">
        <v>1200</v>
      </c>
      <c r="D116" s="79" t="s">
        <v>4073</v>
      </c>
      <c r="E116" s="80" t="s">
        <v>204</v>
      </c>
      <c r="F116" s="122" t="s">
        <v>7039</v>
      </c>
      <c r="G116" s="121" t="s">
        <v>7040</v>
      </c>
      <c r="H116" s="121" t="s">
        <v>7041</v>
      </c>
      <c r="I116" s="121" t="s">
        <v>7042</v>
      </c>
      <c r="J116" s="121" t="s">
        <v>7043</v>
      </c>
      <c r="K116" s="90"/>
      <c r="L116" s="58"/>
      <c r="M116" s="58"/>
      <c r="N116" s="58"/>
      <c r="O116" s="58"/>
      <c r="P116" s="58"/>
      <c r="Q116" s="58"/>
      <c r="R116" s="58"/>
      <c r="S116" s="58"/>
      <c r="T116" s="58"/>
      <c r="U116" s="58"/>
      <c r="V116" s="58"/>
      <c r="W116" s="58"/>
      <c r="X116" s="58"/>
      <c r="Y116" s="58"/>
      <c r="Z116" s="58"/>
    </row>
    <row r="117" ht="25.5" spans="1:26">
      <c r="A117" s="78" t="s">
        <v>1331</v>
      </c>
      <c r="B117" s="79" t="s">
        <v>132</v>
      </c>
      <c r="C117" s="79" t="s">
        <v>1332</v>
      </c>
      <c r="D117" s="79">
        <v>61.15</v>
      </c>
      <c r="E117" s="80" t="s">
        <v>134</v>
      </c>
      <c r="F117" s="122" t="s">
        <v>6881</v>
      </c>
      <c r="G117" s="121" t="s">
        <v>7044</v>
      </c>
      <c r="H117" s="121" t="s">
        <v>7045</v>
      </c>
      <c r="I117" s="121" t="s">
        <v>7042</v>
      </c>
      <c r="J117" s="121" t="s">
        <v>7046</v>
      </c>
      <c r="K117" s="90"/>
      <c r="L117" s="58"/>
      <c r="M117" s="58"/>
      <c r="N117" s="58"/>
      <c r="O117" s="58"/>
      <c r="P117" s="58"/>
      <c r="Q117" s="58"/>
      <c r="R117" s="58"/>
      <c r="S117" s="58"/>
      <c r="T117" s="58"/>
      <c r="U117" s="58"/>
      <c r="V117" s="58"/>
      <c r="W117" s="58"/>
      <c r="X117" s="58"/>
      <c r="Y117" s="58"/>
      <c r="Z117" s="58"/>
    </row>
    <row r="118" ht="25.5" spans="1:26">
      <c r="A118" s="78" t="s">
        <v>1157</v>
      </c>
      <c r="B118" s="79" t="s">
        <v>132</v>
      </c>
      <c r="C118" s="79" t="s">
        <v>1158</v>
      </c>
      <c r="D118" s="79">
        <v>61</v>
      </c>
      <c r="E118" s="80" t="s">
        <v>204</v>
      </c>
      <c r="F118" s="122" t="s">
        <v>7047</v>
      </c>
      <c r="G118" s="121" t="s">
        <v>7048</v>
      </c>
      <c r="H118" s="121" t="s">
        <v>7049</v>
      </c>
      <c r="I118" s="121" t="s">
        <v>7042</v>
      </c>
      <c r="J118" s="121" t="s">
        <v>7050</v>
      </c>
      <c r="K118" s="90"/>
      <c r="L118" s="58"/>
      <c r="M118" s="58"/>
      <c r="N118" s="58"/>
      <c r="O118" s="58"/>
      <c r="P118" s="58"/>
      <c r="Q118" s="58"/>
      <c r="R118" s="58"/>
      <c r="S118" s="58"/>
      <c r="T118" s="58"/>
      <c r="U118" s="58"/>
      <c r="V118" s="58"/>
      <c r="W118" s="58"/>
      <c r="X118" s="58"/>
      <c r="Y118" s="58"/>
      <c r="Z118" s="58"/>
    </row>
    <row r="119" ht="25.5" spans="1:26">
      <c r="A119" s="78" t="s">
        <v>1319</v>
      </c>
      <c r="B119" s="79" t="s">
        <v>132</v>
      </c>
      <c r="C119" s="79" t="s">
        <v>1320</v>
      </c>
      <c r="D119" s="79">
        <v>70</v>
      </c>
      <c r="E119" s="80" t="s">
        <v>134</v>
      </c>
      <c r="F119" s="122" t="s">
        <v>6910</v>
      </c>
      <c r="G119" s="121" t="s">
        <v>7051</v>
      </c>
      <c r="H119" s="121" t="s">
        <v>7052</v>
      </c>
      <c r="I119" s="121" t="s">
        <v>7042</v>
      </c>
      <c r="J119" s="121" t="s">
        <v>7053</v>
      </c>
      <c r="K119" s="90"/>
      <c r="L119" s="58"/>
      <c r="M119" s="58"/>
      <c r="N119" s="58"/>
      <c r="O119" s="58"/>
      <c r="P119" s="58"/>
      <c r="Q119" s="58"/>
      <c r="R119" s="58"/>
      <c r="S119" s="58"/>
      <c r="T119" s="58"/>
      <c r="U119" s="58"/>
      <c r="V119" s="58"/>
      <c r="W119" s="58"/>
      <c r="X119" s="58"/>
      <c r="Y119" s="58"/>
      <c r="Z119" s="58"/>
    </row>
    <row r="120" spans="1:26">
      <c r="A120" s="78" t="s">
        <v>2674</v>
      </c>
      <c r="B120" s="79" t="s">
        <v>149</v>
      </c>
      <c r="C120" s="79" t="s">
        <v>2675</v>
      </c>
      <c r="D120" s="79" t="s">
        <v>5103</v>
      </c>
      <c r="E120" s="80" t="s">
        <v>204</v>
      </c>
      <c r="F120" s="122" t="s">
        <v>7054</v>
      </c>
      <c r="G120" s="121" t="s">
        <v>7055</v>
      </c>
      <c r="H120" s="121" t="s">
        <v>7056</v>
      </c>
      <c r="I120" s="121" t="s">
        <v>7042</v>
      </c>
      <c r="J120" s="121" t="s">
        <v>6962</v>
      </c>
      <c r="K120" s="90"/>
      <c r="L120" s="58"/>
      <c r="M120" s="58"/>
      <c r="N120" s="58"/>
      <c r="O120" s="58"/>
      <c r="P120" s="58"/>
      <c r="Q120" s="58"/>
      <c r="R120" s="58"/>
      <c r="S120" s="58"/>
      <c r="T120" s="58"/>
      <c r="U120" s="58"/>
      <c r="V120" s="58"/>
      <c r="W120" s="58"/>
      <c r="X120" s="58"/>
      <c r="Y120" s="58"/>
      <c r="Z120" s="58"/>
    </row>
    <row r="121" ht="25.5" spans="1:26">
      <c r="A121" s="78" t="s">
        <v>533</v>
      </c>
      <c r="B121" s="79" t="s">
        <v>139</v>
      </c>
      <c r="C121" s="79" t="s">
        <v>534</v>
      </c>
      <c r="D121" s="79" t="s">
        <v>3427</v>
      </c>
      <c r="E121" s="80" t="s">
        <v>393</v>
      </c>
      <c r="F121" s="122" t="s">
        <v>7057</v>
      </c>
      <c r="G121" s="121" t="s">
        <v>7058</v>
      </c>
      <c r="H121" s="121" t="s">
        <v>7059</v>
      </c>
      <c r="I121" s="121" t="s">
        <v>7042</v>
      </c>
      <c r="J121" s="121" t="s">
        <v>7060</v>
      </c>
      <c r="K121" s="90"/>
      <c r="L121" s="58"/>
      <c r="M121" s="58"/>
      <c r="N121" s="58"/>
      <c r="O121" s="58"/>
      <c r="P121" s="58"/>
      <c r="Q121" s="58"/>
      <c r="R121" s="58"/>
      <c r="S121" s="58"/>
      <c r="T121" s="58"/>
      <c r="U121" s="58"/>
      <c r="V121" s="58"/>
      <c r="W121" s="58"/>
      <c r="X121" s="58"/>
      <c r="Y121" s="58"/>
      <c r="Z121" s="58"/>
    </row>
    <row r="122" ht="25.5" spans="1:26">
      <c r="A122" s="78" t="s">
        <v>577</v>
      </c>
      <c r="B122" s="79" t="s">
        <v>139</v>
      </c>
      <c r="C122" s="79" t="s">
        <v>578</v>
      </c>
      <c r="D122" s="79" t="s">
        <v>3062</v>
      </c>
      <c r="E122" s="80" t="s">
        <v>141</v>
      </c>
      <c r="F122" s="122" t="s">
        <v>7061</v>
      </c>
      <c r="G122" s="121" t="s">
        <v>7062</v>
      </c>
      <c r="H122" s="121" t="s">
        <v>7063</v>
      </c>
      <c r="I122" s="121" t="s">
        <v>7064</v>
      </c>
      <c r="J122" s="121" t="s">
        <v>7065</v>
      </c>
      <c r="K122" s="90"/>
      <c r="L122" s="58"/>
      <c r="M122" s="58"/>
      <c r="N122" s="58"/>
      <c r="O122" s="58"/>
      <c r="P122" s="58"/>
      <c r="Q122" s="58"/>
      <c r="R122" s="58"/>
      <c r="S122" s="58"/>
      <c r="T122" s="58"/>
      <c r="U122" s="58"/>
      <c r="V122" s="58"/>
      <c r="W122" s="58"/>
      <c r="X122" s="58"/>
      <c r="Y122" s="58"/>
      <c r="Z122" s="58"/>
    </row>
    <row r="123" ht="25.5" spans="1:26">
      <c r="A123" s="78" t="s">
        <v>1620</v>
      </c>
      <c r="B123" s="79" t="s">
        <v>132</v>
      </c>
      <c r="C123" s="79" t="s">
        <v>1621</v>
      </c>
      <c r="D123" s="79">
        <v>63</v>
      </c>
      <c r="E123" s="80" t="s">
        <v>134</v>
      </c>
      <c r="F123" s="122" t="s">
        <v>7066</v>
      </c>
      <c r="G123" s="121" t="s">
        <v>6657</v>
      </c>
      <c r="H123" s="121" t="s">
        <v>7067</v>
      </c>
      <c r="I123" s="121" t="s">
        <v>7064</v>
      </c>
      <c r="J123" s="121" t="s">
        <v>7068</v>
      </c>
      <c r="K123" s="90"/>
      <c r="L123" s="58"/>
      <c r="M123" s="58"/>
      <c r="N123" s="58"/>
      <c r="O123" s="58"/>
      <c r="P123" s="58"/>
      <c r="Q123" s="58"/>
      <c r="R123" s="58"/>
      <c r="S123" s="58"/>
      <c r="T123" s="58"/>
      <c r="U123" s="58"/>
      <c r="V123" s="58"/>
      <c r="W123" s="58"/>
      <c r="X123" s="58"/>
      <c r="Y123" s="58"/>
      <c r="Z123" s="58"/>
    </row>
    <row r="124" ht="25.5" spans="1:26">
      <c r="A124" s="78" t="s">
        <v>455</v>
      </c>
      <c r="B124" s="79" t="s">
        <v>139</v>
      </c>
      <c r="C124" s="79" t="s">
        <v>456</v>
      </c>
      <c r="D124" s="79" t="s">
        <v>3317</v>
      </c>
      <c r="E124" s="80" t="s">
        <v>393</v>
      </c>
      <c r="F124" s="122" t="s">
        <v>7069</v>
      </c>
      <c r="G124" s="121" t="s">
        <v>7070</v>
      </c>
      <c r="H124" s="121" t="s">
        <v>7071</v>
      </c>
      <c r="I124" s="121" t="s">
        <v>7064</v>
      </c>
      <c r="J124" s="121" t="s">
        <v>7072</v>
      </c>
      <c r="K124" s="90"/>
      <c r="L124" s="58"/>
      <c r="M124" s="58"/>
      <c r="N124" s="58"/>
      <c r="O124" s="58"/>
      <c r="P124" s="58"/>
      <c r="Q124" s="58"/>
      <c r="R124" s="58"/>
      <c r="S124" s="58"/>
      <c r="T124" s="58"/>
      <c r="U124" s="58"/>
      <c r="V124" s="58"/>
      <c r="W124" s="58"/>
      <c r="X124" s="58"/>
      <c r="Y124" s="58"/>
      <c r="Z124" s="58"/>
    </row>
    <row r="125" ht="25.5" spans="1:26">
      <c r="A125" s="78" t="s">
        <v>1343</v>
      </c>
      <c r="B125" s="79" t="s">
        <v>132</v>
      </c>
      <c r="C125" s="79" t="s">
        <v>1344</v>
      </c>
      <c r="D125" s="79" t="s">
        <v>4227</v>
      </c>
      <c r="E125" s="80" t="s">
        <v>134</v>
      </c>
      <c r="F125" s="122" t="s">
        <v>7073</v>
      </c>
      <c r="G125" s="121" t="s">
        <v>7074</v>
      </c>
      <c r="H125" s="121" t="s">
        <v>7075</v>
      </c>
      <c r="I125" s="121" t="s">
        <v>7064</v>
      </c>
      <c r="J125" s="121" t="s">
        <v>7076</v>
      </c>
      <c r="K125" s="90"/>
      <c r="L125" s="58"/>
      <c r="M125" s="58"/>
      <c r="N125" s="58"/>
      <c r="O125" s="58"/>
      <c r="P125" s="58"/>
      <c r="Q125" s="58"/>
      <c r="R125" s="58"/>
      <c r="S125" s="58"/>
      <c r="T125" s="58"/>
      <c r="U125" s="58"/>
      <c r="V125" s="58"/>
      <c r="W125" s="58"/>
      <c r="X125" s="58"/>
      <c r="Y125" s="58"/>
      <c r="Z125" s="58"/>
    </row>
    <row r="126" ht="51" spans="1:26">
      <c r="A126" s="78" t="s">
        <v>2173</v>
      </c>
      <c r="B126" s="79" t="s">
        <v>132</v>
      </c>
      <c r="C126" s="79" t="s">
        <v>2174</v>
      </c>
      <c r="D126" s="79">
        <v>61.14</v>
      </c>
      <c r="E126" s="80" t="s">
        <v>134</v>
      </c>
      <c r="F126" s="122" t="s">
        <v>6603</v>
      </c>
      <c r="G126" s="121" t="s">
        <v>7077</v>
      </c>
      <c r="H126" s="121" t="s">
        <v>7077</v>
      </c>
      <c r="I126" s="121" t="s">
        <v>7064</v>
      </c>
      <c r="J126" s="121" t="s">
        <v>7078</v>
      </c>
      <c r="K126" s="90"/>
      <c r="L126" s="58"/>
      <c r="M126" s="58"/>
      <c r="N126" s="58"/>
      <c r="O126" s="58"/>
      <c r="P126" s="58"/>
      <c r="Q126" s="58"/>
      <c r="R126" s="58"/>
      <c r="S126" s="58"/>
      <c r="T126" s="58"/>
      <c r="U126" s="58"/>
      <c r="V126" s="58"/>
      <c r="W126" s="58"/>
      <c r="X126" s="58"/>
      <c r="Y126" s="58"/>
      <c r="Z126" s="58"/>
    </row>
    <row r="127" ht="38.25" spans="1:26">
      <c r="A127" s="78" t="s">
        <v>2794</v>
      </c>
      <c r="B127" s="79" t="s">
        <v>77</v>
      </c>
      <c r="C127" s="79" t="s">
        <v>2795</v>
      </c>
      <c r="D127" s="79">
        <v>4</v>
      </c>
      <c r="E127" s="80" t="s">
        <v>134</v>
      </c>
      <c r="F127" s="122" t="s">
        <v>7079</v>
      </c>
      <c r="G127" s="121" t="s">
        <v>7080</v>
      </c>
      <c r="H127" s="121" t="s">
        <v>7081</v>
      </c>
      <c r="I127" s="121" t="s">
        <v>7082</v>
      </c>
      <c r="J127" s="121" t="s">
        <v>7083</v>
      </c>
      <c r="K127" s="90"/>
      <c r="L127" s="58"/>
      <c r="M127" s="58"/>
      <c r="N127" s="58"/>
      <c r="O127" s="58"/>
      <c r="P127" s="58"/>
      <c r="Q127" s="58"/>
      <c r="R127" s="58"/>
      <c r="S127" s="58"/>
      <c r="T127" s="58"/>
      <c r="U127" s="58"/>
      <c r="V127" s="58"/>
      <c r="W127" s="58"/>
      <c r="X127" s="58"/>
      <c r="Y127" s="58"/>
      <c r="Z127" s="58"/>
    </row>
    <row r="128" ht="25.5" spans="1:26">
      <c r="A128" s="78" t="s">
        <v>1187</v>
      </c>
      <c r="B128" s="79" t="s">
        <v>139</v>
      </c>
      <c r="C128" s="79" t="s">
        <v>1188</v>
      </c>
      <c r="D128" s="79" t="s">
        <v>4073</v>
      </c>
      <c r="E128" s="80" t="s">
        <v>204</v>
      </c>
      <c r="F128" s="122" t="s">
        <v>7084</v>
      </c>
      <c r="G128" s="121" t="s">
        <v>7085</v>
      </c>
      <c r="H128" s="121" t="s">
        <v>7086</v>
      </c>
      <c r="I128" s="121" t="s">
        <v>7082</v>
      </c>
      <c r="J128" s="121" t="s">
        <v>7087</v>
      </c>
      <c r="K128" s="90"/>
      <c r="L128" s="58"/>
      <c r="M128" s="58"/>
      <c r="N128" s="58"/>
      <c r="O128" s="58"/>
      <c r="P128" s="58"/>
      <c r="Q128" s="58"/>
      <c r="R128" s="58"/>
      <c r="S128" s="58"/>
      <c r="T128" s="58"/>
      <c r="U128" s="58"/>
      <c r="V128" s="58"/>
      <c r="W128" s="58"/>
      <c r="X128" s="58"/>
      <c r="Y128" s="58"/>
      <c r="Z128" s="58"/>
    </row>
    <row r="129" ht="38.25" spans="1:26">
      <c r="A129" s="78" t="s">
        <v>1596</v>
      </c>
      <c r="B129" s="79" t="s">
        <v>77</v>
      </c>
      <c r="C129" s="79" t="s">
        <v>1597</v>
      </c>
      <c r="D129" s="79">
        <v>18</v>
      </c>
      <c r="E129" s="80" t="s">
        <v>134</v>
      </c>
      <c r="F129" s="122" t="s">
        <v>7088</v>
      </c>
      <c r="G129" s="121" t="s">
        <v>7089</v>
      </c>
      <c r="H129" s="121" t="s">
        <v>7090</v>
      </c>
      <c r="I129" s="121" t="s">
        <v>7082</v>
      </c>
      <c r="J129" s="121" t="s">
        <v>7091</v>
      </c>
      <c r="K129" s="90"/>
      <c r="L129" s="58"/>
      <c r="M129" s="58"/>
      <c r="N129" s="58"/>
      <c r="O129" s="58"/>
      <c r="P129" s="58"/>
      <c r="Q129" s="58"/>
      <c r="R129" s="58"/>
      <c r="S129" s="58"/>
      <c r="T129" s="58"/>
      <c r="U129" s="58"/>
      <c r="V129" s="58"/>
      <c r="W129" s="58"/>
      <c r="X129" s="58"/>
      <c r="Y129" s="58"/>
      <c r="Z129" s="58"/>
    </row>
    <row r="130" ht="25.5" spans="1:26">
      <c r="A130" s="78" t="s">
        <v>1071</v>
      </c>
      <c r="B130" s="79" t="s">
        <v>77</v>
      </c>
      <c r="C130" s="79" t="s">
        <v>1072</v>
      </c>
      <c r="D130" s="79">
        <v>15</v>
      </c>
      <c r="E130" s="80" t="s">
        <v>204</v>
      </c>
      <c r="F130" s="122" t="s">
        <v>7092</v>
      </c>
      <c r="G130" s="121" t="s">
        <v>7093</v>
      </c>
      <c r="H130" s="121" t="s">
        <v>7094</v>
      </c>
      <c r="I130" s="121" t="s">
        <v>7095</v>
      </c>
      <c r="J130" s="121" t="s">
        <v>7096</v>
      </c>
      <c r="K130" s="90"/>
      <c r="L130" s="58"/>
      <c r="M130" s="58"/>
      <c r="N130" s="58"/>
      <c r="O130" s="58"/>
      <c r="P130" s="58"/>
      <c r="Q130" s="58"/>
      <c r="R130" s="58"/>
      <c r="S130" s="58"/>
      <c r="T130" s="58"/>
      <c r="U130" s="58"/>
      <c r="V130" s="58"/>
      <c r="W130" s="58"/>
      <c r="X130" s="58"/>
      <c r="Y130" s="58"/>
      <c r="Z130" s="58"/>
    </row>
    <row r="131" ht="25.5" spans="1:26">
      <c r="A131" s="78" t="s">
        <v>1927</v>
      </c>
      <c r="B131" s="79" t="s">
        <v>132</v>
      </c>
      <c r="C131" s="79" t="s">
        <v>1928</v>
      </c>
      <c r="D131" s="79" t="s">
        <v>4629</v>
      </c>
      <c r="E131" s="80" t="s">
        <v>204</v>
      </c>
      <c r="F131" s="122" t="s">
        <v>7097</v>
      </c>
      <c r="G131" s="121" t="s">
        <v>7098</v>
      </c>
      <c r="H131" s="121" t="s">
        <v>7099</v>
      </c>
      <c r="I131" s="121" t="s">
        <v>7095</v>
      </c>
      <c r="J131" s="121" t="s">
        <v>7100</v>
      </c>
      <c r="K131" s="90"/>
      <c r="L131" s="58"/>
      <c r="M131" s="58"/>
      <c r="N131" s="58"/>
      <c r="O131" s="58"/>
      <c r="P131" s="58"/>
      <c r="Q131" s="58"/>
      <c r="R131" s="58"/>
      <c r="S131" s="58"/>
      <c r="T131" s="58"/>
      <c r="U131" s="58"/>
      <c r="V131" s="58"/>
      <c r="W131" s="58"/>
      <c r="X131" s="58"/>
      <c r="Y131" s="58"/>
      <c r="Z131" s="58"/>
    </row>
    <row r="132" ht="25.5" spans="1:26">
      <c r="A132" s="78" t="s">
        <v>1325</v>
      </c>
      <c r="B132" s="79" t="s">
        <v>132</v>
      </c>
      <c r="C132" s="79" t="s">
        <v>1326</v>
      </c>
      <c r="D132" s="79">
        <v>61.15</v>
      </c>
      <c r="E132" s="80" t="s">
        <v>134</v>
      </c>
      <c r="F132" s="122" t="s">
        <v>7101</v>
      </c>
      <c r="G132" s="121" t="s">
        <v>7102</v>
      </c>
      <c r="H132" s="121" t="s">
        <v>7103</v>
      </c>
      <c r="I132" s="121" t="s">
        <v>7095</v>
      </c>
      <c r="J132" s="121" t="s">
        <v>7104</v>
      </c>
      <c r="K132" s="90"/>
      <c r="L132" s="58"/>
      <c r="M132" s="58"/>
      <c r="N132" s="58"/>
      <c r="O132" s="58"/>
      <c r="P132" s="58"/>
      <c r="Q132" s="58"/>
      <c r="R132" s="58"/>
      <c r="S132" s="58"/>
      <c r="T132" s="58"/>
      <c r="U132" s="58"/>
      <c r="V132" s="58"/>
      <c r="W132" s="58"/>
      <c r="X132" s="58"/>
      <c r="Y132" s="58"/>
      <c r="Z132" s="58"/>
    </row>
    <row r="133" spans="1:26">
      <c r="A133" s="78" t="s">
        <v>2695</v>
      </c>
      <c r="B133" s="79" t="s">
        <v>139</v>
      </c>
      <c r="C133" s="79" t="s">
        <v>2696</v>
      </c>
      <c r="D133" s="79" t="s">
        <v>3013</v>
      </c>
      <c r="E133" s="80" t="s">
        <v>204</v>
      </c>
      <c r="F133" s="122" t="s">
        <v>7105</v>
      </c>
      <c r="G133" s="121" t="s">
        <v>7106</v>
      </c>
      <c r="H133" s="121" t="s">
        <v>7107</v>
      </c>
      <c r="I133" s="121" t="s">
        <v>7095</v>
      </c>
      <c r="J133" s="121" t="s">
        <v>7108</v>
      </c>
      <c r="K133" s="90"/>
      <c r="L133" s="58"/>
      <c r="M133" s="58"/>
      <c r="N133" s="58"/>
      <c r="O133" s="58"/>
      <c r="P133" s="58"/>
      <c r="Q133" s="58"/>
      <c r="R133" s="58"/>
      <c r="S133" s="58"/>
      <c r="T133" s="58"/>
      <c r="U133" s="58"/>
      <c r="V133" s="58"/>
      <c r="W133" s="58"/>
      <c r="X133" s="58"/>
      <c r="Y133" s="58"/>
      <c r="Z133" s="58"/>
    </row>
    <row r="134" ht="25.5" spans="1:26">
      <c r="A134" s="78" t="s">
        <v>2506</v>
      </c>
      <c r="B134" s="79" t="s">
        <v>139</v>
      </c>
      <c r="C134" s="79" t="s">
        <v>2507</v>
      </c>
      <c r="D134" s="79" t="s">
        <v>4954</v>
      </c>
      <c r="E134" s="80" t="s">
        <v>134</v>
      </c>
      <c r="F134" s="122" t="s">
        <v>6918</v>
      </c>
      <c r="G134" s="121" t="s">
        <v>7109</v>
      </c>
      <c r="H134" s="121" t="s">
        <v>7110</v>
      </c>
      <c r="I134" s="121" t="s">
        <v>7095</v>
      </c>
      <c r="J134" s="121" t="s">
        <v>7111</v>
      </c>
      <c r="K134" s="90"/>
      <c r="L134" s="58"/>
      <c r="M134" s="58"/>
      <c r="N134" s="58"/>
      <c r="O134" s="58"/>
      <c r="P134" s="58"/>
      <c r="Q134" s="58"/>
      <c r="R134" s="58"/>
      <c r="S134" s="58"/>
      <c r="T134" s="58"/>
      <c r="U134" s="58"/>
      <c r="V134" s="58"/>
      <c r="W134" s="58"/>
      <c r="X134" s="58"/>
      <c r="Y134" s="58"/>
      <c r="Z134" s="58"/>
    </row>
    <row r="135" ht="25.5" spans="1:26">
      <c r="A135" s="78" t="s">
        <v>1912</v>
      </c>
      <c r="B135" s="79" t="s">
        <v>132</v>
      </c>
      <c r="C135" s="79" t="s">
        <v>1913</v>
      </c>
      <c r="D135" s="79" t="s">
        <v>4629</v>
      </c>
      <c r="E135" s="80" t="s">
        <v>204</v>
      </c>
      <c r="F135" s="122" t="s">
        <v>7112</v>
      </c>
      <c r="G135" s="121" t="s">
        <v>7113</v>
      </c>
      <c r="H135" s="121" t="s">
        <v>7114</v>
      </c>
      <c r="I135" s="121" t="s">
        <v>7095</v>
      </c>
      <c r="J135" s="121" t="s">
        <v>7115</v>
      </c>
      <c r="K135" s="90"/>
      <c r="L135" s="58"/>
      <c r="M135" s="58"/>
      <c r="N135" s="58"/>
      <c r="O135" s="58"/>
      <c r="P135" s="58"/>
      <c r="Q135" s="58"/>
      <c r="R135" s="58"/>
      <c r="S135" s="58"/>
      <c r="T135" s="58"/>
      <c r="U135" s="58"/>
      <c r="V135" s="58"/>
      <c r="W135" s="58"/>
      <c r="X135" s="58"/>
      <c r="Y135" s="58"/>
      <c r="Z135" s="58"/>
    </row>
    <row r="136" ht="38.25" spans="1:26">
      <c r="A136" s="78" t="s">
        <v>1815</v>
      </c>
      <c r="B136" s="79" t="s">
        <v>77</v>
      </c>
      <c r="C136" s="79" t="s">
        <v>1816</v>
      </c>
      <c r="D136" s="79">
        <v>15</v>
      </c>
      <c r="E136" s="80" t="s">
        <v>204</v>
      </c>
      <c r="F136" s="122" t="s">
        <v>7116</v>
      </c>
      <c r="G136" s="121" t="s">
        <v>7117</v>
      </c>
      <c r="H136" s="121" t="s">
        <v>7118</v>
      </c>
      <c r="I136" s="121" t="s">
        <v>7095</v>
      </c>
      <c r="J136" s="121" t="s">
        <v>7119</v>
      </c>
      <c r="K136" s="90"/>
      <c r="L136" s="58"/>
      <c r="M136" s="58"/>
      <c r="N136" s="58"/>
      <c r="O136" s="58"/>
      <c r="P136" s="58"/>
      <c r="Q136" s="58"/>
      <c r="R136" s="58"/>
      <c r="S136" s="58"/>
      <c r="T136" s="58"/>
      <c r="U136" s="58"/>
      <c r="V136" s="58"/>
      <c r="W136" s="58"/>
      <c r="X136" s="58"/>
      <c r="Y136" s="58"/>
      <c r="Z136" s="58"/>
    </row>
    <row r="137" spans="1:26">
      <c r="A137" s="78" t="s">
        <v>2724</v>
      </c>
      <c r="B137" s="79" t="s">
        <v>139</v>
      </c>
      <c r="C137" s="79" t="s">
        <v>2725</v>
      </c>
      <c r="D137" s="79" t="s">
        <v>3079</v>
      </c>
      <c r="E137" s="80" t="s">
        <v>141</v>
      </c>
      <c r="F137" s="122" t="s">
        <v>6735</v>
      </c>
      <c r="G137" s="121" t="s">
        <v>7120</v>
      </c>
      <c r="H137" s="121" t="s">
        <v>7121</v>
      </c>
      <c r="I137" s="121" t="s">
        <v>7122</v>
      </c>
      <c r="J137" s="121" t="s">
        <v>7123</v>
      </c>
      <c r="K137" s="90"/>
      <c r="L137" s="58"/>
      <c r="M137" s="58"/>
      <c r="N137" s="58"/>
      <c r="O137" s="58"/>
      <c r="P137" s="58"/>
      <c r="Q137" s="58"/>
      <c r="R137" s="58"/>
      <c r="S137" s="58"/>
      <c r="T137" s="58"/>
      <c r="U137" s="58"/>
      <c r="V137" s="58"/>
      <c r="W137" s="58"/>
      <c r="X137" s="58"/>
      <c r="Y137" s="58"/>
      <c r="Z137" s="58"/>
    </row>
    <row r="138" ht="38.25" spans="1:26">
      <c r="A138" s="78" t="s">
        <v>1122</v>
      </c>
      <c r="B138" s="79" t="s">
        <v>132</v>
      </c>
      <c r="C138" s="79" t="s">
        <v>1123</v>
      </c>
      <c r="D138" s="79" t="s">
        <v>3177</v>
      </c>
      <c r="E138" s="80" t="s">
        <v>134</v>
      </c>
      <c r="F138" s="122" t="s">
        <v>7124</v>
      </c>
      <c r="G138" s="121" t="s">
        <v>7125</v>
      </c>
      <c r="H138" s="121" t="s">
        <v>7126</v>
      </c>
      <c r="I138" s="121" t="s">
        <v>7122</v>
      </c>
      <c r="J138" s="121" t="s">
        <v>7127</v>
      </c>
      <c r="K138" s="90"/>
      <c r="L138" s="58"/>
      <c r="M138" s="58"/>
      <c r="N138" s="58"/>
      <c r="O138" s="58"/>
      <c r="P138" s="58"/>
      <c r="Q138" s="58"/>
      <c r="R138" s="58"/>
      <c r="S138" s="58"/>
      <c r="T138" s="58"/>
      <c r="U138" s="58"/>
      <c r="V138" s="58"/>
      <c r="W138" s="58"/>
      <c r="X138" s="58"/>
      <c r="Y138" s="58"/>
      <c r="Z138" s="58"/>
    </row>
    <row r="139" ht="38.25" spans="1:26">
      <c r="A139" s="78" t="s">
        <v>640</v>
      </c>
      <c r="B139" s="79" t="s">
        <v>132</v>
      </c>
      <c r="C139" s="79" t="s">
        <v>641</v>
      </c>
      <c r="D139" s="79" t="s">
        <v>3505</v>
      </c>
      <c r="E139" s="80" t="s">
        <v>134</v>
      </c>
      <c r="F139" s="122" t="s">
        <v>7128</v>
      </c>
      <c r="G139" s="121" t="s">
        <v>7129</v>
      </c>
      <c r="H139" s="121" t="s">
        <v>7130</v>
      </c>
      <c r="I139" s="121" t="s">
        <v>7122</v>
      </c>
      <c r="J139" s="121" t="s">
        <v>7131</v>
      </c>
      <c r="K139" s="90"/>
      <c r="L139" s="58"/>
      <c r="M139" s="58"/>
      <c r="N139" s="58"/>
      <c r="O139" s="58"/>
      <c r="P139" s="58"/>
      <c r="Q139" s="58"/>
      <c r="R139" s="58"/>
      <c r="S139" s="58"/>
      <c r="T139" s="58"/>
      <c r="U139" s="58"/>
      <c r="V139" s="58"/>
      <c r="W139" s="58"/>
      <c r="X139" s="58"/>
      <c r="Y139" s="58"/>
      <c r="Z139" s="58"/>
    </row>
    <row r="140" ht="38.25" spans="1:26">
      <c r="A140" s="78" t="s">
        <v>2229</v>
      </c>
      <c r="B140" s="79" t="s">
        <v>132</v>
      </c>
      <c r="C140" s="79" t="s">
        <v>2230</v>
      </c>
      <c r="D140" s="79">
        <v>70</v>
      </c>
      <c r="E140" s="80" t="s">
        <v>134</v>
      </c>
      <c r="F140" s="122" t="s">
        <v>6603</v>
      </c>
      <c r="G140" s="121" t="s">
        <v>7132</v>
      </c>
      <c r="H140" s="121" t="s">
        <v>7132</v>
      </c>
      <c r="I140" s="121" t="s">
        <v>7122</v>
      </c>
      <c r="J140" s="121" t="s">
        <v>7133</v>
      </c>
      <c r="K140" s="90"/>
      <c r="L140" s="58"/>
      <c r="M140" s="58"/>
      <c r="N140" s="58"/>
      <c r="O140" s="58"/>
      <c r="P140" s="58"/>
      <c r="Q140" s="58"/>
      <c r="R140" s="58"/>
      <c r="S140" s="58"/>
      <c r="T140" s="58"/>
      <c r="U140" s="58"/>
      <c r="V140" s="58"/>
      <c r="W140" s="58"/>
      <c r="X140" s="58"/>
      <c r="Y140" s="58"/>
      <c r="Z140" s="58"/>
    </row>
    <row r="141" ht="25.5" spans="1:26">
      <c r="A141" s="99" t="s">
        <v>691</v>
      </c>
      <c r="B141" s="100" t="s">
        <v>132</v>
      </c>
      <c r="C141" s="100" t="s">
        <v>692</v>
      </c>
      <c r="D141" s="100" t="s">
        <v>3505</v>
      </c>
      <c r="E141" s="101" t="s">
        <v>134</v>
      </c>
      <c r="F141" s="123" t="s">
        <v>7134</v>
      </c>
      <c r="G141" s="124" t="s">
        <v>7135</v>
      </c>
      <c r="H141" s="124" t="s">
        <v>7136</v>
      </c>
      <c r="I141" s="124" t="s">
        <v>7122</v>
      </c>
      <c r="J141" s="124" t="s">
        <v>7137</v>
      </c>
      <c r="K141" s="90"/>
      <c r="L141" s="58"/>
      <c r="M141" s="58"/>
      <c r="N141" s="58"/>
      <c r="O141" s="58"/>
      <c r="P141" s="58"/>
      <c r="Q141" s="58"/>
      <c r="R141" s="58"/>
      <c r="S141" s="58"/>
      <c r="T141" s="58"/>
      <c r="U141" s="58"/>
      <c r="V141" s="58"/>
      <c r="W141" s="58"/>
      <c r="X141" s="58"/>
      <c r="Y141" s="58"/>
      <c r="Z141" s="58"/>
    </row>
    <row r="142" ht="38.25" spans="1:26">
      <c r="A142" s="99" t="s">
        <v>1577</v>
      </c>
      <c r="B142" s="100" t="s">
        <v>139</v>
      </c>
      <c r="C142" s="100" t="s">
        <v>1578</v>
      </c>
      <c r="D142" s="100" t="s">
        <v>3150</v>
      </c>
      <c r="E142" s="101" t="s">
        <v>134</v>
      </c>
      <c r="F142" s="123" t="s">
        <v>7138</v>
      </c>
      <c r="G142" s="124" t="s">
        <v>7139</v>
      </c>
      <c r="H142" s="124" t="s">
        <v>7140</v>
      </c>
      <c r="I142" s="124" t="s">
        <v>7122</v>
      </c>
      <c r="J142" s="124" t="s">
        <v>7141</v>
      </c>
      <c r="K142" s="90"/>
      <c r="L142" s="58"/>
      <c r="M142" s="58"/>
      <c r="N142" s="58"/>
      <c r="O142" s="58"/>
      <c r="P142" s="58"/>
      <c r="Q142" s="58"/>
      <c r="R142" s="58"/>
      <c r="S142" s="58"/>
      <c r="T142" s="58"/>
      <c r="U142" s="58"/>
      <c r="V142" s="58"/>
      <c r="W142" s="58"/>
      <c r="X142" s="58"/>
      <c r="Y142" s="58"/>
      <c r="Z142" s="58"/>
    </row>
    <row r="143" ht="25.5" spans="1:26">
      <c r="A143" s="99" t="s">
        <v>498</v>
      </c>
      <c r="B143" s="100" t="s">
        <v>139</v>
      </c>
      <c r="C143" s="100" t="s">
        <v>499</v>
      </c>
      <c r="D143" s="100" t="s">
        <v>3317</v>
      </c>
      <c r="E143" s="101" t="s">
        <v>393</v>
      </c>
      <c r="F143" s="123" t="s">
        <v>7142</v>
      </c>
      <c r="G143" s="124" t="s">
        <v>7143</v>
      </c>
      <c r="H143" s="124" t="s">
        <v>7144</v>
      </c>
      <c r="I143" s="124" t="s">
        <v>7122</v>
      </c>
      <c r="J143" s="124" t="s">
        <v>7145</v>
      </c>
      <c r="K143" s="90"/>
      <c r="L143" s="58"/>
      <c r="M143" s="58"/>
      <c r="N143" s="58"/>
      <c r="O143" s="58"/>
      <c r="P143" s="58"/>
      <c r="Q143" s="58"/>
      <c r="R143" s="58"/>
      <c r="S143" s="58"/>
      <c r="T143" s="58"/>
      <c r="U143" s="58"/>
      <c r="V143" s="58"/>
      <c r="W143" s="58"/>
      <c r="X143" s="58"/>
      <c r="Y143" s="58"/>
      <c r="Z143" s="58"/>
    </row>
    <row r="144" ht="25.5" spans="1:26">
      <c r="A144" s="99" t="s">
        <v>1140</v>
      </c>
      <c r="B144" s="100" t="s">
        <v>149</v>
      </c>
      <c r="C144" s="100" t="s">
        <v>1141</v>
      </c>
      <c r="D144" s="100" t="s">
        <v>3953</v>
      </c>
      <c r="E144" s="101" t="s">
        <v>134</v>
      </c>
      <c r="F144" s="123" t="s">
        <v>7146</v>
      </c>
      <c r="G144" s="124" t="s">
        <v>7147</v>
      </c>
      <c r="H144" s="124" t="s">
        <v>7148</v>
      </c>
      <c r="I144" s="124" t="s">
        <v>7149</v>
      </c>
      <c r="J144" s="124" t="s">
        <v>7150</v>
      </c>
      <c r="K144" s="90"/>
      <c r="L144" s="58"/>
      <c r="M144" s="58"/>
      <c r="N144" s="58"/>
      <c r="O144" s="58"/>
      <c r="P144" s="58"/>
      <c r="Q144" s="58"/>
      <c r="R144" s="58"/>
      <c r="S144" s="58"/>
      <c r="T144" s="58"/>
      <c r="U144" s="58"/>
      <c r="V144" s="58"/>
      <c r="W144" s="58"/>
      <c r="X144" s="58"/>
      <c r="Y144" s="58"/>
      <c r="Z144" s="58"/>
    </row>
    <row r="145" ht="25.5" spans="1:26">
      <c r="A145" s="99" t="s">
        <v>1516</v>
      </c>
      <c r="B145" s="100" t="s">
        <v>139</v>
      </c>
      <c r="C145" s="100" t="s">
        <v>1517</v>
      </c>
      <c r="D145" s="100" t="s">
        <v>3221</v>
      </c>
      <c r="E145" s="101" t="s">
        <v>204</v>
      </c>
      <c r="F145" s="123" t="s">
        <v>7151</v>
      </c>
      <c r="G145" s="124" t="s">
        <v>7152</v>
      </c>
      <c r="H145" s="124" t="s">
        <v>7153</v>
      </c>
      <c r="I145" s="124" t="s">
        <v>7149</v>
      </c>
      <c r="J145" s="124" t="s">
        <v>7154</v>
      </c>
      <c r="K145" s="90"/>
      <c r="L145" s="58"/>
      <c r="M145" s="58"/>
      <c r="N145" s="58"/>
      <c r="O145" s="58"/>
      <c r="P145" s="58"/>
      <c r="Q145" s="58"/>
      <c r="R145" s="58"/>
      <c r="S145" s="58"/>
      <c r="T145" s="58"/>
      <c r="U145" s="58"/>
      <c r="V145" s="58"/>
      <c r="W145" s="58"/>
      <c r="X145" s="58"/>
      <c r="Y145" s="58"/>
      <c r="Z145" s="58"/>
    </row>
    <row r="146" ht="25.5" spans="1:26">
      <c r="A146" s="99" t="s">
        <v>495</v>
      </c>
      <c r="B146" s="100" t="s">
        <v>139</v>
      </c>
      <c r="C146" s="100" t="s">
        <v>496</v>
      </c>
      <c r="D146" s="100" t="s">
        <v>3317</v>
      </c>
      <c r="E146" s="101" t="s">
        <v>393</v>
      </c>
      <c r="F146" s="123" t="s">
        <v>7155</v>
      </c>
      <c r="G146" s="124" t="s">
        <v>7156</v>
      </c>
      <c r="H146" s="124" t="s">
        <v>7157</v>
      </c>
      <c r="I146" s="124" t="s">
        <v>7149</v>
      </c>
      <c r="J146" s="124" t="s">
        <v>7158</v>
      </c>
      <c r="K146" s="90"/>
      <c r="L146" s="58"/>
      <c r="M146" s="58"/>
      <c r="N146" s="58"/>
      <c r="O146" s="58"/>
      <c r="P146" s="58"/>
      <c r="Q146" s="58"/>
      <c r="R146" s="58"/>
      <c r="S146" s="58"/>
      <c r="T146" s="58"/>
      <c r="U146" s="58"/>
      <c r="V146" s="58"/>
      <c r="W146" s="58"/>
      <c r="X146" s="58"/>
      <c r="Y146" s="58"/>
      <c r="Z146" s="58"/>
    </row>
    <row r="147" spans="1:26">
      <c r="A147" s="99" t="s">
        <v>2712</v>
      </c>
      <c r="B147" s="100" t="s">
        <v>139</v>
      </c>
      <c r="C147" s="100" t="s">
        <v>2713</v>
      </c>
      <c r="D147" s="100" t="s">
        <v>5166</v>
      </c>
      <c r="E147" s="101" t="s">
        <v>141</v>
      </c>
      <c r="F147" s="123" t="s">
        <v>7159</v>
      </c>
      <c r="G147" s="124" t="s">
        <v>7160</v>
      </c>
      <c r="H147" s="124" t="s">
        <v>7161</v>
      </c>
      <c r="I147" s="124" t="s">
        <v>7149</v>
      </c>
      <c r="J147" s="124" t="s">
        <v>7162</v>
      </c>
      <c r="K147" s="90"/>
      <c r="L147" s="58"/>
      <c r="M147" s="58"/>
      <c r="N147" s="58"/>
      <c r="O147" s="58"/>
      <c r="P147" s="58"/>
      <c r="Q147" s="58"/>
      <c r="R147" s="58"/>
      <c r="S147" s="58"/>
      <c r="T147" s="58"/>
      <c r="U147" s="58"/>
      <c r="V147" s="58"/>
      <c r="W147" s="58"/>
      <c r="X147" s="58"/>
      <c r="Y147" s="58"/>
      <c r="Z147" s="58"/>
    </row>
    <row r="148" ht="38.25" spans="1:26">
      <c r="A148" s="99" t="s">
        <v>996</v>
      </c>
      <c r="B148" s="100" t="s">
        <v>132</v>
      </c>
      <c r="C148" s="100" t="s">
        <v>997</v>
      </c>
      <c r="D148" s="100">
        <v>15</v>
      </c>
      <c r="E148" s="101" t="s">
        <v>204</v>
      </c>
      <c r="F148" s="123" t="s">
        <v>7163</v>
      </c>
      <c r="G148" s="124" t="s">
        <v>7164</v>
      </c>
      <c r="H148" s="124" t="s">
        <v>7165</v>
      </c>
      <c r="I148" s="124" t="s">
        <v>7149</v>
      </c>
      <c r="J148" s="124" t="s">
        <v>7166</v>
      </c>
      <c r="K148" s="90"/>
      <c r="L148" s="58"/>
      <c r="M148" s="58"/>
      <c r="N148" s="58"/>
      <c r="O148" s="58"/>
      <c r="P148" s="58"/>
      <c r="Q148" s="58"/>
      <c r="R148" s="58"/>
      <c r="S148" s="58"/>
      <c r="T148" s="58"/>
      <c r="U148" s="58"/>
      <c r="V148" s="58"/>
      <c r="W148" s="58"/>
      <c r="X148" s="58"/>
      <c r="Y148" s="58"/>
      <c r="Z148" s="58"/>
    </row>
    <row r="149" ht="38.25" spans="1:26">
      <c r="A149" s="99" t="s">
        <v>661</v>
      </c>
      <c r="B149" s="100" t="s">
        <v>132</v>
      </c>
      <c r="C149" s="100" t="s">
        <v>662</v>
      </c>
      <c r="D149" s="100" t="s">
        <v>3505</v>
      </c>
      <c r="E149" s="101" t="s">
        <v>134</v>
      </c>
      <c r="F149" s="123" t="s">
        <v>6653</v>
      </c>
      <c r="G149" s="124" t="s">
        <v>7167</v>
      </c>
      <c r="H149" s="124" t="s">
        <v>7168</v>
      </c>
      <c r="I149" s="124" t="s">
        <v>7149</v>
      </c>
      <c r="J149" s="124" t="s">
        <v>7169</v>
      </c>
      <c r="K149" s="90"/>
      <c r="L149" s="58"/>
      <c r="M149" s="58"/>
      <c r="N149" s="58"/>
      <c r="O149" s="58"/>
      <c r="P149" s="58"/>
      <c r="Q149" s="58"/>
      <c r="R149" s="58"/>
      <c r="S149" s="58"/>
      <c r="T149" s="58"/>
      <c r="U149" s="58"/>
      <c r="V149" s="58"/>
      <c r="W149" s="58"/>
      <c r="X149" s="58"/>
      <c r="Y149" s="58"/>
      <c r="Z149" s="58"/>
    </row>
    <row r="150" ht="25.5" spans="1:26">
      <c r="A150" s="99" t="s">
        <v>980</v>
      </c>
      <c r="B150" s="100" t="s">
        <v>139</v>
      </c>
      <c r="C150" s="100" t="s">
        <v>981</v>
      </c>
      <c r="D150" s="100" t="s">
        <v>3905</v>
      </c>
      <c r="E150" s="101" t="s">
        <v>134</v>
      </c>
      <c r="F150" s="123" t="s">
        <v>6725</v>
      </c>
      <c r="G150" s="124" t="s">
        <v>7170</v>
      </c>
      <c r="H150" s="124" t="s">
        <v>7171</v>
      </c>
      <c r="I150" s="124" t="s">
        <v>7149</v>
      </c>
      <c r="J150" s="124" t="s">
        <v>7172</v>
      </c>
      <c r="K150" s="90"/>
      <c r="L150" s="58"/>
      <c r="M150" s="58"/>
      <c r="N150" s="58"/>
      <c r="O150" s="58"/>
      <c r="P150" s="58"/>
      <c r="Q150" s="58"/>
      <c r="R150" s="58"/>
      <c r="S150" s="58"/>
      <c r="T150" s="58"/>
      <c r="U150" s="58"/>
      <c r="V150" s="58"/>
      <c r="W150" s="58"/>
      <c r="X150" s="58"/>
      <c r="Y150" s="58"/>
      <c r="Z150" s="58"/>
    </row>
    <row r="151" ht="25.5" spans="1:26">
      <c r="A151" s="99" t="s">
        <v>1590</v>
      </c>
      <c r="B151" s="100" t="s">
        <v>149</v>
      </c>
      <c r="C151" s="100" t="s">
        <v>1591</v>
      </c>
      <c r="D151" s="100" t="s">
        <v>4391</v>
      </c>
      <c r="E151" s="101" t="s">
        <v>134</v>
      </c>
      <c r="F151" s="123" t="s">
        <v>7173</v>
      </c>
      <c r="G151" s="124" t="s">
        <v>7174</v>
      </c>
      <c r="H151" s="124" t="s">
        <v>7175</v>
      </c>
      <c r="I151" s="124" t="s">
        <v>7176</v>
      </c>
      <c r="J151" s="124" t="s">
        <v>7177</v>
      </c>
      <c r="K151" s="90"/>
      <c r="L151" s="58"/>
      <c r="M151" s="58"/>
      <c r="N151" s="58"/>
      <c r="O151" s="58"/>
      <c r="P151" s="58"/>
      <c r="Q151" s="58"/>
      <c r="R151" s="58"/>
      <c r="S151" s="58"/>
      <c r="T151" s="58"/>
      <c r="U151" s="58"/>
      <c r="V151" s="58"/>
      <c r="W151" s="58"/>
      <c r="X151" s="58"/>
      <c r="Y151" s="58"/>
      <c r="Z151" s="58"/>
    </row>
    <row r="152" ht="25.5" spans="1:26">
      <c r="A152" s="99" t="s">
        <v>1337</v>
      </c>
      <c r="B152" s="100" t="s">
        <v>132</v>
      </c>
      <c r="C152" s="100" t="s">
        <v>1338</v>
      </c>
      <c r="D152" s="100">
        <v>61.15</v>
      </c>
      <c r="E152" s="101" t="s">
        <v>134</v>
      </c>
      <c r="F152" s="123" t="s">
        <v>6653</v>
      </c>
      <c r="G152" s="124" t="s">
        <v>7178</v>
      </c>
      <c r="H152" s="124" t="s">
        <v>7179</v>
      </c>
      <c r="I152" s="124" t="s">
        <v>7176</v>
      </c>
      <c r="J152" s="124" t="s">
        <v>7180</v>
      </c>
      <c r="K152" s="90"/>
      <c r="L152" s="58"/>
      <c r="M152" s="58"/>
      <c r="N152" s="58"/>
      <c r="O152" s="58"/>
      <c r="P152" s="58"/>
      <c r="Q152" s="58"/>
      <c r="R152" s="58"/>
      <c r="S152" s="58"/>
      <c r="T152" s="58"/>
      <c r="U152" s="58"/>
      <c r="V152" s="58"/>
      <c r="W152" s="58"/>
      <c r="X152" s="58"/>
      <c r="Y152" s="58"/>
      <c r="Z152" s="58"/>
    </row>
    <row r="153" ht="25.5" spans="1:26">
      <c r="A153" s="99" t="s">
        <v>582</v>
      </c>
      <c r="B153" s="100" t="s">
        <v>139</v>
      </c>
      <c r="C153" s="100" t="s">
        <v>583</v>
      </c>
      <c r="D153" s="100" t="s">
        <v>3437</v>
      </c>
      <c r="E153" s="101" t="s">
        <v>141</v>
      </c>
      <c r="F153" s="123" t="s">
        <v>7181</v>
      </c>
      <c r="G153" s="124" t="s">
        <v>7182</v>
      </c>
      <c r="H153" s="124" t="s">
        <v>7183</v>
      </c>
      <c r="I153" s="124" t="s">
        <v>7176</v>
      </c>
      <c r="J153" s="124" t="s">
        <v>7184</v>
      </c>
      <c r="K153" s="90"/>
      <c r="L153" s="58"/>
      <c r="M153" s="58"/>
      <c r="N153" s="58"/>
      <c r="O153" s="58"/>
      <c r="P153" s="58"/>
      <c r="Q153" s="58"/>
      <c r="R153" s="58"/>
      <c r="S153" s="58"/>
      <c r="T153" s="58"/>
      <c r="U153" s="58"/>
      <c r="V153" s="58"/>
      <c r="W153" s="58"/>
      <c r="X153" s="58"/>
      <c r="Y153" s="58"/>
      <c r="Z153" s="58"/>
    </row>
    <row r="154" ht="63.75" spans="1:26">
      <c r="A154" s="99" t="s">
        <v>1506</v>
      </c>
      <c r="B154" s="100" t="s">
        <v>132</v>
      </c>
      <c r="C154" s="100" t="s">
        <v>1507</v>
      </c>
      <c r="D154" s="100" t="s">
        <v>3727</v>
      </c>
      <c r="E154" s="101" t="s">
        <v>1508</v>
      </c>
      <c r="F154" s="123" t="s">
        <v>7185</v>
      </c>
      <c r="G154" s="124" t="s">
        <v>7186</v>
      </c>
      <c r="H154" s="124" t="s">
        <v>7187</v>
      </c>
      <c r="I154" s="124" t="s">
        <v>7176</v>
      </c>
      <c r="J154" s="124" t="s">
        <v>7188</v>
      </c>
      <c r="K154" s="90"/>
      <c r="L154" s="58"/>
      <c r="M154" s="58"/>
      <c r="N154" s="58"/>
      <c r="O154" s="58"/>
      <c r="P154" s="58"/>
      <c r="Q154" s="58"/>
      <c r="R154" s="58"/>
      <c r="S154" s="58"/>
      <c r="T154" s="58"/>
      <c r="U154" s="58"/>
      <c r="V154" s="58"/>
      <c r="W154" s="58"/>
      <c r="X154" s="58"/>
      <c r="Y154" s="58"/>
      <c r="Z154" s="58"/>
    </row>
    <row r="155" spans="1:26">
      <c r="A155" s="99" t="s">
        <v>1769</v>
      </c>
      <c r="B155" s="100" t="s">
        <v>139</v>
      </c>
      <c r="C155" s="100" t="s">
        <v>1770</v>
      </c>
      <c r="D155" s="100" t="s">
        <v>4518</v>
      </c>
      <c r="E155" s="101" t="s">
        <v>134</v>
      </c>
      <c r="F155" s="123" t="s">
        <v>6881</v>
      </c>
      <c r="G155" s="124" t="s">
        <v>7189</v>
      </c>
      <c r="H155" s="124" t="s">
        <v>7190</v>
      </c>
      <c r="I155" s="124" t="s">
        <v>7176</v>
      </c>
      <c r="J155" s="124" t="s">
        <v>7191</v>
      </c>
      <c r="K155" s="90"/>
      <c r="L155" s="58"/>
      <c r="M155" s="58"/>
      <c r="N155" s="58"/>
      <c r="O155" s="58"/>
      <c r="P155" s="58"/>
      <c r="Q155" s="58"/>
      <c r="R155" s="58"/>
      <c r="S155" s="58"/>
      <c r="T155" s="58"/>
      <c r="U155" s="58"/>
      <c r="V155" s="58"/>
      <c r="W155" s="58"/>
      <c r="X155" s="58"/>
      <c r="Y155" s="58"/>
      <c r="Z155" s="58"/>
    </row>
    <row r="156" ht="38.25" spans="1:26">
      <c r="A156" s="99" t="s">
        <v>2225</v>
      </c>
      <c r="B156" s="100" t="s">
        <v>132</v>
      </c>
      <c r="C156" s="100" t="s">
        <v>2226</v>
      </c>
      <c r="D156" s="100">
        <v>70</v>
      </c>
      <c r="E156" s="101" t="s">
        <v>134</v>
      </c>
      <c r="F156" s="123" t="s">
        <v>6603</v>
      </c>
      <c r="G156" s="124" t="s">
        <v>7192</v>
      </c>
      <c r="H156" s="124" t="s">
        <v>7192</v>
      </c>
      <c r="I156" s="124" t="s">
        <v>7176</v>
      </c>
      <c r="J156" s="124" t="s">
        <v>7193</v>
      </c>
      <c r="K156" s="90"/>
      <c r="L156" s="58"/>
      <c r="M156" s="58"/>
      <c r="N156" s="58"/>
      <c r="O156" s="58"/>
      <c r="P156" s="58"/>
      <c r="Q156" s="58"/>
      <c r="R156" s="58"/>
      <c r="S156" s="58"/>
      <c r="T156" s="58"/>
      <c r="U156" s="58"/>
      <c r="V156" s="58"/>
      <c r="W156" s="58"/>
      <c r="X156" s="58"/>
      <c r="Y156" s="58"/>
      <c r="Z156" s="58"/>
    </row>
    <row r="157" ht="38.25" spans="1:26">
      <c r="A157" s="99" t="s">
        <v>637</v>
      </c>
      <c r="B157" s="100" t="s">
        <v>132</v>
      </c>
      <c r="C157" s="100" t="s">
        <v>638</v>
      </c>
      <c r="D157" s="100" t="s">
        <v>3505</v>
      </c>
      <c r="E157" s="101" t="s">
        <v>134</v>
      </c>
      <c r="F157" s="123" t="s">
        <v>7073</v>
      </c>
      <c r="G157" s="124" t="s">
        <v>7194</v>
      </c>
      <c r="H157" s="124" t="s">
        <v>7195</v>
      </c>
      <c r="I157" s="124" t="s">
        <v>7176</v>
      </c>
      <c r="J157" s="124" t="s">
        <v>7196</v>
      </c>
      <c r="K157" s="90"/>
      <c r="L157" s="58"/>
      <c r="M157" s="58"/>
      <c r="N157" s="58"/>
      <c r="O157" s="58"/>
      <c r="P157" s="58"/>
      <c r="Q157" s="58"/>
      <c r="R157" s="58"/>
      <c r="S157" s="58"/>
      <c r="T157" s="58"/>
      <c r="U157" s="58"/>
      <c r="V157" s="58"/>
      <c r="W157" s="58"/>
      <c r="X157" s="58"/>
      <c r="Y157" s="58"/>
      <c r="Z157" s="58"/>
    </row>
    <row r="158" ht="51" spans="1:26">
      <c r="A158" s="99" t="s">
        <v>2176</v>
      </c>
      <c r="B158" s="100" t="s">
        <v>132</v>
      </c>
      <c r="C158" s="100" t="s">
        <v>2177</v>
      </c>
      <c r="D158" s="100">
        <v>61.14</v>
      </c>
      <c r="E158" s="101" t="s">
        <v>134</v>
      </c>
      <c r="F158" s="123" t="s">
        <v>6603</v>
      </c>
      <c r="G158" s="124" t="s">
        <v>7197</v>
      </c>
      <c r="H158" s="124" t="s">
        <v>7197</v>
      </c>
      <c r="I158" s="124" t="s">
        <v>7176</v>
      </c>
      <c r="J158" s="124" t="s">
        <v>7198</v>
      </c>
      <c r="K158" s="90"/>
      <c r="L158" s="58"/>
      <c r="M158" s="58"/>
      <c r="N158" s="58"/>
      <c r="O158" s="58"/>
      <c r="P158" s="58"/>
      <c r="Q158" s="58"/>
      <c r="R158" s="58"/>
      <c r="S158" s="58"/>
      <c r="T158" s="58"/>
      <c r="U158" s="58"/>
      <c r="V158" s="58"/>
      <c r="W158" s="58"/>
      <c r="X158" s="58"/>
      <c r="Y158" s="58"/>
      <c r="Z158" s="58"/>
    </row>
    <row r="159" spans="1:26">
      <c r="A159" s="99" t="s">
        <v>2789</v>
      </c>
      <c r="B159" s="100" t="s">
        <v>139</v>
      </c>
      <c r="C159" s="100" t="s">
        <v>2790</v>
      </c>
      <c r="D159" s="100" t="s">
        <v>3112</v>
      </c>
      <c r="E159" s="101" t="s">
        <v>141</v>
      </c>
      <c r="F159" s="123" t="s">
        <v>7199</v>
      </c>
      <c r="G159" s="124" t="s">
        <v>7200</v>
      </c>
      <c r="H159" s="124" t="s">
        <v>7201</v>
      </c>
      <c r="I159" s="124" t="s">
        <v>7202</v>
      </c>
      <c r="J159" s="124" t="s">
        <v>7203</v>
      </c>
      <c r="K159" s="90"/>
      <c r="L159" s="58"/>
      <c r="M159" s="58"/>
      <c r="N159" s="58"/>
      <c r="O159" s="58"/>
      <c r="P159" s="58"/>
      <c r="Q159" s="58"/>
      <c r="R159" s="58"/>
      <c r="S159" s="58"/>
      <c r="T159" s="58"/>
      <c r="U159" s="58"/>
      <c r="V159" s="58"/>
      <c r="W159" s="58"/>
      <c r="X159" s="58"/>
      <c r="Y159" s="58"/>
      <c r="Z159" s="58"/>
    </row>
    <row r="160" ht="25.5" spans="1:26">
      <c r="A160" s="99" t="s">
        <v>2400</v>
      </c>
      <c r="B160" s="100" t="s">
        <v>149</v>
      </c>
      <c r="C160" s="100" t="s">
        <v>2401</v>
      </c>
      <c r="D160" s="100" t="s">
        <v>4867</v>
      </c>
      <c r="E160" s="101" t="s">
        <v>393</v>
      </c>
      <c r="F160" s="123" t="s">
        <v>7204</v>
      </c>
      <c r="G160" s="124" t="s">
        <v>6990</v>
      </c>
      <c r="H160" s="124" t="s">
        <v>7205</v>
      </c>
      <c r="I160" s="124" t="s">
        <v>7202</v>
      </c>
      <c r="J160" s="124" t="s">
        <v>7206</v>
      </c>
      <c r="K160" s="90"/>
      <c r="L160" s="58"/>
      <c r="M160" s="58"/>
      <c r="N160" s="58"/>
      <c r="O160" s="58"/>
      <c r="P160" s="58"/>
      <c r="Q160" s="58"/>
      <c r="R160" s="58"/>
      <c r="S160" s="58"/>
      <c r="T160" s="58"/>
      <c r="U160" s="58"/>
      <c r="V160" s="58"/>
      <c r="W160" s="58"/>
      <c r="X160" s="58"/>
      <c r="Y160" s="58"/>
      <c r="Z160" s="58"/>
    </row>
    <row r="161" ht="38.25" spans="1:26">
      <c r="A161" s="99" t="s">
        <v>1181</v>
      </c>
      <c r="B161" s="100" t="s">
        <v>139</v>
      </c>
      <c r="C161" s="100" t="s">
        <v>1182</v>
      </c>
      <c r="D161" s="100" t="s">
        <v>3150</v>
      </c>
      <c r="E161" s="101" t="s">
        <v>204</v>
      </c>
      <c r="F161" s="123" t="s">
        <v>7207</v>
      </c>
      <c r="G161" s="124" t="s">
        <v>7208</v>
      </c>
      <c r="H161" s="124" t="s">
        <v>7209</v>
      </c>
      <c r="I161" s="124" t="s">
        <v>7202</v>
      </c>
      <c r="J161" s="124" t="s">
        <v>7210</v>
      </c>
      <c r="K161" s="90"/>
      <c r="L161" s="58"/>
      <c r="M161" s="58"/>
      <c r="N161" s="58"/>
      <c r="O161" s="58"/>
      <c r="P161" s="58"/>
      <c r="Q161" s="58"/>
      <c r="R161" s="58"/>
      <c r="S161" s="58"/>
      <c r="T161" s="58"/>
      <c r="U161" s="58"/>
      <c r="V161" s="58"/>
      <c r="W161" s="58"/>
      <c r="X161" s="58"/>
      <c r="Y161" s="58"/>
      <c r="Z161" s="58"/>
    </row>
    <row r="162" spans="1:26">
      <c r="A162" s="99" t="s">
        <v>2750</v>
      </c>
      <c r="B162" s="100" t="s">
        <v>139</v>
      </c>
      <c r="C162" s="100" t="s">
        <v>2751</v>
      </c>
      <c r="D162" s="100" t="s">
        <v>3079</v>
      </c>
      <c r="E162" s="101" t="s">
        <v>141</v>
      </c>
      <c r="F162" s="123" t="s">
        <v>6707</v>
      </c>
      <c r="G162" s="124" t="s">
        <v>7211</v>
      </c>
      <c r="H162" s="124" t="s">
        <v>7212</v>
      </c>
      <c r="I162" s="124" t="s">
        <v>7202</v>
      </c>
      <c r="J162" s="124" t="s">
        <v>7213</v>
      </c>
      <c r="K162" s="90"/>
      <c r="L162" s="58"/>
      <c r="M162" s="58"/>
      <c r="N162" s="58"/>
      <c r="O162" s="58"/>
      <c r="P162" s="58"/>
      <c r="Q162" s="58"/>
      <c r="R162" s="58"/>
      <c r="S162" s="58"/>
      <c r="T162" s="58"/>
      <c r="U162" s="58"/>
      <c r="V162" s="58"/>
      <c r="W162" s="58"/>
      <c r="X162" s="58"/>
      <c r="Y162" s="58"/>
      <c r="Z162" s="58"/>
    </row>
    <row r="163" ht="38.25" spans="1:26">
      <c r="A163" s="99" t="s">
        <v>2086</v>
      </c>
      <c r="B163" s="100" t="s">
        <v>132</v>
      </c>
      <c r="C163" s="100" t="s">
        <v>2087</v>
      </c>
      <c r="D163" s="100">
        <v>61.1</v>
      </c>
      <c r="E163" s="101" t="s">
        <v>134</v>
      </c>
      <c r="F163" s="123" t="s">
        <v>7214</v>
      </c>
      <c r="G163" s="124" t="s">
        <v>7215</v>
      </c>
      <c r="H163" s="124" t="s">
        <v>7216</v>
      </c>
      <c r="I163" s="124" t="s">
        <v>7202</v>
      </c>
      <c r="J163" s="124" t="s">
        <v>7217</v>
      </c>
      <c r="K163" s="90"/>
      <c r="L163" s="58"/>
      <c r="M163" s="58"/>
      <c r="N163" s="58"/>
      <c r="O163" s="58"/>
      <c r="P163" s="58"/>
      <c r="Q163" s="58"/>
      <c r="R163" s="58"/>
      <c r="S163" s="58"/>
      <c r="T163" s="58"/>
      <c r="U163" s="58"/>
      <c r="V163" s="58"/>
      <c r="W163" s="58"/>
      <c r="X163" s="58"/>
      <c r="Y163" s="58"/>
      <c r="Z163" s="58"/>
    </row>
    <row r="164" ht="38.25" spans="1:26">
      <c r="A164" s="99" t="s">
        <v>80</v>
      </c>
      <c r="B164" s="100" t="s">
        <v>77</v>
      </c>
      <c r="C164" s="100" t="s">
        <v>81</v>
      </c>
      <c r="D164" s="100">
        <v>1</v>
      </c>
      <c r="E164" s="101" t="s">
        <v>141</v>
      </c>
      <c r="F164" s="123" t="s">
        <v>7218</v>
      </c>
      <c r="G164" s="124" t="s">
        <v>7219</v>
      </c>
      <c r="H164" s="124" t="s">
        <v>7220</v>
      </c>
      <c r="I164" s="124" t="s">
        <v>7202</v>
      </c>
      <c r="J164" s="124" t="s">
        <v>7221</v>
      </c>
      <c r="K164" s="90"/>
      <c r="L164" s="58"/>
      <c r="M164" s="58"/>
      <c r="N164" s="58"/>
      <c r="O164" s="58"/>
      <c r="P164" s="58"/>
      <c r="Q164" s="58"/>
      <c r="R164" s="58"/>
      <c r="S164" s="58"/>
      <c r="T164" s="58"/>
      <c r="U164" s="58"/>
      <c r="V164" s="58"/>
      <c r="W164" s="58"/>
      <c r="X164" s="58"/>
      <c r="Y164" s="58"/>
      <c r="Z164" s="58"/>
    </row>
    <row r="165" ht="38.25" spans="1:26">
      <c r="A165" s="99" t="s">
        <v>1262</v>
      </c>
      <c r="B165" s="100" t="s">
        <v>132</v>
      </c>
      <c r="C165" s="100" t="s">
        <v>1263</v>
      </c>
      <c r="D165" s="100" t="s">
        <v>3996</v>
      </c>
      <c r="E165" s="101" t="s">
        <v>134</v>
      </c>
      <c r="F165" s="123" t="s">
        <v>7222</v>
      </c>
      <c r="G165" s="124" t="s">
        <v>7223</v>
      </c>
      <c r="H165" s="124" t="s">
        <v>7224</v>
      </c>
      <c r="I165" s="124" t="s">
        <v>7225</v>
      </c>
      <c r="J165" s="124" t="s">
        <v>7226</v>
      </c>
      <c r="K165" s="90"/>
      <c r="L165" s="58"/>
      <c r="M165" s="58"/>
      <c r="N165" s="58"/>
      <c r="O165" s="58"/>
      <c r="P165" s="58"/>
      <c r="Q165" s="58"/>
      <c r="R165" s="58"/>
      <c r="S165" s="58"/>
      <c r="T165" s="58"/>
      <c r="U165" s="58"/>
      <c r="V165" s="58"/>
      <c r="W165" s="58"/>
      <c r="X165" s="58"/>
      <c r="Y165" s="58"/>
      <c r="Z165" s="58"/>
    </row>
    <row r="166" ht="25.5" spans="1:26">
      <c r="A166" s="99" t="s">
        <v>1340</v>
      </c>
      <c r="B166" s="100" t="s">
        <v>132</v>
      </c>
      <c r="C166" s="100" t="s">
        <v>1341</v>
      </c>
      <c r="D166" s="100">
        <v>61.15</v>
      </c>
      <c r="E166" s="101" t="s">
        <v>134</v>
      </c>
      <c r="F166" s="123" t="s">
        <v>6676</v>
      </c>
      <c r="G166" s="124" t="s">
        <v>7227</v>
      </c>
      <c r="H166" s="124" t="s">
        <v>7228</v>
      </c>
      <c r="I166" s="124" t="s">
        <v>7225</v>
      </c>
      <c r="J166" s="124" t="s">
        <v>7229</v>
      </c>
      <c r="K166" s="90"/>
      <c r="L166" s="58"/>
      <c r="M166" s="58"/>
      <c r="N166" s="58"/>
      <c r="O166" s="58"/>
      <c r="P166" s="58"/>
      <c r="Q166" s="58"/>
      <c r="R166" s="58"/>
      <c r="S166" s="58"/>
      <c r="T166" s="58"/>
      <c r="U166" s="58"/>
      <c r="V166" s="58"/>
      <c r="W166" s="58"/>
      <c r="X166" s="58"/>
      <c r="Y166" s="58"/>
      <c r="Z166" s="58"/>
    </row>
    <row r="167" spans="1:26">
      <c r="A167" s="99" t="s">
        <v>2488</v>
      </c>
      <c r="B167" s="100" t="s">
        <v>77</v>
      </c>
      <c r="C167" s="100" t="s">
        <v>2489</v>
      </c>
      <c r="D167" s="100">
        <v>15</v>
      </c>
      <c r="E167" s="101" t="s">
        <v>134</v>
      </c>
      <c r="F167" s="123" t="s">
        <v>7230</v>
      </c>
      <c r="G167" s="124" t="s">
        <v>7231</v>
      </c>
      <c r="H167" s="124" t="s">
        <v>7232</v>
      </c>
      <c r="I167" s="124" t="s">
        <v>7225</v>
      </c>
      <c r="J167" s="124" t="s">
        <v>7233</v>
      </c>
      <c r="K167" s="90"/>
      <c r="L167" s="58"/>
      <c r="M167" s="58"/>
      <c r="N167" s="58"/>
      <c r="O167" s="58"/>
      <c r="P167" s="58"/>
      <c r="Q167" s="58"/>
      <c r="R167" s="58"/>
      <c r="S167" s="58"/>
      <c r="T167" s="58"/>
      <c r="U167" s="58"/>
      <c r="V167" s="58"/>
      <c r="W167" s="58"/>
      <c r="X167" s="58"/>
      <c r="Y167" s="58"/>
      <c r="Z167" s="58"/>
    </row>
    <row r="168" ht="25.5" spans="1:26">
      <c r="A168" s="99" t="s">
        <v>694</v>
      </c>
      <c r="B168" s="100" t="s">
        <v>132</v>
      </c>
      <c r="C168" s="100" t="s">
        <v>695</v>
      </c>
      <c r="D168" s="100" t="s">
        <v>3505</v>
      </c>
      <c r="E168" s="101" t="s">
        <v>134</v>
      </c>
      <c r="F168" s="123" t="s">
        <v>7073</v>
      </c>
      <c r="G168" s="124" t="s">
        <v>7234</v>
      </c>
      <c r="H168" s="124" t="s">
        <v>7235</v>
      </c>
      <c r="I168" s="124" t="s">
        <v>7225</v>
      </c>
      <c r="J168" s="124" t="s">
        <v>7236</v>
      </c>
      <c r="K168" s="90"/>
      <c r="L168" s="58"/>
      <c r="M168" s="58"/>
      <c r="N168" s="58"/>
      <c r="O168" s="58"/>
      <c r="P168" s="58"/>
      <c r="Q168" s="58"/>
      <c r="R168" s="58"/>
      <c r="S168" s="58"/>
      <c r="T168" s="58"/>
      <c r="U168" s="58"/>
      <c r="V168" s="58"/>
      <c r="W168" s="58"/>
      <c r="X168" s="58"/>
      <c r="Y168" s="58"/>
      <c r="Z168" s="58"/>
    </row>
    <row r="169" ht="25.5" spans="1:26">
      <c r="A169" s="99" t="s">
        <v>1936</v>
      </c>
      <c r="B169" s="100" t="s">
        <v>149</v>
      </c>
      <c r="C169" s="100" t="s">
        <v>1937</v>
      </c>
      <c r="D169" s="100" t="s">
        <v>3657</v>
      </c>
      <c r="E169" s="101" t="s">
        <v>134</v>
      </c>
      <c r="F169" s="123" t="s">
        <v>7237</v>
      </c>
      <c r="G169" s="124" t="s">
        <v>7238</v>
      </c>
      <c r="H169" s="124" t="s">
        <v>7239</v>
      </c>
      <c r="I169" s="124" t="s">
        <v>7225</v>
      </c>
      <c r="J169" s="124" t="s">
        <v>7240</v>
      </c>
      <c r="K169" s="90"/>
      <c r="L169" s="58"/>
      <c r="M169" s="58"/>
      <c r="N169" s="58"/>
      <c r="O169" s="58"/>
      <c r="P169" s="58"/>
      <c r="Q169" s="58"/>
      <c r="R169" s="58"/>
      <c r="S169" s="58"/>
      <c r="T169" s="58"/>
      <c r="U169" s="58"/>
      <c r="V169" s="58"/>
      <c r="W169" s="58"/>
      <c r="X169" s="58"/>
      <c r="Y169" s="58"/>
      <c r="Z169" s="58"/>
    </row>
    <row r="170" ht="38.25" spans="1:26">
      <c r="A170" s="99" t="s">
        <v>2101</v>
      </c>
      <c r="B170" s="100" t="s">
        <v>132</v>
      </c>
      <c r="C170" s="100" t="s">
        <v>2102</v>
      </c>
      <c r="D170" s="100">
        <v>61.1</v>
      </c>
      <c r="E170" s="101" t="s">
        <v>134</v>
      </c>
      <c r="F170" s="123" t="s">
        <v>6653</v>
      </c>
      <c r="G170" s="124" t="s">
        <v>7241</v>
      </c>
      <c r="H170" s="124" t="s">
        <v>7242</v>
      </c>
      <c r="I170" s="124" t="s">
        <v>7225</v>
      </c>
      <c r="J170" s="124" t="s">
        <v>7243</v>
      </c>
      <c r="K170" s="90"/>
      <c r="L170" s="58"/>
      <c r="M170" s="58"/>
      <c r="N170" s="58"/>
      <c r="O170" s="58"/>
      <c r="P170" s="58"/>
      <c r="Q170" s="58"/>
      <c r="R170" s="58"/>
      <c r="S170" s="58"/>
      <c r="T170" s="58"/>
      <c r="U170" s="58"/>
      <c r="V170" s="58"/>
      <c r="W170" s="58"/>
      <c r="X170" s="58"/>
      <c r="Y170" s="58"/>
      <c r="Z170" s="58"/>
    </row>
    <row r="171" ht="25.5" spans="1:26">
      <c r="A171" s="99" t="s">
        <v>2397</v>
      </c>
      <c r="B171" s="100" t="s">
        <v>132</v>
      </c>
      <c r="C171" s="100" t="s">
        <v>2398</v>
      </c>
      <c r="D171" s="100">
        <v>73</v>
      </c>
      <c r="E171" s="101" t="s">
        <v>393</v>
      </c>
      <c r="F171" s="123" t="s">
        <v>7244</v>
      </c>
      <c r="G171" s="124" t="s">
        <v>7245</v>
      </c>
      <c r="H171" s="124" t="s">
        <v>7246</v>
      </c>
      <c r="I171" s="124" t="s">
        <v>7225</v>
      </c>
      <c r="J171" s="124" t="s">
        <v>7247</v>
      </c>
      <c r="K171" s="90"/>
      <c r="L171" s="58"/>
      <c r="M171" s="58"/>
      <c r="N171" s="58"/>
      <c r="O171" s="58"/>
      <c r="P171" s="58"/>
      <c r="Q171" s="58"/>
      <c r="R171" s="58"/>
      <c r="S171" s="58"/>
      <c r="T171" s="58"/>
      <c r="U171" s="58"/>
      <c r="V171" s="58"/>
      <c r="W171" s="58"/>
      <c r="X171" s="58"/>
      <c r="Y171" s="58"/>
      <c r="Z171" s="58"/>
    </row>
    <row r="172" ht="25.5" spans="1:26">
      <c r="A172" s="99" t="s">
        <v>1265</v>
      </c>
      <c r="B172" s="100" t="s">
        <v>149</v>
      </c>
      <c r="C172" s="100" t="s">
        <v>1266</v>
      </c>
      <c r="D172" s="100" t="s">
        <v>3953</v>
      </c>
      <c r="E172" s="101" t="s">
        <v>204</v>
      </c>
      <c r="F172" s="123" t="s">
        <v>7248</v>
      </c>
      <c r="G172" s="124" t="s">
        <v>7249</v>
      </c>
      <c r="H172" s="124" t="s">
        <v>7250</v>
      </c>
      <c r="I172" s="124" t="s">
        <v>7225</v>
      </c>
      <c r="J172" s="124" t="s">
        <v>7251</v>
      </c>
      <c r="K172" s="90"/>
      <c r="L172" s="58"/>
      <c r="M172" s="58"/>
      <c r="N172" s="58"/>
      <c r="O172" s="58"/>
      <c r="P172" s="58"/>
      <c r="Q172" s="58"/>
      <c r="R172" s="58"/>
      <c r="S172" s="58"/>
      <c r="T172" s="58"/>
      <c r="U172" s="58"/>
      <c r="V172" s="58"/>
      <c r="W172" s="58"/>
      <c r="X172" s="58"/>
      <c r="Y172" s="58"/>
      <c r="Z172" s="58"/>
    </row>
    <row r="173" ht="38.25" spans="1:26">
      <c r="A173" s="99" t="s">
        <v>1184</v>
      </c>
      <c r="B173" s="100" t="s">
        <v>139</v>
      </c>
      <c r="C173" s="100" t="s">
        <v>1185</v>
      </c>
      <c r="D173" s="100" t="s">
        <v>3150</v>
      </c>
      <c r="E173" s="101" t="s">
        <v>204</v>
      </c>
      <c r="F173" s="123" t="s">
        <v>7252</v>
      </c>
      <c r="G173" s="124" t="s">
        <v>7253</v>
      </c>
      <c r="H173" s="124" t="s">
        <v>7254</v>
      </c>
      <c r="I173" s="124" t="s">
        <v>7225</v>
      </c>
      <c r="J173" s="124" t="s">
        <v>7255</v>
      </c>
      <c r="K173" s="90"/>
      <c r="L173" s="58"/>
      <c r="M173" s="58"/>
      <c r="N173" s="58"/>
      <c r="O173" s="58"/>
      <c r="P173" s="58"/>
      <c r="Q173" s="58"/>
      <c r="R173" s="58"/>
      <c r="S173" s="58"/>
      <c r="T173" s="58"/>
      <c r="U173" s="58"/>
      <c r="V173" s="58"/>
      <c r="W173" s="58"/>
      <c r="X173" s="58"/>
      <c r="Y173" s="58"/>
      <c r="Z173" s="58"/>
    </row>
    <row r="174" ht="38.25" spans="1:26">
      <c r="A174" s="99" t="s">
        <v>143</v>
      </c>
      <c r="B174" s="100" t="s">
        <v>132</v>
      </c>
      <c r="C174" s="100" t="s">
        <v>144</v>
      </c>
      <c r="D174" s="100" t="s">
        <v>2968</v>
      </c>
      <c r="E174" s="101" t="s">
        <v>134</v>
      </c>
      <c r="F174" s="123" t="s">
        <v>6603</v>
      </c>
      <c r="G174" s="124" t="s">
        <v>7256</v>
      </c>
      <c r="H174" s="124" t="s">
        <v>7256</v>
      </c>
      <c r="I174" s="124" t="s">
        <v>7225</v>
      </c>
      <c r="J174" s="124" t="s">
        <v>7257</v>
      </c>
      <c r="K174" s="90"/>
      <c r="L174" s="58"/>
      <c r="M174" s="58"/>
      <c r="N174" s="58"/>
      <c r="O174" s="58"/>
      <c r="P174" s="58"/>
      <c r="Q174" s="58"/>
      <c r="R174" s="58"/>
      <c r="S174" s="58"/>
      <c r="T174" s="58"/>
      <c r="U174" s="58"/>
      <c r="V174" s="58"/>
      <c r="W174" s="58"/>
      <c r="X174" s="58"/>
      <c r="Y174" s="58"/>
      <c r="Z174" s="58"/>
    </row>
    <row r="175" spans="1:26">
      <c r="A175" s="99" t="s">
        <v>932</v>
      </c>
      <c r="B175" s="100" t="s">
        <v>149</v>
      </c>
      <c r="C175" s="100" t="s">
        <v>933</v>
      </c>
      <c r="D175" s="100" t="s">
        <v>3789</v>
      </c>
      <c r="E175" s="101" t="s">
        <v>141</v>
      </c>
      <c r="F175" s="123" t="s">
        <v>7258</v>
      </c>
      <c r="G175" s="124" t="s">
        <v>7259</v>
      </c>
      <c r="H175" s="124" t="s">
        <v>7260</v>
      </c>
      <c r="I175" s="124" t="s">
        <v>7225</v>
      </c>
      <c r="J175" s="124" t="s">
        <v>7261</v>
      </c>
      <c r="K175" s="90"/>
      <c r="L175" s="58"/>
      <c r="M175" s="58"/>
      <c r="N175" s="58"/>
      <c r="O175" s="58"/>
      <c r="P175" s="58"/>
      <c r="Q175" s="58"/>
      <c r="R175" s="58"/>
      <c r="S175" s="58"/>
      <c r="T175" s="58"/>
      <c r="U175" s="58"/>
      <c r="V175" s="58"/>
      <c r="W175" s="58"/>
      <c r="X175" s="58"/>
      <c r="Y175" s="58"/>
      <c r="Z175" s="58"/>
    </row>
    <row r="176" ht="25.5" spans="1:26">
      <c r="A176" s="99" t="s">
        <v>2636</v>
      </c>
      <c r="B176" s="100" t="s">
        <v>132</v>
      </c>
      <c r="C176" s="100" t="s">
        <v>2637</v>
      </c>
      <c r="D176" s="100" t="s">
        <v>3129</v>
      </c>
      <c r="E176" s="101" t="s">
        <v>204</v>
      </c>
      <c r="F176" s="123" t="s">
        <v>7262</v>
      </c>
      <c r="G176" s="124" t="s">
        <v>7263</v>
      </c>
      <c r="H176" s="124" t="s">
        <v>7264</v>
      </c>
      <c r="I176" s="124" t="s">
        <v>7265</v>
      </c>
      <c r="J176" s="124" t="s">
        <v>7266</v>
      </c>
      <c r="K176" s="90"/>
      <c r="L176" s="58"/>
      <c r="M176" s="58"/>
      <c r="N176" s="58"/>
      <c r="O176" s="58"/>
      <c r="P176" s="58"/>
      <c r="Q176" s="58"/>
      <c r="R176" s="58"/>
      <c r="S176" s="58"/>
      <c r="T176" s="58"/>
      <c r="U176" s="58"/>
      <c r="V176" s="58"/>
      <c r="W176" s="58"/>
      <c r="X176" s="58"/>
      <c r="Y176" s="58"/>
      <c r="Z176" s="58"/>
    </row>
    <row r="177" ht="38.25" spans="1:26">
      <c r="A177" s="99" t="s">
        <v>676</v>
      </c>
      <c r="B177" s="100" t="s">
        <v>132</v>
      </c>
      <c r="C177" s="100" t="s">
        <v>677</v>
      </c>
      <c r="D177" s="100" t="s">
        <v>3505</v>
      </c>
      <c r="E177" s="101" t="s">
        <v>141</v>
      </c>
      <c r="F177" s="123" t="s">
        <v>7267</v>
      </c>
      <c r="G177" s="124" t="s">
        <v>7268</v>
      </c>
      <c r="H177" s="124" t="s">
        <v>7269</v>
      </c>
      <c r="I177" s="124" t="s">
        <v>7265</v>
      </c>
      <c r="J177" s="124" t="s">
        <v>7270</v>
      </c>
      <c r="K177" s="90"/>
      <c r="L177" s="58"/>
      <c r="M177" s="58"/>
      <c r="N177" s="58"/>
      <c r="O177" s="58"/>
      <c r="P177" s="58"/>
      <c r="Q177" s="58"/>
      <c r="R177" s="58"/>
      <c r="S177" s="58"/>
      <c r="T177" s="58"/>
      <c r="U177" s="58"/>
      <c r="V177" s="58"/>
      <c r="W177" s="58"/>
      <c r="X177" s="58"/>
      <c r="Y177" s="58"/>
      <c r="Z177" s="58"/>
    </row>
    <row r="178" ht="25.5" spans="1:26">
      <c r="A178" s="99" t="s">
        <v>1793</v>
      </c>
      <c r="B178" s="100" t="s">
        <v>149</v>
      </c>
      <c r="C178" s="100" t="s">
        <v>1794</v>
      </c>
      <c r="D178" s="100" t="s">
        <v>4029</v>
      </c>
      <c r="E178" s="101" t="s">
        <v>204</v>
      </c>
      <c r="F178" s="123" t="s">
        <v>7271</v>
      </c>
      <c r="G178" s="124" t="s">
        <v>7272</v>
      </c>
      <c r="H178" s="124" t="s">
        <v>7273</v>
      </c>
      <c r="I178" s="124" t="s">
        <v>7265</v>
      </c>
      <c r="J178" s="124" t="s">
        <v>7274</v>
      </c>
      <c r="K178" s="90"/>
      <c r="L178" s="58"/>
      <c r="M178" s="58"/>
      <c r="N178" s="58"/>
      <c r="O178" s="58"/>
      <c r="P178" s="58"/>
      <c r="Q178" s="58"/>
      <c r="R178" s="58"/>
      <c r="S178" s="58"/>
      <c r="T178" s="58"/>
      <c r="U178" s="58"/>
      <c r="V178" s="58"/>
      <c r="W178" s="58"/>
      <c r="X178" s="58"/>
      <c r="Y178" s="58"/>
      <c r="Z178" s="58"/>
    </row>
    <row r="179" ht="38.25" spans="1:26">
      <c r="A179" s="99" t="s">
        <v>1786</v>
      </c>
      <c r="B179" s="100" t="s">
        <v>132</v>
      </c>
      <c r="C179" s="100" t="s">
        <v>1787</v>
      </c>
      <c r="D179" s="100">
        <v>15</v>
      </c>
      <c r="E179" s="101" t="s">
        <v>204</v>
      </c>
      <c r="F179" s="123" t="s">
        <v>7275</v>
      </c>
      <c r="G179" s="124" t="s">
        <v>7276</v>
      </c>
      <c r="H179" s="124" t="s">
        <v>7277</v>
      </c>
      <c r="I179" s="124" t="s">
        <v>7265</v>
      </c>
      <c r="J179" s="124" t="s">
        <v>7278</v>
      </c>
      <c r="K179" s="90"/>
      <c r="L179" s="58"/>
      <c r="M179" s="58"/>
      <c r="N179" s="58"/>
      <c r="O179" s="58"/>
      <c r="P179" s="58"/>
      <c r="Q179" s="58"/>
      <c r="R179" s="58"/>
      <c r="S179" s="58"/>
      <c r="T179" s="58"/>
      <c r="U179" s="58"/>
      <c r="V179" s="58"/>
      <c r="W179" s="58"/>
      <c r="X179" s="58"/>
      <c r="Y179" s="58"/>
      <c r="Z179" s="58"/>
    </row>
    <row r="180" ht="76.5" spans="1:26">
      <c r="A180" s="99" t="s">
        <v>1375</v>
      </c>
      <c r="B180" s="100" t="s">
        <v>132</v>
      </c>
      <c r="C180" s="100" t="s">
        <v>1376</v>
      </c>
      <c r="D180" s="100" t="s">
        <v>3177</v>
      </c>
      <c r="E180" s="101" t="s">
        <v>134</v>
      </c>
      <c r="F180" s="123" t="s">
        <v>6603</v>
      </c>
      <c r="G180" s="124" t="s">
        <v>7279</v>
      </c>
      <c r="H180" s="124" t="s">
        <v>7279</v>
      </c>
      <c r="I180" s="124" t="s">
        <v>7265</v>
      </c>
      <c r="J180" s="124" t="s">
        <v>7280</v>
      </c>
      <c r="K180" s="90"/>
      <c r="L180" s="58"/>
      <c r="M180" s="58"/>
      <c r="N180" s="58"/>
      <c r="O180" s="58"/>
      <c r="P180" s="58"/>
      <c r="Q180" s="58"/>
      <c r="R180" s="58"/>
      <c r="S180" s="58"/>
      <c r="T180" s="58"/>
      <c r="U180" s="58"/>
      <c r="V180" s="58"/>
      <c r="W180" s="58"/>
      <c r="X180" s="58"/>
      <c r="Y180" s="58"/>
      <c r="Z180" s="58"/>
    </row>
    <row r="181" ht="51" spans="1:26">
      <c r="A181" s="99" t="s">
        <v>628</v>
      </c>
      <c r="B181" s="100" t="s">
        <v>132</v>
      </c>
      <c r="C181" s="100" t="s">
        <v>629</v>
      </c>
      <c r="D181" s="100" t="s">
        <v>3505</v>
      </c>
      <c r="E181" s="101" t="s">
        <v>134</v>
      </c>
      <c r="F181" s="123" t="s">
        <v>7281</v>
      </c>
      <c r="G181" s="124" t="s">
        <v>7282</v>
      </c>
      <c r="H181" s="124" t="s">
        <v>7283</v>
      </c>
      <c r="I181" s="124" t="s">
        <v>7265</v>
      </c>
      <c r="J181" s="124" t="s">
        <v>7284</v>
      </c>
      <c r="K181" s="90"/>
      <c r="L181" s="58"/>
      <c r="M181" s="58"/>
      <c r="N181" s="58"/>
      <c r="O181" s="58"/>
      <c r="P181" s="58"/>
      <c r="Q181" s="58"/>
      <c r="R181" s="58"/>
      <c r="S181" s="58"/>
      <c r="T181" s="58"/>
      <c r="U181" s="58"/>
      <c r="V181" s="58"/>
      <c r="W181" s="58"/>
      <c r="X181" s="58"/>
      <c r="Y181" s="58"/>
      <c r="Z181" s="58"/>
    </row>
    <row r="182" ht="25.5" spans="1:26">
      <c r="A182" s="99" t="s">
        <v>410</v>
      </c>
      <c r="B182" s="100" t="s">
        <v>139</v>
      </c>
      <c r="C182" s="100" t="s">
        <v>411</v>
      </c>
      <c r="D182" s="100" t="s">
        <v>3310</v>
      </c>
      <c r="E182" s="101" t="s">
        <v>279</v>
      </c>
      <c r="F182" s="123" t="s">
        <v>7285</v>
      </c>
      <c r="G182" s="124" t="s">
        <v>7286</v>
      </c>
      <c r="H182" s="124" t="s">
        <v>7287</v>
      </c>
      <c r="I182" s="124" t="s">
        <v>7265</v>
      </c>
      <c r="J182" s="124" t="s">
        <v>7288</v>
      </c>
      <c r="K182" s="90"/>
      <c r="L182" s="58"/>
      <c r="M182" s="58"/>
      <c r="N182" s="58"/>
      <c r="O182" s="58"/>
      <c r="P182" s="58"/>
      <c r="Q182" s="58"/>
      <c r="R182" s="58"/>
      <c r="S182" s="58"/>
      <c r="T182" s="58"/>
      <c r="U182" s="58"/>
      <c r="V182" s="58"/>
      <c r="W182" s="58"/>
      <c r="X182" s="58"/>
      <c r="Y182" s="58"/>
      <c r="Z182" s="58"/>
    </row>
    <row r="183" spans="1:26">
      <c r="A183" s="99" t="s">
        <v>375</v>
      </c>
      <c r="B183" s="100" t="s">
        <v>139</v>
      </c>
      <c r="C183" s="100" t="s">
        <v>376</v>
      </c>
      <c r="D183" s="100" t="s">
        <v>3215</v>
      </c>
      <c r="E183" s="101" t="s">
        <v>279</v>
      </c>
      <c r="F183" s="123" t="s">
        <v>7289</v>
      </c>
      <c r="G183" s="124" t="s">
        <v>7290</v>
      </c>
      <c r="H183" s="124" t="s">
        <v>7291</v>
      </c>
      <c r="I183" s="124" t="s">
        <v>7265</v>
      </c>
      <c r="J183" s="124" t="s">
        <v>7292</v>
      </c>
      <c r="K183" s="90"/>
      <c r="L183" s="58"/>
      <c r="M183" s="58"/>
      <c r="N183" s="58"/>
      <c r="O183" s="58"/>
      <c r="P183" s="58"/>
      <c r="Q183" s="58"/>
      <c r="R183" s="58"/>
      <c r="S183" s="58"/>
      <c r="T183" s="58"/>
      <c r="U183" s="58"/>
      <c r="V183" s="58"/>
      <c r="W183" s="58"/>
      <c r="X183" s="58"/>
      <c r="Y183" s="58"/>
      <c r="Z183" s="58"/>
    </row>
    <row r="184" ht="38.25" spans="1:26">
      <c r="A184" s="99" t="s">
        <v>971</v>
      </c>
      <c r="B184" s="100" t="s">
        <v>77</v>
      </c>
      <c r="C184" s="100" t="s">
        <v>972</v>
      </c>
      <c r="D184" s="100">
        <v>6</v>
      </c>
      <c r="E184" s="101" t="s">
        <v>134</v>
      </c>
      <c r="F184" s="123" t="s">
        <v>7073</v>
      </c>
      <c r="G184" s="124" t="s">
        <v>7293</v>
      </c>
      <c r="H184" s="124" t="s">
        <v>7294</v>
      </c>
      <c r="I184" s="124" t="s">
        <v>7265</v>
      </c>
      <c r="J184" s="124" t="s">
        <v>7295</v>
      </c>
      <c r="K184" s="90"/>
      <c r="L184" s="58"/>
      <c r="M184" s="58"/>
      <c r="N184" s="58"/>
      <c r="O184" s="58"/>
      <c r="P184" s="58"/>
      <c r="Q184" s="58"/>
      <c r="R184" s="58"/>
      <c r="S184" s="58"/>
      <c r="T184" s="58"/>
      <c r="U184" s="58"/>
      <c r="V184" s="58"/>
      <c r="W184" s="58"/>
      <c r="X184" s="58"/>
      <c r="Y184" s="58"/>
      <c r="Z184" s="58"/>
    </row>
    <row r="185" ht="25.5" spans="1:26">
      <c r="A185" s="99" t="s">
        <v>458</v>
      </c>
      <c r="B185" s="100" t="s">
        <v>139</v>
      </c>
      <c r="C185" s="100" t="s">
        <v>459</v>
      </c>
      <c r="D185" s="100" t="s">
        <v>3317</v>
      </c>
      <c r="E185" s="101" t="s">
        <v>393</v>
      </c>
      <c r="F185" s="123" t="s">
        <v>7296</v>
      </c>
      <c r="G185" s="124" t="s">
        <v>7297</v>
      </c>
      <c r="H185" s="124" t="s">
        <v>7298</v>
      </c>
      <c r="I185" s="124" t="s">
        <v>7265</v>
      </c>
      <c r="J185" s="124" t="s">
        <v>7299</v>
      </c>
      <c r="K185" s="90"/>
      <c r="L185" s="58"/>
      <c r="M185" s="58"/>
      <c r="N185" s="58"/>
      <c r="O185" s="58"/>
      <c r="P185" s="58"/>
      <c r="Q185" s="58"/>
      <c r="R185" s="58"/>
      <c r="S185" s="58"/>
      <c r="T185" s="58"/>
      <c r="U185" s="58"/>
      <c r="V185" s="58"/>
      <c r="W185" s="58"/>
      <c r="X185" s="58"/>
      <c r="Y185" s="58"/>
      <c r="Z185" s="58"/>
    </row>
    <row r="186" ht="25.5" spans="1:26">
      <c r="A186" s="99" t="s">
        <v>512</v>
      </c>
      <c r="B186" s="100" t="s">
        <v>139</v>
      </c>
      <c r="C186" s="100" t="s">
        <v>513</v>
      </c>
      <c r="D186" s="100" t="s">
        <v>3390</v>
      </c>
      <c r="E186" s="101" t="s">
        <v>141</v>
      </c>
      <c r="F186" s="123" t="s">
        <v>7300</v>
      </c>
      <c r="G186" s="124" t="s">
        <v>7301</v>
      </c>
      <c r="H186" s="124" t="s">
        <v>7302</v>
      </c>
      <c r="I186" s="124" t="s">
        <v>7265</v>
      </c>
      <c r="J186" s="124" t="s">
        <v>7303</v>
      </c>
      <c r="K186" s="90"/>
      <c r="L186" s="58"/>
      <c r="M186" s="58"/>
      <c r="N186" s="58"/>
      <c r="O186" s="58"/>
      <c r="P186" s="58"/>
      <c r="Q186" s="58"/>
      <c r="R186" s="58"/>
      <c r="S186" s="58"/>
      <c r="T186" s="58"/>
      <c r="U186" s="58"/>
      <c r="V186" s="58"/>
      <c r="W186" s="58"/>
      <c r="X186" s="58"/>
      <c r="Y186" s="58"/>
      <c r="Z186" s="58"/>
    </row>
    <row r="187" ht="25.5" spans="1:26">
      <c r="A187" s="99" t="s">
        <v>1975</v>
      </c>
      <c r="B187" s="100" t="s">
        <v>132</v>
      </c>
      <c r="C187" s="100" t="s">
        <v>1976</v>
      </c>
      <c r="D187" s="100" t="s">
        <v>4227</v>
      </c>
      <c r="E187" s="101" t="s">
        <v>134</v>
      </c>
      <c r="F187" s="123" t="s">
        <v>6676</v>
      </c>
      <c r="G187" s="124" t="s">
        <v>7304</v>
      </c>
      <c r="H187" s="124" t="s">
        <v>7305</v>
      </c>
      <c r="I187" s="124" t="s">
        <v>7265</v>
      </c>
      <c r="J187" s="124" t="s">
        <v>7306</v>
      </c>
      <c r="K187" s="90"/>
      <c r="L187" s="58"/>
      <c r="M187" s="58"/>
      <c r="N187" s="58"/>
      <c r="O187" s="58"/>
      <c r="P187" s="58"/>
      <c r="Q187" s="58"/>
      <c r="R187" s="58"/>
      <c r="S187" s="58"/>
      <c r="T187" s="58"/>
      <c r="U187" s="58"/>
      <c r="V187" s="58"/>
      <c r="W187" s="58"/>
      <c r="X187" s="58"/>
      <c r="Y187" s="58"/>
      <c r="Z187" s="58"/>
    </row>
    <row r="188" ht="25.5" spans="1:26">
      <c r="A188" s="99" t="s">
        <v>1796</v>
      </c>
      <c r="B188" s="100" t="s">
        <v>132</v>
      </c>
      <c r="C188" s="100" t="s">
        <v>1797</v>
      </c>
      <c r="D188" s="100" t="s">
        <v>4227</v>
      </c>
      <c r="E188" s="101" t="s">
        <v>134</v>
      </c>
      <c r="F188" s="123" t="s">
        <v>7307</v>
      </c>
      <c r="G188" s="124" t="s">
        <v>7058</v>
      </c>
      <c r="H188" s="124" t="s">
        <v>7308</v>
      </c>
      <c r="I188" s="124" t="s">
        <v>7309</v>
      </c>
      <c r="J188" s="124" t="s">
        <v>7310</v>
      </c>
      <c r="K188" s="90"/>
      <c r="L188" s="58"/>
      <c r="M188" s="58"/>
      <c r="N188" s="58"/>
      <c r="O188" s="58"/>
      <c r="P188" s="58"/>
      <c r="Q188" s="58"/>
      <c r="R188" s="58"/>
      <c r="S188" s="58"/>
      <c r="T188" s="58"/>
      <c r="U188" s="58"/>
      <c r="V188" s="58"/>
      <c r="W188" s="58"/>
      <c r="X188" s="58"/>
      <c r="Y188" s="58"/>
      <c r="Z188" s="58"/>
    </row>
    <row r="189" ht="76.5" spans="1:26">
      <c r="A189" s="99" t="s">
        <v>1402</v>
      </c>
      <c r="B189" s="100" t="s">
        <v>132</v>
      </c>
      <c r="C189" s="100" t="s">
        <v>1403</v>
      </c>
      <c r="D189" s="100" t="s">
        <v>3177</v>
      </c>
      <c r="E189" s="101" t="s">
        <v>134</v>
      </c>
      <c r="F189" s="123" t="s">
        <v>6603</v>
      </c>
      <c r="G189" s="124" t="s">
        <v>7311</v>
      </c>
      <c r="H189" s="124" t="s">
        <v>7311</v>
      </c>
      <c r="I189" s="124" t="s">
        <v>7309</v>
      </c>
      <c r="J189" s="124" t="s">
        <v>7312</v>
      </c>
      <c r="K189" s="90"/>
      <c r="L189" s="58"/>
      <c r="M189" s="58"/>
      <c r="N189" s="58"/>
      <c r="O189" s="58"/>
      <c r="P189" s="58"/>
      <c r="Q189" s="58"/>
      <c r="R189" s="58"/>
      <c r="S189" s="58"/>
      <c r="T189" s="58"/>
      <c r="U189" s="58"/>
      <c r="V189" s="58"/>
      <c r="W189" s="58"/>
      <c r="X189" s="58"/>
      <c r="Y189" s="58"/>
      <c r="Z189" s="58"/>
    </row>
    <row r="190" ht="25.5" spans="1:26">
      <c r="A190" s="99" t="s">
        <v>917</v>
      </c>
      <c r="B190" s="100" t="s">
        <v>132</v>
      </c>
      <c r="C190" s="100" t="s">
        <v>918</v>
      </c>
      <c r="D190" s="100" t="s">
        <v>3129</v>
      </c>
      <c r="E190" s="101" t="s">
        <v>134</v>
      </c>
      <c r="F190" s="123" t="s">
        <v>7313</v>
      </c>
      <c r="G190" s="124" t="s">
        <v>7314</v>
      </c>
      <c r="H190" s="124" t="s">
        <v>7315</v>
      </c>
      <c r="I190" s="124" t="s">
        <v>7309</v>
      </c>
      <c r="J190" s="124" t="s">
        <v>7316</v>
      </c>
      <c r="K190" s="90"/>
      <c r="L190" s="58"/>
      <c r="M190" s="58"/>
      <c r="N190" s="58"/>
      <c r="O190" s="58"/>
      <c r="P190" s="58"/>
      <c r="Q190" s="58"/>
      <c r="R190" s="58"/>
      <c r="S190" s="58"/>
      <c r="T190" s="58"/>
      <c r="U190" s="58"/>
      <c r="V190" s="58"/>
      <c r="W190" s="58"/>
      <c r="X190" s="58"/>
      <c r="Y190" s="58"/>
      <c r="Z190" s="58"/>
    </row>
    <row r="191" ht="38.25" spans="1:26">
      <c r="A191" s="99" t="s">
        <v>1002</v>
      </c>
      <c r="B191" s="100" t="s">
        <v>132</v>
      </c>
      <c r="C191" s="100" t="s">
        <v>1003</v>
      </c>
      <c r="D191" s="100">
        <v>15</v>
      </c>
      <c r="E191" s="101" t="s">
        <v>204</v>
      </c>
      <c r="F191" s="123" t="s">
        <v>7317</v>
      </c>
      <c r="G191" s="124" t="s">
        <v>7318</v>
      </c>
      <c r="H191" s="124" t="s">
        <v>7319</v>
      </c>
      <c r="I191" s="124" t="s">
        <v>7309</v>
      </c>
      <c r="J191" s="124" t="s">
        <v>7320</v>
      </c>
      <c r="K191" s="90"/>
      <c r="L191" s="58"/>
      <c r="M191" s="58"/>
      <c r="N191" s="58"/>
      <c r="O191" s="58"/>
      <c r="P191" s="58"/>
      <c r="Q191" s="58"/>
      <c r="R191" s="58"/>
      <c r="S191" s="58"/>
      <c r="T191" s="58"/>
      <c r="U191" s="58"/>
      <c r="V191" s="58"/>
      <c r="W191" s="58"/>
      <c r="X191" s="58"/>
      <c r="Y191" s="58"/>
      <c r="Z191" s="58"/>
    </row>
    <row r="192" ht="25.5" spans="1:26">
      <c r="A192" s="99" t="s">
        <v>2852</v>
      </c>
      <c r="B192" s="100" t="s">
        <v>132</v>
      </c>
      <c r="C192" s="100" t="s">
        <v>2853</v>
      </c>
      <c r="D192" s="100">
        <v>202</v>
      </c>
      <c r="E192" s="101" t="s">
        <v>134</v>
      </c>
      <c r="F192" s="123" t="s">
        <v>7321</v>
      </c>
      <c r="G192" s="124" t="s">
        <v>7322</v>
      </c>
      <c r="H192" s="124" t="s">
        <v>7323</v>
      </c>
      <c r="I192" s="124" t="s">
        <v>7309</v>
      </c>
      <c r="J192" s="124" t="s">
        <v>7324</v>
      </c>
      <c r="K192" s="90"/>
      <c r="L192" s="58"/>
      <c r="M192" s="58"/>
      <c r="N192" s="58"/>
      <c r="O192" s="58"/>
      <c r="P192" s="58"/>
      <c r="Q192" s="58"/>
      <c r="R192" s="58"/>
      <c r="S192" s="58"/>
      <c r="T192" s="58"/>
      <c r="U192" s="58"/>
      <c r="V192" s="58"/>
      <c r="W192" s="58"/>
      <c r="X192" s="58"/>
      <c r="Y192" s="58"/>
      <c r="Z192" s="58"/>
    </row>
    <row r="193" ht="38.25" spans="1:26">
      <c r="A193" s="99" t="s">
        <v>1148</v>
      </c>
      <c r="B193" s="100" t="s">
        <v>139</v>
      </c>
      <c r="C193" s="100" t="s">
        <v>1149</v>
      </c>
      <c r="D193" s="100" t="s">
        <v>3303</v>
      </c>
      <c r="E193" s="101" t="s">
        <v>279</v>
      </c>
      <c r="F193" s="123" t="s">
        <v>7325</v>
      </c>
      <c r="G193" s="124" t="s">
        <v>7326</v>
      </c>
      <c r="H193" s="124" t="s">
        <v>7327</v>
      </c>
      <c r="I193" s="124" t="s">
        <v>7309</v>
      </c>
      <c r="J193" s="124" t="s">
        <v>7328</v>
      </c>
      <c r="K193" s="90"/>
      <c r="L193" s="58"/>
      <c r="M193" s="58"/>
      <c r="N193" s="58"/>
      <c r="O193" s="58"/>
      <c r="P193" s="58"/>
      <c r="Q193" s="58"/>
      <c r="R193" s="58"/>
      <c r="S193" s="58"/>
      <c r="T193" s="58"/>
      <c r="U193" s="58"/>
      <c r="V193" s="58"/>
      <c r="W193" s="58"/>
      <c r="X193" s="58"/>
      <c r="Y193" s="58"/>
      <c r="Z193" s="58"/>
    </row>
    <row r="194" ht="51" spans="1:26">
      <c r="A194" s="99" t="s">
        <v>1500</v>
      </c>
      <c r="B194" s="100" t="s">
        <v>77</v>
      </c>
      <c r="C194" s="100" t="s">
        <v>1501</v>
      </c>
      <c r="D194" s="100">
        <v>14</v>
      </c>
      <c r="E194" s="101" t="s">
        <v>141</v>
      </c>
      <c r="F194" s="123" t="s">
        <v>7329</v>
      </c>
      <c r="G194" s="124" t="s">
        <v>7330</v>
      </c>
      <c r="H194" s="124" t="s">
        <v>7331</v>
      </c>
      <c r="I194" s="124" t="s">
        <v>7309</v>
      </c>
      <c r="J194" s="124" t="s">
        <v>7332</v>
      </c>
      <c r="K194" s="90"/>
      <c r="L194" s="58"/>
      <c r="M194" s="58"/>
      <c r="N194" s="58"/>
      <c r="O194" s="58"/>
      <c r="P194" s="58"/>
      <c r="Q194" s="58"/>
      <c r="R194" s="58"/>
      <c r="S194" s="58"/>
      <c r="T194" s="58"/>
      <c r="U194" s="58"/>
      <c r="V194" s="58"/>
      <c r="W194" s="58"/>
      <c r="X194" s="58"/>
      <c r="Y194" s="58"/>
      <c r="Z194" s="58"/>
    </row>
    <row r="195" ht="25.5" spans="1:26">
      <c r="A195" s="99" t="s">
        <v>1304</v>
      </c>
      <c r="B195" s="100" t="s">
        <v>132</v>
      </c>
      <c r="C195" s="100" t="s">
        <v>1305</v>
      </c>
      <c r="D195" s="100">
        <v>61.15</v>
      </c>
      <c r="E195" s="101" t="s">
        <v>134</v>
      </c>
      <c r="F195" s="123" t="s">
        <v>6603</v>
      </c>
      <c r="G195" s="124" t="s">
        <v>7333</v>
      </c>
      <c r="H195" s="124" t="s">
        <v>7333</v>
      </c>
      <c r="I195" s="124" t="s">
        <v>7309</v>
      </c>
      <c r="J195" s="124" t="s">
        <v>7334</v>
      </c>
      <c r="K195" s="90"/>
      <c r="L195" s="58"/>
      <c r="M195" s="58"/>
      <c r="N195" s="58"/>
      <c r="O195" s="58"/>
      <c r="P195" s="58"/>
      <c r="Q195" s="58"/>
      <c r="R195" s="58"/>
      <c r="S195" s="58"/>
      <c r="T195" s="58"/>
      <c r="U195" s="58"/>
      <c r="V195" s="58"/>
      <c r="W195" s="58"/>
      <c r="X195" s="58"/>
      <c r="Y195" s="58"/>
      <c r="Z195" s="58"/>
    </row>
    <row r="196" ht="25.5" spans="1:26">
      <c r="A196" s="99" t="s">
        <v>1972</v>
      </c>
      <c r="B196" s="100" t="s">
        <v>132</v>
      </c>
      <c r="C196" s="100" t="s">
        <v>1973</v>
      </c>
      <c r="D196" s="100" t="s">
        <v>4227</v>
      </c>
      <c r="E196" s="101" t="s">
        <v>134</v>
      </c>
      <c r="F196" s="123" t="s">
        <v>6676</v>
      </c>
      <c r="G196" s="124" t="s">
        <v>7335</v>
      </c>
      <c r="H196" s="124" t="s">
        <v>7336</v>
      </c>
      <c r="I196" s="124" t="s">
        <v>7309</v>
      </c>
      <c r="J196" s="124" t="s">
        <v>7337</v>
      </c>
      <c r="K196" s="90"/>
      <c r="L196" s="58"/>
      <c r="M196" s="58"/>
      <c r="N196" s="58"/>
      <c r="O196" s="58"/>
      <c r="P196" s="58"/>
      <c r="Q196" s="58"/>
      <c r="R196" s="58"/>
      <c r="S196" s="58"/>
      <c r="T196" s="58"/>
      <c r="U196" s="58"/>
      <c r="V196" s="58"/>
      <c r="W196" s="58"/>
      <c r="X196" s="58"/>
      <c r="Y196" s="58"/>
      <c r="Z196" s="58"/>
    </row>
    <row r="197" ht="38.25" spans="1:26">
      <c r="A197" s="99" t="s">
        <v>2205</v>
      </c>
      <c r="B197" s="100" t="s">
        <v>132</v>
      </c>
      <c r="C197" s="100" t="s">
        <v>2206</v>
      </c>
      <c r="D197" s="100" t="s">
        <v>3996</v>
      </c>
      <c r="E197" s="101" t="s">
        <v>134</v>
      </c>
      <c r="F197" s="123" t="s">
        <v>7214</v>
      </c>
      <c r="G197" s="124" t="s">
        <v>7338</v>
      </c>
      <c r="H197" s="124" t="s">
        <v>7339</v>
      </c>
      <c r="I197" s="124" t="s">
        <v>7309</v>
      </c>
      <c r="J197" s="124" t="s">
        <v>7340</v>
      </c>
      <c r="K197" s="90"/>
      <c r="L197" s="58"/>
      <c r="M197" s="58"/>
      <c r="N197" s="58"/>
      <c r="O197" s="58"/>
      <c r="P197" s="58"/>
      <c r="Q197" s="58"/>
      <c r="R197" s="58"/>
      <c r="S197" s="58"/>
      <c r="T197" s="58"/>
      <c r="U197" s="58"/>
      <c r="V197" s="58"/>
      <c r="W197" s="58"/>
      <c r="X197" s="58"/>
      <c r="Y197" s="58"/>
      <c r="Z197" s="58"/>
    </row>
    <row r="198" spans="1:26">
      <c r="A198" s="99" t="s">
        <v>1757</v>
      </c>
      <c r="B198" s="100" t="s">
        <v>77</v>
      </c>
      <c r="C198" s="100" t="s">
        <v>1758</v>
      </c>
      <c r="D198" s="100">
        <v>15</v>
      </c>
      <c r="E198" s="101" t="s">
        <v>134</v>
      </c>
      <c r="F198" s="123" t="s">
        <v>7341</v>
      </c>
      <c r="G198" s="124" t="s">
        <v>7342</v>
      </c>
      <c r="H198" s="124" t="s">
        <v>7343</v>
      </c>
      <c r="I198" s="124" t="s">
        <v>7309</v>
      </c>
      <c r="J198" s="124" t="s">
        <v>7344</v>
      </c>
      <c r="K198" s="90"/>
      <c r="L198" s="58"/>
      <c r="M198" s="58"/>
      <c r="N198" s="58"/>
      <c r="O198" s="58"/>
      <c r="P198" s="58"/>
      <c r="Q198" s="58"/>
      <c r="R198" s="58"/>
      <c r="S198" s="58"/>
      <c r="T198" s="58"/>
      <c r="U198" s="58"/>
      <c r="V198" s="58"/>
      <c r="W198" s="58"/>
      <c r="X198" s="58"/>
      <c r="Y198" s="58"/>
      <c r="Z198" s="58"/>
    </row>
    <row r="199" ht="25.5" spans="1:26">
      <c r="A199" s="99" t="s">
        <v>1068</v>
      </c>
      <c r="B199" s="100" t="s">
        <v>132</v>
      </c>
      <c r="C199" s="100" t="s">
        <v>1069</v>
      </c>
      <c r="D199" s="100">
        <v>15</v>
      </c>
      <c r="E199" s="101" t="s">
        <v>204</v>
      </c>
      <c r="F199" s="123" t="s">
        <v>7345</v>
      </c>
      <c r="G199" s="124" t="s">
        <v>7346</v>
      </c>
      <c r="H199" s="124" t="s">
        <v>7347</v>
      </c>
      <c r="I199" s="124" t="s">
        <v>7309</v>
      </c>
      <c r="J199" s="124" t="s">
        <v>7348</v>
      </c>
      <c r="K199" s="90"/>
      <c r="L199" s="58"/>
      <c r="M199" s="58"/>
      <c r="N199" s="58"/>
      <c r="O199" s="58"/>
      <c r="P199" s="58"/>
      <c r="Q199" s="58"/>
      <c r="R199" s="58"/>
      <c r="S199" s="58"/>
      <c r="T199" s="58"/>
      <c r="U199" s="58"/>
      <c r="V199" s="58"/>
      <c r="W199" s="58"/>
      <c r="X199" s="58"/>
      <c r="Y199" s="58"/>
      <c r="Z199" s="58"/>
    </row>
    <row r="200" spans="1:26">
      <c r="A200" s="99" t="s">
        <v>152</v>
      </c>
      <c r="B200" s="100" t="s">
        <v>139</v>
      </c>
      <c r="C200" s="100" t="s">
        <v>153</v>
      </c>
      <c r="D200" s="100" t="s">
        <v>2992</v>
      </c>
      <c r="E200" s="101" t="s">
        <v>141</v>
      </c>
      <c r="F200" s="123" t="s">
        <v>7349</v>
      </c>
      <c r="G200" s="124" t="s">
        <v>7350</v>
      </c>
      <c r="H200" s="124" t="s">
        <v>7351</v>
      </c>
      <c r="I200" s="124" t="s">
        <v>7309</v>
      </c>
      <c r="J200" s="124" t="s">
        <v>7352</v>
      </c>
      <c r="K200" s="90"/>
      <c r="L200" s="58"/>
      <c r="M200" s="58"/>
      <c r="N200" s="58"/>
      <c r="O200" s="58"/>
      <c r="P200" s="58"/>
      <c r="Q200" s="58"/>
      <c r="R200" s="58"/>
      <c r="S200" s="58"/>
      <c r="T200" s="58"/>
      <c r="U200" s="58"/>
      <c r="V200" s="58"/>
      <c r="W200" s="58"/>
      <c r="X200" s="58"/>
      <c r="Y200" s="58"/>
      <c r="Z200" s="58"/>
    </row>
    <row r="201" ht="25.5" spans="1:26">
      <c r="A201" s="99" t="s">
        <v>2706</v>
      </c>
      <c r="B201" s="100" t="s">
        <v>139</v>
      </c>
      <c r="C201" s="100" t="s">
        <v>2707</v>
      </c>
      <c r="D201" s="100" t="s">
        <v>5153</v>
      </c>
      <c r="E201" s="101" t="s">
        <v>204</v>
      </c>
      <c r="F201" s="123" t="s">
        <v>7353</v>
      </c>
      <c r="G201" s="124" t="s">
        <v>7354</v>
      </c>
      <c r="H201" s="124" t="s">
        <v>7355</v>
      </c>
      <c r="I201" s="124" t="s">
        <v>7309</v>
      </c>
      <c r="J201" s="124" t="s">
        <v>7356</v>
      </c>
      <c r="K201" s="90"/>
      <c r="L201" s="58"/>
      <c r="M201" s="58"/>
      <c r="N201" s="58"/>
      <c r="O201" s="58"/>
      <c r="P201" s="58"/>
      <c r="Q201" s="58"/>
      <c r="R201" s="58"/>
      <c r="S201" s="58"/>
      <c r="T201" s="58"/>
      <c r="U201" s="58"/>
      <c r="V201" s="58"/>
      <c r="W201" s="58"/>
      <c r="X201" s="58"/>
      <c r="Y201" s="58"/>
      <c r="Z201" s="58"/>
    </row>
    <row r="202" ht="25.5" spans="1:26">
      <c r="A202" s="99" t="s">
        <v>1414</v>
      </c>
      <c r="B202" s="100" t="s">
        <v>132</v>
      </c>
      <c r="C202" s="100" t="s">
        <v>1415</v>
      </c>
      <c r="D202" s="100" t="s">
        <v>4227</v>
      </c>
      <c r="E202" s="101" t="s">
        <v>134</v>
      </c>
      <c r="F202" s="123" t="s">
        <v>6603</v>
      </c>
      <c r="G202" s="124" t="s">
        <v>7357</v>
      </c>
      <c r="H202" s="124" t="s">
        <v>7357</v>
      </c>
      <c r="I202" s="124" t="s">
        <v>7358</v>
      </c>
      <c r="J202" s="124" t="s">
        <v>7359</v>
      </c>
      <c r="K202" s="90"/>
      <c r="L202" s="58"/>
      <c r="M202" s="58"/>
      <c r="N202" s="58"/>
      <c r="O202" s="58"/>
      <c r="P202" s="58"/>
      <c r="Q202" s="58"/>
      <c r="R202" s="58"/>
      <c r="S202" s="58"/>
      <c r="T202" s="58"/>
      <c r="U202" s="58"/>
      <c r="V202" s="58"/>
      <c r="W202" s="58"/>
      <c r="X202" s="58"/>
      <c r="Y202" s="58"/>
      <c r="Z202" s="58"/>
    </row>
    <row r="203" ht="25.5" spans="1:26">
      <c r="A203" s="99" t="s">
        <v>1410</v>
      </c>
      <c r="B203" s="100" t="s">
        <v>132</v>
      </c>
      <c r="C203" s="100" t="s">
        <v>1411</v>
      </c>
      <c r="D203" s="100" t="s">
        <v>4227</v>
      </c>
      <c r="E203" s="101" t="s">
        <v>134</v>
      </c>
      <c r="F203" s="123" t="s">
        <v>6603</v>
      </c>
      <c r="G203" s="124" t="s">
        <v>7357</v>
      </c>
      <c r="H203" s="124" t="s">
        <v>7357</v>
      </c>
      <c r="I203" s="124" t="s">
        <v>7358</v>
      </c>
      <c r="J203" s="124" t="s">
        <v>7360</v>
      </c>
      <c r="K203" s="90"/>
      <c r="L203" s="58"/>
      <c r="M203" s="58"/>
      <c r="N203" s="58"/>
      <c r="O203" s="58"/>
      <c r="P203" s="58"/>
      <c r="Q203" s="58"/>
      <c r="R203" s="58"/>
      <c r="S203" s="58"/>
      <c r="T203" s="58"/>
      <c r="U203" s="58"/>
      <c r="V203" s="58"/>
      <c r="W203" s="58"/>
      <c r="X203" s="58"/>
      <c r="Y203" s="58"/>
      <c r="Z203" s="58"/>
    </row>
    <row r="204" ht="25.5" spans="1:26">
      <c r="A204" s="99" t="s">
        <v>1978</v>
      </c>
      <c r="B204" s="100" t="s">
        <v>132</v>
      </c>
      <c r="C204" s="100" t="s">
        <v>1979</v>
      </c>
      <c r="D204" s="100" t="s">
        <v>4227</v>
      </c>
      <c r="E204" s="101" t="s">
        <v>134</v>
      </c>
      <c r="F204" s="123" t="s">
        <v>6603</v>
      </c>
      <c r="G204" s="124" t="s">
        <v>7361</v>
      </c>
      <c r="H204" s="124" t="s">
        <v>7361</v>
      </c>
      <c r="I204" s="124" t="s">
        <v>7358</v>
      </c>
      <c r="J204" s="124" t="s">
        <v>7362</v>
      </c>
      <c r="K204" s="90"/>
      <c r="L204" s="58"/>
      <c r="M204" s="58"/>
      <c r="N204" s="58"/>
      <c r="O204" s="58"/>
      <c r="P204" s="58"/>
      <c r="Q204" s="58"/>
      <c r="R204" s="58"/>
      <c r="S204" s="58"/>
      <c r="T204" s="58"/>
      <c r="U204" s="58"/>
      <c r="V204" s="58"/>
      <c r="W204" s="58"/>
      <c r="X204" s="58"/>
      <c r="Y204" s="58"/>
      <c r="Z204" s="58"/>
    </row>
    <row r="205" ht="25.5" spans="1:26">
      <c r="A205" s="99" t="s">
        <v>1107</v>
      </c>
      <c r="B205" s="100" t="s">
        <v>139</v>
      </c>
      <c r="C205" s="100" t="s">
        <v>1108</v>
      </c>
      <c r="D205" s="100" t="s">
        <v>3235</v>
      </c>
      <c r="E205" s="101" t="s">
        <v>134</v>
      </c>
      <c r="F205" s="123" t="s">
        <v>7363</v>
      </c>
      <c r="G205" s="124" t="s">
        <v>7364</v>
      </c>
      <c r="H205" s="124" t="s">
        <v>7365</v>
      </c>
      <c r="I205" s="124" t="s">
        <v>7358</v>
      </c>
      <c r="J205" s="124" t="s">
        <v>7366</v>
      </c>
      <c r="K205" s="90"/>
      <c r="L205" s="58"/>
      <c r="M205" s="58"/>
      <c r="N205" s="58"/>
      <c r="O205" s="58"/>
      <c r="P205" s="58"/>
      <c r="Q205" s="58"/>
      <c r="R205" s="58"/>
      <c r="S205" s="58"/>
      <c r="T205" s="58"/>
      <c r="U205" s="58"/>
      <c r="V205" s="58"/>
      <c r="W205" s="58"/>
      <c r="X205" s="58"/>
      <c r="Y205" s="58"/>
      <c r="Z205" s="58"/>
    </row>
    <row r="206" ht="25.5" spans="1:26">
      <c r="A206" s="99" t="s">
        <v>2689</v>
      </c>
      <c r="B206" s="100" t="s">
        <v>139</v>
      </c>
      <c r="C206" s="100" t="s">
        <v>2690</v>
      </c>
      <c r="D206" s="100" t="s">
        <v>3013</v>
      </c>
      <c r="E206" s="101" t="s">
        <v>204</v>
      </c>
      <c r="F206" s="123" t="s">
        <v>7367</v>
      </c>
      <c r="G206" s="124" t="s">
        <v>7368</v>
      </c>
      <c r="H206" s="124" t="s">
        <v>7369</v>
      </c>
      <c r="I206" s="124" t="s">
        <v>7358</v>
      </c>
      <c r="J206" s="124" t="s">
        <v>7370</v>
      </c>
      <c r="K206" s="90"/>
      <c r="L206" s="58"/>
      <c r="M206" s="58"/>
      <c r="N206" s="58"/>
      <c r="O206" s="58"/>
      <c r="P206" s="58"/>
      <c r="Q206" s="58"/>
      <c r="R206" s="58"/>
      <c r="S206" s="58"/>
      <c r="T206" s="58"/>
      <c r="U206" s="58"/>
      <c r="V206" s="58"/>
      <c r="W206" s="58"/>
      <c r="X206" s="58"/>
      <c r="Y206" s="58"/>
      <c r="Z206" s="58"/>
    </row>
    <row r="207" ht="25.5" spans="1:26">
      <c r="A207" s="99" t="s">
        <v>902</v>
      </c>
      <c r="B207" s="100" t="s">
        <v>132</v>
      </c>
      <c r="C207" s="100" t="s">
        <v>903</v>
      </c>
      <c r="D207" s="100" t="s">
        <v>3129</v>
      </c>
      <c r="E207" s="101" t="s">
        <v>134</v>
      </c>
      <c r="F207" s="123" t="s">
        <v>7371</v>
      </c>
      <c r="G207" s="124" t="s">
        <v>7372</v>
      </c>
      <c r="H207" s="124" t="s">
        <v>7373</v>
      </c>
      <c r="I207" s="124" t="s">
        <v>7358</v>
      </c>
      <c r="J207" s="124" t="s">
        <v>7374</v>
      </c>
      <c r="K207" s="90"/>
      <c r="L207" s="58"/>
      <c r="M207" s="58"/>
      <c r="N207" s="58"/>
      <c r="O207" s="58"/>
      <c r="P207" s="58"/>
      <c r="Q207" s="58"/>
      <c r="R207" s="58"/>
      <c r="S207" s="58"/>
      <c r="T207" s="58"/>
      <c r="U207" s="58"/>
      <c r="V207" s="58"/>
      <c r="W207" s="58"/>
      <c r="X207" s="58"/>
      <c r="Y207" s="58"/>
      <c r="Z207" s="58"/>
    </row>
    <row r="208" ht="25.5" spans="1:26">
      <c r="A208" s="99" t="s">
        <v>1948</v>
      </c>
      <c r="B208" s="100" t="s">
        <v>132</v>
      </c>
      <c r="C208" s="100" t="s">
        <v>1949</v>
      </c>
      <c r="D208" s="100" t="s">
        <v>4227</v>
      </c>
      <c r="E208" s="101" t="s">
        <v>134</v>
      </c>
      <c r="F208" s="123" t="s">
        <v>7375</v>
      </c>
      <c r="G208" s="124" t="s">
        <v>7376</v>
      </c>
      <c r="H208" s="124" t="s">
        <v>7377</v>
      </c>
      <c r="I208" s="124" t="s">
        <v>7358</v>
      </c>
      <c r="J208" s="124" t="s">
        <v>7378</v>
      </c>
      <c r="K208" s="90"/>
      <c r="L208" s="58"/>
      <c r="M208" s="58"/>
      <c r="N208" s="58"/>
      <c r="O208" s="58"/>
      <c r="P208" s="58"/>
      <c r="Q208" s="58"/>
      <c r="R208" s="58"/>
      <c r="S208" s="58"/>
      <c r="T208" s="58"/>
      <c r="U208" s="58"/>
      <c r="V208" s="58"/>
      <c r="W208" s="58"/>
      <c r="X208" s="58"/>
      <c r="Y208" s="58"/>
      <c r="Z208" s="58"/>
    </row>
    <row r="209" ht="25.5" spans="1:26">
      <c r="A209" s="99" t="s">
        <v>530</v>
      </c>
      <c r="B209" s="100" t="s">
        <v>139</v>
      </c>
      <c r="C209" s="100" t="s">
        <v>531</v>
      </c>
      <c r="D209" s="100" t="s">
        <v>3427</v>
      </c>
      <c r="E209" s="101" t="s">
        <v>393</v>
      </c>
      <c r="F209" s="123" t="s">
        <v>7379</v>
      </c>
      <c r="G209" s="124" t="s">
        <v>7380</v>
      </c>
      <c r="H209" s="124" t="s">
        <v>7381</v>
      </c>
      <c r="I209" s="124" t="s">
        <v>7358</v>
      </c>
      <c r="J209" s="124" t="s">
        <v>7382</v>
      </c>
      <c r="K209" s="90"/>
      <c r="L209" s="58"/>
      <c r="M209" s="58"/>
      <c r="N209" s="58"/>
      <c r="O209" s="58"/>
      <c r="P209" s="58"/>
      <c r="Q209" s="58"/>
      <c r="R209" s="58"/>
      <c r="S209" s="58"/>
      <c r="T209" s="58"/>
      <c r="U209" s="58"/>
      <c r="V209" s="58"/>
      <c r="W209" s="58"/>
      <c r="X209" s="58"/>
      <c r="Y209" s="58"/>
      <c r="Z209" s="58"/>
    </row>
    <row r="210" ht="25.5" spans="1:26">
      <c r="A210" s="99" t="s">
        <v>1840</v>
      </c>
      <c r="B210" s="100" t="s">
        <v>132</v>
      </c>
      <c r="C210" s="100" t="s">
        <v>1841</v>
      </c>
      <c r="D210" s="100" t="s">
        <v>4227</v>
      </c>
      <c r="E210" s="101" t="s">
        <v>134</v>
      </c>
      <c r="F210" s="123" t="s">
        <v>6725</v>
      </c>
      <c r="G210" s="124" t="s">
        <v>7383</v>
      </c>
      <c r="H210" s="124" t="s">
        <v>7384</v>
      </c>
      <c r="I210" s="124" t="s">
        <v>7358</v>
      </c>
      <c r="J210" s="124" t="s">
        <v>7385</v>
      </c>
      <c r="K210" s="90"/>
      <c r="L210" s="58"/>
      <c r="M210" s="58"/>
      <c r="N210" s="58"/>
      <c r="O210" s="58"/>
      <c r="P210" s="58"/>
      <c r="Q210" s="58"/>
      <c r="R210" s="58"/>
      <c r="S210" s="58"/>
      <c r="T210" s="58"/>
      <c r="U210" s="58"/>
      <c r="V210" s="58"/>
      <c r="W210" s="58"/>
      <c r="X210" s="58"/>
      <c r="Y210" s="58"/>
      <c r="Z210" s="58"/>
    </row>
    <row r="211" ht="25.5" spans="1:26">
      <c r="A211" s="99" t="s">
        <v>473</v>
      </c>
      <c r="B211" s="100" t="s">
        <v>139</v>
      </c>
      <c r="C211" s="100" t="s">
        <v>474</v>
      </c>
      <c r="D211" s="100" t="s">
        <v>3375</v>
      </c>
      <c r="E211" s="101" t="s">
        <v>141</v>
      </c>
      <c r="F211" s="123" t="s">
        <v>7386</v>
      </c>
      <c r="G211" s="124" t="s">
        <v>7387</v>
      </c>
      <c r="H211" s="124" t="s">
        <v>7388</v>
      </c>
      <c r="I211" s="124" t="s">
        <v>7358</v>
      </c>
      <c r="J211" s="124" t="s">
        <v>7389</v>
      </c>
      <c r="K211" s="90"/>
      <c r="L211" s="58"/>
      <c r="M211" s="58"/>
      <c r="N211" s="58"/>
      <c r="O211" s="58"/>
      <c r="P211" s="58"/>
      <c r="Q211" s="58"/>
      <c r="R211" s="58"/>
      <c r="S211" s="58"/>
      <c r="T211" s="58"/>
      <c r="U211" s="58"/>
      <c r="V211" s="58"/>
      <c r="W211" s="58"/>
      <c r="X211" s="58"/>
      <c r="Y211" s="58"/>
      <c r="Z211" s="58"/>
    </row>
    <row r="212" ht="25.5" spans="1:26">
      <c r="A212" s="99" t="s">
        <v>1982</v>
      </c>
      <c r="B212" s="100" t="s">
        <v>132</v>
      </c>
      <c r="C212" s="100" t="s">
        <v>1983</v>
      </c>
      <c r="D212" s="100" t="s">
        <v>4227</v>
      </c>
      <c r="E212" s="101" t="s">
        <v>134</v>
      </c>
      <c r="F212" s="123" t="s">
        <v>6603</v>
      </c>
      <c r="G212" s="124" t="s">
        <v>7390</v>
      </c>
      <c r="H212" s="124" t="s">
        <v>7390</v>
      </c>
      <c r="I212" s="124" t="s">
        <v>7358</v>
      </c>
      <c r="J212" s="124" t="s">
        <v>7391</v>
      </c>
      <c r="K212" s="90"/>
      <c r="L212" s="58"/>
      <c r="M212" s="58"/>
      <c r="N212" s="58"/>
      <c r="O212" s="58"/>
      <c r="P212" s="58"/>
      <c r="Q212" s="58"/>
      <c r="R212" s="58"/>
      <c r="S212" s="58"/>
      <c r="T212" s="58"/>
      <c r="U212" s="58"/>
      <c r="V212" s="58"/>
      <c r="W212" s="58"/>
      <c r="X212" s="58"/>
      <c r="Y212" s="58"/>
      <c r="Z212" s="58"/>
    </row>
    <row r="213" ht="25.5" spans="1:26">
      <c r="A213" s="99" t="s">
        <v>1259</v>
      </c>
      <c r="B213" s="100" t="s">
        <v>149</v>
      </c>
      <c r="C213" s="100" t="s">
        <v>1260</v>
      </c>
      <c r="D213" s="100" t="s">
        <v>4029</v>
      </c>
      <c r="E213" s="101" t="s">
        <v>204</v>
      </c>
      <c r="F213" s="123" t="s">
        <v>7392</v>
      </c>
      <c r="G213" s="124" t="s">
        <v>7393</v>
      </c>
      <c r="H213" s="124" t="s">
        <v>7394</v>
      </c>
      <c r="I213" s="124" t="s">
        <v>7358</v>
      </c>
      <c r="J213" s="124" t="s">
        <v>7062</v>
      </c>
      <c r="K213" s="90"/>
      <c r="L213" s="58"/>
      <c r="M213" s="58"/>
      <c r="N213" s="58"/>
      <c r="O213" s="58"/>
      <c r="P213" s="58"/>
      <c r="Q213" s="58"/>
      <c r="R213" s="58"/>
      <c r="S213" s="58"/>
      <c r="T213" s="58"/>
      <c r="U213" s="58"/>
      <c r="V213" s="58"/>
      <c r="W213" s="58"/>
      <c r="X213" s="58"/>
      <c r="Y213" s="58"/>
      <c r="Z213" s="58"/>
    </row>
    <row r="214" ht="38.25" spans="1:26">
      <c r="A214" s="99" t="s">
        <v>2221</v>
      </c>
      <c r="B214" s="100" t="s">
        <v>132</v>
      </c>
      <c r="C214" s="100" t="s">
        <v>2222</v>
      </c>
      <c r="D214" s="100">
        <v>70</v>
      </c>
      <c r="E214" s="101" t="s">
        <v>134</v>
      </c>
      <c r="F214" s="123" t="s">
        <v>6603</v>
      </c>
      <c r="G214" s="124" t="s">
        <v>7395</v>
      </c>
      <c r="H214" s="124" t="s">
        <v>7395</v>
      </c>
      <c r="I214" s="124" t="s">
        <v>7358</v>
      </c>
      <c r="J214" s="124" t="s">
        <v>7396</v>
      </c>
      <c r="K214" s="90"/>
      <c r="L214" s="58"/>
      <c r="M214" s="58"/>
      <c r="N214" s="58"/>
      <c r="O214" s="58"/>
      <c r="P214" s="58"/>
      <c r="Q214" s="58"/>
      <c r="R214" s="58"/>
      <c r="S214" s="58"/>
      <c r="T214" s="58"/>
      <c r="U214" s="58"/>
      <c r="V214" s="58"/>
      <c r="W214" s="58"/>
      <c r="X214" s="58"/>
      <c r="Y214" s="58"/>
      <c r="Z214" s="58"/>
    </row>
    <row r="215" ht="76.5" spans="1:26">
      <c r="A215" s="99" t="s">
        <v>1363</v>
      </c>
      <c r="B215" s="100" t="s">
        <v>132</v>
      </c>
      <c r="C215" s="100" t="s">
        <v>1364</v>
      </c>
      <c r="D215" s="100" t="s">
        <v>3177</v>
      </c>
      <c r="E215" s="101" t="s">
        <v>134</v>
      </c>
      <c r="F215" s="123" t="s">
        <v>6603</v>
      </c>
      <c r="G215" s="124" t="s">
        <v>7397</v>
      </c>
      <c r="H215" s="124" t="s">
        <v>7397</v>
      </c>
      <c r="I215" s="124" t="s">
        <v>7358</v>
      </c>
      <c r="J215" s="124" t="s">
        <v>7398</v>
      </c>
      <c r="K215" s="90"/>
      <c r="L215" s="58"/>
      <c r="M215" s="58"/>
      <c r="N215" s="58"/>
      <c r="O215" s="58"/>
      <c r="P215" s="58"/>
      <c r="Q215" s="58"/>
      <c r="R215" s="58"/>
      <c r="S215" s="58"/>
      <c r="T215" s="58"/>
      <c r="U215" s="58"/>
      <c r="V215" s="58"/>
      <c r="W215" s="58"/>
      <c r="X215" s="58"/>
      <c r="Y215" s="58"/>
      <c r="Z215" s="58"/>
    </row>
    <row r="216" ht="38.25" spans="1:26">
      <c r="A216" s="99" t="s">
        <v>1286</v>
      </c>
      <c r="B216" s="100" t="s">
        <v>132</v>
      </c>
      <c r="C216" s="100" t="s">
        <v>1287</v>
      </c>
      <c r="D216" s="100" t="s">
        <v>3177</v>
      </c>
      <c r="E216" s="101" t="s">
        <v>204</v>
      </c>
      <c r="F216" s="123" t="s">
        <v>7399</v>
      </c>
      <c r="G216" s="124" t="s">
        <v>7400</v>
      </c>
      <c r="H216" s="124" t="s">
        <v>7401</v>
      </c>
      <c r="I216" s="124" t="s">
        <v>7358</v>
      </c>
      <c r="J216" s="124" t="s">
        <v>7402</v>
      </c>
      <c r="K216" s="90"/>
      <c r="L216" s="58"/>
      <c r="M216" s="58"/>
      <c r="N216" s="58"/>
      <c r="O216" s="58"/>
      <c r="P216" s="58"/>
      <c r="Q216" s="58"/>
      <c r="R216" s="58"/>
      <c r="S216" s="58"/>
      <c r="T216" s="58"/>
      <c r="U216" s="58"/>
      <c r="V216" s="58"/>
      <c r="W216" s="58"/>
      <c r="X216" s="58"/>
      <c r="Y216" s="58"/>
      <c r="Z216" s="58"/>
    </row>
    <row r="217" ht="38.25" spans="1:26">
      <c r="A217" s="99" t="s">
        <v>664</v>
      </c>
      <c r="B217" s="100" t="s">
        <v>132</v>
      </c>
      <c r="C217" s="100" t="s">
        <v>665</v>
      </c>
      <c r="D217" s="100" t="s">
        <v>3505</v>
      </c>
      <c r="E217" s="101" t="s">
        <v>134</v>
      </c>
      <c r="F217" s="123" t="s">
        <v>7101</v>
      </c>
      <c r="G217" s="124" t="s">
        <v>7403</v>
      </c>
      <c r="H217" s="124" t="s">
        <v>7404</v>
      </c>
      <c r="I217" s="124" t="s">
        <v>7358</v>
      </c>
      <c r="J217" s="124" t="s">
        <v>7405</v>
      </c>
      <c r="K217" s="90"/>
      <c r="L217" s="58"/>
      <c r="M217" s="58"/>
      <c r="N217" s="58"/>
      <c r="O217" s="58"/>
      <c r="P217" s="58"/>
      <c r="Q217" s="58"/>
      <c r="R217" s="58"/>
      <c r="S217" s="58"/>
      <c r="T217" s="58"/>
      <c r="U217" s="58"/>
      <c r="V217" s="58"/>
      <c r="W217" s="58"/>
      <c r="X217" s="58"/>
      <c r="Y217" s="58"/>
      <c r="Z217" s="58"/>
    </row>
    <row r="218" ht="25.5" spans="1:26">
      <c r="A218" s="99" t="s">
        <v>1915</v>
      </c>
      <c r="B218" s="100" t="s">
        <v>132</v>
      </c>
      <c r="C218" s="100" t="s">
        <v>1916</v>
      </c>
      <c r="D218" s="100" t="s">
        <v>4629</v>
      </c>
      <c r="E218" s="101" t="s">
        <v>204</v>
      </c>
      <c r="F218" s="123" t="s">
        <v>7406</v>
      </c>
      <c r="G218" s="124" t="s">
        <v>7407</v>
      </c>
      <c r="H218" s="124" t="s">
        <v>7408</v>
      </c>
      <c r="I218" s="124" t="s">
        <v>7358</v>
      </c>
      <c r="J218" s="124" t="s">
        <v>7409</v>
      </c>
      <c r="K218" s="90"/>
      <c r="L218" s="58"/>
      <c r="M218" s="58"/>
      <c r="N218" s="58"/>
      <c r="O218" s="58"/>
      <c r="P218" s="58"/>
      <c r="Q218" s="58"/>
      <c r="R218" s="58"/>
      <c r="S218" s="58"/>
      <c r="T218" s="58"/>
      <c r="U218" s="58"/>
      <c r="V218" s="58"/>
      <c r="W218" s="58"/>
      <c r="X218" s="58"/>
      <c r="Y218" s="58"/>
      <c r="Z218" s="58"/>
    </row>
    <row r="219" ht="25.5" spans="1:26">
      <c r="A219" s="99" t="s">
        <v>1825</v>
      </c>
      <c r="B219" s="100" t="s">
        <v>132</v>
      </c>
      <c r="C219" s="100" t="s">
        <v>1826</v>
      </c>
      <c r="D219" s="100" t="s">
        <v>4227</v>
      </c>
      <c r="E219" s="101" t="s">
        <v>134</v>
      </c>
      <c r="F219" s="123" t="s">
        <v>7410</v>
      </c>
      <c r="G219" s="124" t="s">
        <v>7411</v>
      </c>
      <c r="H219" s="124" t="s">
        <v>7412</v>
      </c>
      <c r="I219" s="124" t="s">
        <v>7358</v>
      </c>
      <c r="J219" s="124" t="s">
        <v>7413</v>
      </c>
      <c r="K219" s="90"/>
      <c r="L219" s="58"/>
      <c r="M219" s="58"/>
      <c r="N219" s="58"/>
      <c r="O219" s="58"/>
      <c r="P219" s="58"/>
      <c r="Q219" s="58"/>
      <c r="R219" s="58"/>
      <c r="S219" s="58"/>
      <c r="T219" s="58"/>
      <c r="U219" s="58"/>
      <c r="V219" s="58"/>
      <c r="W219" s="58"/>
      <c r="X219" s="58"/>
      <c r="Y219" s="58"/>
      <c r="Z219" s="58"/>
    </row>
    <row r="220" ht="25.5" spans="1:26">
      <c r="A220" s="99" t="s">
        <v>206</v>
      </c>
      <c r="B220" s="100" t="s">
        <v>139</v>
      </c>
      <c r="C220" s="100" t="s">
        <v>207</v>
      </c>
      <c r="D220" s="100" t="s">
        <v>3112</v>
      </c>
      <c r="E220" s="101" t="s">
        <v>141</v>
      </c>
      <c r="F220" s="123" t="s">
        <v>7414</v>
      </c>
      <c r="G220" s="124" t="s">
        <v>7415</v>
      </c>
      <c r="H220" s="124" t="s">
        <v>7416</v>
      </c>
      <c r="I220" s="124" t="s">
        <v>7358</v>
      </c>
      <c r="J220" s="124" t="s">
        <v>7417</v>
      </c>
      <c r="K220" s="90"/>
      <c r="L220" s="58"/>
      <c r="M220" s="58"/>
      <c r="N220" s="58"/>
      <c r="O220" s="58"/>
      <c r="P220" s="58"/>
      <c r="Q220" s="58"/>
      <c r="R220" s="58"/>
      <c r="S220" s="58"/>
      <c r="T220" s="58"/>
      <c r="U220" s="58"/>
      <c r="V220" s="58"/>
      <c r="W220" s="58"/>
      <c r="X220" s="58"/>
      <c r="Y220" s="58"/>
      <c r="Z220" s="58"/>
    </row>
    <row r="221" ht="25.5" spans="1:26">
      <c r="A221" s="99" t="s">
        <v>2456</v>
      </c>
      <c r="B221" s="100" t="s">
        <v>139</v>
      </c>
      <c r="C221" s="100" t="s">
        <v>2457</v>
      </c>
      <c r="D221" s="100" t="s">
        <v>4909</v>
      </c>
      <c r="E221" s="101" t="s">
        <v>204</v>
      </c>
      <c r="F221" s="123" t="s">
        <v>7418</v>
      </c>
      <c r="G221" s="124" t="s">
        <v>7419</v>
      </c>
      <c r="H221" s="124" t="s">
        <v>7420</v>
      </c>
      <c r="I221" s="124" t="s">
        <v>7421</v>
      </c>
      <c r="J221" s="124" t="s">
        <v>7422</v>
      </c>
      <c r="K221" s="90"/>
      <c r="L221" s="58"/>
      <c r="M221" s="58"/>
      <c r="N221" s="58"/>
      <c r="O221" s="58"/>
      <c r="P221" s="58"/>
      <c r="Q221" s="58"/>
      <c r="R221" s="58"/>
      <c r="S221" s="58"/>
      <c r="T221" s="58"/>
      <c r="U221" s="58"/>
      <c r="V221" s="58"/>
      <c r="W221" s="58"/>
      <c r="X221" s="58"/>
      <c r="Y221" s="58"/>
      <c r="Z221" s="58"/>
    </row>
    <row r="222" ht="38.25" spans="1:26">
      <c r="A222" s="99" t="s">
        <v>999</v>
      </c>
      <c r="B222" s="100" t="s">
        <v>132</v>
      </c>
      <c r="C222" s="100" t="s">
        <v>1000</v>
      </c>
      <c r="D222" s="100">
        <v>15</v>
      </c>
      <c r="E222" s="101" t="s">
        <v>204</v>
      </c>
      <c r="F222" s="123" t="s">
        <v>7423</v>
      </c>
      <c r="G222" s="124" t="s">
        <v>7424</v>
      </c>
      <c r="H222" s="124" t="s">
        <v>7425</v>
      </c>
      <c r="I222" s="124" t="s">
        <v>7421</v>
      </c>
      <c r="J222" s="124" t="s">
        <v>7426</v>
      </c>
      <c r="K222" s="90"/>
      <c r="L222" s="58"/>
      <c r="M222" s="58"/>
      <c r="N222" s="58"/>
      <c r="O222" s="58"/>
      <c r="P222" s="58"/>
      <c r="Q222" s="58"/>
      <c r="R222" s="58"/>
      <c r="S222" s="58"/>
      <c r="T222" s="58"/>
      <c r="U222" s="58"/>
      <c r="V222" s="58"/>
      <c r="W222" s="58"/>
      <c r="X222" s="58"/>
      <c r="Y222" s="58"/>
      <c r="Z222" s="58"/>
    </row>
    <row r="223" ht="76.5" spans="1:26">
      <c r="A223" s="99" t="s">
        <v>1379</v>
      </c>
      <c r="B223" s="100" t="s">
        <v>132</v>
      </c>
      <c r="C223" s="100" t="s">
        <v>1380</v>
      </c>
      <c r="D223" s="100" t="s">
        <v>3177</v>
      </c>
      <c r="E223" s="101" t="s">
        <v>134</v>
      </c>
      <c r="F223" s="123" t="s">
        <v>6603</v>
      </c>
      <c r="G223" s="124" t="s">
        <v>7427</v>
      </c>
      <c r="H223" s="124" t="s">
        <v>7427</v>
      </c>
      <c r="I223" s="124" t="s">
        <v>7421</v>
      </c>
      <c r="J223" s="124" t="s">
        <v>7428</v>
      </c>
      <c r="K223" s="90"/>
      <c r="L223" s="58"/>
      <c r="M223" s="58"/>
      <c r="N223" s="58"/>
      <c r="O223" s="58"/>
      <c r="P223" s="58"/>
      <c r="Q223" s="58"/>
      <c r="R223" s="58"/>
      <c r="S223" s="58"/>
      <c r="T223" s="58"/>
      <c r="U223" s="58"/>
      <c r="V223" s="58"/>
      <c r="W223" s="58"/>
      <c r="X223" s="58"/>
      <c r="Y223" s="58"/>
      <c r="Z223" s="58"/>
    </row>
    <row r="224" ht="38.25" spans="1:26">
      <c r="A224" s="99" t="s">
        <v>1119</v>
      </c>
      <c r="B224" s="100" t="s">
        <v>132</v>
      </c>
      <c r="C224" s="100" t="s">
        <v>1120</v>
      </c>
      <c r="D224" s="100" t="s">
        <v>3177</v>
      </c>
      <c r="E224" s="101" t="s">
        <v>134</v>
      </c>
      <c r="F224" s="123" t="s">
        <v>7429</v>
      </c>
      <c r="G224" s="124" t="s">
        <v>7430</v>
      </c>
      <c r="H224" s="124" t="s">
        <v>7431</v>
      </c>
      <c r="I224" s="124" t="s">
        <v>7421</v>
      </c>
      <c r="J224" s="124" t="s">
        <v>7432</v>
      </c>
      <c r="K224" s="90"/>
      <c r="L224" s="58"/>
      <c r="M224" s="58"/>
      <c r="N224" s="58"/>
      <c r="O224" s="58"/>
      <c r="P224" s="58"/>
      <c r="Q224" s="58"/>
      <c r="R224" s="58"/>
      <c r="S224" s="58"/>
      <c r="T224" s="58"/>
      <c r="U224" s="58"/>
      <c r="V224" s="58"/>
      <c r="W224" s="58"/>
      <c r="X224" s="58"/>
      <c r="Y224" s="58"/>
      <c r="Z224" s="58"/>
    </row>
    <row r="225" ht="25.5" spans="1:26">
      <c r="A225" s="99" t="s">
        <v>1736</v>
      </c>
      <c r="B225" s="100" t="s">
        <v>139</v>
      </c>
      <c r="C225" s="100" t="s">
        <v>1737</v>
      </c>
      <c r="D225" s="100" t="s">
        <v>3235</v>
      </c>
      <c r="E225" s="101" t="s">
        <v>134</v>
      </c>
      <c r="F225" s="123" t="s">
        <v>7433</v>
      </c>
      <c r="G225" s="124" t="s">
        <v>7434</v>
      </c>
      <c r="H225" s="124" t="s">
        <v>7435</v>
      </c>
      <c r="I225" s="124" t="s">
        <v>7421</v>
      </c>
      <c r="J225" s="124" t="s">
        <v>7436</v>
      </c>
      <c r="K225" s="90"/>
      <c r="L225" s="58"/>
      <c r="M225" s="58"/>
      <c r="N225" s="58"/>
      <c r="O225" s="58"/>
      <c r="P225" s="58"/>
      <c r="Q225" s="58"/>
      <c r="R225" s="58"/>
      <c r="S225" s="58"/>
      <c r="T225" s="58"/>
      <c r="U225" s="58"/>
      <c r="V225" s="58"/>
      <c r="W225" s="58"/>
      <c r="X225" s="58"/>
      <c r="Y225" s="58"/>
      <c r="Z225" s="58"/>
    </row>
    <row r="226" ht="38.25" spans="1:26">
      <c r="A226" s="99" t="s">
        <v>2217</v>
      </c>
      <c r="B226" s="100" t="s">
        <v>132</v>
      </c>
      <c r="C226" s="100" t="s">
        <v>2218</v>
      </c>
      <c r="D226" s="100">
        <v>70</v>
      </c>
      <c r="E226" s="101" t="s">
        <v>134</v>
      </c>
      <c r="F226" s="123" t="s">
        <v>6603</v>
      </c>
      <c r="G226" s="124" t="s">
        <v>7437</v>
      </c>
      <c r="H226" s="124" t="s">
        <v>7437</v>
      </c>
      <c r="I226" s="124" t="s">
        <v>7421</v>
      </c>
      <c r="J226" s="124" t="s">
        <v>7438</v>
      </c>
      <c r="K226" s="90"/>
      <c r="L226" s="58"/>
      <c r="M226" s="58"/>
      <c r="N226" s="58"/>
      <c r="O226" s="58"/>
      <c r="P226" s="58"/>
      <c r="Q226" s="58"/>
      <c r="R226" s="58"/>
      <c r="S226" s="58"/>
      <c r="T226" s="58"/>
      <c r="U226" s="58"/>
      <c r="V226" s="58"/>
      <c r="W226" s="58"/>
      <c r="X226" s="58"/>
      <c r="Y226" s="58"/>
      <c r="Z226" s="58"/>
    </row>
    <row r="227" ht="25.5" spans="1:26">
      <c r="A227" s="99" t="s">
        <v>1921</v>
      </c>
      <c r="B227" s="100" t="s">
        <v>132</v>
      </c>
      <c r="C227" s="100" t="s">
        <v>1922</v>
      </c>
      <c r="D227" s="100" t="s">
        <v>4629</v>
      </c>
      <c r="E227" s="101" t="s">
        <v>204</v>
      </c>
      <c r="F227" s="123" t="s">
        <v>7439</v>
      </c>
      <c r="G227" s="124" t="s">
        <v>7440</v>
      </c>
      <c r="H227" s="124" t="s">
        <v>7441</v>
      </c>
      <c r="I227" s="124" t="s">
        <v>7421</v>
      </c>
      <c r="J227" s="124" t="s">
        <v>7442</v>
      </c>
      <c r="K227" s="90"/>
      <c r="L227" s="58"/>
      <c r="M227" s="58"/>
      <c r="N227" s="58"/>
      <c r="O227" s="58"/>
      <c r="P227" s="58"/>
      <c r="Q227" s="58"/>
      <c r="R227" s="58"/>
      <c r="S227" s="58"/>
      <c r="T227" s="58"/>
      <c r="U227" s="58"/>
      <c r="V227" s="58"/>
      <c r="W227" s="58"/>
      <c r="X227" s="58"/>
      <c r="Y227" s="58"/>
      <c r="Z227" s="58"/>
    </row>
    <row r="228" ht="25.5" spans="1:26">
      <c r="A228" s="99" t="s">
        <v>697</v>
      </c>
      <c r="B228" s="100" t="s">
        <v>132</v>
      </c>
      <c r="C228" s="100" t="s">
        <v>698</v>
      </c>
      <c r="D228" s="100" t="s">
        <v>3505</v>
      </c>
      <c r="E228" s="101" t="s">
        <v>134</v>
      </c>
      <c r="F228" s="123" t="s">
        <v>7073</v>
      </c>
      <c r="G228" s="124" t="s">
        <v>7443</v>
      </c>
      <c r="H228" s="124" t="s">
        <v>7444</v>
      </c>
      <c r="I228" s="124" t="s">
        <v>7421</v>
      </c>
      <c r="J228" s="124" t="s">
        <v>7445</v>
      </c>
      <c r="K228" s="90"/>
      <c r="L228" s="58"/>
      <c r="M228" s="58"/>
      <c r="N228" s="58"/>
      <c r="O228" s="58"/>
      <c r="P228" s="58"/>
      <c r="Q228" s="58"/>
      <c r="R228" s="58"/>
      <c r="S228" s="58"/>
      <c r="T228" s="58"/>
      <c r="U228" s="58"/>
      <c r="V228" s="58"/>
      <c r="W228" s="58"/>
      <c r="X228" s="58"/>
      <c r="Y228" s="58"/>
      <c r="Z228" s="58"/>
    </row>
    <row r="229" ht="76.5" spans="1:26">
      <c r="A229" s="99" t="s">
        <v>1351</v>
      </c>
      <c r="B229" s="100" t="s">
        <v>132</v>
      </c>
      <c r="C229" s="100" t="s">
        <v>1352</v>
      </c>
      <c r="D229" s="100" t="s">
        <v>3177</v>
      </c>
      <c r="E229" s="101" t="s">
        <v>134</v>
      </c>
      <c r="F229" s="123" t="s">
        <v>6603</v>
      </c>
      <c r="G229" s="124" t="s">
        <v>7446</v>
      </c>
      <c r="H229" s="124" t="s">
        <v>7446</v>
      </c>
      <c r="I229" s="124" t="s">
        <v>7421</v>
      </c>
      <c r="J229" s="124" t="s">
        <v>7447</v>
      </c>
      <c r="K229" s="90"/>
      <c r="L229" s="58"/>
      <c r="M229" s="58"/>
      <c r="N229" s="58"/>
      <c r="O229" s="58"/>
      <c r="P229" s="58"/>
      <c r="Q229" s="58"/>
      <c r="R229" s="58"/>
      <c r="S229" s="58"/>
      <c r="T229" s="58"/>
      <c r="U229" s="58"/>
      <c r="V229" s="58"/>
      <c r="W229" s="58"/>
      <c r="X229" s="58"/>
      <c r="Y229" s="58"/>
      <c r="Z229" s="58"/>
    </row>
    <row r="230" ht="76.5" spans="1:26">
      <c r="A230" s="99" t="s">
        <v>1390</v>
      </c>
      <c r="B230" s="100" t="s">
        <v>132</v>
      </c>
      <c r="C230" s="100" t="s">
        <v>1391</v>
      </c>
      <c r="D230" s="100" t="s">
        <v>3177</v>
      </c>
      <c r="E230" s="101" t="s">
        <v>134</v>
      </c>
      <c r="F230" s="123" t="s">
        <v>6603</v>
      </c>
      <c r="G230" s="124" t="s">
        <v>7448</v>
      </c>
      <c r="H230" s="124" t="s">
        <v>7448</v>
      </c>
      <c r="I230" s="124" t="s">
        <v>7421</v>
      </c>
      <c r="J230" s="124" t="s">
        <v>7449</v>
      </c>
      <c r="K230" s="90"/>
      <c r="L230" s="58"/>
      <c r="M230" s="58"/>
      <c r="N230" s="58"/>
      <c r="O230" s="58"/>
      <c r="P230" s="58"/>
      <c r="Q230" s="58"/>
      <c r="R230" s="58"/>
      <c r="S230" s="58"/>
      <c r="T230" s="58"/>
      <c r="U230" s="58"/>
      <c r="V230" s="58"/>
      <c r="W230" s="58"/>
      <c r="X230" s="58"/>
      <c r="Y230" s="58"/>
      <c r="Z230" s="58"/>
    </row>
    <row r="231" ht="63.75" spans="1:26">
      <c r="A231" s="99" t="s">
        <v>2163</v>
      </c>
      <c r="B231" s="100" t="s">
        <v>132</v>
      </c>
      <c r="C231" s="100" t="s">
        <v>2164</v>
      </c>
      <c r="D231" s="100" t="s">
        <v>4227</v>
      </c>
      <c r="E231" s="101" t="s">
        <v>134</v>
      </c>
      <c r="F231" s="123" t="s">
        <v>6603</v>
      </c>
      <c r="G231" s="124" t="s">
        <v>7450</v>
      </c>
      <c r="H231" s="124" t="s">
        <v>7450</v>
      </c>
      <c r="I231" s="124" t="s">
        <v>7421</v>
      </c>
      <c r="J231" s="124" t="s">
        <v>7451</v>
      </c>
      <c r="K231" s="90"/>
      <c r="L231" s="58"/>
      <c r="M231" s="58"/>
      <c r="N231" s="58"/>
      <c r="O231" s="58"/>
      <c r="P231" s="58"/>
      <c r="Q231" s="58"/>
      <c r="R231" s="58"/>
      <c r="S231" s="58"/>
      <c r="T231" s="58"/>
      <c r="U231" s="58"/>
      <c r="V231" s="58"/>
      <c r="W231" s="58"/>
      <c r="X231" s="58"/>
      <c r="Y231" s="58"/>
      <c r="Z231" s="58"/>
    </row>
    <row r="232" ht="63.75" spans="1:26">
      <c r="A232" s="99" t="s">
        <v>2170</v>
      </c>
      <c r="B232" s="100" t="s">
        <v>132</v>
      </c>
      <c r="C232" s="100" t="s">
        <v>2171</v>
      </c>
      <c r="D232" s="100" t="s">
        <v>4227</v>
      </c>
      <c r="E232" s="101" t="s">
        <v>134</v>
      </c>
      <c r="F232" s="123" t="s">
        <v>6603</v>
      </c>
      <c r="G232" s="124" t="s">
        <v>7450</v>
      </c>
      <c r="H232" s="124" t="s">
        <v>7450</v>
      </c>
      <c r="I232" s="124" t="s">
        <v>7421</v>
      </c>
      <c r="J232" s="124" t="s">
        <v>7452</v>
      </c>
      <c r="K232" s="90"/>
      <c r="L232" s="58"/>
      <c r="M232" s="58"/>
      <c r="N232" s="58"/>
      <c r="O232" s="58"/>
      <c r="P232" s="58"/>
      <c r="Q232" s="58"/>
      <c r="R232" s="58"/>
      <c r="S232" s="58"/>
      <c r="T232" s="58"/>
      <c r="U232" s="58"/>
      <c r="V232" s="58"/>
      <c r="W232" s="58"/>
      <c r="X232" s="58"/>
      <c r="Y232" s="58"/>
      <c r="Z232" s="58"/>
    </row>
    <row r="233" ht="25.5" spans="1:26">
      <c r="A233" s="99" t="s">
        <v>1151</v>
      </c>
      <c r="B233" s="100" t="s">
        <v>139</v>
      </c>
      <c r="C233" s="100" t="s">
        <v>1152</v>
      </c>
      <c r="D233" s="100" t="s">
        <v>4073</v>
      </c>
      <c r="E233" s="101" t="s">
        <v>204</v>
      </c>
      <c r="F233" s="123" t="s">
        <v>7453</v>
      </c>
      <c r="G233" s="124" t="s">
        <v>7454</v>
      </c>
      <c r="H233" s="124" t="s">
        <v>7455</v>
      </c>
      <c r="I233" s="124" t="s">
        <v>7421</v>
      </c>
      <c r="J233" s="124" t="s">
        <v>7456</v>
      </c>
      <c r="K233" s="90"/>
      <c r="L233" s="58"/>
      <c r="M233" s="58"/>
      <c r="N233" s="58"/>
      <c r="O233" s="58"/>
      <c r="P233" s="58"/>
      <c r="Q233" s="58"/>
      <c r="R233" s="58"/>
      <c r="S233" s="58"/>
      <c r="T233" s="58"/>
      <c r="U233" s="58"/>
      <c r="V233" s="58"/>
      <c r="W233" s="58"/>
      <c r="X233" s="58"/>
      <c r="Y233" s="58"/>
      <c r="Z233" s="58"/>
    </row>
    <row r="234" ht="25.5" spans="1:26">
      <c r="A234" s="99" t="s">
        <v>736</v>
      </c>
      <c r="B234" s="100" t="s">
        <v>77</v>
      </c>
      <c r="C234" s="100" t="s">
        <v>737</v>
      </c>
      <c r="D234" s="100">
        <v>14</v>
      </c>
      <c r="E234" s="101" t="s">
        <v>141</v>
      </c>
      <c r="F234" s="123" t="s">
        <v>7457</v>
      </c>
      <c r="G234" s="124" t="s">
        <v>7458</v>
      </c>
      <c r="H234" s="124" t="s">
        <v>7459</v>
      </c>
      <c r="I234" s="124" t="s">
        <v>7421</v>
      </c>
      <c r="J234" s="124" t="s">
        <v>7460</v>
      </c>
      <c r="K234" s="90"/>
      <c r="L234" s="58"/>
      <c r="M234" s="58"/>
      <c r="N234" s="58"/>
      <c r="O234" s="58"/>
      <c r="P234" s="58"/>
      <c r="Q234" s="58"/>
      <c r="R234" s="58"/>
      <c r="S234" s="58"/>
      <c r="T234" s="58"/>
      <c r="U234" s="58"/>
      <c r="V234" s="58"/>
      <c r="W234" s="58"/>
      <c r="X234" s="58"/>
      <c r="Y234" s="58"/>
      <c r="Z234" s="58"/>
    </row>
    <row r="235" spans="1:26">
      <c r="A235" s="99" t="s">
        <v>2719</v>
      </c>
      <c r="B235" s="100" t="s">
        <v>139</v>
      </c>
      <c r="C235" s="100" t="s">
        <v>2720</v>
      </c>
      <c r="D235" s="100" t="s">
        <v>2961</v>
      </c>
      <c r="E235" s="101" t="s">
        <v>279</v>
      </c>
      <c r="F235" s="123" t="s">
        <v>7461</v>
      </c>
      <c r="G235" s="124" t="s">
        <v>7462</v>
      </c>
      <c r="H235" s="124" t="s">
        <v>7463</v>
      </c>
      <c r="I235" s="124" t="s">
        <v>7421</v>
      </c>
      <c r="J235" s="124" t="s">
        <v>7464</v>
      </c>
      <c r="K235" s="90"/>
      <c r="L235" s="58"/>
      <c r="M235" s="58"/>
      <c r="N235" s="58"/>
      <c r="O235" s="58"/>
      <c r="P235" s="58"/>
      <c r="Q235" s="58"/>
      <c r="R235" s="58"/>
      <c r="S235" s="58"/>
      <c r="T235" s="58"/>
      <c r="U235" s="58"/>
      <c r="V235" s="58"/>
      <c r="W235" s="58"/>
      <c r="X235" s="58"/>
      <c r="Y235" s="58"/>
      <c r="Z235" s="58"/>
    </row>
    <row r="236" ht="25.5" spans="1:26">
      <c r="A236" s="99" t="s">
        <v>2741</v>
      </c>
      <c r="B236" s="100" t="s">
        <v>139</v>
      </c>
      <c r="C236" s="100" t="s">
        <v>2742</v>
      </c>
      <c r="D236" s="100" t="s">
        <v>5177</v>
      </c>
      <c r="E236" s="101" t="s">
        <v>141</v>
      </c>
      <c r="F236" s="123" t="s">
        <v>7465</v>
      </c>
      <c r="G236" s="124" t="s">
        <v>7466</v>
      </c>
      <c r="H236" s="124" t="s">
        <v>7467</v>
      </c>
      <c r="I236" s="124" t="s">
        <v>7421</v>
      </c>
      <c r="J236" s="124" t="s">
        <v>7468</v>
      </c>
      <c r="K236" s="90"/>
      <c r="L236" s="58"/>
      <c r="M236" s="58"/>
      <c r="N236" s="58"/>
      <c r="O236" s="58"/>
      <c r="P236" s="58"/>
      <c r="Q236" s="58"/>
      <c r="R236" s="58"/>
      <c r="S236" s="58"/>
      <c r="T236" s="58"/>
      <c r="U236" s="58"/>
      <c r="V236" s="58"/>
      <c r="W236" s="58"/>
      <c r="X236" s="58"/>
      <c r="Y236" s="58"/>
      <c r="Z236" s="58"/>
    </row>
    <row r="237" ht="25.5" spans="1:26">
      <c r="A237" s="99" t="s">
        <v>515</v>
      </c>
      <c r="B237" s="100" t="s">
        <v>139</v>
      </c>
      <c r="C237" s="100" t="s">
        <v>516</v>
      </c>
      <c r="D237" s="100" t="s">
        <v>3390</v>
      </c>
      <c r="E237" s="101" t="s">
        <v>141</v>
      </c>
      <c r="F237" s="123" t="s">
        <v>7469</v>
      </c>
      <c r="G237" s="124" t="s">
        <v>7470</v>
      </c>
      <c r="H237" s="124" t="s">
        <v>7471</v>
      </c>
      <c r="I237" s="124" t="s">
        <v>7421</v>
      </c>
      <c r="J237" s="124" t="s">
        <v>7472</v>
      </c>
      <c r="K237" s="90"/>
      <c r="L237" s="58"/>
      <c r="M237" s="58"/>
      <c r="N237" s="58"/>
      <c r="O237" s="58"/>
      <c r="P237" s="58"/>
      <c r="Q237" s="58"/>
      <c r="R237" s="58"/>
      <c r="S237" s="58"/>
      <c r="T237" s="58"/>
      <c r="U237" s="58"/>
      <c r="V237" s="58"/>
      <c r="W237" s="58"/>
      <c r="X237" s="58"/>
      <c r="Y237" s="58"/>
      <c r="Z237" s="58"/>
    </row>
    <row r="238" ht="38.25" spans="1:26">
      <c r="A238" s="99" t="s">
        <v>1145</v>
      </c>
      <c r="B238" s="100" t="s">
        <v>139</v>
      </c>
      <c r="C238" s="100" t="s">
        <v>1146</v>
      </c>
      <c r="D238" s="100" t="s">
        <v>3215</v>
      </c>
      <c r="E238" s="101" t="s">
        <v>279</v>
      </c>
      <c r="F238" s="123" t="s">
        <v>7473</v>
      </c>
      <c r="G238" s="124" t="s">
        <v>7474</v>
      </c>
      <c r="H238" s="124" t="s">
        <v>7475</v>
      </c>
      <c r="I238" s="124" t="s">
        <v>7421</v>
      </c>
      <c r="J238" s="124" t="s">
        <v>7476</v>
      </c>
      <c r="K238" s="90"/>
      <c r="L238" s="58"/>
      <c r="M238" s="58"/>
      <c r="N238" s="58"/>
      <c r="O238" s="58"/>
      <c r="P238" s="58"/>
      <c r="Q238" s="58"/>
      <c r="R238" s="58"/>
      <c r="S238" s="58"/>
      <c r="T238" s="58"/>
      <c r="U238" s="58"/>
      <c r="V238" s="58"/>
      <c r="W238" s="58"/>
      <c r="X238" s="58"/>
      <c r="Y238" s="58"/>
      <c r="Z238" s="58"/>
    </row>
    <row r="239" ht="25.5" spans="1:26">
      <c r="A239" s="99" t="s">
        <v>1503</v>
      </c>
      <c r="B239" s="100" t="s">
        <v>132</v>
      </c>
      <c r="C239" s="100" t="s">
        <v>1504</v>
      </c>
      <c r="D239" s="100" t="s">
        <v>3996</v>
      </c>
      <c r="E239" s="101" t="s">
        <v>141</v>
      </c>
      <c r="F239" s="123" t="s">
        <v>7477</v>
      </c>
      <c r="G239" s="124" t="s">
        <v>7478</v>
      </c>
      <c r="H239" s="124" t="s">
        <v>7479</v>
      </c>
      <c r="I239" s="124" t="s">
        <v>7421</v>
      </c>
      <c r="J239" s="124" t="s">
        <v>7480</v>
      </c>
      <c r="K239" s="90"/>
      <c r="L239" s="58"/>
      <c r="M239" s="58"/>
      <c r="N239" s="58"/>
      <c r="O239" s="58"/>
      <c r="P239" s="58"/>
      <c r="Q239" s="58"/>
      <c r="R239" s="58"/>
      <c r="S239" s="58"/>
      <c r="T239" s="58"/>
      <c r="U239" s="58"/>
      <c r="V239" s="58"/>
      <c r="W239" s="58"/>
      <c r="X239" s="58"/>
      <c r="Y239" s="58"/>
      <c r="Z239" s="58"/>
    </row>
    <row r="240" ht="25.5" spans="1:26">
      <c r="A240" s="99" t="s">
        <v>1702</v>
      </c>
      <c r="B240" s="100" t="s">
        <v>77</v>
      </c>
      <c r="C240" s="100" t="s">
        <v>1703</v>
      </c>
      <c r="D240" s="100">
        <v>15</v>
      </c>
      <c r="E240" s="101" t="s">
        <v>204</v>
      </c>
      <c r="F240" s="123" t="s">
        <v>7481</v>
      </c>
      <c r="G240" s="124" t="s">
        <v>7482</v>
      </c>
      <c r="H240" s="124" t="s">
        <v>7483</v>
      </c>
      <c r="I240" s="124" t="s">
        <v>7484</v>
      </c>
      <c r="J240" s="124" t="s">
        <v>7485</v>
      </c>
      <c r="K240" s="90"/>
      <c r="L240" s="58"/>
      <c r="M240" s="58"/>
      <c r="N240" s="58"/>
      <c r="O240" s="58"/>
      <c r="P240" s="58"/>
      <c r="Q240" s="58"/>
      <c r="R240" s="58"/>
      <c r="S240" s="58"/>
      <c r="T240" s="58"/>
      <c r="U240" s="58"/>
      <c r="V240" s="58"/>
      <c r="W240" s="58"/>
      <c r="X240" s="58"/>
      <c r="Y240" s="58"/>
      <c r="Z240" s="58"/>
    </row>
    <row r="241" ht="25.5" spans="1:26">
      <c r="A241" s="99" t="s">
        <v>540</v>
      </c>
      <c r="B241" s="100" t="s">
        <v>132</v>
      </c>
      <c r="C241" s="100" t="s">
        <v>541</v>
      </c>
      <c r="D241" s="100" t="s">
        <v>3428</v>
      </c>
      <c r="E241" s="101" t="s">
        <v>279</v>
      </c>
      <c r="F241" s="123" t="s">
        <v>7486</v>
      </c>
      <c r="G241" s="124" t="s">
        <v>7487</v>
      </c>
      <c r="H241" s="124" t="s">
        <v>7488</v>
      </c>
      <c r="I241" s="124" t="s">
        <v>7484</v>
      </c>
      <c r="J241" s="124" t="s">
        <v>7489</v>
      </c>
      <c r="K241" s="90"/>
      <c r="L241" s="58"/>
      <c r="M241" s="58"/>
      <c r="N241" s="58"/>
      <c r="O241" s="58"/>
      <c r="P241" s="58"/>
      <c r="Q241" s="58"/>
      <c r="R241" s="58"/>
      <c r="S241" s="58"/>
      <c r="T241" s="58"/>
      <c r="U241" s="58"/>
      <c r="V241" s="58"/>
      <c r="W241" s="58"/>
      <c r="X241" s="58"/>
      <c r="Y241" s="58"/>
      <c r="Z241" s="58"/>
    </row>
    <row r="242" ht="25.5" spans="1:26">
      <c r="A242" s="99" t="s">
        <v>1891</v>
      </c>
      <c r="B242" s="100" t="s">
        <v>132</v>
      </c>
      <c r="C242" s="100" t="s">
        <v>1892</v>
      </c>
      <c r="D242" s="100" t="s">
        <v>3129</v>
      </c>
      <c r="E242" s="101" t="s">
        <v>134</v>
      </c>
      <c r="F242" s="123" t="s">
        <v>7490</v>
      </c>
      <c r="G242" s="124" t="s">
        <v>7491</v>
      </c>
      <c r="H242" s="124" t="s">
        <v>7492</v>
      </c>
      <c r="I242" s="124" t="s">
        <v>7484</v>
      </c>
      <c r="J242" s="124" t="s">
        <v>7493</v>
      </c>
      <c r="K242" s="90"/>
      <c r="L242" s="58"/>
      <c r="M242" s="58"/>
      <c r="N242" s="58"/>
      <c r="O242" s="58"/>
      <c r="P242" s="58"/>
      <c r="Q242" s="58"/>
      <c r="R242" s="58"/>
      <c r="S242" s="58"/>
      <c r="T242" s="58"/>
      <c r="U242" s="58"/>
      <c r="V242" s="58"/>
      <c r="W242" s="58"/>
      <c r="X242" s="58"/>
      <c r="Y242" s="58"/>
      <c r="Z242" s="58"/>
    </row>
    <row r="243" ht="25.5" spans="1:26">
      <c r="A243" s="99" t="s">
        <v>401</v>
      </c>
      <c r="B243" s="100" t="s">
        <v>139</v>
      </c>
      <c r="C243" s="100" t="s">
        <v>402</v>
      </c>
      <c r="D243" s="100" t="s">
        <v>3310</v>
      </c>
      <c r="E243" s="101" t="s">
        <v>393</v>
      </c>
      <c r="F243" s="123" t="s">
        <v>7494</v>
      </c>
      <c r="G243" s="124" t="s">
        <v>7495</v>
      </c>
      <c r="H243" s="124" t="s">
        <v>7496</v>
      </c>
      <c r="I243" s="124" t="s">
        <v>7484</v>
      </c>
      <c r="J243" s="124" t="s">
        <v>7497</v>
      </c>
      <c r="K243" s="90"/>
      <c r="L243" s="58"/>
      <c r="M243" s="58"/>
      <c r="N243" s="58"/>
      <c r="O243" s="58"/>
      <c r="P243" s="58"/>
      <c r="Q243" s="58"/>
      <c r="R243" s="58"/>
      <c r="S243" s="58"/>
      <c r="T243" s="58"/>
      <c r="U243" s="58"/>
      <c r="V243" s="58"/>
      <c r="W243" s="58"/>
      <c r="X243" s="58"/>
      <c r="Y243" s="58"/>
      <c r="Z243" s="58"/>
    </row>
    <row r="244" ht="25.5" spans="1:26">
      <c r="A244" s="99" t="s">
        <v>1942</v>
      </c>
      <c r="B244" s="100" t="s">
        <v>139</v>
      </c>
      <c r="C244" s="100" t="s">
        <v>1943</v>
      </c>
      <c r="D244" s="100" t="s">
        <v>3642</v>
      </c>
      <c r="E244" s="101" t="s">
        <v>134</v>
      </c>
      <c r="F244" s="123" t="s">
        <v>7281</v>
      </c>
      <c r="G244" s="124" t="s">
        <v>7498</v>
      </c>
      <c r="H244" s="124" t="s">
        <v>7499</v>
      </c>
      <c r="I244" s="124" t="s">
        <v>7484</v>
      </c>
      <c r="J244" s="124" t="s">
        <v>7500</v>
      </c>
      <c r="K244" s="90"/>
      <c r="L244" s="58"/>
      <c r="M244" s="58"/>
      <c r="N244" s="58"/>
      <c r="O244" s="58"/>
      <c r="P244" s="58"/>
      <c r="Q244" s="58"/>
      <c r="R244" s="58"/>
      <c r="S244" s="58"/>
      <c r="T244" s="58"/>
      <c r="U244" s="58"/>
      <c r="V244" s="58"/>
      <c r="W244" s="58"/>
      <c r="X244" s="58"/>
      <c r="Y244" s="58"/>
      <c r="Z244" s="58"/>
    </row>
    <row r="245" ht="38.25" spans="1:26">
      <c r="A245" s="99" t="s">
        <v>1163</v>
      </c>
      <c r="B245" s="100" t="s">
        <v>132</v>
      </c>
      <c r="C245" s="100" t="s">
        <v>1164</v>
      </c>
      <c r="D245" s="100" t="s">
        <v>3996</v>
      </c>
      <c r="E245" s="101" t="s">
        <v>134</v>
      </c>
      <c r="F245" s="123" t="s">
        <v>7501</v>
      </c>
      <c r="G245" s="124" t="s">
        <v>7502</v>
      </c>
      <c r="H245" s="124" t="s">
        <v>7503</v>
      </c>
      <c r="I245" s="124" t="s">
        <v>7484</v>
      </c>
      <c r="J245" s="124" t="s">
        <v>7504</v>
      </c>
      <c r="K245" s="90"/>
      <c r="L245" s="58"/>
      <c r="M245" s="58"/>
      <c r="N245" s="58"/>
      <c r="O245" s="58"/>
      <c r="P245" s="58"/>
      <c r="Q245" s="58"/>
      <c r="R245" s="58"/>
      <c r="S245" s="58"/>
      <c r="T245" s="58"/>
      <c r="U245" s="58"/>
      <c r="V245" s="58"/>
      <c r="W245" s="58"/>
      <c r="X245" s="58"/>
      <c r="Y245" s="58"/>
      <c r="Z245" s="58"/>
    </row>
    <row r="246" ht="25.5" spans="1:26">
      <c r="A246" s="99" t="s">
        <v>1999</v>
      </c>
      <c r="B246" s="100" t="s">
        <v>139</v>
      </c>
      <c r="C246" s="100" t="s">
        <v>2000</v>
      </c>
      <c r="D246" s="100" t="s">
        <v>3642</v>
      </c>
      <c r="E246" s="101" t="s">
        <v>204</v>
      </c>
      <c r="F246" s="123" t="s">
        <v>7505</v>
      </c>
      <c r="G246" s="124" t="s">
        <v>7506</v>
      </c>
      <c r="H246" s="124" t="s">
        <v>7507</v>
      </c>
      <c r="I246" s="124" t="s">
        <v>7484</v>
      </c>
      <c r="J246" s="124" t="s">
        <v>7508</v>
      </c>
      <c r="K246" s="90"/>
      <c r="L246" s="58"/>
      <c r="M246" s="58"/>
      <c r="N246" s="58"/>
      <c r="O246" s="58"/>
      <c r="P246" s="58"/>
      <c r="Q246" s="58"/>
      <c r="R246" s="58"/>
      <c r="S246" s="58"/>
      <c r="T246" s="58"/>
      <c r="U246" s="58"/>
      <c r="V246" s="58"/>
      <c r="W246" s="58"/>
      <c r="X246" s="58"/>
      <c r="Y246" s="58"/>
      <c r="Z246" s="58"/>
    </row>
    <row r="247" ht="25.5" spans="1:26">
      <c r="A247" s="99" t="s">
        <v>614</v>
      </c>
      <c r="B247" s="100" t="s">
        <v>139</v>
      </c>
      <c r="C247" s="100" t="s">
        <v>615</v>
      </c>
      <c r="D247" s="100" t="s">
        <v>3484</v>
      </c>
      <c r="E247" s="101" t="s">
        <v>141</v>
      </c>
      <c r="F247" s="123" t="s">
        <v>7509</v>
      </c>
      <c r="G247" s="124" t="s">
        <v>7510</v>
      </c>
      <c r="H247" s="124" t="s">
        <v>7511</v>
      </c>
      <c r="I247" s="124" t="s">
        <v>7484</v>
      </c>
      <c r="J247" s="124" t="s">
        <v>7512</v>
      </c>
      <c r="K247" s="90"/>
      <c r="L247" s="58"/>
      <c r="M247" s="58"/>
      <c r="N247" s="58"/>
      <c r="O247" s="58"/>
      <c r="P247" s="58"/>
      <c r="Q247" s="58"/>
      <c r="R247" s="58"/>
      <c r="S247" s="58"/>
      <c r="T247" s="58"/>
      <c r="U247" s="58"/>
      <c r="V247" s="58"/>
      <c r="W247" s="58"/>
      <c r="X247" s="58"/>
      <c r="Y247" s="58"/>
      <c r="Z247" s="58"/>
    </row>
    <row r="248" ht="25.5" spans="1:26">
      <c r="A248" s="99" t="s">
        <v>492</v>
      </c>
      <c r="B248" s="100" t="s">
        <v>139</v>
      </c>
      <c r="C248" s="100" t="s">
        <v>493</v>
      </c>
      <c r="D248" s="100" t="s">
        <v>3317</v>
      </c>
      <c r="E248" s="101" t="s">
        <v>393</v>
      </c>
      <c r="F248" s="123" t="s">
        <v>7513</v>
      </c>
      <c r="G248" s="124" t="s">
        <v>7514</v>
      </c>
      <c r="H248" s="124" t="s">
        <v>7515</v>
      </c>
      <c r="I248" s="124" t="s">
        <v>7484</v>
      </c>
      <c r="J248" s="124" t="s">
        <v>7516</v>
      </c>
      <c r="K248" s="90"/>
      <c r="L248" s="58"/>
      <c r="M248" s="58"/>
      <c r="N248" s="58"/>
      <c r="O248" s="58"/>
      <c r="P248" s="58"/>
      <c r="Q248" s="58"/>
      <c r="R248" s="58"/>
      <c r="S248" s="58"/>
      <c r="T248" s="58"/>
      <c r="U248" s="58"/>
      <c r="V248" s="58"/>
      <c r="W248" s="58"/>
      <c r="X248" s="58"/>
      <c r="Y248" s="58"/>
      <c r="Z248" s="58"/>
    </row>
    <row r="249" ht="25.5" spans="1:26">
      <c r="A249" s="99" t="s">
        <v>1945</v>
      </c>
      <c r="B249" s="100" t="s">
        <v>132</v>
      </c>
      <c r="C249" s="100" t="s">
        <v>1946</v>
      </c>
      <c r="D249" s="100">
        <v>55</v>
      </c>
      <c r="E249" s="101" t="s">
        <v>134</v>
      </c>
      <c r="F249" s="123" t="s">
        <v>6676</v>
      </c>
      <c r="G249" s="124" t="s">
        <v>7517</v>
      </c>
      <c r="H249" s="124" t="s">
        <v>7518</v>
      </c>
      <c r="I249" s="124" t="s">
        <v>7484</v>
      </c>
      <c r="J249" s="124" t="s">
        <v>7519</v>
      </c>
      <c r="K249" s="90"/>
      <c r="L249" s="58"/>
      <c r="M249" s="58"/>
      <c r="N249" s="58"/>
      <c r="O249" s="58"/>
      <c r="P249" s="58"/>
      <c r="Q249" s="58"/>
      <c r="R249" s="58"/>
      <c r="S249" s="58"/>
      <c r="T249" s="58"/>
      <c r="U249" s="58"/>
      <c r="V249" s="58"/>
      <c r="W249" s="58"/>
      <c r="X249" s="58"/>
      <c r="Y249" s="58"/>
      <c r="Z249" s="58"/>
    </row>
    <row r="250" ht="25.5" spans="1:26">
      <c r="A250" s="99" t="s">
        <v>870</v>
      </c>
      <c r="B250" s="100" t="s">
        <v>77</v>
      </c>
      <c r="C250" s="100" t="s">
        <v>871</v>
      </c>
      <c r="D250" s="100">
        <v>15</v>
      </c>
      <c r="E250" s="101" t="s">
        <v>204</v>
      </c>
      <c r="F250" s="123" t="s">
        <v>7520</v>
      </c>
      <c r="G250" s="124" t="s">
        <v>7521</v>
      </c>
      <c r="H250" s="124" t="s">
        <v>7522</v>
      </c>
      <c r="I250" s="124" t="s">
        <v>7484</v>
      </c>
      <c r="J250" s="124" t="s">
        <v>7523</v>
      </c>
      <c r="K250" s="90"/>
      <c r="L250" s="58"/>
      <c r="M250" s="58"/>
      <c r="N250" s="58"/>
      <c r="O250" s="58"/>
      <c r="P250" s="58"/>
      <c r="Q250" s="58"/>
      <c r="R250" s="58"/>
      <c r="S250" s="58"/>
      <c r="T250" s="58"/>
      <c r="U250" s="58"/>
      <c r="V250" s="58"/>
      <c r="W250" s="58"/>
      <c r="X250" s="58"/>
      <c r="Y250" s="58"/>
      <c r="Z250" s="58"/>
    </row>
    <row r="251" ht="38.25" spans="1:26">
      <c r="A251" s="99" t="s">
        <v>679</v>
      </c>
      <c r="B251" s="100" t="s">
        <v>132</v>
      </c>
      <c r="C251" s="100" t="s">
        <v>680</v>
      </c>
      <c r="D251" s="100" t="s">
        <v>3505</v>
      </c>
      <c r="E251" s="101" t="s">
        <v>141</v>
      </c>
      <c r="F251" s="123" t="s">
        <v>7524</v>
      </c>
      <c r="G251" s="124" t="s">
        <v>7525</v>
      </c>
      <c r="H251" s="124" t="s">
        <v>7526</v>
      </c>
      <c r="I251" s="124" t="s">
        <v>7484</v>
      </c>
      <c r="J251" s="124" t="s">
        <v>7527</v>
      </c>
      <c r="K251" s="90"/>
      <c r="L251" s="58"/>
      <c r="M251" s="58"/>
      <c r="N251" s="58"/>
      <c r="O251" s="58"/>
      <c r="P251" s="58"/>
      <c r="Q251" s="58"/>
      <c r="R251" s="58"/>
      <c r="S251" s="58"/>
      <c r="T251" s="58"/>
      <c r="U251" s="58"/>
      <c r="V251" s="58"/>
      <c r="W251" s="58"/>
      <c r="X251" s="58"/>
      <c r="Y251" s="58"/>
      <c r="Z251" s="58"/>
    </row>
    <row r="252" ht="25.5" spans="1:26">
      <c r="A252" s="99" t="s">
        <v>1828</v>
      </c>
      <c r="B252" s="100" t="s">
        <v>132</v>
      </c>
      <c r="C252" s="100" t="s">
        <v>1829</v>
      </c>
      <c r="D252" s="100" t="s">
        <v>4227</v>
      </c>
      <c r="E252" s="101" t="s">
        <v>134</v>
      </c>
      <c r="F252" s="123" t="s">
        <v>7410</v>
      </c>
      <c r="G252" s="124" t="s">
        <v>7528</v>
      </c>
      <c r="H252" s="124" t="s">
        <v>7529</v>
      </c>
      <c r="I252" s="124" t="s">
        <v>7484</v>
      </c>
      <c r="J252" s="124" t="s">
        <v>7530</v>
      </c>
      <c r="K252" s="90"/>
      <c r="L252" s="58"/>
      <c r="M252" s="58"/>
      <c r="N252" s="58"/>
      <c r="O252" s="58"/>
      <c r="P252" s="58"/>
      <c r="Q252" s="58"/>
      <c r="R252" s="58"/>
      <c r="S252" s="58"/>
      <c r="T252" s="58"/>
      <c r="U252" s="58"/>
      <c r="V252" s="58"/>
      <c r="W252" s="58"/>
      <c r="X252" s="58"/>
      <c r="Y252" s="58"/>
      <c r="Z252" s="58"/>
    </row>
    <row r="253" ht="38.25" spans="1:26">
      <c r="A253" s="99" t="s">
        <v>199</v>
      </c>
      <c r="B253" s="100" t="s">
        <v>139</v>
      </c>
      <c r="C253" s="100" t="s">
        <v>200</v>
      </c>
      <c r="D253" s="100" t="s">
        <v>3094</v>
      </c>
      <c r="E253" s="101" t="s">
        <v>141</v>
      </c>
      <c r="F253" s="123" t="s">
        <v>7531</v>
      </c>
      <c r="G253" s="124" t="s">
        <v>7532</v>
      </c>
      <c r="H253" s="124" t="s">
        <v>7533</v>
      </c>
      <c r="I253" s="124" t="s">
        <v>7484</v>
      </c>
      <c r="J253" s="124" t="s">
        <v>7534</v>
      </c>
      <c r="K253" s="90"/>
      <c r="L253" s="58"/>
      <c r="M253" s="58"/>
      <c r="N253" s="58"/>
      <c r="O253" s="58"/>
      <c r="P253" s="58"/>
      <c r="Q253" s="58"/>
      <c r="R253" s="58"/>
      <c r="S253" s="58"/>
      <c r="T253" s="58"/>
      <c r="U253" s="58"/>
      <c r="V253" s="58"/>
      <c r="W253" s="58"/>
      <c r="X253" s="58"/>
      <c r="Y253" s="58"/>
      <c r="Z253" s="58"/>
    </row>
    <row r="254" ht="38.25" spans="1:26">
      <c r="A254" s="99" t="s">
        <v>1169</v>
      </c>
      <c r="B254" s="100" t="s">
        <v>132</v>
      </c>
      <c r="C254" s="100" t="s">
        <v>1170</v>
      </c>
      <c r="D254" s="100">
        <v>6</v>
      </c>
      <c r="E254" s="101" t="s">
        <v>134</v>
      </c>
      <c r="F254" s="123" t="s">
        <v>7535</v>
      </c>
      <c r="G254" s="124" t="s">
        <v>7536</v>
      </c>
      <c r="H254" s="124" t="s">
        <v>7537</v>
      </c>
      <c r="I254" s="124" t="s">
        <v>7484</v>
      </c>
      <c r="J254" s="124" t="s">
        <v>7538</v>
      </c>
      <c r="K254" s="90"/>
      <c r="L254" s="58"/>
      <c r="M254" s="58"/>
      <c r="N254" s="58"/>
      <c r="O254" s="58"/>
      <c r="P254" s="58"/>
      <c r="Q254" s="58"/>
      <c r="R254" s="58"/>
      <c r="S254" s="58"/>
      <c r="T254" s="58"/>
      <c r="U254" s="58"/>
      <c r="V254" s="58"/>
      <c r="W254" s="58"/>
      <c r="X254" s="58"/>
      <c r="Y254" s="58"/>
      <c r="Z254" s="58"/>
    </row>
    <row r="255" ht="25.5" spans="1:26">
      <c r="A255" s="99" t="s">
        <v>2632</v>
      </c>
      <c r="B255" s="100" t="s">
        <v>132</v>
      </c>
      <c r="C255" s="100" t="s">
        <v>2633</v>
      </c>
      <c r="D255" s="100" t="s">
        <v>3129</v>
      </c>
      <c r="E255" s="101" t="s">
        <v>204</v>
      </c>
      <c r="F255" s="123" t="s">
        <v>7539</v>
      </c>
      <c r="G255" s="124" t="s">
        <v>7540</v>
      </c>
      <c r="H255" s="124" t="s">
        <v>7541</v>
      </c>
      <c r="I255" s="124" t="s">
        <v>7484</v>
      </c>
      <c r="J255" s="124" t="s">
        <v>7542</v>
      </c>
      <c r="K255" s="90"/>
      <c r="L255" s="58"/>
      <c r="M255" s="58"/>
      <c r="N255" s="58"/>
      <c r="O255" s="58"/>
      <c r="P255" s="58"/>
      <c r="Q255" s="58"/>
      <c r="R255" s="58"/>
      <c r="S255" s="58"/>
      <c r="T255" s="58"/>
      <c r="U255" s="58"/>
      <c r="V255" s="58"/>
      <c r="W255" s="58"/>
      <c r="X255" s="58"/>
      <c r="Y255" s="58"/>
      <c r="Z255" s="58"/>
    </row>
    <row r="256" spans="1:26">
      <c r="A256" s="99" t="s">
        <v>416</v>
      </c>
      <c r="B256" s="100" t="s">
        <v>149</v>
      </c>
      <c r="C256" s="100" t="s">
        <v>417</v>
      </c>
      <c r="D256" s="100" t="s">
        <v>3352</v>
      </c>
      <c r="E256" s="101" t="s">
        <v>134</v>
      </c>
      <c r="F256" s="123" t="s">
        <v>6603</v>
      </c>
      <c r="G256" s="124" t="s">
        <v>7543</v>
      </c>
      <c r="H256" s="124" t="s">
        <v>7543</v>
      </c>
      <c r="I256" s="124" t="s">
        <v>7484</v>
      </c>
      <c r="J256" s="124" t="s">
        <v>7544</v>
      </c>
      <c r="K256" s="90"/>
      <c r="L256" s="58"/>
      <c r="M256" s="58"/>
      <c r="N256" s="58"/>
      <c r="O256" s="58"/>
      <c r="P256" s="58"/>
      <c r="Q256" s="58"/>
      <c r="R256" s="58"/>
      <c r="S256" s="58"/>
      <c r="T256" s="58"/>
      <c r="U256" s="58"/>
      <c r="V256" s="58"/>
      <c r="W256" s="58"/>
      <c r="X256" s="58"/>
      <c r="Y256" s="58"/>
      <c r="Z256" s="58"/>
    </row>
    <row r="257" ht="25.5" spans="1:26">
      <c r="A257" s="99" t="s">
        <v>1614</v>
      </c>
      <c r="B257" s="100" t="s">
        <v>149</v>
      </c>
      <c r="C257" s="100" t="s">
        <v>1615</v>
      </c>
      <c r="D257" s="100" t="s">
        <v>3953</v>
      </c>
      <c r="E257" s="101" t="s">
        <v>204</v>
      </c>
      <c r="F257" s="123" t="s">
        <v>7545</v>
      </c>
      <c r="G257" s="124" t="s">
        <v>7546</v>
      </c>
      <c r="H257" s="124" t="s">
        <v>7547</v>
      </c>
      <c r="I257" s="124" t="s">
        <v>7484</v>
      </c>
      <c r="J257" s="124" t="s">
        <v>7548</v>
      </c>
      <c r="K257" s="90"/>
      <c r="L257" s="58"/>
      <c r="M257" s="58"/>
      <c r="N257" s="58"/>
      <c r="O257" s="58"/>
      <c r="P257" s="58"/>
      <c r="Q257" s="58"/>
      <c r="R257" s="58"/>
      <c r="S257" s="58"/>
      <c r="T257" s="58"/>
      <c r="U257" s="58"/>
      <c r="V257" s="58"/>
      <c r="W257" s="58"/>
      <c r="X257" s="58"/>
      <c r="Y257" s="58"/>
      <c r="Z257" s="58"/>
    </row>
    <row r="258" ht="38.25" spans="1:26">
      <c r="A258" s="99" t="s">
        <v>1443</v>
      </c>
      <c r="B258" s="100" t="s">
        <v>132</v>
      </c>
      <c r="C258" s="100" t="s">
        <v>1444</v>
      </c>
      <c r="D258" s="100" t="s">
        <v>3177</v>
      </c>
      <c r="E258" s="101" t="s">
        <v>134</v>
      </c>
      <c r="F258" s="123" t="s">
        <v>6603</v>
      </c>
      <c r="G258" s="124" t="s">
        <v>7549</v>
      </c>
      <c r="H258" s="124" t="s">
        <v>7549</v>
      </c>
      <c r="I258" s="124" t="s">
        <v>7484</v>
      </c>
      <c r="J258" s="124" t="s">
        <v>7550</v>
      </c>
      <c r="K258" s="90"/>
      <c r="L258" s="58"/>
      <c r="M258" s="58"/>
      <c r="N258" s="58"/>
      <c r="O258" s="58"/>
      <c r="P258" s="58"/>
      <c r="Q258" s="58"/>
      <c r="R258" s="58"/>
      <c r="S258" s="58"/>
      <c r="T258" s="58"/>
      <c r="U258" s="58"/>
      <c r="V258" s="58"/>
      <c r="W258" s="58"/>
      <c r="X258" s="58"/>
      <c r="Y258" s="58"/>
      <c r="Z258" s="58"/>
    </row>
    <row r="259" ht="76.5" spans="1:26">
      <c r="A259" s="99" t="s">
        <v>1355</v>
      </c>
      <c r="B259" s="100" t="s">
        <v>132</v>
      </c>
      <c r="C259" s="100" t="s">
        <v>1356</v>
      </c>
      <c r="D259" s="100" t="s">
        <v>3177</v>
      </c>
      <c r="E259" s="101" t="s">
        <v>134</v>
      </c>
      <c r="F259" s="123" t="s">
        <v>6603</v>
      </c>
      <c r="G259" s="124" t="s">
        <v>7551</v>
      </c>
      <c r="H259" s="124" t="s">
        <v>7551</v>
      </c>
      <c r="I259" s="124" t="s">
        <v>7484</v>
      </c>
      <c r="J259" s="124" t="s">
        <v>7552</v>
      </c>
      <c r="K259" s="90"/>
      <c r="L259" s="58"/>
      <c r="M259" s="58"/>
      <c r="N259" s="58"/>
      <c r="O259" s="58"/>
      <c r="P259" s="58"/>
      <c r="Q259" s="58"/>
      <c r="R259" s="58"/>
      <c r="S259" s="58"/>
      <c r="T259" s="58"/>
      <c r="U259" s="58"/>
      <c r="V259" s="58"/>
      <c r="W259" s="58"/>
      <c r="X259" s="58"/>
      <c r="Y259" s="58"/>
      <c r="Z259" s="58"/>
    </row>
    <row r="260" ht="25.5" spans="1:26">
      <c r="A260" s="99" t="s">
        <v>160</v>
      </c>
      <c r="B260" s="100" t="s">
        <v>139</v>
      </c>
      <c r="C260" s="100" t="s">
        <v>161</v>
      </c>
      <c r="D260" s="100" t="s">
        <v>2992</v>
      </c>
      <c r="E260" s="101" t="s">
        <v>141</v>
      </c>
      <c r="F260" s="123" t="s">
        <v>7553</v>
      </c>
      <c r="G260" s="124" t="s">
        <v>7554</v>
      </c>
      <c r="H260" s="124" t="s">
        <v>7555</v>
      </c>
      <c r="I260" s="124" t="s">
        <v>7484</v>
      </c>
      <c r="J260" s="124" t="s">
        <v>7556</v>
      </c>
      <c r="K260" s="90"/>
      <c r="L260" s="58"/>
      <c r="M260" s="58"/>
      <c r="N260" s="58"/>
      <c r="O260" s="58"/>
      <c r="P260" s="58"/>
      <c r="Q260" s="58"/>
      <c r="R260" s="58"/>
      <c r="S260" s="58"/>
      <c r="T260" s="58"/>
      <c r="U260" s="58"/>
      <c r="V260" s="58"/>
      <c r="W260" s="58"/>
      <c r="X260" s="58"/>
      <c r="Y260" s="58"/>
      <c r="Z260" s="58"/>
    </row>
    <row r="261" ht="25.5" spans="1:26">
      <c r="A261" s="99" t="s">
        <v>1166</v>
      </c>
      <c r="B261" s="100" t="s">
        <v>132</v>
      </c>
      <c r="C261" s="100" t="s">
        <v>1167</v>
      </c>
      <c r="D261" s="100" t="s">
        <v>3774</v>
      </c>
      <c r="E261" s="101" t="s">
        <v>334</v>
      </c>
      <c r="F261" s="123" t="s">
        <v>7557</v>
      </c>
      <c r="G261" s="124" t="s">
        <v>7558</v>
      </c>
      <c r="H261" s="124" t="s">
        <v>7559</v>
      </c>
      <c r="I261" s="124" t="s">
        <v>7484</v>
      </c>
      <c r="J261" s="124" t="s">
        <v>7560</v>
      </c>
      <c r="K261" s="90"/>
      <c r="L261" s="58"/>
      <c r="M261" s="58"/>
      <c r="N261" s="58"/>
      <c r="O261" s="58"/>
      <c r="P261" s="58"/>
      <c r="Q261" s="58"/>
      <c r="R261" s="58"/>
      <c r="S261" s="58"/>
      <c r="T261" s="58"/>
      <c r="U261" s="58"/>
      <c r="V261" s="58"/>
      <c r="W261" s="58"/>
      <c r="X261" s="58"/>
      <c r="Y261" s="58"/>
      <c r="Z261" s="58"/>
    </row>
    <row r="262" ht="38.25" spans="1:26">
      <c r="A262" s="99" t="s">
        <v>2617</v>
      </c>
      <c r="B262" s="100" t="s">
        <v>139</v>
      </c>
      <c r="C262" s="100" t="s">
        <v>2618</v>
      </c>
      <c r="D262" s="100" t="s">
        <v>3642</v>
      </c>
      <c r="E262" s="101" t="s">
        <v>204</v>
      </c>
      <c r="F262" s="123" t="s">
        <v>7561</v>
      </c>
      <c r="G262" s="124" t="s">
        <v>7562</v>
      </c>
      <c r="H262" s="124" t="s">
        <v>7563</v>
      </c>
      <c r="I262" s="124" t="s">
        <v>7484</v>
      </c>
      <c r="J262" s="124" t="s">
        <v>7564</v>
      </c>
      <c r="K262" s="90"/>
      <c r="L262" s="58"/>
      <c r="M262" s="58"/>
      <c r="N262" s="58"/>
      <c r="O262" s="58"/>
      <c r="P262" s="58"/>
      <c r="Q262" s="58"/>
      <c r="R262" s="58"/>
      <c r="S262" s="58"/>
      <c r="T262" s="58"/>
      <c r="U262" s="58"/>
      <c r="V262" s="58"/>
      <c r="W262" s="58"/>
      <c r="X262" s="58"/>
      <c r="Y262" s="58"/>
      <c r="Z262" s="58"/>
    </row>
    <row r="263" ht="76.5" spans="1:26">
      <c r="A263" s="99" t="s">
        <v>1367</v>
      </c>
      <c r="B263" s="100" t="s">
        <v>132</v>
      </c>
      <c r="C263" s="100" t="s">
        <v>1368</v>
      </c>
      <c r="D263" s="100" t="s">
        <v>3177</v>
      </c>
      <c r="E263" s="101" t="s">
        <v>134</v>
      </c>
      <c r="F263" s="123" t="s">
        <v>6603</v>
      </c>
      <c r="G263" s="124" t="s">
        <v>7565</v>
      </c>
      <c r="H263" s="124" t="s">
        <v>7565</v>
      </c>
      <c r="I263" s="124" t="s">
        <v>7484</v>
      </c>
      <c r="J263" s="124" t="s">
        <v>7566</v>
      </c>
      <c r="K263" s="90"/>
      <c r="L263" s="58"/>
      <c r="M263" s="58"/>
      <c r="N263" s="58"/>
      <c r="O263" s="58"/>
      <c r="P263" s="58"/>
      <c r="Q263" s="58"/>
      <c r="R263" s="58"/>
      <c r="S263" s="58"/>
      <c r="T263" s="58"/>
      <c r="U263" s="58"/>
      <c r="V263" s="58"/>
      <c r="W263" s="58"/>
      <c r="X263" s="58"/>
      <c r="Y263" s="58"/>
      <c r="Z263" s="58"/>
    </row>
    <row r="264" ht="25.5" spans="1:26">
      <c r="A264" s="99" t="s">
        <v>281</v>
      </c>
      <c r="B264" s="100" t="s">
        <v>132</v>
      </c>
      <c r="C264" s="100" t="s">
        <v>282</v>
      </c>
      <c r="D264" s="100" t="s">
        <v>3257</v>
      </c>
      <c r="E264" s="101" t="s">
        <v>141</v>
      </c>
      <c r="F264" s="123" t="s">
        <v>7567</v>
      </c>
      <c r="G264" s="124" t="s">
        <v>7568</v>
      </c>
      <c r="H264" s="124" t="s">
        <v>7569</v>
      </c>
      <c r="I264" s="124" t="s">
        <v>7484</v>
      </c>
      <c r="J264" s="124" t="s">
        <v>7570</v>
      </c>
      <c r="K264" s="90"/>
      <c r="L264" s="58"/>
      <c r="M264" s="58"/>
      <c r="N264" s="58"/>
      <c r="O264" s="58"/>
      <c r="P264" s="58"/>
      <c r="Q264" s="58"/>
      <c r="R264" s="58"/>
      <c r="S264" s="58"/>
      <c r="T264" s="58"/>
      <c r="U264" s="58"/>
      <c r="V264" s="58"/>
      <c r="W264" s="58"/>
      <c r="X264" s="58"/>
      <c r="Y264" s="58"/>
      <c r="Z264" s="58"/>
    </row>
    <row r="265" ht="51" spans="1:26">
      <c r="A265" s="99" t="s">
        <v>625</v>
      </c>
      <c r="B265" s="100" t="s">
        <v>132</v>
      </c>
      <c r="C265" s="100" t="s">
        <v>626</v>
      </c>
      <c r="D265" s="100" t="s">
        <v>3505</v>
      </c>
      <c r="E265" s="101" t="s">
        <v>134</v>
      </c>
      <c r="F265" s="123" t="s">
        <v>7128</v>
      </c>
      <c r="G265" s="124" t="s">
        <v>7571</v>
      </c>
      <c r="H265" s="124" t="s">
        <v>7572</v>
      </c>
      <c r="I265" s="124" t="s">
        <v>7573</v>
      </c>
      <c r="J265" s="124" t="s">
        <v>7574</v>
      </c>
      <c r="K265" s="90"/>
      <c r="L265" s="58"/>
      <c r="M265" s="58"/>
      <c r="N265" s="58"/>
      <c r="O265" s="58"/>
      <c r="P265" s="58"/>
      <c r="Q265" s="58"/>
      <c r="R265" s="58"/>
      <c r="S265" s="58"/>
      <c r="T265" s="58"/>
      <c r="U265" s="58"/>
      <c r="V265" s="58"/>
      <c r="W265" s="58"/>
      <c r="X265" s="58"/>
      <c r="Y265" s="58"/>
      <c r="Z265" s="58"/>
    </row>
    <row r="266" ht="25.5" spans="1:26">
      <c r="A266" s="99" t="s">
        <v>504</v>
      </c>
      <c r="B266" s="100" t="s">
        <v>139</v>
      </c>
      <c r="C266" s="100" t="s">
        <v>505</v>
      </c>
      <c r="D266" s="100" t="s">
        <v>3317</v>
      </c>
      <c r="E266" s="101" t="s">
        <v>393</v>
      </c>
      <c r="F266" s="123" t="s">
        <v>7575</v>
      </c>
      <c r="G266" s="124" t="s">
        <v>7576</v>
      </c>
      <c r="H266" s="124" t="s">
        <v>7577</v>
      </c>
      <c r="I266" s="124" t="s">
        <v>7573</v>
      </c>
      <c r="J266" s="124" t="s">
        <v>7578</v>
      </c>
      <c r="K266" s="90"/>
      <c r="L266" s="58"/>
      <c r="M266" s="58"/>
      <c r="N266" s="58"/>
      <c r="O266" s="58"/>
      <c r="P266" s="58"/>
      <c r="Q266" s="58"/>
      <c r="R266" s="58"/>
      <c r="S266" s="58"/>
      <c r="T266" s="58"/>
      <c r="U266" s="58"/>
      <c r="V266" s="58"/>
      <c r="W266" s="58"/>
      <c r="X266" s="58"/>
      <c r="Y266" s="58"/>
      <c r="Z266" s="58"/>
    </row>
    <row r="267" ht="38.25" spans="1:26">
      <c r="A267" s="99" t="s">
        <v>1455</v>
      </c>
      <c r="B267" s="100" t="s">
        <v>132</v>
      </c>
      <c r="C267" s="100" t="s">
        <v>1456</v>
      </c>
      <c r="D267" s="100">
        <v>64</v>
      </c>
      <c r="E267" s="101" t="s">
        <v>134</v>
      </c>
      <c r="F267" s="123" t="s">
        <v>6603</v>
      </c>
      <c r="G267" s="124" t="s">
        <v>7579</v>
      </c>
      <c r="H267" s="124" t="s">
        <v>7579</v>
      </c>
      <c r="I267" s="124" t="s">
        <v>7573</v>
      </c>
      <c r="J267" s="124" t="s">
        <v>7580</v>
      </c>
      <c r="K267" s="90"/>
      <c r="L267" s="58"/>
      <c r="M267" s="58"/>
      <c r="N267" s="58"/>
      <c r="O267" s="58"/>
      <c r="P267" s="58"/>
      <c r="Q267" s="58"/>
      <c r="R267" s="58"/>
      <c r="S267" s="58"/>
      <c r="T267" s="58"/>
      <c r="U267" s="58"/>
      <c r="V267" s="58"/>
      <c r="W267" s="58"/>
      <c r="X267" s="58"/>
      <c r="Y267" s="58"/>
      <c r="Z267" s="58"/>
    </row>
    <row r="268" spans="1:26">
      <c r="A268" s="99" t="s">
        <v>1662</v>
      </c>
      <c r="B268" s="100" t="s">
        <v>796</v>
      </c>
      <c r="C268" s="100" t="s">
        <v>1663</v>
      </c>
      <c r="D268" s="100" t="s">
        <v>3704</v>
      </c>
      <c r="E268" s="101" t="s">
        <v>334</v>
      </c>
      <c r="F268" s="123" t="s">
        <v>6768</v>
      </c>
      <c r="G268" s="124" t="s">
        <v>7581</v>
      </c>
      <c r="H268" s="124" t="s">
        <v>7582</v>
      </c>
      <c r="I268" s="124" t="s">
        <v>7573</v>
      </c>
      <c r="J268" s="124" t="s">
        <v>7583</v>
      </c>
      <c r="K268" s="90"/>
      <c r="L268" s="58"/>
      <c r="M268" s="58"/>
      <c r="N268" s="58"/>
      <c r="O268" s="58"/>
      <c r="P268" s="58"/>
      <c r="Q268" s="58"/>
      <c r="R268" s="58"/>
      <c r="S268" s="58"/>
      <c r="T268" s="58"/>
      <c r="U268" s="58"/>
      <c r="V268" s="58"/>
      <c r="W268" s="58"/>
      <c r="X268" s="58"/>
      <c r="Y268" s="58"/>
      <c r="Z268" s="58"/>
    </row>
    <row r="269" ht="38.25" spans="1:26">
      <c r="A269" s="99" t="s">
        <v>965</v>
      </c>
      <c r="B269" s="100" t="s">
        <v>132</v>
      </c>
      <c r="C269" s="100" t="s">
        <v>966</v>
      </c>
      <c r="D269" s="100">
        <v>15</v>
      </c>
      <c r="E269" s="101" t="s">
        <v>204</v>
      </c>
      <c r="F269" s="123" t="s">
        <v>7584</v>
      </c>
      <c r="G269" s="124" t="s">
        <v>7585</v>
      </c>
      <c r="H269" s="124" t="s">
        <v>7586</v>
      </c>
      <c r="I269" s="124" t="s">
        <v>7573</v>
      </c>
      <c r="J269" s="124" t="s">
        <v>7587</v>
      </c>
      <c r="K269" s="90"/>
      <c r="L269" s="58"/>
      <c r="M269" s="58"/>
      <c r="N269" s="58"/>
      <c r="O269" s="58"/>
      <c r="P269" s="58"/>
      <c r="Q269" s="58"/>
      <c r="R269" s="58"/>
      <c r="S269" s="58"/>
      <c r="T269" s="58"/>
      <c r="U269" s="58"/>
      <c r="V269" s="58"/>
      <c r="W269" s="58"/>
      <c r="X269" s="58"/>
      <c r="Y269" s="58"/>
      <c r="Z269" s="58"/>
    </row>
    <row r="270" ht="63.75" spans="1:26">
      <c r="A270" s="99" t="s">
        <v>634</v>
      </c>
      <c r="B270" s="100" t="s">
        <v>132</v>
      </c>
      <c r="C270" s="100" t="s">
        <v>635</v>
      </c>
      <c r="D270" s="100" t="s">
        <v>3505</v>
      </c>
      <c r="E270" s="101" t="s">
        <v>134</v>
      </c>
      <c r="F270" s="123" t="s">
        <v>7588</v>
      </c>
      <c r="G270" s="124" t="s">
        <v>7589</v>
      </c>
      <c r="H270" s="124" t="s">
        <v>7590</v>
      </c>
      <c r="I270" s="124" t="s">
        <v>7573</v>
      </c>
      <c r="J270" s="124" t="s">
        <v>7591</v>
      </c>
      <c r="K270" s="90"/>
      <c r="L270" s="58"/>
      <c r="M270" s="58"/>
      <c r="N270" s="58"/>
      <c r="O270" s="58"/>
      <c r="P270" s="58"/>
      <c r="Q270" s="58"/>
      <c r="R270" s="58"/>
      <c r="S270" s="58"/>
      <c r="T270" s="58"/>
      <c r="U270" s="58"/>
      <c r="V270" s="58"/>
      <c r="W270" s="58"/>
      <c r="X270" s="58"/>
      <c r="Y270" s="58"/>
      <c r="Z270" s="58"/>
    </row>
    <row r="271" ht="38.25" spans="1:26">
      <c r="A271" s="99" t="s">
        <v>1957</v>
      </c>
      <c r="B271" s="100" t="s">
        <v>132</v>
      </c>
      <c r="C271" s="100" t="s">
        <v>1958</v>
      </c>
      <c r="D271" s="100" t="s">
        <v>4227</v>
      </c>
      <c r="E271" s="101" t="s">
        <v>134</v>
      </c>
      <c r="F271" s="123" t="s">
        <v>6927</v>
      </c>
      <c r="G271" s="124" t="s">
        <v>7592</v>
      </c>
      <c r="H271" s="124" t="s">
        <v>7593</v>
      </c>
      <c r="I271" s="124" t="s">
        <v>7573</v>
      </c>
      <c r="J271" s="124" t="s">
        <v>7594</v>
      </c>
      <c r="K271" s="90"/>
      <c r="L271" s="58"/>
      <c r="M271" s="58"/>
      <c r="N271" s="58"/>
      <c r="O271" s="58"/>
      <c r="P271" s="58"/>
      <c r="Q271" s="58"/>
      <c r="R271" s="58"/>
      <c r="S271" s="58"/>
      <c r="T271" s="58"/>
      <c r="U271" s="58"/>
      <c r="V271" s="58"/>
      <c r="W271" s="58"/>
      <c r="X271" s="58"/>
      <c r="Y271" s="58"/>
      <c r="Z271" s="58"/>
    </row>
    <row r="272" ht="25.5" spans="1:26">
      <c r="A272" s="99" t="s">
        <v>1876</v>
      </c>
      <c r="B272" s="100" t="s">
        <v>139</v>
      </c>
      <c r="C272" s="100" t="s">
        <v>1877</v>
      </c>
      <c r="D272" s="100" t="s">
        <v>3642</v>
      </c>
      <c r="E272" s="101" t="s">
        <v>134</v>
      </c>
      <c r="F272" s="123" t="s">
        <v>7595</v>
      </c>
      <c r="G272" s="124" t="s">
        <v>7596</v>
      </c>
      <c r="H272" s="124" t="s">
        <v>7597</v>
      </c>
      <c r="I272" s="124" t="s">
        <v>7573</v>
      </c>
      <c r="J272" s="124" t="s">
        <v>7598</v>
      </c>
      <c r="K272" s="90"/>
      <c r="L272" s="58"/>
      <c r="M272" s="58"/>
      <c r="N272" s="58"/>
      <c r="O272" s="58"/>
      <c r="P272" s="58"/>
      <c r="Q272" s="58"/>
      <c r="R272" s="58"/>
      <c r="S272" s="58"/>
      <c r="T272" s="58"/>
      <c r="U272" s="58"/>
      <c r="V272" s="58"/>
      <c r="W272" s="58"/>
      <c r="X272" s="58"/>
      <c r="Y272" s="58"/>
      <c r="Z272" s="58"/>
    </row>
    <row r="273" ht="76.5" spans="1:26">
      <c r="A273" s="99" t="s">
        <v>1383</v>
      </c>
      <c r="B273" s="100" t="s">
        <v>132</v>
      </c>
      <c r="C273" s="100" t="s">
        <v>1384</v>
      </c>
      <c r="D273" s="100" t="s">
        <v>3177</v>
      </c>
      <c r="E273" s="101" t="s">
        <v>134</v>
      </c>
      <c r="F273" s="123" t="s">
        <v>6603</v>
      </c>
      <c r="G273" s="124" t="s">
        <v>7599</v>
      </c>
      <c r="H273" s="124" t="s">
        <v>7599</v>
      </c>
      <c r="I273" s="124" t="s">
        <v>7573</v>
      </c>
      <c r="J273" s="124" t="s">
        <v>7600</v>
      </c>
      <c r="K273" s="90"/>
      <c r="L273" s="58"/>
      <c r="M273" s="58"/>
      <c r="N273" s="58"/>
      <c r="O273" s="58"/>
      <c r="P273" s="58"/>
      <c r="Q273" s="58"/>
      <c r="R273" s="58"/>
      <c r="S273" s="58"/>
      <c r="T273" s="58"/>
      <c r="U273" s="58"/>
      <c r="V273" s="58"/>
      <c r="W273" s="58"/>
      <c r="X273" s="58"/>
      <c r="Y273" s="58"/>
      <c r="Z273" s="58"/>
    </row>
    <row r="274" ht="25.5" spans="1:26">
      <c r="A274" s="99" t="s">
        <v>501</v>
      </c>
      <c r="B274" s="100" t="s">
        <v>139</v>
      </c>
      <c r="C274" s="100" t="s">
        <v>502</v>
      </c>
      <c r="D274" s="100" t="s">
        <v>3317</v>
      </c>
      <c r="E274" s="101" t="s">
        <v>393</v>
      </c>
      <c r="F274" s="123" t="s">
        <v>7601</v>
      </c>
      <c r="G274" s="124" t="s">
        <v>7602</v>
      </c>
      <c r="H274" s="124" t="s">
        <v>7603</v>
      </c>
      <c r="I274" s="124" t="s">
        <v>7573</v>
      </c>
      <c r="J274" s="124" t="s">
        <v>7604</v>
      </c>
      <c r="K274" s="90"/>
      <c r="L274" s="58"/>
      <c r="M274" s="58"/>
      <c r="N274" s="58"/>
      <c r="O274" s="58"/>
      <c r="P274" s="58"/>
      <c r="Q274" s="58"/>
      <c r="R274" s="58"/>
      <c r="S274" s="58"/>
      <c r="T274" s="58"/>
      <c r="U274" s="58"/>
      <c r="V274" s="58"/>
      <c r="W274" s="58"/>
      <c r="X274" s="58"/>
      <c r="Y274" s="58"/>
      <c r="Z274" s="58"/>
    </row>
    <row r="275" ht="25.5" spans="1:26">
      <c r="A275" s="99" t="s">
        <v>1990</v>
      </c>
      <c r="B275" s="100" t="s">
        <v>132</v>
      </c>
      <c r="C275" s="100" t="s">
        <v>1991</v>
      </c>
      <c r="D275" s="100" t="s">
        <v>4227</v>
      </c>
      <c r="E275" s="101" t="s">
        <v>134</v>
      </c>
      <c r="F275" s="123" t="s">
        <v>6603</v>
      </c>
      <c r="G275" s="124" t="s">
        <v>7605</v>
      </c>
      <c r="H275" s="124" t="s">
        <v>7605</v>
      </c>
      <c r="I275" s="124" t="s">
        <v>7573</v>
      </c>
      <c r="J275" s="124" t="s">
        <v>7606</v>
      </c>
      <c r="K275" s="90"/>
      <c r="L275" s="58"/>
      <c r="M275" s="58"/>
      <c r="N275" s="58"/>
      <c r="O275" s="58"/>
      <c r="P275" s="58"/>
      <c r="Q275" s="58"/>
      <c r="R275" s="58"/>
      <c r="S275" s="58"/>
      <c r="T275" s="58"/>
      <c r="U275" s="58"/>
      <c r="V275" s="58"/>
      <c r="W275" s="58"/>
      <c r="X275" s="58"/>
      <c r="Y275" s="58"/>
      <c r="Z275" s="58"/>
    </row>
    <row r="276" ht="25.5" spans="1:26">
      <c r="A276" s="99" t="s">
        <v>555</v>
      </c>
      <c r="B276" s="100" t="s">
        <v>139</v>
      </c>
      <c r="C276" s="100" t="s">
        <v>556</v>
      </c>
      <c r="D276" s="100" t="s">
        <v>3390</v>
      </c>
      <c r="E276" s="101" t="s">
        <v>141</v>
      </c>
      <c r="F276" s="123" t="s">
        <v>7607</v>
      </c>
      <c r="G276" s="124" t="s">
        <v>7608</v>
      </c>
      <c r="H276" s="124" t="s">
        <v>7609</v>
      </c>
      <c r="I276" s="124" t="s">
        <v>7573</v>
      </c>
      <c r="J276" s="124" t="s">
        <v>7610</v>
      </c>
      <c r="K276" s="90"/>
      <c r="L276" s="58"/>
      <c r="M276" s="58"/>
      <c r="N276" s="58"/>
      <c r="O276" s="58"/>
      <c r="P276" s="58"/>
      <c r="Q276" s="58"/>
      <c r="R276" s="58"/>
      <c r="S276" s="58"/>
      <c r="T276" s="58"/>
      <c r="U276" s="58"/>
      <c r="V276" s="58"/>
      <c r="W276" s="58"/>
      <c r="X276" s="58"/>
      <c r="Y276" s="58"/>
      <c r="Z276" s="58"/>
    </row>
    <row r="277" ht="25.5" spans="1:26">
      <c r="A277" s="99" t="s">
        <v>446</v>
      </c>
      <c r="B277" s="100" t="s">
        <v>139</v>
      </c>
      <c r="C277" s="100" t="s">
        <v>447</v>
      </c>
      <c r="D277" s="100" t="s">
        <v>3375</v>
      </c>
      <c r="E277" s="101" t="s">
        <v>279</v>
      </c>
      <c r="F277" s="123" t="s">
        <v>7611</v>
      </c>
      <c r="G277" s="124" t="s">
        <v>7612</v>
      </c>
      <c r="H277" s="124" t="s">
        <v>7613</v>
      </c>
      <c r="I277" s="124" t="s">
        <v>7573</v>
      </c>
      <c r="J277" s="124" t="s">
        <v>7614</v>
      </c>
      <c r="K277" s="90"/>
      <c r="L277" s="58"/>
      <c r="M277" s="58"/>
      <c r="N277" s="58"/>
      <c r="O277" s="58"/>
      <c r="P277" s="58"/>
      <c r="Q277" s="58"/>
      <c r="R277" s="58"/>
      <c r="S277" s="58"/>
      <c r="T277" s="58"/>
      <c r="U277" s="58"/>
      <c r="V277" s="58"/>
      <c r="W277" s="58"/>
      <c r="X277" s="58"/>
      <c r="Y277" s="58"/>
      <c r="Z277" s="58"/>
    </row>
    <row r="278" ht="25.5" spans="1:26">
      <c r="A278" s="99" t="s">
        <v>308</v>
      </c>
      <c r="B278" s="100" t="s">
        <v>139</v>
      </c>
      <c r="C278" s="100" t="s">
        <v>309</v>
      </c>
      <c r="D278" s="100" t="s">
        <v>3248</v>
      </c>
      <c r="E278" s="101" t="s">
        <v>141</v>
      </c>
      <c r="F278" s="123" t="s">
        <v>7615</v>
      </c>
      <c r="G278" s="124" t="s">
        <v>7616</v>
      </c>
      <c r="H278" s="124" t="s">
        <v>7617</v>
      </c>
      <c r="I278" s="124" t="s">
        <v>7573</v>
      </c>
      <c r="J278" s="124" t="s">
        <v>7618</v>
      </c>
      <c r="K278" s="90"/>
      <c r="L278" s="58"/>
      <c r="M278" s="58"/>
      <c r="N278" s="58"/>
      <c r="O278" s="58"/>
      <c r="P278" s="58"/>
      <c r="Q278" s="58"/>
      <c r="R278" s="58"/>
      <c r="S278" s="58"/>
      <c r="T278" s="58"/>
      <c r="U278" s="58"/>
      <c r="V278" s="58"/>
      <c r="W278" s="58"/>
      <c r="X278" s="58"/>
      <c r="Y278" s="58"/>
      <c r="Z278" s="58"/>
    </row>
    <row r="279" ht="38.25" spans="1:26">
      <c r="A279" s="99" t="s">
        <v>591</v>
      </c>
      <c r="B279" s="100" t="s">
        <v>139</v>
      </c>
      <c r="C279" s="100" t="s">
        <v>592</v>
      </c>
      <c r="D279" s="100" t="s">
        <v>3085</v>
      </c>
      <c r="E279" s="101" t="s">
        <v>141</v>
      </c>
      <c r="F279" s="123" t="s">
        <v>6971</v>
      </c>
      <c r="G279" s="124" t="s">
        <v>7619</v>
      </c>
      <c r="H279" s="124" t="s">
        <v>7620</v>
      </c>
      <c r="I279" s="124" t="s">
        <v>7573</v>
      </c>
      <c r="J279" s="124" t="s">
        <v>7621</v>
      </c>
      <c r="K279" s="90"/>
      <c r="L279" s="58"/>
      <c r="M279" s="58"/>
      <c r="N279" s="58"/>
      <c r="O279" s="58"/>
      <c r="P279" s="58"/>
      <c r="Q279" s="58"/>
      <c r="R279" s="58"/>
      <c r="S279" s="58"/>
      <c r="T279" s="58"/>
      <c r="U279" s="58"/>
      <c r="V279" s="58"/>
      <c r="W279" s="58"/>
      <c r="X279" s="58"/>
      <c r="Y279" s="58"/>
      <c r="Z279" s="58"/>
    </row>
    <row r="280" ht="38.25" spans="1:26">
      <c r="A280" s="99" t="s">
        <v>1593</v>
      </c>
      <c r="B280" s="100" t="s">
        <v>132</v>
      </c>
      <c r="C280" s="100" t="s">
        <v>1594</v>
      </c>
      <c r="D280" s="100">
        <v>15</v>
      </c>
      <c r="E280" s="101" t="s">
        <v>134</v>
      </c>
      <c r="F280" s="123" t="s">
        <v>7173</v>
      </c>
      <c r="G280" s="124" t="s">
        <v>7622</v>
      </c>
      <c r="H280" s="124" t="s">
        <v>7623</v>
      </c>
      <c r="I280" s="124" t="s">
        <v>7573</v>
      </c>
      <c r="J280" s="124" t="s">
        <v>7624</v>
      </c>
      <c r="K280" s="90"/>
      <c r="L280" s="58"/>
      <c r="M280" s="58"/>
      <c r="N280" s="58"/>
      <c r="O280" s="58"/>
      <c r="P280" s="58"/>
      <c r="Q280" s="58"/>
      <c r="R280" s="58"/>
      <c r="S280" s="58"/>
      <c r="T280" s="58"/>
      <c r="U280" s="58"/>
      <c r="V280" s="58"/>
      <c r="W280" s="58"/>
      <c r="X280" s="58"/>
      <c r="Y280" s="58"/>
      <c r="Z280" s="58"/>
    </row>
    <row r="281" ht="25.5" spans="1:26">
      <c r="A281" s="99" t="s">
        <v>1011</v>
      </c>
      <c r="B281" s="100" t="s">
        <v>149</v>
      </c>
      <c r="C281" s="100" t="s">
        <v>1012</v>
      </c>
      <c r="D281" s="100" t="s">
        <v>3953</v>
      </c>
      <c r="E281" s="101" t="s">
        <v>204</v>
      </c>
      <c r="F281" s="123" t="s">
        <v>7625</v>
      </c>
      <c r="G281" s="124" t="s">
        <v>7626</v>
      </c>
      <c r="H281" s="124" t="s">
        <v>7627</v>
      </c>
      <c r="I281" s="124" t="s">
        <v>7573</v>
      </c>
      <c r="J281" s="124" t="s">
        <v>7628</v>
      </c>
      <c r="K281" s="90"/>
      <c r="L281" s="58"/>
      <c r="M281" s="58"/>
      <c r="N281" s="58"/>
      <c r="O281" s="58"/>
      <c r="P281" s="58"/>
      <c r="Q281" s="58"/>
      <c r="R281" s="58"/>
      <c r="S281" s="58"/>
      <c r="T281" s="58"/>
      <c r="U281" s="58"/>
      <c r="V281" s="58"/>
      <c r="W281" s="58"/>
      <c r="X281" s="58"/>
      <c r="Y281" s="58"/>
      <c r="Z281" s="58"/>
    </row>
    <row r="282" ht="25.5" spans="1:26">
      <c r="A282" s="99" t="s">
        <v>266</v>
      </c>
      <c r="B282" s="100" t="s">
        <v>132</v>
      </c>
      <c r="C282" s="100" t="s">
        <v>267</v>
      </c>
      <c r="D282" s="100" t="s">
        <v>2920</v>
      </c>
      <c r="E282" s="101" t="s">
        <v>141</v>
      </c>
      <c r="F282" s="123" t="s">
        <v>7629</v>
      </c>
      <c r="G282" s="124" t="s">
        <v>7630</v>
      </c>
      <c r="H282" s="124" t="s">
        <v>7631</v>
      </c>
      <c r="I282" s="124" t="s">
        <v>7573</v>
      </c>
      <c r="J282" s="124" t="s">
        <v>7632</v>
      </c>
      <c r="K282" s="90"/>
      <c r="L282" s="58"/>
      <c r="M282" s="58"/>
      <c r="N282" s="58"/>
      <c r="O282" s="58"/>
      <c r="P282" s="58"/>
      <c r="Q282" s="58"/>
      <c r="R282" s="58"/>
      <c r="S282" s="58"/>
      <c r="T282" s="58"/>
      <c r="U282" s="58"/>
      <c r="V282" s="58"/>
      <c r="W282" s="58"/>
      <c r="X282" s="58"/>
      <c r="Y282" s="58"/>
      <c r="Z282" s="58"/>
    </row>
    <row r="283" ht="25.5" spans="1:26">
      <c r="A283" s="99" t="s">
        <v>1924</v>
      </c>
      <c r="B283" s="100" t="s">
        <v>132</v>
      </c>
      <c r="C283" s="100" t="s">
        <v>1925</v>
      </c>
      <c r="D283" s="100" t="s">
        <v>4629</v>
      </c>
      <c r="E283" s="101" t="s">
        <v>204</v>
      </c>
      <c r="F283" s="123" t="s">
        <v>7633</v>
      </c>
      <c r="G283" s="124" t="s">
        <v>7634</v>
      </c>
      <c r="H283" s="124" t="s">
        <v>7635</v>
      </c>
      <c r="I283" s="124" t="s">
        <v>7573</v>
      </c>
      <c r="J283" s="124" t="s">
        <v>7636</v>
      </c>
      <c r="K283" s="90"/>
      <c r="L283" s="58"/>
      <c r="M283" s="58"/>
      <c r="N283" s="58"/>
      <c r="O283" s="58"/>
      <c r="P283" s="58"/>
      <c r="Q283" s="58"/>
      <c r="R283" s="58"/>
      <c r="S283" s="58"/>
      <c r="T283" s="58"/>
      <c r="U283" s="58"/>
      <c r="V283" s="58"/>
      <c r="W283" s="58"/>
      <c r="X283" s="58"/>
      <c r="Y283" s="58"/>
      <c r="Z283" s="58"/>
    </row>
    <row r="284" spans="1:26">
      <c r="A284" s="99" t="s">
        <v>2491</v>
      </c>
      <c r="B284" s="100" t="s">
        <v>77</v>
      </c>
      <c r="C284" s="100" t="s">
        <v>2492</v>
      </c>
      <c r="D284" s="100">
        <v>15</v>
      </c>
      <c r="E284" s="101" t="s">
        <v>134</v>
      </c>
      <c r="F284" s="123" t="s">
        <v>7637</v>
      </c>
      <c r="G284" s="124" t="s">
        <v>7638</v>
      </c>
      <c r="H284" s="124" t="s">
        <v>7639</v>
      </c>
      <c r="I284" s="124" t="s">
        <v>7573</v>
      </c>
      <c r="J284" s="124" t="s">
        <v>7640</v>
      </c>
      <c r="K284" s="90"/>
      <c r="L284" s="58"/>
      <c r="M284" s="58"/>
      <c r="N284" s="58"/>
      <c r="O284" s="58"/>
      <c r="P284" s="58"/>
      <c r="Q284" s="58"/>
      <c r="R284" s="58"/>
      <c r="S284" s="58"/>
      <c r="T284" s="58"/>
      <c r="U284" s="58"/>
      <c r="V284" s="58"/>
      <c r="W284" s="58"/>
      <c r="X284" s="58"/>
      <c r="Y284" s="58"/>
      <c r="Z284" s="58"/>
    </row>
    <row r="285" ht="25.5" spans="1:26">
      <c r="A285" s="99" t="s">
        <v>1986</v>
      </c>
      <c r="B285" s="100" t="s">
        <v>132</v>
      </c>
      <c r="C285" s="100" t="s">
        <v>1987</v>
      </c>
      <c r="D285" s="100" t="s">
        <v>4227</v>
      </c>
      <c r="E285" s="101" t="s">
        <v>134</v>
      </c>
      <c r="F285" s="123" t="s">
        <v>6603</v>
      </c>
      <c r="G285" s="124" t="s">
        <v>7641</v>
      </c>
      <c r="H285" s="124" t="s">
        <v>7641</v>
      </c>
      <c r="I285" s="124" t="s">
        <v>7573</v>
      </c>
      <c r="J285" s="124" t="s">
        <v>7642</v>
      </c>
      <c r="K285" s="90"/>
      <c r="L285" s="58"/>
      <c r="M285" s="58"/>
      <c r="N285" s="58"/>
      <c r="O285" s="58"/>
      <c r="P285" s="58"/>
      <c r="Q285" s="58"/>
      <c r="R285" s="58"/>
      <c r="S285" s="58"/>
      <c r="T285" s="58"/>
      <c r="U285" s="58"/>
      <c r="V285" s="58"/>
      <c r="W285" s="58"/>
      <c r="X285" s="58"/>
      <c r="Y285" s="58"/>
      <c r="Z285" s="58"/>
    </row>
    <row r="286" ht="38.25" spans="1:26">
      <c r="A286" s="99" t="s">
        <v>2083</v>
      </c>
      <c r="B286" s="100" t="s">
        <v>132</v>
      </c>
      <c r="C286" s="100" t="s">
        <v>2084</v>
      </c>
      <c r="D286" s="100">
        <v>61.1</v>
      </c>
      <c r="E286" s="101" t="s">
        <v>134</v>
      </c>
      <c r="F286" s="123" t="s">
        <v>6676</v>
      </c>
      <c r="G286" s="124" t="s">
        <v>7643</v>
      </c>
      <c r="H286" s="124" t="s">
        <v>7644</v>
      </c>
      <c r="I286" s="124" t="s">
        <v>7573</v>
      </c>
      <c r="J286" s="124" t="s">
        <v>7645</v>
      </c>
      <c r="K286" s="90"/>
      <c r="L286" s="58"/>
      <c r="M286" s="58"/>
      <c r="N286" s="58"/>
      <c r="O286" s="58"/>
      <c r="P286" s="58"/>
      <c r="Q286" s="58"/>
      <c r="R286" s="58"/>
      <c r="S286" s="58"/>
      <c r="T286" s="58"/>
      <c r="U286" s="58"/>
      <c r="V286" s="58"/>
      <c r="W286" s="58"/>
      <c r="X286" s="58"/>
      <c r="Y286" s="58"/>
      <c r="Z286" s="58"/>
    </row>
    <row r="287" ht="38.25" spans="1:26">
      <c r="A287" s="99" t="s">
        <v>2623</v>
      </c>
      <c r="B287" s="100" t="s">
        <v>139</v>
      </c>
      <c r="C287" s="100" t="s">
        <v>2624</v>
      </c>
      <c r="D287" s="100" t="s">
        <v>3642</v>
      </c>
      <c r="E287" s="101" t="s">
        <v>204</v>
      </c>
      <c r="F287" s="123" t="s">
        <v>7646</v>
      </c>
      <c r="G287" s="124" t="s">
        <v>7647</v>
      </c>
      <c r="H287" s="124" t="s">
        <v>7648</v>
      </c>
      <c r="I287" s="124" t="s">
        <v>7573</v>
      </c>
      <c r="J287" s="124" t="s">
        <v>7649</v>
      </c>
      <c r="K287" s="90"/>
      <c r="L287" s="58"/>
      <c r="M287" s="58"/>
      <c r="N287" s="58"/>
      <c r="O287" s="58"/>
      <c r="P287" s="58"/>
      <c r="Q287" s="58"/>
      <c r="R287" s="58"/>
      <c r="S287" s="58"/>
      <c r="T287" s="58"/>
      <c r="U287" s="58"/>
      <c r="V287" s="58"/>
      <c r="W287" s="58"/>
      <c r="X287" s="58"/>
      <c r="Y287" s="58"/>
      <c r="Z287" s="58"/>
    </row>
    <row r="288" ht="25.5" spans="1:26">
      <c r="A288" s="99" t="s">
        <v>1699</v>
      </c>
      <c r="B288" s="100" t="s">
        <v>77</v>
      </c>
      <c r="C288" s="100" t="s">
        <v>1700</v>
      </c>
      <c r="D288" s="100">
        <v>15</v>
      </c>
      <c r="E288" s="101" t="s">
        <v>204</v>
      </c>
      <c r="F288" s="123" t="s">
        <v>7650</v>
      </c>
      <c r="G288" s="124" t="s">
        <v>7651</v>
      </c>
      <c r="H288" s="124" t="s">
        <v>7652</v>
      </c>
      <c r="I288" s="124" t="s">
        <v>7573</v>
      </c>
      <c r="J288" s="124" t="s">
        <v>7653</v>
      </c>
      <c r="K288" s="90"/>
      <c r="L288" s="58"/>
      <c r="M288" s="58"/>
      <c r="N288" s="58"/>
      <c r="O288" s="58"/>
      <c r="P288" s="58"/>
      <c r="Q288" s="58"/>
      <c r="R288" s="58"/>
      <c r="S288" s="58"/>
      <c r="T288" s="58"/>
      <c r="U288" s="58"/>
      <c r="V288" s="58"/>
      <c r="W288" s="58"/>
      <c r="X288" s="58"/>
      <c r="Y288" s="58"/>
      <c r="Z288" s="58"/>
    </row>
    <row r="289" ht="38.25" spans="1:26">
      <c r="A289" s="99" t="s">
        <v>1744</v>
      </c>
      <c r="B289" s="100" t="s">
        <v>132</v>
      </c>
      <c r="C289" s="100" t="s">
        <v>1745</v>
      </c>
      <c r="D289" s="100" t="s">
        <v>3177</v>
      </c>
      <c r="E289" s="101" t="s">
        <v>134</v>
      </c>
      <c r="F289" s="123" t="s">
        <v>7654</v>
      </c>
      <c r="G289" s="124" t="s">
        <v>7655</v>
      </c>
      <c r="H289" s="124" t="s">
        <v>7656</v>
      </c>
      <c r="I289" s="124" t="s">
        <v>7573</v>
      </c>
      <c r="J289" s="124" t="s">
        <v>7657</v>
      </c>
      <c r="K289" s="90"/>
      <c r="L289" s="58"/>
      <c r="M289" s="58"/>
      <c r="N289" s="58"/>
      <c r="O289" s="58"/>
      <c r="P289" s="58"/>
      <c r="Q289" s="58"/>
      <c r="R289" s="58"/>
      <c r="S289" s="58"/>
      <c r="T289" s="58"/>
      <c r="U289" s="58"/>
      <c r="V289" s="58"/>
      <c r="W289" s="58"/>
      <c r="X289" s="58"/>
      <c r="Y289" s="58"/>
      <c r="Z289" s="58"/>
    </row>
    <row r="290" ht="25.5" spans="1:26">
      <c r="A290" s="99" t="s">
        <v>2686</v>
      </c>
      <c r="B290" s="100" t="s">
        <v>132</v>
      </c>
      <c r="C290" s="100" t="s">
        <v>2687</v>
      </c>
      <c r="D290" s="100" t="s">
        <v>5109</v>
      </c>
      <c r="E290" s="101" t="s">
        <v>141</v>
      </c>
      <c r="F290" s="123" t="s">
        <v>7658</v>
      </c>
      <c r="G290" s="124" t="s">
        <v>7659</v>
      </c>
      <c r="H290" s="124" t="s">
        <v>7660</v>
      </c>
      <c r="I290" s="124" t="s">
        <v>7573</v>
      </c>
      <c r="J290" s="124" t="s">
        <v>7661</v>
      </c>
      <c r="K290" s="90"/>
      <c r="L290" s="58"/>
      <c r="M290" s="58"/>
      <c r="N290" s="58"/>
      <c r="O290" s="58"/>
      <c r="P290" s="58"/>
      <c r="Q290" s="58"/>
      <c r="R290" s="58"/>
      <c r="S290" s="58"/>
      <c r="T290" s="58"/>
      <c r="U290" s="58"/>
      <c r="V290" s="58"/>
      <c r="W290" s="58"/>
      <c r="X290" s="58"/>
      <c r="Y290" s="58"/>
      <c r="Z290" s="58"/>
    </row>
    <row r="291" ht="25.5" spans="1:26">
      <c r="A291" s="99" t="s">
        <v>2202</v>
      </c>
      <c r="B291" s="100" t="s">
        <v>77</v>
      </c>
      <c r="C291" s="100" t="s">
        <v>2203</v>
      </c>
      <c r="D291" s="100">
        <v>18</v>
      </c>
      <c r="E291" s="101" t="s">
        <v>134</v>
      </c>
      <c r="F291" s="123" t="s">
        <v>7222</v>
      </c>
      <c r="G291" s="124" t="s">
        <v>7662</v>
      </c>
      <c r="H291" s="124" t="s">
        <v>7663</v>
      </c>
      <c r="I291" s="124" t="s">
        <v>7573</v>
      </c>
      <c r="J291" s="124" t="s">
        <v>7664</v>
      </c>
      <c r="K291" s="90"/>
      <c r="L291" s="58"/>
      <c r="M291" s="58"/>
      <c r="N291" s="58"/>
      <c r="O291" s="58"/>
      <c r="P291" s="58"/>
      <c r="Q291" s="58"/>
      <c r="R291" s="58"/>
      <c r="S291" s="58"/>
      <c r="T291" s="58"/>
      <c r="U291" s="58"/>
      <c r="V291" s="58"/>
      <c r="W291" s="58"/>
      <c r="X291" s="58"/>
      <c r="Y291" s="58"/>
      <c r="Z291" s="58"/>
    </row>
    <row r="292" spans="1:26">
      <c r="A292" s="99" t="s">
        <v>938</v>
      </c>
      <c r="B292" s="100" t="s">
        <v>139</v>
      </c>
      <c r="C292" s="100" t="s">
        <v>939</v>
      </c>
      <c r="D292" s="100" t="s">
        <v>3516</v>
      </c>
      <c r="E292" s="101" t="s">
        <v>134</v>
      </c>
      <c r="F292" s="123" t="s">
        <v>7501</v>
      </c>
      <c r="G292" s="124" t="s">
        <v>7665</v>
      </c>
      <c r="H292" s="124" t="s">
        <v>7666</v>
      </c>
      <c r="I292" s="124" t="s">
        <v>7573</v>
      </c>
      <c r="J292" s="124" t="s">
        <v>7667</v>
      </c>
      <c r="K292" s="90"/>
      <c r="L292" s="58"/>
      <c r="M292" s="58"/>
      <c r="N292" s="58"/>
      <c r="O292" s="58"/>
      <c r="P292" s="58"/>
      <c r="Q292" s="58"/>
      <c r="R292" s="58"/>
      <c r="S292" s="58"/>
      <c r="T292" s="58"/>
      <c r="U292" s="58"/>
      <c r="V292" s="58"/>
      <c r="W292" s="58"/>
      <c r="X292" s="58"/>
      <c r="Y292" s="58"/>
      <c r="Z292" s="58"/>
    </row>
    <row r="293" ht="25.5" spans="1:26">
      <c r="A293" s="99" t="s">
        <v>977</v>
      </c>
      <c r="B293" s="100" t="s">
        <v>139</v>
      </c>
      <c r="C293" s="100" t="s">
        <v>978</v>
      </c>
      <c r="D293" s="100" t="s">
        <v>3902</v>
      </c>
      <c r="E293" s="101" t="s">
        <v>134</v>
      </c>
      <c r="F293" s="123" t="s">
        <v>7371</v>
      </c>
      <c r="G293" s="124" t="s">
        <v>7668</v>
      </c>
      <c r="H293" s="124" t="s">
        <v>7669</v>
      </c>
      <c r="I293" s="124" t="s">
        <v>7573</v>
      </c>
      <c r="J293" s="124" t="s">
        <v>7670</v>
      </c>
      <c r="K293" s="90"/>
      <c r="L293" s="58"/>
      <c r="M293" s="58"/>
      <c r="N293" s="58"/>
      <c r="O293" s="58"/>
      <c r="P293" s="58"/>
      <c r="Q293" s="58"/>
      <c r="R293" s="58"/>
      <c r="S293" s="58"/>
      <c r="T293" s="58"/>
      <c r="U293" s="58"/>
      <c r="V293" s="58"/>
      <c r="W293" s="58"/>
      <c r="X293" s="58"/>
      <c r="Y293" s="58"/>
      <c r="Z293" s="58"/>
    </row>
    <row r="294" ht="25.5" spans="1:26">
      <c r="A294" s="99" t="s">
        <v>1301</v>
      </c>
      <c r="B294" s="100" t="s">
        <v>132</v>
      </c>
      <c r="C294" s="100" t="s">
        <v>1302</v>
      </c>
      <c r="D294" s="100">
        <v>61.15</v>
      </c>
      <c r="E294" s="101" t="s">
        <v>134</v>
      </c>
      <c r="F294" s="123" t="s">
        <v>6676</v>
      </c>
      <c r="G294" s="124" t="s">
        <v>7671</v>
      </c>
      <c r="H294" s="124" t="s">
        <v>7672</v>
      </c>
      <c r="I294" s="124" t="s">
        <v>7573</v>
      </c>
      <c r="J294" s="124" t="s">
        <v>7673</v>
      </c>
      <c r="K294" s="90"/>
      <c r="L294" s="58"/>
      <c r="M294" s="58"/>
      <c r="N294" s="58"/>
      <c r="O294" s="58"/>
      <c r="P294" s="58"/>
      <c r="Q294" s="58"/>
      <c r="R294" s="58"/>
      <c r="S294" s="58"/>
      <c r="T294" s="58"/>
      <c r="U294" s="58"/>
      <c r="V294" s="58"/>
      <c r="W294" s="58"/>
      <c r="X294" s="58"/>
      <c r="Y294" s="58"/>
      <c r="Z294" s="58"/>
    </row>
    <row r="295" ht="38.25" spans="1:26">
      <c r="A295" s="99" t="s">
        <v>352</v>
      </c>
      <c r="B295" s="100" t="s">
        <v>77</v>
      </c>
      <c r="C295" s="100" t="s">
        <v>353</v>
      </c>
      <c r="D295" s="100">
        <v>5</v>
      </c>
      <c r="E295" s="101" t="s">
        <v>340</v>
      </c>
      <c r="F295" s="123" t="s">
        <v>7553</v>
      </c>
      <c r="G295" s="124" t="s">
        <v>7674</v>
      </c>
      <c r="H295" s="124" t="s">
        <v>7675</v>
      </c>
      <c r="I295" s="124" t="s">
        <v>7573</v>
      </c>
      <c r="J295" s="124" t="s">
        <v>7676</v>
      </c>
      <c r="K295" s="90"/>
      <c r="L295" s="58"/>
      <c r="M295" s="58"/>
      <c r="N295" s="58"/>
      <c r="O295" s="58"/>
      <c r="P295" s="58"/>
      <c r="Q295" s="58"/>
      <c r="R295" s="58"/>
      <c r="S295" s="58"/>
      <c r="T295" s="58"/>
      <c r="U295" s="58"/>
      <c r="V295" s="58"/>
      <c r="W295" s="58"/>
      <c r="X295" s="58"/>
      <c r="Y295" s="58"/>
      <c r="Z295" s="58"/>
    </row>
    <row r="296" ht="38.25" spans="1:26">
      <c r="A296" s="99" t="s">
        <v>700</v>
      </c>
      <c r="B296" s="100" t="s">
        <v>132</v>
      </c>
      <c r="C296" s="100" t="s">
        <v>701</v>
      </c>
      <c r="D296" s="100" t="s">
        <v>3505</v>
      </c>
      <c r="E296" s="101" t="s">
        <v>134</v>
      </c>
      <c r="F296" s="123" t="s">
        <v>6676</v>
      </c>
      <c r="G296" s="124" t="s">
        <v>7677</v>
      </c>
      <c r="H296" s="124" t="s">
        <v>7678</v>
      </c>
      <c r="I296" s="124" t="s">
        <v>7573</v>
      </c>
      <c r="J296" s="124" t="s">
        <v>7679</v>
      </c>
      <c r="K296" s="90"/>
      <c r="L296" s="58"/>
      <c r="M296" s="58"/>
      <c r="N296" s="58"/>
      <c r="O296" s="58"/>
      <c r="P296" s="58"/>
      <c r="Q296" s="58"/>
      <c r="R296" s="58"/>
      <c r="S296" s="58"/>
      <c r="T296" s="58"/>
      <c r="U296" s="58"/>
      <c r="V296" s="58"/>
      <c r="W296" s="58"/>
      <c r="X296" s="58"/>
      <c r="Y296" s="58"/>
      <c r="Z296" s="58"/>
    </row>
    <row r="297" spans="1:26">
      <c r="A297" s="99" t="s">
        <v>452</v>
      </c>
      <c r="B297" s="100" t="s">
        <v>139</v>
      </c>
      <c r="C297" s="100" t="s">
        <v>453</v>
      </c>
      <c r="D297" s="100" t="s">
        <v>3230</v>
      </c>
      <c r="E297" s="101" t="s">
        <v>279</v>
      </c>
      <c r="F297" s="123" t="s">
        <v>7680</v>
      </c>
      <c r="G297" s="124" t="s">
        <v>7681</v>
      </c>
      <c r="H297" s="124" t="s">
        <v>7682</v>
      </c>
      <c r="I297" s="124" t="s">
        <v>7573</v>
      </c>
      <c r="J297" s="124" t="s">
        <v>7683</v>
      </c>
      <c r="K297" s="90"/>
      <c r="L297" s="58"/>
      <c r="M297" s="58"/>
      <c r="N297" s="58"/>
      <c r="O297" s="58"/>
      <c r="P297" s="58"/>
      <c r="Q297" s="58"/>
      <c r="R297" s="58"/>
      <c r="S297" s="58"/>
      <c r="T297" s="58"/>
      <c r="U297" s="58"/>
      <c r="V297" s="58"/>
      <c r="W297" s="58"/>
      <c r="X297" s="58"/>
      <c r="Y297" s="58"/>
      <c r="Z297" s="58"/>
    </row>
    <row r="298" ht="25.5" spans="1:26">
      <c r="A298" s="99" t="s">
        <v>521</v>
      </c>
      <c r="B298" s="100" t="s">
        <v>139</v>
      </c>
      <c r="C298" s="100" t="s">
        <v>522</v>
      </c>
      <c r="D298" s="100" t="s">
        <v>3422</v>
      </c>
      <c r="E298" s="101" t="s">
        <v>279</v>
      </c>
      <c r="F298" s="123" t="s">
        <v>6712</v>
      </c>
      <c r="G298" s="124" t="s">
        <v>7684</v>
      </c>
      <c r="H298" s="124" t="s">
        <v>7685</v>
      </c>
      <c r="I298" s="124" t="s">
        <v>7573</v>
      </c>
      <c r="J298" s="124" t="s">
        <v>7686</v>
      </c>
      <c r="K298" s="90"/>
      <c r="L298" s="58"/>
      <c r="M298" s="58"/>
      <c r="N298" s="58"/>
      <c r="O298" s="58"/>
      <c r="P298" s="58"/>
      <c r="Q298" s="58"/>
      <c r="R298" s="58"/>
      <c r="S298" s="58"/>
      <c r="T298" s="58"/>
      <c r="U298" s="58"/>
      <c r="V298" s="58"/>
      <c r="W298" s="58"/>
      <c r="X298" s="58"/>
      <c r="Y298" s="58"/>
      <c r="Z298" s="58"/>
    </row>
    <row r="299" ht="38.25" spans="1:26">
      <c r="A299" s="99" t="s">
        <v>1459</v>
      </c>
      <c r="B299" s="100" t="s">
        <v>132</v>
      </c>
      <c r="C299" s="100" t="s">
        <v>1460</v>
      </c>
      <c r="D299" s="100" t="s">
        <v>3177</v>
      </c>
      <c r="E299" s="101" t="s">
        <v>134</v>
      </c>
      <c r="F299" s="123" t="s">
        <v>6603</v>
      </c>
      <c r="G299" s="124" t="s">
        <v>7687</v>
      </c>
      <c r="H299" s="124" t="s">
        <v>7687</v>
      </c>
      <c r="I299" s="124" t="s">
        <v>7688</v>
      </c>
      <c r="J299" s="124" t="s">
        <v>7689</v>
      </c>
      <c r="K299" s="90"/>
      <c r="L299" s="58"/>
      <c r="M299" s="58"/>
      <c r="N299" s="58"/>
      <c r="O299" s="58"/>
      <c r="P299" s="58"/>
      <c r="Q299" s="58"/>
      <c r="R299" s="58"/>
      <c r="S299" s="58"/>
      <c r="T299" s="58"/>
      <c r="U299" s="58"/>
      <c r="V299" s="58"/>
      <c r="W299" s="58"/>
      <c r="X299" s="58"/>
      <c r="Y299" s="58"/>
      <c r="Z299" s="58"/>
    </row>
    <row r="300" ht="51" spans="1:26">
      <c r="A300" s="99" t="s">
        <v>524</v>
      </c>
      <c r="B300" s="100" t="s">
        <v>77</v>
      </c>
      <c r="C300" s="100" t="s">
        <v>525</v>
      </c>
      <c r="D300" s="100">
        <v>1</v>
      </c>
      <c r="E300" s="101" t="s">
        <v>279</v>
      </c>
      <c r="F300" s="123" t="s">
        <v>7690</v>
      </c>
      <c r="G300" s="124" t="s">
        <v>7691</v>
      </c>
      <c r="H300" s="124" t="s">
        <v>7692</v>
      </c>
      <c r="I300" s="124" t="s">
        <v>7688</v>
      </c>
      <c r="J300" s="124" t="s">
        <v>7693</v>
      </c>
      <c r="K300" s="90"/>
      <c r="L300" s="58"/>
      <c r="M300" s="58"/>
      <c r="N300" s="58"/>
      <c r="O300" s="58"/>
      <c r="P300" s="58"/>
      <c r="Q300" s="58"/>
      <c r="R300" s="58"/>
      <c r="S300" s="58"/>
      <c r="T300" s="58"/>
      <c r="U300" s="58"/>
      <c r="V300" s="58"/>
      <c r="W300" s="58"/>
      <c r="X300" s="58"/>
      <c r="Y300" s="58"/>
      <c r="Z300" s="58"/>
    </row>
    <row r="301" ht="76.5" spans="1:26">
      <c r="A301" s="99" t="s">
        <v>1406</v>
      </c>
      <c r="B301" s="100" t="s">
        <v>132</v>
      </c>
      <c r="C301" s="100" t="s">
        <v>1407</v>
      </c>
      <c r="D301" s="100" t="s">
        <v>3177</v>
      </c>
      <c r="E301" s="101" t="s">
        <v>134</v>
      </c>
      <c r="F301" s="123" t="s">
        <v>6603</v>
      </c>
      <c r="G301" s="124" t="s">
        <v>7694</v>
      </c>
      <c r="H301" s="124" t="s">
        <v>7694</v>
      </c>
      <c r="I301" s="124" t="s">
        <v>7688</v>
      </c>
      <c r="J301" s="124" t="s">
        <v>7695</v>
      </c>
      <c r="K301" s="90"/>
      <c r="L301" s="58"/>
      <c r="M301" s="58"/>
      <c r="N301" s="58"/>
      <c r="O301" s="58"/>
      <c r="P301" s="58"/>
      <c r="Q301" s="58"/>
      <c r="R301" s="58"/>
      <c r="S301" s="58"/>
      <c r="T301" s="58"/>
      <c r="U301" s="58"/>
      <c r="V301" s="58"/>
      <c r="W301" s="58"/>
      <c r="X301" s="58"/>
      <c r="Y301" s="58"/>
      <c r="Z301" s="58"/>
    </row>
    <row r="302" spans="1:26">
      <c r="A302" s="99" t="s">
        <v>950</v>
      </c>
      <c r="B302" s="100" t="s">
        <v>149</v>
      </c>
      <c r="C302" s="100" t="s">
        <v>951</v>
      </c>
      <c r="D302" s="100" t="s">
        <v>3789</v>
      </c>
      <c r="E302" s="101" t="s">
        <v>134</v>
      </c>
      <c r="F302" s="123" t="s">
        <v>7696</v>
      </c>
      <c r="G302" s="124" t="s">
        <v>7697</v>
      </c>
      <c r="H302" s="124" t="s">
        <v>7698</v>
      </c>
      <c r="I302" s="124" t="s">
        <v>7688</v>
      </c>
      <c r="J302" s="124" t="s">
        <v>7699</v>
      </c>
      <c r="K302" s="90"/>
      <c r="L302" s="58"/>
      <c r="M302" s="58"/>
      <c r="N302" s="58"/>
      <c r="O302" s="58"/>
      <c r="P302" s="58"/>
      <c r="Q302" s="58"/>
      <c r="R302" s="58"/>
      <c r="S302" s="58"/>
      <c r="T302" s="58"/>
      <c r="U302" s="58"/>
      <c r="V302" s="58"/>
      <c r="W302" s="58"/>
      <c r="X302" s="58"/>
      <c r="Y302" s="58"/>
      <c r="Z302" s="58"/>
    </row>
    <row r="303" ht="25.5" spans="1:26">
      <c r="A303" s="99" t="s">
        <v>2547</v>
      </c>
      <c r="B303" s="100" t="s">
        <v>139</v>
      </c>
      <c r="C303" s="100" t="s">
        <v>2548</v>
      </c>
      <c r="D303" s="100" t="s">
        <v>3129</v>
      </c>
      <c r="E303" s="101" t="s">
        <v>134</v>
      </c>
      <c r="F303" s="123" t="s">
        <v>6798</v>
      </c>
      <c r="G303" s="124" t="s">
        <v>7700</v>
      </c>
      <c r="H303" s="124" t="s">
        <v>7701</v>
      </c>
      <c r="I303" s="124" t="s">
        <v>7688</v>
      </c>
      <c r="J303" s="124" t="s">
        <v>7702</v>
      </c>
      <c r="K303" s="90"/>
      <c r="L303" s="58"/>
      <c r="M303" s="58"/>
      <c r="N303" s="58"/>
      <c r="O303" s="58"/>
      <c r="P303" s="58"/>
      <c r="Q303" s="58"/>
      <c r="R303" s="58"/>
      <c r="S303" s="58"/>
      <c r="T303" s="58"/>
      <c r="U303" s="58"/>
      <c r="V303" s="58"/>
      <c r="W303" s="58"/>
      <c r="X303" s="58"/>
      <c r="Y303" s="58"/>
      <c r="Z303" s="58"/>
    </row>
    <row r="304" ht="25.5" spans="1:26">
      <c r="A304" s="99" t="s">
        <v>585</v>
      </c>
      <c r="B304" s="100" t="s">
        <v>77</v>
      </c>
      <c r="C304" s="100" t="s">
        <v>586</v>
      </c>
      <c r="D304" s="100">
        <v>13</v>
      </c>
      <c r="E304" s="101" t="s">
        <v>141</v>
      </c>
      <c r="F304" s="123" t="s">
        <v>7703</v>
      </c>
      <c r="G304" s="124" t="s">
        <v>7704</v>
      </c>
      <c r="H304" s="124" t="s">
        <v>7705</v>
      </c>
      <c r="I304" s="124" t="s">
        <v>7688</v>
      </c>
      <c r="J304" s="124" t="s">
        <v>7706</v>
      </c>
      <c r="K304" s="90"/>
      <c r="L304" s="58"/>
      <c r="M304" s="58"/>
      <c r="N304" s="58"/>
      <c r="O304" s="58"/>
      <c r="P304" s="58"/>
      <c r="Q304" s="58"/>
      <c r="R304" s="58"/>
      <c r="S304" s="58"/>
      <c r="T304" s="58"/>
      <c r="U304" s="58"/>
      <c r="V304" s="58"/>
      <c r="W304" s="58"/>
      <c r="X304" s="58"/>
      <c r="Y304" s="58"/>
      <c r="Z304" s="58"/>
    </row>
    <row r="305" ht="25.5" spans="1:26">
      <c r="A305" s="99" t="s">
        <v>1846</v>
      </c>
      <c r="B305" s="100" t="s">
        <v>132</v>
      </c>
      <c r="C305" s="100" t="s">
        <v>1847</v>
      </c>
      <c r="D305" s="100" t="s">
        <v>4227</v>
      </c>
      <c r="E305" s="101" t="s">
        <v>134</v>
      </c>
      <c r="F305" s="123" t="s">
        <v>7457</v>
      </c>
      <c r="G305" s="124" t="s">
        <v>7707</v>
      </c>
      <c r="H305" s="124" t="s">
        <v>7708</v>
      </c>
      <c r="I305" s="124" t="s">
        <v>7688</v>
      </c>
      <c r="J305" s="124" t="s">
        <v>7709</v>
      </c>
      <c r="K305" s="90"/>
      <c r="L305" s="58"/>
      <c r="M305" s="58"/>
      <c r="N305" s="58"/>
      <c r="O305" s="58"/>
      <c r="P305" s="58"/>
      <c r="Q305" s="58"/>
      <c r="R305" s="58"/>
      <c r="S305" s="58"/>
      <c r="T305" s="58"/>
      <c r="U305" s="58"/>
      <c r="V305" s="58"/>
      <c r="W305" s="58"/>
      <c r="X305" s="58"/>
      <c r="Y305" s="58"/>
      <c r="Z305" s="58"/>
    </row>
    <row r="306" ht="25.5" spans="1:26">
      <c r="A306" s="99" t="s">
        <v>558</v>
      </c>
      <c r="B306" s="100" t="s">
        <v>139</v>
      </c>
      <c r="C306" s="100" t="s">
        <v>559</v>
      </c>
      <c r="D306" s="100" t="s">
        <v>3390</v>
      </c>
      <c r="E306" s="101" t="s">
        <v>141</v>
      </c>
      <c r="F306" s="123" t="s">
        <v>7710</v>
      </c>
      <c r="G306" s="124" t="s">
        <v>7191</v>
      </c>
      <c r="H306" s="124" t="s">
        <v>7711</v>
      </c>
      <c r="I306" s="124" t="s">
        <v>7688</v>
      </c>
      <c r="J306" s="124" t="s">
        <v>7712</v>
      </c>
      <c r="K306" s="90"/>
      <c r="L306" s="58"/>
      <c r="M306" s="58"/>
      <c r="N306" s="58"/>
      <c r="O306" s="58"/>
      <c r="P306" s="58"/>
      <c r="Q306" s="58"/>
      <c r="R306" s="58"/>
      <c r="S306" s="58"/>
      <c r="T306" s="58"/>
      <c r="U306" s="58"/>
      <c r="V306" s="58"/>
      <c r="W306" s="58"/>
      <c r="X306" s="58"/>
      <c r="Y306" s="58"/>
      <c r="Z306" s="58"/>
    </row>
    <row r="307" ht="25.5" spans="1:26">
      <c r="A307" s="99" t="s">
        <v>527</v>
      </c>
      <c r="B307" s="100" t="s">
        <v>139</v>
      </c>
      <c r="C307" s="100" t="s">
        <v>528</v>
      </c>
      <c r="D307" s="100" t="s">
        <v>3427</v>
      </c>
      <c r="E307" s="101" t="s">
        <v>393</v>
      </c>
      <c r="F307" s="123" t="s">
        <v>7713</v>
      </c>
      <c r="G307" s="124" t="s">
        <v>7714</v>
      </c>
      <c r="H307" s="124" t="s">
        <v>7715</v>
      </c>
      <c r="I307" s="124" t="s">
        <v>7688</v>
      </c>
      <c r="J307" s="124" t="s">
        <v>7716</v>
      </c>
      <c r="K307" s="90"/>
      <c r="L307" s="58"/>
      <c r="M307" s="58"/>
      <c r="N307" s="58"/>
      <c r="O307" s="58"/>
      <c r="P307" s="58"/>
      <c r="Q307" s="58"/>
      <c r="R307" s="58"/>
      <c r="S307" s="58"/>
      <c r="T307" s="58"/>
      <c r="U307" s="58"/>
      <c r="V307" s="58"/>
      <c r="W307" s="58"/>
      <c r="X307" s="58"/>
      <c r="Y307" s="58"/>
      <c r="Z307" s="58"/>
    </row>
    <row r="308" ht="76.5" spans="1:26">
      <c r="A308" s="99" t="s">
        <v>1387</v>
      </c>
      <c r="B308" s="100" t="s">
        <v>132</v>
      </c>
      <c r="C308" s="100" t="s">
        <v>1388</v>
      </c>
      <c r="D308" s="100" t="s">
        <v>3177</v>
      </c>
      <c r="E308" s="101" t="s">
        <v>134</v>
      </c>
      <c r="F308" s="123" t="s">
        <v>6603</v>
      </c>
      <c r="G308" s="124" t="s">
        <v>7717</v>
      </c>
      <c r="H308" s="124" t="s">
        <v>7717</v>
      </c>
      <c r="I308" s="124" t="s">
        <v>7688</v>
      </c>
      <c r="J308" s="124" t="s">
        <v>7718</v>
      </c>
      <c r="K308" s="90"/>
      <c r="L308" s="58"/>
      <c r="M308" s="58"/>
      <c r="N308" s="58"/>
      <c r="O308" s="58"/>
      <c r="P308" s="58"/>
      <c r="Q308" s="58"/>
      <c r="R308" s="58"/>
      <c r="S308" s="58"/>
      <c r="T308" s="58"/>
      <c r="U308" s="58"/>
      <c r="V308" s="58"/>
      <c r="W308" s="58"/>
      <c r="X308" s="58"/>
      <c r="Y308" s="58"/>
      <c r="Z308" s="58"/>
    </row>
    <row r="309" ht="76.5" spans="1:26">
      <c r="A309" s="99" t="s">
        <v>1359</v>
      </c>
      <c r="B309" s="100" t="s">
        <v>132</v>
      </c>
      <c r="C309" s="100" t="s">
        <v>1360</v>
      </c>
      <c r="D309" s="100" t="s">
        <v>3177</v>
      </c>
      <c r="E309" s="101" t="s">
        <v>134</v>
      </c>
      <c r="F309" s="123" t="s">
        <v>6603</v>
      </c>
      <c r="G309" s="124" t="s">
        <v>7717</v>
      </c>
      <c r="H309" s="124" t="s">
        <v>7717</v>
      </c>
      <c r="I309" s="124" t="s">
        <v>7688</v>
      </c>
      <c r="J309" s="124" t="s">
        <v>7719</v>
      </c>
      <c r="K309" s="90"/>
      <c r="L309" s="58"/>
      <c r="M309" s="58"/>
      <c r="N309" s="58"/>
      <c r="O309" s="58"/>
      <c r="P309" s="58"/>
      <c r="Q309" s="58"/>
      <c r="R309" s="58"/>
      <c r="S309" s="58"/>
      <c r="T309" s="58"/>
      <c r="U309" s="58"/>
      <c r="V309" s="58"/>
      <c r="W309" s="58"/>
      <c r="X309" s="58"/>
      <c r="Y309" s="58"/>
      <c r="Z309" s="58"/>
    </row>
    <row r="310" ht="76.5" spans="1:26">
      <c r="A310" s="99" t="s">
        <v>1371</v>
      </c>
      <c r="B310" s="100" t="s">
        <v>132</v>
      </c>
      <c r="C310" s="100" t="s">
        <v>1372</v>
      </c>
      <c r="D310" s="100" t="s">
        <v>3177</v>
      </c>
      <c r="E310" s="101" t="s">
        <v>134</v>
      </c>
      <c r="F310" s="123" t="s">
        <v>6603</v>
      </c>
      <c r="G310" s="124" t="s">
        <v>7720</v>
      </c>
      <c r="H310" s="124" t="s">
        <v>7720</v>
      </c>
      <c r="I310" s="124" t="s">
        <v>7688</v>
      </c>
      <c r="J310" s="124" t="s">
        <v>7721</v>
      </c>
      <c r="K310" s="90"/>
      <c r="L310" s="58"/>
      <c r="M310" s="58"/>
      <c r="N310" s="58"/>
      <c r="O310" s="58"/>
      <c r="P310" s="58"/>
      <c r="Q310" s="58"/>
      <c r="R310" s="58"/>
      <c r="S310" s="58"/>
      <c r="T310" s="58"/>
      <c r="U310" s="58"/>
      <c r="V310" s="58"/>
      <c r="W310" s="58"/>
      <c r="X310" s="58"/>
      <c r="Y310" s="58"/>
      <c r="Z310" s="58"/>
    </row>
    <row r="311" ht="76.5" spans="1:26">
      <c r="A311" s="99" t="s">
        <v>1398</v>
      </c>
      <c r="B311" s="100" t="s">
        <v>132</v>
      </c>
      <c r="C311" s="100" t="s">
        <v>1399</v>
      </c>
      <c r="D311" s="100" t="s">
        <v>3177</v>
      </c>
      <c r="E311" s="101" t="s">
        <v>134</v>
      </c>
      <c r="F311" s="123" t="s">
        <v>6603</v>
      </c>
      <c r="G311" s="124" t="s">
        <v>7722</v>
      </c>
      <c r="H311" s="124" t="s">
        <v>7722</v>
      </c>
      <c r="I311" s="124" t="s">
        <v>7688</v>
      </c>
      <c r="J311" s="124" t="s">
        <v>7723</v>
      </c>
      <c r="K311" s="90"/>
      <c r="L311" s="58"/>
      <c r="M311" s="58"/>
      <c r="N311" s="58"/>
      <c r="O311" s="58"/>
      <c r="P311" s="58"/>
      <c r="Q311" s="58"/>
      <c r="R311" s="58"/>
      <c r="S311" s="58"/>
      <c r="T311" s="58"/>
      <c r="U311" s="58"/>
      <c r="V311" s="58"/>
      <c r="W311" s="58"/>
      <c r="X311" s="58"/>
      <c r="Y311" s="58"/>
      <c r="Z311" s="58"/>
    </row>
    <row r="312" ht="76.5" spans="1:26">
      <c r="A312" s="99" t="s">
        <v>1394</v>
      </c>
      <c r="B312" s="100" t="s">
        <v>132</v>
      </c>
      <c r="C312" s="100" t="s">
        <v>1395</v>
      </c>
      <c r="D312" s="100" t="s">
        <v>3177</v>
      </c>
      <c r="E312" s="101" t="s">
        <v>134</v>
      </c>
      <c r="F312" s="123" t="s">
        <v>6603</v>
      </c>
      <c r="G312" s="124" t="s">
        <v>7724</v>
      </c>
      <c r="H312" s="124" t="s">
        <v>7724</v>
      </c>
      <c r="I312" s="124" t="s">
        <v>7688</v>
      </c>
      <c r="J312" s="124" t="s">
        <v>7725</v>
      </c>
      <c r="K312" s="90"/>
      <c r="L312" s="58"/>
      <c r="M312" s="58"/>
      <c r="N312" s="58"/>
      <c r="O312" s="58"/>
      <c r="P312" s="58"/>
      <c r="Q312" s="58"/>
      <c r="R312" s="58"/>
      <c r="S312" s="58"/>
      <c r="T312" s="58"/>
      <c r="U312" s="58"/>
      <c r="V312" s="58"/>
      <c r="W312" s="58"/>
      <c r="X312" s="58"/>
      <c r="Y312" s="58"/>
      <c r="Z312" s="58"/>
    </row>
    <row r="313" spans="1:26">
      <c r="A313" s="99" t="s">
        <v>2642</v>
      </c>
      <c r="B313" s="100" t="s">
        <v>149</v>
      </c>
      <c r="C313" s="100" t="s">
        <v>2643</v>
      </c>
      <c r="D313" s="100" t="s">
        <v>3276</v>
      </c>
      <c r="E313" s="101" t="s">
        <v>204</v>
      </c>
      <c r="F313" s="123" t="s">
        <v>7726</v>
      </c>
      <c r="G313" s="124" t="s">
        <v>7727</v>
      </c>
      <c r="H313" s="124" t="s">
        <v>7728</v>
      </c>
      <c r="I313" s="124" t="s">
        <v>7688</v>
      </c>
      <c r="J313" s="124" t="s">
        <v>7729</v>
      </c>
      <c r="K313" s="90"/>
      <c r="L313" s="58"/>
      <c r="M313" s="58"/>
      <c r="N313" s="58"/>
      <c r="O313" s="58"/>
      <c r="P313" s="58"/>
      <c r="Q313" s="58"/>
      <c r="R313" s="58"/>
      <c r="S313" s="58"/>
      <c r="T313" s="58"/>
      <c r="U313" s="58"/>
      <c r="V313" s="58"/>
      <c r="W313" s="58"/>
      <c r="X313" s="58"/>
      <c r="Y313" s="58"/>
      <c r="Z313" s="58"/>
    </row>
    <row r="314" ht="38.25" spans="1:26">
      <c r="A314" s="99" t="s">
        <v>1906</v>
      </c>
      <c r="B314" s="100" t="s">
        <v>77</v>
      </c>
      <c r="C314" s="100" t="s">
        <v>1907</v>
      </c>
      <c r="D314" s="100">
        <v>17</v>
      </c>
      <c r="E314" s="101" t="s">
        <v>134</v>
      </c>
      <c r="F314" s="123" t="s">
        <v>7730</v>
      </c>
      <c r="G314" s="124" t="s">
        <v>7731</v>
      </c>
      <c r="H314" s="124" t="s">
        <v>7732</v>
      </c>
      <c r="I314" s="124" t="s">
        <v>7688</v>
      </c>
      <c r="J314" s="124" t="s">
        <v>7733</v>
      </c>
      <c r="K314" s="90"/>
      <c r="L314" s="58"/>
      <c r="M314" s="58"/>
      <c r="N314" s="58"/>
      <c r="O314" s="58"/>
      <c r="P314" s="58"/>
      <c r="Q314" s="58"/>
      <c r="R314" s="58"/>
      <c r="S314" s="58"/>
      <c r="T314" s="58"/>
      <c r="U314" s="58"/>
      <c r="V314" s="58"/>
      <c r="W314" s="58"/>
      <c r="X314" s="58"/>
      <c r="Y314" s="58"/>
      <c r="Z314" s="58"/>
    </row>
    <row r="315" ht="38.25" spans="1:26">
      <c r="A315" s="99" t="s">
        <v>2074</v>
      </c>
      <c r="B315" s="100" t="s">
        <v>132</v>
      </c>
      <c r="C315" s="100" t="s">
        <v>2075</v>
      </c>
      <c r="D315" s="100" t="s">
        <v>4227</v>
      </c>
      <c r="E315" s="101" t="s">
        <v>2072</v>
      </c>
      <c r="F315" s="123" t="s">
        <v>6676</v>
      </c>
      <c r="G315" s="124" t="s">
        <v>7734</v>
      </c>
      <c r="H315" s="124" t="s">
        <v>7735</v>
      </c>
      <c r="I315" s="124" t="s">
        <v>7688</v>
      </c>
      <c r="J315" s="124" t="s">
        <v>7736</v>
      </c>
      <c r="K315" s="90"/>
      <c r="L315" s="58"/>
      <c r="M315" s="58"/>
      <c r="N315" s="58"/>
      <c r="O315" s="58"/>
      <c r="P315" s="58"/>
      <c r="Q315" s="58"/>
      <c r="R315" s="58"/>
      <c r="S315" s="58"/>
      <c r="T315" s="58"/>
      <c r="U315" s="58"/>
      <c r="V315" s="58"/>
      <c r="W315" s="58"/>
      <c r="X315" s="58"/>
      <c r="Y315" s="58"/>
      <c r="Z315" s="58"/>
    </row>
    <row r="316" spans="1:26">
      <c r="A316" s="99" t="s">
        <v>413</v>
      </c>
      <c r="B316" s="100" t="s">
        <v>139</v>
      </c>
      <c r="C316" s="100" t="s">
        <v>414</v>
      </c>
      <c r="D316" s="100" t="s">
        <v>3230</v>
      </c>
      <c r="E316" s="101" t="s">
        <v>279</v>
      </c>
      <c r="F316" s="123" t="s">
        <v>7737</v>
      </c>
      <c r="G316" s="124" t="s">
        <v>7738</v>
      </c>
      <c r="H316" s="124" t="s">
        <v>7739</v>
      </c>
      <c r="I316" s="124" t="s">
        <v>7688</v>
      </c>
      <c r="J316" s="124" t="s">
        <v>7740</v>
      </c>
      <c r="K316" s="90"/>
      <c r="L316" s="58"/>
      <c r="M316" s="58"/>
      <c r="N316" s="58"/>
      <c r="O316" s="58"/>
      <c r="P316" s="58"/>
      <c r="Q316" s="58"/>
      <c r="R316" s="58"/>
      <c r="S316" s="58"/>
      <c r="T316" s="58"/>
      <c r="U316" s="58"/>
      <c r="V316" s="58"/>
      <c r="W316" s="58"/>
      <c r="X316" s="58"/>
      <c r="Y316" s="58"/>
      <c r="Z316" s="58"/>
    </row>
    <row r="317" ht="25.5" spans="1:26">
      <c r="A317" s="99" t="s">
        <v>314</v>
      </c>
      <c r="B317" s="100" t="s">
        <v>139</v>
      </c>
      <c r="C317" s="100" t="s">
        <v>315</v>
      </c>
      <c r="D317" s="100" t="s">
        <v>3248</v>
      </c>
      <c r="E317" s="101" t="s">
        <v>204</v>
      </c>
      <c r="F317" s="123" t="s">
        <v>7741</v>
      </c>
      <c r="G317" s="124" t="s">
        <v>7742</v>
      </c>
      <c r="H317" s="124" t="s">
        <v>7743</v>
      </c>
      <c r="I317" s="124" t="s">
        <v>7688</v>
      </c>
      <c r="J317" s="124" t="s">
        <v>7744</v>
      </c>
      <c r="K317" s="90"/>
      <c r="L317" s="58"/>
      <c r="M317" s="58"/>
      <c r="N317" s="58"/>
      <c r="O317" s="58"/>
      <c r="P317" s="58"/>
      <c r="Q317" s="58"/>
      <c r="R317" s="58"/>
      <c r="S317" s="58"/>
      <c r="T317" s="58"/>
      <c r="U317" s="58"/>
      <c r="V317" s="58"/>
      <c r="W317" s="58"/>
      <c r="X317" s="58"/>
      <c r="Y317" s="58"/>
      <c r="Z317" s="58"/>
    </row>
    <row r="318" ht="38.25" spans="1:26">
      <c r="A318" s="99" t="s">
        <v>1447</v>
      </c>
      <c r="B318" s="100" t="s">
        <v>132</v>
      </c>
      <c r="C318" s="100" t="s">
        <v>1448</v>
      </c>
      <c r="D318" s="100" t="s">
        <v>3177</v>
      </c>
      <c r="E318" s="101" t="s">
        <v>134</v>
      </c>
      <c r="F318" s="123" t="s">
        <v>6603</v>
      </c>
      <c r="G318" s="124" t="s">
        <v>7745</v>
      </c>
      <c r="H318" s="124" t="s">
        <v>7745</v>
      </c>
      <c r="I318" s="124" t="s">
        <v>7688</v>
      </c>
      <c r="J318" s="124" t="s">
        <v>7746</v>
      </c>
      <c r="K318" s="90"/>
      <c r="L318" s="58"/>
      <c r="M318" s="58"/>
      <c r="N318" s="58"/>
      <c r="O318" s="58"/>
      <c r="P318" s="58"/>
      <c r="Q318" s="58"/>
      <c r="R318" s="58"/>
      <c r="S318" s="58"/>
      <c r="T318" s="58"/>
      <c r="U318" s="58"/>
      <c r="V318" s="58"/>
      <c r="W318" s="58"/>
      <c r="X318" s="58"/>
      <c r="Y318" s="58"/>
      <c r="Z318" s="58"/>
    </row>
    <row r="319" ht="38.25" spans="1:26">
      <c r="A319" s="99" t="s">
        <v>1451</v>
      </c>
      <c r="B319" s="100" t="s">
        <v>132</v>
      </c>
      <c r="C319" s="100" t="s">
        <v>1452</v>
      </c>
      <c r="D319" s="100" t="s">
        <v>3177</v>
      </c>
      <c r="E319" s="101" t="s">
        <v>134</v>
      </c>
      <c r="F319" s="123" t="s">
        <v>6603</v>
      </c>
      <c r="G319" s="124" t="s">
        <v>7747</v>
      </c>
      <c r="H319" s="124" t="s">
        <v>7747</v>
      </c>
      <c r="I319" s="124" t="s">
        <v>7688</v>
      </c>
      <c r="J319" s="124" t="s">
        <v>7748</v>
      </c>
      <c r="K319" s="90"/>
      <c r="L319" s="58"/>
      <c r="M319" s="58"/>
      <c r="N319" s="58"/>
      <c r="O319" s="58"/>
      <c r="P319" s="58"/>
      <c r="Q319" s="58"/>
      <c r="R319" s="58"/>
      <c r="S319" s="58"/>
      <c r="T319" s="58"/>
      <c r="U319" s="58"/>
      <c r="V319" s="58"/>
      <c r="W319" s="58"/>
      <c r="X319" s="58"/>
      <c r="Y319" s="58"/>
      <c r="Z319" s="58"/>
    </row>
    <row r="320" ht="25.5" spans="1:26">
      <c r="A320" s="99" t="s">
        <v>1077</v>
      </c>
      <c r="B320" s="100" t="s">
        <v>77</v>
      </c>
      <c r="C320" s="100" t="s">
        <v>1078</v>
      </c>
      <c r="D320" s="100">
        <v>15</v>
      </c>
      <c r="E320" s="101" t="s">
        <v>204</v>
      </c>
      <c r="F320" s="123" t="s">
        <v>7749</v>
      </c>
      <c r="G320" s="124" t="s">
        <v>7750</v>
      </c>
      <c r="H320" s="124" t="s">
        <v>7751</v>
      </c>
      <c r="I320" s="124" t="s">
        <v>7688</v>
      </c>
      <c r="J320" s="124" t="s">
        <v>7752</v>
      </c>
      <c r="K320" s="90"/>
      <c r="L320" s="58"/>
      <c r="M320" s="58"/>
      <c r="N320" s="58"/>
      <c r="O320" s="58"/>
      <c r="P320" s="58"/>
      <c r="Q320" s="58"/>
      <c r="R320" s="58"/>
      <c r="S320" s="58"/>
      <c r="T320" s="58"/>
      <c r="U320" s="58"/>
      <c r="V320" s="58"/>
      <c r="W320" s="58"/>
      <c r="X320" s="58"/>
      <c r="Y320" s="58"/>
      <c r="Z320" s="58"/>
    </row>
    <row r="321" ht="38.25" spans="1:26">
      <c r="A321" s="99" t="s">
        <v>1547</v>
      </c>
      <c r="B321" s="100" t="s">
        <v>139</v>
      </c>
      <c r="C321" s="100" t="s">
        <v>1548</v>
      </c>
      <c r="D321" s="100" t="s">
        <v>4375</v>
      </c>
      <c r="E321" s="101" t="s">
        <v>141</v>
      </c>
      <c r="F321" s="123" t="s">
        <v>7481</v>
      </c>
      <c r="G321" s="124" t="s">
        <v>7753</v>
      </c>
      <c r="H321" s="124" t="s">
        <v>7754</v>
      </c>
      <c r="I321" s="124" t="s">
        <v>7688</v>
      </c>
      <c r="J321" s="124" t="s">
        <v>7755</v>
      </c>
      <c r="K321" s="90"/>
      <c r="L321" s="58"/>
      <c r="M321" s="58"/>
      <c r="N321" s="58"/>
      <c r="O321" s="58"/>
      <c r="P321" s="58"/>
      <c r="Q321" s="58"/>
      <c r="R321" s="58"/>
      <c r="S321" s="58"/>
      <c r="T321" s="58"/>
      <c r="U321" s="58"/>
      <c r="V321" s="58"/>
      <c r="W321" s="58"/>
      <c r="X321" s="58"/>
      <c r="Y321" s="58"/>
      <c r="Z321" s="58"/>
    </row>
    <row r="322" ht="38.25" spans="1:26">
      <c r="A322" s="99" t="s">
        <v>1637</v>
      </c>
      <c r="B322" s="100" t="s">
        <v>132</v>
      </c>
      <c r="C322" s="100" t="s">
        <v>1638</v>
      </c>
      <c r="D322" s="100">
        <v>18</v>
      </c>
      <c r="E322" s="101" t="s">
        <v>134</v>
      </c>
      <c r="F322" s="123" t="s">
        <v>7756</v>
      </c>
      <c r="G322" s="124" t="s">
        <v>7757</v>
      </c>
      <c r="H322" s="124" t="s">
        <v>7758</v>
      </c>
      <c r="I322" s="124" t="s">
        <v>7688</v>
      </c>
      <c r="J322" s="124" t="s">
        <v>7759</v>
      </c>
      <c r="K322" s="90"/>
      <c r="L322" s="58"/>
      <c r="M322" s="58"/>
      <c r="N322" s="58"/>
      <c r="O322" s="58"/>
      <c r="P322" s="58"/>
      <c r="Q322" s="58"/>
      <c r="R322" s="58"/>
      <c r="S322" s="58"/>
      <c r="T322" s="58"/>
      <c r="U322" s="58"/>
      <c r="V322" s="58"/>
      <c r="W322" s="58"/>
      <c r="X322" s="58"/>
      <c r="Y322" s="58"/>
      <c r="Z322" s="58"/>
    </row>
    <row r="323" ht="38.25" spans="1:26">
      <c r="A323" s="99" t="s">
        <v>1463</v>
      </c>
      <c r="B323" s="100" t="s">
        <v>132</v>
      </c>
      <c r="C323" s="100" t="s">
        <v>1464</v>
      </c>
      <c r="D323" s="100" t="s">
        <v>3177</v>
      </c>
      <c r="E323" s="101" t="s">
        <v>134</v>
      </c>
      <c r="F323" s="123" t="s">
        <v>6603</v>
      </c>
      <c r="G323" s="124" t="s">
        <v>7760</v>
      </c>
      <c r="H323" s="124" t="s">
        <v>7760</v>
      </c>
      <c r="I323" s="124" t="s">
        <v>7688</v>
      </c>
      <c r="J323" s="124" t="s">
        <v>7761</v>
      </c>
      <c r="K323" s="90"/>
      <c r="L323" s="58"/>
      <c r="M323" s="58"/>
      <c r="N323" s="58"/>
      <c r="O323" s="58"/>
      <c r="P323" s="58"/>
      <c r="Q323" s="58"/>
      <c r="R323" s="58"/>
      <c r="S323" s="58"/>
      <c r="T323" s="58"/>
      <c r="U323" s="58"/>
      <c r="V323" s="58"/>
      <c r="W323" s="58"/>
      <c r="X323" s="58"/>
      <c r="Y323" s="58"/>
      <c r="Z323" s="58"/>
    </row>
    <row r="324" ht="25.5" spans="1:26">
      <c r="A324" s="99" t="s">
        <v>905</v>
      </c>
      <c r="B324" s="100" t="s">
        <v>139</v>
      </c>
      <c r="C324" s="100" t="s">
        <v>906</v>
      </c>
      <c r="D324" s="100" t="s">
        <v>3516</v>
      </c>
      <c r="E324" s="101" t="s">
        <v>134</v>
      </c>
      <c r="F324" s="123" t="s">
        <v>7313</v>
      </c>
      <c r="G324" s="124" t="s">
        <v>7762</v>
      </c>
      <c r="H324" s="124" t="s">
        <v>7763</v>
      </c>
      <c r="I324" s="124" t="s">
        <v>7688</v>
      </c>
      <c r="J324" s="124" t="s">
        <v>7764</v>
      </c>
      <c r="K324" s="90"/>
      <c r="L324" s="58"/>
      <c r="M324" s="58"/>
      <c r="N324" s="58"/>
      <c r="O324" s="58"/>
      <c r="P324" s="58"/>
      <c r="Q324" s="58"/>
      <c r="R324" s="58"/>
      <c r="S324" s="58"/>
      <c r="T324" s="58"/>
      <c r="U324" s="58"/>
      <c r="V324" s="58"/>
      <c r="W324" s="58"/>
      <c r="X324" s="58"/>
      <c r="Y324" s="58"/>
      <c r="Z324" s="58"/>
    </row>
    <row r="325" ht="25.5" spans="1:26">
      <c r="A325" s="99" t="s">
        <v>1599</v>
      </c>
      <c r="B325" s="100" t="s">
        <v>149</v>
      </c>
      <c r="C325" s="100" t="s">
        <v>1600</v>
      </c>
      <c r="D325" s="100" t="s">
        <v>4391</v>
      </c>
      <c r="E325" s="101" t="s">
        <v>134</v>
      </c>
      <c r="F325" s="123" t="s">
        <v>7553</v>
      </c>
      <c r="G325" s="124" t="s">
        <v>7765</v>
      </c>
      <c r="H325" s="124" t="s">
        <v>7766</v>
      </c>
      <c r="I325" s="124" t="s">
        <v>7688</v>
      </c>
      <c r="J325" s="124" t="s">
        <v>7767</v>
      </c>
      <c r="K325" s="90"/>
      <c r="L325" s="58"/>
      <c r="M325" s="58"/>
      <c r="N325" s="58"/>
      <c r="O325" s="58"/>
      <c r="P325" s="58"/>
      <c r="Q325" s="58"/>
      <c r="R325" s="58"/>
      <c r="S325" s="58"/>
      <c r="T325" s="58"/>
      <c r="U325" s="58"/>
      <c r="V325" s="58"/>
      <c r="W325" s="58"/>
      <c r="X325" s="58"/>
      <c r="Y325" s="58"/>
      <c r="Z325" s="58"/>
    </row>
    <row r="326" spans="1:26">
      <c r="A326" s="99" t="s">
        <v>728</v>
      </c>
      <c r="B326" s="100" t="s">
        <v>149</v>
      </c>
      <c r="C326" s="100" t="s">
        <v>7768</v>
      </c>
      <c r="D326" s="100" t="s">
        <v>3591</v>
      </c>
      <c r="E326" s="101" t="s">
        <v>204</v>
      </c>
      <c r="F326" s="123" t="s">
        <v>7769</v>
      </c>
      <c r="G326" s="124" t="s">
        <v>7770</v>
      </c>
      <c r="H326" s="124" t="s">
        <v>7771</v>
      </c>
      <c r="I326" s="124" t="s">
        <v>7688</v>
      </c>
      <c r="J326" s="124" t="s">
        <v>7772</v>
      </c>
      <c r="K326" s="90"/>
      <c r="L326" s="58"/>
      <c r="M326" s="58"/>
      <c r="N326" s="58"/>
      <c r="O326" s="58"/>
      <c r="P326" s="58"/>
      <c r="Q326" s="58"/>
      <c r="R326" s="58"/>
      <c r="S326" s="58"/>
      <c r="T326" s="58"/>
      <c r="U326" s="58"/>
      <c r="V326" s="58"/>
      <c r="W326" s="58"/>
      <c r="X326" s="58"/>
      <c r="Y326" s="58"/>
      <c r="Z326" s="58"/>
    </row>
    <row r="327" spans="1:26">
      <c r="A327" s="99" t="s">
        <v>685</v>
      </c>
      <c r="B327" s="100" t="s">
        <v>139</v>
      </c>
      <c r="C327" s="100" t="s">
        <v>686</v>
      </c>
      <c r="D327" s="100" t="s">
        <v>3025</v>
      </c>
      <c r="E327" s="101" t="s">
        <v>134</v>
      </c>
      <c r="F327" s="123" t="s">
        <v>6653</v>
      </c>
      <c r="G327" s="124" t="s">
        <v>7773</v>
      </c>
      <c r="H327" s="124" t="s">
        <v>7774</v>
      </c>
      <c r="I327" s="124" t="s">
        <v>7688</v>
      </c>
      <c r="J327" s="124" t="s">
        <v>7775</v>
      </c>
      <c r="K327" s="90"/>
      <c r="L327" s="58"/>
      <c r="M327" s="58"/>
      <c r="N327" s="58"/>
      <c r="O327" s="58"/>
      <c r="P327" s="58"/>
      <c r="Q327" s="58"/>
      <c r="R327" s="58"/>
      <c r="S327" s="58"/>
      <c r="T327" s="58"/>
      <c r="U327" s="58"/>
      <c r="V327" s="58"/>
      <c r="W327" s="58"/>
      <c r="X327" s="58"/>
      <c r="Y327" s="58"/>
      <c r="Z327" s="58"/>
    </row>
    <row r="328" ht="38.25" spans="1:26">
      <c r="A328" s="99" t="s">
        <v>2767</v>
      </c>
      <c r="B328" s="100" t="s">
        <v>77</v>
      </c>
      <c r="C328" s="100" t="s">
        <v>2768</v>
      </c>
      <c r="D328" s="100">
        <v>18</v>
      </c>
      <c r="E328" s="101" t="s">
        <v>134</v>
      </c>
      <c r="F328" s="123" t="s">
        <v>7073</v>
      </c>
      <c r="G328" s="124" t="s">
        <v>7776</v>
      </c>
      <c r="H328" s="124" t="s">
        <v>7777</v>
      </c>
      <c r="I328" s="124" t="s">
        <v>7688</v>
      </c>
      <c r="J328" s="124" t="s">
        <v>7778</v>
      </c>
      <c r="K328" s="90"/>
      <c r="L328" s="58"/>
      <c r="M328" s="58"/>
      <c r="N328" s="58"/>
      <c r="O328" s="58"/>
      <c r="P328" s="58"/>
      <c r="Q328" s="58"/>
      <c r="R328" s="58"/>
      <c r="S328" s="58"/>
      <c r="T328" s="58"/>
      <c r="U328" s="58"/>
      <c r="V328" s="58"/>
      <c r="W328" s="58"/>
      <c r="X328" s="58"/>
      <c r="Y328" s="58"/>
      <c r="Z328" s="58"/>
    </row>
    <row r="329" ht="25.5" spans="1:26">
      <c r="A329" s="99" t="s">
        <v>2199</v>
      </c>
      <c r="B329" s="100" t="s">
        <v>77</v>
      </c>
      <c r="C329" s="100" t="s">
        <v>2200</v>
      </c>
      <c r="D329" s="100">
        <v>18</v>
      </c>
      <c r="E329" s="101" t="s">
        <v>134</v>
      </c>
      <c r="F329" s="123" t="s">
        <v>7535</v>
      </c>
      <c r="G329" s="124" t="s">
        <v>7779</v>
      </c>
      <c r="H329" s="124" t="s">
        <v>7780</v>
      </c>
      <c r="I329" s="124" t="s">
        <v>7688</v>
      </c>
      <c r="J329" s="124" t="s">
        <v>7781</v>
      </c>
      <c r="K329" s="90"/>
      <c r="L329" s="58"/>
      <c r="M329" s="58"/>
      <c r="N329" s="58"/>
      <c r="O329" s="58"/>
      <c r="P329" s="58"/>
      <c r="Q329" s="58"/>
      <c r="R329" s="58"/>
      <c r="S329" s="58"/>
      <c r="T329" s="58"/>
      <c r="U329" s="58"/>
      <c r="V329" s="58"/>
      <c r="W329" s="58"/>
      <c r="X329" s="58"/>
      <c r="Y329" s="58"/>
      <c r="Z329" s="58"/>
    </row>
    <row r="330" ht="38.25" spans="1:26">
      <c r="A330" s="99" t="s">
        <v>2332</v>
      </c>
      <c r="B330" s="100" t="s">
        <v>132</v>
      </c>
      <c r="C330" s="100" t="s">
        <v>2333</v>
      </c>
      <c r="D330" s="100" t="s">
        <v>4227</v>
      </c>
      <c r="E330" s="101" t="s">
        <v>134</v>
      </c>
      <c r="F330" s="123" t="s">
        <v>6603</v>
      </c>
      <c r="G330" s="124" t="s">
        <v>7782</v>
      </c>
      <c r="H330" s="124" t="s">
        <v>7782</v>
      </c>
      <c r="I330" s="124" t="s">
        <v>7688</v>
      </c>
      <c r="J330" s="124" t="s">
        <v>7783</v>
      </c>
      <c r="K330" s="90"/>
      <c r="L330" s="58"/>
      <c r="M330" s="58"/>
      <c r="N330" s="58"/>
      <c r="O330" s="58"/>
      <c r="P330" s="58"/>
      <c r="Q330" s="58"/>
      <c r="R330" s="58"/>
      <c r="S330" s="58"/>
      <c r="T330" s="58"/>
      <c r="U330" s="58"/>
      <c r="V330" s="58"/>
      <c r="W330" s="58"/>
      <c r="X330" s="58"/>
      <c r="Y330" s="58"/>
      <c r="Z330" s="58"/>
    </row>
    <row r="331" ht="25.5" spans="1:26">
      <c r="A331" s="99" t="s">
        <v>1116</v>
      </c>
      <c r="B331" s="100" t="s">
        <v>139</v>
      </c>
      <c r="C331" s="100" t="s">
        <v>1117</v>
      </c>
      <c r="D331" s="100" t="s">
        <v>3235</v>
      </c>
      <c r="E331" s="101" t="s">
        <v>134</v>
      </c>
      <c r="F331" s="123" t="s">
        <v>7784</v>
      </c>
      <c r="G331" s="124" t="s">
        <v>7785</v>
      </c>
      <c r="H331" s="124" t="s">
        <v>7786</v>
      </c>
      <c r="I331" s="124" t="s">
        <v>7688</v>
      </c>
      <c r="J331" s="124" t="s">
        <v>7787</v>
      </c>
      <c r="K331" s="90"/>
      <c r="L331" s="58"/>
      <c r="M331" s="58"/>
      <c r="N331" s="58"/>
      <c r="O331" s="58"/>
      <c r="P331" s="58"/>
      <c r="Q331" s="58"/>
      <c r="R331" s="58"/>
      <c r="S331" s="58"/>
      <c r="T331" s="58"/>
      <c r="U331" s="58"/>
      <c r="V331" s="58"/>
      <c r="W331" s="58"/>
      <c r="X331" s="58"/>
      <c r="Y331" s="58"/>
      <c r="Z331" s="58"/>
    </row>
    <row r="332" ht="38.25" spans="1:26">
      <c r="A332" s="99" t="s">
        <v>2070</v>
      </c>
      <c r="B332" s="100" t="s">
        <v>132</v>
      </c>
      <c r="C332" s="100" t="s">
        <v>2071</v>
      </c>
      <c r="D332" s="100" t="s">
        <v>4227</v>
      </c>
      <c r="E332" s="101" t="s">
        <v>2072</v>
      </c>
      <c r="F332" s="123" t="s">
        <v>6676</v>
      </c>
      <c r="G332" s="124" t="s">
        <v>7788</v>
      </c>
      <c r="H332" s="124" t="s">
        <v>7789</v>
      </c>
      <c r="I332" s="124" t="s">
        <v>7688</v>
      </c>
      <c r="J332" s="124" t="s">
        <v>7790</v>
      </c>
      <c r="K332" s="90"/>
      <c r="L332" s="58"/>
      <c r="M332" s="58"/>
      <c r="N332" s="58"/>
      <c r="O332" s="58"/>
      <c r="P332" s="58"/>
      <c r="Q332" s="58"/>
      <c r="R332" s="58"/>
      <c r="S332" s="58"/>
      <c r="T332" s="58"/>
      <c r="U332" s="58"/>
      <c r="V332" s="58"/>
      <c r="W332" s="58"/>
      <c r="X332" s="58"/>
      <c r="Y332" s="58"/>
      <c r="Z332" s="58"/>
    </row>
    <row r="333" ht="25.5" spans="1:26">
      <c r="A333" s="99" t="s">
        <v>561</v>
      </c>
      <c r="B333" s="100" t="s">
        <v>139</v>
      </c>
      <c r="C333" s="100" t="s">
        <v>562</v>
      </c>
      <c r="D333" s="100" t="s">
        <v>3390</v>
      </c>
      <c r="E333" s="101" t="s">
        <v>279</v>
      </c>
      <c r="F333" s="123" t="s">
        <v>7791</v>
      </c>
      <c r="G333" s="124" t="s">
        <v>7792</v>
      </c>
      <c r="H333" s="124" t="s">
        <v>7793</v>
      </c>
      <c r="I333" s="124" t="s">
        <v>7688</v>
      </c>
      <c r="J333" s="124" t="s">
        <v>7794</v>
      </c>
      <c r="K333" s="90"/>
      <c r="L333" s="58"/>
      <c r="M333" s="58"/>
      <c r="N333" s="58"/>
      <c r="O333" s="58"/>
      <c r="P333" s="58"/>
      <c r="Q333" s="58"/>
      <c r="R333" s="58"/>
      <c r="S333" s="58"/>
      <c r="T333" s="58"/>
      <c r="U333" s="58"/>
      <c r="V333" s="58"/>
      <c r="W333" s="58"/>
      <c r="X333" s="58"/>
      <c r="Y333" s="58"/>
      <c r="Z333" s="58"/>
    </row>
    <row r="334" ht="25.5" spans="1:26">
      <c r="A334" s="99" t="s">
        <v>2738</v>
      </c>
      <c r="B334" s="100" t="s">
        <v>139</v>
      </c>
      <c r="C334" s="100" t="s">
        <v>2739</v>
      </c>
      <c r="D334" s="100" t="s">
        <v>5177</v>
      </c>
      <c r="E334" s="101" t="s">
        <v>141</v>
      </c>
      <c r="F334" s="123" t="s">
        <v>7465</v>
      </c>
      <c r="G334" s="124" t="s">
        <v>7795</v>
      </c>
      <c r="H334" s="124" t="s">
        <v>7796</v>
      </c>
      <c r="I334" s="124" t="s">
        <v>7797</v>
      </c>
      <c r="J334" s="124" t="s">
        <v>7798</v>
      </c>
      <c r="K334" s="90"/>
      <c r="L334" s="58"/>
      <c r="M334" s="58"/>
      <c r="N334" s="58"/>
      <c r="O334" s="58"/>
      <c r="P334" s="58"/>
      <c r="Q334" s="58"/>
      <c r="R334" s="58"/>
      <c r="S334" s="58"/>
      <c r="T334" s="58"/>
      <c r="U334" s="58"/>
      <c r="V334" s="58"/>
      <c r="W334" s="58"/>
      <c r="X334" s="58"/>
      <c r="Y334" s="58"/>
      <c r="Z334" s="58"/>
    </row>
    <row r="335" spans="1:26">
      <c r="A335" s="99" t="s">
        <v>1851</v>
      </c>
      <c r="B335" s="100" t="s">
        <v>796</v>
      </c>
      <c r="C335" s="100" t="s">
        <v>1852</v>
      </c>
      <c r="D335" s="100" t="s">
        <v>2961</v>
      </c>
      <c r="E335" s="101" t="s">
        <v>334</v>
      </c>
      <c r="F335" s="123" t="s">
        <v>6603</v>
      </c>
      <c r="G335" s="124" t="s">
        <v>7799</v>
      </c>
      <c r="H335" s="124" t="s">
        <v>7799</v>
      </c>
      <c r="I335" s="124" t="s">
        <v>7797</v>
      </c>
      <c r="J335" s="124" t="s">
        <v>7800</v>
      </c>
      <c r="K335" s="90"/>
      <c r="L335" s="58"/>
      <c r="M335" s="58"/>
      <c r="N335" s="58"/>
      <c r="O335" s="58"/>
      <c r="P335" s="58"/>
      <c r="Q335" s="58"/>
      <c r="R335" s="58"/>
      <c r="S335" s="58"/>
      <c r="T335" s="58"/>
      <c r="U335" s="58"/>
      <c r="V335" s="58"/>
      <c r="W335" s="58"/>
      <c r="X335" s="58"/>
      <c r="Y335" s="58"/>
      <c r="Z335" s="58"/>
    </row>
    <row r="336" ht="25.5" spans="1:26">
      <c r="A336" s="99" t="s">
        <v>1843</v>
      </c>
      <c r="B336" s="100" t="s">
        <v>132</v>
      </c>
      <c r="C336" s="100" t="s">
        <v>1844</v>
      </c>
      <c r="D336" s="100" t="s">
        <v>4227</v>
      </c>
      <c r="E336" s="101" t="s">
        <v>134</v>
      </c>
      <c r="F336" s="123" t="s">
        <v>6676</v>
      </c>
      <c r="G336" s="124" t="s">
        <v>7801</v>
      </c>
      <c r="H336" s="124" t="s">
        <v>7802</v>
      </c>
      <c r="I336" s="124" t="s">
        <v>7797</v>
      </c>
      <c r="J336" s="124" t="s">
        <v>7803</v>
      </c>
      <c r="K336" s="90"/>
      <c r="L336" s="58"/>
      <c r="M336" s="58"/>
      <c r="N336" s="58"/>
      <c r="O336" s="58"/>
      <c r="P336" s="58"/>
      <c r="Q336" s="58"/>
      <c r="R336" s="58"/>
      <c r="S336" s="58"/>
      <c r="T336" s="58"/>
      <c r="U336" s="58"/>
      <c r="V336" s="58"/>
      <c r="W336" s="58"/>
      <c r="X336" s="58"/>
      <c r="Y336" s="58"/>
      <c r="Z336" s="58"/>
    </row>
    <row r="337" ht="25.5" spans="1:26">
      <c r="A337" s="99" t="s">
        <v>1643</v>
      </c>
      <c r="B337" s="100" t="s">
        <v>132</v>
      </c>
      <c r="C337" s="100" t="s">
        <v>1644</v>
      </c>
      <c r="D337" s="100">
        <v>60</v>
      </c>
      <c r="E337" s="101" t="s">
        <v>134</v>
      </c>
      <c r="F337" s="123" t="s">
        <v>7804</v>
      </c>
      <c r="G337" s="124" t="s">
        <v>7805</v>
      </c>
      <c r="H337" s="124" t="s">
        <v>7806</v>
      </c>
      <c r="I337" s="124" t="s">
        <v>7797</v>
      </c>
      <c r="J337" s="124" t="s">
        <v>7807</v>
      </c>
      <c r="K337" s="90"/>
      <c r="L337" s="58"/>
      <c r="M337" s="58"/>
      <c r="N337" s="58"/>
      <c r="O337" s="58"/>
      <c r="P337" s="58"/>
      <c r="Q337" s="58"/>
      <c r="R337" s="58"/>
      <c r="S337" s="58"/>
      <c r="T337" s="58"/>
      <c r="U337" s="58"/>
      <c r="V337" s="58"/>
      <c r="W337" s="58"/>
      <c r="X337" s="58"/>
      <c r="Y337" s="58"/>
      <c r="Z337" s="58"/>
    </row>
    <row r="338" ht="38.25" spans="1:26">
      <c r="A338" s="99" t="s">
        <v>1649</v>
      </c>
      <c r="B338" s="100" t="s">
        <v>139</v>
      </c>
      <c r="C338" s="100" t="s">
        <v>1650</v>
      </c>
      <c r="D338" s="100" t="s">
        <v>3215</v>
      </c>
      <c r="E338" s="101" t="s">
        <v>279</v>
      </c>
      <c r="F338" s="123" t="s">
        <v>7808</v>
      </c>
      <c r="G338" s="124" t="s">
        <v>7809</v>
      </c>
      <c r="H338" s="124" t="s">
        <v>7810</v>
      </c>
      <c r="I338" s="124" t="s">
        <v>7797</v>
      </c>
      <c r="J338" s="124" t="s">
        <v>7811</v>
      </c>
      <c r="K338" s="90"/>
      <c r="L338" s="58"/>
      <c r="M338" s="58"/>
      <c r="N338" s="58"/>
      <c r="O338" s="58"/>
      <c r="P338" s="58"/>
      <c r="Q338" s="58"/>
      <c r="R338" s="58"/>
      <c r="S338" s="58"/>
      <c r="T338" s="58"/>
      <c r="U338" s="58"/>
      <c r="V338" s="58"/>
      <c r="W338" s="58"/>
      <c r="X338" s="58"/>
      <c r="Y338" s="58"/>
      <c r="Z338" s="58"/>
    </row>
    <row r="339" ht="38.25" spans="1:26">
      <c r="A339" s="99" t="s">
        <v>1553</v>
      </c>
      <c r="B339" s="100" t="s">
        <v>132</v>
      </c>
      <c r="C339" s="100" t="s">
        <v>1554</v>
      </c>
      <c r="D339" s="100">
        <v>6</v>
      </c>
      <c r="E339" s="101" t="s">
        <v>134</v>
      </c>
      <c r="F339" s="123" t="s">
        <v>6725</v>
      </c>
      <c r="G339" s="124" t="s">
        <v>7536</v>
      </c>
      <c r="H339" s="124" t="s">
        <v>7812</v>
      </c>
      <c r="I339" s="124" t="s">
        <v>7797</v>
      </c>
      <c r="J339" s="124" t="s">
        <v>7813</v>
      </c>
      <c r="K339" s="90"/>
      <c r="L339" s="58"/>
      <c r="M339" s="58"/>
      <c r="N339" s="58"/>
      <c r="O339" s="58"/>
      <c r="P339" s="58"/>
      <c r="Q339" s="58"/>
      <c r="R339" s="58"/>
      <c r="S339" s="58"/>
      <c r="T339" s="58"/>
      <c r="U339" s="58"/>
      <c r="V339" s="58"/>
      <c r="W339" s="58"/>
      <c r="X339" s="58"/>
      <c r="Y339" s="58"/>
      <c r="Z339" s="58"/>
    </row>
    <row r="340" ht="38.25" spans="1:26">
      <c r="A340" s="99" t="s">
        <v>76</v>
      </c>
      <c r="B340" s="100" t="s">
        <v>77</v>
      </c>
      <c r="C340" s="100" t="s">
        <v>78</v>
      </c>
      <c r="D340" s="100">
        <v>1</v>
      </c>
      <c r="E340" s="101" t="s">
        <v>141</v>
      </c>
      <c r="F340" s="123" t="s">
        <v>7814</v>
      </c>
      <c r="G340" s="124" t="s">
        <v>7815</v>
      </c>
      <c r="H340" s="124" t="s">
        <v>7816</v>
      </c>
      <c r="I340" s="124" t="s">
        <v>7797</v>
      </c>
      <c r="J340" s="124" t="s">
        <v>7817</v>
      </c>
      <c r="K340" s="90"/>
      <c r="L340" s="58"/>
      <c r="M340" s="58"/>
      <c r="N340" s="58"/>
      <c r="O340" s="58"/>
      <c r="P340" s="58"/>
      <c r="Q340" s="58"/>
      <c r="R340" s="58"/>
      <c r="S340" s="58"/>
      <c r="T340" s="58"/>
      <c r="U340" s="58"/>
      <c r="V340" s="58"/>
      <c r="W340" s="58"/>
      <c r="X340" s="58"/>
      <c r="Y340" s="58"/>
      <c r="Z340" s="58"/>
    </row>
    <row r="341" ht="25.5" spans="1:26">
      <c r="A341" s="99" t="s">
        <v>914</v>
      </c>
      <c r="B341" s="100" t="s">
        <v>132</v>
      </c>
      <c r="C341" s="100" t="s">
        <v>915</v>
      </c>
      <c r="D341" s="100" t="s">
        <v>3129</v>
      </c>
      <c r="E341" s="101" t="s">
        <v>134</v>
      </c>
      <c r="F341" s="123" t="s">
        <v>7818</v>
      </c>
      <c r="G341" s="124" t="s">
        <v>7819</v>
      </c>
      <c r="H341" s="124" t="s">
        <v>7820</v>
      </c>
      <c r="I341" s="124" t="s">
        <v>7797</v>
      </c>
      <c r="J341" s="124" t="s">
        <v>7821</v>
      </c>
      <c r="K341" s="90"/>
      <c r="L341" s="58"/>
      <c r="M341" s="58"/>
      <c r="N341" s="58"/>
      <c r="O341" s="58"/>
      <c r="P341" s="58"/>
      <c r="Q341" s="58"/>
      <c r="R341" s="58"/>
      <c r="S341" s="58"/>
      <c r="T341" s="58"/>
      <c r="U341" s="58"/>
      <c r="V341" s="58"/>
      <c r="W341" s="58"/>
      <c r="X341" s="58"/>
      <c r="Y341" s="58"/>
      <c r="Z341" s="58"/>
    </row>
    <row r="342" ht="38.25" spans="1:26">
      <c r="A342" s="99" t="s">
        <v>2329</v>
      </c>
      <c r="B342" s="100" t="s">
        <v>132</v>
      </c>
      <c r="C342" s="100" t="s">
        <v>2330</v>
      </c>
      <c r="D342" s="100" t="s">
        <v>4227</v>
      </c>
      <c r="E342" s="101" t="s">
        <v>134</v>
      </c>
      <c r="F342" s="123" t="s">
        <v>6603</v>
      </c>
      <c r="G342" s="124" t="s">
        <v>7822</v>
      </c>
      <c r="H342" s="124" t="s">
        <v>7822</v>
      </c>
      <c r="I342" s="124" t="s">
        <v>7797</v>
      </c>
      <c r="J342" s="124" t="s">
        <v>7823</v>
      </c>
      <c r="K342" s="90"/>
      <c r="L342" s="58"/>
      <c r="M342" s="58"/>
      <c r="N342" s="58"/>
      <c r="O342" s="58"/>
      <c r="P342" s="58"/>
      <c r="Q342" s="58"/>
      <c r="R342" s="58"/>
      <c r="S342" s="58"/>
      <c r="T342" s="58"/>
      <c r="U342" s="58"/>
      <c r="V342" s="58"/>
      <c r="W342" s="58"/>
      <c r="X342" s="58"/>
      <c r="Y342" s="58"/>
      <c r="Z342" s="58"/>
    </row>
    <row r="343" ht="25.5" spans="1:26">
      <c r="A343" s="99" t="s">
        <v>2698</v>
      </c>
      <c r="B343" s="100" t="s">
        <v>132</v>
      </c>
      <c r="C343" s="100" t="s">
        <v>2699</v>
      </c>
      <c r="D343" s="100" t="s">
        <v>5109</v>
      </c>
      <c r="E343" s="101" t="s">
        <v>204</v>
      </c>
      <c r="F343" s="123" t="s">
        <v>7824</v>
      </c>
      <c r="G343" s="124" t="s">
        <v>7825</v>
      </c>
      <c r="H343" s="124" t="s">
        <v>7826</v>
      </c>
      <c r="I343" s="124" t="s">
        <v>7797</v>
      </c>
      <c r="J343" s="124" t="s">
        <v>7827</v>
      </c>
      <c r="K343" s="90"/>
      <c r="L343" s="58"/>
      <c r="M343" s="58"/>
      <c r="N343" s="58"/>
      <c r="O343" s="58"/>
      <c r="P343" s="58"/>
      <c r="Q343" s="58"/>
      <c r="R343" s="58"/>
      <c r="S343" s="58"/>
      <c r="T343" s="58"/>
      <c r="U343" s="58"/>
      <c r="V343" s="58"/>
      <c r="W343" s="58"/>
      <c r="X343" s="58"/>
      <c r="Y343" s="58"/>
      <c r="Z343" s="58"/>
    </row>
    <row r="344" ht="25.5" spans="1:26">
      <c r="A344" s="99" t="s">
        <v>1228</v>
      </c>
      <c r="B344" s="100" t="s">
        <v>149</v>
      </c>
      <c r="C344" s="100" t="s">
        <v>1229</v>
      </c>
      <c r="D344" s="100" t="s">
        <v>3953</v>
      </c>
      <c r="E344" s="101" t="s">
        <v>134</v>
      </c>
      <c r="F344" s="123" t="s">
        <v>7828</v>
      </c>
      <c r="G344" s="124" t="s">
        <v>7829</v>
      </c>
      <c r="H344" s="124" t="s">
        <v>7830</v>
      </c>
      <c r="I344" s="124" t="s">
        <v>7797</v>
      </c>
      <c r="J344" s="124" t="s">
        <v>7831</v>
      </c>
      <c r="K344" s="90"/>
      <c r="L344" s="58"/>
      <c r="M344" s="58"/>
      <c r="N344" s="58"/>
      <c r="O344" s="58"/>
      <c r="P344" s="58"/>
      <c r="Q344" s="58"/>
      <c r="R344" s="58"/>
      <c r="S344" s="58"/>
      <c r="T344" s="58"/>
      <c r="U344" s="58"/>
      <c r="V344" s="58"/>
      <c r="W344" s="58"/>
      <c r="X344" s="58"/>
      <c r="Y344" s="58"/>
      <c r="Z344" s="58"/>
    </row>
    <row r="345" spans="1:26">
      <c r="A345" s="99" t="s">
        <v>148</v>
      </c>
      <c r="B345" s="100" t="s">
        <v>149</v>
      </c>
      <c r="C345" s="100" t="s">
        <v>150</v>
      </c>
      <c r="D345" s="100" t="s">
        <v>2973</v>
      </c>
      <c r="E345" s="101" t="s">
        <v>134</v>
      </c>
      <c r="F345" s="123" t="s">
        <v>6603</v>
      </c>
      <c r="G345" s="124" t="s">
        <v>7832</v>
      </c>
      <c r="H345" s="124" t="s">
        <v>7832</v>
      </c>
      <c r="I345" s="124" t="s">
        <v>7797</v>
      </c>
      <c r="J345" s="124" t="s">
        <v>7833</v>
      </c>
      <c r="K345" s="90"/>
      <c r="L345" s="58"/>
      <c r="M345" s="58"/>
      <c r="N345" s="58"/>
      <c r="O345" s="58"/>
      <c r="P345" s="58"/>
      <c r="Q345" s="58"/>
      <c r="R345" s="58"/>
      <c r="S345" s="58"/>
      <c r="T345" s="58"/>
      <c r="U345" s="58"/>
      <c r="V345" s="58"/>
      <c r="W345" s="58"/>
      <c r="X345" s="58"/>
      <c r="Y345" s="58"/>
      <c r="Z345" s="58"/>
    </row>
    <row r="346" ht="25.5" spans="1:26">
      <c r="A346" s="99" t="s">
        <v>1346</v>
      </c>
      <c r="B346" s="100" t="s">
        <v>132</v>
      </c>
      <c r="C346" s="100" t="s">
        <v>1347</v>
      </c>
      <c r="D346" s="100">
        <v>707</v>
      </c>
      <c r="E346" s="101" t="s">
        <v>334</v>
      </c>
      <c r="F346" s="123" t="s">
        <v>6653</v>
      </c>
      <c r="G346" s="124" t="s">
        <v>7834</v>
      </c>
      <c r="H346" s="124" t="s">
        <v>7835</v>
      </c>
      <c r="I346" s="124" t="s">
        <v>7797</v>
      </c>
      <c r="J346" s="124" t="s">
        <v>7836</v>
      </c>
      <c r="K346" s="90"/>
      <c r="L346" s="58"/>
      <c r="M346" s="58"/>
      <c r="N346" s="58"/>
      <c r="O346" s="58"/>
      <c r="P346" s="58"/>
      <c r="Q346" s="58"/>
      <c r="R346" s="58"/>
      <c r="S346" s="58"/>
      <c r="T346" s="58"/>
      <c r="U346" s="58"/>
      <c r="V346" s="58"/>
      <c r="W346" s="58"/>
      <c r="X346" s="58"/>
      <c r="Y346" s="58"/>
      <c r="Z346" s="58"/>
    </row>
    <row r="347" ht="25.5" spans="1:26">
      <c r="A347" s="99" t="s">
        <v>467</v>
      </c>
      <c r="B347" s="100" t="s">
        <v>139</v>
      </c>
      <c r="C347" s="100" t="s">
        <v>468</v>
      </c>
      <c r="D347" s="100" t="s">
        <v>3310</v>
      </c>
      <c r="E347" s="101" t="s">
        <v>141</v>
      </c>
      <c r="F347" s="123" t="s">
        <v>7837</v>
      </c>
      <c r="G347" s="124" t="s">
        <v>7838</v>
      </c>
      <c r="H347" s="124" t="s">
        <v>7839</v>
      </c>
      <c r="I347" s="124" t="s">
        <v>7797</v>
      </c>
      <c r="J347" s="124" t="s">
        <v>7840</v>
      </c>
      <c r="K347" s="90"/>
      <c r="L347" s="58"/>
      <c r="M347" s="58"/>
      <c r="N347" s="58"/>
      <c r="O347" s="58"/>
      <c r="P347" s="58"/>
      <c r="Q347" s="58"/>
      <c r="R347" s="58"/>
      <c r="S347" s="58"/>
      <c r="T347" s="58"/>
      <c r="U347" s="58"/>
      <c r="V347" s="58"/>
      <c r="W347" s="58"/>
      <c r="X347" s="58"/>
      <c r="Y347" s="58"/>
      <c r="Z347" s="58"/>
    </row>
    <row r="348" spans="1:26">
      <c r="A348" s="99" t="s">
        <v>908</v>
      </c>
      <c r="B348" s="100" t="s">
        <v>149</v>
      </c>
      <c r="C348" s="100" t="s">
        <v>909</v>
      </c>
      <c r="D348" s="100" t="s">
        <v>3789</v>
      </c>
      <c r="E348" s="101" t="s">
        <v>134</v>
      </c>
      <c r="F348" s="123" t="s">
        <v>6653</v>
      </c>
      <c r="G348" s="124" t="s">
        <v>7841</v>
      </c>
      <c r="H348" s="124" t="s">
        <v>7842</v>
      </c>
      <c r="I348" s="124" t="s">
        <v>7797</v>
      </c>
      <c r="J348" s="124" t="s">
        <v>7843</v>
      </c>
      <c r="K348" s="90"/>
      <c r="L348" s="58"/>
      <c r="M348" s="58"/>
      <c r="N348" s="58"/>
      <c r="O348" s="58"/>
      <c r="P348" s="58"/>
      <c r="Q348" s="58"/>
      <c r="R348" s="58"/>
      <c r="S348" s="58"/>
      <c r="T348" s="58"/>
      <c r="U348" s="58"/>
      <c r="V348" s="58"/>
      <c r="W348" s="58"/>
      <c r="X348" s="58"/>
      <c r="Y348" s="58"/>
      <c r="Z348" s="58"/>
    </row>
    <row r="349" ht="25.5" spans="1:26">
      <c r="A349" s="99" t="s">
        <v>470</v>
      </c>
      <c r="B349" s="100" t="s">
        <v>139</v>
      </c>
      <c r="C349" s="100" t="s">
        <v>471</v>
      </c>
      <c r="D349" s="100" t="s">
        <v>3310</v>
      </c>
      <c r="E349" s="101" t="s">
        <v>141</v>
      </c>
      <c r="F349" s="123" t="s">
        <v>7844</v>
      </c>
      <c r="G349" s="124" t="s">
        <v>7845</v>
      </c>
      <c r="H349" s="124" t="s">
        <v>7846</v>
      </c>
      <c r="I349" s="124" t="s">
        <v>7797</v>
      </c>
      <c r="J349" s="124" t="s">
        <v>7847</v>
      </c>
      <c r="K349" s="90"/>
      <c r="L349" s="58"/>
      <c r="M349" s="58"/>
      <c r="N349" s="58"/>
      <c r="O349" s="58"/>
      <c r="P349" s="58"/>
      <c r="Q349" s="58"/>
      <c r="R349" s="58"/>
      <c r="S349" s="58"/>
      <c r="T349" s="58"/>
      <c r="U349" s="58"/>
      <c r="V349" s="58"/>
      <c r="W349" s="58"/>
      <c r="X349" s="58"/>
      <c r="Y349" s="58"/>
      <c r="Z349" s="58"/>
    </row>
    <row r="350" ht="25.5" spans="1:26">
      <c r="A350" s="99" t="s">
        <v>993</v>
      </c>
      <c r="B350" s="100" t="s">
        <v>132</v>
      </c>
      <c r="C350" s="100" t="s">
        <v>994</v>
      </c>
      <c r="D350" s="100">
        <v>15</v>
      </c>
      <c r="E350" s="101" t="s">
        <v>204</v>
      </c>
      <c r="F350" s="123" t="s">
        <v>7317</v>
      </c>
      <c r="G350" s="124" t="s">
        <v>7346</v>
      </c>
      <c r="H350" s="124" t="s">
        <v>7848</v>
      </c>
      <c r="I350" s="124" t="s">
        <v>7797</v>
      </c>
      <c r="J350" s="124" t="s">
        <v>7849</v>
      </c>
      <c r="K350" s="90"/>
      <c r="L350" s="58"/>
      <c r="M350" s="58"/>
      <c r="N350" s="58"/>
      <c r="O350" s="58"/>
      <c r="P350" s="58"/>
      <c r="Q350" s="58"/>
      <c r="R350" s="58"/>
      <c r="S350" s="58"/>
      <c r="T350" s="58"/>
      <c r="U350" s="58"/>
      <c r="V350" s="58"/>
      <c r="W350" s="58"/>
      <c r="X350" s="58"/>
      <c r="Y350" s="58"/>
      <c r="Z350" s="58"/>
    </row>
    <row r="351" ht="25.5" spans="1:26">
      <c r="A351" s="99" t="s">
        <v>2462</v>
      </c>
      <c r="B351" s="100" t="s">
        <v>139</v>
      </c>
      <c r="C351" s="100" t="s">
        <v>2463</v>
      </c>
      <c r="D351" s="100" t="s">
        <v>4909</v>
      </c>
      <c r="E351" s="101" t="s">
        <v>204</v>
      </c>
      <c r="F351" s="123" t="s">
        <v>7850</v>
      </c>
      <c r="G351" s="124" t="s">
        <v>7087</v>
      </c>
      <c r="H351" s="124" t="s">
        <v>7851</v>
      </c>
      <c r="I351" s="124" t="s">
        <v>7797</v>
      </c>
      <c r="J351" s="124" t="s">
        <v>7852</v>
      </c>
      <c r="K351" s="90"/>
      <c r="L351" s="58"/>
      <c r="M351" s="58"/>
      <c r="N351" s="58"/>
      <c r="O351" s="58"/>
      <c r="P351" s="58"/>
      <c r="Q351" s="58"/>
      <c r="R351" s="58"/>
      <c r="S351" s="58"/>
      <c r="T351" s="58"/>
      <c r="U351" s="58"/>
      <c r="V351" s="58"/>
      <c r="W351" s="58"/>
      <c r="X351" s="58"/>
      <c r="Y351" s="58"/>
      <c r="Z351" s="58"/>
    </row>
    <row r="352" ht="25.5" spans="1:26">
      <c r="A352" s="99" t="s">
        <v>407</v>
      </c>
      <c r="B352" s="100" t="s">
        <v>139</v>
      </c>
      <c r="C352" s="100" t="s">
        <v>408</v>
      </c>
      <c r="D352" s="100" t="s">
        <v>3310</v>
      </c>
      <c r="E352" s="101" t="s">
        <v>141</v>
      </c>
      <c r="F352" s="123" t="s">
        <v>7853</v>
      </c>
      <c r="G352" s="124" t="s">
        <v>7854</v>
      </c>
      <c r="H352" s="124" t="s">
        <v>7855</v>
      </c>
      <c r="I352" s="124" t="s">
        <v>7797</v>
      </c>
      <c r="J352" s="124" t="s">
        <v>7856</v>
      </c>
      <c r="K352" s="90"/>
      <c r="L352" s="58"/>
      <c r="M352" s="58"/>
      <c r="N352" s="58"/>
      <c r="O352" s="58"/>
      <c r="P352" s="58"/>
      <c r="Q352" s="58"/>
      <c r="R352" s="58"/>
      <c r="S352" s="58"/>
      <c r="T352" s="58"/>
      <c r="U352" s="58"/>
      <c r="V352" s="58"/>
      <c r="W352" s="58"/>
      <c r="X352" s="58"/>
      <c r="Y352" s="58"/>
      <c r="Z352" s="58"/>
    </row>
    <row r="353" ht="25.5" spans="1:26">
      <c r="A353" s="99" t="s">
        <v>2317</v>
      </c>
      <c r="B353" s="100" t="s">
        <v>149</v>
      </c>
      <c r="C353" s="100" t="s">
        <v>2318</v>
      </c>
      <c r="D353" s="100" t="s">
        <v>4599</v>
      </c>
      <c r="E353" s="101" t="s">
        <v>134</v>
      </c>
      <c r="F353" s="123" t="s">
        <v>6653</v>
      </c>
      <c r="G353" s="124" t="s">
        <v>7857</v>
      </c>
      <c r="H353" s="124" t="s">
        <v>7858</v>
      </c>
      <c r="I353" s="124" t="s">
        <v>7797</v>
      </c>
      <c r="J353" s="124" t="s">
        <v>7859</v>
      </c>
      <c r="K353" s="90"/>
      <c r="L353" s="58"/>
      <c r="M353" s="58"/>
      <c r="N353" s="58"/>
      <c r="O353" s="58"/>
      <c r="P353" s="58"/>
      <c r="Q353" s="58"/>
      <c r="R353" s="58"/>
      <c r="S353" s="58"/>
      <c r="T353" s="58"/>
      <c r="U353" s="58"/>
      <c r="V353" s="58"/>
      <c r="W353" s="58"/>
      <c r="X353" s="58"/>
      <c r="Y353" s="58"/>
      <c r="Z353" s="58"/>
    </row>
    <row r="354" ht="25.5" spans="1:26">
      <c r="A354" s="99" t="s">
        <v>688</v>
      </c>
      <c r="B354" s="100" t="s">
        <v>132</v>
      </c>
      <c r="C354" s="100" t="s">
        <v>689</v>
      </c>
      <c r="D354" s="100" t="s">
        <v>3505</v>
      </c>
      <c r="E354" s="101" t="s">
        <v>134</v>
      </c>
      <c r="F354" s="123" t="s">
        <v>7230</v>
      </c>
      <c r="G354" s="124" t="s">
        <v>7860</v>
      </c>
      <c r="H354" s="124" t="s">
        <v>7861</v>
      </c>
      <c r="I354" s="124" t="s">
        <v>7797</v>
      </c>
      <c r="J354" s="124" t="s">
        <v>7862</v>
      </c>
      <c r="K354" s="90"/>
      <c r="L354" s="58"/>
      <c r="M354" s="58"/>
      <c r="N354" s="58"/>
      <c r="O354" s="58"/>
      <c r="P354" s="58"/>
      <c r="Q354" s="58"/>
      <c r="R354" s="58"/>
      <c r="S354" s="58"/>
      <c r="T354" s="58"/>
      <c r="U354" s="58"/>
      <c r="V354" s="58"/>
      <c r="W354" s="58"/>
      <c r="X354" s="58"/>
      <c r="Y354" s="58"/>
      <c r="Z354" s="58"/>
    </row>
    <row r="355" ht="25.5" spans="1:26">
      <c r="A355" s="99" t="s">
        <v>1542</v>
      </c>
      <c r="B355" s="100" t="s">
        <v>132</v>
      </c>
      <c r="C355" s="100" t="s">
        <v>1543</v>
      </c>
      <c r="D355" s="100" t="s">
        <v>3996</v>
      </c>
      <c r="E355" s="101" t="s">
        <v>134</v>
      </c>
      <c r="F355" s="123" t="s">
        <v>6603</v>
      </c>
      <c r="G355" s="124" t="s">
        <v>7863</v>
      </c>
      <c r="H355" s="124" t="s">
        <v>7863</v>
      </c>
      <c r="I355" s="124" t="s">
        <v>7797</v>
      </c>
      <c r="J355" s="124" t="s">
        <v>7864</v>
      </c>
      <c r="K355" s="90"/>
      <c r="L355" s="58"/>
      <c r="M355" s="58"/>
      <c r="N355" s="58"/>
      <c r="O355" s="58"/>
      <c r="P355" s="58"/>
      <c r="Q355" s="58"/>
      <c r="R355" s="58"/>
      <c r="S355" s="58"/>
      <c r="T355" s="58"/>
      <c r="U355" s="58"/>
      <c r="V355" s="58"/>
      <c r="W355" s="58"/>
      <c r="X355" s="58"/>
      <c r="Y355" s="58"/>
      <c r="Z355" s="58"/>
    </row>
    <row r="356" ht="25.5" spans="1:26">
      <c r="A356" s="99" t="s">
        <v>1310</v>
      </c>
      <c r="B356" s="100" t="s">
        <v>132</v>
      </c>
      <c r="C356" s="100" t="s">
        <v>1311</v>
      </c>
      <c r="D356" s="100">
        <v>61.15</v>
      </c>
      <c r="E356" s="101" t="s">
        <v>134</v>
      </c>
      <c r="F356" s="123" t="s">
        <v>7588</v>
      </c>
      <c r="G356" s="124" t="s">
        <v>7865</v>
      </c>
      <c r="H356" s="124" t="s">
        <v>7866</v>
      </c>
      <c r="I356" s="124" t="s">
        <v>7797</v>
      </c>
      <c r="J356" s="124" t="s">
        <v>7867</v>
      </c>
      <c r="K356" s="90"/>
      <c r="L356" s="58"/>
      <c r="M356" s="58"/>
      <c r="N356" s="58"/>
      <c r="O356" s="58"/>
      <c r="P356" s="58"/>
      <c r="Q356" s="58"/>
      <c r="R356" s="58"/>
      <c r="S356" s="58"/>
      <c r="T356" s="58"/>
      <c r="U356" s="58"/>
      <c r="V356" s="58"/>
      <c r="W356" s="58"/>
      <c r="X356" s="58"/>
      <c r="Y356" s="58"/>
      <c r="Z356" s="58"/>
    </row>
    <row r="357" ht="25.5" spans="1:26">
      <c r="A357" s="99" t="s">
        <v>744</v>
      </c>
      <c r="B357" s="100" t="s">
        <v>139</v>
      </c>
      <c r="C357" s="100" t="s">
        <v>745</v>
      </c>
      <c r="D357" s="100" t="s">
        <v>3135</v>
      </c>
      <c r="E357" s="101" t="s">
        <v>204</v>
      </c>
      <c r="F357" s="123" t="s">
        <v>7868</v>
      </c>
      <c r="G357" s="124" t="s">
        <v>7869</v>
      </c>
      <c r="H357" s="124" t="s">
        <v>7870</v>
      </c>
      <c r="I357" s="124" t="s">
        <v>7797</v>
      </c>
      <c r="J357" s="124" t="s">
        <v>7871</v>
      </c>
      <c r="K357" s="90"/>
      <c r="L357" s="58"/>
      <c r="M357" s="58"/>
      <c r="N357" s="58"/>
      <c r="O357" s="58"/>
      <c r="P357" s="58"/>
      <c r="Q357" s="58"/>
      <c r="R357" s="58"/>
      <c r="S357" s="58"/>
      <c r="T357" s="58"/>
      <c r="U357" s="58"/>
      <c r="V357" s="58"/>
      <c r="W357" s="58"/>
      <c r="X357" s="58"/>
      <c r="Y357" s="58"/>
      <c r="Z357" s="58"/>
    </row>
    <row r="358" ht="38.25" spans="1:26">
      <c r="A358" s="99" t="s">
        <v>196</v>
      </c>
      <c r="B358" s="100" t="s">
        <v>139</v>
      </c>
      <c r="C358" s="100" t="s">
        <v>197</v>
      </c>
      <c r="D358" s="100" t="s">
        <v>3085</v>
      </c>
      <c r="E358" s="101" t="s">
        <v>141</v>
      </c>
      <c r="F358" s="123" t="s">
        <v>7531</v>
      </c>
      <c r="G358" s="124" t="s">
        <v>7055</v>
      </c>
      <c r="H358" s="124" t="s">
        <v>7872</v>
      </c>
      <c r="I358" s="124" t="s">
        <v>7797</v>
      </c>
      <c r="J358" s="124" t="s">
        <v>7873</v>
      </c>
      <c r="K358" s="90"/>
      <c r="L358" s="58"/>
      <c r="M358" s="58"/>
      <c r="N358" s="58"/>
      <c r="O358" s="58"/>
      <c r="P358" s="58"/>
      <c r="Q358" s="58"/>
      <c r="R358" s="58"/>
      <c r="S358" s="58"/>
      <c r="T358" s="58"/>
      <c r="U358" s="58"/>
      <c r="V358" s="58"/>
      <c r="W358" s="58"/>
      <c r="X358" s="58"/>
      <c r="Y358" s="58"/>
      <c r="Z358" s="58"/>
    </row>
    <row r="359" ht="25.5" spans="1:26">
      <c r="A359" s="99" t="s">
        <v>1969</v>
      </c>
      <c r="B359" s="100" t="s">
        <v>132</v>
      </c>
      <c r="C359" s="100" t="s">
        <v>1970</v>
      </c>
      <c r="D359" s="100" t="s">
        <v>4227</v>
      </c>
      <c r="E359" s="101" t="s">
        <v>134</v>
      </c>
      <c r="F359" s="123" t="s">
        <v>6603</v>
      </c>
      <c r="G359" s="124" t="s">
        <v>7874</v>
      </c>
      <c r="H359" s="124" t="s">
        <v>7874</v>
      </c>
      <c r="I359" s="124" t="s">
        <v>7797</v>
      </c>
      <c r="J359" s="124" t="s">
        <v>7875</v>
      </c>
      <c r="K359" s="90"/>
      <c r="L359" s="58"/>
      <c r="M359" s="58"/>
      <c r="N359" s="58"/>
      <c r="O359" s="58"/>
      <c r="P359" s="58"/>
      <c r="Q359" s="58"/>
      <c r="R359" s="58"/>
      <c r="S359" s="58"/>
      <c r="T359" s="58"/>
      <c r="U359" s="58"/>
      <c r="V359" s="58"/>
      <c r="W359" s="58"/>
      <c r="X359" s="58"/>
      <c r="Y359" s="58"/>
      <c r="Z359" s="58"/>
    </row>
    <row r="360" ht="38.25" spans="1:26">
      <c r="A360" s="99" t="s">
        <v>2680</v>
      </c>
      <c r="B360" s="100" t="s">
        <v>132</v>
      </c>
      <c r="C360" s="100" t="s">
        <v>2681</v>
      </c>
      <c r="D360" s="100" t="s">
        <v>5109</v>
      </c>
      <c r="E360" s="101" t="s">
        <v>141</v>
      </c>
      <c r="F360" s="123" t="s">
        <v>7876</v>
      </c>
      <c r="G360" s="124" t="s">
        <v>7877</v>
      </c>
      <c r="H360" s="124" t="s">
        <v>7878</v>
      </c>
      <c r="I360" s="124" t="s">
        <v>7797</v>
      </c>
      <c r="J360" s="124" t="s">
        <v>7879</v>
      </c>
      <c r="K360" s="90"/>
      <c r="L360" s="58"/>
      <c r="M360" s="58"/>
      <c r="N360" s="58"/>
      <c r="O360" s="58"/>
      <c r="P360" s="58"/>
      <c r="Q360" s="58"/>
      <c r="R360" s="58"/>
      <c r="S360" s="58"/>
      <c r="T360" s="58"/>
      <c r="U360" s="58"/>
      <c r="V360" s="58"/>
      <c r="W360" s="58"/>
      <c r="X360" s="58"/>
      <c r="Y360" s="58"/>
      <c r="Z360" s="58"/>
    </row>
    <row r="361" ht="25.5" spans="1:26">
      <c r="A361" s="103" t="s">
        <v>1608</v>
      </c>
      <c r="B361" s="104" t="s">
        <v>149</v>
      </c>
      <c r="C361" s="104" t="s">
        <v>1609</v>
      </c>
      <c r="D361" s="104" t="s">
        <v>4391</v>
      </c>
      <c r="E361" s="105" t="s">
        <v>134</v>
      </c>
      <c r="F361" s="125" t="s">
        <v>7629</v>
      </c>
      <c r="G361" s="126" t="s">
        <v>7880</v>
      </c>
      <c r="H361" s="126" t="s">
        <v>7881</v>
      </c>
      <c r="I361" s="126" t="s">
        <v>7797</v>
      </c>
      <c r="J361" s="126" t="s">
        <v>7882</v>
      </c>
      <c r="K361" s="90"/>
      <c r="L361" s="58"/>
      <c r="M361" s="58"/>
      <c r="N361" s="58"/>
      <c r="O361" s="58"/>
      <c r="P361" s="58"/>
      <c r="Q361" s="58"/>
      <c r="R361" s="58"/>
      <c r="S361" s="58"/>
      <c r="T361" s="58"/>
      <c r="U361" s="58"/>
      <c r="V361" s="58"/>
      <c r="W361" s="58"/>
      <c r="X361" s="58"/>
      <c r="Y361" s="58"/>
      <c r="Z361" s="58"/>
    </row>
    <row r="362" ht="38.25" spans="1:26">
      <c r="A362" s="103" t="s">
        <v>509</v>
      </c>
      <c r="B362" s="104" t="s">
        <v>139</v>
      </c>
      <c r="C362" s="104" t="s">
        <v>510</v>
      </c>
      <c r="D362" s="104" t="s">
        <v>3390</v>
      </c>
      <c r="E362" s="105" t="s">
        <v>141</v>
      </c>
      <c r="F362" s="125" t="s">
        <v>7883</v>
      </c>
      <c r="G362" s="126" t="s">
        <v>7884</v>
      </c>
      <c r="H362" s="126" t="s">
        <v>7885</v>
      </c>
      <c r="I362" s="126" t="s">
        <v>7797</v>
      </c>
      <c r="J362" s="126" t="s">
        <v>7886</v>
      </c>
      <c r="K362" s="90"/>
      <c r="L362" s="58"/>
      <c r="M362" s="58"/>
      <c r="N362" s="58"/>
      <c r="O362" s="58"/>
      <c r="P362" s="58"/>
      <c r="Q362" s="58"/>
      <c r="R362" s="58"/>
      <c r="S362" s="58"/>
      <c r="T362" s="58"/>
      <c r="U362" s="58"/>
      <c r="V362" s="58"/>
      <c r="W362" s="58"/>
      <c r="X362" s="58"/>
      <c r="Y362" s="58"/>
      <c r="Z362" s="58"/>
    </row>
    <row r="363" spans="1:26">
      <c r="A363" s="103" t="s">
        <v>2715</v>
      </c>
      <c r="B363" s="104" t="s">
        <v>139</v>
      </c>
      <c r="C363" s="104" t="s">
        <v>2716</v>
      </c>
      <c r="D363" s="104" t="s">
        <v>2961</v>
      </c>
      <c r="E363" s="105" t="s">
        <v>279</v>
      </c>
      <c r="F363" s="125" t="s">
        <v>7887</v>
      </c>
      <c r="G363" s="126" t="s">
        <v>7888</v>
      </c>
      <c r="H363" s="126" t="s">
        <v>7889</v>
      </c>
      <c r="I363" s="126" t="s">
        <v>7797</v>
      </c>
      <c r="J363" s="126" t="s">
        <v>7890</v>
      </c>
      <c r="K363" s="90"/>
      <c r="L363" s="58"/>
      <c r="M363" s="58"/>
      <c r="N363" s="58"/>
      <c r="O363" s="58"/>
      <c r="P363" s="58"/>
      <c r="Q363" s="58"/>
      <c r="R363" s="58"/>
      <c r="S363" s="58"/>
      <c r="T363" s="58"/>
      <c r="U363" s="58"/>
      <c r="V363" s="58"/>
      <c r="W363" s="58"/>
      <c r="X363" s="58"/>
      <c r="Y363" s="58"/>
      <c r="Z363" s="58"/>
    </row>
    <row r="364" ht="25.5" spans="1:26">
      <c r="A364" s="103" t="s">
        <v>263</v>
      </c>
      <c r="B364" s="104" t="s">
        <v>132</v>
      </c>
      <c r="C364" s="104" t="s">
        <v>264</v>
      </c>
      <c r="D364" s="104" t="s">
        <v>2920</v>
      </c>
      <c r="E364" s="105" t="s">
        <v>141</v>
      </c>
      <c r="F364" s="125" t="s">
        <v>7629</v>
      </c>
      <c r="G364" s="126" t="s">
        <v>7891</v>
      </c>
      <c r="H364" s="126" t="s">
        <v>7892</v>
      </c>
      <c r="I364" s="126" t="s">
        <v>7797</v>
      </c>
      <c r="J364" s="126" t="s">
        <v>7893</v>
      </c>
      <c r="K364" s="90"/>
      <c r="L364" s="58"/>
      <c r="M364" s="58"/>
      <c r="N364" s="58"/>
      <c r="O364" s="58"/>
      <c r="P364" s="58"/>
      <c r="Q364" s="58"/>
      <c r="R364" s="58"/>
      <c r="S364" s="58"/>
      <c r="T364" s="58"/>
      <c r="U364" s="58"/>
      <c r="V364" s="58"/>
      <c r="W364" s="58"/>
      <c r="X364" s="58"/>
      <c r="Y364" s="58"/>
      <c r="Z364" s="58"/>
    </row>
    <row r="365" ht="38.25" spans="1:26">
      <c r="A365" s="103" t="s">
        <v>1611</v>
      </c>
      <c r="B365" s="104" t="s">
        <v>132</v>
      </c>
      <c r="C365" s="104" t="s">
        <v>1612</v>
      </c>
      <c r="D365" s="104" t="s">
        <v>3177</v>
      </c>
      <c r="E365" s="105" t="s">
        <v>134</v>
      </c>
      <c r="F365" s="125" t="s">
        <v>7894</v>
      </c>
      <c r="G365" s="126" t="s">
        <v>7895</v>
      </c>
      <c r="H365" s="126" t="s">
        <v>7896</v>
      </c>
      <c r="I365" s="126" t="s">
        <v>7797</v>
      </c>
      <c r="J365" s="126" t="s">
        <v>7897</v>
      </c>
      <c r="K365" s="90"/>
      <c r="L365" s="58"/>
      <c r="M365" s="58"/>
      <c r="N365" s="58"/>
      <c r="O365" s="58"/>
      <c r="P365" s="58"/>
      <c r="Q365" s="58"/>
      <c r="R365" s="58"/>
      <c r="S365" s="58"/>
      <c r="T365" s="58"/>
      <c r="U365" s="58"/>
      <c r="V365" s="58"/>
      <c r="W365" s="58"/>
      <c r="X365" s="58"/>
      <c r="Y365" s="58"/>
      <c r="Z365" s="58"/>
    </row>
    <row r="366" ht="25.5" spans="1:26">
      <c r="A366" s="103" t="s">
        <v>1086</v>
      </c>
      <c r="B366" s="104" t="s">
        <v>149</v>
      </c>
      <c r="C366" s="104" t="s">
        <v>1087</v>
      </c>
      <c r="D366" s="104" t="s">
        <v>4029</v>
      </c>
      <c r="E366" s="105" t="s">
        <v>204</v>
      </c>
      <c r="F366" s="125" t="s">
        <v>7313</v>
      </c>
      <c r="G366" s="126" t="s">
        <v>7898</v>
      </c>
      <c r="H366" s="126" t="s">
        <v>7899</v>
      </c>
      <c r="I366" s="126" t="s">
        <v>7797</v>
      </c>
      <c r="J366" s="126" t="s">
        <v>7900</v>
      </c>
      <c r="K366" s="90"/>
      <c r="L366" s="58"/>
      <c r="M366" s="58"/>
      <c r="N366" s="58"/>
      <c r="O366" s="58"/>
      <c r="P366" s="58"/>
      <c r="Q366" s="58"/>
      <c r="R366" s="58"/>
      <c r="S366" s="58"/>
      <c r="T366" s="58"/>
      <c r="U366" s="58"/>
      <c r="V366" s="58"/>
      <c r="W366" s="58"/>
      <c r="X366" s="58"/>
      <c r="Y366" s="58"/>
      <c r="Z366" s="58"/>
    </row>
    <row r="367" spans="1:26">
      <c r="A367" s="103" t="s">
        <v>378</v>
      </c>
      <c r="B367" s="104" t="s">
        <v>139</v>
      </c>
      <c r="C367" s="104" t="s">
        <v>379</v>
      </c>
      <c r="D367" s="104" t="s">
        <v>3303</v>
      </c>
      <c r="E367" s="105" t="s">
        <v>279</v>
      </c>
      <c r="F367" s="125" t="s">
        <v>7901</v>
      </c>
      <c r="G367" s="126" t="s">
        <v>7902</v>
      </c>
      <c r="H367" s="126" t="s">
        <v>7903</v>
      </c>
      <c r="I367" s="126" t="s">
        <v>7797</v>
      </c>
      <c r="J367" s="126" t="s">
        <v>7904</v>
      </c>
      <c r="K367" s="90"/>
      <c r="L367" s="58"/>
      <c r="M367" s="58"/>
      <c r="N367" s="58"/>
      <c r="O367" s="58"/>
      <c r="P367" s="58"/>
      <c r="Q367" s="58"/>
      <c r="R367" s="58"/>
      <c r="S367" s="58"/>
      <c r="T367" s="58"/>
      <c r="U367" s="58"/>
      <c r="V367" s="58"/>
      <c r="W367" s="58"/>
      <c r="X367" s="58"/>
      <c r="Y367" s="58"/>
      <c r="Z367" s="58"/>
    </row>
    <row r="368" ht="51" spans="1:26">
      <c r="A368" s="103" t="s">
        <v>2875</v>
      </c>
      <c r="B368" s="104" t="s">
        <v>77</v>
      </c>
      <c r="C368" s="104" t="s">
        <v>2876</v>
      </c>
      <c r="D368" s="104">
        <v>5</v>
      </c>
      <c r="E368" s="105" t="s">
        <v>134</v>
      </c>
      <c r="F368" s="125" t="s">
        <v>7557</v>
      </c>
      <c r="G368" s="126" t="s">
        <v>7905</v>
      </c>
      <c r="H368" s="126" t="s">
        <v>7906</v>
      </c>
      <c r="I368" s="126" t="s">
        <v>7797</v>
      </c>
      <c r="J368" s="126" t="s">
        <v>7907</v>
      </c>
      <c r="K368" s="90"/>
      <c r="L368" s="58"/>
      <c r="M368" s="58"/>
      <c r="N368" s="58"/>
      <c r="O368" s="58"/>
      <c r="P368" s="58"/>
      <c r="Q368" s="58"/>
      <c r="R368" s="58"/>
      <c r="S368" s="58"/>
      <c r="T368" s="58"/>
      <c r="U368" s="58"/>
      <c r="V368" s="58"/>
      <c r="W368" s="58"/>
      <c r="X368" s="58"/>
      <c r="Y368" s="58"/>
      <c r="Z368" s="58"/>
    </row>
    <row r="369" ht="25.5" spans="1:26">
      <c r="A369" s="103" t="s">
        <v>882</v>
      </c>
      <c r="B369" s="104" t="s">
        <v>132</v>
      </c>
      <c r="C369" s="104" t="s">
        <v>883</v>
      </c>
      <c r="D369" s="104">
        <v>105</v>
      </c>
      <c r="E369" s="105" t="s">
        <v>134</v>
      </c>
      <c r="F369" s="125" t="s">
        <v>6676</v>
      </c>
      <c r="G369" s="126" t="s">
        <v>7908</v>
      </c>
      <c r="H369" s="126" t="s">
        <v>7909</v>
      </c>
      <c r="I369" s="126" t="s">
        <v>7797</v>
      </c>
      <c r="J369" s="126" t="s">
        <v>7910</v>
      </c>
      <c r="K369" s="90"/>
      <c r="L369" s="58"/>
      <c r="M369" s="58"/>
      <c r="N369" s="58"/>
      <c r="O369" s="58"/>
      <c r="P369" s="58"/>
      <c r="Q369" s="58"/>
      <c r="R369" s="58"/>
      <c r="S369" s="58"/>
      <c r="T369" s="58"/>
      <c r="U369" s="58"/>
      <c r="V369" s="58"/>
      <c r="W369" s="58"/>
      <c r="X369" s="58"/>
      <c r="Y369" s="58"/>
      <c r="Z369" s="58"/>
    </row>
    <row r="370" ht="25.5" spans="1:26">
      <c r="A370" s="103" t="s">
        <v>1298</v>
      </c>
      <c r="B370" s="104" t="s">
        <v>132</v>
      </c>
      <c r="C370" s="104" t="s">
        <v>1299</v>
      </c>
      <c r="D370" s="104">
        <v>61.15</v>
      </c>
      <c r="E370" s="105" t="s">
        <v>134</v>
      </c>
      <c r="F370" s="125" t="s">
        <v>6603</v>
      </c>
      <c r="G370" s="126" t="s">
        <v>7911</v>
      </c>
      <c r="H370" s="126" t="s">
        <v>7911</v>
      </c>
      <c r="I370" s="126" t="s">
        <v>7797</v>
      </c>
      <c r="J370" s="126" t="s">
        <v>7912</v>
      </c>
      <c r="K370" s="90"/>
      <c r="L370" s="58"/>
      <c r="M370" s="58"/>
      <c r="N370" s="58"/>
      <c r="O370" s="58"/>
      <c r="P370" s="58"/>
      <c r="Q370" s="58"/>
      <c r="R370" s="58"/>
      <c r="S370" s="58"/>
      <c r="T370" s="58"/>
      <c r="U370" s="58"/>
      <c r="V370" s="58"/>
      <c r="W370" s="58"/>
      <c r="X370" s="58"/>
      <c r="Y370" s="58"/>
      <c r="Z370" s="58"/>
    </row>
    <row r="371" ht="25.5" spans="1:26">
      <c r="A371" s="103" t="s">
        <v>349</v>
      </c>
      <c r="B371" s="104" t="s">
        <v>77</v>
      </c>
      <c r="C371" s="104" t="s">
        <v>350</v>
      </c>
      <c r="D371" s="104">
        <v>5</v>
      </c>
      <c r="E371" s="105" t="s">
        <v>141</v>
      </c>
      <c r="F371" s="125" t="s">
        <v>7913</v>
      </c>
      <c r="G371" s="126" t="s">
        <v>7914</v>
      </c>
      <c r="H371" s="126" t="s">
        <v>7915</v>
      </c>
      <c r="I371" s="126" t="s">
        <v>7797</v>
      </c>
      <c r="J371" s="126" t="s">
        <v>7916</v>
      </c>
      <c r="K371" s="90"/>
      <c r="L371" s="58"/>
      <c r="M371" s="58"/>
      <c r="N371" s="58"/>
      <c r="O371" s="58"/>
      <c r="P371" s="58"/>
      <c r="Q371" s="58"/>
      <c r="R371" s="58"/>
      <c r="S371" s="58"/>
      <c r="T371" s="58"/>
      <c r="U371" s="58"/>
      <c r="V371" s="58"/>
      <c r="W371" s="58"/>
      <c r="X371" s="58"/>
      <c r="Y371" s="58"/>
      <c r="Z371" s="58"/>
    </row>
    <row r="372" ht="38.25" spans="1:26">
      <c r="A372" s="103" t="s">
        <v>2098</v>
      </c>
      <c r="B372" s="104" t="s">
        <v>132</v>
      </c>
      <c r="C372" s="104" t="s">
        <v>2099</v>
      </c>
      <c r="D372" s="104">
        <v>61.1</v>
      </c>
      <c r="E372" s="105" t="s">
        <v>134</v>
      </c>
      <c r="F372" s="125" t="s">
        <v>6603</v>
      </c>
      <c r="G372" s="126" t="s">
        <v>7917</v>
      </c>
      <c r="H372" s="126" t="s">
        <v>7917</v>
      </c>
      <c r="I372" s="126" t="s">
        <v>7797</v>
      </c>
      <c r="J372" s="126" t="s">
        <v>7918</v>
      </c>
      <c r="K372" s="90"/>
      <c r="L372" s="58"/>
      <c r="M372" s="58"/>
      <c r="N372" s="58"/>
      <c r="O372" s="58"/>
      <c r="P372" s="58"/>
      <c r="Q372" s="58"/>
      <c r="R372" s="58"/>
      <c r="S372" s="58"/>
      <c r="T372" s="58"/>
      <c r="U372" s="58"/>
      <c r="V372" s="58"/>
      <c r="W372" s="58"/>
      <c r="X372" s="58"/>
      <c r="Y372" s="58"/>
      <c r="Z372" s="58"/>
    </row>
    <row r="373" ht="25.5" spans="1:26">
      <c r="A373" s="103" t="s">
        <v>1634</v>
      </c>
      <c r="B373" s="104" t="s">
        <v>149</v>
      </c>
      <c r="C373" s="104" t="s">
        <v>1635</v>
      </c>
      <c r="D373" s="104" t="s">
        <v>4029</v>
      </c>
      <c r="E373" s="105" t="s">
        <v>134</v>
      </c>
      <c r="F373" s="125" t="s">
        <v>7919</v>
      </c>
      <c r="G373" s="126" t="s">
        <v>7920</v>
      </c>
      <c r="H373" s="126" t="s">
        <v>7921</v>
      </c>
      <c r="I373" s="126" t="s">
        <v>7797</v>
      </c>
      <c r="J373" s="126" t="s">
        <v>7922</v>
      </c>
      <c r="K373" s="90"/>
      <c r="L373" s="58"/>
      <c r="M373" s="58"/>
      <c r="N373" s="58"/>
      <c r="O373" s="58"/>
      <c r="P373" s="58"/>
      <c r="Q373" s="58"/>
      <c r="R373" s="58"/>
      <c r="S373" s="58"/>
      <c r="T373" s="58"/>
      <c r="U373" s="58"/>
      <c r="V373" s="58"/>
      <c r="W373" s="58"/>
      <c r="X373" s="58"/>
      <c r="Y373" s="58"/>
      <c r="Z373" s="58"/>
    </row>
    <row r="374" ht="25.5" spans="1:26">
      <c r="A374" s="103" t="s">
        <v>974</v>
      </c>
      <c r="B374" s="104" t="s">
        <v>139</v>
      </c>
      <c r="C374" s="104" t="s">
        <v>975</v>
      </c>
      <c r="D374" s="104" t="s">
        <v>3218</v>
      </c>
      <c r="E374" s="105" t="s">
        <v>134</v>
      </c>
      <c r="F374" s="125" t="s">
        <v>7073</v>
      </c>
      <c r="G374" s="126" t="s">
        <v>7923</v>
      </c>
      <c r="H374" s="126" t="s">
        <v>7924</v>
      </c>
      <c r="I374" s="126" t="s">
        <v>7797</v>
      </c>
      <c r="J374" s="126" t="s">
        <v>7925</v>
      </c>
      <c r="K374" s="90"/>
      <c r="L374" s="58"/>
      <c r="M374" s="58"/>
      <c r="N374" s="58"/>
      <c r="O374" s="58"/>
      <c r="P374" s="58"/>
      <c r="Q374" s="58"/>
      <c r="R374" s="58"/>
      <c r="S374" s="58"/>
      <c r="T374" s="58"/>
      <c r="U374" s="58"/>
      <c r="V374" s="58"/>
      <c r="W374" s="58"/>
      <c r="X374" s="58"/>
      <c r="Y374" s="58"/>
      <c r="Z374" s="58"/>
    </row>
    <row r="375" ht="25.5" spans="1:26">
      <c r="A375" s="103" t="s">
        <v>92</v>
      </c>
      <c r="B375" s="104" t="s">
        <v>77</v>
      </c>
      <c r="C375" s="104" t="s">
        <v>93</v>
      </c>
      <c r="D375" s="104">
        <v>1</v>
      </c>
      <c r="E375" s="105" t="s">
        <v>141</v>
      </c>
      <c r="F375" s="125" t="s">
        <v>7011</v>
      </c>
      <c r="G375" s="126" t="s">
        <v>6682</v>
      </c>
      <c r="H375" s="126" t="s">
        <v>7926</v>
      </c>
      <c r="I375" s="126" t="s">
        <v>7797</v>
      </c>
      <c r="J375" s="126" t="s">
        <v>7927</v>
      </c>
      <c r="K375" s="90"/>
      <c r="L375" s="58"/>
      <c r="M375" s="58"/>
      <c r="N375" s="58"/>
      <c r="O375" s="58"/>
      <c r="P375" s="58"/>
      <c r="Q375" s="58"/>
      <c r="R375" s="58"/>
      <c r="S375" s="58"/>
      <c r="T375" s="58"/>
      <c r="U375" s="58"/>
      <c r="V375" s="58"/>
      <c r="W375" s="58"/>
      <c r="X375" s="58"/>
      <c r="Y375" s="58"/>
      <c r="Z375" s="58"/>
    </row>
    <row r="376" ht="38.25" spans="1:26">
      <c r="A376" s="103" t="s">
        <v>2424</v>
      </c>
      <c r="B376" s="104" t="s">
        <v>132</v>
      </c>
      <c r="C376" s="104" t="s">
        <v>2425</v>
      </c>
      <c r="D376" s="104">
        <v>70</v>
      </c>
      <c r="E376" s="105" t="s">
        <v>204</v>
      </c>
      <c r="F376" s="125" t="s">
        <v>7928</v>
      </c>
      <c r="G376" s="126" t="s">
        <v>7111</v>
      </c>
      <c r="H376" s="126" t="s">
        <v>7929</v>
      </c>
      <c r="I376" s="126" t="s">
        <v>7930</v>
      </c>
      <c r="J376" s="126" t="s">
        <v>7931</v>
      </c>
      <c r="K376" s="90"/>
      <c r="L376" s="58"/>
      <c r="M376" s="58"/>
      <c r="N376" s="58"/>
      <c r="O376" s="58"/>
      <c r="P376" s="58"/>
      <c r="Q376" s="58"/>
      <c r="R376" s="58"/>
      <c r="S376" s="58"/>
      <c r="T376" s="58"/>
      <c r="U376" s="58"/>
      <c r="V376" s="58"/>
      <c r="W376" s="58"/>
      <c r="X376" s="58"/>
      <c r="Y376" s="58"/>
      <c r="Z376" s="58"/>
    </row>
    <row r="377" ht="25.5" spans="1:26">
      <c r="A377" s="103" t="s">
        <v>990</v>
      </c>
      <c r="B377" s="104" t="s">
        <v>132</v>
      </c>
      <c r="C377" s="104" t="s">
        <v>991</v>
      </c>
      <c r="D377" s="104">
        <v>15</v>
      </c>
      <c r="E377" s="105" t="s">
        <v>204</v>
      </c>
      <c r="F377" s="125" t="s">
        <v>7423</v>
      </c>
      <c r="G377" s="126" t="s">
        <v>7346</v>
      </c>
      <c r="H377" s="126" t="s">
        <v>7932</v>
      </c>
      <c r="I377" s="126" t="s">
        <v>7930</v>
      </c>
      <c r="J377" s="126" t="s">
        <v>7933</v>
      </c>
      <c r="K377" s="90"/>
      <c r="L377" s="58"/>
      <c r="M377" s="58"/>
      <c r="N377" s="58"/>
      <c r="O377" s="58"/>
      <c r="P377" s="58"/>
      <c r="Q377" s="58"/>
      <c r="R377" s="58"/>
      <c r="S377" s="58"/>
      <c r="T377" s="58"/>
      <c r="U377" s="58"/>
      <c r="V377" s="58"/>
      <c r="W377" s="58"/>
      <c r="X377" s="58"/>
      <c r="Y377" s="58"/>
      <c r="Z377" s="58"/>
    </row>
    <row r="378" spans="1:26">
      <c r="A378" s="103" t="s">
        <v>2855</v>
      </c>
      <c r="B378" s="104" t="s">
        <v>149</v>
      </c>
      <c r="C378" s="104" t="s">
        <v>2856</v>
      </c>
      <c r="D378" s="104" t="s">
        <v>3810</v>
      </c>
      <c r="E378" s="105" t="s">
        <v>134</v>
      </c>
      <c r="F378" s="125" t="s">
        <v>7101</v>
      </c>
      <c r="G378" s="126" t="s">
        <v>7934</v>
      </c>
      <c r="H378" s="126" t="s">
        <v>7935</v>
      </c>
      <c r="I378" s="126" t="s">
        <v>7930</v>
      </c>
      <c r="J378" s="126" t="s">
        <v>7936</v>
      </c>
      <c r="K378" s="90"/>
      <c r="L378" s="58"/>
      <c r="M378" s="58"/>
      <c r="N378" s="58"/>
      <c r="O378" s="58"/>
      <c r="P378" s="58"/>
      <c r="Q378" s="58"/>
      <c r="R378" s="58"/>
      <c r="S378" s="58"/>
      <c r="T378" s="58"/>
      <c r="U378" s="58"/>
      <c r="V378" s="58"/>
      <c r="W378" s="58"/>
      <c r="X378" s="58"/>
      <c r="Y378" s="58"/>
      <c r="Z378" s="58"/>
    </row>
    <row r="379" ht="63.75" spans="1:26">
      <c r="A379" s="103" t="s">
        <v>2341</v>
      </c>
      <c r="B379" s="104" t="s">
        <v>132</v>
      </c>
      <c r="C379" s="104" t="s">
        <v>2342</v>
      </c>
      <c r="D379" s="104">
        <v>70</v>
      </c>
      <c r="E379" s="105" t="s">
        <v>134</v>
      </c>
      <c r="F379" s="125" t="s">
        <v>7937</v>
      </c>
      <c r="G379" s="126" t="s">
        <v>7938</v>
      </c>
      <c r="H379" s="126" t="s">
        <v>7939</v>
      </c>
      <c r="I379" s="126" t="s">
        <v>7930</v>
      </c>
      <c r="J379" s="126" t="s">
        <v>7940</v>
      </c>
      <c r="K379" s="90"/>
      <c r="L379" s="58"/>
      <c r="M379" s="58"/>
      <c r="N379" s="58"/>
      <c r="O379" s="58"/>
      <c r="P379" s="58"/>
      <c r="Q379" s="58"/>
      <c r="R379" s="58"/>
      <c r="S379" s="58"/>
      <c r="T379" s="58"/>
      <c r="U379" s="58"/>
      <c r="V379" s="58"/>
      <c r="W379" s="58"/>
      <c r="X379" s="58"/>
      <c r="Y379" s="58"/>
      <c r="Z379" s="58"/>
    </row>
    <row r="380" ht="63.75" spans="1:26">
      <c r="A380" s="103" t="s">
        <v>2371</v>
      </c>
      <c r="B380" s="104" t="s">
        <v>132</v>
      </c>
      <c r="C380" s="104" t="s">
        <v>2372</v>
      </c>
      <c r="D380" s="104">
        <v>70</v>
      </c>
      <c r="E380" s="105" t="s">
        <v>134</v>
      </c>
      <c r="F380" s="125" t="s">
        <v>7937</v>
      </c>
      <c r="G380" s="126" t="s">
        <v>7938</v>
      </c>
      <c r="H380" s="126" t="s">
        <v>7939</v>
      </c>
      <c r="I380" s="126" t="s">
        <v>7930</v>
      </c>
      <c r="J380" s="126" t="s">
        <v>7941</v>
      </c>
      <c r="K380" s="90"/>
      <c r="L380" s="58"/>
      <c r="M380" s="58"/>
      <c r="N380" s="58"/>
      <c r="O380" s="58"/>
      <c r="P380" s="58"/>
      <c r="Q380" s="58"/>
      <c r="R380" s="58"/>
      <c r="S380" s="58"/>
      <c r="T380" s="58"/>
      <c r="U380" s="58"/>
      <c r="V380" s="58"/>
      <c r="W380" s="58"/>
      <c r="X380" s="58"/>
      <c r="Y380" s="58"/>
      <c r="Z380" s="58"/>
    </row>
    <row r="381" ht="25.5" spans="1:26">
      <c r="A381" s="103" t="s">
        <v>1628</v>
      </c>
      <c r="B381" s="104" t="s">
        <v>796</v>
      </c>
      <c r="C381" s="104" t="s">
        <v>1629</v>
      </c>
      <c r="D381" s="104" t="s">
        <v>3774</v>
      </c>
      <c r="E381" s="105" t="s">
        <v>334</v>
      </c>
      <c r="F381" s="125" t="s">
        <v>7942</v>
      </c>
      <c r="G381" s="126" t="s">
        <v>7943</v>
      </c>
      <c r="H381" s="126" t="s">
        <v>7944</v>
      </c>
      <c r="I381" s="126" t="s">
        <v>7930</v>
      </c>
      <c r="J381" s="126" t="s">
        <v>7945</v>
      </c>
      <c r="K381" s="90"/>
      <c r="L381" s="58"/>
      <c r="M381" s="58"/>
      <c r="N381" s="58"/>
      <c r="O381" s="58"/>
      <c r="P381" s="58"/>
      <c r="Q381" s="58"/>
      <c r="R381" s="58"/>
      <c r="S381" s="58"/>
      <c r="T381" s="58"/>
      <c r="U381" s="58"/>
      <c r="V381" s="58"/>
      <c r="W381" s="58"/>
      <c r="X381" s="58"/>
      <c r="Y381" s="58"/>
      <c r="Z381" s="58"/>
    </row>
    <row r="382" ht="38.25" spans="1:26">
      <c r="A382" s="103" t="s">
        <v>2626</v>
      </c>
      <c r="B382" s="104" t="s">
        <v>139</v>
      </c>
      <c r="C382" s="104" t="s">
        <v>2627</v>
      </c>
      <c r="D382" s="104" t="s">
        <v>3642</v>
      </c>
      <c r="E382" s="105" t="s">
        <v>204</v>
      </c>
      <c r="F382" s="125" t="s">
        <v>7946</v>
      </c>
      <c r="G382" s="126" t="s">
        <v>7947</v>
      </c>
      <c r="H382" s="126" t="s">
        <v>7948</v>
      </c>
      <c r="I382" s="126" t="s">
        <v>7930</v>
      </c>
      <c r="J382" s="126" t="s">
        <v>7949</v>
      </c>
      <c r="K382" s="90"/>
      <c r="L382" s="58"/>
      <c r="M382" s="58"/>
      <c r="N382" s="58"/>
      <c r="O382" s="58"/>
      <c r="P382" s="58"/>
      <c r="Q382" s="58"/>
      <c r="R382" s="58"/>
      <c r="S382" s="58"/>
      <c r="T382" s="58"/>
      <c r="U382" s="58"/>
      <c r="V382" s="58"/>
      <c r="W382" s="58"/>
      <c r="X382" s="58"/>
      <c r="Y382" s="58"/>
      <c r="Z382" s="58"/>
    </row>
    <row r="383" ht="38.25" spans="1:26">
      <c r="A383" s="103" t="s">
        <v>850</v>
      </c>
      <c r="B383" s="104" t="s">
        <v>139</v>
      </c>
      <c r="C383" s="104" t="s">
        <v>851</v>
      </c>
      <c r="D383" s="104" t="s">
        <v>3132</v>
      </c>
      <c r="E383" s="105" t="s">
        <v>204</v>
      </c>
      <c r="F383" s="125" t="s">
        <v>7868</v>
      </c>
      <c r="G383" s="126" t="s">
        <v>7950</v>
      </c>
      <c r="H383" s="126" t="s">
        <v>7951</v>
      </c>
      <c r="I383" s="126" t="s">
        <v>7930</v>
      </c>
      <c r="J383" s="126" t="s">
        <v>7952</v>
      </c>
      <c r="K383" s="90"/>
      <c r="L383" s="58"/>
      <c r="M383" s="58"/>
      <c r="N383" s="58"/>
      <c r="O383" s="58"/>
      <c r="P383" s="58"/>
      <c r="Q383" s="58"/>
      <c r="R383" s="58"/>
      <c r="S383" s="58"/>
      <c r="T383" s="58"/>
      <c r="U383" s="58"/>
      <c r="V383" s="58"/>
      <c r="W383" s="58"/>
      <c r="X383" s="58"/>
      <c r="Y383" s="58"/>
      <c r="Z383" s="58"/>
    </row>
    <row r="384" ht="38.25" spans="1:26">
      <c r="A384" s="103" t="s">
        <v>2092</v>
      </c>
      <c r="B384" s="104" t="s">
        <v>132</v>
      </c>
      <c r="C384" s="104" t="s">
        <v>2093</v>
      </c>
      <c r="D384" s="104">
        <v>61.1</v>
      </c>
      <c r="E384" s="105" t="s">
        <v>134</v>
      </c>
      <c r="F384" s="125" t="s">
        <v>7953</v>
      </c>
      <c r="G384" s="126" t="s">
        <v>7215</v>
      </c>
      <c r="H384" s="126" t="s">
        <v>7954</v>
      </c>
      <c r="I384" s="126" t="s">
        <v>7930</v>
      </c>
      <c r="J384" s="126" t="s">
        <v>7955</v>
      </c>
      <c r="K384" s="90"/>
      <c r="L384" s="58"/>
      <c r="M384" s="58"/>
      <c r="N384" s="58"/>
      <c r="O384" s="58"/>
      <c r="P384" s="58"/>
      <c r="Q384" s="58"/>
      <c r="R384" s="58"/>
      <c r="S384" s="58"/>
      <c r="T384" s="58"/>
      <c r="U384" s="58"/>
      <c r="V384" s="58"/>
      <c r="W384" s="58"/>
      <c r="X384" s="58"/>
      <c r="Y384" s="58"/>
      <c r="Z384" s="58"/>
    </row>
    <row r="385" ht="25.5" spans="1:26">
      <c r="A385" s="103" t="s">
        <v>119</v>
      </c>
      <c r="B385" s="104" t="s">
        <v>77</v>
      </c>
      <c r="C385" s="104" t="s">
        <v>120</v>
      </c>
      <c r="D385" s="104">
        <v>1</v>
      </c>
      <c r="E385" s="105" t="s">
        <v>141</v>
      </c>
      <c r="F385" s="125" t="s">
        <v>7011</v>
      </c>
      <c r="G385" s="126" t="s">
        <v>6692</v>
      </c>
      <c r="H385" s="126" t="s">
        <v>7956</v>
      </c>
      <c r="I385" s="126" t="s">
        <v>7930</v>
      </c>
      <c r="J385" s="126" t="s">
        <v>7957</v>
      </c>
      <c r="K385" s="90"/>
      <c r="L385" s="58"/>
      <c r="M385" s="58"/>
      <c r="N385" s="58"/>
      <c r="O385" s="58"/>
      <c r="P385" s="58"/>
      <c r="Q385" s="58"/>
      <c r="R385" s="58"/>
      <c r="S385" s="58"/>
      <c r="T385" s="58"/>
      <c r="U385" s="58"/>
      <c r="V385" s="58"/>
      <c r="W385" s="58"/>
      <c r="X385" s="58"/>
      <c r="Y385" s="58"/>
      <c r="Z385" s="58"/>
    </row>
    <row r="386" ht="38.25" spans="1:26">
      <c r="A386" s="103" t="s">
        <v>552</v>
      </c>
      <c r="B386" s="104" t="s">
        <v>139</v>
      </c>
      <c r="C386" s="104" t="s">
        <v>553</v>
      </c>
      <c r="D386" s="104" t="s">
        <v>3390</v>
      </c>
      <c r="E386" s="105" t="s">
        <v>141</v>
      </c>
      <c r="F386" s="125" t="s">
        <v>7958</v>
      </c>
      <c r="G386" s="126" t="s">
        <v>7959</v>
      </c>
      <c r="H386" s="126" t="s">
        <v>7960</v>
      </c>
      <c r="I386" s="126" t="s">
        <v>7930</v>
      </c>
      <c r="J386" s="126" t="s">
        <v>7961</v>
      </c>
      <c r="K386" s="90"/>
      <c r="L386" s="58"/>
      <c r="M386" s="58"/>
      <c r="N386" s="58"/>
      <c r="O386" s="58"/>
      <c r="P386" s="58"/>
      <c r="Q386" s="58"/>
      <c r="R386" s="58"/>
      <c r="S386" s="58"/>
      <c r="T386" s="58"/>
      <c r="U386" s="58"/>
      <c r="V386" s="58"/>
      <c r="W386" s="58"/>
      <c r="X386" s="58"/>
      <c r="Y386" s="58"/>
      <c r="Z386" s="58"/>
    </row>
    <row r="387" ht="38.25" spans="1:26">
      <c r="A387" s="103" t="s">
        <v>1652</v>
      </c>
      <c r="B387" s="104" t="s">
        <v>139</v>
      </c>
      <c r="C387" s="104" t="s">
        <v>1653</v>
      </c>
      <c r="D387" s="104" t="s">
        <v>3303</v>
      </c>
      <c r="E387" s="105" t="s">
        <v>279</v>
      </c>
      <c r="F387" s="125" t="s">
        <v>7962</v>
      </c>
      <c r="G387" s="126" t="s">
        <v>7963</v>
      </c>
      <c r="H387" s="126" t="s">
        <v>7964</v>
      </c>
      <c r="I387" s="126" t="s">
        <v>7930</v>
      </c>
      <c r="J387" s="126" t="s">
        <v>7965</v>
      </c>
      <c r="K387" s="90"/>
      <c r="L387" s="58"/>
      <c r="M387" s="58"/>
      <c r="N387" s="58"/>
      <c r="O387" s="58"/>
      <c r="P387" s="58"/>
      <c r="Q387" s="58"/>
      <c r="R387" s="58"/>
      <c r="S387" s="58"/>
      <c r="T387" s="58"/>
      <c r="U387" s="58"/>
      <c r="V387" s="58"/>
      <c r="W387" s="58"/>
      <c r="X387" s="58"/>
      <c r="Y387" s="58"/>
      <c r="Z387" s="58"/>
    </row>
    <row r="388" ht="63.75" spans="1:26">
      <c r="A388" s="103" t="s">
        <v>652</v>
      </c>
      <c r="B388" s="104" t="s">
        <v>132</v>
      </c>
      <c r="C388" s="104" t="s">
        <v>653</v>
      </c>
      <c r="D388" s="104" t="s">
        <v>3505</v>
      </c>
      <c r="E388" s="105" t="s">
        <v>134</v>
      </c>
      <c r="F388" s="125" t="s">
        <v>6676</v>
      </c>
      <c r="G388" s="126" t="s">
        <v>7966</v>
      </c>
      <c r="H388" s="126" t="s">
        <v>7967</v>
      </c>
      <c r="I388" s="126" t="s">
        <v>7930</v>
      </c>
      <c r="J388" s="126" t="s">
        <v>7968</v>
      </c>
      <c r="K388" s="90"/>
      <c r="L388" s="58"/>
      <c r="M388" s="58"/>
      <c r="N388" s="58"/>
      <c r="O388" s="58"/>
      <c r="P388" s="58"/>
      <c r="Q388" s="58"/>
      <c r="R388" s="58"/>
      <c r="S388" s="58"/>
      <c r="T388" s="58"/>
      <c r="U388" s="58"/>
      <c r="V388" s="58"/>
      <c r="W388" s="58"/>
      <c r="X388" s="58"/>
      <c r="Y388" s="58"/>
      <c r="Z388" s="58"/>
    </row>
    <row r="389" ht="25.5" spans="1:26">
      <c r="A389" s="103" t="s">
        <v>305</v>
      </c>
      <c r="B389" s="104" t="s">
        <v>139</v>
      </c>
      <c r="C389" s="104" t="s">
        <v>306</v>
      </c>
      <c r="D389" s="104" t="s">
        <v>3248</v>
      </c>
      <c r="E389" s="105" t="s">
        <v>141</v>
      </c>
      <c r="F389" s="125" t="s">
        <v>7615</v>
      </c>
      <c r="G389" s="126" t="s">
        <v>7969</v>
      </c>
      <c r="H389" s="126" t="s">
        <v>7970</v>
      </c>
      <c r="I389" s="126" t="s">
        <v>7930</v>
      </c>
      <c r="J389" s="126" t="s">
        <v>7971</v>
      </c>
      <c r="K389" s="90"/>
      <c r="L389" s="58"/>
      <c r="M389" s="58"/>
      <c r="N389" s="58"/>
      <c r="O389" s="58"/>
      <c r="P389" s="58"/>
      <c r="Q389" s="58"/>
      <c r="R389" s="58"/>
      <c r="S389" s="58"/>
      <c r="T389" s="58"/>
      <c r="U389" s="58"/>
      <c r="V389" s="58"/>
      <c r="W389" s="58"/>
      <c r="X389" s="58"/>
      <c r="Y389" s="58"/>
      <c r="Z389" s="58"/>
    </row>
    <row r="390" ht="25.5" spans="1:26">
      <c r="A390" s="103" t="s">
        <v>2257</v>
      </c>
      <c r="B390" s="104" t="s">
        <v>132</v>
      </c>
      <c r="C390" s="104" t="s">
        <v>2258</v>
      </c>
      <c r="D390" s="104">
        <v>70</v>
      </c>
      <c r="E390" s="105" t="s">
        <v>134</v>
      </c>
      <c r="F390" s="125" t="s">
        <v>7972</v>
      </c>
      <c r="G390" s="126" t="s">
        <v>7973</v>
      </c>
      <c r="H390" s="126" t="s">
        <v>7974</v>
      </c>
      <c r="I390" s="126" t="s">
        <v>7930</v>
      </c>
      <c r="J390" s="126" t="s">
        <v>7975</v>
      </c>
      <c r="K390" s="90"/>
      <c r="L390" s="58"/>
      <c r="M390" s="58"/>
      <c r="N390" s="58"/>
      <c r="O390" s="58"/>
      <c r="P390" s="58"/>
      <c r="Q390" s="58"/>
      <c r="R390" s="58"/>
      <c r="S390" s="58"/>
      <c r="T390" s="58"/>
      <c r="U390" s="58"/>
      <c r="V390" s="58"/>
      <c r="W390" s="58"/>
      <c r="X390" s="58"/>
      <c r="Y390" s="58"/>
      <c r="Z390" s="58"/>
    </row>
    <row r="391" ht="25.5" spans="1:26">
      <c r="A391" s="103" t="s">
        <v>426</v>
      </c>
      <c r="B391" s="104" t="s">
        <v>139</v>
      </c>
      <c r="C391" s="104" t="s">
        <v>427</v>
      </c>
      <c r="D391" s="104" t="s">
        <v>3310</v>
      </c>
      <c r="E391" s="105" t="s">
        <v>279</v>
      </c>
      <c r="F391" s="125" t="s">
        <v>7976</v>
      </c>
      <c r="G391" s="126" t="s">
        <v>7977</v>
      </c>
      <c r="H391" s="126" t="s">
        <v>7978</v>
      </c>
      <c r="I391" s="126" t="s">
        <v>7930</v>
      </c>
      <c r="J391" s="126" t="s">
        <v>7979</v>
      </c>
      <c r="K391" s="90"/>
      <c r="L391" s="58"/>
      <c r="M391" s="58"/>
      <c r="N391" s="58"/>
      <c r="O391" s="58"/>
      <c r="P391" s="58"/>
      <c r="Q391" s="58"/>
      <c r="R391" s="58"/>
      <c r="S391" s="58"/>
      <c r="T391" s="58"/>
      <c r="U391" s="58"/>
      <c r="V391" s="58"/>
      <c r="W391" s="58"/>
      <c r="X391" s="58"/>
      <c r="Y391" s="58"/>
      <c r="Z391" s="58"/>
    </row>
    <row r="392" spans="1:26">
      <c r="A392" s="103" t="s">
        <v>193</v>
      </c>
      <c r="B392" s="104" t="s">
        <v>139</v>
      </c>
      <c r="C392" s="104" t="s">
        <v>194</v>
      </c>
      <c r="D392" s="104" t="s">
        <v>3079</v>
      </c>
      <c r="E392" s="105" t="s">
        <v>141</v>
      </c>
      <c r="F392" s="125" t="s">
        <v>7980</v>
      </c>
      <c r="G392" s="126" t="s">
        <v>7981</v>
      </c>
      <c r="H392" s="126" t="s">
        <v>7982</v>
      </c>
      <c r="I392" s="126" t="s">
        <v>7930</v>
      </c>
      <c r="J392" s="126" t="s">
        <v>7983</v>
      </c>
      <c r="K392" s="90"/>
      <c r="L392" s="58"/>
      <c r="M392" s="58"/>
      <c r="N392" s="58"/>
      <c r="O392" s="58"/>
      <c r="P392" s="58"/>
      <c r="Q392" s="58"/>
      <c r="R392" s="58"/>
      <c r="S392" s="58"/>
      <c r="T392" s="58"/>
      <c r="U392" s="58"/>
      <c r="V392" s="58"/>
      <c r="W392" s="58"/>
      <c r="X392" s="58"/>
      <c r="Y392" s="58"/>
      <c r="Z392" s="58"/>
    </row>
    <row r="393" ht="38.25" spans="1:26">
      <c r="A393" s="103" t="s">
        <v>2080</v>
      </c>
      <c r="B393" s="104" t="s">
        <v>132</v>
      </c>
      <c r="C393" s="104" t="s">
        <v>2081</v>
      </c>
      <c r="D393" s="104">
        <v>61.1</v>
      </c>
      <c r="E393" s="105" t="s">
        <v>134</v>
      </c>
      <c r="F393" s="125" t="s">
        <v>6603</v>
      </c>
      <c r="G393" s="126" t="s">
        <v>7984</v>
      </c>
      <c r="H393" s="126" t="s">
        <v>7984</v>
      </c>
      <c r="I393" s="126" t="s">
        <v>7930</v>
      </c>
      <c r="J393" s="126" t="s">
        <v>7895</v>
      </c>
      <c r="K393" s="90"/>
      <c r="L393" s="58"/>
      <c r="M393" s="58"/>
      <c r="N393" s="58"/>
      <c r="O393" s="58"/>
      <c r="P393" s="58"/>
      <c r="Q393" s="58"/>
      <c r="R393" s="58"/>
      <c r="S393" s="58"/>
      <c r="T393" s="58"/>
      <c r="U393" s="58"/>
      <c r="V393" s="58"/>
      <c r="W393" s="58"/>
      <c r="X393" s="58"/>
      <c r="Y393" s="58"/>
      <c r="Z393" s="58"/>
    </row>
    <row r="394" ht="38.25" spans="1:26">
      <c r="A394" s="103" t="s">
        <v>1863</v>
      </c>
      <c r="B394" s="104" t="s">
        <v>132</v>
      </c>
      <c r="C394" s="104" t="s">
        <v>1864</v>
      </c>
      <c r="D394" s="104"/>
      <c r="E394" s="105" t="s">
        <v>134</v>
      </c>
      <c r="F394" s="125" t="s">
        <v>6603</v>
      </c>
      <c r="G394" s="126" t="s">
        <v>7985</v>
      </c>
      <c r="H394" s="126" t="s">
        <v>7985</v>
      </c>
      <c r="I394" s="126" t="s">
        <v>7930</v>
      </c>
      <c r="J394" s="126" t="s">
        <v>7986</v>
      </c>
      <c r="K394" s="90"/>
      <c r="L394" s="58"/>
      <c r="M394" s="58"/>
      <c r="N394" s="58"/>
      <c r="O394" s="58"/>
      <c r="P394" s="58"/>
      <c r="Q394" s="58"/>
      <c r="R394" s="58"/>
      <c r="S394" s="58"/>
      <c r="T394" s="58"/>
      <c r="U394" s="58"/>
      <c r="V394" s="58"/>
      <c r="W394" s="58"/>
      <c r="X394" s="58"/>
      <c r="Y394" s="58"/>
      <c r="Z394" s="58"/>
    </row>
    <row r="395" ht="25.5" spans="1:26">
      <c r="A395" s="103" t="s">
        <v>2459</v>
      </c>
      <c r="B395" s="104" t="s">
        <v>139</v>
      </c>
      <c r="C395" s="104" t="s">
        <v>2460</v>
      </c>
      <c r="D395" s="104" t="s">
        <v>4909</v>
      </c>
      <c r="E395" s="105" t="s">
        <v>204</v>
      </c>
      <c r="F395" s="125" t="s">
        <v>7987</v>
      </c>
      <c r="G395" s="126" t="s">
        <v>7988</v>
      </c>
      <c r="H395" s="126" t="s">
        <v>7989</v>
      </c>
      <c r="I395" s="126" t="s">
        <v>7930</v>
      </c>
      <c r="J395" s="126" t="s">
        <v>7990</v>
      </c>
      <c r="K395" s="90"/>
      <c r="L395" s="58"/>
      <c r="M395" s="58"/>
      <c r="N395" s="58"/>
      <c r="O395" s="58"/>
      <c r="P395" s="58"/>
      <c r="Q395" s="58"/>
      <c r="R395" s="58"/>
      <c r="S395" s="58"/>
      <c r="T395" s="58"/>
      <c r="U395" s="58"/>
      <c r="V395" s="58"/>
      <c r="W395" s="58"/>
      <c r="X395" s="58"/>
      <c r="Y395" s="58"/>
      <c r="Z395" s="58"/>
    </row>
    <row r="396" ht="38.25" spans="1:26">
      <c r="A396" s="103" t="s">
        <v>1023</v>
      </c>
      <c r="B396" s="104" t="s">
        <v>132</v>
      </c>
      <c r="C396" s="104" t="s">
        <v>1024</v>
      </c>
      <c r="D396" s="104" t="s">
        <v>3177</v>
      </c>
      <c r="E396" s="105" t="s">
        <v>134</v>
      </c>
      <c r="F396" s="125" t="s">
        <v>7991</v>
      </c>
      <c r="G396" s="126" t="s">
        <v>7992</v>
      </c>
      <c r="H396" s="126" t="s">
        <v>7993</v>
      </c>
      <c r="I396" s="126" t="s">
        <v>7930</v>
      </c>
      <c r="J396" s="126" t="s">
        <v>7994</v>
      </c>
      <c r="K396" s="90"/>
      <c r="L396" s="58"/>
      <c r="M396" s="58"/>
      <c r="N396" s="58"/>
      <c r="O396" s="58"/>
      <c r="P396" s="58"/>
      <c r="Q396" s="58"/>
      <c r="R396" s="58"/>
      <c r="S396" s="58"/>
      <c r="T396" s="58"/>
      <c r="U396" s="58"/>
      <c r="V396" s="58"/>
      <c r="W396" s="58"/>
      <c r="X396" s="58"/>
      <c r="Y396" s="58"/>
      <c r="Z396" s="58"/>
    </row>
    <row r="397" ht="51" spans="1:26">
      <c r="A397" s="103" t="s">
        <v>1425</v>
      </c>
      <c r="B397" s="104" t="s">
        <v>132</v>
      </c>
      <c r="C397" s="104" t="s">
        <v>1426</v>
      </c>
      <c r="D397" s="104" t="s">
        <v>3177</v>
      </c>
      <c r="E397" s="105" t="s">
        <v>134</v>
      </c>
      <c r="F397" s="125" t="s">
        <v>6603</v>
      </c>
      <c r="G397" s="126" t="s">
        <v>7995</v>
      </c>
      <c r="H397" s="126" t="s">
        <v>7995</v>
      </c>
      <c r="I397" s="126" t="s">
        <v>7930</v>
      </c>
      <c r="J397" s="126" t="s">
        <v>7996</v>
      </c>
      <c r="K397" s="90"/>
      <c r="L397" s="58"/>
      <c r="M397" s="58"/>
      <c r="N397" s="58"/>
      <c r="O397" s="58"/>
      <c r="P397" s="58"/>
      <c r="Q397" s="58"/>
      <c r="R397" s="58"/>
      <c r="S397" s="58"/>
      <c r="T397" s="58"/>
      <c r="U397" s="58"/>
      <c r="V397" s="58"/>
      <c r="W397" s="58"/>
      <c r="X397" s="58"/>
      <c r="Y397" s="58"/>
      <c r="Z397" s="58"/>
    </row>
    <row r="398" ht="51" spans="1:26">
      <c r="A398" s="103" t="s">
        <v>1436</v>
      </c>
      <c r="B398" s="104" t="s">
        <v>132</v>
      </c>
      <c r="C398" s="104" t="s">
        <v>1437</v>
      </c>
      <c r="D398" s="104" t="s">
        <v>3177</v>
      </c>
      <c r="E398" s="105" t="s">
        <v>134</v>
      </c>
      <c r="F398" s="125" t="s">
        <v>6603</v>
      </c>
      <c r="G398" s="126" t="s">
        <v>7995</v>
      </c>
      <c r="H398" s="126" t="s">
        <v>7995</v>
      </c>
      <c r="I398" s="126" t="s">
        <v>7930</v>
      </c>
      <c r="J398" s="126" t="s">
        <v>7997</v>
      </c>
      <c r="K398" s="90"/>
      <c r="L398" s="58"/>
      <c r="M398" s="58"/>
      <c r="N398" s="58"/>
      <c r="O398" s="58"/>
      <c r="P398" s="58"/>
      <c r="Q398" s="58"/>
      <c r="R398" s="58"/>
      <c r="S398" s="58"/>
      <c r="T398" s="58"/>
      <c r="U398" s="58"/>
      <c r="V398" s="58"/>
      <c r="W398" s="58"/>
      <c r="X398" s="58"/>
      <c r="Y398" s="58"/>
      <c r="Z398" s="58"/>
    </row>
    <row r="399" ht="38.25" spans="1:26">
      <c r="A399" s="103" t="s">
        <v>2620</v>
      </c>
      <c r="B399" s="104" t="s">
        <v>139</v>
      </c>
      <c r="C399" s="104" t="s">
        <v>2621</v>
      </c>
      <c r="D399" s="104" t="s">
        <v>3642</v>
      </c>
      <c r="E399" s="105" t="s">
        <v>204</v>
      </c>
      <c r="F399" s="125" t="s">
        <v>7998</v>
      </c>
      <c r="G399" s="126" t="s">
        <v>7999</v>
      </c>
      <c r="H399" s="126" t="s">
        <v>8000</v>
      </c>
      <c r="I399" s="126" t="s">
        <v>7930</v>
      </c>
      <c r="J399" s="126" t="s">
        <v>8001</v>
      </c>
      <c r="K399" s="90"/>
      <c r="L399" s="58"/>
      <c r="M399" s="58"/>
      <c r="N399" s="58"/>
      <c r="O399" s="58"/>
      <c r="P399" s="58"/>
      <c r="Q399" s="58"/>
      <c r="R399" s="58"/>
      <c r="S399" s="58"/>
      <c r="T399" s="58"/>
      <c r="U399" s="58"/>
      <c r="V399" s="58"/>
      <c r="W399" s="58"/>
      <c r="X399" s="58"/>
      <c r="Y399" s="58"/>
      <c r="Z399" s="58"/>
    </row>
    <row r="400" ht="25.5" spans="1:26">
      <c r="A400" s="103" t="s">
        <v>429</v>
      </c>
      <c r="B400" s="104" t="s">
        <v>139</v>
      </c>
      <c r="C400" s="104" t="s">
        <v>430</v>
      </c>
      <c r="D400" s="104" t="s">
        <v>3310</v>
      </c>
      <c r="E400" s="105" t="s">
        <v>279</v>
      </c>
      <c r="F400" s="125" t="s">
        <v>8002</v>
      </c>
      <c r="G400" s="126" t="s">
        <v>8003</v>
      </c>
      <c r="H400" s="126" t="s">
        <v>8004</v>
      </c>
      <c r="I400" s="126" t="s">
        <v>7930</v>
      </c>
      <c r="J400" s="126" t="s">
        <v>8005</v>
      </c>
      <c r="K400" s="90"/>
      <c r="L400" s="58"/>
      <c r="M400" s="58"/>
      <c r="N400" s="58"/>
      <c r="O400" s="58"/>
      <c r="P400" s="58"/>
      <c r="Q400" s="58"/>
      <c r="R400" s="58"/>
      <c r="S400" s="58"/>
      <c r="T400" s="58"/>
      <c r="U400" s="58"/>
      <c r="V400" s="58"/>
      <c r="W400" s="58"/>
      <c r="X400" s="58"/>
      <c r="Y400" s="58"/>
      <c r="Z400" s="58"/>
    </row>
    <row r="401" ht="25.5" spans="1:26">
      <c r="A401" s="103" t="s">
        <v>795</v>
      </c>
      <c r="B401" s="104" t="s">
        <v>796</v>
      </c>
      <c r="C401" s="104" t="s">
        <v>797</v>
      </c>
      <c r="D401" s="104" t="s">
        <v>3668</v>
      </c>
      <c r="E401" s="105" t="s">
        <v>334</v>
      </c>
      <c r="F401" s="125" t="s">
        <v>6676</v>
      </c>
      <c r="G401" s="126" t="s">
        <v>8006</v>
      </c>
      <c r="H401" s="126" t="s">
        <v>8007</v>
      </c>
      <c r="I401" s="126" t="s">
        <v>7930</v>
      </c>
      <c r="J401" s="126" t="s">
        <v>8008</v>
      </c>
      <c r="K401" s="90"/>
      <c r="L401" s="58"/>
      <c r="M401" s="58"/>
      <c r="N401" s="58"/>
      <c r="O401" s="58"/>
      <c r="P401" s="58"/>
      <c r="Q401" s="58"/>
      <c r="R401" s="58"/>
      <c r="S401" s="58"/>
      <c r="T401" s="58"/>
      <c r="U401" s="58"/>
      <c r="V401" s="58"/>
      <c r="W401" s="58"/>
      <c r="X401" s="58"/>
      <c r="Y401" s="58"/>
      <c r="Z401" s="58"/>
    </row>
    <row r="402" ht="25.5" spans="1:26">
      <c r="A402" s="103" t="s">
        <v>1687</v>
      </c>
      <c r="B402" s="104" t="s">
        <v>139</v>
      </c>
      <c r="C402" s="104" t="s">
        <v>1688</v>
      </c>
      <c r="D402" s="104" t="s">
        <v>3221</v>
      </c>
      <c r="E402" s="105" t="s">
        <v>134</v>
      </c>
      <c r="F402" s="125" t="s">
        <v>7423</v>
      </c>
      <c r="G402" s="126" t="s">
        <v>8009</v>
      </c>
      <c r="H402" s="126" t="s">
        <v>8010</v>
      </c>
      <c r="I402" s="126" t="s">
        <v>7930</v>
      </c>
      <c r="J402" s="126" t="s">
        <v>8011</v>
      </c>
      <c r="K402" s="90"/>
      <c r="L402" s="58"/>
      <c r="M402" s="58"/>
      <c r="N402" s="58"/>
      <c r="O402" s="58"/>
      <c r="P402" s="58"/>
      <c r="Q402" s="58"/>
      <c r="R402" s="58"/>
      <c r="S402" s="58"/>
      <c r="T402" s="58"/>
      <c r="U402" s="58"/>
      <c r="V402" s="58"/>
      <c r="W402" s="58"/>
      <c r="X402" s="58"/>
      <c r="Y402" s="58"/>
      <c r="Z402" s="58"/>
    </row>
    <row r="403" ht="25.5" spans="1:26">
      <c r="A403" s="103" t="s">
        <v>1280</v>
      </c>
      <c r="B403" s="104" t="s">
        <v>132</v>
      </c>
      <c r="C403" s="104" t="s">
        <v>1281</v>
      </c>
      <c r="D403" s="104">
        <v>59</v>
      </c>
      <c r="E403" s="105" t="s">
        <v>134</v>
      </c>
      <c r="F403" s="125" t="s">
        <v>6603</v>
      </c>
      <c r="G403" s="126" t="s">
        <v>8012</v>
      </c>
      <c r="H403" s="126" t="s">
        <v>8012</v>
      </c>
      <c r="I403" s="126" t="s">
        <v>7930</v>
      </c>
      <c r="J403" s="126" t="s">
        <v>8013</v>
      </c>
      <c r="K403" s="90"/>
      <c r="L403" s="58"/>
      <c r="M403" s="58"/>
      <c r="N403" s="58"/>
      <c r="O403" s="58"/>
      <c r="P403" s="58"/>
      <c r="Q403" s="58"/>
      <c r="R403" s="58"/>
      <c r="S403" s="58"/>
      <c r="T403" s="58"/>
      <c r="U403" s="58"/>
      <c r="V403" s="58"/>
      <c r="W403" s="58"/>
      <c r="X403" s="58"/>
      <c r="Y403" s="58"/>
      <c r="Z403" s="58"/>
    </row>
    <row r="404" ht="38.25" spans="1:26">
      <c r="A404" s="103" t="s">
        <v>1178</v>
      </c>
      <c r="B404" s="104" t="s">
        <v>139</v>
      </c>
      <c r="C404" s="104" t="s">
        <v>1179</v>
      </c>
      <c r="D404" s="104" t="s">
        <v>3150</v>
      </c>
      <c r="E404" s="105" t="s">
        <v>204</v>
      </c>
      <c r="F404" s="125" t="s">
        <v>8014</v>
      </c>
      <c r="G404" s="126" t="s">
        <v>8015</v>
      </c>
      <c r="H404" s="126" t="s">
        <v>8016</v>
      </c>
      <c r="I404" s="126" t="s">
        <v>7930</v>
      </c>
      <c r="J404" s="126" t="s">
        <v>8017</v>
      </c>
      <c r="K404" s="90"/>
      <c r="L404" s="58"/>
      <c r="M404" s="58"/>
      <c r="N404" s="58"/>
      <c r="O404" s="58"/>
      <c r="P404" s="58"/>
      <c r="Q404" s="58"/>
      <c r="R404" s="58"/>
      <c r="S404" s="58"/>
      <c r="T404" s="58"/>
      <c r="U404" s="58"/>
      <c r="V404" s="58"/>
      <c r="W404" s="58"/>
      <c r="X404" s="58"/>
      <c r="Y404" s="58"/>
      <c r="Z404" s="58"/>
    </row>
    <row r="405" ht="25.5" spans="1:26">
      <c r="A405" s="103" t="s">
        <v>2651</v>
      </c>
      <c r="B405" s="104" t="s">
        <v>139</v>
      </c>
      <c r="C405" s="104" t="s">
        <v>2652</v>
      </c>
      <c r="D405" s="104" t="s">
        <v>3076</v>
      </c>
      <c r="E405" s="105" t="s">
        <v>141</v>
      </c>
      <c r="F405" s="125" t="s">
        <v>6901</v>
      </c>
      <c r="G405" s="126" t="s">
        <v>8018</v>
      </c>
      <c r="H405" s="126" t="s">
        <v>8019</v>
      </c>
      <c r="I405" s="126" t="s">
        <v>7930</v>
      </c>
      <c r="J405" s="126" t="s">
        <v>8020</v>
      </c>
      <c r="K405" s="90"/>
      <c r="L405" s="58"/>
      <c r="M405" s="58"/>
      <c r="N405" s="58"/>
      <c r="O405" s="58"/>
      <c r="P405" s="58"/>
      <c r="Q405" s="58"/>
      <c r="R405" s="58"/>
      <c r="S405" s="58"/>
      <c r="T405" s="58"/>
      <c r="U405" s="58"/>
      <c r="V405" s="58"/>
      <c r="W405" s="58"/>
      <c r="X405" s="58"/>
      <c r="Y405" s="58"/>
      <c r="Z405" s="58"/>
    </row>
    <row r="406" spans="1:26">
      <c r="A406" s="103" t="s">
        <v>367</v>
      </c>
      <c r="B406" s="104" t="s">
        <v>139</v>
      </c>
      <c r="C406" s="104" t="s">
        <v>368</v>
      </c>
      <c r="D406" s="104" t="s">
        <v>3282</v>
      </c>
      <c r="E406" s="105" t="s">
        <v>141</v>
      </c>
      <c r="F406" s="125" t="s">
        <v>8021</v>
      </c>
      <c r="G406" s="126" t="s">
        <v>8022</v>
      </c>
      <c r="H406" s="126" t="s">
        <v>8023</v>
      </c>
      <c r="I406" s="126" t="s">
        <v>7930</v>
      </c>
      <c r="J406" s="126" t="s">
        <v>8024</v>
      </c>
      <c r="K406" s="90"/>
      <c r="L406" s="58"/>
      <c r="M406" s="58"/>
      <c r="N406" s="58"/>
      <c r="O406" s="58"/>
      <c r="P406" s="58"/>
      <c r="Q406" s="58"/>
      <c r="R406" s="58"/>
      <c r="S406" s="58"/>
      <c r="T406" s="58"/>
      <c r="U406" s="58"/>
      <c r="V406" s="58"/>
      <c r="W406" s="58"/>
      <c r="X406" s="58"/>
      <c r="Y406" s="58"/>
      <c r="Z406" s="58"/>
    </row>
    <row r="407" ht="25.5" spans="1:26">
      <c r="A407" s="103" t="s">
        <v>799</v>
      </c>
      <c r="B407" s="104" t="s">
        <v>139</v>
      </c>
      <c r="C407" s="104" t="s">
        <v>800</v>
      </c>
      <c r="D407" s="104" t="s">
        <v>3671</v>
      </c>
      <c r="E407" s="105" t="s">
        <v>134</v>
      </c>
      <c r="F407" s="125" t="s">
        <v>6676</v>
      </c>
      <c r="G407" s="126" t="s">
        <v>8025</v>
      </c>
      <c r="H407" s="126" t="s">
        <v>8026</v>
      </c>
      <c r="I407" s="126" t="s">
        <v>7930</v>
      </c>
      <c r="J407" s="126" t="s">
        <v>8027</v>
      </c>
      <c r="K407" s="90"/>
      <c r="L407" s="58"/>
      <c r="M407" s="58"/>
      <c r="N407" s="58"/>
      <c r="O407" s="58"/>
      <c r="P407" s="58"/>
      <c r="Q407" s="58"/>
      <c r="R407" s="58"/>
      <c r="S407" s="58"/>
      <c r="T407" s="58"/>
      <c r="U407" s="58"/>
      <c r="V407" s="58"/>
      <c r="W407" s="58"/>
      <c r="X407" s="58"/>
      <c r="Y407" s="58"/>
      <c r="Z407" s="58"/>
    </row>
    <row r="408" ht="38.25" spans="1:26">
      <c r="A408" s="103" t="s">
        <v>968</v>
      </c>
      <c r="B408" s="104" t="s">
        <v>132</v>
      </c>
      <c r="C408" s="104" t="s">
        <v>969</v>
      </c>
      <c r="D408" s="104">
        <v>15</v>
      </c>
      <c r="E408" s="105" t="s">
        <v>204</v>
      </c>
      <c r="F408" s="125" t="s">
        <v>6798</v>
      </c>
      <c r="G408" s="126" t="s">
        <v>8028</v>
      </c>
      <c r="H408" s="126" t="s">
        <v>8029</v>
      </c>
      <c r="I408" s="126" t="s">
        <v>7930</v>
      </c>
      <c r="J408" s="126" t="s">
        <v>8030</v>
      </c>
      <c r="K408" s="90"/>
      <c r="L408" s="58"/>
      <c r="M408" s="58"/>
      <c r="N408" s="58"/>
      <c r="O408" s="58"/>
      <c r="P408" s="58"/>
      <c r="Q408" s="58"/>
      <c r="R408" s="58"/>
      <c r="S408" s="58"/>
      <c r="T408" s="58"/>
      <c r="U408" s="58"/>
      <c r="V408" s="58"/>
      <c r="W408" s="58"/>
      <c r="X408" s="58"/>
      <c r="Y408" s="58"/>
      <c r="Z408" s="58"/>
    </row>
    <row r="409" ht="25.5" spans="1:26">
      <c r="A409" s="103" t="s">
        <v>2275</v>
      </c>
      <c r="B409" s="104" t="s">
        <v>132</v>
      </c>
      <c r="C409" s="104" t="s">
        <v>2276</v>
      </c>
      <c r="D409" s="104">
        <v>73</v>
      </c>
      <c r="E409" s="105" t="s">
        <v>134</v>
      </c>
      <c r="F409" s="125" t="s">
        <v>6653</v>
      </c>
      <c r="G409" s="126" t="s">
        <v>8031</v>
      </c>
      <c r="H409" s="126" t="s">
        <v>8032</v>
      </c>
      <c r="I409" s="126" t="s">
        <v>7930</v>
      </c>
      <c r="J409" s="126" t="s">
        <v>8033</v>
      </c>
      <c r="K409" s="90"/>
      <c r="L409" s="58"/>
      <c r="M409" s="58"/>
      <c r="N409" s="58"/>
      <c r="O409" s="58"/>
      <c r="P409" s="58"/>
      <c r="Q409" s="58"/>
      <c r="R409" s="58"/>
      <c r="S409" s="58"/>
      <c r="T409" s="58"/>
      <c r="U409" s="58"/>
      <c r="V409" s="58"/>
      <c r="W409" s="58"/>
      <c r="X409" s="58"/>
      <c r="Y409" s="58"/>
      <c r="Z409" s="58"/>
    </row>
    <row r="410" ht="25.5" spans="1:26">
      <c r="A410" s="103" t="s">
        <v>2362</v>
      </c>
      <c r="B410" s="104" t="s">
        <v>132</v>
      </c>
      <c r="C410" s="104" t="s">
        <v>2363</v>
      </c>
      <c r="D410" s="104">
        <v>70</v>
      </c>
      <c r="E410" s="105" t="s">
        <v>134</v>
      </c>
      <c r="F410" s="125" t="s">
        <v>8034</v>
      </c>
      <c r="G410" s="126" t="s">
        <v>8035</v>
      </c>
      <c r="H410" s="126" t="s">
        <v>8036</v>
      </c>
      <c r="I410" s="126" t="s">
        <v>7930</v>
      </c>
      <c r="J410" s="126" t="s">
        <v>8037</v>
      </c>
      <c r="K410" s="90"/>
      <c r="L410" s="58"/>
      <c r="M410" s="58"/>
      <c r="N410" s="58"/>
      <c r="O410" s="58"/>
      <c r="P410" s="58"/>
      <c r="Q410" s="58"/>
      <c r="R410" s="58"/>
      <c r="S410" s="58"/>
      <c r="T410" s="58"/>
      <c r="U410" s="58"/>
      <c r="V410" s="58"/>
      <c r="W410" s="58"/>
      <c r="X410" s="58"/>
      <c r="Y410" s="58"/>
      <c r="Z410" s="58"/>
    </row>
    <row r="411" ht="38.25" spans="1:26">
      <c r="A411" s="103" t="s">
        <v>1568</v>
      </c>
      <c r="B411" s="104" t="s">
        <v>139</v>
      </c>
      <c r="C411" s="104" t="s">
        <v>1569</v>
      </c>
      <c r="D411" s="104" t="s">
        <v>3150</v>
      </c>
      <c r="E411" s="105" t="s">
        <v>134</v>
      </c>
      <c r="F411" s="125" t="s">
        <v>7481</v>
      </c>
      <c r="G411" s="126" t="s">
        <v>8038</v>
      </c>
      <c r="H411" s="126" t="s">
        <v>8039</v>
      </c>
      <c r="I411" s="126" t="s">
        <v>7930</v>
      </c>
      <c r="J411" s="126" t="s">
        <v>8040</v>
      </c>
      <c r="K411" s="90"/>
      <c r="L411" s="58"/>
      <c r="M411" s="58"/>
      <c r="N411" s="58"/>
      <c r="O411" s="58"/>
      <c r="P411" s="58"/>
      <c r="Q411" s="58"/>
      <c r="R411" s="58"/>
      <c r="S411" s="58"/>
      <c r="T411" s="58"/>
      <c r="U411" s="58"/>
      <c r="V411" s="58"/>
      <c r="W411" s="58"/>
      <c r="X411" s="58"/>
      <c r="Y411" s="58"/>
      <c r="Z411" s="58"/>
    </row>
    <row r="412" ht="38.25" spans="1:26">
      <c r="A412" s="103" t="s">
        <v>1580</v>
      </c>
      <c r="B412" s="104" t="s">
        <v>139</v>
      </c>
      <c r="C412" s="104" t="s">
        <v>1581</v>
      </c>
      <c r="D412" s="104" t="s">
        <v>3150</v>
      </c>
      <c r="E412" s="105" t="s">
        <v>134</v>
      </c>
      <c r="F412" s="125" t="s">
        <v>7079</v>
      </c>
      <c r="G412" s="126" t="s">
        <v>8041</v>
      </c>
      <c r="H412" s="126" t="s">
        <v>8042</v>
      </c>
      <c r="I412" s="126" t="s">
        <v>7930</v>
      </c>
      <c r="J412" s="126" t="s">
        <v>8043</v>
      </c>
      <c r="K412" s="90"/>
      <c r="L412" s="58"/>
      <c r="M412" s="58"/>
      <c r="N412" s="58"/>
      <c r="O412" s="58"/>
      <c r="P412" s="58"/>
      <c r="Q412" s="58"/>
      <c r="R412" s="58"/>
      <c r="S412" s="58"/>
      <c r="T412" s="58"/>
      <c r="U412" s="58"/>
      <c r="V412" s="58"/>
      <c r="W412" s="58"/>
      <c r="X412" s="58"/>
      <c r="Y412" s="58"/>
      <c r="Z412" s="58"/>
    </row>
    <row r="413" ht="38.25" spans="1:26">
      <c r="A413" s="103" t="s">
        <v>2089</v>
      </c>
      <c r="B413" s="104" t="s">
        <v>132</v>
      </c>
      <c r="C413" s="104" t="s">
        <v>2090</v>
      </c>
      <c r="D413" s="104">
        <v>61.1</v>
      </c>
      <c r="E413" s="105" t="s">
        <v>134</v>
      </c>
      <c r="F413" s="125" t="s">
        <v>7588</v>
      </c>
      <c r="G413" s="126" t="s">
        <v>7215</v>
      </c>
      <c r="H413" s="126" t="s">
        <v>8044</v>
      </c>
      <c r="I413" s="126" t="s">
        <v>7930</v>
      </c>
      <c r="J413" s="126" t="s">
        <v>8045</v>
      </c>
      <c r="K413" s="90"/>
      <c r="L413" s="58"/>
      <c r="M413" s="58"/>
      <c r="N413" s="58"/>
      <c r="O413" s="58"/>
      <c r="P413" s="58"/>
      <c r="Q413" s="58"/>
      <c r="R413" s="58"/>
      <c r="S413" s="58"/>
      <c r="T413" s="58"/>
      <c r="U413" s="58"/>
      <c r="V413" s="58"/>
      <c r="W413" s="58"/>
      <c r="X413" s="58"/>
      <c r="Y413" s="58"/>
      <c r="Z413" s="58"/>
    </row>
    <row r="414" spans="1:26">
      <c r="A414" s="103" t="s">
        <v>2559</v>
      </c>
      <c r="B414" s="104" t="s">
        <v>149</v>
      </c>
      <c r="C414" s="104" t="s">
        <v>2560</v>
      </c>
      <c r="D414" s="104" t="s">
        <v>3755</v>
      </c>
      <c r="E414" s="105" t="s">
        <v>134</v>
      </c>
      <c r="F414" s="125" t="s">
        <v>7919</v>
      </c>
      <c r="G414" s="126" t="s">
        <v>8046</v>
      </c>
      <c r="H414" s="126" t="s">
        <v>8047</v>
      </c>
      <c r="I414" s="126" t="s">
        <v>7930</v>
      </c>
      <c r="J414" s="126" t="s">
        <v>8048</v>
      </c>
      <c r="K414" s="90"/>
      <c r="L414" s="58"/>
      <c r="M414" s="58"/>
      <c r="N414" s="58"/>
      <c r="O414" s="58"/>
      <c r="P414" s="58"/>
      <c r="Q414" s="58"/>
      <c r="R414" s="58"/>
      <c r="S414" s="58"/>
      <c r="T414" s="58"/>
      <c r="U414" s="58"/>
      <c r="V414" s="58"/>
      <c r="W414" s="58"/>
      <c r="X414" s="58"/>
      <c r="Y414" s="58"/>
      <c r="Z414" s="58"/>
    </row>
    <row r="415" ht="25.5" spans="1:26">
      <c r="A415" s="103" t="s">
        <v>2764</v>
      </c>
      <c r="B415" s="104" t="s">
        <v>139</v>
      </c>
      <c r="C415" s="104" t="s">
        <v>2765</v>
      </c>
      <c r="D415" s="104" t="s">
        <v>5184</v>
      </c>
      <c r="E415" s="105" t="s">
        <v>141</v>
      </c>
      <c r="F415" s="125" t="s">
        <v>8049</v>
      </c>
      <c r="G415" s="126" t="s">
        <v>8050</v>
      </c>
      <c r="H415" s="126" t="s">
        <v>8051</v>
      </c>
      <c r="I415" s="126" t="s">
        <v>7930</v>
      </c>
      <c r="J415" s="126" t="s">
        <v>8052</v>
      </c>
      <c r="K415" s="90"/>
      <c r="L415" s="58"/>
      <c r="M415" s="58"/>
      <c r="N415" s="58"/>
      <c r="O415" s="58"/>
      <c r="P415" s="58"/>
      <c r="Q415" s="58"/>
      <c r="R415" s="58"/>
      <c r="S415" s="58"/>
      <c r="T415" s="58"/>
      <c r="U415" s="58"/>
      <c r="V415" s="58"/>
      <c r="W415" s="58"/>
      <c r="X415" s="58"/>
      <c r="Y415" s="58"/>
      <c r="Z415" s="58"/>
    </row>
    <row r="416" ht="25.5" spans="1:26">
      <c r="A416" s="103" t="s">
        <v>2471</v>
      </c>
      <c r="B416" s="104" t="s">
        <v>132</v>
      </c>
      <c r="C416" s="104" t="s">
        <v>2472</v>
      </c>
      <c r="D416" s="104" t="s">
        <v>4227</v>
      </c>
      <c r="E416" s="105" t="s">
        <v>204</v>
      </c>
      <c r="F416" s="125" t="s">
        <v>7410</v>
      </c>
      <c r="G416" s="126" t="s">
        <v>8053</v>
      </c>
      <c r="H416" s="126" t="s">
        <v>8054</v>
      </c>
      <c r="I416" s="126" t="s">
        <v>7930</v>
      </c>
      <c r="J416" s="126" t="s">
        <v>8055</v>
      </c>
      <c r="K416" s="90"/>
      <c r="L416" s="58"/>
      <c r="M416" s="58"/>
      <c r="N416" s="58"/>
      <c r="O416" s="58"/>
      <c r="P416" s="58"/>
      <c r="Q416" s="58"/>
      <c r="R416" s="58"/>
      <c r="S416" s="58"/>
      <c r="T416" s="58"/>
      <c r="U416" s="58"/>
      <c r="V416" s="58"/>
      <c r="W416" s="58"/>
      <c r="X416" s="58"/>
      <c r="Y416" s="58"/>
      <c r="Z416" s="58"/>
    </row>
    <row r="417" ht="25.5" spans="1:26">
      <c r="A417" s="103" t="s">
        <v>128</v>
      </c>
      <c r="B417" s="104" t="s">
        <v>77</v>
      </c>
      <c r="C417" s="104" t="s">
        <v>129</v>
      </c>
      <c r="D417" s="104">
        <v>1</v>
      </c>
      <c r="E417" s="105" t="s">
        <v>141</v>
      </c>
      <c r="F417" s="125" t="s">
        <v>7011</v>
      </c>
      <c r="G417" s="126" t="s">
        <v>8056</v>
      </c>
      <c r="H417" s="126" t="s">
        <v>8057</v>
      </c>
      <c r="I417" s="126" t="s">
        <v>7930</v>
      </c>
      <c r="J417" s="126" t="s">
        <v>8058</v>
      </c>
      <c r="K417" s="90"/>
      <c r="L417" s="58"/>
      <c r="M417" s="58"/>
      <c r="N417" s="58"/>
      <c r="O417" s="58"/>
      <c r="P417" s="58"/>
      <c r="Q417" s="58"/>
      <c r="R417" s="58"/>
      <c r="S417" s="58"/>
      <c r="T417" s="58"/>
      <c r="U417" s="58"/>
      <c r="V417" s="58"/>
      <c r="W417" s="58"/>
      <c r="X417" s="58"/>
      <c r="Y417" s="58"/>
      <c r="Z417" s="58"/>
    </row>
    <row r="418" ht="25.5" spans="1:26">
      <c r="A418" s="103" t="s">
        <v>2864</v>
      </c>
      <c r="B418" s="104" t="s">
        <v>139</v>
      </c>
      <c r="C418" s="104" t="s">
        <v>2865</v>
      </c>
      <c r="D418" s="104" t="s">
        <v>3248</v>
      </c>
      <c r="E418" s="105" t="s">
        <v>279</v>
      </c>
      <c r="F418" s="125" t="s">
        <v>7457</v>
      </c>
      <c r="G418" s="126" t="s">
        <v>8059</v>
      </c>
      <c r="H418" s="126" t="s">
        <v>8060</v>
      </c>
      <c r="I418" s="126" t="s">
        <v>7930</v>
      </c>
      <c r="J418" s="126" t="s">
        <v>8061</v>
      </c>
      <c r="K418" s="90"/>
      <c r="L418" s="58"/>
      <c r="M418" s="58"/>
      <c r="N418" s="58"/>
      <c r="O418" s="58"/>
      <c r="P418" s="58"/>
      <c r="Q418" s="58"/>
      <c r="R418" s="58"/>
      <c r="S418" s="58"/>
      <c r="T418" s="58"/>
      <c r="U418" s="58"/>
      <c r="V418" s="58"/>
      <c r="W418" s="58"/>
      <c r="X418" s="58"/>
      <c r="Y418" s="58"/>
      <c r="Z418" s="58"/>
    </row>
    <row r="419" ht="38.25" spans="1:26">
      <c r="A419" s="103" t="s">
        <v>2077</v>
      </c>
      <c r="B419" s="104" t="s">
        <v>132</v>
      </c>
      <c r="C419" s="104" t="s">
        <v>2078</v>
      </c>
      <c r="D419" s="104" t="s">
        <v>4227</v>
      </c>
      <c r="E419" s="105" t="s">
        <v>2072</v>
      </c>
      <c r="F419" s="125" t="s">
        <v>6603</v>
      </c>
      <c r="G419" s="126" t="s">
        <v>8062</v>
      </c>
      <c r="H419" s="126" t="s">
        <v>8062</v>
      </c>
      <c r="I419" s="126" t="s">
        <v>7930</v>
      </c>
      <c r="J419" s="126" t="s">
        <v>8063</v>
      </c>
      <c r="K419" s="90"/>
      <c r="L419" s="58"/>
      <c r="M419" s="58"/>
      <c r="N419" s="58"/>
      <c r="O419" s="58"/>
      <c r="P419" s="58"/>
      <c r="Q419" s="58"/>
      <c r="R419" s="58"/>
      <c r="S419" s="58"/>
      <c r="T419" s="58"/>
      <c r="U419" s="58"/>
      <c r="V419" s="58"/>
      <c r="W419" s="58"/>
      <c r="X419" s="58"/>
      <c r="Y419" s="58"/>
      <c r="Z419" s="58"/>
    </row>
    <row r="420" ht="38.25" spans="1:26">
      <c r="A420" s="103" t="s">
        <v>1583</v>
      </c>
      <c r="B420" s="104" t="s">
        <v>132</v>
      </c>
      <c r="C420" s="104" t="s">
        <v>1584</v>
      </c>
      <c r="D420" s="104" t="s">
        <v>3177</v>
      </c>
      <c r="E420" s="105" t="s">
        <v>134</v>
      </c>
      <c r="F420" s="125" t="s">
        <v>6858</v>
      </c>
      <c r="G420" s="126" t="s">
        <v>8064</v>
      </c>
      <c r="H420" s="126" t="s">
        <v>8065</v>
      </c>
      <c r="I420" s="126" t="s">
        <v>7930</v>
      </c>
      <c r="J420" s="126" t="s">
        <v>8066</v>
      </c>
      <c r="K420" s="90"/>
      <c r="L420" s="58"/>
      <c r="M420" s="58"/>
      <c r="N420" s="58"/>
      <c r="O420" s="58"/>
      <c r="P420" s="58"/>
      <c r="Q420" s="58"/>
      <c r="R420" s="58"/>
      <c r="S420" s="58"/>
      <c r="T420" s="58"/>
      <c r="U420" s="58"/>
      <c r="V420" s="58"/>
      <c r="W420" s="58"/>
      <c r="X420" s="58"/>
      <c r="Y420" s="58"/>
      <c r="Z420" s="58"/>
    </row>
    <row r="421" ht="25.5" spans="1:26">
      <c r="A421" s="103" t="s">
        <v>1966</v>
      </c>
      <c r="B421" s="104" t="s">
        <v>132</v>
      </c>
      <c r="C421" s="104" t="s">
        <v>1967</v>
      </c>
      <c r="D421" s="104" t="s">
        <v>4227</v>
      </c>
      <c r="E421" s="105" t="s">
        <v>134</v>
      </c>
      <c r="F421" s="125" t="s">
        <v>6603</v>
      </c>
      <c r="G421" s="126" t="s">
        <v>8067</v>
      </c>
      <c r="H421" s="126" t="s">
        <v>8067</v>
      </c>
      <c r="I421" s="126" t="s">
        <v>7930</v>
      </c>
      <c r="J421" s="126" t="s">
        <v>8068</v>
      </c>
      <c r="K421" s="90"/>
      <c r="L421" s="58"/>
      <c r="M421" s="58"/>
      <c r="N421" s="58"/>
      <c r="O421" s="58"/>
      <c r="P421" s="58"/>
      <c r="Q421" s="58"/>
      <c r="R421" s="58"/>
      <c r="S421" s="58"/>
      <c r="T421" s="58"/>
      <c r="U421" s="58"/>
      <c r="V421" s="58"/>
      <c r="W421" s="58"/>
      <c r="X421" s="58"/>
      <c r="Y421" s="58"/>
      <c r="Z421" s="58"/>
    </row>
    <row r="422" ht="25.5" spans="1:26">
      <c r="A422" s="103" t="s">
        <v>89</v>
      </c>
      <c r="B422" s="104" t="s">
        <v>77</v>
      </c>
      <c r="C422" s="104" t="s">
        <v>90</v>
      </c>
      <c r="D422" s="104">
        <v>1</v>
      </c>
      <c r="E422" s="105" t="s">
        <v>141</v>
      </c>
      <c r="F422" s="125" t="s">
        <v>7218</v>
      </c>
      <c r="G422" s="126" t="s">
        <v>8069</v>
      </c>
      <c r="H422" s="126" t="s">
        <v>8070</v>
      </c>
      <c r="I422" s="126" t="s">
        <v>7930</v>
      </c>
      <c r="J422" s="126" t="s">
        <v>8071</v>
      </c>
      <c r="K422" s="90"/>
      <c r="L422" s="58"/>
      <c r="M422" s="58"/>
      <c r="N422" s="58"/>
      <c r="O422" s="58"/>
      <c r="P422" s="58"/>
      <c r="Q422" s="58"/>
      <c r="R422" s="58"/>
      <c r="S422" s="58"/>
      <c r="T422" s="58"/>
      <c r="U422" s="58"/>
      <c r="V422" s="58"/>
      <c r="W422" s="58"/>
      <c r="X422" s="58"/>
      <c r="Y422" s="58"/>
      <c r="Z422" s="58"/>
    </row>
    <row r="423" spans="1:26">
      <c r="A423" s="103" t="s">
        <v>733</v>
      </c>
      <c r="B423" s="104" t="s">
        <v>77</v>
      </c>
      <c r="C423" s="104" t="s">
        <v>734</v>
      </c>
      <c r="D423" s="104">
        <v>14</v>
      </c>
      <c r="E423" s="105" t="s">
        <v>141</v>
      </c>
      <c r="F423" s="125" t="s">
        <v>7457</v>
      </c>
      <c r="G423" s="126" t="s">
        <v>8072</v>
      </c>
      <c r="H423" s="126" t="s">
        <v>8073</v>
      </c>
      <c r="I423" s="126" t="s">
        <v>7930</v>
      </c>
      <c r="J423" s="126" t="s">
        <v>8074</v>
      </c>
      <c r="K423" s="90"/>
      <c r="L423" s="58"/>
      <c r="M423" s="58"/>
      <c r="N423" s="58"/>
      <c r="O423" s="58"/>
      <c r="P423" s="58"/>
      <c r="Q423" s="58"/>
      <c r="R423" s="58"/>
      <c r="S423" s="58"/>
      <c r="T423" s="58"/>
      <c r="U423" s="58"/>
      <c r="V423" s="58"/>
      <c r="W423" s="58"/>
      <c r="X423" s="58"/>
      <c r="Y423" s="58"/>
      <c r="Z423" s="58"/>
    </row>
    <row r="424" ht="25.5" spans="1:26">
      <c r="A424" s="103" t="s">
        <v>1316</v>
      </c>
      <c r="B424" s="104" t="s">
        <v>132</v>
      </c>
      <c r="C424" s="104" t="s">
        <v>1317</v>
      </c>
      <c r="D424" s="104">
        <v>61.15</v>
      </c>
      <c r="E424" s="105" t="s">
        <v>134</v>
      </c>
      <c r="F424" s="125" t="s">
        <v>6676</v>
      </c>
      <c r="G424" s="126" t="s">
        <v>8075</v>
      </c>
      <c r="H424" s="126" t="s">
        <v>8076</v>
      </c>
      <c r="I424" s="126" t="s">
        <v>7930</v>
      </c>
      <c r="J424" s="126" t="s">
        <v>8077</v>
      </c>
      <c r="K424" s="90"/>
      <c r="L424" s="58"/>
      <c r="M424" s="58"/>
      <c r="N424" s="58"/>
      <c r="O424" s="58"/>
      <c r="P424" s="58"/>
      <c r="Q424" s="58"/>
      <c r="R424" s="58"/>
      <c r="S424" s="58"/>
      <c r="T424" s="58"/>
      <c r="U424" s="58"/>
      <c r="V424" s="58"/>
      <c r="W424" s="58"/>
      <c r="X424" s="58"/>
      <c r="Y424" s="58"/>
      <c r="Z424" s="58"/>
    </row>
    <row r="425" ht="25.5" spans="1:26">
      <c r="A425" s="103" t="s">
        <v>1274</v>
      </c>
      <c r="B425" s="104" t="s">
        <v>132</v>
      </c>
      <c r="C425" s="104" t="s">
        <v>1275</v>
      </c>
      <c r="D425" s="104">
        <v>86</v>
      </c>
      <c r="E425" s="105" t="s">
        <v>204</v>
      </c>
      <c r="F425" s="125" t="s">
        <v>8078</v>
      </c>
      <c r="G425" s="126" t="s">
        <v>8079</v>
      </c>
      <c r="H425" s="126" t="s">
        <v>8080</v>
      </c>
      <c r="I425" s="126" t="s">
        <v>7930</v>
      </c>
      <c r="J425" s="126" t="s">
        <v>8081</v>
      </c>
      <c r="K425" s="90"/>
      <c r="L425" s="58"/>
      <c r="M425" s="58"/>
      <c r="N425" s="58"/>
      <c r="O425" s="58"/>
      <c r="P425" s="58"/>
      <c r="Q425" s="58"/>
      <c r="R425" s="58"/>
      <c r="S425" s="58"/>
      <c r="T425" s="58"/>
      <c r="U425" s="58"/>
      <c r="V425" s="58"/>
      <c r="W425" s="58"/>
      <c r="X425" s="58"/>
      <c r="Y425" s="58"/>
      <c r="Z425" s="58"/>
    </row>
    <row r="426" ht="25.5" spans="1:26">
      <c r="A426" s="103" t="s">
        <v>2657</v>
      </c>
      <c r="B426" s="104" t="s">
        <v>132</v>
      </c>
      <c r="C426" s="104" t="s">
        <v>2658</v>
      </c>
      <c r="D426" s="104">
        <v>120</v>
      </c>
      <c r="E426" s="105" t="s">
        <v>204</v>
      </c>
      <c r="F426" s="125" t="s">
        <v>7457</v>
      </c>
      <c r="G426" s="126" t="s">
        <v>8082</v>
      </c>
      <c r="H426" s="126" t="s">
        <v>8083</v>
      </c>
      <c r="I426" s="126" t="s">
        <v>7930</v>
      </c>
      <c r="J426" s="126" t="s">
        <v>8084</v>
      </c>
      <c r="K426" s="90"/>
      <c r="L426" s="58"/>
      <c r="M426" s="58"/>
      <c r="N426" s="58"/>
      <c r="O426" s="58"/>
      <c r="P426" s="58"/>
      <c r="Q426" s="58"/>
      <c r="R426" s="58"/>
      <c r="S426" s="58"/>
      <c r="T426" s="58"/>
      <c r="U426" s="58"/>
      <c r="V426" s="58"/>
      <c r="W426" s="58"/>
      <c r="X426" s="58"/>
      <c r="Y426" s="58"/>
      <c r="Z426" s="58"/>
    </row>
    <row r="427" ht="38.25" spans="1:26">
      <c r="A427" s="103" t="s">
        <v>2326</v>
      </c>
      <c r="B427" s="104" t="s">
        <v>77</v>
      </c>
      <c r="C427" s="104" t="s">
        <v>2327</v>
      </c>
      <c r="D427" s="104">
        <v>18</v>
      </c>
      <c r="E427" s="105" t="s">
        <v>134</v>
      </c>
      <c r="F427" s="125" t="s">
        <v>6676</v>
      </c>
      <c r="G427" s="126" t="s">
        <v>8085</v>
      </c>
      <c r="H427" s="126" t="s">
        <v>8086</v>
      </c>
      <c r="I427" s="126" t="s">
        <v>7930</v>
      </c>
      <c r="J427" s="126" t="s">
        <v>8087</v>
      </c>
      <c r="K427" s="90"/>
      <c r="L427" s="58"/>
      <c r="M427" s="58"/>
      <c r="N427" s="58"/>
      <c r="O427" s="58"/>
      <c r="P427" s="58"/>
      <c r="Q427" s="58"/>
      <c r="R427" s="58"/>
      <c r="S427" s="58"/>
      <c r="T427" s="58"/>
      <c r="U427" s="58"/>
      <c r="V427" s="58"/>
      <c r="W427" s="58"/>
      <c r="X427" s="58"/>
      <c r="Y427" s="58"/>
      <c r="Z427" s="58"/>
    </row>
    <row r="428" spans="1:26">
      <c r="A428" s="103" t="s">
        <v>293</v>
      </c>
      <c r="B428" s="104" t="s">
        <v>139</v>
      </c>
      <c r="C428" s="104" t="s">
        <v>294</v>
      </c>
      <c r="D428" s="104" t="s">
        <v>3248</v>
      </c>
      <c r="E428" s="105" t="s">
        <v>141</v>
      </c>
      <c r="F428" s="125" t="s">
        <v>8088</v>
      </c>
      <c r="G428" s="126" t="s">
        <v>8089</v>
      </c>
      <c r="H428" s="126" t="s">
        <v>8090</v>
      </c>
      <c r="I428" s="126" t="s">
        <v>7930</v>
      </c>
      <c r="J428" s="126" t="s">
        <v>8091</v>
      </c>
      <c r="K428" s="90"/>
      <c r="L428" s="58"/>
      <c r="M428" s="58"/>
      <c r="N428" s="58"/>
      <c r="O428" s="58"/>
      <c r="P428" s="58"/>
      <c r="Q428" s="58"/>
      <c r="R428" s="58"/>
      <c r="S428" s="58"/>
      <c r="T428" s="58"/>
      <c r="U428" s="58"/>
      <c r="V428" s="58"/>
      <c r="W428" s="58"/>
      <c r="X428" s="58"/>
      <c r="Y428" s="58"/>
      <c r="Z428" s="58"/>
    </row>
    <row r="429" ht="25.5" spans="1:26">
      <c r="A429" s="103" t="s">
        <v>271</v>
      </c>
      <c r="B429" s="104" t="s">
        <v>139</v>
      </c>
      <c r="C429" s="104" t="s">
        <v>272</v>
      </c>
      <c r="D429" s="104" t="s">
        <v>3248</v>
      </c>
      <c r="E429" s="105" t="s">
        <v>141</v>
      </c>
      <c r="F429" s="125" t="s">
        <v>8092</v>
      </c>
      <c r="G429" s="126" t="s">
        <v>8093</v>
      </c>
      <c r="H429" s="126" t="s">
        <v>8094</v>
      </c>
      <c r="I429" s="126" t="s">
        <v>7930</v>
      </c>
      <c r="J429" s="126" t="s">
        <v>8095</v>
      </c>
      <c r="K429" s="90"/>
      <c r="L429" s="58"/>
      <c r="M429" s="58"/>
      <c r="N429" s="58"/>
      <c r="O429" s="58"/>
      <c r="P429" s="58"/>
      <c r="Q429" s="58"/>
      <c r="R429" s="58"/>
      <c r="S429" s="58"/>
      <c r="T429" s="58"/>
      <c r="U429" s="58"/>
      <c r="V429" s="58"/>
      <c r="W429" s="58"/>
      <c r="X429" s="58"/>
      <c r="Y429" s="58"/>
      <c r="Z429" s="58"/>
    </row>
    <row r="430" ht="25.5" spans="1:26">
      <c r="A430" s="103" t="s">
        <v>2196</v>
      </c>
      <c r="B430" s="104" t="s">
        <v>77</v>
      </c>
      <c r="C430" s="104" t="s">
        <v>2197</v>
      </c>
      <c r="D430" s="104">
        <v>18</v>
      </c>
      <c r="E430" s="105" t="s">
        <v>134</v>
      </c>
      <c r="F430" s="125" t="s">
        <v>7637</v>
      </c>
      <c r="G430" s="126" t="s">
        <v>8096</v>
      </c>
      <c r="H430" s="126" t="s">
        <v>8097</v>
      </c>
      <c r="I430" s="126" t="s">
        <v>7930</v>
      </c>
      <c r="J430" s="126" t="s">
        <v>8098</v>
      </c>
      <c r="K430" s="90"/>
      <c r="L430" s="58"/>
      <c r="M430" s="58"/>
      <c r="N430" s="58"/>
      <c r="O430" s="58"/>
      <c r="P430" s="58"/>
      <c r="Q430" s="58"/>
      <c r="R430" s="58"/>
      <c r="S430" s="58"/>
      <c r="T430" s="58"/>
      <c r="U430" s="58"/>
      <c r="V430" s="58"/>
      <c r="W430" s="58"/>
      <c r="X430" s="58"/>
      <c r="Y430" s="58"/>
      <c r="Z430" s="58"/>
    </row>
    <row r="431" ht="38.25" spans="1:26">
      <c r="A431" s="103" t="s">
        <v>2113</v>
      </c>
      <c r="B431" s="104" t="s">
        <v>132</v>
      </c>
      <c r="C431" s="104" t="s">
        <v>2114</v>
      </c>
      <c r="D431" s="104">
        <v>61.1</v>
      </c>
      <c r="E431" s="105" t="s">
        <v>134</v>
      </c>
      <c r="F431" s="125" t="s">
        <v>6603</v>
      </c>
      <c r="G431" s="126" t="s">
        <v>8099</v>
      </c>
      <c r="H431" s="126" t="s">
        <v>8099</v>
      </c>
      <c r="I431" s="126" t="s">
        <v>7930</v>
      </c>
      <c r="J431" s="126" t="s">
        <v>8100</v>
      </c>
      <c r="K431" s="90"/>
      <c r="L431" s="58"/>
      <c r="M431" s="58"/>
      <c r="N431" s="58"/>
      <c r="O431" s="58"/>
      <c r="P431" s="58"/>
      <c r="Q431" s="58"/>
      <c r="R431" s="58"/>
      <c r="S431" s="58"/>
      <c r="T431" s="58"/>
      <c r="U431" s="58"/>
      <c r="V431" s="58"/>
      <c r="W431" s="58"/>
      <c r="X431" s="58"/>
      <c r="Y431" s="58"/>
      <c r="Z431" s="58"/>
    </row>
    <row r="432" ht="38.25" spans="1:26">
      <c r="A432" s="103" t="s">
        <v>1292</v>
      </c>
      <c r="B432" s="104" t="s">
        <v>132</v>
      </c>
      <c r="C432" s="104" t="s">
        <v>1293</v>
      </c>
      <c r="D432" s="104" t="s">
        <v>3177</v>
      </c>
      <c r="E432" s="105" t="s">
        <v>134</v>
      </c>
      <c r="F432" s="125" t="s">
        <v>6603</v>
      </c>
      <c r="G432" s="126" t="s">
        <v>8101</v>
      </c>
      <c r="H432" s="126" t="s">
        <v>8101</v>
      </c>
      <c r="I432" s="126" t="s">
        <v>7930</v>
      </c>
      <c r="J432" s="126" t="s">
        <v>8102</v>
      </c>
      <c r="K432" s="90"/>
      <c r="L432" s="58"/>
      <c r="M432" s="58"/>
      <c r="N432" s="58"/>
      <c r="O432" s="58"/>
      <c r="P432" s="58"/>
      <c r="Q432" s="58"/>
      <c r="R432" s="58"/>
      <c r="S432" s="58"/>
      <c r="T432" s="58"/>
      <c r="U432" s="58"/>
      <c r="V432" s="58"/>
      <c r="W432" s="58"/>
      <c r="X432" s="58"/>
      <c r="Y432" s="58"/>
      <c r="Z432" s="58"/>
    </row>
    <row r="433" ht="25.5" spans="1:26">
      <c r="A433" s="103" t="s">
        <v>1242</v>
      </c>
      <c r="B433" s="104" t="s">
        <v>139</v>
      </c>
      <c r="C433" s="104" t="s">
        <v>1243</v>
      </c>
      <c r="D433" s="104" t="s">
        <v>3235</v>
      </c>
      <c r="E433" s="105" t="s">
        <v>134</v>
      </c>
      <c r="F433" s="125" t="s">
        <v>8103</v>
      </c>
      <c r="G433" s="126" t="s">
        <v>8104</v>
      </c>
      <c r="H433" s="126" t="s">
        <v>8105</v>
      </c>
      <c r="I433" s="126" t="s">
        <v>7930</v>
      </c>
      <c r="J433" s="126" t="s">
        <v>8106</v>
      </c>
      <c r="K433" s="90"/>
      <c r="L433" s="58"/>
      <c r="M433" s="58"/>
      <c r="N433" s="58"/>
      <c r="O433" s="58"/>
      <c r="P433" s="58"/>
      <c r="Q433" s="58"/>
      <c r="R433" s="58"/>
      <c r="S433" s="58"/>
      <c r="T433" s="58"/>
      <c r="U433" s="58"/>
      <c r="V433" s="58"/>
      <c r="W433" s="58"/>
      <c r="X433" s="58"/>
      <c r="Y433" s="58"/>
      <c r="Z433" s="58"/>
    </row>
    <row r="434" ht="25.5" spans="1:26">
      <c r="A434" s="103" t="s">
        <v>911</v>
      </c>
      <c r="B434" s="104" t="s">
        <v>139</v>
      </c>
      <c r="C434" s="104" t="s">
        <v>912</v>
      </c>
      <c r="D434" s="104" t="s">
        <v>3516</v>
      </c>
      <c r="E434" s="105" t="s">
        <v>134</v>
      </c>
      <c r="F434" s="125" t="s">
        <v>7818</v>
      </c>
      <c r="G434" s="126" t="s">
        <v>8107</v>
      </c>
      <c r="H434" s="126" t="s">
        <v>8108</v>
      </c>
      <c r="I434" s="126" t="s">
        <v>7930</v>
      </c>
      <c r="J434" s="126" t="s">
        <v>8109</v>
      </c>
      <c r="K434" s="90"/>
      <c r="L434" s="58"/>
      <c r="M434" s="58"/>
      <c r="N434" s="58"/>
      <c r="O434" s="58"/>
      <c r="P434" s="58"/>
      <c r="Q434" s="58"/>
      <c r="R434" s="58"/>
      <c r="S434" s="58"/>
      <c r="T434" s="58"/>
      <c r="U434" s="58"/>
      <c r="V434" s="58"/>
      <c r="W434" s="58"/>
      <c r="X434" s="58"/>
      <c r="Y434" s="58"/>
      <c r="Z434" s="58"/>
    </row>
    <row r="435" ht="25.5" spans="1:26">
      <c r="A435" s="103" t="s">
        <v>873</v>
      </c>
      <c r="B435" s="104" t="s">
        <v>139</v>
      </c>
      <c r="C435" s="104" t="s">
        <v>874</v>
      </c>
      <c r="D435" s="104" t="s">
        <v>3780</v>
      </c>
      <c r="E435" s="105" t="s">
        <v>204</v>
      </c>
      <c r="F435" s="125" t="s">
        <v>7073</v>
      </c>
      <c r="G435" s="126" t="s">
        <v>8110</v>
      </c>
      <c r="H435" s="126" t="s">
        <v>8111</v>
      </c>
      <c r="I435" s="126" t="s">
        <v>7930</v>
      </c>
      <c r="J435" s="126" t="s">
        <v>8112</v>
      </c>
      <c r="K435" s="90"/>
      <c r="L435" s="58"/>
      <c r="M435" s="58"/>
      <c r="N435" s="58"/>
      <c r="O435" s="58"/>
      <c r="P435" s="58"/>
      <c r="Q435" s="58"/>
      <c r="R435" s="58"/>
      <c r="S435" s="58"/>
      <c r="T435" s="58"/>
      <c r="U435" s="58"/>
      <c r="V435" s="58"/>
      <c r="W435" s="58"/>
      <c r="X435" s="58"/>
      <c r="Y435" s="58"/>
      <c r="Z435" s="58"/>
    </row>
    <row r="436" ht="25.5" spans="1:26">
      <c r="A436" s="103" t="s">
        <v>926</v>
      </c>
      <c r="B436" s="104" t="s">
        <v>139</v>
      </c>
      <c r="C436" s="104" t="s">
        <v>927</v>
      </c>
      <c r="D436" s="104" t="s">
        <v>3516</v>
      </c>
      <c r="E436" s="105" t="s">
        <v>134</v>
      </c>
      <c r="F436" s="125" t="s">
        <v>6847</v>
      </c>
      <c r="G436" s="126" t="s">
        <v>8113</v>
      </c>
      <c r="H436" s="126" t="s">
        <v>8114</v>
      </c>
      <c r="I436" s="126" t="s">
        <v>7930</v>
      </c>
      <c r="J436" s="126" t="s">
        <v>8115</v>
      </c>
      <c r="K436" s="90"/>
      <c r="L436" s="58"/>
      <c r="M436" s="58"/>
      <c r="N436" s="58"/>
      <c r="O436" s="58"/>
      <c r="P436" s="58"/>
      <c r="Q436" s="58"/>
      <c r="R436" s="58"/>
      <c r="S436" s="58"/>
      <c r="T436" s="58"/>
      <c r="U436" s="58"/>
      <c r="V436" s="58"/>
      <c r="W436" s="58"/>
      <c r="X436" s="58"/>
      <c r="Y436" s="58"/>
      <c r="Z436" s="58"/>
    </row>
    <row r="437" ht="38.25" spans="1:26">
      <c r="A437" s="103" t="s">
        <v>1860</v>
      </c>
      <c r="B437" s="104" t="s">
        <v>796</v>
      </c>
      <c r="C437" s="104" t="s">
        <v>1861</v>
      </c>
      <c r="D437" s="104" t="s">
        <v>3704</v>
      </c>
      <c r="E437" s="105" t="s">
        <v>1508</v>
      </c>
      <c r="F437" s="125" t="s">
        <v>8116</v>
      </c>
      <c r="G437" s="126" t="s">
        <v>8117</v>
      </c>
      <c r="H437" s="126" t="s">
        <v>8118</v>
      </c>
      <c r="I437" s="126" t="s">
        <v>7930</v>
      </c>
      <c r="J437" s="126" t="s">
        <v>8119</v>
      </c>
      <c r="K437" s="90"/>
      <c r="L437" s="58"/>
      <c r="M437" s="58"/>
      <c r="N437" s="58"/>
      <c r="O437" s="58"/>
      <c r="P437" s="58"/>
      <c r="Q437" s="58"/>
      <c r="R437" s="58"/>
      <c r="S437" s="58"/>
      <c r="T437" s="58"/>
      <c r="U437" s="58"/>
      <c r="V437" s="58"/>
      <c r="W437" s="58"/>
      <c r="X437" s="58"/>
      <c r="Y437" s="58"/>
      <c r="Z437" s="58"/>
    </row>
    <row r="438" ht="25.5" spans="1:26">
      <c r="A438" s="103" t="s">
        <v>277</v>
      </c>
      <c r="B438" s="104" t="s">
        <v>139</v>
      </c>
      <c r="C438" s="104" t="s">
        <v>278</v>
      </c>
      <c r="D438" s="104" t="s">
        <v>3248</v>
      </c>
      <c r="E438" s="105" t="s">
        <v>279</v>
      </c>
      <c r="F438" s="125" t="s">
        <v>8120</v>
      </c>
      <c r="G438" s="126" t="s">
        <v>8121</v>
      </c>
      <c r="H438" s="126" t="s">
        <v>8122</v>
      </c>
      <c r="I438" s="126" t="s">
        <v>7930</v>
      </c>
      <c r="J438" s="126" t="s">
        <v>8123</v>
      </c>
      <c r="K438" s="90"/>
      <c r="L438" s="58"/>
      <c r="M438" s="58"/>
      <c r="N438" s="58"/>
      <c r="O438" s="58"/>
      <c r="P438" s="58"/>
      <c r="Q438" s="58"/>
      <c r="R438" s="58"/>
      <c r="S438" s="58"/>
      <c r="T438" s="58"/>
      <c r="U438" s="58"/>
      <c r="V438" s="58"/>
      <c r="W438" s="58"/>
      <c r="X438" s="58"/>
      <c r="Y438" s="58"/>
      <c r="Z438" s="58"/>
    </row>
    <row r="439" ht="51" spans="1:26">
      <c r="A439" s="103" t="s">
        <v>2837</v>
      </c>
      <c r="B439" s="104" t="s">
        <v>132</v>
      </c>
      <c r="C439" s="104" t="s">
        <v>2838</v>
      </c>
      <c r="D439" s="104" t="s">
        <v>2924</v>
      </c>
      <c r="E439" s="105" t="s">
        <v>134</v>
      </c>
      <c r="F439" s="125" t="s">
        <v>8124</v>
      </c>
      <c r="G439" s="126" t="s">
        <v>8125</v>
      </c>
      <c r="H439" s="126" t="s">
        <v>8126</v>
      </c>
      <c r="I439" s="126" t="s">
        <v>7930</v>
      </c>
      <c r="J439" s="126" t="s">
        <v>8127</v>
      </c>
      <c r="K439" s="90"/>
      <c r="L439" s="58"/>
      <c r="M439" s="58"/>
      <c r="N439" s="58"/>
      <c r="O439" s="58"/>
      <c r="P439" s="58"/>
      <c r="Q439" s="58"/>
      <c r="R439" s="58"/>
      <c r="S439" s="58"/>
      <c r="T439" s="58"/>
      <c r="U439" s="58"/>
      <c r="V439" s="58"/>
      <c r="W439" s="58"/>
      <c r="X439" s="58"/>
      <c r="Y439" s="58"/>
      <c r="Z439" s="58"/>
    </row>
    <row r="440" ht="25.5" spans="1:26">
      <c r="A440" s="103" t="s">
        <v>1668</v>
      </c>
      <c r="B440" s="104" t="s">
        <v>132</v>
      </c>
      <c r="C440" s="104" t="s">
        <v>1669</v>
      </c>
      <c r="D440" s="104">
        <v>78</v>
      </c>
      <c r="E440" s="105" t="s">
        <v>134</v>
      </c>
      <c r="F440" s="125" t="s">
        <v>8128</v>
      </c>
      <c r="G440" s="126" t="s">
        <v>8129</v>
      </c>
      <c r="H440" s="126" t="s">
        <v>8130</v>
      </c>
      <c r="I440" s="126" t="s">
        <v>7930</v>
      </c>
      <c r="J440" s="126" t="s">
        <v>8131</v>
      </c>
      <c r="K440" s="90"/>
      <c r="L440" s="58"/>
      <c r="M440" s="58"/>
      <c r="N440" s="58"/>
      <c r="O440" s="58"/>
      <c r="P440" s="58"/>
      <c r="Q440" s="58"/>
      <c r="R440" s="58"/>
      <c r="S440" s="58"/>
      <c r="T440" s="58"/>
      <c r="U440" s="58"/>
      <c r="V440" s="58"/>
      <c r="W440" s="58"/>
      <c r="X440" s="58"/>
      <c r="Y440" s="58"/>
      <c r="Z440" s="58"/>
    </row>
    <row r="441" ht="25.5" spans="1:26">
      <c r="A441" s="103" t="s">
        <v>1918</v>
      </c>
      <c r="B441" s="104" t="s">
        <v>132</v>
      </c>
      <c r="C441" s="104" t="s">
        <v>1919</v>
      </c>
      <c r="D441" s="104" t="s">
        <v>4629</v>
      </c>
      <c r="E441" s="105" t="s">
        <v>204</v>
      </c>
      <c r="F441" s="125" t="s">
        <v>8132</v>
      </c>
      <c r="G441" s="126" t="s">
        <v>8133</v>
      </c>
      <c r="H441" s="126" t="s">
        <v>8134</v>
      </c>
      <c r="I441" s="126" t="s">
        <v>7930</v>
      </c>
      <c r="J441" s="126" t="s">
        <v>8135</v>
      </c>
      <c r="K441" s="90"/>
      <c r="L441" s="58"/>
      <c r="M441" s="58"/>
      <c r="N441" s="58"/>
      <c r="O441" s="58"/>
      <c r="P441" s="58"/>
      <c r="Q441" s="58"/>
      <c r="R441" s="58"/>
      <c r="S441" s="58"/>
      <c r="T441" s="58"/>
      <c r="U441" s="58"/>
      <c r="V441" s="58"/>
      <c r="W441" s="58"/>
      <c r="X441" s="58"/>
      <c r="Y441" s="58"/>
      <c r="Z441" s="58"/>
    </row>
    <row r="442" ht="38.25" spans="1:26">
      <c r="A442" s="103" t="s">
        <v>2110</v>
      </c>
      <c r="B442" s="104" t="s">
        <v>132</v>
      </c>
      <c r="C442" s="104" t="s">
        <v>2111</v>
      </c>
      <c r="D442" s="104">
        <v>61.1</v>
      </c>
      <c r="E442" s="105" t="s">
        <v>134</v>
      </c>
      <c r="F442" s="125" t="s">
        <v>6603</v>
      </c>
      <c r="G442" s="126" t="s">
        <v>8136</v>
      </c>
      <c r="H442" s="126" t="s">
        <v>8136</v>
      </c>
      <c r="I442" s="126" t="s">
        <v>7930</v>
      </c>
      <c r="J442" s="126" t="s">
        <v>8137</v>
      </c>
      <c r="K442" s="90"/>
      <c r="L442" s="58"/>
      <c r="M442" s="58"/>
      <c r="N442" s="58"/>
      <c r="O442" s="58"/>
      <c r="P442" s="58"/>
      <c r="Q442" s="58"/>
      <c r="R442" s="58"/>
      <c r="S442" s="58"/>
      <c r="T442" s="58"/>
      <c r="U442" s="58"/>
      <c r="V442" s="58"/>
      <c r="W442" s="58"/>
      <c r="X442" s="58"/>
      <c r="Y442" s="58"/>
      <c r="Z442" s="58"/>
    </row>
    <row r="443" ht="25.5" spans="1:26">
      <c r="A443" s="103" t="s">
        <v>1659</v>
      </c>
      <c r="B443" s="104" t="s">
        <v>77</v>
      </c>
      <c r="C443" s="104" t="s">
        <v>1660</v>
      </c>
      <c r="D443" s="104">
        <v>15</v>
      </c>
      <c r="E443" s="105" t="s">
        <v>134</v>
      </c>
      <c r="F443" s="125" t="s">
        <v>6975</v>
      </c>
      <c r="G443" s="126" t="s">
        <v>8138</v>
      </c>
      <c r="H443" s="126" t="s">
        <v>8139</v>
      </c>
      <c r="I443" s="126" t="s">
        <v>7930</v>
      </c>
      <c r="J443" s="126" t="s">
        <v>8140</v>
      </c>
      <c r="K443" s="90"/>
      <c r="L443" s="58"/>
      <c r="M443" s="58"/>
      <c r="N443" s="58"/>
      <c r="O443" s="58"/>
      <c r="P443" s="58"/>
      <c r="Q443" s="58"/>
      <c r="R443" s="58"/>
      <c r="S443" s="58"/>
      <c r="T443" s="58"/>
      <c r="U443" s="58"/>
      <c r="V443" s="58"/>
      <c r="W443" s="58"/>
      <c r="X443" s="58"/>
      <c r="Y443" s="58"/>
      <c r="Z443" s="58"/>
    </row>
    <row r="444" ht="25.5" spans="1:26">
      <c r="A444" s="103" t="s">
        <v>461</v>
      </c>
      <c r="B444" s="104" t="s">
        <v>139</v>
      </c>
      <c r="C444" s="104" t="s">
        <v>462</v>
      </c>
      <c r="D444" s="104" t="s">
        <v>3317</v>
      </c>
      <c r="E444" s="105" t="s">
        <v>393</v>
      </c>
      <c r="F444" s="125" t="s">
        <v>8141</v>
      </c>
      <c r="G444" s="126" t="s">
        <v>8142</v>
      </c>
      <c r="H444" s="126" t="s">
        <v>8143</v>
      </c>
      <c r="I444" s="126" t="s">
        <v>7930</v>
      </c>
      <c r="J444" s="126" t="s">
        <v>8144</v>
      </c>
      <c r="K444" s="90"/>
      <c r="L444" s="58"/>
      <c r="M444" s="58"/>
      <c r="N444" s="58"/>
      <c r="O444" s="58"/>
      <c r="P444" s="58"/>
      <c r="Q444" s="58"/>
      <c r="R444" s="58"/>
      <c r="S444" s="58"/>
      <c r="T444" s="58"/>
      <c r="U444" s="58"/>
      <c r="V444" s="58"/>
      <c r="W444" s="58"/>
      <c r="X444" s="58"/>
      <c r="Y444" s="58"/>
      <c r="Z444" s="58"/>
    </row>
    <row r="445" ht="25.5" spans="1:26">
      <c r="A445" s="103" t="s">
        <v>2392</v>
      </c>
      <c r="B445" s="104" t="s">
        <v>132</v>
      </c>
      <c r="C445" s="104" t="s">
        <v>2393</v>
      </c>
      <c r="D445" s="104">
        <v>70</v>
      </c>
      <c r="E445" s="105" t="s">
        <v>134</v>
      </c>
      <c r="F445" s="125" t="s">
        <v>8034</v>
      </c>
      <c r="G445" s="126" t="s">
        <v>7100</v>
      </c>
      <c r="H445" s="126" t="s">
        <v>8145</v>
      </c>
      <c r="I445" s="126" t="s">
        <v>7930</v>
      </c>
      <c r="J445" s="126" t="s">
        <v>8146</v>
      </c>
      <c r="K445" s="90"/>
      <c r="L445" s="58"/>
      <c r="M445" s="58"/>
      <c r="N445" s="58"/>
      <c r="O445" s="58"/>
      <c r="P445" s="58"/>
      <c r="Q445" s="58"/>
      <c r="R445" s="58"/>
      <c r="S445" s="58"/>
      <c r="T445" s="58"/>
      <c r="U445" s="58"/>
      <c r="V445" s="58"/>
      <c r="W445" s="58"/>
      <c r="X445" s="58"/>
      <c r="Y445" s="58"/>
      <c r="Z445" s="58"/>
    </row>
    <row r="446" spans="1:26">
      <c r="A446" s="103" t="s">
        <v>2518</v>
      </c>
      <c r="B446" s="104" t="s">
        <v>149</v>
      </c>
      <c r="C446" s="104" t="s">
        <v>2519</v>
      </c>
      <c r="D446" s="104" t="s">
        <v>3755</v>
      </c>
      <c r="E446" s="105" t="s">
        <v>134</v>
      </c>
      <c r="F446" s="125" t="s">
        <v>8147</v>
      </c>
      <c r="G446" s="126" t="s">
        <v>8148</v>
      </c>
      <c r="H446" s="126" t="s">
        <v>8149</v>
      </c>
      <c r="I446" s="126" t="s">
        <v>7930</v>
      </c>
      <c r="J446" s="126" t="s">
        <v>8150</v>
      </c>
      <c r="K446" s="90"/>
      <c r="L446" s="58"/>
      <c r="M446" s="58"/>
      <c r="N446" s="58"/>
      <c r="O446" s="58"/>
      <c r="P446" s="58"/>
      <c r="Q446" s="58"/>
      <c r="R446" s="58"/>
      <c r="S446" s="58"/>
      <c r="T446" s="58"/>
      <c r="U446" s="58"/>
      <c r="V446" s="58"/>
      <c r="W446" s="58"/>
      <c r="X446" s="58"/>
      <c r="Y446" s="58"/>
      <c r="Z446" s="58"/>
    </row>
    <row r="447" ht="25.5" spans="1:26">
      <c r="A447" s="103" t="s">
        <v>594</v>
      </c>
      <c r="B447" s="104" t="s">
        <v>139</v>
      </c>
      <c r="C447" s="104" t="s">
        <v>595</v>
      </c>
      <c r="D447" s="104" t="s">
        <v>3470</v>
      </c>
      <c r="E447" s="105" t="s">
        <v>141</v>
      </c>
      <c r="F447" s="125" t="s">
        <v>8151</v>
      </c>
      <c r="G447" s="126" t="s">
        <v>8152</v>
      </c>
      <c r="H447" s="126" t="s">
        <v>8153</v>
      </c>
      <c r="I447" s="126" t="s">
        <v>7930</v>
      </c>
      <c r="J447" s="126" t="s">
        <v>8154</v>
      </c>
      <c r="K447" s="90"/>
      <c r="L447" s="58"/>
      <c r="M447" s="58"/>
      <c r="N447" s="58"/>
      <c r="O447" s="58"/>
      <c r="P447" s="58"/>
      <c r="Q447" s="58"/>
      <c r="R447" s="58"/>
      <c r="S447" s="58"/>
      <c r="T447" s="58"/>
      <c r="U447" s="58"/>
      <c r="V447" s="58"/>
      <c r="W447" s="58"/>
      <c r="X447" s="58"/>
      <c r="Y447" s="58"/>
      <c r="Z447" s="58"/>
    </row>
    <row r="448" ht="38.25" spans="1:26">
      <c r="A448" s="103" t="s">
        <v>1175</v>
      </c>
      <c r="B448" s="104" t="s">
        <v>139</v>
      </c>
      <c r="C448" s="104" t="s">
        <v>1176</v>
      </c>
      <c r="D448" s="104" t="s">
        <v>3150</v>
      </c>
      <c r="E448" s="105" t="s">
        <v>204</v>
      </c>
      <c r="F448" s="125" t="s">
        <v>8014</v>
      </c>
      <c r="G448" s="126" t="s">
        <v>8155</v>
      </c>
      <c r="H448" s="126" t="s">
        <v>8156</v>
      </c>
      <c r="I448" s="126" t="s">
        <v>7930</v>
      </c>
      <c r="J448" s="126" t="s">
        <v>8157</v>
      </c>
      <c r="K448" s="90"/>
      <c r="L448" s="58"/>
      <c r="M448" s="58"/>
      <c r="N448" s="58"/>
      <c r="O448" s="58"/>
      <c r="P448" s="58"/>
      <c r="Q448" s="58"/>
      <c r="R448" s="58"/>
      <c r="S448" s="58"/>
      <c r="T448" s="58"/>
      <c r="U448" s="58"/>
      <c r="V448" s="58"/>
      <c r="W448" s="58"/>
      <c r="X448" s="58"/>
      <c r="Y448" s="58"/>
      <c r="Z448" s="58"/>
    </row>
    <row r="449" spans="1:26">
      <c r="A449" s="103" t="s">
        <v>2645</v>
      </c>
      <c r="B449" s="104" t="s">
        <v>149</v>
      </c>
      <c r="C449" s="104" t="s">
        <v>2646</v>
      </c>
      <c r="D449" s="104" t="s">
        <v>3276</v>
      </c>
      <c r="E449" s="105" t="s">
        <v>204</v>
      </c>
      <c r="F449" s="125" t="s">
        <v>7726</v>
      </c>
      <c r="G449" s="126" t="s">
        <v>8158</v>
      </c>
      <c r="H449" s="126" t="s">
        <v>8159</v>
      </c>
      <c r="I449" s="126" t="s">
        <v>7930</v>
      </c>
      <c r="J449" s="126" t="s">
        <v>8160</v>
      </c>
      <c r="K449" s="90"/>
      <c r="L449" s="58"/>
      <c r="M449" s="58"/>
      <c r="N449" s="58"/>
      <c r="O449" s="58"/>
      <c r="P449" s="58"/>
      <c r="Q449" s="58"/>
      <c r="R449" s="58"/>
      <c r="S449" s="58"/>
      <c r="T449" s="58"/>
      <c r="U449" s="58"/>
      <c r="V449" s="58"/>
      <c r="W449" s="58"/>
      <c r="X449" s="58"/>
      <c r="Y449" s="58"/>
      <c r="Z449" s="58"/>
    </row>
    <row r="450" ht="25.5" spans="1:26">
      <c r="A450" s="103" t="s">
        <v>1256</v>
      </c>
      <c r="B450" s="104" t="s">
        <v>139</v>
      </c>
      <c r="C450" s="104" t="s">
        <v>1257</v>
      </c>
      <c r="D450" s="104" t="s">
        <v>4073</v>
      </c>
      <c r="E450" s="105" t="s">
        <v>204</v>
      </c>
      <c r="F450" s="125" t="s">
        <v>7392</v>
      </c>
      <c r="G450" s="126" t="s">
        <v>8161</v>
      </c>
      <c r="H450" s="126" t="s">
        <v>8162</v>
      </c>
      <c r="I450" s="126" t="s">
        <v>7930</v>
      </c>
      <c r="J450" s="126" t="s">
        <v>8163</v>
      </c>
      <c r="K450" s="90"/>
      <c r="L450" s="58"/>
      <c r="M450" s="58"/>
      <c r="N450" s="58"/>
      <c r="O450" s="58"/>
      <c r="P450" s="58"/>
      <c r="Q450" s="58"/>
      <c r="R450" s="58"/>
      <c r="S450" s="58"/>
      <c r="T450" s="58"/>
      <c r="U450" s="58"/>
      <c r="V450" s="58"/>
      <c r="W450" s="58"/>
      <c r="X450" s="58"/>
      <c r="Y450" s="58"/>
      <c r="Z450" s="58"/>
    </row>
    <row r="451" ht="25.5" spans="1:26">
      <c r="A451" s="103" t="s">
        <v>2272</v>
      </c>
      <c r="B451" s="104" t="s">
        <v>132</v>
      </c>
      <c r="C451" s="104" t="s">
        <v>2273</v>
      </c>
      <c r="D451" s="104">
        <v>73</v>
      </c>
      <c r="E451" s="105" t="s">
        <v>134</v>
      </c>
      <c r="F451" s="125" t="s">
        <v>7101</v>
      </c>
      <c r="G451" s="126" t="s">
        <v>8164</v>
      </c>
      <c r="H451" s="126" t="s">
        <v>8165</v>
      </c>
      <c r="I451" s="126" t="s">
        <v>7930</v>
      </c>
      <c r="J451" s="126" t="s">
        <v>8166</v>
      </c>
      <c r="K451" s="90"/>
      <c r="L451" s="58"/>
      <c r="M451" s="58"/>
      <c r="N451" s="58"/>
      <c r="O451" s="58"/>
      <c r="P451" s="58"/>
      <c r="Q451" s="58"/>
      <c r="R451" s="58"/>
      <c r="S451" s="58"/>
      <c r="T451" s="58"/>
      <c r="U451" s="58"/>
      <c r="V451" s="58"/>
      <c r="W451" s="58"/>
      <c r="X451" s="58"/>
      <c r="Y451" s="58"/>
      <c r="Z451" s="58"/>
    </row>
    <row r="452" ht="25.5" spans="1:26">
      <c r="A452" s="103" t="s">
        <v>1939</v>
      </c>
      <c r="B452" s="104" t="s">
        <v>149</v>
      </c>
      <c r="C452" s="104" t="s">
        <v>1940</v>
      </c>
      <c r="D452" s="104" t="s">
        <v>3657</v>
      </c>
      <c r="E452" s="105" t="s">
        <v>134</v>
      </c>
      <c r="F452" s="125" t="s">
        <v>6603</v>
      </c>
      <c r="G452" s="126" t="s">
        <v>8167</v>
      </c>
      <c r="H452" s="126" t="s">
        <v>8167</v>
      </c>
      <c r="I452" s="126" t="s">
        <v>7930</v>
      </c>
      <c r="J452" s="126" t="s">
        <v>8168</v>
      </c>
      <c r="K452" s="90"/>
      <c r="L452" s="58"/>
      <c r="M452" s="58"/>
      <c r="N452" s="58"/>
      <c r="O452" s="58"/>
      <c r="P452" s="58"/>
      <c r="Q452" s="58"/>
      <c r="R452" s="58"/>
      <c r="S452" s="58"/>
      <c r="T452" s="58"/>
      <c r="U452" s="58"/>
      <c r="V452" s="58"/>
      <c r="W452" s="58"/>
      <c r="X452" s="58"/>
      <c r="Y452" s="58"/>
      <c r="Z452" s="58"/>
    </row>
    <row r="453" ht="25.5" spans="1:26">
      <c r="A453" s="103" t="s">
        <v>125</v>
      </c>
      <c r="B453" s="104" t="s">
        <v>77</v>
      </c>
      <c r="C453" s="104" t="s">
        <v>126</v>
      </c>
      <c r="D453" s="104">
        <v>1</v>
      </c>
      <c r="E453" s="105" t="s">
        <v>141</v>
      </c>
      <c r="F453" s="125" t="s">
        <v>7218</v>
      </c>
      <c r="G453" s="126" t="s">
        <v>8169</v>
      </c>
      <c r="H453" s="126" t="s">
        <v>8170</v>
      </c>
      <c r="I453" s="126" t="s">
        <v>7930</v>
      </c>
      <c r="J453" s="126" t="s">
        <v>8171</v>
      </c>
      <c r="K453" s="90"/>
      <c r="L453" s="58"/>
      <c r="M453" s="58"/>
      <c r="N453" s="58"/>
      <c r="O453" s="58"/>
      <c r="P453" s="58"/>
      <c r="Q453" s="58"/>
      <c r="R453" s="58"/>
      <c r="S453" s="58"/>
      <c r="T453" s="58"/>
      <c r="U453" s="58"/>
      <c r="V453" s="58"/>
      <c r="W453" s="58"/>
      <c r="X453" s="58"/>
      <c r="Y453" s="58"/>
      <c r="Z453" s="58"/>
    </row>
    <row r="454" ht="25.5" spans="1:26">
      <c r="A454" s="103" t="s">
        <v>1104</v>
      </c>
      <c r="B454" s="104" t="s">
        <v>139</v>
      </c>
      <c r="C454" s="104" t="s">
        <v>1105</v>
      </c>
      <c r="D454" s="104" t="s">
        <v>3235</v>
      </c>
      <c r="E454" s="105" t="s">
        <v>134</v>
      </c>
      <c r="F454" s="125" t="s">
        <v>7553</v>
      </c>
      <c r="G454" s="126" t="s">
        <v>8172</v>
      </c>
      <c r="H454" s="126" t="s">
        <v>8173</v>
      </c>
      <c r="I454" s="126" t="s">
        <v>8174</v>
      </c>
      <c r="J454" s="126" t="s">
        <v>8175</v>
      </c>
      <c r="K454" s="90"/>
      <c r="L454" s="58"/>
      <c r="M454" s="58"/>
      <c r="N454" s="58"/>
      <c r="O454" s="58"/>
      <c r="P454" s="58"/>
      <c r="Q454" s="58"/>
      <c r="R454" s="58"/>
      <c r="S454" s="58"/>
      <c r="T454" s="58"/>
      <c r="U454" s="58"/>
      <c r="V454" s="58"/>
      <c r="W454" s="58"/>
      <c r="X454" s="58"/>
      <c r="Y454" s="58"/>
      <c r="Z454" s="58"/>
    </row>
    <row r="455" ht="25.5" spans="1:26">
      <c r="A455" s="103" t="s">
        <v>2654</v>
      </c>
      <c r="B455" s="104" t="s">
        <v>77</v>
      </c>
      <c r="C455" s="104" t="s">
        <v>2655</v>
      </c>
      <c r="D455" s="104">
        <v>13</v>
      </c>
      <c r="E455" s="105" t="s">
        <v>141</v>
      </c>
      <c r="F455" s="125" t="s">
        <v>8176</v>
      </c>
      <c r="G455" s="126" t="s">
        <v>8177</v>
      </c>
      <c r="H455" s="126" t="s">
        <v>8178</v>
      </c>
      <c r="I455" s="126" t="s">
        <v>8174</v>
      </c>
      <c r="J455" s="126" t="s">
        <v>8179</v>
      </c>
      <c r="K455" s="90"/>
      <c r="L455" s="58"/>
      <c r="M455" s="58"/>
      <c r="N455" s="58"/>
      <c r="O455" s="58"/>
      <c r="P455" s="58"/>
      <c r="Q455" s="58"/>
      <c r="R455" s="58"/>
      <c r="S455" s="58"/>
      <c r="T455" s="58"/>
      <c r="U455" s="58"/>
      <c r="V455" s="58"/>
      <c r="W455" s="58"/>
      <c r="X455" s="58"/>
      <c r="Y455" s="58"/>
      <c r="Z455" s="58"/>
    </row>
    <row r="456" ht="25.5" spans="1:26">
      <c r="A456" s="103" t="s">
        <v>2580</v>
      </c>
      <c r="B456" s="104" t="s">
        <v>139</v>
      </c>
      <c r="C456" s="104" t="s">
        <v>2581</v>
      </c>
      <c r="D456" s="104" t="s">
        <v>3129</v>
      </c>
      <c r="E456" s="105" t="s">
        <v>134</v>
      </c>
      <c r="F456" s="125" t="s">
        <v>8180</v>
      </c>
      <c r="G456" s="126" t="s">
        <v>8181</v>
      </c>
      <c r="H456" s="126" t="s">
        <v>8182</v>
      </c>
      <c r="I456" s="126" t="s">
        <v>8174</v>
      </c>
      <c r="J456" s="126" t="s">
        <v>8183</v>
      </c>
      <c r="K456" s="90"/>
      <c r="L456" s="58"/>
      <c r="M456" s="58"/>
      <c r="N456" s="58"/>
      <c r="O456" s="58"/>
      <c r="P456" s="58"/>
      <c r="Q456" s="58"/>
      <c r="R456" s="58"/>
      <c r="S456" s="58"/>
      <c r="T456" s="58"/>
      <c r="U456" s="58"/>
      <c r="V456" s="58"/>
      <c r="W456" s="58"/>
      <c r="X456" s="58"/>
      <c r="Y456" s="58"/>
      <c r="Z456" s="58"/>
    </row>
    <row r="457" ht="25.5" spans="1:26">
      <c r="A457" s="103" t="s">
        <v>537</v>
      </c>
      <c r="B457" s="104" t="s">
        <v>132</v>
      </c>
      <c r="C457" s="104" t="s">
        <v>538</v>
      </c>
      <c r="D457" s="104" t="s">
        <v>3428</v>
      </c>
      <c r="E457" s="105" t="s">
        <v>279</v>
      </c>
      <c r="F457" s="125" t="s">
        <v>8184</v>
      </c>
      <c r="G457" s="126" t="s">
        <v>8185</v>
      </c>
      <c r="H457" s="126" t="s">
        <v>8186</v>
      </c>
      <c r="I457" s="126" t="s">
        <v>8174</v>
      </c>
      <c r="J457" s="126" t="s">
        <v>8187</v>
      </c>
      <c r="K457" s="90"/>
      <c r="L457" s="58"/>
      <c r="M457" s="58"/>
      <c r="N457" s="58"/>
      <c r="O457" s="58"/>
      <c r="P457" s="58"/>
      <c r="Q457" s="58"/>
      <c r="R457" s="58"/>
      <c r="S457" s="58"/>
      <c r="T457" s="58"/>
      <c r="U457" s="58"/>
      <c r="V457" s="58"/>
      <c r="W457" s="58"/>
      <c r="X457" s="58"/>
      <c r="Y457" s="58"/>
      <c r="Z457" s="58"/>
    </row>
    <row r="458" ht="25.5" spans="1:26">
      <c r="A458" s="103" t="s">
        <v>1873</v>
      </c>
      <c r="B458" s="104" t="s">
        <v>139</v>
      </c>
      <c r="C458" s="104" t="s">
        <v>1874</v>
      </c>
      <c r="D458" s="104" t="s">
        <v>3642</v>
      </c>
      <c r="E458" s="105" t="s">
        <v>134</v>
      </c>
      <c r="F458" s="125" t="s">
        <v>7696</v>
      </c>
      <c r="G458" s="126" t="s">
        <v>8188</v>
      </c>
      <c r="H458" s="126" t="s">
        <v>8189</v>
      </c>
      <c r="I458" s="126" t="s">
        <v>8174</v>
      </c>
      <c r="J458" s="126" t="s">
        <v>8190</v>
      </c>
      <c r="K458" s="90"/>
      <c r="L458" s="58"/>
      <c r="M458" s="58"/>
      <c r="N458" s="58"/>
      <c r="O458" s="58"/>
      <c r="P458" s="58"/>
      <c r="Q458" s="58"/>
      <c r="R458" s="58"/>
      <c r="S458" s="58"/>
      <c r="T458" s="58"/>
      <c r="U458" s="58"/>
      <c r="V458" s="58"/>
      <c r="W458" s="58"/>
      <c r="X458" s="58"/>
      <c r="Y458" s="58"/>
      <c r="Z458" s="58"/>
    </row>
    <row r="459" ht="38.25" spans="1:26">
      <c r="A459" s="103" t="s">
        <v>2051</v>
      </c>
      <c r="B459" s="104" t="s">
        <v>132</v>
      </c>
      <c r="C459" s="104" t="s">
        <v>2052</v>
      </c>
      <c r="D459" s="104">
        <v>55</v>
      </c>
      <c r="E459" s="105" t="s">
        <v>134</v>
      </c>
      <c r="F459" s="125" t="s">
        <v>8191</v>
      </c>
      <c r="G459" s="126" t="s">
        <v>8192</v>
      </c>
      <c r="H459" s="126" t="s">
        <v>8193</v>
      </c>
      <c r="I459" s="126" t="s">
        <v>8174</v>
      </c>
      <c r="J459" s="126" t="s">
        <v>8194</v>
      </c>
      <c r="K459" s="90"/>
      <c r="L459" s="58"/>
      <c r="M459" s="58"/>
      <c r="N459" s="58"/>
      <c r="O459" s="58"/>
      <c r="P459" s="58"/>
      <c r="Q459" s="58"/>
      <c r="R459" s="58"/>
      <c r="S459" s="58"/>
      <c r="T459" s="58"/>
      <c r="U459" s="58"/>
      <c r="V459" s="58"/>
      <c r="W459" s="58"/>
      <c r="X459" s="58"/>
      <c r="Y459" s="58"/>
      <c r="Z459" s="58"/>
    </row>
    <row r="460" ht="38.25" spans="1:26">
      <c r="A460" s="103" t="s">
        <v>2095</v>
      </c>
      <c r="B460" s="104" t="s">
        <v>132</v>
      </c>
      <c r="C460" s="104" t="s">
        <v>2096</v>
      </c>
      <c r="D460" s="104">
        <v>61.1</v>
      </c>
      <c r="E460" s="105" t="s">
        <v>134</v>
      </c>
      <c r="F460" s="125" t="s">
        <v>6676</v>
      </c>
      <c r="G460" s="126" t="s">
        <v>8195</v>
      </c>
      <c r="H460" s="126" t="s">
        <v>8196</v>
      </c>
      <c r="I460" s="126" t="s">
        <v>8174</v>
      </c>
      <c r="J460" s="126" t="s">
        <v>8197</v>
      </c>
      <c r="K460" s="90"/>
      <c r="L460" s="58"/>
      <c r="M460" s="58"/>
      <c r="N460" s="58"/>
      <c r="O460" s="58"/>
      <c r="P460" s="58"/>
      <c r="Q460" s="58"/>
      <c r="R460" s="58"/>
      <c r="S460" s="58"/>
      <c r="T460" s="58"/>
      <c r="U460" s="58"/>
      <c r="V460" s="58"/>
      <c r="W460" s="58"/>
      <c r="X460" s="58"/>
      <c r="Y460" s="58"/>
      <c r="Z460" s="58"/>
    </row>
    <row r="461" ht="38.25" spans="1:26">
      <c r="A461" s="103" t="s">
        <v>1470</v>
      </c>
      <c r="B461" s="104" t="s">
        <v>77</v>
      </c>
      <c r="C461" s="104" t="s">
        <v>1471</v>
      </c>
      <c r="D461" s="104">
        <v>15</v>
      </c>
      <c r="E461" s="105" t="s">
        <v>204</v>
      </c>
      <c r="F461" s="125" t="s">
        <v>8198</v>
      </c>
      <c r="G461" s="126" t="s">
        <v>6875</v>
      </c>
      <c r="H461" s="126" t="s">
        <v>8199</v>
      </c>
      <c r="I461" s="126" t="s">
        <v>8174</v>
      </c>
      <c r="J461" s="126" t="s">
        <v>8200</v>
      </c>
      <c r="K461" s="90"/>
      <c r="L461" s="58"/>
      <c r="M461" s="58"/>
      <c r="N461" s="58"/>
      <c r="O461" s="58"/>
      <c r="P461" s="58"/>
      <c r="Q461" s="58"/>
      <c r="R461" s="58"/>
      <c r="S461" s="58"/>
      <c r="T461" s="58"/>
      <c r="U461" s="58"/>
      <c r="V461" s="58"/>
      <c r="W461" s="58"/>
      <c r="X461" s="58"/>
      <c r="Y461" s="58"/>
      <c r="Z461" s="58"/>
    </row>
    <row r="462" ht="25.5" spans="1:26">
      <c r="A462" s="103" t="s">
        <v>2263</v>
      </c>
      <c r="B462" s="104" t="s">
        <v>132</v>
      </c>
      <c r="C462" s="104" t="s">
        <v>2264</v>
      </c>
      <c r="D462" s="104">
        <v>70</v>
      </c>
      <c r="E462" s="105" t="s">
        <v>134</v>
      </c>
      <c r="F462" s="125" t="s">
        <v>7588</v>
      </c>
      <c r="G462" s="126" t="s">
        <v>8201</v>
      </c>
      <c r="H462" s="126" t="s">
        <v>8202</v>
      </c>
      <c r="I462" s="126" t="s">
        <v>8174</v>
      </c>
      <c r="J462" s="126" t="s">
        <v>8203</v>
      </c>
      <c r="K462" s="90"/>
      <c r="L462" s="58"/>
      <c r="M462" s="58"/>
      <c r="N462" s="58"/>
      <c r="O462" s="58"/>
      <c r="P462" s="58"/>
      <c r="Q462" s="58"/>
      <c r="R462" s="58"/>
      <c r="S462" s="58"/>
      <c r="T462" s="58"/>
      <c r="U462" s="58"/>
      <c r="V462" s="58"/>
      <c r="W462" s="58"/>
      <c r="X462" s="58"/>
      <c r="Y462" s="58"/>
      <c r="Z462" s="58"/>
    </row>
    <row r="463" spans="1:26">
      <c r="A463" s="103" t="s">
        <v>920</v>
      </c>
      <c r="B463" s="104" t="s">
        <v>149</v>
      </c>
      <c r="C463" s="104" t="s">
        <v>921</v>
      </c>
      <c r="D463" s="104" t="s">
        <v>3789</v>
      </c>
      <c r="E463" s="105" t="s">
        <v>134</v>
      </c>
      <c r="F463" s="125" t="s">
        <v>8204</v>
      </c>
      <c r="G463" s="126" t="s">
        <v>8205</v>
      </c>
      <c r="H463" s="126" t="s">
        <v>8206</v>
      </c>
      <c r="I463" s="126" t="s">
        <v>8174</v>
      </c>
      <c r="J463" s="126" t="s">
        <v>8207</v>
      </c>
      <c r="K463" s="90"/>
      <c r="L463" s="58"/>
      <c r="M463" s="58"/>
      <c r="N463" s="58"/>
      <c r="O463" s="58"/>
      <c r="P463" s="58"/>
      <c r="Q463" s="58"/>
      <c r="R463" s="58"/>
      <c r="S463" s="58"/>
      <c r="T463" s="58"/>
      <c r="U463" s="58"/>
      <c r="V463" s="58"/>
      <c r="W463" s="58"/>
      <c r="X463" s="58"/>
      <c r="Y463" s="58"/>
      <c r="Z463" s="58"/>
    </row>
    <row r="464" ht="25.5" spans="1:26">
      <c r="A464" s="103" t="s">
        <v>166</v>
      </c>
      <c r="B464" s="104" t="s">
        <v>139</v>
      </c>
      <c r="C464" s="104" t="s">
        <v>167</v>
      </c>
      <c r="D464" s="104" t="s">
        <v>3025</v>
      </c>
      <c r="E464" s="105" t="s">
        <v>134</v>
      </c>
      <c r="F464" s="125" t="s">
        <v>7588</v>
      </c>
      <c r="G464" s="126" t="s">
        <v>8208</v>
      </c>
      <c r="H464" s="126" t="s">
        <v>8209</v>
      </c>
      <c r="I464" s="126" t="s">
        <v>8174</v>
      </c>
      <c r="J464" s="126" t="s">
        <v>8210</v>
      </c>
      <c r="K464" s="90"/>
      <c r="L464" s="58"/>
      <c r="M464" s="58"/>
      <c r="N464" s="58"/>
      <c r="O464" s="58"/>
      <c r="P464" s="58"/>
      <c r="Q464" s="58"/>
      <c r="R464" s="58"/>
      <c r="S464" s="58"/>
      <c r="T464" s="58"/>
      <c r="U464" s="58"/>
      <c r="V464" s="58"/>
      <c r="W464" s="58"/>
      <c r="X464" s="58"/>
      <c r="Y464" s="58"/>
      <c r="Z464" s="58"/>
    </row>
    <row r="465" ht="25.5" spans="1:26">
      <c r="A465" s="103" t="s">
        <v>2040</v>
      </c>
      <c r="B465" s="104" t="s">
        <v>149</v>
      </c>
      <c r="C465" s="104" t="s">
        <v>2041</v>
      </c>
      <c r="D465" s="104" t="s">
        <v>3657</v>
      </c>
      <c r="E465" s="105" t="s">
        <v>134</v>
      </c>
      <c r="F465" s="125" t="s">
        <v>7588</v>
      </c>
      <c r="G465" s="126" t="s">
        <v>8211</v>
      </c>
      <c r="H465" s="126" t="s">
        <v>8212</v>
      </c>
      <c r="I465" s="126" t="s">
        <v>8174</v>
      </c>
      <c r="J465" s="126" t="s">
        <v>8213</v>
      </c>
      <c r="K465" s="90"/>
      <c r="L465" s="58"/>
      <c r="M465" s="58"/>
      <c r="N465" s="58"/>
      <c r="O465" s="58"/>
      <c r="P465" s="58"/>
      <c r="Q465" s="58"/>
      <c r="R465" s="58"/>
      <c r="S465" s="58"/>
      <c r="T465" s="58"/>
      <c r="U465" s="58"/>
      <c r="V465" s="58"/>
      <c r="W465" s="58"/>
      <c r="X465" s="58"/>
      <c r="Y465" s="58"/>
      <c r="Z465" s="58"/>
    </row>
    <row r="466" ht="25.5" spans="1:26">
      <c r="A466" s="103" t="s">
        <v>597</v>
      </c>
      <c r="B466" s="104" t="s">
        <v>139</v>
      </c>
      <c r="C466" s="104" t="s">
        <v>598</v>
      </c>
      <c r="D466" s="104" t="s">
        <v>3470</v>
      </c>
      <c r="E466" s="105" t="s">
        <v>141</v>
      </c>
      <c r="F466" s="125" t="s">
        <v>6971</v>
      </c>
      <c r="G466" s="126" t="s">
        <v>8214</v>
      </c>
      <c r="H466" s="126" t="s">
        <v>8215</v>
      </c>
      <c r="I466" s="126" t="s">
        <v>8174</v>
      </c>
      <c r="J466" s="126" t="s">
        <v>8216</v>
      </c>
      <c r="K466" s="90"/>
      <c r="L466" s="58"/>
      <c r="M466" s="58"/>
      <c r="N466" s="58"/>
      <c r="O466" s="58"/>
      <c r="P466" s="58"/>
      <c r="Q466" s="58"/>
      <c r="R466" s="58"/>
      <c r="S466" s="58"/>
      <c r="T466" s="58"/>
      <c r="U466" s="58"/>
      <c r="V466" s="58"/>
      <c r="W466" s="58"/>
      <c r="X466" s="58"/>
      <c r="Y466" s="58"/>
      <c r="Z466" s="58"/>
    </row>
    <row r="467" ht="25.5" spans="1:26">
      <c r="A467" s="103" t="s">
        <v>617</v>
      </c>
      <c r="B467" s="104" t="s">
        <v>139</v>
      </c>
      <c r="C467" s="104" t="s">
        <v>618</v>
      </c>
      <c r="D467" s="104" t="s">
        <v>3484</v>
      </c>
      <c r="E467" s="105" t="s">
        <v>141</v>
      </c>
      <c r="F467" s="125" t="s">
        <v>8217</v>
      </c>
      <c r="G467" s="126" t="s">
        <v>6932</v>
      </c>
      <c r="H467" s="126" t="s">
        <v>8218</v>
      </c>
      <c r="I467" s="126" t="s">
        <v>8174</v>
      </c>
      <c r="J467" s="126" t="s">
        <v>8219</v>
      </c>
      <c r="K467" s="90"/>
      <c r="L467" s="58"/>
      <c r="M467" s="58"/>
      <c r="N467" s="58"/>
      <c r="O467" s="58"/>
      <c r="P467" s="58"/>
      <c r="Q467" s="58"/>
      <c r="R467" s="58"/>
      <c r="S467" s="58"/>
      <c r="T467" s="58"/>
      <c r="U467" s="58"/>
      <c r="V467" s="58"/>
      <c r="W467" s="58"/>
      <c r="X467" s="58"/>
      <c r="Y467" s="58"/>
      <c r="Z467" s="58"/>
    </row>
    <row r="468" ht="25.5" spans="1:26">
      <c r="A468" s="103" t="s">
        <v>2242</v>
      </c>
      <c r="B468" s="104" t="s">
        <v>132</v>
      </c>
      <c r="C468" s="104" t="s">
        <v>2243</v>
      </c>
      <c r="D468" s="104">
        <v>70</v>
      </c>
      <c r="E468" s="105" t="s">
        <v>134</v>
      </c>
      <c r="F468" s="125" t="s">
        <v>8220</v>
      </c>
      <c r="G468" s="126" t="s">
        <v>8221</v>
      </c>
      <c r="H468" s="126" t="s">
        <v>8222</v>
      </c>
      <c r="I468" s="126" t="s">
        <v>8174</v>
      </c>
      <c r="J468" s="126" t="s">
        <v>8223</v>
      </c>
      <c r="K468" s="90"/>
      <c r="L468" s="58"/>
      <c r="M468" s="58"/>
      <c r="N468" s="58"/>
      <c r="O468" s="58"/>
      <c r="P468" s="58"/>
      <c r="Q468" s="58"/>
      <c r="R468" s="58"/>
      <c r="S468" s="58"/>
      <c r="T468" s="58"/>
      <c r="U468" s="58"/>
      <c r="V468" s="58"/>
      <c r="W468" s="58"/>
      <c r="X468" s="58"/>
      <c r="Y468" s="58"/>
      <c r="Z468" s="58"/>
    </row>
    <row r="469" ht="38.25" spans="1:26">
      <c r="A469" s="103" t="s">
        <v>1473</v>
      </c>
      <c r="B469" s="104" t="s">
        <v>77</v>
      </c>
      <c r="C469" s="104" t="s">
        <v>1474</v>
      </c>
      <c r="D469" s="104">
        <v>15</v>
      </c>
      <c r="E469" s="105" t="s">
        <v>204</v>
      </c>
      <c r="F469" s="125" t="s">
        <v>7230</v>
      </c>
      <c r="G469" s="126" t="s">
        <v>8224</v>
      </c>
      <c r="H469" s="126" t="s">
        <v>8225</v>
      </c>
      <c r="I469" s="126" t="s">
        <v>8174</v>
      </c>
      <c r="J469" s="126" t="s">
        <v>8226</v>
      </c>
      <c r="K469" s="90"/>
      <c r="L469" s="58"/>
      <c r="M469" s="58"/>
      <c r="N469" s="58"/>
      <c r="O469" s="58"/>
      <c r="P469" s="58"/>
      <c r="Q469" s="58"/>
      <c r="R469" s="58"/>
      <c r="S469" s="58"/>
      <c r="T469" s="58"/>
      <c r="U469" s="58"/>
      <c r="V469" s="58"/>
      <c r="W469" s="58"/>
      <c r="X469" s="58"/>
      <c r="Y469" s="58"/>
      <c r="Z469" s="58"/>
    </row>
    <row r="470" ht="38.25" spans="1:26">
      <c r="A470" s="103" t="s">
        <v>1494</v>
      </c>
      <c r="B470" s="104" t="s">
        <v>132</v>
      </c>
      <c r="C470" s="104" t="s">
        <v>1495</v>
      </c>
      <c r="D470" s="104" t="s">
        <v>3177</v>
      </c>
      <c r="E470" s="105" t="s">
        <v>134</v>
      </c>
      <c r="F470" s="125" t="s">
        <v>6603</v>
      </c>
      <c r="G470" s="126" t="s">
        <v>8227</v>
      </c>
      <c r="H470" s="126" t="s">
        <v>8227</v>
      </c>
      <c r="I470" s="126" t="s">
        <v>8174</v>
      </c>
      <c r="J470" s="126" t="s">
        <v>8228</v>
      </c>
      <c r="K470" s="90"/>
      <c r="L470" s="58"/>
      <c r="M470" s="58"/>
      <c r="N470" s="58"/>
      <c r="O470" s="58"/>
      <c r="P470" s="58"/>
      <c r="Q470" s="58"/>
      <c r="R470" s="58"/>
      <c r="S470" s="58"/>
      <c r="T470" s="58"/>
      <c r="U470" s="58"/>
      <c r="V470" s="58"/>
      <c r="W470" s="58"/>
      <c r="X470" s="58"/>
      <c r="Y470" s="58"/>
      <c r="Z470" s="58"/>
    </row>
    <row r="471" ht="38.25" spans="1:26">
      <c r="A471" s="103" t="s">
        <v>2048</v>
      </c>
      <c r="B471" s="104" t="s">
        <v>77</v>
      </c>
      <c r="C471" s="104" t="s">
        <v>2049</v>
      </c>
      <c r="D471" s="104">
        <v>5</v>
      </c>
      <c r="E471" s="105" t="s">
        <v>134</v>
      </c>
      <c r="F471" s="125" t="s">
        <v>8229</v>
      </c>
      <c r="G471" s="126" t="s">
        <v>7430</v>
      </c>
      <c r="H471" s="126" t="s">
        <v>8230</v>
      </c>
      <c r="I471" s="126" t="s">
        <v>8174</v>
      </c>
      <c r="J471" s="126" t="s">
        <v>8231</v>
      </c>
      <c r="K471" s="90"/>
      <c r="L471" s="58"/>
      <c r="M471" s="58"/>
      <c r="N471" s="58"/>
      <c r="O471" s="58"/>
      <c r="P471" s="58"/>
      <c r="Q471" s="58"/>
      <c r="R471" s="58"/>
      <c r="S471" s="58"/>
      <c r="T471" s="58"/>
      <c r="U471" s="58"/>
      <c r="V471" s="58"/>
      <c r="W471" s="58"/>
      <c r="X471" s="58"/>
      <c r="Y471" s="58"/>
      <c r="Z471" s="58"/>
    </row>
    <row r="472" ht="38.25" spans="1:26">
      <c r="A472" s="103" t="s">
        <v>178</v>
      </c>
      <c r="B472" s="104" t="s">
        <v>139</v>
      </c>
      <c r="C472" s="104" t="s">
        <v>179</v>
      </c>
      <c r="D472" s="104" t="s">
        <v>3041</v>
      </c>
      <c r="E472" s="105" t="s">
        <v>141</v>
      </c>
      <c r="F472" s="125" t="s">
        <v>8232</v>
      </c>
      <c r="G472" s="126" t="s">
        <v>8233</v>
      </c>
      <c r="H472" s="126" t="s">
        <v>8234</v>
      </c>
      <c r="I472" s="126" t="s">
        <v>8174</v>
      </c>
      <c r="J472" s="126" t="s">
        <v>8235</v>
      </c>
      <c r="K472" s="90"/>
      <c r="L472" s="58"/>
      <c r="M472" s="58"/>
      <c r="N472" s="58"/>
      <c r="O472" s="58"/>
      <c r="P472" s="58"/>
      <c r="Q472" s="58"/>
      <c r="R472" s="58"/>
      <c r="S472" s="58"/>
      <c r="T472" s="58"/>
      <c r="U472" s="58"/>
      <c r="V472" s="58"/>
      <c r="W472" s="58"/>
      <c r="X472" s="58"/>
      <c r="Y472" s="58"/>
      <c r="Z472" s="58"/>
    </row>
    <row r="473" ht="25.5" spans="1:26">
      <c r="A473" s="103" t="s">
        <v>1766</v>
      </c>
      <c r="B473" s="104" t="s">
        <v>149</v>
      </c>
      <c r="C473" s="104" t="s">
        <v>1767</v>
      </c>
      <c r="D473" s="104" t="s">
        <v>4525</v>
      </c>
      <c r="E473" s="105" t="s">
        <v>134</v>
      </c>
      <c r="F473" s="125" t="s">
        <v>7588</v>
      </c>
      <c r="G473" s="126" t="s">
        <v>8236</v>
      </c>
      <c r="H473" s="126" t="s">
        <v>8237</v>
      </c>
      <c r="I473" s="126" t="s">
        <v>8174</v>
      </c>
      <c r="J473" s="126" t="s">
        <v>8238</v>
      </c>
      <c r="K473" s="90"/>
      <c r="L473" s="58"/>
      <c r="M473" s="58"/>
      <c r="N473" s="58"/>
      <c r="O473" s="58"/>
      <c r="P473" s="58"/>
      <c r="Q473" s="58"/>
      <c r="R473" s="58"/>
      <c r="S473" s="58"/>
      <c r="T473" s="58"/>
      <c r="U473" s="58"/>
      <c r="V473" s="58"/>
      <c r="W473" s="58"/>
      <c r="X473" s="58"/>
      <c r="Y473" s="58"/>
      <c r="Z473" s="58"/>
    </row>
    <row r="474" spans="1:26">
      <c r="A474" s="103" t="s">
        <v>1677</v>
      </c>
      <c r="B474" s="104" t="s">
        <v>149</v>
      </c>
      <c r="C474" s="104" t="s">
        <v>1678</v>
      </c>
      <c r="D474" s="104" t="s">
        <v>4007</v>
      </c>
      <c r="E474" s="105" t="s">
        <v>134</v>
      </c>
      <c r="F474" s="125" t="s">
        <v>6858</v>
      </c>
      <c r="G474" s="126" t="s">
        <v>8239</v>
      </c>
      <c r="H474" s="126" t="s">
        <v>8240</v>
      </c>
      <c r="I474" s="126" t="s">
        <v>8174</v>
      </c>
      <c r="J474" s="126" t="s">
        <v>8241</v>
      </c>
      <c r="K474" s="90"/>
      <c r="L474" s="58"/>
      <c r="M474" s="58"/>
      <c r="N474" s="58"/>
      <c r="O474" s="58"/>
      <c r="P474" s="58"/>
      <c r="Q474" s="58"/>
      <c r="R474" s="58"/>
      <c r="S474" s="58"/>
      <c r="T474" s="58"/>
      <c r="U474" s="58"/>
      <c r="V474" s="58"/>
      <c r="W474" s="58"/>
      <c r="X474" s="58"/>
      <c r="Y474" s="58"/>
      <c r="Z474" s="58"/>
    </row>
    <row r="475" ht="38.25" spans="1:26">
      <c r="A475" s="103" t="s">
        <v>961</v>
      </c>
      <c r="B475" s="104" t="s">
        <v>77</v>
      </c>
      <c r="C475" s="104" t="s">
        <v>962</v>
      </c>
      <c r="D475" s="104">
        <v>15</v>
      </c>
      <c r="E475" s="105" t="s">
        <v>204</v>
      </c>
      <c r="F475" s="125" t="s">
        <v>7214</v>
      </c>
      <c r="G475" s="126" t="s">
        <v>8242</v>
      </c>
      <c r="H475" s="126" t="s">
        <v>8243</v>
      </c>
      <c r="I475" s="126" t="s">
        <v>8174</v>
      </c>
      <c r="J475" s="126" t="s">
        <v>8244</v>
      </c>
      <c r="K475" s="90"/>
      <c r="L475" s="58"/>
      <c r="M475" s="58"/>
      <c r="N475" s="58"/>
      <c r="O475" s="58"/>
      <c r="P475" s="58"/>
      <c r="Q475" s="58"/>
      <c r="R475" s="58"/>
      <c r="S475" s="58"/>
      <c r="T475" s="58"/>
      <c r="U475" s="58"/>
      <c r="V475" s="58"/>
      <c r="W475" s="58"/>
      <c r="X475" s="58"/>
      <c r="Y475" s="58"/>
      <c r="Z475" s="58"/>
    </row>
    <row r="476" spans="1:26">
      <c r="A476" s="103" t="s">
        <v>923</v>
      </c>
      <c r="B476" s="104" t="s">
        <v>77</v>
      </c>
      <c r="C476" s="104" t="s">
        <v>924</v>
      </c>
      <c r="D476" s="104">
        <v>18</v>
      </c>
      <c r="E476" s="105" t="s">
        <v>134</v>
      </c>
      <c r="F476" s="125" t="s">
        <v>6847</v>
      </c>
      <c r="G476" s="126" t="s">
        <v>8245</v>
      </c>
      <c r="H476" s="126" t="s">
        <v>8246</v>
      </c>
      <c r="I476" s="126" t="s">
        <v>8174</v>
      </c>
      <c r="J476" s="126" t="s">
        <v>8247</v>
      </c>
      <c r="K476" s="90"/>
      <c r="L476" s="58"/>
      <c r="M476" s="58"/>
      <c r="N476" s="58"/>
      <c r="O476" s="58"/>
      <c r="P476" s="58"/>
      <c r="Q476" s="58"/>
      <c r="R476" s="58"/>
      <c r="S476" s="58"/>
      <c r="T476" s="58"/>
      <c r="U476" s="58"/>
      <c r="V476" s="58"/>
      <c r="W476" s="58"/>
      <c r="X476" s="58"/>
      <c r="Y476" s="58"/>
      <c r="Z476" s="58"/>
    </row>
    <row r="477" spans="1:26">
      <c r="A477" s="103" t="s">
        <v>899</v>
      </c>
      <c r="B477" s="104" t="s">
        <v>149</v>
      </c>
      <c r="C477" s="104" t="s">
        <v>900</v>
      </c>
      <c r="D477" s="104" t="s">
        <v>3810</v>
      </c>
      <c r="E477" s="105" t="s">
        <v>134</v>
      </c>
      <c r="F477" s="125" t="s">
        <v>6653</v>
      </c>
      <c r="G477" s="126" t="s">
        <v>8248</v>
      </c>
      <c r="H477" s="126" t="s">
        <v>8249</v>
      </c>
      <c r="I477" s="126" t="s">
        <v>8174</v>
      </c>
      <c r="J477" s="126" t="s">
        <v>8250</v>
      </c>
      <c r="K477" s="90"/>
      <c r="L477" s="58"/>
      <c r="M477" s="58"/>
      <c r="N477" s="58"/>
      <c r="O477" s="58"/>
      <c r="P477" s="58"/>
      <c r="Q477" s="58"/>
      <c r="R477" s="58"/>
      <c r="S477" s="58"/>
      <c r="T477" s="58"/>
      <c r="U477" s="58"/>
      <c r="V477" s="58"/>
      <c r="W477" s="58"/>
      <c r="X477" s="58"/>
      <c r="Y477" s="58"/>
      <c r="Z477" s="58"/>
    </row>
    <row r="478" ht="25.5" spans="1:26">
      <c r="A478" s="103" t="s">
        <v>442</v>
      </c>
      <c r="B478" s="104" t="s">
        <v>139</v>
      </c>
      <c r="C478" s="104" t="s">
        <v>443</v>
      </c>
      <c r="D478" s="104" t="s">
        <v>3310</v>
      </c>
      <c r="E478" s="105" t="s">
        <v>393</v>
      </c>
      <c r="F478" s="125" t="s">
        <v>8251</v>
      </c>
      <c r="G478" s="126" t="s">
        <v>8252</v>
      </c>
      <c r="H478" s="126" t="s">
        <v>8253</v>
      </c>
      <c r="I478" s="126" t="s">
        <v>8174</v>
      </c>
      <c r="J478" s="126" t="s">
        <v>8254</v>
      </c>
      <c r="K478" s="90"/>
      <c r="L478" s="58"/>
      <c r="M478" s="58"/>
      <c r="N478" s="58"/>
      <c r="O478" s="58"/>
      <c r="P478" s="58"/>
      <c r="Q478" s="58"/>
      <c r="R478" s="58"/>
      <c r="S478" s="58"/>
      <c r="T478" s="58"/>
      <c r="U478" s="58"/>
      <c r="V478" s="58"/>
      <c r="W478" s="58"/>
      <c r="X478" s="58"/>
      <c r="Y478" s="58"/>
      <c r="Z478" s="58"/>
    </row>
    <row r="479" ht="25.5" spans="1:26">
      <c r="A479" s="103" t="s">
        <v>2353</v>
      </c>
      <c r="B479" s="104" t="s">
        <v>132</v>
      </c>
      <c r="C479" s="104" t="s">
        <v>2354</v>
      </c>
      <c r="D479" s="104">
        <v>70</v>
      </c>
      <c r="E479" s="105" t="s">
        <v>134</v>
      </c>
      <c r="F479" s="125" t="s">
        <v>7410</v>
      </c>
      <c r="G479" s="126" t="s">
        <v>8255</v>
      </c>
      <c r="H479" s="126" t="s">
        <v>8256</v>
      </c>
      <c r="I479" s="126" t="s">
        <v>8174</v>
      </c>
      <c r="J479" s="126" t="s">
        <v>8257</v>
      </c>
      <c r="K479" s="90"/>
      <c r="L479" s="58"/>
      <c r="M479" s="58"/>
      <c r="N479" s="58"/>
      <c r="O479" s="58"/>
      <c r="P479" s="58"/>
      <c r="Q479" s="58"/>
      <c r="R479" s="58"/>
      <c r="S479" s="58"/>
      <c r="T479" s="58"/>
      <c r="U479" s="58"/>
      <c r="V479" s="58"/>
      <c r="W479" s="58"/>
      <c r="X479" s="58"/>
      <c r="Y479" s="58"/>
      <c r="Z479" s="58"/>
    </row>
    <row r="480" ht="25.5" spans="1:26">
      <c r="A480" s="103" t="s">
        <v>2485</v>
      </c>
      <c r="B480" s="104" t="s">
        <v>139</v>
      </c>
      <c r="C480" s="104" t="s">
        <v>2486</v>
      </c>
      <c r="D480" s="104" t="s">
        <v>3198</v>
      </c>
      <c r="E480" s="105" t="s">
        <v>134</v>
      </c>
      <c r="F480" s="125" t="s">
        <v>7919</v>
      </c>
      <c r="G480" s="126" t="s">
        <v>8258</v>
      </c>
      <c r="H480" s="126" t="s">
        <v>8259</v>
      </c>
      <c r="I480" s="126" t="s">
        <v>8174</v>
      </c>
      <c r="J480" s="126" t="s">
        <v>8260</v>
      </c>
      <c r="K480" s="90"/>
      <c r="L480" s="58"/>
      <c r="M480" s="58"/>
      <c r="N480" s="58"/>
      <c r="O480" s="58"/>
      <c r="P480" s="58"/>
      <c r="Q480" s="58"/>
      <c r="R480" s="58"/>
      <c r="S480" s="58"/>
      <c r="T480" s="58"/>
      <c r="U480" s="58"/>
      <c r="V480" s="58"/>
      <c r="W480" s="58"/>
      <c r="X480" s="58"/>
      <c r="Y480" s="58"/>
      <c r="Z480" s="58"/>
    </row>
    <row r="481" ht="25.5" spans="1:26">
      <c r="A481" s="103" t="s">
        <v>2302</v>
      </c>
      <c r="B481" s="104" t="s">
        <v>132</v>
      </c>
      <c r="C481" s="104" t="s">
        <v>2303</v>
      </c>
      <c r="D481" s="104">
        <v>73</v>
      </c>
      <c r="E481" s="105" t="s">
        <v>134</v>
      </c>
      <c r="F481" s="125" t="s">
        <v>6676</v>
      </c>
      <c r="G481" s="126" t="s">
        <v>8261</v>
      </c>
      <c r="H481" s="126" t="s">
        <v>8262</v>
      </c>
      <c r="I481" s="126" t="s">
        <v>8174</v>
      </c>
      <c r="J481" s="126" t="s">
        <v>8263</v>
      </c>
      <c r="K481" s="90"/>
      <c r="L481" s="58"/>
      <c r="M481" s="58"/>
      <c r="N481" s="58"/>
      <c r="O481" s="58"/>
      <c r="P481" s="58"/>
      <c r="Q481" s="58"/>
      <c r="R481" s="58"/>
      <c r="S481" s="58"/>
      <c r="T481" s="58"/>
      <c r="U481" s="58"/>
      <c r="V481" s="58"/>
      <c r="W481" s="58"/>
      <c r="X481" s="58"/>
      <c r="Y481" s="58"/>
      <c r="Z481" s="58"/>
    </row>
    <row r="482" ht="25.5" spans="1:26">
      <c r="A482" s="103" t="s">
        <v>765</v>
      </c>
      <c r="B482" s="104" t="s">
        <v>132</v>
      </c>
      <c r="C482" s="104" t="s">
        <v>766</v>
      </c>
      <c r="D482" s="104" t="s">
        <v>3129</v>
      </c>
      <c r="E482" s="105" t="s">
        <v>134</v>
      </c>
      <c r="F482" s="125" t="s">
        <v>7637</v>
      </c>
      <c r="G482" s="126" t="s">
        <v>8264</v>
      </c>
      <c r="H482" s="126" t="s">
        <v>8265</v>
      </c>
      <c r="I482" s="126" t="s">
        <v>8174</v>
      </c>
      <c r="J482" s="126" t="s">
        <v>8266</v>
      </c>
      <c r="K482" s="90"/>
      <c r="L482" s="58"/>
      <c r="M482" s="58"/>
      <c r="N482" s="58"/>
      <c r="O482" s="58"/>
      <c r="P482" s="58"/>
      <c r="Q482" s="58"/>
      <c r="R482" s="58"/>
      <c r="S482" s="58"/>
      <c r="T482" s="58"/>
      <c r="U482" s="58"/>
      <c r="V482" s="58"/>
      <c r="W482" s="58"/>
      <c r="X482" s="58"/>
      <c r="Y482" s="58"/>
      <c r="Z482" s="58"/>
    </row>
    <row r="483" ht="51" spans="1:26">
      <c r="A483" s="103" t="s">
        <v>631</v>
      </c>
      <c r="B483" s="104" t="s">
        <v>132</v>
      </c>
      <c r="C483" s="104" t="s">
        <v>632</v>
      </c>
      <c r="D483" s="104" t="s">
        <v>3505</v>
      </c>
      <c r="E483" s="105" t="s">
        <v>134</v>
      </c>
      <c r="F483" s="125" t="s">
        <v>6676</v>
      </c>
      <c r="G483" s="126" t="s">
        <v>8267</v>
      </c>
      <c r="H483" s="126" t="s">
        <v>8268</v>
      </c>
      <c r="I483" s="126" t="s">
        <v>8174</v>
      </c>
      <c r="J483" s="126" t="s">
        <v>8269</v>
      </c>
      <c r="K483" s="90"/>
      <c r="L483" s="58"/>
      <c r="M483" s="58"/>
      <c r="N483" s="58"/>
      <c r="O483" s="58"/>
      <c r="P483" s="58"/>
      <c r="Q483" s="58"/>
      <c r="R483" s="58"/>
      <c r="S483" s="58"/>
      <c r="T483" s="58"/>
      <c r="U483" s="58"/>
      <c r="V483" s="58"/>
      <c r="W483" s="58"/>
      <c r="X483" s="58"/>
      <c r="Y483" s="58"/>
      <c r="Z483" s="58"/>
    </row>
    <row r="484" ht="51" spans="1:26">
      <c r="A484" s="103" t="s">
        <v>643</v>
      </c>
      <c r="B484" s="104" t="s">
        <v>132</v>
      </c>
      <c r="C484" s="104" t="s">
        <v>644</v>
      </c>
      <c r="D484" s="104" t="s">
        <v>3505</v>
      </c>
      <c r="E484" s="105" t="s">
        <v>134</v>
      </c>
      <c r="F484" s="125" t="s">
        <v>6676</v>
      </c>
      <c r="G484" s="126" t="s">
        <v>8267</v>
      </c>
      <c r="H484" s="126" t="s">
        <v>8268</v>
      </c>
      <c r="I484" s="126" t="s">
        <v>8174</v>
      </c>
      <c r="J484" s="126" t="s">
        <v>8270</v>
      </c>
      <c r="K484" s="90"/>
      <c r="L484" s="58"/>
      <c r="M484" s="58"/>
      <c r="N484" s="58"/>
      <c r="O484" s="58"/>
      <c r="P484" s="58"/>
      <c r="Q484" s="58"/>
      <c r="R484" s="58"/>
      <c r="S484" s="58"/>
      <c r="T484" s="58"/>
      <c r="U484" s="58"/>
      <c r="V484" s="58"/>
      <c r="W484" s="58"/>
      <c r="X484" s="58"/>
      <c r="Y484" s="58"/>
      <c r="Z484" s="58"/>
    </row>
    <row r="485" ht="38.25" spans="1:26">
      <c r="A485" s="103" t="s">
        <v>175</v>
      </c>
      <c r="B485" s="104" t="s">
        <v>139</v>
      </c>
      <c r="C485" s="104" t="s">
        <v>176</v>
      </c>
      <c r="D485" s="104" t="s">
        <v>3041</v>
      </c>
      <c r="E485" s="105" t="s">
        <v>141</v>
      </c>
      <c r="F485" s="125" t="s">
        <v>6653</v>
      </c>
      <c r="G485" s="126" t="s">
        <v>8271</v>
      </c>
      <c r="H485" s="126" t="s">
        <v>8272</v>
      </c>
      <c r="I485" s="126" t="s">
        <v>8174</v>
      </c>
      <c r="J485" s="126" t="s">
        <v>8273</v>
      </c>
      <c r="K485" s="90"/>
      <c r="L485" s="58"/>
      <c r="M485" s="58"/>
      <c r="N485" s="58"/>
      <c r="O485" s="58"/>
      <c r="P485" s="58"/>
      <c r="Q485" s="58"/>
      <c r="R485" s="58"/>
      <c r="S485" s="58"/>
      <c r="T485" s="58"/>
      <c r="U485" s="58"/>
      <c r="V485" s="58"/>
      <c r="W485" s="58"/>
      <c r="X485" s="58"/>
      <c r="Y485" s="58"/>
      <c r="Z485" s="58"/>
    </row>
    <row r="486" spans="1:26">
      <c r="A486" s="103" t="s">
        <v>1763</v>
      </c>
      <c r="B486" s="104" t="s">
        <v>149</v>
      </c>
      <c r="C486" s="104" t="s">
        <v>1764</v>
      </c>
      <c r="D486" s="104">
        <v>79</v>
      </c>
      <c r="E486" s="105" t="s">
        <v>134</v>
      </c>
      <c r="F486" s="125" t="s">
        <v>6847</v>
      </c>
      <c r="G486" s="126" t="s">
        <v>8274</v>
      </c>
      <c r="H486" s="126" t="s">
        <v>8275</v>
      </c>
      <c r="I486" s="126" t="s">
        <v>8174</v>
      </c>
      <c r="J486" s="126" t="s">
        <v>8276</v>
      </c>
      <c r="K486" s="90"/>
      <c r="L486" s="58"/>
      <c r="M486" s="58"/>
      <c r="N486" s="58"/>
      <c r="O486" s="58"/>
      <c r="P486" s="58"/>
      <c r="Q486" s="58"/>
      <c r="R486" s="58"/>
      <c r="S486" s="58"/>
      <c r="T486" s="58"/>
      <c r="U486" s="58"/>
      <c r="V486" s="58"/>
      <c r="W486" s="58"/>
      <c r="X486" s="58"/>
      <c r="Y486" s="58"/>
      <c r="Z486" s="58"/>
    </row>
    <row r="487" ht="63.75" spans="1:26">
      <c r="A487" s="103" t="s">
        <v>2236</v>
      </c>
      <c r="B487" s="104" t="s">
        <v>132</v>
      </c>
      <c r="C487" s="104" t="s">
        <v>2237</v>
      </c>
      <c r="D487" s="104">
        <v>70</v>
      </c>
      <c r="E487" s="105" t="s">
        <v>134</v>
      </c>
      <c r="F487" s="125" t="s">
        <v>7375</v>
      </c>
      <c r="G487" s="126" t="s">
        <v>8277</v>
      </c>
      <c r="H487" s="126" t="s">
        <v>8278</v>
      </c>
      <c r="I487" s="126" t="s">
        <v>8174</v>
      </c>
      <c r="J487" s="126" t="s">
        <v>8279</v>
      </c>
      <c r="K487" s="90"/>
      <c r="L487" s="58"/>
      <c r="M487" s="58"/>
      <c r="N487" s="58"/>
      <c r="O487" s="58"/>
      <c r="P487" s="58"/>
      <c r="Q487" s="58"/>
      <c r="R487" s="58"/>
      <c r="S487" s="58"/>
      <c r="T487" s="58"/>
      <c r="U487" s="58"/>
      <c r="V487" s="58"/>
      <c r="W487" s="58"/>
      <c r="X487" s="58"/>
      <c r="Y487" s="58"/>
      <c r="Z487" s="58"/>
    </row>
    <row r="488" ht="25.5" spans="1:26">
      <c r="A488" s="103" t="s">
        <v>2786</v>
      </c>
      <c r="B488" s="104" t="s">
        <v>132</v>
      </c>
      <c r="C488" s="104" t="s">
        <v>2787</v>
      </c>
      <c r="D488" s="104" t="s">
        <v>5209</v>
      </c>
      <c r="E488" s="105" t="s">
        <v>141</v>
      </c>
      <c r="F488" s="125" t="s">
        <v>8280</v>
      </c>
      <c r="G488" s="126" t="s">
        <v>8281</v>
      </c>
      <c r="H488" s="126" t="s">
        <v>8282</v>
      </c>
      <c r="I488" s="126" t="s">
        <v>8174</v>
      </c>
      <c r="J488" s="126" t="s">
        <v>8283</v>
      </c>
      <c r="K488" s="90"/>
      <c r="L488" s="58"/>
      <c r="M488" s="58"/>
      <c r="N488" s="58"/>
      <c r="O488" s="58"/>
      <c r="P488" s="58"/>
      <c r="Q488" s="58"/>
      <c r="R488" s="58"/>
      <c r="S488" s="58"/>
      <c r="T488" s="58"/>
      <c r="U488" s="58"/>
      <c r="V488" s="58"/>
      <c r="W488" s="58"/>
      <c r="X488" s="58"/>
      <c r="Y488" s="58"/>
      <c r="Z488" s="58"/>
    </row>
    <row r="489" ht="25.5" spans="1:26">
      <c r="A489" s="103" t="s">
        <v>1328</v>
      </c>
      <c r="B489" s="104" t="s">
        <v>132</v>
      </c>
      <c r="C489" s="104" t="s">
        <v>1329</v>
      </c>
      <c r="D489" s="104">
        <v>61.15</v>
      </c>
      <c r="E489" s="105" t="s">
        <v>134</v>
      </c>
      <c r="F489" s="125" t="s">
        <v>6603</v>
      </c>
      <c r="G489" s="126" t="s">
        <v>8284</v>
      </c>
      <c r="H489" s="126" t="s">
        <v>8284</v>
      </c>
      <c r="I489" s="126" t="s">
        <v>8174</v>
      </c>
      <c r="J489" s="126" t="s">
        <v>8285</v>
      </c>
      <c r="K489" s="90"/>
      <c r="L489" s="58"/>
      <c r="M489" s="58"/>
      <c r="N489" s="58"/>
      <c r="O489" s="58"/>
      <c r="P489" s="58"/>
      <c r="Q489" s="58"/>
      <c r="R489" s="58"/>
      <c r="S489" s="58"/>
      <c r="T489" s="58"/>
      <c r="U489" s="58"/>
      <c r="V489" s="58"/>
      <c r="W489" s="58"/>
      <c r="X489" s="58"/>
      <c r="Y489" s="58"/>
      <c r="Z489" s="58"/>
    </row>
    <row r="490" ht="25.5" spans="1:26">
      <c r="A490" s="103" t="s">
        <v>1674</v>
      </c>
      <c r="B490" s="104" t="s">
        <v>139</v>
      </c>
      <c r="C490" s="104" t="s">
        <v>1675</v>
      </c>
      <c r="D490" s="104" t="s">
        <v>3218</v>
      </c>
      <c r="E490" s="105" t="s">
        <v>134</v>
      </c>
      <c r="F490" s="125" t="s">
        <v>6858</v>
      </c>
      <c r="G490" s="126" t="s">
        <v>8286</v>
      </c>
      <c r="H490" s="126" t="s">
        <v>8287</v>
      </c>
      <c r="I490" s="126" t="s">
        <v>8174</v>
      </c>
      <c r="J490" s="126" t="s">
        <v>8288</v>
      </c>
      <c r="K490" s="90"/>
      <c r="L490" s="58"/>
      <c r="M490" s="58"/>
      <c r="N490" s="58"/>
      <c r="O490" s="58"/>
      <c r="P490" s="58"/>
      <c r="Q490" s="58"/>
      <c r="R490" s="58"/>
      <c r="S490" s="58"/>
      <c r="T490" s="58"/>
      <c r="U490" s="58"/>
      <c r="V490" s="58"/>
      <c r="W490" s="58"/>
      <c r="X490" s="58"/>
      <c r="Y490" s="58"/>
      <c r="Z490" s="58"/>
    </row>
    <row r="491" ht="25.5" spans="1:26">
      <c r="A491" s="103" t="s">
        <v>2356</v>
      </c>
      <c r="B491" s="104" t="s">
        <v>132</v>
      </c>
      <c r="C491" s="104" t="s">
        <v>2357</v>
      </c>
      <c r="D491" s="104">
        <v>70</v>
      </c>
      <c r="E491" s="105" t="s">
        <v>134</v>
      </c>
      <c r="F491" s="125" t="s">
        <v>8289</v>
      </c>
      <c r="G491" s="126" t="s">
        <v>8290</v>
      </c>
      <c r="H491" s="126" t="s">
        <v>8291</v>
      </c>
      <c r="I491" s="126" t="s">
        <v>8174</v>
      </c>
      <c r="J491" s="126" t="s">
        <v>8292</v>
      </c>
      <c r="K491" s="90"/>
      <c r="L491" s="58"/>
      <c r="M491" s="58"/>
      <c r="N491" s="58"/>
      <c r="O491" s="58"/>
      <c r="P491" s="58"/>
      <c r="Q491" s="58"/>
      <c r="R491" s="58"/>
      <c r="S491" s="58"/>
      <c r="T491" s="58"/>
      <c r="U491" s="58"/>
      <c r="V491" s="58"/>
      <c r="W491" s="58"/>
      <c r="X491" s="58"/>
      <c r="Y491" s="58"/>
      <c r="Z491" s="58"/>
    </row>
    <row r="492" spans="1:26">
      <c r="A492" s="103" t="s">
        <v>2735</v>
      </c>
      <c r="B492" s="104" t="s">
        <v>139</v>
      </c>
      <c r="C492" s="104" t="s">
        <v>2736</v>
      </c>
      <c r="D492" s="104" t="s">
        <v>5177</v>
      </c>
      <c r="E492" s="105" t="s">
        <v>141</v>
      </c>
      <c r="F492" s="125" t="s">
        <v>7465</v>
      </c>
      <c r="G492" s="126" t="s">
        <v>8293</v>
      </c>
      <c r="H492" s="126" t="s">
        <v>8294</v>
      </c>
      <c r="I492" s="126" t="s">
        <v>8174</v>
      </c>
      <c r="J492" s="126" t="s">
        <v>8295</v>
      </c>
      <c r="K492" s="90"/>
      <c r="L492" s="58"/>
      <c r="M492" s="58"/>
      <c r="N492" s="58"/>
      <c r="O492" s="58"/>
      <c r="P492" s="58"/>
      <c r="Q492" s="58"/>
      <c r="R492" s="58"/>
      <c r="S492" s="58"/>
      <c r="T492" s="58"/>
      <c r="U492" s="58"/>
      <c r="V492" s="58"/>
      <c r="W492" s="58"/>
      <c r="X492" s="58"/>
      <c r="Y492" s="58"/>
      <c r="Z492" s="58"/>
    </row>
    <row r="493" ht="38.25" spans="1:26">
      <c r="A493" s="103" t="s">
        <v>1476</v>
      </c>
      <c r="B493" s="104" t="s">
        <v>132</v>
      </c>
      <c r="C493" s="104" t="s">
        <v>1477</v>
      </c>
      <c r="D493" s="104" t="s">
        <v>3177</v>
      </c>
      <c r="E493" s="105" t="s">
        <v>134</v>
      </c>
      <c r="F493" s="125" t="s">
        <v>7588</v>
      </c>
      <c r="G493" s="126" t="s">
        <v>8296</v>
      </c>
      <c r="H493" s="126" t="s">
        <v>8297</v>
      </c>
      <c r="I493" s="126" t="s">
        <v>8174</v>
      </c>
      <c r="J493" s="126" t="s">
        <v>8298</v>
      </c>
      <c r="K493" s="90"/>
      <c r="L493" s="58"/>
      <c r="M493" s="58"/>
      <c r="N493" s="58"/>
      <c r="O493" s="58"/>
      <c r="P493" s="58"/>
      <c r="Q493" s="58"/>
      <c r="R493" s="58"/>
      <c r="S493" s="58"/>
      <c r="T493" s="58"/>
      <c r="U493" s="58"/>
      <c r="V493" s="58"/>
      <c r="W493" s="58"/>
      <c r="X493" s="58"/>
      <c r="Y493" s="58"/>
      <c r="Z493" s="58"/>
    </row>
    <row r="494" ht="38.25" spans="1:26">
      <c r="A494" s="103" t="s">
        <v>1563</v>
      </c>
      <c r="B494" s="104" t="s">
        <v>132</v>
      </c>
      <c r="C494" s="104" t="s">
        <v>1564</v>
      </c>
      <c r="D494" s="104" t="s">
        <v>3177</v>
      </c>
      <c r="E494" s="105" t="s">
        <v>134</v>
      </c>
      <c r="F494" s="125" t="s">
        <v>7588</v>
      </c>
      <c r="G494" s="126" t="s">
        <v>8296</v>
      </c>
      <c r="H494" s="126" t="s">
        <v>8297</v>
      </c>
      <c r="I494" s="126" t="s">
        <v>8174</v>
      </c>
      <c r="J494" s="126" t="s">
        <v>8299</v>
      </c>
      <c r="K494" s="90"/>
      <c r="L494" s="58"/>
      <c r="M494" s="58"/>
      <c r="N494" s="58"/>
      <c r="O494" s="58"/>
      <c r="P494" s="58"/>
      <c r="Q494" s="58"/>
      <c r="R494" s="58"/>
      <c r="S494" s="58"/>
      <c r="T494" s="58"/>
      <c r="U494" s="58"/>
      <c r="V494" s="58"/>
      <c r="W494" s="58"/>
      <c r="X494" s="58"/>
      <c r="Y494" s="58"/>
      <c r="Z494" s="58"/>
    </row>
    <row r="495" ht="25.5" spans="1:26">
      <c r="A495" s="103" t="s">
        <v>2338</v>
      </c>
      <c r="B495" s="104" t="s">
        <v>132</v>
      </c>
      <c r="C495" s="104" t="s">
        <v>2339</v>
      </c>
      <c r="D495" s="104">
        <v>70</v>
      </c>
      <c r="E495" s="105" t="s">
        <v>134</v>
      </c>
      <c r="F495" s="125" t="s">
        <v>7134</v>
      </c>
      <c r="G495" s="126" t="s">
        <v>7938</v>
      </c>
      <c r="H495" s="126" t="s">
        <v>8300</v>
      </c>
      <c r="I495" s="126" t="s">
        <v>8174</v>
      </c>
      <c r="J495" s="126" t="s">
        <v>8301</v>
      </c>
      <c r="K495" s="90"/>
      <c r="L495" s="58"/>
      <c r="M495" s="58"/>
      <c r="N495" s="58"/>
      <c r="O495" s="58"/>
      <c r="P495" s="58"/>
      <c r="Q495" s="58"/>
      <c r="R495" s="58"/>
      <c r="S495" s="58"/>
      <c r="T495" s="58"/>
      <c r="U495" s="58"/>
      <c r="V495" s="58"/>
      <c r="W495" s="58"/>
      <c r="X495" s="58"/>
      <c r="Y495" s="58"/>
      <c r="Z495" s="58"/>
    </row>
    <row r="496" ht="25.5" spans="1:26">
      <c r="A496" s="103" t="s">
        <v>2368</v>
      </c>
      <c r="B496" s="104" t="s">
        <v>132</v>
      </c>
      <c r="C496" s="104" t="s">
        <v>2369</v>
      </c>
      <c r="D496" s="104">
        <v>70</v>
      </c>
      <c r="E496" s="105" t="s">
        <v>134</v>
      </c>
      <c r="F496" s="125" t="s">
        <v>7134</v>
      </c>
      <c r="G496" s="126" t="s">
        <v>7938</v>
      </c>
      <c r="H496" s="126" t="s">
        <v>8300</v>
      </c>
      <c r="I496" s="126" t="s">
        <v>8174</v>
      </c>
      <c r="J496" s="126" t="s">
        <v>8302</v>
      </c>
      <c r="K496" s="90"/>
      <c r="L496" s="58"/>
      <c r="M496" s="58"/>
      <c r="N496" s="58"/>
      <c r="O496" s="58"/>
      <c r="P496" s="58"/>
      <c r="Q496" s="58"/>
      <c r="R496" s="58"/>
      <c r="S496" s="58"/>
      <c r="T496" s="58"/>
      <c r="U496" s="58"/>
      <c r="V496" s="58"/>
      <c r="W496" s="58"/>
      <c r="X496" s="58"/>
      <c r="Y496" s="58"/>
      <c r="Z496" s="58"/>
    </row>
    <row r="497" ht="25.5" spans="1:26">
      <c r="A497" s="103" t="s">
        <v>1101</v>
      </c>
      <c r="B497" s="104" t="s">
        <v>139</v>
      </c>
      <c r="C497" s="104" t="s">
        <v>1102</v>
      </c>
      <c r="D497" s="104" t="s">
        <v>3235</v>
      </c>
      <c r="E497" s="105" t="s">
        <v>134</v>
      </c>
      <c r="F497" s="125" t="s">
        <v>6684</v>
      </c>
      <c r="G497" s="126" t="s">
        <v>8303</v>
      </c>
      <c r="H497" s="126" t="s">
        <v>8304</v>
      </c>
      <c r="I497" s="126" t="s">
        <v>8174</v>
      </c>
      <c r="J497" s="126" t="s">
        <v>8305</v>
      </c>
      <c r="K497" s="90"/>
      <c r="L497" s="58"/>
      <c r="M497" s="58"/>
      <c r="N497" s="58"/>
      <c r="O497" s="58"/>
      <c r="P497" s="58"/>
      <c r="Q497" s="58"/>
      <c r="R497" s="58"/>
      <c r="S497" s="58"/>
      <c r="T497" s="58"/>
      <c r="U497" s="58"/>
      <c r="V497" s="58"/>
      <c r="W497" s="58"/>
      <c r="X497" s="58"/>
      <c r="Y497" s="58"/>
      <c r="Z497" s="58"/>
    </row>
    <row r="498" ht="25.5" spans="1:26">
      <c r="A498" s="103" t="s">
        <v>1900</v>
      </c>
      <c r="B498" s="104" t="s">
        <v>149</v>
      </c>
      <c r="C498" s="104" t="s">
        <v>1901</v>
      </c>
      <c r="D498" s="104" t="s">
        <v>4599</v>
      </c>
      <c r="E498" s="105" t="s">
        <v>134</v>
      </c>
      <c r="F498" s="125" t="s">
        <v>6881</v>
      </c>
      <c r="G498" s="126" t="s">
        <v>8306</v>
      </c>
      <c r="H498" s="126" t="s">
        <v>8307</v>
      </c>
      <c r="I498" s="126" t="s">
        <v>8174</v>
      </c>
      <c r="J498" s="126" t="s">
        <v>8308</v>
      </c>
      <c r="K498" s="90"/>
      <c r="L498" s="58"/>
      <c r="M498" s="58"/>
      <c r="N498" s="58"/>
      <c r="O498" s="58"/>
      <c r="P498" s="58"/>
      <c r="Q498" s="58"/>
      <c r="R498" s="58"/>
      <c r="S498" s="58"/>
      <c r="T498" s="58"/>
      <c r="U498" s="58"/>
      <c r="V498" s="58"/>
      <c r="W498" s="58"/>
      <c r="X498" s="58"/>
      <c r="Y498" s="58"/>
      <c r="Z498" s="58"/>
    </row>
    <row r="499" ht="25.5" spans="1:26">
      <c r="A499" s="103" t="s">
        <v>116</v>
      </c>
      <c r="B499" s="104" t="s">
        <v>77</v>
      </c>
      <c r="C499" s="104" t="s">
        <v>117</v>
      </c>
      <c r="D499" s="104">
        <v>1</v>
      </c>
      <c r="E499" s="105" t="s">
        <v>141</v>
      </c>
      <c r="F499" s="125" t="s">
        <v>7218</v>
      </c>
      <c r="G499" s="126" t="s">
        <v>6682</v>
      </c>
      <c r="H499" s="126" t="s">
        <v>8309</v>
      </c>
      <c r="I499" s="126" t="s">
        <v>8174</v>
      </c>
      <c r="J499" s="126" t="s">
        <v>8310</v>
      </c>
      <c r="K499" s="90"/>
      <c r="L499" s="58"/>
      <c r="M499" s="58"/>
      <c r="N499" s="58"/>
      <c r="O499" s="58"/>
      <c r="P499" s="58"/>
      <c r="Q499" s="58"/>
      <c r="R499" s="58"/>
      <c r="S499" s="58"/>
      <c r="T499" s="58"/>
      <c r="U499" s="58"/>
      <c r="V499" s="58"/>
      <c r="W499" s="58"/>
      <c r="X499" s="58"/>
      <c r="Y499" s="58"/>
      <c r="Z499" s="58"/>
    </row>
    <row r="500" ht="25.5" spans="1:26">
      <c r="A500" s="103" t="s">
        <v>1695</v>
      </c>
      <c r="B500" s="104" t="s">
        <v>132</v>
      </c>
      <c r="C500" s="104" t="s">
        <v>1696</v>
      </c>
      <c r="D500" s="104">
        <v>65</v>
      </c>
      <c r="E500" s="105" t="s">
        <v>134</v>
      </c>
      <c r="F500" s="125" t="s">
        <v>6603</v>
      </c>
      <c r="G500" s="126" t="s">
        <v>8311</v>
      </c>
      <c r="H500" s="126" t="s">
        <v>8311</v>
      </c>
      <c r="I500" s="126" t="s">
        <v>8174</v>
      </c>
      <c r="J500" s="126" t="s">
        <v>8312</v>
      </c>
      <c r="K500" s="90"/>
      <c r="L500" s="58"/>
      <c r="M500" s="58"/>
      <c r="N500" s="58"/>
      <c r="O500" s="58"/>
      <c r="P500" s="58"/>
      <c r="Q500" s="58"/>
      <c r="R500" s="58"/>
      <c r="S500" s="58"/>
      <c r="T500" s="58"/>
      <c r="U500" s="58"/>
      <c r="V500" s="58"/>
      <c r="W500" s="58"/>
      <c r="X500" s="58"/>
      <c r="Y500" s="58"/>
      <c r="Z500" s="58"/>
    </row>
    <row r="501" ht="25.5" spans="1:26">
      <c r="A501" s="103" t="s">
        <v>1519</v>
      </c>
      <c r="B501" s="104" t="s">
        <v>139</v>
      </c>
      <c r="C501" s="104" t="s">
        <v>1520</v>
      </c>
      <c r="D501" s="104" t="s">
        <v>3221</v>
      </c>
      <c r="E501" s="105" t="s">
        <v>204</v>
      </c>
      <c r="F501" s="125" t="s">
        <v>7629</v>
      </c>
      <c r="G501" s="126" t="s">
        <v>8313</v>
      </c>
      <c r="H501" s="126" t="s">
        <v>8314</v>
      </c>
      <c r="I501" s="126" t="s">
        <v>8174</v>
      </c>
      <c r="J501" s="126" t="s">
        <v>8315</v>
      </c>
      <c r="K501" s="90"/>
      <c r="L501" s="58"/>
      <c r="M501" s="58"/>
      <c r="N501" s="58"/>
      <c r="O501" s="58"/>
      <c r="P501" s="58"/>
      <c r="Q501" s="58"/>
      <c r="R501" s="58"/>
      <c r="S501" s="58"/>
      <c r="T501" s="58"/>
      <c r="U501" s="58"/>
      <c r="V501" s="58"/>
      <c r="W501" s="58"/>
      <c r="X501" s="58"/>
      <c r="Y501" s="58"/>
      <c r="Z501" s="58"/>
    </row>
    <row r="502" ht="25.5" spans="1:26">
      <c r="A502" s="103" t="s">
        <v>1882</v>
      </c>
      <c r="B502" s="104" t="s">
        <v>139</v>
      </c>
      <c r="C502" s="104" t="s">
        <v>1883</v>
      </c>
      <c r="D502" s="104" t="s">
        <v>3642</v>
      </c>
      <c r="E502" s="105" t="s">
        <v>134</v>
      </c>
      <c r="F502" s="125" t="s">
        <v>7023</v>
      </c>
      <c r="G502" s="126" t="s">
        <v>8049</v>
      </c>
      <c r="H502" s="126" t="s">
        <v>8316</v>
      </c>
      <c r="I502" s="126" t="s">
        <v>8174</v>
      </c>
      <c r="J502" s="126" t="s">
        <v>8317</v>
      </c>
      <c r="K502" s="90"/>
      <c r="L502" s="58"/>
      <c r="M502" s="58"/>
      <c r="N502" s="58"/>
      <c r="O502" s="58"/>
      <c r="P502" s="58"/>
      <c r="Q502" s="58"/>
      <c r="R502" s="58"/>
      <c r="S502" s="58"/>
      <c r="T502" s="58"/>
      <c r="U502" s="58"/>
      <c r="V502" s="58"/>
      <c r="W502" s="58"/>
      <c r="X502" s="58"/>
      <c r="Y502" s="58"/>
      <c r="Z502" s="58"/>
    </row>
    <row r="503" ht="25.5" spans="1:26">
      <c r="A503" s="103" t="s">
        <v>2383</v>
      </c>
      <c r="B503" s="104" t="s">
        <v>132</v>
      </c>
      <c r="C503" s="104" t="s">
        <v>2384</v>
      </c>
      <c r="D503" s="104">
        <v>70</v>
      </c>
      <c r="E503" s="105" t="s">
        <v>134</v>
      </c>
      <c r="F503" s="125" t="s">
        <v>7410</v>
      </c>
      <c r="G503" s="126" t="s">
        <v>8318</v>
      </c>
      <c r="H503" s="126" t="s">
        <v>8319</v>
      </c>
      <c r="I503" s="126" t="s">
        <v>8174</v>
      </c>
      <c r="J503" s="126" t="s">
        <v>8320</v>
      </c>
      <c r="K503" s="90"/>
      <c r="L503" s="58"/>
      <c r="M503" s="58"/>
      <c r="N503" s="58"/>
      <c r="O503" s="58"/>
      <c r="P503" s="58"/>
      <c r="Q503" s="58"/>
      <c r="R503" s="58"/>
      <c r="S503" s="58"/>
      <c r="T503" s="58"/>
      <c r="U503" s="58"/>
      <c r="V503" s="58"/>
      <c r="W503" s="58"/>
      <c r="X503" s="58"/>
      <c r="Y503" s="58"/>
      <c r="Z503" s="58"/>
    </row>
    <row r="504" ht="25.5" spans="1:26">
      <c r="A504" s="103" t="s">
        <v>1307</v>
      </c>
      <c r="B504" s="104" t="s">
        <v>132</v>
      </c>
      <c r="C504" s="104" t="s">
        <v>1308</v>
      </c>
      <c r="D504" s="104">
        <v>61.15</v>
      </c>
      <c r="E504" s="105" t="s">
        <v>134</v>
      </c>
      <c r="F504" s="125" t="s">
        <v>6676</v>
      </c>
      <c r="G504" s="126" t="s">
        <v>8321</v>
      </c>
      <c r="H504" s="126" t="s">
        <v>8322</v>
      </c>
      <c r="I504" s="126" t="s">
        <v>8174</v>
      </c>
      <c r="J504" s="126" t="s">
        <v>8323</v>
      </c>
      <c r="K504" s="90"/>
      <c r="L504" s="58"/>
      <c r="M504" s="58"/>
      <c r="N504" s="58"/>
      <c r="O504" s="58"/>
      <c r="P504" s="58"/>
      <c r="Q504" s="58"/>
      <c r="R504" s="58"/>
      <c r="S504" s="58"/>
      <c r="T504" s="58"/>
      <c r="U504" s="58"/>
      <c r="V504" s="58"/>
      <c r="W504" s="58"/>
      <c r="X504" s="58"/>
      <c r="Y504" s="58"/>
      <c r="Z504" s="58"/>
    </row>
    <row r="505" ht="25.5" spans="1:26">
      <c r="A505" s="103" t="s">
        <v>2418</v>
      </c>
      <c r="B505" s="104" t="s">
        <v>149</v>
      </c>
      <c r="C505" s="104" t="s">
        <v>2419</v>
      </c>
      <c r="D505" s="104" t="s">
        <v>4599</v>
      </c>
      <c r="E505" s="105" t="s">
        <v>204</v>
      </c>
      <c r="F505" s="125" t="s">
        <v>8324</v>
      </c>
      <c r="G505" s="126" t="s">
        <v>8325</v>
      </c>
      <c r="H505" s="126" t="s">
        <v>8326</v>
      </c>
      <c r="I505" s="126" t="s">
        <v>8174</v>
      </c>
      <c r="J505" s="126" t="s">
        <v>8327</v>
      </c>
      <c r="K505" s="90"/>
      <c r="L505" s="58"/>
      <c r="M505" s="58"/>
      <c r="N505" s="58"/>
      <c r="O505" s="58"/>
      <c r="P505" s="58"/>
      <c r="Q505" s="58"/>
      <c r="R505" s="58"/>
      <c r="S505" s="58"/>
      <c r="T505" s="58"/>
      <c r="U505" s="58"/>
      <c r="V505" s="58"/>
      <c r="W505" s="58"/>
      <c r="X505" s="58"/>
      <c r="Y505" s="58"/>
      <c r="Z505" s="58"/>
    </row>
    <row r="506" ht="25.5" spans="1:26">
      <c r="A506" s="103" t="s">
        <v>290</v>
      </c>
      <c r="B506" s="104" t="s">
        <v>139</v>
      </c>
      <c r="C506" s="104" t="s">
        <v>291</v>
      </c>
      <c r="D506" s="104" t="s">
        <v>3248</v>
      </c>
      <c r="E506" s="105" t="s">
        <v>141</v>
      </c>
      <c r="F506" s="125" t="s">
        <v>8328</v>
      </c>
      <c r="G506" s="126" t="s">
        <v>8329</v>
      </c>
      <c r="H506" s="126" t="s">
        <v>8330</v>
      </c>
      <c r="I506" s="126" t="s">
        <v>8174</v>
      </c>
      <c r="J506" s="126" t="s">
        <v>8331</v>
      </c>
      <c r="K506" s="90"/>
      <c r="L506" s="58"/>
      <c r="M506" s="58"/>
      <c r="N506" s="58"/>
      <c r="O506" s="58"/>
      <c r="P506" s="58"/>
      <c r="Q506" s="58"/>
      <c r="R506" s="58"/>
      <c r="S506" s="58"/>
      <c r="T506" s="58"/>
      <c r="U506" s="58"/>
      <c r="V506" s="58"/>
      <c r="W506" s="58"/>
      <c r="X506" s="58"/>
      <c r="Y506" s="58"/>
      <c r="Z506" s="58"/>
    </row>
    <row r="507" ht="38.25" spans="1:26">
      <c r="A507" s="103" t="s">
        <v>1486</v>
      </c>
      <c r="B507" s="104" t="s">
        <v>132</v>
      </c>
      <c r="C507" s="104" t="s">
        <v>1487</v>
      </c>
      <c r="D507" s="104" t="s">
        <v>3177</v>
      </c>
      <c r="E507" s="105" t="s">
        <v>134</v>
      </c>
      <c r="F507" s="125" t="s">
        <v>6603</v>
      </c>
      <c r="G507" s="126" t="s">
        <v>8332</v>
      </c>
      <c r="H507" s="126" t="s">
        <v>8332</v>
      </c>
      <c r="I507" s="126" t="s">
        <v>8174</v>
      </c>
      <c r="J507" s="126" t="s">
        <v>8333</v>
      </c>
      <c r="K507" s="90"/>
      <c r="L507" s="58"/>
      <c r="M507" s="58"/>
      <c r="N507" s="58"/>
      <c r="O507" s="58"/>
      <c r="P507" s="58"/>
      <c r="Q507" s="58"/>
      <c r="R507" s="58"/>
      <c r="S507" s="58"/>
      <c r="T507" s="58"/>
      <c r="U507" s="58"/>
      <c r="V507" s="58"/>
      <c r="W507" s="58"/>
      <c r="X507" s="58"/>
      <c r="Y507" s="58"/>
      <c r="Z507" s="58"/>
    </row>
    <row r="508" ht="38.25" spans="1:26">
      <c r="A508" s="103" t="s">
        <v>1510</v>
      </c>
      <c r="B508" s="104" t="s">
        <v>132</v>
      </c>
      <c r="C508" s="104" t="s">
        <v>1511</v>
      </c>
      <c r="D508" s="104" t="s">
        <v>3177</v>
      </c>
      <c r="E508" s="105" t="s">
        <v>134</v>
      </c>
      <c r="F508" s="125" t="s">
        <v>6603</v>
      </c>
      <c r="G508" s="126" t="s">
        <v>8332</v>
      </c>
      <c r="H508" s="126" t="s">
        <v>8332</v>
      </c>
      <c r="I508" s="126" t="s">
        <v>8174</v>
      </c>
      <c r="J508" s="126" t="s">
        <v>8334</v>
      </c>
      <c r="K508" s="90"/>
      <c r="L508" s="58"/>
      <c r="M508" s="58"/>
      <c r="N508" s="58"/>
      <c r="O508" s="58"/>
      <c r="P508" s="58"/>
      <c r="Q508" s="58"/>
      <c r="R508" s="58"/>
      <c r="S508" s="58"/>
      <c r="T508" s="58"/>
      <c r="U508" s="58"/>
      <c r="V508" s="58"/>
      <c r="W508" s="58"/>
      <c r="X508" s="58"/>
      <c r="Y508" s="58"/>
      <c r="Z508" s="58"/>
    </row>
    <row r="509" ht="25.5" spans="1:26">
      <c r="A509" s="103" t="s">
        <v>404</v>
      </c>
      <c r="B509" s="104" t="s">
        <v>139</v>
      </c>
      <c r="C509" s="104" t="s">
        <v>405</v>
      </c>
      <c r="D509" s="104" t="s">
        <v>3310</v>
      </c>
      <c r="E509" s="105" t="s">
        <v>393</v>
      </c>
      <c r="F509" s="125" t="s">
        <v>8335</v>
      </c>
      <c r="G509" s="126" t="s">
        <v>8336</v>
      </c>
      <c r="H509" s="126" t="s">
        <v>8337</v>
      </c>
      <c r="I509" s="126" t="s">
        <v>8174</v>
      </c>
      <c r="J509" s="126" t="s">
        <v>8338</v>
      </c>
      <c r="K509" s="90"/>
      <c r="L509" s="58"/>
      <c r="M509" s="58"/>
      <c r="N509" s="58"/>
      <c r="O509" s="58"/>
      <c r="P509" s="58"/>
      <c r="Q509" s="58"/>
      <c r="R509" s="58"/>
      <c r="S509" s="58"/>
      <c r="T509" s="58"/>
      <c r="U509" s="58"/>
      <c r="V509" s="58"/>
      <c r="W509" s="58"/>
      <c r="X509" s="58"/>
      <c r="Y509" s="58"/>
      <c r="Z509" s="58"/>
    </row>
    <row r="510" ht="25.5" spans="1:26">
      <c r="A510" s="103" t="s">
        <v>1005</v>
      </c>
      <c r="B510" s="104" t="s">
        <v>149</v>
      </c>
      <c r="C510" s="104" t="s">
        <v>1006</v>
      </c>
      <c r="D510" s="104" t="s">
        <v>3953</v>
      </c>
      <c r="E510" s="105" t="s">
        <v>204</v>
      </c>
      <c r="F510" s="125" t="s">
        <v>6798</v>
      </c>
      <c r="G510" s="126" t="s">
        <v>8339</v>
      </c>
      <c r="H510" s="126" t="s">
        <v>8340</v>
      </c>
      <c r="I510" s="126" t="s">
        <v>8174</v>
      </c>
      <c r="J510" s="126" t="s">
        <v>8341</v>
      </c>
      <c r="K510" s="90"/>
      <c r="L510" s="58"/>
      <c r="M510" s="58"/>
      <c r="N510" s="58"/>
      <c r="O510" s="58"/>
      <c r="P510" s="58"/>
      <c r="Q510" s="58"/>
      <c r="R510" s="58"/>
      <c r="S510" s="58"/>
      <c r="T510" s="58"/>
      <c r="U510" s="58"/>
      <c r="V510" s="58"/>
      <c r="W510" s="58"/>
      <c r="X510" s="58"/>
      <c r="Y510" s="58"/>
      <c r="Z510" s="58"/>
    </row>
    <row r="511" ht="25.5" spans="1:26">
      <c r="A511" s="103" t="s">
        <v>2211</v>
      </c>
      <c r="B511" s="104" t="s">
        <v>132</v>
      </c>
      <c r="C511" s="104" t="s">
        <v>2212</v>
      </c>
      <c r="D511" s="104">
        <v>112</v>
      </c>
      <c r="E511" s="105" t="s">
        <v>134</v>
      </c>
      <c r="F511" s="125" t="s">
        <v>6676</v>
      </c>
      <c r="G511" s="126" t="s">
        <v>8342</v>
      </c>
      <c r="H511" s="126" t="s">
        <v>8343</v>
      </c>
      <c r="I511" s="126" t="s">
        <v>8174</v>
      </c>
      <c r="J511" s="126" t="s">
        <v>8344</v>
      </c>
      <c r="K511" s="90"/>
      <c r="L511" s="58"/>
      <c r="M511" s="58"/>
      <c r="N511" s="58"/>
      <c r="O511" s="58"/>
      <c r="P511" s="58"/>
      <c r="Q511" s="58"/>
      <c r="R511" s="58"/>
      <c r="S511" s="58"/>
      <c r="T511" s="58"/>
      <c r="U511" s="58"/>
      <c r="V511" s="58"/>
      <c r="W511" s="58"/>
      <c r="X511" s="58"/>
      <c r="Y511" s="58"/>
      <c r="Z511" s="58"/>
    </row>
    <row r="512" ht="38.25" spans="1:26">
      <c r="A512" s="103" t="s">
        <v>1125</v>
      </c>
      <c r="B512" s="104" t="s">
        <v>132</v>
      </c>
      <c r="C512" s="104" t="s">
        <v>1126</v>
      </c>
      <c r="D512" s="104" t="s">
        <v>3177</v>
      </c>
      <c r="E512" s="105" t="s">
        <v>134</v>
      </c>
      <c r="F512" s="125" t="s">
        <v>8345</v>
      </c>
      <c r="G512" s="126" t="s">
        <v>8346</v>
      </c>
      <c r="H512" s="126" t="s">
        <v>8347</v>
      </c>
      <c r="I512" s="126" t="s">
        <v>8174</v>
      </c>
      <c r="J512" s="126" t="s">
        <v>8348</v>
      </c>
      <c r="K512" s="90"/>
      <c r="L512" s="58"/>
      <c r="M512" s="58"/>
      <c r="N512" s="58"/>
      <c r="O512" s="58"/>
      <c r="P512" s="58"/>
      <c r="Q512" s="58"/>
      <c r="R512" s="58"/>
      <c r="S512" s="58"/>
      <c r="T512" s="58"/>
      <c r="U512" s="58"/>
      <c r="V512" s="58"/>
      <c r="W512" s="58"/>
      <c r="X512" s="58"/>
      <c r="Y512" s="58"/>
      <c r="Z512" s="58"/>
    </row>
    <row r="513" ht="25.5" spans="1:26">
      <c r="A513" s="103" t="s">
        <v>2500</v>
      </c>
      <c r="B513" s="104" t="s">
        <v>77</v>
      </c>
      <c r="C513" s="104" t="s">
        <v>2501</v>
      </c>
      <c r="D513" s="104">
        <v>15</v>
      </c>
      <c r="E513" s="105" t="s">
        <v>134</v>
      </c>
      <c r="F513" s="125" t="s">
        <v>7230</v>
      </c>
      <c r="G513" s="126" t="s">
        <v>8349</v>
      </c>
      <c r="H513" s="126" t="s">
        <v>8350</v>
      </c>
      <c r="I513" s="126" t="s">
        <v>8174</v>
      </c>
      <c r="J513" s="126" t="s">
        <v>8351</v>
      </c>
      <c r="K513" s="90"/>
      <c r="L513" s="58"/>
      <c r="M513" s="58"/>
      <c r="N513" s="58"/>
      <c r="O513" s="58"/>
      <c r="P513" s="58"/>
      <c r="Q513" s="58"/>
      <c r="R513" s="58"/>
      <c r="S513" s="58"/>
      <c r="T513" s="58"/>
      <c r="U513" s="58"/>
      <c r="V513" s="58"/>
      <c r="W513" s="58"/>
      <c r="X513" s="58"/>
      <c r="Y513" s="58"/>
      <c r="Z513" s="58"/>
    </row>
    <row r="514" spans="1:26">
      <c r="A514" s="103" t="s">
        <v>1665</v>
      </c>
      <c r="B514" s="104" t="s">
        <v>132</v>
      </c>
      <c r="C514" s="104" t="s">
        <v>1666</v>
      </c>
      <c r="D514" s="104" t="s">
        <v>2968</v>
      </c>
      <c r="E514" s="105" t="s">
        <v>134</v>
      </c>
      <c r="F514" s="125" t="s">
        <v>6603</v>
      </c>
      <c r="G514" s="126" t="s">
        <v>8352</v>
      </c>
      <c r="H514" s="126" t="s">
        <v>8352</v>
      </c>
      <c r="I514" s="126" t="s">
        <v>8174</v>
      </c>
      <c r="J514" s="126" t="s">
        <v>8353</v>
      </c>
      <c r="K514" s="90"/>
      <c r="L514" s="58"/>
      <c r="M514" s="58"/>
      <c r="N514" s="58"/>
      <c r="O514" s="58"/>
      <c r="P514" s="58"/>
      <c r="Q514" s="58"/>
      <c r="R514" s="58"/>
      <c r="S514" s="58"/>
      <c r="T514" s="58"/>
      <c r="U514" s="58"/>
      <c r="V514" s="58"/>
      <c r="W514" s="58"/>
      <c r="X514" s="58"/>
      <c r="Y514" s="58"/>
      <c r="Z514" s="58"/>
    </row>
    <row r="515" ht="25.5" spans="1:26">
      <c r="A515" s="103" t="s">
        <v>439</v>
      </c>
      <c r="B515" s="104" t="s">
        <v>139</v>
      </c>
      <c r="C515" s="104" t="s">
        <v>440</v>
      </c>
      <c r="D515" s="104" t="s">
        <v>3310</v>
      </c>
      <c r="E515" s="105" t="s">
        <v>393</v>
      </c>
      <c r="F515" s="125" t="s">
        <v>8354</v>
      </c>
      <c r="G515" s="126" t="s">
        <v>8355</v>
      </c>
      <c r="H515" s="126" t="s">
        <v>8356</v>
      </c>
      <c r="I515" s="126" t="s">
        <v>8174</v>
      </c>
      <c r="J515" s="126" t="s">
        <v>8357</v>
      </c>
      <c r="K515" s="90"/>
      <c r="L515" s="58"/>
      <c r="M515" s="58"/>
      <c r="N515" s="58"/>
      <c r="O515" s="58"/>
      <c r="P515" s="58"/>
      <c r="Q515" s="58"/>
      <c r="R515" s="58"/>
      <c r="S515" s="58"/>
      <c r="T515" s="58"/>
      <c r="U515" s="58"/>
      <c r="V515" s="58"/>
      <c r="W515" s="58"/>
      <c r="X515" s="58"/>
      <c r="Y515" s="58"/>
      <c r="Z515" s="58"/>
    </row>
    <row r="516" ht="38.25" spans="1:26">
      <c r="A516" s="103" t="s">
        <v>1574</v>
      </c>
      <c r="B516" s="104" t="s">
        <v>139</v>
      </c>
      <c r="C516" s="104" t="s">
        <v>1575</v>
      </c>
      <c r="D516" s="104" t="s">
        <v>3150</v>
      </c>
      <c r="E516" s="105" t="s">
        <v>134</v>
      </c>
      <c r="F516" s="125" t="s">
        <v>8180</v>
      </c>
      <c r="G516" s="126" t="s">
        <v>8358</v>
      </c>
      <c r="H516" s="126" t="s">
        <v>8359</v>
      </c>
      <c r="I516" s="126" t="s">
        <v>8174</v>
      </c>
      <c r="J516" s="126" t="s">
        <v>8360</v>
      </c>
      <c r="K516" s="90"/>
      <c r="L516" s="58"/>
      <c r="M516" s="58"/>
      <c r="N516" s="58"/>
      <c r="O516" s="58"/>
      <c r="P516" s="58"/>
      <c r="Q516" s="58"/>
      <c r="R516" s="58"/>
      <c r="S516" s="58"/>
      <c r="T516" s="58"/>
      <c r="U516" s="58"/>
      <c r="V516" s="58"/>
      <c r="W516" s="58"/>
      <c r="X516" s="58"/>
      <c r="Y516" s="58"/>
      <c r="Z516" s="58"/>
    </row>
    <row r="517" ht="25.5" spans="1:26">
      <c r="A517" s="103" t="s">
        <v>2386</v>
      </c>
      <c r="B517" s="104" t="s">
        <v>132</v>
      </c>
      <c r="C517" s="104" t="s">
        <v>2387</v>
      </c>
      <c r="D517" s="104">
        <v>70</v>
      </c>
      <c r="E517" s="105" t="s">
        <v>134</v>
      </c>
      <c r="F517" s="125" t="s">
        <v>8289</v>
      </c>
      <c r="G517" s="126" t="s">
        <v>8361</v>
      </c>
      <c r="H517" s="126" t="s">
        <v>8362</v>
      </c>
      <c r="I517" s="126" t="s">
        <v>8174</v>
      </c>
      <c r="J517" s="126" t="s">
        <v>8363</v>
      </c>
      <c r="K517" s="90"/>
      <c r="L517" s="58"/>
      <c r="M517" s="58"/>
      <c r="N517" s="58"/>
      <c r="O517" s="58"/>
      <c r="P517" s="58"/>
      <c r="Q517" s="58"/>
      <c r="R517" s="58"/>
      <c r="S517" s="58"/>
      <c r="T517" s="58"/>
      <c r="U517" s="58"/>
      <c r="V517" s="58"/>
      <c r="W517" s="58"/>
      <c r="X517" s="58"/>
      <c r="Y517" s="58"/>
      <c r="Z517" s="58"/>
    </row>
    <row r="518" ht="25.5" spans="1:26">
      <c r="A518" s="103" t="s">
        <v>2043</v>
      </c>
      <c r="B518" s="104" t="s">
        <v>149</v>
      </c>
      <c r="C518" s="104" t="s">
        <v>2044</v>
      </c>
      <c r="D518" s="104" t="s">
        <v>3657</v>
      </c>
      <c r="E518" s="105" t="s">
        <v>134</v>
      </c>
      <c r="F518" s="125" t="s">
        <v>6676</v>
      </c>
      <c r="G518" s="126" t="s">
        <v>8364</v>
      </c>
      <c r="H518" s="126" t="s">
        <v>8365</v>
      </c>
      <c r="I518" s="126" t="s">
        <v>8174</v>
      </c>
      <c r="J518" s="126" t="s">
        <v>8366</v>
      </c>
      <c r="K518" s="90"/>
      <c r="L518" s="58"/>
      <c r="M518" s="58"/>
      <c r="N518" s="58"/>
      <c r="O518" s="58"/>
      <c r="P518" s="58"/>
      <c r="Q518" s="58"/>
      <c r="R518" s="58"/>
      <c r="S518" s="58"/>
      <c r="T518" s="58"/>
      <c r="U518" s="58"/>
      <c r="V518" s="58"/>
      <c r="W518" s="58"/>
      <c r="X518" s="58"/>
      <c r="Y518" s="58"/>
      <c r="Z518" s="58"/>
    </row>
    <row r="519" ht="25.5" spans="1:26">
      <c r="A519" s="103" t="s">
        <v>944</v>
      </c>
      <c r="B519" s="104" t="s">
        <v>139</v>
      </c>
      <c r="C519" s="104" t="s">
        <v>945</v>
      </c>
      <c r="D519" s="104" t="s">
        <v>3516</v>
      </c>
      <c r="E519" s="105" t="s">
        <v>134</v>
      </c>
      <c r="F519" s="125" t="s">
        <v>6653</v>
      </c>
      <c r="G519" s="126" t="s">
        <v>8367</v>
      </c>
      <c r="H519" s="126" t="s">
        <v>8368</v>
      </c>
      <c r="I519" s="126" t="s">
        <v>8174</v>
      </c>
      <c r="J519" s="126" t="s">
        <v>8369</v>
      </c>
      <c r="K519" s="90"/>
      <c r="L519" s="58"/>
      <c r="M519" s="58"/>
      <c r="N519" s="58"/>
      <c r="O519" s="58"/>
      <c r="P519" s="58"/>
      <c r="Q519" s="58"/>
      <c r="R519" s="58"/>
      <c r="S519" s="58"/>
      <c r="T519" s="58"/>
      <c r="U519" s="58"/>
      <c r="V519" s="58"/>
      <c r="W519" s="58"/>
      <c r="X519" s="58"/>
      <c r="Y519" s="58"/>
      <c r="Z519" s="58"/>
    </row>
    <row r="520" spans="1:26">
      <c r="A520" s="103" t="s">
        <v>1062</v>
      </c>
      <c r="B520" s="104" t="s">
        <v>149</v>
      </c>
      <c r="C520" s="104" t="s">
        <v>1063</v>
      </c>
      <c r="D520" s="104" t="s">
        <v>4007</v>
      </c>
      <c r="E520" s="105" t="s">
        <v>134</v>
      </c>
      <c r="F520" s="125" t="s">
        <v>7894</v>
      </c>
      <c r="G520" s="126" t="s">
        <v>8370</v>
      </c>
      <c r="H520" s="126" t="s">
        <v>8371</v>
      </c>
      <c r="I520" s="126" t="s">
        <v>8174</v>
      </c>
      <c r="J520" s="126" t="s">
        <v>8372</v>
      </c>
      <c r="K520" s="90"/>
      <c r="L520" s="58"/>
      <c r="M520" s="58"/>
      <c r="N520" s="58"/>
      <c r="O520" s="58"/>
      <c r="P520" s="58"/>
      <c r="Q520" s="58"/>
      <c r="R520" s="58"/>
      <c r="S520" s="58"/>
      <c r="T520" s="58"/>
      <c r="U520" s="58"/>
      <c r="V520" s="58"/>
      <c r="W520" s="58"/>
      <c r="X520" s="58"/>
      <c r="Y520" s="58"/>
      <c r="Z520" s="58"/>
    </row>
    <row r="521" ht="25.5" spans="1:26">
      <c r="A521" s="103" t="s">
        <v>2677</v>
      </c>
      <c r="B521" s="104" t="s">
        <v>139</v>
      </c>
      <c r="C521" s="104" t="s">
        <v>2678</v>
      </c>
      <c r="D521" s="104" t="s">
        <v>3013</v>
      </c>
      <c r="E521" s="105" t="s">
        <v>141</v>
      </c>
      <c r="F521" s="125" t="s">
        <v>8373</v>
      </c>
      <c r="G521" s="126" t="s">
        <v>8374</v>
      </c>
      <c r="H521" s="126" t="s">
        <v>8375</v>
      </c>
      <c r="I521" s="126" t="s">
        <v>8174</v>
      </c>
      <c r="J521" s="126" t="s">
        <v>8376</v>
      </c>
      <c r="K521" s="90"/>
      <c r="L521" s="58"/>
      <c r="M521" s="58"/>
      <c r="N521" s="58"/>
      <c r="O521" s="58"/>
      <c r="P521" s="58"/>
      <c r="Q521" s="58"/>
      <c r="R521" s="58"/>
      <c r="S521" s="58"/>
      <c r="T521" s="58"/>
      <c r="U521" s="58"/>
      <c r="V521" s="58"/>
      <c r="W521" s="58"/>
      <c r="X521" s="58"/>
      <c r="Y521" s="58"/>
      <c r="Z521" s="58"/>
    </row>
    <row r="522" ht="25.5" spans="1:26">
      <c r="A522" s="103" t="s">
        <v>1313</v>
      </c>
      <c r="B522" s="104" t="s">
        <v>132</v>
      </c>
      <c r="C522" s="104" t="s">
        <v>1314</v>
      </c>
      <c r="D522" s="104">
        <v>61.15</v>
      </c>
      <c r="E522" s="105" t="s">
        <v>134</v>
      </c>
      <c r="F522" s="125" t="s">
        <v>6676</v>
      </c>
      <c r="G522" s="126" t="s">
        <v>8377</v>
      </c>
      <c r="H522" s="126" t="s">
        <v>8378</v>
      </c>
      <c r="I522" s="126" t="s">
        <v>8174</v>
      </c>
      <c r="J522" s="126" t="s">
        <v>8379</v>
      </c>
      <c r="K522" s="90"/>
      <c r="L522" s="58"/>
      <c r="M522" s="58"/>
      <c r="N522" s="58"/>
      <c r="O522" s="58"/>
      <c r="P522" s="58"/>
      <c r="Q522" s="58"/>
      <c r="R522" s="58"/>
      <c r="S522" s="58"/>
      <c r="T522" s="58"/>
      <c r="U522" s="58"/>
      <c r="V522" s="58"/>
      <c r="W522" s="58"/>
      <c r="X522" s="58"/>
      <c r="Y522" s="58"/>
      <c r="Z522" s="58"/>
    </row>
    <row r="523" ht="25.5" spans="1:26">
      <c r="A523" s="103" t="s">
        <v>345</v>
      </c>
      <c r="B523" s="104" t="s">
        <v>77</v>
      </c>
      <c r="C523" s="104" t="s">
        <v>346</v>
      </c>
      <c r="D523" s="104">
        <v>4</v>
      </c>
      <c r="E523" s="105" t="s">
        <v>347</v>
      </c>
      <c r="F523" s="125" t="s">
        <v>8380</v>
      </c>
      <c r="G523" s="126" t="s">
        <v>7017</v>
      </c>
      <c r="H523" s="126" t="s">
        <v>8381</v>
      </c>
      <c r="I523" s="126" t="s">
        <v>8174</v>
      </c>
      <c r="J523" s="126" t="s">
        <v>8382</v>
      </c>
      <c r="K523" s="90"/>
      <c r="L523" s="58"/>
      <c r="M523" s="58"/>
      <c r="N523" s="58"/>
      <c r="O523" s="58"/>
      <c r="P523" s="58"/>
      <c r="Q523" s="58"/>
      <c r="R523" s="58"/>
      <c r="S523" s="58"/>
      <c r="T523" s="58"/>
      <c r="U523" s="58"/>
      <c r="V523" s="58"/>
      <c r="W523" s="58"/>
      <c r="X523" s="58"/>
      <c r="Y523" s="58"/>
      <c r="Z523" s="58"/>
    </row>
    <row r="524" ht="25.5" spans="1:26">
      <c r="A524" s="103" t="s">
        <v>771</v>
      </c>
      <c r="B524" s="104" t="s">
        <v>139</v>
      </c>
      <c r="C524" s="104" t="s">
        <v>772</v>
      </c>
      <c r="D524" s="104" t="s">
        <v>3642</v>
      </c>
      <c r="E524" s="105" t="s">
        <v>134</v>
      </c>
      <c r="F524" s="125" t="s">
        <v>7942</v>
      </c>
      <c r="G524" s="126" t="s">
        <v>8383</v>
      </c>
      <c r="H524" s="126" t="s">
        <v>8384</v>
      </c>
      <c r="I524" s="126" t="s">
        <v>8174</v>
      </c>
      <c r="J524" s="126" t="s">
        <v>8385</v>
      </c>
      <c r="K524" s="90"/>
      <c r="L524" s="58"/>
      <c r="M524" s="58"/>
      <c r="N524" s="58"/>
      <c r="O524" s="58"/>
      <c r="P524" s="58"/>
      <c r="Q524" s="58"/>
      <c r="R524" s="58"/>
      <c r="S524" s="58"/>
      <c r="T524" s="58"/>
      <c r="U524" s="58"/>
      <c r="V524" s="58"/>
      <c r="W524" s="58"/>
      <c r="X524" s="58"/>
      <c r="Y524" s="58"/>
      <c r="Z524" s="58"/>
    </row>
    <row r="525" ht="25.5" spans="1:26">
      <c r="A525" s="103" t="s">
        <v>841</v>
      </c>
      <c r="B525" s="104" t="s">
        <v>139</v>
      </c>
      <c r="C525" s="104" t="s">
        <v>842</v>
      </c>
      <c r="D525" s="104" t="s">
        <v>3198</v>
      </c>
      <c r="E525" s="105" t="s">
        <v>134</v>
      </c>
      <c r="F525" s="125" t="s">
        <v>7557</v>
      </c>
      <c r="G525" s="126" t="s">
        <v>8386</v>
      </c>
      <c r="H525" s="126" t="s">
        <v>8387</v>
      </c>
      <c r="I525" s="126" t="s">
        <v>8174</v>
      </c>
      <c r="J525" s="126" t="s">
        <v>8388</v>
      </c>
      <c r="K525" s="90"/>
      <c r="L525" s="58"/>
      <c r="M525" s="58"/>
      <c r="N525" s="58"/>
      <c r="O525" s="58"/>
      <c r="P525" s="58"/>
      <c r="Q525" s="58"/>
      <c r="R525" s="58"/>
      <c r="S525" s="58"/>
      <c r="T525" s="58"/>
      <c r="U525" s="58"/>
      <c r="V525" s="58"/>
      <c r="W525" s="58"/>
      <c r="X525" s="58"/>
      <c r="Y525" s="58"/>
      <c r="Z525" s="58"/>
    </row>
    <row r="526" ht="38.25" spans="1:26">
      <c r="A526" s="103" t="s">
        <v>2323</v>
      </c>
      <c r="B526" s="104" t="s">
        <v>132</v>
      </c>
      <c r="C526" s="104" t="s">
        <v>2324</v>
      </c>
      <c r="D526" s="104" t="s">
        <v>4227</v>
      </c>
      <c r="E526" s="105" t="s">
        <v>134</v>
      </c>
      <c r="F526" s="125" t="s">
        <v>6603</v>
      </c>
      <c r="G526" s="126" t="s">
        <v>8389</v>
      </c>
      <c r="H526" s="126" t="s">
        <v>8389</v>
      </c>
      <c r="I526" s="126" t="s">
        <v>8174</v>
      </c>
      <c r="J526" s="126" t="s">
        <v>8390</v>
      </c>
      <c r="K526" s="90"/>
      <c r="L526" s="58"/>
      <c r="M526" s="58"/>
      <c r="N526" s="58"/>
      <c r="O526" s="58"/>
      <c r="P526" s="58"/>
      <c r="Q526" s="58"/>
      <c r="R526" s="58"/>
      <c r="S526" s="58"/>
      <c r="T526" s="58"/>
      <c r="U526" s="58"/>
      <c r="V526" s="58"/>
      <c r="W526" s="58"/>
      <c r="X526" s="58"/>
      <c r="Y526" s="58"/>
      <c r="Z526" s="58"/>
    </row>
    <row r="527" ht="38.25" spans="1:26">
      <c r="A527" s="103" t="s">
        <v>2320</v>
      </c>
      <c r="B527" s="104" t="s">
        <v>132</v>
      </c>
      <c r="C527" s="104" t="s">
        <v>2321</v>
      </c>
      <c r="D527" s="104" t="s">
        <v>4227</v>
      </c>
      <c r="E527" s="105" t="s">
        <v>134</v>
      </c>
      <c r="F527" s="125" t="s">
        <v>6603</v>
      </c>
      <c r="G527" s="126" t="s">
        <v>8389</v>
      </c>
      <c r="H527" s="126" t="s">
        <v>8389</v>
      </c>
      <c r="I527" s="126" t="s">
        <v>8174</v>
      </c>
      <c r="J527" s="126" t="s">
        <v>7182</v>
      </c>
      <c r="K527" s="90"/>
      <c r="L527" s="58"/>
      <c r="M527" s="58"/>
      <c r="N527" s="58"/>
      <c r="O527" s="58"/>
      <c r="P527" s="58"/>
      <c r="Q527" s="58"/>
      <c r="R527" s="58"/>
      <c r="S527" s="58"/>
      <c r="T527" s="58"/>
      <c r="U527" s="58"/>
      <c r="V527" s="58"/>
      <c r="W527" s="58"/>
      <c r="X527" s="58"/>
      <c r="Y527" s="58"/>
      <c r="Z527" s="58"/>
    </row>
    <row r="528" ht="38.25" spans="1:26">
      <c r="A528" s="103" t="s">
        <v>1277</v>
      </c>
      <c r="B528" s="104" t="s">
        <v>132</v>
      </c>
      <c r="C528" s="104" t="s">
        <v>1278</v>
      </c>
      <c r="D528" s="104">
        <v>706</v>
      </c>
      <c r="E528" s="105" t="s">
        <v>204</v>
      </c>
      <c r="F528" s="125" t="s">
        <v>8391</v>
      </c>
      <c r="G528" s="126" t="s">
        <v>8392</v>
      </c>
      <c r="H528" s="126" t="s">
        <v>8393</v>
      </c>
      <c r="I528" s="126" t="s">
        <v>8174</v>
      </c>
      <c r="J528" s="126" t="s">
        <v>8394</v>
      </c>
      <c r="K528" s="90"/>
      <c r="L528" s="58"/>
      <c r="M528" s="58"/>
      <c r="N528" s="58"/>
      <c r="O528" s="58"/>
      <c r="P528" s="58"/>
      <c r="Q528" s="58"/>
      <c r="R528" s="58"/>
      <c r="S528" s="58"/>
      <c r="T528" s="58"/>
      <c r="U528" s="58"/>
      <c r="V528" s="58"/>
      <c r="W528" s="58"/>
      <c r="X528" s="58"/>
      <c r="Y528" s="58"/>
      <c r="Z528" s="58"/>
    </row>
    <row r="529" ht="25.5" spans="1:26">
      <c r="A529" s="103" t="s">
        <v>2453</v>
      </c>
      <c r="B529" s="104" t="s">
        <v>139</v>
      </c>
      <c r="C529" s="104" t="s">
        <v>2454</v>
      </c>
      <c r="D529" s="104" t="s">
        <v>4909</v>
      </c>
      <c r="E529" s="105" t="s">
        <v>204</v>
      </c>
      <c r="F529" s="125" t="s">
        <v>8395</v>
      </c>
      <c r="G529" s="126" t="s">
        <v>8172</v>
      </c>
      <c r="H529" s="126" t="s">
        <v>8396</v>
      </c>
      <c r="I529" s="126" t="s">
        <v>8174</v>
      </c>
      <c r="J529" s="126" t="s">
        <v>8397</v>
      </c>
      <c r="K529" s="90"/>
      <c r="L529" s="58"/>
      <c r="M529" s="58"/>
      <c r="N529" s="58"/>
      <c r="O529" s="58"/>
      <c r="P529" s="58"/>
      <c r="Q529" s="58"/>
      <c r="R529" s="58"/>
      <c r="S529" s="58"/>
      <c r="T529" s="58"/>
      <c r="U529" s="58"/>
      <c r="V529" s="58"/>
      <c r="W529" s="58"/>
      <c r="X529" s="58"/>
      <c r="Y529" s="58"/>
      <c r="Z529" s="58"/>
    </row>
    <row r="530" ht="25.5" spans="1:26">
      <c r="A530" s="103" t="s">
        <v>2266</v>
      </c>
      <c r="B530" s="104" t="s">
        <v>132</v>
      </c>
      <c r="C530" s="104" t="s">
        <v>2267</v>
      </c>
      <c r="D530" s="104">
        <v>73</v>
      </c>
      <c r="E530" s="105" t="s">
        <v>134</v>
      </c>
      <c r="F530" s="125" t="s">
        <v>6676</v>
      </c>
      <c r="G530" s="126" t="s">
        <v>8398</v>
      </c>
      <c r="H530" s="126" t="s">
        <v>8399</v>
      </c>
      <c r="I530" s="126" t="s">
        <v>8174</v>
      </c>
      <c r="J530" s="126" t="s">
        <v>8400</v>
      </c>
      <c r="K530" s="90"/>
      <c r="L530" s="58"/>
      <c r="M530" s="58"/>
      <c r="N530" s="58"/>
      <c r="O530" s="58"/>
      <c r="P530" s="58"/>
      <c r="Q530" s="58"/>
      <c r="R530" s="58"/>
      <c r="S530" s="58"/>
      <c r="T530" s="58"/>
      <c r="U530" s="58"/>
      <c r="V530" s="58"/>
      <c r="W530" s="58"/>
      <c r="X530" s="58"/>
      <c r="Y530" s="58"/>
      <c r="Z530" s="58"/>
    </row>
    <row r="531" ht="25.5" spans="1:26">
      <c r="A531" s="103" t="s">
        <v>1801</v>
      </c>
      <c r="B531" s="104" t="s">
        <v>139</v>
      </c>
      <c r="C531" s="104" t="s">
        <v>1802</v>
      </c>
      <c r="D531" s="104" t="s">
        <v>3235</v>
      </c>
      <c r="E531" s="105" t="s">
        <v>134</v>
      </c>
      <c r="F531" s="125" t="s">
        <v>7023</v>
      </c>
      <c r="G531" s="126" t="s">
        <v>8401</v>
      </c>
      <c r="H531" s="126" t="s">
        <v>8402</v>
      </c>
      <c r="I531" s="126" t="s">
        <v>8174</v>
      </c>
      <c r="J531" s="126" t="s">
        <v>8400</v>
      </c>
      <c r="K531" s="90"/>
      <c r="L531" s="58"/>
      <c r="M531" s="58"/>
      <c r="N531" s="58"/>
      <c r="O531" s="58"/>
      <c r="P531" s="58"/>
      <c r="Q531" s="58"/>
      <c r="R531" s="58"/>
      <c r="S531" s="58"/>
      <c r="T531" s="58"/>
      <c r="U531" s="58"/>
      <c r="V531" s="58"/>
      <c r="W531" s="58"/>
      <c r="X531" s="58"/>
      <c r="Y531" s="58"/>
      <c r="Z531" s="58"/>
    </row>
    <row r="532" ht="38.25" spans="1:26">
      <c r="A532" s="103" t="s">
        <v>856</v>
      </c>
      <c r="B532" s="104" t="s">
        <v>139</v>
      </c>
      <c r="C532" s="104" t="s">
        <v>857</v>
      </c>
      <c r="D532" s="104" t="s">
        <v>3132</v>
      </c>
      <c r="E532" s="105" t="s">
        <v>204</v>
      </c>
      <c r="F532" s="125" t="s">
        <v>8403</v>
      </c>
      <c r="G532" s="126" t="s">
        <v>8404</v>
      </c>
      <c r="H532" s="126" t="s">
        <v>8405</v>
      </c>
      <c r="I532" s="126" t="s">
        <v>8174</v>
      </c>
      <c r="J532" s="126" t="s">
        <v>8406</v>
      </c>
      <c r="K532" s="90"/>
      <c r="L532" s="58"/>
      <c r="M532" s="58"/>
      <c r="N532" s="58"/>
      <c r="O532" s="58"/>
      <c r="P532" s="58"/>
      <c r="Q532" s="58"/>
      <c r="R532" s="58"/>
      <c r="S532" s="58"/>
      <c r="T532" s="58"/>
      <c r="U532" s="58"/>
      <c r="V532" s="58"/>
      <c r="W532" s="58"/>
      <c r="X532" s="58"/>
      <c r="Y532" s="58"/>
      <c r="Z532" s="58"/>
    </row>
    <row r="533" ht="25.5" spans="1:26">
      <c r="A533" s="103" t="s">
        <v>2412</v>
      </c>
      <c r="B533" s="104" t="s">
        <v>149</v>
      </c>
      <c r="C533" s="104" t="s">
        <v>2413</v>
      </c>
      <c r="D533" s="104" t="s">
        <v>4599</v>
      </c>
      <c r="E533" s="105" t="s">
        <v>204</v>
      </c>
      <c r="F533" s="125" t="s">
        <v>8407</v>
      </c>
      <c r="G533" s="126" t="s">
        <v>8408</v>
      </c>
      <c r="H533" s="126" t="s">
        <v>8409</v>
      </c>
      <c r="I533" s="126" t="s">
        <v>8174</v>
      </c>
      <c r="J533" s="126" t="s">
        <v>8410</v>
      </c>
      <c r="K533" s="90"/>
      <c r="L533" s="58"/>
      <c r="M533" s="58"/>
      <c r="N533" s="58"/>
      <c r="O533" s="58"/>
      <c r="P533" s="58"/>
      <c r="Q533" s="58"/>
      <c r="R533" s="58"/>
      <c r="S533" s="58"/>
      <c r="T533" s="58"/>
      <c r="U533" s="58"/>
      <c r="V533" s="58"/>
      <c r="W533" s="58"/>
      <c r="X533" s="58"/>
      <c r="Y533" s="58"/>
      <c r="Z533" s="58"/>
    </row>
    <row r="534" ht="25.5" spans="1:26">
      <c r="A534" s="103" t="s">
        <v>832</v>
      </c>
      <c r="B534" s="104" t="s">
        <v>139</v>
      </c>
      <c r="C534" s="104" t="s">
        <v>833</v>
      </c>
      <c r="D534" s="104" t="s">
        <v>3642</v>
      </c>
      <c r="E534" s="105" t="s">
        <v>134</v>
      </c>
      <c r="F534" s="125" t="s">
        <v>6725</v>
      </c>
      <c r="G534" s="126" t="s">
        <v>8411</v>
      </c>
      <c r="H534" s="126" t="s">
        <v>8412</v>
      </c>
      <c r="I534" s="126" t="s">
        <v>8174</v>
      </c>
      <c r="J534" s="126" t="s">
        <v>8413</v>
      </c>
      <c r="K534" s="90"/>
      <c r="L534" s="58"/>
      <c r="M534" s="58"/>
      <c r="N534" s="58"/>
      <c r="O534" s="58"/>
      <c r="P534" s="58"/>
      <c r="Q534" s="58"/>
      <c r="R534" s="58"/>
      <c r="S534" s="58"/>
      <c r="T534" s="58"/>
      <c r="U534" s="58"/>
      <c r="V534" s="58"/>
      <c r="W534" s="58"/>
      <c r="X534" s="58"/>
      <c r="Y534" s="58"/>
      <c r="Z534" s="58"/>
    </row>
    <row r="535" spans="1:26">
      <c r="A535" s="103" t="s">
        <v>725</v>
      </c>
      <c r="B535" s="104" t="s">
        <v>149</v>
      </c>
      <c r="C535" s="104" t="s">
        <v>726</v>
      </c>
      <c r="D535" s="104" t="s">
        <v>3276</v>
      </c>
      <c r="E535" s="105" t="s">
        <v>204</v>
      </c>
      <c r="F535" s="125" t="s">
        <v>8414</v>
      </c>
      <c r="G535" s="126" t="s">
        <v>8415</v>
      </c>
      <c r="H535" s="126" t="s">
        <v>8416</v>
      </c>
      <c r="I535" s="126" t="s">
        <v>8174</v>
      </c>
      <c r="J535" s="126" t="s">
        <v>8417</v>
      </c>
      <c r="K535" s="90"/>
      <c r="L535" s="58"/>
      <c r="M535" s="58"/>
      <c r="N535" s="58"/>
      <c r="O535" s="58"/>
      <c r="P535" s="58"/>
      <c r="Q535" s="58"/>
      <c r="R535" s="58"/>
      <c r="S535" s="58"/>
      <c r="T535" s="58"/>
      <c r="U535" s="58"/>
      <c r="V535" s="58"/>
      <c r="W535" s="58"/>
      <c r="X535" s="58"/>
      <c r="Y535" s="58"/>
      <c r="Z535" s="58"/>
    </row>
    <row r="536" ht="25.5" spans="1:26">
      <c r="A536" s="103" t="s">
        <v>2497</v>
      </c>
      <c r="B536" s="104" t="s">
        <v>149</v>
      </c>
      <c r="C536" s="104" t="s">
        <v>2498</v>
      </c>
      <c r="D536" s="104" t="s">
        <v>3657</v>
      </c>
      <c r="E536" s="105" t="s">
        <v>134</v>
      </c>
      <c r="F536" s="125" t="s">
        <v>6798</v>
      </c>
      <c r="G536" s="126" t="s">
        <v>8418</v>
      </c>
      <c r="H536" s="126" t="s">
        <v>8419</v>
      </c>
      <c r="I536" s="126" t="s">
        <v>8174</v>
      </c>
      <c r="J536" s="126" t="s">
        <v>8420</v>
      </c>
      <c r="K536" s="90"/>
      <c r="L536" s="58"/>
      <c r="M536" s="58"/>
      <c r="N536" s="58"/>
      <c r="O536" s="58"/>
      <c r="P536" s="58"/>
      <c r="Q536" s="58"/>
      <c r="R536" s="58"/>
      <c r="S536" s="58"/>
      <c r="T536" s="58"/>
      <c r="U536" s="58"/>
      <c r="V536" s="58"/>
      <c r="W536" s="58"/>
      <c r="X536" s="58"/>
      <c r="Y536" s="58"/>
      <c r="Z536" s="58"/>
    </row>
    <row r="537" ht="25.5" spans="1:26">
      <c r="A537" s="103" t="s">
        <v>1525</v>
      </c>
      <c r="B537" s="104" t="s">
        <v>77</v>
      </c>
      <c r="C537" s="104" t="s">
        <v>1526</v>
      </c>
      <c r="D537" s="104">
        <v>15</v>
      </c>
      <c r="E537" s="105" t="s">
        <v>134</v>
      </c>
      <c r="F537" s="125" t="s">
        <v>8421</v>
      </c>
      <c r="G537" s="126" t="s">
        <v>8422</v>
      </c>
      <c r="H537" s="126" t="s">
        <v>8423</v>
      </c>
      <c r="I537" s="126" t="s">
        <v>8174</v>
      </c>
      <c r="J537" s="126" t="s">
        <v>8424</v>
      </c>
      <c r="K537" s="90"/>
      <c r="L537" s="58"/>
      <c r="M537" s="58"/>
      <c r="N537" s="58"/>
      <c r="O537" s="58"/>
      <c r="P537" s="58"/>
      <c r="Q537" s="58"/>
      <c r="R537" s="58"/>
      <c r="S537" s="58"/>
      <c r="T537" s="58"/>
      <c r="U537" s="58"/>
      <c r="V537" s="58"/>
      <c r="W537" s="58"/>
      <c r="X537" s="58"/>
      <c r="Y537" s="58"/>
      <c r="Z537" s="58"/>
    </row>
    <row r="538" spans="1:26">
      <c r="A538" s="103" t="s">
        <v>1522</v>
      </c>
      <c r="B538" s="104" t="s">
        <v>149</v>
      </c>
      <c r="C538" s="104" t="s">
        <v>1523</v>
      </c>
      <c r="D538" s="104" t="s">
        <v>4007</v>
      </c>
      <c r="E538" s="105" t="s">
        <v>134</v>
      </c>
      <c r="F538" s="125" t="s">
        <v>6945</v>
      </c>
      <c r="G538" s="126" t="s">
        <v>8425</v>
      </c>
      <c r="H538" s="126" t="s">
        <v>8426</v>
      </c>
      <c r="I538" s="126" t="s">
        <v>8174</v>
      </c>
      <c r="J538" s="126" t="s">
        <v>8427</v>
      </c>
      <c r="K538" s="90"/>
      <c r="L538" s="58"/>
      <c r="M538" s="58"/>
      <c r="N538" s="58"/>
      <c r="O538" s="58"/>
      <c r="P538" s="58"/>
      <c r="Q538" s="58"/>
      <c r="R538" s="58"/>
      <c r="S538" s="58"/>
      <c r="T538" s="58"/>
      <c r="U538" s="58"/>
      <c r="V538" s="58"/>
      <c r="W538" s="58"/>
      <c r="X538" s="58"/>
      <c r="Y538" s="58"/>
      <c r="Z538" s="58"/>
    </row>
    <row r="539" ht="25.5" spans="1:26">
      <c r="A539" s="103" t="s">
        <v>1750</v>
      </c>
      <c r="B539" s="104" t="s">
        <v>132</v>
      </c>
      <c r="C539" s="104" t="s">
        <v>1751</v>
      </c>
      <c r="D539" s="104">
        <v>59</v>
      </c>
      <c r="E539" s="105" t="s">
        <v>204</v>
      </c>
      <c r="F539" s="125" t="s">
        <v>8428</v>
      </c>
      <c r="G539" s="126" t="s">
        <v>8429</v>
      </c>
      <c r="H539" s="126" t="s">
        <v>8430</v>
      </c>
      <c r="I539" s="126" t="s">
        <v>8174</v>
      </c>
      <c r="J539" s="126" t="s">
        <v>8431</v>
      </c>
      <c r="K539" s="90"/>
      <c r="L539" s="58"/>
      <c r="M539" s="58"/>
      <c r="N539" s="58"/>
      <c r="O539" s="58"/>
      <c r="P539" s="58"/>
      <c r="Q539" s="58"/>
      <c r="R539" s="58"/>
      <c r="S539" s="58"/>
      <c r="T539" s="58"/>
      <c r="U539" s="58"/>
      <c r="V539" s="58"/>
      <c r="W539" s="58"/>
      <c r="X539" s="58"/>
      <c r="Y539" s="58"/>
      <c r="Z539" s="58"/>
    </row>
    <row r="540" ht="25.5" spans="1:26">
      <c r="A540" s="103" t="s">
        <v>987</v>
      </c>
      <c r="B540" s="104" t="s">
        <v>132</v>
      </c>
      <c r="C540" s="104" t="s">
        <v>988</v>
      </c>
      <c r="D540" s="104">
        <v>15</v>
      </c>
      <c r="E540" s="105" t="s">
        <v>204</v>
      </c>
      <c r="F540" s="125" t="s">
        <v>7584</v>
      </c>
      <c r="G540" s="126" t="s">
        <v>7346</v>
      </c>
      <c r="H540" s="126" t="s">
        <v>8432</v>
      </c>
      <c r="I540" s="126" t="s">
        <v>8174</v>
      </c>
      <c r="J540" s="126" t="s">
        <v>8433</v>
      </c>
      <c r="K540" s="90"/>
      <c r="L540" s="58"/>
      <c r="M540" s="58"/>
      <c r="N540" s="58"/>
      <c r="O540" s="58"/>
      <c r="P540" s="58"/>
      <c r="Q540" s="58"/>
      <c r="R540" s="58"/>
      <c r="S540" s="58"/>
      <c r="T540" s="58"/>
      <c r="U540" s="58"/>
      <c r="V540" s="58"/>
      <c r="W540" s="58"/>
      <c r="X540" s="58"/>
      <c r="Y540" s="58"/>
      <c r="Z540" s="58"/>
    </row>
    <row r="541" ht="25.5" spans="1:26">
      <c r="A541" s="103" t="s">
        <v>1271</v>
      </c>
      <c r="B541" s="104" t="s">
        <v>132</v>
      </c>
      <c r="C541" s="104" t="s">
        <v>1272</v>
      </c>
      <c r="D541" s="104">
        <v>86</v>
      </c>
      <c r="E541" s="105" t="s">
        <v>204</v>
      </c>
      <c r="F541" s="125" t="s">
        <v>7553</v>
      </c>
      <c r="G541" s="126" t="s">
        <v>8434</v>
      </c>
      <c r="H541" s="126" t="s">
        <v>8435</v>
      </c>
      <c r="I541" s="126" t="s">
        <v>8174</v>
      </c>
      <c r="J541" s="126" t="s">
        <v>8436</v>
      </c>
      <c r="K541" s="90"/>
      <c r="L541" s="58"/>
      <c r="M541" s="58"/>
      <c r="N541" s="58"/>
      <c r="O541" s="58"/>
      <c r="P541" s="58"/>
      <c r="Q541" s="58"/>
      <c r="R541" s="58"/>
      <c r="S541" s="58"/>
      <c r="T541" s="58"/>
      <c r="U541" s="58"/>
      <c r="V541" s="58"/>
      <c r="W541" s="58"/>
      <c r="X541" s="58"/>
      <c r="Y541" s="58"/>
      <c r="Z541" s="58"/>
    </row>
    <row r="542" spans="1:26">
      <c r="A542" s="103" t="s">
        <v>814</v>
      </c>
      <c r="B542" s="104" t="s">
        <v>796</v>
      </c>
      <c r="C542" s="104" t="s">
        <v>815</v>
      </c>
      <c r="D542" s="104" t="s">
        <v>3704</v>
      </c>
      <c r="E542" s="105" t="s">
        <v>334</v>
      </c>
      <c r="F542" s="125" t="s">
        <v>6881</v>
      </c>
      <c r="G542" s="126" t="s">
        <v>8437</v>
      </c>
      <c r="H542" s="126" t="s">
        <v>8438</v>
      </c>
      <c r="I542" s="126" t="s">
        <v>8174</v>
      </c>
      <c r="J542" s="126" t="s">
        <v>8439</v>
      </c>
      <c r="K542" s="90"/>
      <c r="L542" s="58"/>
      <c r="M542" s="58"/>
      <c r="N542" s="58"/>
      <c r="O542" s="58"/>
      <c r="P542" s="58"/>
      <c r="Q542" s="58"/>
      <c r="R542" s="58"/>
      <c r="S542" s="58"/>
      <c r="T542" s="58"/>
      <c r="U542" s="58"/>
      <c r="V542" s="58"/>
      <c r="W542" s="58"/>
      <c r="X542" s="58"/>
      <c r="Y542" s="58"/>
      <c r="Z542" s="58"/>
    </row>
    <row r="543" ht="25.5" spans="1:26">
      <c r="A543" s="103" t="s">
        <v>1017</v>
      </c>
      <c r="B543" s="104" t="s">
        <v>149</v>
      </c>
      <c r="C543" s="104" t="s">
        <v>1018</v>
      </c>
      <c r="D543" s="104" t="s">
        <v>3953</v>
      </c>
      <c r="E543" s="105" t="s">
        <v>134</v>
      </c>
      <c r="F543" s="125" t="s">
        <v>7953</v>
      </c>
      <c r="G543" s="126" t="s">
        <v>8440</v>
      </c>
      <c r="H543" s="126" t="s">
        <v>8441</v>
      </c>
      <c r="I543" s="126" t="s">
        <v>8174</v>
      </c>
      <c r="J543" s="126" t="s">
        <v>8442</v>
      </c>
      <c r="K543" s="90"/>
      <c r="L543" s="58"/>
      <c r="M543" s="58"/>
      <c r="N543" s="58"/>
      <c r="O543" s="58"/>
      <c r="P543" s="58"/>
      <c r="Q543" s="58"/>
      <c r="R543" s="58"/>
      <c r="S543" s="58"/>
      <c r="T543" s="58"/>
      <c r="U543" s="58"/>
      <c r="V543" s="58"/>
      <c r="W543" s="58"/>
      <c r="X543" s="58"/>
      <c r="Y543" s="58"/>
      <c r="Z543" s="58"/>
    </row>
    <row r="544" spans="1:26">
      <c r="A544" s="103" t="s">
        <v>1671</v>
      </c>
      <c r="B544" s="104" t="s">
        <v>149</v>
      </c>
      <c r="C544" s="104" t="s">
        <v>1672</v>
      </c>
      <c r="D544" s="104" t="s">
        <v>4007</v>
      </c>
      <c r="E544" s="105" t="s">
        <v>134</v>
      </c>
      <c r="F544" s="125" t="s">
        <v>6858</v>
      </c>
      <c r="G544" s="126" t="s">
        <v>8443</v>
      </c>
      <c r="H544" s="126" t="s">
        <v>8444</v>
      </c>
      <c r="I544" s="126" t="s">
        <v>8174</v>
      </c>
      <c r="J544" s="126" t="s">
        <v>8442</v>
      </c>
      <c r="K544" s="90"/>
      <c r="L544" s="58"/>
      <c r="M544" s="58"/>
      <c r="N544" s="58"/>
      <c r="O544" s="58"/>
      <c r="P544" s="58"/>
      <c r="Q544" s="58"/>
      <c r="R544" s="58"/>
      <c r="S544" s="58"/>
      <c r="T544" s="58"/>
      <c r="U544" s="58"/>
      <c r="V544" s="58"/>
      <c r="W544" s="58"/>
      <c r="X544" s="58"/>
      <c r="Y544" s="58"/>
      <c r="Z544" s="58"/>
    </row>
    <row r="545" ht="25.5" spans="1:26">
      <c r="A545" s="103" t="s">
        <v>1617</v>
      </c>
      <c r="B545" s="104" t="s">
        <v>149</v>
      </c>
      <c r="C545" s="104" t="s">
        <v>1618</v>
      </c>
      <c r="D545" s="104" t="s">
        <v>3953</v>
      </c>
      <c r="E545" s="105" t="s">
        <v>204</v>
      </c>
      <c r="F545" s="125" t="s">
        <v>8445</v>
      </c>
      <c r="G545" s="126" t="s">
        <v>8446</v>
      </c>
      <c r="H545" s="126" t="s">
        <v>8447</v>
      </c>
      <c r="I545" s="126" t="s">
        <v>8174</v>
      </c>
      <c r="J545" s="126" t="s">
        <v>8448</v>
      </c>
      <c r="K545" s="90"/>
      <c r="L545" s="58"/>
      <c r="M545" s="58"/>
      <c r="N545" s="58"/>
      <c r="O545" s="58"/>
      <c r="P545" s="58"/>
      <c r="Q545" s="58"/>
      <c r="R545" s="58"/>
      <c r="S545" s="58"/>
      <c r="T545" s="58"/>
      <c r="U545" s="58"/>
      <c r="V545" s="58"/>
      <c r="W545" s="58"/>
      <c r="X545" s="58"/>
      <c r="Y545" s="58"/>
      <c r="Z545" s="58"/>
    </row>
    <row r="546" ht="25.5" spans="1:26">
      <c r="A546" s="103" t="s">
        <v>1479</v>
      </c>
      <c r="B546" s="104" t="s">
        <v>796</v>
      </c>
      <c r="C546" s="104" t="s">
        <v>1480</v>
      </c>
      <c r="D546" s="104" t="s">
        <v>3774</v>
      </c>
      <c r="E546" s="105" t="s">
        <v>334</v>
      </c>
      <c r="F546" s="125" t="s">
        <v>7588</v>
      </c>
      <c r="G546" s="126" t="s">
        <v>8449</v>
      </c>
      <c r="H546" s="126" t="s">
        <v>8450</v>
      </c>
      <c r="I546" s="126" t="s">
        <v>8174</v>
      </c>
      <c r="J546" s="126" t="s">
        <v>8451</v>
      </c>
      <c r="K546" s="90"/>
      <c r="L546" s="58"/>
      <c r="M546" s="58"/>
      <c r="N546" s="58"/>
      <c r="O546" s="58"/>
      <c r="P546" s="58"/>
      <c r="Q546" s="58"/>
      <c r="R546" s="58"/>
      <c r="S546" s="58"/>
      <c r="T546" s="58"/>
      <c r="U546" s="58"/>
      <c r="V546" s="58"/>
      <c r="W546" s="58"/>
      <c r="X546" s="58"/>
      <c r="Y546" s="58"/>
      <c r="Z546" s="58"/>
    </row>
    <row r="547" ht="25.5" spans="1:26">
      <c r="A547" s="103" t="s">
        <v>2233</v>
      </c>
      <c r="B547" s="104" t="s">
        <v>132</v>
      </c>
      <c r="C547" s="104" t="s">
        <v>2234</v>
      </c>
      <c r="D547" s="104">
        <v>70</v>
      </c>
      <c r="E547" s="105" t="s">
        <v>134</v>
      </c>
      <c r="F547" s="125" t="s">
        <v>8452</v>
      </c>
      <c r="G547" s="126" t="s">
        <v>8277</v>
      </c>
      <c r="H547" s="126" t="s">
        <v>8453</v>
      </c>
      <c r="I547" s="126" t="s">
        <v>8174</v>
      </c>
      <c r="J547" s="126" t="s">
        <v>8454</v>
      </c>
      <c r="K547" s="90"/>
      <c r="L547" s="58"/>
      <c r="M547" s="58"/>
      <c r="N547" s="58"/>
      <c r="O547" s="58"/>
      <c r="P547" s="58"/>
      <c r="Q547" s="58"/>
      <c r="R547" s="58"/>
      <c r="S547" s="58"/>
      <c r="T547" s="58"/>
      <c r="U547" s="58"/>
      <c r="V547" s="58"/>
      <c r="W547" s="58"/>
      <c r="X547" s="58"/>
      <c r="Y547" s="58"/>
      <c r="Z547" s="58"/>
    </row>
    <row r="548" ht="38.25" spans="1:26">
      <c r="A548" s="103" t="s">
        <v>1513</v>
      </c>
      <c r="B548" s="104" t="s">
        <v>132</v>
      </c>
      <c r="C548" s="104" t="s">
        <v>1514</v>
      </c>
      <c r="D548" s="104" t="s">
        <v>3177</v>
      </c>
      <c r="E548" s="105" t="s">
        <v>204</v>
      </c>
      <c r="F548" s="125" t="s">
        <v>7410</v>
      </c>
      <c r="G548" s="126" t="s">
        <v>8455</v>
      </c>
      <c r="H548" s="126" t="s">
        <v>8456</v>
      </c>
      <c r="I548" s="126" t="s">
        <v>8174</v>
      </c>
      <c r="J548" s="126" t="s">
        <v>8457</v>
      </c>
      <c r="K548" s="90"/>
      <c r="L548" s="58"/>
      <c r="M548" s="58"/>
      <c r="N548" s="58"/>
      <c r="O548" s="58"/>
      <c r="P548" s="58"/>
      <c r="Q548" s="58"/>
      <c r="R548" s="58"/>
      <c r="S548" s="58"/>
      <c r="T548" s="58"/>
      <c r="U548" s="58"/>
      <c r="V548" s="58"/>
      <c r="W548" s="58"/>
      <c r="X548" s="58"/>
      <c r="Y548" s="58"/>
      <c r="Z548" s="58"/>
    </row>
    <row r="549" ht="38.25" spans="1:26">
      <c r="A549" s="103" t="s">
        <v>2745</v>
      </c>
      <c r="B549" s="104" t="s">
        <v>139</v>
      </c>
      <c r="C549" s="104" t="s">
        <v>2746</v>
      </c>
      <c r="D549" s="104" t="s">
        <v>3470</v>
      </c>
      <c r="E549" s="105" t="s">
        <v>141</v>
      </c>
      <c r="F549" s="125" t="s">
        <v>8289</v>
      </c>
      <c r="G549" s="126" t="s">
        <v>8458</v>
      </c>
      <c r="H549" s="126" t="s">
        <v>8459</v>
      </c>
      <c r="I549" s="126" t="s">
        <v>8174</v>
      </c>
      <c r="J549" s="126" t="s">
        <v>8460</v>
      </c>
      <c r="K549" s="90"/>
      <c r="L549" s="58"/>
      <c r="M549" s="58"/>
      <c r="N549" s="58"/>
      <c r="O549" s="58"/>
      <c r="P549" s="58"/>
      <c r="Q549" s="58"/>
      <c r="R549" s="58"/>
      <c r="S549" s="58"/>
      <c r="T549" s="58"/>
      <c r="U549" s="58"/>
      <c r="V549" s="58"/>
      <c r="W549" s="58"/>
      <c r="X549" s="58"/>
      <c r="Y549" s="58"/>
      <c r="Z549" s="58"/>
    </row>
    <row r="550" spans="1:26">
      <c r="A550" s="103" t="s">
        <v>947</v>
      </c>
      <c r="B550" s="104" t="s">
        <v>139</v>
      </c>
      <c r="C550" s="104" t="s">
        <v>948</v>
      </c>
      <c r="D550" s="104" t="s">
        <v>3516</v>
      </c>
      <c r="E550" s="105" t="s">
        <v>134</v>
      </c>
      <c r="F550" s="125" t="s">
        <v>7588</v>
      </c>
      <c r="G550" s="126" t="s">
        <v>8461</v>
      </c>
      <c r="H550" s="126" t="s">
        <v>8462</v>
      </c>
      <c r="I550" s="126" t="s">
        <v>8174</v>
      </c>
      <c r="J550" s="126" t="s">
        <v>8463</v>
      </c>
      <c r="K550" s="90"/>
      <c r="L550" s="58"/>
      <c r="M550" s="58"/>
      <c r="N550" s="58"/>
      <c r="O550" s="58"/>
      <c r="P550" s="58"/>
      <c r="Q550" s="58"/>
      <c r="R550" s="58"/>
      <c r="S550" s="58"/>
      <c r="T550" s="58"/>
      <c r="U550" s="58"/>
      <c r="V550" s="58"/>
      <c r="W550" s="58"/>
      <c r="X550" s="58"/>
      <c r="Y550" s="58"/>
      <c r="Z550" s="58"/>
    </row>
    <row r="551" ht="25.5" spans="1:26">
      <c r="A551" s="103" t="s">
        <v>1322</v>
      </c>
      <c r="B551" s="104" t="s">
        <v>132</v>
      </c>
      <c r="C551" s="104" t="s">
        <v>1323</v>
      </c>
      <c r="D551" s="104">
        <v>70</v>
      </c>
      <c r="E551" s="105" t="s">
        <v>134</v>
      </c>
      <c r="F551" s="125" t="s">
        <v>6603</v>
      </c>
      <c r="G551" s="126" t="s">
        <v>8464</v>
      </c>
      <c r="H551" s="126" t="s">
        <v>8464</v>
      </c>
      <c r="I551" s="126" t="s">
        <v>8174</v>
      </c>
      <c r="J551" s="126" t="s">
        <v>8465</v>
      </c>
      <c r="K551" s="90"/>
      <c r="L551" s="58"/>
      <c r="M551" s="58"/>
      <c r="N551" s="58"/>
      <c r="O551" s="58"/>
      <c r="P551" s="58"/>
      <c r="Q551" s="58"/>
      <c r="R551" s="58"/>
      <c r="S551" s="58"/>
      <c r="T551" s="58"/>
      <c r="U551" s="58"/>
      <c r="V551" s="58"/>
      <c r="W551" s="58"/>
      <c r="X551" s="58"/>
      <c r="Y551" s="58"/>
      <c r="Z551" s="58"/>
    </row>
    <row r="552" ht="38.25" spans="1:26">
      <c r="A552" s="103" t="s">
        <v>893</v>
      </c>
      <c r="B552" s="104" t="s">
        <v>139</v>
      </c>
      <c r="C552" s="104" t="s">
        <v>894</v>
      </c>
      <c r="D552" s="104" t="s">
        <v>3516</v>
      </c>
      <c r="E552" s="105" t="s">
        <v>134</v>
      </c>
      <c r="F552" s="125" t="s">
        <v>6676</v>
      </c>
      <c r="G552" s="126" t="s">
        <v>8466</v>
      </c>
      <c r="H552" s="126" t="s">
        <v>8467</v>
      </c>
      <c r="I552" s="126" t="s">
        <v>8174</v>
      </c>
      <c r="J552" s="126" t="s">
        <v>8465</v>
      </c>
      <c r="K552" s="90"/>
      <c r="L552" s="58"/>
      <c r="M552" s="58"/>
      <c r="N552" s="58"/>
      <c r="O552" s="58"/>
      <c r="P552" s="58"/>
      <c r="Q552" s="58"/>
      <c r="R552" s="58"/>
      <c r="S552" s="58"/>
      <c r="T552" s="58"/>
      <c r="U552" s="58"/>
      <c r="V552" s="58"/>
      <c r="W552" s="58"/>
      <c r="X552" s="58"/>
      <c r="Y552" s="58"/>
      <c r="Z552" s="58"/>
    </row>
    <row r="553" ht="25.5" spans="1:26">
      <c r="A553" s="103" t="s">
        <v>163</v>
      </c>
      <c r="B553" s="104" t="s">
        <v>139</v>
      </c>
      <c r="C553" s="104" t="s">
        <v>164</v>
      </c>
      <c r="D553" s="104" t="s">
        <v>3025</v>
      </c>
      <c r="E553" s="105" t="s">
        <v>134</v>
      </c>
      <c r="F553" s="125" t="s">
        <v>6653</v>
      </c>
      <c r="G553" s="126" t="s">
        <v>8468</v>
      </c>
      <c r="H553" s="126" t="s">
        <v>8469</v>
      </c>
      <c r="I553" s="126" t="s">
        <v>8174</v>
      </c>
      <c r="J553" s="126" t="s">
        <v>8470</v>
      </c>
      <c r="K553" s="90"/>
      <c r="L553" s="58"/>
      <c r="M553" s="58"/>
      <c r="N553" s="58"/>
      <c r="O553" s="58"/>
      <c r="P553" s="58"/>
      <c r="Q553" s="58"/>
      <c r="R553" s="58"/>
      <c r="S553" s="58"/>
      <c r="T553" s="58"/>
      <c r="U553" s="58"/>
      <c r="V553" s="58"/>
      <c r="W553" s="58"/>
      <c r="X553" s="58"/>
      <c r="Y553" s="58"/>
      <c r="Z553" s="58"/>
    </row>
    <row r="554" ht="38.25" spans="1:26">
      <c r="A554" s="103" t="s">
        <v>1640</v>
      </c>
      <c r="B554" s="104" t="s">
        <v>132</v>
      </c>
      <c r="C554" s="104" t="s">
        <v>1641</v>
      </c>
      <c r="D554" s="104">
        <v>18</v>
      </c>
      <c r="E554" s="105" t="s">
        <v>134</v>
      </c>
      <c r="F554" s="125" t="s">
        <v>7101</v>
      </c>
      <c r="G554" s="126" t="s">
        <v>8471</v>
      </c>
      <c r="H554" s="126" t="s">
        <v>8472</v>
      </c>
      <c r="I554" s="126" t="s">
        <v>8174</v>
      </c>
      <c r="J554" s="126" t="s">
        <v>8473</v>
      </c>
      <c r="K554" s="90"/>
      <c r="L554" s="58"/>
      <c r="M554" s="58"/>
      <c r="N554" s="58"/>
      <c r="O554" s="58"/>
      <c r="P554" s="58"/>
      <c r="Q554" s="58"/>
      <c r="R554" s="58"/>
      <c r="S554" s="58"/>
      <c r="T554" s="58"/>
      <c r="U554" s="58"/>
      <c r="V554" s="58"/>
      <c r="W554" s="58"/>
      <c r="X554" s="58"/>
      <c r="Y554" s="58"/>
      <c r="Z554" s="58"/>
    </row>
    <row r="555" ht="25.5" spans="1:26">
      <c r="A555" s="103" t="s">
        <v>2479</v>
      </c>
      <c r="B555" s="104" t="s">
        <v>139</v>
      </c>
      <c r="C555" s="104" t="s">
        <v>2480</v>
      </c>
      <c r="D555" s="104" t="s">
        <v>3198</v>
      </c>
      <c r="E555" s="105" t="s">
        <v>134</v>
      </c>
      <c r="F555" s="125" t="s">
        <v>7230</v>
      </c>
      <c r="G555" s="126" t="s">
        <v>8474</v>
      </c>
      <c r="H555" s="126" t="s">
        <v>8475</v>
      </c>
      <c r="I555" s="126" t="s">
        <v>8174</v>
      </c>
      <c r="J555" s="126" t="s">
        <v>8476</v>
      </c>
      <c r="K555" s="90"/>
      <c r="L555" s="58"/>
      <c r="M555" s="58"/>
      <c r="N555" s="58"/>
      <c r="O555" s="58"/>
      <c r="P555" s="58"/>
      <c r="Q555" s="58"/>
      <c r="R555" s="58"/>
      <c r="S555" s="58"/>
      <c r="T555" s="58"/>
      <c r="U555" s="58"/>
      <c r="V555" s="58"/>
      <c r="W555" s="58"/>
      <c r="X555" s="58"/>
      <c r="Y555" s="58"/>
      <c r="Z555" s="58"/>
    </row>
    <row r="556" spans="1:26">
      <c r="A556" s="103" t="s">
        <v>296</v>
      </c>
      <c r="B556" s="104" t="s">
        <v>139</v>
      </c>
      <c r="C556" s="104" t="s">
        <v>297</v>
      </c>
      <c r="D556" s="104" t="s">
        <v>3248</v>
      </c>
      <c r="E556" s="105" t="s">
        <v>141</v>
      </c>
      <c r="F556" s="125" t="s">
        <v>8477</v>
      </c>
      <c r="G556" s="126" t="s">
        <v>8478</v>
      </c>
      <c r="H556" s="126" t="s">
        <v>8479</v>
      </c>
      <c r="I556" s="126" t="s">
        <v>8174</v>
      </c>
      <c r="J556" s="126" t="s">
        <v>8480</v>
      </c>
      <c r="K556" s="90"/>
      <c r="L556" s="58"/>
      <c r="M556" s="58"/>
      <c r="N556" s="58"/>
      <c r="O556" s="58"/>
      <c r="P556" s="58"/>
      <c r="Q556" s="58"/>
      <c r="R556" s="58"/>
      <c r="S556" s="58"/>
      <c r="T556" s="58"/>
      <c r="U556" s="58"/>
      <c r="V556" s="58"/>
      <c r="W556" s="58"/>
      <c r="X556" s="58"/>
      <c r="Y556" s="58"/>
      <c r="Z556" s="58"/>
    </row>
    <row r="557" ht="25.5" spans="1:26">
      <c r="A557" s="103" t="s">
        <v>436</v>
      </c>
      <c r="B557" s="104" t="s">
        <v>139</v>
      </c>
      <c r="C557" s="104" t="s">
        <v>437</v>
      </c>
      <c r="D557" s="104" t="s">
        <v>3310</v>
      </c>
      <c r="E557" s="105" t="s">
        <v>393</v>
      </c>
      <c r="F557" s="125" t="s">
        <v>7184</v>
      </c>
      <c r="G557" s="126" t="s">
        <v>8481</v>
      </c>
      <c r="H557" s="126" t="s">
        <v>8482</v>
      </c>
      <c r="I557" s="126" t="s">
        <v>8174</v>
      </c>
      <c r="J557" s="126" t="s">
        <v>8483</v>
      </c>
      <c r="K557" s="90"/>
      <c r="L557" s="58"/>
      <c r="M557" s="58"/>
      <c r="N557" s="58"/>
      <c r="O557" s="58"/>
      <c r="P557" s="58"/>
      <c r="Q557" s="58"/>
      <c r="R557" s="58"/>
      <c r="S557" s="58"/>
      <c r="T557" s="58"/>
      <c r="U557" s="58"/>
      <c r="V557" s="58"/>
      <c r="W557" s="58"/>
      <c r="X557" s="58"/>
      <c r="Y557" s="58"/>
      <c r="Z557" s="58"/>
    </row>
    <row r="558" ht="25.5" spans="1:26">
      <c r="A558" s="103" t="s">
        <v>865</v>
      </c>
      <c r="B558" s="104" t="s">
        <v>132</v>
      </c>
      <c r="C558" s="104" t="s">
        <v>866</v>
      </c>
      <c r="D558" s="104" t="s">
        <v>3774</v>
      </c>
      <c r="E558" s="105" t="s">
        <v>134</v>
      </c>
      <c r="F558" s="125" t="s">
        <v>8484</v>
      </c>
      <c r="G558" s="126" t="s">
        <v>7202</v>
      </c>
      <c r="H558" s="126" t="s">
        <v>8485</v>
      </c>
      <c r="I558" s="126" t="s">
        <v>8174</v>
      </c>
      <c r="J558" s="126" t="s">
        <v>8483</v>
      </c>
      <c r="K558" s="90"/>
      <c r="L558" s="58"/>
      <c r="M558" s="58"/>
      <c r="N558" s="58"/>
      <c r="O558" s="58"/>
      <c r="P558" s="58"/>
      <c r="Q558" s="58"/>
      <c r="R558" s="58"/>
      <c r="S558" s="58"/>
      <c r="T558" s="58"/>
      <c r="U558" s="58"/>
      <c r="V558" s="58"/>
      <c r="W558" s="58"/>
      <c r="X558" s="58"/>
      <c r="Y558" s="58"/>
      <c r="Z558" s="58"/>
    </row>
    <row r="559" ht="25.5" spans="1:26">
      <c r="A559" s="103" t="s">
        <v>391</v>
      </c>
      <c r="B559" s="104" t="s">
        <v>139</v>
      </c>
      <c r="C559" s="104" t="s">
        <v>392</v>
      </c>
      <c r="D559" s="104" t="s">
        <v>3310</v>
      </c>
      <c r="E559" s="105" t="s">
        <v>393</v>
      </c>
      <c r="F559" s="125" t="s">
        <v>8486</v>
      </c>
      <c r="G559" s="126" t="s">
        <v>8487</v>
      </c>
      <c r="H559" s="126" t="s">
        <v>8488</v>
      </c>
      <c r="I559" s="126" t="s">
        <v>8174</v>
      </c>
      <c r="J559" s="126" t="s">
        <v>8489</v>
      </c>
      <c r="K559" s="90"/>
      <c r="L559" s="58"/>
      <c r="M559" s="58"/>
      <c r="N559" s="58"/>
      <c r="O559" s="58"/>
      <c r="P559" s="58"/>
      <c r="Q559" s="58"/>
      <c r="R559" s="58"/>
      <c r="S559" s="58"/>
      <c r="T559" s="58"/>
      <c r="U559" s="58"/>
      <c r="V559" s="58"/>
      <c r="W559" s="58"/>
      <c r="X559" s="58"/>
      <c r="Y559" s="58"/>
      <c r="Z559" s="58"/>
    </row>
    <row r="560" ht="25.5" spans="1:26">
      <c r="A560" s="103" t="s">
        <v>1631</v>
      </c>
      <c r="B560" s="104" t="s">
        <v>139</v>
      </c>
      <c r="C560" s="104" t="s">
        <v>1632</v>
      </c>
      <c r="D560" s="104" t="s">
        <v>4073</v>
      </c>
      <c r="E560" s="105" t="s">
        <v>204</v>
      </c>
      <c r="F560" s="125" t="s">
        <v>8345</v>
      </c>
      <c r="G560" s="126" t="s">
        <v>8490</v>
      </c>
      <c r="H560" s="126" t="s">
        <v>8491</v>
      </c>
      <c r="I560" s="126" t="s">
        <v>8174</v>
      </c>
      <c r="J560" s="126" t="s">
        <v>8492</v>
      </c>
      <c r="K560" s="90"/>
      <c r="L560" s="58"/>
      <c r="M560" s="58"/>
      <c r="N560" s="58"/>
      <c r="O560" s="58"/>
      <c r="P560" s="58"/>
      <c r="Q560" s="58"/>
      <c r="R560" s="58"/>
      <c r="S560" s="58"/>
      <c r="T560" s="58"/>
      <c r="U560" s="58"/>
      <c r="V560" s="58"/>
      <c r="W560" s="58"/>
      <c r="X560" s="58"/>
      <c r="Y560" s="58"/>
      <c r="Z560" s="58"/>
    </row>
    <row r="561" ht="38.25" spans="1:26">
      <c r="A561" s="103" t="s">
        <v>1250</v>
      </c>
      <c r="B561" s="104" t="s">
        <v>132</v>
      </c>
      <c r="C561" s="104" t="s">
        <v>1251</v>
      </c>
      <c r="D561" s="104" t="s">
        <v>3177</v>
      </c>
      <c r="E561" s="105" t="s">
        <v>134</v>
      </c>
      <c r="F561" s="125" t="s">
        <v>7726</v>
      </c>
      <c r="G561" s="126" t="s">
        <v>8493</v>
      </c>
      <c r="H561" s="126" t="s">
        <v>8494</v>
      </c>
      <c r="I561" s="126" t="s">
        <v>8174</v>
      </c>
      <c r="J561" s="126" t="s">
        <v>8495</v>
      </c>
      <c r="K561" s="90"/>
      <c r="L561" s="58"/>
      <c r="M561" s="58"/>
      <c r="N561" s="58"/>
      <c r="O561" s="58"/>
      <c r="P561" s="58"/>
      <c r="Q561" s="58"/>
      <c r="R561" s="58"/>
      <c r="S561" s="58"/>
      <c r="T561" s="58"/>
      <c r="U561" s="58"/>
      <c r="V561" s="58"/>
      <c r="W561" s="58"/>
      <c r="X561" s="58"/>
      <c r="Y561" s="58"/>
      <c r="Z561" s="58"/>
    </row>
    <row r="562" ht="25.5" spans="1:26">
      <c r="A562" s="103" t="s">
        <v>2468</v>
      </c>
      <c r="B562" s="104" t="s">
        <v>132</v>
      </c>
      <c r="C562" s="104" t="s">
        <v>2469</v>
      </c>
      <c r="D562" s="104" t="s">
        <v>4227</v>
      </c>
      <c r="E562" s="105" t="s">
        <v>204</v>
      </c>
      <c r="F562" s="125" t="s">
        <v>7972</v>
      </c>
      <c r="G562" s="126" t="s">
        <v>8053</v>
      </c>
      <c r="H562" s="126" t="s">
        <v>8496</v>
      </c>
      <c r="I562" s="126" t="s">
        <v>8174</v>
      </c>
      <c r="J562" s="126" t="s">
        <v>8497</v>
      </c>
      <c r="K562" s="90"/>
      <c r="L562" s="58"/>
      <c r="M562" s="58"/>
      <c r="N562" s="58"/>
      <c r="O562" s="58"/>
      <c r="P562" s="58"/>
      <c r="Q562" s="58"/>
      <c r="R562" s="58"/>
      <c r="S562" s="58"/>
      <c r="T562" s="58"/>
      <c r="U562" s="58"/>
      <c r="V562" s="58"/>
      <c r="W562" s="58"/>
      <c r="X562" s="58"/>
      <c r="Y562" s="58"/>
      <c r="Z562" s="58"/>
    </row>
    <row r="563" ht="25.5" spans="1:26">
      <c r="A563" s="103" t="s">
        <v>332</v>
      </c>
      <c r="B563" s="104" t="s">
        <v>132</v>
      </c>
      <c r="C563" s="104" t="s">
        <v>333</v>
      </c>
      <c r="D563" s="104">
        <v>45</v>
      </c>
      <c r="E563" s="105" t="s">
        <v>334</v>
      </c>
      <c r="F563" s="125" t="s">
        <v>6927</v>
      </c>
      <c r="G563" s="126" t="s">
        <v>8498</v>
      </c>
      <c r="H563" s="126" t="s">
        <v>8499</v>
      </c>
      <c r="I563" s="126" t="s">
        <v>8174</v>
      </c>
      <c r="J563" s="126" t="s">
        <v>8497</v>
      </c>
      <c r="K563" s="90"/>
      <c r="L563" s="58"/>
      <c r="M563" s="58"/>
      <c r="N563" s="58"/>
      <c r="O563" s="58"/>
      <c r="P563" s="58"/>
      <c r="Q563" s="58"/>
      <c r="R563" s="58"/>
      <c r="S563" s="58"/>
      <c r="T563" s="58"/>
      <c r="U563" s="58"/>
      <c r="V563" s="58"/>
      <c r="W563" s="58"/>
      <c r="X563" s="58"/>
      <c r="Y563" s="58"/>
      <c r="Z563" s="58"/>
    </row>
    <row r="564" ht="25.5" spans="1:26">
      <c r="A564" s="103" t="s">
        <v>2347</v>
      </c>
      <c r="B564" s="104" t="s">
        <v>149</v>
      </c>
      <c r="C564" s="104" t="s">
        <v>2348</v>
      </c>
      <c r="D564" s="104" t="s">
        <v>4599</v>
      </c>
      <c r="E564" s="105" t="s">
        <v>134</v>
      </c>
      <c r="F564" s="125" t="s">
        <v>7942</v>
      </c>
      <c r="G564" s="126" t="s">
        <v>8500</v>
      </c>
      <c r="H564" s="126" t="s">
        <v>8501</v>
      </c>
      <c r="I564" s="126" t="s">
        <v>8174</v>
      </c>
      <c r="J564" s="126" t="s">
        <v>8502</v>
      </c>
      <c r="K564" s="90"/>
      <c r="L564" s="58"/>
      <c r="M564" s="58"/>
      <c r="N564" s="58"/>
      <c r="O564" s="58"/>
      <c r="P564" s="58"/>
      <c r="Q564" s="58"/>
      <c r="R564" s="58"/>
      <c r="S564" s="58"/>
      <c r="T564" s="58"/>
      <c r="U564" s="58"/>
      <c r="V564" s="58"/>
      <c r="W564" s="58"/>
      <c r="X564" s="58"/>
      <c r="Y564" s="58"/>
      <c r="Z564" s="58"/>
    </row>
    <row r="565" ht="25.5" spans="1:26">
      <c r="A565" s="103" t="s">
        <v>2365</v>
      </c>
      <c r="B565" s="104" t="s">
        <v>132</v>
      </c>
      <c r="C565" s="104" t="s">
        <v>2366</v>
      </c>
      <c r="D565" s="104">
        <v>70</v>
      </c>
      <c r="E565" s="105" t="s">
        <v>134</v>
      </c>
      <c r="F565" s="125" t="s">
        <v>6927</v>
      </c>
      <c r="G565" s="126" t="s">
        <v>8503</v>
      </c>
      <c r="H565" s="126" t="s">
        <v>8504</v>
      </c>
      <c r="I565" s="126" t="s">
        <v>8174</v>
      </c>
      <c r="J565" s="126" t="s">
        <v>8505</v>
      </c>
      <c r="K565" s="90"/>
      <c r="L565" s="58"/>
      <c r="M565" s="58"/>
      <c r="N565" s="58"/>
      <c r="O565" s="58"/>
      <c r="P565" s="58"/>
      <c r="Q565" s="58"/>
      <c r="R565" s="58"/>
      <c r="S565" s="58"/>
      <c r="T565" s="58"/>
      <c r="U565" s="58"/>
      <c r="V565" s="58"/>
      <c r="W565" s="58"/>
      <c r="X565" s="58"/>
      <c r="Y565" s="58"/>
      <c r="Z565" s="58"/>
    </row>
    <row r="566" ht="25.5" spans="1:26">
      <c r="A566" s="103" t="s">
        <v>2415</v>
      </c>
      <c r="B566" s="104" t="s">
        <v>149</v>
      </c>
      <c r="C566" s="104" t="s">
        <v>2416</v>
      </c>
      <c r="D566" s="104" t="s">
        <v>4599</v>
      </c>
      <c r="E566" s="105" t="s">
        <v>204</v>
      </c>
      <c r="F566" s="125" t="s">
        <v>8506</v>
      </c>
      <c r="G566" s="126" t="s">
        <v>7731</v>
      </c>
      <c r="H566" s="126" t="s">
        <v>8507</v>
      </c>
      <c r="I566" s="126" t="s">
        <v>8174</v>
      </c>
      <c r="J566" s="126" t="s">
        <v>8508</v>
      </c>
      <c r="K566" s="90"/>
      <c r="L566" s="58"/>
      <c r="M566" s="58"/>
      <c r="N566" s="58"/>
      <c r="O566" s="58"/>
      <c r="P566" s="58"/>
      <c r="Q566" s="58"/>
      <c r="R566" s="58"/>
      <c r="S566" s="58"/>
      <c r="T566" s="58"/>
      <c r="U566" s="58"/>
      <c r="V566" s="58"/>
      <c r="W566" s="58"/>
      <c r="X566" s="58"/>
      <c r="Y566" s="58"/>
      <c r="Z566" s="58"/>
    </row>
    <row r="567" spans="1:26">
      <c r="A567" s="103" t="s">
        <v>2521</v>
      </c>
      <c r="B567" s="104" t="s">
        <v>149</v>
      </c>
      <c r="C567" s="104" t="s">
        <v>2522</v>
      </c>
      <c r="D567" s="104" t="s">
        <v>3755</v>
      </c>
      <c r="E567" s="105" t="s">
        <v>134</v>
      </c>
      <c r="F567" s="125" t="s">
        <v>6676</v>
      </c>
      <c r="G567" s="126" t="s">
        <v>8509</v>
      </c>
      <c r="H567" s="126" t="s">
        <v>8510</v>
      </c>
      <c r="I567" s="126" t="s">
        <v>8174</v>
      </c>
      <c r="J567" s="126" t="s">
        <v>8511</v>
      </c>
      <c r="K567" s="90"/>
      <c r="L567" s="58"/>
      <c r="M567" s="58"/>
      <c r="N567" s="58"/>
      <c r="O567" s="58"/>
      <c r="P567" s="58"/>
      <c r="Q567" s="58"/>
      <c r="R567" s="58"/>
      <c r="S567" s="58"/>
      <c r="T567" s="58"/>
      <c r="U567" s="58"/>
      <c r="V567" s="58"/>
      <c r="W567" s="58"/>
      <c r="X567" s="58"/>
      <c r="Y567" s="58"/>
      <c r="Z567" s="58"/>
    </row>
    <row r="568" ht="25.5" spans="1:26">
      <c r="A568" s="103" t="s">
        <v>2807</v>
      </c>
      <c r="B568" s="104" t="s">
        <v>132</v>
      </c>
      <c r="C568" s="104" t="s">
        <v>2808</v>
      </c>
      <c r="D568" s="104" t="s">
        <v>3505</v>
      </c>
      <c r="E568" s="105" t="s">
        <v>134</v>
      </c>
      <c r="F568" s="125" t="s">
        <v>7101</v>
      </c>
      <c r="G568" s="126" t="s">
        <v>8512</v>
      </c>
      <c r="H568" s="126" t="s">
        <v>8513</v>
      </c>
      <c r="I568" s="126" t="s">
        <v>8174</v>
      </c>
      <c r="J568" s="126" t="s">
        <v>8511</v>
      </c>
      <c r="K568" s="90"/>
      <c r="L568" s="58"/>
      <c r="M568" s="58"/>
      <c r="N568" s="58"/>
      <c r="O568" s="58"/>
      <c r="P568" s="58"/>
      <c r="Q568" s="58"/>
      <c r="R568" s="58"/>
      <c r="S568" s="58"/>
      <c r="T568" s="58"/>
      <c r="U568" s="58"/>
      <c r="V568" s="58"/>
      <c r="W568" s="58"/>
      <c r="X568" s="58"/>
      <c r="Y568" s="58"/>
      <c r="Z568" s="58"/>
    </row>
    <row r="569" ht="25.5" spans="1:26">
      <c r="A569" s="103" t="s">
        <v>2260</v>
      </c>
      <c r="B569" s="104" t="s">
        <v>132</v>
      </c>
      <c r="C569" s="104" t="s">
        <v>2261</v>
      </c>
      <c r="D569" s="104">
        <v>70</v>
      </c>
      <c r="E569" s="105" t="s">
        <v>134</v>
      </c>
      <c r="F569" s="125" t="s">
        <v>7101</v>
      </c>
      <c r="G569" s="126" t="s">
        <v>8514</v>
      </c>
      <c r="H569" s="126" t="s">
        <v>8515</v>
      </c>
      <c r="I569" s="126" t="s">
        <v>8174</v>
      </c>
      <c r="J569" s="126" t="s">
        <v>8516</v>
      </c>
      <c r="K569" s="90"/>
      <c r="L569" s="58"/>
      <c r="M569" s="58"/>
      <c r="N569" s="58"/>
      <c r="O569" s="58"/>
      <c r="P569" s="58"/>
      <c r="Q569" s="58"/>
      <c r="R569" s="58"/>
      <c r="S569" s="58"/>
      <c r="T569" s="58"/>
      <c r="U569" s="58"/>
      <c r="V569" s="58"/>
      <c r="W569" s="58"/>
      <c r="X569" s="58"/>
      <c r="Y569" s="58"/>
      <c r="Z569" s="58"/>
    </row>
    <row r="570" ht="25.5" spans="1:26">
      <c r="A570" s="103" t="s">
        <v>2002</v>
      </c>
      <c r="B570" s="104" t="s">
        <v>149</v>
      </c>
      <c r="C570" s="104" t="s">
        <v>2003</v>
      </c>
      <c r="D570" s="104" t="s">
        <v>3657</v>
      </c>
      <c r="E570" s="105" t="s">
        <v>134</v>
      </c>
      <c r="F570" s="125" t="s">
        <v>6798</v>
      </c>
      <c r="G570" s="126" t="s">
        <v>8037</v>
      </c>
      <c r="H570" s="126" t="s">
        <v>8517</v>
      </c>
      <c r="I570" s="126" t="s">
        <v>8174</v>
      </c>
      <c r="J570" s="126" t="s">
        <v>8518</v>
      </c>
      <c r="K570" s="90"/>
      <c r="L570" s="58"/>
      <c r="M570" s="58"/>
      <c r="N570" s="58"/>
      <c r="O570" s="58"/>
      <c r="P570" s="58"/>
      <c r="Q570" s="58"/>
      <c r="R570" s="58"/>
      <c r="S570" s="58"/>
      <c r="T570" s="58"/>
      <c r="U570" s="58"/>
      <c r="V570" s="58"/>
      <c r="W570" s="58"/>
      <c r="X570" s="58"/>
      <c r="Y570" s="58"/>
      <c r="Z570" s="58"/>
    </row>
    <row r="571" ht="25.5" spans="1:26">
      <c r="A571" s="103" t="s">
        <v>2335</v>
      </c>
      <c r="B571" s="104" t="s">
        <v>132</v>
      </c>
      <c r="C571" s="104" t="s">
        <v>2336</v>
      </c>
      <c r="D571" s="104">
        <v>70</v>
      </c>
      <c r="E571" s="105" t="s">
        <v>134</v>
      </c>
      <c r="F571" s="125" t="s">
        <v>6927</v>
      </c>
      <c r="G571" s="126" t="s">
        <v>7938</v>
      </c>
      <c r="H571" s="126" t="s">
        <v>8519</v>
      </c>
      <c r="I571" s="126" t="s">
        <v>8174</v>
      </c>
      <c r="J571" s="126" t="s">
        <v>8520</v>
      </c>
      <c r="K571" s="90"/>
      <c r="L571" s="58"/>
      <c r="M571" s="58"/>
      <c r="N571" s="58"/>
      <c r="O571" s="58"/>
      <c r="P571" s="58"/>
      <c r="Q571" s="58"/>
      <c r="R571" s="58"/>
      <c r="S571" s="58"/>
      <c r="T571" s="58"/>
      <c r="U571" s="58"/>
      <c r="V571" s="58"/>
      <c r="W571" s="58"/>
      <c r="X571" s="58"/>
      <c r="Y571" s="58"/>
      <c r="Z571" s="58"/>
    </row>
    <row r="572" ht="25.5" spans="1:26">
      <c r="A572" s="103" t="s">
        <v>2439</v>
      </c>
      <c r="B572" s="104" t="s">
        <v>149</v>
      </c>
      <c r="C572" s="104" t="s">
        <v>2440</v>
      </c>
      <c r="D572" s="104" t="s">
        <v>4599</v>
      </c>
      <c r="E572" s="105" t="s">
        <v>204</v>
      </c>
      <c r="F572" s="125" t="s">
        <v>8521</v>
      </c>
      <c r="G572" s="126" t="s">
        <v>8522</v>
      </c>
      <c r="H572" s="126" t="s">
        <v>8523</v>
      </c>
      <c r="I572" s="126" t="s">
        <v>8174</v>
      </c>
      <c r="J572" s="126" t="s">
        <v>8520</v>
      </c>
      <c r="K572" s="90"/>
      <c r="L572" s="58"/>
      <c r="M572" s="58"/>
      <c r="N572" s="58"/>
      <c r="O572" s="58"/>
      <c r="P572" s="58"/>
      <c r="Q572" s="58"/>
      <c r="R572" s="58"/>
      <c r="S572" s="58"/>
      <c r="T572" s="58"/>
      <c r="U572" s="58"/>
      <c r="V572" s="58"/>
      <c r="W572" s="58"/>
      <c r="X572" s="58"/>
      <c r="Y572" s="58"/>
      <c r="Z572" s="58"/>
    </row>
    <row r="573" ht="38.25" spans="1:26">
      <c r="A573" s="103" t="s">
        <v>1909</v>
      </c>
      <c r="B573" s="104" t="s">
        <v>132</v>
      </c>
      <c r="C573" s="104" t="s">
        <v>1910</v>
      </c>
      <c r="D573" s="104" t="s">
        <v>4227</v>
      </c>
      <c r="E573" s="105" t="s">
        <v>1491</v>
      </c>
      <c r="F573" s="125" t="s">
        <v>7101</v>
      </c>
      <c r="G573" s="126" t="s">
        <v>8524</v>
      </c>
      <c r="H573" s="126" t="s">
        <v>8525</v>
      </c>
      <c r="I573" s="126" t="s">
        <v>8174</v>
      </c>
      <c r="J573" s="126" t="s">
        <v>8526</v>
      </c>
      <c r="K573" s="90"/>
      <c r="L573" s="58"/>
      <c r="M573" s="58"/>
      <c r="N573" s="58"/>
      <c r="O573" s="58"/>
      <c r="P573" s="58"/>
      <c r="Q573" s="58"/>
      <c r="R573" s="58"/>
      <c r="S573" s="58"/>
      <c r="T573" s="58"/>
      <c r="U573" s="58"/>
      <c r="V573" s="58"/>
      <c r="W573" s="58"/>
      <c r="X573" s="58"/>
      <c r="Y573" s="58"/>
      <c r="Z573" s="58"/>
    </row>
    <row r="574" ht="25.5" spans="1:26">
      <c r="A574" s="103" t="s">
        <v>138</v>
      </c>
      <c r="B574" s="104" t="s">
        <v>139</v>
      </c>
      <c r="C574" s="104" t="s">
        <v>140</v>
      </c>
      <c r="D574" s="104" t="s">
        <v>2951</v>
      </c>
      <c r="E574" s="105" t="s">
        <v>141</v>
      </c>
      <c r="F574" s="125" t="s">
        <v>8527</v>
      </c>
      <c r="G574" s="126" t="s">
        <v>8528</v>
      </c>
      <c r="H574" s="126" t="s">
        <v>8529</v>
      </c>
      <c r="I574" s="126" t="s">
        <v>8174</v>
      </c>
      <c r="J574" s="126" t="s">
        <v>8530</v>
      </c>
      <c r="K574" s="90"/>
      <c r="L574" s="58"/>
      <c r="M574" s="58"/>
      <c r="N574" s="58"/>
      <c r="O574" s="58"/>
      <c r="P574" s="58"/>
      <c r="Q574" s="58"/>
      <c r="R574" s="58"/>
      <c r="S574" s="58"/>
      <c r="T574" s="58"/>
      <c r="U574" s="58"/>
      <c r="V574" s="58"/>
      <c r="W574" s="58"/>
      <c r="X574" s="58"/>
      <c r="Y574" s="58"/>
      <c r="Z574" s="58"/>
    </row>
    <row r="575" spans="1:26">
      <c r="A575" s="103" t="s">
        <v>956</v>
      </c>
      <c r="B575" s="104" t="s">
        <v>149</v>
      </c>
      <c r="C575" s="104" t="s">
        <v>957</v>
      </c>
      <c r="D575" s="104" t="s">
        <v>731</v>
      </c>
      <c r="E575" s="105" t="s">
        <v>141</v>
      </c>
      <c r="F575" s="125" t="s">
        <v>8531</v>
      </c>
      <c r="G575" s="126" t="s">
        <v>8532</v>
      </c>
      <c r="H575" s="126" t="s">
        <v>8533</v>
      </c>
      <c r="I575" s="126" t="s">
        <v>8174</v>
      </c>
      <c r="J575" s="126" t="s">
        <v>8534</v>
      </c>
      <c r="K575" s="90"/>
      <c r="L575" s="58"/>
      <c r="M575" s="58"/>
      <c r="N575" s="58"/>
      <c r="O575" s="58"/>
      <c r="P575" s="58"/>
      <c r="Q575" s="58"/>
      <c r="R575" s="58"/>
      <c r="S575" s="58"/>
      <c r="T575" s="58"/>
      <c r="U575" s="58"/>
      <c r="V575" s="58"/>
      <c r="W575" s="58"/>
      <c r="X575" s="58"/>
      <c r="Y575" s="58"/>
      <c r="Z575" s="58"/>
    </row>
    <row r="576" ht="25.5" spans="1:26">
      <c r="A576" s="103" t="s">
        <v>2359</v>
      </c>
      <c r="B576" s="104" t="s">
        <v>149</v>
      </c>
      <c r="C576" s="104" t="s">
        <v>2360</v>
      </c>
      <c r="D576" s="104" t="s">
        <v>4599</v>
      </c>
      <c r="E576" s="105" t="s">
        <v>134</v>
      </c>
      <c r="F576" s="125" t="s">
        <v>8220</v>
      </c>
      <c r="G576" s="126" t="s">
        <v>8535</v>
      </c>
      <c r="H576" s="126" t="s">
        <v>8536</v>
      </c>
      <c r="I576" s="126" t="s">
        <v>8174</v>
      </c>
      <c r="J576" s="126" t="s">
        <v>8534</v>
      </c>
      <c r="K576" s="90"/>
      <c r="L576" s="58"/>
      <c r="M576" s="58"/>
      <c r="N576" s="58"/>
      <c r="O576" s="58"/>
      <c r="P576" s="58"/>
      <c r="Q576" s="58"/>
      <c r="R576" s="58"/>
      <c r="S576" s="58"/>
      <c r="T576" s="58"/>
      <c r="U576" s="58"/>
      <c r="V576" s="58"/>
      <c r="W576" s="58"/>
      <c r="X576" s="58"/>
      <c r="Y576" s="58"/>
      <c r="Z576" s="58"/>
    </row>
    <row r="577" ht="25.5" spans="1:26">
      <c r="A577" s="103" t="s">
        <v>544</v>
      </c>
      <c r="B577" s="104" t="s">
        <v>139</v>
      </c>
      <c r="C577" s="104" t="s">
        <v>545</v>
      </c>
      <c r="D577" s="104" t="s">
        <v>3317</v>
      </c>
      <c r="E577" s="105" t="s">
        <v>393</v>
      </c>
      <c r="F577" s="125" t="s">
        <v>8537</v>
      </c>
      <c r="G577" s="126" t="s">
        <v>8538</v>
      </c>
      <c r="H577" s="126" t="s">
        <v>8539</v>
      </c>
      <c r="I577" s="126" t="s">
        <v>8174</v>
      </c>
      <c r="J577" s="126" t="s">
        <v>8540</v>
      </c>
      <c r="K577" s="90"/>
      <c r="L577" s="58"/>
      <c r="M577" s="58"/>
      <c r="N577" s="58"/>
      <c r="O577" s="58"/>
      <c r="P577" s="58"/>
      <c r="Q577" s="58"/>
      <c r="R577" s="58"/>
      <c r="S577" s="58"/>
      <c r="T577" s="58"/>
      <c r="U577" s="58"/>
      <c r="V577" s="58"/>
      <c r="W577" s="58"/>
      <c r="X577" s="58"/>
      <c r="Y577" s="58"/>
      <c r="Z577" s="58"/>
    </row>
    <row r="578" ht="25.5" spans="1:26">
      <c r="A578" s="103" t="s">
        <v>1008</v>
      </c>
      <c r="B578" s="104" t="s">
        <v>149</v>
      </c>
      <c r="C578" s="104" t="s">
        <v>1009</v>
      </c>
      <c r="D578" s="104" t="s">
        <v>3953</v>
      </c>
      <c r="E578" s="105" t="s">
        <v>204</v>
      </c>
      <c r="F578" s="125" t="s">
        <v>6725</v>
      </c>
      <c r="G578" s="126" t="s">
        <v>8541</v>
      </c>
      <c r="H578" s="126" t="s">
        <v>8542</v>
      </c>
      <c r="I578" s="126" t="s">
        <v>8174</v>
      </c>
      <c r="J578" s="126" t="s">
        <v>8543</v>
      </c>
      <c r="K578" s="90"/>
      <c r="L578" s="58"/>
      <c r="M578" s="58"/>
      <c r="N578" s="58"/>
      <c r="O578" s="58"/>
      <c r="P578" s="58"/>
      <c r="Q578" s="58"/>
      <c r="R578" s="58"/>
      <c r="S578" s="58"/>
      <c r="T578" s="58"/>
      <c r="U578" s="58"/>
      <c r="V578" s="58"/>
      <c r="W578" s="58"/>
      <c r="X578" s="58"/>
      <c r="Y578" s="58"/>
      <c r="Z578" s="58"/>
    </row>
    <row r="579" ht="25.5" spans="1:26">
      <c r="A579" s="103" t="s">
        <v>2377</v>
      </c>
      <c r="B579" s="104" t="s">
        <v>149</v>
      </c>
      <c r="C579" s="104" t="s">
        <v>2378</v>
      </c>
      <c r="D579" s="104" t="s">
        <v>4599</v>
      </c>
      <c r="E579" s="105" t="s">
        <v>134</v>
      </c>
      <c r="F579" s="125" t="s">
        <v>7942</v>
      </c>
      <c r="G579" s="126" t="s">
        <v>8544</v>
      </c>
      <c r="H579" s="126" t="s">
        <v>8545</v>
      </c>
      <c r="I579" s="126" t="s">
        <v>8174</v>
      </c>
      <c r="J579" s="126" t="s">
        <v>8546</v>
      </c>
      <c r="K579" s="90"/>
      <c r="L579" s="58"/>
      <c r="M579" s="58"/>
      <c r="N579" s="58"/>
      <c r="O579" s="58"/>
      <c r="P579" s="58"/>
      <c r="Q579" s="58"/>
      <c r="R579" s="58"/>
      <c r="S579" s="58"/>
      <c r="T579" s="58"/>
      <c r="U579" s="58"/>
      <c r="V579" s="58"/>
      <c r="W579" s="58"/>
      <c r="X579" s="58"/>
      <c r="Y579" s="58"/>
      <c r="Z579" s="58"/>
    </row>
    <row r="580" ht="25.5" spans="1:26">
      <c r="A580" s="103" t="s">
        <v>2867</v>
      </c>
      <c r="B580" s="104" t="s">
        <v>139</v>
      </c>
      <c r="C580" s="104" t="s">
        <v>2868</v>
      </c>
      <c r="D580" s="104" t="s">
        <v>3282</v>
      </c>
      <c r="E580" s="105" t="s">
        <v>141</v>
      </c>
      <c r="F580" s="125" t="s">
        <v>8547</v>
      </c>
      <c r="G580" s="126" t="s">
        <v>8548</v>
      </c>
      <c r="H580" s="126" t="s">
        <v>8549</v>
      </c>
      <c r="I580" s="126" t="s">
        <v>8174</v>
      </c>
      <c r="J580" s="126" t="s">
        <v>8546</v>
      </c>
      <c r="K580" s="90"/>
      <c r="L580" s="58"/>
      <c r="M580" s="58"/>
      <c r="N580" s="58"/>
      <c r="O580" s="58"/>
      <c r="P580" s="58"/>
      <c r="Q580" s="58"/>
      <c r="R580" s="58"/>
      <c r="S580" s="58"/>
      <c r="T580" s="58"/>
      <c r="U580" s="58"/>
      <c r="V580" s="58"/>
      <c r="W580" s="58"/>
      <c r="X580" s="58"/>
      <c r="Y580" s="58"/>
      <c r="Z580" s="58"/>
    </row>
    <row r="581" ht="25.5" spans="1:26">
      <c r="A581" s="103" t="s">
        <v>101</v>
      </c>
      <c r="B581" s="104" t="s">
        <v>77</v>
      </c>
      <c r="C581" s="104" t="s">
        <v>102</v>
      </c>
      <c r="D581" s="104">
        <v>1</v>
      </c>
      <c r="E581" s="105" t="s">
        <v>141</v>
      </c>
      <c r="F581" s="125" t="s">
        <v>7011</v>
      </c>
      <c r="G581" s="126" t="s">
        <v>6951</v>
      </c>
      <c r="H581" s="126" t="s">
        <v>8550</v>
      </c>
      <c r="I581" s="126" t="s">
        <v>8174</v>
      </c>
      <c r="J581" s="126" t="s">
        <v>8551</v>
      </c>
      <c r="K581" s="90"/>
      <c r="L581" s="58"/>
      <c r="M581" s="58"/>
      <c r="N581" s="58"/>
      <c r="O581" s="58"/>
      <c r="P581" s="58"/>
      <c r="Q581" s="58"/>
      <c r="R581" s="58"/>
      <c r="S581" s="58"/>
      <c r="T581" s="58"/>
      <c r="U581" s="58"/>
      <c r="V581" s="58"/>
      <c r="W581" s="58"/>
      <c r="X581" s="58"/>
      <c r="Y581" s="58"/>
      <c r="Z581" s="58"/>
    </row>
    <row r="582" ht="25.5" spans="1:26">
      <c r="A582" s="103" t="s">
        <v>110</v>
      </c>
      <c r="B582" s="104" t="s">
        <v>77</v>
      </c>
      <c r="C582" s="104" t="s">
        <v>111</v>
      </c>
      <c r="D582" s="104">
        <v>1</v>
      </c>
      <c r="E582" s="105" t="s">
        <v>141</v>
      </c>
      <c r="F582" s="125" t="s">
        <v>7011</v>
      </c>
      <c r="G582" s="126" t="s">
        <v>6951</v>
      </c>
      <c r="H582" s="126" t="s">
        <v>8550</v>
      </c>
      <c r="I582" s="126" t="s">
        <v>8174</v>
      </c>
      <c r="J582" s="126" t="s">
        <v>8552</v>
      </c>
      <c r="K582" s="90"/>
      <c r="L582" s="58"/>
      <c r="M582" s="58"/>
      <c r="N582" s="58"/>
      <c r="O582" s="58"/>
      <c r="P582" s="58"/>
      <c r="Q582" s="58"/>
      <c r="R582" s="58"/>
      <c r="S582" s="58"/>
      <c r="T582" s="58"/>
      <c r="U582" s="58"/>
      <c r="V582" s="58"/>
      <c r="W582" s="58"/>
      <c r="X582" s="58"/>
      <c r="Y582" s="58"/>
      <c r="Z582" s="58"/>
    </row>
    <row r="583" ht="25.5" spans="1:26">
      <c r="A583" s="103" t="s">
        <v>2308</v>
      </c>
      <c r="B583" s="104" t="s">
        <v>132</v>
      </c>
      <c r="C583" s="104" t="s">
        <v>2309</v>
      </c>
      <c r="D583" s="104">
        <v>73</v>
      </c>
      <c r="E583" s="105" t="s">
        <v>134</v>
      </c>
      <c r="F583" s="125" t="s">
        <v>6603</v>
      </c>
      <c r="G583" s="126" t="s">
        <v>8553</v>
      </c>
      <c r="H583" s="126" t="s">
        <v>8553</v>
      </c>
      <c r="I583" s="126" t="s">
        <v>8174</v>
      </c>
      <c r="J583" s="126" t="s">
        <v>8552</v>
      </c>
      <c r="K583" s="90"/>
      <c r="L583" s="58"/>
      <c r="M583" s="58"/>
      <c r="N583" s="58"/>
      <c r="O583" s="58"/>
      <c r="P583" s="58"/>
      <c r="Q583" s="58"/>
      <c r="R583" s="58"/>
      <c r="S583" s="58"/>
      <c r="T583" s="58"/>
      <c r="U583" s="58"/>
      <c r="V583" s="58"/>
      <c r="W583" s="58"/>
      <c r="X583" s="58"/>
      <c r="Y583" s="58"/>
      <c r="Z583" s="58"/>
    </row>
    <row r="584" ht="25.5" spans="1:26">
      <c r="A584" s="103" t="s">
        <v>703</v>
      </c>
      <c r="B584" s="104" t="s">
        <v>139</v>
      </c>
      <c r="C584" s="104" t="s">
        <v>704</v>
      </c>
      <c r="D584" s="104" t="s">
        <v>3025</v>
      </c>
      <c r="E584" s="105" t="s">
        <v>134</v>
      </c>
      <c r="F584" s="125" t="s">
        <v>7953</v>
      </c>
      <c r="G584" s="126" t="s">
        <v>8554</v>
      </c>
      <c r="H584" s="126" t="s">
        <v>8555</v>
      </c>
      <c r="I584" s="126" t="s">
        <v>8174</v>
      </c>
      <c r="J584" s="126" t="s">
        <v>8556</v>
      </c>
      <c r="K584" s="90"/>
      <c r="L584" s="58"/>
      <c r="M584" s="58"/>
      <c r="N584" s="58"/>
      <c r="O584" s="58"/>
      <c r="P584" s="58"/>
      <c r="Q584" s="58"/>
      <c r="R584" s="58"/>
      <c r="S584" s="58"/>
      <c r="T584" s="58"/>
      <c r="U584" s="58"/>
      <c r="V584" s="58"/>
      <c r="W584" s="58"/>
      <c r="X584" s="58"/>
      <c r="Y584" s="58"/>
      <c r="Z584" s="58"/>
    </row>
    <row r="585" ht="25.5" spans="1:26">
      <c r="A585" s="103" t="s">
        <v>2305</v>
      </c>
      <c r="B585" s="104" t="s">
        <v>132</v>
      </c>
      <c r="C585" s="104" t="s">
        <v>2306</v>
      </c>
      <c r="D585" s="104">
        <v>73</v>
      </c>
      <c r="E585" s="105" t="s">
        <v>134</v>
      </c>
      <c r="F585" s="125" t="s">
        <v>6603</v>
      </c>
      <c r="G585" s="126" t="s">
        <v>8557</v>
      </c>
      <c r="H585" s="126" t="s">
        <v>8557</v>
      </c>
      <c r="I585" s="126" t="s">
        <v>8174</v>
      </c>
      <c r="J585" s="126" t="s">
        <v>8558</v>
      </c>
      <c r="K585" s="90"/>
      <c r="L585" s="58"/>
      <c r="M585" s="58"/>
      <c r="N585" s="58"/>
      <c r="O585" s="58"/>
      <c r="P585" s="58"/>
      <c r="Q585" s="58"/>
      <c r="R585" s="58"/>
      <c r="S585" s="58"/>
      <c r="T585" s="58"/>
      <c r="U585" s="58"/>
      <c r="V585" s="58"/>
      <c r="W585" s="58"/>
      <c r="X585" s="58"/>
      <c r="Y585" s="58"/>
      <c r="Z585" s="58"/>
    </row>
    <row r="586" ht="25.5" spans="1:26">
      <c r="A586" s="103" t="s">
        <v>2251</v>
      </c>
      <c r="B586" s="104" t="s">
        <v>132</v>
      </c>
      <c r="C586" s="104" t="s">
        <v>2252</v>
      </c>
      <c r="D586" s="104">
        <v>70</v>
      </c>
      <c r="E586" s="105" t="s">
        <v>134</v>
      </c>
      <c r="F586" s="125" t="s">
        <v>6653</v>
      </c>
      <c r="G586" s="126" t="s">
        <v>8559</v>
      </c>
      <c r="H586" s="126" t="s">
        <v>8560</v>
      </c>
      <c r="I586" s="126" t="s">
        <v>8174</v>
      </c>
      <c r="J586" s="126" t="s">
        <v>8558</v>
      </c>
      <c r="K586" s="90"/>
      <c r="L586" s="58"/>
      <c r="M586" s="58"/>
      <c r="N586" s="58"/>
      <c r="O586" s="58"/>
      <c r="P586" s="58"/>
      <c r="Q586" s="58"/>
      <c r="R586" s="58"/>
      <c r="S586" s="58"/>
      <c r="T586" s="58"/>
      <c r="U586" s="58"/>
      <c r="V586" s="58"/>
      <c r="W586" s="58"/>
      <c r="X586" s="58"/>
      <c r="Y586" s="58"/>
      <c r="Z586" s="58"/>
    </row>
    <row r="587" ht="25.5" spans="1:26">
      <c r="A587" s="103" t="s">
        <v>2254</v>
      </c>
      <c r="B587" s="104" t="s">
        <v>132</v>
      </c>
      <c r="C587" s="104" t="s">
        <v>2255</v>
      </c>
      <c r="D587" s="104">
        <v>70</v>
      </c>
      <c r="E587" s="105" t="s">
        <v>134</v>
      </c>
      <c r="F587" s="125" t="s">
        <v>6653</v>
      </c>
      <c r="G587" s="126" t="s">
        <v>8559</v>
      </c>
      <c r="H587" s="126" t="s">
        <v>8560</v>
      </c>
      <c r="I587" s="126" t="s">
        <v>8174</v>
      </c>
      <c r="J587" s="126" t="s">
        <v>8561</v>
      </c>
      <c r="K587" s="90"/>
      <c r="L587" s="58"/>
      <c r="M587" s="58"/>
      <c r="N587" s="58"/>
      <c r="O587" s="58"/>
      <c r="P587" s="58"/>
      <c r="Q587" s="58"/>
      <c r="R587" s="58"/>
      <c r="S587" s="58"/>
      <c r="T587" s="58"/>
      <c r="U587" s="58"/>
      <c r="V587" s="58"/>
      <c r="W587" s="58"/>
      <c r="X587" s="58"/>
      <c r="Y587" s="58"/>
      <c r="Z587" s="58"/>
    </row>
    <row r="588" ht="25.5" spans="1:26">
      <c r="A588" s="103" t="s">
        <v>1933</v>
      </c>
      <c r="B588" s="104" t="s">
        <v>139</v>
      </c>
      <c r="C588" s="104" t="s">
        <v>1934</v>
      </c>
      <c r="D588" s="104" t="s">
        <v>3642</v>
      </c>
      <c r="E588" s="105" t="s">
        <v>134</v>
      </c>
      <c r="F588" s="125" t="s">
        <v>6653</v>
      </c>
      <c r="G588" s="126" t="s">
        <v>8562</v>
      </c>
      <c r="H588" s="126" t="s">
        <v>8563</v>
      </c>
      <c r="I588" s="126" t="s">
        <v>8174</v>
      </c>
      <c r="J588" s="126" t="s">
        <v>8564</v>
      </c>
      <c r="K588" s="90"/>
      <c r="L588" s="58"/>
      <c r="M588" s="58"/>
      <c r="N588" s="58"/>
      <c r="O588" s="58"/>
      <c r="P588" s="58"/>
      <c r="Q588" s="58"/>
      <c r="R588" s="58"/>
      <c r="S588" s="58"/>
      <c r="T588" s="58"/>
      <c r="U588" s="58"/>
      <c r="V588" s="58"/>
      <c r="W588" s="58"/>
      <c r="X588" s="58"/>
      <c r="Y588" s="58"/>
      <c r="Z588" s="58"/>
    </row>
    <row r="589" ht="38.25" spans="1:26">
      <c r="A589" s="103" t="s">
        <v>212</v>
      </c>
      <c r="B589" s="104" t="s">
        <v>139</v>
      </c>
      <c r="C589" s="104" t="s">
        <v>213</v>
      </c>
      <c r="D589" s="104" t="s">
        <v>3132</v>
      </c>
      <c r="E589" s="105" t="s">
        <v>204</v>
      </c>
      <c r="F589" s="125" t="s">
        <v>8565</v>
      </c>
      <c r="G589" s="126" t="s">
        <v>8566</v>
      </c>
      <c r="H589" s="126" t="s">
        <v>8567</v>
      </c>
      <c r="I589" s="126" t="s">
        <v>8174</v>
      </c>
      <c r="J589" s="126" t="s">
        <v>8564</v>
      </c>
      <c r="K589" s="90"/>
      <c r="L589" s="58"/>
      <c r="M589" s="58"/>
      <c r="N589" s="58"/>
      <c r="O589" s="58"/>
      <c r="P589" s="58"/>
      <c r="Q589" s="58"/>
      <c r="R589" s="58"/>
      <c r="S589" s="58"/>
      <c r="T589" s="58"/>
      <c r="U589" s="58"/>
      <c r="V589" s="58"/>
      <c r="W589" s="58"/>
      <c r="X589" s="58"/>
      <c r="Y589" s="58"/>
      <c r="Z589" s="58"/>
    </row>
    <row r="590" ht="25.5" spans="1:26">
      <c r="A590" s="103" t="s">
        <v>107</v>
      </c>
      <c r="B590" s="104" t="s">
        <v>77</v>
      </c>
      <c r="C590" s="104" t="s">
        <v>108</v>
      </c>
      <c r="D590" s="104">
        <v>1</v>
      </c>
      <c r="E590" s="105" t="s">
        <v>141</v>
      </c>
      <c r="F590" s="125" t="s">
        <v>7218</v>
      </c>
      <c r="G590" s="126" t="s">
        <v>6766</v>
      </c>
      <c r="H590" s="126" t="s">
        <v>8568</v>
      </c>
      <c r="I590" s="126" t="s">
        <v>8174</v>
      </c>
      <c r="J590" s="126" t="s">
        <v>8569</v>
      </c>
      <c r="K590" s="90"/>
      <c r="L590" s="58"/>
      <c r="M590" s="58"/>
      <c r="N590" s="58"/>
      <c r="O590" s="58"/>
      <c r="P590" s="58"/>
      <c r="Q590" s="58"/>
      <c r="R590" s="58"/>
      <c r="S590" s="58"/>
      <c r="T590" s="58"/>
      <c r="U590" s="58"/>
      <c r="V590" s="58"/>
      <c r="W590" s="58"/>
      <c r="X590" s="58"/>
      <c r="Y590" s="58"/>
      <c r="Z590" s="58"/>
    </row>
    <row r="591" ht="25.5" spans="1:26">
      <c r="A591" s="103" t="s">
        <v>1963</v>
      </c>
      <c r="B591" s="104" t="s">
        <v>132</v>
      </c>
      <c r="C591" s="104" t="s">
        <v>1964</v>
      </c>
      <c r="D591" s="104" t="s">
        <v>4227</v>
      </c>
      <c r="E591" s="105" t="s">
        <v>134</v>
      </c>
      <c r="F591" s="125" t="s">
        <v>6653</v>
      </c>
      <c r="G591" s="126" t="s">
        <v>8570</v>
      </c>
      <c r="H591" s="126" t="s">
        <v>8571</v>
      </c>
      <c r="I591" s="126" t="s">
        <v>8174</v>
      </c>
      <c r="J591" s="126" t="s">
        <v>8572</v>
      </c>
      <c r="K591" s="90"/>
      <c r="L591" s="58"/>
      <c r="M591" s="58"/>
      <c r="N591" s="58"/>
      <c r="O591" s="58"/>
      <c r="P591" s="58"/>
      <c r="Q591" s="58"/>
      <c r="R591" s="58"/>
      <c r="S591" s="58"/>
      <c r="T591" s="58"/>
      <c r="U591" s="58"/>
      <c r="V591" s="58"/>
      <c r="W591" s="58"/>
      <c r="X591" s="58"/>
      <c r="Y591" s="58"/>
      <c r="Z591" s="58"/>
    </row>
    <row r="592" ht="25.5" spans="1:26">
      <c r="A592" s="103" t="s">
        <v>600</v>
      </c>
      <c r="B592" s="104" t="s">
        <v>139</v>
      </c>
      <c r="C592" s="104" t="s">
        <v>601</v>
      </c>
      <c r="D592" s="104" t="s">
        <v>3477</v>
      </c>
      <c r="E592" s="105" t="s">
        <v>204</v>
      </c>
      <c r="F592" s="125" t="s">
        <v>8573</v>
      </c>
      <c r="G592" s="126" t="s">
        <v>8574</v>
      </c>
      <c r="H592" s="126" t="s">
        <v>8575</v>
      </c>
      <c r="I592" s="126" t="s">
        <v>8174</v>
      </c>
      <c r="J592" s="126" t="s">
        <v>8572</v>
      </c>
      <c r="K592" s="90"/>
      <c r="L592" s="58"/>
      <c r="M592" s="58"/>
      <c r="N592" s="58"/>
      <c r="O592" s="58"/>
      <c r="P592" s="58"/>
      <c r="Q592" s="58"/>
      <c r="R592" s="58"/>
      <c r="S592" s="58"/>
      <c r="T592" s="58"/>
      <c r="U592" s="58"/>
      <c r="V592" s="58"/>
      <c r="W592" s="58"/>
      <c r="X592" s="58"/>
      <c r="Y592" s="58"/>
      <c r="Z592" s="58"/>
    </row>
    <row r="593" ht="25.5" spans="1:26">
      <c r="A593" s="103" t="s">
        <v>941</v>
      </c>
      <c r="B593" s="104" t="s">
        <v>139</v>
      </c>
      <c r="C593" s="104" t="s">
        <v>942</v>
      </c>
      <c r="D593" s="104" t="s">
        <v>3516</v>
      </c>
      <c r="E593" s="105" t="s">
        <v>134</v>
      </c>
      <c r="F593" s="125" t="s">
        <v>6653</v>
      </c>
      <c r="G593" s="126" t="s">
        <v>8576</v>
      </c>
      <c r="H593" s="126" t="s">
        <v>8577</v>
      </c>
      <c r="I593" s="126" t="s">
        <v>8174</v>
      </c>
      <c r="J593" s="126" t="s">
        <v>8578</v>
      </c>
      <c r="K593" s="90"/>
      <c r="L593" s="58"/>
      <c r="M593" s="58"/>
      <c r="N593" s="58"/>
      <c r="O593" s="58"/>
      <c r="P593" s="58"/>
      <c r="Q593" s="58"/>
      <c r="R593" s="58"/>
      <c r="S593" s="58"/>
      <c r="T593" s="58"/>
      <c r="U593" s="58"/>
      <c r="V593" s="58"/>
      <c r="W593" s="58"/>
      <c r="X593" s="58"/>
      <c r="Y593" s="58"/>
      <c r="Z593" s="58"/>
    </row>
    <row r="594" ht="25.5" spans="1:26">
      <c r="A594" s="103" t="s">
        <v>2299</v>
      </c>
      <c r="B594" s="104" t="s">
        <v>132</v>
      </c>
      <c r="C594" s="104" t="s">
        <v>2300</v>
      </c>
      <c r="D594" s="104">
        <v>73</v>
      </c>
      <c r="E594" s="105" t="s">
        <v>134</v>
      </c>
      <c r="F594" s="125" t="s">
        <v>6603</v>
      </c>
      <c r="G594" s="126" t="s">
        <v>8579</v>
      </c>
      <c r="H594" s="126" t="s">
        <v>8579</v>
      </c>
      <c r="I594" s="126" t="s">
        <v>8174</v>
      </c>
      <c r="J594" s="126" t="s">
        <v>8578</v>
      </c>
      <c r="K594" s="90"/>
      <c r="L594" s="58"/>
      <c r="M594" s="58"/>
      <c r="N594" s="58"/>
      <c r="O594" s="58"/>
      <c r="P594" s="58"/>
      <c r="Q594" s="58"/>
      <c r="R594" s="58"/>
      <c r="S594" s="58"/>
      <c r="T594" s="58"/>
      <c r="U594" s="58"/>
      <c r="V594" s="58"/>
      <c r="W594" s="58"/>
      <c r="X594" s="58"/>
      <c r="Y594" s="58"/>
      <c r="Z594" s="58"/>
    </row>
    <row r="595" ht="25.5" spans="1:26">
      <c r="A595" s="103" t="s">
        <v>181</v>
      </c>
      <c r="B595" s="104" t="s">
        <v>139</v>
      </c>
      <c r="C595" s="104" t="s">
        <v>182</v>
      </c>
      <c r="D595" s="104" t="s">
        <v>3055</v>
      </c>
      <c r="E595" s="105" t="s">
        <v>141</v>
      </c>
      <c r="F595" s="125" t="s">
        <v>8580</v>
      </c>
      <c r="G595" s="126" t="s">
        <v>8581</v>
      </c>
      <c r="H595" s="126" t="s">
        <v>8582</v>
      </c>
      <c r="I595" s="126" t="s">
        <v>8174</v>
      </c>
      <c r="J595" s="126" t="s">
        <v>8583</v>
      </c>
      <c r="K595" s="90"/>
      <c r="L595" s="58"/>
      <c r="M595" s="58"/>
      <c r="N595" s="58"/>
      <c r="O595" s="58"/>
      <c r="P595" s="58"/>
      <c r="Q595" s="58"/>
      <c r="R595" s="58"/>
      <c r="S595" s="58"/>
      <c r="T595" s="58"/>
      <c r="U595" s="58"/>
      <c r="V595" s="58"/>
      <c r="W595" s="58"/>
      <c r="X595" s="58"/>
      <c r="Y595" s="58"/>
      <c r="Z595" s="58"/>
    </row>
    <row r="596" ht="38.25" spans="1:26">
      <c r="A596" s="103" t="s">
        <v>1571</v>
      </c>
      <c r="B596" s="104" t="s">
        <v>139</v>
      </c>
      <c r="C596" s="104" t="s">
        <v>1572</v>
      </c>
      <c r="D596" s="104" t="s">
        <v>3150</v>
      </c>
      <c r="E596" s="105" t="s">
        <v>134</v>
      </c>
      <c r="F596" s="125" t="s">
        <v>6927</v>
      </c>
      <c r="G596" s="126" t="s">
        <v>8584</v>
      </c>
      <c r="H596" s="126" t="s">
        <v>8585</v>
      </c>
      <c r="I596" s="126" t="s">
        <v>8174</v>
      </c>
      <c r="J596" s="126" t="s">
        <v>8586</v>
      </c>
      <c r="K596" s="90"/>
      <c r="L596" s="58"/>
      <c r="M596" s="58"/>
      <c r="N596" s="58"/>
      <c r="O596" s="58"/>
      <c r="P596" s="58"/>
      <c r="Q596" s="58"/>
      <c r="R596" s="58"/>
      <c r="S596" s="58"/>
      <c r="T596" s="58"/>
      <c r="U596" s="58"/>
      <c r="V596" s="58"/>
      <c r="W596" s="58"/>
      <c r="X596" s="58"/>
      <c r="Y596" s="58"/>
      <c r="Z596" s="58"/>
    </row>
    <row r="597" ht="25.5" spans="1:26">
      <c r="A597" s="103" t="s">
        <v>2465</v>
      </c>
      <c r="B597" s="104" t="s">
        <v>132</v>
      </c>
      <c r="C597" s="104" t="s">
        <v>2466</v>
      </c>
      <c r="D597" s="104" t="s">
        <v>4227</v>
      </c>
      <c r="E597" s="105" t="s">
        <v>204</v>
      </c>
      <c r="F597" s="125" t="s">
        <v>8587</v>
      </c>
      <c r="G597" s="126" t="s">
        <v>8588</v>
      </c>
      <c r="H597" s="126" t="s">
        <v>8589</v>
      </c>
      <c r="I597" s="126" t="s">
        <v>8174</v>
      </c>
      <c r="J597" s="126" t="s">
        <v>8586</v>
      </c>
      <c r="K597" s="90"/>
      <c r="L597" s="58"/>
      <c r="M597" s="58"/>
      <c r="N597" s="58"/>
      <c r="O597" s="58"/>
      <c r="P597" s="58"/>
      <c r="Q597" s="58"/>
      <c r="R597" s="58"/>
      <c r="S597" s="58"/>
      <c r="T597" s="58"/>
      <c r="U597" s="58"/>
      <c r="V597" s="58"/>
      <c r="W597" s="58"/>
      <c r="X597" s="58"/>
      <c r="Y597" s="58"/>
      <c r="Z597" s="58"/>
    </row>
    <row r="598" ht="25.5" spans="1:26">
      <c r="A598" s="103" t="s">
        <v>2421</v>
      </c>
      <c r="B598" s="104" t="s">
        <v>149</v>
      </c>
      <c r="C598" s="104" t="s">
        <v>2422</v>
      </c>
      <c r="D598" s="104" t="s">
        <v>4599</v>
      </c>
      <c r="E598" s="105" t="s">
        <v>204</v>
      </c>
      <c r="F598" s="125" t="s">
        <v>8521</v>
      </c>
      <c r="G598" s="126" t="s">
        <v>8590</v>
      </c>
      <c r="H598" s="126" t="s">
        <v>8591</v>
      </c>
      <c r="I598" s="126" t="s">
        <v>8174</v>
      </c>
      <c r="J598" s="126" t="s">
        <v>8592</v>
      </c>
      <c r="K598" s="90"/>
      <c r="L598" s="58"/>
      <c r="M598" s="58"/>
      <c r="N598" s="58"/>
      <c r="O598" s="58"/>
      <c r="P598" s="58"/>
      <c r="Q598" s="58"/>
      <c r="R598" s="58"/>
      <c r="S598" s="58"/>
      <c r="T598" s="58"/>
      <c r="U598" s="58"/>
      <c r="V598" s="58"/>
      <c r="W598" s="58"/>
      <c r="X598" s="58"/>
      <c r="Y598" s="58"/>
      <c r="Z598" s="58"/>
    </row>
    <row r="599" ht="63.75" spans="1:26">
      <c r="A599" s="103" t="s">
        <v>2834</v>
      </c>
      <c r="B599" s="104" t="s">
        <v>132</v>
      </c>
      <c r="C599" s="104" t="s">
        <v>2835</v>
      </c>
      <c r="D599" s="104">
        <v>97.02</v>
      </c>
      <c r="E599" s="105" t="s">
        <v>134</v>
      </c>
      <c r="F599" s="125" t="s">
        <v>7073</v>
      </c>
      <c r="G599" s="126" t="s">
        <v>8593</v>
      </c>
      <c r="H599" s="126" t="s">
        <v>8594</v>
      </c>
      <c r="I599" s="126" t="s">
        <v>8174</v>
      </c>
      <c r="J599" s="126" t="s">
        <v>8595</v>
      </c>
      <c r="K599" s="90"/>
      <c r="L599" s="58"/>
      <c r="M599" s="58"/>
      <c r="N599" s="58"/>
      <c r="O599" s="58"/>
      <c r="P599" s="58"/>
      <c r="Q599" s="58"/>
      <c r="R599" s="58"/>
      <c r="S599" s="58"/>
      <c r="T599" s="58"/>
      <c r="U599" s="58"/>
      <c r="V599" s="58"/>
      <c r="W599" s="58"/>
      <c r="X599" s="58"/>
      <c r="Y599" s="58"/>
      <c r="Z599" s="58"/>
    </row>
    <row r="600" ht="25.5" spans="1:26">
      <c r="A600" s="103" t="s">
        <v>2503</v>
      </c>
      <c r="B600" s="104" t="s">
        <v>77</v>
      </c>
      <c r="C600" s="104" t="s">
        <v>2504</v>
      </c>
      <c r="D600" s="104">
        <v>15</v>
      </c>
      <c r="E600" s="105" t="s">
        <v>134</v>
      </c>
      <c r="F600" s="125" t="s">
        <v>7637</v>
      </c>
      <c r="G600" s="126" t="s">
        <v>8596</v>
      </c>
      <c r="H600" s="126" t="s">
        <v>8597</v>
      </c>
      <c r="I600" s="126" t="s">
        <v>8174</v>
      </c>
      <c r="J600" s="126" t="s">
        <v>8595</v>
      </c>
      <c r="K600" s="90"/>
      <c r="L600" s="58"/>
      <c r="M600" s="58"/>
      <c r="N600" s="58"/>
      <c r="O600" s="58"/>
      <c r="P600" s="58"/>
      <c r="Q600" s="58"/>
      <c r="R600" s="58"/>
      <c r="S600" s="58"/>
      <c r="T600" s="58"/>
      <c r="U600" s="58"/>
      <c r="V600" s="58"/>
      <c r="W600" s="58"/>
      <c r="X600" s="58"/>
      <c r="Y600" s="58"/>
      <c r="Z600" s="58"/>
    </row>
    <row r="601" spans="1:26">
      <c r="A601" s="103" t="s">
        <v>2494</v>
      </c>
      <c r="B601" s="104" t="s">
        <v>149</v>
      </c>
      <c r="C601" s="104" t="s">
        <v>2495</v>
      </c>
      <c r="D601" s="104" t="s">
        <v>3755</v>
      </c>
      <c r="E601" s="105" t="s">
        <v>134</v>
      </c>
      <c r="F601" s="125" t="s">
        <v>6653</v>
      </c>
      <c r="G601" s="126" t="s">
        <v>8598</v>
      </c>
      <c r="H601" s="126" t="s">
        <v>8599</v>
      </c>
      <c r="I601" s="126" t="s">
        <v>8174</v>
      </c>
      <c r="J601" s="126" t="s">
        <v>8600</v>
      </c>
      <c r="K601" s="90"/>
      <c r="L601" s="58"/>
      <c r="M601" s="58"/>
      <c r="N601" s="58"/>
      <c r="O601" s="58"/>
      <c r="P601" s="58"/>
      <c r="Q601" s="58"/>
      <c r="R601" s="58"/>
      <c r="S601" s="58"/>
      <c r="T601" s="58"/>
      <c r="U601" s="58"/>
      <c r="V601" s="58"/>
      <c r="W601" s="58"/>
      <c r="X601" s="58"/>
      <c r="Y601" s="58"/>
      <c r="Z601" s="58"/>
    </row>
    <row r="602" ht="25.5" spans="1:26">
      <c r="A602" s="103" t="s">
        <v>2293</v>
      </c>
      <c r="B602" s="104" t="s">
        <v>132</v>
      </c>
      <c r="C602" s="104" t="s">
        <v>2294</v>
      </c>
      <c r="D602" s="104">
        <v>73</v>
      </c>
      <c r="E602" s="105" t="s">
        <v>134</v>
      </c>
      <c r="F602" s="125" t="s">
        <v>6603</v>
      </c>
      <c r="G602" s="126" t="s">
        <v>8601</v>
      </c>
      <c r="H602" s="126" t="s">
        <v>8601</v>
      </c>
      <c r="I602" s="126" t="s">
        <v>8174</v>
      </c>
      <c r="J602" s="126" t="s">
        <v>8600</v>
      </c>
      <c r="K602" s="90"/>
      <c r="L602" s="58"/>
      <c r="M602" s="58"/>
      <c r="N602" s="58"/>
      <c r="O602" s="58"/>
      <c r="P602" s="58"/>
      <c r="Q602" s="58"/>
      <c r="R602" s="58"/>
      <c r="S602" s="58"/>
      <c r="T602" s="58"/>
      <c r="U602" s="58"/>
      <c r="V602" s="58"/>
      <c r="W602" s="58"/>
      <c r="X602" s="58"/>
      <c r="Y602" s="58"/>
      <c r="Z602" s="58"/>
    </row>
    <row r="603" ht="25.5" spans="1:26">
      <c r="A603" s="103" t="s">
        <v>1497</v>
      </c>
      <c r="B603" s="104" t="s">
        <v>149</v>
      </c>
      <c r="C603" s="104" t="s">
        <v>1498</v>
      </c>
      <c r="D603" s="104" t="s">
        <v>4305</v>
      </c>
      <c r="E603" s="105" t="s">
        <v>134</v>
      </c>
      <c r="F603" s="125" t="s">
        <v>7101</v>
      </c>
      <c r="G603" s="126" t="s">
        <v>8602</v>
      </c>
      <c r="H603" s="126" t="s">
        <v>8603</v>
      </c>
      <c r="I603" s="126" t="s">
        <v>8174</v>
      </c>
      <c r="J603" s="126" t="s">
        <v>8604</v>
      </c>
      <c r="K603" s="90"/>
      <c r="L603" s="58"/>
      <c r="M603" s="58"/>
      <c r="N603" s="58"/>
      <c r="O603" s="58"/>
      <c r="P603" s="58"/>
      <c r="Q603" s="58"/>
      <c r="R603" s="58"/>
      <c r="S603" s="58"/>
      <c r="T603" s="58"/>
      <c r="U603" s="58"/>
      <c r="V603" s="58"/>
      <c r="W603" s="58"/>
      <c r="X603" s="58"/>
      <c r="Y603" s="58"/>
      <c r="Z603" s="58"/>
    </row>
    <row r="604" spans="1:26">
      <c r="A604" s="103" t="s">
        <v>2872</v>
      </c>
      <c r="B604" s="104" t="s">
        <v>77</v>
      </c>
      <c r="C604" s="104" t="s">
        <v>2873</v>
      </c>
      <c r="D604" s="104">
        <v>20</v>
      </c>
      <c r="E604" s="105" t="s">
        <v>134</v>
      </c>
      <c r="F604" s="125" t="s">
        <v>8605</v>
      </c>
      <c r="G604" s="126" t="s">
        <v>8606</v>
      </c>
      <c r="H604" s="126" t="s">
        <v>8607</v>
      </c>
      <c r="I604" s="126" t="s">
        <v>8174</v>
      </c>
      <c r="J604" s="126" t="s">
        <v>8604</v>
      </c>
      <c r="K604" s="90"/>
      <c r="L604" s="58"/>
      <c r="M604" s="58"/>
      <c r="N604" s="58"/>
      <c r="O604" s="58"/>
      <c r="P604" s="58"/>
      <c r="Q604" s="58"/>
      <c r="R604" s="58"/>
      <c r="S604" s="58"/>
      <c r="T604" s="58"/>
      <c r="U604" s="58"/>
      <c r="V604" s="58"/>
      <c r="W604" s="58"/>
      <c r="X604" s="58"/>
      <c r="Y604" s="58"/>
      <c r="Z604" s="58"/>
    </row>
    <row r="605" spans="1:26">
      <c r="A605" s="103" t="s">
        <v>2515</v>
      </c>
      <c r="B605" s="104" t="s">
        <v>149</v>
      </c>
      <c r="C605" s="104" t="s">
        <v>2516</v>
      </c>
      <c r="D605" s="104" t="s">
        <v>3755</v>
      </c>
      <c r="E605" s="105" t="s">
        <v>134</v>
      </c>
      <c r="F605" s="125" t="s">
        <v>8220</v>
      </c>
      <c r="G605" s="126" t="s">
        <v>8608</v>
      </c>
      <c r="H605" s="126" t="s">
        <v>8609</v>
      </c>
      <c r="I605" s="126" t="s">
        <v>8174</v>
      </c>
      <c r="J605" s="126" t="s">
        <v>8610</v>
      </c>
      <c r="K605" s="90"/>
      <c r="L605" s="58"/>
      <c r="M605" s="58"/>
      <c r="N605" s="58"/>
      <c r="O605" s="58"/>
      <c r="P605" s="58"/>
      <c r="Q605" s="58"/>
      <c r="R605" s="58"/>
      <c r="S605" s="58"/>
      <c r="T605" s="58"/>
      <c r="U605" s="58"/>
      <c r="V605" s="58"/>
      <c r="W605" s="58"/>
      <c r="X605" s="58"/>
      <c r="Y605" s="58"/>
      <c r="Z605" s="58"/>
    </row>
    <row r="606" ht="25.5" spans="1:26">
      <c r="A606" s="103" t="s">
        <v>2840</v>
      </c>
      <c r="B606" s="104" t="s">
        <v>132</v>
      </c>
      <c r="C606" s="104" t="s">
        <v>2841</v>
      </c>
      <c r="D606" s="104">
        <v>200</v>
      </c>
      <c r="E606" s="105" t="s">
        <v>134</v>
      </c>
      <c r="F606" s="125" t="s">
        <v>6725</v>
      </c>
      <c r="G606" s="126" t="s">
        <v>8611</v>
      </c>
      <c r="H606" s="126" t="s">
        <v>8612</v>
      </c>
      <c r="I606" s="126" t="s">
        <v>8174</v>
      </c>
      <c r="J606" s="126" t="s">
        <v>8613</v>
      </c>
      <c r="K606" s="90"/>
      <c r="L606" s="58"/>
      <c r="M606" s="58"/>
      <c r="N606" s="58"/>
      <c r="O606" s="58"/>
      <c r="P606" s="58"/>
      <c r="Q606" s="58"/>
      <c r="R606" s="58"/>
      <c r="S606" s="58"/>
      <c r="T606" s="58"/>
      <c r="U606" s="58"/>
      <c r="V606" s="58"/>
      <c r="W606" s="58"/>
      <c r="X606" s="58"/>
      <c r="Y606" s="58"/>
      <c r="Z606" s="58"/>
    </row>
    <row r="607" ht="25.5" spans="1:26">
      <c r="A607" s="103" t="s">
        <v>2296</v>
      </c>
      <c r="B607" s="104" t="s">
        <v>132</v>
      </c>
      <c r="C607" s="104" t="s">
        <v>2297</v>
      </c>
      <c r="D607" s="104">
        <v>73</v>
      </c>
      <c r="E607" s="105" t="s">
        <v>134</v>
      </c>
      <c r="F607" s="125" t="s">
        <v>6603</v>
      </c>
      <c r="G607" s="126" t="s">
        <v>8614</v>
      </c>
      <c r="H607" s="126" t="s">
        <v>8614</v>
      </c>
      <c r="I607" s="126" t="s">
        <v>8174</v>
      </c>
      <c r="J607" s="126" t="s">
        <v>8613</v>
      </c>
      <c r="K607" s="90"/>
      <c r="L607" s="58"/>
      <c r="M607" s="58"/>
      <c r="N607" s="58"/>
      <c r="O607" s="58"/>
      <c r="P607" s="58"/>
      <c r="Q607" s="58"/>
      <c r="R607" s="58"/>
      <c r="S607" s="58"/>
      <c r="T607" s="58"/>
      <c r="U607" s="58"/>
      <c r="V607" s="58"/>
      <c r="W607" s="58"/>
      <c r="X607" s="58"/>
      <c r="Y607" s="58"/>
      <c r="Z607" s="58"/>
    </row>
    <row r="608" ht="25.5" spans="1:26">
      <c r="A608" s="103" t="s">
        <v>184</v>
      </c>
      <c r="B608" s="104" t="s">
        <v>139</v>
      </c>
      <c r="C608" s="104" t="s">
        <v>185</v>
      </c>
      <c r="D608" s="104" t="s">
        <v>3062</v>
      </c>
      <c r="E608" s="105" t="s">
        <v>141</v>
      </c>
      <c r="F608" s="125" t="s">
        <v>6725</v>
      </c>
      <c r="G608" s="126" t="s">
        <v>8615</v>
      </c>
      <c r="H608" s="126" t="s">
        <v>8616</v>
      </c>
      <c r="I608" s="126" t="s">
        <v>8174</v>
      </c>
      <c r="J608" s="126" t="s">
        <v>8617</v>
      </c>
      <c r="K608" s="90"/>
      <c r="L608" s="58"/>
      <c r="M608" s="58"/>
      <c r="N608" s="58"/>
      <c r="O608" s="58"/>
      <c r="P608" s="58"/>
      <c r="Q608" s="58"/>
      <c r="R608" s="58"/>
      <c r="S608" s="58"/>
      <c r="T608" s="58"/>
      <c r="U608" s="58"/>
      <c r="V608" s="58"/>
      <c r="W608" s="58"/>
      <c r="X608" s="58"/>
      <c r="Y608" s="58"/>
      <c r="Z608" s="58"/>
    </row>
    <row r="609" ht="25.5" spans="1:26">
      <c r="A609" s="103" t="s">
        <v>2290</v>
      </c>
      <c r="B609" s="104" t="s">
        <v>132</v>
      </c>
      <c r="C609" s="104" t="s">
        <v>2291</v>
      </c>
      <c r="D609" s="104">
        <v>73</v>
      </c>
      <c r="E609" s="105" t="s">
        <v>134</v>
      </c>
      <c r="F609" s="125" t="s">
        <v>6603</v>
      </c>
      <c r="G609" s="126" t="s">
        <v>8618</v>
      </c>
      <c r="H609" s="126" t="s">
        <v>8618</v>
      </c>
      <c r="I609" s="126" t="s">
        <v>8174</v>
      </c>
      <c r="J609" s="126" t="s">
        <v>8617</v>
      </c>
      <c r="K609" s="90"/>
      <c r="L609" s="58"/>
      <c r="M609" s="58"/>
      <c r="N609" s="58"/>
      <c r="O609" s="58"/>
      <c r="P609" s="58"/>
      <c r="Q609" s="58"/>
      <c r="R609" s="58"/>
      <c r="S609" s="58"/>
      <c r="T609" s="58"/>
      <c r="U609" s="58"/>
      <c r="V609" s="58"/>
      <c r="W609" s="58"/>
      <c r="X609" s="58"/>
      <c r="Y609" s="58"/>
      <c r="Z609" s="58"/>
    </row>
    <row r="610" ht="63.75" spans="1:26">
      <c r="A610" s="103" t="s">
        <v>2181</v>
      </c>
      <c r="B610" s="104" t="s">
        <v>132</v>
      </c>
      <c r="C610" s="104" t="s">
        <v>2182</v>
      </c>
      <c r="D610" s="104">
        <v>70</v>
      </c>
      <c r="E610" s="105" t="s">
        <v>134</v>
      </c>
      <c r="F610" s="125" t="s">
        <v>7584</v>
      </c>
      <c r="G610" s="126" t="s">
        <v>8619</v>
      </c>
      <c r="H610" s="126" t="s">
        <v>8620</v>
      </c>
      <c r="I610" s="126" t="s">
        <v>8174</v>
      </c>
      <c r="J610" s="126" t="s">
        <v>8621</v>
      </c>
      <c r="K610" s="90"/>
      <c r="L610" s="58"/>
      <c r="M610" s="58"/>
      <c r="N610" s="58"/>
      <c r="O610" s="58"/>
      <c r="P610" s="58"/>
      <c r="Q610" s="58"/>
      <c r="R610" s="58"/>
      <c r="S610" s="58"/>
      <c r="T610" s="58"/>
      <c r="U610" s="58"/>
      <c r="V610" s="58"/>
      <c r="W610" s="58"/>
      <c r="X610" s="58"/>
      <c r="Y610" s="58"/>
      <c r="Z610" s="58"/>
    </row>
    <row r="611" ht="25.5" spans="1:26">
      <c r="A611" s="103" t="s">
        <v>2287</v>
      </c>
      <c r="B611" s="104" t="s">
        <v>132</v>
      </c>
      <c r="C611" s="104" t="s">
        <v>2288</v>
      </c>
      <c r="D611" s="104">
        <v>73</v>
      </c>
      <c r="E611" s="105" t="s">
        <v>134</v>
      </c>
      <c r="F611" s="125" t="s">
        <v>6603</v>
      </c>
      <c r="G611" s="126" t="s">
        <v>8622</v>
      </c>
      <c r="H611" s="126" t="s">
        <v>8622</v>
      </c>
      <c r="I611" s="126" t="s">
        <v>8174</v>
      </c>
      <c r="J611" s="126" t="s">
        <v>8621</v>
      </c>
      <c r="K611" s="90"/>
      <c r="L611" s="58"/>
      <c r="M611" s="58"/>
      <c r="N611" s="58"/>
      <c r="O611" s="58"/>
      <c r="P611" s="58"/>
      <c r="Q611" s="58"/>
      <c r="R611" s="58"/>
      <c r="S611" s="58"/>
      <c r="T611" s="58"/>
      <c r="U611" s="58"/>
      <c r="V611" s="58"/>
      <c r="W611" s="58"/>
      <c r="X611" s="58"/>
      <c r="Y611" s="58"/>
      <c r="Z611" s="58"/>
    </row>
    <row r="612" ht="25.5" spans="1:26">
      <c r="A612" s="103" t="s">
        <v>1092</v>
      </c>
      <c r="B612" s="104" t="s">
        <v>132</v>
      </c>
      <c r="C612" s="104" t="s">
        <v>1093</v>
      </c>
      <c r="D612" s="104">
        <v>78</v>
      </c>
      <c r="E612" s="105" t="s">
        <v>334</v>
      </c>
      <c r="F612" s="125" t="s">
        <v>8623</v>
      </c>
      <c r="G612" s="126" t="s">
        <v>8624</v>
      </c>
      <c r="H612" s="126" t="s">
        <v>8625</v>
      </c>
      <c r="I612" s="126" t="s">
        <v>8174</v>
      </c>
      <c r="J612" s="126" t="s">
        <v>8626</v>
      </c>
      <c r="K612" s="90"/>
      <c r="L612" s="58"/>
      <c r="M612" s="58"/>
      <c r="N612" s="58"/>
      <c r="O612" s="58"/>
      <c r="P612" s="58"/>
      <c r="Q612" s="58"/>
      <c r="R612" s="58"/>
      <c r="S612" s="58"/>
      <c r="T612" s="58"/>
      <c r="U612" s="58"/>
      <c r="V612" s="58"/>
      <c r="W612" s="58"/>
      <c r="X612" s="58"/>
      <c r="Y612" s="58"/>
      <c r="Z612" s="58"/>
    </row>
    <row r="613" ht="25.5" spans="1:26">
      <c r="A613" s="103" t="s">
        <v>98</v>
      </c>
      <c r="B613" s="104" t="s">
        <v>77</v>
      </c>
      <c r="C613" s="104" t="s">
        <v>99</v>
      </c>
      <c r="D613" s="104">
        <v>1</v>
      </c>
      <c r="E613" s="105" t="s">
        <v>141</v>
      </c>
      <c r="F613" s="125" t="s">
        <v>7218</v>
      </c>
      <c r="G613" s="126" t="s">
        <v>8627</v>
      </c>
      <c r="H613" s="126" t="s">
        <v>8628</v>
      </c>
      <c r="I613" s="126" t="s">
        <v>8174</v>
      </c>
      <c r="J613" s="126" t="s">
        <v>8626</v>
      </c>
      <c r="K613" s="90"/>
      <c r="L613" s="58"/>
      <c r="M613" s="58"/>
      <c r="N613" s="58"/>
      <c r="O613" s="58"/>
      <c r="P613" s="58"/>
      <c r="Q613" s="58"/>
      <c r="R613" s="58"/>
      <c r="S613" s="58"/>
      <c r="T613" s="58"/>
      <c r="U613" s="58"/>
      <c r="V613" s="58"/>
      <c r="W613" s="58"/>
      <c r="X613" s="58"/>
      <c r="Y613" s="58"/>
      <c r="Z613" s="58"/>
    </row>
    <row r="614" ht="25.5" spans="1:26">
      <c r="A614" s="103" t="s">
        <v>2389</v>
      </c>
      <c r="B614" s="104" t="s">
        <v>149</v>
      </c>
      <c r="C614" s="104" t="s">
        <v>2390</v>
      </c>
      <c r="D614" s="104" t="s">
        <v>4599</v>
      </c>
      <c r="E614" s="105" t="s">
        <v>134</v>
      </c>
      <c r="F614" s="125" t="s">
        <v>8220</v>
      </c>
      <c r="G614" s="126" t="s">
        <v>8629</v>
      </c>
      <c r="H614" s="126" t="s">
        <v>8630</v>
      </c>
      <c r="I614" s="126" t="s">
        <v>8174</v>
      </c>
      <c r="J614" s="126" t="s">
        <v>8631</v>
      </c>
      <c r="K614" s="90"/>
      <c r="L614" s="58"/>
      <c r="M614" s="58"/>
      <c r="N614" s="58"/>
      <c r="O614" s="58"/>
      <c r="P614" s="58"/>
      <c r="Q614" s="58"/>
      <c r="R614" s="58"/>
      <c r="S614" s="58"/>
      <c r="T614" s="58"/>
      <c r="U614" s="58"/>
      <c r="V614" s="58"/>
      <c r="W614" s="58"/>
      <c r="X614" s="58"/>
      <c r="Y614" s="58"/>
      <c r="Z614" s="58"/>
    </row>
    <row r="615" ht="25.5" spans="1:26">
      <c r="A615" s="103" t="s">
        <v>1930</v>
      </c>
      <c r="B615" s="104" t="s">
        <v>132</v>
      </c>
      <c r="C615" s="104" t="s">
        <v>1931</v>
      </c>
      <c r="D615" s="104" t="s">
        <v>4629</v>
      </c>
      <c r="E615" s="105" t="s">
        <v>204</v>
      </c>
      <c r="F615" s="125" t="s">
        <v>7535</v>
      </c>
      <c r="G615" s="126" t="s">
        <v>8632</v>
      </c>
      <c r="H615" s="126" t="s">
        <v>8633</v>
      </c>
      <c r="I615" s="126" t="s">
        <v>8174</v>
      </c>
      <c r="J615" s="126" t="s">
        <v>8634</v>
      </c>
      <c r="K615" s="90"/>
      <c r="L615" s="58"/>
      <c r="M615" s="58"/>
      <c r="N615" s="58"/>
      <c r="O615" s="58"/>
      <c r="P615" s="58"/>
      <c r="Q615" s="58"/>
      <c r="R615" s="58"/>
      <c r="S615" s="58"/>
      <c r="T615" s="58"/>
      <c r="U615" s="58"/>
      <c r="V615" s="58"/>
      <c r="W615" s="58"/>
      <c r="X615" s="58"/>
      <c r="Y615" s="58"/>
      <c r="Z615" s="58"/>
    </row>
    <row r="616" ht="25.5" spans="1:26">
      <c r="A616" s="103" t="s">
        <v>2284</v>
      </c>
      <c r="B616" s="104" t="s">
        <v>132</v>
      </c>
      <c r="C616" s="104" t="s">
        <v>2285</v>
      </c>
      <c r="D616" s="104">
        <v>73</v>
      </c>
      <c r="E616" s="105" t="s">
        <v>134</v>
      </c>
      <c r="F616" s="125" t="s">
        <v>6603</v>
      </c>
      <c r="G616" s="126" t="s">
        <v>8635</v>
      </c>
      <c r="H616" s="126" t="s">
        <v>8635</v>
      </c>
      <c r="I616" s="126" t="s">
        <v>8174</v>
      </c>
      <c r="J616" s="126" t="s">
        <v>8634</v>
      </c>
      <c r="K616" s="90"/>
      <c r="L616" s="58"/>
      <c r="M616" s="58"/>
      <c r="N616" s="58"/>
      <c r="O616" s="58"/>
      <c r="P616" s="58"/>
      <c r="Q616" s="58"/>
      <c r="R616" s="58"/>
      <c r="S616" s="58"/>
      <c r="T616" s="58"/>
      <c r="U616" s="58"/>
      <c r="V616" s="58"/>
      <c r="W616" s="58"/>
      <c r="X616" s="58"/>
      <c r="Y616" s="58"/>
      <c r="Z616" s="58"/>
    </row>
    <row r="617" ht="38.25" spans="1:26">
      <c r="A617" s="103" t="s">
        <v>1235</v>
      </c>
      <c r="B617" s="104" t="s">
        <v>132</v>
      </c>
      <c r="C617" s="104" t="s">
        <v>1236</v>
      </c>
      <c r="D617" s="104" t="s">
        <v>3177</v>
      </c>
      <c r="E617" s="105" t="s">
        <v>134</v>
      </c>
      <c r="F617" s="125" t="s">
        <v>7501</v>
      </c>
      <c r="G617" s="126" t="s">
        <v>8636</v>
      </c>
      <c r="H617" s="126" t="s">
        <v>8637</v>
      </c>
      <c r="I617" s="126" t="s">
        <v>8174</v>
      </c>
      <c r="J617" s="126" t="s">
        <v>8638</v>
      </c>
      <c r="K617" s="90"/>
      <c r="L617" s="58"/>
      <c r="M617" s="58"/>
      <c r="N617" s="58"/>
      <c r="O617" s="58"/>
      <c r="P617" s="58"/>
      <c r="Q617" s="58"/>
      <c r="R617" s="58"/>
      <c r="S617" s="58"/>
      <c r="T617" s="58"/>
      <c r="U617" s="58"/>
      <c r="V617" s="58"/>
      <c r="W617" s="58"/>
      <c r="X617" s="58"/>
      <c r="Y617" s="58"/>
      <c r="Z617" s="58"/>
    </row>
    <row r="618" ht="25.5" spans="1:26">
      <c r="A618" s="103" t="s">
        <v>2281</v>
      </c>
      <c r="B618" s="104" t="s">
        <v>132</v>
      </c>
      <c r="C618" s="104" t="s">
        <v>2282</v>
      </c>
      <c r="D618" s="104">
        <v>73</v>
      </c>
      <c r="E618" s="105" t="s">
        <v>134</v>
      </c>
      <c r="F618" s="125" t="s">
        <v>6603</v>
      </c>
      <c r="G618" s="126" t="s">
        <v>8639</v>
      </c>
      <c r="H618" s="126" t="s">
        <v>8639</v>
      </c>
      <c r="I618" s="126" t="s">
        <v>8174</v>
      </c>
      <c r="J618" s="126" t="s">
        <v>8638</v>
      </c>
      <c r="K618" s="90"/>
      <c r="L618" s="58"/>
      <c r="M618" s="58"/>
      <c r="N618" s="58"/>
      <c r="O618" s="58"/>
      <c r="P618" s="58"/>
      <c r="Q618" s="58"/>
      <c r="R618" s="58"/>
      <c r="S618" s="58"/>
      <c r="T618" s="58"/>
      <c r="U618" s="58"/>
      <c r="V618" s="58"/>
      <c r="W618" s="58"/>
      <c r="X618" s="58"/>
      <c r="Y618" s="58"/>
      <c r="Z618" s="58"/>
    </row>
    <row r="619" ht="25.5" spans="1:26">
      <c r="A619" s="103" t="s">
        <v>2278</v>
      </c>
      <c r="B619" s="104" t="s">
        <v>132</v>
      </c>
      <c r="C619" s="104" t="s">
        <v>2279</v>
      </c>
      <c r="D619" s="104">
        <v>73</v>
      </c>
      <c r="E619" s="105" t="s">
        <v>134</v>
      </c>
      <c r="F619" s="125" t="s">
        <v>6603</v>
      </c>
      <c r="G619" s="126" t="s">
        <v>8640</v>
      </c>
      <c r="H619" s="126" t="s">
        <v>8640</v>
      </c>
      <c r="I619" s="126" t="s">
        <v>8174</v>
      </c>
      <c r="J619" s="126" t="s">
        <v>8641</v>
      </c>
      <c r="K619" s="90"/>
      <c r="L619" s="58"/>
      <c r="M619" s="58"/>
      <c r="N619" s="58"/>
      <c r="O619" s="58"/>
      <c r="P619" s="58"/>
      <c r="Q619" s="58"/>
      <c r="R619" s="58"/>
      <c r="S619" s="58"/>
      <c r="T619" s="58"/>
      <c r="U619" s="58"/>
      <c r="V619" s="58"/>
      <c r="W619" s="58"/>
      <c r="X619" s="58"/>
      <c r="Y619" s="58"/>
      <c r="Z619" s="58"/>
    </row>
    <row r="620" ht="25.5" spans="1:26">
      <c r="A620" s="103" t="s">
        <v>829</v>
      </c>
      <c r="B620" s="104" t="s">
        <v>132</v>
      </c>
      <c r="C620" s="104" t="s">
        <v>830</v>
      </c>
      <c r="D620" s="104" t="s">
        <v>3727</v>
      </c>
      <c r="E620" s="105" t="s">
        <v>134</v>
      </c>
      <c r="F620" s="125" t="s">
        <v>6798</v>
      </c>
      <c r="G620" s="126" t="s">
        <v>8642</v>
      </c>
      <c r="H620" s="126" t="s">
        <v>8643</v>
      </c>
      <c r="I620" s="126" t="s">
        <v>8174</v>
      </c>
      <c r="J620" s="126" t="s">
        <v>8641</v>
      </c>
      <c r="K620" s="90"/>
      <c r="L620" s="58"/>
      <c r="M620" s="58"/>
      <c r="N620" s="58"/>
      <c r="O620" s="58"/>
      <c r="P620" s="58"/>
      <c r="Q620" s="58"/>
      <c r="R620" s="58"/>
      <c r="S620" s="58"/>
      <c r="T620" s="58"/>
      <c r="U620" s="58"/>
      <c r="V620" s="58"/>
      <c r="W620" s="58"/>
      <c r="X620" s="58"/>
      <c r="Y620" s="58"/>
      <c r="Z620" s="58"/>
    </row>
    <row r="621" ht="25.5" spans="1:26">
      <c r="A621" s="103" t="s">
        <v>2601</v>
      </c>
      <c r="B621" s="104" t="s">
        <v>139</v>
      </c>
      <c r="C621" s="104" t="s">
        <v>2602</v>
      </c>
      <c r="D621" s="104" t="s">
        <v>3129</v>
      </c>
      <c r="E621" s="105" t="s">
        <v>134</v>
      </c>
      <c r="F621" s="125" t="s">
        <v>6653</v>
      </c>
      <c r="G621" s="126" t="s">
        <v>8644</v>
      </c>
      <c r="H621" s="126" t="s">
        <v>8645</v>
      </c>
      <c r="I621" s="126" t="s">
        <v>8174</v>
      </c>
      <c r="J621" s="126" t="s">
        <v>8646</v>
      </c>
      <c r="K621" s="90"/>
      <c r="L621" s="58"/>
      <c r="M621" s="58"/>
      <c r="N621" s="58"/>
      <c r="O621" s="58"/>
      <c r="P621" s="58"/>
      <c r="Q621" s="58"/>
      <c r="R621" s="58"/>
      <c r="S621" s="58"/>
      <c r="T621" s="58"/>
      <c r="U621" s="58"/>
      <c r="V621" s="58"/>
      <c r="W621" s="58"/>
      <c r="X621" s="58"/>
      <c r="Y621" s="58"/>
      <c r="Z621" s="58"/>
    </row>
    <row r="622" ht="25.5" spans="1:26">
      <c r="A622" s="103" t="s">
        <v>209</v>
      </c>
      <c r="B622" s="104" t="s">
        <v>132</v>
      </c>
      <c r="C622" s="104" t="s">
        <v>210</v>
      </c>
      <c r="D622" s="104" t="s">
        <v>3129</v>
      </c>
      <c r="E622" s="105" t="s">
        <v>134</v>
      </c>
      <c r="F622" s="125" t="s">
        <v>7588</v>
      </c>
      <c r="G622" s="126" t="s">
        <v>8647</v>
      </c>
      <c r="H622" s="126" t="s">
        <v>8648</v>
      </c>
      <c r="I622" s="126" t="s">
        <v>8174</v>
      </c>
      <c r="J622" s="126" t="s">
        <v>8646</v>
      </c>
      <c r="K622" s="90"/>
      <c r="L622" s="58"/>
      <c r="M622" s="58"/>
      <c r="N622" s="58"/>
      <c r="O622" s="58"/>
      <c r="P622" s="58"/>
      <c r="Q622" s="58"/>
      <c r="R622" s="58"/>
      <c r="S622" s="58"/>
      <c r="T622" s="58"/>
      <c r="U622" s="58"/>
      <c r="V622" s="58"/>
      <c r="W622" s="58"/>
      <c r="X622" s="58"/>
      <c r="Y622" s="58"/>
      <c r="Z622" s="58"/>
    </row>
    <row r="623" ht="38.25" spans="1:26">
      <c r="A623" s="103" t="s">
        <v>2314</v>
      </c>
      <c r="B623" s="104" t="s">
        <v>77</v>
      </c>
      <c r="C623" s="104" t="s">
        <v>2315</v>
      </c>
      <c r="D623" s="104">
        <v>18</v>
      </c>
      <c r="E623" s="105" t="s">
        <v>134</v>
      </c>
      <c r="F623" s="125" t="s">
        <v>6603</v>
      </c>
      <c r="G623" s="126" t="s">
        <v>8649</v>
      </c>
      <c r="H623" s="126" t="s">
        <v>8649</v>
      </c>
      <c r="I623" s="126" t="s">
        <v>8174</v>
      </c>
      <c r="J623" s="126" t="s">
        <v>8650</v>
      </c>
      <c r="K623" s="90"/>
      <c r="L623" s="58"/>
      <c r="M623" s="58"/>
      <c r="N623" s="58"/>
      <c r="O623" s="58"/>
      <c r="P623" s="58"/>
      <c r="Q623" s="58"/>
      <c r="R623" s="58"/>
      <c r="S623" s="58"/>
      <c r="T623" s="58"/>
      <c r="U623" s="58"/>
      <c r="V623" s="58"/>
      <c r="W623" s="58"/>
      <c r="X623" s="58"/>
      <c r="Y623" s="58"/>
      <c r="Z623" s="58"/>
    </row>
    <row r="624" spans="1:26">
      <c r="A624" s="103" t="s">
        <v>862</v>
      </c>
      <c r="B624" s="104" t="s">
        <v>796</v>
      </c>
      <c r="C624" s="104" t="s">
        <v>863</v>
      </c>
      <c r="D624" s="104" t="s">
        <v>2961</v>
      </c>
      <c r="E624" s="105" t="s">
        <v>334</v>
      </c>
      <c r="F624" s="125" t="s">
        <v>8651</v>
      </c>
      <c r="G624" s="126" t="s">
        <v>7484</v>
      </c>
      <c r="H624" s="126" t="s">
        <v>8652</v>
      </c>
      <c r="I624" s="126" t="s">
        <v>8174</v>
      </c>
      <c r="J624" s="126" t="s">
        <v>8650</v>
      </c>
      <c r="K624" s="90"/>
      <c r="L624" s="58"/>
      <c r="M624" s="58"/>
      <c r="N624" s="58"/>
      <c r="O624" s="58"/>
      <c r="P624" s="58"/>
      <c r="Q624" s="58"/>
      <c r="R624" s="58"/>
      <c r="S624" s="58"/>
      <c r="T624" s="58"/>
      <c r="U624" s="58"/>
      <c r="V624" s="58"/>
      <c r="W624" s="58"/>
      <c r="X624" s="58"/>
      <c r="Y624" s="58"/>
      <c r="Z624" s="58"/>
    </row>
    <row r="625" ht="25.5" spans="1:26">
      <c r="A625" s="103" t="s">
        <v>2482</v>
      </c>
      <c r="B625" s="104" t="s">
        <v>139</v>
      </c>
      <c r="C625" s="104" t="s">
        <v>2483</v>
      </c>
      <c r="D625" s="104" t="s">
        <v>3198</v>
      </c>
      <c r="E625" s="105" t="s">
        <v>134</v>
      </c>
      <c r="F625" s="125" t="s">
        <v>7637</v>
      </c>
      <c r="G625" s="126" t="s">
        <v>8653</v>
      </c>
      <c r="H625" s="126" t="s">
        <v>8654</v>
      </c>
      <c r="I625" s="126" t="s">
        <v>8174</v>
      </c>
      <c r="J625" s="126" t="s">
        <v>8655</v>
      </c>
      <c r="K625" s="90"/>
      <c r="L625" s="58"/>
      <c r="M625" s="58"/>
      <c r="N625" s="58"/>
      <c r="O625" s="58"/>
      <c r="P625" s="58"/>
      <c r="Q625" s="58"/>
      <c r="R625" s="58"/>
      <c r="S625" s="58"/>
      <c r="T625" s="58"/>
      <c r="U625" s="58"/>
      <c r="V625" s="58"/>
      <c r="W625" s="58"/>
      <c r="X625" s="58"/>
      <c r="Y625" s="58"/>
      <c r="Z625" s="58"/>
    </row>
    <row r="626" spans="1:26">
      <c r="A626" s="103" t="s">
        <v>323</v>
      </c>
      <c r="B626" s="104" t="s">
        <v>139</v>
      </c>
      <c r="C626" s="104" t="s">
        <v>324</v>
      </c>
      <c r="D626" s="104" t="s">
        <v>3248</v>
      </c>
      <c r="E626" s="105" t="s">
        <v>134</v>
      </c>
      <c r="F626" s="125" t="s">
        <v>8656</v>
      </c>
      <c r="G626" s="126" t="s">
        <v>8657</v>
      </c>
      <c r="H626" s="126" t="s">
        <v>8658</v>
      </c>
      <c r="I626" s="126" t="s">
        <v>8174</v>
      </c>
      <c r="J626" s="126" t="s">
        <v>8655</v>
      </c>
      <c r="K626" s="90"/>
      <c r="L626" s="58"/>
      <c r="M626" s="58"/>
      <c r="N626" s="58"/>
      <c r="O626" s="58"/>
      <c r="P626" s="58"/>
      <c r="Q626" s="58"/>
      <c r="R626" s="58"/>
      <c r="S626" s="58"/>
      <c r="T626" s="58"/>
      <c r="U626" s="58"/>
      <c r="V626" s="58"/>
      <c r="W626" s="58"/>
      <c r="X626" s="58"/>
      <c r="Y626" s="58"/>
      <c r="Z626" s="58"/>
    </row>
    <row r="627" ht="25.5" spans="1:26">
      <c r="A627" s="103" t="s">
        <v>2269</v>
      </c>
      <c r="B627" s="104" t="s">
        <v>132</v>
      </c>
      <c r="C627" s="104" t="s">
        <v>2270</v>
      </c>
      <c r="D627" s="104">
        <v>73</v>
      </c>
      <c r="E627" s="105" t="s">
        <v>134</v>
      </c>
      <c r="F627" s="125" t="s">
        <v>6603</v>
      </c>
      <c r="G627" s="126" t="s">
        <v>8659</v>
      </c>
      <c r="H627" s="126" t="s">
        <v>8659</v>
      </c>
      <c r="I627" s="126" t="s">
        <v>8660</v>
      </c>
      <c r="J627" s="126" t="s">
        <v>8661</v>
      </c>
      <c r="K627" s="90"/>
      <c r="L627" s="58"/>
      <c r="M627" s="58"/>
      <c r="N627" s="58"/>
      <c r="O627" s="58"/>
      <c r="P627" s="58"/>
      <c r="Q627" s="58"/>
      <c r="R627" s="58"/>
      <c r="S627" s="58"/>
      <c r="T627" s="58"/>
      <c r="U627" s="58"/>
      <c r="V627" s="58"/>
      <c r="W627" s="58"/>
      <c r="X627" s="58"/>
      <c r="Y627" s="58"/>
      <c r="Z627" s="58"/>
    </row>
    <row r="628" ht="38.25" spans="1:26">
      <c r="A628" s="103" t="s">
        <v>2430</v>
      </c>
      <c r="B628" s="104" t="s">
        <v>132</v>
      </c>
      <c r="C628" s="104" t="s">
        <v>2431</v>
      </c>
      <c r="D628" s="104">
        <v>70</v>
      </c>
      <c r="E628" s="105" t="s">
        <v>204</v>
      </c>
      <c r="F628" s="125" t="s">
        <v>7375</v>
      </c>
      <c r="G628" s="126" t="s">
        <v>8662</v>
      </c>
      <c r="H628" s="126" t="s">
        <v>8663</v>
      </c>
      <c r="I628" s="126" t="s">
        <v>8660</v>
      </c>
      <c r="J628" s="126" t="s">
        <v>8661</v>
      </c>
      <c r="K628" s="90"/>
      <c r="L628" s="58"/>
      <c r="M628" s="58"/>
      <c r="N628" s="58"/>
      <c r="O628" s="58"/>
      <c r="P628" s="58"/>
      <c r="Q628" s="58"/>
      <c r="R628" s="58"/>
      <c r="S628" s="58"/>
      <c r="T628" s="58"/>
      <c r="U628" s="58"/>
      <c r="V628" s="58"/>
      <c r="W628" s="58"/>
      <c r="X628" s="58"/>
      <c r="Y628" s="58"/>
      <c r="Z628" s="58"/>
    </row>
    <row r="629" ht="25.5" spans="1:26">
      <c r="A629" s="103" t="s">
        <v>2604</v>
      </c>
      <c r="B629" s="104" t="s">
        <v>149</v>
      </c>
      <c r="C629" s="104" t="s">
        <v>2605</v>
      </c>
      <c r="D629" s="104" t="s">
        <v>4599</v>
      </c>
      <c r="E629" s="105" t="s">
        <v>393</v>
      </c>
      <c r="F629" s="125" t="s">
        <v>8664</v>
      </c>
      <c r="G629" s="126" t="s">
        <v>8665</v>
      </c>
      <c r="H629" s="126" t="s">
        <v>8666</v>
      </c>
      <c r="I629" s="126" t="s">
        <v>8660</v>
      </c>
      <c r="J629" s="126" t="s">
        <v>8667</v>
      </c>
      <c r="K629" s="90"/>
      <c r="L629" s="58"/>
      <c r="M629" s="58"/>
      <c r="N629" s="58"/>
      <c r="O629" s="58"/>
      <c r="P629" s="58"/>
      <c r="Q629" s="58"/>
      <c r="R629" s="58"/>
      <c r="S629" s="58"/>
      <c r="T629" s="58"/>
      <c r="U629" s="58"/>
      <c r="V629" s="58"/>
      <c r="W629" s="58"/>
      <c r="X629" s="58"/>
      <c r="Y629" s="58"/>
      <c r="Z629" s="58"/>
    </row>
    <row r="630" ht="25.5" spans="1:26">
      <c r="A630" s="103" t="s">
        <v>2245</v>
      </c>
      <c r="B630" s="104" t="s">
        <v>132</v>
      </c>
      <c r="C630" s="104" t="s">
        <v>2246</v>
      </c>
      <c r="D630" s="104">
        <v>70</v>
      </c>
      <c r="E630" s="105" t="s">
        <v>134</v>
      </c>
      <c r="F630" s="125" t="s">
        <v>7557</v>
      </c>
      <c r="G630" s="126" t="s">
        <v>8668</v>
      </c>
      <c r="H630" s="126" t="s">
        <v>8669</v>
      </c>
      <c r="I630" s="126" t="s">
        <v>8660</v>
      </c>
      <c r="J630" s="126" t="s">
        <v>8667</v>
      </c>
      <c r="K630" s="90"/>
      <c r="L630" s="58"/>
      <c r="M630" s="58"/>
      <c r="N630" s="58"/>
      <c r="O630" s="58"/>
      <c r="P630" s="58"/>
      <c r="Q630" s="58"/>
      <c r="R630" s="58"/>
      <c r="S630" s="58"/>
      <c r="T630" s="58"/>
      <c r="U630" s="58"/>
      <c r="V630" s="58"/>
      <c r="W630" s="58"/>
      <c r="X630" s="58"/>
      <c r="Y630" s="58"/>
      <c r="Z630" s="58"/>
    </row>
    <row r="631" ht="25.5" spans="1:26">
      <c r="A631" s="103" t="s">
        <v>1885</v>
      </c>
      <c r="B631" s="104" t="s">
        <v>139</v>
      </c>
      <c r="C631" s="104" t="s">
        <v>1886</v>
      </c>
      <c r="D631" s="104" t="s">
        <v>3642</v>
      </c>
      <c r="E631" s="105" t="s">
        <v>134</v>
      </c>
      <c r="F631" s="125" t="s">
        <v>7637</v>
      </c>
      <c r="G631" s="126" t="s">
        <v>8670</v>
      </c>
      <c r="H631" s="126" t="s">
        <v>8671</v>
      </c>
      <c r="I631" s="126" t="s">
        <v>8660</v>
      </c>
      <c r="J631" s="126" t="s">
        <v>8672</v>
      </c>
      <c r="K631" s="90"/>
      <c r="L631" s="58"/>
      <c r="M631" s="58"/>
      <c r="N631" s="58"/>
      <c r="O631" s="58"/>
      <c r="P631" s="58"/>
      <c r="Q631" s="58"/>
      <c r="R631" s="58"/>
      <c r="S631" s="58"/>
      <c r="T631" s="58"/>
      <c r="U631" s="58"/>
      <c r="V631" s="58"/>
      <c r="W631" s="58"/>
      <c r="X631" s="58"/>
      <c r="Y631" s="58"/>
      <c r="Z631" s="58"/>
    </row>
    <row r="632" ht="25.5" spans="1:26">
      <c r="A632" s="103" t="s">
        <v>2248</v>
      </c>
      <c r="B632" s="104" t="s">
        <v>132</v>
      </c>
      <c r="C632" s="104" t="s">
        <v>2249</v>
      </c>
      <c r="D632" s="104">
        <v>70</v>
      </c>
      <c r="E632" s="105" t="s">
        <v>134</v>
      </c>
      <c r="F632" s="125" t="s">
        <v>7101</v>
      </c>
      <c r="G632" s="126" t="s">
        <v>8559</v>
      </c>
      <c r="H632" s="126" t="s">
        <v>8673</v>
      </c>
      <c r="I632" s="126" t="s">
        <v>8660</v>
      </c>
      <c r="J632" s="126" t="s">
        <v>8672</v>
      </c>
      <c r="K632" s="90"/>
      <c r="L632" s="58"/>
      <c r="M632" s="58"/>
      <c r="N632" s="58"/>
      <c r="O632" s="58"/>
      <c r="P632" s="58"/>
      <c r="Q632" s="58"/>
      <c r="R632" s="58"/>
      <c r="S632" s="58"/>
      <c r="T632" s="58"/>
      <c r="U632" s="58"/>
      <c r="V632" s="58"/>
      <c r="W632" s="58"/>
      <c r="X632" s="58"/>
      <c r="Y632" s="58"/>
      <c r="Z632" s="58"/>
    </row>
    <row r="633" ht="25.5" spans="1:26">
      <c r="A633" s="103" t="s">
        <v>157</v>
      </c>
      <c r="B633" s="104" t="s">
        <v>139</v>
      </c>
      <c r="C633" s="104" t="s">
        <v>158</v>
      </c>
      <c r="D633" s="104" t="s">
        <v>3013</v>
      </c>
      <c r="E633" s="105" t="s">
        <v>141</v>
      </c>
      <c r="F633" s="125" t="s">
        <v>6927</v>
      </c>
      <c r="G633" s="126" t="s">
        <v>8674</v>
      </c>
      <c r="H633" s="126" t="s">
        <v>8675</v>
      </c>
      <c r="I633" s="126" t="s">
        <v>8660</v>
      </c>
      <c r="J633" s="126" t="s">
        <v>8676</v>
      </c>
      <c r="K633" s="90"/>
      <c r="L633" s="58"/>
      <c r="M633" s="58"/>
      <c r="N633" s="58"/>
      <c r="O633" s="58"/>
      <c r="P633" s="58"/>
      <c r="Q633" s="58"/>
      <c r="R633" s="58"/>
      <c r="S633" s="58"/>
      <c r="T633" s="58"/>
      <c r="U633" s="58"/>
      <c r="V633" s="58"/>
      <c r="W633" s="58"/>
      <c r="X633" s="58"/>
      <c r="Y633" s="58"/>
      <c r="Z633" s="58"/>
    </row>
    <row r="634" ht="25.5" spans="1:26">
      <c r="A634" s="103" t="s">
        <v>86</v>
      </c>
      <c r="B634" s="104" t="s">
        <v>77</v>
      </c>
      <c r="C634" s="104" t="s">
        <v>87</v>
      </c>
      <c r="D634" s="104">
        <v>1</v>
      </c>
      <c r="E634" s="105" t="s">
        <v>141</v>
      </c>
      <c r="F634" s="125" t="s">
        <v>7814</v>
      </c>
      <c r="G634" s="126" t="s">
        <v>8677</v>
      </c>
      <c r="H634" s="126" t="s">
        <v>8678</v>
      </c>
      <c r="I634" s="126" t="s">
        <v>8660</v>
      </c>
      <c r="J634" s="126" t="s">
        <v>8676</v>
      </c>
      <c r="K634" s="90"/>
      <c r="L634" s="58"/>
      <c r="M634" s="58"/>
      <c r="N634" s="58"/>
      <c r="O634" s="58"/>
      <c r="P634" s="58"/>
      <c r="Q634" s="58"/>
      <c r="R634" s="58"/>
      <c r="S634" s="58"/>
      <c r="T634" s="58"/>
      <c r="U634" s="58"/>
      <c r="V634" s="58"/>
      <c r="W634" s="58"/>
      <c r="X634" s="58"/>
      <c r="Y634" s="58"/>
      <c r="Z634" s="58"/>
    </row>
    <row r="635" ht="25.5" spans="1:26">
      <c r="A635" s="103" t="s">
        <v>774</v>
      </c>
      <c r="B635" s="104" t="s">
        <v>139</v>
      </c>
      <c r="C635" s="104" t="s">
        <v>775</v>
      </c>
      <c r="D635" s="104" t="s">
        <v>3642</v>
      </c>
      <c r="E635" s="105" t="s">
        <v>134</v>
      </c>
      <c r="F635" s="125" t="s">
        <v>7073</v>
      </c>
      <c r="G635" s="126" t="s">
        <v>8679</v>
      </c>
      <c r="H635" s="126" t="s">
        <v>8680</v>
      </c>
      <c r="I635" s="126" t="s">
        <v>8660</v>
      </c>
      <c r="J635" s="126" t="s">
        <v>8681</v>
      </c>
      <c r="K635" s="90"/>
      <c r="L635" s="58"/>
      <c r="M635" s="58"/>
      <c r="N635" s="58"/>
      <c r="O635" s="58"/>
      <c r="P635" s="58"/>
      <c r="Q635" s="58"/>
      <c r="R635" s="58"/>
      <c r="S635" s="58"/>
      <c r="T635" s="58"/>
      <c r="U635" s="58"/>
      <c r="V635" s="58"/>
      <c r="W635" s="58"/>
      <c r="X635" s="58"/>
      <c r="Y635" s="58"/>
      <c r="Z635" s="58"/>
    </row>
    <row r="636" ht="38.25" spans="1:26">
      <c r="A636" s="103" t="s">
        <v>2813</v>
      </c>
      <c r="B636" s="104" t="s">
        <v>132</v>
      </c>
      <c r="C636" s="104" t="s">
        <v>2814</v>
      </c>
      <c r="D636" s="104" t="s">
        <v>4113</v>
      </c>
      <c r="E636" s="105" t="s">
        <v>334</v>
      </c>
      <c r="F636" s="125" t="s">
        <v>6798</v>
      </c>
      <c r="G636" s="126" t="s">
        <v>8682</v>
      </c>
      <c r="H636" s="126" t="s">
        <v>8683</v>
      </c>
      <c r="I636" s="126" t="s">
        <v>8660</v>
      </c>
      <c r="J636" s="126" t="s">
        <v>8681</v>
      </c>
      <c r="K636" s="90"/>
      <c r="L636" s="58"/>
      <c r="M636" s="58"/>
      <c r="N636" s="58"/>
      <c r="O636" s="58"/>
      <c r="P636" s="58"/>
      <c r="Q636" s="58"/>
      <c r="R636" s="58"/>
      <c r="S636" s="58"/>
      <c r="T636" s="58"/>
      <c r="U636" s="58"/>
      <c r="V636" s="58"/>
      <c r="W636" s="58"/>
      <c r="X636" s="58"/>
      <c r="Y636" s="58"/>
      <c r="Z636" s="58"/>
    </row>
    <row r="637" spans="1:26">
      <c r="A637" s="103" t="s">
        <v>302</v>
      </c>
      <c r="B637" s="104" t="s">
        <v>139</v>
      </c>
      <c r="C637" s="104" t="s">
        <v>303</v>
      </c>
      <c r="D637" s="104" t="s">
        <v>3055</v>
      </c>
      <c r="E637" s="105" t="s">
        <v>141</v>
      </c>
      <c r="F637" s="125" t="s">
        <v>7002</v>
      </c>
      <c r="G637" s="126" t="s">
        <v>6803</v>
      </c>
      <c r="H637" s="126" t="s">
        <v>8684</v>
      </c>
      <c r="I637" s="126" t="s">
        <v>8660</v>
      </c>
      <c r="J637" s="126" t="s">
        <v>8685</v>
      </c>
      <c r="K637" s="90"/>
      <c r="L637" s="58"/>
      <c r="M637" s="58"/>
      <c r="N637" s="58"/>
      <c r="O637" s="58"/>
      <c r="P637" s="58"/>
      <c r="Q637" s="58"/>
      <c r="R637" s="58"/>
      <c r="S637" s="58"/>
      <c r="T637" s="58"/>
      <c r="U637" s="58"/>
      <c r="V637" s="58"/>
      <c r="W637" s="58"/>
      <c r="X637" s="58"/>
      <c r="Y637" s="58"/>
      <c r="Z637" s="58"/>
    </row>
    <row r="638" ht="25.5" spans="1:26">
      <c r="A638" s="103" t="s">
        <v>1879</v>
      </c>
      <c r="B638" s="104" t="s">
        <v>139</v>
      </c>
      <c r="C638" s="104" t="s">
        <v>1880</v>
      </c>
      <c r="D638" s="104" t="s">
        <v>3642</v>
      </c>
      <c r="E638" s="105" t="s">
        <v>134</v>
      </c>
      <c r="F638" s="125" t="s">
        <v>7222</v>
      </c>
      <c r="G638" s="126" t="s">
        <v>8686</v>
      </c>
      <c r="H638" s="126" t="s">
        <v>8687</v>
      </c>
      <c r="I638" s="126" t="s">
        <v>8660</v>
      </c>
      <c r="J638" s="126" t="s">
        <v>8685</v>
      </c>
      <c r="K638" s="90"/>
      <c r="L638" s="58"/>
      <c r="M638" s="58"/>
      <c r="N638" s="58"/>
      <c r="O638" s="58"/>
      <c r="P638" s="58"/>
      <c r="Q638" s="58"/>
      <c r="R638" s="58"/>
      <c r="S638" s="58"/>
      <c r="T638" s="58"/>
      <c r="U638" s="58"/>
      <c r="V638" s="58"/>
      <c r="W638" s="58"/>
      <c r="X638" s="58"/>
      <c r="Y638" s="58"/>
      <c r="Z638" s="58"/>
    </row>
    <row r="639" ht="38.25" spans="1:26">
      <c r="A639" s="103" t="s">
        <v>1059</v>
      </c>
      <c r="B639" s="104" t="s">
        <v>132</v>
      </c>
      <c r="C639" s="104" t="s">
        <v>1060</v>
      </c>
      <c r="D639" s="104" t="s">
        <v>3996</v>
      </c>
      <c r="E639" s="105" t="s">
        <v>204</v>
      </c>
      <c r="F639" s="125" t="s">
        <v>7894</v>
      </c>
      <c r="G639" s="126" t="s">
        <v>8688</v>
      </c>
      <c r="H639" s="126" t="s">
        <v>8689</v>
      </c>
      <c r="I639" s="126" t="s">
        <v>8660</v>
      </c>
      <c r="J639" s="126" t="s">
        <v>8690</v>
      </c>
      <c r="K639" s="90"/>
      <c r="L639" s="58"/>
      <c r="M639" s="58"/>
      <c r="N639" s="58"/>
      <c r="O639" s="58"/>
      <c r="P639" s="58"/>
      <c r="Q639" s="58"/>
      <c r="R639" s="58"/>
      <c r="S639" s="58"/>
      <c r="T639" s="58"/>
      <c r="U639" s="58"/>
      <c r="V639" s="58"/>
      <c r="W639" s="58"/>
      <c r="X639" s="58"/>
      <c r="Y639" s="58"/>
      <c r="Z639" s="58"/>
    </row>
    <row r="640" ht="38.25" spans="1:26">
      <c r="A640" s="103" t="s">
        <v>2156</v>
      </c>
      <c r="B640" s="104" t="s">
        <v>132</v>
      </c>
      <c r="C640" s="104" t="s">
        <v>2157</v>
      </c>
      <c r="D640" s="104" t="s">
        <v>4227</v>
      </c>
      <c r="E640" s="105" t="s">
        <v>134</v>
      </c>
      <c r="F640" s="125" t="s">
        <v>6603</v>
      </c>
      <c r="G640" s="126" t="s">
        <v>8691</v>
      </c>
      <c r="H640" s="126" t="s">
        <v>8691</v>
      </c>
      <c r="I640" s="126" t="s">
        <v>8660</v>
      </c>
      <c r="J640" s="126" t="s">
        <v>8690</v>
      </c>
      <c r="K640" s="90"/>
      <c r="L640" s="58"/>
      <c r="M640" s="58"/>
      <c r="N640" s="58"/>
      <c r="O640" s="58"/>
      <c r="P640" s="58"/>
      <c r="Q640" s="58"/>
      <c r="R640" s="58"/>
      <c r="S640" s="58"/>
      <c r="T640" s="58"/>
      <c r="U640" s="58"/>
      <c r="V640" s="58"/>
      <c r="W640" s="58"/>
      <c r="X640" s="58"/>
      <c r="Y640" s="58"/>
      <c r="Z640" s="58"/>
    </row>
    <row r="641" ht="25.5" spans="1:26">
      <c r="A641" s="103" t="s">
        <v>2350</v>
      </c>
      <c r="B641" s="104" t="s">
        <v>132</v>
      </c>
      <c r="C641" s="104" t="s">
        <v>2351</v>
      </c>
      <c r="D641" s="104">
        <v>70</v>
      </c>
      <c r="E641" s="105" t="s">
        <v>134</v>
      </c>
      <c r="F641" s="125" t="s">
        <v>6725</v>
      </c>
      <c r="G641" s="126" t="s">
        <v>8692</v>
      </c>
      <c r="H641" s="126" t="s">
        <v>8693</v>
      </c>
      <c r="I641" s="126" t="s">
        <v>8660</v>
      </c>
      <c r="J641" s="126" t="s">
        <v>8690</v>
      </c>
      <c r="K641" s="90"/>
      <c r="L641" s="58"/>
      <c r="M641" s="58"/>
      <c r="N641" s="58"/>
      <c r="O641" s="58"/>
      <c r="P641" s="58"/>
      <c r="Q641" s="58"/>
      <c r="R641" s="58"/>
      <c r="S641" s="58"/>
      <c r="T641" s="58"/>
      <c r="U641" s="58"/>
      <c r="V641" s="58"/>
      <c r="W641" s="58"/>
      <c r="X641" s="58"/>
      <c r="Y641" s="58"/>
      <c r="Z641" s="58"/>
    </row>
    <row r="642" ht="25.5" spans="1:26">
      <c r="A642" s="103" t="s">
        <v>395</v>
      </c>
      <c r="B642" s="104" t="s">
        <v>139</v>
      </c>
      <c r="C642" s="104" t="s">
        <v>396</v>
      </c>
      <c r="D642" s="104" t="s">
        <v>3310</v>
      </c>
      <c r="E642" s="105" t="s">
        <v>393</v>
      </c>
      <c r="F642" s="125" t="s">
        <v>8694</v>
      </c>
      <c r="G642" s="126" t="s">
        <v>8695</v>
      </c>
      <c r="H642" s="126" t="s">
        <v>8696</v>
      </c>
      <c r="I642" s="126" t="s">
        <v>8660</v>
      </c>
      <c r="J642" s="126" t="s">
        <v>8035</v>
      </c>
      <c r="K642" s="90"/>
      <c r="L642" s="58"/>
      <c r="M642" s="58"/>
      <c r="N642" s="58"/>
      <c r="O642" s="58"/>
      <c r="P642" s="58"/>
      <c r="Q642" s="58"/>
      <c r="R642" s="58"/>
      <c r="S642" s="58"/>
      <c r="T642" s="58"/>
      <c r="U642" s="58"/>
      <c r="V642" s="58"/>
      <c r="W642" s="58"/>
      <c r="X642" s="58"/>
      <c r="Y642" s="58"/>
      <c r="Z642" s="58"/>
    </row>
    <row r="643" ht="38.25" spans="1:26">
      <c r="A643" s="103" t="s">
        <v>218</v>
      </c>
      <c r="B643" s="104" t="s">
        <v>139</v>
      </c>
      <c r="C643" s="104" t="s">
        <v>219</v>
      </c>
      <c r="D643" s="104" t="s">
        <v>3150</v>
      </c>
      <c r="E643" s="105" t="s">
        <v>204</v>
      </c>
      <c r="F643" s="125" t="s">
        <v>8697</v>
      </c>
      <c r="G643" s="126" t="s">
        <v>8698</v>
      </c>
      <c r="H643" s="126" t="s">
        <v>8699</v>
      </c>
      <c r="I643" s="126" t="s">
        <v>8660</v>
      </c>
      <c r="J643" s="126" t="s">
        <v>8035</v>
      </c>
      <c r="K643" s="90"/>
      <c r="L643" s="58"/>
      <c r="M643" s="58"/>
      <c r="N643" s="58"/>
      <c r="O643" s="58"/>
      <c r="P643" s="58"/>
      <c r="Q643" s="58"/>
      <c r="R643" s="58"/>
      <c r="S643" s="58"/>
      <c r="T643" s="58"/>
      <c r="U643" s="58"/>
      <c r="V643" s="58"/>
      <c r="W643" s="58"/>
      <c r="X643" s="58"/>
      <c r="Y643" s="58"/>
      <c r="Z643" s="58"/>
    </row>
    <row r="644" spans="1:26">
      <c r="A644" s="103" t="s">
        <v>2761</v>
      </c>
      <c r="B644" s="104" t="s">
        <v>149</v>
      </c>
      <c r="C644" s="104" t="s">
        <v>2762</v>
      </c>
      <c r="D644" s="104" t="s">
        <v>3591</v>
      </c>
      <c r="E644" s="105" t="s">
        <v>141</v>
      </c>
      <c r="F644" s="125" t="s">
        <v>8373</v>
      </c>
      <c r="G644" s="126" t="s">
        <v>8700</v>
      </c>
      <c r="H644" s="126" t="s">
        <v>8701</v>
      </c>
      <c r="I644" s="126" t="s">
        <v>8660</v>
      </c>
      <c r="J644" s="126" t="s">
        <v>8702</v>
      </c>
      <c r="K644" s="90"/>
      <c r="L644" s="58"/>
      <c r="M644" s="58"/>
      <c r="N644" s="58"/>
      <c r="O644" s="58"/>
      <c r="P644" s="58"/>
      <c r="Q644" s="58"/>
      <c r="R644" s="58"/>
      <c r="S644" s="58"/>
      <c r="T644" s="58"/>
      <c r="U644" s="58"/>
      <c r="V644" s="58"/>
      <c r="W644" s="58"/>
      <c r="X644" s="58"/>
      <c r="Y644" s="58"/>
      <c r="Z644" s="58"/>
    </row>
    <row r="645" ht="25.5" spans="1:26">
      <c r="A645" s="103" t="s">
        <v>169</v>
      </c>
      <c r="B645" s="104" t="s">
        <v>139</v>
      </c>
      <c r="C645" s="104" t="s">
        <v>170</v>
      </c>
      <c r="D645" s="104" t="s">
        <v>3025</v>
      </c>
      <c r="E645" s="105" t="s">
        <v>134</v>
      </c>
      <c r="F645" s="125" t="s">
        <v>7588</v>
      </c>
      <c r="G645" s="126" t="s">
        <v>8703</v>
      </c>
      <c r="H645" s="126" t="s">
        <v>8704</v>
      </c>
      <c r="I645" s="126" t="s">
        <v>8660</v>
      </c>
      <c r="J645" s="126" t="s">
        <v>8702</v>
      </c>
      <c r="K645" s="90"/>
      <c r="L645" s="58"/>
      <c r="M645" s="58"/>
      <c r="N645" s="58"/>
      <c r="O645" s="58"/>
      <c r="P645" s="58"/>
      <c r="Q645" s="58"/>
      <c r="R645" s="58"/>
      <c r="S645" s="58"/>
      <c r="T645" s="58"/>
      <c r="U645" s="58"/>
      <c r="V645" s="58"/>
      <c r="W645" s="58"/>
      <c r="X645" s="58"/>
      <c r="Y645" s="58"/>
      <c r="Z645" s="58"/>
    </row>
    <row r="646" ht="38.25" spans="1:26">
      <c r="A646" s="103" t="s">
        <v>1253</v>
      </c>
      <c r="B646" s="104" t="s">
        <v>132</v>
      </c>
      <c r="C646" s="104" t="s">
        <v>1254</v>
      </c>
      <c r="D646" s="104" t="s">
        <v>3177</v>
      </c>
      <c r="E646" s="105" t="s">
        <v>134</v>
      </c>
      <c r="F646" s="125" t="s">
        <v>7321</v>
      </c>
      <c r="G646" s="126" t="s">
        <v>8705</v>
      </c>
      <c r="H646" s="126" t="s">
        <v>8706</v>
      </c>
      <c r="I646" s="126" t="s">
        <v>8660</v>
      </c>
      <c r="J646" s="126" t="s">
        <v>8702</v>
      </c>
      <c r="K646" s="90"/>
      <c r="L646" s="58"/>
      <c r="M646" s="58"/>
      <c r="N646" s="58"/>
      <c r="O646" s="58"/>
      <c r="P646" s="58"/>
      <c r="Q646" s="58"/>
      <c r="R646" s="58"/>
      <c r="S646" s="58"/>
      <c r="T646" s="58"/>
      <c r="U646" s="58"/>
      <c r="V646" s="58"/>
      <c r="W646" s="58"/>
      <c r="X646" s="58"/>
      <c r="Y646" s="58"/>
      <c r="Z646" s="58"/>
    </row>
    <row r="647" ht="25.5" spans="1:26">
      <c r="A647" s="103" t="s">
        <v>876</v>
      </c>
      <c r="B647" s="104" t="s">
        <v>139</v>
      </c>
      <c r="C647" s="104" t="s">
        <v>877</v>
      </c>
      <c r="D647" s="104" t="s">
        <v>3780</v>
      </c>
      <c r="E647" s="105" t="s">
        <v>204</v>
      </c>
      <c r="F647" s="125" t="s">
        <v>7588</v>
      </c>
      <c r="G647" s="126" t="s">
        <v>8707</v>
      </c>
      <c r="H647" s="126" t="s">
        <v>8708</v>
      </c>
      <c r="I647" s="126" t="s">
        <v>8660</v>
      </c>
      <c r="J647" s="126" t="s">
        <v>8709</v>
      </c>
      <c r="K647" s="90"/>
      <c r="L647" s="58"/>
      <c r="M647" s="58"/>
      <c r="N647" s="58"/>
      <c r="O647" s="58"/>
      <c r="P647" s="58"/>
      <c r="Q647" s="58"/>
      <c r="R647" s="58"/>
      <c r="S647" s="58"/>
      <c r="T647" s="58"/>
      <c r="U647" s="58"/>
      <c r="V647" s="58"/>
      <c r="W647" s="58"/>
      <c r="X647" s="58"/>
      <c r="Y647" s="58"/>
      <c r="Z647" s="58"/>
    </row>
    <row r="648" ht="25.5" spans="1:26">
      <c r="A648" s="103" t="s">
        <v>2544</v>
      </c>
      <c r="B648" s="104" t="s">
        <v>139</v>
      </c>
      <c r="C648" s="104" t="s">
        <v>2545</v>
      </c>
      <c r="D648" s="104" t="s">
        <v>3129</v>
      </c>
      <c r="E648" s="105" t="s">
        <v>134</v>
      </c>
      <c r="F648" s="125" t="s">
        <v>6676</v>
      </c>
      <c r="G648" s="126" t="s">
        <v>8710</v>
      </c>
      <c r="H648" s="126" t="s">
        <v>8711</v>
      </c>
      <c r="I648" s="126" t="s">
        <v>8660</v>
      </c>
      <c r="J648" s="126" t="s">
        <v>8709</v>
      </c>
      <c r="K648" s="90"/>
      <c r="L648" s="58"/>
      <c r="M648" s="58"/>
      <c r="N648" s="58"/>
      <c r="O648" s="58"/>
      <c r="P648" s="58"/>
      <c r="Q648" s="58"/>
      <c r="R648" s="58"/>
      <c r="S648" s="58"/>
      <c r="T648" s="58"/>
      <c r="U648" s="58"/>
      <c r="V648" s="58"/>
      <c r="W648" s="58"/>
      <c r="X648" s="58"/>
      <c r="Y648" s="58"/>
      <c r="Z648" s="58"/>
    </row>
    <row r="649" ht="25.5" spans="1:26">
      <c r="A649" s="103" t="s">
        <v>113</v>
      </c>
      <c r="B649" s="104" t="s">
        <v>77</v>
      </c>
      <c r="C649" s="104" t="s">
        <v>114</v>
      </c>
      <c r="D649" s="104">
        <v>1</v>
      </c>
      <c r="E649" s="105" t="s">
        <v>141</v>
      </c>
      <c r="F649" s="125" t="s">
        <v>7814</v>
      </c>
      <c r="G649" s="126" t="s">
        <v>8069</v>
      </c>
      <c r="H649" s="126" t="s">
        <v>8712</v>
      </c>
      <c r="I649" s="126" t="s">
        <v>8660</v>
      </c>
      <c r="J649" s="126" t="s">
        <v>8713</v>
      </c>
      <c r="K649" s="90"/>
      <c r="L649" s="58"/>
      <c r="M649" s="58"/>
      <c r="N649" s="58"/>
      <c r="O649" s="58"/>
      <c r="P649" s="58"/>
      <c r="Q649" s="58"/>
      <c r="R649" s="58"/>
      <c r="S649" s="58"/>
      <c r="T649" s="58"/>
      <c r="U649" s="58"/>
      <c r="V649" s="58"/>
      <c r="W649" s="58"/>
      <c r="X649" s="58"/>
      <c r="Y649" s="58"/>
      <c r="Z649" s="58"/>
    </row>
    <row r="650" ht="25.5" spans="1:26">
      <c r="A650" s="103" t="s">
        <v>260</v>
      </c>
      <c r="B650" s="104" t="s">
        <v>132</v>
      </c>
      <c r="C650" s="104" t="s">
        <v>261</v>
      </c>
      <c r="D650" s="104" t="s">
        <v>2920</v>
      </c>
      <c r="E650" s="105" t="s">
        <v>134</v>
      </c>
      <c r="F650" s="125" t="s">
        <v>6603</v>
      </c>
      <c r="G650" s="126" t="s">
        <v>8714</v>
      </c>
      <c r="H650" s="126" t="s">
        <v>8714</v>
      </c>
      <c r="I650" s="126" t="s">
        <v>8660</v>
      </c>
      <c r="J650" s="126" t="s">
        <v>8713</v>
      </c>
      <c r="K650" s="90"/>
      <c r="L650" s="58"/>
      <c r="M650" s="58"/>
      <c r="N650" s="58"/>
      <c r="O650" s="58"/>
      <c r="P650" s="58"/>
      <c r="Q650" s="58"/>
      <c r="R650" s="58"/>
      <c r="S650" s="58"/>
      <c r="T650" s="58"/>
      <c r="U650" s="58"/>
      <c r="V650" s="58"/>
      <c r="W650" s="58"/>
      <c r="X650" s="58"/>
      <c r="Y650" s="58"/>
      <c r="Z650" s="58"/>
    </row>
    <row r="651" ht="38.25" spans="1:26">
      <c r="A651" s="103" t="s">
        <v>2311</v>
      </c>
      <c r="B651" s="104" t="s">
        <v>132</v>
      </c>
      <c r="C651" s="104" t="s">
        <v>2312</v>
      </c>
      <c r="D651" s="104" t="s">
        <v>4227</v>
      </c>
      <c r="E651" s="105" t="s">
        <v>134</v>
      </c>
      <c r="F651" s="125" t="s">
        <v>6603</v>
      </c>
      <c r="G651" s="126" t="s">
        <v>8715</v>
      </c>
      <c r="H651" s="126" t="s">
        <v>8715</v>
      </c>
      <c r="I651" s="126" t="s">
        <v>8660</v>
      </c>
      <c r="J651" s="126" t="s">
        <v>8713</v>
      </c>
      <c r="K651" s="90"/>
      <c r="L651" s="58"/>
      <c r="M651" s="58"/>
      <c r="N651" s="58"/>
      <c r="O651" s="58"/>
      <c r="P651" s="58"/>
      <c r="Q651" s="58"/>
      <c r="R651" s="58"/>
      <c r="S651" s="58"/>
      <c r="T651" s="58"/>
      <c r="U651" s="58"/>
      <c r="V651" s="58"/>
      <c r="W651" s="58"/>
      <c r="X651" s="58"/>
      <c r="Y651" s="58"/>
      <c r="Z651" s="58"/>
    </row>
    <row r="652" ht="38.25" spans="1:26">
      <c r="A652" s="103" t="s">
        <v>2239</v>
      </c>
      <c r="B652" s="104" t="s">
        <v>132</v>
      </c>
      <c r="C652" s="104" t="s">
        <v>2240</v>
      </c>
      <c r="D652" s="104">
        <v>70</v>
      </c>
      <c r="E652" s="105" t="s">
        <v>134</v>
      </c>
      <c r="F652" s="125" t="s">
        <v>6725</v>
      </c>
      <c r="G652" s="126" t="s">
        <v>8277</v>
      </c>
      <c r="H652" s="126" t="s">
        <v>8716</v>
      </c>
      <c r="I652" s="126" t="s">
        <v>8660</v>
      </c>
      <c r="J652" s="126" t="s">
        <v>8717</v>
      </c>
      <c r="K652" s="90"/>
      <c r="L652" s="58"/>
      <c r="M652" s="58"/>
      <c r="N652" s="58"/>
      <c r="O652" s="58"/>
      <c r="P652" s="58"/>
      <c r="Q652" s="58"/>
      <c r="R652" s="58"/>
      <c r="S652" s="58"/>
      <c r="T652" s="58"/>
      <c r="U652" s="58"/>
      <c r="V652" s="58"/>
      <c r="W652" s="58"/>
      <c r="X652" s="58"/>
      <c r="Y652" s="58"/>
      <c r="Z652" s="58"/>
    </row>
    <row r="653" ht="25.5" spans="1:26">
      <c r="A653" s="103" t="s">
        <v>1080</v>
      </c>
      <c r="B653" s="104" t="s">
        <v>77</v>
      </c>
      <c r="C653" s="104" t="s">
        <v>1081</v>
      </c>
      <c r="D653" s="104">
        <v>15</v>
      </c>
      <c r="E653" s="105" t="s">
        <v>204</v>
      </c>
      <c r="F653" s="125" t="s">
        <v>7756</v>
      </c>
      <c r="G653" s="126" t="s">
        <v>8718</v>
      </c>
      <c r="H653" s="126" t="s">
        <v>8719</v>
      </c>
      <c r="I653" s="126" t="s">
        <v>8660</v>
      </c>
      <c r="J653" s="126" t="s">
        <v>8717</v>
      </c>
      <c r="K653" s="90"/>
      <c r="L653" s="58"/>
      <c r="M653" s="58"/>
      <c r="N653" s="58"/>
      <c r="O653" s="58"/>
      <c r="P653" s="58"/>
      <c r="Q653" s="58"/>
      <c r="R653" s="58"/>
      <c r="S653" s="58"/>
      <c r="T653" s="58"/>
      <c r="U653" s="58"/>
      <c r="V653" s="58"/>
      <c r="W653" s="58"/>
      <c r="X653" s="58"/>
      <c r="Y653" s="58"/>
      <c r="Z653" s="58"/>
    </row>
    <row r="654" ht="38.25" spans="1:26">
      <c r="A654" s="103" t="s">
        <v>1239</v>
      </c>
      <c r="B654" s="104" t="s">
        <v>132</v>
      </c>
      <c r="C654" s="104" t="s">
        <v>1240</v>
      </c>
      <c r="D654" s="104" t="s">
        <v>3177</v>
      </c>
      <c r="E654" s="105" t="s">
        <v>134</v>
      </c>
      <c r="F654" s="125" t="s">
        <v>7128</v>
      </c>
      <c r="G654" s="126" t="s">
        <v>8720</v>
      </c>
      <c r="H654" s="126" t="s">
        <v>8721</v>
      </c>
      <c r="I654" s="126" t="s">
        <v>8660</v>
      </c>
      <c r="J654" s="126" t="s">
        <v>8722</v>
      </c>
      <c r="K654" s="90"/>
      <c r="L654" s="58"/>
      <c r="M654" s="58"/>
      <c r="N654" s="58"/>
      <c r="O654" s="58"/>
      <c r="P654" s="58"/>
      <c r="Q654" s="58"/>
      <c r="R654" s="58"/>
      <c r="S654" s="58"/>
      <c r="T654" s="58"/>
      <c r="U654" s="58"/>
      <c r="V654" s="58"/>
      <c r="W654" s="58"/>
      <c r="X654" s="58"/>
      <c r="Y654" s="58"/>
      <c r="Z654" s="58"/>
    </row>
    <row r="655" spans="1:26">
      <c r="A655" s="103" t="s">
        <v>811</v>
      </c>
      <c r="B655" s="104" t="s">
        <v>796</v>
      </c>
      <c r="C655" s="104" t="s">
        <v>812</v>
      </c>
      <c r="D655" s="104" t="s">
        <v>3704</v>
      </c>
      <c r="E655" s="105" t="s">
        <v>334</v>
      </c>
      <c r="F655" s="125" t="s">
        <v>6653</v>
      </c>
      <c r="G655" s="126" t="s">
        <v>8723</v>
      </c>
      <c r="H655" s="126" t="s">
        <v>8724</v>
      </c>
      <c r="I655" s="126" t="s">
        <v>8660</v>
      </c>
      <c r="J655" s="126" t="s">
        <v>8722</v>
      </c>
      <c r="K655" s="90"/>
      <c r="L655" s="58"/>
      <c r="M655" s="58"/>
      <c r="N655" s="58"/>
      <c r="O655" s="58"/>
      <c r="P655" s="58"/>
      <c r="Q655" s="58"/>
      <c r="R655" s="58"/>
      <c r="S655" s="58"/>
      <c r="T655" s="58"/>
      <c r="U655" s="58"/>
      <c r="V655" s="58"/>
      <c r="W655" s="58"/>
      <c r="X655" s="58"/>
      <c r="Y655" s="58"/>
      <c r="Z655" s="58"/>
    </row>
    <row r="656" ht="25.5" spans="1:26">
      <c r="A656" s="103" t="s">
        <v>2380</v>
      </c>
      <c r="B656" s="104" t="s">
        <v>132</v>
      </c>
      <c r="C656" s="104" t="s">
        <v>2381</v>
      </c>
      <c r="D656" s="104">
        <v>70</v>
      </c>
      <c r="E656" s="105" t="s">
        <v>134</v>
      </c>
      <c r="F656" s="125" t="s">
        <v>6725</v>
      </c>
      <c r="G656" s="126" t="s">
        <v>8725</v>
      </c>
      <c r="H656" s="126" t="s">
        <v>8726</v>
      </c>
      <c r="I656" s="126" t="s">
        <v>8660</v>
      </c>
      <c r="J656" s="126" t="s">
        <v>8722</v>
      </c>
      <c r="K656" s="90"/>
      <c r="L656" s="58"/>
      <c r="M656" s="58"/>
      <c r="N656" s="58"/>
      <c r="O656" s="58"/>
      <c r="P656" s="58"/>
      <c r="Q656" s="58"/>
      <c r="R656" s="58"/>
      <c r="S656" s="58"/>
      <c r="T656" s="58"/>
      <c r="U656" s="58"/>
      <c r="V656" s="58"/>
      <c r="W656" s="58"/>
      <c r="X656" s="58"/>
      <c r="Y656" s="58"/>
      <c r="Z656" s="58"/>
    </row>
    <row r="657" ht="25.5" spans="1:26">
      <c r="A657" s="103" t="s">
        <v>1268</v>
      </c>
      <c r="B657" s="104" t="s">
        <v>132</v>
      </c>
      <c r="C657" s="104" t="s">
        <v>1269</v>
      </c>
      <c r="D657" s="104">
        <v>86</v>
      </c>
      <c r="E657" s="105" t="s">
        <v>204</v>
      </c>
      <c r="F657" s="125" t="s">
        <v>8697</v>
      </c>
      <c r="G657" s="126" t="s">
        <v>8727</v>
      </c>
      <c r="H657" s="126" t="s">
        <v>8728</v>
      </c>
      <c r="I657" s="126" t="s">
        <v>8660</v>
      </c>
      <c r="J657" s="126" t="s">
        <v>8729</v>
      </c>
      <c r="K657" s="90"/>
      <c r="L657" s="58"/>
      <c r="M657" s="58"/>
      <c r="N657" s="58"/>
      <c r="O657" s="58"/>
      <c r="P657" s="58"/>
      <c r="Q657" s="58"/>
      <c r="R657" s="58"/>
      <c r="S657" s="58"/>
      <c r="T657" s="58"/>
      <c r="U657" s="58"/>
      <c r="V657" s="58"/>
      <c r="W657" s="58"/>
      <c r="X657" s="58"/>
      <c r="Y657" s="58"/>
      <c r="Z657" s="58"/>
    </row>
    <row r="658" ht="25.5" spans="1:26">
      <c r="A658" s="103" t="s">
        <v>817</v>
      </c>
      <c r="B658" s="104" t="s">
        <v>139</v>
      </c>
      <c r="C658" s="104" t="s">
        <v>818</v>
      </c>
      <c r="D658" s="104" t="s">
        <v>3198</v>
      </c>
      <c r="E658" s="105" t="s">
        <v>134</v>
      </c>
      <c r="F658" s="125" t="s">
        <v>6653</v>
      </c>
      <c r="G658" s="126" t="s">
        <v>8730</v>
      </c>
      <c r="H658" s="126" t="s">
        <v>8731</v>
      </c>
      <c r="I658" s="126" t="s">
        <v>8660</v>
      </c>
      <c r="J658" s="126" t="s">
        <v>8729</v>
      </c>
      <c r="K658" s="90"/>
      <c r="L658" s="58"/>
      <c r="M658" s="58"/>
      <c r="N658" s="58"/>
      <c r="O658" s="58"/>
      <c r="P658" s="58"/>
      <c r="Q658" s="58"/>
      <c r="R658" s="58"/>
      <c r="S658" s="58"/>
      <c r="T658" s="58"/>
      <c r="U658" s="58"/>
      <c r="V658" s="58"/>
      <c r="W658" s="58"/>
      <c r="X658" s="58"/>
      <c r="Y658" s="58"/>
      <c r="Z658" s="58"/>
    </row>
    <row r="659" ht="38.25" spans="1:26">
      <c r="A659" s="103" t="s">
        <v>1035</v>
      </c>
      <c r="B659" s="104" t="s">
        <v>132</v>
      </c>
      <c r="C659" s="104" t="s">
        <v>1036</v>
      </c>
      <c r="D659" s="104">
        <v>15</v>
      </c>
      <c r="E659" s="105" t="s">
        <v>134</v>
      </c>
      <c r="F659" s="125" t="s">
        <v>7588</v>
      </c>
      <c r="G659" s="126" t="s">
        <v>8732</v>
      </c>
      <c r="H659" s="126" t="s">
        <v>8733</v>
      </c>
      <c r="I659" s="126" t="s">
        <v>8660</v>
      </c>
      <c r="J659" s="126" t="s">
        <v>8729</v>
      </c>
      <c r="K659" s="90"/>
      <c r="L659" s="58"/>
      <c r="M659" s="58"/>
      <c r="N659" s="58"/>
      <c r="O659" s="58"/>
      <c r="P659" s="58"/>
      <c r="Q659" s="58"/>
      <c r="R659" s="58"/>
      <c r="S659" s="58"/>
      <c r="T659" s="58"/>
      <c r="U659" s="58"/>
      <c r="V659" s="58"/>
      <c r="W659" s="58"/>
      <c r="X659" s="58"/>
      <c r="Y659" s="58"/>
      <c r="Z659" s="58"/>
    </row>
    <row r="660" ht="25.5" spans="1:26">
      <c r="A660" s="103" t="s">
        <v>1837</v>
      </c>
      <c r="B660" s="104" t="s">
        <v>132</v>
      </c>
      <c r="C660" s="104" t="s">
        <v>1838</v>
      </c>
      <c r="D660" s="104" t="s">
        <v>4227</v>
      </c>
      <c r="E660" s="105" t="s">
        <v>134</v>
      </c>
      <c r="F660" s="125" t="s">
        <v>6676</v>
      </c>
      <c r="G660" s="126" t="s">
        <v>8734</v>
      </c>
      <c r="H660" s="126" t="s">
        <v>8735</v>
      </c>
      <c r="I660" s="126" t="s">
        <v>8660</v>
      </c>
      <c r="J660" s="126" t="s">
        <v>8736</v>
      </c>
      <c r="K660" s="90"/>
      <c r="L660" s="58"/>
      <c r="M660" s="58"/>
      <c r="N660" s="58"/>
      <c r="O660" s="58"/>
      <c r="P660" s="58"/>
      <c r="Q660" s="58"/>
      <c r="R660" s="58"/>
      <c r="S660" s="58"/>
      <c r="T660" s="58"/>
      <c r="U660" s="58"/>
      <c r="V660" s="58"/>
      <c r="W660" s="58"/>
      <c r="X660" s="58"/>
      <c r="Y660" s="58"/>
      <c r="Z660" s="58"/>
    </row>
    <row r="661" ht="25.5" spans="1:26">
      <c r="A661" s="103" t="s">
        <v>777</v>
      </c>
      <c r="B661" s="104" t="s">
        <v>139</v>
      </c>
      <c r="C661" s="104" t="s">
        <v>778</v>
      </c>
      <c r="D661" s="104" t="s">
        <v>3642</v>
      </c>
      <c r="E661" s="105" t="s">
        <v>134</v>
      </c>
      <c r="F661" s="125" t="s">
        <v>7588</v>
      </c>
      <c r="G661" s="126" t="s">
        <v>8737</v>
      </c>
      <c r="H661" s="126" t="s">
        <v>8738</v>
      </c>
      <c r="I661" s="126" t="s">
        <v>8660</v>
      </c>
      <c r="J661" s="126" t="s">
        <v>8736</v>
      </c>
      <c r="K661" s="90"/>
      <c r="L661" s="58"/>
      <c r="M661" s="58"/>
      <c r="N661" s="58"/>
      <c r="O661" s="58"/>
      <c r="P661" s="58"/>
      <c r="Q661" s="58"/>
      <c r="R661" s="58"/>
      <c r="S661" s="58"/>
      <c r="T661" s="58"/>
      <c r="U661" s="58"/>
      <c r="V661" s="58"/>
      <c r="W661" s="58"/>
      <c r="X661" s="58"/>
      <c r="Y661" s="58"/>
      <c r="Z661" s="58"/>
    </row>
    <row r="662" ht="25.5" spans="1:26">
      <c r="A662" s="103" t="s">
        <v>122</v>
      </c>
      <c r="B662" s="104" t="s">
        <v>77</v>
      </c>
      <c r="C662" s="104" t="s">
        <v>123</v>
      </c>
      <c r="D662" s="104">
        <v>1</v>
      </c>
      <c r="E662" s="105" t="s">
        <v>141</v>
      </c>
      <c r="F662" s="125" t="s">
        <v>7814</v>
      </c>
      <c r="G662" s="126" t="s">
        <v>8739</v>
      </c>
      <c r="H662" s="126" t="s">
        <v>8740</v>
      </c>
      <c r="I662" s="126" t="s">
        <v>8660</v>
      </c>
      <c r="J662" s="126" t="s">
        <v>8741</v>
      </c>
      <c r="K662" s="90"/>
      <c r="L662" s="58"/>
      <c r="M662" s="58"/>
      <c r="N662" s="58"/>
      <c r="O662" s="58"/>
      <c r="P662" s="58"/>
      <c r="Q662" s="58"/>
      <c r="R662" s="58"/>
      <c r="S662" s="58"/>
      <c r="T662" s="58"/>
      <c r="U662" s="58"/>
      <c r="V662" s="58"/>
      <c r="W662" s="58"/>
      <c r="X662" s="58"/>
      <c r="Y662" s="58"/>
      <c r="Z662" s="58"/>
    </row>
    <row r="663" ht="38.25" spans="1:26">
      <c r="A663" s="103" t="s">
        <v>187</v>
      </c>
      <c r="B663" s="104" t="s">
        <v>139</v>
      </c>
      <c r="C663" s="104" t="s">
        <v>188</v>
      </c>
      <c r="D663" s="104" t="s">
        <v>3072</v>
      </c>
      <c r="E663" s="105" t="s">
        <v>141</v>
      </c>
      <c r="F663" s="125" t="s">
        <v>7629</v>
      </c>
      <c r="G663" s="126" t="s">
        <v>8742</v>
      </c>
      <c r="H663" s="126" t="s">
        <v>8743</v>
      </c>
      <c r="I663" s="126" t="s">
        <v>8660</v>
      </c>
      <c r="J663" s="126" t="s">
        <v>8741</v>
      </c>
      <c r="K663" s="90"/>
      <c r="L663" s="58"/>
      <c r="M663" s="58"/>
      <c r="N663" s="58"/>
      <c r="O663" s="58"/>
      <c r="P663" s="58"/>
      <c r="Q663" s="58"/>
      <c r="R663" s="58"/>
      <c r="S663" s="58"/>
      <c r="T663" s="58"/>
      <c r="U663" s="58"/>
      <c r="V663" s="58"/>
      <c r="W663" s="58"/>
      <c r="X663" s="58"/>
      <c r="Y663" s="58"/>
      <c r="Z663" s="58"/>
    </row>
    <row r="664" ht="38.25" spans="1:26">
      <c r="A664" s="103" t="s">
        <v>2810</v>
      </c>
      <c r="B664" s="104" t="s">
        <v>132</v>
      </c>
      <c r="C664" s="104" t="s">
        <v>2811</v>
      </c>
      <c r="D664" s="104" t="s">
        <v>4113</v>
      </c>
      <c r="E664" s="105" t="s">
        <v>334</v>
      </c>
      <c r="F664" s="125" t="s">
        <v>7588</v>
      </c>
      <c r="G664" s="126" t="s">
        <v>8744</v>
      </c>
      <c r="H664" s="126" t="s">
        <v>8745</v>
      </c>
      <c r="I664" s="126" t="s">
        <v>8660</v>
      </c>
      <c r="J664" s="126" t="s">
        <v>8741</v>
      </c>
      <c r="K664" s="90"/>
      <c r="L664" s="58"/>
      <c r="M664" s="58"/>
      <c r="N664" s="58"/>
      <c r="O664" s="58"/>
      <c r="P664" s="58"/>
      <c r="Q664" s="58"/>
      <c r="R664" s="58"/>
      <c r="S664" s="58"/>
      <c r="T664" s="58"/>
      <c r="U664" s="58"/>
      <c r="V664" s="58"/>
      <c r="W664" s="58"/>
      <c r="X664" s="58"/>
      <c r="Y664" s="58"/>
      <c r="Z664" s="58"/>
    </row>
    <row r="665" ht="25.5" spans="1:26">
      <c r="A665" s="103" t="s">
        <v>274</v>
      </c>
      <c r="B665" s="104" t="s">
        <v>139</v>
      </c>
      <c r="C665" s="104" t="s">
        <v>275</v>
      </c>
      <c r="D665" s="104" t="s">
        <v>3248</v>
      </c>
      <c r="E665" s="105" t="s">
        <v>204</v>
      </c>
      <c r="F665" s="125" t="s">
        <v>7410</v>
      </c>
      <c r="G665" s="126" t="s">
        <v>8746</v>
      </c>
      <c r="H665" s="126" t="s">
        <v>8747</v>
      </c>
      <c r="I665" s="126" t="s">
        <v>8660</v>
      </c>
      <c r="J665" s="126" t="s">
        <v>8748</v>
      </c>
      <c r="K665" s="90"/>
      <c r="L665" s="58"/>
      <c r="M665" s="58"/>
      <c r="N665" s="58"/>
      <c r="O665" s="58"/>
      <c r="P665" s="58"/>
      <c r="Q665" s="58"/>
      <c r="R665" s="58"/>
      <c r="S665" s="58"/>
      <c r="T665" s="58"/>
      <c r="U665" s="58"/>
      <c r="V665" s="58"/>
      <c r="W665" s="58"/>
      <c r="X665" s="58"/>
      <c r="Y665" s="58"/>
      <c r="Z665" s="58"/>
    </row>
    <row r="666" ht="25.5" spans="1:26">
      <c r="A666" s="103" t="s">
        <v>2598</v>
      </c>
      <c r="B666" s="104" t="s">
        <v>139</v>
      </c>
      <c r="C666" s="104" t="s">
        <v>2599</v>
      </c>
      <c r="D666" s="104" t="s">
        <v>3129</v>
      </c>
      <c r="E666" s="105" t="s">
        <v>134</v>
      </c>
      <c r="F666" s="125" t="s">
        <v>6653</v>
      </c>
      <c r="G666" s="126" t="s">
        <v>8749</v>
      </c>
      <c r="H666" s="126" t="s">
        <v>8750</v>
      </c>
      <c r="I666" s="126" t="s">
        <v>8660</v>
      </c>
      <c r="J666" s="126" t="s">
        <v>8748</v>
      </c>
      <c r="K666" s="90"/>
      <c r="L666" s="58"/>
      <c r="M666" s="58"/>
      <c r="N666" s="58"/>
      <c r="O666" s="58"/>
      <c r="P666" s="58"/>
      <c r="Q666" s="58"/>
      <c r="R666" s="58"/>
      <c r="S666" s="58"/>
      <c r="T666" s="58"/>
      <c r="U666" s="58"/>
      <c r="V666" s="58"/>
      <c r="W666" s="58"/>
      <c r="X666" s="58"/>
      <c r="Y666" s="58"/>
      <c r="Z666" s="58"/>
    </row>
    <row r="667" spans="1:26">
      <c r="A667" s="103" t="s">
        <v>2571</v>
      </c>
      <c r="B667" s="104" t="s">
        <v>149</v>
      </c>
      <c r="C667" s="104" t="s">
        <v>2572</v>
      </c>
      <c r="D667" s="104" t="s">
        <v>5006</v>
      </c>
      <c r="E667" s="105" t="s">
        <v>134</v>
      </c>
      <c r="F667" s="125" t="s">
        <v>6653</v>
      </c>
      <c r="G667" s="126" t="s">
        <v>8751</v>
      </c>
      <c r="H667" s="126" t="s">
        <v>8752</v>
      </c>
      <c r="I667" s="126" t="s">
        <v>8660</v>
      </c>
      <c r="J667" s="126" t="s">
        <v>8748</v>
      </c>
      <c r="K667" s="90"/>
      <c r="L667" s="58"/>
      <c r="M667" s="58"/>
      <c r="N667" s="58"/>
      <c r="O667" s="58"/>
      <c r="P667" s="58"/>
      <c r="Q667" s="58"/>
      <c r="R667" s="58"/>
      <c r="S667" s="58"/>
      <c r="T667" s="58"/>
      <c r="U667" s="58"/>
      <c r="V667" s="58"/>
      <c r="W667" s="58"/>
      <c r="X667" s="58"/>
      <c r="Y667" s="58"/>
      <c r="Z667" s="58"/>
    </row>
    <row r="668" spans="1:26">
      <c r="A668" s="103" t="s">
        <v>844</v>
      </c>
      <c r="B668" s="104" t="s">
        <v>149</v>
      </c>
      <c r="C668" s="104" t="s">
        <v>845</v>
      </c>
      <c r="D668" s="104" t="s">
        <v>3755</v>
      </c>
      <c r="E668" s="105" t="s">
        <v>134</v>
      </c>
      <c r="F668" s="125" t="s">
        <v>7557</v>
      </c>
      <c r="G668" s="126" t="s">
        <v>8753</v>
      </c>
      <c r="H668" s="126" t="s">
        <v>8754</v>
      </c>
      <c r="I668" s="126" t="s">
        <v>8660</v>
      </c>
      <c r="J668" s="126" t="s">
        <v>8755</v>
      </c>
      <c r="K668" s="90"/>
      <c r="L668" s="58"/>
      <c r="M668" s="58"/>
      <c r="N668" s="58"/>
      <c r="O668" s="58"/>
      <c r="P668" s="58"/>
      <c r="Q668" s="58"/>
      <c r="R668" s="58"/>
      <c r="S668" s="58"/>
      <c r="T668" s="58"/>
      <c r="U668" s="58"/>
      <c r="V668" s="58"/>
      <c r="W668" s="58"/>
      <c r="X668" s="58"/>
      <c r="Y668" s="58"/>
      <c r="Z668" s="58"/>
    </row>
    <row r="669" ht="25.5" spans="1:26">
      <c r="A669" s="103" t="s">
        <v>792</v>
      </c>
      <c r="B669" s="104" t="s">
        <v>132</v>
      </c>
      <c r="C669" s="104" t="s">
        <v>793</v>
      </c>
      <c r="D669" s="104">
        <v>55</v>
      </c>
      <c r="E669" s="105" t="s">
        <v>134</v>
      </c>
      <c r="F669" s="125" t="s">
        <v>7588</v>
      </c>
      <c r="G669" s="126" t="s">
        <v>8756</v>
      </c>
      <c r="H669" s="126" t="s">
        <v>8757</v>
      </c>
      <c r="I669" s="126" t="s">
        <v>8660</v>
      </c>
      <c r="J669" s="126" t="s">
        <v>8755</v>
      </c>
      <c r="K669" s="90"/>
      <c r="L669" s="58"/>
      <c r="M669" s="58"/>
      <c r="N669" s="58"/>
      <c r="O669" s="58"/>
      <c r="P669" s="58"/>
      <c r="Q669" s="58"/>
      <c r="R669" s="58"/>
      <c r="S669" s="58"/>
      <c r="T669" s="58"/>
      <c r="U669" s="58"/>
      <c r="V669" s="58"/>
      <c r="W669" s="58"/>
      <c r="X669" s="58"/>
      <c r="Y669" s="58"/>
      <c r="Z669" s="58"/>
    </row>
    <row r="670" ht="25.5" spans="1:26">
      <c r="A670" s="103" t="s">
        <v>823</v>
      </c>
      <c r="B670" s="104" t="s">
        <v>132</v>
      </c>
      <c r="C670" s="104" t="s">
        <v>824</v>
      </c>
      <c r="D670" s="104" t="s">
        <v>3727</v>
      </c>
      <c r="E670" s="105" t="s">
        <v>134</v>
      </c>
      <c r="F670" s="125" t="s">
        <v>6725</v>
      </c>
      <c r="G670" s="126" t="s">
        <v>8758</v>
      </c>
      <c r="H670" s="126" t="s">
        <v>8759</v>
      </c>
      <c r="I670" s="126" t="s">
        <v>8660</v>
      </c>
      <c r="J670" s="126" t="s">
        <v>8755</v>
      </c>
      <c r="K670" s="90"/>
      <c r="L670" s="58"/>
      <c r="M670" s="58"/>
      <c r="N670" s="58"/>
      <c r="O670" s="58"/>
      <c r="P670" s="58"/>
      <c r="Q670" s="58"/>
      <c r="R670" s="58"/>
      <c r="S670" s="58"/>
      <c r="T670" s="58"/>
      <c r="U670" s="58"/>
      <c r="V670" s="58"/>
      <c r="W670" s="58"/>
      <c r="X670" s="58"/>
      <c r="Y670" s="58"/>
      <c r="Z670" s="58"/>
    </row>
    <row r="671" ht="25.5" spans="1:26">
      <c r="A671" s="103" t="s">
        <v>1113</v>
      </c>
      <c r="B671" s="104" t="s">
        <v>149</v>
      </c>
      <c r="C671" s="104" t="s">
        <v>1114</v>
      </c>
      <c r="D671" s="104" t="s">
        <v>4029</v>
      </c>
      <c r="E671" s="105" t="s">
        <v>134</v>
      </c>
      <c r="F671" s="125" t="s">
        <v>6676</v>
      </c>
      <c r="G671" s="126" t="s">
        <v>8760</v>
      </c>
      <c r="H671" s="126" t="s">
        <v>8761</v>
      </c>
      <c r="I671" s="126" t="s">
        <v>8660</v>
      </c>
      <c r="J671" s="126" t="s">
        <v>8762</v>
      </c>
      <c r="K671" s="90"/>
      <c r="L671" s="58"/>
      <c r="M671" s="58"/>
      <c r="N671" s="58"/>
      <c r="O671" s="58"/>
      <c r="P671" s="58"/>
      <c r="Q671" s="58"/>
      <c r="R671" s="58"/>
      <c r="S671" s="58"/>
      <c r="T671" s="58"/>
      <c r="U671" s="58"/>
      <c r="V671" s="58"/>
      <c r="W671" s="58"/>
      <c r="X671" s="58"/>
      <c r="Y671" s="58"/>
      <c r="Z671" s="58"/>
    </row>
    <row r="672" ht="38.25" spans="1:26">
      <c r="A672" s="103" t="s">
        <v>215</v>
      </c>
      <c r="B672" s="104" t="s">
        <v>139</v>
      </c>
      <c r="C672" s="104" t="s">
        <v>216</v>
      </c>
      <c r="D672" s="104" t="s">
        <v>3150</v>
      </c>
      <c r="E672" s="105" t="s">
        <v>204</v>
      </c>
      <c r="F672" s="125" t="s">
        <v>8697</v>
      </c>
      <c r="G672" s="126" t="s">
        <v>6788</v>
      </c>
      <c r="H672" s="126" t="s">
        <v>8763</v>
      </c>
      <c r="I672" s="126" t="s">
        <v>8660</v>
      </c>
      <c r="J672" s="126" t="s">
        <v>8762</v>
      </c>
      <c r="K672" s="90"/>
      <c r="L672" s="58"/>
      <c r="M672" s="58"/>
      <c r="N672" s="58"/>
      <c r="O672" s="58"/>
      <c r="P672" s="58"/>
      <c r="Q672" s="58"/>
      <c r="R672" s="58"/>
      <c r="S672" s="58"/>
      <c r="T672" s="58"/>
      <c r="U672" s="58"/>
      <c r="V672" s="58"/>
      <c r="W672" s="58"/>
      <c r="X672" s="58"/>
      <c r="Y672" s="58"/>
      <c r="Z672" s="58"/>
    </row>
    <row r="673" ht="25.5" spans="1:26">
      <c r="A673" s="103" t="s">
        <v>1044</v>
      </c>
      <c r="B673" s="104" t="s">
        <v>149</v>
      </c>
      <c r="C673" s="104" t="s">
        <v>1045</v>
      </c>
      <c r="D673" s="104" t="s">
        <v>3953</v>
      </c>
      <c r="E673" s="105" t="s">
        <v>134</v>
      </c>
      <c r="F673" s="125" t="s">
        <v>7101</v>
      </c>
      <c r="G673" s="126" t="s">
        <v>8764</v>
      </c>
      <c r="H673" s="126" t="s">
        <v>8765</v>
      </c>
      <c r="I673" s="126" t="s">
        <v>8660</v>
      </c>
      <c r="J673" s="126" t="s">
        <v>8762</v>
      </c>
      <c r="K673" s="90"/>
      <c r="L673" s="58"/>
      <c r="M673" s="58"/>
      <c r="N673" s="58"/>
      <c r="O673" s="58"/>
      <c r="P673" s="58"/>
      <c r="Q673" s="58"/>
      <c r="R673" s="58"/>
      <c r="S673" s="58"/>
      <c r="T673" s="58"/>
      <c r="U673" s="58"/>
      <c r="V673" s="58"/>
      <c r="W673" s="58"/>
      <c r="X673" s="58"/>
      <c r="Y673" s="58"/>
      <c r="Z673" s="58"/>
    </row>
    <row r="674" ht="25.5" spans="1:26">
      <c r="A674" s="103" t="s">
        <v>756</v>
      </c>
      <c r="B674" s="104" t="s">
        <v>77</v>
      </c>
      <c r="C674" s="104" t="s">
        <v>757</v>
      </c>
      <c r="D674" s="104">
        <v>15</v>
      </c>
      <c r="E674" s="105" t="s">
        <v>204</v>
      </c>
      <c r="F674" s="125" t="s">
        <v>7637</v>
      </c>
      <c r="G674" s="126" t="s">
        <v>8766</v>
      </c>
      <c r="H674" s="126" t="s">
        <v>8767</v>
      </c>
      <c r="I674" s="126" t="s">
        <v>8660</v>
      </c>
      <c r="J674" s="126" t="s">
        <v>8768</v>
      </c>
      <c r="K674" s="90"/>
      <c r="L674" s="58"/>
      <c r="M674" s="58"/>
      <c r="N674" s="58"/>
      <c r="O674" s="58"/>
      <c r="P674" s="58"/>
      <c r="Q674" s="58"/>
      <c r="R674" s="58"/>
      <c r="S674" s="58"/>
      <c r="T674" s="58"/>
      <c r="U674" s="58"/>
      <c r="V674" s="58"/>
      <c r="W674" s="58"/>
      <c r="X674" s="58"/>
      <c r="Y674" s="58"/>
      <c r="Z674" s="58"/>
    </row>
    <row r="675" ht="25.5" spans="1:26">
      <c r="A675" s="103" t="s">
        <v>2436</v>
      </c>
      <c r="B675" s="104" t="s">
        <v>132</v>
      </c>
      <c r="C675" s="104" t="s">
        <v>2437</v>
      </c>
      <c r="D675" s="104">
        <v>70</v>
      </c>
      <c r="E675" s="105" t="s">
        <v>204</v>
      </c>
      <c r="F675" s="125" t="s">
        <v>7629</v>
      </c>
      <c r="G675" s="126" t="s">
        <v>8662</v>
      </c>
      <c r="H675" s="126" t="s">
        <v>8769</v>
      </c>
      <c r="I675" s="126" t="s">
        <v>8660</v>
      </c>
      <c r="J675" s="126" t="s">
        <v>8768</v>
      </c>
      <c r="K675" s="90"/>
      <c r="L675" s="58"/>
      <c r="M675" s="58"/>
      <c r="N675" s="58"/>
      <c r="O675" s="58"/>
      <c r="P675" s="58"/>
      <c r="Q675" s="58"/>
      <c r="R675" s="58"/>
      <c r="S675" s="58"/>
      <c r="T675" s="58"/>
      <c r="U675" s="58"/>
      <c r="V675" s="58"/>
      <c r="W675" s="58"/>
      <c r="X675" s="58"/>
      <c r="Y675" s="58"/>
      <c r="Z675" s="58"/>
    </row>
    <row r="676" ht="38.25" spans="1:26">
      <c r="A676" s="103" t="s">
        <v>2427</v>
      </c>
      <c r="B676" s="104" t="s">
        <v>132</v>
      </c>
      <c r="C676" s="104" t="s">
        <v>2428</v>
      </c>
      <c r="D676" s="104">
        <v>70</v>
      </c>
      <c r="E676" s="105" t="s">
        <v>204</v>
      </c>
      <c r="F676" s="125" t="s">
        <v>7629</v>
      </c>
      <c r="G676" s="126" t="s">
        <v>8662</v>
      </c>
      <c r="H676" s="126" t="s">
        <v>8769</v>
      </c>
      <c r="I676" s="126" t="s">
        <v>8660</v>
      </c>
      <c r="J676" s="126" t="s">
        <v>8768</v>
      </c>
      <c r="K676" s="90"/>
      <c r="L676" s="58"/>
      <c r="M676" s="58"/>
      <c r="N676" s="58"/>
      <c r="O676" s="58"/>
      <c r="P676" s="58"/>
      <c r="Q676" s="58"/>
      <c r="R676" s="58"/>
      <c r="S676" s="58"/>
      <c r="T676" s="58"/>
      <c r="U676" s="58"/>
      <c r="V676" s="58"/>
      <c r="W676" s="58"/>
      <c r="X676" s="58"/>
      <c r="Y676" s="58"/>
      <c r="Z676" s="58"/>
    </row>
    <row r="677" ht="38.25" spans="1:26">
      <c r="A677" s="103" t="s">
        <v>2831</v>
      </c>
      <c r="B677" s="104" t="s">
        <v>132</v>
      </c>
      <c r="C677" s="104" t="s">
        <v>2832</v>
      </c>
      <c r="D677" s="104" t="s">
        <v>4113</v>
      </c>
      <c r="E677" s="105" t="s">
        <v>334</v>
      </c>
      <c r="F677" s="125" t="s">
        <v>7073</v>
      </c>
      <c r="G677" s="126" t="s">
        <v>8770</v>
      </c>
      <c r="H677" s="126" t="s">
        <v>8771</v>
      </c>
      <c r="I677" s="126" t="s">
        <v>8660</v>
      </c>
      <c r="J677" s="126" t="s">
        <v>8768</v>
      </c>
      <c r="K677" s="90"/>
      <c r="L677" s="58"/>
      <c r="M677" s="58"/>
      <c r="N677" s="58"/>
      <c r="O677" s="58"/>
      <c r="P677" s="58"/>
      <c r="Q677" s="58"/>
      <c r="R677" s="58"/>
      <c r="S677" s="58"/>
      <c r="T677" s="58"/>
      <c r="U677" s="58"/>
      <c r="V677" s="58"/>
      <c r="W677" s="58"/>
      <c r="X677" s="58"/>
      <c r="Y677" s="58"/>
      <c r="Z677" s="58"/>
    </row>
    <row r="678" ht="38.25" spans="1:26">
      <c r="A678" s="103" t="s">
        <v>248</v>
      </c>
      <c r="B678" s="104" t="s">
        <v>139</v>
      </c>
      <c r="C678" s="104" t="s">
        <v>249</v>
      </c>
      <c r="D678" s="104" t="s">
        <v>3177</v>
      </c>
      <c r="E678" s="105" t="s">
        <v>134</v>
      </c>
      <c r="F678" s="125" t="s">
        <v>7953</v>
      </c>
      <c r="G678" s="126" t="s">
        <v>8772</v>
      </c>
      <c r="H678" s="126" t="s">
        <v>8773</v>
      </c>
      <c r="I678" s="126" t="s">
        <v>8660</v>
      </c>
      <c r="J678" s="126" t="s">
        <v>7710</v>
      </c>
      <c r="K678" s="90"/>
      <c r="L678" s="58"/>
      <c r="M678" s="58"/>
      <c r="N678" s="58"/>
      <c r="O678" s="58"/>
      <c r="P678" s="58"/>
      <c r="Q678" s="58"/>
      <c r="R678" s="58"/>
      <c r="S678" s="58"/>
      <c r="T678" s="58"/>
      <c r="U678" s="58"/>
      <c r="V678" s="58"/>
      <c r="W678" s="58"/>
      <c r="X678" s="58"/>
      <c r="Y678" s="58"/>
      <c r="Z678" s="58"/>
    </row>
    <row r="679" ht="25.5" spans="1:26">
      <c r="A679" s="103" t="s">
        <v>2577</v>
      </c>
      <c r="B679" s="104" t="s">
        <v>139</v>
      </c>
      <c r="C679" s="104" t="s">
        <v>2578</v>
      </c>
      <c r="D679" s="104" t="s">
        <v>3129</v>
      </c>
      <c r="E679" s="105" t="s">
        <v>134</v>
      </c>
      <c r="F679" s="125" t="s">
        <v>7281</v>
      </c>
      <c r="G679" s="126" t="s">
        <v>8774</v>
      </c>
      <c r="H679" s="126" t="s">
        <v>8775</v>
      </c>
      <c r="I679" s="126" t="s">
        <v>8660</v>
      </c>
      <c r="J679" s="126" t="s">
        <v>7710</v>
      </c>
      <c r="K679" s="90"/>
      <c r="L679" s="58"/>
      <c r="M679" s="58"/>
      <c r="N679" s="58"/>
      <c r="O679" s="58"/>
      <c r="P679" s="58"/>
      <c r="Q679" s="58"/>
      <c r="R679" s="58"/>
      <c r="S679" s="58"/>
      <c r="T679" s="58"/>
      <c r="U679" s="58"/>
      <c r="V679" s="58"/>
      <c r="W679" s="58"/>
      <c r="X679" s="58"/>
      <c r="Y679" s="58"/>
      <c r="Z679" s="58"/>
    </row>
    <row r="680" ht="38.25" spans="1:26">
      <c r="A680" s="103" t="s">
        <v>254</v>
      </c>
      <c r="B680" s="104" t="s">
        <v>139</v>
      </c>
      <c r="C680" s="104" t="s">
        <v>255</v>
      </c>
      <c r="D680" s="104" t="s">
        <v>3181</v>
      </c>
      <c r="E680" s="105" t="s">
        <v>134</v>
      </c>
      <c r="F680" s="125" t="s">
        <v>6725</v>
      </c>
      <c r="G680" s="126" t="s">
        <v>8776</v>
      </c>
      <c r="H680" s="126" t="s">
        <v>8777</v>
      </c>
      <c r="I680" s="126" t="s">
        <v>8660</v>
      </c>
      <c r="J680" s="126" t="s">
        <v>7710</v>
      </c>
      <c r="K680" s="90"/>
      <c r="L680" s="58"/>
      <c r="M680" s="58"/>
      <c r="N680" s="58"/>
      <c r="O680" s="58"/>
      <c r="P680" s="58"/>
      <c r="Q680" s="58"/>
      <c r="R680" s="58"/>
      <c r="S680" s="58"/>
      <c r="T680" s="58"/>
      <c r="U680" s="58"/>
      <c r="V680" s="58"/>
      <c r="W680" s="58"/>
      <c r="X680" s="58"/>
      <c r="Y680" s="58"/>
      <c r="Z680" s="58"/>
    </row>
    <row r="681" ht="38.25" spans="1:26">
      <c r="A681" s="103" t="s">
        <v>2208</v>
      </c>
      <c r="B681" s="104" t="s">
        <v>132</v>
      </c>
      <c r="C681" s="104" t="s">
        <v>2209</v>
      </c>
      <c r="D681" s="104" t="s">
        <v>3996</v>
      </c>
      <c r="E681" s="105" t="s">
        <v>134</v>
      </c>
      <c r="F681" s="125" t="s">
        <v>6603</v>
      </c>
      <c r="G681" s="126" t="s">
        <v>8778</v>
      </c>
      <c r="H681" s="126" t="s">
        <v>8778</v>
      </c>
      <c r="I681" s="126" t="s">
        <v>8660</v>
      </c>
      <c r="J681" s="126" t="s">
        <v>8779</v>
      </c>
      <c r="K681" s="90"/>
      <c r="L681" s="58"/>
      <c r="M681" s="58"/>
      <c r="N681" s="58"/>
      <c r="O681" s="58"/>
      <c r="P681" s="58"/>
      <c r="Q681" s="58"/>
      <c r="R681" s="58"/>
      <c r="S681" s="58"/>
      <c r="T681" s="58"/>
      <c r="U681" s="58"/>
      <c r="V681" s="58"/>
      <c r="W681" s="58"/>
      <c r="X681" s="58"/>
      <c r="Y681" s="58"/>
      <c r="Z681" s="58"/>
    </row>
    <row r="682" ht="25.5" spans="1:26">
      <c r="A682" s="103" t="s">
        <v>750</v>
      </c>
      <c r="B682" s="104" t="s">
        <v>139</v>
      </c>
      <c r="C682" s="104" t="s">
        <v>751</v>
      </c>
      <c r="D682" s="104" t="s">
        <v>3135</v>
      </c>
      <c r="E682" s="105" t="s">
        <v>134</v>
      </c>
      <c r="F682" s="125" t="s">
        <v>7804</v>
      </c>
      <c r="G682" s="126" t="s">
        <v>8780</v>
      </c>
      <c r="H682" s="126" t="s">
        <v>8781</v>
      </c>
      <c r="I682" s="126" t="s">
        <v>8660</v>
      </c>
      <c r="J682" s="126" t="s">
        <v>8779</v>
      </c>
      <c r="K682" s="90"/>
      <c r="L682" s="58"/>
      <c r="M682" s="58"/>
      <c r="N682" s="58"/>
      <c r="O682" s="58"/>
      <c r="P682" s="58"/>
      <c r="Q682" s="58"/>
      <c r="R682" s="58"/>
      <c r="S682" s="58"/>
      <c r="T682" s="58"/>
      <c r="U682" s="58"/>
      <c r="V682" s="58"/>
      <c r="W682" s="58"/>
      <c r="X682" s="58"/>
      <c r="Y682" s="58"/>
      <c r="Z682" s="58"/>
    </row>
    <row r="683" ht="25.5" spans="1:26">
      <c r="A683" s="103" t="s">
        <v>284</v>
      </c>
      <c r="B683" s="104" t="s">
        <v>132</v>
      </c>
      <c r="C683" s="104" t="s">
        <v>285</v>
      </c>
      <c r="D683" s="104">
        <v>45</v>
      </c>
      <c r="E683" s="105" t="s">
        <v>141</v>
      </c>
      <c r="F683" s="125" t="s">
        <v>8592</v>
      </c>
      <c r="G683" s="126" t="s">
        <v>8782</v>
      </c>
      <c r="H683" s="126" t="s">
        <v>8783</v>
      </c>
      <c r="I683" s="126" t="s">
        <v>8660</v>
      </c>
      <c r="J683" s="126" t="s">
        <v>8779</v>
      </c>
      <c r="K683" s="90"/>
      <c r="L683" s="58"/>
      <c r="M683" s="58"/>
      <c r="N683" s="58"/>
      <c r="O683" s="58"/>
      <c r="P683" s="58"/>
      <c r="Q683" s="58"/>
      <c r="R683" s="58"/>
      <c r="S683" s="58"/>
      <c r="T683" s="58"/>
      <c r="U683" s="58"/>
      <c r="V683" s="58"/>
      <c r="W683" s="58"/>
      <c r="X683" s="58"/>
      <c r="Y683" s="58"/>
      <c r="Z683" s="58"/>
    </row>
    <row r="684" ht="38.25" spans="1:26">
      <c r="A684" s="103" t="s">
        <v>224</v>
      </c>
      <c r="B684" s="104" t="s">
        <v>139</v>
      </c>
      <c r="C684" s="104" t="s">
        <v>225</v>
      </c>
      <c r="D684" s="104" t="s">
        <v>3150</v>
      </c>
      <c r="E684" s="105" t="s">
        <v>134</v>
      </c>
      <c r="F684" s="125" t="s">
        <v>7230</v>
      </c>
      <c r="G684" s="126" t="s">
        <v>8784</v>
      </c>
      <c r="H684" s="126" t="s">
        <v>8785</v>
      </c>
      <c r="I684" s="126" t="s">
        <v>8660</v>
      </c>
      <c r="J684" s="126" t="s">
        <v>8786</v>
      </c>
      <c r="K684" s="90"/>
      <c r="L684" s="58"/>
      <c r="M684" s="58"/>
      <c r="N684" s="58"/>
      <c r="O684" s="58"/>
      <c r="P684" s="58"/>
      <c r="Q684" s="58"/>
      <c r="R684" s="58"/>
      <c r="S684" s="58"/>
      <c r="T684" s="58"/>
      <c r="U684" s="58"/>
      <c r="V684" s="58"/>
      <c r="W684" s="58"/>
      <c r="X684" s="58"/>
      <c r="Y684" s="58"/>
      <c r="Z684" s="58"/>
    </row>
    <row r="685" ht="25.5" spans="1:26">
      <c r="A685" s="103" t="s">
        <v>2374</v>
      </c>
      <c r="B685" s="104" t="s">
        <v>132</v>
      </c>
      <c r="C685" s="104" t="s">
        <v>2375</v>
      </c>
      <c r="D685" s="104">
        <v>70</v>
      </c>
      <c r="E685" s="105" t="s">
        <v>134</v>
      </c>
      <c r="F685" s="125" t="s">
        <v>6881</v>
      </c>
      <c r="G685" s="126" t="s">
        <v>7938</v>
      </c>
      <c r="H685" s="126" t="s">
        <v>8787</v>
      </c>
      <c r="I685" s="126" t="s">
        <v>8660</v>
      </c>
      <c r="J685" s="126" t="s">
        <v>8786</v>
      </c>
      <c r="K685" s="90"/>
      <c r="L685" s="58"/>
      <c r="M685" s="58"/>
      <c r="N685" s="58"/>
      <c r="O685" s="58"/>
      <c r="P685" s="58"/>
      <c r="Q685" s="58"/>
      <c r="R685" s="58"/>
      <c r="S685" s="58"/>
      <c r="T685" s="58"/>
      <c r="U685" s="58"/>
      <c r="V685" s="58"/>
      <c r="W685" s="58"/>
      <c r="X685" s="58"/>
      <c r="Y685" s="58"/>
      <c r="Z685" s="58"/>
    </row>
    <row r="686" ht="38.25" spans="1:26">
      <c r="A686" s="103" t="s">
        <v>2344</v>
      </c>
      <c r="B686" s="104" t="s">
        <v>132</v>
      </c>
      <c r="C686" s="104" t="s">
        <v>2345</v>
      </c>
      <c r="D686" s="104">
        <v>70</v>
      </c>
      <c r="E686" s="105" t="s">
        <v>134</v>
      </c>
      <c r="F686" s="125" t="s">
        <v>6881</v>
      </c>
      <c r="G686" s="126" t="s">
        <v>7938</v>
      </c>
      <c r="H686" s="126" t="s">
        <v>8787</v>
      </c>
      <c r="I686" s="126" t="s">
        <v>8660</v>
      </c>
      <c r="J686" s="126" t="s">
        <v>8786</v>
      </c>
      <c r="K686" s="90"/>
      <c r="L686" s="58"/>
      <c r="M686" s="58"/>
      <c r="N686" s="58"/>
      <c r="O686" s="58"/>
      <c r="P686" s="58"/>
      <c r="Q686" s="58"/>
      <c r="R686" s="58"/>
      <c r="S686" s="58"/>
      <c r="T686" s="58"/>
      <c r="U686" s="58"/>
      <c r="V686" s="58"/>
      <c r="W686" s="58"/>
      <c r="X686" s="58"/>
      <c r="Y686" s="58"/>
      <c r="Z686" s="58"/>
    </row>
    <row r="687" ht="25.5" spans="1:26">
      <c r="A687" s="103" t="s">
        <v>1897</v>
      </c>
      <c r="B687" s="104" t="s">
        <v>139</v>
      </c>
      <c r="C687" s="104" t="s">
        <v>1898</v>
      </c>
      <c r="D687" s="104" t="s">
        <v>3198</v>
      </c>
      <c r="E687" s="105" t="s">
        <v>134</v>
      </c>
      <c r="F687" s="125" t="s">
        <v>6603</v>
      </c>
      <c r="G687" s="126" t="s">
        <v>8788</v>
      </c>
      <c r="H687" s="126" t="s">
        <v>8788</v>
      </c>
      <c r="I687" s="126" t="s">
        <v>8660</v>
      </c>
      <c r="J687" s="126" t="s">
        <v>8786</v>
      </c>
      <c r="K687" s="90"/>
      <c r="L687" s="58"/>
      <c r="M687" s="58"/>
      <c r="N687" s="58"/>
      <c r="O687" s="58"/>
      <c r="P687" s="58"/>
      <c r="Q687" s="58"/>
      <c r="R687" s="58"/>
      <c r="S687" s="58"/>
      <c r="T687" s="58"/>
      <c r="U687" s="58"/>
      <c r="V687" s="58"/>
      <c r="W687" s="58"/>
      <c r="X687" s="58"/>
      <c r="Y687" s="58"/>
      <c r="Z687" s="58"/>
    </row>
    <row r="688" ht="25.5" spans="1:26">
      <c r="A688" s="103" t="s">
        <v>449</v>
      </c>
      <c r="B688" s="104" t="s">
        <v>139</v>
      </c>
      <c r="C688" s="104" t="s">
        <v>450</v>
      </c>
      <c r="D688" s="104" t="s">
        <v>3375</v>
      </c>
      <c r="E688" s="105" t="s">
        <v>141</v>
      </c>
      <c r="F688" s="125" t="s">
        <v>8789</v>
      </c>
      <c r="G688" s="126" t="s">
        <v>8790</v>
      </c>
      <c r="H688" s="126" t="s">
        <v>8791</v>
      </c>
      <c r="I688" s="126" t="s">
        <v>8660</v>
      </c>
      <c r="J688" s="126" t="s">
        <v>8792</v>
      </c>
      <c r="K688" s="90"/>
      <c r="L688" s="58"/>
      <c r="M688" s="58"/>
      <c r="N688" s="58"/>
      <c r="O688" s="58"/>
      <c r="P688" s="58"/>
      <c r="Q688" s="58"/>
      <c r="R688" s="58"/>
      <c r="S688" s="58"/>
      <c r="T688" s="58"/>
      <c r="U688" s="58"/>
      <c r="V688" s="58"/>
      <c r="W688" s="58"/>
      <c r="X688" s="58"/>
      <c r="Y688" s="58"/>
      <c r="Z688" s="58"/>
    </row>
    <row r="689" ht="38.25" spans="1:26">
      <c r="A689" s="103" t="s">
        <v>2054</v>
      </c>
      <c r="B689" s="104" t="s">
        <v>132</v>
      </c>
      <c r="C689" s="104" t="s">
        <v>2055</v>
      </c>
      <c r="D689" s="104">
        <v>5</v>
      </c>
      <c r="E689" s="105" t="s">
        <v>134</v>
      </c>
      <c r="F689" s="125" t="s">
        <v>7629</v>
      </c>
      <c r="G689" s="126" t="s">
        <v>8793</v>
      </c>
      <c r="H689" s="126" t="s">
        <v>8794</v>
      </c>
      <c r="I689" s="126" t="s">
        <v>8660</v>
      </c>
      <c r="J689" s="126" t="s">
        <v>8792</v>
      </c>
      <c r="K689" s="90"/>
      <c r="L689" s="58"/>
      <c r="M689" s="58"/>
      <c r="N689" s="58"/>
      <c r="O689" s="58"/>
      <c r="P689" s="58"/>
      <c r="Q689" s="58"/>
      <c r="R689" s="58"/>
      <c r="S689" s="58"/>
      <c r="T689" s="58"/>
      <c r="U689" s="58"/>
      <c r="V689" s="58"/>
      <c r="W689" s="58"/>
      <c r="X689" s="58"/>
      <c r="Y689" s="58"/>
      <c r="Z689" s="58"/>
    </row>
    <row r="690" ht="25.5" spans="1:26">
      <c r="A690" s="103" t="s">
        <v>172</v>
      </c>
      <c r="B690" s="104" t="s">
        <v>139</v>
      </c>
      <c r="C690" s="104" t="s">
        <v>173</v>
      </c>
      <c r="D690" s="104" t="s">
        <v>3025</v>
      </c>
      <c r="E690" s="105" t="s">
        <v>134</v>
      </c>
      <c r="F690" s="125" t="s">
        <v>6653</v>
      </c>
      <c r="G690" s="126" t="s">
        <v>8795</v>
      </c>
      <c r="H690" s="126" t="s">
        <v>8796</v>
      </c>
      <c r="I690" s="126" t="s">
        <v>8660</v>
      </c>
      <c r="J690" s="126" t="s">
        <v>8792</v>
      </c>
      <c r="K690" s="90"/>
      <c r="L690" s="58"/>
      <c r="M690" s="58"/>
      <c r="N690" s="58"/>
      <c r="O690" s="58"/>
      <c r="P690" s="58"/>
      <c r="Q690" s="58"/>
      <c r="R690" s="58"/>
      <c r="S690" s="58"/>
      <c r="T690" s="58"/>
      <c r="U690" s="58"/>
      <c r="V690" s="58"/>
      <c r="W690" s="58"/>
      <c r="X690" s="58"/>
      <c r="Y690" s="58"/>
      <c r="Z690" s="58"/>
    </row>
    <row r="691" spans="1:26">
      <c r="A691" s="103" t="s">
        <v>1528</v>
      </c>
      <c r="B691" s="104" t="s">
        <v>149</v>
      </c>
      <c r="C691" s="104" t="s">
        <v>1529</v>
      </c>
      <c r="D691" s="104" t="s">
        <v>4007</v>
      </c>
      <c r="E691" s="105" t="s">
        <v>134</v>
      </c>
      <c r="F691" s="125" t="s">
        <v>6603</v>
      </c>
      <c r="G691" s="126" t="s">
        <v>8797</v>
      </c>
      <c r="H691" s="126" t="s">
        <v>8797</v>
      </c>
      <c r="I691" s="126" t="s">
        <v>8660</v>
      </c>
      <c r="J691" s="126" t="s">
        <v>8792</v>
      </c>
      <c r="K691" s="90"/>
      <c r="L691" s="58"/>
      <c r="M691" s="58"/>
      <c r="N691" s="58"/>
      <c r="O691" s="58"/>
      <c r="P691" s="58"/>
      <c r="Q691" s="58"/>
      <c r="R691" s="58"/>
      <c r="S691" s="58"/>
      <c r="T691" s="58"/>
      <c r="U691" s="58"/>
      <c r="V691" s="58"/>
      <c r="W691" s="58"/>
      <c r="X691" s="58"/>
      <c r="Y691" s="58"/>
      <c r="Z691" s="58"/>
    </row>
    <row r="692" ht="38.25" spans="1:26">
      <c r="A692" s="103" t="s">
        <v>242</v>
      </c>
      <c r="B692" s="104" t="s">
        <v>139</v>
      </c>
      <c r="C692" s="104" t="s">
        <v>243</v>
      </c>
      <c r="D692" s="104" t="s">
        <v>3150</v>
      </c>
      <c r="E692" s="105" t="s">
        <v>134</v>
      </c>
      <c r="F692" s="125" t="s">
        <v>6725</v>
      </c>
      <c r="G692" s="126" t="s">
        <v>8798</v>
      </c>
      <c r="H692" s="126" t="s">
        <v>8799</v>
      </c>
      <c r="I692" s="126" t="s">
        <v>8660</v>
      </c>
      <c r="J692" s="126" t="s">
        <v>8800</v>
      </c>
      <c r="K692" s="90"/>
      <c r="L692" s="58"/>
      <c r="M692" s="58"/>
      <c r="N692" s="58"/>
      <c r="O692" s="58"/>
      <c r="P692" s="58"/>
      <c r="Q692" s="58"/>
      <c r="R692" s="58"/>
      <c r="S692" s="58"/>
      <c r="T692" s="58"/>
      <c r="U692" s="58"/>
      <c r="V692" s="58"/>
      <c r="W692" s="58"/>
      <c r="X692" s="58"/>
      <c r="Y692" s="58"/>
      <c r="Z692" s="58"/>
    </row>
    <row r="693" ht="25.5" spans="1:26">
      <c r="A693" s="103" t="s">
        <v>789</v>
      </c>
      <c r="B693" s="104" t="s">
        <v>132</v>
      </c>
      <c r="C693" s="104" t="s">
        <v>790</v>
      </c>
      <c r="D693" s="104">
        <v>55</v>
      </c>
      <c r="E693" s="105" t="s">
        <v>134</v>
      </c>
      <c r="F693" s="125" t="s">
        <v>7588</v>
      </c>
      <c r="G693" s="126" t="s">
        <v>8801</v>
      </c>
      <c r="H693" s="126" t="s">
        <v>8802</v>
      </c>
      <c r="I693" s="126" t="s">
        <v>8660</v>
      </c>
      <c r="J693" s="126" t="s">
        <v>8800</v>
      </c>
      <c r="K693" s="90"/>
      <c r="L693" s="58"/>
      <c r="M693" s="58"/>
      <c r="N693" s="58"/>
      <c r="O693" s="58"/>
      <c r="P693" s="58"/>
      <c r="Q693" s="58"/>
      <c r="R693" s="58"/>
      <c r="S693" s="58"/>
      <c r="T693" s="58"/>
      <c r="U693" s="58"/>
      <c r="V693" s="58"/>
      <c r="W693" s="58"/>
      <c r="X693" s="58"/>
      <c r="Y693" s="58"/>
      <c r="Z693" s="58"/>
    </row>
    <row r="694" ht="63.75" spans="1:26">
      <c r="A694" s="103" t="s">
        <v>2822</v>
      </c>
      <c r="B694" s="104" t="s">
        <v>132</v>
      </c>
      <c r="C694" s="104" t="s">
        <v>2823</v>
      </c>
      <c r="D694" s="104">
        <v>97.02</v>
      </c>
      <c r="E694" s="105" t="s">
        <v>134</v>
      </c>
      <c r="F694" s="125" t="s">
        <v>7134</v>
      </c>
      <c r="G694" s="126" t="s">
        <v>8803</v>
      </c>
      <c r="H694" s="126" t="s">
        <v>8804</v>
      </c>
      <c r="I694" s="126" t="s">
        <v>8660</v>
      </c>
      <c r="J694" s="126" t="s">
        <v>8800</v>
      </c>
      <c r="K694" s="90"/>
      <c r="L694" s="58"/>
      <c r="M694" s="58"/>
      <c r="N694" s="58"/>
      <c r="O694" s="58"/>
      <c r="P694" s="58"/>
      <c r="Q694" s="58"/>
      <c r="R694" s="58"/>
      <c r="S694" s="58"/>
      <c r="T694" s="58"/>
      <c r="U694" s="58"/>
      <c r="V694" s="58"/>
      <c r="W694" s="58"/>
      <c r="X694" s="58"/>
      <c r="Y694" s="58"/>
      <c r="Z694" s="58"/>
    </row>
    <row r="695" ht="25.5" spans="1:26">
      <c r="A695" s="103" t="s">
        <v>1110</v>
      </c>
      <c r="B695" s="104" t="s">
        <v>149</v>
      </c>
      <c r="C695" s="104" t="s">
        <v>1111</v>
      </c>
      <c r="D695" s="104" t="s">
        <v>4029</v>
      </c>
      <c r="E695" s="105" t="s">
        <v>134</v>
      </c>
      <c r="F695" s="125" t="s">
        <v>7588</v>
      </c>
      <c r="G695" s="126" t="s">
        <v>8805</v>
      </c>
      <c r="H695" s="126" t="s">
        <v>8806</v>
      </c>
      <c r="I695" s="126" t="s">
        <v>8660</v>
      </c>
      <c r="J695" s="126" t="s">
        <v>8807</v>
      </c>
      <c r="K695" s="90"/>
      <c r="L695" s="58"/>
      <c r="M695" s="58"/>
      <c r="N695" s="58"/>
      <c r="O695" s="58"/>
      <c r="P695" s="58"/>
      <c r="Q695" s="58"/>
      <c r="R695" s="58"/>
      <c r="S695" s="58"/>
      <c r="T695" s="58"/>
      <c r="U695" s="58"/>
      <c r="V695" s="58"/>
      <c r="W695" s="58"/>
      <c r="X695" s="58"/>
      <c r="Y695" s="58"/>
      <c r="Z695" s="58"/>
    </row>
    <row r="696" ht="25.5" spans="1:26">
      <c r="A696" s="103" t="s">
        <v>2849</v>
      </c>
      <c r="B696" s="104" t="s">
        <v>132</v>
      </c>
      <c r="C696" s="104" t="s">
        <v>2850</v>
      </c>
      <c r="D696" s="104" t="s">
        <v>5267</v>
      </c>
      <c r="E696" s="105" t="s">
        <v>134</v>
      </c>
      <c r="F696" s="125" t="s">
        <v>6603</v>
      </c>
      <c r="G696" s="126" t="s">
        <v>8808</v>
      </c>
      <c r="H696" s="126" t="s">
        <v>8808</v>
      </c>
      <c r="I696" s="126" t="s">
        <v>8660</v>
      </c>
      <c r="J696" s="126" t="s">
        <v>8807</v>
      </c>
      <c r="K696" s="90"/>
      <c r="L696" s="58"/>
      <c r="M696" s="58"/>
      <c r="N696" s="58"/>
      <c r="O696" s="58"/>
      <c r="P696" s="58"/>
      <c r="Q696" s="58"/>
      <c r="R696" s="58"/>
      <c r="S696" s="58"/>
      <c r="T696" s="58"/>
      <c r="U696" s="58"/>
      <c r="V696" s="58"/>
      <c r="W696" s="58"/>
      <c r="X696" s="58"/>
      <c r="Y696" s="58"/>
      <c r="Z696" s="58"/>
    </row>
    <row r="697" ht="38.25" spans="1:26">
      <c r="A697" s="103" t="s">
        <v>2193</v>
      </c>
      <c r="B697" s="104" t="s">
        <v>132</v>
      </c>
      <c r="C697" s="104" t="s">
        <v>2194</v>
      </c>
      <c r="D697" s="104">
        <v>70</v>
      </c>
      <c r="E697" s="105" t="s">
        <v>134</v>
      </c>
      <c r="F697" s="125" t="s">
        <v>6676</v>
      </c>
      <c r="G697" s="126" t="s">
        <v>8809</v>
      </c>
      <c r="H697" s="126" t="s">
        <v>8810</v>
      </c>
      <c r="I697" s="126" t="s">
        <v>8660</v>
      </c>
      <c r="J697" s="126" t="s">
        <v>8807</v>
      </c>
      <c r="K697" s="90"/>
      <c r="L697" s="58"/>
      <c r="M697" s="58"/>
      <c r="N697" s="58"/>
      <c r="O697" s="58"/>
      <c r="P697" s="58"/>
      <c r="Q697" s="58"/>
      <c r="R697" s="58"/>
      <c r="S697" s="58"/>
      <c r="T697" s="58"/>
      <c r="U697" s="58"/>
      <c r="V697" s="58"/>
      <c r="W697" s="58"/>
      <c r="X697" s="58"/>
      <c r="Y697" s="58"/>
      <c r="Z697" s="58"/>
    </row>
    <row r="698" ht="25.5" spans="1:26">
      <c r="A698" s="103" t="s">
        <v>820</v>
      </c>
      <c r="B698" s="104" t="s">
        <v>139</v>
      </c>
      <c r="C698" s="104" t="s">
        <v>821</v>
      </c>
      <c r="D698" s="104" t="s">
        <v>3198</v>
      </c>
      <c r="E698" s="105" t="s">
        <v>134</v>
      </c>
      <c r="F698" s="125" t="s">
        <v>7972</v>
      </c>
      <c r="G698" s="126" t="s">
        <v>8811</v>
      </c>
      <c r="H698" s="126" t="s">
        <v>8812</v>
      </c>
      <c r="I698" s="126" t="s">
        <v>8660</v>
      </c>
      <c r="J698" s="126" t="s">
        <v>8807</v>
      </c>
      <c r="K698" s="90"/>
      <c r="L698" s="58"/>
      <c r="M698" s="58"/>
      <c r="N698" s="58"/>
      <c r="O698" s="58"/>
      <c r="P698" s="58"/>
      <c r="Q698" s="58"/>
      <c r="R698" s="58"/>
      <c r="S698" s="58"/>
      <c r="T698" s="58"/>
      <c r="U698" s="58"/>
      <c r="V698" s="58"/>
      <c r="W698" s="58"/>
      <c r="X698" s="58"/>
      <c r="Y698" s="58"/>
      <c r="Z698" s="58"/>
    </row>
    <row r="699" ht="25.5" spans="1:26">
      <c r="A699" s="103" t="s">
        <v>1710</v>
      </c>
      <c r="B699" s="104" t="s">
        <v>77</v>
      </c>
      <c r="C699" s="104" t="s">
        <v>1711</v>
      </c>
      <c r="D699" s="104">
        <v>15</v>
      </c>
      <c r="E699" s="105" t="s">
        <v>134</v>
      </c>
      <c r="F699" s="125" t="s">
        <v>7588</v>
      </c>
      <c r="G699" s="126" t="s">
        <v>8813</v>
      </c>
      <c r="H699" s="126" t="s">
        <v>8814</v>
      </c>
      <c r="I699" s="126" t="s">
        <v>8660</v>
      </c>
      <c r="J699" s="126" t="s">
        <v>8815</v>
      </c>
      <c r="K699" s="90"/>
      <c r="L699" s="58"/>
      <c r="M699" s="58"/>
      <c r="N699" s="58"/>
      <c r="O699" s="58"/>
      <c r="P699" s="58"/>
      <c r="Q699" s="58"/>
      <c r="R699" s="58"/>
      <c r="S699" s="58"/>
      <c r="T699" s="58"/>
      <c r="U699" s="58"/>
      <c r="V699" s="58"/>
      <c r="W699" s="58"/>
      <c r="X699" s="58"/>
      <c r="Y699" s="58"/>
      <c r="Z699" s="58"/>
    </row>
    <row r="700" ht="25.5" spans="1:26">
      <c r="A700" s="103" t="s">
        <v>1050</v>
      </c>
      <c r="B700" s="104" t="s">
        <v>149</v>
      </c>
      <c r="C700" s="104" t="s">
        <v>1051</v>
      </c>
      <c r="D700" s="104" t="s">
        <v>3953</v>
      </c>
      <c r="E700" s="105" t="s">
        <v>134</v>
      </c>
      <c r="F700" s="125" t="s">
        <v>7101</v>
      </c>
      <c r="G700" s="126" t="s">
        <v>8816</v>
      </c>
      <c r="H700" s="126" t="s">
        <v>8817</v>
      </c>
      <c r="I700" s="126" t="s">
        <v>8660</v>
      </c>
      <c r="J700" s="126" t="s">
        <v>8815</v>
      </c>
      <c r="K700" s="90"/>
      <c r="L700" s="58"/>
      <c r="M700" s="58"/>
      <c r="N700" s="58"/>
      <c r="O700" s="58"/>
      <c r="P700" s="58"/>
      <c r="Q700" s="58"/>
      <c r="R700" s="58"/>
      <c r="S700" s="58"/>
      <c r="T700" s="58"/>
      <c r="U700" s="58"/>
      <c r="V700" s="58"/>
      <c r="W700" s="58"/>
      <c r="X700" s="58"/>
      <c r="Y700" s="58"/>
      <c r="Z700" s="58"/>
    </row>
    <row r="701" ht="25.5" spans="1:26">
      <c r="A701" s="103" t="s">
        <v>1089</v>
      </c>
      <c r="B701" s="104" t="s">
        <v>132</v>
      </c>
      <c r="C701" s="104" t="s">
        <v>1090</v>
      </c>
      <c r="D701" s="104">
        <v>61</v>
      </c>
      <c r="E701" s="105" t="s">
        <v>204</v>
      </c>
      <c r="F701" s="125" t="s">
        <v>6676</v>
      </c>
      <c r="G701" s="126" t="s">
        <v>8818</v>
      </c>
      <c r="H701" s="126" t="s">
        <v>8819</v>
      </c>
      <c r="I701" s="126" t="s">
        <v>8660</v>
      </c>
      <c r="J701" s="126" t="s">
        <v>8815</v>
      </c>
      <c r="K701" s="90"/>
      <c r="L701" s="58"/>
      <c r="M701" s="58"/>
      <c r="N701" s="58"/>
      <c r="O701" s="58"/>
      <c r="P701" s="58"/>
      <c r="Q701" s="58"/>
      <c r="R701" s="58"/>
      <c r="S701" s="58"/>
      <c r="T701" s="58"/>
      <c r="U701" s="58"/>
      <c r="V701" s="58"/>
      <c r="W701" s="58"/>
      <c r="X701" s="58"/>
      <c r="Y701" s="58"/>
      <c r="Z701" s="58"/>
    </row>
    <row r="702" ht="25.5" spans="1:26">
      <c r="A702" s="103" t="s">
        <v>1951</v>
      </c>
      <c r="B702" s="104" t="s">
        <v>132</v>
      </c>
      <c r="C702" s="104" t="s">
        <v>1952</v>
      </c>
      <c r="D702" s="104" t="s">
        <v>3996</v>
      </c>
      <c r="E702" s="105" t="s">
        <v>134</v>
      </c>
      <c r="F702" s="125" t="s">
        <v>7101</v>
      </c>
      <c r="G702" s="126" t="s">
        <v>8820</v>
      </c>
      <c r="H702" s="126" t="s">
        <v>8821</v>
      </c>
      <c r="I702" s="126" t="s">
        <v>8660</v>
      </c>
      <c r="J702" s="126" t="s">
        <v>8815</v>
      </c>
      <c r="K702" s="90"/>
      <c r="L702" s="58"/>
      <c r="M702" s="58"/>
      <c r="N702" s="58"/>
      <c r="O702" s="58"/>
      <c r="P702" s="58"/>
      <c r="Q702" s="58"/>
      <c r="R702" s="58"/>
      <c r="S702" s="58"/>
      <c r="T702" s="58"/>
      <c r="U702" s="58"/>
      <c r="V702" s="58"/>
      <c r="W702" s="58"/>
      <c r="X702" s="58"/>
      <c r="Y702" s="58"/>
      <c r="Z702" s="58"/>
    </row>
    <row r="703" ht="25.5" spans="1:26">
      <c r="A703" s="103" t="s">
        <v>1894</v>
      </c>
      <c r="B703" s="104" t="s">
        <v>149</v>
      </c>
      <c r="C703" s="104" t="s">
        <v>1895</v>
      </c>
      <c r="D703" s="104" t="s">
        <v>3657</v>
      </c>
      <c r="E703" s="105" t="s">
        <v>134</v>
      </c>
      <c r="F703" s="125" t="s">
        <v>6603</v>
      </c>
      <c r="G703" s="126" t="s">
        <v>8822</v>
      </c>
      <c r="H703" s="126" t="s">
        <v>8822</v>
      </c>
      <c r="I703" s="126" t="s">
        <v>8660</v>
      </c>
      <c r="J703" s="126" t="s">
        <v>8823</v>
      </c>
      <c r="K703" s="90"/>
      <c r="L703" s="58"/>
      <c r="M703" s="58"/>
      <c r="N703" s="58"/>
      <c r="O703" s="58"/>
      <c r="P703" s="58"/>
      <c r="Q703" s="58"/>
      <c r="R703" s="58"/>
      <c r="S703" s="58"/>
      <c r="T703" s="58"/>
      <c r="U703" s="58"/>
      <c r="V703" s="58"/>
      <c r="W703" s="58"/>
      <c r="X703" s="58"/>
      <c r="Y703" s="58"/>
      <c r="Z703" s="58"/>
    </row>
    <row r="704" spans="1:26">
      <c r="A704" s="103" t="s">
        <v>2574</v>
      </c>
      <c r="B704" s="104" t="s">
        <v>149</v>
      </c>
      <c r="C704" s="104" t="s">
        <v>2575</v>
      </c>
      <c r="D704" s="104" t="s">
        <v>3755</v>
      </c>
      <c r="E704" s="105" t="s">
        <v>204</v>
      </c>
      <c r="F704" s="125" t="s">
        <v>6676</v>
      </c>
      <c r="G704" s="126" t="s">
        <v>8824</v>
      </c>
      <c r="H704" s="126" t="s">
        <v>8825</v>
      </c>
      <c r="I704" s="126" t="s">
        <v>8660</v>
      </c>
      <c r="J704" s="126" t="s">
        <v>8823</v>
      </c>
      <c r="K704" s="90"/>
      <c r="L704" s="58"/>
      <c r="M704" s="58"/>
      <c r="N704" s="58"/>
      <c r="O704" s="58"/>
      <c r="P704" s="58"/>
      <c r="Q704" s="58"/>
      <c r="R704" s="58"/>
      <c r="S704" s="58"/>
      <c r="T704" s="58"/>
      <c r="U704" s="58"/>
      <c r="V704" s="58"/>
      <c r="W704" s="58"/>
      <c r="X704" s="58"/>
      <c r="Y704" s="58"/>
      <c r="Z704" s="58"/>
    </row>
    <row r="705" ht="25.5" spans="1:26">
      <c r="A705" s="103" t="s">
        <v>2541</v>
      </c>
      <c r="B705" s="104" t="s">
        <v>139</v>
      </c>
      <c r="C705" s="104" t="s">
        <v>2542</v>
      </c>
      <c r="D705" s="104" t="s">
        <v>3129</v>
      </c>
      <c r="E705" s="105" t="s">
        <v>134</v>
      </c>
      <c r="F705" s="125" t="s">
        <v>6653</v>
      </c>
      <c r="G705" s="126" t="s">
        <v>8826</v>
      </c>
      <c r="H705" s="126" t="s">
        <v>8827</v>
      </c>
      <c r="I705" s="126" t="s">
        <v>8660</v>
      </c>
      <c r="J705" s="126" t="s">
        <v>8823</v>
      </c>
      <c r="K705" s="90"/>
      <c r="L705" s="58"/>
      <c r="M705" s="58"/>
      <c r="N705" s="58"/>
      <c r="O705" s="58"/>
      <c r="P705" s="58"/>
      <c r="Q705" s="58"/>
      <c r="R705" s="58"/>
      <c r="S705" s="58"/>
      <c r="T705" s="58"/>
      <c r="U705" s="58"/>
      <c r="V705" s="58"/>
      <c r="W705" s="58"/>
      <c r="X705" s="58"/>
      <c r="Y705" s="58"/>
      <c r="Z705" s="58"/>
    </row>
    <row r="706" spans="1:26">
      <c r="A706" s="103" t="s">
        <v>370</v>
      </c>
      <c r="B706" s="104" t="s">
        <v>149</v>
      </c>
      <c r="C706" s="104" t="s">
        <v>371</v>
      </c>
      <c r="D706" s="104" t="s">
        <v>3276</v>
      </c>
      <c r="E706" s="105" t="s">
        <v>279</v>
      </c>
      <c r="F706" s="125" t="s">
        <v>8828</v>
      </c>
      <c r="G706" s="126" t="s">
        <v>8829</v>
      </c>
      <c r="H706" s="126" t="s">
        <v>8830</v>
      </c>
      <c r="I706" s="126" t="s">
        <v>8660</v>
      </c>
      <c r="J706" s="126" t="s">
        <v>8823</v>
      </c>
      <c r="K706" s="90"/>
      <c r="L706" s="58"/>
      <c r="M706" s="58"/>
      <c r="N706" s="58"/>
      <c r="O706" s="58"/>
      <c r="P706" s="58"/>
      <c r="Q706" s="58"/>
      <c r="R706" s="58"/>
      <c r="S706" s="58"/>
      <c r="T706" s="58"/>
      <c r="U706" s="58"/>
      <c r="V706" s="58"/>
      <c r="W706" s="58"/>
      <c r="X706" s="58"/>
      <c r="Y706" s="58"/>
      <c r="Z706" s="58"/>
    </row>
    <row r="707" ht="25.5" spans="1:26">
      <c r="A707" s="103" t="s">
        <v>104</v>
      </c>
      <c r="B707" s="104" t="s">
        <v>77</v>
      </c>
      <c r="C707" s="104" t="s">
        <v>105</v>
      </c>
      <c r="D707" s="104">
        <v>1</v>
      </c>
      <c r="E707" s="105" t="s">
        <v>141</v>
      </c>
      <c r="F707" s="125" t="s">
        <v>7814</v>
      </c>
      <c r="G707" s="126" t="s">
        <v>6682</v>
      </c>
      <c r="H707" s="126" t="s">
        <v>8831</v>
      </c>
      <c r="I707" s="126" t="s">
        <v>8660</v>
      </c>
      <c r="J707" s="126" t="s">
        <v>8832</v>
      </c>
      <c r="K707" s="90"/>
      <c r="L707" s="58"/>
      <c r="M707" s="58"/>
      <c r="N707" s="58"/>
      <c r="O707" s="58"/>
      <c r="P707" s="58"/>
      <c r="Q707" s="58"/>
      <c r="R707" s="58"/>
      <c r="S707" s="58"/>
      <c r="T707" s="58"/>
      <c r="U707" s="58"/>
      <c r="V707" s="58"/>
      <c r="W707" s="58"/>
      <c r="X707" s="58"/>
      <c r="Y707" s="58"/>
      <c r="Z707" s="58"/>
    </row>
    <row r="708" ht="25.5" spans="1:26">
      <c r="A708" s="103" t="s">
        <v>433</v>
      </c>
      <c r="B708" s="104" t="s">
        <v>139</v>
      </c>
      <c r="C708" s="104" t="s">
        <v>434</v>
      </c>
      <c r="D708" s="104" t="s">
        <v>3375</v>
      </c>
      <c r="E708" s="105" t="s">
        <v>141</v>
      </c>
      <c r="F708" s="125" t="s">
        <v>8833</v>
      </c>
      <c r="G708" s="126" t="s">
        <v>8834</v>
      </c>
      <c r="H708" s="126" t="s">
        <v>8835</v>
      </c>
      <c r="I708" s="126" t="s">
        <v>8660</v>
      </c>
      <c r="J708" s="126" t="s">
        <v>8832</v>
      </c>
      <c r="K708" s="90"/>
      <c r="L708" s="58"/>
      <c r="M708" s="58"/>
      <c r="N708" s="58"/>
      <c r="O708" s="58"/>
      <c r="P708" s="58"/>
      <c r="Q708" s="58"/>
      <c r="R708" s="58"/>
      <c r="S708" s="58"/>
      <c r="T708" s="58"/>
      <c r="U708" s="58"/>
      <c r="V708" s="58"/>
      <c r="W708" s="58"/>
      <c r="X708" s="58"/>
      <c r="Y708" s="58"/>
      <c r="Z708" s="58"/>
    </row>
    <row r="709" ht="38.25" spans="1:26">
      <c r="A709" s="103" t="s">
        <v>251</v>
      </c>
      <c r="B709" s="104" t="s">
        <v>139</v>
      </c>
      <c r="C709" s="104" t="s">
        <v>252</v>
      </c>
      <c r="D709" s="104" t="s">
        <v>3181</v>
      </c>
      <c r="E709" s="105" t="s">
        <v>134</v>
      </c>
      <c r="F709" s="125" t="s">
        <v>6603</v>
      </c>
      <c r="G709" s="126" t="s">
        <v>8836</v>
      </c>
      <c r="H709" s="126" t="s">
        <v>8836</v>
      </c>
      <c r="I709" s="126" t="s">
        <v>8660</v>
      </c>
      <c r="J709" s="126" t="s">
        <v>8832</v>
      </c>
      <c r="K709" s="90"/>
      <c r="L709" s="58"/>
      <c r="M709" s="58"/>
      <c r="N709" s="58"/>
      <c r="O709" s="58"/>
      <c r="P709" s="58"/>
      <c r="Q709" s="58"/>
      <c r="R709" s="58"/>
      <c r="S709" s="58"/>
      <c r="T709" s="58"/>
      <c r="U709" s="58"/>
      <c r="V709" s="58"/>
      <c r="W709" s="58"/>
      <c r="X709" s="58"/>
      <c r="Y709" s="58"/>
      <c r="Z709" s="58"/>
    </row>
    <row r="710" spans="1:26">
      <c r="A710" s="103" t="s">
        <v>2532</v>
      </c>
      <c r="B710" s="104" t="s">
        <v>796</v>
      </c>
      <c r="C710" s="104" t="s">
        <v>2533</v>
      </c>
      <c r="D710" s="104" t="s">
        <v>2961</v>
      </c>
      <c r="E710" s="105" t="s">
        <v>334</v>
      </c>
      <c r="F710" s="125" t="s">
        <v>8837</v>
      </c>
      <c r="G710" s="126" t="s">
        <v>7309</v>
      </c>
      <c r="H710" s="126" t="s">
        <v>8838</v>
      </c>
      <c r="I710" s="126" t="s">
        <v>8660</v>
      </c>
      <c r="J710" s="126" t="s">
        <v>8832</v>
      </c>
      <c r="K710" s="90"/>
      <c r="L710" s="58"/>
      <c r="M710" s="58"/>
      <c r="N710" s="58"/>
      <c r="O710" s="58"/>
      <c r="P710" s="58"/>
      <c r="Q710" s="58"/>
      <c r="R710" s="58"/>
      <c r="S710" s="58"/>
      <c r="T710" s="58"/>
      <c r="U710" s="58"/>
      <c r="V710" s="58"/>
      <c r="W710" s="58"/>
      <c r="X710" s="58"/>
      <c r="Y710" s="58"/>
      <c r="Z710" s="58"/>
    </row>
    <row r="711" ht="38.25" spans="1:26">
      <c r="A711" s="103" t="s">
        <v>853</v>
      </c>
      <c r="B711" s="104" t="s">
        <v>139</v>
      </c>
      <c r="C711" s="104" t="s">
        <v>854</v>
      </c>
      <c r="D711" s="104" t="s">
        <v>3132</v>
      </c>
      <c r="E711" s="105" t="s">
        <v>204</v>
      </c>
      <c r="F711" s="125" t="s">
        <v>7222</v>
      </c>
      <c r="G711" s="126" t="s">
        <v>8839</v>
      </c>
      <c r="H711" s="126" t="s">
        <v>8840</v>
      </c>
      <c r="I711" s="126" t="s">
        <v>8660</v>
      </c>
      <c r="J711" s="126" t="s">
        <v>8832</v>
      </c>
      <c r="K711" s="90"/>
      <c r="L711" s="58"/>
      <c r="M711" s="58"/>
      <c r="N711" s="58"/>
      <c r="O711" s="58"/>
      <c r="P711" s="58"/>
      <c r="Q711" s="58"/>
      <c r="R711" s="58"/>
      <c r="S711" s="58"/>
      <c r="T711" s="58"/>
      <c r="U711" s="58"/>
      <c r="V711" s="58"/>
      <c r="W711" s="58"/>
      <c r="X711" s="58"/>
      <c r="Y711" s="58"/>
      <c r="Z711" s="58"/>
    </row>
    <row r="712" ht="25.5" spans="1:26">
      <c r="A712" s="103" t="s">
        <v>953</v>
      </c>
      <c r="B712" s="104" t="s">
        <v>139</v>
      </c>
      <c r="C712" s="104" t="s">
        <v>954</v>
      </c>
      <c r="D712" s="104" t="s">
        <v>3516</v>
      </c>
      <c r="E712" s="105" t="s">
        <v>134</v>
      </c>
      <c r="F712" s="125" t="s">
        <v>6603</v>
      </c>
      <c r="G712" s="126" t="s">
        <v>8841</v>
      </c>
      <c r="H712" s="126" t="s">
        <v>8841</v>
      </c>
      <c r="I712" s="126" t="s">
        <v>8660</v>
      </c>
      <c r="J712" s="126" t="s">
        <v>8842</v>
      </c>
      <c r="K712" s="90"/>
      <c r="L712" s="58"/>
      <c r="M712" s="58"/>
      <c r="N712" s="58"/>
      <c r="O712" s="58"/>
      <c r="P712" s="58"/>
      <c r="Q712" s="58"/>
      <c r="R712" s="58"/>
      <c r="S712" s="58"/>
      <c r="T712" s="58"/>
      <c r="U712" s="58"/>
      <c r="V712" s="58"/>
      <c r="W712" s="58"/>
      <c r="X712" s="58"/>
      <c r="Y712" s="58"/>
      <c r="Z712" s="58"/>
    </row>
    <row r="713" ht="38.25" spans="1:26">
      <c r="A713" s="103" t="s">
        <v>2063</v>
      </c>
      <c r="B713" s="104" t="s">
        <v>132</v>
      </c>
      <c r="C713" s="104" t="s">
        <v>2064</v>
      </c>
      <c r="D713" s="104">
        <v>55</v>
      </c>
      <c r="E713" s="105" t="s">
        <v>134</v>
      </c>
      <c r="F713" s="125" t="s">
        <v>6927</v>
      </c>
      <c r="G713" s="126" t="s">
        <v>8843</v>
      </c>
      <c r="H713" s="126" t="s">
        <v>8844</v>
      </c>
      <c r="I713" s="126" t="s">
        <v>8660</v>
      </c>
      <c r="J713" s="126" t="s">
        <v>8842</v>
      </c>
      <c r="K713" s="90"/>
      <c r="L713" s="58"/>
      <c r="M713" s="58"/>
      <c r="N713" s="58"/>
      <c r="O713" s="58"/>
      <c r="P713" s="58"/>
      <c r="Q713" s="58"/>
      <c r="R713" s="58"/>
      <c r="S713" s="58"/>
      <c r="T713" s="58"/>
      <c r="U713" s="58"/>
      <c r="V713" s="58"/>
      <c r="W713" s="58"/>
      <c r="X713" s="58"/>
      <c r="Y713" s="58"/>
      <c r="Z713" s="58"/>
    </row>
    <row r="714" ht="25.5" spans="1:26">
      <c r="A714" s="103" t="s">
        <v>826</v>
      </c>
      <c r="B714" s="104" t="s">
        <v>132</v>
      </c>
      <c r="C714" s="104" t="s">
        <v>827</v>
      </c>
      <c r="D714" s="104" t="s">
        <v>3727</v>
      </c>
      <c r="E714" s="105" t="s">
        <v>134</v>
      </c>
      <c r="F714" s="125" t="s">
        <v>7557</v>
      </c>
      <c r="G714" s="126" t="s">
        <v>7221</v>
      </c>
      <c r="H714" s="126" t="s">
        <v>8845</v>
      </c>
      <c r="I714" s="126" t="s">
        <v>8660</v>
      </c>
      <c r="J714" s="126" t="s">
        <v>8842</v>
      </c>
      <c r="K714" s="90"/>
      <c r="L714" s="58"/>
      <c r="M714" s="58"/>
      <c r="N714" s="58"/>
      <c r="O714" s="58"/>
      <c r="P714" s="58"/>
      <c r="Q714" s="58"/>
      <c r="R714" s="58"/>
      <c r="S714" s="58"/>
      <c r="T714" s="58"/>
      <c r="U714" s="58"/>
      <c r="V714" s="58"/>
      <c r="W714" s="58"/>
      <c r="X714" s="58"/>
      <c r="Y714" s="58"/>
      <c r="Z714" s="58"/>
    </row>
    <row r="715" spans="1:26">
      <c r="A715" s="103" t="s">
        <v>2562</v>
      </c>
      <c r="B715" s="104" t="s">
        <v>149</v>
      </c>
      <c r="C715" s="104" t="s">
        <v>2563</v>
      </c>
      <c r="D715" s="104" t="s">
        <v>3755</v>
      </c>
      <c r="E715" s="105" t="s">
        <v>134</v>
      </c>
      <c r="F715" s="125" t="s">
        <v>7919</v>
      </c>
      <c r="G715" s="126" t="s">
        <v>8846</v>
      </c>
      <c r="H715" s="126" t="s">
        <v>8847</v>
      </c>
      <c r="I715" s="126" t="s">
        <v>8660</v>
      </c>
      <c r="J715" s="126" t="s">
        <v>8842</v>
      </c>
      <c r="K715" s="90"/>
      <c r="L715" s="58"/>
      <c r="M715" s="58"/>
      <c r="N715" s="58"/>
      <c r="O715" s="58"/>
      <c r="P715" s="58"/>
      <c r="Q715" s="58"/>
      <c r="R715" s="58"/>
      <c r="S715" s="58"/>
      <c r="T715" s="58"/>
      <c r="U715" s="58"/>
      <c r="V715" s="58"/>
      <c r="W715" s="58"/>
      <c r="X715" s="58"/>
      <c r="Y715" s="58"/>
      <c r="Z715" s="58"/>
    </row>
    <row r="716" ht="38.25" spans="1:26">
      <c r="A716" s="103" t="s">
        <v>2187</v>
      </c>
      <c r="B716" s="104" t="s">
        <v>132</v>
      </c>
      <c r="C716" s="104" t="s">
        <v>2188</v>
      </c>
      <c r="D716" s="104">
        <v>70</v>
      </c>
      <c r="E716" s="105" t="s">
        <v>134</v>
      </c>
      <c r="F716" s="125" t="s">
        <v>6881</v>
      </c>
      <c r="G716" s="126" t="s">
        <v>8848</v>
      </c>
      <c r="H716" s="126" t="s">
        <v>8849</v>
      </c>
      <c r="I716" s="126" t="s">
        <v>8660</v>
      </c>
      <c r="J716" s="126" t="s">
        <v>8842</v>
      </c>
      <c r="K716" s="90"/>
      <c r="L716" s="58"/>
      <c r="M716" s="58"/>
      <c r="N716" s="58"/>
      <c r="O716" s="58"/>
      <c r="P716" s="58"/>
      <c r="Q716" s="58"/>
      <c r="R716" s="58"/>
      <c r="S716" s="58"/>
      <c r="T716" s="58"/>
      <c r="U716" s="58"/>
      <c r="V716" s="58"/>
      <c r="W716" s="58"/>
      <c r="X716" s="58"/>
      <c r="Y716" s="58"/>
      <c r="Z716" s="58"/>
    </row>
    <row r="717" ht="25.5" spans="1:26">
      <c r="A717" s="103" t="s">
        <v>805</v>
      </c>
      <c r="B717" s="104" t="s">
        <v>77</v>
      </c>
      <c r="C717" s="104" t="s">
        <v>806</v>
      </c>
      <c r="D717" s="104">
        <v>15</v>
      </c>
      <c r="E717" s="105" t="s">
        <v>134</v>
      </c>
      <c r="F717" s="125" t="s">
        <v>6676</v>
      </c>
      <c r="G717" s="126" t="s">
        <v>8850</v>
      </c>
      <c r="H717" s="126" t="s">
        <v>8851</v>
      </c>
      <c r="I717" s="126" t="s">
        <v>8660</v>
      </c>
      <c r="J717" s="126" t="s">
        <v>8852</v>
      </c>
      <c r="K717" s="90"/>
      <c r="L717" s="58"/>
      <c r="M717" s="58"/>
      <c r="N717" s="58"/>
      <c r="O717" s="58"/>
      <c r="P717" s="58"/>
      <c r="Q717" s="58"/>
      <c r="R717" s="58"/>
      <c r="S717" s="58"/>
      <c r="T717" s="58"/>
      <c r="U717" s="58"/>
      <c r="V717" s="58"/>
      <c r="W717" s="58"/>
      <c r="X717" s="58"/>
      <c r="Y717" s="58"/>
      <c r="Z717" s="58"/>
    </row>
    <row r="718" ht="25.5" spans="1:26">
      <c r="A718" s="103" t="s">
        <v>759</v>
      </c>
      <c r="B718" s="104" t="s">
        <v>77</v>
      </c>
      <c r="C718" s="104" t="s">
        <v>760</v>
      </c>
      <c r="D718" s="104">
        <v>15</v>
      </c>
      <c r="E718" s="105" t="s">
        <v>204</v>
      </c>
      <c r="F718" s="125" t="s">
        <v>7588</v>
      </c>
      <c r="G718" s="126" t="s">
        <v>8853</v>
      </c>
      <c r="H718" s="126" t="s">
        <v>8854</v>
      </c>
      <c r="I718" s="126" t="s">
        <v>8660</v>
      </c>
      <c r="J718" s="126" t="s">
        <v>8852</v>
      </c>
      <c r="K718" s="90"/>
      <c r="L718" s="58"/>
      <c r="M718" s="58"/>
      <c r="N718" s="58"/>
      <c r="O718" s="58"/>
      <c r="P718" s="58"/>
      <c r="Q718" s="58"/>
      <c r="R718" s="58"/>
      <c r="S718" s="58"/>
      <c r="T718" s="58"/>
      <c r="U718" s="58"/>
      <c r="V718" s="58"/>
      <c r="W718" s="58"/>
      <c r="X718" s="58"/>
      <c r="Y718" s="58"/>
      <c r="Z718" s="58"/>
    </row>
    <row r="719" ht="25.5" spans="1:26">
      <c r="A719" s="103" t="s">
        <v>2009</v>
      </c>
      <c r="B719" s="104" t="s">
        <v>149</v>
      </c>
      <c r="C719" s="104" t="s">
        <v>2010</v>
      </c>
      <c r="D719" s="104" t="s">
        <v>3657</v>
      </c>
      <c r="E719" s="105" t="s">
        <v>134</v>
      </c>
      <c r="F719" s="125" t="s">
        <v>7972</v>
      </c>
      <c r="G719" s="126" t="s">
        <v>8855</v>
      </c>
      <c r="H719" s="126" t="s">
        <v>8856</v>
      </c>
      <c r="I719" s="126" t="s">
        <v>8660</v>
      </c>
      <c r="J719" s="126" t="s">
        <v>8852</v>
      </c>
      <c r="K719" s="90"/>
      <c r="L719" s="58"/>
      <c r="M719" s="58"/>
      <c r="N719" s="58"/>
      <c r="O719" s="58"/>
      <c r="P719" s="58"/>
      <c r="Q719" s="58"/>
      <c r="R719" s="58"/>
      <c r="S719" s="58"/>
      <c r="T719" s="58"/>
      <c r="U719" s="58"/>
      <c r="V719" s="58"/>
      <c r="W719" s="58"/>
      <c r="X719" s="58"/>
      <c r="Y719" s="58"/>
      <c r="Z719" s="58"/>
    </row>
    <row r="720" ht="25.5" spans="1:26">
      <c r="A720" s="103" t="s">
        <v>1722</v>
      </c>
      <c r="B720" s="104" t="s">
        <v>77</v>
      </c>
      <c r="C720" s="104" t="s">
        <v>1723</v>
      </c>
      <c r="D720" s="104">
        <v>15</v>
      </c>
      <c r="E720" s="105" t="s">
        <v>134</v>
      </c>
      <c r="F720" s="125" t="s">
        <v>7557</v>
      </c>
      <c r="G720" s="126" t="s">
        <v>8857</v>
      </c>
      <c r="H720" s="126" t="s">
        <v>8858</v>
      </c>
      <c r="I720" s="126" t="s">
        <v>8660</v>
      </c>
      <c r="J720" s="126" t="s">
        <v>8852</v>
      </c>
      <c r="K720" s="90"/>
      <c r="L720" s="58"/>
      <c r="M720" s="58"/>
      <c r="N720" s="58"/>
      <c r="O720" s="58"/>
      <c r="P720" s="58"/>
      <c r="Q720" s="58"/>
      <c r="R720" s="58"/>
      <c r="S720" s="58"/>
      <c r="T720" s="58"/>
      <c r="U720" s="58"/>
      <c r="V720" s="58"/>
      <c r="W720" s="58"/>
      <c r="X720" s="58"/>
      <c r="Y720" s="58"/>
      <c r="Z720" s="58"/>
    </row>
    <row r="721" ht="25.5" spans="1:26">
      <c r="A721" s="103" t="s">
        <v>1098</v>
      </c>
      <c r="B721" s="104" t="s">
        <v>139</v>
      </c>
      <c r="C721" s="104" t="s">
        <v>1099</v>
      </c>
      <c r="D721" s="104" t="s">
        <v>3235</v>
      </c>
      <c r="E721" s="105" t="s">
        <v>134</v>
      </c>
      <c r="F721" s="125" t="s">
        <v>7972</v>
      </c>
      <c r="G721" s="126" t="s">
        <v>8859</v>
      </c>
      <c r="H721" s="126" t="s">
        <v>8860</v>
      </c>
      <c r="I721" s="126" t="s">
        <v>8660</v>
      </c>
      <c r="J721" s="126" t="s">
        <v>8852</v>
      </c>
      <c r="K721" s="90"/>
      <c r="L721" s="58"/>
      <c r="M721" s="58"/>
      <c r="N721" s="58"/>
      <c r="O721" s="58"/>
      <c r="P721" s="58"/>
      <c r="Q721" s="58"/>
      <c r="R721" s="58"/>
      <c r="S721" s="58"/>
      <c r="T721" s="58"/>
      <c r="U721" s="58"/>
      <c r="V721" s="58"/>
      <c r="W721" s="58"/>
      <c r="X721" s="58"/>
      <c r="Y721" s="58"/>
      <c r="Z721" s="58"/>
    </row>
    <row r="722" ht="38.25" spans="1:26">
      <c r="A722" s="103" t="s">
        <v>2846</v>
      </c>
      <c r="B722" s="104" t="s">
        <v>132</v>
      </c>
      <c r="C722" s="104" t="s">
        <v>2847</v>
      </c>
      <c r="D722" s="104" t="s">
        <v>2924</v>
      </c>
      <c r="E722" s="105" t="s">
        <v>134</v>
      </c>
      <c r="F722" s="125" t="s">
        <v>6676</v>
      </c>
      <c r="G722" s="126" t="s">
        <v>8861</v>
      </c>
      <c r="H722" s="126" t="s">
        <v>8862</v>
      </c>
      <c r="I722" s="126" t="s">
        <v>8660</v>
      </c>
      <c r="J722" s="126" t="s">
        <v>8258</v>
      </c>
      <c r="K722" s="90"/>
      <c r="L722" s="58"/>
      <c r="M722" s="58"/>
      <c r="N722" s="58"/>
      <c r="O722" s="58"/>
      <c r="P722" s="58"/>
      <c r="Q722" s="58"/>
      <c r="R722" s="58"/>
      <c r="S722" s="58"/>
      <c r="T722" s="58"/>
      <c r="U722" s="58"/>
      <c r="V722" s="58"/>
      <c r="W722" s="58"/>
      <c r="X722" s="58"/>
      <c r="Y722" s="58"/>
      <c r="Z722" s="58"/>
    </row>
    <row r="723" ht="25.5" spans="1:26">
      <c r="A723" s="103" t="s">
        <v>879</v>
      </c>
      <c r="B723" s="104" t="s">
        <v>132</v>
      </c>
      <c r="C723" s="104" t="s">
        <v>880</v>
      </c>
      <c r="D723" s="104">
        <v>46.33</v>
      </c>
      <c r="E723" s="105" t="s">
        <v>134</v>
      </c>
      <c r="F723" s="125" t="s">
        <v>6676</v>
      </c>
      <c r="G723" s="126" t="s">
        <v>8863</v>
      </c>
      <c r="H723" s="126" t="s">
        <v>8864</v>
      </c>
      <c r="I723" s="126" t="s">
        <v>8660</v>
      </c>
      <c r="J723" s="126" t="s">
        <v>8258</v>
      </c>
      <c r="K723" s="90"/>
      <c r="L723" s="58"/>
      <c r="M723" s="58"/>
      <c r="N723" s="58"/>
      <c r="O723" s="58"/>
      <c r="P723" s="58"/>
      <c r="Q723" s="58"/>
      <c r="R723" s="58"/>
      <c r="S723" s="58"/>
      <c r="T723" s="58"/>
      <c r="U723" s="58"/>
      <c r="V723" s="58"/>
      <c r="W723" s="58"/>
      <c r="X723" s="58"/>
      <c r="Y723" s="58"/>
      <c r="Z723" s="58"/>
    </row>
    <row r="724" ht="38.25" spans="1:26">
      <c r="A724" s="103" t="s">
        <v>1790</v>
      </c>
      <c r="B724" s="104" t="s">
        <v>132</v>
      </c>
      <c r="C724" s="104" t="s">
        <v>1791</v>
      </c>
      <c r="D724" s="104">
        <v>15</v>
      </c>
      <c r="E724" s="105" t="s">
        <v>204</v>
      </c>
      <c r="F724" s="125" t="s">
        <v>6725</v>
      </c>
      <c r="G724" s="126" t="s">
        <v>8865</v>
      </c>
      <c r="H724" s="126" t="s">
        <v>8866</v>
      </c>
      <c r="I724" s="126" t="s">
        <v>8660</v>
      </c>
      <c r="J724" s="126" t="s">
        <v>8258</v>
      </c>
      <c r="K724" s="90"/>
      <c r="L724" s="58"/>
      <c r="M724" s="58"/>
      <c r="N724" s="58"/>
      <c r="O724" s="58"/>
      <c r="P724" s="58"/>
      <c r="Q724" s="58"/>
      <c r="R724" s="58"/>
      <c r="S724" s="58"/>
      <c r="T724" s="58"/>
      <c r="U724" s="58"/>
      <c r="V724" s="58"/>
      <c r="W724" s="58"/>
      <c r="X724" s="58"/>
      <c r="Y724" s="58"/>
      <c r="Z724" s="58"/>
    </row>
    <row r="725" ht="38.25" spans="1:26">
      <c r="A725" s="103" t="s">
        <v>2819</v>
      </c>
      <c r="B725" s="104" t="s">
        <v>132</v>
      </c>
      <c r="C725" s="104" t="s">
        <v>2820</v>
      </c>
      <c r="D725" s="104">
        <v>97.02</v>
      </c>
      <c r="E725" s="105" t="s">
        <v>134</v>
      </c>
      <c r="F725" s="125" t="s">
        <v>6927</v>
      </c>
      <c r="G725" s="126" t="s">
        <v>8867</v>
      </c>
      <c r="H725" s="126" t="s">
        <v>8868</v>
      </c>
      <c r="I725" s="126" t="s">
        <v>8660</v>
      </c>
      <c r="J725" s="126" t="s">
        <v>8258</v>
      </c>
      <c r="K725" s="90"/>
      <c r="L725" s="58"/>
      <c r="M725" s="58"/>
      <c r="N725" s="58"/>
      <c r="O725" s="58"/>
      <c r="P725" s="58"/>
      <c r="Q725" s="58"/>
      <c r="R725" s="58"/>
      <c r="S725" s="58"/>
      <c r="T725" s="58"/>
      <c r="U725" s="58"/>
      <c r="V725" s="58"/>
      <c r="W725" s="58"/>
      <c r="X725" s="58"/>
      <c r="Y725" s="58"/>
      <c r="Z725" s="58"/>
    </row>
    <row r="726" ht="25.5" spans="1:26">
      <c r="A726" s="103" t="s">
        <v>2024</v>
      </c>
      <c r="B726" s="104" t="s">
        <v>132</v>
      </c>
      <c r="C726" s="104" t="s">
        <v>2025</v>
      </c>
      <c r="D726" s="104">
        <v>61</v>
      </c>
      <c r="E726" s="105" t="s">
        <v>134</v>
      </c>
      <c r="F726" s="125" t="s">
        <v>6603</v>
      </c>
      <c r="G726" s="126" t="s">
        <v>8869</v>
      </c>
      <c r="H726" s="126" t="s">
        <v>8869</v>
      </c>
      <c r="I726" s="126" t="s">
        <v>8660</v>
      </c>
      <c r="J726" s="126" t="s">
        <v>8258</v>
      </c>
      <c r="K726" s="90"/>
      <c r="L726" s="58"/>
      <c r="M726" s="58"/>
      <c r="N726" s="58"/>
      <c r="O726" s="58"/>
      <c r="P726" s="58"/>
      <c r="Q726" s="58"/>
      <c r="R726" s="58"/>
      <c r="S726" s="58"/>
      <c r="T726" s="58"/>
      <c r="U726" s="58"/>
      <c r="V726" s="58"/>
      <c r="W726" s="58"/>
      <c r="X726" s="58"/>
      <c r="Y726" s="58"/>
      <c r="Z726" s="58"/>
    </row>
    <row r="727" ht="25.5" spans="1:26">
      <c r="A727" s="103" t="s">
        <v>2021</v>
      </c>
      <c r="B727" s="104" t="s">
        <v>132</v>
      </c>
      <c r="C727" s="104" t="s">
        <v>2022</v>
      </c>
      <c r="D727" s="104">
        <v>61</v>
      </c>
      <c r="E727" s="105" t="s">
        <v>134</v>
      </c>
      <c r="F727" s="125" t="s">
        <v>7972</v>
      </c>
      <c r="G727" s="126" t="s">
        <v>8870</v>
      </c>
      <c r="H727" s="126" t="s">
        <v>8871</v>
      </c>
      <c r="I727" s="126" t="s">
        <v>8660</v>
      </c>
      <c r="J727" s="126" t="s">
        <v>8872</v>
      </c>
      <c r="K727" s="90"/>
      <c r="L727" s="58"/>
      <c r="M727" s="58"/>
      <c r="N727" s="58"/>
      <c r="O727" s="58"/>
      <c r="P727" s="58"/>
      <c r="Q727" s="58"/>
      <c r="R727" s="58"/>
      <c r="S727" s="58"/>
      <c r="T727" s="58"/>
      <c r="U727" s="58"/>
      <c r="V727" s="58"/>
      <c r="W727" s="58"/>
      <c r="X727" s="58"/>
      <c r="Y727" s="58"/>
      <c r="Z727" s="58"/>
    </row>
    <row r="728" ht="25.5" spans="1:26">
      <c r="A728" s="103" t="s">
        <v>1753</v>
      </c>
      <c r="B728" s="104" t="s">
        <v>132</v>
      </c>
      <c r="C728" s="104" t="s">
        <v>1754</v>
      </c>
      <c r="D728" s="104">
        <v>59</v>
      </c>
      <c r="E728" s="105" t="s">
        <v>204</v>
      </c>
      <c r="F728" s="125" t="s">
        <v>8873</v>
      </c>
      <c r="G728" s="126" t="s">
        <v>8874</v>
      </c>
      <c r="H728" s="126" t="s">
        <v>8875</v>
      </c>
      <c r="I728" s="126" t="s">
        <v>8660</v>
      </c>
      <c r="J728" s="126" t="s">
        <v>8872</v>
      </c>
      <c r="K728" s="90"/>
      <c r="L728" s="58"/>
      <c r="M728" s="58"/>
      <c r="N728" s="58"/>
      <c r="O728" s="58"/>
      <c r="P728" s="58"/>
      <c r="Q728" s="58"/>
      <c r="R728" s="58"/>
      <c r="S728" s="58"/>
      <c r="T728" s="58"/>
      <c r="U728" s="58"/>
      <c r="V728" s="58"/>
      <c r="W728" s="58"/>
      <c r="X728" s="58"/>
      <c r="Y728" s="58"/>
      <c r="Z728" s="58"/>
    </row>
    <row r="729" spans="1:26">
      <c r="A729" s="103" t="s">
        <v>1994</v>
      </c>
      <c r="B729" s="104" t="s">
        <v>149</v>
      </c>
      <c r="C729" s="104" t="s">
        <v>1995</v>
      </c>
      <c r="D729" s="104" t="s">
        <v>33</v>
      </c>
      <c r="E729" s="105" t="s">
        <v>134</v>
      </c>
      <c r="F729" s="125" t="s">
        <v>6676</v>
      </c>
      <c r="G729" s="126" t="s">
        <v>8876</v>
      </c>
      <c r="H729" s="126" t="s">
        <v>8877</v>
      </c>
      <c r="I729" s="126" t="s">
        <v>8660</v>
      </c>
      <c r="J729" s="126" t="s">
        <v>8872</v>
      </c>
      <c r="K729" s="90"/>
      <c r="L729" s="58"/>
      <c r="M729" s="58"/>
      <c r="N729" s="58"/>
      <c r="O729" s="58"/>
      <c r="P729" s="58"/>
      <c r="Q729" s="58"/>
      <c r="R729" s="58"/>
      <c r="S729" s="58"/>
      <c r="T729" s="58"/>
      <c r="U729" s="58"/>
      <c r="V729" s="58"/>
      <c r="W729" s="58"/>
      <c r="X729" s="58"/>
      <c r="Y729" s="58"/>
      <c r="Z729" s="58"/>
    </row>
    <row r="730" ht="25.5" spans="1:26">
      <c r="A730" s="103" t="s">
        <v>464</v>
      </c>
      <c r="B730" s="104" t="s">
        <v>139</v>
      </c>
      <c r="C730" s="104" t="s">
        <v>465</v>
      </c>
      <c r="D730" s="104" t="s">
        <v>3317</v>
      </c>
      <c r="E730" s="105" t="s">
        <v>393</v>
      </c>
      <c r="F730" s="125" t="s">
        <v>8878</v>
      </c>
      <c r="G730" s="126" t="s">
        <v>8879</v>
      </c>
      <c r="H730" s="126" t="s">
        <v>8880</v>
      </c>
      <c r="I730" s="126" t="s">
        <v>8660</v>
      </c>
      <c r="J730" s="126" t="s">
        <v>8872</v>
      </c>
      <c r="K730" s="90"/>
      <c r="L730" s="58"/>
      <c r="M730" s="58"/>
      <c r="N730" s="58"/>
      <c r="O730" s="58"/>
      <c r="P730" s="58"/>
      <c r="Q730" s="58"/>
      <c r="R730" s="58"/>
      <c r="S730" s="58"/>
      <c r="T730" s="58"/>
      <c r="U730" s="58"/>
      <c r="V730" s="58"/>
      <c r="W730" s="58"/>
      <c r="X730" s="58"/>
      <c r="Y730" s="58"/>
      <c r="Z730" s="58"/>
    </row>
    <row r="731" spans="1:26">
      <c r="A731" s="103" t="s">
        <v>1681</v>
      </c>
      <c r="B731" s="104" t="s">
        <v>149</v>
      </c>
      <c r="C731" s="104" t="s">
        <v>1682</v>
      </c>
      <c r="D731" s="104" t="s">
        <v>4007</v>
      </c>
      <c r="E731" s="105" t="s">
        <v>134</v>
      </c>
      <c r="F731" s="125" t="s">
        <v>6858</v>
      </c>
      <c r="G731" s="126" t="s">
        <v>8881</v>
      </c>
      <c r="H731" s="126" t="s">
        <v>8882</v>
      </c>
      <c r="I731" s="126" t="s">
        <v>8660</v>
      </c>
      <c r="J731" s="126" t="s">
        <v>8872</v>
      </c>
      <c r="K731" s="90"/>
      <c r="L731" s="58"/>
      <c r="M731" s="58"/>
      <c r="N731" s="58"/>
      <c r="O731" s="58"/>
      <c r="P731" s="58"/>
      <c r="Q731" s="58"/>
      <c r="R731" s="58"/>
      <c r="S731" s="58"/>
      <c r="T731" s="58"/>
      <c r="U731" s="58"/>
      <c r="V731" s="58"/>
      <c r="W731" s="58"/>
      <c r="X731" s="58"/>
      <c r="Y731" s="58"/>
      <c r="Z731" s="58"/>
    </row>
    <row r="732" ht="38.25" spans="1:26">
      <c r="A732" s="103" t="s">
        <v>239</v>
      </c>
      <c r="B732" s="104" t="s">
        <v>139</v>
      </c>
      <c r="C732" s="104" t="s">
        <v>240</v>
      </c>
      <c r="D732" s="104" t="s">
        <v>3150</v>
      </c>
      <c r="E732" s="105" t="s">
        <v>134</v>
      </c>
      <c r="F732" s="125" t="s">
        <v>6725</v>
      </c>
      <c r="G732" s="126" t="s">
        <v>8883</v>
      </c>
      <c r="H732" s="126" t="s">
        <v>8884</v>
      </c>
      <c r="I732" s="126" t="s">
        <v>8660</v>
      </c>
      <c r="J732" s="126" t="s">
        <v>8885</v>
      </c>
      <c r="K732" s="90"/>
      <c r="L732" s="58"/>
      <c r="M732" s="58"/>
      <c r="N732" s="58"/>
      <c r="O732" s="58"/>
      <c r="P732" s="58"/>
      <c r="Q732" s="58"/>
      <c r="R732" s="58"/>
      <c r="S732" s="58"/>
      <c r="T732" s="58"/>
      <c r="U732" s="58"/>
      <c r="V732" s="58"/>
      <c r="W732" s="58"/>
      <c r="X732" s="58"/>
      <c r="Y732" s="58"/>
      <c r="Z732" s="58"/>
    </row>
    <row r="733" ht="38.25" spans="1:26">
      <c r="A733" s="103" t="s">
        <v>221</v>
      </c>
      <c r="B733" s="104" t="s">
        <v>139</v>
      </c>
      <c r="C733" s="104" t="s">
        <v>222</v>
      </c>
      <c r="D733" s="104" t="s">
        <v>3150</v>
      </c>
      <c r="E733" s="105" t="s">
        <v>134</v>
      </c>
      <c r="F733" s="125" t="s">
        <v>7230</v>
      </c>
      <c r="G733" s="126" t="s">
        <v>8886</v>
      </c>
      <c r="H733" s="126" t="s">
        <v>8887</v>
      </c>
      <c r="I733" s="126" t="s">
        <v>8660</v>
      </c>
      <c r="J733" s="126" t="s">
        <v>8885</v>
      </c>
      <c r="K733" s="90"/>
      <c r="L733" s="58"/>
      <c r="M733" s="58"/>
      <c r="N733" s="58"/>
      <c r="O733" s="58"/>
      <c r="P733" s="58"/>
      <c r="Q733" s="58"/>
      <c r="R733" s="58"/>
      <c r="S733" s="58"/>
      <c r="T733" s="58"/>
      <c r="U733" s="58"/>
      <c r="V733" s="58"/>
      <c r="W733" s="58"/>
      <c r="X733" s="58"/>
      <c r="Y733" s="58"/>
      <c r="Z733" s="58"/>
    </row>
    <row r="734" ht="25.5" spans="1:26">
      <c r="A734" s="103" t="s">
        <v>2006</v>
      </c>
      <c r="B734" s="104" t="s">
        <v>149</v>
      </c>
      <c r="C734" s="104" t="s">
        <v>2007</v>
      </c>
      <c r="D734" s="104" t="s">
        <v>3657</v>
      </c>
      <c r="E734" s="105" t="s">
        <v>134</v>
      </c>
      <c r="F734" s="125" t="s">
        <v>6725</v>
      </c>
      <c r="G734" s="126" t="s">
        <v>8888</v>
      </c>
      <c r="H734" s="126" t="s">
        <v>8889</v>
      </c>
      <c r="I734" s="126" t="s">
        <v>8660</v>
      </c>
      <c r="J734" s="126" t="s">
        <v>8885</v>
      </c>
      <c r="K734" s="90"/>
      <c r="L734" s="58"/>
      <c r="M734" s="58"/>
      <c r="N734" s="58"/>
      <c r="O734" s="58"/>
      <c r="P734" s="58"/>
      <c r="Q734" s="58"/>
      <c r="R734" s="58"/>
      <c r="S734" s="58"/>
      <c r="T734" s="58"/>
      <c r="U734" s="58"/>
      <c r="V734" s="58"/>
      <c r="W734" s="58"/>
      <c r="X734" s="58"/>
      <c r="Y734" s="58"/>
      <c r="Z734" s="58"/>
    </row>
    <row r="735" ht="25.5" spans="1:26">
      <c r="A735" s="103" t="s">
        <v>2607</v>
      </c>
      <c r="B735" s="104" t="s">
        <v>149</v>
      </c>
      <c r="C735" s="104" t="s">
        <v>2608</v>
      </c>
      <c r="D735" s="104" t="s">
        <v>4599</v>
      </c>
      <c r="E735" s="105" t="s">
        <v>393</v>
      </c>
      <c r="F735" s="125" t="s">
        <v>8890</v>
      </c>
      <c r="G735" s="126" t="s">
        <v>8891</v>
      </c>
      <c r="H735" s="126" t="s">
        <v>8892</v>
      </c>
      <c r="I735" s="126" t="s">
        <v>8660</v>
      </c>
      <c r="J735" s="126" t="s">
        <v>8885</v>
      </c>
      <c r="K735" s="90"/>
      <c r="L735" s="58"/>
      <c r="M735" s="58"/>
      <c r="N735" s="58"/>
      <c r="O735" s="58"/>
      <c r="P735" s="58"/>
      <c r="Q735" s="58"/>
      <c r="R735" s="58"/>
      <c r="S735" s="58"/>
      <c r="T735" s="58"/>
      <c r="U735" s="58"/>
      <c r="V735" s="58"/>
      <c r="W735" s="58"/>
      <c r="X735" s="58"/>
      <c r="Y735" s="58"/>
      <c r="Z735" s="58"/>
    </row>
    <row r="736" spans="1:26">
      <c r="A736" s="103" t="s">
        <v>2565</v>
      </c>
      <c r="B736" s="104" t="s">
        <v>149</v>
      </c>
      <c r="C736" s="104" t="s">
        <v>2566</v>
      </c>
      <c r="D736" s="104" t="s">
        <v>3755</v>
      </c>
      <c r="E736" s="105" t="s">
        <v>134</v>
      </c>
      <c r="F736" s="125" t="s">
        <v>7588</v>
      </c>
      <c r="G736" s="126" t="s">
        <v>8893</v>
      </c>
      <c r="H736" s="126" t="s">
        <v>8894</v>
      </c>
      <c r="I736" s="126" t="s">
        <v>8660</v>
      </c>
      <c r="J736" s="126" t="s">
        <v>8885</v>
      </c>
      <c r="K736" s="90"/>
      <c r="L736" s="58"/>
      <c r="M736" s="58"/>
      <c r="N736" s="58"/>
      <c r="O736" s="58"/>
      <c r="P736" s="58"/>
      <c r="Q736" s="58"/>
      <c r="R736" s="58"/>
      <c r="S736" s="58"/>
      <c r="T736" s="58"/>
      <c r="U736" s="58"/>
      <c r="V736" s="58"/>
      <c r="W736" s="58"/>
      <c r="X736" s="58"/>
      <c r="Y736" s="58"/>
      <c r="Z736" s="58"/>
    </row>
    <row r="737" ht="25.5" spans="1:26">
      <c r="A737" s="103" t="s">
        <v>342</v>
      </c>
      <c r="B737" s="104" t="s">
        <v>77</v>
      </c>
      <c r="C737" s="104" t="s">
        <v>343</v>
      </c>
      <c r="D737" s="104">
        <v>4</v>
      </c>
      <c r="E737" s="105" t="s">
        <v>141</v>
      </c>
      <c r="F737" s="125" t="s">
        <v>8895</v>
      </c>
      <c r="G737" s="126" t="s">
        <v>8896</v>
      </c>
      <c r="H737" s="126" t="s">
        <v>8897</v>
      </c>
      <c r="I737" s="126" t="s">
        <v>8660</v>
      </c>
      <c r="J737" s="126" t="s">
        <v>8885</v>
      </c>
      <c r="K737" s="90"/>
      <c r="L737" s="58"/>
      <c r="M737" s="58"/>
      <c r="N737" s="58"/>
      <c r="O737" s="58"/>
      <c r="P737" s="58"/>
      <c r="Q737" s="58"/>
      <c r="R737" s="58"/>
      <c r="S737" s="58"/>
      <c r="T737" s="58"/>
      <c r="U737" s="58"/>
      <c r="V737" s="58"/>
      <c r="W737" s="58"/>
      <c r="X737" s="58"/>
      <c r="Y737" s="58"/>
      <c r="Z737" s="58"/>
    </row>
    <row r="738" ht="25.5" spans="1:26">
      <c r="A738" s="103" t="s">
        <v>1083</v>
      </c>
      <c r="B738" s="104" t="s">
        <v>77</v>
      </c>
      <c r="C738" s="104" t="s">
        <v>1084</v>
      </c>
      <c r="D738" s="104">
        <v>15</v>
      </c>
      <c r="E738" s="105" t="s">
        <v>204</v>
      </c>
      <c r="F738" s="125" t="s">
        <v>7101</v>
      </c>
      <c r="G738" s="126" t="s">
        <v>8898</v>
      </c>
      <c r="H738" s="126" t="s">
        <v>8899</v>
      </c>
      <c r="I738" s="126" t="s">
        <v>8660</v>
      </c>
      <c r="J738" s="126" t="s">
        <v>8900</v>
      </c>
      <c r="K738" s="90"/>
      <c r="L738" s="58"/>
      <c r="M738" s="58"/>
      <c r="N738" s="58"/>
      <c r="O738" s="58"/>
      <c r="P738" s="58"/>
      <c r="Q738" s="58"/>
      <c r="R738" s="58"/>
      <c r="S738" s="58"/>
      <c r="T738" s="58"/>
      <c r="U738" s="58"/>
      <c r="V738" s="58"/>
      <c r="W738" s="58"/>
      <c r="X738" s="58"/>
      <c r="Y738" s="58"/>
      <c r="Z738" s="58"/>
    </row>
    <row r="739" ht="25.5" spans="1:26">
      <c r="A739" s="103" t="s">
        <v>2553</v>
      </c>
      <c r="B739" s="104" t="s">
        <v>149</v>
      </c>
      <c r="C739" s="104" t="s">
        <v>2554</v>
      </c>
      <c r="D739" s="104" t="s">
        <v>3657</v>
      </c>
      <c r="E739" s="105" t="s">
        <v>134</v>
      </c>
      <c r="F739" s="125" t="s">
        <v>7953</v>
      </c>
      <c r="G739" s="126" t="s">
        <v>8901</v>
      </c>
      <c r="H739" s="126" t="s">
        <v>8902</v>
      </c>
      <c r="I739" s="126" t="s">
        <v>8660</v>
      </c>
      <c r="J739" s="126" t="s">
        <v>8900</v>
      </c>
      <c r="K739" s="90"/>
      <c r="L739" s="58"/>
      <c r="M739" s="58"/>
      <c r="N739" s="58"/>
      <c r="O739" s="58"/>
      <c r="P739" s="58"/>
      <c r="Q739" s="58"/>
      <c r="R739" s="58"/>
      <c r="S739" s="58"/>
      <c r="T739" s="58"/>
      <c r="U739" s="58"/>
      <c r="V739" s="58"/>
      <c r="W739" s="58"/>
      <c r="X739" s="58"/>
      <c r="Y739" s="58"/>
      <c r="Z739" s="58"/>
    </row>
    <row r="740" ht="25.5" spans="1:26">
      <c r="A740" s="103" t="s">
        <v>548</v>
      </c>
      <c r="B740" s="104" t="s">
        <v>139</v>
      </c>
      <c r="C740" s="104" t="s">
        <v>549</v>
      </c>
      <c r="D740" s="104" t="s">
        <v>3317</v>
      </c>
      <c r="E740" s="105" t="s">
        <v>393</v>
      </c>
      <c r="F740" s="125" t="s">
        <v>8903</v>
      </c>
      <c r="G740" s="126" t="s">
        <v>8904</v>
      </c>
      <c r="H740" s="126" t="s">
        <v>8905</v>
      </c>
      <c r="I740" s="126" t="s">
        <v>8660</v>
      </c>
      <c r="J740" s="126" t="s">
        <v>8900</v>
      </c>
      <c r="K740" s="90"/>
      <c r="L740" s="58"/>
      <c r="M740" s="58"/>
      <c r="N740" s="58"/>
      <c r="O740" s="58"/>
      <c r="P740" s="58"/>
      <c r="Q740" s="58"/>
      <c r="R740" s="58"/>
      <c r="S740" s="58"/>
      <c r="T740" s="58"/>
      <c r="U740" s="58"/>
      <c r="V740" s="58"/>
      <c r="W740" s="58"/>
      <c r="X740" s="58"/>
      <c r="Y740" s="58"/>
      <c r="Z740" s="58"/>
    </row>
    <row r="741" ht="38.25" spans="1:26">
      <c r="A741" s="103" t="s">
        <v>2190</v>
      </c>
      <c r="B741" s="104" t="s">
        <v>132</v>
      </c>
      <c r="C741" s="104" t="s">
        <v>2191</v>
      </c>
      <c r="D741" s="104">
        <v>70</v>
      </c>
      <c r="E741" s="105" t="s">
        <v>134</v>
      </c>
      <c r="F741" s="125" t="s">
        <v>6603</v>
      </c>
      <c r="G741" s="126" t="s">
        <v>8906</v>
      </c>
      <c r="H741" s="126" t="s">
        <v>8906</v>
      </c>
      <c r="I741" s="126" t="s">
        <v>8660</v>
      </c>
      <c r="J741" s="126" t="s">
        <v>8900</v>
      </c>
      <c r="K741" s="90"/>
      <c r="L741" s="58"/>
      <c r="M741" s="58"/>
      <c r="N741" s="58"/>
      <c r="O741" s="58"/>
      <c r="P741" s="58"/>
      <c r="Q741" s="58"/>
      <c r="R741" s="58"/>
      <c r="S741" s="58"/>
      <c r="T741" s="58"/>
      <c r="U741" s="58"/>
      <c r="V741" s="58"/>
      <c r="W741" s="58"/>
      <c r="X741" s="58"/>
      <c r="Y741" s="58"/>
      <c r="Z741" s="58"/>
    </row>
    <row r="742" ht="25.5" spans="1:26">
      <c r="A742" s="103" t="s">
        <v>2445</v>
      </c>
      <c r="B742" s="104" t="s">
        <v>132</v>
      </c>
      <c r="C742" s="104" t="s">
        <v>2446</v>
      </c>
      <c r="D742" s="104">
        <v>70</v>
      </c>
      <c r="E742" s="105" t="s">
        <v>204</v>
      </c>
      <c r="F742" s="125" t="s">
        <v>8907</v>
      </c>
      <c r="G742" s="126" t="s">
        <v>8908</v>
      </c>
      <c r="H742" s="126" t="s">
        <v>8909</v>
      </c>
      <c r="I742" s="126" t="s">
        <v>8660</v>
      </c>
      <c r="J742" s="126" t="s">
        <v>8900</v>
      </c>
      <c r="K742" s="90"/>
      <c r="L742" s="58"/>
      <c r="M742" s="58"/>
      <c r="N742" s="58"/>
      <c r="O742" s="58"/>
      <c r="P742" s="58"/>
      <c r="Q742" s="58"/>
      <c r="R742" s="58"/>
      <c r="S742" s="58"/>
      <c r="T742" s="58"/>
      <c r="U742" s="58"/>
      <c r="V742" s="58"/>
      <c r="W742" s="58"/>
      <c r="X742" s="58"/>
      <c r="Y742" s="58"/>
      <c r="Z742" s="58"/>
    </row>
    <row r="743" ht="25.5" spans="1:26">
      <c r="A743" s="103" t="s">
        <v>329</v>
      </c>
      <c r="B743" s="104" t="s">
        <v>132</v>
      </c>
      <c r="C743" s="104" t="s">
        <v>330</v>
      </c>
      <c r="D743" s="104" t="s">
        <v>3257</v>
      </c>
      <c r="E743" s="105" t="s">
        <v>134</v>
      </c>
      <c r="F743" s="125" t="s">
        <v>7101</v>
      </c>
      <c r="G743" s="126" t="s">
        <v>8910</v>
      </c>
      <c r="H743" s="126" t="s">
        <v>8911</v>
      </c>
      <c r="I743" s="126" t="s">
        <v>8660</v>
      </c>
      <c r="J743" s="126" t="s">
        <v>8900</v>
      </c>
      <c r="K743" s="90"/>
      <c r="L743" s="58"/>
      <c r="M743" s="58"/>
      <c r="N743" s="58"/>
      <c r="O743" s="58"/>
      <c r="P743" s="58"/>
      <c r="Q743" s="58"/>
      <c r="R743" s="58"/>
      <c r="S743" s="58"/>
      <c r="T743" s="58"/>
      <c r="U743" s="58"/>
      <c r="V743" s="58"/>
      <c r="W743" s="58"/>
      <c r="X743" s="58"/>
      <c r="Y743" s="58"/>
      <c r="Z743" s="58"/>
    </row>
    <row r="744" ht="25.5" spans="1:26">
      <c r="A744" s="103" t="s">
        <v>398</v>
      </c>
      <c r="B744" s="104" t="s">
        <v>139</v>
      </c>
      <c r="C744" s="104" t="s">
        <v>399</v>
      </c>
      <c r="D744" s="104" t="s">
        <v>3310</v>
      </c>
      <c r="E744" s="105" t="s">
        <v>393</v>
      </c>
      <c r="F744" s="125" t="s">
        <v>8912</v>
      </c>
      <c r="G744" s="126" t="s">
        <v>8913</v>
      </c>
      <c r="H744" s="126" t="s">
        <v>8914</v>
      </c>
      <c r="I744" s="126" t="s">
        <v>8660</v>
      </c>
      <c r="J744" s="126" t="s">
        <v>8915</v>
      </c>
      <c r="K744" s="90"/>
      <c r="L744" s="58"/>
      <c r="M744" s="58"/>
      <c r="N744" s="58"/>
      <c r="O744" s="58"/>
      <c r="P744" s="58"/>
      <c r="Q744" s="58"/>
      <c r="R744" s="58"/>
      <c r="S744" s="58"/>
      <c r="T744" s="58"/>
      <c r="U744" s="58"/>
      <c r="V744" s="58"/>
      <c r="W744" s="58"/>
      <c r="X744" s="58"/>
      <c r="Y744" s="58"/>
      <c r="Z744" s="58"/>
    </row>
    <row r="745" ht="38.25" spans="1:26">
      <c r="A745" s="103" t="s">
        <v>1623</v>
      </c>
      <c r="B745" s="104" t="s">
        <v>132</v>
      </c>
      <c r="C745" s="104" t="s">
        <v>1624</v>
      </c>
      <c r="D745" s="104" t="s">
        <v>3177</v>
      </c>
      <c r="E745" s="105" t="s">
        <v>334</v>
      </c>
      <c r="F745" s="125" t="s">
        <v>7023</v>
      </c>
      <c r="G745" s="126" t="s">
        <v>8916</v>
      </c>
      <c r="H745" s="126" t="s">
        <v>8917</v>
      </c>
      <c r="I745" s="126" t="s">
        <v>8660</v>
      </c>
      <c r="J745" s="126" t="s">
        <v>8915</v>
      </c>
      <c r="K745" s="90"/>
      <c r="L745" s="58"/>
      <c r="M745" s="58"/>
      <c r="N745" s="58"/>
      <c r="O745" s="58"/>
      <c r="P745" s="58"/>
      <c r="Q745" s="58"/>
      <c r="R745" s="58"/>
      <c r="S745" s="58"/>
      <c r="T745" s="58"/>
      <c r="U745" s="58"/>
      <c r="V745" s="58"/>
      <c r="W745" s="58"/>
      <c r="X745" s="58"/>
      <c r="Y745" s="58"/>
      <c r="Z745" s="58"/>
    </row>
    <row r="746" spans="1:26">
      <c r="A746" s="103" t="s">
        <v>2556</v>
      </c>
      <c r="B746" s="104" t="s">
        <v>149</v>
      </c>
      <c r="C746" s="104" t="s">
        <v>2557</v>
      </c>
      <c r="D746" s="104" t="s">
        <v>3755</v>
      </c>
      <c r="E746" s="105" t="s">
        <v>134</v>
      </c>
      <c r="F746" s="125" t="s">
        <v>7953</v>
      </c>
      <c r="G746" s="126" t="s">
        <v>8918</v>
      </c>
      <c r="H746" s="126" t="s">
        <v>8919</v>
      </c>
      <c r="I746" s="126" t="s">
        <v>8660</v>
      </c>
      <c r="J746" s="126" t="s">
        <v>8915</v>
      </c>
      <c r="K746" s="90"/>
      <c r="L746" s="58"/>
      <c r="M746" s="58"/>
      <c r="N746" s="58"/>
      <c r="O746" s="58"/>
      <c r="P746" s="58"/>
      <c r="Q746" s="58"/>
      <c r="R746" s="58"/>
      <c r="S746" s="58"/>
      <c r="T746" s="58"/>
      <c r="U746" s="58"/>
      <c r="V746" s="58"/>
      <c r="W746" s="58"/>
      <c r="X746" s="58"/>
      <c r="Y746" s="58"/>
      <c r="Z746" s="58"/>
    </row>
    <row r="747" ht="25.5" spans="1:26">
      <c r="A747" s="103" t="s">
        <v>95</v>
      </c>
      <c r="B747" s="104" t="s">
        <v>77</v>
      </c>
      <c r="C747" s="104" t="s">
        <v>96</v>
      </c>
      <c r="D747" s="104">
        <v>1</v>
      </c>
      <c r="E747" s="105" t="s">
        <v>141</v>
      </c>
      <c r="F747" s="125" t="s">
        <v>7814</v>
      </c>
      <c r="G747" s="126" t="s">
        <v>6738</v>
      </c>
      <c r="H747" s="126" t="s">
        <v>8920</v>
      </c>
      <c r="I747" s="126" t="s">
        <v>8660</v>
      </c>
      <c r="J747" s="126" t="s">
        <v>8915</v>
      </c>
      <c r="K747" s="90"/>
      <c r="L747" s="58"/>
      <c r="M747" s="58"/>
      <c r="N747" s="58"/>
      <c r="O747" s="58"/>
      <c r="P747" s="58"/>
      <c r="Q747" s="58"/>
      <c r="R747" s="58"/>
      <c r="S747" s="58"/>
      <c r="T747" s="58"/>
      <c r="U747" s="58"/>
      <c r="V747" s="58"/>
      <c r="W747" s="58"/>
      <c r="X747" s="58"/>
      <c r="Y747" s="58"/>
      <c r="Z747" s="58"/>
    </row>
    <row r="748" ht="25.5" spans="1:26">
      <c r="A748" s="103" t="s">
        <v>780</v>
      </c>
      <c r="B748" s="104" t="s">
        <v>139</v>
      </c>
      <c r="C748" s="104" t="s">
        <v>781</v>
      </c>
      <c r="D748" s="104" t="s">
        <v>3642</v>
      </c>
      <c r="E748" s="105" t="s">
        <v>134</v>
      </c>
      <c r="F748" s="125" t="s">
        <v>6676</v>
      </c>
      <c r="G748" s="126" t="s">
        <v>8921</v>
      </c>
      <c r="H748" s="126" t="s">
        <v>8922</v>
      </c>
      <c r="I748" s="126" t="s">
        <v>8660</v>
      </c>
      <c r="J748" s="126" t="s">
        <v>8915</v>
      </c>
      <c r="K748" s="90"/>
      <c r="L748" s="58"/>
      <c r="M748" s="58"/>
      <c r="N748" s="58"/>
      <c r="O748" s="58"/>
      <c r="P748" s="58"/>
      <c r="Q748" s="58"/>
      <c r="R748" s="58"/>
      <c r="S748" s="58"/>
      <c r="T748" s="58"/>
      <c r="U748" s="58"/>
      <c r="V748" s="58"/>
      <c r="W748" s="58"/>
      <c r="X748" s="58"/>
      <c r="Y748" s="58"/>
      <c r="Z748" s="58"/>
    </row>
    <row r="749" ht="25.5" spans="1:26">
      <c r="A749" s="103" t="s">
        <v>2613</v>
      </c>
      <c r="B749" s="104" t="s">
        <v>139</v>
      </c>
      <c r="C749" s="104" t="s">
        <v>2614</v>
      </c>
      <c r="D749" s="104" t="s">
        <v>3642</v>
      </c>
      <c r="E749" s="105" t="s">
        <v>204</v>
      </c>
      <c r="F749" s="125" t="s">
        <v>6725</v>
      </c>
      <c r="G749" s="126" t="s">
        <v>8923</v>
      </c>
      <c r="H749" s="126" t="s">
        <v>8924</v>
      </c>
      <c r="I749" s="126" t="s">
        <v>8660</v>
      </c>
      <c r="J749" s="126" t="s">
        <v>8915</v>
      </c>
      <c r="K749" s="90"/>
      <c r="L749" s="58"/>
      <c r="M749" s="58"/>
      <c r="N749" s="58"/>
      <c r="O749" s="58"/>
      <c r="P749" s="58"/>
      <c r="Q749" s="58"/>
      <c r="R749" s="58"/>
      <c r="S749" s="58"/>
      <c r="T749" s="58"/>
      <c r="U749" s="58"/>
      <c r="V749" s="58"/>
      <c r="W749" s="58"/>
      <c r="X749" s="58"/>
      <c r="Y749" s="58"/>
      <c r="Z749" s="58"/>
    </row>
    <row r="750" ht="25.5" spans="1:26">
      <c r="A750" s="103" t="s">
        <v>2409</v>
      </c>
      <c r="B750" s="104" t="s">
        <v>149</v>
      </c>
      <c r="C750" s="104" t="s">
        <v>2410</v>
      </c>
      <c r="D750" s="104" t="s">
        <v>4599</v>
      </c>
      <c r="E750" s="105" t="s">
        <v>204</v>
      </c>
      <c r="F750" s="125" t="s">
        <v>8907</v>
      </c>
      <c r="G750" s="126" t="s">
        <v>8925</v>
      </c>
      <c r="H750" s="126" t="s">
        <v>8926</v>
      </c>
      <c r="I750" s="126" t="s">
        <v>8660</v>
      </c>
      <c r="J750" s="126" t="s">
        <v>8915</v>
      </c>
      <c r="K750" s="90"/>
      <c r="L750" s="58"/>
      <c r="M750" s="58"/>
      <c r="N750" s="58"/>
      <c r="O750" s="58"/>
      <c r="P750" s="58"/>
      <c r="Q750" s="58"/>
      <c r="R750" s="58"/>
      <c r="S750" s="58"/>
      <c r="T750" s="58"/>
      <c r="U750" s="58"/>
      <c r="V750" s="58"/>
      <c r="W750" s="58"/>
      <c r="X750" s="58"/>
      <c r="Y750" s="58"/>
      <c r="Z750" s="58"/>
    </row>
    <row r="751" spans="1:26">
      <c r="A751" s="103" t="s">
        <v>2802</v>
      </c>
      <c r="B751" s="104" t="s">
        <v>149</v>
      </c>
      <c r="C751" s="104" t="s">
        <v>2803</v>
      </c>
      <c r="D751" s="104" t="s">
        <v>5240</v>
      </c>
      <c r="E751" s="105" t="s">
        <v>134</v>
      </c>
      <c r="F751" s="125" t="s">
        <v>6603</v>
      </c>
      <c r="G751" s="126" t="s">
        <v>8927</v>
      </c>
      <c r="H751" s="126" t="s">
        <v>8927</v>
      </c>
      <c r="I751" s="126" t="s">
        <v>8660</v>
      </c>
      <c r="J751" s="126" t="s">
        <v>8928</v>
      </c>
      <c r="K751" s="90"/>
      <c r="L751" s="58"/>
      <c r="M751" s="58"/>
      <c r="N751" s="58"/>
      <c r="O751" s="58"/>
      <c r="P751" s="58"/>
      <c r="Q751" s="58"/>
      <c r="R751" s="58"/>
      <c r="S751" s="58"/>
      <c r="T751" s="58"/>
      <c r="U751" s="58"/>
      <c r="V751" s="58"/>
      <c r="W751" s="58"/>
      <c r="X751" s="58"/>
      <c r="Y751" s="58"/>
      <c r="Z751" s="58"/>
    </row>
    <row r="752" ht="25.5" spans="1:26">
      <c r="A752" s="103" t="s">
        <v>2799</v>
      </c>
      <c r="B752" s="104" t="s">
        <v>132</v>
      </c>
      <c r="C752" s="104" t="s">
        <v>2800</v>
      </c>
      <c r="D752" s="104">
        <v>16</v>
      </c>
      <c r="E752" s="105" t="s">
        <v>134</v>
      </c>
      <c r="F752" s="125" t="s">
        <v>6603</v>
      </c>
      <c r="G752" s="126" t="s">
        <v>8927</v>
      </c>
      <c r="H752" s="126" t="s">
        <v>8927</v>
      </c>
      <c r="I752" s="126" t="s">
        <v>8660</v>
      </c>
      <c r="J752" s="126" t="s">
        <v>8928</v>
      </c>
      <c r="K752" s="90"/>
      <c r="L752" s="58"/>
      <c r="M752" s="58"/>
      <c r="N752" s="58"/>
      <c r="O752" s="58"/>
      <c r="P752" s="58"/>
      <c r="Q752" s="58"/>
      <c r="R752" s="58"/>
      <c r="S752" s="58"/>
      <c r="T752" s="58"/>
      <c r="U752" s="58"/>
      <c r="V752" s="58"/>
      <c r="W752" s="58"/>
      <c r="X752" s="58"/>
      <c r="Y752" s="58"/>
      <c r="Z752" s="58"/>
    </row>
    <row r="753" ht="25.5" spans="1:26">
      <c r="A753" s="103" t="s">
        <v>1716</v>
      </c>
      <c r="B753" s="104" t="s">
        <v>77</v>
      </c>
      <c r="C753" s="104" t="s">
        <v>1717</v>
      </c>
      <c r="D753" s="104">
        <v>15</v>
      </c>
      <c r="E753" s="105" t="s">
        <v>134</v>
      </c>
      <c r="F753" s="125" t="s">
        <v>6653</v>
      </c>
      <c r="G753" s="126" t="s">
        <v>8929</v>
      </c>
      <c r="H753" s="126" t="s">
        <v>8930</v>
      </c>
      <c r="I753" s="126" t="s">
        <v>8660</v>
      </c>
      <c r="J753" s="126" t="s">
        <v>8928</v>
      </c>
      <c r="K753" s="90"/>
      <c r="L753" s="58"/>
      <c r="M753" s="58"/>
      <c r="N753" s="58"/>
      <c r="O753" s="58"/>
      <c r="P753" s="58"/>
      <c r="Q753" s="58"/>
      <c r="R753" s="58"/>
      <c r="S753" s="58"/>
      <c r="T753" s="58"/>
      <c r="U753" s="58"/>
      <c r="V753" s="58"/>
      <c r="W753" s="58"/>
      <c r="X753" s="58"/>
      <c r="Y753" s="58"/>
      <c r="Z753" s="58"/>
    </row>
    <row r="754" ht="25.5" spans="1:26">
      <c r="A754" s="103" t="s">
        <v>890</v>
      </c>
      <c r="B754" s="104" t="s">
        <v>132</v>
      </c>
      <c r="C754" s="104" t="s">
        <v>891</v>
      </c>
      <c r="D754" s="104" t="s">
        <v>3129</v>
      </c>
      <c r="E754" s="105" t="s">
        <v>134</v>
      </c>
      <c r="F754" s="125" t="s">
        <v>6603</v>
      </c>
      <c r="G754" s="126" t="s">
        <v>8931</v>
      </c>
      <c r="H754" s="126" t="s">
        <v>8931</v>
      </c>
      <c r="I754" s="126" t="s">
        <v>8660</v>
      </c>
      <c r="J754" s="126" t="s">
        <v>8928</v>
      </c>
      <c r="K754" s="90"/>
      <c r="L754" s="58"/>
      <c r="M754" s="58"/>
      <c r="N754" s="58"/>
      <c r="O754" s="58"/>
      <c r="P754" s="58"/>
      <c r="Q754" s="58"/>
      <c r="R754" s="58"/>
      <c r="S754" s="58"/>
      <c r="T754" s="58"/>
      <c r="U754" s="58"/>
      <c r="V754" s="58"/>
      <c r="W754" s="58"/>
      <c r="X754" s="58"/>
      <c r="Y754" s="58"/>
      <c r="Z754" s="58"/>
    </row>
    <row r="755" ht="25.5" spans="1:26">
      <c r="A755" s="103" t="s">
        <v>783</v>
      </c>
      <c r="B755" s="104" t="s">
        <v>132</v>
      </c>
      <c r="C755" s="104" t="s">
        <v>784</v>
      </c>
      <c r="D755" s="104" t="s">
        <v>3129</v>
      </c>
      <c r="E755" s="105" t="s">
        <v>134</v>
      </c>
      <c r="F755" s="125" t="s">
        <v>6653</v>
      </c>
      <c r="G755" s="126" t="s">
        <v>8932</v>
      </c>
      <c r="H755" s="126" t="s">
        <v>8933</v>
      </c>
      <c r="I755" s="126" t="s">
        <v>8660</v>
      </c>
      <c r="J755" s="126" t="s">
        <v>8928</v>
      </c>
      <c r="K755" s="90"/>
      <c r="L755" s="58"/>
      <c r="M755" s="58"/>
      <c r="N755" s="58"/>
      <c r="O755" s="58"/>
      <c r="P755" s="58"/>
      <c r="Q755" s="58"/>
      <c r="R755" s="58"/>
      <c r="S755" s="58"/>
      <c r="T755" s="58"/>
      <c r="U755" s="58"/>
      <c r="V755" s="58"/>
      <c r="W755" s="58"/>
      <c r="X755" s="58"/>
      <c r="Y755" s="58"/>
      <c r="Z755" s="58"/>
    </row>
    <row r="756" ht="25.5" spans="1:26">
      <c r="A756" s="103" t="s">
        <v>287</v>
      </c>
      <c r="B756" s="104" t="s">
        <v>139</v>
      </c>
      <c r="C756" s="104" t="s">
        <v>288</v>
      </c>
      <c r="D756" s="104" t="s">
        <v>3248</v>
      </c>
      <c r="E756" s="105" t="s">
        <v>141</v>
      </c>
      <c r="F756" s="125" t="s">
        <v>8310</v>
      </c>
      <c r="G756" s="126" t="s">
        <v>8934</v>
      </c>
      <c r="H756" s="126" t="s">
        <v>8935</v>
      </c>
      <c r="I756" s="126" t="s">
        <v>8660</v>
      </c>
      <c r="J756" s="126" t="s">
        <v>8928</v>
      </c>
      <c r="K756" s="90"/>
      <c r="L756" s="58"/>
      <c r="M756" s="58"/>
      <c r="N756" s="58"/>
      <c r="O756" s="58"/>
      <c r="P756" s="58"/>
      <c r="Q756" s="58"/>
      <c r="R756" s="58"/>
      <c r="S756" s="58"/>
      <c r="T756" s="58"/>
      <c r="U756" s="58"/>
      <c r="V756" s="58"/>
      <c r="W756" s="58"/>
      <c r="X756" s="58"/>
      <c r="Y756" s="58"/>
      <c r="Z756" s="58"/>
    </row>
    <row r="757" ht="25.5" spans="1:26">
      <c r="A757" s="103" t="s">
        <v>2595</v>
      </c>
      <c r="B757" s="104" t="s">
        <v>139</v>
      </c>
      <c r="C757" s="104" t="s">
        <v>2596</v>
      </c>
      <c r="D757" s="104" t="s">
        <v>3129</v>
      </c>
      <c r="E757" s="105" t="s">
        <v>134</v>
      </c>
      <c r="F757" s="125" t="s">
        <v>6676</v>
      </c>
      <c r="G757" s="126" t="s">
        <v>8936</v>
      </c>
      <c r="H757" s="126" t="s">
        <v>8937</v>
      </c>
      <c r="I757" s="126" t="s">
        <v>8660</v>
      </c>
      <c r="J757" s="126" t="s">
        <v>8928</v>
      </c>
      <c r="K757" s="90"/>
      <c r="L757" s="58"/>
      <c r="M757" s="58"/>
      <c r="N757" s="58"/>
      <c r="O757" s="58"/>
      <c r="P757" s="58"/>
      <c r="Q757" s="58"/>
      <c r="R757" s="58"/>
      <c r="S757" s="58"/>
      <c r="T757" s="58"/>
      <c r="U757" s="58"/>
      <c r="V757" s="58"/>
      <c r="W757" s="58"/>
      <c r="X757" s="58"/>
      <c r="Y757" s="58"/>
      <c r="Z757" s="58"/>
    </row>
    <row r="758" ht="25.5" spans="1:26">
      <c r="A758" s="103" t="s">
        <v>2592</v>
      </c>
      <c r="B758" s="104" t="s">
        <v>139</v>
      </c>
      <c r="C758" s="104" t="s">
        <v>2593</v>
      </c>
      <c r="D758" s="104" t="s">
        <v>3129</v>
      </c>
      <c r="E758" s="105" t="s">
        <v>134</v>
      </c>
      <c r="F758" s="125" t="s">
        <v>6676</v>
      </c>
      <c r="G758" s="126" t="s">
        <v>8938</v>
      </c>
      <c r="H758" s="126" t="s">
        <v>8939</v>
      </c>
      <c r="I758" s="126" t="s">
        <v>8660</v>
      </c>
      <c r="J758" s="126" t="s">
        <v>8940</v>
      </c>
      <c r="K758" s="90"/>
      <c r="L758" s="58"/>
      <c r="M758" s="58"/>
      <c r="N758" s="58"/>
      <c r="O758" s="58"/>
      <c r="P758" s="58"/>
      <c r="Q758" s="58"/>
      <c r="R758" s="58"/>
      <c r="S758" s="58"/>
      <c r="T758" s="58"/>
      <c r="U758" s="58"/>
      <c r="V758" s="58"/>
      <c r="W758" s="58"/>
      <c r="X758" s="58"/>
      <c r="Y758" s="58"/>
      <c r="Z758" s="58"/>
    </row>
    <row r="759" spans="1:26">
      <c r="A759" s="103" t="s">
        <v>202</v>
      </c>
      <c r="B759" s="104" t="s">
        <v>77</v>
      </c>
      <c r="C759" s="104" t="s">
        <v>203</v>
      </c>
      <c r="D759" s="104">
        <v>16</v>
      </c>
      <c r="E759" s="105" t="s">
        <v>204</v>
      </c>
      <c r="F759" s="125" t="s">
        <v>6725</v>
      </c>
      <c r="G759" s="126" t="s">
        <v>8941</v>
      </c>
      <c r="H759" s="126" t="s">
        <v>8942</v>
      </c>
      <c r="I759" s="126" t="s">
        <v>8660</v>
      </c>
      <c r="J759" s="126" t="s">
        <v>8940</v>
      </c>
      <c r="K759" s="90"/>
      <c r="L759" s="58"/>
      <c r="M759" s="58"/>
      <c r="N759" s="58"/>
      <c r="O759" s="58"/>
      <c r="P759" s="58"/>
      <c r="Q759" s="58"/>
      <c r="R759" s="58"/>
      <c r="S759" s="58"/>
      <c r="T759" s="58"/>
      <c r="U759" s="58"/>
      <c r="V759" s="58"/>
      <c r="W759" s="58"/>
      <c r="X759" s="58"/>
      <c r="Y759" s="58"/>
      <c r="Z759" s="58"/>
    </row>
    <row r="760" ht="25.5" spans="1:26">
      <c r="A760" s="103" t="s">
        <v>1225</v>
      </c>
      <c r="B760" s="104" t="s">
        <v>77</v>
      </c>
      <c r="C760" s="104" t="s">
        <v>1226</v>
      </c>
      <c r="D760" s="104">
        <v>15</v>
      </c>
      <c r="E760" s="105" t="s">
        <v>134</v>
      </c>
      <c r="F760" s="125" t="s">
        <v>7588</v>
      </c>
      <c r="G760" s="126" t="s">
        <v>8943</v>
      </c>
      <c r="H760" s="126" t="s">
        <v>8944</v>
      </c>
      <c r="I760" s="126" t="s">
        <v>8660</v>
      </c>
      <c r="J760" s="126" t="s">
        <v>8940</v>
      </c>
      <c r="K760" s="90"/>
      <c r="L760" s="58"/>
      <c r="M760" s="58"/>
      <c r="N760" s="58"/>
      <c r="O760" s="58"/>
      <c r="P760" s="58"/>
      <c r="Q760" s="58"/>
      <c r="R760" s="58"/>
      <c r="S760" s="58"/>
      <c r="T760" s="58"/>
      <c r="U760" s="58"/>
      <c r="V760" s="58"/>
      <c r="W760" s="58"/>
      <c r="X760" s="58"/>
      <c r="Y760" s="58"/>
      <c r="Z760" s="58"/>
    </row>
    <row r="761" ht="38.25" spans="1:26">
      <c r="A761" s="103" t="s">
        <v>2116</v>
      </c>
      <c r="B761" s="104" t="s">
        <v>132</v>
      </c>
      <c r="C761" s="104" t="s">
        <v>2117</v>
      </c>
      <c r="D761" s="104">
        <v>18</v>
      </c>
      <c r="E761" s="105" t="s">
        <v>134</v>
      </c>
      <c r="F761" s="125" t="s">
        <v>6603</v>
      </c>
      <c r="G761" s="126" t="s">
        <v>8945</v>
      </c>
      <c r="H761" s="126" t="s">
        <v>8945</v>
      </c>
      <c r="I761" s="126" t="s">
        <v>8660</v>
      </c>
      <c r="J761" s="126" t="s">
        <v>8940</v>
      </c>
      <c r="K761" s="90"/>
      <c r="L761" s="58"/>
      <c r="M761" s="58"/>
      <c r="N761" s="58"/>
      <c r="O761" s="58"/>
      <c r="P761" s="58"/>
      <c r="Q761" s="58"/>
      <c r="R761" s="58"/>
      <c r="S761" s="58"/>
      <c r="T761" s="58"/>
      <c r="U761" s="58"/>
      <c r="V761" s="58"/>
      <c r="W761" s="58"/>
      <c r="X761" s="58"/>
      <c r="Y761" s="58"/>
      <c r="Z761" s="58"/>
    </row>
    <row r="762" ht="38.25" spans="1:26">
      <c r="A762" s="103" t="s">
        <v>230</v>
      </c>
      <c r="B762" s="104" t="s">
        <v>139</v>
      </c>
      <c r="C762" s="104" t="s">
        <v>231</v>
      </c>
      <c r="D762" s="104" t="s">
        <v>3150</v>
      </c>
      <c r="E762" s="105" t="s">
        <v>134</v>
      </c>
      <c r="F762" s="125" t="s">
        <v>7588</v>
      </c>
      <c r="G762" s="126" t="s">
        <v>8946</v>
      </c>
      <c r="H762" s="126" t="s">
        <v>8947</v>
      </c>
      <c r="I762" s="126" t="s">
        <v>8660</v>
      </c>
      <c r="J762" s="126" t="s">
        <v>8940</v>
      </c>
      <c r="K762" s="90"/>
      <c r="L762" s="58"/>
      <c r="M762" s="58"/>
      <c r="N762" s="58"/>
      <c r="O762" s="58"/>
      <c r="P762" s="58"/>
      <c r="Q762" s="58"/>
      <c r="R762" s="58"/>
      <c r="S762" s="58"/>
      <c r="T762" s="58"/>
      <c r="U762" s="58"/>
      <c r="V762" s="58"/>
      <c r="W762" s="58"/>
      <c r="X762" s="58"/>
      <c r="Y762" s="58"/>
      <c r="Z762" s="58"/>
    </row>
    <row r="763" ht="38.25" spans="1:26">
      <c r="A763" s="103" t="s">
        <v>2184</v>
      </c>
      <c r="B763" s="104" t="s">
        <v>132</v>
      </c>
      <c r="C763" s="104" t="s">
        <v>2185</v>
      </c>
      <c r="D763" s="104">
        <v>70</v>
      </c>
      <c r="E763" s="105" t="s">
        <v>134</v>
      </c>
      <c r="F763" s="125" t="s">
        <v>7953</v>
      </c>
      <c r="G763" s="126" t="s">
        <v>8948</v>
      </c>
      <c r="H763" s="126" t="s">
        <v>8949</v>
      </c>
      <c r="I763" s="126" t="s">
        <v>8660</v>
      </c>
      <c r="J763" s="126" t="s">
        <v>8940</v>
      </c>
      <c r="K763" s="90"/>
      <c r="L763" s="58"/>
      <c r="M763" s="58"/>
      <c r="N763" s="58"/>
      <c r="O763" s="58"/>
      <c r="P763" s="58"/>
      <c r="Q763" s="58"/>
      <c r="R763" s="58"/>
      <c r="S763" s="58"/>
      <c r="T763" s="58"/>
      <c r="U763" s="58"/>
      <c r="V763" s="58"/>
      <c r="W763" s="58"/>
      <c r="X763" s="58"/>
      <c r="Y763" s="58"/>
      <c r="Z763" s="58"/>
    </row>
    <row r="764" ht="25.5" spans="1:26">
      <c r="A764" s="103" t="s">
        <v>1216</v>
      </c>
      <c r="B764" s="104" t="s">
        <v>77</v>
      </c>
      <c r="C764" s="104" t="s">
        <v>1217</v>
      </c>
      <c r="D764" s="104">
        <v>15</v>
      </c>
      <c r="E764" s="105" t="s">
        <v>134</v>
      </c>
      <c r="F764" s="125" t="s">
        <v>7588</v>
      </c>
      <c r="G764" s="126" t="s">
        <v>8950</v>
      </c>
      <c r="H764" s="126" t="s">
        <v>8951</v>
      </c>
      <c r="I764" s="126" t="s">
        <v>8660</v>
      </c>
      <c r="J764" s="126" t="s">
        <v>8940</v>
      </c>
      <c r="K764" s="90"/>
      <c r="L764" s="58"/>
      <c r="M764" s="58"/>
      <c r="N764" s="58"/>
      <c r="O764" s="58"/>
      <c r="P764" s="58"/>
      <c r="Q764" s="58"/>
      <c r="R764" s="58"/>
      <c r="S764" s="58"/>
      <c r="T764" s="58"/>
      <c r="U764" s="58"/>
      <c r="V764" s="58"/>
      <c r="W764" s="58"/>
      <c r="X764" s="58"/>
      <c r="Y764" s="58"/>
      <c r="Z764" s="58"/>
    </row>
    <row r="765" ht="38.25" spans="1:26">
      <c r="A765" s="103" t="s">
        <v>245</v>
      </c>
      <c r="B765" s="104" t="s">
        <v>139</v>
      </c>
      <c r="C765" s="104" t="s">
        <v>246</v>
      </c>
      <c r="D765" s="104" t="s">
        <v>3150</v>
      </c>
      <c r="E765" s="105" t="s">
        <v>134</v>
      </c>
      <c r="F765" s="125" t="s">
        <v>6653</v>
      </c>
      <c r="G765" s="126" t="s">
        <v>8952</v>
      </c>
      <c r="H765" s="126" t="s">
        <v>8953</v>
      </c>
      <c r="I765" s="126" t="s">
        <v>8660</v>
      </c>
      <c r="J765" s="126" t="s">
        <v>8940</v>
      </c>
      <c r="K765" s="90"/>
      <c r="L765" s="58"/>
      <c r="M765" s="58"/>
      <c r="N765" s="58"/>
      <c r="O765" s="58"/>
      <c r="P765" s="58"/>
      <c r="Q765" s="58"/>
      <c r="R765" s="58"/>
      <c r="S765" s="58"/>
      <c r="T765" s="58"/>
      <c r="U765" s="58"/>
      <c r="V765" s="58"/>
      <c r="W765" s="58"/>
      <c r="X765" s="58"/>
      <c r="Y765" s="58"/>
      <c r="Z765" s="58"/>
    </row>
    <row r="766" ht="38.25" spans="1:26">
      <c r="A766" s="103" t="s">
        <v>1038</v>
      </c>
      <c r="B766" s="104" t="s">
        <v>132</v>
      </c>
      <c r="C766" s="104" t="s">
        <v>1039</v>
      </c>
      <c r="D766" s="104">
        <v>15</v>
      </c>
      <c r="E766" s="105" t="s">
        <v>134</v>
      </c>
      <c r="F766" s="125" t="s">
        <v>6676</v>
      </c>
      <c r="G766" s="126" t="s">
        <v>8954</v>
      </c>
      <c r="H766" s="126" t="s">
        <v>8955</v>
      </c>
      <c r="I766" s="126" t="s">
        <v>8660</v>
      </c>
      <c r="J766" s="126" t="s">
        <v>8956</v>
      </c>
      <c r="K766" s="90"/>
      <c r="L766" s="58"/>
      <c r="M766" s="58"/>
      <c r="N766" s="58"/>
      <c r="O766" s="58"/>
      <c r="P766" s="58"/>
      <c r="Q766" s="58"/>
      <c r="R766" s="58"/>
      <c r="S766" s="58"/>
      <c r="T766" s="58"/>
      <c r="U766" s="58"/>
      <c r="V766" s="58"/>
      <c r="W766" s="58"/>
      <c r="X766" s="58"/>
      <c r="Y766" s="58"/>
      <c r="Z766" s="58"/>
    </row>
    <row r="767" ht="51" spans="1:26">
      <c r="A767" s="103" t="s">
        <v>2816</v>
      </c>
      <c r="B767" s="104" t="s">
        <v>132</v>
      </c>
      <c r="C767" s="104" t="s">
        <v>2817</v>
      </c>
      <c r="D767" s="104">
        <v>97.02</v>
      </c>
      <c r="E767" s="105" t="s">
        <v>134</v>
      </c>
      <c r="F767" s="125" t="s">
        <v>7756</v>
      </c>
      <c r="G767" s="126" t="s">
        <v>8957</v>
      </c>
      <c r="H767" s="126" t="s">
        <v>8958</v>
      </c>
      <c r="I767" s="126" t="s">
        <v>8660</v>
      </c>
      <c r="J767" s="126" t="s">
        <v>8956</v>
      </c>
      <c r="K767" s="90"/>
      <c r="L767" s="58"/>
      <c r="M767" s="58"/>
      <c r="N767" s="58"/>
      <c r="O767" s="58"/>
      <c r="P767" s="58"/>
      <c r="Q767" s="58"/>
      <c r="R767" s="58"/>
      <c r="S767" s="58"/>
      <c r="T767" s="58"/>
      <c r="U767" s="58"/>
      <c r="V767" s="58"/>
      <c r="W767" s="58"/>
      <c r="X767" s="58"/>
      <c r="Y767" s="58"/>
      <c r="Z767" s="58"/>
    </row>
    <row r="768" ht="25.5" spans="1:26">
      <c r="A768" s="103" t="s">
        <v>1020</v>
      </c>
      <c r="B768" s="104" t="s">
        <v>132</v>
      </c>
      <c r="C768" s="104" t="s">
        <v>1021</v>
      </c>
      <c r="D768" s="104">
        <v>15</v>
      </c>
      <c r="E768" s="105" t="s">
        <v>134</v>
      </c>
      <c r="F768" s="125" t="s">
        <v>6603</v>
      </c>
      <c r="G768" s="126" t="s">
        <v>8959</v>
      </c>
      <c r="H768" s="126" t="s">
        <v>8959</v>
      </c>
      <c r="I768" s="126" t="s">
        <v>8660</v>
      </c>
      <c r="J768" s="126" t="s">
        <v>8956</v>
      </c>
      <c r="K768" s="90"/>
      <c r="L768" s="58"/>
      <c r="M768" s="58"/>
      <c r="N768" s="58"/>
      <c r="O768" s="58"/>
      <c r="P768" s="58"/>
      <c r="Q768" s="58"/>
      <c r="R768" s="58"/>
      <c r="S768" s="58"/>
      <c r="T768" s="58"/>
      <c r="U768" s="58"/>
      <c r="V768" s="58"/>
      <c r="W768" s="58"/>
      <c r="X768" s="58"/>
      <c r="Y768" s="58"/>
      <c r="Z768" s="58"/>
    </row>
    <row r="769" ht="63.75" spans="1:26">
      <c r="A769" s="103" t="s">
        <v>2825</v>
      </c>
      <c r="B769" s="104" t="s">
        <v>132</v>
      </c>
      <c r="C769" s="104" t="s">
        <v>2826</v>
      </c>
      <c r="D769" s="104">
        <v>97.02</v>
      </c>
      <c r="E769" s="105" t="s">
        <v>134</v>
      </c>
      <c r="F769" s="125" t="s">
        <v>8220</v>
      </c>
      <c r="G769" s="126" t="s">
        <v>8960</v>
      </c>
      <c r="H769" s="126" t="s">
        <v>8961</v>
      </c>
      <c r="I769" s="126" t="s">
        <v>8660</v>
      </c>
      <c r="J769" s="126" t="s">
        <v>8956</v>
      </c>
      <c r="K769" s="90"/>
      <c r="L769" s="58"/>
      <c r="M769" s="58"/>
      <c r="N769" s="58"/>
      <c r="O769" s="58"/>
      <c r="P769" s="58"/>
      <c r="Q769" s="58"/>
      <c r="R769" s="58"/>
      <c r="S769" s="58"/>
      <c r="T769" s="58"/>
      <c r="U769" s="58"/>
      <c r="V769" s="58"/>
      <c r="W769" s="58"/>
      <c r="X769" s="58"/>
      <c r="Y769" s="58"/>
      <c r="Z769" s="58"/>
    </row>
    <row r="770" ht="25.5" spans="1:26">
      <c r="A770" s="103" t="s">
        <v>1219</v>
      </c>
      <c r="B770" s="104" t="s">
        <v>77</v>
      </c>
      <c r="C770" s="104" t="s">
        <v>1220</v>
      </c>
      <c r="D770" s="104">
        <v>15</v>
      </c>
      <c r="E770" s="105" t="s">
        <v>134</v>
      </c>
      <c r="F770" s="125" t="s">
        <v>7588</v>
      </c>
      <c r="G770" s="126" t="s">
        <v>8962</v>
      </c>
      <c r="H770" s="126" t="s">
        <v>8963</v>
      </c>
      <c r="I770" s="126" t="s">
        <v>8660</v>
      </c>
      <c r="J770" s="126" t="s">
        <v>8956</v>
      </c>
      <c r="K770" s="90"/>
      <c r="L770" s="58"/>
      <c r="M770" s="58"/>
      <c r="N770" s="58"/>
      <c r="O770" s="58"/>
      <c r="P770" s="58"/>
      <c r="Q770" s="58"/>
      <c r="R770" s="58"/>
      <c r="S770" s="58"/>
      <c r="T770" s="58"/>
      <c r="U770" s="58"/>
      <c r="V770" s="58"/>
      <c r="W770" s="58"/>
      <c r="X770" s="58"/>
      <c r="Y770" s="58"/>
      <c r="Z770" s="58"/>
    </row>
    <row r="771" ht="25.5" spans="1:26">
      <c r="A771" s="103" t="s">
        <v>1095</v>
      </c>
      <c r="B771" s="104" t="s">
        <v>132</v>
      </c>
      <c r="C771" s="104" t="s">
        <v>1096</v>
      </c>
      <c r="D771" s="104">
        <v>78</v>
      </c>
      <c r="E771" s="105" t="s">
        <v>334</v>
      </c>
      <c r="F771" s="125" t="s">
        <v>6653</v>
      </c>
      <c r="G771" s="126" t="s">
        <v>8964</v>
      </c>
      <c r="H771" s="126" t="s">
        <v>8965</v>
      </c>
      <c r="I771" s="126" t="s">
        <v>8660</v>
      </c>
      <c r="J771" s="126" t="s">
        <v>8956</v>
      </c>
      <c r="K771" s="90"/>
      <c r="L771" s="58"/>
      <c r="M771" s="58"/>
      <c r="N771" s="58"/>
      <c r="O771" s="58"/>
      <c r="P771" s="58"/>
      <c r="Q771" s="58"/>
      <c r="R771" s="58"/>
      <c r="S771" s="58"/>
      <c r="T771" s="58"/>
      <c r="U771" s="58"/>
      <c r="V771" s="58"/>
      <c r="W771" s="58"/>
      <c r="X771" s="58"/>
      <c r="Y771" s="58"/>
      <c r="Z771" s="58"/>
    </row>
    <row r="772" ht="25.5" spans="1:26">
      <c r="A772" s="103" t="s">
        <v>1053</v>
      </c>
      <c r="B772" s="104" t="s">
        <v>149</v>
      </c>
      <c r="C772" s="104" t="s">
        <v>1054</v>
      </c>
      <c r="D772" s="104" t="s">
        <v>3953</v>
      </c>
      <c r="E772" s="105" t="s">
        <v>134</v>
      </c>
      <c r="F772" s="125" t="s">
        <v>6676</v>
      </c>
      <c r="G772" s="126" t="s">
        <v>8966</v>
      </c>
      <c r="H772" s="126" t="s">
        <v>8967</v>
      </c>
      <c r="I772" s="126" t="s">
        <v>8660</v>
      </c>
      <c r="J772" s="126" t="s">
        <v>8956</v>
      </c>
      <c r="K772" s="90"/>
      <c r="L772" s="58"/>
      <c r="M772" s="58"/>
      <c r="N772" s="58"/>
      <c r="O772" s="58"/>
      <c r="P772" s="58"/>
      <c r="Q772" s="58"/>
      <c r="R772" s="58"/>
      <c r="S772" s="58"/>
      <c r="T772" s="58"/>
      <c r="U772" s="58"/>
      <c r="V772" s="58"/>
      <c r="W772" s="58"/>
      <c r="X772" s="58"/>
      <c r="Y772" s="58"/>
      <c r="Z772" s="58"/>
    </row>
    <row r="773" ht="38.25" spans="1:26">
      <c r="A773" s="103" t="s">
        <v>2828</v>
      </c>
      <c r="B773" s="104" t="s">
        <v>132</v>
      </c>
      <c r="C773" s="104" t="s">
        <v>2829</v>
      </c>
      <c r="D773" s="104">
        <v>18.05</v>
      </c>
      <c r="E773" s="105" t="s">
        <v>134</v>
      </c>
      <c r="F773" s="125" t="s">
        <v>7281</v>
      </c>
      <c r="G773" s="126" t="s">
        <v>8968</v>
      </c>
      <c r="H773" s="126" t="s">
        <v>8969</v>
      </c>
      <c r="I773" s="126" t="s">
        <v>8660</v>
      </c>
      <c r="J773" s="126" t="s">
        <v>8956</v>
      </c>
      <c r="K773" s="90"/>
      <c r="L773" s="58"/>
      <c r="M773" s="58"/>
      <c r="N773" s="58"/>
      <c r="O773" s="58"/>
      <c r="P773" s="58"/>
      <c r="Q773" s="58"/>
      <c r="R773" s="58"/>
      <c r="S773" s="58"/>
      <c r="T773" s="58"/>
      <c r="U773" s="58"/>
      <c r="V773" s="58"/>
      <c r="W773" s="58"/>
      <c r="X773" s="58"/>
      <c r="Y773" s="58"/>
      <c r="Z773" s="58"/>
    </row>
    <row r="774" spans="1:26">
      <c r="A774" s="103" t="s">
        <v>326</v>
      </c>
      <c r="B774" s="104" t="s">
        <v>139</v>
      </c>
      <c r="C774" s="104" t="s">
        <v>327</v>
      </c>
      <c r="D774" s="104" t="s">
        <v>3248</v>
      </c>
      <c r="E774" s="105" t="s">
        <v>134</v>
      </c>
      <c r="F774" s="125" t="s">
        <v>7637</v>
      </c>
      <c r="G774" s="126" t="s">
        <v>8970</v>
      </c>
      <c r="H774" s="126" t="s">
        <v>8971</v>
      </c>
      <c r="I774" s="126" t="s">
        <v>8660</v>
      </c>
      <c r="J774" s="126" t="s">
        <v>8956</v>
      </c>
      <c r="K774" s="90"/>
      <c r="L774" s="58"/>
      <c r="M774" s="58"/>
      <c r="N774" s="58"/>
      <c r="O774" s="58"/>
      <c r="P774" s="58"/>
      <c r="Q774" s="58"/>
      <c r="R774" s="58"/>
      <c r="S774" s="58"/>
      <c r="T774" s="58"/>
      <c r="U774" s="58"/>
      <c r="V774" s="58"/>
      <c r="W774" s="58"/>
      <c r="X774" s="58"/>
      <c r="Y774" s="58"/>
      <c r="Z774" s="58"/>
    </row>
    <row r="775" ht="25.5" spans="1:26">
      <c r="A775" s="103" t="s">
        <v>838</v>
      </c>
      <c r="B775" s="104" t="s">
        <v>77</v>
      </c>
      <c r="C775" s="104" t="s">
        <v>839</v>
      </c>
      <c r="D775" s="104">
        <v>15</v>
      </c>
      <c r="E775" s="105" t="s">
        <v>134</v>
      </c>
      <c r="F775" s="125" t="s">
        <v>6603</v>
      </c>
      <c r="G775" s="126" t="s">
        <v>8972</v>
      </c>
      <c r="H775" s="126" t="s">
        <v>8972</v>
      </c>
      <c r="I775" s="126" t="s">
        <v>8660</v>
      </c>
      <c r="J775" s="126" t="s">
        <v>8956</v>
      </c>
      <c r="K775" s="90"/>
      <c r="L775" s="58"/>
      <c r="M775" s="58"/>
      <c r="N775" s="58"/>
      <c r="O775" s="58"/>
      <c r="P775" s="58"/>
      <c r="Q775" s="58"/>
      <c r="R775" s="58"/>
      <c r="S775" s="58"/>
      <c r="T775" s="58"/>
      <c r="U775" s="58"/>
      <c r="V775" s="58"/>
      <c r="W775" s="58"/>
      <c r="X775" s="58"/>
      <c r="Y775" s="58"/>
      <c r="Z775" s="58"/>
    </row>
    <row r="776" ht="25.5" spans="1:26">
      <c r="A776" s="103" t="s">
        <v>2589</v>
      </c>
      <c r="B776" s="104" t="s">
        <v>139</v>
      </c>
      <c r="C776" s="104" t="s">
        <v>2590</v>
      </c>
      <c r="D776" s="104" t="s">
        <v>3129</v>
      </c>
      <c r="E776" s="105" t="s">
        <v>134</v>
      </c>
      <c r="F776" s="125" t="s">
        <v>6676</v>
      </c>
      <c r="G776" s="126" t="s">
        <v>8973</v>
      </c>
      <c r="H776" s="126" t="s">
        <v>8974</v>
      </c>
      <c r="I776" s="126" t="s">
        <v>8660</v>
      </c>
      <c r="J776" s="126" t="s">
        <v>8975</v>
      </c>
      <c r="K776" s="90"/>
      <c r="L776" s="58"/>
      <c r="M776" s="58"/>
      <c r="N776" s="58"/>
      <c r="O776" s="58"/>
      <c r="P776" s="58"/>
      <c r="Q776" s="58"/>
      <c r="R776" s="58"/>
      <c r="S776" s="58"/>
      <c r="T776" s="58"/>
      <c r="U776" s="58"/>
      <c r="V776" s="58"/>
      <c r="W776" s="58"/>
      <c r="X776" s="58"/>
      <c r="Y776" s="58"/>
      <c r="Z776" s="58"/>
    </row>
    <row r="777" ht="38.25" spans="1:26">
      <c r="A777" s="103" t="s">
        <v>233</v>
      </c>
      <c r="B777" s="104" t="s">
        <v>139</v>
      </c>
      <c r="C777" s="104" t="s">
        <v>234</v>
      </c>
      <c r="D777" s="104" t="s">
        <v>3150</v>
      </c>
      <c r="E777" s="105" t="s">
        <v>134</v>
      </c>
      <c r="F777" s="125" t="s">
        <v>7073</v>
      </c>
      <c r="G777" s="126" t="s">
        <v>8976</v>
      </c>
      <c r="H777" s="126" t="s">
        <v>8977</v>
      </c>
      <c r="I777" s="126" t="s">
        <v>8660</v>
      </c>
      <c r="J777" s="126" t="s">
        <v>8975</v>
      </c>
      <c r="K777" s="90"/>
      <c r="L777" s="58"/>
      <c r="M777" s="58"/>
      <c r="N777" s="58"/>
      <c r="O777" s="58"/>
      <c r="P777" s="58"/>
      <c r="Q777" s="58"/>
      <c r="R777" s="58"/>
      <c r="S777" s="58"/>
      <c r="T777" s="58"/>
      <c r="U777" s="58"/>
      <c r="V777" s="58"/>
      <c r="W777" s="58"/>
      <c r="X777" s="58"/>
      <c r="Y777" s="58"/>
      <c r="Z777" s="58"/>
    </row>
    <row r="778" spans="1:26">
      <c r="A778" s="103" t="s">
        <v>299</v>
      </c>
      <c r="B778" s="104" t="s">
        <v>139</v>
      </c>
      <c r="C778" s="104" t="s">
        <v>300</v>
      </c>
      <c r="D778" s="104" t="s">
        <v>3055</v>
      </c>
      <c r="E778" s="105" t="s">
        <v>141</v>
      </c>
      <c r="F778" s="125" t="s">
        <v>8580</v>
      </c>
      <c r="G778" s="126" t="s">
        <v>8978</v>
      </c>
      <c r="H778" s="126" t="s">
        <v>8979</v>
      </c>
      <c r="I778" s="126" t="s">
        <v>8660</v>
      </c>
      <c r="J778" s="126" t="s">
        <v>8975</v>
      </c>
      <c r="K778" s="90"/>
      <c r="L778" s="58"/>
      <c r="M778" s="58"/>
      <c r="N778" s="58"/>
      <c r="O778" s="58"/>
      <c r="P778" s="58"/>
      <c r="Q778" s="58"/>
      <c r="R778" s="58"/>
      <c r="S778" s="58"/>
      <c r="T778" s="58"/>
      <c r="U778" s="58"/>
      <c r="V778" s="58"/>
      <c r="W778" s="58"/>
      <c r="X778" s="58"/>
      <c r="Y778" s="58"/>
      <c r="Z778" s="58"/>
    </row>
    <row r="779" ht="25.5" spans="1:26">
      <c r="A779" s="103" t="s">
        <v>1857</v>
      </c>
      <c r="B779" s="104" t="s">
        <v>139</v>
      </c>
      <c r="C779" s="104" t="s">
        <v>1858</v>
      </c>
      <c r="D779" s="104" t="s">
        <v>3928</v>
      </c>
      <c r="E779" s="105" t="s">
        <v>279</v>
      </c>
      <c r="F779" s="125" t="s">
        <v>6757</v>
      </c>
      <c r="G779" s="126" t="s">
        <v>8980</v>
      </c>
      <c r="H779" s="126" t="s">
        <v>8981</v>
      </c>
      <c r="I779" s="126" t="s">
        <v>8660</v>
      </c>
      <c r="J779" s="126" t="s">
        <v>8975</v>
      </c>
      <c r="K779" s="90"/>
      <c r="L779" s="58"/>
      <c r="M779" s="58"/>
      <c r="N779" s="58"/>
      <c r="O779" s="58"/>
      <c r="P779" s="58"/>
      <c r="Q779" s="58"/>
      <c r="R779" s="58"/>
      <c r="S779" s="58"/>
      <c r="T779" s="58"/>
      <c r="U779" s="58"/>
      <c r="V779" s="58"/>
      <c r="W779" s="58"/>
      <c r="X779" s="58"/>
      <c r="Y779" s="58"/>
      <c r="Z779" s="58"/>
    </row>
    <row r="780" ht="25.5" spans="1:26">
      <c r="A780" s="103" t="s">
        <v>2538</v>
      </c>
      <c r="B780" s="104" t="s">
        <v>139</v>
      </c>
      <c r="C780" s="104" t="s">
        <v>2539</v>
      </c>
      <c r="D780" s="104" t="s">
        <v>3129</v>
      </c>
      <c r="E780" s="105" t="s">
        <v>134</v>
      </c>
      <c r="F780" s="125" t="s">
        <v>6676</v>
      </c>
      <c r="G780" s="126" t="s">
        <v>8982</v>
      </c>
      <c r="H780" s="126" t="s">
        <v>8983</v>
      </c>
      <c r="I780" s="126" t="s">
        <v>8660</v>
      </c>
      <c r="J780" s="126" t="s">
        <v>8975</v>
      </c>
      <c r="K780" s="90"/>
      <c r="L780" s="58"/>
      <c r="M780" s="58"/>
      <c r="N780" s="58"/>
      <c r="O780" s="58"/>
      <c r="P780" s="58"/>
      <c r="Q780" s="58"/>
      <c r="R780" s="58"/>
      <c r="S780" s="58"/>
      <c r="T780" s="58"/>
      <c r="U780" s="58"/>
      <c r="V780" s="58"/>
      <c r="W780" s="58"/>
      <c r="X780" s="58"/>
      <c r="Y780" s="58"/>
      <c r="Z780" s="58"/>
    </row>
    <row r="781" ht="51" spans="1:26">
      <c r="A781" s="103" t="s">
        <v>2136</v>
      </c>
      <c r="B781" s="104" t="s">
        <v>132</v>
      </c>
      <c r="C781" s="104" t="s">
        <v>2137</v>
      </c>
      <c r="D781" s="104">
        <v>77</v>
      </c>
      <c r="E781" s="105" t="s">
        <v>134</v>
      </c>
      <c r="F781" s="125" t="s">
        <v>6603</v>
      </c>
      <c r="G781" s="126" t="s">
        <v>8984</v>
      </c>
      <c r="H781" s="126" t="s">
        <v>8984</v>
      </c>
      <c r="I781" s="126" t="s">
        <v>8660</v>
      </c>
      <c r="J781" s="126" t="s">
        <v>8975</v>
      </c>
      <c r="K781" s="90"/>
      <c r="L781" s="58"/>
      <c r="M781" s="58"/>
      <c r="N781" s="58"/>
      <c r="O781" s="58"/>
      <c r="P781" s="58"/>
      <c r="Q781" s="58"/>
      <c r="R781" s="58"/>
      <c r="S781" s="58"/>
      <c r="T781" s="58"/>
      <c r="U781" s="58"/>
      <c r="V781" s="58"/>
      <c r="W781" s="58"/>
      <c r="X781" s="58"/>
      <c r="Y781" s="58"/>
      <c r="Z781" s="58"/>
    </row>
    <row r="782" ht="51" spans="1:26">
      <c r="A782" s="103" t="s">
        <v>2129</v>
      </c>
      <c r="B782" s="104" t="s">
        <v>132</v>
      </c>
      <c r="C782" s="104" t="s">
        <v>2130</v>
      </c>
      <c r="D782" s="104">
        <v>77</v>
      </c>
      <c r="E782" s="105" t="s">
        <v>134</v>
      </c>
      <c r="F782" s="125" t="s">
        <v>6603</v>
      </c>
      <c r="G782" s="126" t="s">
        <v>8984</v>
      </c>
      <c r="H782" s="126" t="s">
        <v>8984</v>
      </c>
      <c r="I782" s="126" t="s">
        <v>8660</v>
      </c>
      <c r="J782" s="126" t="s">
        <v>8975</v>
      </c>
      <c r="K782" s="90"/>
      <c r="L782" s="58"/>
      <c r="M782" s="58"/>
      <c r="N782" s="58"/>
      <c r="O782" s="58"/>
      <c r="P782" s="58"/>
      <c r="Q782" s="58"/>
      <c r="R782" s="58"/>
      <c r="S782" s="58"/>
      <c r="T782" s="58"/>
      <c r="U782" s="58"/>
      <c r="V782" s="58"/>
      <c r="W782" s="58"/>
      <c r="X782" s="58"/>
      <c r="Y782" s="58"/>
      <c r="Z782" s="58"/>
    </row>
    <row r="783" ht="51" spans="1:26">
      <c r="A783" s="103" t="s">
        <v>2142</v>
      </c>
      <c r="B783" s="104" t="s">
        <v>132</v>
      </c>
      <c r="C783" s="104" t="s">
        <v>2143</v>
      </c>
      <c r="D783" s="104">
        <v>77</v>
      </c>
      <c r="E783" s="105" t="s">
        <v>134</v>
      </c>
      <c r="F783" s="125" t="s">
        <v>6603</v>
      </c>
      <c r="G783" s="126" t="s">
        <v>8984</v>
      </c>
      <c r="H783" s="126" t="s">
        <v>8984</v>
      </c>
      <c r="I783" s="126" t="s">
        <v>8660</v>
      </c>
      <c r="J783" s="126" t="s">
        <v>8975</v>
      </c>
      <c r="K783" s="90"/>
      <c r="L783" s="58"/>
      <c r="M783" s="58"/>
      <c r="N783" s="58"/>
      <c r="O783" s="58"/>
      <c r="P783" s="58"/>
      <c r="Q783" s="58"/>
      <c r="R783" s="58"/>
      <c r="S783" s="58"/>
      <c r="T783" s="58"/>
      <c r="U783" s="58"/>
      <c r="V783" s="58"/>
      <c r="W783" s="58"/>
      <c r="X783" s="58"/>
      <c r="Y783" s="58"/>
      <c r="Z783" s="58"/>
    </row>
    <row r="784" ht="51" spans="1:26">
      <c r="A784" s="103" t="s">
        <v>2123</v>
      </c>
      <c r="B784" s="104" t="s">
        <v>132</v>
      </c>
      <c r="C784" s="104" t="s">
        <v>2124</v>
      </c>
      <c r="D784" s="104">
        <v>77</v>
      </c>
      <c r="E784" s="105" t="s">
        <v>134</v>
      </c>
      <c r="F784" s="125" t="s">
        <v>6603</v>
      </c>
      <c r="G784" s="126" t="s">
        <v>8984</v>
      </c>
      <c r="H784" s="126" t="s">
        <v>8984</v>
      </c>
      <c r="I784" s="126" t="s">
        <v>8660</v>
      </c>
      <c r="J784" s="126" t="s">
        <v>8975</v>
      </c>
      <c r="K784" s="90"/>
      <c r="L784" s="58"/>
      <c r="M784" s="58"/>
      <c r="N784" s="58"/>
      <c r="O784" s="58"/>
      <c r="P784" s="58"/>
      <c r="Q784" s="58"/>
      <c r="R784" s="58"/>
      <c r="S784" s="58"/>
      <c r="T784" s="58"/>
      <c r="U784" s="58"/>
      <c r="V784" s="58"/>
      <c r="W784" s="58"/>
      <c r="X784" s="58"/>
      <c r="Y784" s="58"/>
      <c r="Z784" s="58"/>
    </row>
    <row r="785" ht="38.25" spans="1:26">
      <c r="A785" s="103" t="s">
        <v>1128</v>
      </c>
      <c r="B785" s="104" t="s">
        <v>132</v>
      </c>
      <c r="C785" s="104" t="s">
        <v>1129</v>
      </c>
      <c r="D785" s="104" t="s">
        <v>3177</v>
      </c>
      <c r="E785" s="105" t="s">
        <v>134</v>
      </c>
      <c r="F785" s="125" t="s">
        <v>7972</v>
      </c>
      <c r="G785" s="126" t="s">
        <v>8985</v>
      </c>
      <c r="H785" s="126" t="s">
        <v>8986</v>
      </c>
      <c r="I785" s="126" t="s">
        <v>8660</v>
      </c>
      <c r="J785" s="126" t="s">
        <v>8975</v>
      </c>
      <c r="K785" s="90"/>
      <c r="L785" s="58"/>
      <c r="M785" s="58"/>
      <c r="N785" s="58"/>
      <c r="O785" s="58"/>
      <c r="P785" s="58"/>
      <c r="Q785" s="58"/>
      <c r="R785" s="58"/>
      <c r="S785" s="58"/>
      <c r="T785" s="58"/>
      <c r="U785" s="58"/>
      <c r="V785" s="58"/>
      <c r="W785" s="58"/>
      <c r="X785" s="58"/>
      <c r="Y785" s="58"/>
      <c r="Z785" s="58"/>
    </row>
    <row r="786" ht="25.5" spans="1:26">
      <c r="A786" s="103" t="s">
        <v>1805</v>
      </c>
      <c r="B786" s="104" t="s">
        <v>139</v>
      </c>
      <c r="C786" s="104" t="s">
        <v>1806</v>
      </c>
      <c r="D786" s="104" t="s">
        <v>3235</v>
      </c>
      <c r="E786" s="105" t="s">
        <v>134</v>
      </c>
      <c r="F786" s="125" t="s">
        <v>7101</v>
      </c>
      <c r="G786" s="126" t="s">
        <v>8987</v>
      </c>
      <c r="H786" s="126" t="s">
        <v>8988</v>
      </c>
      <c r="I786" s="126" t="s">
        <v>8660</v>
      </c>
      <c r="J786" s="126" t="s">
        <v>8975</v>
      </c>
      <c r="K786" s="90"/>
      <c r="L786" s="58"/>
      <c r="M786" s="58"/>
      <c r="N786" s="58"/>
      <c r="O786" s="58"/>
      <c r="P786" s="58"/>
      <c r="Q786" s="58"/>
      <c r="R786" s="58"/>
      <c r="S786" s="58"/>
      <c r="T786" s="58"/>
      <c r="U786" s="58"/>
      <c r="V786" s="58"/>
      <c r="W786" s="58"/>
      <c r="X786" s="58"/>
      <c r="Y786" s="58"/>
      <c r="Z786" s="58"/>
    </row>
    <row r="787" ht="25.5" spans="1:26">
      <c r="A787" s="103" t="s">
        <v>786</v>
      </c>
      <c r="B787" s="104" t="s">
        <v>149</v>
      </c>
      <c r="C787" s="104" t="s">
        <v>787</v>
      </c>
      <c r="D787" s="104" t="s">
        <v>3657</v>
      </c>
      <c r="E787" s="105" t="s">
        <v>134</v>
      </c>
      <c r="F787" s="125" t="s">
        <v>6653</v>
      </c>
      <c r="G787" s="126" t="s">
        <v>8989</v>
      </c>
      <c r="H787" s="126" t="s">
        <v>8990</v>
      </c>
      <c r="I787" s="126" t="s">
        <v>8660</v>
      </c>
      <c r="J787" s="126" t="s">
        <v>8991</v>
      </c>
      <c r="K787" s="90"/>
      <c r="L787" s="58"/>
      <c r="M787" s="58"/>
      <c r="N787" s="58"/>
      <c r="O787" s="58"/>
      <c r="P787" s="58"/>
      <c r="Q787" s="58"/>
      <c r="R787" s="58"/>
      <c r="S787" s="58"/>
      <c r="T787" s="58"/>
      <c r="U787" s="58"/>
      <c r="V787" s="58"/>
      <c r="W787" s="58"/>
      <c r="X787" s="58"/>
      <c r="Y787" s="58"/>
      <c r="Z787" s="58"/>
    </row>
    <row r="788" spans="1:26">
      <c r="A788" s="103" t="s">
        <v>2568</v>
      </c>
      <c r="B788" s="104" t="s">
        <v>149</v>
      </c>
      <c r="C788" s="104" t="s">
        <v>2569</v>
      </c>
      <c r="D788" s="104" t="s">
        <v>3755</v>
      </c>
      <c r="E788" s="105" t="s">
        <v>134</v>
      </c>
      <c r="F788" s="125" t="s">
        <v>6676</v>
      </c>
      <c r="G788" s="126" t="s">
        <v>8992</v>
      </c>
      <c r="H788" s="126" t="s">
        <v>8993</v>
      </c>
      <c r="I788" s="126" t="s">
        <v>8660</v>
      </c>
      <c r="J788" s="126" t="s">
        <v>8991</v>
      </c>
      <c r="K788" s="90"/>
      <c r="L788" s="58"/>
      <c r="M788" s="58"/>
      <c r="N788" s="58"/>
      <c r="O788" s="58"/>
      <c r="P788" s="58"/>
      <c r="Q788" s="58"/>
      <c r="R788" s="58"/>
      <c r="S788" s="58"/>
      <c r="T788" s="58"/>
      <c r="U788" s="58"/>
      <c r="V788" s="58"/>
      <c r="W788" s="58"/>
      <c r="X788" s="58"/>
      <c r="Y788" s="58"/>
      <c r="Z788" s="58"/>
    </row>
    <row r="789" ht="25.5" spans="1:26">
      <c r="A789" s="103" t="s">
        <v>2027</v>
      </c>
      <c r="B789" s="104" t="s">
        <v>132</v>
      </c>
      <c r="C789" s="104" t="s">
        <v>2028</v>
      </c>
      <c r="D789" s="104">
        <v>61</v>
      </c>
      <c r="E789" s="105" t="s">
        <v>134</v>
      </c>
      <c r="F789" s="125" t="s">
        <v>6603</v>
      </c>
      <c r="G789" s="126" t="s">
        <v>8994</v>
      </c>
      <c r="H789" s="126" t="s">
        <v>8994</v>
      </c>
      <c r="I789" s="126" t="s">
        <v>8660</v>
      </c>
      <c r="J789" s="126" t="s">
        <v>8991</v>
      </c>
      <c r="K789" s="90"/>
      <c r="L789" s="58"/>
      <c r="M789" s="58"/>
      <c r="N789" s="58"/>
      <c r="O789" s="58"/>
      <c r="P789" s="58"/>
      <c r="Q789" s="58"/>
      <c r="R789" s="58"/>
      <c r="S789" s="58"/>
      <c r="T789" s="58"/>
      <c r="U789" s="58"/>
      <c r="V789" s="58"/>
      <c r="W789" s="58"/>
      <c r="X789" s="58"/>
      <c r="Y789" s="58"/>
      <c r="Z789" s="58"/>
    </row>
    <row r="790" ht="25.5" spans="1:26">
      <c r="A790" s="103" t="s">
        <v>2586</v>
      </c>
      <c r="B790" s="104" t="s">
        <v>139</v>
      </c>
      <c r="C790" s="104" t="s">
        <v>2587</v>
      </c>
      <c r="D790" s="104" t="s">
        <v>3129</v>
      </c>
      <c r="E790" s="105" t="s">
        <v>134</v>
      </c>
      <c r="F790" s="125" t="s">
        <v>6676</v>
      </c>
      <c r="G790" s="126" t="s">
        <v>8995</v>
      </c>
      <c r="H790" s="126" t="s">
        <v>8996</v>
      </c>
      <c r="I790" s="126" t="s">
        <v>8660</v>
      </c>
      <c r="J790" s="126" t="s">
        <v>8991</v>
      </c>
      <c r="K790" s="90"/>
      <c r="L790" s="58"/>
      <c r="M790" s="58"/>
      <c r="N790" s="58"/>
      <c r="O790" s="58"/>
      <c r="P790" s="58"/>
      <c r="Q790" s="58"/>
      <c r="R790" s="58"/>
      <c r="S790" s="58"/>
      <c r="T790" s="58"/>
      <c r="U790" s="58"/>
      <c r="V790" s="58"/>
      <c r="W790" s="58"/>
      <c r="X790" s="58"/>
      <c r="Y790" s="58"/>
      <c r="Z790" s="58"/>
    </row>
    <row r="791" ht="25.5" spans="1:26">
      <c r="A791" s="103" t="s">
        <v>1026</v>
      </c>
      <c r="B791" s="104" t="s">
        <v>132</v>
      </c>
      <c r="C791" s="104" t="s">
        <v>1027</v>
      </c>
      <c r="D791" s="104">
        <v>15</v>
      </c>
      <c r="E791" s="105" t="s">
        <v>134</v>
      </c>
      <c r="F791" s="125" t="s">
        <v>7588</v>
      </c>
      <c r="G791" s="126" t="s">
        <v>8997</v>
      </c>
      <c r="H791" s="126" t="s">
        <v>8998</v>
      </c>
      <c r="I791" s="126" t="s">
        <v>8660</v>
      </c>
      <c r="J791" s="126" t="s">
        <v>8991</v>
      </c>
      <c r="K791" s="90"/>
      <c r="L791" s="58"/>
      <c r="M791" s="58"/>
      <c r="N791" s="58"/>
      <c r="O791" s="58"/>
      <c r="P791" s="58"/>
      <c r="Q791" s="58"/>
      <c r="R791" s="58"/>
      <c r="S791" s="58"/>
      <c r="T791" s="58"/>
      <c r="U791" s="58"/>
      <c r="V791" s="58"/>
      <c r="W791" s="58"/>
      <c r="X791" s="58"/>
      <c r="Y791" s="58"/>
      <c r="Z791" s="58"/>
    </row>
    <row r="792" ht="38.25" spans="1:26">
      <c r="A792" s="103" t="s">
        <v>236</v>
      </c>
      <c r="B792" s="104" t="s">
        <v>139</v>
      </c>
      <c r="C792" s="104" t="s">
        <v>237</v>
      </c>
      <c r="D792" s="104" t="s">
        <v>3150</v>
      </c>
      <c r="E792" s="105" t="s">
        <v>134</v>
      </c>
      <c r="F792" s="125" t="s">
        <v>6725</v>
      </c>
      <c r="G792" s="126" t="s">
        <v>8999</v>
      </c>
      <c r="H792" s="126" t="s">
        <v>9000</v>
      </c>
      <c r="I792" s="126" t="s">
        <v>8660</v>
      </c>
      <c r="J792" s="126" t="s">
        <v>8991</v>
      </c>
      <c r="K792" s="90"/>
      <c r="L792" s="58"/>
      <c r="M792" s="58"/>
      <c r="N792" s="58"/>
      <c r="O792" s="58"/>
      <c r="P792" s="58"/>
      <c r="Q792" s="58"/>
      <c r="R792" s="58"/>
      <c r="S792" s="58"/>
      <c r="T792" s="58"/>
      <c r="U792" s="58"/>
      <c r="V792" s="58"/>
      <c r="W792" s="58"/>
      <c r="X792" s="58"/>
      <c r="Y792" s="58"/>
      <c r="Z792" s="58"/>
    </row>
    <row r="793" ht="25.5" spans="1:26">
      <c r="A793" s="103" t="s">
        <v>2843</v>
      </c>
      <c r="B793" s="104" t="s">
        <v>132</v>
      </c>
      <c r="C793" s="104" t="s">
        <v>2844</v>
      </c>
      <c r="D793" s="104">
        <v>200</v>
      </c>
      <c r="E793" s="105" t="s">
        <v>134</v>
      </c>
      <c r="F793" s="125" t="s">
        <v>6676</v>
      </c>
      <c r="G793" s="126" t="s">
        <v>6966</v>
      </c>
      <c r="H793" s="126" t="s">
        <v>9001</v>
      </c>
      <c r="I793" s="126" t="s">
        <v>8660</v>
      </c>
      <c r="J793" s="126" t="s">
        <v>8991</v>
      </c>
      <c r="K793" s="90"/>
      <c r="L793" s="58"/>
      <c r="M793" s="58"/>
      <c r="N793" s="58"/>
      <c r="O793" s="58"/>
      <c r="P793" s="58"/>
      <c r="Q793" s="58"/>
      <c r="R793" s="58"/>
      <c r="S793" s="58"/>
      <c r="T793" s="58"/>
      <c r="U793" s="58"/>
      <c r="V793" s="58"/>
      <c r="W793" s="58"/>
      <c r="X793" s="58"/>
      <c r="Y793" s="58"/>
      <c r="Z793" s="58"/>
    </row>
    <row r="794" ht="25.5" spans="1:26">
      <c r="A794" s="103" t="s">
        <v>2012</v>
      </c>
      <c r="B794" s="104" t="s">
        <v>132</v>
      </c>
      <c r="C794" s="104" t="s">
        <v>2013</v>
      </c>
      <c r="D794" s="104">
        <v>55</v>
      </c>
      <c r="E794" s="105" t="s">
        <v>134</v>
      </c>
      <c r="F794" s="125" t="s">
        <v>6653</v>
      </c>
      <c r="G794" s="126" t="s">
        <v>9002</v>
      </c>
      <c r="H794" s="126" t="s">
        <v>9003</v>
      </c>
      <c r="I794" s="126" t="s">
        <v>8660</v>
      </c>
      <c r="J794" s="126" t="s">
        <v>8991</v>
      </c>
      <c r="K794" s="90"/>
      <c r="L794" s="58"/>
      <c r="M794" s="58"/>
      <c r="N794" s="58"/>
      <c r="O794" s="58"/>
      <c r="P794" s="58"/>
      <c r="Q794" s="58"/>
      <c r="R794" s="58"/>
      <c r="S794" s="58"/>
      <c r="T794" s="58"/>
      <c r="U794" s="58"/>
      <c r="V794" s="58"/>
      <c r="W794" s="58"/>
      <c r="X794" s="58"/>
      <c r="Y794" s="58"/>
      <c r="Z794" s="58"/>
    </row>
    <row r="795" spans="1:26">
      <c r="A795" s="103" t="s">
        <v>1729</v>
      </c>
      <c r="B795" s="104" t="s">
        <v>77</v>
      </c>
      <c r="C795" s="104" t="s">
        <v>1730</v>
      </c>
      <c r="D795" s="104">
        <v>15</v>
      </c>
      <c r="E795" s="105" t="s">
        <v>134</v>
      </c>
      <c r="F795" s="125" t="s">
        <v>6676</v>
      </c>
      <c r="G795" s="126" t="s">
        <v>9004</v>
      </c>
      <c r="H795" s="126" t="s">
        <v>9005</v>
      </c>
      <c r="I795" s="126" t="s">
        <v>8660</v>
      </c>
      <c r="J795" s="126" t="s">
        <v>8991</v>
      </c>
      <c r="K795" s="90"/>
      <c r="L795" s="58"/>
      <c r="M795" s="58"/>
      <c r="N795" s="58"/>
      <c r="O795" s="58"/>
      <c r="P795" s="58"/>
      <c r="Q795" s="58"/>
      <c r="R795" s="58"/>
      <c r="S795" s="58"/>
      <c r="T795" s="58"/>
      <c r="U795" s="58"/>
      <c r="V795" s="58"/>
      <c r="W795" s="58"/>
      <c r="X795" s="58"/>
      <c r="Y795" s="58"/>
      <c r="Z795" s="58"/>
    </row>
    <row r="796" ht="25.5" spans="1:26">
      <c r="A796" s="103" t="s">
        <v>2535</v>
      </c>
      <c r="B796" s="104" t="s">
        <v>139</v>
      </c>
      <c r="C796" s="104" t="s">
        <v>2536</v>
      </c>
      <c r="D796" s="104" t="s">
        <v>3129</v>
      </c>
      <c r="E796" s="105" t="s">
        <v>134</v>
      </c>
      <c r="F796" s="125" t="s">
        <v>6676</v>
      </c>
      <c r="G796" s="126" t="s">
        <v>9006</v>
      </c>
      <c r="H796" s="126" t="s">
        <v>9007</v>
      </c>
      <c r="I796" s="126" t="s">
        <v>8660</v>
      </c>
      <c r="J796" s="126" t="s">
        <v>8991</v>
      </c>
      <c r="K796" s="90"/>
      <c r="L796" s="58"/>
      <c r="M796" s="58"/>
      <c r="N796" s="58"/>
      <c r="O796" s="58"/>
      <c r="P796" s="58"/>
      <c r="Q796" s="58"/>
      <c r="R796" s="58"/>
      <c r="S796" s="58"/>
      <c r="T796" s="58"/>
      <c r="U796" s="58"/>
      <c r="V796" s="58"/>
      <c r="W796" s="58"/>
      <c r="X796" s="58"/>
      <c r="Y796" s="58"/>
      <c r="Z796" s="58"/>
    </row>
    <row r="797" ht="25.5" spans="1:26">
      <c r="A797" s="103" t="s">
        <v>1732</v>
      </c>
      <c r="B797" s="104" t="s">
        <v>77</v>
      </c>
      <c r="C797" s="104" t="s">
        <v>1733</v>
      </c>
      <c r="D797" s="104">
        <v>15</v>
      </c>
      <c r="E797" s="105" t="s">
        <v>134</v>
      </c>
      <c r="F797" s="125" t="s">
        <v>6676</v>
      </c>
      <c r="G797" s="126" t="s">
        <v>9008</v>
      </c>
      <c r="H797" s="126" t="s">
        <v>9009</v>
      </c>
      <c r="I797" s="126" t="s">
        <v>8660</v>
      </c>
      <c r="J797" s="126" t="s">
        <v>8991</v>
      </c>
      <c r="K797" s="90"/>
      <c r="L797" s="58"/>
      <c r="M797" s="58"/>
      <c r="N797" s="58"/>
      <c r="O797" s="58"/>
      <c r="P797" s="58"/>
      <c r="Q797" s="58"/>
      <c r="R797" s="58"/>
      <c r="S797" s="58"/>
      <c r="T797" s="58"/>
      <c r="U797" s="58"/>
      <c r="V797" s="58"/>
      <c r="W797" s="58"/>
      <c r="X797" s="58"/>
      <c r="Y797" s="58"/>
      <c r="Z797" s="58"/>
    </row>
    <row r="798" ht="25.5" spans="1:26">
      <c r="A798" s="103" t="s">
        <v>1707</v>
      </c>
      <c r="B798" s="104" t="s">
        <v>77</v>
      </c>
      <c r="C798" s="104" t="s">
        <v>1708</v>
      </c>
      <c r="D798" s="104">
        <v>15</v>
      </c>
      <c r="E798" s="105" t="s">
        <v>134</v>
      </c>
      <c r="F798" s="125" t="s">
        <v>6676</v>
      </c>
      <c r="G798" s="126" t="s">
        <v>9010</v>
      </c>
      <c r="H798" s="126" t="s">
        <v>9011</v>
      </c>
      <c r="I798" s="126" t="s">
        <v>8660</v>
      </c>
      <c r="J798" s="126" t="s">
        <v>8991</v>
      </c>
      <c r="K798" s="90"/>
      <c r="L798" s="58"/>
      <c r="M798" s="58"/>
      <c r="N798" s="58"/>
      <c r="O798" s="58"/>
      <c r="P798" s="58"/>
      <c r="Q798" s="58"/>
      <c r="R798" s="58"/>
      <c r="S798" s="58"/>
      <c r="T798" s="58"/>
      <c r="U798" s="58"/>
      <c r="V798" s="58"/>
      <c r="W798" s="58"/>
      <c r="X798" s="58"/>
      <c r="Y798" s="58"/>
      <c r="Z798" s="58"/>
    </row>
    <row r="799" ht="38.25" spans="1:26">
      <c r="A799" s="103" t="s">
        <v>847</v>
      </c>
      <c r="B799" s="104" t="s">
        <v>139</v>
      </c>
      <c r="C799" s="104" t="s">
        <v>848</v>
      </c>
      <c r="D799" s="104" t="s">
        <v>3132</v>
      </c>
      <c r="E799" s="105" t="s">
        <v>204</v>
      </c>
      <c r="F799" s="125" t="s">
        <v>7588</v>
      </c>
      <c r="G799" s="126" t="s">
        <v>9012</v>
      </c>
      <c r="H799" s="126" t="s">
        <v>9013</v>
      </c>
      <c r="I799" s="126" t="s">
        <v>8660</v>
      </c>
      <c r="J799" s="126" t="s">
        <v>8991</v>
      </c>
      <c r="K799" s="90"/>
      <c r="L799" s="58"/>
      <c r="M799" s="58"/>
      <c r="N799" s="58"/>
      <c r="O799" s="58"/>
      <c r="P799" s="58"/>
      <c r="Q799" s="58"/>
      <c r="R799" s="58"/>
      <c r="S799" s="58"/>
      <c r="T799" s="58"/>
      <c r="U799" s="58"/>
      <c r="V799" s="58"/>
      <c r="W799" s="58"/>
      <c r="X799" s="58"/>
      <c r="Y799" s="58"/>
      <c r="Z799" s="58"/>
    </row>
    <row r="800" ht="38.25" spans="1:26">
      <c r="A800" s="103" t="s">
        <v>257</v>
      </c>
      <c r="B800" s="104" t="s">
        <v>139</v>
      </c>
      <c r="C800" s="104" t="s">
        <v>258</v>
      </c>
      <c r="D800" s="104" t="s">
        <v>3181</v>
      </c>
      <c r="E800" s="105" t="s">
        <v>134</v>
      </c>
      <c r="F800" s="125" t="s">
        <v>6725</v>
      </c>
      <c r="G800" s="126" t="s">
        <v>9014</v>
      </c>
      <c r="H800" s="126" t="s">
        <v>9015</v>
      </c>
      <c r="I800" s="126" t="s">
        <v>8660</v>
      </c>
      <c r="J800" s="126" t="s">
        <v>8991</v>
      </c>
      <c r="K800" s="90"/>
      <c r="L800" s="58"/>
      <c r="M800" s="58"/>
      <c r="N800" s="58"/>
      <c r="O800" s="58"/>
      <c r="P800" s="58"/>
      <c r="Q800" s="58"/>
      <c r="R800" s="58"/>
      <c r="S800" s="58"/>
      <c r="T800" s="58"/>
      <c r="U800" s="58"/>
      <c r="V800" s="58"/>
      <c r="W800" s="58"/>
      <c r="X800" s="58"/>
      <c r="Y800" s="58"/>
      <c r="Z800" s="58"/>
    </row>
    <row r="801" ht="25.5" spans="1:26">
      <c r="A801" s="103" t="s">
        <v>1014</v>
      </c>
      <c r="B801" s="104" t="s">
        <v>132</v>
      </c>
      <c r="C801" s="104" t="s">
        <v>1015</v>
      </c>
      <c r="D801" s="104">
        <v>15</v>
      </c>
      <c r="E801" s="105" t="s">
        <v>134</v>
      </c>
      <c r="F801" s="125" t="s">
        <v>6603</v>
      </c>
      <c r="G801" s="126" t="s">
        <v>9016</v>
      </c>
      <c r="H801" s="126" t="s">
        <v>9016</v>
      </c>
      <c r="I801" s="126" t="s">
        <v>8660</v>
      </c>
      <c r="J801" s="126" t="s">
        <v>9017</v>
      </c>
      <c r="K801" s="90"/>
      <c r="L801" s="58"/>
      <c r="M801" s="58"/>
      <c r="N801" s="58"/>
      <c r="O801" s="58"/>
      <c r="P801" s="58"/>
      <c r="Q801" s="58"/>
      <c r="R801" s="58"/>
      <c r="S801" s="58"/>
      <c r="T801" s="58"/>
      <c r="U801" s="58"/>
      <c r="V801" s="58"/>
      <c r="W801" s="58"/>
      <c r="X801" s="58"/>
      <c r="Y801" s="58"/>
      <c r="Z801" s="58"/>
    </row>
    <row r="802" ht="25.5" spans="1:26">
      <c r="A802" s="103" t="s">
        <v>2583</v>
      </c>
      <c r="B802" s="104" t="s">
        <v>139</v>
      </c>
      <c r="C802" s="104" t="s">
        <v>2584</v>
      </c>
      <c r="D802" s="104" t="s">
        <v>3129</v>
      </c>
      <c r="E802" s="105" t="s">
        <v>134</v>
      </c>
      <c r="F802" s="125" t="s">
        <v>6676</v>
      </c>
      <c r="G802" s="126" t="s">
        <v>9018</v>
      </c>
      <c r="H802" s="126" t="s">
        <v>9019</v>
      </c>
      <c r="I802" s="126" t="s">
        <v>8660</v>
      </c>
      <c r="J802" s="126" t="s">
        <v>9017</v>
      </c>
      <c r="K802" s="90"/>
      <c r="L802" s="58"/>
      <c r="M802" s="58"/>
      <c r="N802" s="58"/>
      <c r="O802" s="58"/>
      <c r="P802" s="58"/>
      <c r="Q802" s="58"/>
      <c r="R802" s="58"/>
      <c r="S802" s="58"/>
      <c r="T802" s="58"/>
      <c r="U802" s="58"/>
      <c r="V802" s="58"/>
      <c r="W802" s="58"/>
      <c r="X802" s="58"/>
      <c r="Y802" s="58"/>
      <c r="Z802" s="58"/>
    </row>
    <row r="803" ht="25.5" spans="1:26">
      <c r="A803" s="103" t="s">
        <v>311</v>
      </c>
      <c r="B803" s="104" t="s">
        <v>139</v>
      </c>
      <c r="C803" s="104" t="s">
        <v>312</v>
      </c>
      <c r="D803" s="104" t="s">
        <v>3248</v>
      </c>
      <c r="E803" s="105" t="s">
        <v>134</v>
      </c>
      <c r="F803" s="125" t="s">
        <v>9020</v>
      </c>
      <c r="G803" s="126" t="s">
        <v>9021</v>
      </c>
      <c r="H803" s="126" t="s">
        <v>9022</v>
      </c>
      <c r="I803" s="126" t="s">
        <v>8660</v>
      </c>
      <c r="J803" s="126" t="s">
        <v>9017</v>
      </c>
      <c r="K803" s="90"/>
      <c r="L803" s="58"/>
      <c r="M803" s="58"/>
      <c r="N803" s="58"/>
      <c r="O803" s="58"/>
      <c r="P803" s="58"/>
      <c r="Q803" s="58"/>
      <c r="R803" s="58"/>
      <c r="S803" s="58"/>
      <c r="T803" s="58"/>
      <c r="U803" s="58"/>
      <c r="V803" s="58"/>
      <c r="W803" s="58"/>
      <c r="X803" s="58"/>
      <c r="Y803" s="58"/>
      <c r="Z803" s="58"/>
    </row>
    <row r="804" ht="25.5" spans="1:26">
      <c r="A804" s="103" t="s">
        <v>190</v>
      </c>
      <c r="B804" s="104" t="s">
        <v>139</v>
      </c>
      <c r="C804" s="104" t="s">
        <v>191</v>
      </c>
      <c r="D804" s="104" t="s">
        <v>3076</v>
      </c>
      <c r="E804" s="105" t="s">
        <v>141</v>
      </c>
      <c r="F804" s="125" t="s">
        <v>7629</v>
      </c>
      <c r="G804" s="126" t="s">
        <v>9023</v>
      </c>
      <c r="H804" s="126" t="s">
        <v>9024</v>
      </c>
      <c r="I804" s="126" t="s">
        <v>8660</v>
      </c>
      <c r="J804" s="126" t="s">
        <v>9017</v>
      </c>
      <c r="K804" s="90"/>
      <c r="L804" s="58"/>
      <c r="M804" s="58"/>
      <c r="N804" s="58"/>
      <c r="O804" s="58"/>
      <c r="P804" s="58"/>
      <c r="Q804" s="58"/>
      <c r="R804" s="58"/>
      <c r="S804" s="58"/>
      <c r="T804" s="58"/>
      <c r="U804" s="58"/>
      <c r="V804" s="58"/>
      <c r="W804" s="58"/>
      <c r="X804" s="58"/>
      <c r="Y804" s="58"/>
      <c r="Z804" s="58"/>
    </row>
    <row r="805" ht="38.25" spans="1:26">
      <c r="A805" s="103" t="s">
        <v>1056</v>
      </c>
      <c r="B805" s="104" t="s">
        <v>132</v>
      </c>
      <c r="C805" s="104" t="s">
        <v>1057</v>
      </c>
      <c r="D805" s="104">
        <v>15</v>
      </c>
      <c r="E805" s="105" t="s">
        <v>134</v>
      </c>
      <c r="F805" s="125" t="s">
        <v>6603</v>
      </c>
      <c r="G805" s="126" t="s">
        <v>9025</v>
      </c>
      <c r="H805" s="126" t="s">
        <v>9025</v>
      </c>
      <c r="I805" s="126" t="s">
        <v>8660</v>
      </c>
      <c r="J805" s="126" t="s">
        <v>9017</v>
      </c>
      <c r="K805" s="90"/>
      <c r="L805" s="58"/>
      <c r="M805" s="58"/>
      <c r="N805" s="58"/>
      <c r="O805" s="58"/>
      <c r="P805" s="58"/>
      <c r="Q805" s="58"/>
      <c r="R805" s="58"/>
      <c r="S805" s="58"/>
      <c r="T805" s="58"/>
      <c r="U805" s="58"/>
      <c r="V805" s="58"/>
      <c r="W805" s="58"/>
      <c r="X805" s="58"/>
      <c r="Y805" s="58"/>
      <c r="Z805" s="58"/>
    </row>
    <row r="806" ht="25.5" spans="1:26">
      <c r="A806" s="103" t="s">
        <v>935</v>
      </c>
      <c r="B806" s="104" t="s">
        <v>139</v>
      </c>
      <c r="C806" s="104" t="s">
        <v>936</v>
      </c>
      <c r="D806" s="104" t="s">
        <v>3516</v>
      </c>
      <c r="E806" s="105" t="s">
        <v>134</v>
      </c>
      <c r="F806" s="125" t="s">
        <v>6603</v>
      </c>
      <c r="G806" s="126" t="s">
        <v>9026</v>
      </c>
      <c r="H806" s="126" t="s">
        <v>9026</v>
      </c>
      <c r="I806" s="126" t="s">
        <v>8660</v>
      </c>
      <c r="J806" s="126" t="s">
        <v>9017</v>
      </c>
      <c r="K806" s="90"/>
      <c r="L806" s="58"/>
      <c r="M806" s="58"/>
      <c r="N806" s="58"/>
      <c r="O806" s="58"/>
      <c r="P806" s="58"/>
      <c r="Q806" s="58"/>
      <c r="R806" s="58"/>
      <c r="S806" s="58"/>
      <c r="T806" s="58"/>
      <c r="U806" s="58"/>
      <c r="V806" s="58"/>
      <c r="W806" s="58"/>
      <c r="X806" s="58"/>
      <c r="Y806" s="58"/>
      <c r="Z806" s="58"/>
    </row>
    <row r="807" ht="38.25" spans="1:26">
      <c r="A807" s="103" t="s">
        <v>1041</v>
      </c>
      <c r="B807" s="104" t="s">
        <v>132</v>
      </c>
      <c r="C807" s="104" t="s">
        <v>1042</v>
      </c>
      <c r="D807" s="104">
        <v>15</v>
      </c>
      <c r="E807" s="105" t="s">
        <v>134</v>
      </c>
      <c r="F807" s="125" t="s">
        <v>6603</v>
      </c>
      <c r="G807" s="126" t="s">
        <v>9027</v>
      </c>
      <c r="H807" s="126" t="s">
        <v>9027</v>
      </c>
      <c r="I807" s="126" t="s">
        <v>8660</v>
      </c>
      <c r="J807" s="126" t="s">
        <v>9017</v>
      </c>
      <c r="K807" s="90"/>
      <c r="L807" s="58"/>
      <c r="M807" s="58"/>
      <c r="N807" s="58"/>
      <c r="O807" s="58"/>
      <c r="P807" s="58"/>
      <c r="Q807" s="58"/>
      <c r="R807" s="58"/>
      <c r="S807" s="58"/>
      <c r="T807" s="58"/>
      <c r="U807" s="58"/>
      <c r="V807" s="58"/>
      <c r="W807" s="58"/>
      <c r="X807" s="58"/>
      <c r="Y807" s="58"/>
      <c r="Z807" s="58"/>
    </row>
    <row r="808" ht="38.25" spans="1:26">
      <c r="A808" s="103" t="s">
        <v>2066</v>
      </c>
      <c r="B808" s="104" t="s">
        <v>132</v>
      </c>
      <c r="C808" s="104" t="s">
        <v>2067</v>
      </c>
      <c r="D808" s="104">
        <v>55</v>
      </c>
      <c r="E808" s="105" t="s">
        <v>134</v>
      </c>
      <c r="F808" s="125" t="s">
        <v>7588</v>
      </c>
      <c r="G808" s="126" t="s">
        <v>8843</v>
      </c>
      <c r="H808" s="126" t="s">
        <v>9028</v>
      </c>
      <c r="I808" s="126" t="s">
        <v>8660</v>
      </c>
      <c r="J808" s="126" t="s">
        <v>9017</v>
      </c>
      <c r="K808" s="90"/>
      <c r="L808" s="58"/>
      <c r="M808" s="58"/>
      <c r="N808" s="58"/>
      <c r="O808" s="58"/>
      <c r="P808" s="58"/>
      <c r="Q808" s="58"/>
      <c r="R808" s="58"/>
      <c r="S808" s="58"/>
      <c r="T808" s="58"/>
      <c r="U808" s="58"/>
      <c r="V808" s="58"/>
      <c r="W808" s="58"/>
      <c r="X808" s="58"/>
      <c r="Y808" s="58"/>
      <c r="Z808" s="58"/>
    </row>
    <row r="809" ht="25.5" spans="1:26">
      <c r="A809" s="103" t="s">
        <v>753</v>
      </c>
      <c r="B809" s="104" t="s">
        <v>139</v>
      </c>
      <c r="C809" s="104" t="s">
        <v>754</v>
      </c>
      <c r="D809" s="104" t="s">
        <v>3135</v>
      </c>
      <c r="E809" s="105" t="s">
        <v>134</v>
      </c>
      <c r="F809" s="125" t="s">
        <v>7101</v>
      </c>
      <c r="G809" s="126" t="s">
        <v>9029</v>
      </c>
      <c r="H809" s="126" t="s">
        <v>9030</v>
      </c>
      <c r="I809" s="126" t="s">
        <v>8660</v>
      </c>
      <c r="J809" s="126" t="s">
        <v>9017</v>
      </c>
      <c r="K809" s="90"/>
      <c r="L809" s="58"/>
      <c r="M809" s="58"/>
      <c r="N809" s="58"/>
      <c r="O809" s="58"/>
      <c r="P809" s="58"/>
      <c r="Q809" s="58"/>
      <c r="R809" s="58"/>
      <c r="S809" s="58"/>
      <c r="T809" s="58"/>
      <c r="U809" s="58"/>
      <c r="V809" s="58"/>
      <c r="W809" s="58"/>
      <c r="X809" s="58"/>
      <c r="Y809" s="58"/>
      <c r="Z809" s="58"/>
    </row>
    <row r="810" spans="1:26">
      <c r="A810" s="103" t="s">
        <v>1222</v>
      </c>
      <c r="B810" s="104" t="s">
        <v>77</v>
      </c>
      <c r="C810" s="104" t="s">
        <v>1223</v>
      </c>
      <c r="D810" s="104">
        <v>15</v>
      </c>
      <c r="E810" s="105" t="s">
        <v>134</v>
      </c>
      <c r="F810" s="125" t="s">
        <v>6676</v>
      </c>
      <c r="G810" s="126" t="s">
        <v>9031</v>
      </c>
      <c r="H810" s="126" t="s">
        <v>9032</v>
      </c>
      <c r="I810" s="126" t="s">
        <v>8660</v>
      </c>
      <c r="J810" s="126" t="s">
        <v>9017</v>
      </c>
      <c r="K810" s="90"/>
      <c r="L810" s="58"/>
      <c r="M810" s="58"/>
      <c r="N810" s="58"/>
      <c r="O810" s="58"/>
      <c r="P810" s="58"/>
      <c r="Q810" s="58"/>
      <c r="R810" s="58"/>
      <c r="S810" s="58"/>
      <c r="T810" s="58"/>
      <c r="U810" s="58"/>
      <c r="V810" s="58"/>
      <c r="W810" s="58"/>
      <c r="X810" s="58"/>
      <c r="Y810" s="58"/>
      <c r="Z810" s="58"/>
    </row>
    <row r="811" ht="25.5" spans="1:26">
      <c r="A811" s="103" t="s">
        <v>768</v>
      </c>
      <c r="B811" s="104" t="s">
        <v>139</v>
      </c>
      <c r="C811" s="104" t="s">
        <v>769</v>
      </c>
      <c r="D811" s="104" t="s">
        <v>3642</v>
      </c>
      <c r="E811" s="105" t="s">
        <v>134</v>
      </c>
      <c r="F811" s="125" t="s">
        <v>6653</v>
      </c>
      <c r="G811" s="126" t="s">
        <v>9033</v>
      </c>
      <c r="H811" s="126" t="s">
        <v>9034</v>
      </c>
      <c r="I811" s="126" t="s">
        <v>8660</v>
      </c>
      <c r="J811" s="126" t="s">
        <v>9017</v>
      </c>
      <c r="K811" s="90"/>
      <c r="L811" s="58"/>
      <c r="M811" s="58"/>
      <c r="N811" s="58"/>
      <c r="O811" s="58"/>
      <c r="P811" s="58"/>
      <c r="Q811" s="58"/>
      <c r="R811" s="58"/>
      <c r="S811" s="58"/>
      <c r="T811" s="58"/>
      <c r="U811" s="58"/>
      <c r="V811" s="58"/>
      <c r="W811" s="58"/>
      <c r="X811" s="58"/>
      <c r="Y811" s="58"/>
      <c r="Z811" s="58"/>
    </row>
    <row r="812" ht="25.5" spans="1:26">
      <c r="A812" s="103" t="s">
        <v>2015</v>
      </c>
      <c r="B812" s="104" t="s">
        <v>139</v>
      </c>
      <c r="C812" s="104" t="s">
        <v>2016</v>
      </c>
      <c r="D812" s="104" t="s">
        <v>3201</v>
      </c>
      <c r="E812" s="105" t="s">
        <v>134</v>
      </c>
      <c r="F812" s="125" t="s">
        <v>6603</v>
      </c>
      <c r="G812" s="126" t="s">
        <v>9035</v>
      </c>
      <c r="H812" s="126" t="s">
        <v>9035</v>
      </c>
      <c r="I812" s="126" t="s">
        <v>8660</v>
      </c>
      <c r="J812" s="126" t="s">
        <v>9017</v>
      </c>
      <c r="K812" s="90"/>
      <c r="L812" s="58"/>
      <c r="M812" s="58"/>
      <c r="N812" s="58"/>
      <c r="O812" s="58"/>
      <c r="P812" s="58"/>
      <c r="Q812" s="58"/>
      <c r="R812" s="58"/>
      <c r="S812" s="58"/>
      <c r="T812" s="58"/>
      <c r="U812" s="58"/>
      <c r="V812" s="58"/>
      <c r="W812" s="58"/>
      <c r="X812" s="58"/>
      <c r="Y812" s="58"/>
      <c r="Z812" s="58"/>
    </row>
    <row r="813" ht="25.5" spans="1:26">
      <c r="A813" s="103" t="s">
        <v>2433</v>
      </c>
      <c r="B813" s="104" t="s">
        <v>132</v>
      </c>
      <c r="C813" s="104" t="s">
        <v>2434</v>
      </c>
      <c r="D813" s="104">
        <v>70</v>
      </c>
      <c r="E813" s="105" t="s">
        <v>204</v>
      </c>
      <c r="F813" s="125" t="s">
        <v>7101</v>
      </c>
      <c r="G813" s="126" t="s">
        <v>8662</v>
      </c>
      <c r="H813" s="126" t="s">
        <v>7618</v>
      </c>
      <c r="I813" s="126" t="s">
        <v>8660</v>
      </c>
      <c r="J813" s="126" t="s">
        <v>9017</v>
      </c>
      <c r="K813" s="90"/>
      <c r="L813" s="58"/>
      <c r="M813" s="58"/>
      <c r="N813" s="58"/>
      <c r="O813" s="58"/>
      <c r="P813" s="58"/>
      <c r="Q813" s="58"/>
      <c r="R813" s="58"/>
      <c r="S813" s="58"/>
      <c r="T813" s="58"/>
      <c r="U813" s="58"/>
      <c r="V813" s="58"/>
      <c r="W813" s="58"/>
      <c r="X813" s="58"/>
      <c r="Y813" s="58"/>
      <c r="Z813" s="58"/>
    </row>
    <row r="814" spans="1:26">
      <c r="A814" s="103" t="s">
        <v>896</v>
      </c>
      <c r="B814" s="104" t="s">
        <v>139</v>
      </c>
      <c r="C814" s="104" t="s">
        <v>897</v>
      </c>
      <c r="D814" s="104" t="s">
        <v>3516</v>
      </c>
      <c r="E814" s="105" t="s">
        <v>134</v>
      </c>
      <c r="F814" s="125" t="s">
        <v>6676</v>
      </c>
      <c r="G814" s="126" t="s">
        <v>9036</v>
      </c>
      <c r="H814" s="126" t="s">
        <v>9037</v>
      </c>
      <c r="I814" s="126" t="s">
        <v>8660</v>
      </c>
      <c r="J814" s="126" t="s">
        <v>9017</v>
      </c>
      <c r="K814" s="90"/>
      <c r="L814" s="58"/>
      <c r="M814" s="58"/>
      <c r="N814" s="58"/>
      <c r="O814" s="58"/>
      <c r="P814" s="58"/>
      <c r="Q814" s="58"/>
      <c r="R814" s="58"/>
      <c r="S814" s="58"/>
      <c r="T814" s="58"/>
      <c r="U814" s="58"/>
      <c r="V814" s="58"/>
      <c r="W814" s="58"/>
      <c r="X814" s="58"/>
      <c r="Y814" s="58"/>
      <c r="Z814" s="58"/>
    </row>
    <row r="815" ht="25.5" spans="1:26">
      <c r="A815" s="103" t="s">
        <v>741</v>
      </c>
      <c r="B815" s="104" t="s">
        <v>139</v>
      </c>
      <c r="C815" s="104" t="s">
        <v>742</v>
      </c>
      <c r="D815" s="104" t="s">
        <v>3135</v>
      </c>
      <c r="E815" s="105" t="s">
        <v>204</v>
      </c>
      <c r="F815" s="125" t="s">
        <v>7588</v>
      </c>
      <c r="G815" s="126" t="s">
        <v>9038</v>
      </c>
      <c r="H815" s="126" t="s">
        <v>9039</v>
      </c>
      <c r="I815" s="126" t="s">
        <v>8660</v>
      </c>
      <c r="J815" s="126" t="s">
        <v>9017</v>
      </c>
      <c r="K815" s="90"/>
      <c r="L815" s="58"/>
      <c r="M815" s="58"/>
      <c r="N815" s="58"/>
      <c r="O815" s="58"/>
      <c r="P815" s="58"/>
      <c r="Q815" s="58"/>
      <c r="R815" s="58"/>
      <c r="S815" s="58"/>
      <c r="T815" s="58"/>
      <c r="U815" s="58"/>
      <c r="V815" s="58"/>
      <c r="W815" s="58"/>
      <c r="X815" s="58"/>
      <c r="Y815" s="58"/>
      <c r="Z815" s="58"/>
    </row>
    <row r="816" ht="25.5" spans="1:26">
      <c r="A816" s="103" t="s">
        <v>2033</v>
      </c>
      <c r="B816" s="104" t="s">
        <v>132</v>
      </c>
      <c r="C816" s="104" t="s">
        <v>2034</v>
      </c>
      <c r="D816" s="104" t="s">
        <v>3129</v>
      </c>
      <c r="E816" s="105" t="s">
        <v>134</v>
      </c>
      <c r="F816" s="125" t="s">
        <v>7588</v>
      </c>
      <c r="G816" s="126" t="s">
        <v>9040</v>
      </c>
      <c r="H816" s="126" t="s">
        <v>9041</v>
      </c>
      <c r="I816" s="126" t="s">
        <v>8660</v>
      </c>
      <c r="J816" s="126" t="s">
        <v>9017</v>
      </c>
      <c r="K816" s="90"/>
      <c r="L816" s="58"/>
      <c r="M816" s="58"/>
      <c r="N816" s="58"/>
      <c r="O816" s="58"/>
      <c r="P816" s="58"/>
      <c r="Q816" s="58"/>
      <c r="R816" s="58"/>
      <c r="S816" s="58"/>
      <c r="T816" s="58"/>
      <c r="U816" s="58"/>
      <c r="V816" s="58"/>
      <c r="W816" s="58"/>
      <c r="X816" s="58"/>
      <c r="Y816" s="58"/>
      <c r="Z816" s="58"/>
    </row>
    <row r="817" ht="25.5" spans="1:26">
      <c r="A817" s="103" t="s">
        <v>2036</v>
      </c>
      <c r="B817" s="104" t="s">
        <v>132</v>
      </c>
      <c r="C817" s="104" t="s">
        <v>2037</v>
      </c>
      <c r="D817" s="104">
        <v>56</v>
      </c>
      <c r="E817" s="105" t="s">
        <v>134</v>
      </c>
      <c r="F817" s="125" t="s">
        <v>7588</v>
      </c>
      <c r="G817" s="126" t="s">
        <v>9042</v>
      </c>
      <c r="H817" s="126" t="s">
        <v>7417</v>
      </c>
      <c r="I817" s="126" t="s">
        <v>8660</v>
      </c>
      <c r="J817" s="126" t="s">
        <v>9017</v>
      </c>
      <c r="K817" s="90"/>
      <c r="L817" s="58"/>
      <c r="M817" s="58"/>
      <c r="N817" s="58"/>
      <c r="O817" s="58"/>
      <c r="P817" s="58"/>
      <c r="Q817" s="58"/>
      <c r="R817" s="58"/>
      <c r="S817" s="58"/>
      <c r="T817" s="58"/>
      <c r="U817" s="58"/>
      <c r="V817" s="58"/>
      <c r="W817" s="58"/>
      <c r="X817" s="58"/>
      <c r="Y817" s="58"/>
      <c r="Z817" s="58"/>
    </row>
    <row r="818" ht="25.5" spans="1:26">
      <c r="A818" s="103" t="s">
        <v>2683</v>
      </c>
      <c r="B818" s="104" t="s">
        <v>139</v>
      </c>
      <c r="C818" s="104" t="s">
        <v>2684</v>
      </c>
      <c r="D818" s="104" t="s">
        <v>5117</v>
      </c>
      <c r="E818" s="105" t="s">
        <v>204</v>
      </c>
      <c r="F818" s="125" t="s">
        <v>9043</v>
      </c>
      <c r="G818" s="126" t="s">
        <v>9044</v>
      </c>
      <c r="H818" s="126" t="s">
        <v>9045</v>
      </c>
      <c r="I818" s="126" t="s">
        <v>8660</v>
      </c>
      <c r="J818" s="126" t="s">
        <v>9017</v>
      </c>
      <c r="K818" s="90"/>
      <c r="L818" s="58"/>
      <c r="M818" s="58"/>
      <c r="N818" s="58"/>
      <c r="O818" s="58"/>
      <c r="P818" s="58"/>
      <c r="Q818" s="58"/>
      <c r="R818" s="58"/>
      <c r="S818" s="58"/>
      <c r="T818" s="58"/>
      <c r="U818" s="58"/>
      <c r="V818" s="58"/>
      <c r="W818" s="58"/>
      <c r="X818" s="58"/>
      <c r="Y818" s="58"/>
      <c r="Z818" s="58"/>
    </row>
    <row r="819" spans="1:26">
      <c r="A819" s="103" t="s">
        <v>2512</v>
      </c>
      <c r="B819" s="104" t="s">
        <v>149</v>
      </c>
      <c r="C819" s="104" t="s">
        <v>2513</v>
      </c>
      <c r="D819" s="104" t="s">
        <v>3755</v>
      </c>
      <c r="E819" s="105" t="s">
        <v>134</v>
      </c>
      <c r="F819" s="125" t="s">
        <v>7101</v>
      </c>
      <c r="G819" s="126" t="s">
        <v>9046</v>
      </c>
      <c r="H819" s="126" t="s">
        <v>9047</v>
      </c>
      <c r="I819" s="126" t="s">
        <v>8660</v>
      </c>
      <c r="J819" s="126" t="s">
        <v>9017</v>
      </c>
      <c r="K819" s="90"/>
      <c r="L819" s="58"/>
      <c r="M819" s="58"/>
      <c r="N819" s="58"/>
      <c r="O819" s="58"/>
      <c r="P819" s="58"/>
      <c r="Q819" s="58"/>
      <c r="R819" s="58"/>
      <c r="S819" s="58"/>
      <c r="T819" s="58"/>
      <c r="U819" s="58"/>
      <c r="V819" s="58"/>
      <c r="W819" s="58"/>
      <c r="X819" s="58"/>
      <c r="Y819" s="58"/>
      <c r="Z819" s="58"/>
    </row>
    <row r="820" spans="1:26">
      <c r="A820" s="103" t="s">
        <v>808</v>
      </c>
      <c r="B820" s="104" t="s">
        <v>796</v>
      </c>
      <c r="C820" s="104" t="s">
        <v>809</v>
      </c>
      <c r="D820" s="104" t="s">
        <v>3704</v>
      </c>
      <c r="E820" s="105" t="s">
        <v>334</v>
      </c>
      <c r="F820" s="125" t="s">
        <v>6603</v>
      </c>
      <c r="G820" s="126" t="s">
        <v>9048</v>
      </c>
      <c r="H820" s="126" t="s">
        <v>9048</v>
      </c>
      <c r="I820" s="126" t="s">
        <v>8660</v>
      </c>
      <c r="J820" s="126" t="s">
        <v>9017</v>
      </c>
      <c r="K820" s="90"/>
      <c r="L820" s="58"/>
      <c r="M820" s="58"/>
      <c r="N820" s="58"/>
      <c r="O820" s="58"/>
      <c r="P820" s="58"/>
      <c r="Q820" s="58"/>
      <c r="R820" s="58"/>
      <c r="S820" s="58"/>
      <c r="T820" s="58"/>
      <c r="U820" s="58"/>
      <c r="V820" s="58"/>
      <c r="W820" s="58"/>
      <c r="X820" s="58"/>
      <c r="Y820" s="58"/>
      <c r="Z820" s="58"/>
    </row>
    <row r="821" ht="25.5" spans="1:26">
      <c r="A821" s="103" t="s">
        <v>2442</v>
      </c>
      <c r="B821" s="104" t="s">
        <v>149</v>
      </c>
      <c r="C821" s="104" t="s">
        <v>2443</v>
      </c>
      <c r="D821" s="104" t="s">
        <v>4599</v>
      </c>
      <c r="E821" s="105" t="s">
        <v>204</v>
      </c>
      <c r="F821" s="125" t="s">
        <v>9049</v>
      </c>
      <c r="G821" s="126" t="s">
        <v>9050</v>
      </c>
      <c r="H821" s="126" t="s">
        <v>9051</v>
      </c>
      <c r="I821" s="126" t="s">
        <v>8660</v>
      </c>
      <c r="J821" s="126" t="s">
        <v>9052</v>
      </c>
      <c r="K821" s="90"/>
      <c r="L821" s="58"/>
      <c r="M821" s="58"/>
      <c r="N821" s="58"/>
      <c r="O821" s="58"/>
      <c r="P821" s="58"/>
      <c r="Q821" s="58"/>
      <c r="R821" s="58"/>
      <c r="S821" s="58"/>
      <c r="T821" s="58"/>
      <c r="U821" s="58"/>
      <c r="V821" s="58"/>
      <c r="W821" s="58"/>
      <c r="X821" s="58"/>
      <c r="Y821" s="58"/>
      <c r="Z821" s="58"/>
    </row>
    <row r="822" ht="25.5" spans="1:26">
      <c r="A822" s="103" t="s">
        <v>2018</v>
      </c>
      <c r="B822" s="104" t="s">
        <v>132</v>
      </c>
      <c r="C822" s="104" t="s">
        <v>2019</v>
      </c>
      <c r="D822" s="104">
        <v>61</v>
      </c>
      <c r="E822" s="105" t="s">
        <v>134</v>
      </c>
      <c r="F822" s="125" t="s">
        <v>6676</v>
      </c>
      <c r="G822" s="126" t="s">
        <v>9053</v>
      </c>
      <c r="H822" s="126" t="s">
        <v>9054</v>
      </c>
      <c r="I822" s="126" t="s">
        <v>8660</v>
      </c>
      <c r="J822" s="126" t="s">
        <v>9052</v>
      </c>
      <c r="K822" s="90"/>
      <c r="L822" s="58"/>
      <c r="M822" s="58"/>
      <c r="N822" s="58"/>
      <c r="O822" s="58"/>
      <c r="P822" s="58"/>
      <c r="Q822" s="58"/>
      <c r="R822" s="58"/>
      <c r="S822" s="58"/>
      <c r="T822" s="58"/>
      <c r="U822" s="58"/>
      <c r="V822" s="58"/>
      <c r="W822" s="58"/>
      <c r="X822" s="58"/>
      <c r="Y822" s="58"/>
      <c r="Z822" s="58"/>
    </row>
    <row r="823" ht="25.5" spans="1:26">
      <c r="A823" s="103" t="s">
        <v>1713</v>
      </c>
      <c r="B823" s="104" t="s">
        <v>77</v>
      </c>
      <c r="C823" s="104" t="s">
        <v>1714</v>
      </c>
      <c r="D823" s="104">
        <v>15</v>
      </c>
      <c r="E823" s="105" t="s">
        <v>134</v>
      </c>
      <c r="F823" s="125" t="s">
        <v>6603</v>
      </c>
      <c r="G823" s="126" t="s">
        <v>9055</v>
      </c>
      <c r="H823" s="126" t="s">
        <v>9055</v>
      </c>
      <c r="I823" s="126" t="s">
        <v>8660</v>
      </c>
      <c r="J823" s="126" t="s">
        <v>9052</v>
      </c>
      <c r="K823" s="90"/>
      <c r="L823" s="58"/>
      <c r="M823" s="58"/>
      <c r="N823" s="58"/>
      <c r="O823" s="58"/>
      <c r="P823" s="58"/>
      <c r="Q823" s="58"/>
      <c r="R823" s="58"/>
      <c r="S823" s="58"/>
      <c r="T823" s="58"/>
      <c r="U823" s="58"/>
      <c r="V823" s="58"/>
      <c r="W823" s="58"/>
      <c r="X823" s="58"/>
      <c r="Y823" s="58"/>
      <c r="Z823" s="58"/>
    </row>
    <row r="824" spans="1:26">
      <c r="A824" s="103" t="s">
        <v>929</v>
      </c>
      <c r="B824" s="104" t="s">
        <v>149</v>
      </c>
      <c r="C824" s="104" t="s">
        <v>930</v>
      </c>
      <c r="D824" s="104" t="s">
        <v>3789</v>
      </c>
      <c r="E824" s="105" t="s">
        <v>134</v>
      </c>
      <c r="F824" s="125" t="s">
        <v>6603</v>
      </c>
      <c r="G824" s="126" t="s">
        <v>9056</v>
      </c>
      <c r="H824" s="126" t="s">
        <v>9056</v>
      </c>
      <c r="I824" s="126" t="s">
        <v>8660</v>
      </c>
      <c r="J824" s="126" t="s">
        <v>9052</v>
      </c>
      <c r="K824" s="90"/>
      <c r="L824" s="58"/>
      <c r="M824" s="58"/>
      <c r="N824" s="58"/>
      <c r="O824" s="58"/>
      <c r="P824" s="58"/>
      <c r="Q824" s="58"/>
      <c r="R824" s="58"/>
      <c r="S824" s="58"/>
      <c r="T824" s="58"/>
      <c r="U824" s="58"/>
      <c r="V824" s="58"/>
      <c r="W824" s="58"/>
      <c r="X824" s="58"/>
      <c r="Y824" s="58"/>
      <c r="Z824" s="58"/>
    </row>
    <row r="825" ht="25.5" spans="1:26">
      <c r="A825" s="103" t="s">
        <v>1047</v>
      </c>
      <c r="B825" s="104" t="s">
        <v>149</v>
      </c>
      <c r="C825" s="104" t="s">
        <v>1048</v>
      </c>
      <c r="D825" s="104" t="s">
        <v>3953</v>
      </c>
      <c r="E825" s="105" t="s">
        <v>134</v>
      </c>
      <c r="F825" s="125" t="s">
        <v>7101</v>
      </c>
      <c r="G825" s="126" t="s">
        <v>9057</v>
      </c>
      <c r="H825" s="126" t="s">
        <v>9058</v>
      </c>
      <c r="I825" s="126" t="s">
        <v>8660</v>
      </c>
      <c r="J825" s="126" t="s">
        <v>9052</v>
      </c>
      <c r="K825" s="90"/>
      <c r="L825" s="58"/>
      <c r="M825" s="58"/>
      <c r="N825" s="58"/>
      <c r="O825" s="58"/>
      <c r="P825" s="58"/>
      <c r="Q825" s="58"/>
      <c r="R825" s="58"/>
      <c r="S825" s="58"/>
      <c r="T825" s="58"/>
      <c r="U825" s="58"/>
      <c r="V825" s="58"/>
      <c r="W825" s="58"/>
      <c r="X825" s="58"/>
      <c r="Y825" s="58"/>
      <c r="Z825" s="58"/>
    </row>
    <row r="826" spans="1:26">
      <c r="A826" s="103" t="s">
        <v>317</v>
      </c>
      <c r="B826" s="104" t="s">
        <v>139</v>
      </c>
      <c r="C826" s="104" t="s">
        <v>318</v>
      </c>
      <c r="D826" s="104" t="s">
        <v>3248</v>
      </c>
      <c r="E826" s="105" t="s">
        <v>134</v>
      </c>
      <c r="F826" s="125" t="s">
        <v>6653</v>
      </c>
      <c r="G826" s="126" t="s">
        <v>9059</v>
      </c>
      <c r="H826" s="126" t="s">
        <v>9060</v>
      </c>
      <c r="I826" s="126" t="s">
        <v>8660</v>
      </c>
      <c r="J826" s="126" t="s">
        <v>9052</v>
      </c>
      <c r="K826" s="90"/>
      <c r="L826" s="58"/>
      <c r="M826" s="58"/>
      <c r="N826" s="58"/>
      <c r="O826" s="58"/>
      <c r="P826" s="58"/>
      <c r="Q826" s="58"/>
      <c r="R826" s="58"/>
      <c r="S826" s="58"/>
      <c r="T826" s="58"/>
      <c r="U826" s="58"/>
      <c r="V826" s="58"/>
      <c r="W826" s="58"/>
      <c r="X826" s="58"/>
      <c r="Y826" s="58"/>
      <c r="Z826" s="58"/>
    </row>
    <row r="827" ht="38.25" spans="1:26">
      <c r="A827" s="103" t="s">
        <v>2060</v>
      </c>
      <c r="B827" s="104" t="s">
        <v>132</v>
      </c>
      <c r="C827" s="104" t="s">
        <v>2061</v>
      </c>
      <c r="D827" s="104">
        <v>5</v>
      </c>
      <c r="E827" s="105" t="s">
        <v>134</v>
      </c>
      <c r="F827" s="125" t="s">
        <v>6676</v>
      </c>
      <c r="G827" s="126" t="s">
        <v>9061</v>
      </c>
      <c r="H827" s="126" t="s">
        <v>9062</v>
      </c>
      <c r="I827" s="126" t="s">
        <v>8660</v>
      </c>
      <c r="J827" s="126" t="s">
        <v>9052</v>
      </c>
      <c r="K827" s="90"/>
      <c r="L827" s="58"/>
      <c r="M827" s="58"/>
      <c r="N827" s="58"/>
      <c r="O827" s="58"/>
      <c r="P827" s="58"/>
      <c r="Q827" s="58"/>
      <c r="R827" s="58"/>
      <c r="S827" s="58"/>
      <c r="T827" s="58"/>
      <c r="U827" s="58"/>
      <c r="V827" s="58"/>
      <c r="W827" s="58"/>
      <c r="X827" s="58"/>
      <c r="Y827" s="58"/>
      <c r="Z827" s="58"/>
    </row>
    <row r="828" spans="1:26">
      <c r="A828" s="103" t="s">
        <v>355</v>
      </c>
      <c r="B828" s="104" t="s">
        <v>77</v>
      </c>
      <c r="C828" s="104" t="s">
        <v>356</v>
      </c>
      <c r="D828" s="104">
        <v>5</v>
      </c>
      <c r="E828" s="105" t="s">
        <v>141</v>
      </c>
      <c r="F828" s="125" t="s">
        <v>7553</v>
      </c>
      <c r="G828" s="126" t="s">
        <v>6723</v>
      </c>
      <c r="H828" s="126" t="s">
        <v>9063</v>
      </c>
      <c r="I828" s="126" t="s">
        <v>8660</v>
      </c>
      <c r="J828" s="126" t="s">
        <v>9052</v>
      </c>
      <c r="K828" s="90"/>
      <c r="L828" s="58"/>
      <c r="M828" s="58"/>
      <c r="N828" s="58"/>
      <c r="O828" s="58"/>
      <c r="P828" s="58"/>
      <c r="Q828" s="58"/>
      <c r="R828" s="58"/>
      <c r="S828" s="58"/>
      <c r="T828" s="58"/>
      <c r="U828" s="58"/>
      <c r="V828" s="58"/>
      <c r="W828" s="58"/>
      <c r="X828" s="58"/>
      <c r="Y828" s="58"/>
      <c r="Z828" s="58"/>
    </row>
    <row r="829" ht="25.5" spans="1:26">
      <c r="A829" s="103" t="s">
        <v>2030</v>
      </c>
      <c r="B829" s="104" t="s">
        <v>139</v>
      </c>
      <c r="C829" s="104" t="s">
        <v>2031</v>
      </c>
      <c r="D829" s="104" t="s">
        <v>3642</v>
      </c>
      <c r="E829" s="105" t="s">
        <v>134</v>
      </c>
      <c r="F829" s="125" t="s">
        <v>6676</v>
      </c>
      <c r="G829" s="126" t="s">
        <v>9064</v>
      </c>
      <c r="H829" s="126" t="s">
        <v>9065</v>
      </c>
      <c r="I829" s="126" t="s">
        <v>8660</v>
      </c>
      <c r="J829" s="126" t="s">
        <v>9052</v>
      </c>
      <c r="K829" s="90"/>
      <c r="L829" s="58"/>
      <c r="M829" s="58"/>
      <c r="N829" s="58"/>
      <c r="O829" s="58"/>
      <c r="P829" s="58"/>
      <c r="Q829" s="58"/>
      <c r="R829" s="58"/>
      <c r="S829" s="58"/>
      <c r="T829" s="58"/>
      <c r="U829" s="58"/>
      <c r="V829" s="58"/>
      <c r="W829" s="58"/>
      <c r="X829" s="58"/>
      <c r="Y829" s="58"/>
      <c r="Z829" s="58"/>
    </row>
    <row r="830" ht="25.5" spans="1:26">
      <c r="A830" s="103" t="s">
        <v>1725</v>
      </c>
      <c r="B830" s="104" t="s">
        <v>77</v>
      </c>
      <c r="C830" s="104" t="s">
        <v>1726</v>
      </c>
      <c r="D830" s="104">
        <v>15</v>
      </c>
      <c r="E830" s="105" t="s">
        <v>134</v>
      </c>
      <c r="F830" s="125" t="s">
        <v>6603</v>
      </c>
      <c r="G830" s="126" t="s">
        <v>9066</v>
      </c>
      <c r="H830" s="126" t="s">
        <v>9066</v>
      </c>
      <c r="I830" s="126" t="s">
        <v>8660</v>
      </c>
      <c r="J830" s="126" t="s">
        <v>9052</v>
      </c>
      <c r="K830" s="90"/>
      <c r="L830" s="58"/>
      <c r="M830" s="58"/>
      <c r="N830" s="58"/>
      <c r="O830" s="58"/>
      <c r="P830" s="58"/>
      <c r="Q830" s="58"/>
      <c r="R830" s="58"/>
      <c r="S830" s="58"/>
      <c r="T830" s="58"/>
      <c r="U830" s="58"/>
      <c r="V830" s="58"/>
      <c r="W830" s="58"/>
      <c r="X830" s="58"/>
      <c r="Y830" s="58"/>
      <c r="Z830" s="58"/>
    </row>
    <row r="831" ht="25.5" spans="1:26">
      <c r="A831" s="103" t="s">
        <v>1719</v>
      </c>
      <c r="B831" s="104" t="s">
        <v>77</v>
      </c>
      <c r="C831" s="104" t="s">
        <v>1720</v>
      </c>
      <c r="D831" s="104">
        <v>15</v>
      </c>
      <c r="E831" s="105" t="s">
        <v>134</v>
      </c>
      <c r="F831" s="125" t="s">
        <v>6603</v>
      </c>
      <c r="G831" s="126" t="s">
        <v>9067</v>
      </c>
      <c r="H831" s="126" t="s">
        <v>9067</v>
      </c>
      <c r="I831" s="126" t="s">
        <v>8660</v>
      </c>
      <c r="J831" s="126" t="s">
        <v>9052</v>
      </c>
      <c r="K831" s="90"/>
      <c r="L831" s="58"/>
      <c r="M831" s="58"/>
      <c r="N831" s="58"/>
      <c r="O831" s="58"/>
      <c r="P831" s="58"/>
      <c r="Q831" s="58"/>
      <c r="R831" s="58"/>
      <c r="S831" s="58"/>
      <c r="T831" s="58"/>
      <c r="U831" s="58"/>
      <c r="V831" s="58"/>
      <c r="W831" s="58"/>
      <c r="X831" s="58"/>
      <c r="Y831" s="58"/>
      <c r="Z831" s="58"/>
    </row>
    <row r="832" ht="25.5" spans="1:26">
      <c r="A832" s="103" t="s">
        <v>747</v>
      </c>
      <c r="B832" s="104" t="s">
        <v>139</v>
      </c>
      <c r="C832" s="104" t="s">
        <v>748</v>
      </c>
      <c r="D832" s="104" t="s">
        <v>3135</v>
      </c>
      <c r="E832" s="105" t="s">
        <v>134</v>
      </c>
      <c r="F832" s="125" t="s">
        <v>6653</v>
      </c>
      <c r="G832" s="126" t="s">
        <v>9068</v>
      </c>
      <c r="H832" s="126" t="s">
        <v>9069</v>
      </c>
      <c r="I832" s="126" t="s">
        <v>8660</v>
      </c>
      <c r="J832" s="126" t="s">
        <v>9052</v>
      </c>
      <c r="K832" s="90"/>
      <c r="L832" s="58"/>
      <c r="M832" s="58"/>
      <c r="N832" s="58"/>
      <c r="O832" s="58"/>
      <c r="P832" s="58"/>
      <c r="Q832" s="58"/>
      <c r="R832" s="58"/>
      <c r="S832" s="58"/>
      <c r="T832" s="58"/>
      <c r="U832" s="58"/>
      <c r="V832" s="58"/>
      <c r="W832" s="58"/>
      <c r="X832" s="58"/>
      <c r="Y832" s="58"/>
      <c r="Z832" s="58"/>
    </row>
    <row r="833" ht="38.25" spans="1:26">
      <c r="A833" s="103" t="s">
        <v>1131</v>
      </c>
      <c r="B833" s="104" t="s">
        <v>132</v>
      </c>
      <c r="C833" s="104" t="s">
        <v>1132</v>
      </c>
      <c r="D833" s="104" t="s">
        <v>3177</v>
      </c>
      <c r="E833" s="105" t="s">
        <v>134</v>
      </c>
      <c r="F833" s="125" t="s">
        <v>6676</v>
      </c>
      <c r="G833" s="126" t="s">
        <v>9070</v>
      </c>
      <c r="H833" s="126" t="s">
        <v>9071</v>
      </c>
      <c r="I833" s="126" t="s">
        <v>8660</v>
      </c>
      <c r="J833" s="126" t="s">
        <v>9052</v>
      </c>
      <c r="K833" s="90"/>
      <c r="L833" s="58"/>
      <c r="M833" s="58"/>
      <c r="N833" s="58"/>
      <c r="O833" s="58"/>
      <c r="P833" s="58"/>
      <c r="Q833" s="58"/>
      <c r="R833" s="58"/>
      <c r="S833" s="58"/>
      <c r="T833" s="58"/>
      <c r="U833" s="58"/>
      <c r="V833" s="58"/>
      <c r="W833" s="58"/>
      <c r="X833" s="58"/>
      <c r="Y833" s="58"/>
      <c r="Z833" s="58"/>
    </row>
    <row r="834" ht="25.5" spans="1:26">
      <c r="A834" s="103" t="s">
        <v>2214</v>
      </c>
      <c r="B834" s="104" t="s">
        <v>132</v>
      </c>
      <c r="C834" s="104" t="s">
        <v>2215</v>
      </c>
      <c r="D834" s="104">
        <v>111</v>
      </c>
      <c r="E834" s="105" t="s">
        <v>134</v>
      </c>
      <c r="F834" s="125" t="s">
        <v>6603</v>
      </c>
      <c r="G834" s="126" t="s">
        <v>9072</v>
      </c>
      <c r="H834" s="126" t="s">
        <v>9072</v>
      </c>
      <c r="I834" s="126" t="s">
        <v>8660</v>
      </c>
      <c r="J834" s="126" t="s">
        <v>9052</v>
      </c>
      <c r="K834" s="90"/>
      <c r="L834" s="58"/>
      <c r="M834" s="58"/>
      <c r="N834" s="58"/>
      <c r="O834" s="58"/>
      <c r="P834" s="58"/>
      <c r="Q834" s="58"/>
      <c r="R834" s="58"/>
      <c r="S834" s="58"/>
      <c r="T834" s="58"/>
      <c r="U834" s="58"/>
      <c r="V834" s="58"/>
      <c r="W834" s="58"/>
      <c r="X834" s="58"/>
      <c r="Y834" s="58"/>
      <c r="Z834" s="58"/>
    </row>
    <row r="835" ht="38.25" spans="1:26">
      <c r="A835" s="103" t="s">
        <v>2057</v>
      </c>
      <c r="B835" s="104" t="s">
        <v>132</v>
      </c>
      <c r="C835" s="104" t="s">
        <v>2058</v>
      </c>
      <c r="D835" s="104">
        <v>5</v>
      </c>
      <c r="E835" s="105" t="s">
        <v>134</v>
      </c>
      <c r="F835" s="125" t="s">
        <v>6676</v>
      </c>
      <c r="G835" s="126" t="s">
        <v>9073</v>
      </c>
      <c r="H835" s="126" t="s">
        <v>9074</v>
      </c>
      <c r="I835" s="126" t="s">
        <v>8660</v>
      </c>
      <c r="J835" s="126" t="s">
        <v>9052</v>
      </c>
      <c r="K835" s="90"/>
      <c r="L835" s="58"/>
      <c r="M835" s="58"/>
      <c r="N835" s="58"/>
      <c r="O835" s="58"/>
      <c r="P835" s="58"/>
      <c r="Q835" s="58"/>
      <c r="R835" s="58"/>
      <c r="S835" s="58"/>
      <c r="T835" s="58"/>
      <c r="U835" s="58"/>
      <c r="V835" s="58"/>
      <c r="W835" s="58"/>
      <c r="X835" s="58"/>
      <c r="Y835" s="58"/>
      <c r="Z835" s="58"/>
    </row>
    <row r="836" spans="1:26">
      <c r="A836" s="103" t="s">
        <v>2550</v>
      </c>
      <c r="B836" s="104" t="s">
        <v>149</v>
      </c>
      <c r="C836" s="104" t="s">
        <v>2551</v>
      </c>
      <c r="D836" s="104" t="s">
        <v>3755</v>
      </c>
      <c r="E836" s="105" t="s">
        <v>134</v>
      </c>
      <c r="F836" s="125" t="s">
        <v>6603</v>
      </c>
      <c r="G836" s="126" t="s">
        <v>9075</v>
      </c>
      <c r="H836" s="126" t="s">
        <v>9075</v>
      </c>
      <c r="I836" s="126" t="s">
        <v>8660</v>
      </c>
      <c r="J836" s="126" t="s">
        <v>9052</v>
      </c>
      <c r="K836" s="90"/>
      <c r="L836" s="58"/>
      <c r="M836" s="58"/>
      <c r="N836" s="58"/>
      <c r="O836" s="58"/>
      <c r="P836" s="58"/>
      <c r="Q836" s="58"/>
      <c r="R836" s="58"/>
      <c r="S836" s="58"/>
      <c r="T836" s="58"/>
      <c r="U836" s="58"/>
      <c r="V836" s="58"/>
      <c r="W836" s="58"/>
      <c r="X836" s="58"/>
      <c r="Y836" s="58"/>
      <c r="Z836" s="58"/>
    </row>
    <row r="837" spans="1:26">
      <c r="A837" s="103" t="s">
        <v>835</v>
      </c>
      <c r="B837" s="104" t="s">
        <v>77</v>
      </c>
      <c r="C837" s="104" t="s">
        <v>836</v>
      </c>
      <c r="D837" s="104">
        <v>18</v>
      </c>
      <c r="E837" s="105" t="s">
        <v>134</v>
      </c>
      <c r="F837" s="125" t="s">
        <v>6603</v>
      </c>
      <c r="G837" s="126" t="s">
        <v>9076</v>
      </c>
      <c r="H837" s="126" t="s">
        <v>9076</v>
      </c>
      <c r="I837" s="126" t="s">
        <v>8660</v>
      </c>
      <c r="J837" s="126" t="s">
        <v>9052</v>
      </c>
      <c r="K837" s="90"/>
      <c r="L837" s="58"/>
      <c r="M837" s="58"/>
      <c r="N837" s="58"/>
      <c r="O837" s="58"/>
      <c r="P837" s="58"/>
      <c r="Q837" s="58"/>
      <c r="R837" s="58"/>
      <c r="S837" s="58"/>
      <c r="T837" s="58"/>
      <c r="U837" s="58"/>
      <c r="V837" s="58"/>
      <c r="W837" s="58"/>
      <c r="X837" s="58"/>
      <c r="Y837" s="58"/>
      <c r="Z837" s="58"/>
    </row>
    <row r="838" ht="25.5" spans="1:26">
      <c r="A838" s="103" t="s">
        <v>1029</v>
      </c>
      <c r="B838" s="104" t="s">
        <v>132</v>
      </c>
      <c r="C838" s="104" t="s">
        <v>1030</v>
      </c>
      <c r="D838" s="104">
        <v>15</v>
      </c>
      <c r="E838" s="105" t="s">
        <v>134</v>
      </c>
      <c r="F838" s="125" t="s">
        <v>6603</v>
      </c>
      <c r="G838" s="126" t="s">
        <v>9077</v>
      </c>
      <c r="H838" s="126" t="s">
        <v>9077</v>
      </c>
      <c r="I838" s="126" t="s">
        <v>8660</v>
      </c>
      <c r="J838" s="126" t="s">
        <v>9052</v>
      </c>
      <c r="K838" s="90"/>
      <c r="L838" s="58"/>
      <c r="M838" s="58"/>
      <c r="N838" s="58"/>
      <c r="O838" s="58"/>
      <c r="P838" s="58"/>
      <c r="Q838" s="58"/>
      <c r="R838" s="58"/>
      <c r="S838" s="58"/>
      <c r="T838" s="58"/>
      <c r="U838" s="58"/>
      <c r="V838" s="58"/>
      <c r="W838" s="58"/>
      <c r="X838" s="58"/>
      <c r="Y838" s="58"/>
      <c r="Z838" s="58"/>
    </row>
    <row r="839" spans="1:26">
      <c r="A839" s="103" t="s">
        <v>320</v>
      </c>
      <c r="B839" s="104" t="s">
        <v>139</v>
      </c>
      <c r="C839" s="104" t="s">
        <v>321</v>
      </c>
      <c r="D839" s="104" t="s">
        <v>3248</v>
      </c>
      <c r="E839" s="105" t="s">
        <v>134</v>
      </c>
      <c r="F839" s="125" t="s">
        <v>6725</v>
      </c>
      <c r="G839" s="126" t="s">
        <v>9078</v>
      </c>
      <c r="H839" s="126" t="s">
        <v>9079</v>
      </c>
      <c r="I839" s="126" t="s">
        <v>8660</v>
      </c>
      <c r="J839" s="126" t="s">
        <v>9052</v>
      </c>
      <c r="K839" s="90"/>
      <c r="L839" s="58"/>
      <c r="M839" s="58"/>
      <c r="N839" s="58"/>
      <c r="O839" s="58"/>
      <c r="P839" s="58"/>
      <c r="Q839" s="58"/>
      <c r="R839" s="58"/>
      <c r="S839" s="58"/>
      <c r="T839" s="58"/>
      <c r="U839" s="58"/>
      <c r="V839" s="58"/>
      <c r="W839" s="58"/>
      <c r="X839" s="58"/>
      <c r="Y839" s="58"/>
      <c r="Z839" s="58"/>
    </row>
    <row r="840" ht="25.5" spans="1:26">
      <c r="A840" s="103" t="s">
        <v>1032</v>
      </c>
      <c r="B840" s="104" t="s">
        <v>132</v>
      </c>
      <c r="C840" s="104" t="s">
        <v>1033</v>
      </c>
      <c r="D840" s="104">
        <v>15</v>
      </c>
      <c r="E840" s="105" t="s">
        <v>134</v>
      </c>
      <c r="F840" s="125" t="s">
        <v>6603</v>
      </c>
      <c r="G840" s="126" t="s">
        <v>9080</v>
      </c>
      <c r="H840" s="126" t="s">
        <v>9080</v>
      </c>
      <c r="I840" s="126" t="s">
        <v>8660</v>
      </c>
      <c r="J840" s="126" t="s">
        <v>9052</v>
      </c>
      <c r="K840" s="90"/>
      <c r="L840" s="58"/>
      <c r="M840" s="58"/>
      <c r="N840" s="58"/>
      <c r="O840" s="58"/>
      <c r="P840" s="58"/>
      <c r="Q840" s="58"/>
      <c r="R840" s="58"/>
      <c r="S840" s="58"/>
      <c r="T840" s="58"/>
      <c r="U840" s="58"/>
      <c r="V840" s="58"/>
      <c r="W840" s="58"/>
      <c r="X840" s="58"/>
      <c r="Y840" s="58"/>
      <c r="Z840" s="58"/>
    </row>
    <row r="841" spans="1:26">
      <c r="A841" s="107"/>
      <c r="B841" s="107"/>
      <c r="C841" s="107"/>
      <c r="D841" s="107"/>
      <c r="E841" s="107"/>
      <c r="F841" s="127"/>
      <c r="G841" s="128"/>
      <c r="H841" s="128"/>
      <c r="I841" s="128"/>
      <c r="J841" s="128"/>
      <c r="K841" s="90"/>
      <c r="L841" s="58"/>
      <c r="M841" s="58"/>
      <c r="N841" s="58"/>
      <c r="O841" s="58"/>
      <c r="P841" s="58"/>
      <c r="Q841" s="58"/>
      <c r="R841" s="58"/>
      <c r="S841" s="58"/>
      <c r="T841" s="58"/>
      <c r="U841" s="58"/>
      <c r="V841" s="58"/>
      <c r="W841" s="58"/>
      <c r="X841" s="58"/>
      <c r="Y841" s="58"/>
      <c r="Z841" s="58"/>
    </row>
    <row r="842" ht="15" customHeight="1" spans="1:26">
      <c r="A842" s="109"/>
      <c r="B842" s="109"/>
      <c r="C842" s="109"/>
      <c r="D842" s="110"/>
      <c r="E842" s="111"/>
      <c r="F842" s="129" t="s">
        <v>2880</v>
      </c>
      <c r="G842" s="129"/>
      <c r="H842" s="130">
        <v>19963738.7</v>
      </c>
      <c r="I842" s="130"/>
      <c r="J842" s="130"/>
      <c r="K842" s="90"/>
      <c r="L842" s="58"/>
      <c r="M842" s="58"/>
      <c r="N842" s="58"/>
      <c r="O842" s="58"/>
      <c r="P842" s="58"/>
      <c r="Q842" s="58"/>
      <c r="R842" s="58"/>
      <c r="S842" s="58"/>
      <c r="T842" s="58"/>
      <c r="U842" s="58"/>
      <c r="V842" s="58"/>
      <c r="W842" s="58"/>
      <c r="X842" s="58"/>
      <c r="Y842" s="58"/>
      <c r="Z842" s="58"/>
    </row>
    <row r="843" ht="15" customHeight="1" spans="1:26">
      <c r="A843" s="109"/>
      <c r="B843" s="109"/>
      <c r="C843" s="109"/>
      <c r="D843" s="110"/>
      <c r="E843" s="111"/>
      <c r="F843" s="129" t="s">
        <v>2881</v>
      </c>
      <c r="G843" s="129"/>
      <c r="H843" s="130">
        <v>4628600.9</v>
      </c>
      <c r="I843" s="130"/>
      <c r="J843" s="130"/>
      <c r="K843" s="90"/>
      <c r="L843" s="58"/>
      <c r="M843" s="58"/>
      <c r="N843" s="58"/>
      <c r="O843" s="58"/>
      <c r="P843" s="58"/>
      <c r="Q843" s="58"/>
      <c r="R843" s="58"/>
      <c r="S843" s="58"/>
      <c r="T843" s="58"/>
      <c r="U843" s="58"/>
      <c r="V843" s="58"/>
      <c r="W843" s="58"/>
      <c r="X843" s="58"/>
      <c r="Y843" s="58"/>
      <c r="Z843" s="58"/>
    </row>
    <row r="844" ht="15" customHeight="1" spans="1:26">
      <c r="A844" s="109"/>
      <c r="B844" s="109"/>
      <c r="C844" s="109"/>
      <c r="D844" s="110"/>
      <c r="E844" s="111"/>
      <c r="F844" s="129" t="s">
        <v>2882</v>
      </c>
      <c r="G844" s="129"/>
      <c r="H844" s="130">
        <v>24592339.6</v>
      </c>
      <c r="I844" s="130"/>
      <c r="J844" s="130"/>
      <c r="K844" s="90"/>
      <c r="L844" s="58"/>
      <c r="M844" s="58"/>
      <c r="N844" s="58"/>
      <c r="O844" s="58"/>
      <c r="P844" s="58"/>
      <c r="Q844" s="58"/>
      <c r="R844" s="58"/>
      <c r="S844" s="58"/>
      <c r="T844" s="58"/>
      <c r="U844" s="58"/>
      <c r="V844" s="58"/>
      <c r="W844" s="58"/>
      <c r="X844" s="58"/>
      <c r="Y844" s="58"/>
      <c r="Z844" s="58"/>
    </row>
    <row r="845" spans="1:26">
      <c r="A845" s="112"/>
      <c r="B845" s="112"/>
      <c r="C845" s="112"/>
      <c r="D845" s="112"/>
      <c r="E845" s="112"/>
      <c r="F845" s="131"/>
      <c r="G845" s="132"/>
      <c r="H845" s="132"/>
      <c r="I845" s="132"/>
      <c r="J845" s="132"/>
      <c r="K845" s="90"/>
      <c r="L845" s="58"/>
      <c r="M845" s="58"/>
      <c r="N845" s="58"/>
      <c r="O845" s="58"/>
      <c r="P845" s="58"/>
      <c r="Q845" s="58"/>
      <c r="R845" s="58"/>
      <c r="S845" s="58"/>
      <c r="T845" s="58"/>
      <c r="U845" s="58"/>
      <c r="V845" s="58"/>
      <c r="W845" s="58"/>
      <c r="X845" s="58"/>
      <c r="Y845" s="58"/>
      <c r="Z845" s="58"/>
    </row>
    <row r="846" ht="35.05" customHeight="1" spans="1:26">
      <c r="A846" s="113" t="s">
        <v>2885</v>
      </c>
      <c r="B846" s="113"/>
      <c r="C846" s="113"/>
      <c r="D846" s="113"/>
      <c r="E846" s="113"/>
      <c r="F846" s="113"/>
      <c r="G846" s="113"/>
      <c r="H846" s="113"/>
      <c r="I846" s="113"/>
      <c r="J846" s="113"/>
      <c r="K846" s="90"/>
      <c r="L846" s="58"/>
      <c r="M846" s="58"/>
      <c r="N846" s="58"/>
      <c r="O846" s="58"/>
      <c r="P846" s="58"/>
      <c r="Q846" s="58"/>
      <c r="R846" s="58"/>
      <c r="S846" s="58"/>
      <c r="T846" s="58"/>
      <c r="U846" s="58"/>
      <c r="V846" s="58"/>
      <c r="W846" s="58"/>
      <c r="X846" s="58"/>
      <c r="Y846" s="58"/>
      <c r="Z846" s="58"/>
    </row>
    <row r="847" spans="1:26">
      <c r="A847" s="58"/>
      <c r="B847" s="58"/>
      <c r="C847" s="58"/>
      <c r="D847" s="58"/>
      <c r="E847" s="58"/>
      <c r="F847" s="133"/>
      <c r="G847" s="90"/>
      <c r="H847" s="90"/>
      <c r="I847" s="90"/>
      <c r="J847" s="90"/>
      <c r="K847" s="90"/>
      <c r="L847" s="58"/>
      <c r="M847" s="58"/>
      <c r="N847" s="58"/>
      <c r="O847" s="58"/>
      <c r="P847" s="58"/>
      <c r="Q847" s="58"/>
      <c r="R847" s="58"/>
      <c r="S847" s="58"/>
      <c r="T847" s="58"/>
      <c r="U847" s="58"/>
      <c r="V847" s="58"/>
      <c r="W847" s="58"/>
      <c r="X847" s="58"/>
      <c r="Y847" s="58"/>
      <c r="Z847" s="58"/>
    </row>
    <row r="848" spans="1:26">
      <c r="A848" s="58"/>
      <c r="B848" s="58"/>
      <c r="C848" s="58"/>
      <c r="D848" s="58"/>
      <c r="E848" s="58"/>
      <c r="F848" s="133"/>
      <c r="G848" s="90"/>
      <c r="H848" s="90"/>
      <c r="I848" s="90"/>
      <c r="J848" s="90"/>
      <c r="K848" s="90"/>
      <c r="L848" s="58"/>
      <c r="M848" s="58"/>
      <c r="N848" s="58"/>
      <c r="O848" s="58"/>
      <c r="P848" s="58"/>
      <c r="Q848" s="58"/>
      <c r="R848" s="58"/>
      <c r="S848" s="58"/>
      <c r="T848" s="58"/>
      <c r="U848" s="58"/>
      <c r="V848" s="58"/>
      <c r="W848" s="58"/>
      <c r="X848" s="58"/>
      <c r="Y848" s="58"/>
      <c r="Z848" s="58"/>
    </row>
    <row r="849" spans="1:26">
      <c r="A849" s="58"/>
      <c r="B849" s="58"/>
      <c r="C849" s="58"/>
      <c r="D849" s="58"/>
      <c r="E849" s="58"/>
      <c r="F849" s="133"/>
      <c r="G849" s="90"/>
      <c r="H849" s="90"/>
      <c r="I849" s="90"/>
      <c r="J849" s="90"/>
      <c r="K849" s="90"/>
      <c r="L849" s="58"/>
      <c r="M849" s="58"/>
      <c r="N849" s="58"/>
      <c r="O849" s="58"/>
      <c r="P849" s="58"/>
      <c r="Q849" s="58"/>
      <c r="R849" s="58"/>
      <c r="S849" s="58"/>
      <c r="T849" s="58"/>
      <c r="U849" s="58"/>
      <c r="V849" s="58"/>
      <c r="W849" s="58"/>
      <c r="X849" s="58"/>
      <c r="Y849" s="58"/>
      <c r="Z849" s="58"/>
    </row>
    <row r="850" spans="1:26">
      <c r="A850" s="58"/>
      <c r="B850" s="58"/>
      <c r="C850" s="58"/>
      <c r="D850" s="58"/>
      <c r="E850" s="58"/>
      <c r="F850" s="133"/>
      <c r="G850" s="90"/>
      <c r="H850" s="90"/>
      <c r="I850" s="90"/>
      <c r="J850" s="90"/>
      <c r="K850" s="90"/>
      <c r="L850" s="58"/>
      <c r="M850" s="58"/>
      <c r="N850" s="58"/>
      <c r="O850" s="58"/>
      <c r="P850" s="58"/>
      <c r="Q850" s="58"/>
      <c r="R850" s="58"/>
      <c r="S850" s="58"/>
      <c r="T850" s="58"/>
      <c r="U850" s="58"/>
      <c r="V850" s="58"/>
      <c r="W850" s="58"/>
      <c r="X850" s="58"/>
      <c r="Y850" s="58"/>
      <c r="Z850" s="58"/>
    </row>
    <row r="851" spans="1:26">
      <c r="A851" s="58"/>
      <c r="B851" s="58"/>
      <c r="C851" s="58"/>
      <c r="D851" s="58"/>
      <c r="E851" s="58"/>
      <c r="F851" s="133"/>
      <c r="G851" s="90"/>
      <c r="H851" s="90"/>
      <c r="I851" s="90"/>
      <c r="J851" s="90"/>
      <c r="K851" s="90"/>
      <c r="L851" s="58"/>
      <c r="M851" s="58"/>
      <c r="N851" s="58"/>
      <c r="O851" s="58"/>
      <c r="P851" s="58"/>
      <c r="Q851" s="58"/>
      <c r="R851" s="58"/>
      <c r="S851" s="58"/>
      <c r="T851" s="58"/>
      <c r="U851" s="58"/>
      <c r="V851" s="58"/>
      <c r="W851" s="58"/>
      <c r="X851" s="58"/>
      <c r="Y851" s="58"/>
      <c r="Z851" s="58"/>
    </row>
    <row r="852" spans="1:26">
      <c r="A852" s="58"/>
      <c r="B852" s="58"/>
      <c r="C852" s="58"/>
      <c r="D852" s="58"/>
      <c r="E852" s="58"/>
      <c r="F852" s="133"/>
      <c r="G852" s="90"/>
      <c r="H852" s="90"/>
      <c r="I852" s="90"/>
      <c r="J852" s="90"/>
      <c r="K852" s="90"/>
      <c r="L852" s="58"/>
      <c r="M852" s="58"/>
      <c r="N852" s="58"/>
      <c r="O852" s="58"/>
      <c r="P852" s="58"/>
      <c r="Q852" s="58"/>
      <c r="R852" s="58"/>
      <c r="S852" s="58"/>
      <c r="T852" s="58"/>
      <c r="U852" s="58"/>
      <c r="V852" s="58"/>
      <c r="W852" s="58"/>
      <c r="X852" s="58"/>
      <c r="Y852" s="58"/>
      <c r="Z852" s="58"/>
    </row>
    <row r="853" spans="1:26">
      <c r="A853" s="58"/>
      <c r="B853" s="58"/>
      <c r="C853" s="58"/>
      <c r="D853" s="58"/>
      <c r="E853" s="58"/>
      <c r="F853" s="133"/>
      <c r="G853" s="90"/>
      <c r="H853" s="90"/>
      <c r="I853" s="90"/>
      <c r="J853" s="90"/>
      <c r="K853" s="90"/>
      <c r="L853" s="58"/>
      <c r="M853" s="58"/>
      <c r="N853" s="58"/>
      <c r="O853" s="58"/>
      <c r="P853" s="58"/>
      <c r="Q853" s="58"/>
      <c r="R853" s="58"/>
      <c r="S853" s="58"/>
      <c r="T853" s="58"/>
      <c r="U853" s="58"/>
      <c r="V853" s="58"/>
      <c r="W853" s="58"/>
      <c r="X853" s="58"/>
      <c r="Y853" s="58"/>
      <c r="Z853" s="58"/>
    </row>
    <row r="854" spans="1:26">
      <c r="A854" s="58"/>
      <c r="B854" s="58"/>
      <c r="C854" s="58"/>
      <c r="D854" s="58"/>
      <c r="E854" s="58"/>
      <c r="F854" s="133"/>
      <c r="G854" s="90"/>
      <c r="H854" s="90"/>
      <c r="I854" s="90"/>
      <c r="J854" s="90"/>
      <c r="K854" s="90"/>
      <c r="L854" s="58"/>
      <c r="M854" s="58"/>
      <c r="N854" s="58"/>
      <c r="O854" s="58"/>
      <c r="P854" s="58"/>
      <c r="Q854" s="58"/>
      <c r="R854" s="58"/>
      <c r="S854" s="58"/>
      <c r="T854" s="58"/>
      <c r="U854" s="58"/>
      <c r="V854" s="58"/>
      <c r="W854" s="58"/>
      <c r="X854" s="58"/>
      <c r="Y854" s="58"/>
      <c r="Z854" s="58"/>
    </row>
    <row r="855" spans="1:26">
      <c r="A855" s="58"/>
      <c r="B855" s="58"/>
      <c r="C855" s="58"/>
      <c r="D855" s="58"/>
      <c r="E855" s="58"/>
      <c r="F855" s="133"/>
      <c r="G855" s="90"/>
      <c r="H855" s="90"/>
      <c r="I855" s="90"/>
      <c r="J855" s="90"/>
      <c r="K855" s="90"/>
      <c r="L855" s="58"/>
      <c r="M855" s="58"/>
      <c r="N855" s="58"/>
      <c r="O855" s="58"/>
      <c r="P855" s="58"/>
      <c r="Q855" s="58"/>
      <c r="R855" s="58"/>
      <c r="S855" s="58"/>
      <c r="T855" s="58"/>
      <c r="U855" s="58"/>
      <c r="V855" s="58"/>
      <c r="W855" s="58"/>
      <c r="X855" s="58"/>
      <c r="Y855" s="58"/>
      <c r="Z855" s="58"/>
    </row>
    <row r="856" spans="1:26">
      <c r="A856" s="58"/>
      <c r="B856" s="58"/>
      <c r="C856" s="58"/>
      <c r="D856" s="58"/>
      <c r="E856" s="58"/>
      <c r="F856" s="133"/>
      <c r="G856" s="90"/>
      <c r="H856" s="90"/>
      <c r="I856" s="90"/>
      <c r="J856" s="90"/>
      <c r="K856" s="90"/>
      <c r="L856" s="58"/>
      <c r="M856" s="58"/>
      <c r="N856" s="58"/>
      <c r="O856" s="58"/>
      <c r="P856" s="58"/>
      <c r="Q856" s="58"/>
      <c r="R856" s="58"/>
      <c r="S856" s="58"/>
      <c r="T856" s="58"/>
      <c r="U856" s="58"/>
      <c r="V856" s="58"/>
      <c r="W856" s="58"/>
      <c r="X856" s="58"/>
      <c r="Y856" s="58"/>
      <c r="Z856" s="58"/>
    </row>
    <row r="857" spans="1:26">
      <c r="A857" s="58"/>
      <c r="B857" s="58"/>
      <c r="C857" s="58"/>
      <c r="D857" s="58"/>
      <c r="E857" s="58"/>
      <c r="F857" s="133"/>
      <c r="G857" s="90"/>
      <c r="H857" s="90"/>
      <c r="I857" s="90"/>
      <c r="J857" s="90"/>
      <c r="K857" s="90"/>
      <c r="L857" s="58"/>
      <c r="M857" s="58"/>
      <c r="N857" s="58"/>
      <c r="O857" s="58"/>
      <c r="P857" s="58"/>
      <c r="Q857" s="58"/>
      <c r="R857" s="58"/>
      <c r="S857" s="58"/>
      <c r="T857" s="58"/>
      <c r="U857" s="58"/>
      <c r="V857" s="58"/>
      <c r="W857" s="58"/>
      <c r="X857" s="58"/>
      <c r="Y857" s="58"/>
      <c r="Z857" s="58"/>
    </row>
    <row r="858" spans="1:26">
      <c r="A858" s="58"/>
      <c r="B858" s="58"/>
      <c r="C858" s="58"/>
      <c r="D858" s="58"/>
      <c r="E858" s="58"/>
      <c r="F858" s="133"/>
      <c r="G858" s="90"/>
      <c r="H858" s="90"/>
      <c r="I858" s="90"/>
      <c r="J858" s="90"/>
      <c r="K858" s="90"/>
      <c r="L858" s="58"/>
      <c r="M858" s="58"/>
      <c r="N858" s="58"/>
      <c r="O858" s="58"/>
      <c r="P858" s="58"/>
      <c r="Q858" s="58"/>
      <c r="R858" s="58"/>
      <c r="S858" s="58"/>
      <c r="T858" s="58"/>
      <c r="U858" s="58"/>
      <c r="V858" s="58"/>
      <c r="W858" s="58"/>
      <c r="X858" s="58"/>
      <c r="Y858" s="58"/>
      <c r="Z858" s="58"/>
    </row>
    <row r="859" spans="1:26">
      <c r="A859" s="58"/>
      <c r="B859" s="58"/>
      <c r="C859" s="58"/>
      <c r="D859" s="58"/>
      <c r="E859" s="58"/>
      <c r="F859" s="133"/>
      <c r="G859" s="90"/>
      <c r="H859" s="90"/>
      <c r="I859" s="90"/>
      <c r="J859" s="90"/>
      <c r="K859" s="90"/>
      <c r="L859" s="58"/>
      <c r="M859" s="58"/>
      <c r="N859" s="58"/>
      <c r="O859" s="58"/>
      <c r="P859" s="58"/>
      <c r="Q859" s="58"/>
      <c r="R859" s="58"/>
      <c r="S859" s="58"/>
      <c r="T859" s="58"/>
      <c r="U859" s="58"/>
      <c r="V859" s="58"/>
      <c r="W859" s="58"/>
      <c r="X859" s="58"/>
      <c r="Y859" s="58"/>
      <c r="Z859" s="58"/>
    </row>
    <row r="860" spans="1:26">
      <c r="A860" s="58"/>
      <c r="B860" s="58"/>
      <c r="C860" s="58"/>
      <c r="D860" s="58"/>
      <c r="E860" s="58"/>
      <c r="F860" s="133"/>
      <c r="G860" s="90"/>
      <c r="H860" s="90"/>
      <c r="I860" s="90"/>
      <c r="J860" s="90"/>
      <c r="K860" s="90"/>
      <c r="L860" s="58"/>
      <c r="M860" s="58"/>
      <c r="N860" s="58"/>
      <c r="O860" s="58"/>
      <c r="P860" s="58"/>
      <c r="Q860" s="58"/>
      <c r="R860" s="58"/>
      <c r="S860" s="58"/>
      <c r="T860" s="58"/>
      <c r="U860" s="58"/>
      <c r="V860" s="58"/>
      <c r="W860" s="58"/>
      <c r="X860" s="58"/>
      <c r="Y860" s="58"/>
      <c r="Z860" s="58"/>
    </row>
    <row r="861" spans="1:26">
      <c r="A861" s="58"/>
      <c r="B861" s="58"/>
      <c r="C861" s="58"/>
      <c r="D861" s="58"/>
      <c r="E861" s="58"/>
      <c r="F861" s="133"/>
      <c r="G861" s="90"/>
      <c r="H861" s="90"/>
      <c r="I861" s="90"/>
      <c r="J861" s="90"/>
      <c r="K861" s="90"/>
      <c r="L861" s="58"/>
      <c r="M861" s="58"/>
      <c r="N861" s="58"/>
      <c r="O861" s="58"/>
      <c r="P861" s="58"/>
      <c r="Q861" s="58"/>
      <c r="R861" s="58"/>
      <c r="S861" s="58"/>
      <c r="T861" s="58"/>
      <c r="U861" s="58"/>
      <c r="V861" s="58"/>
      <c r="W861" s="58"/>
      <c r="X861" s="58"/>
      <c r="Y861" s="58"/>
      <c r="Z861" s="58"/>
    </row>
    <row r="862" spans="1:26">
      <c r="A862" s="58"/>
      <c r="B862" s="58"/>
      <c r="C862" s="58"/>
      <c r="D862" s="58"/>
      <c r="E862" s="58"/>
      <c r="F862" s="133"/>
      <c r="G862" s="90"/>
      <c r="H862" s="90"/>
      <c r="I862" s="90"/>
      <c r="J862" s="90"/>
      <c r="K862" s="90"/>
      <c r="L862" s="58"/>
      <c r="M862" s="58"/>
      <c r="N862" s="58"/>
      <c r="O862" s="58"/>
      <c r="P862" s="58"/>
      <c r="Q862" s="58"/>
      <c r="R862" s="58"/>
      <c r="S862" s="58"/>
      <c r="T862" s="58"/>
      <c r="U862" s="58"/>
      <c r="V862" s="58"/>
      <c r="W862" s="58"/>
      <c r="X862" s="58"/>
      <c r="Y862" s="58"/>
      <c r="Z862" s="58"/>
    </row>
    <row r="863" spans="1:26">
      <c r="A863" s="58"/>
      <c r="B863" s="58"/>
      <c r="C863" s="58"/>
      <c r="D863" s="58"/>
      <c r="E863" s="58"/>
      <c r="F863" s="133"/>
      <c r="G863" s="90"/>
      <c r="H863" s="90"/>
      <c r="I863" s="90"/>
      <c r="J863" s="90"/>
      <c r="K863" s="90"/>
      <c r="L863" s="58"/>
      <c r="M863" s="58"/>
      <c r="N863" s="58"/>
      <c r="O863" s="58"/>
      <c r="P863" s="58"/>
      <c r="Q863" s="58"/>
      <c r="R863" s="58"/>
      <c r="S863" s="58"/>
      <c r="T863" s="58"/>
      <c r="U863" s="58"/>
      <c r="V863" s="58"/>
      <c r="W863" s="58"/>
      <c r="X863" s="58"/>
      <c r="Y863" s="58"/>
      <c r="Z863" s="58"/>
    </row>
    <row r="864" spans="1:26">
      <c r="A864" s="58"/>
      <c r="B864" s="58"/>
      <c r="C864" s="58"/>
      <c r="D864" s="58"/>
      <c r="E864" s="58"/>
      <c r="F864" s="133"/>
      <c r="G864" s="90"/>
      <c r="H864" s="90"/>
      <c r="I864" s="90"/>
      <c r="J864" s="90"/>
      <c r="K864" s="90"/>
      <c r="L864" s="58"/>
      <c r="M864" s="58"/>
      <c r="N864" s="58"/>
      <c r="O864" s="58"/>
      <c r="P864" s="58"/>
      <c r="Q864" s="58"/>
      <c r="R864" s="58"/>
      <c r="S864" s="58"/>
      <c r="T864" s="58"/>
      <c r="U864" s="58"/>
      <c r="V864" s="58"/>
      <c r="W864" s="58"/>
      <c r="X864" s="58"/>
      <c r="Y864" s="58"/>
      <c r="Z864" s="58"/>
    </row>
    <row r="865" spans="1:26">
      <c r="A865" s="58"/>
      <c r="B865" s="58"/>
      <c r="C865" s="58"/>
      <c r="D865" s="58"/>
      <c r="E865" s="58"/>
      <c r="F865" s="133"/>
      <c r="G865" s="90"/>
      <c r="H865" s="90"/>
      <c r="I865" s="90"/>
      <c r="J865" s="90"/>
      <c r="K865" s="90"/>
      <c r="L865" s="58"/>
      <c r="M865" s="58"/>
      <c r="N865" s="58"/>
      <c r="O865" s="58"/>
      <c r="P865" s="58"/>
      <c r="Q865" s="58"/>
      <c r="R865" s="58"/>
      <c r="S865" s="58"/>
      <c r="T865" s="58"/>
      <c r="U865" s="58"/>
      <c r="V865" s="58"/>
      <c r="W865" s="58"/>
      <c r="X865" s="58"/>
      <c r="Y865" s="58"/>
      <c r="Z865" s="58"/>
    </row>
    <row r="866" spans="1:26">
      <c r="A866" s="58"/>
      <c r="B866" s="58"/>
      <c r="C866" s="58"/>
      <c r="D866" s="58"/>
      <c r="E866" s="58"/>
      <c r="F866" s="133"/>
      <c r="G866" s="90"/>
      <c r="H866" s="90"/>
      <c r="I866" s="90"/>
      <c r="J866" s="90"/>
      <c r="K866" s="90"/>
      <c r="L866" s="58"/>
      <c r="M866" s="58"/>
      <c r="N866" s="58"/>
      <c r="O866" s="58"/>
      <c r="P866" s="58"/>
      <c r="Q866" s="58"/>
      <c r="R866" s="58"/>
      <c r="S866" s="58"/>
      <c r="T866" s="58"/>
      <c r="U866" s="58"/>
      <c r="V866" s="58"/>
      <c r="W866" s="58"/>
      <c r="X866" s="58"/>
      <c r="Y866" s="58"/>
      <c r="Z866" s="58"/>
    </row>
    <row r="867" spans="1:26">
      <c r="A867" s="58"/>
      <c r="B867" s="58"/>
      <c r="C867" s="58"/>
      <c r="D867" s="58"/>
      <c r="E867" s="58"/>
      <c r="F867" s="133"/>
      <c r="G867" s="90"/>
      <c r="H867" s="90"/>
      <c r="I867" s="90"/>
      <c r="J867" s="90"/>
      <c r="K867" s="90"/>
      <c r="L867" s="58"/>
      <c r="M867" s="58"/>
      <c r="N867" s="58"/>
      <c r="O867" s="58"/>
      <c r="P867" s="58"/>
      <c r="Q867" s="58"/>
      <c r="R867" s="58"/>
      <c r="S867" s="58"/>
      <c r="T867" s="58"/>
      <c r="U867" s="58"/>
      <c r="V867" s="58"/>
      <c r="W867" s="58"/>
      <c r="X867" s="58"/>
      <c r="Y867" s="58"/>
      <c r="Z867" s="58"/>
    </row>
    <row r="868" spans="1:26">
      <c r="A868" s="58"/>
      <c r="B868" s="58"/>
      <c r="C868" s="58"/>
      <c r="D868" s="58"/>
      <c r="E868" s="58"/>
      <c r="F868" s="133"/>
      <c r="G868" s="90"/>
      <c r="H868" s="90"/>
      <c r="I868" s="90"/>
      <c r="J868" s="90"/>
      <c r="K868" s="90"/>
      <c r="L868" s="58"/>
      <c r="M868" s="58"/>
      <c r="N868" s="58"/>
      <c r="O868" s="58"/>
      <c r="P868" s="58"/>
      <c r="Q868" s="58"/>
      <c r="R868" s="58"/>
      <c r="S868" s="58"/>
      <c r="T868" s="58"/>
      <c r="U868" s="58"/>
      <c r="V868" s="58"/>
      <c r="W868" s="58"/>
      <c r="X868" s="58"/>
      <c r="Y868" s="58"/>
      <c r="Z868" s="58"/>
    </row>
    <row r="869" spans="1:26">
      <c r="A869" s="58"/>
      <c r="B869" s="58"/>
      <c r="C869" s="58"/>
      <c r="D869" s="58"/>
      <c r="E869" s="58"/>
      <c r="F869" s="133"/>
      <c r="G869" s="90"/>
      <c r="H869" s="90"/>
      <c r="I869" s="90"/>
      <c r="J869" s="90"/>
      <c r="K869" s="90"/>
      <c r="L869" s="58"/>
      <c r="M869" s="58"/>
      <c r="N869" s="58"/>
      <c r="O869" s="58"/>
      <c r="P869" s="58"/>
      <c r="Q869" s="58"/>
      <c r="R869" s="58"/>
      <c r="S869" s="58"/>
      <c r="T869" s="58"/>
      <c r="U869" s="58"/>
      <c r="V869" s="58"/>
      <c r="W869" s="58"/>
      <c r="X869" s="58"/>
      <c r="Y869" s="58"/>
      <c r="Z869" s="58"/>
    </row>
    <row r="870" spans="1:26">
      <c r="A870" s="58"/>
      <c r="B870" s="58"/>
      <c r="C870" s="58"/>
      <c r="D870" s="58"/>
      <c r="E870" s="58"/>
      <c r="F870" s="133"/>
      <c r="G870" s="90"/>
      <c r="H870" s="90"/>
      <c r="I870" s="90"/>
      <c r="J870" s="90"/>
      <c r="K870" s="90"/>
      <c r="L870" s="58"/>
      <c r="M870" s="58"/>
      <c r="N870" s="58"/>
      <c r="O870" s="58"/>
      <c r="P870" s="58"/>
      <c r="Q870" s="58"/>
      <c r="R870" s="58"/>
      <c r="S870" s="58"/>
      <c r="T870" s="58"/>
      <c r="U870" s="58"/>
      <c r="V870" s="58"/>
      <c r="W870" s="58"/>
      <c r="X870" s="58"/>
      <c r="Y870" s="58"/>
      <c r="Z870" s="58"/>
    </row>
    <row r="871" spans="1:26">
      <c r="A871" s="58"/>
      <c r="B871" s="58"/>
      <c r="C871" s="58"/>
      <c r="D871" s="58"/>
      <c r="E871" s="58"/>
      <c r="F871" s="133"/>
      <c r="G871" s="90"/>
      <c r="H871" s="90"/>
      <c r="I871" s="90"/>
      <c r="J871" s="90"/>
      <c r="K871" s="90"/>
      <c r="L871" s="58"/>
      <c r="M871" s="58"/>
      <c r="N871" s="58"/>
      <c r="O871" s="58"/>
      <c r="P871" s="58"/>
      <c r="Q871" s="58"/>
      <c r="R871" s="58"/>
      <c r="S871" s="58"/>
      <c r="T871" s="58"/>
      <c r="U871" s="58"/>
      <c r="V871" s="58"/>
      <c r="W871" s="58"/>
      <c r="X871" s="58"/>
      <c r="Y871" s="58"/>
      <c r="Z871" s="58"/>
    </row>
    <row r="872" spans="1:26">
      <c r="A872" s="58"/>
      <c r="B872" s="58"/>
      <c r="C872" s="58"/>
      <c r="D872" s="58"/>
      <c r="E872" s="58"/>
      <c r="F872" s="133"/>
      <c r="G872" s="90"/>
      <c r="H872" s="90"/>
      <c r="I872" s="90"/>
      <c r="J872" s="90"/>
      <c r="K872" s="90"/>
      <c r="L872" s="58"/>
      <c r="M872" s="58"/>
      <c r="N872" s="58"/>
      <c r="O872" s="58"/>
      <c r="P872" s="58"/>
      <c r="Q872" s="58"/>
      <c r="R872" s="58"/>
      <c r="S872" s="58"/>
      <c r="T872" s="58"/>
      <c r="U872" s="58"/>
      <c r="V872" s="58"/>
      <c r="W872" s="58"/>
      <c r="X872" s="58"/>
      <c r="Y872" s="58"/>
      <c r="Z872" s="58"/>
    </row>
    <row r="873" spans="1:26">
      <c r="A873" s="58"/>
      <c r="B873" s="58"/>
      <c r="C873" s="58"/>
      <c r="D873" s="58"/>
      <c r="E873" s="58"/>
      <c r="F873" s="133"/>
      <c r="G873" s="90"/>
      <c r="H873" s="90"/>
      <c r="I873" s="90"/>
      <c r="J873" s="90"/>
      <c r="K873" s="90"/>
      <c r="L873" s="58"/>
      <c r="M873" s="58"/>
      <c r="N873" s="58"/>
      <c r="O873" s="58"/>
      <c r="P873" s="58"/>
      <c r="Q873" s="58"/>
      <c r="R873" s="58"/>
      <c r="S873" s="58"/>
      <c r="T873" s="58"/>
      <c r="U873" s="58"/>
      <c r="V873" s="58"/>
      <c r="W873" s="58"/>
      <c r="X873" s="58"/>
      <c r="Y873" s="58"/>
      <c r="Z873" s="58"/>
    </row>
    <row r="874" spans="1:26">
      <c r="A874" s="58"/>
      <c r="B874" s="58"/>
      <c r="C874" s="58"/>
      <c r="D874" s="58"/>
      <c r="E874" s="58"/>
      <c r="F874" s="133"/>
      <c r="G874" s="90"/>
      <c r="H874" s="90"/>
      <c r="I874" s="90"/>
      <c r="J874" s="90"/>
      <c r="K874" s="90"/>
      <c r="L874" s="58"/>
      <c r="M874" s="58"/>
      <c r="N874" s="58"/>
      <c r="O874" s="58"/>
      <c r="P874" s="58"/>
      <c r="Q874" s="58"/>
      <c r="R874" s="58"/>
      <c r="S874" s="58"/>
      <c r="T874" s="58"/>
      <c r="U874" s="58"/>
      <c r="V874" s="58"/>
      <c r="W874" s="58"/>
      <c r="X874" s="58"/>
      <c r="Y874" s="58"/>
      <c r="Z874" s="58"/>
    </row>
    <row r="875" spans="1:26">
      <c r="A875" s="58"/>
      <c r="B875" s="58"/>
      <c r="C875" s="58"/>
      <c r="D875" s="58"/>
      <c r="E875" s="58"/>
      <c r="F875" s="133"/>
      <c r="G875" s="90"/>
      <c r="H875" s="90"/>
      <c r="I875" s="90"/>
      <c r="J875" s="90"/>
      <c r="K875" s="90"/>
      <c r="L875" s="58"/>
      <c r="M875" s="58"/>
      <c r="N875" s="58"/>
      <c r="O875" s="58"/>
      <c r="P875" s="58"/>
      <c r="Q875" s="58"/>
      <c r="R875" s="58"/>
      <c r="S875" s="58"/>
      <c r="T875" s="58"/>
      <c r="U875" s="58"/>
      <c r="V875" s="58"/>
      <c r="W875" s="58"/>
      <c r="X875" s="58"/>
      <c r="Y875" s="58"/>
      <c r="Z875" s="58"/>
    </row>
    <row r="876" spans="1:26">
      <c r="A876" s="58"/>
      <c r="B876" s="58"/>
      <c r="C876" s="58"/>
      <c r="D876" s="58"/>
      <c r="E876" s="58"/>
      <c r="F876" s="133"/>
      <c r="G876" s="90"/>
      <c r="H876" s="90"/>
      <c r="I876" s="90"/>
      <c r="J876" s="90"/>
      <c r="K876" s="90"/>
      <c r="L876" s="58"/>
      <c r="M876" s="58"/>
      <c r="N876" s="58"/>
      <c r="O876" s="58"/>
      <c r="P876" s="58"/>
      <c r="Q876" s="58"/>
      <c r="R876" s="58"/>
      <c r="S876" s="58"/>
      <c r="T876" s="58"/>
      <c r="U876" s="58"/>
      <c r="V876" s="58"/>
      <c r="W876" s="58"/>
      <c r="X876" s="58"/>
      <c r="Y876" s="58"/>
      <c r="Z876" s="58"/>
    </row>
    <row r="877" spans="1:26">
      <c r="A877" s="58"/>
      <c r="B877" s="58"/>
      <c r="C877" s="58"/>
      <c r="D877" s="58"/>
      <c r="E877" s="58"/>
      <c r="F877" s="133"/>
      <c r="G877" s="90"/>
      <c r="H877" s="90"/>
      <c r="I877" s="90"/>
      <c r="J877" s="90"/>
      <c r="K877" s="90"/>
      <c r="L877" s="58"/>
      <c r="M877" s="58"/>
      <c r="N877" s="58"/>
      <c r="O877" s="58"/>
      <c r="P877" s="58"/>
      <c r="Q877" s="58"/>
      <c r="R877" s="58"/>
      <c r="S877" s="58"/>
      <c r="T877" s="58"/>
      <c r="U877" s="58"/>
      <c r="V877" s="58"/>
      <c r="W877" s="58"/>
      <c r="X877" s="58"/>
      <c r="Y877" s="58"/>
      <c r="Z877" s="58"/>
    </row>
    <row r="878" spans="1:26">
      <c r="A878" s="58"/>
      <c r="B878" s="58"/>
      <c r="C878" s="58"/>
      <c r="D878" s="58"/>
      <c r="E878" s="58"/>
      <c r="F878" s="133"/>
      <c r="G878" s="90"/>
      <c r="H878" s="90"/>
      <c r="I878" s="90"/>
      <c r="J878" s="90"/>
      <c r="K878" s="90"/>
      <c r="L878" s="58"/>
      <c r="M878" s="58"/>
      <c r="N878" s="58"/>
      <c r="O878" s="58"/>
      <c r="P878" s="58"/>
      <c r="Q878" s="58"/>
      <c r="R878" s="58"/>
      <c r="S878" s="58"/>
      <c r="T878" s="58"/>
      <c r="U878" s="58"/>
      <c r="V878" s="58"/>
      <c r="W878" s="58"/>
      <c r="X878" s="58"/>
      <c r="Y878" s="58"/>
      <c r="Z878" s="58"/>
    </row>
    <row r="879" spans="1:26">
      <c r="A879" s="58"/>
      <c r="B879" s="58"/>
      <c r="C879" s="58"/>
      <c r="D879" s="58"/>
      <c r="E879" s="58"/>
      <c r="F879" s="133"/>
      <c r="G879" s="90"/>
      <c r="H879" s="90"/>
      <c r="I879" s="90"/>
      <c r="J879" s="90"/>
      <c r="K879" s="90"/>
      <c r="L879" s="58"/>
      <c r="M879" s="58"/>
      <c r="N879" s="58"/>
      <c r="O879" s="58"/>
      <c r="P879" s="58"/>
      <c r="Q879" s="58"/>
      <c r="R879" s="58"/>
      <c r="S879" s="58"/>
      <c r="T879" s="58"/>
      <c r="U879" s="58"/>
      <c r="V879" s="58"/>
      <c r="W879" s="58"/>
      <c r="X879" s="58"/>
      <c r="Y879" s="58"/>
      <c r="Z879" s="58"/>
    </row>
    <row r="880" spans="1:26">
      <c r="A880" s="58"/>
      <c r="B880" s="58"/>
      <c r="C880" s="58"/>
      <c r="D880" s="58"/>
      <c r="E880" s="58"/>
      <c r="F880" s="133"/>
      <c r="G880" s="90"/>
      <c r="H880" s="90"/>
      <c r="I880" s="90"/>
      <c r="J880" s="90"/>
      <c r="K880" s="90"/>
      <c r="L880" s="58"/>
      <c r="M880" s="58"/>
      <c r="N880" s="58"/>
      <c r="O880" s="58"/>
      <c r="P880" s="58"/>
      <c r="Q880" s="58"/>
      <c r="R880" s="58"/>
      <c r="S880" s="58"/>
      <c r="T880" s="58"/>
      <c r="U880" s="58"/>
      <c r="V880" s="58"/>
      <c r="W880" s="58"/>
      <c r="X880" s="58"/>
      <c r="Y880" s="58"/>
      <c r="Z880" s="58"/>
    </row>
    <row r="881" spans="1:26">
      <c r="A881" s="58"/>
      <c r="B881" s="58"/>
      <c r="C881" s="58"/>
      <c r="D881" s="58"/>
      <c r="E881" s="58"/>
      <c r="F881" s="133"/>
      <c r="G881" s="90"/>
      <c r="H881" s="90"/>
      <c r="I881" s="90"/>
      <c r="J881" s="90"/>
      <c r="K881" s="90"/>
      <c r="L881" s="58"/>
      <c r="M881" s="58"/>
      <c r="N881" s="58"/>
      <c r="O881" s="58"/>
      <c r="P881" s="58"/>
      <c r="Q881" s="58"/>
      <c r="R881" s="58"/>
      <c r="S881" s="58"/>
      <c r="T881" s="58"/>
      <c r="U881" s="58"/>
      <c r="V881" s="58"/>
      <c r="W881" s="58"/>
      <c r="X881" s="58"/>
      <c r="Y881" s="58"/>
      <c r="Z881" s="58"/>
    </row>
    <row r="882" spans="1:26">
      <c r="A882" s="58"/>
      <c r="B882" s="58"/>
      <c r="C882" s="58"/>
      <c r="D882" s="58"/>
      <c r="E882" s="58"/>
      <c r="F882" s="133"/>
      <c r="G882" s="90"/>
      <c r="H882" s="90"/>
      <c r="I882" s="90"/>
      <c r="J882" s="90"/>
      <c r="K882" s="90"/>
      <c r="L882" s="58"/>
      <c r="M882" s="58"/>
      <c r="N882" s="58"/>
      <c r="O882" s="58"/>
      <c r="P882" s="58"/>
      <c r="Q882" s="58"/>
      <c r="R882" s="58"/>
      <c r="S882" s="58"/>
      <c r="T882" s="58"/>
      <c r="U882" s="58"/>
      <c r="V882" s="58"/>
      <c r="W882" s="58"/>
      <c r="X882" s="58"/>
      <c r="Y882" s="58"/>
      <c r="Z882" s="58"/>
    </row>
    <row r="883" spans="1:26">
      <c r="A883" s="58"/>
      <c r="B883" s="58"/>
      <c r="C883" s="58"/>
      <c r="D883" s="58"/>
      <c r="E883" s="58"/>
      <c r="F883" s="133"/>
      <c r="G883" s="90"/>
      <c r="H883" s="90"/>
      <c r="I883" s="90"/>
      <c r="J883" s="90"/>
      <c r="K883" s="90"/>
      <c r="L883" s="58"/>
      <c r="M883" s="58"/>
      <c r="N883" s="58"/>
      <c r="O883" s="58"/>
      <c r="P883" s="58"/>
      <c r="Q883" s="58"/>
      <c r="R883" s="58"/>
      <c r="S883" s="58"/>
      <c r="T883" s="58"/>
      <c r="U883" s="58"/>
      <c r="V883" s="58"/>
      <c r="W883" s="58"/>
      <c r="X883" s="58"/>
      <c r="Y883" s="58"/>
      <c r="Z883" s="58"/>
    </row>
    <row r="884" spans="1:26">
      <c r="A884" s="58"/>
      <c r="B884" s="58"/>
      <c r="C884" s="58"/>
      <c r="D884" s="58"/>
      <c r="E884" s="58"/>
      <c r="F884" s="133"/>
      <c r="G884" s="90"/>
      <c r="H884" s="90"/>
      <c r="I884" s="90"/>
      <c r="J884" s="90"/>
      <c r="K884" s="90"/>
      <c r="L884" s="58"/>
      <c r="M884" s="58"/>
      <c r="N884" s="58"/>
      <c r="O884" s="58"/>
      <c r="P884" s="58"/>
      <c r="Q884" s="58"/>
      <c r="R884" s="58"/>
      <c r="S884" s="58"/>
      <c r="T884" s="58"/>
      <c r="U884" s="58"/>
      <c r="V884" s="58"/>
      <c r="W884" s="58"/>
      <c r="X884" s="58"/>
      <c r="Y884" s="58"/>
      <c r="Z884" s="58"/>
    </row>
    <row r="885" spans="1:26">
      <c r="A885" s="58"/>
      <c r="B885" s="58"/>
      <c r="C885" s="58"/>
      <c r="D885" s="58"/>
      <c r="E885" s="58"/>
      <c r="F885" s="133"/>
      <c r="G885" s="90"/>
      <c r="H885" s="90"/>
      <c r="I885" s="90"/>
      <c r="J885" s="90"/>
      <c r="K885" s="90"/>
      <c r="L885" s="58"/>
      <c r="M885" s="58"/>
      <c r="N885" s="58"/>
      <c r="O885" s="58"/>
      <c r="P885" s="58"/>
      <c r="Q885" s="58"/>
      <c r="R885" s="58"/>
      <c r="S885" s="58"/>
      <c r="T885" s="58"/>
      <c r="U885" s="58"/>
      <c r="V885" s="58"/>
      <c r="W885" s="58"/>
      <c r="X885" s="58"/>
      <c r="Y885" s="58"/>
      <c r="Z885" s="58"/>
    </row>
    <row r="886" spans="1:26">
      <c r="A886" s="58"/>
      <c r="B886" s="58"/>
      <c r="C886" s="58"/>
      <c r="D886" s="58"/>
      <c r="E886" s="58"/>
      <c r="F886" s="133"/>
      <c r="G886" s="90"/>
      <c r="H886" s="90"/>
      <c r="I886" s="90"/>
      <c r="J886" s="90"/>
      <c r="K886" s="90"/>
      <c r="L886" s="58"/>
      <c r="M886" s="58"/>
      <c r="N886" s="58"/>
      <c r="O886" s="58"/>
      <c r="P886" s="58"/>
      <c r="Q886" s="58"/>
      <c r="R886" s="58"/>
      <c r="S886" s="58"/>
      <c r="T886" s="58"/>
      <c r="U886" s="58"/>
      <c r="V886" s="58"/>
      <c r="W886" s="58"/>
      <c r="X886" s="58"/>
      <c r="Y886" s="58"/>
      <c r="Z886" s="58"/>
    </row>
    <row r="887" spans="1:26">
      <c r="A887" s="58"/>
      <c r="B887" s="58"/>
      <c r="C887" s="58"/>
      <c r="D887" s="58"/>
      <c r="E887" s="58"/>
      <c r="F887" s="133"/>
      <c r="G887" s="90"/>
      <c r="H887" s="90"/>
      <c r="I887" s="90"/>
      <c r="J887" s="90"/>
      <c r="K887" s="90"/>
      <c r="L887" s="58"/>
      <c r="M887" s="58"/>
      <c r="N887" s="58"/>
      <c r="O887" s="58"/>
      <c r="P887" s="58"/>
      <c r="Q887" s="58"/>
      <c r="R887" s="58"/>
      <c r="S887" s="58"/>
      <c r="T887" s="58"/>
      <c r="U887" s="58"/>
      <c r="V887" s="58"/>
      <c r="W887" s="58"/>
      <c r="X887" s="58"/>
      <c r="Y887" s="58"/>
      <c r="Z887" s="58"/>
    </row>
    <row r="888" spans="1:26">
      <c r="A888" s="58"/>
      <c r="B888" s="58"/>
      <c r="C888" s="58"/>
      <c r="D888" s="58"/>
      <c r="E888" s="58"/>
      <c r="F888" s="133"/>
      <c r="G888" s="90"/>
      <c r="H888" s="90"/>
      <c r="I888" s="90"/>
      <c r="J888" s="90"/>
      <c r="K888" s="90"/>
      <c r="L888" s="58"/>
      <c r="M888" s="58"/>
      <c r="N888" s="58"/>
      <c r="O888" s="58"/>
      <c r="P888" s="58"/>
      <c r="Q888" s="58"/>
      <c r="R888" s="58"/>
      <c r="S888" s="58"/>
      <c r="T888" s="58"/>
      <c r="U888" s="58"/>
      <c r="V888" s="58"/>
      <c r="W888" s="58"/>
      <c r="X888" s="58"/>
      <c r="Y888" s="58"/>
      <c r="Z888" s="58"/>
    </row>
    <row r="889" spans="1:26">
      <c r="A889" s="58"/>
      <c r="B889" s="58"/>
      <c r="C889" s="58"/>
      <c r="D889" s="58"/>
      <c r="E889" s="58"/>
      <c r="F889" s="133"/>
      <c r="G889" s="90"/>
      <c r="H889" s="90"/>
      <c r="I889" s="90"/>
      <c r="J889" s="90"/>
      <c r="K889" s="90"/>
      <c r="L889" s="58"/>
      <c r="M889" s="58"/>
      <c r="N889" s="58"/>
      <c r="O889" s="58"/>
      <c r="P889" s="58"/>
      <c r="Q889" s="58"/>
      <c r="R889" s="58"/>
      <c r="S889" s="58"/>
      <c r="T889" s="58"/>
      <c r="U889" s="58"/>
      <c r="V889" s="58"/>
      <c r="W889" s="58"/>
      <c r="X889" s="58"/>
      <c r="Y889" s="58"/>
      <c r="Z889" s="58"/>
    </row>
    <row r="890" spans="1:26">
      <c r="A890" s="58"/>
      <c r="B890" s="58"/>
      <c r="C890" s="58"/>
      <c r="D890" s="58"/>
      <c r="E890" s="58"/>
      <c r="F890" s="133"/>
      <c r="G890" s="90"/>
      <c r="H890" s="90"/>
      <c r="I890" s="90"/>
      <c r="J890" s="90"/>
      <c r="K890" s="90"/>
      <c r="L890" s="58"/>
      <c r="M890" s="58"/>
      <c r="N890" s="58"/>
      <c r="O890" s="58"/>
      <c r="P890" s="58"/>
      <c r="Q890" s="58"/>
      <c r="R890" s="58"/>
      <c r="S890" s="58"/>
      <c r="T890" s="58"/>
      <c r="U890" s="58"/>
      <c r="V890" s="58"/>
      <c r="W890" s="58"/>
      <c r="X890" s="58"/>
      <c r="Y890" s="58"/>
      <c r="Z890" s="58"/>
    </row>
    <row r="891" spans="1:26">
      <c r="A891" s="58"/>
      <c r="B891" s="58"/>
      <c r="C891" s="58"/>
      <c r="D891" s="58"/>
      <c r="E891" s="58"/>
      <c r="F891" s="133"/>
      <c r="G891" s="90"/>
      <c r="H891" s="90"/>
      <c r="I891" s="90"/>
      <c r="J891" s="90"/>
      <c r="K891" s="90"/>
      <c r="L891" s="58"/>
      <c r="M891" s="58"/>
      <c r="N891" s="58"/>
      <c r="O891" s="58"/>
      <c r="P891" s="58"/>
      <c r="Q891" s="58"/>
      <c r="R891" s="58"/>
      <c r="S891" s="58"/>
      <c r="T891" s="58"/>
      <c r="U891" s="58"/>
      <c r="V891" s="58"/>
      <c r="W891" s="58"/>
      <c r="X891" s="58"/>
      <c r="Y891" s="58"/>
      <c r="Z891" s="58"/>
    </row>
    <row r="892" spans="1:26">
      <c r="A892" s="58"/>
      <c r="B892" s="58"/>
      <c r="C892" s="58"/>
      <c r="D892" s="58"/>
      <c r="E892" s="58"/>
      <c r="F892" s="133"/>
      <c r="G892" s="90"/>
      <c r="H892" s="90"/>
      <c r="I892" s="90"/>
      <c r="J892" s="90"/>
      <c r="K892" s="90"/>
      <c r="L892" s="58"/>
      <c r="M892" s="58"/>
      <c r="N892" s="58"/>
      <c r="O892" s="58"/>
      <c r="P892" s="58"/>
      <c r="Q892" s="58"/>
      <c r="R892" s="58"/>
      <c r="S892" s="58"/>
      <c r="T892" s="58"/>
      <c r="U892" s="58"/>
      <c r="V892" s="58"/>
      <c r="W892" s="58"/>
      <c r="X892" s="58"/>
      <c r="Y892" s="58"/>
      <c r="Z892" s="58"/>
    </row>
    <row r="893" spans="1:26">
      <c r="A893" s="58"/>
      <c r="B893" s="58"/>
      <c r="C893" s="58"/>
      <c r="D893" s="58"/>
      <c r="E893" s="58"/>
      <c r="F893" s="133"/>
      <c r="G893" s="90"/>
      <c r="H893" s="90"/>
      <c r="I893" s="90"/>
      <c r="J893" s="90"/>
      <c r="K893" s="90"/>
      <c r="L893" s="58"/>
      <c r="M893" s="58"/>
      <c r="N893" s="58"/>
      <c r="O893" s="58"/>
      <c r="P893" s="58"/>
      <c r="Q893" s="58"/>
      <c r="R893" s="58"/>
      <c r="S893" s="58"/>
      <c r="T893" s="58"/>
      <c r="U893" s="58"/>
      <c r="V893" s="58"/>
      <c r="W893" s="58"/>
      <c r="X893" s="58"/>
      <c r="Y893" s="58"/>
      <c r="Z893" s="58"/>
    </row>
    <row r="894" spans="1:26">
      <c r="A894" s="58"/>
      <c r="B894" s="58"/>
      <c r="C894" s="58"/>
      <c r="D894" s="58"/>
      <c r="E894" s="58"/>
      <c r="F894" s="133"/>
      <c r="G894" s="90"/>
      <c r="H894" s="90"/>
      <c r="I894" s="90"/>
      <c r="J894" s="90"/>
      <c r="K894" s="90"/>
      <c r="L894" s="58"/>
      <c r="M894" s="58"/>
      <c r="N894" s="58"/>
      <c r="O894" s="58"/>
      <c r="P894" s="58"/>
      <c r="Q894" s="58"/>
      <c r="R894" s="58"/>
      <c r="S894" s="58"/>
      <c r="T894" s="58"/>
      <c r="U894" s="58"/>
      <c r="V894" s="58"/>
      <c r="W894" s="58"/>
      <c r="X894" s="58"/>
      <c r="Y894" s="58"/>
      <c r="Z894" s="58"/>
    </row>
    <row r="895" spans="1:26">
      <c r="A895" s="58"/>
      <c r="B895" s="58"/>
      <c r="C895" s="58"/>
      <c r="D895" s="58"/>
      <c r="E895" s="58"/>
      <c r="F895" s="133"/>
      <c r="G895" s="90"/>
      <c r="H895" s="90"/>
      <c r="I895" s="90"/>
      <c r="J895" s="90"/>
      <c r="K895" s="90"/>
      <c r="L895" s="58"/>
      <c r="M895" s="58"/>
      <c r="N895" s="58"/>
      <c r="O895" s="58"/>
      <c r="P895" s="58"/>
      <c r="Q895" s="58"/>
      <c r="R895" s="58"/>
      <c r="S895" s="58"/>
      <c r="T895" s="58"/>
      <c r="U895" s="58"/>
      <c r="V895" s="58"/>
      <c r="W895" s="58"/>
      <c r="X895" s="58"/>
      <c r="Y895" s="58"/>
      <c r="Z895" s="58"/>
    </row>
    <row r="896" spans="1:26">
      <c r="A896" s="58"/>
      <c r="B896" s="58"/>
      <c r="C896" s="58"/>
      <c r="D896" s="58"/>
      <c r="E896" s="58"/>
      <c r="F896" s="133"/>
      <c r="G896" s="90"/>
      <c r="H896" s="90"/>
      <c r="I896" s="90"/>
      <c r="J896" s="90"/>
      <c r="K896" s="90"/>
      <c r="L896" s="58"/>
      <c r="M896" s="58"/>
      <c r="N896" s="58"/>
      <c r="O896" s="58"/>
      <c r="P896" s="58"/>
      <c r="Q896" s="58"/>
      <c r="R896" s="58"/>
      <c r="S896" s="58"/>
      <c r="T896" s="58"/>
      <c r="U896" s="58"/>
      <c r="V896" s="58"/>
      <c r="W896" s="58"/>
      <c r="X896" s="58"/>
      <c r="Y896" s="58"/>
      <c r="Z896" s="58"/>
    </row>
    <row r="897" spans="1:26">
      <c r="A897" s="58"/>
      <c r="B897" s="58"/>
      <c r="C897" s="58"/>
      <c r="D897" s="58"/>
      <c r="E897" s="58"/>
      <c r="F897" s="133"/>
      <c r="G897" s="90"/>
      <c r="H897" s="90"/>
      <c r="I897" s="90"/>
      <c r="J897" s="90"/>
      <c r="K897" s="90"/>
      <c r="L897" s="58"/>
      <c r="M897" s="58"/>
      <c r="N897" s="58"/>
      <c r="O897" s="58"/>
      <c r="P897" s="58"/>
      <c r="Q897" s="58"/>
      <c r="R897" s="58"/>
      <c r="S897" s="58"/>
      <c r="T897" s="58"/>
      <c r="U897" s="58"/>
      <c r="V897" s="58"/>
      <c r="W897" s="58"/>
      <c r="X897" s="58"/>
      <c r="Y897" s="58"/>
      <c r="Z897" s="58"/>
    </row>
    <row r="898" spans="1:26">
      <c r="A898" s="58"/>
      <c r="B898" s="58"/>
      <c r="C898" s="58"/>
      <c r="D898" s="58"/>
      <c r="E898" s="58"/>
      <c r="F898" s="133"/>
      <c r="G898" s="90"/>
      <c r="H898" s="90"/>
      <c r="I898" s="90"/>
      <c r="J898" s="90"/>
      <c r="K898" s="90"/>
      <c r="L898" s="58"/>
      <c r="M898" s="58"/>
      <c r="N898" s="58"/>
      <c r="O898" s="58"/>
      <c r="P898" s="58"/>
      <c r="Q898" s="58"/>
      <c r="R898" s="58"/>
      <c r="S898" s="58"/>
      <c r="T898" s="58"/>
      <c r="U898" s="58"/>
      <c r="V898" s="58"/>
      <c r="W898" s="58"/>
      <c r="X898" s="58"/>
      <c r="Y898" s="58"/>
      <c r="Z898" s="58"/>
    </row>
    <row r="899" spans="1:26">
      <c r="A899" s="58"/>
      <c r="B899" s="58"/>
      <c r="C899" s="58"/>
      <c r="D899" s="58"/>
      <c r="E899" s="58"/>
      <c r="F899" s="133"/>
      <c r="G899" s="90"/>
      <c r="H899" s="90"/>
      <c r="I899" s="90"/>
      <c r="J899" s="90"/>
      <c r="K899" s="90"/>
      <c r="L899" s="58"/>
      <c r="M899" s="58"/>
      <c r="N899" s="58"/>
      <c r="O899" s="58"/>
      <c r="P899" s="58"/>
      <c r="Q899" s="58"/>
      <c r="R899" s="58"/>
      <c r="S899" s="58"/>
      <c r="T899" s="58"/>
      <c r="U899" s="58"/>
      <c r="V899" s="58"/>
      <c r="W899" s="58"/>
      <c r="X899" s="58"/>
      <c r="Y899" s="58"/>
      <c r="Z899" s="58"/>
    </row>
    <row r="900" spans="1:26">
      <c r="A900" s="58"/>
      <c r="B900" s="58"/>
      <c r="C900" s="58"/>
      <c r="D900" s="58"/>
      <c r="E900" s="58"/>
      <c r="F900" s="133"/>
      <c r="G900" s="90"/>
      <c r="H900" s="90"/>
      <c r="I900" s="90"/>
      <c r="J900" s="90"/>
      <c r="K900" s="90"/>
      <c r="L900" s="58"/>
      <c r="M900" s="58"/>
      <c r="N900" s="58"/>
      <c r="O900" s="58"/>
      <c r="P900" s="58"/>
      <c r="Q900" s="58"/>
      <c r="R900" s="58"/>
      <c r="S900" s="58"/>
      <c r="T900" s="58"/>
      <c r="U900" s="58"/>
      <c r="V900" s="58"/>
      <c r="W900" s="58"/>
      <c r="X900" s="58"/>
      <c r="Y900" s="58"/>
      <c r="Z900" s="58"/>
    </row>
    <row r="901" spans="1:26">
      <c r="A901" s="58"/>
      <c r="B901" s="58"/>
      <c r="C901" s="58"/>
      <c r="D901" s="58"/>
      <c r="E901" s="58"/>
      <c r="F901" s="133"/>
      <c r="G901" s="90"/>
      <c r="H901" s="90"/>
      <c r="I901" s="90"/>
      <c r="J901" s="90"/>
      <c r="K901" s="90"/>
      <c r="L901" s="58"/>
      <c r="M901" s="58"/>
      <c r="N901" s="58"/>
      <c r="O901" s="58"/>
      <c r="P901" s="58"/>
      <c r="Q901" s="58"/>
      <c r="R901" s="58"/>
      <c r="S901" s="58"/>
      <c r="T901" s="58"/>
      <c r="U901" s="58"/>
      <c r="V901" s="58"/>
      <c r="W901" s="58"/>
      <c r="X901" s="58"/>
      <c r="Y901" s="58"/>
      <c r="Z901" s="58"/>
    </row>
    <row r="902" spans="1:26">
      <c r="A902" s="58"/>
      <c r="B902" s="58"/>
      <c r="C902" s="58"/>
      <c r="D902" s="58"/>
      <c r="E902" s="58"/>
      <c r="F902" s="133"/>
      <c r="G902" s="90"/>
      <c r="H902" s="90"/>
      <c r="I902" s="90"/>
      <c r="J902" s="90"/>
      <c r="K902" s="90"/>
      <c r="L902" s="58"/>
      <c r="M902" s="58"/>
      <c r="N902" s="58"/>
      <c r="O902" s="58"/>
      <c r="P902" s="58"/>
      <c r="Q902" s="58"/>
      <c r="R902" s="58"/>
      <c r="S902" s="58"/>
      <c r="T902" s="58"/>
      <c r="U902" s="58"/>
      <c r="V902" s="58"/>
      <c r="W902" s="58"/>
      <c r="X902" s="58"/>
      <c r="Y902" s="58"/>
      <c r="Z902" s="58"/>
    </row>
    <row r="903" spans="1:26">
      <c r="A903" s="58"/>
      <c r="B903" s="58"/>
      <c r="C903" s="58"/>
      <c r="D903" s="58"/>
      <c r="E903" s="58"/>
      <c r="F903" s="133"/>
      <c r="G903" s="90"/>
      <c r="H903" s="90"/>
      <c r="I903" s="90"/>
      <c r="J903" s="90"/>
      <c r="K903" s="90"/>
      <c r="L903" s="58"/>
      <c r="M903" s="58"/>
      <c r="N903" s="58"/>
      <c r="O903" s="58"/>
      <c r="P903" s="58"/>
      <c r="Q903" s="58"/>
      <c r="R903" s="58"/>
      <c r="S903" s="58"/>
      <c r="T903" s="58"/>
      <c r="U903" s="58"/>
      <c r="V903" s="58"/>
      <c r="W903" s="58"/>
      <c r="X903" s="58"/>
      <c r="Y903" s="58"/>
      <c r="Z903" s="58"/>
    </row>
    <row r="904" spans="1:26">
      <c r="A904" s="58"/>
      <c r="B904" s="58"/>
      <c r="C904" s="58"/>
      <c r="D904" s="58"/>
      <c r="E904" s="58"/>
      <c r="F904" s="133"/>
      <c r="G904" s="90"/>
      <c r="H904" s="90"/>
      <c r="I904" s="90"/>
      <c r="J904" s="90"/>
      <c r="K904" s="90"/>
      <c r="L904" s="58"/>
      <c r="M904" s="58"/>
      <c r="N904" s="58"/>
      <c r="O904" s="58"/>
      <c r="P904" s="58"/>
      <c r="Q904" s="58"/>
      <c r="R904" s="58"/>
      <c r="S904" s="58"/>
      <c r="T904" s="58"/>
      <c r="U904" s="58"/>
      <c r="V904" s="58"/>
      <c r="W904" s="58"/>
      <c r="X904" s="58"/>
      <c r="Y904" s="58"/>
      <c r="Z904" s="58"/>
    </row>
    <row r="905" spans="1:26">
      <c r="A905" s="58"/>
      <c r="B905" s="58"/>
      <c r="C905" s="58"/>
      <c r="D905" s="58"/>
      <c r="E905" s="58"/>
      <c r="F905" s="133"/>
      <c r="G905" s="90"/>
      <c r="H905" s="90"/>
      <c r="I905" s="90"/>
      <c r="J905" s="90"/>
      <c r="K905" s="90"/>
      <c r="L905" s="58"/>
      <c r="M905" s="58"/>
      <c r="N905" s="58"/>
      <c r="O905" s="58"/>
      <c r="P905" s="58"/>
      <c r="Q905" s="58"/>
      <c r="R905" s="58"/>
      <c r="S905" s="58"/>
      <c r="T905" s="58"/>
      <c r="U905" s="58"/>
      <c r="V905" s="58"/>
      <c r="W905" s="58"/>
      <c r="X905" s="58"/>
      <c r="Y905" s="58"/>
      <c r="Z905" s="58"/>
    </row>
    <row r="906" spans="1:26">
      <c r="A906" s="58"/>
      <c r="B906" s="58"/>
      <c r="C906" s="58"/>
      <c r="D906" s="58"/>
      <c r="E906" s="58"/>
      <c r="F906" s="133"/>
      <c r="G906" s="90"/>
      <c r="H906" s="90"/>
      <c r="I906" s="90"/>
      <c r="J906" s="90"/>
      <c r="K906" s="90"/>
      <c r="L906" s="58"/>
      <c r="M906" s="58"/>
      <c r="N906" s="58"/>
      <c r="O906" s="58"/>
      <c r="P906" s="58"/>
      <c r="Q906" s="58"/>
      <c r="R906" s="58"/>
      <c r="S906" s="58"/>
      <c r="T906" s="58"/>
      <c r="U906" s="58"/>
      <c r="V906" s="58"/>
      <c r="W906" s="58"/>
      <c r="X906" s="58"/>
      <c r="Y906" s="58"/>
      <c r="Z906" s="58"/>
    </row>
    <row r="907" spans="1:26">
      <c r="A907" s="58"/>
      <c r="B907" s="58"/>
      <c r="C907" s="58"/>
      <c r="D907" s="58"/>
      <c r="E907" s="58"/>
      <c r="F907" s="133"/>
      <c r="G907" s="90"/>
      <c r="H907" s="90"/>
      <c r="I907" s="90"/>
      <c r="J907" s="90"/>
      <c r="K907" s="90"/>
      <c r="L907" s="58"/>
      <c r="M907" s="58"/>
      <c r="N907" s="58"/>
      <c r="O907" s="58"/>
      <c r="P907" s="58"/>
      <c r="Q907" s="58"/>
      <c r="R907" s="58"/>
      <c r="S907" s="58"/>
      <c r="T907" s="58"/>
      <c r="U907" s="58"/>
      <c r="V907" s="58"/>
      <c r="W907" s="58"/>
      <c r="X907" s="58"/>
      <c r="Y907" s="58"/>
      <c r="Z907" s="58"/>
    </row>
    <row r="908" spans="1:26">
      <c r="A908" s="58"/>
      <c r="B908" s="58"/>
      <c r="C908" s="58"/>
      <c r="D908" s="58"/>
      <c r="E908" s="58"/>
      <c r="F908" s="133"/>
      <c r="G908" s="90"/>
      <c r="H908" s="90"/>
      <c r="I908" s="90"/>
      <c r="J908" s="90"/>
      <c r="K908" s="90"/>
      <c r="L908" s="58"/>
      <c r="M908" s="58"/>
      <c r="N908" s="58"/>
      <c r="O908" s="58"/>
      <c r="P908" s="58"/>
      <c r="Q908" s="58"/>
      <c r="R908" s="58"/>
      <c r="S908" s="58"/>
      <c r="T908" s="58"/>
      <c r="U908" s="58"/>
      <c r="V908" s="58"/>
      <c r="W908" s="58"/>
      <c r="X908" s="58"/>
      <c r="Y908" s="58"/>
      <c r="Z908" s="58"/>
    </row>
    <row r="909" spans="1:26">
      <c r="A909" s="58"/>
      <c r="B909" s="58"/>
      <c r="C909" s="58"/>
      <c r="D909" s="58"/>
      <c r="E909" s="58"/>
      <c r="F909" s="133"/>
      <c r="G909" s="90"/>
      <c r="H909" s="90"/>
      <c r="I909" s="90"/>
      <c r="J909" s="90"/>
      <c r="K909" s="90"/>
      <c r="L909" s="58"/>
      <c r="M909" s="58"/>
      <c r="N909" s="58"/>
      <c r="O909" s="58"/>
      <c r="P909" s="58"/>
      <c r="Q909" s="58"/>
      <c r="R909" s="58"/>
      <c r="S909" s="58"/>
      <c r="T909" s="58"/>
      <c r="U909" s="58"/>
      <c r="V909" s="58"/>
      <c r="W909" s="58"/>
      <c r="X909" s="58"/>
      <c r="Y909" s="58"/>
      <c r="Z909" s="58"/>
    </row>
    <row r="910" spans="1:26">
      <c r="A910" s="58"/>
      <c r="B910" s="58"/>
      <c r="C910" s="58"/>
      <c r="D910" s="58"/>
      <c r="E910" s="58"/>
      <c r="F910" s="133"/>
      <c r="G910" s="90"/>
      <c r="H910" s="90"/>
      <c r="I910" s="90"/>
      <c r="J910" s="90"/>
      <c r="K910" s="90"/>
      <c r="L910" s="58"/>
      <c r="M910" s="58"/>
      <c r="N910" s="58"/>
      <c r="O910" s="58"/>
      <c r="P910" s="58"/>
      <c r="Q910" s="58"/>
      <c r="R910" s="58"/>
      <c r="S910" s="58"/>
      <c r="T910" s="58"/>
      <c r="U910" s="58"/>
      <c r="V910" s="58"/>
      <c r="W910" s="58"/>
      <c r="X910" s="58"/>
      <c r="Y910" s="58"/>
      <c r="Z910" s="58"/>
    </row>
    <row r="911" spans="1:26">
      <c r="A911" s="58"/>
      <c r="B911" s="58"/>
      <c r="C911" s="58"/>
      <c r="D911" s="58"/>
      <c r="E911" s="58"/>
      <c r="F911" s="133"/>
      <c r="G911" s="90"/>
      <c r="H911" s="90"/>
      <c r="I911" s="90"/>
      <c r="J911" s="90"/>
      <c r="K911" s="90"/>
      <c r="L911" s="58"/>
      <c r="M911" s="58"/>
      <c r="N911" s="58"/>
      <c r="O911" s="58"/>
      <c r="P911" s="58"/>
      <c r="Q911" s="58"/>
      <c r="R911" s="58"/>
      <c r="S911" s="58"/>
      <c r="T911" s="58"/>
      <c r="U911" s="58"/>
      <c r="V911" s="58"/>
      <c r="W911" s="58"/>
      <c r="X911" s="58"/>
      <c r="Y911" s="58"/>
      <c r="Z911" s="58"/>
    </row>
    <row r="912" spans="1:26">
      <c r="A912" s="58"/>
      <c r="B912" s="58"/>
      <c r="C912" s="58"/>
      <c r="D912" s="58"/>
      <c r="E912" s="58"/>
      <c r="F912" s="133"/>
      <c r="G912" s="90"/>
      <c r="H912" s="90"/>
      <c r="I912" s="90"/>
      <c r="J912" s="90"/>
      <c r="K912" s="90"/>
      <c r="L912" s="58"/>
      <c r="M912" s="58"/>
      <c r="N912" s="58"/>
      <c r="O912" s="58"/>
      <c r="P912" s="58"/>
      <c r="Q912" s="58"/>
      <c r="R912" s="58"/>
      <c r="S912" s="58"/>
      <c r="T912" s="58"/>
      <c r="U912" s="58"/>
      <c r="V912" s="58"/>
      <c r="W912" s="58"/>
      <c r="X912" s="58"/>
      <c r="Y912" s="58"/>
      <c r="Z912" s="58"/>
    </row>
    <row r="913" spans="1:26">
      <c r="A913" s="58"/>
      <c r="B913" s="58"/>
      <c r="C913" s="58"/>
      <c r="D913" s="58"/>
      <c r="E913" s="58"/>
      <c r="F913" s="133"/>
      <c r="G913" s="90"/>
      <c r="H913" s="90"/>
      <c r="I913" s="90"/>
      <c r="J913" s="90"/>
      <c r="K913" s="90"/>
      <c r="L913" s="58"/>
      <c r="M913" s="58"/>
      <c r="N913" s="58"/>
      <c r="O913" s="58"/>
      <c r="P913" s="58"/>
      <c r="Q913" s="58"/>
      <c r="R913" s="58"/>
      <c r="S913" s="58"/>
      <c r="T913" s="58"/>
      <c r="U913" s="58"/>
      <c r="V913" s="58"/>
      <c r="W913" s="58"/>
      <c r="X913" s="58"/>
      <c r="Y913" s="58"/>
      <c r="Z913" s="58"/>
    </row>
    <row r="914" spans="1:26">
      <c r="A914" s="58"/>
      <c r="B914" s="58"/>
      <c r="C914" s="58"/>
      <c r="D914" s="58"/>
      <c r="E914" s="58"/>
      <c r="F914" s="133"/>
      <c r="G914" s="90"/>
      <c r="H914" s="90"/>
      <c r="I914" s="90"/>
      <c r="J914" s="90"/>
      <c r="K914" s="90"/>
      <c r="L914" s="58"/>
      <c r="M914" s="58"/>
      <c r="N914" s="58"/>
      <c r="O914" s="58"/>
      <c r="P914" s="58"/>
      <c r="Q914" s="58"/>
      <c r="R914" s="58"/>
      <c r="S914" s="58"/>
      <c r="T914" s="58"/>
      <c r="U914" s="58"/>
      <c r="V914" s="58"/>
      <c r="W914" s="58"/>
      <c r="X914" s="58"/>
      <c r="Y914" s="58"/>
      <c r="Z914" s="58"/>
    </row>
    <row r="915" spans="1:26">
      <c r="A915" s="58"/>
      <c r="B915" s="58"/>
      <c r="C915" s="58"/>
      <c r="D915" s="58"/>
      <c r="E915" s="58"/>
      <c r="F915" s="133"/>
      <c r="G915" s="90"/>
      <c r="H915" s="90"/>
      <c r="I915" s="90"/>
      <c r="J915" s="90"/>
      <c r="K915" s="90"/>
      <c r="L915" s="58"/>
      <c r="M915" s="58"/>
      <c r="N915" s="58"/>
      <c r="O915" s="58"/>
      <c r="P915" s="58"/>
      <c r="Q915" s="58"/>
      <c r="R915" s="58"/>
      <c r="S915" s="58"/>
      <c r="T915" s="58"/>
      <c r="U915" s="58"/>
      <c r="V915" s="58"/>
      <c r="W915" s="58"/>
      <c r="X915" s="58"/>
      <c r="Y915" s="58"/>
      <c r="Z915" s="58"/>
    </row>
    <row r="916" spans="1:26">
      <c r="A916" s="58"/>
      <c r="B916" s="58"/>
      <c r="C916" s="58"/>
      <c r="D916" s="58"/>
      <c r="E916" s="58"/>
      <c r="F916" s="133"/>
      <c r="G916" s="90"/>
      <c r="H916" s="90"/>
      <c r="I916" s="90"/>
      <c r="J916" s="90"/>
      <c r="K916" s="90"/>
      <c r="L916" s="58"/>
      <c r="M916" s="58"/>
      <c r="N916" s="58"/>
      <c r="O916" s="58"/>
      <c r="P916" s="58"/>
      <c r="Q916" s="58"/>
      <c r="R916" s="58"/>
      <c r="S916" s="58"/>
      <c r="T916" s="58"/>
      <c r="U916" s="58"/>
      <c r="V916" s="58"/>
      <c r="W916" s="58"/>
      <c r="X916" s="58"/>
      <c r="Y916" s="58"/>
      <c r="Z916" s="58"/>
    </row>
    <row r="917" spans="1:26">
      <c r="A917" s="58"/>
      <c r="B917" s="58"/>
      <c r="C917" s="58"/>
      <c r="D917" s="58"/>
      <c r="E917" s="58"/>
      <c r="F917" s="133"/>
      <c r="G917" s="90"/>
      <c r="H917" s="90"/>
      <c r="I917" s="90"/>
      <c r="J917" s="90"/>
      <c r="K917" s="90"/>
      <c r="L917" s="58"/>
      <c r="M917" s="58"/>
      <c r="N917" s="58"/>
      <c r="O917" s="58"/>
      <c r="P917" s="58"/>
      <c r="Q917" s="58"/>
      <c r="R917" s="58"/>
      <c r="S917" s="58"/>
      <c r="T917" s="58"/>
      <c r="U917" s="58"/>
      <c r="V917" s="58"/>
      <c r="W917" s="58"/>
      <c r="X917" s="58"/>
      <c r="Y917" s="58"/>
      <c r="Z917" s="58"/>
    </row>
    <row r="918" spans="1:26">
      <c r="A918" s="58"/>
      <c r="B918" s="58"/>
      <c r="C918" s="58"/>
      <c r="D918" s="58"/>
      <c r="E918" s="58"/>
      <c r="F918" s="133"/>
      <c r="G918" s="90"/>
      <c r="H918" s="90"/>
      <c r="I918" s="90"/>
      <c r="J918" s="90"/>
      <c r="K918" s="90"/>
      <c r="L918" s="58"/>
      <c r="M918" s="58"/>
      <c r="N918" s="58"/>
      <c r="O918" s="58"/>
      <c r="P918" s="58"/>
      <c r="Q918" s="58"/>
      <c r="R918" s="58"/>
      <c r="S918" s="58"/>
      <c r="T918" s="58"/>
      <c r="U918" s="58"/>
      <c r="V918" s="58"/>
      <c r="W918" s="58"/>
      <c r="X918" s="58"/>
      <c r="Y918" s="58"/>
      <c r="Z918" s="58"/>
    </row>
    <row r="919" spans="1:26">
      <c r="A919" s="58"/>
      <c r="B919" s="58"/>
      <c r="C919" s="58"/>
      <c r="D919" s="58"/>
      <c r="E919" s="58"/>
      <c r="F919" s="133"/>
      <c r="G919" s="90"/>
      <c r="H919" s="90"/>
      <c r="I919" s="90"/>
      <c r="J919" s="90"/>
      <c r="K919" s="90"/>
      <c r="L919" s="58"/>
      <c r="M919" s="58"/>
      <c r="N919" s="58"/>
      <c r="O919" s="58"/>
      <c r="P919" s="58"/>
      <c r="Q919" s="58"/>
      <c r="R919" s="58"/>
      <c r="S919" s="58"/>
      <c r="T919" s="58"/>
      <c r="U919" s="58"/>
      <c r="V919" s="58"/>
      <c r="W919" s="58"/>
      <c r="X919" s="58"/>
      <c r="Y919" s="58"/>
      <c r="Z919" s="58"/>
    </row>
    <row r="920" spans="1:26">
      <c r="A920" s="58"/>
      <c r="B920" s="58"/>
      <c r="C920" s="58"/>
      <c r="D920" s="58"/>
      <c r="E920" s="58"/>
      <c r="F920" s="133"/>
      <c r="G920" s="90"/>
      <c r="H920" s="90"/>
      <c r="I920" s="90"/>
      <c r="J920" s="90"/>
      <c r="K920" s="90"/>
      <c r="L920" s="58"/>
      <c r="M920" s="58"/>
      <c r="N920" s="58"/>
      <c r="O920" s="58"/>
      <c r="P920" s="58"/>
      <c r="Q920" s="58"/>
      <c r="R920" s="58"/>
      <c r="S920" s="58"/>
      <c r="T920" s="58"/>
      <c r="U920" s="58"/>
      <c r="V920" s="58"/>
      <c r="W920" s="58"/>
      <c r="X920" s="58"/>
      <c r="Y920" s="58"/>
      <c r="Z920" s="58"/>
    </row>
    <row r="921" spans="1:26">
      <c r="A921" s="58"/>
      <c r="B921" s="58"/>
      <c r="C921" s="58"/>
      <c r="D921" s="58"/>
      <c r="E921" s="58"/>
      <c r="F921" s="133"/>
      <c r="G921" s="90"/>
      <c r="H921" s="90"/>
      <c r="I921" s="90"/>
      <c r="J921" s="90"/>
      <c r="K921" s="90"/>
      <c r="L921" s="58"/>
      <c r="M921" s="58"/>
      <c r="N921" s="58"/>
      <c r="O921" s="58"/>
      <c r="P921" s="58"/>
      <c r="Q921" s="58"/>
      <c r="R921" s="58"/>
      <c r="S921" s="58"/>
      <c r="T921" s="58"/>
      <c r="U921" s="58"/>
      <c r="V921" s="58"/>
      <c r="W921" s="58"/>
      <c r="X921" s="58"/>
      <c r="Y921" s="58"/>
      <c r="Z921" s="58"/>
    </row>
    <row r="922" spans="1:26">
      <c r="A922" s="58"/>
      <c r="B922" s="58"/>
      <c r="C922" s="58"/>
      <c r="D922" s="58"/>
      <c r="E922" s="58"/>
      <c r="F922" s="133"/>
      <c r="G922" s="90"/>
      <c r="H922" s="90"/>
      <c r="I922" s="90"/>
      <c r="J922" s="90"/>
      <c r="K922" s="90"/>
      <c r="L922" s="58"/>
      <c r="M922" s="58"/>
      <c r="N922" s="58"/>
      <c r="O922" s="58"/>
      <c r="P922" s="58"/>
      <c r="Q922" s="58"/>
      <c r="R922" s="58"/>
      <c r="S922" s="58"/>
      <c r="T922" s="58"/>
      <c r="U922" s="58"/>
      <c r="V922" s="58"/>
      <c r="W922" s="58"/>
      <c r="X922" s="58"/>
      <c r="Y922" s="58"/>
      <c r="Z922" s="58"/>
    </row>
    <row r="923" spans="1:26">
      <c r="A923" s="58"/>
      <c r="B923" s="58"/>
      <c r="C923" s="58"/>
      <c r="D923" s="58"/>
      <c r="E923" s="58"/>
      <c r="F923" s="133"/>
      <c r="G923" s="90"/>
      <c r="H923" s="90"/>
      <c r="I923" s="90"/>
      <c r="J923" s="90"/>
      <c r="K923" s="90"/>
      <c r="L923" s="58"/>
      <c r="M923" s="58"/>
      <c r="N923" s="58"/>
      <c r="O923" s="58"/>
      <c r="P923" s="58"/>
      <c r="Q923" s="58"/>
      <c r="R923" s="58"/>
      <c r="S923" s="58"/>
      <c r="T923" s="58"/>
      <c r="U923" s="58"/>
      <c r="V923" s="58"/>
      <c r="W923" s="58"/>
      <c r="X923" s="58"/>
      <c r="Y923" s="58"/>
      <c r="Z923" s="58"/>
    </row>
    <row r="924" spans="1:26">
      <c r="A924" s="58"/>
      <c r="B924" s="58"/>
      <c r="C924" s="58"/>
      <c r="D924" s="58"/>
      <c r="E924" s="58"/>
      <c r="F924" s="133"/>
      <c r="G924" s="90"/>
      <c r="H924" s="90"/>
      <c r="I924" s="90"/>
      <c r="J924" s="90"/>
      <c r="K924" s="90"/>
      <c r="L924" s="58"/>
      <c r="M924" s="58"/>
      <c r="N924" s="58"/>
      <c r="O924" s="58"/>
      <c r="P924" s="58"/>
      <c r="Q924" s="58"/>
      <c r="R924" s="58"/>
      <c r="S924" s="58"/>
      <c r="T924" s="58"/>
      <c r="U924" s="58"/>
      <c r="V924" s="58"/>
      <c r="W924" s="58"/>
      <c r="X924" s="58"/>
      <c r="Y924" s="58"/>
      <c r="Z924" s="58"/>
    </row>
    <row r="925" spans="1:26">
      <c r="A925" s="58"/>
      <c r="B925" s="58"/>
      <c r="C925" s="58"/>
      <c r="D925" s="58"/>
      <c r="E925" s="58"/>
      <c r="F925" s="133"/>
      <c r="G925" s="90"/>
      <c r="H925" s="90"/>
      <c r="I925" s="90"/>
      <c r="J925" s="90"/>
      <c r="K925" s="90"/>
      <c r="L925" s="58"/>
      <c r="M925" s="58"/>
      <c r="N925" s="58"/>
      <c r="O925" s="58"/>
      <c r="P925" s="58"/>
      <c r="Q925" s="58"/>
      <c r="R925" s="58"/>
      <c r="S925" s="58"/>
      <c r="T925" s="58"/>
      <c r="U925" s="58"/>
      <c r="V925" s="58"/>
      <c r="W925" s="58"/>
      <c r="X925" s="58"/>
      <c r="Y925" s="58"/>
      <c r="Z925" s="58"/>
    </row>
    <row r="926" spans="1:26">
      <c r="A926" s="58"/>
      <c r="B926" s="58"/>
      <c r="C926" s="58"/>
      <c r="D926" s="58"/>
      <c r="E926" s="58"/>
      <c r="F926" s="133"/>
      <c r="G926" s="90"/>
      <c r="H926" s="90"/>
      <c r="I926" s="90"/>
      <c r="J926" s="90"/>
      <c r="K926" s="90"/>
      <c r="L926" s="58"/>
      <c r="M926" s="58"/>
      <c r="N926" s="58"/>
      <c r="O926" s="58"/>
      <c r="P926" s="58"/>
      <c r="Q926" s="58"/>
      <c r="R926" s="58"/>
      <c r="S926" s="58"/>
      <c r="T926" s="58"/>
      <c r="U926" s="58"/>
      <c r="V926" s="58"/>
      <c r="W926" s="58"/>
      <c r="X926" s="58"/>
      <c r="Y926" s="58"/>
      <c r="Z926" s="58"/>
    </row>
    <row r="927" spans="1:26">
      <c r="A927" s="58"/>
      <c r="B927" s="58"/>
      <c r="C927" s="58"/>
      <c r="D927" s="58"/>
      <c r="E927" s="58"/>
      <c r="F927" s="133"/>
      <c r="G927" s="90"/>
      <c r="H927" s="90"/>
      <c r="I927" s="90"/>
      <c r="J927" s="90"/>
      <c r="K927" s="90"/>
      <c r="L927" s="58"/>
      <c r="M927" s="58"/>
      <c r="N927" s="58"/>
      <c r="O927" s="58"/>
      <c r="P927" s="58"/>
      <c r="Q927" s="58"/>
      <c r="R927" s="58"/>
      <c r="S927" s="58"/>
      <c r="T927" s="58"/>
      <c r="U927" s="58"/>
      <c r="V927" s="58"/>
      <c r="W927" s="58"/>
      <c r="X927" s="58"/>
      <c r="Y927" s="58"/>
      <c r="Z927" s="58"/>
    </row>
    <row r="928" spans="1:26">
      <c r="A928" s="58"/>
      <c r="B928" s="58"/>
      <c r="C928" s="58"/>
      <c r="D928" s="58"/>
      <c r="E928" s="58"/>
      <c r="F928" s="133"/>
      <c r="G928" s="90"/>
      <c r="H928" s="90"/>
      <c r="I928" s="90"/>
      <c r="J928" s="90"/>
      <c r="K928" s="90"/>
      <c r="L928" s="58"/>
      <c r="M928" s="58"/>
      <c r="N928" s="58"/>
      <c r="O928" s="58"/>
      <c r="P928" s="58"/>
      <c r="Q928" s="58"/>
      <c r="R928" s="58"/>
      <c r="S928" s="58"/>
      <c r="T928" s="58"/>
      <c r="U928" s="58"/>
      <c r="V928" s="58"/>
      <c r="W928" s="58"/>
      <c r="X928" s="58"/>
      <c r="Y928" s="58"/>
      <c r="Z928" s="58"/>
    </row>
    <row r="929" spans="1:26">
      <c r="A929" s="58"/>
      <c r="B929" s="58"/>
      <c r="C929" s="58"/>
      <c r="D929" s="58"/>
      <c r="E929" s="58"/>
      <c r="F929" s="133"/>
      <c r="G929" s="90"/>
      <c r="H929" s="90"/>
      <c r="I929" s="90"/>
      <c r="J929" s="90"/>
      <c r="K929" s="90"/>
      <c r="L929" s="58"/>
      <c r="M929" s="58"/>
      <c r="N929" s="58"/>
      <c r="O929" s="58"/>
      <c r="P929" s="58"/>
      <c r="Q929" s="58"/>
      <c r="R929" s="58"/>
      <c r="S929" s="58"/>
      <c r="T929" s="58"/>
      <c r="U929" s="58"/>
      <c r="V929" s="58"/>
      <c r="W929" s="58"/>
      <c r="X929" s="58"/>
      <c r="Y929" s="58"/>
      <c r="Z929" s="58"/>
    </row>
    <row r="930" spans="1:26">
      <c r="A930" s="58"/>
      <c r="B930" s="58"/>
      <c r="C930" s="58"/>
      <c r="D930" s="58"/>
      <c r="E930" s="58"/>
      <c r="F930" s="133"/>
      <c r="G930" s="90"/>
      <c r="H930" s="90"/>
      <c r="I930" s="90"/>
      <c r="J930" s="90"/>
      <c r="K930" s="90"/>
      <c r="L930" s="58"/>
      <c r="M930" s="58"/>
      <c r="N930" s="58"/>
      <c r="O930" s="58"/>
      <c r="P930" s="58"/>
      <c r="Q930" s="58"/>
      <c r="R930" s="58"/>
      <c r="S930" s="58"/>
      <c r="T930" s="58"/>
      <c r="U930" s="58"/>
      <c r="V930" s="58"/>
      <c r="W930" s="58"/>
      <c r="X930" s="58"/>
      <c r="Y930" s="58"/>
      <c r="Z930" s="58"/>
    </row>
    <row r="931" spans="1:26">
      <c r="A931" s="58"/>
      <c r="B931" s="58"/>
      <c r="C931" s="58"/>
      <c r="D931" s="58"/>
      <c r="E931" s="58"/>
      <c r="F931" s="133"/>
      <c r="G931" s="90"/>
      <c r="H931" s="90"/>
      <c r="I931" s="90"/>
      <c r="J931" s="90"/>
      <c r="K931" s="90"/>
      <c r="L931" s="58"/>
      <c r="M931" s="58"/>
      <c r="N931" s="58"/>
      <c r="O931" s="58"/>
      <c r="P931" s="58"/>
      <c r="Q931" s="58"/>
      <c r="R931" s="58"/>
      <c r="S931" s="58"/>
      <c r="T931" s="58"/>
      <c r="U931" s="58"/>
      <c r="V931" s="58"/>
      <c r="W931" s="58"/>
      <c r="X931" s="58"/>
      <c r="Y931" s="58"/>
      <c r="Z931" s="58"/>
    </row>
    <row r="932" spans="1:26">
      <c r="A932" s="58"/>
      <c r="B932" s="58"/>
      <c r="C932" s="58"/>
      <c r="D932" s="58"/>
      <c r="E932" s="58"/>
      <c r="F932" s="133"/>
      <c r="G932" s="90"/>
      <c r="H932" s="90"/>
      <c r="I932" s="90"/>
      <c r="J932" s="90"/>
      <c r="K932" s="90"/>
      <c r="L932" s="58"/>
      <c r="M932" s="58"/>
      <c r="N932" s="58"/>
      <c r="O932" s="58"/>
      <c r="P932" s="58"/>
      <c r="Q932" s="58"/>
      <c r="R932" s="58"/>
      <c r="S932" s="58"/>
      <c r="T932" s="58"/>
      <c r="U932" s="58"/>
      <c r="V932" s="58"/>
      <c r="W932" s="58"/>
      <c r="X932" s="58"/>
      <c r="Y932" s="58"/>
      <c r="Z932" s="58"/>
    </row>
    <row r="933" spans="1:26">
      <c r="A933" s="58"/>
      <c r="B933" s="58"/>
      <c r="C933" s="58"/>
      <c r="D933" s="58"/>
      <c r="E933" s="58"/>
      <c r="F933" s="133"/>
      <c r="G933" s="90"/>
      <c r="H933" s="90"/>
      <c r="I933" s="90"/>
      <c r="J933" s="90"/>
      <c r="K933" s="90"/>
      <c r="L933" s="58"/>
      <c r="M933" s="58"/>
      <c r="N933" s="58"/>
      <c r="O933" s="58"/>
      <c r="P933" s="58"/>
      <c r="Q933" s="58"/>
      <c r="R933" s="58"/>
      <c r="S933" s="58"/>
      <c r="T933" s="58"/>
      <c r="U933" s="58"/>
      <c r="V933" s="58"/>
      <c r="W933" s="58"/>
      <c r="X933" s="58"/>
      <c r="Y933" s="58"/>
      <c r="Z933" s="58"/>
    </row>
    <row r="934" spans="1:26">
      <c r="A934" s="58"/>
      <c r="B934" s="58"/>
      <c r="C934" s="58"/>
      <c r="D934" s="58"/>
      <c r="E934" s="58"/>
      <c r="F934" s="133"/>
      <c r="G934" s="90"/>
      <c r="H934" s="90"/>
      <c r="I934" s="90"/>
      <c r="J934" s="90"/>
      <c r="K934" s="90"/>
      <c r="L934" s="58"/>
      <c r="M934" s="58"/>
      <c r="N934" s="58"/>
      <c r="O934" s="58"/>
      <c r="P934" s="58"/>
      <c r="Q934" s="58"/>
      <c r="R934" s="58"/>
      <c r="S934" s="58"/>
      <c r="T934" s="58"/>
      <c r="U934" s="58"/>
      <c r="V934" s="58"/>
      <c r="W934" s="58"/>
      <c r="X934" s="58"/>
      <c r="Y934" s="58"/>
      <c r="Z934" s="58"/>
    </row>
    <row r="935" spans="1:26">
      <c r="A935" s="58"/>
      <c r="B935" s="58"/>
      <c r="C935" s="58"/>
      <c r="D935" s="58"/>
      <c r="E935" s="58"/>
      <c r="F935" s="133"/>
      <c r="G935" s="90"/>
      <c r="H935" s="90"/>
      <c r="I935" s="90"/>
      <c r="J935" s="90"/>
      <c r="K935" s="90"/>
      <c r="L935" s="58"/>
      <c r="M935" s="58"/>
      <c r="N935" s="58"/>
      <c r="O935" s="58"/>
      <c r="P935" s="58"/>
      <c r="Q935" s="58"/>
      <c r="R935" s="58"/>
      <c r="S935" s="58"/>
      <c r="T935" s="58"/>
      <c r="U935" s="58"/>
      <c r="V935" s="58"/>
      <c r="W935" s="58"/>
      <c r="X935" s="58"/>
      <c r="Y935" s="58"/>
      <c r="Z935" s="58"/>
    </row>
    <row r="936" spans="1:26">
      <c r="A936" s="58"/>
      <c r="B936" s="58"/>
      <c r="C936" s="58"/>
      <c r="D936" s="58"/>
      <c r="E936" s="58"/>
      <c r="F936" s="133"/>
      <c r="G936" s="90"/>
      <c r="H936" s="90"/>
      <c r="I936" s="90"/>
      <c r="J936" s="90"/>
      <c r="K936" s="90"/>
      <c r="L936" s="58"/>
      <c r="M936" s="58"/>
      <c r="N936" s="58"/>
      <c r="O936" s="58"/>
      <c r="P936" s="58"/>
      <c r="Q936" s="58"/>
      <c r="R936" s="58"/>
      <c r="S936" s="58"/>
      <c r="T936" s="58"/>
      <c r="U936" s="58"/>
      <c r="V936" s="58"/>
      <c r="W936" s="58"/>
      <c r="X936" s="58"/>
      <c r="Y936" s="58"/>
      <c r="Z936" s="58"/>
    </row>
    <row r="937" spans="1:26">
      <c r="A937" s="58"/>
      <c r="B937" s="58"/>
      <c r="C937" s="58"/>
      <c r="D937" s="58"/>
      <c r="E937" s="58"/>
      <c r="F937" s="133"/>
      <c r="G937" s="90"/>
      <c r="H937" s="90"/>
      <c r="I937" s="90"/>
      <c r="J937" s="90"/>
      <c r="K937" s="90"/>
      <c r="L937" s="58"/>
      <c r="M937" s="58"/>
      <c r="N937" s="58"/>
      <c r="O937" s="58"/>
      <c r="P937" s="58"/>
      <c r="Q937" s="58"/>
      <c r="R937" s="58"/>
      <c r="S937" s="58"/>
      <c r="T937" s="58"/>
      <c r="U937" s="58"/>
      <c r="V937" s="58"/>
      <c r="W937" s="58"/>
      <c r="X937" s="58"/>
      <c r="Y937" s="58"/>
      <c r="Z937" s="58"/>
    </row>
    <row r="938" spans="1:26">
      <c r="A938" s="58"/>
      <c r="B938" s="58"/>
      <c r="C938" s="58"/>
      <c r="D938" s="58"/>
      <c r="E938" s="58"/>
      <c r="F938" s="133"/>
      <c r="G938" s="90"/>
      <c r="H938" s="90"/>
      <c r="I938" s="90"/>
      <c r="J938" s="90"/>
      <c r="K938" s="90"/>
      <c r="L938" s="58"/>
      <c r="M938" s="58"/>
      <c r="N938" s="58"/>
      <c r="O938" s="58"/>
      <c r="P938" s="58"/>
      <c r="Q938" s="58"/>
      <c r="R938" s="58"/>
      <c r="S938" s="58"/>
      <c r="T938" s="58"/>
      <c r="U938" s="58"/>
      <c r="V938" s="58"/>
      <c r="W938" s="58"/>
      <c r="X938" s="58"/>
      <c r="Y938" s="58"/>
      <c r="Z938" s="58"/>
    </row>
    <row r="939" spans="1:26">
      <c r="A939" s="58"/>
      <c r="B939" s="58"/>
      <c r="C939" s="58"/>
      <c r="D939" s="58"/>
      <c r="E939" s="58"/>
      <c r="F939" s="133"/>
      <c r="G939" s="90"/>
      <c r="H939" s="90"/>
      <c r="I939" s="90"/>
      <c r="J939" s="90"/>
      <c r="K939" s="90"/>
      <c r="L939" s="58"/>
      <c r="M939" s="58"/>
      <c r="N939" s="58"/>
      <c r="O939" s="58"/>
      <c r="P939" s="58"/>
      <c r="Q939" s="58"/>
      <c r="R939" s="58"/>
      <c r="S939" s="58"/>
      <c r="T939" s="58"/>
      <c r="U939" s="58"/>
      <c r="V939" s="58"/>
      <c r="W939" s="58"/>
      <c r="X939" s="58"/>
      <c r="Y939" s="58"/>
      <c r="Z939" s="58"/>
    </row>
    <row r="940" spans="1:26">
      <c r="A940" s="58"/>
      <c r="B940" s="58"/>
      <c r="C940" s="58"/>
      <c r="D940" s="58"/>
      <c r="E940" s="58"/>
      <c r="F940" s="133"/>
      <c r="G940" s="90"/>
      <c r="H940" s="90"/>
      <c r="I940" s="90"/>
      <c r="J940" s="90"/>
      <c r="K940" s="90"/>
      <c r="L940" s="58"/>
      <c r="M940" s="58"/>
      <c r="N940" s="58"/>
      <c r="O940" s="58"/>
      <c r="P940" s="58"/>
      <c r="Q940" s="58"/>
      <c r="R940" s="58"/>
      <c r="S940" s="58"/>
      <c r="T940" s="58"/>
      <c r="U940" s="58"/>
      <c r="V940" s="58"/>
      <c r="W940" s="58"/>
      <c r="X940" s="58"/>
      <c r="Y940" s="58"/>
      <c r="Z940" s="58"/>
    </row>
    <row r="941" spans="1:26">
      <c r="A941" s="58"/>
      <c r="B941" s="58"/>
      <c r="C941" s="58"/>
      <c r="D941" s="58"/>
      <c r="E941" s="58"/>
      <c r="F941" s="133"/>
      <c r="G941" s="90"/>
      <c r="H941" s="90"/>
      <c r="I941" s="90"/>
      <c r="J941" s="90"/>
      <c r="K941" s="90"/>
      <c r="L941" s="58"/>
      <c r="M941" s="58"/>
      <c r="N941" s="58"/>
      <c r="O941" s="58"/>
      <c r="P941" s="58"/>
      <c r="Q941" s="58"/>
      <c r="R941" s="58"/>
      <c r="S941" s="58"/>
      <c r="T941" s="58"/>
      <c r="U941" s="58"/>
      <c r="V941" s="58"/>
      <c r="W941" s="58"/>
      <c r="X941" s="58"/>
      <c r="Y941" s="58"/>
      <c r="Z941" s="58"/>
    </row>
    <row r="942" spans="1:26">
      <c r="A942" s="58"/>
      <c r="B942" s="58"/>
      <c r="C942" s="58"/>
      <c r="D942" s="58"/>
      <c r="E942" s="58"/>
      <c r="F942" s="133"/>
      <c r="G942" s="90"/>
      <c r="H942" s="90"/>
      <c r="I942" s="90"/>
      <c r="J942" s="90"/>
      <c r="K942" s="90"/>
      <c r="L942" s="58"/>
      <c r="M942" s="58"/>
      <c r="N942" s="58"/>
      <c r="O942" s="58"/>
      <c r="P942" s="58"/>
      <c r="Q942" s="58"/>
      <c r="R942" s="58"/>
      <c r="S942" s="58"/>
      <c r="T942" s="58"/>
      <c r="U942" s="58"/>
      <c r="V942" s="58"/>
      <c r="W942" s="58"/>
      <c r="X942" s="58"/>
      <c r="Y942" s="58"/>
      <c r="Z942" s="58"/>
    </row>
    <row r="943" spans="1:26">
      <c r="A943" s="58"/>
      <c r="B943" s="58"/>
      <c r="C943" s="58"/>
      <c r="D943" s="58"/>
      <c r="E943" s="58"/>
      <c r="F943" s="133"/>
      <c r="G943" s="90"/>
      <c r="H943" s="90"/>
      <c r="I943" s="90"/>
      <c r="J943" s="90"/>
      <c r="K943" s="90"/>
      <c r="L943" s="58"/>
      <c r="M943" s="58"/>
      <c r="N943" s="58"/>
      <c r="O943" s="58"/>
      <c r="P943" s="58"/>
      <c r="Q943" s="58"/>
      <c r="R943" s="58"/>
      <c r="S943" s="58"/>
      <c r="T943" s="58"/>
      <c r="U943" s="58"/>
      <c r="V943" s="58"/>
      <c r="W943" s="58"/>
      <c r="X943" s="58"/>
      <c r="Y943" s="58"/>
      <c r="Z943" s="58"/>
    </row>
    <row r="944" spans="1:26">
      <c r="A944" s="58"/>
      <c r="B944" s="58"/>
      <c r="C944" s="58"/>
      <c r="D944" s="58"/>
      <c r="E944" s="58"/>
      <c r="F944" s="133"/>
      <c r="G944" s="90"/>
      <c r="H944" s="90"/>
      <c r="I944" s="90"/>
      <c r="J944" s="90"/>
      <c r="K944" s="90"/>
      <c r="L944" s="58"/>
      <c r="M944" s="58"/>
      <c r="N944" s="58"/>
      <c r="O944" s="58"/>
      <c r="P944" s="58"/>
      <c r="Q944" s="58"/>
      <c r="R944" s="58"/>
      <c r="S944" s="58"/>
      <c r="T944" s="58"/>
      <c r="U944" s="58"/>
      <c r="V944" s="58"/>
      <c r="W944" s="58"/>
      <c r="X944" s="58"/>
      <c r="Y944" s="58"/>
      <c r="Z944" s="58"/>
    </row>
    <row r="945" spans="1:26">
      <c r="A945" s="58"/>
      <c r="B945" s="58"/>
      <c r="C945" s="58"/>
      <c r="D945" s="58"/>
      <c r="E945" s="58"/>
      <c r="F945" s="133"/>
      <c r="G945" s="90"/>
      <c r="H945" s="90"/>
      <c r="I945" s="90"/>
      <c r="J945" s="90"/>
      <c r="K945" s="90"/>
      <c r="L945" s="58"/>
      <c r="M945" s="58"/>
      <c r="N945" s="58"/>
      <c r="O945" s="58"/>
      <c r="P945" s="58"/>
      <c r="Q945" s="58"/>
      <c r="R945" s="58"/>
      <c r="S945" s="58"/>
      <c r="T945" s="58"/>
      <c r="U945" s="58"/>
      <c r="V945" s="58"/>
      <c r="W945" s="58"/>
      <c r="X945" s="58"/>
      <c r="Y945" s="58"/>
      <c r="Z945" s="58"/>
    </row>
    <row r="946" spans="1:26">
      <c r="A946" s="58"/>
      <c r="B946" s="58"/>
      <c r="C946" s="58"/>
      <c r="D946" s="58"/>
      <c r="E946" s="58"/>
      <c r="F946" s="133"/>
      <c r="G946" s="90"/>
      <c r="H946" s="90"/>
      <c r="I946" s="90"/>
      <c r="J946" s="90"/>
      <c r="K946" s="90"/>
      <c r="L946" s="58"/>
      <c r="M946" s="58"/>
      <c r="N946" s="58"/>
      <c r="O946" s="58"/>
      <c r="P946" s="58"/>
      <c r="Q946" s="58"/>
      <c r="R946" s="58"/>
      <c r="S946" s="58"/>
      <c r="T946" s="58"/>
      <c r="U946" s="58"/>
      <c r="V946" s="58"/>
      <c r="W946" s="58"/>
      <c r="X946" s="58"/>
      <c r="Y946" s="58"/>
      <c r="Z946" s="58"/>
    </row>
    <row r="947" spans="1:26">
      <c r="A947" s="58"/>
      <c r="B947" s="58"/>
      <c r="C947" s="58"/>
      <c r="D947" s="58"/>
      <c r="E947" s="58"/>
      <c r="F947" s="133"/>
      <c r="G947" s="90"/>
      <c r="H947" s="90"/>
      <c r="I947" s="90"/>
      <c r="J947" s="90"/>
      <c r="K947" s="90"/>
      <c r="L947" s="58"/>
      <c r="M947" s="58"/>
      <c r="N947" s="58"/>
      <c r="O947" s="58"/>
      <c r="P947" s="58"/>
      <c r="Q947" s="58"/>
      <c r="R947" s="58"/>
      <c r="S947" s="58"/>
      <c r="T947" s="58"/>
      <c r="U947" s="58"/>
      <c r="V947" s="58"/>
      <c r="W947" s="58"/>
      <c r="X947" s="58"/>
      <c r="Y947" s="58"/>
      <c r="Z947" s="58"/>
    </row>
    <row r="948" spans="1:26">
      <c r="A948" s="58"/>
      <c r="B948" s="58"/>
      <c r="C948" s="58"/>
      <c r="D948" s="58"/>
      <c r="E948" s="58"/>
      <c r="F948" s="133"/>
      <c r="G948" s="90"/>
      <c r="H948" s="90"/>
      <c r="I948" s="90"/>
      <c r="J948" s="90"/>
      <c r="K948" s="90"/>
      <c r="L948" s="58"/>
      <c r="M948" s="58"/>
      <c r="N948" s="58"/>
      <c r="O948" s="58"/>
      <c r="P948" s="58"/>
      <c r="Q948" s="58"/>
      <c r="R948" s="58"/>
      <c r="S948" s="58"/>
      <c r="T948" s="58"/>
      <c r="U948" s="58"/>
      <c r="V948" s="58"/>
      <c r="W948" s="58"/>
      <c r="X948" s="58"/>
      <c r="Y948" s="58"/>
      <c r="Z948" s="58"/>
    </row>
    <row r="949" spans="1:26">
      <c r="A949" s="58"/>
      <c r="B949" s="58"/>
      <c r="C949" s="58"/>
      <c r="D949" s="58"/>
      <c r="E949" s="58"/>
      <c r="F949" s="133"/>
      <c r="G949" s="90"/>
      <c r="H949" s="90"/>
      <c r="I949" s="90"/>
      <c r="J949" s="90"/>
      <c r="K949" s="90"/>
      <c r="L949" s="58"/>
      <c r="M949" s="58"/>
      <c r="N949" s="58"/>
      <c r="O949" s="58"/>
      <c r="P949" s="58"/>
      <c r="Q949" s="58"/>
      <c r="R949" s="58"/>
      <c r="S949" s="58"/>
      <c r="T949" s="58"/>
      <c r="U949" s="58"/>
      <c r="V949" s="58"/>
      <c r="W949" s="58"/>
      <c r="X949" s="58"/>
      <c r="Y949" s="58"/>
      <c r="Z949" s="58"/>
    </row>
    <row r="950" spans="1:26">
      <c r="A950" s="58"/>
      <c r="B950" s="58"/>
      <c r="C950" s="58"/>
      <c r="D950" s="58"/>
      <c r="E950" s="58"/>
      <c r="F950" s="133"/>
      <c r="G950" s="90"/>
      <c r="H950" s="90"/>
      <c r="I950" s="90"/>
      <c r="J950" s="90"/>
      <c r="K950" s="90"/>
      <c r="L950" s="58"/>
      <c r="M950" s="58"/>
      <c r="N950" s="58"/>
      <c r="O950" s="58"/>
      <c r="P950" s="58"/>
      <c r="Q950" s="58"/>
      <c r="R950" s="58"/>
      <c r="S950" s="58"/>
      <c r="T950" s="58"/>
      <c r="U950" s="58"/>
      <c r="V950" s="58"/>
      <c r="W950" s="58"/>
      <c r="X950" s="58"/>
      <c r="Y950" s="58"/>
      <c r="Z950" s="58"/>
    </row>
    <row r="951" spans="1:26">
      <c r="A951" s="58"/>
      <c r="B951" s="58"/>
      <c r="C951" s="58"/>
      <c r="D951" s="58"/>
      <c r="E951" s="58"/>
      <c r="F951" s="133"/>
      <c r="G951" s="90"/>
      <c r="H951" s="90"/>
      <c r="I951" s="90"/>
      <c r="J951" s="90"/>
      <c r="K951" s="90"/>
      <c r="L951" s="58"/>
      <c r="M951" s="58"/>
      <c r="N951" s="58"/>
      <c r="O951" s="58"/>
      <c r="P951" s="58"/>
      <c r="Q951" s="58"/>
      <c r="R951" s="58"/>
      <c r="S951" s="58"/>
      <c r="T951" s="58"/>
      <c r="U951" s="58"/>
      <c r="V951" s="58"/>
      <c r="W951" s="58"/>
      <c r="X951" s="58"/>
      <c r="Y951" s="58"/>
      <c r="Z951" s="58"/>
    </row>
    <row r="952" spans="1:26">
      <c r="A952" s="58"/>
      <c r="B952" s="58"/>
      <c r="C952" s="58"/>
      <c r="D952" s="58"/>
      <c r="E952" s="58"/>
      <c r="F952" s="133"/>
      <c r="G952" s="90"/>
      <c r="H952" s="90"/>
      <c r="I952" s="90"/>
      <c r="J952" s="90"/>
      <c r="K952" s="90"/>
      <c r="L952" s="58"/>
      <c r="M952" s="58"/>
      <c r="N952" s="58"/>
      <c r="O952" s="58"/>
      <c r="P952" s="58"/>
      <c r="Q952" s="58"/>
      <c r="R952" s="58"/>
      <c r="S952" s="58"/>
      <c r="T952" s="58"/>
      <c r="U952" s="58"/>
      <c r="V952" s="58"/>
      <c r="W952" s="58"/>
      <c r="X952" s="58"/>
      <c r="Y952" s="58"/>
      <c r="Z952" s="58"/>
    </row>
    <row r="953" spans="1:26">
      <c r="A953" s="58"/>
      <c r="B953" s="58"/>
      <c r="C953" s="58"/>
      <c r="D953" s="58"/>
      <c r="E953" s="58"/>
      <c r="F953" s="133"/>
      <c r="G953" s="90"/>
      <c r="H953" s="90"/>
      <c r="I953" s="90"/>
      <c r="J953" s="90"/>
      <c r="K953" s="90"/>
      <c r="L953" s="58"/>
      <c r="M953" s="58"/>
      <c r="N953" s="58"/>
      <c r="O953" s="58"/>
      <c r="P953" s="58"/>
      <c r="Q953" s="58"/>
      <c r="R953" s="58"/>
      <c r="S953" s="58"/>
      <c r="T953" s="58"/>
      <c r="U953" s="58"/>
      <c r="V953" s="58"/>
      <c r="W953" s="58"/>
      <c r="X953" s="58"/>
      <c r="Y953" s="58"/>
      <c r="Z953" s="58"/>
    </row>
    <row r="954" spans="1:26">
      <c r="A954" s="58"/>
      <c r="B954" s="58"/>
      <c r="C954" s="58"/>
      <c r="D954" s="58"/>
      <c r="E954" s="58"/>
      <c r="F954" s="133"/>
      <c r="G954" s="90"/>
      <c r="H954" s="90"/>
      <c r="I954" s="90"/>
      <c r="J954" s="90"/>
      <c r="K954" s="90"/>
      <c r="L954" s="58"/>
      <c r="M954" s="58"/>
      <c r="N954" s="58"/>
      <c r="O954" s="58"/>
      <c r="P954" s="58"/>
      <c r="Q954" s="58"/>
      <c r="R954" s="58"/>
      <c r="S954" s="58"/>
      <c r="T954" s="58"/>
      <c r="U954" s="58"/>
      <c r="V954" s="58"/>
      <c r="W954" s="58"/>
      <c r="X954" s="58"/>
      <c r="Y954" s="58"/>
      <c r="Z954" s="58"/>
    </row>
    <row r="955" spans="1:26">
      <c r="A955" s="58"/>
      <c r="B955" s="58"/>
      <c r="C955" s="58"/>
      <c r="D955" s="58"/>
      <c r="E955" s="58"/>
      <c r="F955" s="133"/>
      <c r="G955" s="90"/>
      <c r="H955" s="90"/>
      <c r="I955" s="90"/>
      <c r="J955" s="90"/>
      <c r="K955" s="90"/>
      <c r="L955" s="58"/>
      <c r="M955" s="58"/>
      <c r="N955" s="58"/>
      <c r="O955" s="58"/>
      <c r="P955" s="58"/>
      <c r="Q955" s="58"/>
      <c r="R955" s="58"/>
      <c r="S955" s="58"/>
      <c r="T955" s="58"/>
      <c r="U955" s="58"/>
      <c r="V955" s="58"/>
      <c r="W955" s="58"/>
      <c r="X955" s="58"/>
      <c r="Y955" s="58"/>
      <c r="Z955" s="58"/>
    </row>
    <row r="956" spans="1:26">
      <c r="A956" s="58"/>
      <c r="B956" s="58"/>
      <c r="C956" s="58"/>
      <c r="D956" s="58"/>
      <c r="E956" s="58"/>
      <c r="F956" s="133"/>
      <c r="G956" s="90"/>
      <c r="H956" s="90"/>
      <c r="I956" s="90"/>
      <c r="J956" s="90"/>
      <c r="K956" s="90"/>
      <c r="L956" s="58"/>
      <c r="M956" s="58"/>
      <c r="N956" s="58"/>
      <c r="O956" s="58"/>
      <c r="P956" s="58"/>
      <c r="Q956" s="58"/>
      <c r="R956" s="58"/>
      <c r="S956" s="58"/>
      <c r="T956" s="58"/>
      <c r="U956" s="58"/>
      <c r="V956" s="58"/>
      <c r="W956" s="58"/>
      <c r="X956" s="58"/>
      <c r="Y956" s="58"/>
      <c r="Z956" s="58"/>
    </row>
    <row r="957" spans="1:26">
      <c r="A957" s="58"/>
      <c r="B957" s="58"/>
      <c r="C957" s="58"/>
      <c r="D957" s="58"/>
      <c r="E957" s="58"/>
      <c r="F957" s="133"/>
      <c r="G957" s="90"/>
      <c r="H957" s="90"/>
      <c r="I957" s="90"/>
      <c r="J957" s="90"/>
      <c r="K957" s="90"/>
      <c r="L957" s="58"/>
      <c r="M957" s="58"/>
      <c r="N957" s="58"/>
      <c r="O957" s="58"/>
      <c r="P957" s="58"/>
      <c r="Q957" s="58"/>
      <c r="R957" s="58"/>
      <c r="S957" s="58"/>
      <c r="T957" s="58"/>
      <c r="U957" s="58"/>
      <c r="V957" s="58"/>
      <c r="W957" s="58"/>
      <c r="X957" s="58"/>
      <c r="Y957" s="58"/>
      <c r="Z957" s="58"/>
    </row>
    <row r="958" spans="1:26">
      <c r="A958" s="58"/>
      <c r="B958" s="58"/>
      <c r="C958" s="58"/>
      <c r="D958" s="58"/>
      <c r="E958" s="58"/>
      <c r="F958" s="133"/>
      <c r="G958" s="90"/>
      <c r="H958" s="90"/>
      <c r="I958" s="90"/>
      <c r="J958" s="90"/>
      <c r="K958" s="90"/>
      <c r="L958" s="58"/>
      <c r="M958" s="58"/>
      <c r="N958" s="58"/>
      <c r="O958" s="58"/>
      <c r="P958" s="58"/>
      <c r="Q958" s="58"/>
      <c r="R958" s="58"/>
      <c r="S958" s="58"/>
      <c r="T958" s="58"/>
      <c r="U958" s="58"/>
      <c r="V958" s="58"/>
      <c r="W958" s="58"/>
      <c r="X958" s="58"/>
      <c r="Y958" s="58"/>
      <c r="Z958" s="58"/>
    </row>
    <row r="959" spans="1:26">
      <c r="A959" s="58"/>
      <c r="B959" s="58"/>
      <c r="C959" s="58"/>
      <c r="D959" s="58"/>
      <c r="E959" s="58"/>
      <c r="F959" s="133"/>
      <c r="G959" s="90"/>
      <c r="H959" s="90"/>
      <c r="I959" s="90"/>
      <c r="J959" s="90"/>
      <c r="K959" s="90"/>
      <c r="L959" s="58"/>
      <c r="M959" s="58"/>
      <c r="N959" s="58"/>
      <c r="O959" s="58"/>
      <c r="P959" s="58"/>
      <c r="Q959" s="58"/>
      <c r="R959" s="58"/>
      <c r="S959" s="58"/>
      <c r="T959" s="58"/>
      <c r="U959" s="58"/>
      <c r="V959" s="58"/>
      <c r="W959" s="58"/>
      <c r="X959" s="58"/>
      <c r="Y959" s="58"/>
      <c r="Z959" s="58"/>
    </row>
    <row r="960" spans="1:26">
      <c r="A960" s="58"/>
      <c r="B960" s="58"/>
      <c r="C960" s="58"/>
      <c r="D960" s="58"/>
      <c r="E960" s="58"/>
      <c r="F960" s="133"/>
      <c r="G960" s="90"/>
      <c r="H960" s="90"/>
      <c r="I960" s="90"/>
      <c r="J960" s="90"/>
      <c r="K960" s="90"/>
      <c r="L960" s="58"/>
      <c r="M960" s="58"/>
      <c r="N960" s="58"/>
      <c r="O960" s="58"/>
      <c r="P960" s="58"/>
      <c r="Q960" s="58"/>
      <c r="R960" s="58"/>
      <c r="S960" s="58"/>
      <c r="T960" s="58"/>
      <c r="U960" s="58"/>
      <c r="V960" s="58"/>
      <c r="W960" s="58"/>
      <c r="X960" s="58"/>
      <c r="Y960" s="58"/>
      <c r="Z960" s="58"/>
    </row>
    <row r="961" spans="1:26">
      <c r="A961" s="58"/>
      <c r="B961" s="58"/>
      <c r="C961" s="58"/>
      <c r="D961" s="58"/>
      <c r="E961" s="58"/>
      <c r="F961" s="133"/>
      <c r="G961" s="90"/>
      <c r="H961" s="90"/>
      <c r="I961" s="90"/>
      <c r="J961" s="90"/>
      <c r="K961" s="90"/>
      <c r="L961" s="58"/>
      <c r="M961" s="58"/>
      <c r="N961" s="58"/>
      <c r="O961" s="58"/>
      <c r="P961" s="58"/>
      <c r="Q961" s="58"/>
      <c r="R961" s="58"/>
      <c r="S961" s="58"/>
      <c r="T961" s="58"/>
      <c r="U961" s="58"/>
      <c r="V961" s="58"/>
      <c r="W961" s="58"/>
      <c r="X961" s="58"/>
      <c r="Y961" s="58"/>
      <c r="Z961" s="58"/>
    </row>
    <row r="962" spans="1:26">
      <c r="A962" s="58"/>
      <c r="B962" s="58"/>
      <c r="C962" s="58"/>
      <c r="D962" s="58"/>
      <c r="E962" s="58"/>
      <c r="F962" s="133"/>
      <c r="G962" s="90"/>
      <c r="H962" s="90"/>
      <c r="I962" s="90"/>
      <c r="J962" s="90"/>
      <c r="K962" s="90"/>
      <c r="L962" s="58"/>
      <c r="M962" s="58"/>
      <c r="N962" s="58"/>
      <c r="O962" s="58"/>
      <c r="P962" s="58"/>
      <c r="Q962" s="58"/>
      <c r="R962" s="58"/>
      <c r="S962" s="58"/>
      <c r="T962" s="58"/>
      <c r="U962" s="58"/>
      <c r="V962" s="58"/>
      <c r="W962" s="58"/>
      <c r="X962" s="58"/>
      <c r="Y962" s="58"/>
      <c r="Z962" s="58"/>
    </row>
    <row r="963" spans="1:26">
      <c r="A963" s="58"/>
      <c r="B963" s="58"/>
      <c r="C963" s="58"/>
      <c r="D963" s="58"/>
      <c r="E963" s="58"/>
      <c r="F963" s="133"/>
      <c r="G963" s="90"/>
      <c r="H963" s="90"/>
      <c r="I963" s="90"/>
      <c r="J963" s="90"/>
      <c r="K963" s="90"/>
      <c r="L963" s="58"/>
      <c r="M963" s="58"/>
      <c r="N963" s="58"/>
      <c r="O963" s="58"/>
      <c r="P963" s="58"/>
      <c r="Q963" s="58"/>
      <c r="R963" s="58"/>
      <c r="S963" s="58"/>
      <c r="T963" s="58"/>
      <c r="U963" s="58"/>
      <c r="V963" s="58"/>
      <c r="W963" s="58"/>
      <c r="X963" s="58"/>
      <c r="Y963" s="58"/>
      <c r="Z963" s="58"/>
    </row>
    <row r="964" spans="1:26">
      <c r="A964" s="58"/>
      <c r="B964" s="58"/>
      <c r="C964" s="58"/>
      <c r="D964" s="58"/>
      <c r="E964" s="58"/>
      <c r="F964" s="133"/>
      <c r="G964" s="90"/>
      <c r="H964" s="90"/>
      <c r="I964" s="90"/>
      <c r="J964" s="90"/>
      <c r="K964" s="90"/>
      <c r="L964" s="58"/>
      <c r="M964" s="58"/>
      <c r="N964" s="58"/>
      <c r="O964" s="58"/>
      <c r="P964" s="58"/>
      <c r="Q964" s="58"/>
      <c r="R964" s="58"/>
      <c r="S964" s="58"/>
      <c r="T964" s="58"/>
      <c r="U964" s="58"/>
      <c r="V964" s="58"/>
      <c r="W964" s="58"/>
      <c r="X964" s="58"/>
      <c r="Y964" s="58"/>
      <c r="Z964" s="58"/>
    </row>
    <row r="965" spans="1:26">
      <c r="A965" s="58"/>
      <c r="B965" s="58"/>
      <c r="C965" s="58"/>
      <c r="D965" s="58"/>
      <c r="E965" s="58"/>
      <c r="F965" s="133"/>
      <c r="G965" s="90"/>
      <c r="H965" s="90"/>
      <c r="I965" s="90"/>
      <c r="J965" s="90"/>
      <c r="K965" s="90"/>
      <c r="L965" s="58"/>
      <c r="M965" s="58"/>
      <c r="N965" s="58"/>
      <c r="O965" s="58"/>
      <c r="P965" s="58"/>
      <c r="Q965" s="58"/>
      <c r="R965" s="58"/>
      <c r="S965" s="58"/>
      <c r="T965" s="58"/>
      <c r="U965" s="58"/>
      <c r="V965" s="58"/>
      <c r="W965" s="58"/>
      <c r="X965" s="58"/>
      <c r="Y965" s="58"/>
      <c r="Z965" s="58"/>
    </row>
    <row r="966" spans="1:26">
      <c r="A966" s="58"/>
      <c r="B966" s="58"/>
      <c r="C966" s="58"/>
      <c r="D966" s="58"/>
      <c r="E966" s="58"/>
      <c r="F966" s="133"/>
      <c r="G966" s="90"/>
      <c r="H966" s="90"/>
      <c r="I966" s="90"/>
      <c r="J966" s="90"/>
      <c r="K966" s="90"/>
      <c r="L966" s="58"/>
      <c r="M966" s="58"/>
      <c r="N966" s="58"/>
      <c r="O966" s="58"/>
      <c r="P966" s="58"/>
      <c r="Q966" s="58"/>
      <c r="R966" s="58"/>
      <c r="S966" s="58"/>
      <c r="T966" s="58"/>
      <c r="U966" s="58"/>
      <c r="V966" s="58"/>
      <c r="W966" s="58"/>
      <c r="X966" s="58"/>
      <c r="Y966" s="58"/>
      <c r="Z966" s="58"/>
    </row>
    <row r="967" spans="1:26">
      <c r="A967" s="58"/>
      <c r="B967" s="58"/>
      <c r="C967" s="58"/>
      <c r="D967" s="58"/>
      <c r="E967" s="58"/>
      <c r="F967" s="133"/>
      <c r="G967" s="90"/>
      <c r="H967" s="90"/>
      <c r="I967" s="90"/>
      <c r="J967" s="90"/>
      <c r="K967" s="90"/>
      <c r="L967" s="58"/>
      <c r="M967" s="58"/>
      <c r="N967" s="58"/>
      <c r="O967" s="58"/>
      <c r="P967" s="58"/>
      <c r="Q967" s="58"/>
      <c r="R967" s="58"/>
      <c r="S967" s="58"/>
      <c r="T967" s="58"/>
      <c r="U967" s="58"/>
      <c r="V967" s="58"/>
      <c r="W967" s="58"/>
      <c r="X967" s="58"/>
      <c r="Y967" s="58"/>
      <c r="Z967" s="58"/>
    </row>
    <row r="968" spans="1:26">
      <c r="A968" s="58"/>
      <c r="B968" s="58"/>
      <c r="C968" s="58"/>
      <c r="D968" s="58"/>
      <c r="E968" s="58"/>
      <c r="F968" s="133"/>
      <c r="G968" s="90"/>
      <c r="H968" s="90"/>
      <c r="I968" s="90"/>
      <c r="J968" s="90"/>
      <c r="K968" s="90"/>
      <c r="L968" s="58"/>
      <c r="M968" s="58"/>
      <c r="N968" s="58"/>
      <c r="O968" s="58"/>
      <c r="P968" s="58"/>
      <c r="Q968" s="58"/>
      <c r="R968" s="58"/>
      <c r="S968" s="58"/>
      <c r="T968" s="58"/>
      <c r="U968" s="58"/>
      <c r="V968" s="58"/>
      <c r="W968" s="58"/>
      <c r="X968" s="58"/>
      <c r="Y968" s="58"/>
      <c r="Z968" s="58"/>
    </row>
    <row r="969" spans="1:26">
      <c r="A969" s="58"/>
      <c r="B969" s="58"/>
      <c r="C969" s="58"/>
      <c r="D969" s="58"/>
      <c r="E969" s="58"/>
      <c r="F969" s="133"/>
      <c r="G969" s="90"/>
      <c r="H969" s="90"/>
      <c r="I969" s="90"/>
      <c r="J969" s="90"/>
      <c r="K969" s="90"/>
      <c r="L969" s="58"/>
      <c r="M969" s="58"/>
      <c r="N969" s="58"/>
      <c r="O969" s="58"/>
      <c r="P969" s="58"/>
      <c r="Q969" s="58"/>
      <c r="R969" s="58"/>
      <c r="S969" s="58"/>
      <c r="T969" s="58"/>
      <c r="U969" s="58"/>
      <c r="V969" s="58"/>
      <c r="W969" s="58"/>
      <c r="X969" s="58"/>
      <c r="Y969" s="58"/>
      <c r="Z969" s="58"/>
    </row>
    <row r="970" spans="1:26">
      <c r="A970" s="58"/>
      <c r="B970" s="58"/>
      <c r="C970" s="58"/>
      <c r="D970" s="58"/>
      <c r="E970" s="58"/>
      <c r="F970" s="133"/>
      <c r="G970" s="90"/>
      <c r="H970" s="90"/>
      <c r="I970" s="90"/>
      <c r="J970" s="90"/>
      <c r="K970" s="90"/>
      <c r="L970" s="58"/>
      <c r="M970" s="58"/>
      <c r="N970" s="58"/>
      <c r="O970" s="58"/>
      <c r="P970" s="58"/>
      <c r="Q970" s="58"/>
      <c r="R970" s="58"/>
      <c r="S970" s="58"/>
      <c r="T970" s="58"/>
      <c r="U970" s="58"/>
      <c r="V970" s="58"/>
      <c r="W970" s="58"/>
      <c r="X970" s="58"/>
      <c r="Y970" s="58"/>
      <c r="Z970" s="58"/>
    </row>
    <row r="971" spans="1:26">
      <c r="A971" s="58"/>
      <c r="B971" s="58"/>
      <c r="C971" s="58"/>
      <c r="D971" s="58"/>
      <c r="E971" s="58"/>
      <c r="F971" s="133"/>
      <c r="G971" s="90"/>
      <c r="H971" s="90"/>
      <c r="I971" s="90"/>
      <c r="J971" s="90"/>
      <c r="K971" s="90"/>
      <c r="L971" s="58"/>
      <c r="M971" s="58"/>
      <c r="N971" s="58"/>
      <c r="O971" s="58"/>
      <c r="P971" s="58"/>
      <c r="Q971" s="58"/>
      <c r="R971" s="58"/>
      <c r="S971" s="58"/>
      <c r="T971" s="58"/>
      <c r="U971" s="58"/>
      <c r="V971" s="58"/>
      <c r="W971" s="58"/>
      <c r="X971" s="58"/>
      <c r="Y971" s="58"/>
      <c r="Z971" s="58"/>
    </row>
    <row r="972" spans="1:26">
      <c r="A972" s="58"/>
      <c r="B972" s="58"/>
      <c r="C972" s="58"/>
      <c r="D972" s="58"/>
      <c r="E972" s="58"/>
      <c r="F972" s="133"/>
      <c r="G972" s="90"/>
      <c r="H972" s="90"/>
      <c r="I972" s="90"/>
      <c r="J972" s="90"/>
      <c r="K972" s="90"/>
      <c r="L972" s="58"/>
      <c r="M972" s="58"/>
      <c r="N972" s="58"/>
      <c r="O972" s="58"/>
      <c r="P972" s="58"/>
      <c r="Q972" s="58"/>
      <c r="R972" s="58"/>
      <c r="S972" s="58"/>
      <c r="T972" s="58"/>
      <c r="U972" s="58"/>
      <c r="V972" s="58"/>
      <c r="W972" s="58"/>
      <c r="X972" s="58"/>
      <c r="Y972" s="58"/>
      <c r="Z972" s="58"/>
    </row>
    <row r="973" spans="1:26">
      <c r="A973" s="58"/>
      <c r="B973" s="58"/>
      <c r="C973" s="58"/>
      <c r="D973" s="58"/>
      <c r="E973" s="58"/>
      <c r="F973" s="133"/>
      <c r="G973" s="90"/>
      <c r="H973" s="90"/>
      <c r="I973" s="90"/>
      <c r="J973" s="90"/>
      <c r="K973" s="90"/>
      <c r="L973" s="58"/>
      <c r="M973" s="58"/>
      <c r="N973" s="58"/>
      <c r="O973" s="58"/>
      <c r="P973" s="58"/>
      <c r="Q973" s="58"/>
      <c r="R973" s="58"/>
      <c r="S973" s="58"/>
      <c r="T973" s="58"/>
      <c r="U973" s="58"/>
      <c r="V973" s="58"/>
      <c r="W973" s="58"/>
      <c r="X973" s="58"/>
      <c r="Y973" s="58"/>
      <c r="Z973" s="58"/>
    </row>
    <row r="974" spans="1:26">
      <c r="A974" s="58"/>
      <c r="B974" s="58"/>
      <c r="C974" s="58"/>
      <c r="D974" s="58"/>
      <c r="E974" s="58"/>
      <c r="F974" s="133"/>
      <c r="G974" s="90"/>
      <c r="H974" s="90"/>
      <c r="I974" s="90"/>
      <c r="J974" s="90"/>
      <c r="K974" s="90"/>
      <c r="L974" s="58"/>
      <c r="M974" s="58"/>
      <c r="N974" s="58"/>
      <c r="O974" s="58"/>
      <c r="P974" s="58"/>
      <c r="Q974" s="58"/>
      <c r="R974" s="58"/>
      <c r="S974" s="58"/>
      <c r="T974" s="58"/>
      <c r="U974" s="58"/>
      <c r="V974" s="58"/>
      <c r="W974" s="58"/>
      <c r="X974" s="58"/>
      <c r="Y974" s="58"/>
      <c r="Z974" s="58"/>
    </row>
    <row r="975" spans="1:26">
      <c r="A975" s="58"/>
      <c r="B975" s="58"/>
      <c r="C975" s="58"/>
      <c r="D975" s="58"/>
      <c r="E975" s="58"/>
      <c r="F975" s="133"/>
      <c r="G975" s="90"/>
      <c r="H975" s="90"/>
      <c r="I975" s="90"/>
      <c r="J975" s="90"/>
      <c r="K975" s="90"/>
      <c r="L975" s="58"/>
      <c r="M975" s="58"/>
      <c r="N975" s="58"/>
      <c r="O975" s="58"/>
      <c r="P975" s="58"/>
      <c r="Q975" s="58"/>
      <c r="R975" s="58"/>
      <c r="S975" s="58"/>
      <c r="T975" s="58"/>
      <c r="U975" s="58"/>
      <c r="V975" s="58"/>
      <c r="W975" s="58"/>
      <c r="X975" s="58"/>
      <c r="Y975" s="58"/>
      <c r="Z975" s="58"/>
    </row>
    <row r="976" spans="1:26">
      <c r="A976" s="58"/>
      <c r="B976" s="58"/>
      <c r="C976" s="58"/>
      <c r="D976" s="58"/>
      <c r="E976" s="58"/>
      <c r="F976" s="133"/>
      <c r="G976" s="90"/>
      <c r="H976" s="90"/>
      <c r="I976" s="90"/>
      <c r="J976" s="90"/>
      <c r="K976" s="90"/>
      <c r="L976" s="58"/>
      <c r="M976" s="58"/>
      <c r="N976" s="58"/>
      <c r="O976" s="58"/>
      <c r="P976" s="58"/>
      <c r="Q976" s="58"/>
      <c r="R976" s="58"/>
      <c r="S976" s="58"/>
      <c r="T976" s="58"/>
      <c r="U976" s="58"/>
      <c r="V976" s="58"/>
      <c r="W976" s="58"/>
      <c r="X976" s="58"/>
      <c r="Y976" s="58"/>
      <c r="Z976" s="58"/>
    </row>
    <row r="977" spans="1:26">
      <c r="A977" s="58"/>
      <c r="B977" s="58"/>
      <c r="C977" s="58"/>
      <c r="D977" s="58"/>
      <c r="E977" s="58"/>
      <c r="F977" s="133"/>
      <c r="G977" s="90"/>
      <c r="H977" s="90"/>
      <c r="I977" s="90"/>
      <c r="J977" s="90"/>
      <c r="K977" s="90"/>
      <c r="L977" s="58"/>
      <c r="M977" s="58"/>
      <c r="N977" s="58"/>
      <c r="O977" s="58"/>
      <c r="P977" s="58"/>
      <c r="Q977" s="58"/>
      <c r="R977" s="58"/>
      <c r="S977" s="58"/>
      <c r="T977" s="58"/>
      <c r="U977" s="58"/>
      <c r="V977" s="58"/>
      <c r="W977" s="58"/>
      <c r="X977" s="58"/>
      <c r="Y977" s="58"/>
      <c r="Z977" s="58"/>
    </row>
    <row r="978" spans="1:26">
      <c r="A978" s="58"/>
      <c r="B978" s="58"/>
      <c r="C978" s="58"/>
      <c r="D978" s="58"/>
      <c r="E978" s="58"/>
      <c r="F978" s="133"/>
      <c r="G978" s="90"/>
      <c r="H978" s="90"/>
      <c r="I978" s="90"/>
      <c r="J978" s="90"/>
      <c r="K978" s="90"/>
      <c r="L978" s="58"/>
      <c r="M978" s="58"/>
      <c r="N978" s="58"/>
      <c r="O978" s="58"/>
      <c r="P978" s="58"/>
      <c r="Q978" s="58"/>
      <c r="R978" s="58"/>
      <c r="S978" s="58"/>
      <c r="T978" s="58"/>
      <c r="U978" s="58"/>
      <c r="V978" s="58"/>
      <c r="W978" s="58"/>
      <c r="X978" s="58"/>
      <c r="Y978" s="58"/>
      <c r="Z978" s="58"/>
    </row>
    <row r="979" spans="1:26">
      <c r="A979" s="58"/>
      <c r="B979" s="58"/>
      <c r="C979" s="58"/>
      <c r="D979" s="58"/>
      <c r="E979" s="58"/>
      <c r="F979" s="133"/>
      <c r="G979" s="90"/>
      <c r="H979" s="90"/>
      <c r="I979" s="90"/>
      <c r="J979" s="90"/>
      <c r="K979" s="90"/>
      <c r="L979" s="58"/>
      <c r="M979" s="58"/>
      <c r="N979" s="58"/>
      <c r="O979" s="58"/>
      <c r="P979" s="58"/>
      <c r="Q979" s="58"/>
      <c r="R979" s="58"/>
      <c r="S979" s="58"/>
      <c r="T979" s="58"/>
      <c r="U979" s="58"/>
      <c r="V979" s="58"/>
      <c r="W979" s="58"/>
      <c r="X979" s="58"/>
      <c r="Y979" s="58"/>
      <c r="Z979" s="58"/>
    </row>
    <row r="980" spans="1:26">
      <c r="A980" s="58"/>
      <c r="B980" s="58"/>
      <c r="C980" s="58"/>
      <c r="D980" s="58"/>
      <c r="E980" s="58"/>
      <c r="F980" s="133"/>
      <c r="G980" s="90"/>
      <c r="H980" s="90"/>
      <c r="I980" s="90"/>
      <c r="J980" s="90"/>
      <c r="K980" s="90"/>
      <c r="L980" s="58"/>
      <c r="M980" s="58"/>
      <c r="N980" s="58"/>
      <c r="O980" s="58"/>
      <c r="P980" s="58"/>
      <c r="Q980" s="58"/>
      <c r="R980" s="58"/>
      <c r="S980" s="58"/>
      <c r="T980" s="58"/>
      <c r="U980" s="58"/>
      <c r="V980" s="58"/>
      <c r="W980" s="58"/>
      <c r="X980" s="58"/>
      <c r="Y980" s="58"/>
      <c r="Z980" s="58"/>
    </row>
    <row r="981" spans="1:26">
      <c r="A981" s="58"/>
      <c r="B981" s="58"/>
      <c r="C981" s="58"/>
      <c r="D981" s="58"/>
      <c r="E981" s="58"/>
      <c r="F981" s="133"/>
      <c r="G981" s="90"/>
      <c r="H981" s="90"/>
      <c r="I981" s="90"/>
      <c r="J981" s="90"/>
      <c r="K981" s="90"/>
      <c r="L981" s="58"/>
      <c r="M981" s="58"/>
      <c r="N981" s="58"/>
      <c r="O981" s="58"/>
      <c r="P981" s="58"/>
      <c r="Q981" s="58"/>
      <c r="R981" s="58"/>
      <c r="S981" s="58"/>
      <c r="T981" s="58"/>
      <c r="U981" s="58"/>
      <c r="V981" s="58"/>
      <c r="W981" s="58"/>
      <c r="X981" s="58"/>
      <c r="Y981" s="58"/>
      <c r="Z981" s="58"/>
    </row>
    <row r="982" spans="1:26">
      <c r="A982" s="58"/>
      <c r="B982" s="58"/>
      <c r="C982" s="58"/>
      <c r="D982" s="58"/>
      <c r="E982" s="58"/>
      <c r="F982" s="133"/>
      <c r="G982" s="90"/>
      <c r="H982" s="90"/>
      <c r="I982" s="90"/>
      <c r="J982" s="90"/>
      <c r="K982" s="90"/>
      <c r="L982" s="58"/>
      <c r="M982" s="58"/>
      <c r="N982" s="58"/>
      <c r="O982" s="58"/>
      <c r="P982" s="58"/>
      <c r="Q982" s="58"/>
      <c r="R982" s="58"/>
      <c r="S982" s="58"/>
      <c r="T982" s="58"/>
      <c r="U982" s="58"/>
      <c r="V982" s="58"/>
      <c r="W982" s="58"/>
      <c r="X982" s="58"/>
      <c r="Y982" s="58"/>
      <c r="Z982" s="58"/>
    </row>
    <row r="983" spans="1:26">
      <c r="A983" s="58"/>
      <c r="B983" s="58"/>
      <c r="C983" s="58"/>
      <c r="D983" s="58"/>
      <c r="E983" s="58"/>
      <c r="F983" s="133"/>
      <c r="G983" s="90"/>
      <c r="H983" s="90"/>
      <c r="I983" s="90"/>
      <c r="J983" s="90"/>
      <c r="K983" s="90"/>
      <c r="L983" s="58"/>
      <c r="M983" s="58"/>
      <c r="N983" s="58"/>
      <c r="O983" s="58"/>
      <c r="P983" s="58"/>
      <c r="Q983" s="58"/>
      <c r="R983" s="58"/>
      <c r="S983" s="58"/>
      <c r="T983" s="58"/>
      <c r="U983" s="58"/>
      <c r="V983" s="58"/>
      <c r="W983" s="58"/>
      <c r="X983" s="58"/>
      <c r="Y983" s="58"/>
      <c r="Z983" s="58"/>
    </row>
    <row r="984" spans="1:26">
      <c r="A984" s="58"/>
      <c r="B984" s="58"/>
      <c r="C984" s="58"/>
      <c r="D984" s="58"/>
      <c r="E984" s="58"/>
      <c r="F984" s="133"/>
      <c r="G984" s="90"/>
      <c r="H984" s="90"/>
      <c r="I984" s="90"/>
      <c r="J984" s="90"/>
      <c r="K984" s="90"/>
      <c r="L984" s="58"/>
      <c r="M984" s="58"/>
      <c r="N984" s="58"/>
      <c r="O984" s="58"/>
      <c r="P984" s="58"/>
      <c r="Q984" s="58"/>
      <c r="R984" s="58"/>
      <c r="S984" s="58"/>
      <c r="T984" s="58"/>
      <c r="U984" s="58"/>
      <c r="V984" s="58"/>
      <c r="W984" s="58"/>
      <c r="X984" s="58"/>
      <c r="Y984" s="58"/>
      <c r="Z984" s="58"/>
    </row>
    <row r="985" spans="1:26">
      <c r="A985" s="58"/>
      <c r="B985" s="58"/>
      <c r="C985" s="58"/>
      <c r="D985" s="58"/>
      <c r="E985" s="58"/>
      <c r="F985" s="133"/>
      <c r="G985" s="90"/>
      <c r="H985" s="90"/>
      <c r="I985" s="90"/>
      <c r="J985" s="90"/>
      <c r="K985" s="90"/>
      <c r="L985" s="58"/>
      <c r="M985" s="58"/>
      <c r="N985" s="58"/>
      <c r="O985" s="58"/>
      <c r="P985" s="58"/>
      <c r="Q985" s="58"/>
      <c r="R985" s="58"/>
      <c r="S985" s="58"/>
      <c r="T985" s="58"/>
      <c r="U985" s="58"/>
      <c r="V985" s="58"/>
      <c r="W985" s="58"/>
      <c r="X985" s="58"/>
      <c r="Y985" s="58"/>
      <c r="Z985" s="58"/>
    </row>
    <row r="986" spans="1:26">
      <c r="A986" s="58"/>
      <c r="B986" s="58"/>
      <c r="C986" s="58"/>
      <c r="D986" s="58"/>
      <c r="E986" s="58"/>
      <c r="F986" s="133"/>
      <c r="G986" s="90"/>
      <c r="H986" s="90"/>
      <c r="I986" s="90"/>
      <c r="J986" s="90"/>
      <c r="K986" s="90"/>
      <c r="L986" s="58"/>
      <c r="M986" s="58"/>
      <c r="N986" s="58"/>
      <c r="O986" s="58"/>
      <c r="P986" s="58"/>
      <c r="Q986" s="58"/>
      <c r="R986" s="58"/>
      <c r="S986" s="58"/>
      <c r="T986" s="58"/>
      <c r="U986" s="58"/>
      <c r="V986" s="58"/>
      <c r="W986" s="58"/>
      <c r="X986" s="58"/>
      <c r="Y986" s="58"/>
      <c r="Z986" s="58"/>
    </row>
    <row r="987" spans="1:26">
      <c r="A987" s="58"/>
      <c r="B987" s="58"/>
      <c r="C987" s="58"/>
      <c r="D987" s="58"/>
      <c r="E987" s="58"/>
      <c r="F987" s="133"/>
      <c r="G987" s="90"/>
      <c r="H987" s="90"/>
      <c r="I987" s="90"/>
      <c r="J987" s="90"/>
      <c r="K987" s="90"/>
      <c r="L987" s="58"/>
      <c r="M987" s="58"/>
      <c r="N987" s="58"/>
      <c r="O987" s="58"/>
      <c r="P987" s="58"/>
      <c r="Q987" s="58"/>
      <c r="R987" s="58"/>
      <c r="S987" s="58"/>
      <c r="T987" s="58"/>
      <c r="U987" s="58"/>
      <c r="V987" s="58"/>
      <c r="W987" s="58"/>
      <c r="X987" s="58"/>
      <c r="Y987" s="58"/>
      <c r="Z987" s="58"/>
    </row>
    <row r="988" spans="1:26">
      <c r="A988" s="58"/>
      <c r="B988" s="58"/>
      <c r="C988" s="58"/>
      <c r="D988" s="58"/>
      <c r="E988" s="58"/>
      <c r="F988" s="133"/>
      <c r="G988" s="90"/>
      <c r="H988" s="90"/>
      <c r="I988" s="90"/>
      <c r="J988" s="90"/>
      <c r="K988" s="90"/>
      <c r="L988" s="58"/>
      <c r="M988" s="58"/>
      <c r="N988" s="58"/>
      <c r="O988" s="58"/>
      <c r="P988" s="58"/>
      <c r="Q988" s="58"/>
      <c r="R988" s="58"/>
      <c r="S988" s="58"/>
      <c r="T988" s="58"/>
      <c r="U988" s="58"/>
      <c r="V988" s="58"/>
      <c r="W988" s="58"/>
      <c r="X988" s="58"/>
      <c r="Y988" s="58"/>
      <c r="Z988" s="58"/>
    </row>
    <row r="989" spans="1:26">
      <c r="A989" s="58"/>
      <c r="B989" s="58"/>
      <c r="C989" s="58"/>
      <c r="D989" s="58"/>
      <c r="E989" s="58"/>
      <c r="F989" s="133"/>
      <c r="G989" s="90"/>
      <c r="H989" s="90"/>
      <c r="I989" s="90"/>
      <c r="J989" s="90"/>
      <c r="K989" s="90"/>
      <c r="L989" s="58"/>
      <c r="M989" s="58"/>
      <c r="N989" s="58"/>
      <c r="O989" s="58"/>
      <c r="P989" s="58"/>
      <c r="Q989" s="58"/>
      <c r="R989" s="58"/>
      <c r="S989" s="58"/>
      <c r="T989" s="58"/>
      <c r="U989" s="58"/>
      <c r="V989" s="58"/>
      <c r="W989" s="58"/>
      <c r="X989" s="58"/>
      <c r="Y989" s="58"/>
      <c r="Z989" s="58"/>
    </row>
    <row r="990" spans="1:26">
      <c r="A990" s="58"/>
      <c r="B990" s="58"/>
      <c r="C990" s="58"/>
      <c r="D990" s="58"/>
      <c r="E990" s="58"/>
      <c r="F990" s="133"/>
      <c r="G990" s="90"/>
      <c r="H990" s="90"/>
      <c r="I990" s="90"/>
      <c r="J990" s="90"/>
      <c r="K990" s="90"/>
      <c r="L990" s="58"/>
      <c r="M990" s="58"/>
      <c r="N990" s="58"/>
      <c r="O990" s="58"/>
      <c r="P990" s="58"/>
      <c r="Q990" s="58"/>
      <c r="R990" s="58"/>
      <c r="S990" s="58"/>
      <c r="T990" s="58"/>
      <c r="U990" s="58"/>
      <c r="V990" s="58"/>
      <c r="W990" s="58"/>
      <c r="X990" s="58"/>
      <c r="Y990" s="58"/>
      <c r="Z990" s="58"/>
    </row>
    <row r="991" spans="1:26">
      <c r="A991" s="58"/>
      <c r="B991" s="58"/>
      <c r="C991" s="58"/>
      <c r="D991" s="58"/>
      <c r="E991" s="58"/>
      <c r="F991" s="133"/>
      <c r="G991" s="90"/>
      <c r="H991" s="90"/>
      <c r="I991" s="90"/>
      <c r="J991" s="90"/>
      <c r="K991" s="90"/>
      <c r="L991" s="58"/>
      <c r="M991" s="58"/>
      <c r="N991" s="58"/>
      <c r="O991" s="58"/>
      <c r="P991" s="58"/>
      <c r="Q991" s="58"/>
      <c r="R991" s="58"/>
      <c r="S991" s="58"/>
      <c r="T991" s="58"/>
      <c r="U991" s="58"/>
      <c r="V991" s="58"/>
      <c r="W991" s="58"/>
      <c r="X991" s="58"/>
      <c r="Y991" s="58"/>
      <c r="Z991" s="58"/>
    </row>
    <row r="992" spans="1:26">
      <c r="A992" s="58"/>
      <c r="B992" s="58"/>
      <c r="C992" s="58"/>
      <c r="D992" s="58"/>
      <c r="E992" s="58"/>
      <c r="F992" s="133"/>
      <c r="G992" s="90"/>
      <c r="H992" s="90"/>
      <c r="I992" s="90"/>
      <c r="J992" s="90"/>
      <c r="K992" s="90"/>
      <c r="L992" s="58"/>
      <c r="M992" s="58"/>
      <c r="N992" s="58"/>
      <c r="O992" s="58"/>
      <c r="P992" s="58"/>
      <c r="Q992" s="58"/>
      <c r="R992" s="58"/>
      <c r="S992" s="58"/>
      <c r="T992" s="58"/>
      <c r="U992" s="58"/>
      <c r="V992" s="58"/>
      <c r="W992" s="58"/>
      <c r="X992" s="58"/>
      <c r="Y992" s="58"/>
      <c r="Z992" s="58"/>
    </row>
    <row r="993" spans="1:26">
      <c r="A993" s="58"/>
      <c r="B993" s="58"/>
      <c r="C993" s="58"/>
      <c r="D993" s="58"/>
      <c r="E993" s="58"/>
      <c r="F993" s="133"/>
      <c r="G993" s="90"/>
      <c r="H993" s="90"/>
      <c r="I993" s="90"/>
      <c r="J993" s="90"/>
      <c r="K993" s="90"/>
      <c r="L993" s="58"/>
      <c r="M993" s="58"/>
      <c r="N993" s="58"/>
      <c r="O993" s="58"/>
      <c r="P993" s="58"/>
      <c r="Q993" s="58"/>
      <c r="R993" s="58"/>
      <c r="S993" s="58"/>
      <c r="T993" s="58"/>
      <c r="U993" s="58"/>
      <c r="V993" s="58"/>
      <c r="W993" s="58"/>
      <c r="X993" s="58"/>
      <c r="Y993" s="58"/>
      <c r="Z993" s="58"/>
    </row>
    <row r="994" spans="1:26">
      <c r="A994" s="58"/>
      <c r="B994" s="58"/>
      <c r="C994" s="58"/>
      <c r="D994" s="58"/>
      <c r="E994" s="58"/>
      <c r="F994" s="133"/>
      <c r="G994" s="90"/>
      <c r="H994" s="90"/>
      <c r="I994" s="90"/>
      <c r="J994" s="90"/>
      <c r="K994" s="90"/>
      <c r="L994" s="58"/>
      <c r="M994" s="58"/>
      <c r="N994" s="58"/>
      <c r="O994" s="58"/>
      <c r="P994" s="58"/>
      <c r="Q994" s="58"/>
      <c r="R994" s="58"/>
      <c r="S994" s="58"/>
      <c r="T994" s="58"/>
      <c r="U994" s="58"/>
      <c r="V994" s="58"/>
      <c r="W994" s="58"/>
      <c r="X994" s="58"/>
      <c r="Y994" s="58"/>
      <c r="Z994" s="58"/>
    </row>
    <row r="995" spans="1:26">
      <c r="A995" s="58"/>
      <c r="B995" s="58"/>
      <c r="C995" s="58"/>
      <c r="D995" s="58"/>
      <c r="E995" s="58"/>
      <c r="F995" s="133"/>
      <c r="G995" s="90"/>
      <c r="H995" s="90"/>
      <c r="I995" s="90"/>
      <c r="J995" s="90"/>
      <c r="K995" s="90"/>
      <c r="L995" s="58"/>
      <c r="M995" s="58"/>
      <c r="N995" s="58"/>
      <c r="O995" s="58"/>
      <c r="P995" s="58"/>
      <c r="Q995" s="58"/>
      <c r="R995" s="58"/>
      <c r="S995" s="58"/>
      <c r="T995" s="58"/>
      <c r="U995" s="58"/>
      <c r="V995" s="58"/>
      <c r="W995" s="58"/>
      <c r="X995" s="58"/>
      <c r="Y995" s="58"/>
      <c r="Z995" s="58"/>
    </row>
    <row r="996" spans="1:26">
      <c r="A996" s="58"/>
      <c r="B996" s="58"/>
      <c r="C996" s="58"/>
      <c r="D996" s="58"/>
      <c r="E996" s="58"/>
      <c r="F996" s="133"/>
      <c r="G996" s="90"/>
      <c r="H996" s="90"/>
      <c r="I996" s="90"/>
      <c r="J996" s="90"/>
      <c r="K996" s="90"/>
      <c r="L996" s="58"/>
      <c r="M996" s="58"/>
      <c r="N996" s="58"/>
      <c r="O996" s="58"/>
      <c r="P996" s="58"/>
      <c r="Q996" s="58"/>
      <c r="R996" s="58"/>
      <c r="S996" s="58"/>
      <c r="T996" s="58"/>
      <c r="U996" s="58"/>
      <c r="V996" s="58"/>
      <c r="W996" s="58"/>
      <c r="X996" s="58"/>
      <c r="Y996" s="58"/>
      <c r="Z996" s="58"/>
    </row>
    <row r="997" spans="1:26">
      <c r="A997" s="58"/>
      <c r="B997" s="58"/>
      <c r="C997" s="58"/>
      <c r="D997" s="58"/>
      <c r="E997" s="58"/>
      <c r="F997" s="133"/>
      <c r="G997" s="90"/>
      <c r="H997" s="90"/>
      <c r="I997" s="90"/>
      <c r="J997" s="90"/>
      <c r="K997" s="90"/>
      <c r="L997" s="58"/>
      <c r="M997" s="58"/>
      <c r="N997" s="58"/>
      <c r="O997" s="58"/>
      <c r="P997" s="58"/>
      <c r="Q997" s="58"/>
      <c r="R997" s="58"/>
      <c r="S997" s="58"/>
      <c r="T997" s="58"/>
      <c r="U997" s="58"/>
      <c r="V997" s="58"/>
      <c r="W997" s="58"/>
      <c r="X997" s="58"/>
      <c r="Y997" s="58"/>
      <c r="Z997" s="58"/>
    </row>
    <row r="998" spans="1:26">
      <c r="A998" s="58"/>
      <c r="B998" s="58"/>
      <c r="C998" s="58"/>
      <c r="D998" s="58"/>
      <c r="E998" s="58"/>
      <c r="F998" s="133"/>
      <c r="G998" s="90"/>
      <c r="H998" s="90"/>
      <c r="I998" s="90"/>
      <c r="J998" s="90"/>
      <c r="K998" s="90"/>
      <c r="L998" s="58"/>
      <c r="M998" s="58"/>
      <c r="N998" s="58"/>
      <c r="O998" s="58"/>
      <c r="P998" s="58"/>
      <c r="Q998" s="58"/>
      <c r="R998" s="58"/>
      <c r="S998" s="58"/>
      <c r="T998" s="58"/>
      <c r="U998" s="58"/>
      <c r="V998" s="58"/>
      <c r="W998" s="58"/>
      <c r="X998" s="58"/>
      <c r="Y998" s="58"/>
      <c r="Z998" s="58"/>
    </row>
    <row r="999" spans="1:26">
      <c r="A999" s="58"/>
      <c r="B999" s="58"/>
      <c r="C999" s="58"/>
      <c r="D999" s="58"/>
      <c r="E999" s="58"/>
      <c r="F999" s="133"/>
      <c r="G999" s="90"/>
      <c r="H999" s="90"/>
      <c r="I999" s="90"/>
      <c r="J999" s="90"/>
      <c r="K999" s="90"/>
      <c r="L999" s="58"/>
      <c r="M999" s="58"/>
      <c r="N999" s="58"/>
      <c r="O999" s="58"/>
      <c r="P999" s="58"/>
      <c r="Q999" s="58"/>
      <c r="R999" s="58"/>
      <c r="S999" s="58"/>
      <c r="T999" s="58"/>
      <c r="U999" s="58"/>
      <c r="V999" s="58"/>
      <c r="W999" s="58"/>
      <c r="X999" s="58"/>
      <c r="Y999" s="58"/>
      <c r="Z999" s="58"/>
    </row>
    <row r="1000" spans="1:26">
      <c r="A1000" s="58"/>
      <c r="B1000" s="58"/>
      <c r="C1000" s="58"/>
      <c r="D1000" s="58"/>
      <c r="E1000" s="58"/>
      <c r="F1000" s="133"/>
      <c r="G1000" s="90"/>
      <c r="H1000" s="90"/>
      <c r="I1000" s="90"/>
      <c r="J1000" s="90"/>
      <c r="K1000" s="90"/>
      <c r="L1000" s="58"/>
      <c r="M1000" s="58"/>
      <c r="N1000" s="58"/>
      <c r="O1000" s="58"/>
      <c r="P1000" s="58"/>
      <c r="Q1000" s="58"/>
      <c r="R1000" s="58"/>
      <c r="S1000" s="58"/>
      <c r="T1000" s="58"/>
      <c r="U1000" s="58"/>
      <c r="V1000" s="58"/>
      <c r="W1000" s="58"/>
      <c r="X1000" s="58"/>
      <c r="Y1000" s="58"/>
      <c r="Z1000" s="58"/>
    </row>
    <row r="1001" spans="6:6">
      <c r="F1001" s="134"/>
    </row>
    <row r="1002" spans="6:6">
      <c r="F1002" s="134"/>
    </row>
    <row r="1003" spans="6:6">
      <c r="F1003" s="134"/>
    </row>
    <row r="1004" spans="6:6">
      <c r="F1004" s="134"/>
    </row>
    <row r="1005" spans="6:6">
      <c r="F1005" s="134"/>
    </row>
    <row r="1006" spans="6:6">
      <c r="F1006" s="134"/>
    </row>
    <row r="1007" spans="6:6">
      <c r="F1007" s="134"/>
    </row>
    <row r="1008" spans="6:6">
      <c r="F1008" s="134"/>
    </row>
    <row r="1009" spans="6:6">
      <c r="F1009" s="134"/>
    </row>
    <row r="1010" spans="6:6">
      <c r="F1010" s="134"/>
    </row>
    <row r="1011" spans="6:6">
      <c r="F1011" s="134"/>
    </row>
    <row r="1012" spans="6:6">
      <c r="F1012" s="134"/>
    </row>
    <row r="1013" spans="6:6">
      <c r="F1013" s="134"/>
    </row>
    <row r="1014" spans="6:6">
      <c r="F1014" s="134"/>
    </row>
    <row r="1015" spans="6:6">
      <c r="F1015" s="134"/>
    </row>
    <row r="1016" spans="6:6">
      <c r="F1016" s="134"/>
    </row>
    <row r="1017" spans="6:6">
      <c r="F1017" s="134"/>
    </row>
    <row r="1018" spans="6:6">
      <c r="F1018" s="134"/>
    </row>
    <row r="1019" spans="6:6">
      <c r="F1019" s="134"/>
    </row>
    <row r="1020" spans="6:6">
      <c r="F1020" s="134"/>
    </row>
    <row r="1021" spans="6:6">
      <c r="F1021" s="134"/>
    </row>
    <row r="1022" spans="6:6">
      <c r="F1022" s="134"/>
    </row>
    <row r="1023" spans="6:6">
      <c r="F1023" s="134"/>
    </row>
    <row r="1024" spans="6:6">
      <c r="F1024" s="134"/>
    </row>
    <row r="1025" spans="6:6">
      <c r="F1025" s="134"/>
    </row>
    <row r="1026" spans="6:6">
      <c r="F1026" s="134"/>
    </row>
    <row r="1027" spans="6:6">
      <c r="F1027" s="134"/>
    </row>
    <row r="1028" spans="6:6">
      <c r="F1028" s="134"/>
    </row>
    <row r="1029" spans="6:6">
      <c r="F1029" s="134"/>
    </row>
    <row r="1030" spans="6:6">
      <c r="F1030" s="134"/>
    </row>
    <row r="1031" spans="6:6">
      <c r="F1031" s="134"/>
    </row>
    <row r="1032" spans="6:6">
      <c r="F1032" s="134"/>
    </row>
    <row r="1033" spans="6:6">
      <c r="F1033" s="134"/>
    </row>
    <row r="1034" spans="6:6">
      <c r="F1034" s="134"/>
    </row>
    <row r="1035" spans="6:6">
      <c r="F1035" s="134"/>
    </row>
    <row r="1036" spans="6:6">
      <c r="F1036" s="134"/>
    </row>
    <row r="1037" spans="6:6">
      <c r="F1037" s="134"/>
    </row>
    <row r="1038" spans="6:6">
      <c r="F1038" s="134"/>
    </row>
    <row r="1039" spans="6:6">
      <c r="F1039" s="134"/>
    </row>
    <row r="1040" spans="6:6">
      <c r="F1040" s="134"/>
    </row>
    <row r="1041" spans="6:6">
      <c r="F1041" s="134"/>
    </row>
    <row r="1042" spans="6:6">
      <c r="F1042" s="134"/>
    </row>
    <row r="1043" spans="6:6">
      <c r="F1043" s="134"/>
    </row>
    <row r="1044" spans="6:6">
      <c r="F1044" s="134"/>
    </row>
    <row r="1045" spans="6:6">
      <c r="F1045" s="134"/>
    </row>
    <row r="1046" spans="6:6">
      <c r="F1046" s="134"/>
    </row>
    <row r="1047" spans="6:6">
      <c r="F1047" s="134"/>
    </row>
    <row r="1048" spans="6:6">
      <c r="F1048" s="134"/>
    </row>
    <row r="1049" spans="6:6">
      <c r="F1049" s="134"/>
    </row>
    <row r="1050" spans="6:6">
      <c r="F1050" s="134"/>
    </row>
    <row r="1051" spans="6:6">
      <c r="F1051" s="134"/>
    </row>
    <row r="1052" spans="6:6">
      <c r="F1052" s="134"/>
    </row>
    <row r="1053" spans="6:6">
      <c r="F1053" s="134"/>
    </row>
    <row r="1054" spans="6:6">
      <c r="F1054" s="134"/>
    </row>
    <row r="1055" spans="6:6">
      <c r="F1055" s="134"/>
    </row>
    <row r="1056" spans="6:6">
      <c r="F1056" s="134"/>
    </row>
    <row r="1057" spans="6:6">
      <c r="F1057" s="134"/>
    </row>
    <row r="1058" spans="6:6">
      <c r="F1058" s="134"/>
    </row>
    <row r="1059" spans="6:6">
      <c r="F1059" s="134"/>
    </row>
    <row r="1060" spans="6:6">
      <c r="F1060" s="134"/>
    </row>
    <row r="1061" spans="6:6">
      <c r="F1061" s="134"/>
    </row>
    <row r="1062" spans="6:6">
      <c r="F1062" s="134"/>
    </row>
    <row r="1063" spans="6:6">
      <c r="F1063" s="134"/>
    </row>
    <row r="1064" spans="6:6">
      <c r="F1064" s="134"/>
    </row>
    <row r="1065" spans="6:6">
      <c r="F1065" s="134"/>
    </row>
    <row r="1066" spans="6:6">
      <c r="F1066" s="134"/>
    </row>
    <row r="1067" spans="6:6">
      <c r="F1067" s="134"/>
    </row>
    <row r="1068" spans="6:6">
      <c r="F1068" s="134"/>
    </row>
    <row r="1069" spans="6:6">
      <c r="F1069" s="134"/>
    </row>
    <row r="1070" spans="6:6">
      <c r="F1070" s="134"/>
    </row>
    <row r="1071" spans="6:6">
      <c r="F1071" s="134"/>
    </row>
    <row r="1072" spans="6:6">
      <c r="F1072" s="134"/>
    </row>
    <row r="1073" spans="6:6">
      <c r="F1073" s="134"/>
    </row>
    <row r="1074" spans="6:6">
      <c r="F1074" s="134"/>
    </row>
    <row r="1075" spans="6:6">
      <c r="F1075" s="134"/>
    </row>
    <row r="1076" spans="6:6">
      <c r="F1076" s="134"/>
    </row>
    <row r="1077" spans="6:6">
      <c r="F1077" s="134"/>
    </row>
    <row r="1078" spans="6:6">
      <c r="F1078" s="134"/>
    </row>
    <row r="1079" spans="6:6">
      <c r="F1079" s="134"/>
    </row>
    <row r="1080" spans="6:6">
      <c r="F1080" s="134"/>
    </row>
    <row r="1081" spans="6:6">
      <c r="F1081" s="134"/>
    </row>
    <row r="1082" spans="6:6">
      <c r="F1082" s="134"/>
    </row>
    <row r="1083" spans="6:6">
      <c r="F1083" s="134"/>
    </row>
    <row r="1084" spans="6:6">
      <c r="F1084" s="134"/>
    </row>
    <row r="1085" spans="6:6">
      <c r="F1085" s="134"/>
    </row>
    <row r="1086" spans="6:6">
      <c r="F1086" s="134"/>
    </row>
    <row r="1087" spans="6:6">
      <c r="F1087" s="134"/>
    </row>
    <row r="1088" spans="6:6">
      <c r="F1088" s="134"/>
    </row>
    <row r="1089" spans="6:6">
      <c r="F1089" s="134"/>
    </row>
    <row r="1090" spans="6:6">
      <c r="F1090" s="134"/>
    </row>
    <row r="1091" spans="6:6">
      <c r="F1091" s="134"/>
    </row>
    <row r="1092" spans="6:6">
      <c r="F1092" s="134"/>
    </row>
    <row r="1093" spans="6:6">
      <c r="F1093" s="134"/>
    </row>
    <row r="1094" spans="6:6">
      <c r="F1094" s="134"/>
    </row>
    <row r="1095" spans="6:6">
      <c r="F1095" s="134"/>
    </row>
    <row r="1096" spans="6:6">
      <c r="F1096" s="134"/>
    </row>
    <row r="1097" spans="6:6">
      <c r="F1097" s="134"/>
    </row>
    <row r="1098" spans="6:6">
      <c r="F1098" s="134"/>
    </row>
    <row r="1099" spans="6:6">
      <c r="F1099" s="134"/>
    </row>
    <row r="1100" spans="6:6">
      <c r="F1100" s="134"/>
    </row>
    <row r="1101" spans="6:6">
      <c r="F1101" s="134"/>
    </row>
    <row r="1102" spans="6:6">
      <c r="F1102" s="134"/>
    </row>
    <row r="1103" spans="6:6">
      <c r="F1103" s="134"/>
    </row>
    <row r="1104" spans="6:6">
      <c r="F1104" s="134"/>
    </row>
    <row r="1105" spans="6:6">
      <c r="F1105" s="134"/>
    </row>
    <row r="1106" spans="6:6">
      <c r="F1106" s="134"/>
    </row>
    <row r="1107" spans="6:6">
      <c r="F1107" s="134"/>
    </row>
    <row r="1108" spans="6:6">
      <c r="F1108" s="134"/>
    </row>
    <row r="1109" spans="6:6">
      <c r="F1109" s="134"/>
    </row>
    <row r="1110" spans="6:6">
      <c r="F1110" s="134"/>
    </row>
    <row r="1111" spans="6:6">
      <c r="F1111" s="134"/>
    </row>
    <row r="1112" spans="6:6">
      <c r="F1112" s="134"/>
    </row>
    <row r="1113" spans="6:6">
      <c r="F1113" s="134"/>
    </row>
    <row r="1114" spans="6:6">
      <c r="F1114" s="134"/>
    </row>
    <row r="1115" spans="6:6">
      <c r="F1115" s="134"/>
    </row>
    <row r="1116" spans="6:6">
      <c r="F1116" s="134"/>
    </row>
    <row r="1117" spans="6:6">
      <c r="F1117" s="134"/>
    </row>
    <row r="1118" spans="6:6">
      <c r="F1118" s="134"/>
    </row>
    <row r="1119" spans="6:6">
      <c r="F1119" s="134"/>
    </row>
    <row r="1120" spans="6:6">
      <c r="F1120" s="134"/>
    </row>
    <row r="1121" spans="6:6">
      <c r="F1121" s="134"/>
    </row>
    <row r="1122" spans="6:6">
      <c r="F1122" s="134"/>
    </row>
  </sheetData>
  <autoFilter xmlns:etc="http://www.wps.cn/officeDocument/2017/etCustomData" ref="A8:J840" etc:filterBottomFollowUsedRange="0">
    <extLst/>
  </autoFilter>
  <mergeCells count="21">
    <mergeCell ref="A1:J1"/>
    <mergeCell ref="A2:J2"/>
    <mergeCell ref="A3:E3"/>
    <mergeCell ref="F3:H3"/>
    <mergeCell ref="I3:J3"/>
    <mergeCell ref="A4:E4"/>
    <mergeCell ref="F4:H4"/>
    <mergeCell ref="I4:J4"/>
    <mergeCell ref="A5:E5"/>
    <mergeCell ref="A6:E6"/>
    <mergeCell ref="A7:J7"/>
    <mergeCell ref="A842:C842"/>
    <mergeCell ref="F842:G842"/>
    <mergeCell ref="H842:J842"/>
    <mergeCell ref="A843:C843"/>
    <mergeCell ref="F843:G843"/>
    <mergeCell ref="H843:J843"/>
    <mergeCell ref="A844:C844"/>
    <mergeCell ref="F844:G844"/>
    <mergeCell ref="H844:J844"/>
    <mergeCell ref="A846:J846"/>
  </mergeCells>
  <printOptions horizontalCentered="1"/>
  <pageMargins left="0.511805555555556" right="0.511805555555556" top="0.590277777777778" bottom="0.7875" header="0" footer="0.511811023622047"/>
  <pageSetup paperSize="9" fitToHeight="0" orientation="landscape" horizontalDpi="300" verticalDpi="300"/>
  <headerFooter>
    <oddHeader>&amp;L </oddHeader>
  </headerFooter>
  <drawing r:id="rId1"/>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Y1142"/>
  <sheetViews>
    <sheetView zoomScale="50" zoomScaleNormal="50" topLeftCell="C1" workbookViewId="0">
      <selection activeCell="H6" sqref="H6"/>
    </sheetView>
  </sheetViews>
  <sheetFormatPr defaultColWidth="12.625" defaultRowHeight="14.25"/>
  <cols>
    <col min="1" max="1" width="20.8833333333333" style="1" customWidth="1"/>
    <col min="2" max="2" width="10" style="1" customWidth="1"/>
    <col min="3" max="3" width="48.3666666666667" style="1" customWidth="1"/>
    <col min="4" max="4" width="10" style="1" customWidth="1"/>
    <col min="5" max="5" width="12.8833333333333" style="59" customWidth="1"/>
    <col min="6" max="7" width="11.75" style="60" customWidth="1"/>
    <col min="8" max="8" width="11" style="60" customWidth="1"/>
    <col min="9" max="9" width="15.2583333333333" style="60" customWidth="1"/>
    <col min="10" max="11" width="15" style="60" customWidth="1"/>
    <col min="12" max="12" width="9" style="1" customWidth="1"/>
    <col min="13" max="13" width="15.2583333333333" style="60" customWidth="1"/>
    <col min="14" max="14" width="13.25" style="1" customWidth="1"/>
    <col min="15" max="24" width="9" style="1" customWidth="1"/>
    <col min="25" max="25" width="8.61666666666667" style="1" customWidth="1"/>
  </cols>
  <sheetData>
    <row r="1" ht="131.25" customHeight="1" spans="1:25">
      <c r="A1" s="61"/>
      <c r="B1" s="61"/>
      <c r="C1" s="61"/>
      <c r="D1" s="61"/>
      <c r="E1" s="61"/>
      <c r="F1" s="61"/>
      <c r="G1" s="61"/>
      <c r="H1" s="61"/>
      <c r="I1" s="61"/>
      <c r="J1" s="81"/>
      <c r="K1" s="82"/>
      <c r="L1" s="83"/>
      <c r="M1" s="81"/>
      <c r="N1" s="83"/>
      <c r="O1" s="83"/>
      <c r="P1" s="83"/>
      <c r="Q1" s="83"/>
      <c r="R1" s="83"/>
      <c r="S1" s="83"/>
      <c r="T1" s="83"/>
      <c r="U1" s="83"/>
      <c r="V1" s="83"/>
      <c r="W1" s="83"/>
      <c r="X1" s="83"/>
      <c r="Y1" s="98"/>
    </row>
    <row r="2" ht="15.75" spans="1:25">
      <c r="A2" s="62" t="s">
        <v>9081</v>
      </c>
      <c r="B2" s="62"/>
      <c r="C2" s="62"/>
      <c r="D2" s="62"/>
      <c r="E2" s="62"/>
      <c r="F2" s="62"/>
      <c r="G2" s="62"/>
      <c r="H2" s="62"/>
      <c r="I2" s="62"/>
      <c r="J2" s="81"/>
      <c r="K2" s="82"/>
      <c r="L2" s="83"/>
      <c r="M2" s="81"/>
      <c r="N2" s="83"/>
      <c r="O2" s="83"/>
      <c r="P2" s="83"/>
      <c r="Q2" s="83"/>
      <c r="R2" s="83"/>
      <c r="S2" s="83"/>
      <c r="T2" s="83"/>
      <c r="U2" s="83"/>
      <c r="V2" s="83"/>
      <c r="W2" s="83"/>
      <c r="X2" s="83"/>
      <c r="Y2" s="98"/>
    </row>
    <row r="3" ht="15" customHeight="1" spans="1:25">
      <c r="A3" s="63" t="s">
        <v>1</v>
      </c>
      <c r="B3" s="63"/>
      <c r="C3" s="63"/>
      <c r="D3" s="63"/>
      <c r="E3" s="64" t="s">
        <v>2</v>
      </c>
      <c r="F3" s="64"/>
      <c r="G3" s="64"/>
      <c r="H3" s="65" t="s">
        <v>3</v>
      </c>
      <c r="I3" s="65"/>
      <c r="J3" s="81"/>
      <c r="K3" s="82"/>
      <c r="L3" s="84"/>
      <c r="M3" s="85"/>
      <c r="N3" s="84"/>
      <c r="O3" s="84"/>
      <c r="P3" s="84"/>
      <c r="Q3" s="84"/>
      <c r="R3" s="84"/>
      <c r="S3" s="84"/>
      <c r="T3" s="84"/>
      <c r="U3" s="84"/>
      <c r="V3" s="93"/>
      <c r="W3" s="83"/>
      <c r="X3" s="83"/>
      <c r="Y3" s="98"/>
    </row>
    <row r="4" ht="15" customHeight="1" spans="1:25">
      <c r="A4" s="66" t="s">
        <v>4</v>
      </c>
      <c r="B4" s="66"/>
      <c r="C4" s="66"/>
      <c r="D4" s="66"/>
      <c r="E4" s="67" t="str">
        <f>RESUMO!E14</f>
        <v>PROCESSO: 23069.180351/2025-62</v>
      </c>
      <c r="F4" s="67"/>
      <c r="G4" s="67"/>
      <c r="H4" s="68" t="s">
        <v>6</v>
      </c>
      <c r="I4" s="68"/>
      <c r="J4" s="81"/>
      <c r="K4" s="82"/>
      <c r="L4" s="86"/>
      <c r="M4" s="87"/>
      <c r="N4" s="86"/>
      <c r="O4" s="86"/>
      <c r="P4" s="86"/>
      <c r="Q4" s="86"/>
      <c r="R4" s="86"/>
      <c r="S4" s="86"/>
      <c r="T4" s="86"/>
      <c r="U4" s="86"/>
      <c r="V4" s="94"/>
      <c r="W4" s="83"/>
      <c r="X4" s="83"/>
      <c r="Y4" s="98"/>
    </row>
    <row r="5" ht="15" customHeight="1" spans="1:25">
      <c r="A5" s="66" t="s">
        <v>7</v>
      </c>
      <c r="B5" s="66"/>
      <c r="C5" s="66"/>
      <c r="D5" s="66"/>
      <c r="E5" s="62" t="s">
        <v>8</v>
      </c>
      <c r="F5" s="69" t="s">
        <v>9</v>
      </c>
      <c r="G5" s="69" t="s">
        <v>10</v>
      </c>
      <c r="H5" s="69" t="s">
        <v>11</v>
      </c>
      <c r="I5" s="69" t="s">
        <v>12</v>
      </c>
      <c r="J5" s="81"/>
      <c r="K5" s="82"/>
      <c r="L5" s="88"/>
      <c r="M5" s="89"/>
      <c r="N5" s="88"/>
      <c r="O5" s="88"/>
      <c r="P5" s="88"/>
      <c r="Q5" s="84"/>
      <c r="R5" s="84"/>
      <c r="S5" s="84"/>
      <c r="T5" s="84"/>
      <c r="U5" s="84"/>
      <c r="V5" s="84"/>
      <c r="W5" s="83"/>
      <c r="X5" s="83"/>
      <c r="Y5" s="98"/>
    </row>
    <row r="6" ht="42" customHeight="1" spans="1:25">
      <c r="A6" s="70" t="str">
        <f>RESUMO!A16</f>
        <v>BASE DE DADOS: SINAPI - 07/2025 - Rio de Janeiro; SBC - 07/2025 - Rio de Janeiro; EMOP - 07/2025 - Rio de Janeiro; SCO - 07/2025 - Rio de Janeiro - DESONERADO</v>
      </c>
      <c r="B6" s="70"/>
      <c r="C6" s="70"/>
      <c r="D6" s="70"/>
      <c r="E6" s="71">
        <f>BDI!E6</f>
        <v>0.2549</v>
      </c>
      <c r="F6" s="71">
        <f>BDI_DIF.!F6</f>
        <v>0.1612</v>
      </c>
      <c r="G6" s="72"/>
      <c r="H6" s="73">
        <f>'Enc. Sociais'!H6</f>
        <v>45931</v>
      </c>
      <c r="I6" s="72" t="str">
        <f>'Orçamento Sintético'!I6</f>
        <v>R21</v>
      </c>
      <c r="J6" s="81"/>
      <c r="K6" s="82"/>
      <c r="L6" s="88"/>
      <c r="M6" s="89"/>
      <c r="N6" s="88"/>
      <c r="O6" s="88"/>
      <c r="P6" s="88"/>
      <c r="Q6" s="95"/>
      <c r="R6" s="95"/>
      <c r="S6" s="96"/>
      <c r="T6" s="96"/>
      <c r="U6" s="97"/>
      <c r="V6" s="95"/>
      <c r="W6" s="83"/>
      <c r="X6" s="83"/>
      <c r="Y6" s="98"/>
    </row>
    <row r="7" ht="15" customHeight="1" spans="1:25">
      <c r="A7" s="74" t="s">
        <v>9082</v>
      </c>
      <c r="B7" s="74"/>
      <c r="C7" s="74"/>
      <c r="D7" s="74"/>
      <c r="E7" s="74"/>
      <c r="F7" s="74"/>
      <c r="G7" s="74"/>
      <c r="H7" s="74"/>
      <c r="I7" s="74"/>
      <c r="J7" s="90"/>
      <c r="K7" s="90"/>
      <c r="L7" s="58"/>
      <c r="M7" s="90"/>
      <c r="N7" s="58"/>
      <c r="O7" s="58"/>
      <c r="P7" s="58"/>
      <c r="Q7" s="58"/>
      <c r="R7" s="58"/>
      <c r="S7" s="58"/>
      <c r="T7" s="58"/>
      <c r="U7" s="58"/>
      <c r="V7" s="58"/>
      <c r="W7" s="58"/>
      <c r="X7" s="58"/>
      <c r="Y7" s="58"/>
    </row>
    <row r="8" ht="26.85" customHeight="1" spans="1:24">
      <c r="A8" s="75" t="s">
        <v>63</v>
      </c>
      <c r="B8" s="76" t="s">
        <v>64</v>
      </c>
      <c r="C8" s="76" t="s">
        <v>65</v>
      </c>
      <c r="D8" s="76" t="s">
        <v>2889</v>
      </c>
      <c r="E8" s="77" t="s">
        <v>66</v>
      </c>
      <c r="F8" s="77" t="s">
        <v>9083</v>
      </c>
      <c r="G8" s="75"/>
      <c r="H8" s="77" t="s">
        <v>9084</v>
      </c>
      <c r="I8" s="75"/>
      <c r="J8" s="77" t="s">
        <v>70</v>
      </c>
      <c r="K8" s="75"/>
      <c r="L8" s="75"/>
      <c r="M8" s="75" t="s">
        <v>9085</v>
      </c>
      <c r="N8" s="75" t="s">
        <v>9086</v>
      </c>
      <c r="O8" s="75" t="s">
        <v>9087</v>
      </c>
      <c r="P8" s="91"/>
      <c r="Q8" s="91"/>
      <c r="R8" s="58"/>
      <c r="S8" s="58"/>
      <c r="T8" s="58"/>
      <c r="U8" s="58"/>
      <c r="V8" s="58"/>
      <c r="W8" s="58"/>
      <c r="X8" s="58"/>
    </row>
    <row r="9" ht="15" spans="1:24">
      <c r="A9" s="75"/>
      <c r="B9" s="76"/>
      <c r="C9" s="76"/>
      <c r="D9" s="76"/>
      <c r="E9" s="77"/>
      <c r="F9" s="77" t="s">
        <v>9088</v>
      </c>
      <c r="G9" s="75" t="s">
        <v>9089</v>
      </c>
      <c r="H9" s="75" t="s">
        <v>9088</v>
      </c>
      <c r="I9" s="75" t="s">
        <v>9089</v>
      </c>
      <c r="J9" s="75" t="s">
        <v>9088</v>
      </c>
      <c r="K9" s="75" t="s">
        <v>9089</v>
      </c>
      <c r="L9" s="75" t="s">
        <v>9090</v>
      </c>
      <c r="M9" s="75"/>
      <c r="N9" s="75"/>
      <c r="O9" s="75"/>
      <c r="P9" s="75"/>
      <c r="Q9" s="75"/>
      <c r="R9" s="58"/>
      <c r="S9" s="58"/>
      <c r="T9" s="58"/>
      <c r="U9" s="58"/>
      <c r="V9" s="58"/>
      <c r="W9" s="58"/>
      <c r="X9" s="58"/>
    </row>
    <row r="10" ht="89.25" spans="1:24">
      <c r="A10" s="78" t="s">
        <v>4270</v>
      </c>
      <c r="B10" s="79" t="s">
        <v>132</v>
      </c>
      <c r="C10" s="79" t="s">
        <v>4271</v>
      </c>
      <c r="D10" s="79" t="s">
        <v>2961</v>
      </c>
      <c r="E10" s="80" t="s">
        <v>134</v>
      </c>
      <c r="F10" s="78" t="s">
        <v>9091</v>
      </c>
      <c r="G10" s="78"/>
      <c r="H10" s="78" t="s">
        <v>6606</v>
      </c>
      <c r="I10" s="78"/>
      <c r="J10" s="78" t="s">
        <v>6606</v>
      </c>
      <c r="K10" s="78"/>
      <c r="L10" s="92">
        <v>968388.69</v>
      </c>
      <c r="M10" s="78" t="s">
        <v>9092</v>
      </c>
      <c r="N10" s="92">
        <v>968388.69</v>
      </c>
      <c r="O10" s="78" t="s">
        <v>9092</v>
      </c>
      <c r="R10" s="58"/>
      <c r="S10" s="58"/>
      <c r="T10" s="58"/>
      <c r="U10" s="58"/>
      <c r="V10" s="58"/>
      <c r="W10" s="58"/>
      <c r="X10" s="58"/>
    </row>
    <row r="11" ht="102" spans="1:24">
      <c r="A11" s="78" t="s">
        <v>4749</v>
      </c>
      <c r="B11" s="79" t="s">
        <v>132</v>
      </c>
      <c r="C11" s="79" t="s">
        <v>4750</v>
      </c>
      <c r="D11" s="79" t="s">
        <v>3395</v>
      </c>
      <c r="E11" s="80" t="s">
        <v>134</v>
      </c>
      <c r="F11" s="78" t="s">
        <v>9091</v>
      </c>
      <c r="G11" s="78" t="s">
        <v>9093</v>
      </c>
      <c r="H11" s="78" t="s">
        <v>6609</v>
      </c>
      <c r="I11" s="78" t="s">
        <v>9094</v>
      </c>
      <c r="J11" s="78" t="s">
        <v>6609</v>
      </c>
      <c r="K11" s="78" t="s">
        <v>8660</v>
      </c>
      <c r="L11" s="92">
        <v>853878.73</v>
      </c>
      <c r="M11" s="78" t="s">
        <v>9095</v>
      </c>
      <c r="N11" s="92">
        <v>1822267.42</v>
      </c>
      <c r="O11" s="78" t="s">
        <v>9096</v>
      </c>
      <c r="R11" s="58"/>
      <c r="S11" s="58"/>
      <c r="T11" s="58"/>
      <c r="U11" s="58"/>
      <c r="V11" s="58"/>
      <c r="W11" s="58"/>
      <c r="X11" s="58"/>
    </row>
    <row r="12" ht="51" spans="1:24">
      <c r="A12" s="78" t="s">
        <v>4139</v>
      </c>
      <c r="B12" s="79" t="s">
        <v>139</v>
      </c>
      <c r="C12" s="79" t="s">
        <v>4140</v>
      </c>
      <c r="D12" s="79" t="s">
        <v>2961</v>
      </c>
      <c r="E12" s="80" t="s">
        <v>204</v>
      </c>
      <c r="F12" s="78" t="s">
        <v>9097</v>
      </c>
      <c r="G12" s="78"/>
      <c r="H12" s="78" t="s">
        <v>9098</v>
      </c>
      <c r="I12" s="78"/>
      <c r="J12" s="78" t="s">
        <v>9099</v>
      </c>
      <c r="K12" s="78"/>
      <c r="L12" s="92">
        <v>720155.24028</v>
      </c>
      <c r="M12" s="78" t="s">
        <v>9100</v>
      </c>
      <c r="N12" s="92">
        <v>2542422.66028</v>
      </c>
      <c r="O12" s="78" t="s">
        <v>9101</v>
      </c>
      <c r="R12" s="58"/>
      <c r="S12" s="58"/>
      <c r="T12" s="58"/>
      <c r="U12" s="58"/>
      <c r="V12" s="58"/>
      <c r="W12" s="58"/>
      <c r="X12" s="58"/>
    </row>
    <row r="13" ht="89.25" spans="1:24">
      <c r="A13" s="78" t="s">
        <v>4264</v>
      </c>
      <c r="B13" s="79" t="s">
        <v>132</v>
      </c>
      <c r="C13" s="79" t="s">
        <v>4265</v>
      </c>
      <c r="D13" s="79" t="s">
        <v>2961</v>
      </c>
      <c r="E13" s="80" t="s">
        <v>134</v>
      </c>
      <c r="F13" s="78" t="s">
        <v>9091</v>
      </c>
      <c r="G13" s="78"/>
      <c r="H13" s="78" t="s">
        <v>6617</v>
      </c>
      <c r="I13" s="78"/>
      <c r="J13" s="78" t="s">
        <v>6617</v>
      </c>
      <c r="K13" s="78"/>
      <c r="L13" s="92">
        <v>563976.25</v>
      </c>
      <c r="M13" s="78" t="s">
        <v>9102</v>
      </c>
      <c r="N13" s="92">
        <v>3106398.91028</v>
      </c>
      <c r="O13" s="78" t="s">
        <v>9103</v>
      </c>
      <c r="R13" s="58"/>
      <c r="S13" s="58"/>
      <c r="T13" s="58"/>
      <c r="U13" s="58"/>
      <c r="V13" s="58"/>
      <c r="W13" s="58"/>
      <c r="X13" s="58"/>
    </row>
    <row r="14" ht="25.5" spans="1:24">
      <c r="A14" s="78" t="s">
        <v>5630</v>
      </c>
      <c r="B14" s="79" t="s">
        <v>139</v>
      </c>
      <c r="C14" s="79" t="s">
        <v>5631</v>
      </c>
      <c r="D14" s="79" t="s">
        <v>2896</v>
      </c>
      <c r="E14" s="80" t="s">
        <v>2897</v>
      </c>
      <c r="F14" s="78" t="s">
        <v>9104</v>
      </c>
      <c r="G14" s="78"/>
      <c r="H14" s="78" t="s">
        <v>9105</v>
      </c>
      <c r="I14" s="78"/>
      <c r="J14" s="78" t="s">
        <v>9106</v>
      </c>
      <c r="K14" s="78"/>
      <c r="L14" s="92">
        <v>458671.959009497</v>
      </c>
      <c r="M14" s="78" t="s">
        <v>9107</v>
      </c>
      <c r="N14" s="92">
        <v>3565070.8692895</v>
      </c>
      <c r="O14" s="78" t="s">
        <v>9108</v>
      </c>
      <c r="R14" s="58"/>
      <c r="S14" s="58"/>
      <c r="T14" s="58"/>
      <c r="U14" s="58"/>
      <c r="V14" s="58"/>
      <c r="W14" s="58"/>
      <c r="X14" s="58"/>
    </row>
    <row r="15" ht="25.5" spans="1:24">
      <c r="A15" s="78" t="s">
        <v>5308</v>
      </c>
      <c r="B15" s="79" t="s">
        <v>139</v>
      </c>
      <c r="C15" s="79" t="s">
        <v>5309</v>
      </c>
      <c r="D15" s="79" t="s">
        <v>2961</v>
      </c>
      <c r="E15" s="80" t="s">
        <v>2897</v>
      </c>
      <c r="F15" s="78" t="s">
        <v>9109</v>
      </c>
      <c r="G15" s="78"/>
      <c r="H15" s="78" t="s">
        <v>9110</v>
      </c>
      <c r="I15" s="78"/>
      <c r="J15" s="78" t="s">
        <v>9111</v>
      </c>
      <c r="K15" s="78"/>
      <c r="L15" s="92">
        <v>423294.815048571</v>
      </c>
      <c r="M15" s="78" t="s">
        <v>9112</v>
      </c>
      <c r="N15" s="92">
        <v>3988365.68433807</v>
      </c>
      <c r="O15" s="78" t="s">
        <v>9113</v>
      </c>
      <c r="R15" s="58"/>
      <c r="S15" s="58"/>
      <c r="T15" s="58"/>
      <c r="U15" s="58"/>
      <c r="V15" s="58"/>
      <c r="W15" s="58"/>
      <c r="X15" s="58"/>
    </row>
    <row r="16" ht="102" spans="1:24">
      <c r="A16" s="78" t="s">
        <v>5194</v>
      </c>
      <c r="B16" s="79" t="s">
        <v>132</v>
      </c>
      <c r="C16" s="79" t="s">
        <v>2771</v>
      </c>
      <c r="D16" s="79" t="s">
        <v>4145</v>
      </c>
      <c r="E16" s="80" t="s">
        <v>5193</v>
      </c>
      <c r="F16" s="78" t="s">
        <v>9091</v>
      </c>
      <c r="G16" s="78"/>
      <c r="H16" s="78" t="s">
        <v>6620</v>
      </c>
      <c r="I16" s="78"/>
      <c r="J16" s="78" t="s">
        <v>6620</v>
      </c>
      <c r="K16" s="78"/>
      <c r="L16" s="92">
        <v>399237.2</v>
      </c>
      <c r="M16" s="78" t="s">
        <v>9114</v>
      </c>
      <c r="N16" s="92">
        <v>4387602.88433807</v>
      </c>
      <c r="O16" s="78" t="s">
        <v>9115</v>
      </c>
      <c r="R16" s="58"/>
      <c r="S16" s="58"/>
      <c r="T16" s="58"/>
      <c r="U16" s="58"/>
      <c r="V16" s="58"/>
      <c r="W16" s="58"/>
      <c r="X16" s="58"/>
    </row>
    <row r="17" ht="25.5" spans="1:24">
      <c r="A17" s="78" t="s">
        <v>3606</v>
      </c>
      <c r="B17" s="79" t="s">
        <v>77</v>
      </c>
      <c r="C17" s="79" t="s">
        <v>3607</v>
      </c>
      <c r="D17" s="79" t="s">
        <v>2961</v>
      </c>
      <c r="E17" s="80" t="s">
        <v>393</v>
      </c>
      <c r="F17" s="78" t="s">
        <v>9116</v>
      </c>
      <c r="G17" s="78"/>
      <c r="H17" s="78" t="s">
        <v>9117</v>
      </c>
      <c r="I17" s="78"/>
      <c r="J17" s="78" t="s">
        <v>9118</v>
      </c>
      <c r="K17" s="78"/>
      <c r="L17" s="92">
        <v>395324.7007824</v>
      </c>
      <c r="M17" s="78" t="s">
        <v>9119</v>
      </c>
      <c r="N17" s="92">
        <v>4782927.58512047</v>
      </c>
      <c r="O17" s="78" t="s">
        <v>9120</v>
      </c>
      <c r="R17" s="58"/>
      <c r="S17" s="58"/>
      <c r="T17" s="58"/>
      <c r="U17" s="58"/>
      <c r="V17" s="58"/>
      <c r="W17" s="58"/>
      <c r="X17" s="58"/>
    </row>
    <row r="18" ht="25.5" spans="1:24">
      <c r="A18" s="78" t="s">
        <v>5738</v>
      </c>
      <c r="B18" s="79" t="s">
        <v>139</v>
      </c>
      <c r="C18" s="79" t="s">
        <v>5739</v>
      </c>
      <c r="D18" s="79" t="s">
        <v>2896</v>
      </c>
      <c r="E18" s="80" t="s">
        <v>2897</v>
      </c>
      <c r="F18" s="78" t="s">
        <v>9121</v>
      </c>
      <c r="G18" s="78"/>
      <c r="H18" s="78" t="s">
        <v>9122</v>
      </c>
      <c r="I18" s="78"/>
      <c r="J18" s="78" t="s">
        <v>9123</v>
      </c>
      <c r="K18" s="78"/>
      <c r="L18" s="92">
        <v>356745.536861015</v>
      </c>
      <c r="M18" s="78" t="s">
        <v>9124</v>
      </c>
      <c r="N18" s="92">
        <v>5139673.12198148</v>
      </c>
      <c r="O18" s="78" t="s">
        <v>9125</v>
      </c>
      <c r="R18" s="58"/>
      <c r="S18" s="58"/>
      <c r="T18" s="58"/>
      <c r="U18" s="58"/>
      <c r="V18" s="58"/>
      <c r="W18" s="58"/>
      <c r="X18" s="58"/>
    </row>
    <row r="19" ht="25.5" spans="1:24">
      <c r="A19" s="78" t="s">
        <v>5394</v>
      </c>
      <c r="B19" s="79" t="s">
        <v>139</v>
      </c>
      <c r="C19" s="79" t="s">
        <v>5395</v>
      </c>
      <c r="D19" s="79" t="s">
        <v>2896</v>
      </c>
      <c r="E19" s="80" t="s">
        <v>2897</v>
      </c>
      <c r="F19" s="78" t="s">
        <v>9126</v>
      </c>
      <c r="G19" s="78"/>
      <c r="H19" s="78" t="s">
        <v>9127</v>
      </c>
      <c r="I19" s="78"/>
      <c r="J19" s="78" t="s">
        <v>9128</v>
      </c>
      <c r="K19" s="78"/>
      <c r="L19" s="92">
        <v>344703.255427531</v>
      </c>
      <c r="M19" s="78" t="s">
        <v>9129</v>
      </c>
      <c r="N19" s="92">
        <v>5484376.37740901</v>
      </c>
      <c r="O19" s="78" t="s">
        <v>9130</v>
      </c>
      <c r="R19" s="58"/>
      <c r="S19" s="58"/>
      <c r="T19" s="58"/>
      <c r="U19" s="58"/>
      <c r="V19" s="58"/>
      <c r="W19" s="58"/>
      <c r="X19" s="58"/>
    </row>
    <row r="20" spans="1:24">
      <c r="A20" s="78" t="s">
        <v>5654</v>
      </c>
      <c r="B20" s="79" t="s">
        <v>139</v>
      </c>
      <c r="C20" s="79" t="s">
        <v>5655</v>
      </c>
      <c r="D20" s="79" t="s">
        <v>2896</v>
      </c>
      <c r="E20" s="80" t="s">
        <v>2925</v>
      </c>
      <c r="F20" s="78" t="s">
        <v>9131</v>
      </c>
      <c r="G20" s="78"/>
      <c r="H20" s="78" t="s">
        <v>9132</v>
      </c>
      <c r="I20" s="78"/>
      <c r="J20" s="78" t="s">
        <v>9133</v>
      </c>
      <c r="K20" s="78"/>
      <c r="L20" s="92">
        <v>291178.1717856</v>
      </c>
      <c r="M20" s="78" t="s">
        <v>9134</v>
      </c>
      <c r="N20" s="92">
        <v>5775554.54919462</v>
      </c>
      <c r="O20" s="78" t="s">
        <v>9135</v>
      </c>
      <c r="R20" s="58"/>
      <c r="S20" s="58"/>
      <c r="T20" s="58"/>
      <c r="U20" s="58"/>
      <c r="V20" s="58"/>
      <c r="W20" s="58"/>
      <c r="X20" s="58"/>
    </row>
    <row r="21" ht="25.5" spans="1:24">
      <c r="A21" s="78" t="s">
        <v>5098</v>
      </c>
      <c r="B21" s="79" t="s">
        <v>139</v>
      </c>
      <c r="C21" s="79" t="s">
        <v>5099</v>
      </c>
      <c r="D21" s="79" t="s">
        <v>2961</v>
      </c>
      <c r="E21" s="80" t="s">
        <v>141</v>
      </c>
      <c r="F21" s="78" t="s">
        <v>9136</v>
      </c>
      <c r="G21" s="78"/>
      <c r="H21" s="78" t="s">
        <v>9137</v>
      </c>
      <c r="I21" s="78"/>
      <c r="J21" s="78" t="s">
        <v>9138</v>
      </c>
      <c r="K21" s="78"/>
      <c r="L21" s="92">
        <v>285708.8718</v>
      </c>
      <c r="M21" s="78" t="s">
        <v>9139</v>
      </c>
      <c r="N21" s="92">
        <v>6061263.42099462</v>
      </c>
      <c r="O21" s="78" t="s">
        <v>9140</v>
      </c>
      <c r="R21" s="58"/>
      <c r="S21" s="58"/>
      <c r="T21" s="58"/>
      <c r="U21" s="58"/>
      <c r="V21" s="58"/>
      <c r="W21" s="58"/>
      <c r="X21" s="58"/>
    </row>
    <row r="22" ht="38.25" spans="1:24">
      <c r="A22" s="78" t="s">
        <v>5207</v>
      </c>
      <c r="B22" s="79" t="s">
        <v>77</v>
      </c>
      <c r="C22" s="79" t="s">
        <v>5208</v>
      </c>
      <c r="D22" s="79" t="s">
        <v>2961</v>
      </c>
      <c r="E22" s="80" t="s">
        <v>141</v>
      </c>
      <c r="F22" s="78" t="s">
        <v>9141</v>
      </c>
      <c r="G22" s="78"/>
      <c r="H22" s="78" t="s">
        <v>9142</v>
      </c>
      <c r="I22" s="78"/>
      <c r="J22" s="78" t="s">
        <v>9143</v>
      </c>
      <c r="K22" s="78"/>
      <c r="L22" s="92">
        <v>281865.0702</v>
      </c>
      <c r="M22" s="78" t="s">
        <v>9144</v>
      </c>
      <c r="N22" s="92">
        <v>6343128.49119462</v>
      </c>
      <c r="O22" s="78" t="s">
        <v>9145</v>
      </c>
      <c r="R22" s="58"/>
      <c r="S22" s="58"/>
      <c r="T22" s="58"/>
      <c r="U22" s="58"/>
      <c r="V22" s="58"/>
      <c r="W22" s="58"/>
      <c r="X22" s="58"/>
    </row>
    <row r="23" ht="25.5" spans="1:24">
      <c r="A23" s="78" t="s">
        <v>4302</v>
      </c>
      <c r="B23" s="79" t="s">
        <v>132</v>
      </c>
      <c r="C23" s="79" t="s">
        <v>1490</v>
      </c>
      <c r="D23" s="79" t="s">
        <v>2961</v>
      </c>
      <c r="E23" s="80" t="s">
        <v>1491</v>
      </c>
      <c r="F23" s="78" t="s">
        <v>9091</v>
      </c>
      <c r="G23" s="78"/>
      <c r="H23" s="78" t="s">
        <v>6651</v>
      </c>
      <c r="I23" s="78"/>
      <c r="J23" s="78" t="s">
        <v>6651</v>
      </c>
      <c r="K23" s="78"/>
      <c r="L23" s="92">
        <v>267355.8</v>
      </c>
      <c r="M23" s="78" t="s">
        <v>9146</v>
      </c>
      <c r="N23" s="92">
        <v>6610484.29119461</v>
      </c>
      <c r="O23" s="78" t="s">
        <v>9147</v>
      </c>
      <c r="R23" s="58"/>
      <c r="S23" s="58"/>
      <c r="T23" s="58"/>
      <c r="U23" s="58"/>
      <c r="V23" s="58"/>
      <c r="W23" s="58"/>
      <c r="X23" s="58"/>
    </row>
    <row r="24" spans="1:24">
      <c r="A24" s="78" t="s">
        <v>5650</v>
      </c>
      <c r="B24" s="79" t="s">
        <v>139</v>
      </c>
      <c r="C24" s="79" t="s">
        <v>5651</v>
      </c>
      <c r="D24" s="79" t="s">
        <v>2896</v>
      </c>
      <c r="E24" s="80" t="s">
        <v>2925</v>
      </c>
      <c r="F24" s="78" t="s">
        <v>9131</v>
      </c>
      <c r="G24" s="78"/>
      <c r="H24" s="78" t="s">
        <v>9148</v>
      </c>
      <c r="I24" s="78"/>
      <c r="J24" s="78" t="s">
        <v>9149</v>
      </c>
      <c r="K24" s="78"/>
      <c r="L24" s="92">
        <v>261589.5650016</v>
      </c>
      <c r="M24" s="78" t="s">
        <v>9150</v>
      </c>
      <c r="N24" s="92">
        <v>6872073.85619622</v>
      </c>
      <c r="O24" s="78" t="s">
        <v>9151</v>
      </c>
      <c r="R24" s="58"/>
      <c r="S24" s="58"/>
      <c r="T24" s="58"/>
      <c r="U24" s="58"/>
      <c r="V24" s="58"/>
      <c r="W24" s="58"/>
      <c r="X24" s="58"/>
    </row>
    <row r="25" ht="25.5" spans="1:24">
      <c r="A25" s="78" t="s">
        <v>4198</v>
      </c>
      <c r="B25" s="79" t="s">
        <v>132</v>
      </c>
      <c r="C25" s="79" t="s">
        <v>1290</v>
      </c>
      <c r="D25" s="79" t="s">
        <v>2961</v>
      </c>
      <c r="E25" s="80" t="s">
        <v>134</v>
      </c>
      <c r="F25" s="78" t="s">
        <v>9152</v>
      </c>
      <c r="G25" s="78"/>
      <c r="H25" s="78" t="s">
        <v>9153</v>
      </c>
      <c r="I25" s="78"/>
      <c r="J25" s="78" t="s">
        <v>9154</v>
      </c>
      <c r="K25" s="78"/>
      <c r="L25" s="92">
        <v>245132.36</v>
      </c>
      <c r="M25" s="78" t="s">
        <v>9155</v>
      </c>
      <c r="N25" s="92">
        <v>7117206.21619621</v>
      </c>
      <c r="O25" s="78" t="s">
        <v>9156</v>
      </c>
      <c r="R25" s="58"/>
      <c r="S25" s="58"/>
      <c r="T25" s="58"/>
      <c r="U25" s="58"/>
      <c r="V25" s="58"/>
      <c r="W25" s="58"/>
      <c r="X25" s="58"/>
    </row>
    <row r="26" spans="1:24">
      <c r="A26" s="78" t="s">
        <v>5730</v>
      </c>
      <c r="B26" s="79" t="s">
        <v>139</v>
      </c>
      <c r="C26" s="79" t="s">
        <v>5731</v>
      </c>
      <c r="D26" s="79" t="s">
        <v>2896</v>
      </c>
      <c r="E26" s="80" t="s">
        <v>2897</v>
      </c>
      <c r="F26" s="78" t="s">
        <v>9157</v>
      </c>
      <c r="G26" s="78"/>
      <c r="H26" s="78" t="s">
        <v>9105</v>
      </c>
      <c r="I26" s="78"/>
      <c r="J26" s="78" t="s">
        <v>9158</v>
      </c>
      <c r="K26" s="78"/>
      <c r="L26" s="92">
        <v>231727.653493619</v>
      </c>
      <c r="M26" s="78" t="s">
        <v>9159</v>
      </c>
      <c r="N26" s="92">
        <v>7348933.86968983</v>
      </c>
      <c r="O26" s="78" t="s">
        <v>9160</v>
      </c>
      <c r="R26" s="58"/>
      <c r="S26" s="58"/>
      <c r="T26" s="58"/>
      <c r="U26" s="58"/>
      <c r="V26" s="58"/>
      <c r="W26" s="58"/>
      <c r="X26" s="58"/>
    </row>
    <row r="27" ht="38.25" spans="1:24">
      <c r="A27" s="78" t="s">
        <v>4558</v>
      </c>
      <c r="B27" s="79" t="s">
        <v>132</v>
      </c>
      <c r="C27" s="79" t="s">
        <v>4559</v>
      </c>
      <c r="D27" s="79" t="s">
        <v>2961</v>
      </c>
      <c r="E27" s="80" t="s">
        <v>134</v>
      </c>
      <c r="F27" s="78" t="s">
        <v>9161</v>
      </c>
      <c r="G27" s="78"/>
      <c r="H27" s="78" t="s">
        <v>9162</v>
      </c>
      <c r="I27" s="78"/>
      <c r="J27" s="78" t="s">
        <v>9163</v>
      </c>
      <c r="K27" s="78"/>
      <c r="L27" s="92">
        <v>229593.42</v>
      </c>
      <c r="M27" s="78" t="s">
        <v>9164</v>
      </c>
      <c r="N27" s="92">
        <v>7578527.28968983</v>
      </c>
      <c r="O27" s="78" t="s">
        <v>9165</v>
      </c>
      <c r="R27" s="58"/>
      <c r="S27" s="58"/>
      <c r="T27" s="58"/>
      <c r="U27" s="58"/>
      <c r="V27" s="58"/>
      <c r="W27" s="58"/>
      <c r="X27" s="58"/>
    </row>
    <row r="28" ht="38.25" spans="1:24">
      <c r="A28" s="78" t="s">
        <v>3163</v>
      </c>
      <c r="B28" s="79" t="s">
        <v>139</v>
      </c>
      <c r="C28" s="79" t="s">
        <v>3164</v>
      </c>
      <c r="D28" s="79" t="s">
        <v>2961</v>
      </c>
      <c r="E28" s="80" t="s">
        <v>204</v>
      </c>
      <c r="F28" s="78" t="s">
        <v>9166</v>
      </c>
      <c r="G28" s="78"/>
      <c r="H28" s="78" t="s">
        <v>9167</v>
      </c>
      <c r="I28" s="78"/>
      <c r="J28" s="78" t="s">
        <v>9168</v>
      </c>
      <c r="K28" s="78"/>
      <c r="L28" s="92">
        <v>209442.956163728</v>
      </c>
      <c r="M28" s="78" t="s">
        <v>9169</v>
      </c>
      <c r="N28" s="92">
        <v>7787970.24585356</v>
      </c>
      <c r="O28" s="78" t="s">
        <v>9170</v>
      </c>
      <c r="R28" s="58"/>
      <c r="S28" s="58"/>
      <c r="T28" s="58"/>
      <c r="U28" s="58"/>
      <c r="V28" s="58"/>
      <c r="W28" s="58"/>
      <c r="X28" s="58"/>
    </row>
    <row r="29" ht="25.5" spans="1:24">
      <c r="A29" s="78" t="s">
        <v>4188</v>
      </c>
      <c r="B29" s="79" t="s">
        <v>139</v>
      </c>
      <c r="C29" s="79" t="s">
        <v>4189</v>
      </c>
      <c r="D29" s="79" t="s">
        <v>2961</v>
      </c>
      <c r="E29" s="80" t="s">
        <v>204</v>
      </c>
      <c r="F29" s="78" t="s">
        <v>9171</v>
      </c>
      <c r="G29" s="78"/>
      <c r="H29" s="78" t="s">
        <v>9172</v>
      </c>
      <c r="I29" s="78"/>
      <c r="J29" s="78" t="s">
        <v>9173</v>
      </c>
      <c r="K29" s="78"/>
      <c r="L29" s="92">
        <v>206267.2836</v>
      </c>
      <c r="M29" s="78" t="s">
        <v>9174</v>
      </c>
      <c r="N29" s="92">
        <v>7994237.52945356</v>
      </c>
      <c r="O29" s="78" t="s">
        <v>9175</v>
      </c>
      <c r="R29" s="58"/>
      <c r="S29" s="58"/>
      <c r="T29" s="58"/>
      <c r="U29" s="58"/>
      <c r="V29" s="58"/>
      <c r="W29" s="58"/>
      <c r="X29" s="58"/>
    </row>
    <row r="30" ht="114.75" spans="1:24">
      <c r="A30" s="78" t="s">
        <v>4755</v>
      </c>
      <c r="B30" s="79" t="s">
        <v>132</v>
      </c>
      <c r="C30" s="79" t="s">
        <v>4756</v>
      </c>
      <c r="D30" s="79" t="s">
        <v>3395</v>
      </c>
      <c r="E30" s="80" t="s">
        <v>134</v>
      </c>
      <c r="F30" s="78" t="s">
        <v>9091</v>
      </c>
      <c r="G30" s="78" t="s">
        <v>9093</v>
      </c>
      <c r="H30" s="78" t="s">
        <v>6668</v>
      </c>
      <c r="I30" s="78" t="s">
        <v>9176</v>
      </c>
      <c r="J30" s="78" t="s">
        <v>6668</v>
      </c>
      <c r="K30" s="78" t="s">
        <v>8660</v>
      </c>
      <c r="L30" s="92">
        <v>204859.51</v>
      </c>
      <c r="M30" s="78" t="s">
        <v>9174</v>
      </c>
      <c r="N30" s="92">
        <v>8199097.03945356</v>
      </c>
      <c r="O30" s="78" t="s">
        <v>9177</v>
      </c>
      <c r="R30" s="58"/>
      <c r="S30" s="58"/>
      <c r="T30" s="58"/>
      <c r="U30" s="58"/>
      <c r="V30" s="58"/>
      <c r="W30" s="58"/>
      <c r="X30" s="58"/>
    </row>
    <row r="31" ht="25.5" spans="1:24">
      <c r="A31" s="78" t="s">
        <v>6016</v>
      </c>
      <c r="B31" s="79" t="s">
        <v>77</v>
      </c>
      <c r="C31" s="79" t="s">
        <v>6017</v>
      </c>
      <c r="D31" s="79" t="s">
        <v>2896</v>
      </c>
      <c r="E31" s="80" t="s">
        <v>2897</v>
      </c>
      <c r="F31" s="78" t="s">
        <v>9178</v>
      </c>
      <c r="G31" s="78"/>
      <c r="H31" s="78" t="s">
        <v>9179</v>
      </c>
      <c r="I31" s="78"/>
      <c r="J31" s="78" t="s">
        <v>9180</v>
      </c>
      <c r="K31" s="78"/>
      <c r="L31" s="92">
        <v>200026.056</v>
      </c>
      <c r="M31" s="78" t="s">
        <v>9181</v>
      </c>
      <c r="N31" s="92">
        <v>8399123.09545356</v>
      </c>
      <c r="O31" s="78" t="s">
        <v>9182</v>
      </c>
      <c r="R31" s="58"/>
      <c r="S31" s="58"/>
      <c r="T31" s="58"/>
      <c r="U31" s="58"/>
      <c r="V31" s="58"/>
      <c r="W31" s="58"/>
      <c r="X31" s="58"/>
    </row>
    <row r="32" ht="102" spans="1:24">
      <c r="A32" s="78" t="s">
        <v>4272</v>
      </c>
      <c r="B32" s="79" t="s">
        <v>132</v>
      </c>
      <c r="C32" s="79" t="s">
        <v>4273</v>
      </c>
      <c r="D32" s="79" t="s">
        <v>2961</v>
      </c>
      <c r="E32" s="80" t="s">
        <v>134</v>
      </c>
      <c r="F32" s="78" t="s">
        <v>9183</v>
      </c>
      <c r="G32" s="78"/>
      <c r="H32" s="78" t="s">
        <v>9184</v>
      </c>
      <c r="I32" s="78"/>
      <c r="J32" s="78" t="s">
        <v>9185</v>
      </c>
      <c r="K32" s="78"/>
      <c r="L32" s="92">
        <v>189956.26</v>
      </c>
      <c r="M32" s="78" t="s">
        <v>9186</v>
      </c>
      <c r="N32" s="92">
        <v>8589079.35545356</v>
      </c>
      <c r="O32" s="78" t="s">
        <v>9187</v>
      </c>
      <c r="R32" s="58"/>
      <c r="S32" s="58"/>
      <c r="T32" s="58"/>
      <c r="U32" s="58"/>
      <c r="V32" s="58"/>
      <c r="W32" s="58"/>
      <c r="X32" s="58"/>
    </row>
    <row r="33" ht="114.75" spans="1:24">
      <c r="A33" s="78" t="s">
        <v>4753</v>
      </c>
      <c r="B33" s="79" t="s">
        <v>132</v>
      </c>
      <c r="C33" s="79" t="s">
        <v>4754</v>
      </c>
      <c r="D33" s="79" t="s">
        <v>3395</v>
      </c>
      <c r="E33" s="80" t="s">
        <v>134</v>
      </c>
      <c r="F33" s="78" t="s">
        <v>9091</v>
      </c>
      <c r="G33" s="78" t="s">
        <v>9093</v>
      </c>
      <c r="H33" s="78" t="s">
        <v>6681</v>
      </c>
      <c r="I33" s="78" t="s">
        <v>9188</v>
      </c>
      <c r="J33" s="78" t="s">
        <v>6681</v>
      </c>
      <c r="K33" s="78" t="s">
        <v>8660</v>
      </c>
      <c r="L33" s="92">
        <v>184998.76</v>
      </c>
      <c r="M33" s="78" t="s">
        <v>9189</v>
      </c>
      <c r="N33" s="92">
        <v>8774078.11545356</v>
      </c>
      <c r="O33" s="78" t="s">
        <v>9190</v>
      </c>
      <c r="R33" s="58"/>
      <c r="S33" s="58"/>
      <c r="T33" s="58"/>
      <c r="U33" s="58"/>
      <c r="V33" s="58"/>
      <c r="W33" s="58"/>
      <c r="X33" s="58"/>
    </row>
    <row r="34" ht="76.5" spans="1:24">
      <c r="A34" s="78" t="s">
        <v>4146</v>
      </c>
      <c r="B34" s="79" t="s">
        <v>132</v>
      </c>
      <c r="C34" s="79" t="s">
        <v>4147</v>
      </c>
      <c r="D34" s="79" t="s">
        <v>2961</v>
      </c>
      <c r="E34" s="80" t="s">
        <v>134</v>
      </c>
      <c r="F34" s="78" t="s">
        <v>9091</v>
      </c>
      <c r="G34" s="78"/>
      <c r="H34" s="78" t="s">
        <v>9191</v>
      </c>
      <c r="I34" s="78"/>
      <c r="J34" s="78" t="s">
        <v>9191</v>
      </c>
      <c r="K34" s="78"/>
      <c r="L34" s="92">
        <v>182766.3</v>
      </c>
      <c r="M34" s="78" t="s">
        <v>9192</v>
      </c>
      <c r="N34" s="92">
        <v>8956844.41545356</v>
      </c>
      <c r="O34" s="78" t="s">
        <v>9193</v>
      </c>
      <c r="R34" s="58"/>
      <c r="S34" s="58"/>
      <c r="T34" s="58"/>
      <c r="U34" s="58"/>
      <c r="V34" s="58"/>
      <c r="W34" s="58"/>
      <c r="X34" s="58"/>
    </row>
    <row r="35" ht="51" spans="1:24">
      <c r="A35" s="78" t="s">
        <v>4533</v>
      </c>
      <c r="B35" s="79" t="s">
        <v>132</v>
      </c>
      <c r="C35" s="79" t="s">
        <v>4534</v>
      </c>
      <c r="D35" s="79" t="s">
        <v>3395</v>
      </c>
      <c r="E35" s="80" t="s">
        <v>134</v>
      </c>
      <c r="F35" s="78" t="s">
        <v>9194</v>
      </c>
      <c r="G35" s="78" t="s">
        <v>9093</v>
      </c>
      <c r="H35" s="78" t="s">
        <v>9195</v>
      </c>
      <c r="I35" s="78" t="s">
        <v>9196</v>
      </c>
      <c r="J35" s="78" t="s">
        <v>9197</v>
      </c>
      <c r="K35" s="78" t="s">
        <v>8660</v>
      </c>
      <c r="L35" s="92">
        <v>177413.39</v>
      </c>
      <c r="M35" s="78" t="s">
        <v>9198</v>
      </c>
      <c r="N35" s="92">
        <v>9134257.80545356</v>
      </c>
      <c r="O35" s="78" t="s">
        <v>9199</v>
      </c>
      <c r="R35" s="58"/>
      <c r="S35" s="58"/>
      <c r="T35" s="58"/>
      <c r="U35" s="58"/>
      <c r="V35" s="58"/>
      <c r="W35" s="58"/>
      <c r="X35" s="58"/>
    </row>
    <row r="36" ht="25.5" spans="1:24">
      <c r="A36" s="78" t="s">
        <v>3108</v>
      </c>
      <c r="B36" s="79" t="s">
        <v>77</v>
      </c>
      <c r="C36" s="79" t="s">
        <v>3109</v>
      </c>
      <c r="D36" s="79" t="s">
        <v>2896</v>
      </c>
      <c r="E36" s="80" t="s">
        <v>2897</v>
      </c>
      <c r="F36" s="78" t="s">
        <v>9200</v>
      </c>
      <c r="G36" s="78"/>
      <c r="H36" s="78" t="s">
        <v>9201</v>
      </c>
      <c r="I36" s="78"/>
      <c r="J36" s="78" t="s">
        <v>9202</v>
      </c>
      <c r="K36" s="78"/>
      <c r="L36" s="92">
        <v>172643.58220821</v>
      </c>
      <c r="M36" s="78" t="s">
        <v>9203</v>
      </c>
      <c r="N36" s="92">
        <v>9306901.38766177</v>
      </c>
      <c r="O36" s="78" t="s">
        <v>9204</v>
      </c>
      <c r="R36" s="58"/>
      <c r="S36" s="58"/>
      <c r="T36" s="58"/>
      <c r="U36" s="58"/>
      <c r="V36" s="58"/>
      <c r="W36" s="58"/>
      <c r="X36" s="58"/>
    </row>
    <row r="37" ht="51" spans="1:24">
      <c r="A37" s="78" t="s">
        <v>4751</v>
      </c>
      <c r="B37" s="79" t="s">
        <v>132</v>
      </c>
      <c r="C37" s="79" t="s">
        <v>4752</v>
      </c>
      <c r="D37" s="79" t="s">
        <v>3395</v>
      </c>
      <c r="E37" s="80" t="s">
        <v>134</v>
      </c>
      <c r="F37" s="78" t="s">
        <v>9091</v>
      </c>
      <c r="G37" s="78" t="s">
        <v>9093</v>
      </c>
      <c r="H37" s="78" t="s">
        <v>6699</v>
      </c>
      <c r="I37" s="78" t="s">
        <v>9205</v>
      </c>
      <c r="J37" s="78" t="s">
        <v>6699</v>
      </c>
      <c r="K37" s="78" t="s">
        <v>8660</v>
      </c>
      <c r="L37" s="92">
        <v>155966.19</v>
      </c>
      <c r="M37" s="78" t="s">
        <v>9206</v>
      </c>
      <c r="N37" s="92">
        <v>9462867.57766177</v>
      </c>
      <c r="O37" s="78" t="s">
        <v>9207</v>
      </c>
      <c r="R37" s="58"/>
      <c r="S37" s="58"/>
      <c r="T37" s="58"/>
      <c r="U37" s="58"/>
      <c r="V37" s="58"/>
      <c r="W37" s="58"/>
      <c r="X37" s="58"/>
    </row>
    <row r="38" ht="25.5" spans="1:24">
      <c r="A38" s="78" t="s">
        <v>3579</v>
      </c>
      <c r="B38" s="79" t="s">
        <v>149</v>
      </c>
      <c r="C38" s="79" t="s">
        <v>3580</v>
      </c>
      <c r="D38" s="79" t="s">
        <v>2961</v>
      </c>
      <c r="E38" s="80" t="s">
        <v>204</v>
      </c>
      <c r="F38" s="78" t="s">
        <v>9208</v>
      </c>
      <c r="G38" s="78"/>
      <c r="H38" s="78" t="s">
        <v>9209</v>
      </c>
      <c r="I38" s="78"/>
      <c r="J38" s="78" t="s">
        <v>9210</v>
      </c>
      <c r="K38" s="78"/>
      <c r="L38" s="92">
        <v>152181.349002</v>
      </c>
      <c r="M38" s="78" t="s">
        <v>9211</v>
      </c>
      <c r="N38" s="92">
        <v>9615048.92666377</v>
      </c>
      <c r="O38" s="78" t="s">
        <v>9212</v>
      </c>
      <c r="R38" s="58"/>
      <c r="S38" s="58"/>
      <c r="T38" s="58"/>
      <c r="U38" s="58"/>
      <c r="V38" s="58"/>
      <c r="W38" s="58"/>
      <c r="X38" s="58"/>
    </row>
    <row r="39" ht="25.5" spans="1:24">
      <c r="A39" s="78" t="s">
        <v>5210</v>
      </c>
      <c r="B39" s="79" t="s">
        <v>149</v>
      </c>
      <c r="C39" s="79" t="s">
        <v>5211</v>
      </c>
      <c r="D39" s="79" t="s">
        <v>2961</v>
      </c>
      <c r="E39" s="80" t="s">
        <v>141</v>
      </c>
      <c r="F39" s="78" t="s">
        <v>9213</v>
      </c>
      <c r="G39" s="78"/>
      <c r="H39" s="78" t="s">
        <v>9214</v>
      </c>
      <c r="I39" s="78"/>
      <c r="J39" s="78" t="s">
        <v>9215</v>
      </c>
      <c r="K39" s="78"/>
      <c r="L39" s="92">
        <v>150901.966425</v>
      </c>
      <c r="M39" s="78" t="s">
        <v>9211</v>
      </c>
      <c r="N39" s="92">
        <v>9765950.89308877</v>
      </c>
      <c r="O39" s="78" t="s">
        <v>9216</v>
      </c>
      <c r="R39" s="58"/>
      <c r="S39" s="58"/>
      <c r="T39" s="58"/>
      <c r="U39" s="58"/>
      <c r="V39" s="58"/>
      <c r="W39" s="58"/>
      <c r="X39" s="58"/>
    </row>
    <row r="40" ht="51" spans="1:24">
      <c r="A40" s="78" t="s">
        <v>4131</v>
      </c>
      <c r="B40" s="79" t="s">
        <v>139</v>
      </c>
      <c r="C40" s="79" t="s">
        <v>4132</v>
      </c>
      <c r="D40" s="79" t="s">
        <v>2961</v>
      </c>
      <c r="E40" s="80" t="s">
        <v>204</v>
      </c>
      <c r="F40" s="78" t="s">
        <v>9217</v>
      </c>
      <c r="G40" s="78"/>
      <c r="H40" s="78" t="s">
        <v>9218</v>
      </c>
      <c r="I40" s="78"/>
      <c r="J40" s="78" t="s">
        <v>9219</v>
      </c>
      <c r="K40" s="78"/>
      <c r="L40" s="92">
        <v>150038.206395</v>
      </c>
      <c r="M40" s="78" t="s">
        <v>9220</v>
      </c>
      <c r="N40" s="92">
        <v>9915989.09948377</v>
      </c>
      <c r="O40" s="78" t="s">
        <v>9221</v>
      </c>
      <c r="R40" s="58"/>
      <c r="S40" s="58"/>
      <c r="T40" s="58"/>
      <c r="U40" s="58"/>
      <c r="V40" s="58"/>
      <c r="W40" s="58"/>
      <c r="X40" s="58"/>
    </row>
    <row r="41" ht="25.5" spans="1:24">
      <c r="A41" s="78" t="s">
        <v>4929</v>
      </c>
      <c r="B41" s="79" t="s">
        <v>149</v>
      </c>
      <c r="C41" s="79" t="s">
        <v>4930</v>
      </c>
      <c r="D41" s="79" t="s">
        <v>2961</v>
      </c>
      <c r="E41" s="80" t="s">
        <v>141</v>
      </c>
      <c r="F41" s="78" t="s">
        <v>9222</v>
      </c>
      <c r="G41" s="78"/>
      <c r="H41" s="78" t="s">
        <v>9223</v>
      </c>
      <c r="I41" s="78"/>
      <c r="J41" s="78" t="s">
        <v>9224</v>
      </c>
      <c r="K41" s="78"/>
      <c r="L41" s="92">
        <v>144312.21</v>
      </c>
      <c r="M41" s="78" t="s">
        <v>9225</v>
      </c>
      <c r="N41" s="92">
        <v>10060301.3094838</v>
      </c>
      <c r="O41" s="78" t="s">
        <v>9226</v>
      </c>
      <c r="R41" s="58"/>
      <c r="S41" s="58"/>
      <c r="T41" s="58"/>
      <c r="U41" s="58"/>
      <c r="V41" s="58"/>
      <c r="W41" s="58"/>
      <c r="X41" s="58"/>
    </row>
    <row r="42" ht="25.5" spans="1:24">
      <c r="A42" s="78" t="s">
        <v>5310</v>
      </c>
      <c r="B42" s="79" t="s">
        <v>139</v>
      </c>
      <c r="C42" s="79" t="s">
        <v>5311</v>
      </c>
      <c r="D42" s="79" t="s">
        <v>2961</v>
      </c>
      <c r="E42" s="80" t="s">
        <v>2897</v>
      </c>
      <c r="F42" s="78" t="s">
        <v>9109</v>
      </c>
      <c r="G42" s="78"/>
      <c r="H42" s="78" t="s">
        <v>9227</v>
      </c>
      <c r="I42" s="78"/>
      <c r="J42" s="78" t="s">
        <v>9228</v>
      </c>
      <c r="K42" s="78"/>
      <c r="L42" s="92">
        <v>138183.018135691</v>
      </c>
      <c r="M42" s="78" t="s">
        <v>9229</v>
      </c>
      <c r="N42" s="92">
        <v>10198484.3276195</v>
      </c>
      <c r="O42" s="78" t="s">
        <v>9230</v>
      </c>
      <c r="R42" s="58"/>
      <c r="S42" s="58"/>
      <c r="T42" s="58"/>
      <c r="U42" s="58"/>
      <c r="V42" s="58"/>
      <c r="W42" s="58"/>
      <c r="X42" s="58"/>
    </row>
    <row r="43" ht="38.25" spans="1:24">
      <c r="A43" s="78" t="s">
        <v>4298</v>
      </c>
      <c r="B43" s="79" t="s">
        <v>77</v>
      </c>
      <c r="C43" s="79" t="s">
        <v>4299</v>
      </c>
      <c r="D43" s="79" t="s">
        <v>2961</v>
      </c>
      <c r="E43" s="80" t="s">
        <v>134</v>
      </c>
      <c r="F43" s="78" t="s">
        <v>9091</v>
      </c>
      <c r="G43" s="78"/>
      <c r="H43" s="78" t="s">
        <v>6717</v>
      </c>
      <c r="I43" s="78"/>
      <c r="J43" s="78" t="s">
        <v>6717</v>
      </c>
      <c r="K43" s="78"/>
      <c r="L43" s="92">
        <v>132000</v>
      </c>
      <c r="M43" s="78" t="s">
        <v>9231</v>
      </c>
      <c r="N43" s="92">
        <v>10330484.3276195</v>
      </c>
      <c r="O43" s="78" t="s">
        <v>9232</v>
      </c>
      <c r="R43" s="58"/>
      <c r="S43" s="58"/>
      <c r="T43" s="58"/>
      <c r="U43" s="58"/>
      <c r="V43" s="58"/>
      <c r="W43" s="58"/>
      <c r="X43" s="58"/>
    </row>
    <row r="44" spans="1:24">
      <c r="A44" s="78" t="s">
        <v>5678</v>
      </c>
      <c r="B44" s="79" t="s">
        <v>139</v>
      </c>
      <c r="C44" s="79" t="s">
        <v>5679</v>
      </c>
      <c r="D44" s="79" t="s">
        <v>2896</v>
      </c>
      <c r="E44" s="80" t="s">
        <v>2925</v>
      </c>
      <c r="F44" s="78" t="s">
        <v>9233</v>
      </c>
      <c r="G44" s="78"/>
      <c r="H44" s="78" t="s">
        <v>9234</v>
      </c>
      <c r="I44" s="78"/>
      <c r="J44" s="78" t="s">
        <v>9235</v>
      </c>
      <c r="K44" s="78"/>
      <c r="L44" s="92">
        <v>125492.9395104</v>
      </c>
      <c r="M44" s="78" t="s">
        <v>9236</v>
      </c>
      <c r="N44" s="92">
        <v>10455977.2671299</v>
      </c>
      <c r="O44" s="78" t="s">
        <v>9237</v>
      </c>
      <c r="R44" s="58"/>
      <c r="S44" s="58"/>
      <c r="T44" s="58"/>
      <c r="U44" s="58"/>
      <c r="V44" s="58"/>
      <c r="W44" s="58"/>
      <c r="X44" s="58"/>
    </row>
    <row r="45" ht="25.5" spans="1:24">
      <c r="A45" s="78" t="s">
        <v>5306</v>
      </c>
      <c r="B45" s="79" t="s">
        <v>139</v>
      </c>
      <c r="C45" s="79" t="s">
        <v>5307</v>
      </c>
      <c r="D45" s="79" t="s">
        <v>2961</v>
      </c>
      <c r="E45" s="80" t="s">
        <v>2897</v>
      </c>
      <c r="F45" s="78" t="s">
        <v>9238</v>
      </c>
      <c r="G45" s="78"/>
      <c r="H45" s="78" t="s">
        <v>9239</v>
      </c>
      <c r="I45" s="78"/>
      <c r="J45" s="78" t="s">
        <v>9240</v>
      </c>
      <c r="K45" s="78"/>
      <c r="L45" s="92">
        <v>125131.158173441</v>
      </c>
      <c r="M45" s="78" t="s">
        <v>9236</v>
      </c>
      <c r="N45" s="92">
        <v>10581108.4253033</v>
      </c>
      <c r="O45" s="78" t="s">
        <v>9241</v>
      </c>
      <c r="R45" s="58"/>
      <c r="S45" s="58"/>
      <c r="T45" s="58"/>
      <c r="U45" s="58"/>
      <c r="V45" s="58"/>
      <c r="W45" s="58"/>
      <c r="X45" s="58"/>
    </row>
    <row r="46" ht="76.5" spans="1:24">
      <c r="A46" s="78" t="s">
        <v>5898</v>
      </c>
      <c r="B46" s="79" t="s">
        <v>139</v>
      </c>
      <c r="C46" s="79" t="s">
        <v>5899</v>
      </c>
      <c r="D46" s="79" t="s">
        <v>2961</v>
      </c>
      <c r="E46" s="80" t="s">
        <v>134</v>
      </c>
      <c r="F46" s="78" t="s">
        <v>9242</v>
      </c>
      <c r="G46" s="78"/>
      <c r="H46" s="78" t="s">
        <v>9243</v>
      </c>
      <c r="I46" s="78"/>
      <c r="J46" s="78" t="s">
        <v>9244</v>
      </c>
      <c r="K46" s="78"/>
      <c r="L46" s="92">
        <v>124351.9925</v>
      </c>
      <c r="M46" s="78" t="s">
        <v>9245</v>
      </c>
      <c r="N46" s="92">
        <v>10705460.4178033</v>
      </c>
      <c r="O46" s="78" t="s">
        <v>9246</v>
      </c>
      <c r="R46" s="58"/>
      <c r="S46" s="58"/>
      <c r="T46" s="58"/>
      <c r="U46" s="58"/>
      <c r="V46" s="58"/>
      <c r="W46" s="58"/>
      <c r="X46" s="58"/>
    </row>
    <row r="47" ht="25.5" spans="1:24">
      <c r="A47" s="78" t="s">
        <v>4407</v>
      </c>
      <c r="B47" s="79" t="s">
        <v>149</v>
      </c>
      <c r="C47" s="79" t="s">
        <v>4408</v>
      </c>
      <c r="D47" s="79" t="s">
        <v>2961</v>
      </c>
      <c r="E47" s="80" t="s">
        <v>134</v>
      </c>
      <c r="F47" s="78" t="s">
        <v>9247</v>
      </c>
      <c r="G47" s="78"/>
      <c r="H47" s="78" t="s">
        <v>9248</v>
      </c>
      <c r="I47" s="78"/>
      <c r="J47" s="78" t="s">
        <v>9249</v>
      </c>
      <c r="K47" s="78"/>
      <c r="L47" s="92">
        <v>108428.1</v>
      </c>
      <c r="M47" s="78" t="s">
        <v>9250</v>
      </c>
      <c r="N47" s="92">
        <v>10813888.5178033</v>
      </c>
      <c r="O47" s="78" t="s">
        <v>9251</v>
      </c>
      <c r="R47" s="58"/>
      <c r="S47" s="58"/>
      <c r="T47" s="58"/>
      <c r="U47" s="58"/>
      <c r="V47" s="58"/>
      <c r="W47" s="58"/>
      <c r="X47" s="58"/>
    </row>
    <row r="48" ht="38.25" spans="1:24">
      <c r="A48" s="78" t="s">
        <v>2894</v>
      </c>
      <c r="B48" s="79" t="s">
        <v>77</v>
      </c>
      <c r="C48" s="79" t="s">
        <v>2895</v>
      </c>
      <c r="D48" s="79" t="s">
        <v>2896</v>
      </c>
      <c r="E48" s="80" t="s">
        <v>2897</v>
      </c>
      <c r="F48" s="78" t="s">
        <v>9252</v>
      </c>
      <c r="G48" s="78"/>
      <c r="H48" s="78" t="s">
        <v>9253</v>
      </c>
      <c r="I48" s="78"/>
      <c r="J48" s="78" t="s">
        <v>9254</v>
      </c>
      <c r="K48" s="78"/>
      <c r="L48" s="92">
        <v>103219.564908229</v>
      </c>
      <c r="M48" s="78" t="s">
        <v>9255</v>
      </c>
      <c r="N48" s="92">
        <v>10917108.0827115</v>
      </c>
      <c r="O48" s="78" t="s">
        <v>9256</v>
      </c>
      <c r="R48" s="58"/>
      <c r="S48" s="58"/>
      <c r="T48" s="58"/>
      <c r="U48" s="58"/>
      <c r="V48" s="58"/>
      <c r="W48" s="58"/>
      <c r="X48" s="58"/>
    </row>
    <row r="49" ht="25.5" spans="1:24">
      <c r="A49" s="78" t="s">
        <v>3416</v>
      </c>
      <c r="B49" s="79" t="s">
        <v>149</v>
      </c>
      <c r="C49" s="79" t="s">
        <v>3417</v>
      </c>
      <c r="D49" s="79" t="s">
        <v>2961</v>
      </c>
      <c r="E49" s="80" t="s">
        <v>279</v>
      </c>
      <c r="F49" s="78" t="s">
        <v>9257</v>
      </c>
      <c r="G49" s="78"/>
      <c r="H49" s="78" t="s">
        <v>9258</v>
      </c>
      <c r="I49" s="78"/>
      <c r="J49" s="78" t="s">
        <v>9259</v>
      </c>
      <c r="K49" s="78"/>
      <c r="L49" s="92">
        <v>97935.672114</v>
      </c>
      <c r="M49" s="78" t="s">
        <v>9260</v>
      </c>
      <c r="N49" s="92">
        <v>11015043.7548255</v>
      </c>
      <c r="O49" s="78" t="s">
        <v>9261</v>
      </c>
      <c r="R49" s="58"/>
      <c r="S49" s="58"/>
      <c r="T49" s="58"/>
      <c r="U49" s="58"/>
      <c r="V49" s="58"/>
      <c r="W49" s="58"/>
      <c r="X49" s="58"/>
    </row>
    <row r="50" spans="1:24">
      <c r="A50" s="78" t="s">
        <v>4976</v>
      </c>
      <c r="B50" s="79" t="s">
        <v>149</v>
      </c>
      <c r="C50" s="79" t="s">
        <v>4977</v>
      </c>
      <c r="D50" s="79" t="s">
        <v>2961</v>
      </c>
      <c r="E50" s="80" t="s">
        <v>134</v>
      </c>
      <c r="F50" s="78" t="s">
        <v>9262</v>
      </c>
      <c r="G50" s="78"/>
      <c r="H50" s="78" t="s">
        <v>9263</v>
      </c>
      <c r="I50" s="78"/>
      <c r="J50" s="78" t="s">
        <v>9264</v>
      </c>
      <c r="K50" s="78"/>
      <c r="L50" s="92">
        <v>95358</v>
      </c>
      <c r="M50" s="78" t="s">
        <v>9265</v>
      </c>
      <c r="N50" s="92">
        <v>11110401.7548255</v>
      </c>
      <c r="O50" s="78" t="s">
        <v>9266</v>
      </c>
      <c r="R50" s="58"/>
      <c r="S50" s="58"/>
      <c r="T50" s="58"/>
      <c r="U50" s="58"/>
      <c r="V50" s="58"/>
      <c r="W50" s="58"/>
      <c r="X50" s="58"/>
    </row>
    <row r="51" ht="63.75" spans="1:24">
      <c r="A51" s="78" t="s">
        <v>3683</v>
      </c>
      <c r="B51" s="79" t="s">
        <v>132</v>
      </c>
      <c r="C51" s="79" t="s">
        <v>3684</v>
      </c>
      <c r="D51" s="79" t="s">
        <v>2961</v>
      </c>
      <c r="E51" s="80" t="s">
        <v>134</v>
      </c>
      <c r="F51" s="78" t="s">
        <v>9183</v>
      </c>
      <c r="G51" s="78"/>
      <c r="H51" s="78" t="s">
        <v>9267</v>
      </c>
      <c r="I51" s="78"/>
      <c r="J51" s="78" t="s">
        <v>9268</v>
      </c>
      <c r="K51" s="78"/>
      <c r="L51" s="92">
        <v>93240</v>
      </c>
      <c r="M51" s="78" t="s">
        <v>9269</v>
      </c>
      <c r="N51" s="92">
        <v>11203641.7548255</v>
      </c>
      <c r="O51" s="78" t="s">
        <v>9270</v>
      </c>
      <c r="R51" s="58"/>
      <c r="S51" s="58"/>
      <c r="T51" s="58"/>
      <c r="U51" s="58"/>
      <c r="V51" s="58"/>
      <c r="W51" s="58"/>
      <c r="X51" s="58"/>
    </row>
    <row r="52" spans="1:24">
      <c r="A52" s="78" t="s">
        <v>5642</v>
      </c>
      <c r="B52" s="79" t="s">
        <v>139</v>
      </c>
      <c r="C52" s="79" t="s">
        <v>5643</v>
      </c>
      <c r="D52" s="79" t="s">
        <v>2896</v>
      </c>
      <c r="E52" s="80" t="s">
        <v>2925</v>
      </c>
      <c r="F52" s="78" t="s">
        <v>9233</v>
      </c>
      <c r="G52" s="78"/>
      <c r="H52" s="78" t="s">
        <v>9271</v>
      </c>
      <c r="I52" s="78"/>
      <c r="J52" s="78" t="s">
        <v>9272</v>
      </c>
      <c r="K52" s="78"/>
      <c r="L52" s="92">
        <v>91335.1340568</v>
      </c>
      <c r="M52" s="78" t="s">
        <v>9273</v>
      </c>
      <c r="N52" s="92">
        <v>11294976.8888823</v>
      </c>
      <c r="O52" s="78" t="s">
        <v>9274</v>
      </c>
      <c r="R52" s="58"/>
      <c r="S52" s="58"/>
      <c r="T52" s="58"/>
      <c r="U52" s="58"/>
      <c r="V52" s="58"/>
      <c r="W52" s="58"/>
      <c r="X52" s="58"/>
    </row>
    <row r="53" ht="25.5" spans="1:24">
      <c r="A53" s="78" t="s">
        <v>3581</v>
      </c>
      <c r="B53" s="79" t="s">
        <v>149</v>
      </c>
      <c r="C53" s="79" t="s">
        <v>3582</v>
      </c>
      <c r="D53" s="79" t="s">
        <v>2961</v>
      </c>
      <c r="E53" s="80" t="s">
        <v>204</v>
      </c>
      <c r="F53" s="78" t="s">
        <v>9275</v>
      </c>
      <c r="G53" s="78"/>
      <c r="H53" s="78" t="s">
        <v>9276</v>
      </c>
      <c r="I53" s="78"/>
      <c r="J53" s="78" t="s">
        <v>9277</v>
      </c>
      <c r="K53" s="78"/>
      <c r="L53" s="92">
        <v>89436.9375</v>
      </c>
      <c r="M53" s="78" t="s">
        <v>9278</v>
      </c>
      <c r="N53" s="92">
        <v>11384413.8263823</v>
      </c>
      <c r="O53" s="78" t="s">
        <v>9279</v>
      </c>
      <c r="R53" s="58"/>
      <c r="S53" s="58"/>
      <c r="T53" s="58"/>
      <c r="U53" s="58"/>
      <c r="V53" s="58"/>
      <c r="W53" s="58"/>
      <c r="X53" s="58"/>
    </row>
    <row r="54" spans="1:24">
      <c r="A54" s="78" t="s">
        <v>5726</v>
      </c>
      <c r="B54" s="79" t="s">
        <v>139</v>
      </c>
      <c r="C54" s="79" t="s">
        <v>5727</v>
      </c>
      <c r="D54" s="79" t="s">
        <v>2896</v>
      </c>
      <c r="E54" s="80" t="s">
        <v>2897</v>
      </c>
      <c r="F54" s="78" t="s">
        <v>9280</v>
      </c>
      <c r="G54" s="78"/>
      <c r="H54" s="78" t="s">
        <v>9281</v>
      </c>
      <c r="I54" s="78"/>
      <c r="J54" s="78" t="s">
        <v>9282</v>
      </c>
      <c r="K54" s="78"/>
      <c r="L54" s="92">
        <v>89017.6022874129</v>
      </c>
      <c r="M54" s="78" t="s">
        <v>9278</v>
      </c>
      <c r="N54" s="92">
        <v>11473431.4286697</v>
      </c>
      <c r="O54" s="78" t="s">
        <v>9283</v>
      </c>
      <c r="R54" s="58"/>
      <c r="S54" s="58"/>
      <c r="T54" s="58"/>
      <c r="U54" s="58"/>
      <c r="V54" s="58"/>
      <c r="W54" s="58"/>
      <c r="X54" s="58"/>
    </row>
    <row r="55" spans="1:24">
      <c r="A55" s="78" t="s">
        <v>5768</v>
      </c>
      <c r="B55" s="79" t="s">
        <v>139</v>
      </c>
      <c r="C55" s="79" t="s">
        <v>5769</v>
      </c>
      <c r="D55" s="79" t="s">
        <v>2896</v>
      </c>
      <c r="E55" s="80" t="s">
        <v>2925</v>
      </c>
      <c r="F55" s="78" t="s">
        <v>9284</v>
      </c>
      <c r="G55" s="78"/>
      <c r="H55" s="78" t="s">
        <v>9285</v>
      </c>
      <c r="I55" s="78"/>
      <c r="J55" s="78" t="s">
        <v>9286</v>
      </c>
      <c r="K55" s="78"/>
      <c r="L55" s="92">
        <v>87986.7858144</v>
      </c>
      <c r="M55" s="78" t="s">
        <v>9287</v>
      </c>
      <c r="N55" s="92">
        <v>11561418.2144841</v>
      </c>
      <c r="O55" s="78" t="s">
        <v>9288</v>
      </c>
      <c r="R55" s="58"/>
      <c r="S55" s="58"/>
      <c r="T55" s="58"/>
      <c r="U55" s="58"/>
      <c r="V55" s="58"/>
      <c r="W55" s="58"/>
      <c r="X55" s="58"/>
    </row>
    <row r="56" ht="51" spans="1:24">
      <c r="A56" s="78" t="s">
        <v>4137</v>
      </c>
      <c r="B56" s="79" t="s">
        <v>139</v>
      </c>
      <c r="C56" s="79" t="s">
        <v>4138</v>
      </c>
      <c r="D56" s="79" t="s">
        <v>2961</v>
      </c>
      <c r="E56" s="80" t="s">
        <v>204</v>
      </c>
      <c r="F56" s="78" t="s">
        <v>9289</v>
      </c>
      <c r="G56" s="78"/>
      <c r="H56" s="78" t="s">
        <v>9290</v>
      </c>
      <c r="I56" s="78"/>
      <c r="J56" s="78" t="s">
        <v>9291</v>
      </c>
      <c r="K56" s="78"/>
      <c r="L56" s="92">
        <v>86507.436015</v>
      </c>
      <c r="M56" s="78" t="s">
        <v>9292</v>
      </c>
      <c r="N56" s="92">
        <v>11647925.6504991</v>
      </c>
      <c r="O56" s="78" t="s">
        <v>9293</v>
      </c>
      <c r="R56" s="58"/>
      <c r="S56" s="58"/>
      <c r="T56" s="58"/>
      <c r="U56" s="58"/>
      <c r="V56" s="58"/>
      <c r="W56" s="58"/>
      <c r="X56" s="58"/>
    </row>
    <row r="57" ht="25.5" spans="1:24">
      <c r="A57" s="78" t="s">
        <v>5430</v>
      </c>
      <c r="B57" s="79" t="s">
        <v>139</v>
      </c>
      <c r="C57" s="79" t="s">
        <v>5431</v>
      </c>
      <c r="D57" s="79" t="s">
        <v>2896</v>
      </c>
      <c r="E57" s="80" t="s">
        <v>2925</v>
      </c>
      <c r="F57" s="78" t="s">
        <v>9294</v>
      </c>
      <c r="G57" s="78"/>
      <c r="H57" s="78" t="s">
        <v>9295</v>
      </c>
      <c r="I57" s="78"/>
      <c r="J57" s="78" t="s">
        <v>9296</v>
      </c>
      <c r="K57" s="78"/>
      <c r="L57" s="92">
        <v>86458.9459608</v>
      </c>
      <c r="M57" s="78" t="s">
        <v>9292</v>
      </c>
      <c r="N57" s="92">
        <v>11734384.5964599</v>
      </c>
      <c r="O57" s="78" t="s">
        <v>9297</v>
      </c>
      <c r="R57" s="58"/>
      <c r="S57" s="58"/>
      <c r="T57" s="58"/>
      <c r="U57" s="58"/>
      <c r="V57" s="58"/>
      <c r="W57" s="58"/>
      <c r="X57" s="58"/>
    </row>
    <row r="58" ht="25.5" spans="1:24">
      <c r="A58" s="78" t="s">
        <v>5976</v>
      </c>
      <c r="B58" s="79" t="s">
        <v>139</v>
      </c>
      <c r="C58" s="79" t="s">
        <v>5977</v>
      </c>
      <c r="D58" s="79" t="s">
        <v>2961</v>
      </c>
      <c r="E58" s="80" t="s">
        <v>141</v>
      </c>
      <c r="F58" s="78" t="s">
        <v>9298</v>
      </c>
      <c r="G58" s="78"/>
      <c r="H58" s="78" t="s">
        <v>9299</v>
      </c>
      <c r="I58" s="78"/>
      <c r="J58" s="78" t="s">
        <v>9300</v>
      </c>
      <c r="K58" s="78"/>
      <c r="L58" s="92">
        <v>84528</v>
      </c>
      <c r="M58" s="78" t="s">
        <v>9301</v>
      </c>
      <c r="N58" s="92">
        <v>11818912.5964599</v>
      </c>
      <c r="O58" s="78" t="s">
        <v>9302</v>
      </c>
      <c r="R58" s="58"/>
      <c r="S58" s="58"/>
      <c r="T58" s="58"/>
      <c r="U58" s="58"/>
      <c r="V58" s="58"/>
      <c r="W58" s="58"/>
      <c r="X58" s="58"/>
    </row>
    <row r="59" ht="25.5" spans="1:24">
      <c r="A59" s="78" t="s">
        <v>4380</v>
      </c>
      <c r="B59" s="79" t="s">
        <v>132</v>
      </c>
      <c r="C59" s="79" t="s">
        <v>4381</v>
      </c>
      <c r="D59" s="79" t="s">
        <v>2961</v>
      </c>
      <c r="E59" s="80" t="s">
        <v>204</v>
      </c>
      <c r="F59" s="78" t="s">
        <v>9303</v>
      </c>
      <c r="G59" s="78"/>
      <c r="H59" s="78" t="s">
        <v>9304</v>
      </c>
      <c r="I59" s="78"/>
      <c r="J59" s="78" t="s">
        <v>9305</v>
      </c>
      <c r="K59" s="78"/>
      <c r="L59" s="92">
        <v>84159.3942</v>
      </c>
      <c r="M59" s="78" t="s">
        <v>9301</v>
      </c>
      <c r="N59" s="92">
        <v>11903071.9906599</v>
      </c>
      <c r="O59" s="78" t="s">
        <v>9306</v>
      </c>
      <c r="R59" s="58"/>
      <c r="S59" s="58"/>
      <c r="T59" s="58"/>
      <c r="U59" s="58"/>
      <c r="V59" s="58"/>
      <c r="W59" s="58"/>
      <c r="X59" s="58"/>
    </row>
    <row r="60" ht="102" spans="1:24">
      <c r="A60" s="78" t="s">
        <v>4268</v>
      </c>
      <c r="B60" s="79" t="s">
        <v>132</v>
      </c>
      <c r="C60" s="79" t="s">
        <v>4269</v>
      </c>
      <c r="D60" s="79" t="s">
        <v>2961</v>
      </c>
      <c r="E60" s="80" t="s">
        <v>134</v>
      </c>
      <c r="F60" s="78" t="s">
        <v>9091</v>
      </c>
      <c r="G60" s="78"/>
      <c r="H60" s="78" t="s">
        <v>9307</v>
      </c>
      <c r="I60" s="78"/>
      <c r="J60" s="78" t="s">
        <v>9307</v>
      </c>
      <c r="K60" s="78"/>
      <c r="L60" s="92">
        <v>83783.21</v>
      </c>
      <c r="M60" s="78" t="s">
        <v>9301</v>
      </c>
      <c r="N60" s="92">
        <v>11986855.2006599</v>
      </c>
      <c r="O60" s="78" t="s">
        <v>9308</v>
      </c>
      <c r="R60" s="58"/>
      <c r="S60" s="58"/>
      <c r="T60" s="58"/>
      <c r="U60" s="58"/>
      <c r="V60" s="58"/>
      <c r="W60" s="58"/>
      <c r="X60" s="58"/>
    </row>
    <row r="61" spans="1:24">
      <c r="A61" s="78" t="s">
        <v>5742</v>
      </c>
      <c r="B61" s="79" t="s">
        <v>139</v>
      </c>
      <c r="C61" s="79" t="s">
        <v>5743</v>
      </c>
      <c r="D61" s="79" t="s">
        <v>2896</v>
      </c>
      <c r="E61" s="80" t="s">
        <v>2925</v>
      </c>
      <c r="F61" s="78" t="s">
        <v>9309</v>
      </c>
      <c r="G61" s="78"/>
      <c r="H61" s="78" t="s">
        <v>9310</v>
      </c>
      <c r="I61" s="78"/>
      <c r="J61" s="78" t="s">
        <v>9311</v>
      </c>
      <c r="K61" s="78"/>
      <c r="L61" s="92">
        <v>80705.2431408</v>
      </c>
      <c r="M61" s="78" t="s">
        <v>9312</v>
      </c>
      <c r="N61" s="92">
        <v>12067560.4438007</v>
      </c>
      <c r="O61" s="78" t="s">
        <v>9313</v>
      </c>
      <c r="R61" s="58"/>
      <c r="S61" s="58"/>
      <c r="T61" s="58"/>
      <c r="U61" s="58"/>
      <c r="V61" s="58"/>
      <c r="W61" s="58"/>
      <c r="X61" s="58"/>
    </row>
    <row r="62" ht="89.25" spans="1:24">
      <c r="A62" s="78" t="s">
        <v>4745</v>
      </c>
      <c r="B62" s="79" t="s">
        <v>132</v>
      </c>
      <c r="C62" s="79" t="s">
        <v>4746</v>
      </c>
      <c r="D62" s="79" t="s">
        <v>3395</v>
      </c>
      <c r="E62" s="80" t="s">
        <v>134</v>
      </c>
      <c r="F62" s="78" t="s">
        <v>9091</v>
      </c>
      <c r="G62" s="78" t="s">
        <v>9093</v>
      </c>
      <c r="H62" s="78" t="s">
        <v>6835</v>
      </c>
      <c r="I62" s="78" t="s">
        <v>9314</v>
      </c>
      <c r="J62" s="78" t="s">
        <v>6835</v>
      </c>
      <c r="K62" s="78" t="s">
        <v>8660</v>
      </c>
      <c r="L62" s="92">
        <v>79111.54</v>
      </c>
      <c r="M62" s="78" t="s">
        <v>9312</v>
      </c>
      <c r="N62" s="92">
        <v>12146671.9838007</v>
      </c>
      <c r="O62" s="78" t="s">
        <v>9315</v>
      </c>
      <c r="R62" s="58"/>
      <c r="S62" s="58"/>
      <c r="T62" s="58"/>
      <c r="U62" s="58"/>
      <c r="V62" s="58"/>
      <c r="W62" s="58"/>
      <c r="X62" s="58"/>
    </row>
    <row r="63" ht="89.25" spans="1:24">
      <c r="A63" s="78" t="s">
        <v>4747</v>
      </c>
      <c r="B63" s="79" t="s">
        <v>132</v>
      </c>
      <c r="C63" s="79" t="s">
        <v>4748</v>
      </c>
      <c r="D63" s="79" t="s">
        <v>3395</v>
      </c>
      <c r="E63" s="80" t="s">
        <v>134</v>
      </c>
      <c r="F63" s="78" t="s">
        <v>9091</v>
      </c>
      <c r="G63" s="78" t="s">
        <v>9093</v>
      </c>
      <c r="H63" s="78" t="s">
        <v>6835</v>
      </c>
      <c r="I63" s="78" t="s">
        <v>9314</v>
      </c>
      <c r="J63" s="78" t="s">
        <v>6835</v>
      </c>
      <c r="K63" s="78" t="s">
        <v>8660</v>
      </c>
      <c r="L63" s="92">
        <v>79111.54</v>
      </c>
      <c r="M63" s="78" t="s">
        <v>9312</v>
      </c>
      <c r="N63" s="92">
        <v>12225783.5238007</v>
      </c>
      <c r="O63" s="78" t="s">
        <v>9316</v>
      </c>
      <c r="R63" s="58"/>
      <c r="S63" s="58"/>
      <c r="T63" s="58"/>
      <c r="U63" s="58"/>
      <c r="V63" s="58"/>
      <c r="W63" s="58"/>
      <c r="X63" s="58"/>
    </row>
    <row r="64" ht="89.25" spans="1:24">
      <c r="A64" s="78" t="s">
        <v>4743</v>
      </c>
      <c r="B64" s="79" t="s">
        <v>132</v>
      </c>
      <c r="C64" s="79" t="s">
        <v>4744</v>
      </c>
      <c r="D64" s="79" t="s">
        <v>3395</v>
      </c>
      <c r="E64" s="80" t="s">
        <v>134</v>
      </c>
      <c r="F64" s="78" t="s">
        <v>9091</v>
      </c>
      <c r="G64" s="78" t="s">
        <v>9093</v>
      </c>
      <c r="H64" s="78" t="s">
        <v>6855</v>
      </c>
      <c r="I64" s="78" t="s">
        <v>9317</v>
      </c>
      <c r="J64" s="78" t="s">
        <v>6855</v>
      </c>
      <c r="K64" s="78" t="s">
        <v>8660</v>
      </c>
      <c r="L64" s="92">
        <v>75550.8</v>
      </c>
      <c r="M64" s="78" t="s">
        <v>9318</v>
      </c>
      <c r="N64" s="92">
        <v>12301334.3238007</v>
      </c>
      <c r="O64" s="78" t="s">
        <v>9319</v>
      </c>
      <c r="R64" s="58"/>
      <c r="S64" s="58"/>
      <c r="T64" s="58"/>
      <c r="U64" s="58"/>
      <c r="V64" s="58"/>
      <c r="W64" s="58"/>
      <c r="X64" s="58"/>
    </row>
    <row r="65" ht="89.25" spans="1:24">
      <c r="A65" s="78" t="s">
        <v>4741</v>
      </c>
      <c r="B65" s="79" t="s">
        <v>132</v>
      </c>
      <c r="C65" s="79" t="s">
        <v>4742</v>
      </c>
      <c r="D65" s="79" t="s">
        <v>3395</v>
      </c>
      <c r="E65" s="80" t="s">
        <v>134</v>
      </c>
      <c r="F65" s="78" t="s">
        <v>9091</v>
      </c>
      <c r="G65" s="78" t="s">
        <v>9093</v>
      </c>
      <c r="H65" s="78" t="s">
        <v>6855</v>
      </c>
      <c r="I65" s="78" t="s">
        <v>9317</v>
      </c>
      <c r="J65" s="78" t="s">
        <v>6855</v>
      </c>
      <c r="K65" s="78" t="s">
        <v>8660</v>
      </c>
      <c r="L65" s="92">
        <v>75550.8</v>
      </c>
      <c r="M65" s="78" t="s">
        <v>9318</v>
      </c>
      <c r="N65" s="92">
        <v>12376885.1238007</v>
      </c>
      <c r="O65" s="78" t="s">
        <v>9320</v>
      </c>
      <c r="R65" s="58"/>
      <c r="S65" s="58"/>
      <c r="T65" s="58"/>
      <c r="U65" s="58"/>
      <c r="V65" s="58"/>
      <c r="W65" s="58"/>
      <c r="X65" s="58"/>
    </row>
    <row r="66" ht="25.5" spans="1:24">
      <c r="A66" s="78" t="s">
        <v>3586</v>
      </c>
      <c r="B66" s="79" t="s">
        <v>77</v>
      </c>
      <c r="C66" s="79" t="s">
        <v>3587</v>
      </c>
      <c r="D66" s="79" t="s">
        <v>2896</v>
      </c>
      <c r="E66" s="80" t="s">
        <v>2897</v>
      </c>
      <c r="F66" s="78" t="s">
        <v>9321</v>
      </c>
      <c r="G66" s="78"/>
      <c r="H66" s="78" t="s">
        <v>9322</v>
      </c>
      <c r="I66" s="78"/>
      <c r="J66" s="78" t="s">
        <v>9323</v>
      </c>
      <c r="K66" s="78"/>
      <c r="L66" s="92">
        <v>75025.038702</v>
      </c>
      <c r="M66" s="78" t="s">
        <v>9318</v>
      </c>
      <c r="N66" s="92">
        <v>12451910.1625027</v>
      </c>
      <c r="O66" s="78" t="s">
        <v>9324</v>
      </c>
      <c r="R66" s="58"/>
      <c r="S66" s="58"/>
      <c r="T66" s="58"/>
      <c r="U66" s="58"/>
      <c r="V66" s="58"/>
      <c r="W66" s="58"/>
      <c r="X66" s="58"/>
    </row>
    <row r="67" ht="38.25" spans="1:24">
      <c r="A67" s="78" t="s">
        <v>4643</v>
      </c>
      <c r="B67" s="79" t="s">
        <v>149</v>
      </c>
      <c r="C67" s="79" t="s">
        <v>4644</v>
      </c>
      <c r="D67" s="79" t="s">
        <v>2961</v>
      </c>
      <c r="E67" s="80" t="s">
        <v>134</v>
      </c>
      <c r="F67" s="78" t="s">
        <v>9325</v>
      </c>
      <c r="G67" s="78"/>
      <c r="H67" s="78" t="s">
        <v>9326</v>
      </c>
      <c r="I67" s="78"/>
      <c r="J67" s="78" t="s">
        <v>9327</v>
      </c>
      <c r="K67" s="78"/>
      <c r="L67" s="92">
        <v>73767.21</v>
      </c>
      <c r="M67" s="78" t="s">
        <v>9328</v>
      </c>
      <c r="N67" s="92">
        <v>12525677.3725027</v>
      </c>
      <c r="O67" s="78" t="s">
        <v>9329</v>
      </c>
      <c r="R67" s="58"/>
      <c r="S67" s="58"/>
      <c r="T67" s="58"/>
      <c r="U67" s="58"/>
      <c r="V67" s="58"/>
      <c r="W67" s="58"/>
      <c r="X67" s="58"/>
    </row>
    <row r="68" ht="25.5" spans="1:24">
      <c r="A68" s="78" t="s">
        <v>4224</v>
      </c>
      <c r="B68" s="79" t="s">
        <v>132</v>
      </c>
      <c r="C68" s="79" t="s">
        <v>1335</v>
      </c>
      <c r="D68" s="79" t="s">
        <v>2961</v>
      </c>
      <c r="E68" s="80" t="s">
        <v>134</v>
      </c>
      <c r="F68" s="78" t="s">
        <v>9330</v>
      </c>
      <c r="G68" s="78"/>
      <c r="H68" s="78" t="s">
        <v>9331</v>
      </c>
      <c r="I68" s="78"/>
      <c r="J68" s="78" t="s">
        <v>9332</v>
      </c>
      <c r="K68" s="78"/>
      <c r="L68" s="92">
        <v>73546.98</v>
      </c>
      <c r="M68" s="78" t="s">
        <v>9328</v>
      </c>
      <c r="N68" s="92">
        <v>12599224.3525027</v>
      </c>
      <c r="O68" s="78" t="s">
        <v>9333</v>
      </c>
      <c r="R68" s="58"/>
      <c r="S68" s="58"/>
      <c r="T68" s="58"/>
      <c r="U68" s="58"/>
      <c r="V68" s="58"/>
      <c r="W68" s="58"/>
      <c r="X68" s="58"/>
    </row>
    <row r="69" ht="25.5" spans="1:24">
      <c r="A69" s="78" t="s">
        <v>5220</v>
      </c>
      <c r="B69" s="79" t="s">
        <v>796</v>
      </c>
      <c r="C69" s="79" t="s">
        <v>5221</v>
      </c>
      <c r="D69" s="79" t="s">
        <v>2961</v>
      </c>
      <c r="E69" s="80" t="s">
        <v>141</v>
      </c>
      <c r="F69" s="78" t="s">
        <v>9334</v>
      </c>
      <c r="G69" s="78"/>
      <c r="H69" s="78" t="s">
        <v>9335</v>
      </c>
      <c r="I69" s="78"/>
      <c r="J69" s="78" t="s">
        <v>9336</v>
      </c>
      <c r="K69" s="78"/>
      <c r="L69" s="92">
        <v>72842.679</v>
      </c>
      <c r="M69" s="78" t="s">
        <v>9337</v>
      </c>
      <c r="N69" s="92">
        <v>12672067.0315027</v>
      </c>
      <c r="O69" s="78" t="s">
        <v>9338</v>
      </c>
      <c r="R69" s="58"/>
      <c r="S69" s="58"/>
      <c r="T69" s="58"/>
      <c r="U69" s="58"/>
      <c r="V69" s="58"/>
      <c r="W69" s="58"/>
      <c r="X69" s="58"/>
    </row>
    <row r="70" spans="1:24">
      <c r="A70" s="78" t="s">
        <v>4470</v>
      </c>
      <c r="B70" s="79" t="s">
        <v>149</v>
      </c>
      <c r="C70" s="79" t="s">
        <v>4471</v>
      </c>
      <c r="D70" s="79" t="s">
        <v>2961</v>
      </c>
      <c r="E70" s="80" t="s">
        <v>134</v>
      </c>
      <c r="F70" s="78" t="s">
        <v>9091</v>
      </c>
      <c r="G70" s="78"/>
      <c r="H70" s="78" t="s">
        <v>6862</v>
      </c>
      <c r="I70" s="78"/>
      <c r="J70" s="78" t="s">
        <v>6862</v>
      </c>
      <c r="K70" s="78"/>
      <c r="L70" s="92">
        <v>72410</v>
      </c>
      <c r="M70" s="78" t="s">
        <v>9337</v>
      </c>
      <c r="N70" s="92">
        <v>12744477.0315027</v>
      </c>
      <c r="O70" s="78" t="s">
        <v>9339</v>
      </c>
      <c r="R70" s="58"/>
      <c r="S70" s="58"/>
      <c r="T70" s="58"/>
      <c r="U70" s="58"/>
      <c r="V70" s="58"/>
      <c r="W70" s="58"/>
      <c r="X70" s="58"/>
    </row>
    <row r="71" ht="51" spans="1:24">
      <c r="A71" s="78" t="s">
        <v>4133</v>
      </c>
      <c r="B71" s="79" t="s">
        <v>139</v>
      </c>
      <c r="C71" s="79" t="s">
        <v>4134</v>
      </c>
      <c r="D71" s="79" t="s">
        <v>2961</v>
      </c>
      <c r="E71" s="80" t="s">
        <v>204</v>
      </c>
      <c r="F71" s="78" t="s">
        <v>9340</v>
      </c>
      <c r="G71" s="78"/>
      <c r="H71" s="78" t="s">
        <v>9341</v>
      </c>
      <c r="I71" s="78"/>
      <c r="J71" s="78" t="s">
        <v>9342</v>
      </c>
      <c r="K71" s="78"/>
      <c r="L71" s="92">
        <v>71966.765255</v>
      </c>
      <c r="M71" s="78" t="s">
        <v>9337</v>
      </c>
      <c r="N71" s="92">
        <v>12816443.7967577</v>
      </c>
      <c r="O71" s="78" t="s">
        <v>9343</v>
      </c>
      <c r="R71" s="58"/>
      <c r="S71" s="58"/>
      <c r="T71" s="58"/>
      <c r="U71" s="58"/>
      <c r="V71" s="58"/>
      <c r="W71" s="58"/>
      <c r="X71" s="58"/>
    </row>
    <row r="72" spans="1:24">
      <c r="A72" s="78" t="s">
        <v>5171</v>
      </c>
      <c r="B72" s="79" t="s">
        <v>139</v>
      </c>
      <c r="C72" s="79" t="s">
        <v>5172</v>
      </c>
      <c r="D72" s="79" t="s">
        <v>2961</v>
      </c>
      <c r="E72" s="80" t="s">
        <v>3084</v>
      </c>
      <c r="F72" s="78" t="s">
        <v>9344</v>
      </c>
      <c r="G72" s="78"/>
      <c r="H72" s="78" t="s">
        <v>9345</v>
      </c>
      <c r="I72" s="78"/>
      <c r="J72" s="78" t="s">
        <v>9346</v>
      </c>
      <c r="K72" s="78"/>
      <c r="L72" s="92">
        <v>70302.58629182</v>
      </c>
      <c r="M72" s="78" t="s">
        <v>9347</v>
      </c>
      <c r="N72" s="92">
        <v>12886746.3830496</v>
      </c>
      <c r="O72" s="78" t="s">
        <v>9348</v>
      </c>
      <c r="R72" s="58"/>
      <c r="S72" s="58"/>
      <c r="T72" s="58"/>
      <c r="U72" s="58"/>
      <c r="V72" s="58"/>
      <c r="W72" s="58"/>
      <c r="X72" s="58"/>
    </row>
    <row r="73" ht="25.5" spans="1:24">
      <c r="A73" s="78" t="s">
        <v>3584</v>
      </c>
      <c r="B73" s="79" t="s">
        <v>77</v>
      </c>
      <c r="C73" s="79" t="s">
        <v>3585</v>
      </c>
      <c r="D73" s="79" t="s">
        <v>2961</v>
      </c>
      <c r="E73" s="80" t="s">
        <v>204</v>
      </c>
      <c r="F73" s="78" t="s">
        <v>9349</v>
      </c>
      <c r="G73" s="78"/>
      <c r="H73" s="78" t="s">
        <v>9350</v>
      </c>
      <c r="I73" s="78"/>
      <c r="J73" s="78" t="s">
        <v>9351</v>
      </c>
      <c r="K73" s="78"/>
      <c r="L73" s="92">
        <v>69970.79308608</v>
      </c>
      <c r="M73" s="78" t="s">
        <v>9347</v>
      </c>
      <c r="N73" s="92">
        <v>12956717.1761356</v>
      </c>
      <c r="O73" s="78" t="s">
        <v>9352</v>
      </c>
      <c r="R73" s="58"/>
      <c r="S73" s="58"/>
      <c r="T73" s="58"/>
      <c r="U73" s="58"/>
      <c r="V73" s="58"/>
      <c r="W73" s="58"/>
      <c r="X73" s="58"/>
    </row>
    <row r="74" spans="1:24">
      <c r="A74" s="78" t="s">
        <v>5336</v>
      </c>
      <c r="B74" s="79" t="s">
        <v>139</v>
      </c>
      <c r="C74" s="79" t="s">
        <v>5337</v>
      </c>
      <c r="D74" s="79" t="s">
        <v>2896</v>
      </c>
      <c r="E74" s="80" t="s">
        <v>2897</v>
      </c>
      <c r="F74" s="78" t="s">
        <v>9353</v>
      </c>
      <c r="G74" s="78"/>
      <c r="H74" s="78" t="s">
        <v>9354</v>
      </c>
      <c r="I74" s="78"/>
      <c r="J74" s="78" t="s">
        <v>9355</v>
      </c>
      <c r="K74" s="78"/>
      <c r="L74" s="92">
        <v>68586.4262581526</v>
      </c>
      <c r="M74" s="78" t="s">
        <v>9356</v>
      </c>
      <c r="N74" s="92">
        <v>13025303.6023938</v>
      </c>
      <c r="O74" s="78" t="s">
        <v>9357</v>
      </c>
      <c r="R74" s="58"/>
      <c r="S74" s="58"/>
      <c r="T74" s="58"/>
      <c r="U74" s="58"/>
      <c r="V74" s="58"/>
      <c r="W74" s="58"/>
      <c r="X74" s="58"/>
    </row>
    <row r="75" spans="1:24">
      <c r="A75" s="78" t="s">
        <v>3571</v>
      </c>
      <c r="B75" s="79" t="s">
        <v>149</v>
      </c>
      <c r="C75" s="79" t="s">
        <v>3572</v>
      </c>
      <c r="D75" s="79" t="s">
        <v>2896</v>
      </c>
      <c r="E75" s="80" t="s">
        <v>2897</v>
      </c>
      <c r="F75" s="78" t="s">
        <v>9358</v>
      </c>
      <c r="G75" s="78"/>
      <c r="H75" s="78" t="s">
        <v>9359</v>
      </c>
      <c r="I75" s="78"/>
      <c r="J75" s="78" t="s">
        <v>9360</v>
      </c>
      <c r="K75" s="78"/>
      <c r="L75" s="92">
        <v>68429.8551104525</v>
      </c>
      <c r="M75" s="78" t="s">
        <v>9356</v>
      </c>
      <c r="N75" s="92">
        <v>13093733.4575043</v>
      </c>
      <c r="O75" s="78" t="s">
        <v>9361</v>
      </c>
      <c r="R75" s="58"/>
      <c r="S75" s="58"/>
      <c r="T75" s="58"/>
      <c r="U75" s="58"/>
      <c r="V75" s="58"/>
      <c r="W75" s="58"/>
      <c r="X75" s="58"/>
    </row>
    <row r="76" ht="25.5" spans="1:24">
      <c r="A76" s="78" t="s">
        <v>5352</v>
      </c>
      <c r="B76" s="79" t="s">
        <v>139</v>
      </c>
      <c r="C76" s="79" t="s">
        <v>5353</v>
      </c>
      <c r="D76" s="79" t="s">
        <v>2896</v>
      </c>
      <c r="E76" s="80" t="s">
        <v>2925</v>
      </c>
      <c r="F76" s="78" t="s">
        <v>9233</v>
      </c>
      <c r="G76" s="78"/>
      <c r="H76" s="78" t="s">
        <v>9362</v>
      </c>
      <c r="I76" s="78"/>
      <c r="J76" s="78" t="s">
        <v>9363</v>
      </c>
      <c r="K76" s="78"/>
      <c r="L76" s="92">
        <v>65950.9204128</v>
      </c>
      <c r="M76" s="78" t="s">
        <v>9364</v>
      </c>
      <c r="N76" s="92">
        <v>13159684.3779171</v>
      </c>
      <c r="O76" s="78" t="s">
        <v>9365</v>
      </c>
      <c r="R76" s="58"/>
      <c r="S76" s="58"/>
      <c r="T76" s="58"/>
      <c r="U76" s="58"/>
      <c r="V76" s="58"/>
      <c r="W76" s="58"/>
      <c r="X76" s="58"/>
    </row>
    <row r="77" ht="38.25" spans="1:24">
      <c r="A77" s="78" t="s">
        <v>5160</v>
      </c>
      <c r="B77" s="79" t="s">
        <v>139</v>
      </c>
      <c r="C77" s="79" t="s">
        <v>5161</v>
      </c>
      <c r="D77" s="79" t="s">
        <v>2961</v>
      </c>
      <c r="E77" s="80" t="s">
        <v>279</v>
      </c>
      <c r="F77" s="78" t="s">
        <v>9366</v>
      </c>
      <c r="G77" s="78"/>
      <c r="H77" s="78" t="s">
        <v>9367</v>
      </c>
      <c r="I77" s="78"/>
      <c r="J77" s="78" t="s">
        <v>9368</v>
      </c>
      <c r="K77" s="78"/>
      <c r="L77" s="92">
        <v>65082.11311</v>
      </c>
      <c r="M77" s="78" t="s">
        <v>9364</v>
      </c>
      <c r="N77" s="92">
        <v>13224766.4910271</v>
      </c>
      <c r="O77" s="78" t="s">
        <v>9369</v>
      </c>
      <c r="R77" s="58"/>
      <c r="S77" s="58"/>
      <c r="T77" s="58"/>
      <c r="U77" s="58"/>
      <c r="V77" s="58"/>
      <c r="W77" s="58"/>
      <c r="X77" s="58"/>
    </row>
    <row r="78" ht="25.5" spans="1:24">
      <c r="A78" s="78" t="s">
        <v>4013</v>
      </c>
      <c r="B78" s="79" t="s">
        <v>77</v>
      </c>
      <c r="C78" s="79" t="s">
        <v>4014</v>
      </c>
      <c r="D78" s="79" t="s">
        <v>2896</v>
      </c>
      <c r="E78" s="80" t="s">
        <v>2897</v>
      </c>
      <c r="F78" s="78" t="s">
        <v>9370</v>
      </c>
      <c r="G78" s="78"/>
      <c r="H78" s="78" t="s">
        <v>9371</v>
      </c>
      <c r="I78" s="78"/>
      <c r="J78" s="78" t="s">
        <v>9372</v>
      </c>
      <c r="K78" s="78"/>
      <c r="L78" s="92">
        <v>64962.779388</v>
      </c>
      <c r="M78" s="78" t="s">
        <v>9364</v>
      </c>
      <c r="N78" s="92">
        <v>13289729.2704151</v>
      </c>
      <c r="O78" s="78" t="s">
        <v>9373</v>
      </c>
      <c r="R78" s="58"/>
      <c r="S78" s="58"/>
      <c r="T78" s="58"/>
      <c r="U78" s="58"/>
      <c r="V78" s="58"/>
      <c r="W78" s="58"/>
      <c r="X78" s="58"/>
    </row>
    <row r="79" spans="1:24">
      <c r="A79" s="78" t="s">
        <v>5342</v>
      </c>
      <c r="B79" s="79" t="s">
        <v>139</v>
      </c>
      <c r="C79" s="79" t="s">
        <v>5343</v>
      </c>
      <c r="D79" s="79" t="s">
        <v>2896</v>
      </c>
      <c r="E79" s="80" t="s">
        <v>2925</v>
      </c>
      <c r="F79" s="78" t="s">
        <v>9374</v>
      </c>
      <c r="G79" s="78"/>
      <c r="H79" s="78" t="s">
        <v>9375</v>
      </c>
      <c r="I79" s="78"/>
      <c r="J79" s="78" t="s">
        <v>9376</v>
      </c>
      <c r="K79" s="78"/>
      <c r="L79" s="92">
        <v>64027.0479708</v>
      </c>
      <c r="M79" s="78" t="s">
        <v>9377</v>
      </c>
      <c r="N79" s="92">
        <v>13353756.3183859</v>
      </c>
      <c r="O79" s="78" t="s">
        <v>9378</v>
      </c>
      <c r="R79" s="58"/>
      <c r="S79" s="58"/>
      <c r="T79" s="58"/>
      <c r="U79" s="58"/>
      <c r="V79" s="58"/>
      <c r="W79" s="58"/>
      <c r="X79" s="58"/>
    </row>
    <row r="80" ht="38.25" spans="1:24">
      <c r="A80" s="78" t="s">
        <v>4588</v>
      </c>
      <c r="B80" s="79" t="s">
        <v>139</v>
      </c>
      <c r="C80" s="79" t="s">
        <v>4589</v>
      </c>
      <c r="D80" s="79" t="s">
        <v>2961</v>
      </c>
      <c r="E80" s="80" t="s">
        <v>134</v>
      </c>
      <c r="F80" s="78" t="s">
        <v>9379</v>
      </c>
      <c r="G80" s="78"/>
      <c r="H80" s="78" t="s">
        <v>9380</v>
      </c>
      <c r="I80" s="78"/>
      <c r="J80" s="78" t="s">
        <v>9381</v>
      </c>
      <c r="K80" s="78"/>
      <c r="L80" s="92">
        <v>63924</v>
      </c>
      <c r="M80" s="78" t="s">
        <v>9377</v>
      </c>
      <c r="N80" s="92">
        <v>13417680.3183859</v>
      </c>
      <c r="O80" s="78" t="s">
        <v>9382</v>
      </c>
      <c r="R80" s="58"/>
      <c r="S80" s="58"/>
      <c r="T80" s="58"/>
      <c r="U80" s="58"/>
      <c r="V80" s="58"/>
      <c r="W80" s="58"/>
      <c r="X80" s="58"/>
    </row>
    <row r="81" ht="63.75" spans="1:24">
      <c r="A81" s="78" t="s">
        <v>5150</v>
      </c>
      <c r="B81" s="79" t="s">
        <v>139</v>
      </c>
      <c r="C81" s="79" t="s">
        <v>5151</v>
      </c>
      <c r="D81" s="79" t="s">
        <v>2961</v>
      </c>
      <c r="E81" s="80" t="s">
        <v>141</v>
      </c>
      <c r="F81" s="78" t="s">
        <v>9383</v>
      </c>
      <c r="G81" s="78"/>
      <c r="H81" s="78" t="s">
        <v>9384</v>
      </c>
      <c r="I81" s="78"/>
      <c r="J81" s="78" t="s">
        <v>9385</v>
      </c>
      <c r="K81" s="78"/>
      <c r="L81" s="92">
        <v>61537.68146952</v>
      </c>
      <c r="M81" s="78" t="s">
        <v>9386</v>
      </c>
      <c r="N81" s="92">
        <v>13479217.9998554</v>
      </c>
      <c r="O81" s="78" t="s">
        <v>9387</v>
      </c>
      <c r="R81" s="58"/>
      <c r="S81" s="58"/>
      <c r="T81" s="58"/>
      <c r="U81" s="58"/>
      <c r="V81" s="58"/>
      <c r="W81" s="58"/>
      <c r="X81" s="58"/>
    </row>
    <row r="82" ht="51" spans="1:24">
      <c r="A82" s="78" t="s">
        <v>4129</v>
      </c>
      <c r="B82" s="79" t="s">
        <v>139</v>
      </c>
      <c r="C82" s="79" t="s">
        <v>4130</v>
      </c>
      <c r="D82" s="79" t="s">
        <v>2961</v>
      </c>
      <c r="E82" s="80" t="s">
        <v>204</v>
      </c>
      <c r="F82" s="78" t="s">
        <v>9388</v>
      </c>
      <c r="G82" s="78"/>
      <c r="H82" s="78" t="s">
        <v>7825</v>
      </c>
      <c r="I82" s="78"/>
      <c r="J82" s="78" t="s">
        <v>9389</v>
      </c>
      <c r="K82" s="78"/>
      <c r="L82" s="92">
        <v>59450.83375</v>
      </c>
      <c r="M82" s="78" t="s">
        <v>9390</v>
      </c>
      <c r="N82" s="92">
        <v>13538668.8336054</v>
      </c>
      <c r="O82" s="78" t="s">
        <v>9391</v>
      </c>
      <c r="R82" s="58"/>
      <c r="S82" s="58"/>
      <c r="T82" s="58"/>
      <c r="U82" s="58"/>
      <c r="V82" s="58"/>
      <c r="W82" s="58"/>
      <c r="X82" s="58"/>
    </row>
    <row r="83" spans="1:24">
      <c r="A83" s="78" t="s">
        <v>4906</v>
      </c>
      <c r="B83" s="79" t="s">
        <v>149</v>
      </c>
      <c r="C83" s="79" t="s">
        <v>4907</v>
      </c>
      <c r="D83" s="79" t="s">
        <v>2896</v>
      </c>
      <c r="E83" s="80" t="s">
        <v>2897</v>
      </c>
      <c r="F83" s="78" t="s">
        <v>9392</v>
      </c>
      <c r="G83" s="78"/>
      <c r="H83" s="78" t="s">
        <v>9393</v>
      </c>
      <c r="I83" s="78"/>
      <c r="J83" s="78" t="s">
        <v>9394</v>
      </c>
      <c r="K83" s="78"/>
      <c r="L83" s="92">
        <v>59119.8744628008</v>
      </c>
      <c r="M83" s="78" t="s">
        <v>9390</v>
      </c>
      <c r="N83" s="92">
        <v>13597788.7080682</v>
      </c>
      <c r="O83" s="78" t="s">
        <v>9395</v>
      </c>
      <c r="R83" s="58"/>
      <c r="S83" s="58"/>
      <c r="T83" s="58"/>
      <c r="U83" s="58"/>
      <c r="V83" s="58"/>
      <c r="W83" s="58"/>
      <c r="X83" s="58"/>
    </row>
    <row r="84" spans="1:24">
      <c r="A84" s="78" t="s">
        <v>5551</v>
      </c>
      <c r="B84" s="79" t="s">
        <v>139</v>
      </c>
      <c r="C84" s="79" t="s">
        <v>5552</v>
      </c>
      <c r="D84" s="79" t="s">
        <v>2896</v>
      </c>
      <c r="E84" s="80" t="s">
        <v>2897</v>
      </c>
      <c r="F84" s="78" t="s">
        <v>9396</v>
      </c>
      <c r="G84" s="78"/>
      <c r="H84" s="78" t="s">
        <v>9397</v>
      </c>
      <c r="I84" s="78"/>
      <c r="J84" s="78" t="s">
        <v>9398</v>
      </c>
      <c r="K84" s="78"/>
      <c r="L84" s="92">
        <v>57929.7898493874</v>
      </c>
      <c r="M84" s="78" t="s">
        <v>9399</v>
      </c>
      <c r="N84" s="92">
        <v>13655718.4979176</v>
      </c>
      <c r="O84" s="78" t="s">
        <v>9400</v>
      </c>
      <c r="R84" s="58"/>
      <c r="S84" s="58"/>
      <c r="T84" s="58"/>
      <c r="U84" s="58"/>
      <c r="V84" s="58"/>
      <c r="W84" s="58"/>
      <c r="X84" s="58"/>
    </row>
    <row r="85" ht="63.75" spans="1:24">
      <c r="A85" s="78" t="s">
        <v>4731</v>
      </c>
      <c r="B85" s="79" t="s">
        <v>132</v>
      </c>
      <c r="C85" s="79" t="s">
        <v>4732</v>
      </c>
      <c r="D85" s="79" t="s">
        <v>3395</v>
      </c>
      <c r="E85" s="80" t="s">
        <v>134</v>
      </c>
      <c r="F85" s="78" t="s">
        <v>9401</v>
      </c>
      <c r="G85" s="78" t="s">
        <v>9093</v>
      </c>
      <c r="H85" s="78" t="s">
        <v>9402</v>
      </c>
      <c r="I85" s="78" t="s">
        <v>9403</v>
      </c>
      <c r="J85" s="78" t="s">
        <v>9404</v>
      </c>
      <c r="K85" s="78" t="s">
        <v>8660</v>
      </c>
      <c r="L85" s="92">
        <v>56323.7</v>
      </c>
      <c r="M85" s="78" t="s">
        <v>9405</v>
      </c>
      <c r="N85" s="92">
        <v>13712042.1979176</v>
      </c>
      <c r="O85" s="78" t="s">
        <v>9406</v>
      </c>
      <c r="R85" s="58"/>
      <c r="S85" s="58"/>
      <c r="T85" s="58"/>
      <c r="U85" s="58"/>
      <c r="V85" s="58"/>
      <c r="W85" s="58"/>
      <c r="X85" s="58"/>
    </row>
    <row r="86" spans="1:24">
      <c r="A86" s="78" t="s">
        <v>3577</v>
      </c>
      <c r="B86" s="79" t="s">
        <v>149</v>
      </c>
      <c r="C86" s="79" t="s">
        <v>3578</v>
      </c>
      <c r="D86" s="79" t="s">
        <v>2961</v>
      </c>
      <c r="E86" s="80" t="s">
        <v>141</v>
      </c>
      <c r="F86" s="78" t="s">
        <v>9407</v>
      </c>
      <c r="G86" s="78"/>
      <c r="H86" s="78" t="s">
        <v>9408</v>
      </c>
      <c r="I86" s="78"/>
      <c r="J86" s="78" t="s">
        <v>9409</v>
      </c>
      <c r="K86" s="78"/>
      <c r="L86" s="92">
        <v>56176.06176</v>
      </c>
      <c r="M86" s="78" t="s">
        <v>9405</v>
      </c>
      <c r="N86" s="92">
        <v>13768218.2596776</v>
      </c>
      <c r="O86" s="78" t="s">
        <v>9410</v>
      </c>
      <c r="R86" s="58"/>
      <c r="S86" s="58"/>
      <c r="T86" s="58"/>
      <c r="U86" s="58"/>
      <c r="V86" s="58"/>
      <c r="W86" s="58"/>
      <c r="X86" s="58"/>
    </row>
    <row r="87" ht="38.25" spans="1:24">
      <c r="A87" s="78" t="s">
        <v>4018</v>
      </c>
      <c r="B87" s="79" t="s">
        <v>77</v>
      </c>
      <c r="C87" s="79" t="s">
        <v>4019</v>
      </c>
      <c r="D87" s="79" t="s">
        <v>2961</v>
      </c>
      <c r="E87" s="80" t="s">
        <v>134</v>
      </c>
      <c r="F87" s="78" t="s">
        <v>9411</v>
      </c>
      <c r="G87" s="78"/>
      <c r="H87" s="78" t="s">
        <v>9412</v>
      </c>
      <c r="I87" s="78"/>
      <c r="J87" s="78" t="s">
        <v>9413</v>
      </c>
      <c r="K87" s="78"/>
      <c r="L87" s="92">
        <v>54193.84355</v>
      </c>
      <c r="M87" s="78" t="s">
        <v>9414</v>
      </c>
      <c r="N87" s="92">
        <v>13822412.1032276</v>
      </c>
      <c r="O87" s="78" t="s">
        <v>9415</v>
      </c>
      <c r="R87" s="58"/>
      <c r="S87" s="58"/>
      <c r="T87" s="58"/>
      <c r="U87" s="58"/>
      <c r="V87" s="58"/>
      <c r="W87" s="58"/>
      <c r="X87" s="58"/>
    </row>
    <row r="88" ht="38.25" spans="1:24">
      <c r="A88" s="78" t="s">
        <v>3260</v>
      </c>
      <c r="B88" s="79" t="s">
        <v>77</v>
      </c>
      <c r="C88" s="79" t="s">
        <v>3261</v>
      </c>
      <c r="D88" s="79" t="s">
        <v>2961</v>
      </c>
      <c r="E88" s="80" t="s">
        <v>340</v>
      </c>
      <c r="F88" s="78" t="s">
        <v>9416</v>
      </c>
      <c r="G88" s="78"/>
      <c r="H88" s="78" t="s">
        <v>6932</v>
      </c>
      <c r="I88" s="78"/>
      <c r="J88" s="78" t="s">
        <v>6933</v>
      </c>
      <c r="K88" s="78"/>
      <c r="L88" s="92">
        <v>53303.04</v>
      </c>
      <c r="M88" s="78" t="s">
        <v>9414</v>
      </c>
      <c r="N88" s="92">
        <v>13875715.1432276</v>
      </c>
      <c r="O88" s="78" t="s">
        <v>9417</v>
      </c>
      <c r="R88" s="58"/>
      <c r="S88" s="58"/>
      <c r="T88" s="58"/>
      <c r="U88" s="58"/>
      <c r="V88" s="58"/>
      <c r="W88" s="58"/>
      <c r="X88" s="58"/>
    </row>
    <row r="89" ht="25.5" spans="1:24">
      <c r="A89" s="78" t="s">
        <v>4519</v>
      </c>
      <c r="B89" s="79" t="s">
        <v>139</v>
      </c>
      <c r="C89" s="79" t="s">
        <v>4520</v>
      </c>
      <c r="D89" s="79" t="s">
        <v>2961</v>
      </c>
      <c r="E89" s="80" t="s">
        <v>134</v>
      </c>
      <c r="F89" s="78" t="s">
        <v>9418</v>
      </c>
      <c r="G89" s="78"/>
      <c r="H89" s="78" t="s">
        <v>9419</v>
      </c>
      <c r="I89" s="78"/>
      <c r="J89" s="78" t="s">
        <v>9420</v>
      </c>
      <c r="K89" s="78"/>
      <c r="L89" s="92">
        <v>52947.04</v>
      </c>
      <c r="M89" s="78" t="s">
        <v>9414</v>
      </c>
      <c r="N89" s="92">
        <v>13928662.1832276</v>
      </c>
      <c r="O89" s="78" t="s">
        <v>9421</v>
      </c>
      <c r="R89" s="58"/>
      <c r="S89" s="58"/>
      <c r="T89" s="58"/>
      <c r="U89" s="58"/>
      <c r="V89" s="58"/>
      <c r="W89" s="58"/>
      <c r="X89" s="58"/>
    </row>
    <row r="90" ht="25.5" spans="1:24">
      <c r="A90" s="78" t="s">
        <v>4143</v>
      </c>
      <c r="B90" s="79" t="s">
        <v>132</v>
      </c>
      <c r="C90" s="79" t="s">
        <v>4144</v>
      </c>
      <c r="D90" s="79" t="s">
        <v>4145</v>
      </c>
      <c r="E90" s="80" t="s">
        <v>134</v>
      </c>
      <c r="F90" s="78" t="s">
        <v>9091</v>
      </c>
      <c r="G90" s="78"/>
      <c r="H90" s="78" t="s">
        <v>9422</v>
      </c>
      <c r="I90" s="78"/>
      <c r="J90" s="78" t="s">
        <v>9422</v>
      </c>
      <c r="K90" s="78"/>
      <c r="L90" s="92">
        <v>52650</v>
      </c>
      <c r="M90" s="78" t="s">
        <v>9423</v>
      </c>
      <c r="N90" s="92">
        <v>13981312.1832276</v>
      </c>
      <c r="O90" s="78" t="s">
        <v>9424</v>
      </c>
      <c r="R90" s="58"/>
      <c r="S90" s="58"/>
      <c r="T90" s="58"/>
      <c r="U90" s="58"/>
      <c r="V90" s="58"/>
      <c r="W90" s="58"/>
      <c r="X90" s="58"/>
    </row>
    <row r="91" spans="1:24">
      <c r="A91" s="78" t="s">
        <v>5658</v>
      </c>
      <c r="B91" s="79" t="s">
        <v>139</v>
      </c>
      <c r="C91" s="79" t="s">
        <v>5659</v>
      </c>
      <c r="D91" s="79" t="s">
        <v>2896</v>
      </c>
      <c r="E91" s="80" t="s">
        <v>2897</v>
      </c>
      <c r="F91" s="78" t="s">
        <v>9425</v>
      </c>
      <c r="G91" s="78"/>
      <c r="H91" s="78" t="s">
        <v>9426</v>
      </c>
      <c r="I91" s="78"/>
      <c r="J91" s="78" t="s">
        <v>9427</v>
      </c>
      <c r="K91" s="78"/>
      <c r="L91" s="92">
        <v>52325.4838787809</v>
      </c>
      <c r="M91" s="78" t="s">
        <v>9423</v>
      </c>
      <c r="N91" s="92">
        <v>14033637.6671063</v>
      </c>
      <c r="O91" s="78" t="s">
        <v>9428</v>
      </c>
      <c r="R91" s="58"/>
      <c r="S91" s="58"/>
      <c r="T91" s="58"/>
      <c r="U91" s="58"/>
      <c r="V91" s="58"/>
      <c r="W91" s="58"/>
      <c r="X91" s="58"/>
    </row>
    <row r="92" spans="1:24">
      <c r="A92" s="78" t="s">
        <v>5378</v>
      </c>
      <c r="B92" s="79" t="s">
        <v>139</v>
      </c>
      <c r="C92" s="79" t="s">
        <v>5379</v>
      </c>
      <c r="D92" s="79" t="s">
        <v>2961</v>
      </c>
      <c r="E92" s="80" t="s">
        <v>393</v>
      </c>
      <c r="F92" s="78" t="s">
        <v>9429</v>
      </c>
      <c r="G92" s="78"/>
      <c r="H92" s="78" t="s">
        <v>9430</v>
      </c>
      <c r="I92" s="78"/>
      <c r="J92" s="78" t="s">
        <v>9431</v>
      </c>
      <c r="K92" s="78"/>
      <c r="L92" s="92">
        <v>52308.58265</v>
      </c>
      <c r="M92" s="78" t="s">
        <v>9423</v>
      </c>
      <c r="N92" s="92">
        <v>14085946.2497563</v>
      </c>
      <c r="O92" s="78" t="s">
        <v>9432</v>
      </c>
      <c r="R92" s="58"/>
      <c r="S92" s="58"/>
      <c r="T92" s="58"/>
      <c r="U92" s="58"/>
      <c r="V92" s="58"/>
      <c r="W92" s="58"/>
      <c r="X92" s="58"/>
    </row>
    <row r="93" ht="63.75" spans="1:24">
      <c r="A93" s="78" t="s">
        <v>4733</v>
      </c>
      <c r="B93" s="79" t="s">
        <v>132</v>
      </c>
      <c r="C93" s="79" t="s">
        <v>4734</v>
      </c>
      <c r="D93" s="79" t="s">
        <v>3395</v>
      </c>
      <c r="E93" s="80" t="s">
        <v>134</v>
      </c>
      <c r="F93" s="78" t="s">
        <v>9433</v>
      </c>
      <c r="G93" s="78" t="s">
        <v>9093</v>
      </c>
      <c r="H93" s="78" t="s">
        <v>9434</v>
      </c>
      <c r="I93" s="78" t="s">
        <v>9435</v>
      </c>
      <c r="J93" s="78" t="s">
        <v>9436</v>
      </c>
      <c r="K93" s="78" t="s">
        <v>8660</v>
      </c>
      <c r="L93" s="92">
        <v>52194.6</v>
      </c>
      <c r="M93" s="78" t="s">
        <v>9423</v>
      </c>
      <c r="N93" s="92">
        <v>14138140.8497563</v>
      </c>
      <c r="O93" s="78" t="s">
        <v>9437</v>
      </c>
      <c r="R93" s="58"/>
      <c r="S93" s="58"/>
      <c r="T93" s="58"/>
      <c r="U93" s="58"/>
      <c r="V93" s="58"/>
      <c r="W93" s="58"/>
      <c r="X93" s="58"/>
    </row>
    <row r="94" ht="38.25" spans="1:24">
      <c r="A94" s="78" t="s">
        <v>4263</v>
      </c>
      <c r="B94" s="79" t="s">
        <v>132</v>
      </c>
      <c r="C94" s="79" t="s">
        <v>1418</v>
      </c>
      <c r="D94" s="79" t="s">
        <v>2961</v>
      </c>
      <c r="E94" s="80" t="s">
        <v>334</v>
      </c>
      <c r="F94" s="78" t="s">
        <v>9183</v>
      </c>
      <c r="G94" s="78"/>
      <c r="H94" s="78" t="s">
        <v>9438</v>
      </c>
      <c r="I94" s="78"/>
      <c r="J94" s="78" t="s">
        <v>9439</v>
      </c>
      <c r="K94" s="78"/>
      <c r="L94" s="92">
        <v>50000</v>
      </c>
      <c r="M94" s="78" t="s">
        <v>9440</v>
      </c>
      <c r="N94" s="92">
        <v>14188140.8497563</v>
      </c>
      <c r="O94" s="78" t="s">
        <v>9441</v>
      </c>
      <c r="R94" s="58"/>
      <c r="S94" s="58"/>
      <c r="T94" s="58"/>
      <c r="U94" s="58"/>
      <c r="V94" s="58"/>
      <c r="W94" s="58"/>
      <c r="X94" s="58"/>
    </row>
    <row r="95" ht="25.5" spans="1:24">
      <c r="A95" s="78" t="s">
        <v>3636</v>
      </c>
      <c r="B95" s="79" t="s">
        <v>139</v>
      </c>
      <c r="C95" s="79" t="s">
        <v>3637</v>
      </c>
      <c r="D95" s="79" t="s">
        <v>2961</v>
      </c>
      <c r="E95" s="80" t="s">
        <v>204</v>
      </c>
      <c r="F95" s="78" t="s">
        <v>9442</v>
      </c>
      <c r="G95" s="78"/>
      <c r="H95" s="78" t="s">
        <v>9443</v>
      </c>
      <c r="I95" s="78"/>
      <c r="J95" s="78" t="s">
        <v>9444</v>
      </c>
      <c r="K95" s="78"/>
      <c r="L95" s="92">
        <v>49293.982481</v>
      </c>
      <c r="M95" s="78" t="s">
        <v>9440</v>
      </c>
      <c r="N95" s="92">
        <v>14237434.8322373</v>
      </c>
      <c r="O95" s="78" t="s">
        <v>9445</v>
      </c>
      <c r="R95" s="58"/>
      <c r="S95" s="58"/>
      <c r="T95" s="58"/>
      <c r="U95" s="58"/>
      <c r="V95" s="58"/>
      <c r="W95" s="58"/>
      <c r="X95" s="58"/>
    </row>
    <row r="96" spans="1:24">
      <c r="A96" s="78" t="s">
        <v>5638</v>
      </c>
      <c r="B96" s="79" t="s">
        <v>139</v>
      </c>
      <c r="C96" s="79" t="s">
        <v>5639</v>
      </c>
      <c r="D96" s="79" t="s">
        <v>2896</v>
      </c>
      <c r="E96" s="80" t="s">
        <v>2897</v>
      </c>
      <c r="F96" s="78" t="s">
        <v>9446</v>
      </c>
      <c r="G96" s="78"/>
      <c r="H96" s="78" t="s">
        <v>9447</v>
      </c>
      <c r="I96" s="78"/>
      <c r="J96" s="78" t="s">
        <v>9448</v>
      </c>
      <c r="K96" s="78"/>
      <c r="L96" s="92">
        <v>49249.6328261925</v>
      </c>
      <c r="M96" s="78" t="s">
        <v>9440</v>
      </c>
      <c r="N96" s="92">
        <v>14286684.4650635</v>
      </c>
      <c r="O96" s="78" t="s">
        <v>9449</v>
      </c>
      <c r="R96" s="58"/>
      <c r="S96" s="58"/>
      <c r="T96" s="58"/>
      <c r="U96" s="58"/>
      <c r="V96" s="58"/>
      <c r="W96" s="58"/>
      <c r="X96" s="58"/>
    </row>
    <row r="97" ht="25.5" spans="1:24">
      <c r="A97" s="78" t="s">
        <v>5044</v>
      </c>
      <c r="B97" s="79" t="s">
        <v>139</v>
      </c>
      <c r="C97" s="79" t="s">
        <v>5045</v>
      </c>
      <c r="D97" s="79" t="s">
        <v>2961</v>
      </c>
      <c r="E97" s="80" t="s">
        <v>204</v>
      </c>
      <c r="F97" s="78" t="s">
        <v>9450</v>
      </c>
      <c r="G97" s="78"/>
      <c r="H97" s="78" t="s">
        <v>9451</v>
      </c>
      <c r="I97" s="78"/>
      <c r="J97" s="78" t="s">
        <v>9452</v>
      </c>
      <c r="K97" s="78"/>
      <c r="L97" s="92">
        <v>48738.79387</v>
      </c>
      <c r="M97" s="78" t="s">
        <v>9453</v>
      </c>
      <c r="N97" s="92">
        <v>14335423.2589335</v>
      </c>
      <c r="O97" s="78" t="s">
        <v>9454</v>
      </c>
      <c r="R97" s="58"/>
      <c r="S97" s="58"/>
      <c r="T97" s="58"/>
      <c r="U97" s="58"/>
      <c r="V97" s="58"/>
      <c r="W97" s="58"/>
      <c r="X97" s="58"/>
    </row>
    <row r="98" spans="1:24">
      <c r="A98" s="78" t="s">
        <v>4881</v>
      </c>
      <c r="B98" s="79" t="s">
        <v>149</v>
      </c>
      <c r="C98" s="79" t="s">
        <v>4882</v>
      </c>
      <c r="D98" s="79" t="s">
        <v>2896</v>
      </c>
      <c r="E98" s="80" t="s">
        <v>2897</v>
      </c>
      <c r="F98" s="78" t="s">
        <v>9455</v>
      </c>
      <c r="G98" s="78"/>
      <c r="H98" s="78" t="s">
        <v>9456</v>
      </c>
      <c r="I98" s="78"/>
      <c r="J98" s="78" t="s">
        <v>9457</v>
      </c>
      <c r="K98" s="78"/>
      <c r="L98" s="92">
        <v>48658.8482269848</v>
      </c>
      <c r="M98" s="78" t="s">
        <v>9453</v>
      </c>
      <c r="N98" s="92">
        <v>14384082.1071605</v>
      </c>
      <c r="O98" s="78" t="s">
        <v>9458</v>
      </c>
      <c r="R98" s="58"/>
      <c r="S98" s="58"/>
      <c r="T98" s="58"/>
      <c r="U98" s="58"/>
      <c r="V98" s="58"/>
      <c r="W98" s="58"/>
      <c r="X98" s="58"/>
    </row>
    <row r="99" spans="1:24">
      <c r="A99" s="78" t="s">
        <v>2986</v>
      </c>
      <c r="B99" s="79" t="s">
        <v>149</v>
      </c>
      <c r="C99" s="79" t="s">
        <v>2987</v>
      </c>
      <c r="D99" s="79" t="s">
        <v>2896</v>
      </c>
      <c r="E99" s="80" t="s">
        <v>2897</v>
      </c>
      <c r="F99" s="78" t="s">
        <v>9459</v>
      </c>
      <c r="G99" s="78"/>
      <c r="H99" s="78" t="s">
        <v>9460</v>
      </c>
      <c r="I99" s="78"/>
      <c r="J99" s="78" t="s">
        <v>9461</v>
      </c>
      <c r="K99" s="78"/>
      <c r="L99" s="92">
        <v>48489.97986176</v>
      </c>
      <c r="M99" s="78" t="s">
        <v>9453</v>
      </c>
      <c r="N99" s="92">
        <v>14432572.0870223</v>
      </c>
      <c r="O99" s="78" t="s">
        <v>9462</v>
      </c>
      <c r="R99" s="58"/>
      <c r="S99" s="58"/>
      <c r="T99" s="58"/>
      <c r="U99" s="58"/>
      <c r="V99" s="58"/>
      <c r="W99" s="58"/>
      <c r="X99" s="58"/>
    </row>
    <row r="100" spans="1:24">
      <c r="A100" s="78" t="s">
        <v>2974</v>
      </c>
      <c r="B100" s="79" t="s">
        <v>149</v>
      </c>
      <c r="C100" s="79" t="s">
        <v>2975</v>
      </c>
      <c r="D100" s="79" t="s">
        <v>2896</v>
      </c>
      <c r="E100" s="80" t="s">
        <v>2897</v>
      </c>
      <c r="F100" s="78" t="s">
        <v>9463</v>
      </c>
      <c r="G100" s="78"/>
      <c r="H100" s="78" t="s">
        <v>9464</v>
      </c>
      <c r="I100" s="78"/>
      <c r="J100" s="78" t="s">
        <v>9465</v>
      </c>
      <c r="K100" s="78"/>
      <c r="L100" s="92">
        <v>47530.7769837339</v>
      </c>
      <c r="M100" s="78" t="s">
        <v>9453</v>
      </c>
      <c r="N100" s="92">
        <v>14480102.864006</v>
      </c>
      <c r="O100" s="78" t="s">
        <v>9466</v>
      </c>
      <c r="R100" s="58"/>
      <c r="S100" s="58"/>
      <c r="T100" s="58"/>
      <c r="U100" s="58"/>
      <c r="V100" s="58"/>
      <c r="W100" s="58"/>
      <c r="X100" s="58"/>
    </row>
    <row r="101" ht="51" spans="1:24">
      <c r="A101" s="78" t="s">
        <v>4550</v>
      </c>
      <c r="B101" s="79" t="s">
        <v>132</v>
      </c>
      <c r="C101" s="79" t="s">
        <v>4551</v>
      </c>
      <c r="D101" s="79" t="s">
        <v>2961</v>
      </c>
      <c r="E101" s="80" t="s">
        <v>134</v>
      </c>
      <c r="F101" s="78" t="s">
        <v>9091</v>
      </c>
      <c r="G101" s="78"/>
      <c r="H101" s="78" t="s">
        <v>9467</v>
      </c>
      <c r="I101" s="78"/>
      <c r="J101" s="78" t="s">
        <v>9467</v>
      </c>
      <c r="K101" s="78"/>
      <c r="L101" s="92">
        <v>47282.77</v>
      </c>
      <c r="M101" s="78" t="s">
        <v>9453</v>
      </c>
      <c r="N101" s="92">
        <v>14527385.634006</v>
      </c>
      <c r="O101" s="78" t="s">
        <v>9468</v>
      </c>
      <c r="R101" s="58"/>
      <c r="S101" s="58"/>
      <c r="T101" s="58"/>
      <c r="U101" s="58"/>
      <c r="V101" s="58"/>
      <c r="W101" s="58"/>
      <c r="X101" s="58"/>
    </row>
    <row r="102" spans="1:24">
      <c r="A102" s="78" t="s">
        <v>5622</v>
      </c>
      <c r="B102" s="79" t="s">
        <v>139</v>
      </c>
      <c r="C102" s="79" t="s">
        <v>5623</v>
      </c>
      <c r="D102" s="79" t="s">
        <v>2961</v>
      </c>
      <c r="E102" s="80" t="s">
        <v>393</v>
      </c>
      <c r="F102" s="78" t="s">
        <v>9469</v>
      </c>
      <c r="G102" s="78"/>
      <c r="H102" s="78" t="s">
        <v>9470</v>
      </c>
      <c r="I102" s="78"/>
      <c r="J102" s="78" t="s">
        <v>9471</v>
      </c>
      <c r="K102" s="78"/>
      <c r="L102" s="92">
        <v>46570.015744</v>
      </c>
      <c r="M102" s="78" t="s">
        <v>9472</v>
      </c>
      <c r="N102" s="92">
        <v>14573955.64975</v>
      </c>
      <c r="O102" s="78" t="s">
        <v>9473</v>
      </c>
      <c r="R102" s="58"/>
      <c r="S102" s="58"/>
      <c r="T102" s="58"/>
      <c r="U102" s="58"/>
      <c r="V102" s="58"/>
      <c r="W102" s="58"/>
      <c r="X102" s="58"/>
    </row>
    <row r="103" ht="25.5" spans="1:24">
      <c r="A103" s="78" t="s">
        <v>3497</v>
      </c>
      <c r="B103" s="79" t="s">
        <v>139</v>
      </c>
      <c r="C103" s="79" t="s">
        <v>3498</v>
      </c>
      <c r="D103" s="79" t="s">
        <v>2961</v>
      </c>
      <c r="E103" s="80" t="s">
        <v>393</v>
      </c>
      <c r="F103" s="78" t="s">
        <v>9474</v>
      </c>
      <c r="G103" s="78"/>
      <c r="H103" s="78" t="s">
        <v>9475</v>
      </c>
      <c r="I103" s="78"/>
      <c r="J103" s="78" t="s">
        <v>9476</v>
      </c>
      <c r="K103" s="78"/>
      <c r="L103" s="92">
        <v>46381.072</v>
      </c>
      <c r="M103" s="78" t="s">
        <v>9472</v>
      </c>
      <c r="N103" s="92">
        <v>14620336.72175</v>
      </c>
      <c r="O103" s="78" t="s">
        <v>9477</v>
      </c>
      <c r="R103" s="58"/>
      <c r="S103" s="58"/>
      <c r="T103" s="58"/>
      <c r="U103" s="58"/>
      <c r="V103" s="58"/>
      <c r="W103" s="58"/>
      <c r="X103" s="58"/>
    </row>
    <row r="104" spans="1:24">
      <c r="A104" s="78" t="s">
        <v>4961</v>
      </c>
      <c r="B104" s="79" t="s">
        <v>139</v>
      </c>
      <c r="C104" s="79" t="s">
        <v>4962</v>
      </c>
      <c r="D104" s="79" t="s">
        <v>2961</v>
      </c>
      <c r="E104" s="80" t="s">
        <v>134</v>
      </c>
      <c r="F104" s="78" t="s">
        <v>9478</v>
      </c>
      <c r="G104" s="78"/>
      <c r="H104" s="78" t="s">
        <v>9479</v>
      </c>
      <c r="I104" s="78"/>
      <c r="J104" s="78" t="s">
        <v>9480</v>
      </c>
      <c r="K104" s="78"/>
      <c r="L104" s="92">
        <v>44963.06</v>
      </c>
      <c r="M104" s="78" t="s">
        <v>9472</v>
      </c>
      <c r="N104" s="92">
        <v>14665299.78175</v>
      </c>
      <c r="O104" s="78" t="s">
        <v>9481</v>
      </c>
      <c r="R104" s="58"/>
      <c r="S104" s="58"/>
      <c r="T104" s="58"/>
      <c r="U104" s="58"/>
      <c r="V104" s="58"/>
      <c r="W104" s="58"/>
      <c r="X104" s="58"/>
    </row>
    <row r="105" ht="38.25" spans="1:24">
      <c r="A105" s="78" t="s">
        <v>5092</v>
      </c>
      <c r="B105" s="79" t="s">
        <v>77</v>
      </c>
      <c r="C105" s="79" t="s">
        <v>5093</v>
      </c>
      <c r="D105" s="79" t="s">
        <v>2961</v>
      </c>
      <c r="E105" s="80" t="s">
        <v>204</v>
      </c>
      <c r="F105" s="78" t="s">
        <v>9482</v>
      </c>
      <c r="G105" s="78"/>
      <c r="H105" s="78" t="s">
        <v>7091</v>
      </c>
      <c r="I105" s="78"/>
      <c r="J105" s="78" t="s">
        <v>9483</v>
      </c>
      <c r="K105" s="78"/>
      <c r="L105" s="92">
        <v>44917.74</v>
      </c>
      <c r="M105" s="78" t="s">
        <v>9484</v>
      </c>
      <c r="N105" s="92">
        <v>14710217.52175</v>
      </c>
      <c r="O105" s="78" t="s">
        <v>9485</v>
      </c>
      <c r="R105" s="58"/>
      <c r="S105" s="58"/>
      <c r="T105" s="58"/>
      <c r="U105" s="58"/>
      <c r="V105" s="58"/>
      <c r="W105" s="58"/>
      <c r="X105" s="58"/>
    </row>
    <row r="106" ht="25.5" spans="1:24">
      <c r="A106" s="78" t="s">
        <v>5398</v>
      </c>
      <c r="B106" s="79" t="s">
        <v>139</v>
      </c>
      <c r="C106" s="79" t="s">
        <v>5399</v>
      </c>
      <c r="D106" s="79" t="s">
        <v>2961</v>
      </c>
      <c r="E106" s="80" t="s">
        <v>2897</v>
      </c>
      <c r="F106" s="78" t="s">
        <v>9486</v>
      </c>
      <c r="G106" s="78"/>
      <c r="H106" s="78" t="s">
        <v>9487</v>
      </c>
      <c r="I106" s="78"/>
      <c r="J106" s="78" t="s">
        <v>9488</v>
      </c>
      <c r="K106" s="78"/>
      <c r="L106" s="92">
        <v>44592.1631100792</v>
      </c>
      <c r="M106" s="78" t="s">
        <v>9484</v>
      </c>
      <c r="N106" s="92">
        <v>14754809.6848601</v>
      </c>
      <c r="O106" s="78" t="s">
        <v>9489</v>
      </c>
      <c r="R106" s="58"/>
      <c r="S106" s="58"/>
      <c r="T106" s="58"/>
      <c r="U106" s="58"/>
      <c r="V106" s="58"/>
      <c r="W106" s="58"/>
      <c r="X106" s="58"/>
    </row>
    <row r="107" ht="25.5" spans="1:24">
      <c r="A107" s="78" t="s">
        <v>5175</v>
      </c>
      <c r="B107" s="79" t="s">
        <v>139</v>
      </c>
      <c r="C107" s="79" t="s">
        <v>5176</v>
      </c>
      <c r="D107" s="79" t="s">
        <v>2961</v>
      </c>
      <c r="E107" s="80" t="s">
        <v>393</v>
      </c>
      <c r="F107" s="78" t="s">
        <v>9490</v>
      </c>
      <c r="G107" s="78"/>
      <c r="H107" s="78" t="s">
        <v>9491</v>
      </c>
      <c r="I107" s="78"/>
      <c r="J107" s="78" t="s">
        <v>9492</v>
      </c>
      <c r="K107" s="78"/>
      <c r="L107" s="92">
        <v>43992.6014808</v>
      </c>
      <c r="M107" s="78" t="s">
        <v>9484</v>
      </c>
      <c r="N107" s="92">
        <v>14798802.2863409</v>
      </c>
      <c r="O107" s="78" t="s">
        <v>9493</v>
      </c>
      <c r="R107" s="58"/>
      <c r="S107" s="58"/>
      <c r="T107" s="58"/>
      <c r="U107" s="58"/>
      <c r="V107" s="58"/>
      <c r="W107" s="58"/>
      <c r="X107" s="58"/>
    </row>
    <row r="108" spans="1:24">
      <c r="A108" s="78" t="s">
        <v>5555</v>
      </c>
      <c r="B108" s="79" t="s">
        <v>139</v>
      </c>
      <c r="C108" s="79" t="s">
        <v>5556</v>
      </c>
      <c r="D108" s="79" t="s">
        <v>2896</v>
      </c>
      <c r="E108" s="80" t="s">
        <v>2897</v>
      </c>
      <c r="F108" s="78" t="s">
        <v>9494</v>
      </c>
      <c r="G108" s="78"/>
      <c r="H108" s="78" t="s">
        <v>9495</v>
      </c>
      <c r="I108" s="78"/>
      <c r="J108" s="78" t="s">
        <v>9496</v>
      </c>
      <c r="K108" s="78"/>
      <c r="L108" s="92">
        <v>43751.0350731657</v>
      </c>
      <c r="M108" s="78" t="s">
        <v>9484</v>
      </c>
      <c r="N108" s="92">
        <v>14842553.3214141</v>
      </c>
      <c r="O108" s="78" t="s">
        <v>9497</v>
      </c>
      <c r="R108" s="58"/>
      <c r="S108" s="58"/>
      <c r="T108" s="58"/>
      <c r="U108" s="58"/>
      <c r="V108" s="58"/>
      <c r="W108" s="58"/>
      <c r="X108" s="58"/>
    </row>
    <row r="109" ht="76.5" spans="1:24">
      <c r="A109" s="78" t="s">
        <v>3464</v>
      </c>
      <c r="B109" s="79" t="s">
        <v>139</v>
      </c>
      <c r="C109" s="79" t="s">
        <v>3465</v>
      </c>
      <c r="D109" s="79" t="s">
        <v>2961</v>
      </c>
      <c r="E109" s="80" t="s">
        <v>141</v>
      </c>
      <c r="F109" s="78" t="s">
        <v>9498</v>
      </c>
      <c r="G109" s="78"/>
      <c r="H109" s="78" t="s">
        <v>9499</v>
      </c>
      <c r="I109" s="78"/>
      <c r="J109" s="78" t="s">
        <v>9500</v>
      </c>
      <c r="K109" s="78"/>
      <c r="L109" s="92">
        <v>43554.303</v>
      </c>
      <c r="M109" s="78" t="s">
        <v>9484</v>
      </c>
      <c r="N109" s="92">
        <v>14886107.6244141</v>
      </c>
      <c r="O109" s="78" t="s">
        <v>9501</v>
      </c>
      <c r="R109" s="58"/>
      <c r="S109" s="58"/>
      <c r="T109" s="58"/>
      <c r="U109" s="58"/>
      <c r="V109" s="58"/>
      <c r="W109" s="58"/>
      <c r="X109" s="58"/>
    </row>
    <row r="110" spans="1:24">
      <c r="A110" s="78" t="s">
        <v>5376</v>
      </c>
      <c r="B110" s="79" t="s">
        <v>139</v>
      </c>
      <c r="C110" s="79" t="s">
        <v>5377</v>
      </c>
      <c r="D110" s="79" t="s">
        <v>2896</v>
      </c>
      <c r="E110" s="80" t="s">
        <v>2897</v>
      </c>
      <c r="F110" s="78" t="s">
        <v>9502</v>
      </c>
      <c r="G110" s="78"/>
      <c r="H110" s="78" t="s">
        <v>8941</v>
      </c>
      <c r="I110" s="78"/>
      <c r="J110" s="78" t="s">
        <v>9503</v>
      </c>
      <c r="K110" s="78"/>
      <c r="L110" s="92">
        <v>42217.3980200976</v>
      </c>
      <c r="M110" s="78" t="s">
        <v>9504</v>
      </c>
      <c r="N110" s="92">
        <v>14928325.0224342</v>
      </c>
      <c r="O110" s="78" t="s">
        <v>9505</v>
      </c>
      <c r="R110" s="58"/>
      <c r="S110" s="58"/>
      <c r="T110" s="58"/>
      <c r="U110" s="58"/>
      <c r="V110" s="58"/>
      <c r="W110" s="58"/>
      <c r="X110" s="58"/>
    </row>
    <row r="111" spans="1:24">
      <c r="A111" s="78" t="s">
        <v>5670</v>
      </c>
      <c r="B111" s="79" t="s">
        <v>139</v>
      </c>
      <c r="C111" s="79" t="s">
        <v>5671</v>
      </c>
      <c r="D111" s="79" t="s">
        <v>2896</v>
      </c>
      <c r="E111" s="80" t="s">
        <v>2897</v>
      </c>
      <c r="F111" s="78" t="s">
        <v>9506</v>
      </c>
      <c r="G111" s="78"/>
      <c r="H111" s="78" t="s">
        <v>9507</v>
      </c>
      <c r="I111" s="78"/>
      <c r="J111" s="78" t="s">
        <v>9508</v>
      </c>
      <c r="K111" s="78"/>
      <c r="L111" s="92">
        <v>42163.5654679305</v>
      </c>
      <c r="M111" s="78" t="s">
        <v>9504</v>
      </c>
      <c r="N111" s="92">
        <v>14970488.5879021</v>
      </c>
      <c r="O111" s="78" t="s">
        <v>9509</v>
      </c>
      <c r="R111" s="58"/>
      <c r="S111" s="58"/>
      <c r="T111" s="58"/>
      <c r="U111" s="58"/>
      <c r="V111" s="58"/>
      <c r="W111" s="58"/>
      <c r="X111" s="58"/>
    </row>
    <row r="112" ht="25.5" spans="1:24">
      <c r="A112" s="78" t="s">
        <v>4576</v>
      </c>
      <c r="B112" s="79" t="s">
        <v>139</v>
      </c>
      <c r="C112" s="79" t="s">
        <v>4577</v>
      </c>
      <c r="D112" s="79" t="s">
        <v>2961</v>
      </c>
      <c r="E112" s="80" t="s">
        <v>204</v>
      </c>
      <c r="F112" s="78" t="s">
        <v>9510</v>
      </c>
      <c r="G112" s="78"/>
      <c r="H112" s="78" t="s">
        <v>9511</v>
      </c>
      <c r="I112" s="78"/>
      <c r="J112" s="78" t="s">
        <v>9512</v>
      </c>
      <c r="K112" s="78"/>
      <c r="L112" s="92">
        <v>42093.306232</v>
      </c>
      <c r="M112" s="78" t="s">
        <v>9504</v>
      </c>
      <c r="N112" s="92">
        <v>15012581.8941341</v>
      </c>
      <c r="O112" s="78" t="s">
        <v>9513</v>
      </c>
      <c r="R112" s="58"/>
      <c r="S112" s="58"/>
      <c r="T112" s="58"/>
      <c r="U112" s="58"/>
      <c r="V112" s="58"/>
      <c r="W112" s="58"/>
      <c r="X112" s="58"/>
    </row>
    <row r="113" ht="25.5" spans="1:24">
      <c r="A113" s="78" t="s">
        <v>4548</v>
      </c>
      <c r="B113" s="79" t="s">
        <v>149</v>
      </c>
      <c r="C113" s="79" t="s">
        <v>4549</v>
      </c>
      <c r="D113" s="79" t="s">
        <v>2961</v>
      </c>
      <c r="E113" s="80" t="s">
        <v>204</v>
      </c>
      <c r="F113" s="78" t="s">
        <v>9514</v>
      </c>
      <c r="G113" s="78"/>
      <c r="H113" s="78" t="s">
        <v>9515</v>
      </c>
      <c r="I113" s="78"/>
      <c r="J113" s="78" t="s">
        <v>9516</v>
      </c>
      <c r="K113" s="78"/>
      <c r="L113" s="92">
        <v>41473.12</v>
      </c>
      <c r="M113" s="78" t="s">
        <v>9504</v>
      </c>
      <c r="N113" s="92">
        <v>15054055.0141341</v>
      </c>
      <c r="O113" s="78" t="s">
        <v>9517</v>
      </c>
      <c r="R113" s="58"/>
      <c r="S113" s="58"/>
      <c r="T113" s="58"/>
      <c r="U113" s="58"/>
      <c r="V113" s="58"/>
      <c r="W113" s="58"/>
      <c r="X113" s="58"/>
    </row>
    <row r="114" ht="63.75" spans="1:24">
      <c r="A114" s="78" t="s">
        <v>4646</v>
      </c>
      <c r="B114" s="79" t="s">
        <v>132</v>
      </c>
      <c r="C114" s="79" t="s">
        <v>1961</v>
      </c>
      <c r="D114" s="79" t="s">
        <v>2961</v>
      </c>
      <c r="E114" s="80" t="s">
        <v>134</v>
      </c>
      <c r="F114" s="78" t="s">
        <v>9518</v>
      </c>
      <c r="G114" s="78"/>
      <c r="H114" s="78" t="s">
        <v>9519</v>
      </c>
      <c r="I114" s="78"/>
      <c r="J114" s="78" t="s">
        <v>9520</v>
      </c>
      <c r="K114" s="78"/>
      <c r="L114" s="92">
        <v>39600</v>
      </c>
      <c r="M114" s="78" t="s">
        <v>9521</v>
      </c>
      <c r="N114" s="92">
        <v>15093655.0141341</v>
      </c>
      <c r="O114" s="78" t="s">
        <v>9522</v>
      </c>
      <c r="R114" s="58"/>
      <c r="S114" s="58"/>
      <c r="T114" s="58"/>
      <c r="U114" s="58"/>
      <c r="V114" s="58"/>
      <c r="W114" s="58"/>
      <c r="X114" s="58"/>
    </row>
    <row r="115" spans="1:24">
      <c r="A115" s="78" t="s">
        <v>3567</v>
      </c>
      <c r="B115" s="79" t="s">
        <v>149</v>
      </c>
      <c r="C115" s="79" t="s">
        <v>3568</v>
      </c>
      <c r="D115" s="79" t="s">
        <v>2961</v>
      </c>
      <c r="E115" s="80" t="s">
        <v>141</v>
      </c>
      <c r="F115" s="78" t="s">
        <v>9523</v>
      </c>
      <c r="G115" s="78"/>
      <c r="H115" s="78" t="s">
        <v>9524</v>
      </c>
      <c r="I115" s="78"/>
      <c r="J115" s="78" t="s">
        <v>9525</v>
      </c>
      <c r="K115" s="78"/>
      <c r="L115" s="92">
        <v>38633.9436</v>
      </c>
      <c r="M115" s="78" t="s">
        <v>9526</v>
      </c>
      <c r="N115" s="92">
        <v>15132288.9577341</v>
      </c>
      <c r="O115" s="78" t="s">
        <v>9527</v>
      </c>
      <c r="R115" s="58"/>
      <c r="S115" s="58"/>
      <c r="T115" s="58"/>
      <c r="U115" s="58"/>
      <c r="V115" s="58"/>
      <c r="W115" s="58"/>
      <c r="X115" s="58"/>
    </row>
    <row r="116" spans="1:24">
      <c r="A116" s="78" t="s">
        <v>4874</v>
      </c>
      <c r="B116" s="79" t="s">
        <v>149</v>
      </c>
      <c r="C116" s="79" t="s">
        <v>4875</v>
      </c>
      <c r="D116" s="79" t="s">
        <v>2961</v>
      </c>
      <c r="E116" s="80" t="s">
        <v>393</v>
      </c>
      <c r="F116" s="78" t="s">
        <v>9528</v>
      </c>
      <c r="G116" s="78"/>
      <c r="H116" s="78" t="s">
        <v>9529</v>
      </c>
      <c r="I116" s="78"/>
      <c r="J116" s="78" t="s">
        <v>9530</v>
      </c>
      <c r="K116" s="78"/>
      <c r="L116" s="92">
        <v>38624.859</v>
      </c>
      <c r="M116" s="78" t="s">
        <v>9526</v>
      </c>
      <c r="N116" s="92">
        <v>15170913.8167341</v>
      </c>
      <c r="O116" s="78" t="s">
        <v>9531</v>
      </c>
      <c r="R116" s="58"/>
      <c r="S116" s="58"/>
      <c r="T116" s="58"/>
      <c r="U116" s="58"/>
      <c r="V116" s="58"/>
      <c r="W116" s="58"/>
      <c r="X116" s="58"/>
    </row>
    <row r="117" spans="1:24">
      <c r="A117" s="78" t="s">
        <v>3573</v>
      </c>
      <c r="B117" s="79" t="s">
        <v>149</v>
      </c>
      <c r="C117" s="79" t="s">
        <v>3574</v>
      </c>
      <c r="D117" s="79" t="s">
        <v>2896</v>
      </c>
      <c r="E117" s="80" t="s">
        <v>2897</v>
      </c>
      <c r="F117" s="78" t="s">
        <v>9532</v>
      </c>
      <c r="G117" s="78"/>
      <c r="H117" s="78" t="s">
        <v>9456</v>
      </c>
      <c r="I117" s="78"/>
      <c r="J117" s="78" t="s">
        <v>9533</v>
      </c>
      <c r="K117" s="78"/>
      <c r="L117" s="92">
        <v>38405.4138872928</v>
      </c>
      <c r="M117" s="78" t="s">
        <v>9526</v>
      </c>
      <c r="N117" s="92">
        <v>15209319.2306214</v>
      </c>
      <c r="O117" s="78" t="s">
        <v>9534</v>
      </c>
      <c r="R117" s="58"/>
      <c r="S117" s="58"/>
      <c r="T117" s="58"/>
      <c r="U117" s="58"/>
      <c r="V117" s="58"/>
      <c r="W117" s="58"/>
      <c r="X117" s="58"/>
    </row>
    <row r="118" spans="1:24">
      <c r="A118" s="78" t="s">
        <v>2976</v>
      </c>
      <c r="B118" s="79" t="s">
        <v>149</v>
      </c>
      <c r="C118" s="79" t="s">
        <v>2977</v>
      </c>
      <c r="D118" s="79" t="s">
        <v>2896</v>
      </c>
      <c r="E118" s="80" t="s">
        <v>2897</v>
      </c>
      <c r="F118" s="78" t="s">
        <v>9535</v>
      </c>
      <c r="G118" s="78"/>
      <c r="H118" s="78" t="s">
        <v>9456</v>
      </c>
      <c r="I118" s="78"/>
      <c r="J118" s="78" t="s">
        <v>9536</v>
      </c>
      <c r="K118" s="78"/>
      <c r="L118" s="92">
        <v>37502.99981352</v>
      </c>
      <c r="M118" s="78" t="s">
        <v>9526</v>
      </c>
      <c r="N118" s="92">
        <v>15246822.2304349</v>
      </c>
      <c r="O118" s="78" t="s">
        <v>9537</v>
      </c>
      <c r="R118" s="58"/>
      <c r="S118" s="58"/>
      <c r="T118" s="58"/>
      <c r="U118" s="58"/>
      <c r="V118" s="58"/>
      <c r="W118" s="58"/>
      <c r="X118" s="58"/>
    </row>
    <row r="119" ht="25.5" spans="1:24">
      <c r="A119" s="78" t="s">
        <v>4405</v>
      </c>
      <c r="B119" s="79" t="s">
        <v>77</v>
      </c>
      <c r="C119" s="79" t="s">
        <v>4406</v>
      </c>
      <c r="D119" s="79" t="s">
        <v>2961</v>
      </c>
      <c r="E119" s="80" t="s">
        <v>134</v>
      </c>
      <c r="F119" s="78" t="s">
        <v>9538</v>
      </c>
      <c r="G119" s="78"/>
      <c r="H119" s="78" t="s">
        <v>9539</v>
      </c>
      <c r="I119" s="78"/>
      <c r="J119" s="78" t="s">
        <v>9540</v>
      </c>
      <c r="K119" s="78"/>
      <c r="L119" s="92">
        <v>37234.56</v>
      </c>
      <c r="M119" s="78" t="s">
        <v>9526</v>
      </c>
      <c r="N119" s="92">
        <v>15284056.7904349</v>
      </c>
      <c r="O119" s="78" t="s">
        <v>9541</v>
      </c>
      <c r="R119" s="58"/>
      <c r="S119" s="58"/>
      <c r="T119" s="58"/>
      <c r="U119" s="58"/>
      <c r="V119" s="58"/>
      <c r="W119" s="58"/>
      <c r="X119" s="58"/>
    </row>
    <row r="120" ht="25.5" spans="1:24">
      <c r="A120" s="78" t="s">
        <v>4223</v>
      </c>
      <c r="B120" s="79" t="s">
        <v>132</v>
      </c>
      <c r="C120" s="79" t="s">
        <v>1332</v>
      </c>
      <c r="D120" s="79" t="s">
        <v>2961</v>
      </c>
      <c r="E120" s="80" t="s">
        <v>134</v>
      </c>
      <c r="F120" s="78" t="s">
        <v>9433</v>
      </c>
      <c r="G120" s="78"/>
      <c r="H120" s="78" t="s">
        <v>9542</v>
      </c>
      <c r="I120" s="78"/>
      <c r="J120" s="78" t="s">
        <v>9543</v>
      </c>
      <c r="K120" s="78"/>
      <c r="L120" s="92">
        <v>37061.28</v>
      </c>
      <c r="M120" s="78" t="s">
        <v>9526</v>
      </c>
      <c r="N120" s="92">
        <v>15321118.0704349</v>
      </c>
      <c r="O120" s="78" t="s">
        <v>9544</v>
      </c>
      <c r="R120" s="58"/>
      <c r="S120" s="58"/>
      <c r="T120" s="58"/>
      <c r="U120" s="58"/>
      <c r="V120" s="58"/>
      <c r="W120" s="58"/>
      <c r="X120" s="58"/>
    </row>
    <row r="121" ht="51" spans="1:24">
      <c r="A121" s="78" t="s">
        <v>4135</v>
      </c>
      <c r="B121" s="79" t="s">
        <v>139</v>
      </c>
      <c r="C121" s="79" t="s">
        <v>4136</v>
      </c>
      <c r="D121" s="79" t="s">
        <v>2961</v>
      </c>
      <c r="E121" s="80" t="s">
        <v>204</v>
      </c>
      <c r="F121" s="78" t="s">
        <v>9545</v>
      </c>
      <c r="G121" s="78"/>
      <c r="H121" s="78" t="s">
        <v>9546</v>
      </c>
      <c r="I121" s="78"/>
      <c r="J121" s="78" t="s">
        <v>9547</v>
      </c>
      <c r="K121" s="78"/>
      <c r="L121" s="92">
        <v>35728.11165</v>
      </c>
      <c r="M121" s="78" t="s">
        <v>9548</v>
      </c>
      <c r="N121" s="92">
        <v>15356846.1820849</v>
      </c>
      <c r="O121" s="78" t="s">
        <v>9549</v>
      </c>
      <c r="R121" s="58"/>
      <c r="S121" s="58"/>
      <c r="T121" s="58"/>
      <c r="U121" s="58"/>
      <c r="V121" s="58"/>
      <c r="W121" s="58"/>
      <c r="X121" s="58"/>
    </row>
    <row r="122" ht="25.5" spans="1:24">
      <c r="A122" s="78" t="s">
        <v>4228</v>
      </c>
      <c r="B122" s="79" t="s">
        <v>132</v>
      </c>
      <c r="C122" s="79" t="s">
        <v>1344</v>
      </c>
      <c r="D122" s="79" t="s">
        <v>2961</v>
      </c>
      <c r="E122" s="80" t="s">
        <v>134</v>
      </c>
      <c r="F122" s="78" t="s">
        <v>9550</v>
      </c>
      <c r="G122" s="78"/>
      <c r="H122" s="78" t="s">
        <v>9551</v>
      </c>
      <c r="I122" s="78"/>
      <c r="J122" s="78" t="s">
        <v>9552</v>
      </c>
      <c r="K122" s="78"/>
      <c r="L122" s="92">
        <v>35202.64</v>
      </c>
      <c r="M122" s="78" t="s">
        <v>9548</v>
      </c>
      <c r="N122" s="92">
        <v>15392048.8220849</v>
      </c>
      <c r="O122" s="78" t="s">
        <v>9553</v>
      </c>
      <c r="R122" s="58"/>
      <c r="S122" s="58"/>
      <c r="T122" s="58"/>
      <c r="U122" s="58"/>
      <c r="V122" s="58"/>
      <c r="W122" s="58"/>
      <c r="X122" s="58"/>
    </row>
    <row r="123" ht="63.75" spans="1:24">
      <c r="A123" s="78" t="s">
        <v>4757</v>
      </c>
      <c r="B123" s="79" t="s">
        <v>132</v>
      </c>
      <c r="C123" s="79" t="s">
        <v>4758</v>
      </c>
      <c r="D123" s="79" t="s">
        <v>3395</v>
      </c>
      <c r="E123" s="80" t="s">
        <v>134</v>
      </c>
      <c r="F123" s="78" t="s">
        <v>9091</v>
      </c>
      <c r="G123" s="78" t="s">
        <v>9093</v>
      </c>
      <c r="H123" s="78" t="s">
        <v>9554</v>
      </c>
      <c r="I123" s="78" t="s">
        <v>9555</v>
      </c>
      <c r="J123" s="78" t="s">
        <v>9554</v>
      </c>
      <c r="K123" s="78" t="s">
        <v>8660</v>
      </c>
      <c r="L123" s="92">
        <v>34749.22</v>
      </c>
      <c r="M123" s="78" t="s">
        <v>9556</v>
      </c>
      <c r="N123" s="92">
        <v>15426798.0420849</v>
      </c>
      <c r="O123" s="78" t="s">
        <v>9557</v>
      </c>
      <c r="R123" s="58"/>
      <c r="S123" s="58"/>
      <c r="T123" s="58"/>
      <c r="U123" s="58"/>
      <c r="V123" s="58"/>
      <c r="W123" s="58"/>
      <c r="X123" s="58"/>
    </row>
    <row r="124" ht="25.5" spans="1:24">
      <c r="A124" s="78" t="s">
        <v>5690</v>
      </c>
      <c r="B124" s="79" t="s">
        <v>139</v>
      </c>
      <c r="C124" s="79" t="s">
        <v>5691</v>
      </c>
      <c r="D124" s="79" t="s">
        <v>2896</v>
      </c>
      <c r="E124" s="80" t="s">
        <v>2897</v>
      </c>
      <c r="F124" s="78" t="s">
        <v>9558</v>
      </c>
      <c r="G124" s="78"/>
      <c r="H124" s="78" t="s">
        <v>9559</v>
      </c>
      <c r="I124" s="78"/>
      <c r="J124" s="78" t="s">
        <v>9560</v>
      </c>
      <c r="K124" s="78"/>
      <c r="L124" s="92">
        <v>34671.0611291868</v>
      </c>
      <c r="M124" s="78" t="s">
        <v>9556</v>
      </c>
      <c r="N124" s="92">
        <v>15461469.1032141</v>
      </c>
      <c r="O124" s="78" t="s">
        <v>9561</v>
      </c>
      <c r="R124" s="58"/>
      <c r="S124" s="58"/>
      <c r="T124" s="58"/>
      <c r="U124" s="58"/>
      <c r="V124" s="58"/>
      <c r="W124" s="58"/>
      <c r="X124" s="58"/>
    </row>
    <row r="125" ht="25.5" spans="1:24">
      <c r="A125" s="78" t="s">
        <v>3575</v>
      </c>
      <c r="B125" s="79" t="s">
        <v>149</v>
      </c>
      <c r="C125" s="79" t="s">
        <v>3576</v>
      </c>
      <c r="D125" s="79" t="s">
        <v>2961</v>
      </c>
      <c r="E125" s="80" t="s">
        <v>393</v>
      </c>
      <c r="F125" s="78" t="s">
        <v>9562</v>
      </c>
      <c r="G125" s="78"/>
      <c r="H125" s="78" t="s">
        <v>9563</v>
      </c>
      <c r="I125" s="78"/>
      <c r="J125" s="78" t="s">
        <v>9564</v>
      </c>
      <c r="K125" s="78"/>
      <c r="L125" s="92">
        <v>34275.27692</v>
      </c>
      <c r="M125" s="78" t="s">
        <v>9556</v>
      </c>
      <c r="N125" s="92">
        <v>15495744.3801341</v>
      </c>
      <c r="O125" s="78" t="s">
        <v>9565</v>
      </c>
      <c r="R125" s="58"/>
      <c r="S125" s="58"/>
      <c r="T125" s="58"/>
      <c r="U125" s="58"/>
      <c r="V125" s="58"/>
      <c r="W125" s="58"/>
      <c r="X125" s="58"/>
    </row>
    <row r="126" ht="25.5" spans="1:24">
      <c r="A126" s="78" t="s">
        <v>5340</v>
      </c>
      <c r="B126" s="79" t="s">
        <v>139</v>
      </c>
      <c r="C126" s="79" t="s">
        <v>5341</v>
      </c>
      <c r="D126" s="79" t="s">
        <v>2961</v>
      </c>
      <c r="E126" s="80" t="s">
        <v>2925</v>
      </c>
      <c r="F126" s="78" t="s">
        <v>9566</v>
      </c>
      <c r="G126" s="78"/>
      <c r="H126" s="78" t="s">
        <v>9567</v>
      </c>
      <c r="I126" s="78"/>
      <c r="J126" s="78" t="s">
        <v>9568</v>
      </c>
      <c r="K126" s="78"/>
      <c r="L126" s="92">
        <v>34084.26</v>
      </c>
      <c r="M126" s="78" t="s">
        <v>9556</v>
      </c>
      <c r="N126" s="92">
        <v>15529828.6401341</v>
      </c>
      <c r="O126" s="78" t="s">
        <v>9569</v>
      </c>
      <c r="R126" s="58"/>
      <c r="S126" s="58"/>
      <c r="T126" s="58"/>
      <c r="U126" s="58"/>
      <c r="V126" s="58"/>
      <c r="W126" s="58"/>
      <c r="X126" s="58"/>
    </row>
    <row r="127" ht="25.5" spans="1:24">
      <c r="A127" s="78" t="s">
        <v>4556</v>
      </c>
      <c r="B127" s="79" t="s">
        <v>132</v>
      </c>
      <c r="C127" s="79" t="s">
        <v>4557</v>
      </c>
      <c r="D127" s="79" t="s">
        <v>2961</v>
      </c>
      <c r="E127" s="80" t="s">
        <v>134</v>
      </c>
      <c r="F127" s="78" t="s">
        <v>9570</v>
      </c>
      <c r="G127" s="78"/>
      <c r="H127" s="78" t="s">
        <v>9571</v>
      </c>
      <c r="I127" s="78"/>
      <c r="J127" s="78" t="s">
        <v>9572</v>
      </c>
      <c r="K127" s="78"/>
      <c r="L127" s="92">
        <v>34060.52</v>
      </c>
      <c r="M127" s="78" t="s">
        <v>9556</v>
      </c>
      <c r="N127" s="92">
        <v>15563889.1601341</v>
      </c>
      <c r="O127" s="78" t="s">
        <v>9573</v>
      </c>
      <c r="R127" s="58"/>
      <c r="S127" s="58"/>
      <c r="T127" s="58"/>
      <c r="U127" s="58"/>
      <c r="V127" s="58"/>
      <c r="W127" s="58"/>
      <c r="X127" s="58"/>
    </row>
    <row r="128" ht="38.25" spans="1:24">
      <c r="A128" s="78" t="s">
        <v>5236</v>
      </c>
      <c r="B128" s="79" t="s">
        <v>77</v>
      </c>
      <c r="C128" s="79" t="s">
        <v>5237</v>
      </c>
      <c r="D128" s="79" t="s">
        <v>2961</v>
      </c>
      <c r="E128" s="80" t="s">
        <v>134</v>
      </c>
      <c r="F128" s="78" t="s">
        <v>9574</v>
      </c>
      <c r="G128" s="78"/>
      <c r="H128" s="78" t="s">
        <v>9575</v>
      </c>
      <c r="I128" s="78"/>
      <c r="J128" s="78" t="s">
        <v>9576</v>
      </c>
      <c r="K128" s="78"/>
      <c r="L128" s="92">
        <v>33600</v>
      </c>
      <c r="M128" s="78" t="s">
        <v>9556</v>
      </c>
      <c r="N128" s="92">
        <v>15597489.1601341</v>
      </c>
      <c r="O128" s="78" t="s">
        <v>9577</v>
      </c>
      <c r="R128" s="58"/>
      <c r="S128" s="58"/>
      <c r="T128" s="58"/>
      <c r="U128" s="58"/>
      <c r="V128" s="58"/>
      <c r="W128" s="58"/>
      <c r="X128" s="58"/>
    </row>
    <row r="129" ht="51" spans="1:24">
      <c r="A129" s="78" t="s">
        <v>3373</v>
      </c>
      <c r="B129" s="79" t="s">
        <v>139</v>
      </c>
      <c r="C129" s="79" t="s">
        <v>3374</v>
      </c>
      <c r="D129" s="79" t="s">
        <v>2961</v>
      </c>
      <c r="E129" s="80" t="s">
        <v>279</v>
      </c>
      <c r="F129" s="78" t="s">
        <v>9578</v>
      </c>
      <c r="G129" s="78"/>
      <c r="H129" s="78" t="s">
        <v>9579</v>
      </c>
      <c r="I129" s="78"/>
      <c r="J129" s="78" t="s">
        <v>9580</v>
      </c>
      <c r="K129" s="78"/>
      <c r="L129" s="92">
        <v>32760.5467402</v>
      </c>
      <c r="M129" s="78" t="s">
        <v>9581</v>
      </c>
      <c r="N129" s="92">
        <v>15630249.7068743</v>
      </c>
      <c r="O129" s="78" t="s">
        <v>9582</v>
      </c>
      <c r="R129" s="58"/>
      <c r="S129" s="58"/>
      <c r="T129" s="58"/>
      <c r="U129" s="58"/>
      <c r="V129" s="58"/>
      <c r="W129" s="58"/>
      <c r="X129" s="58"/>
    </row>
    <row r="130" ht="89.25" spans="1:24">
      <c r="A130" s="78" t="s">
        <v>4141</v>
      </c>
      <c r="B130" s="79" t="s">
        <v>132</v>
      </c>
      <c r="C130" s="79" t="s">
        <v>4142</v>
      </c>
      <c r="D130" s="79" t="s">
        <v>2961</v>
      </c>
      <c r="E130" s="80" t="s">
        <v>134</v>
      </c>
      <c r="F130" s="78" t="s">
        <v>9091</v>
      </c>
      <c r="G130" s="78"/>
      <c r="H130" s="78" t="s">
        <v>9583</v>
      </c>
      <c r="I130" s="78"/>
      <c r="J130" s="78" t="s">
        <v>9583</v>
      </c>
      <c r="K130" s="78"/>
      <c r="L130" s="92">
        <v>32026.32</v>
      </c>
      <c r="M130" s="78" t="s">
        <v>9581</v>
      </c>
      <c r="N130" s="92">
        <v>15662276.0268743</v>
      </c>
      <c r="O130" s="78" t="s">
        <v>9584</v>
      </c>
      <c r="R130" s="58"/>
      <c r="S130" s="58"/>
      <c r="T130" s="58"/>
      <c r="U130" s="58"/>
      <c r="V130" s="58"/>
      <c r="W130" s="58"/>
      <c r="X130" s="58"/>
    </row>
    <row r="131" ht="38.25" spans="1:24">
      <c r="A131" s="78" t="s">
        <v>4221</v>
      </c>
      <c r="B131" s="79" t="s">
        <v>132</v>
      </c>
      <c r="C131" s="79" t="s">
        <v>1326</v>
      </c>
      <c r="D131" s="79" t="s">
        <v>2961</v>
      </c>
      <c r="E131" s="80" t="s">
        <v>134</v>
      </c>
      <c r="F131" s="78" t="s">
        <v>9585</v>
      </c>
      <c r="G131" s="78"/>
      <c r="H131" s="78" t="s">
        <v>9586</v>
      </c>
      <c r="I131" s="78"/>
      <c r="J131" s="78" t="s">
        <v>9587</v>
      </c>
      <c r="K131" s="78"/>
      <c r="L131" s="92">
        <v>31634.1</v>
      </c>
      <c r="M131" s="78" t="s">
        <v>9581</v>
      </c>
      <c r="N131" s="92">
        <v>15693910.1268743</v>
      </c>
      <c r="O131" s="78" t="s">
        <v>9588</v>
      </c>
      <c r="R131" s="58"/>
      <c r="S131" s="58"/>
      <c r="T131" s="58"/>
      <c r="U131" s="58"/>
      <c r="V131" s="58"/>
      <c r="W131" s="58"/>
      <c r="X131" s="58"/>
    </row>
    <row r="132" ht="38.25" spans="1:24">
      <c r="A132" s="78" t="s">
        <v>5163</v>
      </c>
      <c r="B132" s="79" t="s">
        <v>139</v>
      </c>
      <c r="C132" s="79" t="s">
        <v>5164</v>
      </c>
      <c r="D132" s="79" t="s">
        <v>2961</v>
      </c>
      <c r="E132" s="80" t="s">
        <v>141</v>
      </c>
      <c r="F132" s="78" t="s">
        <v>9589</v>
      </c>
      <c r="G132" s="78"/>
      <c r="H132" s="78" t="s">
        <v>9590</v>
      </c>
      <c r="I132" s="78"/>
      <c r="J132" s="78" t="s">
        <v>9591</v>
      </c>
      <c r="K132" s="78"/>
      <c r="L132" s="92">
        <v>31305.4588704</v>
      </c>
      <c r="M132" s="78" t="s">
        <v>9581</v>
      </c>
      <c r="N132" s="92">
        <v>15725215.5857447</v>
      </c>
      <c r="O132" s="78" t="s">
        <v>9592</v>
      </c>
      <c r="R132" s="58"/>
      <c r="S132" s="58"/>
      <c r="T132" s="58"/>
      <c r="U132" s="58"/>
      <c r="V132" s="58"/>
      <c r="W132" s="58"/>
      <c r="X132" s="58"/>
    </row>
    <row r="133" ht="25.5" spans="1:24">
      <c r="A133" s="78" t="s">
        <v>3371</v>
      </c>
      <c r="B133" s="79" t="s">
        <v>77</v>
      </c>
      <c r="C133" s="79" t="s">
        <v>3372</v>
      </c>
      <c r="D133" s="79" t="s">
        <v>2961</v>
      </c>
      <c r="E133" s="80" t="s">
        <v>393</v>
      </c>
      <c r="F133" s="78" t="s">
        <v>9593</v>
      </c>
      <c r="G133" s="78"/>
      <c r="H133" s="78" t="s">
        <v>9594</v>
      </c>
      <c r="I133" s="78"/>
      <c r="J133" s="78" t="s">
        <v>9595</v>
      </c>
      <c r="K133" s="78"/>
      <c r="L133" s="92">
        <v>31240.2744</v>
      </c>
      <c r="M133" s="78" t="s">
        <v>9581</v>
      </c>
      <c r="N133" s="92">
        <v>15756455.8601447</v>
      </c>
      <c r="O133" s="78" t="s">
        <v>9596</v>
      </c>
      <c r="R133" s="58"/>
      <c r="S133" s="58"/>
      <c r="T133" s="58"/>
      <c r="U133" s="58"/>
      <c r="V133" s="58"/>
      <c r="W133" s="58"/>
      <c r="X133" s="58"/>
    </row>
    <row r="134" spans="1:24">
      <c r="A134" s="78" t="s">
        <v>4959</v>
      </c>
      <c r="B134" s="79" t="s">
        <v>139</v>
      </c>
      <c r="C134" s="79" t="s">
        <v>4960</v>
      </c>
      <c r="D134" s="79" t="s">
        <v>2961</v>
      </c>
      <c r="E134" s="80" t="s">
        <v>134</v>
      </c>
      <c r="F134" s="78" t="s">
        <v>9597</v>
      </c>
      <c r="G134" s="78"/>
      <c r="H134" s="78" t="s">
        <v>9598</v>
      </c>
      <c r="I134" s="78"/>
      <c r="J134" s="78" t="s">
        <v>9599</v>
      </c>
      <c r="K134" s="78"/>
      <c r="L134" s="92">
        <v>31199.52</v>
      </c>
      <c r="M134" s="78" t="s">
        <v>9581</v>
      </c>
      <c r="N134" s="92">
        <v>15787655.3801447</v>
      </c>
      <c r="O134" s="78" t="s">
        <v>9600</v>
      </c>
      <c r="R134" s="58"/>
      <c r="S134" s="58"/>
      <c r="T134" s="58"/>
      <c r="U134" s="58"/>
      <c r="V134" s="58"/>
      <c r="W134" s="58"/>
      <c r="X134" s="58"/>
    </row>
    <row r="135" ht="25.5" spans="1:24">
      <c r="A135" s="78" t="s">
        <v>3796</v>
      </c>
      <c r="B135" s="79" t="s">
        <v>149</v>
      </c>
      <c r="C135" s="79" t="s">
        <v>3797</v>
      </c>
      <c r="D135" s="79" t="s">
        <v>2961</v>
      </c>
      <c r="E135" s="80" t="s">
        <v>134</v>
      </c>
      <c r="F135" s="78" t="s">
        <v>9601</v>
      </c>
      <c r="G135" s="78"/>
      <c r="H135" s="78" t="s">
        <v>9602</v>
      </c>
      <c r="I135" s="78"/>
      <c r="J135" s="78" t="s">
        <v>9603</v>
      </c>
      <c r="K135" s="78"/>
      <c r="L135" s="92">
        <v>31172.1</v>
      </c>
      <c r="M135" s="78" t="s">
        <v>9581</v>
      </c>
      <c r="N135" s="92">
        <v>15818827.4801447</v>
      </c>
      <c r="O135" s="78" t="s">
        <v>9604</v>
      </c>
      <c r="R135" s="58"/>
      <c r="S135" s="58"/>
      <c r="T135" s="58"/>
      <c r="U135" s="58"/>
      <c r="V135" s="58"/>
      <c r="W135" s="58"/>
      <c r="X135" s="58"/>
    </row>
    <row r="136" ht="25.5" spans="1:24">
      <c r="A136" s="78" t="s">
        <v>5404</v>
      </c>
      <c r="B136" s="79" t="s">
        <v>139</v>
      </c>
      <c r="C136" s="79" t="s">
        <v>5405</v>
      </c>
      <c r="D136" s="79" t="s">
        <v>2896</v>
      </c>
      <c r="E136" s="80" t="s">
        <v>2897</v>
      </c>
      <c r="F136" s="78" t="s">
        <v>9605</v>
      </c>
      <c r="G136" s="78"/>
      <c r="H136" s="78" t="s">
        <v>9127</v>
      </c>
      <c r="I136" s="78"/>
      <c r="J136" s="78" t="s">
        <v>9606</v>
      </c>
      <c r="K136" s="78"/>
      <c r="L136" s="92">
        <v>30562.0992356579</v>
      </c>
      <c r="M136" s="78" t="s">
        <v>9607</v>
      </c>
      <c r="N136" s="92">
        <v>15849389.5793803</v>
      </c>
      <c r="O136" s="78" t="s">
        <v>9608</v>
      </c>
      <c r="R136" s="58"/>
      <c r="S136" s="58"/>
      <c r="T136" s="58"/>
      <c r="U136" s="58"/>
      <c r="V136" s="58"/>
      <c r="W136" s="58"/>
      <c r="X136" s="58"/>
    </row>
    <row r="137" ht="25.5" spans="1:24">
      <c r="A137" s="78" t="s">
        <v>5332</v>
      </c>
      <c r="B137" s="79" t="s">
        <v>139</v>
      </c>
      <c r="C137" s="79" t="s">
        <v>5333</v>
      </c>
      <c r="D137" s="79" t="s">
        <v>2961</v>
      </c>
      <c r="E137" s="80" t="s">
        <v>2897</v>
      </c>
      <c r="F137" s="78" t="s">
        <v>9609</v>
      </c>
      <c r="G137" s="78"/>
      <c r="H137" s="78" t="s">
        <v>9610</v>
      </c>
      <c r="I137" s="78"/>
      <c r="J137" s="78" t="s">
        <v>9611</v>
      </c>
      <c r="K137" s="78"/>
      <c r="L137" s="92">
        <v>30464.9731300577</v>
      </c>
      <c r="M137" s="78" t="s">
        <v>9607</v>
      </c>
      <c r="N137" s="92">
        <v>15879854.5525104</v>
      </c>
      <c r="O137" s="78" t="s">
        <v>9612</v>
      </c>
      <c r="R137" s="58"/>
      <c r="S137" s="58"/>
      <c r="T137" s="58"/>
      <c r="U137" s="58"/>
      <c r="V137" s="58"/>
      <c r="W137" s="58"/>
      <c r="X137" s="58"/>
    </row>
    <row r="138" ht="25.5" spans="1:24">
      <c r="A138" s="78" t="s">
        <v>5396</v>
      </c>
      <c r="B138" s="79" t="s">
        <v>139</v>
      </c>
      <c r="C138" s="79" t="s">
        <v>5397</v>
      </c>
      <c r="D138" s="79" t="s">
        <v>2961</v>
      </c>
      <c r="E138" s="80" t="s">
        <v>2897</v>
      </c>
      <c r="F138" s="78" t="s">
        <v>9486</v>
      </c>
      <c r="G138" s="78"/>
      <c r="H138" s="78" t="s">
        <v>6692</v>
      </c>
      <c r="I138" s="78"/>
      <c r="J138" s="78" t="s">
        <v>9613</v>
      </c>
      <c r="K138" s="78"/>
      <c r="L138" s="92">
        <v>30435.9208529112</v>
      </c>
      <c r="M138" s="78" t="s">
        <v>9607</v>
      </c>
      <c r="N138" s="92">
        <v>15910290.4733633</v>
      </c>
      <c r="O138" s="78" t="s">
        <v>9614</v>
      </c>
      <c r="R138" s="58"/>
      <c r="S138" s="58"/>
      <c r="T138" s="58"/>
      <c r="U138" s="58"/>
      <c r="V138" s="58"/>
      <c r="W138" s="58"/>
      <c r="X138" s="58"/>
    </row>
    <row r="139" ht="38.25" spans="1:24">
      <c r="A139" s="99" t="s">
        <v>4077</v>
      </c>
      <c r="B139" s="100" t="s">
        <v>77</v>
      </c>
      <c r="C139" s="100" t="s">
        <v>4078</v>
      </c>
      <c r="D139" s="100" t="s">
        <v>2961</v>
      </c>
      <c r="E139" s="101" t="s">
        <v>204</v>
      </c>
      <c r="F139" s="99" t="s">
        <v>9615</v>
      </c>
      <c r="G139" s="99"/>
      <c r="H139" s="99" t="s">
        <v>9616</v>
      </c>
      <c r="I139" s="99"/>
      <c r="J139" s="99" t="s">
        <v>9617</v>
      </c>
      <c r="K139" s="99"/>
      <c r="L139" s="102">
        <v>30406.5</v>
      </c>
      <c r="M139" s="99" t="s">
        <v>9607</v>
      </c>
      <c r="N139" s="102">
        <v>15940696.9733633</v>
      </c>
      <c r="O139" s="99" t="s">
        <v>9618</v>
      </c>
      <c r="R139" s="58"/>
      <c r="S139" s="58"/>
      <c r="T139" s="58"/>
      <c r="U139" s="58"/>
      <c r="V139" s="58"/>
      <c r="W139" s="58"/>
      <c r="X139" s="58"/>
    </row>
    <row r="140" ht="51" spans="1:24">
      <c r="A140" s="99" t="s">
        <v>4127</v>
      </c>
      <c r="B140" s="100" t="s">
        <v>139</v>
      </c>
      <c r="C140" s="100" t="s">
        <v>4128</v>
      </c>
      <c r="D140" s="100" t="s">
        <v>2961</v>
      </c>
      <c r="E140" s="101" t="s">
        <v>204</v>
      </c>
      <c r="F140" s="99" t="s">
        <v>9619</v>
      </c>
      <c r="G140" s="99"/>
      <c r="H140" s="99" t="s">
        <v>9620</v>
      </c>
      <c r="I140" s="99"/>
      <c r="J140" s="99" t="s">
        <v>9621</v>
      </c>
      <c r="K140" s="99"/>
      <c r="L140" s="102">
        <v>29619.6614875</v>
      </c>
      <c r="M140" s="99" t="s">
        <v>9607</v>
      </c>
      <c r="N140" s="102">
        <v>15970316.6348508</v>
      </c>
      <c r="O140" s="99" t="s">
        <v>9622</v>
      </c>
      <c r="R140" s="58"/>
      <c r="S140" s="58"/>
      <c r="T140" s="58"/>
      <c r="U140" s="58"/>
      <c r="V140" s="58"/>
      <c r="W140" s="58"/>
      <c r="X140" s="58"/>
    </row>
    <row r="141" ht="25.5" spans="1:24">
      <c r="A141" s="99" t="s">
        <v>3491</v>
      </c>
      <c r="B141" s="100" t="s">
        <v>139</v>
      </c>
      <c r="C141" s="100" t="s">
        <v>3492</v>
      </c>
      <c r="D141" s="100" t="s">
        <v>2961</v>
      </c>
      <c r="E141" s="101" t="s">
        <v>141</v>
      </c>
      <c r="F141" s="99" t="s">
        <v>9623</v>
      </c>
      <c r="G141" s="99"/>
      <c r="H141" s="99" t="s">
        <v>9624</v>
      </c>
      <c r="I141" s="99"/>
      <c r="J141" s="99" t="s">
        <v>9625</v>
      </c>
      <c r="K141" s="99"/>
      <c r="L141" s="102">
        <v>29320.82181336</v>
      </c>
      <c r="M141" s="99" t="s">
        <v>9607</v>
      </c>
      <c r="N141" s="102">
        <v>15999637.4566642</v>
      </c>
      <c r="O141" s="99" t="s">
        <v>9626</v>
      </c>
      <c r="R141" s="58"/>
      <c r="S141" s="58"/>
      <c r="T141" s="58"/>
      <c r="U141" s="58"/>
      <c r="V141" s="58"/>
      <c r="W141" s="58"/>
      <c r="X141" s="58"/>
    </row>
    <row r="142" spans="1:24">
      <c r="A142" s="99" t="s">
        <v>4194</v>
      </c>
      <c r="B142" s="100" t="s">
        <v>132</v>
      </c>
      <c r="C142" s="100" t="s">
        <v>1284</v>
      </c>
      <c r="D142" s="100" t="s">
        <v>2961</v>
      </c>
      <c r="E142" s="101" t="s">
        <v>134</v>
      </c>
      <c r="F142" s="99" t="s">
        <v>9627</v>
      </c>
      <c r="G142" s="99"/>
      <c r="H142" s="99" t="s">
        <v>9628</v>
      </c>
      <c r="I142" s="99"/>
      <c r="J142" s="99" t="s">
        <v>9629</v>
      </c>
      <c r="K142" s="99"/>
      <c r="L142" s="102">
        <v>29276.549304</v>
      </c>
      <c r="M142" s="99" t="s">
        <v>9607</v>
      </c>
      <c r="N142" s="102">
        <v>16028914.0059682</v>
      </c>
      <c r="O142" s="99" t="s">
        <v>9630</v>
      </c>
      <c r="R142" s="58"/>
      <c r="S142" s="58"/>
      <c r="T142" s="58"/>
      <c r="U142" s="58"/>
      <c r="V142" s="58"/>
      <c r="W142" s="58"/>
      <c r="X142" s="58"/>
    </row>
    <row r="143" spans="1:24">
      <c r="A143" s="99" t="s">
        <v>4876</v>
      </c>
      <c r="B143" s="100" t="s">
        <v>149</v>
      </c>
      <c r="C143" s="100" t="s">
        <v>4877</v>
      </c>
      <c r="D143" s="100" t="s">
        <v>2961</v>
      </c>
      <c r="E143" s="101" t="s">
        <v>393</v>
      </c>
      <c r="F143" s="99" t="s">
        <v>9631</v>
      </c>
      <c r="G143" s="99"/>
      <c r="H143" s="99" t="s">
        <v>9632</v>
      </c>
      <c r="I143" s="99"/>
      <c r="J143" s="99" t="s">
        <v>9633</v>
      </c>
      <c r="K143" s="99"/>
      <c r="L143" s="102">
        <v>29246.3148</v>
      </c>
      <c r="M143" s="99" t="s">
        <v>9607</v>
      </c>
      <c r="N143" s="102">
        <v>16058160.3207682</v>
      </c>
      <c r="O143" s="99" t="s">
        <v>9634</v>
      </c>
      <c r="R143" s="58"/>
      <c r="S143" s="58"/>
      <c r="T143" s="58"/>
      <c r="U143" s="58"/>
      <c r="V143" s="58"/>
      <c r="W143" s="58"/>
      <c r="X143" s="58"/>
    </row>
    <row r="144" ht="51" spans="1:24">
      <c r="A144" s="99" t="s">
        <v>4784</v>
      </c>
      <c r="B144" s="100" t="s">
        <v>132</v>
      </c>
      <c r="C144" s="100" t="s">
        <v>4785</v>
      </c>
      <c r="D144" s="100" t="s">
        <v>2961</v>
      </c>
      <c r="E144" s="101" t="s">
        <v>134</v>
      </c>
      <c r="F144" s="99" t="s">
        <v>9091</v>
      </c>
      <c r="G144" s="99"/>
      <c r="H144" s="99" t="s">
        <v>9635</v>
      </c>
      <c r="I144" s="99"/>
      <c r="J144" s="99" t="s">
        <v>9635</v>
      </c>
      <c r="K144" s="99"/>
      <c r="L144" s="102">
        <v>29193.63</v>
      </c>
      <c r="M144" s="99" t="s">
        <v>9607</v>
      </c>
      <c r="N144" s="102">
        <v>16087353.9507682</v>
      </c>
      <c r="O144" s="99" t="s">
        <v>9636</v>
      </c>
      <c r="R144" s="58"/>
      <c r="S144" s="58"/>
      <c r="T144" s="58"/>
      <c r="U144" s="58"/>
      <c r="V144" s="58"/>
      <c r="W144" s="58"/>
      <c r="X144" s="58"/>
    </row>
    <row r="145" ht="25.5" spans="1:24">
      <c r="A145" s="99" t="s">
        <v>4904</v>
      </c>
      <c r="B145" s="100" t="s">
        <v>149</v>
      </c>
      <c r="C145" s="100" t="s">
        <v>4905</v>
      </c>
      <c r="D145" s="100" t="s">
        <v>2961</v>
      </c>
      <c r="E145" s="101" t="s">
        <v>141</v>
      </c>
      <c r="F145" s="99" t="s">
        <v>9637</v>
      </c>
      <c r="G145" s="99"/>
      <c r="H145" s="99" t="s">
        <v>9638</v>
      </c>
      <c r="I145" s="99"/>
      <c r="J145" s="99" t="s">
        <v>9639</v>
      </c>
      <c r="K145" s="99"/>
      <c r="L145" s="102">
        <v>28594.00269</v>
      </c>
      <c r="M145" s="99" t="s">
        <v>9640</v>
      </c>
      <c r="N145" s="102">
        <v>16115947.9534582</v>
      </c>
      <c r="O145" s="99" t="s">
        <v>9641</v>
      </c>
      <c r="R145" s="58"/>
      <c r="S145" s="58"/>
      <c r="T145" s="58"/>
      <c r="U145" s="58"/>
      <c r="V145" s="58"/>
      <c r="W145" s="58"/>
      <c r="X145" s="58"/>
    </row>
    <row r="146" spans="1:24">
      <c r="A146" s="99" t="s">
        <v>4868</v>
      </c>
      <c r="B146" s="100" t="s">
        <v>149</v>
      </c>
      <c r="C146" s="100" t="s">
        <v>4869</v>
      </c>
      <c r="D146" s="100" t="s">
        <v>2896</v>
      </c>
      <c r="E146" s="101" t="s">
        <v>2897</v>
      </c>
      <c r="F146" s="99" t="s">
        <v>9642</v>
      </c>
      <c r="G146" s="99"/>
      <c r="H146" s="99" t="s">
        <v>9359</v>
      </c>
      <c r="I146" s="99"/>
      <c r="J146" s="99" t="s">
        <v>9643</v>
      </c>
      <c r="K146" s="99"/>
      <c r="L146" s="102">
        <v>28174.0674875059</v>
      </c>
      <c r="M146" s="99" t="s">
        <v>9640</v>
      </c>
      <c r="N146" s="102">
        <v>16144122.0209457</v>
      </c>
      <c r="O146" s="99" t="s">
        <v>9644</v>
      </c>
      <c r="R146" s="58"/>
      <c r="S146" s="58"/>
      <c r="T146" s="58"/>
      <c r="U146" s="58"/>
      <c r="V146" s="58"/>
      <c r="W146" s="58"/>
      <c r="X146" s="58"/>
    </row>
    <row r="147" ht="25.5" spans="1:24">
      <c r="A147" s="99" t="s">
        <v>5077</v>
      </c>
      <c r="B147" s="100" t="s">
        <v>139</v>
      </c>
      <c r="C147" s="100" t="s">
        <v>5078</v>
      </c>
      <c r="D147" s="100" t="s">
        <v>2961</v>
      </c>
      <c r="E147" s="101" t="s">
        <v>393</v>
      </c>
      <c r="F147" s="99" t="s">
        <v>9645</v>
      </c>
      <c r="G147" s="99"/>
      <c r="H147" s="99" t="s">
        <v>9646</v>
      </c>
      <c r="I147" s="99"/>
      <c r="J147" s="99" t="s">
        <v>9647</v>
      </c>
      <c r="K147" s="99"/>
      <c r="L147" s="102">
        <v>28045.886</v>
      </c>
      <c r="M147" s="99" t="s">
        <v>9640</v>
      </c>
      <c r="N147" s="102">
        <v>16172167.9069457</v>
      </c>
      <c r="O147" s="99" t="s">
        <v>9648</v>
      </c>
      <c r="R147" s="58"/>
      <c r="S147" s="58"/>
      <c r="T147" s="58"/>
      <c r="U147" s="58"/>
      <c r="V147" s="58"/>
      <c r="W147" s="58"/>
      <c r="X147" s="58"/>
    </row>
    <row r="148" ht="38.25" spans="1:24">
      <c r="A148" s="99" t="s">
        <v>5778</v>
      </c>
      <c r="B148" s="100" t="s">
        <v>77</v>
      </c>
      <c r="C148" s="100" t="s">
        <v>5779</v>
      </c>
      <c r="D148" s="100" t="s">
        <v>2896</v>
      </c>
      <c r="E148" s="101" t="s">
        <v>2897</v>
      </c>
      <c r="F148" s="99" t="s">
        <v>9649</v>
      </c>
      <c r="G148" s="99"/>
      <c r="H148" s="99" t="s">
        <v>9179</v>
      </c>
      <c r="I148" s="99"/>
      <c r="J148" s="99" t="s">
        <v>9650</v>
      </c>
      <c r="K148" s="99"/>
      <c r="L148" s="102">
        <v>27430.9272790509</v>
      </c>
      <c r="M148" s="99" t="s">
        <v>9640</v>
      </c>
      <c r="N148" s="102">
        <v>16199598.8342247</v>
      </c>
      <c r="O148" s="99" t="s">
        <v>9651</v>
      </c>
      <c r="R148" s="58"/>
      <c r="S148" s="58"/>
      <c r="T148" s="58"/>
      <c r="U148" s="58"/>
      <c r="V148" s="58"/>
      <c r="W148" s="58"/>
      <c r="X148" s="58"/>
    </row>
    <row r="149" ht="51" spans="1:24">
      <c r="A149" s="99" t="s">
        <v>4606</v>
      </c>
      <c r="B149" s="100" t="s">
        <v>139</v>
      </c>
      <c r="C149" s="100" t="s">
        <v>4607</v>
      </c>
      <c r="D149" s="100" t="s">
        <v>2961</v>
      </c>
      <c r="E149" s="101" t="s">
        <v>134</v>
      </c>
      <c r="F149" s="99" t="s">
        <v>9518</v>
      </c>
      <c r="G149" s="99"/>
      <c r="H149" s="99" t="s">
        <v>9652</v>
      </c>
      <c r="I149" s="99"/>
      <c r="J149" s="99" t="s">
        <v>9653</v>
      </c>
      <c r="K149" s="99"/>
      <c r="L149" s="102">
        <v>27353.76</v>
      </c>
      <c r="M149" s="99" t="s">
        <v>9640</v>
      </c>
      <c r="N149" s="102">
        <v>16226952.5942247</v>
      </c>
      <c r="O149" s="99" t="s">
        <v>9654</v>
      </c>
      <c r="R149" s="58"/>
      <c r="S149" s="58"/>
      <c r="T149" s="58"/>
      <c r="U149" s="58"/>
      <c r="V149" s="58"/>
      <c r="W149" s="58"/>
      <c r="X149" s="58"/>
    </row>
    <row r="150" spans="1:24">
      <c r="A150" s="99" t="s">
        <v>4355</v>
      </c>
      <c r="B150" s="100" t="s">
        <v>139</v>
      </c>
      <c r="C150" s="100" t="s">
        <v>4356</v>
      </c>
      <c r="D150" s="100" t="s">
        <v>2961</v>
      </c>
      <c r="E150" s="101" t="s">
        <v>204</v>
      </c>
      <c r="F150" s="99" t="s">
        <v>9655</v>
      </c>
      <c r="G150" s="99"/>
      <c r="H150" s="99" t="s">
        <v>8401</v>
      </c>
      <c r="I150" s="99"/>
      <c r="J150" s="99" t="s">
        <v>9656</v>
      </c>
      <c r="K150" s="99"/>
      <c r="L150" s="102">
        <v>27304.2</v>
      </c>
      <c r="M150" s="99" t="s">
        <v>9640</v>
      </c>
      <c r="N150" s="102">
        <v>16254256.7942247</v>
      </c>
      <c r="O150" s="99" t="s">
        <v>9657</v>
      </c>
      <c r="R150" s="58"/>
      <c r="S150" s="58"/>
      <c r="T150" s="58"/>
      <c r="U150" s="58"/>
      <c r="V150" s="58"/>
      <c r="W150" s="58"/>
      <c r="X150" s="58"/>
    </row>
    <row r="151" spans="1:24">
      <c r="A151" s="99" t="s">
        <v>4093</v>
      </c>
      <c r="B151" s="100" t="s">
        <v>139</v>
      </c>
      <c r="C151" s="100" t="s">
        <v>4094</v>
      </c>
      <c r="D151" s="100" t="s">
        <v>2961</v>
      </c>
      <c r="E151" s="101" t="s">
        <v>393</v>
      </c>
      <c r="F151" s="99" t="s">
        <v>9658</v>
      </c>
      <c r="G151" s="99"/>
      <c r="H151" s="99" t="s">
        <v>9659</v>
      </c>
      <c r="I151" s="99"/>
      <c r="J151" s="99" t="s">
        <v>9660</v>
      </c>
      <c r="K151" s="99"/>
      <c r="L151" s="102">
        <v>27299.397198</v>
      </c>
      <c r="M151" s="99" t="s">
        <v>9640</v>
      </c>
      <c r="N151" s="102">
        <v>16281556.1914227</v>
      </c>
      <c r="O151" s="99" t="s">
        <v>9661</v>
      </c>
      <c r="R151" s="58"/>
      <c r="S151" s="58"/>
      <c r="T151" s="58"/>
      <c r="U151" s="58"/>
      <c r="V151" s="58"/>
      <c r="W151" s="58"/>
      <c r="X151" s="58"/>
    </row>
    <row r="152" spans="1:24">
      <c r="A152" s="99" t="s">
        <v>5620</v>
      </c>
      <c r="B152" s="100" t="s">
        <v>139</v>
      </c>
      <c r="C152" s="100" t="s">
        <v>5621</v>
      </c>
      <c r="D152" s="100" t="s">
        <v>2961</v>
      </c>
      <c r="E152" s="101" t="s">
        <v>393</v>
      </c>
      <c r="F152" s="99" t="s">
        <v>9662</v>
      </c>
      <c r="G152" s="99"/>
      <c r="H152" s="99" t="s">
        <v>9663</v>
      </c>
      <c r="I152" s="99"/>
      <c r="J152" s="99" t="s">
        <v>9664</v>
      </c>
      <c r="K152" s="99"/>
      <c r="L152" s="102">
        <v>27002.407008</v>
      </c>
      <c r="M152" s="99" t="s">
        <v>9640</v>
      </c>
      <c r="N152" s="102">
        <v>16308558.5984307</v>
      </c>
      <c r="O152" s="99" t="s">
        <v>9665</v>
      </c>
      <c r="R152" s="58"/>
      <c r="S152" s="58"/>
      <c r="T152" s="58"/>
      <c r="U152" s="58"/>
      <c r="V152" s="58"/>
      <c r="W152" s="58"/>
      <c r="X152" s="58"/>
    </row>
    <row r="153" spans="1:24">
      <c r="A153" s="99" t="s">
        <v>4357</v>
      </c>
      <c r="B153" s="100" t="s">
        <v>139</v>
      </c>
      <c r="C153" s="100" t="s">
        <v>4358</v>
      </c>
      <c r="D153" s="100" t="s">
        <v>2961</v>
      </c>
      <c r="E153" s="101" t="s">
        <v>204</v>
      </c>
      <c r="F153" s="99" t="s">
        <v>9666</v>
      </c>
      <c r="G153" s="99"/>
      <c r="H153" s="99" t="s">
        <v>9667</v>
      </c>
      <c r="I153" s="99"/>
      <c r="J153" s="99" t="s">
        <v>9668</v>
      </c>
      <c r="K153" s="99"/>
      <c r="L153" s="102">
        <v>26992.917</v>
      </c>
      <c r="M153" s="99" t="s">
        <v>9640</v>
      </c>
      <c r="N153" s="102">
        <v>16335551.5154307</v>
      </c>
      <c r="O153" s="99" t="s">
        <v>9669</v>
      </c>
      <c r="R153" s="58"/>
      <c r="S153" s="58"/>
      <c r="T153" s="58"/>
      <c r="U153" s="58"/>
      <c r="V153" s="58"/>
      <c r="W153" s="58"/>
      <c r="X153" s="58"/>
    </row>
    <row r="154" ht="38.25" spans="1:24">
      <c r="A154" s="99" t="s">
        <v>5133</v>
      </c>
      <c r="B154" s="100" t="s">
        <v>139</v>
      </c>
      <c r="C154" s="100" t="s">
        <v>5134</v>
      </c>
      <c r="D154" s="100" t="s">
        <v>2961</v>
      </c>
      <c r="E154" s="101" t="s">
        <v>134</v>
      </c>
      <c r="F154" s="99" t="s">
        <v>9670</v>
      </c>
      <c r="G154" s="99"/>
      <c r="H154" s="99" t="s">
        <v>9671</v>
      </c>
      <c r="I154" s="99"/>
      <c r="J154" s="99" t="s">
        <v>9672</v>
      </c>
      <c r="K154" s="99"/>
      <c r="L154" s="102">
        <v>26230.554225</v>
      </c>
      <c r="M154" s="99" t="s">
        <v>9673</v>
      </c>
      <c r="N154" s="102">
        <v>16361782.0696557</v>
      </c>
      <c r="O154" s="99" t="s">
        <v>9674</v>
      </c>
      <c r="R154" s="58"/>
      <c r="S154" s="58"/>
      <c r="T154" s="58"/>
      <c r="U154" s="58"/>
      <c r="V154" s="58"/>
      <c r="W154" s="58"/>
      <c r="X154" s="58"/>
    </row>
    <row r="155" ht="63.75" spans="1:24">
      <c r="A155" s="99" t="s">
        <v>3551</v>
      </c>
      <c r="B155" s="100" t="s">
        <v>139</v>
      </c>
      <c r="C155" s="100" t="s">
        <v>3552</v>
      </c>
      <c r="D155" s="100" t="s">
        <v>2961</v>
      </c>
      <c r="E155" s="101" t="s">
        <v>134</v>
      </c>
      <c r="F155" s="99" t="s">
        <v>9675</v>
      </c>
      <c r="G155" s="99"/>
      <c r="H155" s="99" t="s">
        <v>9676</v>
      </c>
      <c r="I155" s="99"/>
      <c r="J155" s="99" t="s">
        <v>9677</v>
      </c>
      <c r="K155" s="99"/>
      <c r="L155" s="102">
        <v>26014.992</v>
      </c>
      <c r="M155" s="99" t="s">
        <v>9673</v>
      </c>
      <c r="N155" s="102">
        <v>16387797.0616557</v>
      </c>
      <c r="O155" s="99" t="s">
        <v>9678</v>
      </c>
      <c r="R155" s="58"/>
      <c r="S155" s="58"/>
      <c r="T155" s="58"/>
      <c r="U155" s="58"/>
      <c r="V155" s="58"/>
      <c r="W155" s="58"/>
      <c r="X155" s="58"/>
    </row>
    <row r="156" ht="25.5" spans="1:24">
      <c r="A156" s="99" t="s">
        <v>4225</v>
      </c>
      <c r="B156" s="100" t="s">
        <v>132</v>
      </c>
      <c r="C156" s="100" t="s">
        <v>1338</v>
      </c>
      <c r="D156" s="100" t="s">
        <v>2961</v>
      </c>
      <c r="E156" s="101" t="s">
        <v>134</v>
      </c>
      <c r="F156" s="99" t="s">
        <v>9152</v>
      </c>
      <c r="G156" s="99"/>
      <c r="H156" s="99" t="s">
        <v>9679</v>
      </c>
      <c r="I156" s="99"/>
      <c r="J156" s="99" t="s">
        <v>9680</v>
      </c>
      <c r="K156" s="99"/>
      <c r="L156" s="102">
        <v>25808.28</v>
      </c>
      <c r="M156" s="99" t="s">
        <v>9673</v>
      </c>
      <c r="N156" s="102">
        <v>16413605.3416557</v>
      </c>
      <c r="O156" s="99" t="s">
        <v>9681</v>
      </c>
      <c r="R156" s="58"/>
      <c r="S156" s="58"/>
      <c r="T156" s="58"/>
      <c r="U156" s="58"/>
      <c r="V156" s="58"/>
      <c r="W156" s="58"/>
      <c r="X156" s="58"/>
    </row>
    <row r="157" spans="1:24">
      <c r="A157" s="99" t="s">
        <v>5686</v>
      </c>
      <c r="B157" s="100" t="s">
        <v>139</v>
      </c>
      <c r="C157" s="100" t="s">
        <v>5687</v>
      </c>
      <c r="D157" s="100" t="s">
        <v>2896</v>
      </c>
      <c r="E157" s="101" t="s">
        <v>2897</v>
      </c>
      <c r="F157" s="99" t="s">
        <v>9682</v>
      </c>
      <c r="G157" s="99"/>
      <c r="H157" s="99" t="s">
        <v>9683</v>
      </c>
      <c r="I157" s="99"/>
      <c r="J157" s="99" t="s">
        <v>9684</v>
      </c>
      <c r="K157" s="99"/>
      <c r="L157" s="102">
        <v>25685.2893722698</v>
      </c>
      <c r="M157" s="99" t="s">
        <v>9673</v>
      </c>
      <c r="N157" s="102">
        <v>16439290.631028</v>
      </c>
      <c r="O157" s="99" t="s">
        <v>9685</v>
      </c>
      <c r="R157" s="58"/>
      <c r="S157" s="58"/>
      <c r="T157" s="58"/>
      <c r="U157" s="58"/>
      <c r="V157" s="58"/>
      <c r="W157" s="58"/>
      <c r="X157" s="58"/>
    </row>
    <row r="158" spans="1:24">
      <c r="A158" s="99" t="s">
        <v>5674</v>
      </c>
      <c r="B158" s="100" t="s">
        <v>139</v>
      </c>
      <c r="C158" s="100" t="s">
        <v>5675</v>
      </c>
      <c r="D158" s="100" t="s">
        <v>2896</v>
      </c>
      <c r="E158" s="101" t="s">
        <v>2897</v>
      </c>
      <c r="F158" s="99" t="s">
        <v>9686</v>
      </c>
      <c r="G158" s="99"/>
      <c r="H158" s="99" t="s">
        <v>9687</v>
      </c>
      <c r="I158" s="99"/>
      <c r="J158" s="99" t="s">
        <v>9688</v>
      </c>
      <c r="K158" s="99"/>
      <c r="L158" s="102">
        <v>25553.3723723015</v>
      </c>
      <c r="M158" s="99" t="s">
        <v>9673</v>
      </c>
      <c r="N158" s="102">
        <v>16464844.0034003</v>
      </c>
      <c r="O158" s="99" t="s">
        <v>9689</v>
      </c>
      <c r="R158" s="58"/>
      <c r="S158" s="58"/>
      <c r="T158" s="58"/>
      <c r="U158" s="58"/>
      <c r="V158" s="58"/>
      <c r="W158" s="58"/>
      <c r="X158" s="58"/>
    </row>
    <row r="159" ht="51" spans="1:24">
      <c r="A159" s="99" t="s">
        <v>4782</v>
      </c>
      <c r="B159" s="100" t="s">
        <v>132</v>
      </c>
      <c r="C159" s="100" t="s">
        <v>4783</v>
      </c>
      <c r="D159" s="100" t="s">
        <v>2961</v>
      </c>
      <c r="E159" s="101" t="s">
        <v>134</v>
      </c>
      <c r="F159" s="99" t="s">
        <v>9091</v>
      </c>
      <c r="G159" s="99"/>
      <c r="H159" s="99" t="s">
        <v>9690</v>
      </c>
      <c r="I159" s="99"/>
      <c r="J159" s="99" t="s">
        <v>9690</v>
      </c>
      <c r="K159" s="99"/>
      <c r="L159" s="102">
        <v>25367.96</v>
      </c>
      <c r="M159" s="99" t="s">
        <v>9673</v>
      </c>
      <c r="N159" s="102">
        <v>16490211.9634003</v>
      </c>
      <c r="O159" s="99" t="s">
        <v>9691</v>
      </c>
      <c r="R159" s="58"/>
      <c r="S159" s="58"/>
      <c r="T159" s="58"/>
      <c r="U159" s="58"/>
      <c r="V159" s="58"/>
      <c r="W159" s="58"/>
      <c r="X159" s="58"/>
    </row>
    <row r="160" ht="38.25" spans="1:24">
      <c r="A160" s="99" t="s">
        <v>5137</v>
      </c>
      <c r="B160" s="100" t="s">
        <v>139</v>
      </c>
      <c r="C160" s="100" t="s">
        <v>5138</v>
      </c>
      <c r="D160" s="100" t="s">
        <v>2961</v>
      </c>
      <c r="E160" s="101" t="s">
        <v>204</v>
      </c>
      <c r="F160" s="99" t="s">
        <v>9692</v>
      </c>
      <c r="G160" s="99"/>
      <c r="H160" s="99" t="s">
        <v>9693</v>
      </c>
      <c r="I160" s="99"/>
      <c r="J160" s="99" t="s">
        <v>9694</v>
      </c>
      <c r="K160" s="99"/>
      <c r="L160" s="102">
        <v>25300.177</v>
      </c>
      <c r="M160" s="99" t="s">
        <v>9673</v>
      </c>
      <c r="N160" s="102">
        <v>16515512.1404003</v>
      </c>
      <c r="O160" s="99" t="s">
        <v>9695</v>
      </c>
      <c r="R160" s="58"/>
      <c r="S160" s="58"/>
      <c r="T160" s="58"/>
      <c r="U160" s="58"/>
      <c r="V160" s="58"/>
      <c r="W160" s="58"/>
      <c r="X160" s="58"/>
    </row>
    <row r="161" ht="25.5" spans="1:24">
      <c r="A161" s="99" t="s">
        <v>4117</v>
      </c>
      <c r="B161" s="100" t="s">
        <v>77</v>
      </c>
      <c r="C161" s="100" t="s">
        <v>4118</v>
      </c>
      <c r="D161" s="100" t="s">
        <v>2961</v>
      </c>
      <c r="E161" s="101" t="s">
        <v>134</v>
      </c>
      <c r="F161" s="99" t="s">
        <v>9696</v>
      </c>
      <c r="G161" s="99"/>
      <c r="H161" s="99" t="s">
        <v>9697</v>
      </c>
      <c r="I161" s="99"/>
      <c r="J161" s="99" t="s">
        <v>9698</v>
      </c>
      <c r="K161" s="99"/>
      <c r="L161" s="102">
        <v>25225.2</v>
      </c>
      <c r="M161" s="99" t="s">
        <v>9673</v>
      </c>
      <c r="N161" s="102">
        <v>16540737.3404003</v>
      </c>
      <c r="O161" s="99" t="s">
        <v>9699</v>
      </c>
      <c r="R161" s="58"/>
      <c r="S161" s="58"/>
      <c r="T161" s="58"/>
      <c r="U161" s="58"/>
      <c r="V161" s="58"/>
      <c r="W161" s="58"/>
      <c r="X161" s="58"/>
    </row>
    <row r="162" ht="63.75" spans="1:24">
      <c r="A162" s="99" t="s">
        <v>4759</v>
      </c>
      <c r="B162" s="100" t="s">
        <v>132</v>
      </c>
      <c r="C162" s="100" t="s">
        <v>4760</v>
      </c>
      <c r="D162" s="100" t="s">
        <v>3395</v>
      </c>
      <c r="E162" s="101" t="s">
        <v>134</v>
      </c>
      <c r="F162" s="99" t="s">
        <v>9091</v>
      </c>
      <c r="G162" s="99" t="s">
        <v>9093</v>
      </c>
      <c r="H162" s="99" t="s">
        <v>9700</v>
      </c>
      <c r="I162" s="99" t="s">
        <v>9701</v>
      </c>
      <c r="J162" s="99" t="s">
        <v>9700</v>
      </c>
      <c r="K162" s="99" t="s">
        <v>8660</v>
      </c>
      <c r="L162" s="102">
        <v>24983.01</v>
      </c>
      <c r="M162" s="99" t="s">
        <v>9673</v>
      </c>
      <c r="N162" s="102">
        <v>16565720.3504003</v>
      </c>
      <c r="O162" s="99" t="s">
        <v>9702</v>
      </c>
      <c r="R162" s="58"/>
      <c r="S162" s="58"/>
      <c r="T162" s="58"/>
      <c r="U162" s="58"/>
      <c r="V162" s="58"/>
      <c r="W162" s="58"/>
      <c r="X162" s="58"/>
    </row>
    <row r="163" ht="25.5" spans="1:24">
      <c r="A163" s="99" t="s">
        <v>4530</v>
      </c>
      <c r="B163" s="100" t="s">
        <v>139</v>
      </c>
      <c r="C163" s="100" t="s">
        <v>4531</v>
      </c>
      <c r="D163" s="100" t="s">
        <v>2961</v>
      </c>
      <c r="E163" s="101" t="s">
        <v>134</v>
      </c>
      <c r="F163" s="99" t="s">
        <v>9433</v>
      </c>
      <c r="G163" s="99"/>
      <c r="H163" s="99" t="s">
        <v>9703</v>
      </c>
      <c r="I163" s="99"/>
      <c r="J163" s="99" t="s">
        <v>9704</v>
      </c>
      <c r="K163" s="99"/>
      <c r="L163" s="102">
        <v>24965.46</v>
      </c>
      <c r="M163" s="99" t="s">
        <v>9673</v>
      </c>
      <c r="N163" s="102">
        <v>16590685.8104003</v>
      </c>
      <c r="O163" s="99" t="s">
        <v>9705</v>
      </c>
      <c r="R163" s="58"/>
      <c r="S163" s="58"/>
      <c r="T163" s="58"/>
      <c r="U163" s="58"/>
      <c r="V163" s="58"/>
      <c r="W163" s="58"/>
      <c r="X163" s="58"/>
    </row>
    <row r="164" ht="25.5" spans="1:24">
      <c r="A164" s="99" t="s">
        <v>3553</v>
      </c>
      <c r="B164" s="100" t="s">
        <v>139</v>
      </c>
      <c r="C164" s="100" t="s">
        <v>3554</v>
      </c>
      <c r="D164" s="100" t="s">
        <v>2961</v>
      </c>
      <c r="E164" s="101" t="s">
        <v>134</v>
      </c>
      <c r="F164" s="99" t="s">
        <v>9706</v>
      </c>
      <c r="G164" s="99"/>
      <c r="H164" s="99" t="s">
        <v>9707</v>
      </c>
      <c r="I164" s="99"/>
      <c r="J164" s="99" t="s">
        <v>9708</v>
      </c>
      <c r="K164" s="99"/>
      <c r="L164" s="102">
        <v>24338.97</v>
      </c>
      <c r="M164" s="99" t="s">
        <v>9709</v>
      </c>
      <c r="N164" s="102">
        <v>16615024.7804003</v>
      </c>
      <c r="O164" s="99" t="s">
        <v>9710</v>
      </c>
      <c r="R164" s="58"/>
      <c r="S164" s="58"/>
      <c r="T164" s="58"/>
      <c r="U164" s="58"/>
      <c r="V164" s="58"/>
      <c r="W164" s="58"/>
      <c r="X164" s="58"/>
    </row>
    <row r="165" ht="25.5" spans="1:24">
      <c r="A165" s="99" t="s">
        <v>4064</v>
      </c>
      <c r="B165" s="100" t="s">
        <v>132</v>
      </c>
      <c r="C165" s="100" t="s">
        <v>4065</v>
      </c>
      <c r="D165" s="100" t="s">
        <v>2961</v>
      </c>
      <c r="E165" s="101" t="s">
        <v>134</v>
      </c>
      <c r="F165" s="99" t="s">
        <v>9711</v>
      </c>
      <c r="G165" s="99"/>
      <c r="H165" s="99" t="s">
        <v>7634</v>
      </c>
      <c r="I165" s="99"/>
      <c r="J165" s="99" t="s">
        <v>9712</v>
      </c>
      <c r="K165" s="99"/>
      <c r="L165" s="102">
        <v>24013.15</v>
      </c>
      <c r="M165" s="99" t="s">
        <v>9709</v>
      </c>
      <c r="N165" s="102">
        <v>16639037.9304003</v>
      </c>
      <c r="O165" s="99" t="s">
        <v>9713</v>
      </c>
      <c r="R165" s="58"/>
      <c r="S165" s="58"/>
      <c r="T165" s="58"/>
      <c r="U165" s="58"/>
      <c r="V165" s="58"/>
      <c r="W165" s="58"/>
      <c r="X165" s="58"/>
    </row>
    <row r="166" ht="38.25" spans="1:24">
      <c r="A166" s="99" t="s">
        <v>4399</v>
      </c>
      <c r="B166" s="100" t="s">
        <v>77</v>
      </c>
      <c r="C166" s="100" t="s">
        <v>4400</v>
      </c>
      <c r="D166" s="100" t="s">
        <v>2961</v>
      </c>
      <c r="E166" s="101" t="s">
        <v>134</v>
      </c>
      <c r="F166" s="99" t="s">
        <v>9714</v>
      </c>
      <c r="G166" s="99"/>
      <c r="H166" s="99" t="s">
        <v>9715</v>
      </c>
      <c r="I166" s="99"/>
      <c r="J166" s="99" t="s">
        <v>9716</v>
      </c>
      <c r="K166" s="99"/>
      <c r="L166" s="102">
        <v>23915.76</v>
      </c>
      <c r="M166" s="99" t="s">
        <v>9709</v>
      </c>
      <c r="N166" s="102">
        <v>16662953.6904003</v>
      </c>
      <c r="O166" s="99" t="s">
        <v>9717</v>
      </c>
      <c r="R166" s="58"/>
      <c r="S166" s="58"/>
      <c r="T166" s="58"/>
      <c r="U166" s="58"/>
      <c r="V166" s="58"/>
      <c r="W166" s="58"/>
      <c r="X166" s="58"/>
    </row>
    <row r="167" ht="25.5" spans="1:24">
      <c r="A167" s="99" t="s">
        <v>3489</v>
      </c>
      <c r="B167" s="100" t="s">
        <v>139</v>
      </c>
      <c r="C167" s="100" t="s">
        <v>3490</v>
      </c>
      <c r="D167" s="100" t="s">
        <v>2961</v>
      </c>
      <c r="E167" s="101" t="s">
        <v>141</v>
      </c>
      <c r="F167" s="99" t="s">
        <v>9623</v>
      </c>
      <c r="G167" s="99"/>
      <c r="H167" s="99" t="s">
        <v>9718</v>
      </c>
      <c r="I167" s="99"/>
      <c r="J167" s="99" t="s">
        <v>9719</v>
      </c>
      <c r="K167" s="99"/>
      <c r="L167" s="102">
        <v>23879.50459356</v>
      </c>
      <c r="M167" s="99" t="s">
        <v>9709</v>
      </c>
      <c r="N167" s="102">
        <v>16686833.1949939</v>
      </c>
      <c r="O167" s="99" t="s">
        <v>9720</v>
      </c>
      <c r="R167" s="58"/>
      <c r="S167" s="58"/>
      <c r="T167" s="58"/>
      <c r="U167" s="58"/>
      <c r="V167" s="58"/>
      <c r="W167" s="58"/>
      <c r="X167" s="58"/>
    </row>
    <row r="168" ht="25.5" spans="1:24">
      <c r="A168" s="99" t="s">
        <v>5197</v>
      </c>
      <c r="B168" s="100" t="s">
        <v>139</v>
      </c>
      <c r="C168" s="100" t="s">
        <v>5198</v>
      </c>
      <c r="D168" s="100" t="s">
        <v>2961</v>
      </c>
      <c r="E168" s="101" t="s">
        <v>141</v>
      </c>
      <c r="F168" s="99" t="s">
        <v>9721</v>
      </c>
      <c r="G168" s="99"/>
      <c r="H168" s="99" t="s">
        <v>7430</v>
      </c>
      <c r="I168" s="99"/>
      <c r="J168" s="99" t="s">
        <v>9722</v>
      </c>
      <c r="K168" s="99"/>
      <c r="L168" s="102">
        <v>23207.95328428</v>
      </c>
      <c r="M168" s="99" t="s">
        <v>9709</v>
      </c>
      <c r="N168" s="102">
        <v>16710041.1482781</v>
      </c>
      <c r="O168" s="99" t="s">
        <v>9723</v>
      </c>
      <c r="R168" s="58"/>
      <c r="S168" s="58"/>
      <c r="T168" s="58"/>
      <c r="U168" s="58"/>
      <c r="V168" s="58"/>
      <c r="W168" s="58"/>
      <c r="X168" s="58"/>
    </row>
    <row r="169" spans="1:24">
      <c r="A169" s="99" t="s">
        <v>5071</v>
      </c>
      <c r="B169" s="100" t="s">
        <v>139</v>
      </c>
      <c r="C169" s="100" t="s">
        <v>5072</v>
      </c>
      <c r="D169" s="100" t="s">
        <v>2961</v>
      </c>
      <c r="E169" s="101" t="s">
        <v>3084</v>
      </c>
      <c r="F169" s="99" t="s">
        <v>9724</v>
      </c>
      <c r="G169" s="99"/>
      <c r="H169" s="99" t="s">
        <v>9725</v>
      </c>
      <c r="I169" s="99"/>
      <c r="J169" s="99" t="s">
        <v>9726</v>
      </c>
      <c r="K169" s="99"/>
      <c r="L169" s="102">
        <v>22855.81039232</v>
      </c>
      <c r="M169" s="99" t="s">
        <v>9727</v>
      </c>
      <c r="N169" s="102">
        <v>16732896.9586705</v>
      </c>
      <c r="O169" s="99" t="s">
        <v>9728</v>
      </c>
      <c r="R169" s="58"/>
      <c r="S169" s="58"/>
      <c r="T169" s="58"/>
      <c r="U169" s="58"/>
      <c r="V169" s="58"/>
      <c r="W169" s="58"/>
      <c r="X169" s="58"/>
    </row>
    <row r="170" ht="25.5" spans="1:24">
      <c r="A170" s="99" t="s">
        <v>4226</v>
      </c>
      <c r="B170" s="100" t="s">
        <v>132</v>
      </c>
      <c r="C170" s="100" t="s">
        <v>1341</v>
      </c>
      <c r="D170" s="100" t="s">
        <v>2961</v>
      </c>
      <c r="E170" s="101" t="s">
        <v>134</v>
      </c>
      <c r="F170" s="99" t="s">
        <v>9183</v>
      </c>
      <c r="G170" s="99"/>
      <c r="H170" s="99" t="s">
        <v>9729</v>
      </c>
      <c r="I170" s="99"/>
      <c r="J170" s="99" t="s">
        <v>9730</v>
      </c>
      <c r="K170" s="99"/>
      <c r="L170" s="102">
        <v>22265.06</v>
      </c>
      <c r="M170" s="99" t="s">
        <v>9727</v>
      </c>
      <c r="N170" s="102">
        <v>16755162.0186705</v>
      </c>
      <c r="O170" s="99" t="s">
        <v>9731</v>
      </c>
      <c r="R170" s="58"/>
      <c r="S170" s="58"/>
      <c r="T170" s="58"/>
      <c r="U170" s="58"/>
      <c r="V170" s="58"/>
      <c r="W170" s="58"/>
      <c r="X170" s="58"/>
    </row>
    <row r="171" ht="25.5" spans="1:24">
      <c r="A171" s="99" t="s">
        <v>3021</v>
      </c>
      <c r="B171" s="100" t="s">
        <v>139</v>
      </c>
      <c r="C171" s="100" t="s">
        <v>3022</v>
      </c>
      <c r="D171" s="100" t="s">
        <v>2961</v>
      </c>
      <c r="E171" s="101" t="s">
        <v>393</v>
      </c>
      <c r="F171" s="99" t="s">
        <v>9732</v>
      </c>
      <c r="G171" s="99"/>
      <c r="H171" s="99" t="s">
        <v>6728</v>
      </c>
      <c r="I171" s="99"/>
      <c r="J171" s="99" t="s">
        <v>9733</v>
      </c>
      <c r="K171" s="99"/>
      <c r="L171" s="102">
        <v>22097.3825366941</v>
      </c>
      <c r="M171" s="99" t="s">
        <v>9727</v>
      </c>
      <c r="N171" s="102">
        <v>16777259.4012072</v>
      </c>
      <c r="O171" s="99" t="s">
        <v>9734</v>
      </c>
      <c r="R171" s="58"/>
      <c r="S171" s="58"/>
      <c r="T171" s="58"/>
      <c r="U171" s="58"/>
      <c r="V171" s="58"/>
      <c r="W171" s="58"/>
      <c r="X171" s="58"/>
    </row>
    <row r="172" ht="38.25" spans="1:24">
      <c r="A172" s="99" t="s">
        <v>4546</v>
      </c>
      <c r="B172" s="100" t="s">
        <v>77</v>
      </c>
      <c r="C172" s="100" t="s">
        <v>4547</v>
      </c>
      <c r="D172" s="100" t="s">
        <v>2961</v>
      </c>
      <c r="E172" s="101" t="s">
        <v>204</v>
      </c>
      <c r="F172" s="99" t="s">
        <v>9538</v>
      </c>
      <c r="G172" s="99"/>
      <c r="H172" s="99" t="s">
        <v>9735</v>
      </c>
      <c r="I172" s="99"/>
      <c r="J172" s="99" t="s">
        <v>9736</v>
      </c>
      <c r="K172" s="99"/>
      <c r="L172" s="102">
        <v>22041.6</v>
      </c>
      <c r="M172" s="99" t="s">
        <v>9727</v>
      </c>
      <c r="N172" s="102">
        <v>16799301.0012072</v>
      </c>
      <c r="O172" s="99" t="s">
        <v>9737</v>
      </c>
      <c r="R172" s="58"/>
      <c r="S172" s="58"/>
      <c r="T172" s="58"/>
      <c r="U172" s="58"/>
      <c r="V172" s="58"/>
      <c r="W172" s="58"/>
      <c r="X172" s="58"/>
    </row>
    <row r="173" spans="1:24">
      <c r="A173" s="99" t="s">
        <v>4632</v>
      </c>
      <c r="B173" s="100" t="s">
        <v>149</v>
      </c>
      <c r="C173" s="100" t="s">
        <v>4633</v>
      </c>
      <c r="D173" s="100" t="s">
        <v>2961</v>
      </c>
      <c r="E173" s="101" t="s">
        <v>134</v>
      </c>
      <c r="F173" s="99" t="s">
        <v>9738</v>
      </c>
      <c r="G173" s="99"/>
      <c r="H173" s="99" t="s">
        <v>9739</v>
      </c>
      <c r="I173" s="99"/>
      <c r="J173" s="99" t="s">
        <v>9740</v>
      </c>
      <c r="K173" s="99"/>
      <c r="L173" s="102">
        <v>21943.9</v>
      </c>
      <c r="M173" s="99" t="s">
        <v>9727</v>
      </c>
      <c r="N173" s="102">
        <v>16821244.9012072</v>
      </c>
      <c r="O173" s="99" t="s">
        <v>9741</v>
      </c>
      <c r="R173" s="58"/>
      <c r="S173" s="58"/>
      <c r="T173" s="58"/>
      <c r="U173" s="58"/>
      <c r="V173" s="58"/>
      <c r="W173" s="58"/>
      <c r="X173" s="58"/>
    </row>
    <row r="174" ht="25.5" spans="1:24">
      <c r="A174" s="99" t="s">
        <v>6014</v>
      </c>
      <c r="B174" s="100" t="s">
        <v>139</v>
      </c>
      <c r="C174" s="100" t="s">
        <v>6015</v>
      </c>
      <c r="D174" s="100" t="s">
        <v>2961</v>
      </c>
      <c r="E174" s="101" t="s">
        <v>2925</v>
      </c>
      <c r="F174" s="99" t="s">
        <v>9742</v>
      </c>
      <c r="G174" s="99"/>
      <c r="H174" s="99" t="s">
        <v>9743</v>
      </c>
      <c r="I174" s="99"/>
      <c r="J174" s="99" t="s">
        <v>9744</v>
      </c>
      <c r="K174" s="99"/>
      <c r="L174" s="102">
        <v>21917.52</v>
      </c>
      <c r="M174" s="99" t="s">
        <v>9727</v>
      </c>
      <c r="N174" s="102">
        <v>16843162.4212072</v>
      </c>
      <c r="O174" s="99" t="s">
        <v>9745</v>
      </c>
      <c r="R174" s="58"/>
      <c r="S174" s="58"/>
      <c r="T174" s="58"/>
      <c r="U174" s="58"/>
      <c r="V174" s="58"/>
      <c r="W174" s="58"/>
      <c r="X174" s="58"/>
    </row>
    <row r="175" ht="25.5" spans="1:24">
      <c r="A175" s="99" t="s">
        <v>5169</v>
      </c>
      <c r="B175" s="100" t="s">
        <v>139</v>
      </c>
      <c r="C175" s="100" t="s">
        <v>5170</v>
      </c>
      <c r="D175" s="100" t="s">
        <v>2961</v>
      </c>
      <c r="E175" s="101" t="s">
        <v>141</v>
      </c>
      <c r="F175" s="99" t="s">
        <v>9746</v>
      </c>
      <c r="G175" s="99"/>
      <c r="H175" s="99" t="s">
        <v>9747</v>
      </c>
      <c r="I175" s="99"/>
      <c r="J175" s="99" t="s">
        <v>9748</v>
      </c>
      <c r="K175" s="99"/>
      <c r="L175" s="102">
        <v>21282.975</v>
      </c>
      <c r="M175" s="99" t="s">
        <v>9727</v>
      </c>
      <c r="N175" s="102">
        <v>16864445.3962072</v>
      </c>
      <c r="O175" s="99" t="s">
        <v>9749</v>
      </c>
      <c r="R175" s="58"/>
      <c r="S175" s="58"/>
      <c r="T175" s="58"/>
      <c r="U175" s="58"/>
      <c r="V175" s="58"/>
      <c r="W175" s="58"/>
      <c r="X175" s="58"/>
    </row>
    <row r="176" spans="1:24">
      <c r="A176" s="99" t="s">
        <v>5662</v>
      </c>
      <c r="B176" s="100" t="s">
        <v>139</v>
      </c>
      <c r="C176" s="100" t="s">
        <v>5663</v>
      </c>
      <c r="D176" s="100" t="s">
        <v>2896</v>
      </c>
      <c r="E176" s="101" t="s">
        <v>2897</v>
      </c>
      <c r="F176" s="99" t="s">
        <v>9750</v>
      </c>
      <c r="G176" s="99"/>
      <c r="H176" s="99" t="s">
        <v>9751</v>
      </c>
      <c r="I176" s="99"/>
      <c r="J176" s="99" t="s">
        <v>9752</v>
      </c>
      <c r="K176" s="99"/>
      <c r="L176" s="102">
        <v>21178.5186208164</v>
      </c>
      <c r="M176" s="99" t="s">
        <v>9727</v>
      </c>
      <c r="N176" s="102">
        <v>16885623.914828</v>
      </c>
      <c r="O176" s="99" t="s">
        <v>9753</v>
      </c>
      <c r="R176" s="58"/>
      <c r="S176" s="58"/>
      <c r="T176" s="58"/>
      <c r="U176" s="58"/>
      <c r="V176" s="58"/>
      <c r="W176" s="58"/>
      <c r="X176" s="58"/>
    </row>
    <row r="177" ht="63.75" spans="1:24">
      <c r="A177" s="99" t="s">
        <v>3562</v>
      </c>
      <c r="B177" s="100" t="s">
        <v>139</v>
      </c>
      <c r="C177" s="100" t="s">
        <v>3563</v>
      </c>
      <c r="D177" s="100" t="s">
        <v>2961</v>
      </c>
      <c r="E177" s="101" t="s">
        <v>1491</v>
      </c>
      <c r="F177" s="99" t="s">
        <v>9754</v>
      </c>
      <c r="G177" s="99"/>
      <c r="H177" s="99" t="s">
        <v>9755</v>
      </c>
      <c r="I177" s="99"/>
      <c r="J177" s="99" t="s">
        <v>9756</v>
      </c>
      <c r="K177" s="99"/>
      <c r="L177" s="102">
        <v>21169.7</v>
      </c>
      <c r="M177" s="99" t="s">
        <v>9727</v>
      </c>
      <c r="N177" s="102">
        <v>16906793.614828</v>
      </c>
      <c r="O177" s="99" t="s">
        <v>9757</v>
      </c>
      <c r="R177" s="58"/>
      <c r="S177" s="58"/>
      <c r="T177" s="58"/>
      <c r="U177" s="58"/>
      <c r="V177" s="58"/>
      <c r="W177" s="58"/>
      <c r="X177" s="58"/>
    </row>
    <row r="178" ht="38.25" spans="1:24">
      <c r="A178" s="99" t="s">
        <v>4015</v>
      </c>
      <c r="B178" s="100" t="s">
        <v>77</v>
      </c>
      <c r="C178" s="100" t="s">
        <v>4016</v>
      </c>
      <c r="D178" s="100" t="s">
        <v>2961</v>
      </c>
      <c r="E178" s="101" t="s">
        <v>134</v>
      </c>
      <c r="F178" s="99" t="s">
        <v>9758</v>
      </c>
      <c r="G178" s="99"/>
      <c r="H178" s="99" t="s">
        <v>9759</v>
      </c>
      <c r="I178" s="99"/>
      <c r="J178" s="99" t="s">
        <v>9760</v>
      </c>
      <c r="K178" s="99"/>
      <c r="L178" s="102">
        <v>20682.508</v>
      </c>
      <c r="M178" s="99" t="s">
        <v>9761</v>
      </c>
      <c r="N178" s="102">
        <v>16927476.122828</v>
      </c>
      <c r="O178" s="99" t="s">
        <v>9762</v>
      </c>
      <c r="R178" s="58"/>
      <c r="S178" s="58"/>
      <c r="T178" s="58"/>
      <c r="U178" s="58"/>
      <c r="V178" s="58"/>
      <c r="W178" s="58"/>
      <c r="X178" s="58"/>
    </row>
    <row r="179" ht="25.5" spans="1:24">
      <c r="A179" s="99" t="s">
        <v>5048</v>
      </c>
      <c r="B179" s="100" t="s">
        <v>139</v>
      </c>
      <c r="C179" s="100" t="s">
        <v>5049</v>
      </c>
      <c r="D179" s="100" t="s">
        <v>2961</v>
      </c>
      <c r="E179" s="101" t="s">
        <v>204</v>
      </c>
      <c r="F179" s="99" t="s">
        <v>9763</v>
      </c>
      <c r="G179" s="99"/>
      <c r="H179" s="99" t="s">
        <v>9764</v>
      </c>
      <c r="I179" s="99"/>
      <c r="J179" s="99" t="s">
        <v>9765</v>
      </c>
      <c r="K179" s="99"/>
      <c r="L179" s="102">
        <v>20285.825625</v>
      </c>
      <c r="M179" s="99" t="s">
        <v>9761</v>
      </c>
      <c r="N179" s="102">
        <v>16947761.948453</v>
      </c>
      <c r="O179" s="99" t="s">
        <v>9766</v>
      </c>
      <c r="R179" s="58"/>
      <c r="S179" s="58"/>
      <c r="T179" s="58"/>
      <c r="U179" s="58"/>
      <c r="V179" s="58"/>
      <c r="W179" s="58"/>
      <c r="X179" s="58"/>
    </row>
    <row r="180" spans="1:24">
      <c r="A180" s="99" t="s">
        <v>3598</v>
      </c>
      <c r="B180" s="100" t="s">
        <v>149</v>
      </c>
      <c r="C180" s="100" t="s">
        <v>3599</v>
      </c>
      <c r="D180" s="100" t="s">
        <v>2961</v>
      </c>
      <c r="E180" s="101" t="s">
        <v>134</v>
      </c>
      <c r="F180" s="99" t="s">
        <v>9767</v>
      </c>
      <c r="G180" s="99"/>
      <c r="H180" s="99" t="s">
        <v>9768</v>
      </c>
      <c r="I180" s="99"/>
      <c r="J180" s="99" t="s">
        <v>9769</v>
      </c>
      <c r="K180" s="99"/>
      <c r="L180" s="102">
        <v>20262.1125</v>
      </c>
      <c r="M180" s="99" t="s">
        <v>9761</v>
      </c>
      <c r="N180" s="102">
        <v>16968024.060953</v>
      </c>
      <c r="O180" s="99" t="s">
        <v>9770</v>
      </c>
      <c r="R180" s="58"/>
      <c r="S180" s="58"/>
      <c r="T180" s="58"/>
      <c r="U180" s="58"/>
      <c r="V180" s="58"/>
      <c r="W180" s="58"/>
      <c r="X180" s="58"/>
    </row>
    <row r="181" ht="127.5" spans="1:24">
      <c r="A181" s="99" t="s">
        <v>4242</v>
      </c>
      <c r="B181" s="100" t="s">
        <v>132</v>
      </c>
      <c r="C181" s="100" t="s">
        <v>4243</v>
      </c>
      <c r="D181" s="100" t="s">
        <v>2961</v>
      </c>
      <c r="E181" s="101" t="s">
        <v>134</v>
      </c>
      <c r="F181" s="99" t="s">
        <v>9091</v>
      </c>
      <c r="G181" s="99"/>
      <c r="H181" s="99" t="s">
        <v>9771</v>
      </c>
      <c r="I181" s="99"/>
      <c r="J181" s="99" t="s">
        <v>9771</v>
      </c>
      <c r="K181" s="99"/>
      <c r="L181" s="102">
        <v>20026.68</v>
      </c>
      <c r="M181" s="99" t="s">
        <v>9761</v>
      </c>
      <c r="N181" s="102">
        <v>16988050.740953</v>
      </c>
      <c r="O181" s="99" t="s">
        <v>9772</v>
      </c>
      <c r="R181" s="58"/>
      <c r="S181" s="58"/>
      <c r="T181" s="58"/>
      <c r="U181" s="58"/>
      <c r="V181" s="58"/>
      <c r="W181" s="58"/>
      <c r="X181" s="58"/>
    </row>
    <row r="182" spans="1:24">
      <c r="A182" s="99" t="s">
        <v>4870</v>
      </c>
      <c r="B182" s="100" t="s">
        <v>149</v>
      </c>
      <c r="C182" s="100" t="s">
        <v>4871</v>
      </c>
      <c r="D182" s="100" t="s">
        <v>2896</v>
      </c>
      <c r="E182" s="101" t="s">
        <v>2897</v>
      </c>
      <c r="F182" s="99" t="s">
        <v>9642</v>
      </c>
      <c r="G182" s="99"/>
      <c r="H182" s="99" t="s">
        <v>9456</v>
      </c>
      <c r="I182" s="99"/>
      <c r="J182" s="99" t="s">
        <v>9773</v>
      </c>
      <c r="K182" s="99"/>
      <c r="L182" s="102">
        <v>19935.0675903514</v>
      </c>
      <c r="M182" s="99" t="s">
        <v>9761</v>
      </c>
      <c r="N182" s="102">
        <v>17007985.8085433</v>
      </c>
      <c r="O182" s="99" t="s">
        <v>9774</v>
      </c>
      <c r="R182" s="58"/>
      <c r="S182" s="58"/>
      <c r="T182" s="58"/>
      <c r="U182" s="58"/>
      <c r="V182" s="58"/>
      <c r="W182" s="58"/>
      <c r="X182" s="58"/>
    </row>
    <row r="183" ht="38.25" spans="1:24">
      <c r="A183" s="99" t="s">
        <v>5782</v>
      </c>
      <c r="B183" s="100" t="s">
        <v>77</v>
      </c>
      <c r="C183" s="100" t="s">
        <v>5783</v>
      </c>
      <c r="D183" s="100" t="s">
        <v>2896</v>
      </c>
      <c r="E183" s="101" t="s">
        <v>2897</v>
      </c>
      <c r="F183" s="99" t="s">
        <v>9775</v>
      </c>
      <c r="G183" s="99"/>
      <c r="H183" s="99" t="s">
        <v>9322</v>
      </c>
      <c r="I183" s="99"/>
      <c r="J183" s="99" t="s">
        <v>9776</v>
      </c>
      <c r="K183" s="99"/>
      <c r="L183" s="102">
        <v>19384.9745994283</v>
      </c>
      <c r="M183" s="99" t="s">
        <v>9761</v>
      </c>
      <c r="N183" s="102">
        <v>17027370.7831427</v>
      </c>
      <c r="O183" s="99" t="s">
        <v>9777</v>
      </c>
      <c r="R183" s="58"/>
      <c r="S183" s="58"/>
      <c r="T183" s="58"/>
      <c r="U183" s="58"/>
      <c r="V183" s="58"/>
      <c r="W183" s="58"/>
      <c r="X183" s="58"/>
    </row>
    <row r="184" spans="1:24">
      <c r="A184" s="99" t="s">
        <v>4978</v>
      </c>
      <c r="B184" s="100" t="s">
        <v>149</v>
      </c>
      <c r="C184" s="100" t="s">
        <v>4979</v>
      </c>
      <c r="D184" s="100" t="s">
        <v>2961</v>
      </c>
      <c r="E184" s="101" t="s">
        <v>204</v>
      </c>
      <c r="F184" s="99" t="s">
        <v>9778</v>
      </c>
      <c r="G184" s="99"/>
      <c r="H184" s="99" t="s">
        <v>9779</v>
      </c>
      <c r="I184" s="99"/>
      <c r="J184" s="99" t="s">
        <v>9780</v>
      </c>
      <c r="K184" s="99"/>
      <c r="L184" s="102">
        <v>18321.82</v>
      </c>
      <c r="M184" s="99" t="s">
        <v>9781</v>
      </c>
      <c r="N184" s="102">
        <v>17045692.6031427</v>
      </c>
      <c r="O184" s="99" t="s">
        <v>9782</v>
      </c>
      <c r="R184" s="58"/>
      <c r="S184" s="58"/>
      <c r="T184" s="58"/>
      <c r="U184" s="58"/>
      <c r="V184" s="58"/>
      <c r="W184" s="58"/>
      <c r="X184" s="58"/>
    </row>
    <row r="185" ht="127.5" spans="1:24">
      <c r="A185" s="99" t="s">
        <v>4256</v>
      </c>
      <c r="B185" s="100" t="s">
        <v>132</v>
      </c>
      <c r="C185" s="100" t="s">
        <v>4257</v>
      </c>
      <c r="D185" s="100" t="s">
        <v>2961</v>
      </c>
      <c r="E185" s="101" t="s">
        <v>134</v>
      </c>
      <c r="F185" s="99" t="s">
        <v>9091</v>
      </c>
      <c r="G185" s="99"/>
      <c r="H185" s="99" t="s">
        <v>9783</v>
      </c>
      <c r="I185" s="99"/>
      <c r="J185" s="99" t="s">
        <v>9783</v>
      </c>
      <c r="K185" s="99"/>
      <c r="L185" s="102">
        <v>18190.82</v>
      </c>
      <c r="M185" s="99" t="s">
        <v>9781</v>
      </c>
      <c r="N185" s="102">
        <v>17063883.4231427</v>
      </c>
      <c r="O185" s="99" t="s">
        <v>9784</v>
      </c>
      <c r="R185" s="58"/>
      <c r="S185" s="58"/>
      <c r="T185" s="58"/>
      <c r="U185" s="58"/>
      <c r="V185" s="58"/>
      <c r="W185" s="58"/>
      <c r="X185" s="58"/>
    </row>
    <row r="186" ht="25.5" spans="1:24">
      <c r="A186" s="99" t="s">
        <v>5952</v>
      </c>
      <c r="B186" s="100" t="s">
        <v>139</v>
      </c>
      <c r="C186" s="100" t="s">
        <v>5953</v>
      </c>
      <c r="D186" s="100" t="s">
        <v>2961</v>
      </c>
      <c r="E186" s="101" t="s">
        <v>2897</v>
      </c>
      <c r="F186" s="99" t="s">
        <v>9785</v>
      </c>
      <c r="G186" s="99"/>
      <c r="H186" s="99" t="s">
        <v>9786</v>
      </c>
      <c r="I186" s="99"/>
      <c r="J186" s="99" t="s">
        <v>9787</v>
      </c>
      <c r="K186" s="99"/>
      <c r="L186" s="102">
        <v>18137.623419205</v>
      </c>
      <c r="M186" s="99" t="s">
        <v>9781</v>
      </c>
      <c r="N186" s="102">
        <v>17082021.046562</v>
      </c>
      <c r="O186" s="99" t="s">
        <v>9788</v>
      </c>
      <c r="R186" s="58"/>
      <c r="S186" s="58"/>
      <c r="T186" s="58"/>
      <c r="U186" s="58"/>
      <c r="V186" s="58"/>
      <c r="W186" s="58"/>
      <c r="X186" s="58"/>
    </row>
    <row r="187" ht="25.5" spans="1:24">
      <c r="A187" s="99" t="s">
        <v>4655</v>
      </c>
      <c r="B187" s="100" t="s">
        <v>132</v>
      </c>
      <c r="C187" s="100" t="s">
        <v>4656</v>
      </c>
      <c r="D187" s="100" t="s">
        <v>3395</v>
      </c>
      <c r="E187" s="101" t="s">
        <v>134</v>
      </c>
      <c r="F187" s="99" t="s">
        <v>9183</v>
      </c>
      <c r="G187" s="99" t="s">
        <v>9093</v>
      </c>
      <c r="H187" s="99" t="s">
        <v>9789</v>
      </c>
      <c r="I187" s="99" t="s">
        <v>9790</v>
      </c>
      <c r="J187" s="99" t="s">
        <v>9791</v>
      </c>
      <c r="K187" s="99" t="s">
        <v>8660</v>
      </c>
      <c r="L187" s="102">
        <v>18008</v>
      </c>
      <c r="M187" s="99" t="s">
        <v>9781</v>
      </c>
      <c r="N187" s="102">
        <v>17100029.046562</v>
      </c>
      <c r="O187" s="99" t="s">
        <v>9792</v>
      </c>
      <c r="R187" s="58"/>
      <c r="S187" s="58"/>
      <c r="T187" s="58"/>
      <c r="U187" s="58"/>
      <c r="V187" s="58"/>
      <c r="W187" s="58"/>
      <c r="X187" s="58"/>
    </row>
    <row r="188" ht="25.5" spans="1:24">
      <c r="A188" s="99" t="s">
        <v>4600</v>
      </c>
      <c r="B188" s="100" t="s">
        <v>149</v>
      </c>
      <c r="C188" s="100" t="s">
        <v>4601</v>
      </c>
      <c r="D188" s="100" t="s">
        <v>2896</v>
      </c>
      <c r="E188" s="101" t="s">
        <v>2897</v>
      </c>
      <c r="F188" s="99" t="s">
        <v>9793</v>
      </c>
      <c r="G188" s="99"/>
      <c r="H188" s="99" t="s">
        <v>9456</v>
      </c>
      <c r="I188" s="99"/>
      <c r="J188" s="99" t="s">
        <v>9794</v>
      </c>
      <c r="K188" s="99"/>
      <c r="L188" s="102">
        <v>17805.641676552</v>
      </c>
      <c r="M188" s="99" t="s">
        <v>9781</v>
      </c>
      <c r="N188" s="102">
        <v>17117834.6882385</v>
      </c>
      <c r="O188" s="99" t="s">
        <v>9795</v>
      </c>
      <c r="R188" s="58"/>
      <c r="S188" s="58"/>
      <c r="T188" s="58"/>
      <c r="U188" s="58"/>
      <c r="V188" s="58"/>
      <c r="W188" s="58"/>
      <c r="X188" s="58"/>
    </row>
    <row r="189" spans="1:24">
      <c r="A189" s="99" t="s">
        <v>3499</v>
      </c>
      <c r="B189" s="100" t="s">
        <v>139</v>
      </c>
      <c r="C189" s="100" t="s">
        <v>3500</v>
      </c>
      <c r="D189" s="100" t="s">
        <v>2961</v>
      </c>
      <c r="E189" s="101" t="s">
        <v>3084</v>
      </c>
      <c r="F189" s="99" t="s">
        <v>9796</v>
      </c>
      <c r="G189" s="99"/>
      <c r="H189" s="99" t="s">
        <v>9797</v>
      </c>
      <c r="I189" s="99"/>
      <c r="J189" s="99" t="s">
        <v>9798</v>
      </c>
      <c r="K189" s="99"/>
      <c r="L189" s="102">
        <v>17618.84878608</v>
      </c>
      <c r="M189" s="99" t="s">
        <v>9781</v>
      </c>
      <c r="N189" s="102">
        <v>17135453.5370246</v>
      </c>
      <c r="O189" s="99" t="s">
        <v>9799</v>
      </c>
      <c r="R189" s="58"/>
      <c r="S189" s="58"/>
      <c r="T189" s="58"/>
      <c r="U189" s="58"/>
      <c r="V189" s="58"/>
      <c r="W189" s="58"/>
      <c r="X189" s="58"/>
    </row>
    <row r="190" ht="25.5" spans="1:24">
      <c r="A190" s="99" t="s">
        <v>5272</v>
      </c>
      <c r="B190" s="100" t="s">
        <v>149</v>
      </c>
      <c r="C190" s="100" t="s">
        <v>5273</v>
      </c>
      <c r="D190" s="100" t="s">
        <v>2961</v>
      </c>
      <c r="E190" s="101" t="s">
        <v>134</v>
      </c>
      <c r="F190" s="99" t="s">
        <v>9800</v>
      </c>
      <c r="G190" s="99"/>
      <c r="H190" s="99" t="s">
        <v>9801</v>
      </c>
      <c r="I190" s="99"/>
      <c r="J190" s="99" t="s">
        <v>9802</v>
      </c>
      <c r="K190" s="99"/>
      <c r="L190" s="102">
        <v>17507.5</v>
      </c>
      <c r="M190" s="99" t="s">
        <v>9781</v>
      </c>
      <c r="N190" s="102">
        <v>17152961.0370246</v>
      </c>
      <c r="O190" s="99" t="s">
        <v>9803</v>
      </c>
      <c r="R190" s="58"/>
      <c r="S190" s="58"/>
      <c r="T190" s="58"/>
      <c r="U190" s="58"/>
      <c r="V190" s="58"/>
      <c r="W190" s="58"/>
      <c r="X190" s="58"/>
    </row>
    <row r="191" spans="1:24">
      <c r="A191" s="99" t="s">
        <v>4210</v>
      </c>
      <c r="B191" s="100" t="s">
        <v>132</v>
      </c>
      <c r="C191" s="100" t="s">
        <v>1305</v>
      </c>
      <c r="D191" s="100" t="s">
        <v>2961</v>
      </c>
      <c r="E191" s="101" t="s">
        <v>134</v>
      </c>
      <c r="F191" s="99" t="s">
        <v>9091</v>
      </c>
      <c r="G191" s="99"/>
      <c r="H191" s="99" t="s">
        <v>9804</v>
      </c>
      <c r="I191" s="99"/>
      <c r="J191" s="99" t="s">
        <v>9804</v>
      </c>
      <c r="K191" s="99"/>
      <c r="L191" s="102">
        <v>17499.99</v>
      </c>
      <c r="M191" s="99" t="s">
        <v>9781</v>
      </c>
      <c r="N191" s="102">
        <v>17170461.0270246</v>
      </c>
      <c r="O191" s="99" t="s">
        <v>9805</v>
      </c>
      <c r="R191" s="58"/>
      <c r="S191" s="58"/>
      <c r="T191" s="58"/>
      <c r="U191" s="58"/>
      <c r="V191" s="58"/>
      <c r="W191" s="58"/>
      <c r="X191" s="58"/>
    </row>
    <row r="192" spans="1:24">
      <c r="A192" s="99" t="s">
        <v>4604</v>
      </c>
      <c r="B192" s="100" t="s">
        <v>149</v>
      </c>
      <c r="C192" s="100" t="s">
        <v>4605</v>
      </c>
      <c r="D192" s="100" t="s">
        <v>2896</v>
      </c>
      <c r="E192" s="101" t="s">
        <v>2897</v>
      </c>
      <c r="F192" s="99" t="s">
        <v>9806</v>
      </c>
      <c r="G192" s="99"/>
      <c r="H192" s="99" t="s">
        <v>9807</v>
      </c>
      <c r="I192" s="99"/>
      <c r="J192" s="99" t="s">
        <v>9808</v>
      </c>
      <c r="K192" s="99"/>
      <c r="L192" s="102">
        <v>17231.75019984</v>
      </c>
      <c r="M192" s="99" t="s">
        <v>9781</v>
      </c>
      <c r="N192" s="102">
        <v>17187692.7772244</v>
      </c>
      <c r="O192" s="99" t="s">
        <v>9809</v>
      </c>
      <c r="R192" s="58"/>
      <c r="S192" s="58"/>
      <c r="T192" s="58"/>
      <c r="U192" s="58"/>
      <c r="V192" s="58"/>
      <c r="W192" s="58"/>
      <c r="X192" s="58"/>
    </row>
    <row r="193" ht="38.25" spans="1:24">
      <c r="A193" s="99" t="s">
        <v>3824</v>
      </c>
      <c r="B193" s="100" t="s">
        <v>77</v>
      </c>
      <c r="C193" s="100" t="s">
        <v>3825</v>
      </c>
      <c r="D193" s="100" t="s">
        <v>2961</v>
      </c>
      <c r="E193" s="101" t="s">
        <v>134</v>
      </c>
      <c r="F193" s="99" t="s">
        <v>9810</v>
      </c>
      <c r="G193" s="99"/>
      <c r="H193" s="99" t="s">
        <v>9811</v>
      </c>
      <c r="I193" s="99"/>
      <c r="J193" s="99" t="s">
        <v>9812</v>
      </c>
      <c r="K193" s="99"/>
      <c r="L193" s="102">
        <v>17062.41</v>
      </c>
      <c r="M193" s="99" t="s">
        <v>9781</v>
      </c>
      <c r="N193" s="102">
        <v>17204755.1872244</v>
      </c>
      <c r="O193" s="99" t="s">
        <v>9813</v>
      </c>
      <c r="R193" s="58"/>
      <c r="S193" s="58"/>
      <c r="T193" s="58"/>
      <c r="U193" s="58"/>
      <c r="V193" s="58"/>
      <c r="W193" s="58"/>
      <c r="X193" s="58"/>
    </row>
    <row r="194" ht="51" spans="1:24">
      <c r="A194" s="99" t="s">
        <v>4123</v>
      </c>
      <c r="B194" s="100" t="s">
        <v>139</v>
      </c>
      <c r="C194" s="100" t="s">
        <v>4124</v>
      </c>
      <c r="D194" s="100" t="s">
        <v>2961</v>
      </c>
      <c r="E194" s="101" t="s">
        <v>204</v>
      </c>
      <c r="F194" s="99" t="s">
        <v>9814</v>
      </c>
      <c r="G194" s="99"/>
      <c r="H194" s="99" t="s">
        <v>9043</v>
      </c>
      <c r="I194" s="99"/>
      <c r="J194" s="99" t="s">
        <v>9815</v>
      </c>
      <c r="K194" s="99"/>
      <c r="L194" s="102">
        <v>16971.2443125</v>
      </c>
      <c r="M194" s="99" t="s">
        <v>9781</v>
      </c>
      <c r="N194" s="102">
        <v>17221726.4315369</v>
      </c>
      <c r="O194" s="99" t="s">
        <v>9816</v>
      </c>
      <c r="R194" s="58"/>
      <c r="S194" s="58"/>
      <c r="T194" s="58"/>
      <c r="U194" s="58"/>
      <c r="V194" s="58"/>
      <c r="W194" s="58"/>
      <c r="X194" s="58"/>
    </row>
    <row r="195" spans="1:24">
      <c r="A195" s="99" t="s">
        <v>3838</v>
      </c>
      <c r="B195" s="100" t="s">
        <v>149</v>
      </c>
      <c r="C195" s="100" t="s">
        <v>3839</v>
      </c>
      <c r="D195" s="100" t="s">
        <v>2961</v>
      </c>
      <c r="E195" s="101" t="s">
        <v>141</v>
      </c>
      <c r="F195" s="99" t="s">
        <v>9817</v>
      </c>
      <c r="G195" s="99"/>
      <c r="H195" s="99" t="s">
        <v>9818</v>
      </c>
      <c r="I195" s="99"/>
      <c r="J195" s="99" t="s">
        <v>9819</v>
      </c>
      <c r="K195" s="99"/>
      <c r="L195" s="102">
        <v>16714.9224</v>
      </c>
      <c r="M195" s="99" t="s">
        <v>9820</v>
      </c>
      <c r="N195" s="102">
        <v>17238441.3539369</v>
      </c>
      <c r="O195" s="99" t="s">
        <v>9821</v>
      </c>
      <c r="R195" s="58"/>
      <c r="S195" s="58"/>
      <c r="T195" s="58"/>
      <c r="U195" s="58"/>
      <c r="V195" s="58"/>
      <c r="W195" s="58"/>
      <c r="X195" s="58"/>
    </row>
    <row r="196" ht="25.5" spans="1:24">
      <c r="A196" s="99" t="s">
        <v>4261</v>
      </c>
      <c r="B196" s="100" t="s">
        <v>132</v>
      </c>
      <c r="C196" s="100" t="s">
        <v>4262</v>
      </c>
      <c r="D196" s="100" t="s">
        <v>2961</v>
      </c>
      <c r="E196" s="101" t="s">
        <v>134</v>
      </c>
      <c r="F196" s="99" t="s">
        <v>9091</v>
      </c>
      <c r="G196" s="99"/>
      <c r="H196" s="99" t="s">
        <v>9822</v>
      </c>
      <c r="I196" s="99"/>
      <c r="J196" s="99" t="s">
        <v>9822</v>
      </c>
      <c r="K196" s="99"/>
      <c r="L196" s="102">
        <v>16537.32</v>
      </c>
      <c r="M196" s="99" t="s">
        <v>9820</v>
      </c>
      <c r="N196" s="102">
        <v>17254978.6739369</v>
      </c>
      <c r="O196" s="99" t="s">
        <v>9823</v>
      </c>
      <c r="R196" s="58"/>
      <c r="S196" s="58"/>
      <c r="T196" s="58"/>
      <c r="U196" s="58"/>
      <c r="V196" s="58"/>
      <c r="W196" s="58"/>
      <c r="X196" s="58"/>
    </row>
    <row r="197" ht="25.5" spans="1:24">
      <c r="A197" s="99" t="s">
        <v>4259</v>
      </c>
      <c r="B197" s="100" t="s">
        <v>132</v>
      </c>
      <c r="C197" s="100" t="s">
        <v>4260</v>
      </c>
      <c r="D197" s="100" t="s">
        <v>2961</v>
      </c>
      <c r="E197" s="101" t="s">
        <v>134</v>
      </c>
      <c r="F197" s="99" t="s">
        <v>9091</v>
      </c>
      <c r="G197" s="99"/>
      <c r="H197" s="99" t="s">
        <v>9822</v>
      </c>
      <c r="I197" s="99"/>
      <c r="J197" s="99" t="s">
        <v>9822</v>
      </c>
      <c r="K197" s="99"/>
      <c r="L197" s="102">
        <v>16537.32</v>
      </c>
      <c r="M197" s="99" t="s">
        <v>9820</v>
      </c>
      <c r="N197" s="102">
        <v>17271515.9939369</v>
      </c>
      <c r="O197" s="99" t="s">
        <v>9824</v>
      </c>
      <c r="R197" s="58"/>
      <c r="S197" s="58"/>
      <c r="T197" s="58"/>
      <c r="U197" s="58"/>
      <c r="V197" s="58"/>
      <c r="W197" s="58"/>
      <c r="X197" s="58"/>
    </row>
    <row r="198" ht="25.5" spans="1:24">
      <c r="A198" s="99" t="s">
        <v>4657</v>
      </c>
      <c r="B198" s="100" t="s">
        <v>132</v>
      </c>
      <c r="C198" s="100" t="s">
        <v>4658</v>
      </c>
      <c r="D198" s="100" t="s">
        <v>2961</v>
      </c>
      <c r="E198" s="101" t="s">
        <v>134</v>
      </c>
      <c r="F198" s="99" t="s">
        <v>9091</v>
      </c>
      <c r="G198" s="99"/>
      <c r="H198" s="99" t="s">
        <v>9825</v>
      </c>
      <c r="I198" s="99"/>
      <c r="J198" s="99" t="s">
        <v>9825</v>
      </c>
      <c r="K198" s="99"/>
      <c r="L198" s="102">
        <v>16476.53</v>
      </c>
      <c r="M198" s="99" t="s">
        <v>9820</v>
      </c>
      <c r="N198" s="102">
        <v>17287992.5239369</v>
      </c>
      <c r="O198" s="99" t="s">
        <v>9826</v>
      </c>
      <c r="R198" s="58"/>
      <c r="S198" s="58"/>
      <c r="T198" s="58"/>
      <c r="U198" s="58"/>
      <c r="V198" s="58"/>
      <c r="W198" s="58"/>
      <c r="X198" s="58"/>
    </row>
    <row r="199" ht="63.75" spans="1:24">
      <c r="A199" s="99" t="s">
        <v>4729</v>
      </c>
      <c r="B199" s="100" t="s">
        <v>132</v>
      </c>
      <c r="C199" s="100" t="s">
        <v>4730</v>
      </c>
      <c r="D199" s="100" t="s">
        <v>3395</v>
      </c>
      <c r="E199" s="101" t="s">
        <v>134</v>
      </c>
      <c r="F199" s="99" t="s">
        <v>9152</v>
      </c>
      <c r="G199" s="99" t="s">
        <v>9093</v>
      </c>
      <c r="H199" s="99" t="s">
        <v>9827</v>
      </c>
      <c r="I199" s="99" t="s">
        <v>9828</v>
      </c>
      <c r="J199" s="99" t="s">
        <v>9829</v>
      </c>
      <c r="K199" s="99" t="s">
        <v>8660</v>
      </c>
      <c r="L199" s="102">
        <v>16415.28</v>
      </c>
      <c r="M199" s="99" t="s">
        <v>9820</v>
      </c>
      <c r="N199" s="102">
        <v>17304407.8039369</v>
      </c>
      <c r="O199" s="99" t="s">
        <v>9830</v>
      </c>
      <c r="R199" s="58"/>
      <c r="S199" s="58"/>
      <c r="T199" s="58"/>
      <c r="U199" s="58"/>
      <c r="V199" s="58"/>
      <c r="W199" s="58"/>
      <c r="X199" s="58"/>
    </row>
    <row r="200" ht="25.5" spans="1:24">
      <c r="A200" s="99" t="s">
        <v>5954</v>
      </c>
      <c r="B200" s="100" t="s">
        <v>139</v>
      </c>
      <c r="C200" s="100" t="s">
        <v>5955</v>
      </c>
      <c r="D200" s="100" t="s">
        <v>2961</v>
      </c>
      <c r="E200" s="101" t="s">
        <v>2897</v>
      </c>
      <c r="F200" s="99" t="s">
        <v>9785</v>
      </c>
      <c r="G200" s="99"/>
      <c r="H200" s="99" t="s">
        <v>9831</v>
      </c>
      <c r="I200" s="99"/>
      <c r="J200" s="99" t="s">
        <v>9832</v>
      </c>
      <c r="K200" s="99"/>
      <c r="L200" s="102">
        <v>16368.099183185</v>
      </c>
      <c r="M200" s="99" t="s">
        <v>9820</v>
      </c>
      <c r="N200" s="102">
        <v>17320775.9031201</v>
      </c>
      <c r="O200" s="99" t="s">
        <v>9833</v>
      </c>
      <c r="R200" s="58"/>
      <c r="S200" s="58"/>
      <c r="T200" s="58"/>
      <c r="U200" s="58"/>
      <c r="V200" s="58"/>
      <c r="W200" s="58"/>
      <c r="X200" s="58"/>
    </row>
    <row r="201" ht="25.5" spans="1:24">
      <c r="A201" s="99" t="s">
        <v>4653</v>
      </c>
      <c r="B201" s="100" t="s">
        <v>796</v>
      </c>
      <c r="C201" s="100" t="s">
        <v>4654</v>
      </c>
      <c r="D201" s="100" t="s">
        <v>3395</v>
      </c>
      <c r="E201" s="101" t="s">
        <v>334</v>
      </c>
      <c r="F201" s="99" t="s">
        <v>9183</v>
      </c>
      <c r="G201" s="99"/>
      <c r="H201" s="99" t="s">
        <v>9834</v>
      </c>
      <c r="I201" s="99"/>
      <c r="J201" s="99" t="s">
        <v>9835</v>
      </c>
      <c r="K201" s="99"/>
      <c r="L201" s="102">
        <v>16356.06</v>
      </c>
      <c r="M201" s="99" t="s">
        <v>9820</v>
      </c>
      <c r="N201" s="102">
        <v>17337131.9631201</v>
      </c>
      <c r="O201" s="99" t="s">
        <v>9836</v>
      </c>
      <c r="R201" s="58"/>
      <c r="S201" s="58"/>
      <c r="T201" s="58"/>
      <c r="U201" s="58"/>
      <c r="V201" s="58"/>
      <c r="W201" s="58"/>
      <c r="X201" s="58"/>
    </row>
    <row r="202" ht="25.5" spans="1:24">
      <c r="A202" s="99" t="s">
        <v>6110</v>
      </c>
      <c r="B202" s="100" t="s">
        <v>77</v>
      </c>
      <c r="C202" s="100" t="s">
        <v>6111</v>
      </c>
      <c r="D202" s="100" t="s">
        <v>2961</v>
      </c>
      <c r="E202" s="101" t="s">
        <v>141</v>
      </c>
      <c r="F202" s="99" t="s">
        <v>9837</v>
      </c>
      <c r="G202" s="99"/>
      <c r="H202" s="99" t="s">
        <v>9838</v>
      </c>
      <c r="I202" s="99"/>
      <c r="J202" s="99" t="s">
        <v>9839</v>
      </c>
      <c r="K202" s="99"/>
      <c r="L202" s="102">
        <v>16152.048</v>
      </c>
      <c r="M202" s="99" t="s">
        <v>9820</v>
      </c>
      <c r="N202" s="102">
        <v>17353284.0111201</v>
      </c>
      <c r="O202" s="99" t="s">
        <v>9840</v>
      </c>
      <c r="R202" s="58"/>
      <c r="S202" s="58"/>
      <c r="T202" s="58"/>
      <c r="U202" s="58"/>
      <c r="V202" s="58"/>
      <c r="W202" s="58"/>
      <c r="X202" s="58"/>
    </row>
    <row r="203" spans="1:24">
      <c r="A203" s="99" t="s">
        <v>4562</v>
      </c>
      <c r="B203" s="100" t="s">
        <v>132</v>
      </c>
      <c r="C203" s="100" t="s">
        <v>4563</v>
      </c>
      <c r="D203" s="100" t="s">
        <v>2961</v>
      </c>
      <c r="E203" s="101" t="s">
        <v>134</v>
      </c>
      <c r="F203" s="99" t="s">
        <v>9401</v>
      </c>
      <c r="G203" s="99"/>
      <c r="H203" s="99" t="s">
        <v>9841</v>
      </c>
      <c r="I203" s="99"/>
      <c r="J203" s="99" t="s">
        <v>9842</v>
      </c>
      <c r="K203" s="99"/>
      <c r="L203" s="102">
        <v>15975.7</v>
      </c>
      <c r="M203" s="99" t="s">
        <v>9820</v>
      </c>
      <c r="N203" s="102">
        <v>17369259.7111201</v>
      </c>
      <c r="O203" s="99" t="s">
        <v>9843</v>
      </c>
      <c r="R203" s="58"/>
      <c r="S203" s="58"/>
      <c r="T203" s="58"/>
      <c r="U203" s="58"/>
      <c r="V203" s="58"/>
      <c r="W203" s="58"/>
      <c r="X203" s="58"/>
    </row>
    <row r="204" spans="1:24">
      <c r="A204" s="99" t="s">
        <v>4872</v>
      </c>
      <c r="B204" s="100" t="s">
        <v>149</v>
      </c>
      <c r="C204" s="100" t="s">
        <v>4873</v>
      </c>
      <c r="D204" s="100" t="s">
        <v>2961</v>
      </c>
      <c r="E204" s="101" t="s">
        <v>393</v>
      </c>
      <c r="F204" s="99" t="s">
        <v>9844</v>
      </c>
      <c r="G204" s="99"/>
      <c r="H204" s="99" t="s">
        <v>9632</v>
      </c>
      <c r="I204" s="99"/>
      <c r="J204" s="99" t="s">
        <v>9845</v>
      </c>
      <c r="K204" s="99"/>
      <c r="L204" s="102">
        <v>15725.2908</v>
      </c>
      <c r="M204" s="99" t="s">
        <v>9820</v>
      </c>
      <c r="N204" s="102">
        <v>17384985.0019201</v>
      </c>
      <c r="O204" s="99" t="s">
        <v>9846</v>
      </c>
      <c r="R204" s="58"/>
      <c r="S204" s="58"/>
      <c r="T204" s="58"/>
      <c r="U204" s="58"/>
      <c r="V204" s="58"/>
      <c r="W204" s="58"/>
      <c r="X204" s="58"/>
    </row>
    <row r="205" spans="1:24">
      <c r="A205" s="99" t="s">
        <v>5485</v>
      </c>
      <c r="B205" s="100" t="s">
        <v>77</v>
      </c>
      <c r="C205" s="100" t="s">
        <v>5486</v>
      </c>
      <c r="D205" s="100" t="s">
        <v>2961</v>
      </c>
      <c r="E205" s="101" t="s">
        <v>3084</v>
      </c>
      <c r="F205" s="99" t="s">
        <v>9847</v>
      </c>
      <c r="G205" s="99"/>
      <c r="H205" s="99" t="s">
        <v>9848</v>
      </c>
      <c r="I205" s="99"/>
      <c r="J205" s="99" t="s">
        <v>9849</v>
      </c>
      <c r="K205" s="99"/>
      <c r="L205" s="102">
        <v>15661.70845616</v>
      </c>
      <c r="M205" s="99" t="s">
        <v>9820</v>
      </c>
      <c r="N205" s="102">
        <v>17400646.7103763</v>
      </c>
      <c r="O205" s="99" t="s">
        <v>9850</v>
      </c>
      <c r="R205" s="58"/>
      <c r="S205" s="58"/>
      <c r="T205" s="58"/>
      <c r="U205" s="58"/>
      <c r="V205" s="58"/>
      <c r="W205" s="58"/>
      <c r="X205" s="58"/>
    </row>
    <row r="206" ht="25.5" spans="1:24">
      <c r="A206" s="99" t="s">
        <v>4659</v>
      </c>
      <c r="B206" s="100" t="s">
        <v>132</v>
      </c>
      <c r="C206" s="100" t="s">
        <v>4660</v>
      </c>
      <c r="D206" s="100" t="s">
        <v>2961</v>
      </c>
      <c r="E206" s="101" t="s">
        <v>134</v>
      </c>
      <c r="F206" s="99" t="s">
        <v>9091</v>
      </c>
      <c r="G206" s="99"/>
      <c r="H206" s="99" t="s">
        <v>9851</v>
      </c>
      <c r="I206" s="99"/>
      <c r="J206" s="99" t="s">
        <v>9851</v>
      </c>
      <c r="K206" s="99"/>
      <c r="L206" s="102">
        <v>15525.4</v>
      </c>
      <c r="M206" s="99" t="s">
        <v>9820</v>
      </c>
      <c r="N206" s="102">
        <v>17416172.1103763</v>
      </c>
      <c r="O206" s="99" t="s">
        <v>9852</v>
      </c>
      <c r="R206" s="58"/>
      <c r="S206" s="58"/>
      <c r="T206" s="58"/>
      <c r="U206" s="58"/>
      <c r="V206" s="58"/>
      <c r="W206" s="58"/>
      <c r="X206" s="58"/>
    </row>
    <row r="207" spans="1:24">
      <c r="A207" s="99" t="s">
        <v>3420</v>
      </c>
      <c r="B207" s="100" t="s">
        <v>149</v>
      </c>
      <c r="C207" s="100" t="s">
        <v>3421</v>
      </c>
      <c r="D207" s="100" t="s">
        <v>2896</v>
      </c>
      <c r="E207" s="101" t="s">
        <v>2897</v>
      </c>
      <c r="F207" s="99" t="s">
        <v>9853</v>
      </c>
      <c r="G207" s="99"/>
      <c r="H207" s="99" t="s">
        <v>9456</v>
      </c>
      <c r="I207" s="99"/>
      <c r="J207" s="99" t="s">
        <v>9854</v>
      </c>
      <c r="K207" s="99"/>
      <c r="L207" s="102">
        <v>15423.8371363742</v>
      </c>
      <c r="M207" s="99" t="s">
        <v>9820</v>
      </c>
      <c r="N207" s="102">
        <v>17431595.9475126</v>
      </c>
      <c r="O207" s="99" t="s">
        <v>9855</v>
      </c>
      <c r="R207" s="58"/>
      <c r="S207" s="58"/>
      <c r="T207" s="58"/>
      <c r="U207" s="58"/>
      <c r="V207" s="58"/>
      <c r="W207" s="58"/>
      <c r="X207" s="58"/>
    </row>
    <row r="208" ht="25.5" spans="1:24">
      <c r="A208" s="99" t="s">
        <v>4639</v>
      </c>
      <c r="B208" s="100" t="s">
        <v>149</v>
      </c>
      <c r="C208" s="100" t="s">
        <v>4640</v>
      </c>
      <c r="D208" s="100" t="s">
        <v>2961</v>
      </c>
      <c r="E208" s="101" t="s">
        <v>134</v>
      </c>
      <c r="F208" s="99" t="s">
        <v>9856</v>
      </c>
      <c r="G208" s="99"/>
      <c r="H208" s="99" t="s">
        <v>9857</v>
      </c>
      <c r="I208" s="99"/>
      <c r="J208" s="99" t="s">
        <v>9858</v>
      </c>
      <c r="K208" s="99"/>
      <c r="L208" s="102">
        <v>15401.6</v>
      </c>
      <c r="M208" s="99" t="s">
        <v>9820</v>
      </c>
      <c r="N208" s="102">
        <v>17446997.5475126</v>
      </c>
      <c r="O208" s="99" t="s">
        <v>9859</v>
      </c>
      <c r="R208" s="58"/>
      <c r="S208" s="58"/>
      <c r="T208" s="58"/>
      <c r="U208" s="58"/>
      <c r="V208" s="58"/>
      <c r="W208" s="58"/>
      <c r="X208" s="58"/>
    </row>
    <row r="209" ht="51" spans="1:24">
      <c r="A209" s="99" t="s">
        <v>4125</v>
      </c>
      <c r="B209" s="100" t="s">
        <v>139</v>
      </c>
      <c r="C209" s="100" t="s">
        <v>4126</v>
      </c>
      <c r="D209" s="100" t="s">
        <v>2961</v>
      </c>
      <c r="E209" s="101" t="s">
        <v>204</v>
      </c>
      <c r="F209" s="99" t="s">
        <v>9860</v>
      </c>
      <c r="G209" s="99"/>
      <c r="H209" s="99" t="s">
        <v>9861</v>
      </c>
      <c r="I209" s="99"/>
      <c r="J209" s="99" t="s">
        <v>9862</v>
      </c>
      <c r="K209" s="99"/>
      <c r="L209" s="102">
        <v>15378.669616</v>
      </c>
      <c r="M209" s="99" t="s">
        <v>9820</v>
      </c>
      <c r="N209" s="102">
        <v>17462376.2171286</v>
      </c>
      <c r="O209" s="99" t="s">
        <v>9863</v>
      </c>
      <c r="R209" s="58"/>
      <c r="S209" s="58"/>
      <c r="T209" s="58"/>
      <c r="U209" s="58"/>
      <c r="V209" s="58"/>
      <c r="W209" s="58"/>
      <c r="X209" s="58"/>
    </row>
    <row r="210" ht="51" spans="1:24">
      <c r="A210" s="99" t="s">
        <v>4780</v>
      </c>
      <c r="B210" s="100" t="s">
        <v>132</v>
      </c>
      <c r="C210" s="100" t="s">
        <v>4781</v>
      </c>
      <c r="D210" s="100" t="s">
        <v>2961</v>
      </c>
      <c r="E210" s="101" t="s">
        <v>134</v>
      </c>
      <c r="F210" s="99" t="s">
        <v>9091</v>
      </c>
      <c r="G210" s="99"/>
      <c r="H210" s="99" t="s">
        <v>9864</v>
      </c>
      <c r="I210" s="99"/>
      <c r="J210" s="99" t="s">
        <v>9864</v>
      </c>
      <c r="K210" s="99"/>
      <c r="L210" s="102">
        <v>15370.86</v>
      </c>
      <c r="M210" s="99" t="s">
        <v>9820</v>
      </c>
      <c r="N210" s="102">
        <v>17477747.0771286</v>
      </c>
      <c r="O210" s="99" t="s">
        <v>9865</v>
      </c>
      <c r="R210" s="58"/>
      <c r="S210" s="58"/>
      <c r="T210" s="58"/>
      <c r="U210" s="58"/>
      <c r="V210" s="58"/>
      <c r="W210" s="58"/>
      <c r="X210" s="58"/>
    </row>
    <row r="211" ht="127.5" spans="1:24">
      <c r="A211" s="99" t="s">
        <v>4236</v>
      </c>
      <c r="B211" s="100" t="s">
        <v>132</v>
      </c>
      <c r="C211" s="100" t="s">
        <v>4237</v>
      </c>
      <c r="D211" s="100" t="s">
        <v>2961</v>
      </c>
      <c r="E211" s="101" t="s">
        <v>134</v>
      </c>
      <c r="F211" s="99" t="s">
        <v>9091</v>
      </c>
      <c r="G211" s="99"/>
      <c r="H211" s="99" t="s">
        <v>9866</v>
      </c>
      <c r="I211" s="99"/>
      <c r="J211" s="99" t="s">
        <v>9866</v>
      </c>
      <c r="K211" s="99"/>
      <c r="L211" s="102">
        <v>15216.99</v>
      </c>
      <c r="M211" s="99" t="s">
        <v>9820</v>
      </c>
      <c r="N211" s="102">
        <v>17492964.0671286</v>
      </c>
      <c r="O211" s="99" t="s">
        <v>9867</v>
      </c>
      <c r="R211" s="58"/>
      <c r="S211" s="58"/>
      <c r="T211" s="58"/>
      <c r="U211" s="58"/>
      <c r="V211" s="58"/>
      <c r="W211" s="58"/>
      <c r="X211" s="58"/>
    </row>
    <row r="212" spans="1:24">
      <c r="A212" s="99" t="s">
        <v>3676</v>
      </c>
      <c r="B212" s="100" t="s">
        <v>139</v>
      </c>
      <c r="C212" s="100" t="s">
        <v>3677</v>
      </c>
      <c r="D212" s="100" t="s">
        <v>2961</v>
      </c>
      <c r="E212" s="101" t="s">
        <v>204</v>
      </c>
      <c r="F212" s="99" t="s">
        <v>9868</v>
      </c>
      <c r="G212" s="99"/>
      <c r="H212" s="99" t="s">
        <v>9869</v>
      </c>
      <c r="I212" s="99"/>
      <c r="J212" s="99" t="s">
        <v>9870</v>
      </c>
      <c r="K212" s="99"/>
      <c r="L212" s="102">
        <v>14940.288</v>
      </c>
      <c r="M212" s="99" t="s">
        <v>9871</v>
      </c>
      <c r="N212" s="102">
        <v>17507904.3551286</v>
      </c>
      <c r="O212" s="99" t="s">
        <v>9872</v>
      </c>
      <c r="R212" s="58"/>
      <c r="S212" s="58"/>
      <c r="T212" s="58"/>
      <c r="U212" s="58"/>
      <c r="V212" s="58"/>
      <c r="W212" s="58"/>
      <c r="X212" s="58"/>
    </row>
    <row r="213" ht="25.5" spans="1:24">
      <c r="A213" s="99" t="s">
        <v>5304</v>
      </c>
      <c r="B213" s="100" t="s">
        <v>139</v>
      </c>
      <c r="C213" s="100" t="s">
        <v>5305</v>
      </c>
      <c r="D213" s="100" t="s">
        <v>2961</v>
      </c>
      <c r="E213" s="101" t="s">
        <v>2897</v>
      </c>
      <c r="F213" s="99" t="s">
        <v>9873</v>
      </c>
      <c r="G213" s="99"/>
      <c r="H213" s="99" t="s">
        <v>9874</v>
      </c>
      <c r="I213" s="99"/>
      <c r="J213" s="99" t="s">
        <v>9875</v>
      </c>
      <c r="K213" s="99"/>
      <c r="L213" s="102">
        <v>14586.1281193692</v>
      </c>
      <c r="M213" s="99" t="s">
        <v>9871</v>
      </c>
      <c r="N213" s="102">
        <v>17522490.483248</v>
      </c>
      <c r="O213" s="99" t="s">
        <v>9876</v>
      </c>
      <c r="R213" s="58"/>
      <c r="S213" s="58"/>
      <c r="T213" s="58"/>
      <c r="U213" s="58"/>
      <c r="V213" s="58"/>
      <c r="W213" s="58"/>
      <c r="X213" s="58"/>
    </row>
    <row r="214" ht="25.5" spans="1:24">
      <c r="A214" s="99" t="s">
        <v>5128</v>
      </c>
      <c r="B214" s="100" t="s">
        <v>139</v>
      </c>
      <c r="C214" s="100" t="s">
        <v>5129</v>
      </c>
      <c r="D214" s="100" t="s">
        <v>2961</v>
      </c>
      <c r="E214" s="101" t="s">
        <v>141</v>
      </c>
      <c r="F214" s="99" t="s">
        <v>9877</v>
      </c>
      <c r="G214" s="99"/>
      <c r="H214" s="99" t="s">
        <v>9878</v>
      </c>
      <c r="I214" s="99"/>
      <c r="J214" s="99" t="s">
        <v>9879</v>
      </c>
      <c r="K214" s="99"/>
      <c r="L214" s="102">
        <v>14420.52045</v>
      </c>
      <c r="M214" s="99" t="s">
        <v>9871</v>
      </c>
      <c r="N214" s="102">
        <v>17536911.003698</v>
      </c>
      <c r="O214" s="99" t="s">
        <v>9880</v>
      </c>
      <c r="R214" s="58"/>
      <c r="S214" s="58"/>
      <c r="T214" s="58"/>
      <c r="U214" s="58"/>
      <c r="V214" s="58"/>
      <c r="W214" s="58"/>
      <c r="X214" s="58"/>
    </row>
    <row r="215" ht="38.25" spans="1:24">
      <c r="A215" s="99" t="s">
        <v>3433</v>
      </c>
      <c r="B215" s="100" t="s">
        <v>139</v>
      </c>
      <c r="C215" s="100" t="s">
        <v>3434</v>
      </c>
      <c r="D215" s="100" t="s">
        <v>2961</v>
      </c>
      <c r="E215" s="101" t="s">
        <v>134</v>
      </c>
      <c r="F215" s="99" t="s">
        <v>9881</v>
      </c>
      <c r="G215" s="99"/>
      <c r="H215" s="99" t="s">
        <v>9882</v>
      </c>
      <c r="I215" s="99"/>
      <c r="J215" s="99" t="s">
        <v>9883</v>
      </c>
      <c r="K215" s="99"/>
      <c r="L215" s="102">
        <v>14404.77184</v>
      </c>
      <c r="M215" s="99" t="s">
        <v>9871</v>
      </c>
      <c r="N215" s="102">
        <v>17551315.775538</v>
      </c>
      <c r="O215" s="99" t="s">
        <v>9884</v>
      </c>
      <c r="R215" s="58"/>
      <c r="S215" s="58"/>
      <c r="T215" s="58"/>
      <c r="U215" s="58"/>
      <c r="V215" s="58"/>
      <c r="W215" s="58"/>
      <c r="X215" s="58"/>
    </row>
    <row r="216" spans="1:24">
      <c r="A216" s="99" t="s">
        <v>5980</v>
      </c>
      <c r="B216" s="100" t="s">
        <v>139</v>
      </c>
      <c r="C216" s="100" t="s">
        <v>5981</v>
      </c>
      <c r="D216" s="100" t="s">
        <v>2961</v>
      </c>
      <c r="E216" s="101" t="s">
        <v>141</v>
      </c>
      <c r="F216" s="99" t="s">
        <v>9885</v>
      </c>
      <c r="G216" s="99"/>
      <c r="H216" s="99" t="s">
        <v>9886</v>
      </c>
      <c r="I216" s="99"/>
      <c r="J216" s="99" t="s">
        <v>9887</v>
      </c>
      <c r="K216" s="99"/>
      <c r="L216" s="102">
        <v>14360.1066</v>
      </c>
      <c r="M216" s="99" t="s">
        <v>9871</v>
      </c>
      <c r="N216" s="102">
        <v>17565675.882138</v>
      </c>
      <c r="O216" s="99" t="s">
        <v>9888</v>
      </c>
      <c r="R216" s="58"/>
      <c r="S216" s="58"/>
      <c r="T216" s="58"/>
      <c r="U216" s="58"/>
      <c r="V216" s="58"/>
      <c r="W216" s="58"/>
      <c r="X216" s="58"/>
    </row>
    <row r="217" spans="1:24">
      <c r="A217" s="99" t="s">
        <v>4195</v>
      </c>
      <c r="B217" s="100" t="s">
        <v>132</v>
      </c>
      <c r="C217" s="100" t="s">
        <v>1287</v>
      </c>
      <c r="D217" s="100" t="s">
        <v>2961</v>
      </c>
      <c r="E217" s="101" t="s">
        <v>134</v>
      </c>
      <c r="F217" s="99" t="s">
        <v>9889</v>
      </c>
      <c r="G217" s="99"/>
      <c r="H217" s="99" t="s">
        <v>9890</v>
      </c>
      <c r="I217" s="99"/>
      <c r="J217" s="99" t="s">
        <v>9891</v>
      </c>
      <c r="K217" s="99"/>
      <c r="L217" s="102">
        <v>14188.68608</v>
      </c>
      <c r="M217" s="99" t="s">
        <v>9871</v>
      </c>
      <c r="N217" s="102">
        <v>17579864.568218</v>
      </c>
      <c r="O217" s="99" t="s">
        <v>9892</v>
      </c>
      <c r="R217" s="58"/>
      <c r="S217" s="58"/>
      <c r="T217" s="58"/>
      <c r="U217" s="58"/>
      <c r="V217" s="58"/>
      <c r="W217" s="58"/>
      <c r="X217" s="58"/>
    </row>
    <row r="218" spans="1:24">
      <c r="A218" s="99" t="s">
        <v>5108</v>
      </c>
      <c r="B218" s="100" t="s">
        <v>149</v>
      </c>
      <c r="C218" s="100" t="s">
        <v>5102</v>
      </c>
      <c r="D218" s="100" t="s">
        <v>2961</v>
      </c>
      <c r="E218" s="101" t="s">
        <v>204</v>
      </c>
      <c r="F218" s="99" t="s">
        <v>9893</v>
      </c>
      <c r="G218" s="99"/>
      <c r="H218" s="99" t="s">
        <v>9894</v>
      </c>
      <c r="I218" s="99"/>
      <c r="J218" s="99" t="s">
        <v>9895</v>
      </c>
      <c r="K218" s="99"/>
      <c r="L218" s="102">
        <v>14187.25</v>
      </c>
      <c r="M218" s="99" t="s">
        <v>9871</v>
      </c>
      <c r="N218" s="102">
        <v>17594051.818218</v>
      </c>
      <c r="O218" s="99" t="s">
        <v>9896</v>
      </c>
      <c r="R218" s="58"/>
      <c r="S218" s="58"/>
      <c r="T218" s="58"/>
      <c r="U218" s="58"/>
      <c r="V218" s="58"/>
      <c r="W218" s="58"/>
      <c r="X218" s="58"/>
    </row>
    <row r="219" ht="25.5" spans="1:24">
      <c r="A219" s="99" t="s">
        <v>5088</v>
      </c>
      <c r="B219" s="100" t="s">
        <v>139</v>
      </c>
      <c r="C219" s="100" t="s">
        <v>5089</v>
      </c>
      <c r="D219" s="100" t="s">
        <v>2961</v>
      </c>
      <c r="E219" s="101" t="s">
        <v>3084</v>
      </c>
      <c r="F219" s="99" t="s">
        <v>9897</v>
      </c>
      <c r="G219" s="99"/>
      <c r="H219" s="99" t="s">
        <v>9898</v>
      </c>
      <c r="I219" s="99"/>
      <c r="J219" s="99" t="s">
        <v>9899</v>
      </c>
      <c r="K219" s="99"/>
      <c r="L219" s="102">
        <v>14102.9111496</v>
      </c>
      <c r="M219" s="99" t="s">
        <v>9871</v>
      </c>
      <c r="N219" s="102">
        <v>17608154.7293676</v>
      </c>
      <c r="O219" s="99" t="s">
        <v>9900</v>
      </c>
      <c r="R219" s="58"/>
      <c r="S219" s="58"/>
      <c r="T219" s="58"/>
      <c r="U219" s="58"/>
      <c r="V219" s="58"/>
      <c r="W219" s="58"/>
      <c r="X219" s="58"/>
    </row>
    <row r="220" ht="127.5" spans="1:24">
      <c r="A220" s="99" t="s">
        <v>4244</v>
      </c>
      <c r="B220" s="100" t="s">
        <v>132</v>
      </c>
      <c r="C220" s="100" t="s">
        <v>4245</v>
      </c>
      <c r="D220" s="100" t="s">
        <v>2961</v>
      </c>
      <c r="E220" s="101" t="s">
        <v>134</v>
      </c>
      <c r="F220" s="99" t="s">
        <v>9091</v>
      </c>
      <c r="G220" s="99"/>
      <c r="H220" s="99" t="s">
        <v>9901</v>
      </c>
      <c r="I220" s="99"/>
      <c r="J220" s="99" t="s">
        <v>9901</v>
      </c>
      <c r="K220" s="99"/>
      <c r="L220" s="102">
        <v>13969.82</v>
      </c>
      <c r="M220" s="99" t="s">
        <v>9871</v>
      </c>
      <c r="N220" s="102">
        <v>17622124.5493676</v>
      </c>
      <c r="O220" s="99" t="s">
        <v>9902</v>
      </c>
      <c r="R220" s="58"/>
      <c r="S220" s="58"/>
      <c r="T220" s="58"/>
      <c r="U220" s="58"/>
      <c r="V220" s="58"/>
      <c r="W220" s="58"/>
      <c r="X220" s="58"/>
    </row>
    <row r="221" spans="1:24">
      <c r="A221" s="99" t="s">
        <v>4083</v>
      </c>
      <c r="B221" s="100" t="s">
        <v>149</v>
      </c>
      <c r="C221" s="100" t="s">
        <v>4084</v>
      </c>
      <c r="D221" s="100" t="s">
        <v>2961</v>
      </c>
      <c r="E221" s="101" t="s">
        <v>279</v>
      </c>
      <c r="F221" s="99" t="s">
        <v>9903</v>
      </c>
      <c r="G221" s="99"/>
      <c r="H221" s="99" t="s">
        <v>9904</v>
      </c>
      <c r="I221" s="99"/>
      <c r="J221" s="99" t="s">
        <v>9905</v>
      </c>
      <c r="K221" s="99"/>
      <c r="L221" s="102">
        <v>13871.70504</v>
      </c>
      <c r="M221" s="99" t="s">
        <v>9871</v>
      </c>
      <c r="N221" s="102">
        <v>17635996.2544076</v>
      </c>
      <c r="O221" s="99" t="s">
        <v>9906</v>
      </c>
      <c r="R221" s="58"/>
      <c r="S221" s="58"/>
      <c r="T221" s="58"/>
      <c r="U221" s="58"/>
      <c r="V221" s="58"/>
      <c r="W221" s="58"/>
      <c r="X221" s="58"/>
    </row>
    <row r="222" ht="38.25" spans="1:24">
      <c r="A222" s="99" t="s">
        <v>4778</v>
      </c>
      <c r="B222" s="100" t="s">
        <v>132</v>
      </c>
      <c r="C222" s="100" t="s">
        <v>4779</v>
      </c>
      <c r="D222" s="100" t="s">
        <v>2961</v>
      </c>
      <c r="E222" s="101" t="s">
        <v>134</v>
      </c>
      <c r="F222" s="99" t="s">
        <v>9091</v>
      </c>
      <c r="G222" s="99"/>
      <c r="H222" s="99" t="s">
        <v>9907</v>
      </c>
      <c r="I222" s="99"/>
      <c r="J222" s="99" t="s">
        <v>9907</v>
      </c>
      <c r="K222" s="99"/>
      <c r="L222" s="102">
        <v>13820.13</v>
      </c>
      <c r="M222" s="99" t="s">
        <v>9871</v>
      </c>
      <c r="N222" s="102">
        <v>17649816.3844076</v>
      </c>
      <c r="O222" s="99" t="s">
        <v>9908</v>
      </c>
      <c r="R222" s="58"/>
      <c r="S222" s="58"/>
      <c r="T222" s="58"/>
      <c r="U222" s="58"/>
      <c r="V222" s="58"/>
      <c r="W222" s="58"/>
      <c r="X222" s="58"/>
    </row>
    <row r="223" ht="127.5" spans="1:24">
      <c r="A223" s="99" t="s">
        <v>4230</v>
      </c>
      <c r="B223" s="100" t="s">
        <v>132</v>
      </c>
      <c r="C223" s="100" t="s">
        <v>4231</v>
      </c>
      <c r="D223" s="100" t="s">
        <v>2961</v>
      </c>
      <c r="E223" s="101" t="s">
        <v>134</v>
      </c>
      <c r="F223" s="99" t="s">
        <v>9091</v>
      </c>
      <c r="G223" s="99"/>
      <c r="H223" s="99" t="s">
        <v>9909</v>
      </c>
      <c r="I223" s="99"/>
      <c r="J223" s="99" t="s">
        <v>9909</v>
      </c>
      <c r="K223" s="99"/>
      <c r="L223" s="102">
        <v>13553.35</v>
      </c>
      <c r="M223" s="99" t="s">
        <v>9871</v>
      </c>
      <c r="N223" s="102">
        <v>17663369.7344076</v>
      </c>
      <c r="O223" s="99" t="s">
        <v>9910</v>
      </c>
      <c r="R223" s="58"/>
      <c r="S223" s="58"/>
      <c r="T223" s="58"/>
      <c r="U223" s="58"/>
      <c r="V223" s="58"/>
      <c r="W223" s="58"/>
      <c r="X223" s="58"/>
    </row>
    <row r="224" ht="25.5" spans="1:24">
      <c r="A224" s="99" t="s">
        <v>5216</v>
      </c>
      <c r="B224" s="100" t="s">
        <v>149</v>
      </c>
      <c r="C224" s="100" t="s">
        <v>5217</v>
      </c>
      <c r="D224" s="100" t="s">
        <v>2961</v>
      </c>
      <c r="E224" s="101" t="s">
        <v>134</v>
      </c>
      <c r="F224" s="99" t="s">
        <v>9911</v>
      </c>
      <c r="G224" s="99"/>
      <c r="H224" s="99" t="s">
        <v>9912</v>
      </c>
      <c r="I224" s="99"/>
      <c r="J224" s="99" t="s">
        <v>9913</v>
      </c>
      <c r="K224" s="99"/>
      <c r="L224" s="102">
        <v>13536.2424</v>
      </c>
      <c r="M224" s="99" t="s">
        <v>9871</v>
      </c>
      <c r="N224" s="102">
        <v>17676905.9768076</v>
      </c>
      <c r="O224" s="99" t="s">
        <v>9914</v>
      </c>
      <c r="R224" s="58"/>
      <c r="S224" s="58"/>
      <c r="T224" s="58"/>
      <c r="U224" s="58"/>
      <c r="V224" s="58"/>
      <c r="W224" s="58"/>
      <c r="X224" s="58"/>
    </row>
    <row r="225" ht="127.5" spans="1:24">
      <c r="A225" s="99" t="s">
        <v>4250</v>
      </c>
      <c r="B225" s="100" t="s">
        <v>132</v>
      </c>
      <c r="C225" s="100" t="s">
        <v>4251</v>
      </c>
      <c r="D225" s="100" t="s">
        <v>2961</v>
      </c>
      <c r="E225" s="101" t="s">
        <v>134</v>
      </c>
      <c r="F225" s="99" t="s">
        <v>9091</v>
      </c>
      <c r="G225" s="99"/>
      <c r="H225" s="99" t="s">
        <v>9915</v>
      </c>
      <c r="I225" s="99"/>
      <c r="J225" s="99" t="s">
        <v>9915</v>
      </c>
      <c r="K225" s="99"/>
      <c r="L225" s="102">
        <v>13511.7</v>
      </c>
      <c r="M225" s="99" t="s">
        <v>9871</v>
      </c>
      <c r="N225" s="102">
        <v>17690417.6768076</v>
      </c>
      <c r="O225" s="99" t="s">
        <v>9916</v>
      </c>
      <c r="R225" s="58"/>
      <c r="S225" s="58"/>
      <c r="T225" s="58"/>
      <c r="U225" s="58"/>
      <c r="V225" s="58"/>
      <c r="W225" s="58"/>
      <c r="X225" s="58"/>
    </row>
    <row r="226" spans="1:24">
      <c r="A226" s="99" t="s">
        <v>3717</v>
      </c>
      <c r="B226" s="100" t="s">
        <v>796</v>
      </c>
      <c r="C226" s="100" t="s">
        <v>3718</v>
      </c>
      <c r="D226" s="100" t="s">
        <v>2896</v>
      </c>
      <c r="E226" s="101" t="s">
        <v>3707</v>
      </c>
      <c r="F226" s="99" t="s">
        <v>9917</v>
      </c>
      <c r="G226" s="99"/>
      <c r="H226" s="99" t="s">
        <v>9918</v>
      </c>
      <c r="I226" s="99"/>
      <c r="J226" s="99" t="s">
        <v>9919</v>
      </c>
      <c r="K226" s="99"/>
      <c r="L226" s="102">
        <v>13494.375830196</v>
      </c>
      <c r="M226" s="99" t="s">
        <v>9871</v>
      </c>
      <c r="N226" s="102">
        <v>17703912.0526378</v>
      </c>
      <c r="O226" s="99" t="s">
        <v>9920</v>
      </c>
      <c r="R226" s="58"/>
      <c r="S226" s="58"/>
      <c r="T226" s="58"/>
      <c r="U226" s="58"/>
      <c r="V226" s="58"/>
      <c r="W226" s="58"/>
      <c r="X226" s="58"/>
    </row>
    <row r="227" ht="25.5" spans="1:24">
      <c r="A227" s="99" t="s">
        <v>4516</v>
      </c>
      <c r="B227" s="100" t="s">
        <v>77</v>
      </c>
      <c r="C227" s="100" t="s">
        <v>4517</v>
      </c>
      <c r="D227" s="100" t="s">
        <v>2961</v>
      </c>
      <c r="E227" s="101" t="s">
        <v>134</v>
      </c>
      <c r="F227" s="99" t="s">
        <v>9921</v>
      </c>
      <c r="G227" s="99"/>
      <c r="H227" s="99" t="s">
        <v>9922</v>
      </c>
      <c r="I227" s="99"/>
      <c r="J227" s="99" t="s">
        <v>9923</v>
      </c>
      <c r="K227" s="99"/>
      <c r="L227" s="102">
        <v>13432</v>
      </c>
      <c r="M227" s="99" t="s">
        <v>9871</v>
      </c>
      <c r="N227" s="102">
        <v>17717344.0526378</v>
      </c>
      <c r="O227" s="99" t="s">
        <v>9924</v>
      </c>
      <c r="R227" s="58"/>
      <c r="S227" s="58"/>
      <c r="T227" s="58"/>
      <c r="U227" s="58"/>
      <c r="V227" s="58"/>
      <c r="W227" s="58"/>
      <c r="X227" s="58"/>
    </row>
    <row r="228" ht="76.5" spans="1:24">
      <c r="A228" s="99" t="s">
        <v>5996</v>
      </c>
      <c r="B228" s="100" t="s">
        <v>139</v>
      </c>
      <c r="C228" s="100" t="s">
        <v>5997</v>
      </c>
      <c r="D228" s="100" t="s">
        <v>3680</v>
      </c>
      <c r="E228" s="101" t="s">
        <v>134</v>
      </c>
      <c r="F228" s="99" t="s">
        <v>9925</v>
      </c>
      <c r="G228" s="99"/>
      <c r="H228" s="99" t="s">
        <v>9926</v>
      </c>
      <c r="I228" s="99"/>
      <c r="J228" s="99" t="s">
        <v>9927</v>
      </c>
      <c r="K228" s="99"/>
      <c r="L228" s="102">
        <v>13378.1540014303</v>
      </c>
      <c r="M228" s="99" t="s">
        <v>9871</v>
      </c>
      <c r="N228" s="102">
        <v>17730722.2066392</v>
      </c>
      <c r="O228" s="99" t="s">
        <v>9928</v>
      </c>
      <c r="R228" s="58"/>
      <c r="S228" s="58"/>
      <c r="T228" s="58"/>
      <c r="U228" s="58"/>
      <c r="V228" s="58"/>
      <c r="W228" s="58"/>
      <c r="X228" s="58"/>
    </row>
    <row r="229" ht="25.5" spans="1:24">
      <c r="A229" s="99" t="s">
        <v>5334</v>
      </c>
      <c r="B229" s="100" t="s">
        <v>139</v>
      </c>
      <c r="C229" s="100" t="s">
        <v>5335</v>
      </c>
      <c r="D229" s="100" t="s">
        <v>2961</v>
      </c>
      <c r="E229" s="101" t="s">
        <v>2897</v>
      </c>
      <c r="F229" s="99" t="s">
        <v>9609</v>
      </c>
      <c r="G229" s="99"/>
      <c r="H229" s="99" t="s">
        <v>9929</v>
      </c>
      <c r="I229" s="99"/>
      <c r="J229" s="99" t="s">
        <v>9930</v>
      </c>
      <c r="K229" s="99"/>
      <c r="L229" s="102">
        <v>13369.5205822555</v>
      </c>
      <c r="M229" s="99" t="s">
        <v>9871</v>
      </c>
      <c r="N229" s="102">
        <v>17744091.7272215</v>
      </c>
      <c r="O229" s="99" t="s">
        <v>9931</v>
      </c>
      <c r="R229" s="58"/>
      <c r="S229" s="58"/>
      <c r="T229" s="58"/>
      <c r="U229" s="58"/>
      <c r="V229" s="58"/>
      <c r="W229" s="58"/>
      <c r="X229" s="58"/>
    </row>
    <row r="230" ht="25.5" spans="1:24">
      <c r="A230" s="99" t="s">
        <v>2719</v>
      </c>
      <c r="B230" s="100" t="s">
        <v>139</v>
      </c>
      <c r="C230" s="100" t="s">
        <v>2720</v>
      </c>
      <c r="D230" s="100" t="s">
        <v>2961</v>
      </c>
      <c r="E230" s="101" t="s">
        <v>279</v>
      </c>
      <c r="F230" s="99" t="s">
        <v>9932</v>
      </c>
      <c r="G230" s="99"/>
      <c r="H230" s="99" t="s">
        <v>7462</v>
      </c>
      <c r="I230" s="99"/>
      <c r="J230" s="99" t="s">
        <v>7463</v>
      </c>
      <c r="K230" s="99"/>
      <c r="L230" s="102">
        <v>13344.7125</v>
      </c>
      <c r="M230" s="99" t="s">
        <v>9871</v>
      </c>
      <c r="N230" s="102">
        <v>17757436.4397215</v>
      </c>
      <c r="O230" s="99" t="s">
        <v>9933</v>
      </c>
      <c r="R230" s="58"/>
      <c r="S230" s="58"/>
      <c r="T230" s="58"/>
      <c r="U230" s="58"/>
      <c r="V230" s="58"/>
      <c r="W230" s="58"/>
      <c r="X230" s="58"/>
    </row>
    <row r="231" ht="25.5" spans="1:24">
      <c r="A231" s="99" t="s">
        <v>4392</v>
      </c>
      <c r="B231" s="100" t="s">
        <v>149</v>
      </c>
      <c r="C231" s="100" t="s">
        <v>4393</v>
      </c>
      <c r="D231" s="100" t="s">
        <v>2961</v>
      </c>
      <c r="E231" s="101" t="s">
        <v>134</v>
      </c>
      <c r="F231" s="99" t="s">
        <v>9934</v>
      </c>
      <c r="G231" s="99"/>
      <c r="H231" s="99" t="s">
        <v>9935</v>
      </c>
      <c r="I231" s="99"/>
      <c r="J231" s="99" t="s">
        <v>9936</v>
      </c>
      <c r="K231" s="99"/>
      <c r="L231" s="102">
        <v>13202</v>
      </c>
      <c r="M231" s="99" t="s">
        <v>9871</v>
      </c>
      <c r="N231" s="102">
        <v>17770638.4397215</v>
      </c>
      <c r="O231" s="99" t="s">
        <v>9937</v>
      </c>
      <c r="R231" s="58"/>
      <c r="S231" s="58"/>
      <c r="T231" s="58"/>
      <c r="U231" s="58"/>
      <c r="V231" s="58"/>
      <c r="W231" s="58"/>
      <c r="X231" s="58"/>
    </row>
    <row r="232" ht="38.25" spans="1:24">
      <c r="A232" s="99" t="s">
        <v>3429</v>
      </c>
      <c r="B232" s="100" t="s">
        <v>139</v>
      </c>
      <c r="C232" s="100" t="s">
        <v>3430</v>
      </c>
      <c r="D232" s="100" t="s">
        <v>2961</v>
      </c>
      <c r="E232" s="101" t="s">
        <v>141</v>
      </c>
      <c r="F232" s="99" t="s">
        <v>9938</v>
      </c>
      <c r="G232" s="99"/>
      <c r="H232" s="99" t="s">
        <v>8992</v>
      </c>
      <c r="I232" s="99"/>
      <c r="J232" s="99" t="s">
        <v>9939</v>
      </c>
      <c r="K232" s="99"/>
      <c r="L232" s="102">
        <v>13135.656454146</v>
      </c>
      <c r="M232" s="99" t="s">
        <v>9871</v>
      </c>
      <c r="N232" s="102">
        <v>17783774.0961756</v>
      </c>
      <c r="O232" s="99" t="s">
        <v>9940</v>
      </c>
      <c r="R232" s="58"/>
      <c r="S232" s="58"/>
      <c r="T232" s="58"/>
      <c r="U232" s="58"/>
      <c r="V232" s="58"/>
      <c r="W232" s="58"/>
      <c r="X232" s="58"/>
    </row>
    <row r="233" ht="25.5" spans="1:24">
      <c r="A233" s="99" t="s">
        <v>5148</v>
      </c>
      <c r="B233" s="100" t="s">
        <v>139</v>
      </c>
      <c r="C233" s="100" t="s">
        <v>5149</v>
      </c>
      <c r="D233" s="100" t="s">
        <v>2961</v>
      </c>
      <c r="E233" s="101" t="s">
        <v>279</v>
      </c>
      <c r="F233" s="99" t="s">
        <v>9941</v>
      </c>
      <c r="G233" s="99"/>
      <c r="H233" s="99" t="s">
        <v>9942</v>
      </c>
      <c r="I233" s="99"/>
      <c r="J233" s="99" t="s">
        <v>9943</v>
      </c>
      <c r="K233" s="99"/>
      <c r="L233" s="102">
        <v>13128.831047178</v>
      </c>
      <c r="M233" s="99" t="s">
        <v>9871</v>
      </c>
      <c r="N233" s="102">
        <v>17796902.9272228</v>
      </c>
      <c r="O233" s="99" t="s">
        <v>9944</v>
      </c>
      <c r="R233" s="58"/>
      <c r="S233" s="58"/>
      <c r="T233" s="58"/>
      <c r="U233" s="58"/>
      <c r="V233" s="58"/>
      <c r="W233" s="58"/>
      <c r="X233" s="58"/>
    </row>
    <row r="234" ht="25.5" spans="1:24">
      <c r="A234" s="99" t="s">
        <v>5084</v>
      </c>
      <c r="B234" s="100" t="s">
        <v>139</v>
      </c>
      <c r="C234" s="100" t="s">
        <v>5085</v>
      </c>
      <c r="D234" s="100" t="s">
        <v>2961</v>
      </c>
      <c r="E234" s="101" t="s">
        <v>134</v>
      </c>
      <c r="F234" s="99" t="s">
        <v>9945</v>
      </c>
      <c r="G234" s="99"/>
      <c r="H234" s="99" t="s">
        <v>9946</v>
      </c>
      <c r="I234" s="99"/>
      <c r="J234" s="99" t="s">
        <v>9947</v>
      </c>
      <c r="K234" s="99"/>
      <c r="L234" s="102">
        <v>13039.336872</v>
      </c>
      <c r="M234" s="99" t="s">
        <v>9871</v>
      </c>
      <c r="N234" s="102">
        <v>17809942.2640948</v>
      </c>
      <c r="O234" s="99" t="s">
        <v>9948</v>
      </c>
      <c r="R234" s="58"/>
      <c r="S234" s="58"/>
      <c r="T234" s="58"/>
      <c r="U234" s="58"/>
      <c r="V234" s="58"/>
      <c r="W234" s="58"/>
      <c r="X234" s="58"/>
    </row>
    <row r="235" ht="25.5" spans="1:24">
      <c r="A235" s="99" t="s">
        <v>5529</v>
      </c>
      <c r="B235" s="100" t="s">
        <v>77</v>
      </c>
      <c r="C235" s="100" t="s">
        <v>5530</v>
      </c>
      <c r="D235" s="100" t="s">
        <v>3395</v>
      </c>
      <c r="E235" s="101" t="s">
        <v>134</v>
      </c>
      <c r="F235" s="99" t="s">
        <v>9949</v>
      </c>
      <c r="G235" s="99"/>
      <c r="H235" s="99" t="s">
        <v>9950</v>
      </c>
      <c r="I235" s="99"/>
      <c r="J235" s="99" t="s">
        <v>9951</v>
      </c>
      <c r="K235" s="99"/>
      <c r="L235" s="102">
        <v>13010.281324396</v>
      </c>
      <c r="M235" s="99" t="s">
        <v>9871</v>
      </c>
      <c r="N235" s="102">
        <v>17822952.5454192</v>
      </c>
      <c r="O235" s="99" t="s">
        <v>9952</v>
      </c>
      <c r="R235" s="58"/>
      <c r="S235" s="58"/>
      <c r="T235" s="58"/>
      <c r="U235" s="58"/>
      <c r="V235" s="58"/>
      <c r="W235" s="58"/>
      <c r="X235" s="58"/>
    </row>
    <row r="236" ht="25.5" spans="1:24">
      <c r="A236" s="99" t="s">
        <v>4590</v>
      </c>
      <c r="B236" s="100" t="s">
        <v>139</v>
      </c>
      <c r="C236" s="100" t="s">
        <v>4591</v>
      </c>
      <c r="D236" s="100" t="s">
        <v>2961</v>
      </c>
      <c r="E236" s="101" t="s">
        <v>134</v>
      </c>
      <c r="F236" s="99" t="s">
        <v>9953</v>
      </c>
      <c r="G236" s="99"/>
      <c r="H236" s="99" t="s">
        <v>9954</v>
      </c>
      <c r="I236" s="99"/>
      <c r="J236" s="99" t="s">
        <v>9955</v>
      </c>
      <c r="K236" s="99"/>
      <c r="L236" s="102">
        <v>12999.7</v>
      </c>
      <c r="M236" s="99" t="s">
        <v>9871</v>
      </c>
      <c r="N236" s="102">
        <v>17835952.2454192</v>
      </c>
      <c r="O236" s="99" t="s">
        <v>9956</v>
      </c>
      <c r="R236" s="58"/>
      <c r="S236" s="58"/>
      <c r="T236" s="58"/>
      <c r="U236" s="58"/>
      <c r="V236" s="58"/>
      <c r="W236" s="58"/>
      <c r="X236" s="58"/>
    </row>
    <row r="237" ht="25.5" spans="1:24">
      <c r="A237" s="99" t="s">
        <v>3589</v>
      </c>
      <c r="B237" s="100" t="s">
        <v>77</v>
      </c>
      <c r="C237" s="100" t="s">
        <v>3590</v>
      </c>
      <c r="D237" s="100" t="s">
        <v>2896</v>
      </c>
      <c r="E237" s="101" t="s">
        <v>2897</v>
      </c>
      <c r="F237" s="99" t="s">
        <v>9957</v>
      </c>
      <c r="G237" s="99"/>
      <c r="H237" s="99" t="s">
        <v>9371</v>
      </c>
      <c r="I237" s="99"/>
      <c r="J237" s="99" t="s">
        <v>9958</v>
      </c>
      <c r="K237" s="99"/>
      <c r="L237" s="102">
        <v>12603.386153904</v>
      </c>
      <c r="M237" s="99" t="s">
        <v>9959</v>
      </c>
      <c r="N237" s="102">
        <v>17848555.6315731</v>
      </c>
      <c r="O237" s="99" t="s">
        <v>9960</v>
      </c>
      <c r="R237" s="58"/>
      <c r="S237" s="58"/>
      <c r="T237" s="58"/>
      <c r="U237" s="58"/>
      <c r="V237" s="58"/>
      <c r="W237" s="58"/>
      <c r="X237" s="58"/>
    </row>
    <row r="238" ht="25.5" spans="1:24">
      <c r="A238" s="99" t="s">
        <v>5626</v>
      </c>
      <c r="B238" s="100" t="s">
        <v>77</v>
      </c>
      <c r="C238" s="100" t="s">
        <v>5627</v>
      </c>
      <c r="D238" s="100" t="s">
        <v>2896</v>
      </c>
      <c r="E238" s="101" t="s">
        <v>2897</v>
      </c>
      <c r="F238" s="99" t="s">
        <v>9961</v>
      </c>
      <c r="G238" s="99"/>
      <c r="H238" s="99" t="s">
        <v>9371</v>
      </c>
      <c r="I238" s="99"/>
      <c r="J238" s="99" t="s">
        <v>9962</v>
      </c>
      <c r="K238" s="99"/>
      <c r="L238" s="102">
        <v>12601.162664064</v>
      </c>
      <c r="M238" s="99" t="s">
        <v>9959</v>
      </c>
      <c r="N238" s="102">
        <v>17861156.7942372</v>
      </c>
      <c r="O238" s="99" t="s">
        <v>9963</v>
      </c>
      <c r="R238" s="58"/>
      <c r="S238" s="58"/>
      <c r="T238" s="58"/>
      <c r="U238" s="58"/>
      <c r="V238" s="58"/>
      <c r="W238" s="58"/>
      <c r="X238" s="58"/>
    </row>
    <row r="239" ht="25.5" spans="1:24">
      <c r="A239" s="99" t="s">
        <v>5547</v>
      </c>
      <c r="B239" s="100" t="s">
        <v>139</v>
      </c>
      <c r="C239" s="100" t="s">
        <v>5548</v>
      </c>
      <c r="D239" s="100" t="s">
        <v>2961</v>
      </c>
      <c r="E239" s="101" t="s">
        <v>3084</v>
      </c>
      <c r="F239" s="99" t="s">
        <v>9964</v>
      </c>
      <c r="G239" s="99"/>
      <c r="H239" s="99" t="s">
        <v>9965</v>
      </c>
      <c r="I239" s="99"/>
      <c r="J239" s="99" t="s">
        <v>9966</v>
      </c>
      <c r="K239" s="99"/>
      <c r="L239" s="102">
        <v>12572.8537424727</v>
      </c>
      <c r="M239" s="99" t="s">
        <v>9959</v>
      </c>
      <c r="N239" s="102">
        <v>17873729.6479797</v>
      </c>
      <c r="O239" s="99" t="s">
        <v>9967</v>
      </c>
      <c r="R239" s="58"/>
      <c r="S239" s="58"/>
      <c r="T239" s="58"/>
      <c r="U239" s="58"/>
      <c r="V239" s="58"/>
      <c r="W239" s="58"/>
      <c r="X239" s="58"/>
    </row>
    <row r="240" spans="1:24">
      <c r="A240" s="99" t="s">
        <v>3596</v>
      </c>
      <c r="B240" s="100" t="s">
        <v>149</v>
      </c>
      <c r="C240" s="100" t="s">
        <v>3597</v>
      </c>
      <c r="D240" s="100" t="s">
        <v>2961</v>
      </c>
      <c r="E240" s="101" t="s">
        <v>3084</v>
      </c>
      <c r="F240" s="99" t="s">
        <v>9968</v>
      </c>
      <c r="G240" s="99"/>
      <c r="H240" s="99" t="s">
        <v>9969</v>
      </c>
      <c r="I240" s="99"/>
      <c r="J240" s="99" t="s">
        <v>9970</v>
      </c>
      <c r="K240" s="99"/>
      <c r="L240" s="102">
        <v>12519.3259</v>
      </c>
      <c r="M240" s="99" t="s">
        <v>9959</v>
      </c>
      <c r="N240" s="102">
        <v>17886248.9738797</v>
      </c>
      <c r="O240" s="99" t="s">
        <v>9971</v>
      </c>
      <c r="R240" s="58"/>
      <c r="S240" s="58"/>
      <c r="T240" s="58"/>
      <c r="U240" s="58"/>
      <c r="V240" s="58"/>
      <c r="W240" s="58"/>
      <c r="X240" s="58"/>
    </row>
    <row r="241" spans="1:24">
      <c r="A241" s="99" t="s">
        <v>3418</v>
      </c>
      <c r="B241" s="100" t="s">
        <v>149</v>
      </c>
      <c r="C241" s="100" t="s">
        <v>3419</v>
      </c>
      <c r="D241" s="100" t="s">
        <v>2896</v>
      </c>
      <c r="E241" s="101" t="s">
        <v>2897</v>
      </c>
      <c r="F241" s="99" t="s">
        <v>9972</v>
      </c>
      <c r="G241" s="99"/>
      <c r="H241" s="99" t="s">
        <v>9460</v>
      </c>
      <c r="I241" s="99"/>
      <c r="J241" s="99" t="s">
        <v>9973</v>
      </c>
      <c r="K241" s="99"/>
      <c r="L241" s="102">
        <v>12354.9558281856</v>
      </c>
      <c r="M241" s="99" t="s">
        <v>9959</v>
      </c>
      <c r="N241" s="102">
        <v>17898603.9297078</v>
      </c>
      <c r="O241" s="99" t="s">
        <v>9974</v>
      </c>
      <c r="R241" s="58"/>
      <c r="S241" s="58"/>
      <c r="T241" s="58"/>
      <c r="U241" s="58"/>
      <c r="V241" s="58"/>
      <c r="W241" s="58"/>
      <c r="X241" s="58"/>
    </row>
    <row r="242" ht="25.5" spans="1:24">
      <c r="A242" s="99" t="s">
        <v>4636</v>
      </c>
      <c r="B242" s="100" t="s">
        <v>139</v>
      </c>
      <c r="C242" s="100" t="s">
        <v>4637</v>
      </c>
      <c r="D242" s="100" t="s">
        <v>2961</v>
      </c>
      <c r="E242" s="101" t="s">
        <v>134</v>
      </c>
      <c r="F242" s="99" t="s">
        <v>9975</v>
      </c>
      <c r="G242" s="99"/>
      <c r="H242" s="99" t="s">
        <v>9976</v>
      </c>
      <c r="I242" s="99"/>
      <c r="J242" s="99" t="s">
        <v>9977</v>
      </c>
      <c r="K242" s="99"/>
      <c r="L242" s="102">
        <v>12180</v>
      </c>
      <c r="M242" s="99" t="s">
        <v>9959</v>
      </c>
      <c r="N242" s="102">
        <v>17910783.9297078</v>
      </c>
      <c r="O242" s="99" t="s">
        <v>9978</v>
      </c>
      <c r="R242" s="58"/>
      <c r="S242" s="58"/>
      <c r="T242" s="58"/>
      <c r="U242" s="58"/>
      <c r="V242" s="58"/>
      <c r="W242" s="58"/>
      <c r="X242" s="58"/>
    </row>
    <row r="243" spans="1:24">
      <c r="A243" s="99" t="s">
        <v>5320</v>
      </c>
      <c r="B243" s="100" t="s">
        <v>139</v>
      </c>
      <c r="C243" s="100" t="s">
        <v>5321</v>
      </c>
      <c r="D243" s="100" t="s">
        <v>2896</v>
      </c>
      <c r="E243" s="101" t="s">
        <v>2897</v>
      </c>
      <c r="F243" s="99" t="s">
        <v>9979</v>
      </c>
      <c r="G243" s="99"/>
      <c r="H243" s="99" t="s">
        <v>9127</v>
      </c>
      <c r="I243" s="99"/>
      <c r="J243" s="99" t="s">
        <v>9980</v>
      </c>
      <c r="K243" s="99"/>
      <c r="L243" s="102">
        <v>11995.6037599644</v>
      </c>
      <c r="M243" s="99" t="s">
        <v>9959</v>
      </c>
      <c r="N243" s="102">
        <v>17922779.5334678</v>
      </c>
      <c r="O243" s="99" t="s">
        <v>9981</v>
      </c>
      <c r="R243" s="58"/>
      <c r="S243" s="58"/>
      <c r="T243" s="58"/>
      <c r="U243" s="58"/>
      <c r="V243" s="58"/>
      <c r="W243" s="58"/>
      <c r="X243" s="58"/>
    </row>
    <row r="244" ht="25.5" spans="1:24">
      <c r="A244" s="99" t="s">
        <v>4638</v>
      </c>
      <c r="B244" s="100" t="s">
        <v>132</v>
      </c>
      <c r="C244" s="100" t="s">
        <v>1946</v>
      </c>
      <c r="D244" s="100" t="s">
        <v>2961</v>
      </c>
      <c r="E244" s="101" t="s">
        <v>134</v>
      </c>
      <c r="F244" s="99" t="s">
        <v>9183</v>
      </c>
      <c r="G244" s="99"/>
      <c r="H244" s="99" t="s">
        <v>7517</v>
      </c>
      <c r="I244" s="99"/>
      <c r="J244" s="99" t="s">
        <v>7518</v>
      </c>
      <c r="K244" s="99"/>
      <c r="L244" s="102">
        <v>11980</v>
      </c>
      <c r="M244" s="99" t="s">
        <v>9959</v>
      </c>
      <c r="N244" s="102">
        <v>17934759.5334678</v>
      </c>
      <c r="O244" s="99" t="s">
        <v>9982</v>
      </c>
      <c r="R244" s="58"/>
      <c r="S244" s="58"/>
      <c r="T244" s="58"/>
      <c r="U244" s="58"/>
      <c r="V244" s="58"/>
      <c r="W244" s="58"/>
      <c r="X244" s="58"/>
    </row>
    <row r="245" ht="25.5" spans="1:24">
      <c r="A245" s="99" t="s">
        <v>3555</v>
      </c>
      <c r="B245" s="100" t="s">
        <v>139</v>
      </c>
      <c r="C245" s="100" t="s">
        <v>3556</v>
      </c>
      <c r="D245" s="100" t="s">
        <v>2961</v>
      </c>
      <c r="E245" s="101" t="s">
        <v>3557</v>
      </c>
      <c r="F245" s="99" t="s">
        <v>9550</v>
      </c>
      <c r="G245" s="99"/>
      <c r="H245" s="99" t="s">
        <v>9983</v>
      </c>
      <c r="I245" s="99"/>
      <c r="J245" s="99" t="s">
        <v>9984</v>
      </c>
      <c r="K245" s="99"/>
      <c r="L245" s="102">
        <v>11805.68</v>
      </c>
      <c r="M245" s="99" t="s">
        <v>9959</v>
      </c>
      <c r="N245" s="102">
        <v>17946565.2134678</v>
      </c>
      <c r="O245" s="99" t="s">
        <v>9985</v>
      </c>
      <c r="R245" s="58"/>
      <c r="S245" s="58"/>
      <c r="T245" s="58"/>
      <c r="U245" s="58"/>
      <c r="V245" s="58"/>
      <c r="W245" s="58"/>
      <c r="X245" s="58"/>
    </row>
    <row r="246" ht="38.25" spans="1:24">
      <c r="A246" s="99" t="s">
        <v>5075</v>
      </c>
      <c r="B246" s="100" t="s">
        <v>139</v>
      </c>
      <c r="C246" s="100" t="s">
        <v>5076</v>
      </c>
      <c r="D246" s="100" t="s">
        <v>2961</v>
      </c>
      <c r="E246" s="101" t="s">
        <v>393</v>
      </c>
      <c r="F246" s="99" t="s">
        <v>9986</v>
      </c>
      <c r="G246" s="99"/>
      <c r="H246" s="99" t="s">
        <v>6710</v>
      </c>
      <c r="I246" s="99"/>
      <c r="J246" s="99" t="s">
        <v>9987</v>
      </c>
      <c r="K246" s="99"/>
      <c r="L246" s="102">
        <v>11678.932</v>
      </c>
      <c r="M246" s="99" t="s">
        <v>9959</v>
      </c>
      <c r="N246" s="102">
        <v>17958244.1454678</v>
      </c>
      <c r="O246" s="99" t="s">
        <v>9988</v>
      </c>
      <c r="R246" s="58"/>
      <c r="S246" s="58"/>
      <c r="T246" s="58"/>
      <c r="U246" s="58"/>
      <c r="V246" s="58"/>
      <c r="W246" s="58"/>
      <c r="X246" s="58"/>
    </row>
    <row r="247" ht="25.5" spans="1:24">
      <c r="A247" s="99" t="s">
        <v>3440</v>
      </c>
      <c r="B247" s="100" t="s">
        <v>139</v>
      </c>
      <c r="C247" s="100" t="s">
        <v>3441</v>
      </c>
      <c r="D247" s="100" t="s">
        <v>2961</v>
      </c>
      <c r="E247" s="101" t="s">
        <v>141</v>
      </c>
      <c r="F247" s="99" t="s">
        <v>9989</v>
      </c>
      <c r="G247" s="99"/>
      <c r="H247" s="99" t="s">
        <v>9990</v>
      </c>
      <c r="I247" s="99"/>
      <c r="J247" s="99" t="s">
        <v>9991</v>
      </c>
      <c r="K247" s="99"/>
      <c r="L247" s="102">
        <v>11378.1792852</v>
      </c>
      <c r="M247" s="99" t="s">
        <v>9959</v>
      </c>
      <c r="N247" s="102">
        <v>17969622.324753</v>
      </c>
      <c r="O247" s="99" t="s">
        <v>9992</v>
      </c>
      <c r="R247" s="58"/>
      <c r="S247" s="58"/>
      <c r="T247" s="58"/>
      <c r="U247" s="58"/>
      <c r="V247" s="58"/>
      <c r="W247" s="58"/>
      <c r="X247" s="58"/>
    </row>
    <row r="248" ht="63.75" spans="1:24">
      <c r="A248" s="99" t="s">
        <v>4616</v>
      </c>
      <c r="B248" s="100" t="s">
        <v>139</v>
      </c>
      <c r="C248" s="100" t="s">
        <v>4617</v>
      </c>
      <c r="D248" s="100" t="s">
        <v>2961</v>
      </c>
      <c r="E248" s="101" t="s">
        <v>134</v>
      </c>
      <c r="F248" s="99" t="s">
        <v>9742</v>
      </c>
      <c r="G248" s="99"/>
      <c r="H248" s="99" t="s">
        <v>9993</v>
      </c>
      <c r="I248" s="99"/>
      <c r="J248" s="99" t="s">
        <v>9994</v>
      </c>
      <c r="K248" s="99"/>
      <c r="L248" s="102">
        <v>11346</v>
      </c>
      <c r="M248" s="99" t="s">
        <v>9959</v>
      </c>
      <c r="N248" s="102">
        <v>17980968.324753</v>
      </c>
      <c r="O248" s="99" t="s">
        <v>9995</v>
      </c>
      <c r="R248" s="58"/>
      <c r="S248" s="58"/>
      <c r="T248" s="58"/>
      <c r="U248" s="58"/>
      <c r="V248" s="58"/>
      <c r="W248" s="58"/>
      <c r="X248" s="58"/>
    </row>
    <row r="249" spans="1:24">
      <c r="A249" s="99" t="s">
        <v>3939</v>
      </c>
      <c r="B249" s="100" t="s">
        <v>77</v>
      </c>
      <c r="C249" s="100" t="s">
        <v>3940</v>
      </c>
      <c r="D249" s="100" t="s">
        <v>2961</v>
      </c>
      <c r="E249" s="101" t="s">
        <v>134</v>
      </c>
      <c r="F249" s="99" t="s">
        <v>9996</v>
      </c>
      <c r="G249" s="99"/>
      <c r="H249" s="99" t="s">
        <v>9997</v>
      </c>
      <c r="I249" s="99"/>
      <c r="J249" s="99" t="s">
        <v>9998</v>
      </c>
      <c r="K249" s="99"/>
      <c r="L249" s="102">
        <v>11333.83482</v>
      </c>
      <c r="M249" s="99" t="s">
        <v>9959</v>
      </c>
      <c r="N249" s="102">
        <v>17992302.159573</v>
      </c>
      <c r="O249" s="99" t="s">
        <v>9999</v>
      </c>
      <c r="R249" s="58"/>
      <c r="S249" s="58"/>
      <c r="T249" s="58"/>
      <c r="U249" s="58"/>
      <c r="V249" s="58"/>
      <c r="W249" s="58"/>
      <c r="X249" s="58"/>
    </row>
    <row r="250" ht="63.75" spans="1:24">
      <c r="A250" s="99" t="s">
        <v>4274</v>
      </c>
      <c r="B250" s="100" t="s">
        <v>132</v>
      </c>
      <c r="C250" s="100" t="s">
        <v>4275</v>
      </c>
      <c r="D250" s="100" t="s">
        <v>2961</v>
      </c>
      <c r="E250" s="101" t="s">
        <v>134</v>
      </c>
      <c r="F250" s="99" t="s">
        <v>9091</v>
      </c>
      <c r="G250" s="99"/>
      <c r="H250" s="99" t="s">
        <v>10000</v>
      </c>
      <c r="I250" s="99"/>
      <c r="J250" s="99" t="s">
        <v>10000</v>
      </c>
      <c r="K250" s="99"/>
      <c r="L250" s="102">
        <v>11194.09</v>
      </c>
      <c r="M250" s="99" t="s">
        <v>9959</v>
      </c>
      <c r="N250" s="102">
        <v>18003496.249573</v>
      </c>
      <c r="O250" s="99" t="s">
        <v>10001</v>
      </c>
      <c r="R250" s="58"/>
      <c r="S250" s="58"/>
      <c r="T250" s="58"/>
      <c r="U250" s="58"/>
      <c r="V250" s="58"/>
      <c r="W250" s="58"/>
      <c r="X250" s="58"/>
    </row>
    <row r="251" ht="25.5" spans="1:24">
      <c r="A251" s="99" t="s">
        <v>4315</v>
      </c>
      <c r="B251" s="100" t="s">
        <v>139</v>
      </c>
      <c r="C251" s="100" t="s">
        <v>4316</v>
      </c>
      <c r="D251" s="100" t="s">
        <v>2961</v>
      </c>
      <c r="E251" s="101" t="s">
        <v>393</v>
      </c>
      <c r="F251" s="99" t="s">
        <v>10002</v>
      </c>
      <c r="G251" s="99"/>
      <c r="H251" s="99" t="s">
        <v>10003</v>
      </c>
      <c r="I251" s="99"/>
      <c r="J251" s="99" t="s">
        <v>10004</v>
      </c>
      <c r="K251" s="99"/>
      <c r="L251" s="102">
        <v>11105.63433</v>
      </c>
      <c r="M251" s="99" t="s">
        <v>9959</v>
      </c>
      <c r="N251" s="102">
        <v>18014601.883903</v>
      </c>
      <c r="O251" s="99" t="s">
        <v>10005</v>
      </c>
      <c r="R251" s="58"/>
      <c r="S251" s="58"/>
      <c r="T251" s="58"/>
      <c r="U251" s="58"/>
      <c r="V251" s="58"/>
      <c r="W251" s="58"/>
      <c r="X251" s="58"/>
    </row>
    <row r="252" ht="25.5" spans="1:24">
      <c r="A252" s="99" t="s">
        <v>5828</v>
      </c>
      <c r="B252" s="100" t="s">
        <v>77</v>
      </c>
      <c r="C252" s="100" t="s">
        <v>5829</v>
      </c>
      <c r="D252" s="100" t="s">
        <v>2961</v>
      </c>
      <c r="E252" s="101" t="s">
        <v>134</v>
      </c>
      <c r="F252" s="99" t="s">
        <v>10006</v>
      </c>
      <c r="G252" s="99"/>
      <c r="H252" s="99" t="s">
        <v>10007</v>
      </c>
      <c r="I252" s="99"/>
      <c r="J252" s="99" t="s">
        <v>10008</v>
      </c>
      <c r="K252" s="99"/>
      <c r="L252" s="102">
        <v>11090.88</v>
      </c>
      <c r="M252" s="99" t="s">
        <v>9959</v>
      </c>
      <c r="N252" s="102">
        <v>18025692.763903</v>
      </c>
      <c r="O252" s="99" t="s">
        <v>10009</v>
      </c>
      <c r="R252" s="58"/>
      <c r="S252" s="58"/>
      <c r="T252" s="58"/>
      <c r="U252" s="58"/>
      <c r="V252" s="58"/>
      <c r="W252" s="58"/>
      <c r="X252" s="58"/>
    </row>
    <row r="253" ht="127.5" spans="1:24">
      <c r="A253" s="99" t="s">
        <v>4232</v>
      </c>
      <c r="B253" s="100" t="s">
        <v>132</v>
      </c>
      <c r="C253" s="100" t="s">
        <v>4233</v>
      </c>
      <c r="D253" s="100" t="s">
        <v>2961</v>
      </c>
      <c r="E253" s="101" t="s">
        <v>134</v>
      </c>
      <c r="F253" s="99" t="s">
        <v>9091</v>
      </c>
      <c r="G253" s="99"/>
      <c r="H253" s="99" t="s">
        <v>10010</v>
      </c>
      <c r="I253" s="99"/>
      <c r="J253" s="99" t="s">
        <v>10010</v>
      </c>
      <c r="K253" s="99"/>
      <c r="L253" s="102">
        <v>10950.96</v>
      </c>
      <c r="M253" s="99" t="s">
        <v>10011</v>
      </c>
      <c r="N253" s="102">
        <v>18036643.723903</v>
      </c>
      <c r="O253" s="99" t="s">
        <v>10012</v>
      </c>
      <c r="R253" s="58"/>
      <c r="S253" s="58"/>
      <c r="T253" s="58"/>
      <c r="U253" s="58"/>
      <c r="V253" s="58"/>
      <c r="W253" s="58"/>
      <c r="X253" s="58"/>
    </row>
    <row r="254" ht="38.25" spans="1:24">
      <c r="A254" s="99" t="s">
        <v>3778</v>
      </c>
      <c r="B254" s="100" t="s">
        <v>77</v>
      </c>
      <c r="C254" s="100" t="s">
        <v>3779</v>
      </c>
      <c r="D254" s="100" t="s">
        <v>2961</v>
      </c>
      <c r="E254" s="101" t="s">
        <v>204</v>
      </c>
      <c r="F254" s="99" t="s">
        <v>10013</v>
      </c>
      <c r="G254" s="99"/>
      <c r="H254" s="99" t="s">
        <v>10014</v>
      </c>
      <c r="I254" s="99"/>
      <c r="J254" s="99" t="s">
        <v>10015</v>
      </c>
      <c r="K254" s="99"/>
      <c r="L254" s="102">
        <v>10900.008</v>
      </c>
      <c r="M254" s="99" t="s">
        <v>10011</v>
      </c>
      <c r="N254" s="102">
        <v>18047543.731903</v>
      </c>
      <c r="O254" s="99" t="s">
        <v>10016</v>
      </c>
      <c r="R254" s="58"/>
      <c r="S254" s="58"/>
      <c r="T254" s="58"/>
      <c r="U254" s="58"/>
      <c r="V254" s="58"/>
      <c r="W254" s="58"/>
      <c r="X254" s="58"/>
    </row>
    <row r="255" spans="1:24">
      <c r="A255" s="99" t="s">
        <v>4217</v>
      </c>
      <c r="B255" s="100" t="s">
        <v>132</v>
      </c>
      <c r="C255" s="100" t="s">
        <v>1320</v>
      </c>
      <c r="D255" s="100" t="s">
        <v>2961</v>
      </c>
      <c r="E255" s="101" t="s">
        <v>134</v>
      </c>
      <c r="F255" s="99" t="s">
        <v>10017</v>
      </c>
      <c r="G255" s="99"/>
      <c r="H255" s="99" t="s">
        <v>10018</v>
      </c>
      <c r="I255" s="99"/>
      <c r="J255" s="99" t="s">
        <v>10019</v>
      </c>
      <c r="K255" s="99"/>
      <c r="L255" s="102">
        <v>10855</v>
      </c>
      <c r="M255" s="99" t="s">
        <v>10011</v>
      </c>
      <c r="N255" s="102">
        <v>18058398.731903</v>
      </c>
      <c r="O255" s="99" t="s">
        <v>10020</v>
      </c>
      <c r="R255" s="58"/>
      <c r="S255" s="58"/>
      <c r="T255" s="58"/>
      <c r="U255" s="58"/>
      <c r="V255" s="58"/>
      <c r="W255" s="58"/>
      <c r="X255" s="58"/>
    </row>
    <row r="256" ht="25.5" spans="1:24">
      <c r="A256" s="99" t="s">
        <v>5046</v>
      </c>
      <c r="B256" s="100" t="s">
        <v>139</v>
      </c>
      <c r="C256" s="100" t="s">
        <v>5047</v>
      </c>
      <c r="D256" s="100" t="s">
        <v>2961</v>
      </c>
      <c r="E256" s="101" t="s">
        <v>204</v>
      </c>
      <c r="F256" s="99" t="s">
        <v>10021</v>
      </c>
      <c r="G256" s="99"/>
      <c r="H256" s="99" t="s">
        <v>10022</v>
      </c>
      <c r="I256" s="99"/>
      <c r="J256" s="99" t="s">
        <v>10023</v>
      </c>
      <c r="K256" s="99"/>
      <c r="L256" s="102">
        <v>10799.0994965</v>
      </c>
      <c r="M256" s="99" t="s">
        <v>10011</v>
      </c>
      <c r="N256" s="102">
        <v>18069197.8313995</v>
      </c>
      <c r="O256" s="99" t="s">
        <v>10024</v>
      </c>
      <c r="R256" s="58"/>
      <c r="S256" s="58"/>
      <c r="T256" s="58"/>
      <c r="U256" s="58"/>
      <c r="V256" s="58"/>
      <c r="W256" s="58"/>
      <c r="X256" s="58"/>
    </row>
    <row r="257" ht="127.5" spans="1:24">
      <c r="A257" s="99" t="s">
        <v>4238</v>
      </c>
      <c r="B257" s="100" t="s">
        <v>132</v>
      </c>
      <c r="C257" s="100" t="s">
        <v>4239</v>
      </c>
      <c r="D257" s="100" t="s">
        <v>2961</v>
      </c>
      <c r="E257" s="101" t="s">
        <v>134</v>
      </c>
      <c r="F257" s="99" t="s">
        <v>9091</v>
      </c>
      <c r="G257" s="99"/>
      <c r="H257" s="99" t="s">
        <v>10025</v>
      </c>
      <c r="I257" s="99"/>
      <c r="J257" s="99" t="s">
        <v>10025</v>
      </c>
      <c r="K257" s="99"/>
      <c r="L257" s="102">
        <v>10783.25</v>
      </c>
      <c r="M257" s="99" t="s">
        <v>10011</v>
      </c>
      <c r="N257" s="102">
        <v>18079981.0813995</v>
      </c>
      <c r="O257" s="99" t="s">
        <v>10026</v>
      </c>
      <c r="R257" s="58"/>
      <c r="S257" s="58"/>
      <c r="T257" s="58"/>
      <c r="U257" s="58"/>
      <c r="V257" s="58"/>
      <c r="W257" s="58"/>
      <c r="X257" s="58"/>
    </row>
    <row r="258" spans="1:24">
      <c r="A258" s="99" t="s">
        <v>4464</v>
      </c>
      <c r="B258" s="100" t="s">
        <v>149</v>
      </c>
      <c r="C258" s="100" t="s">
        <v>4465</v>
      </c>
      <c r="D258" s="100" t="s">
        <v>2961</v>
      </c>
      <c r="E258" s="101" t="s">
        <v>204</v>
      </c>
      <c r="F258" s="99" t="s">
        <v>10027</v>
      </c>
      <c r="G258" s="99"/>
      <c r="H258" s="99" t="s">
        <v>10028</v>
      </c>
      <c r="I258" s="99"/>
      <c r="J258" s="99" t="s">
        <v>10029</v>
      </c>
      <c r="K258" s="99"/>
      <c r="L258" s="102">
        <v>10781.285</v>
      </c>
      <c r="M258" s="99" t="s">
        <v>10011</v>
      </c>
      <c r="N258" s="102">
        <v>18090762.3663995</v>
      </c>
      <c r="O258" s="99" t="s">
        <v>10030</v>
      </c>
      <c r="R258" s="58"/>
      <c r="S258" s="58"/>
      <c r="T258" s="58"/>
      <c r="U258" s="58"/>
      <c r="V258" s="58"/>
      <c r="W258" s="58"/>
      <c r="X258" s="58"/>
    </row>
    <row r="259" ht="25.5" spans="1:24">
      <c r="A259" s="99" t="s">
        <v>3097</v>
      </c>
      <c r="B259" s="100" t="s">
        <v>139</v>
      </c>
      <c r="C259" s="100" t="s">
        <v>3098</v>
      </c>
      <c r="D259" s="100" t="s">
        <v>2961</v>
      </c>
      <c r="E259" s="101" t="s">
        <v>141</v>
      </c>
      <c r="F259" s="99" t="s">
        <v>10031</v>
      </c>
      <c r="G259" s="99"/>
      <c r="H259" s="99" t="s">
        <v>10032</v>
      </c>
      <c r="I259" s="99"/>
      <c r="J259" s="99" t="s">
        <v>10033</v>
      </c>
      <c r="K259" s="99"/>
      <c r="L259" s="102">
        <v>10775.76308688</v>
      </c>
      <c r="M259" s="99" t="s">
        <v>10011</v>
      </c>
      <c r="N259" s="102">
        <v>18101538.1294864</v>
      </c>
      <c r="O259" s="99" t="s">
        <v>10034</v>
      </c>
      <c r="R259" s="58"/>
      <c r="S259" s="58"/>
      <c r="T259" s="58"/>
      <c r="U259" s="58"/>
      <c r="V259" s="58"/>
      <c r="W259" s="58"/>
      <c r="X259" s="58"/>
    </row>
    <row r="260" ht="25.5" spans="1:24">
      <c r="A260" s="99" t="s">
        <v>5094</v>
      </c>
      <c r="B260" s="100" t="s">
        <v>77</v>
      </c>
      <c r="C260" s="100" t="s">
        <v>5095</v>
      </c>
      <c r="D260" s="100" t="s">
        <v>2961</v>
      </c>
      <c r="E260" s="101" t="s">
        <v>393</v>
      </c>
      <c r="F260" s="99" t="s">
        <v>10035</v>
      </c>
      <c r="G260" s="99"/>
      <c r="H260" s="99" t="s">
        <v>10036</v>
      </c>
      <c r="I260" s="99"/>
      <c r="J260" s="99" t="s">
        <v>10037</v>
      </c>
      <c r="K260" s="99"/>
      <c r="L260" s="102">
        <v>10616.9097216</v>
      </c>
      <c r="M260" s="99" t="s">
        <v>10011</v>
      </c>
      <c r="N260" s="102">
        <v>18112155.039208</v>
      </c>
      <c r="O260" s="99" t="s">
        <v>10038</v>
      </c>
      <c r="R260" s="58"/>
      <c r="S260" s="58"/>
      <c r="T260" s="58"/>
      <c r="U260" s="58"/>
      <c r="V260" s="58"/>
      <c r="W260" s="58"/>
      <c r="X260" s="58"/>
    </row>
    <row r="261" ht="25.5" spans="1:24">
      <c r="A261" s="99" t="s">
        <v>4865</v>
      </c>
      <c r="B261" s="100" t="s">
        <v>149</v>
      </c>
      <c r="C261" s="100" t="s">
        <v>4866</v>
      </c>
      <c r="D261" s="100" t="s">
        <v>2961</v>
      </c>
      <c r="E261" s="101" t="s">
        <v>393</v>
      </c>
      <c r="F261" s="99" t="s">
        <v>10039</v>
      </c>
      <c r="G261" s="99"/>
      <c r="H261" s="99" t="s">
        <v>10040</v>
      </c>
      <c r="I261" s="99"/>
      <c r="J261" s="99" t="s">
        <v>10041</v>
      </c>
      <c r="K261" s="99"/>
      <c r="L261" s="102">
        <v>10538.9235</v>
      </c>
      <c r="M261" s="99" t="s">
        <v>10011</v>
      </c>
      <c r="N261" s="102">
        <v>18122693.962708</v>
      </c>
      <c r="O261" s="99" t="s">
        <v>10042</v>
      </c>
      <c r="R261" s="58"/>
      <c r="S261" s="58"/>
      <c r="T261" s="58"/>
      <c r="U261" s="58"/>
      <c r="V261" s="58"/>
      <c r="W261" s="58"/>
      <c r="X261" s="58"/>
    </row>
    <row r="262" spans="1:24">
      <c r="A262" s="99" t="s">
        <v>3412</v>
      </c>
      <c r="B262" s="100" t="s">
        <v>149</v>
      </c>
      <c r="C262" s="100" t="s">
        <v>3413</v>
      </c>
      <c r="D262" s="100" t="s">
        <v>2896</v>
      </c>
      <c r="E262" s="101" t="s">
        <v>2897</v>
      </c>
      <c r="F262" s="99" t="s">
        <v>10043</v>
      </c>
      <c r="G262" s="99"/>
      <c r="H262" s="99" t="s">
        <v>9359</v>
      </c>
      <c r="I262" s="99"/>
      <c r="J262" s="99" t="s">
        <v>10044</v>
      </c>
      <c r="K262" s="99"/>
      <c r="L262" s="102">
        <v>10502.432679564</v>
      </c>
      <c r="M262" s="99" t="s">
        <v>10011</v>
      </c>
      <c r="N262" s="102">
        <v>18133196.3953875</v>
      </c>
      <c r="O262" s="99" t="s">
        <v>10045</v>
      </c>
      <c r="R262" s="58"/>
      <c r="S262" s="58"/>
      <c r="T262" s="58"/>
      <c r="U262" s="58"/>
      <c r="V262" s="58"/>
      <c r="W262" s="58"/>
      <c r="X262" s="58"/>
    </row>
    <row r="263" ht="25.5" spans="1:24">
      <c r="A263" s="99" t="s">
        <v>4149</v>
      </c>
      <c r="B263" s="100" t="s">
        <v>77</v>
      </c>
      <c r="C263" s="100" t="s">
        <v>4150</v>
      </c>
      <c r="D263" s="100" t="s">
        <v>2961</v>
      </c>
      <c r="E263" s="101" t="s">
        <v>134</v>
      </c>
      <c r="F263" s="99" t="s">
        <v>10046</v>
      </c>
      <c r="G263" s="99"/>
      <c r="H263" s="99" t="s">
        <v>10047</v>
      </c>
      <c r="I263" s="99"/>
      <c r="J263" s="99" t="s">
        <v>10048</v>
      </c>
      <c r="K263" s="99"/>
      <c r="L263" s="102">
        <v>10404.108</v>
      </c>
      <c r="M263" s="99" t="s">
        <v>10011</v>
      </c>
      <c r="N263" s="102">
        <v>18143600.5033876</v>
      </c>
      <c r="O263" s="99" t="s">
        <v>10049</v>
      </c>
      <c r="R263" s="58"/>
      <c r="S263" s="58"/>
      <c r="T263" s="58"/>
      <c r="U263" s="58"/>
      <c r="V263" s="58"/>
      <c r="W263" s="58"/>
      <c r="X263" s="58"/>
    </row>
    <row r="264" ht="63.75" spans="1:24">
      <c r="A264" s="99" t="s">
        <v>4280</v>
      </c>
      <c r="B264" s="100" t="s">
        <v>132</v>
      </c>
      <c r="C264" s="100" t="s">
        <v>4281</v>
      </c>
      <c r="D264" s="100" t="s">
        <v>2961</v>
      </c>
      <c r="E264" s="101" t="s">
        <v>134</v>
      </c>
      <c r="F264" s="99" t="s">
        <v>9091</v>
      </c>
      <c r="G264" s="99"/>
      <c r="H264" s="99" t="s">
        <v>10050</v>
      </c>
      <c r="I264" s="99"/>
      <c r="J264" s="99" t="s">
        <v>10050</v>
      </c>
      <c r="K264" s="99"/>
      <c r="L264" s="102">
        <v>10358.9</v>
      </c>
      <c r="M264" s="99" t="s">
        <v>10011</v>
      </c>
      <c r="N264" s="102">
        <v>18153959.4033876</v>
      </c>
      <c r="O264" s="99" t="s">
        <v>10051</v>
      </c>
      <c r="R264" s="58"/>
      <c r="S264" s="58"/>
      <c r="T264" s="58"/>
      <c r="U264" s="58"/>
      <c r="V264" s="58"/>
      <c r="W264" s="58"/>
      <c r="X264" s="58"/>
    </row>
    <row r="265" ht="38.25" spans="1:24">
      <c r="A265" s="99" t="s">
        <v>4645</v>
      </c>
      <c r="B265" s="100" t="s">
        <v>132</v>
      </c>
      <c r="C265" s="100" t="s">
        <v>1958</v>
      </c>
      <c r="D265" s="100" t="s">
        <v>2961</v>
      </c>
      <c r="E265" s="101" t="s">
        <v>134</v>
      </c>
      <c r="F265" s="99" t="s">
        <v>9742</v>
      </c>
      <c r="G265" s="99"/>
      <c r="H265" s="99" t="s">
        <v>10052</v>
      </c>
      <c r="I265" s="99"/>
      <c r="J265" s="99" t="s">
        <v>10053</v>
      </c>
      <c r="K265" s="99"/>
      <c r="L265" s="102">
        <v>10279.68</v>
      </c>
      <c r="M265" s="99" t="s">
        <v>10011</v>
      </c>
      <c r="N265" s="102">
        <v>18164239.0833875</v>
      </c>
      <c r="O265" s="99" t="s">
        <v>10054</v>
      </c>
      <c r="R265" s="58"/>
      <c r="S265" s="58"/>
      <c r="T265" s="58"/>
      <c r="U265" s="58"/>
      <c r="V265" s="58"/>
      <c r="W265" s="58"/>
      <c r="X265" s="58"/>
    </row>
    <row r="266" ht="127.5" spans="1:24">
      <c r="A266" s="99" t="s">
        <v>4246</v>
      </c>
      <c r="B266" s="100" t="s">
        <v>132</v>
      </c>
      <c r="C266" s="100" t="s">
        <v>4247</v>
      </c>
      <c r="D266" s="100" t="s">
        <v>2961</v>
      </c>
      <c r="E266" s="101" t="s">
        <v>134</v>
      </c>
      <c r="F266" s="99" t="s">
        <v>9091</v>
      </c>
      <c r="G266" s="99"/>
      <c r="H266" s="99" t="s">
        <v>10055</v>
      </c>
      <c r="I266" s="99"/>
      <c r="J266" s="99" t="s">
        <v>10055</v>
      </c>
      <c r="K266" s="99"/>
      <c r="L266" s="102">
        <v>10115.77</v>
      </c>
      <c r="M266" s="99" t="s">
        <v>10011</v>
      </c>
      <c r="N266" s="102">
        <v>18174354.8533875</v>
      </c>
      <c r="O266" s="99" t="s">
        <v>10056</v>
      </c>
      <c r="R266" s="58"/>
      <c r="S266" s="58"/>
      <c r="T266" s="58"/>
      <c r="U266" s="58"/>
      <c r="V266" s="58"/>
      <c r="W266" s="58"/>
      <c r="X266" s="58"/>
    </row>
    <row r="267" ht="25.5" spans="1:24">
      <c r="A267" s="99" t="s">
        <v>4663</v>
      </c>
      <c r="B267" s="100" t="s">
        <v>132</v>
      </c>
      <c r="C267" s="100" t="s">
        <v>4664</v>
      </c>
      <c r="D267" s="100" t="s">
        <v>2961</v>
      </c>
      <c r="E267" s="101" t="s">
        <v>134</v>
      </c>
      <c r="F267" s="99" t="s">
        <v>9091</v>
      </c>
      <c r="G267" s="99"/>
      <c r="H267" s="99" t="s">
        <v>10057</v>
      </c>
      <c r="I267" s="99"/>
      <c r="J267" s="99" t="s">
        <v>10057</v>
      </c>
      <c r="K267" s="99"/>
      <c r="L267" s="102">
        <v>10085.38</v>
      </c>
      <c r="M267" s="99" t="s">
        <v>10011</v>
      </c>
      <c r="N267" s="102">
        <v>18184440.2333876</v>
      </c>
      <c r="O267" s="99" t="s">
        <v>10058</v>
      </c>
      <c r="R267" s="58"/>
      <c r="S267" s="58"/>
      <c r="T267" s="58"/>
      <c r="U267" s="58"/>
      <c r="V267" s="58"/>
      <c r="W267" s="58"/>
      <c r="X267" s="58"/>
    </row>
    <row r="268" spans="1:24">
      <c r="A268" s="99" t="s">
        <v>3569</v>
      </c>
      <c r="B268" s="100" t="s">
        <v>149</v>
      </c>
      <c r="C268" s="100" t="s">
        <v>3570</v>
      </c>
      <c r="D268" s="100" t="s">
        <v>2961</v>
      </c>
      <c r="E268" s="101" t="s">
        <v>279</v>
      </c>
      <c r="F268" s="99" t="s">
        <v>10059</v>
      </c>
      <c r="G268" s="99"/>
      <c r="H268" s="99" t="s">
        <v>10060</v>
      </c>
      <c r="I268" s="99"/>
      <c r="J268" s="99" t="s">
        <v>10061</v>
      </c>
      <c r="K268" s="99"/>
      <c r="L268" s="102">
        <v>10035.1524544</v>
      </c>
      <c r="M268" s="99" t="s">
        <v>10011</v>
      </c>
      <c r="N268" s="102">
        <v>18194475.385842</v>
      </c>
      <c r="O268" s="99" t="s">
        <v>10062</v>
      </c>
      <c r="R268" s="58"/>
      <c r="S268" s="58"/>
      <c r="T268" s="58"/>
      <c r="U268" s="58"/>
      <c r="V268" s="58"/>
      <c r="W268" s="58"/>
      <c r="X268" s="58"/>
    </row>
    <row r="269" spans="1:24">
      <c r="A269" s="99" t="s">
        <v>4537</v>
      </c>
      <c r="B269" s="100" t="s">
        <v>149</v>
      </c>
      <c r="C269" s="100" t="s">
        <v>4538</v>
      </c>
      <c r="D269" s="100" t="s">
        <v>2961</v>
      </c>
      <c r="E269" s="101" t="s">
        <v>204</v>
      </c>
      <c r="F269" s="99" t="s">
        <v>10063</v>
      </c>
      <c r="G269" s="99"/>
      <c r="H269" s="99" t="s">
        <v>10064</v>
      </c>
      <c r="I269" s="99"/>
      <c r="J269" s="99" t="s">
        <v>10065</v>
      </c>
      <c r="K269" s="99"/>
      <c r="L269" s="102">
        <v>10017</v>
      </c>
      <c r="M269" s="99" t="s">
        <v>10011</v>
      </c>
      <c r="N269" s="102">
        <v>18204492.385842</v>
      </c>
      <c r="O269" s="99" t="s">
        <v>10066</v>
      </c>
      <c r="R269" s="58"/>
      <c r="S269" s="58"/>
      <c r="T269" s="58"/>
      <c r="U269" s="58"/>
      <c r="V269" s="58"/>
      <c r="W269" s="58"/>
      <c r="X269" s="58"/>
    </row>
    <row r="270" spans="1:24">
      <c r="A270" s="99" t="s">
        <v>5106</v>
      </c>
      <c r="B270" s="100" t="s">
        <v>149</v>
      </c>
      <c r="C270" s="100" t="s">
        <v>5107</v>
      </c>
      <c r="D270" s="100" t="s">
        <v>2896</v>
      </c>
      <c r="E270" s="101" t="s">
        <v>2897</v>
      </c>
      <c r="F270" s="99" t="s">
        <v>10067</v>
      </c>
      <c r="G270" s="99"/>
      <c r="H270" s="99" t="s">
        <v>9359</v>
      </c>
      <c r="I270" s="99"/>
      <c r="J270" s="99" t="s">
        <v>10068</v>
      </c>
      <c r="K270" s="99"/>
      <c r="L270" s="102">
        <v>9966.94325</v>
      </c>
      <c r="M270" s="99" t="s">
        <v>10011</v>
      </c>
      <c r="N270" s="102">
        <v>18214459.329092</v>
      </c>
      <c r="O270" s="99" t="s">
        <v>10069</v>
      </c>
      <c r="R270" s="58"/>
      <c r="S270" s="58"/>
      <c r="T270" s="58"/>
      <c r="U270" s="58"/>
      <c r="V270" s="58"/>
      <c r="W270" s="58"/>
      <c r="X270" s="58"/>
    </row>
    <row r="271" spans="1:24">
      <c r="A271" s="99" t="s">
        <v>3060</v>
      </c>
      <c r="B271" s="100" t="s">
        <v>139</v>
      </c>
      <c r="C271" s="100" t="s">
        <v>3061</v>
      </c>
      <c r="D271" s="100" t="s">
        <v>2961</v>
      </c>
      <c r="E271" s="101" t="s">
        <v>141</v>
      </c>
      <c r="F271" s="99" t="s">
        <v>10070</v>
      </c>
      <c r="G271" s="99"/>
      <c r="H271" s="99" t="s">
        <v>10071</v>
      </c>
      <c r="I271" s="99"/>
      <c r="J271" s="99" t="s">
        <v>10072</v>
      </c>
      <c r="K271" s="99"/>
      <c r="L271" s="102">
        <v>9919.965</v>
      </c>
      <c r="M271" s="99" t="s">
        <v>10011</v>
      </c>
      <c r="N271" s="102">
        <v>18224379.294092</v>
      </c>
      <c r="O271" s="99" t="s">
        <v>10073</v>
      </c>
      <c r="R271" s="58"/>
      <c r="S271" s="58"/>
      <c r="T271" s="58"/>
      <c r="U271" s="58"/>
      <c r="V271" s="58"/>
      <c r="W271" s="58"/>
      <c r="X271" s="58"/>
    </row>
    <row r="272" ht="38.25" spans="1:24">
      <c r="A272" s="99" t="s">
        <v>3876</v>
      </c>
      <c r="B272" s="100" t="s">
        <v>77</v>
      </c>
      <c r="C272" s="100" t="s">
        <v>3877</v>
      </c>
      <c r="D272" s="100" t="s">
        <v>2961</v>
      </c>
      <c r="E272" s="101" t="s">
        <v>204</v>
      </c>
      <c r="F272" s="99" t="s">
        <v>10074</v>
      </c>
      <c r="G272" s="99"/>
      <c r="H272" s="99" t="s">
        <v>10075</v>
      </c>
      <c r="I272" s="99"/>
      <c r="J272" s="99" t="s">
        <v>10076</v>
      </c>
      <c r="K272" s="99"/>
      <c r="L272" s="102">
        <v>9861.768</v>
      </c>
      <c r="M272" s="99" t="s">
        <v>10011</v>
      </c>
      <c r="N272" s="102">
        <v>18234241.062092</v>
      </c>
      <c r="O272" s="99" t="s">
        <v>10077</v>
      </c>
      <c r="R272" s="58"/>
      <c r="S272" s="58"/>
      <c r="T272" s="58"/>
      <c r="U272" s="58"/>
      <c r="V272" s="58"/>
      <c r="W272" s="58"/>
      <c r="X272" s="58"/>
    </row>
    <row r="273" ht="76.5" spans="1:24">
      <c r="A273" s="99" t="s">
        <v>5978</v>
      </c>
      <c r="B273" s="100" t="s">
        <v>139</v>
      </c>
      <c r="C273" s="100" t="s">
        <v>5979</v>
      </c>
      <c r="D273" s="100" t="s">
        <v>2961</v>
      </c>
      <c r="E273" s="101" t="s">
        <v>1491</v>
      </c>
      <c r="F273" s="99" t="s">
        <v>10078</v>
      </c>
      <c r="G273" s="99"/>
      <c r="H273" s="99" t="s">
        <v>10079</v>
      </c>
      <c r="I273" s="99"/>
      <c r="J273" s="99" t="s">
        <v>10080</v>
      </c>
      <c r="K273" s="99"/>
      <c r="L273" s="102">
        <v>9790</v>
      </c>
      <c r="M273" s="99" t="s">
        <v>10011</v>
      </c>
      <c r="N273" s="102">
        <v>18244031.062092</v>
      </c>
      <c r="O273" s="99" t="s">
        <v>10081</v>
      </c>
      <c r="R273" s="58"/>
      <c r="S273" s="58"/>
      <c r="T273" s="58"/>
      <c r="U273" s="58"/>
      <c r="V273" s="58"/>
      <c r="W273" s="58"/>
      <c r="X273" s="58"/>
    </row>
    <row r="274" ht="38.25" spans="1:24">
      <c r="A274" s="99" t="s">
        <v>4766</v>
      </c>
      <c r="B274" s="100" t="s">
        <v>77</v>
      </c>
      <c r="C274" s="100" t="s">
        <v>4767</v>
      </c>
      <c r="D274" s="100" t="s">
        <v>2896</v>
      </c>
      <c r="E274" s="101" t="s">
        <v>2897</v>
      </c>
      <c r="F274" s="99" t="s">
        <v>10082</v>
      </c>
      <c r="G274" s="99"/>
      <c r="H274" s="99" t="s">
        <v>9322</v>
      </c>
      <c r="I274" s="99"/>
      <c r="J274" s="99" t="s">
        <v>10083</v>
      </c>
      <c r="K274" s="99"/>
      <c r="L274" s="102">
        <v>9715.139619846</v>
      </c>
      <c r="M274" s="99" t="s">
        <v>10011</v>
      </c>
      <c r="N274" s="102">
        <v>18253746.2017118</v>
      </c>
      <c r="O274" s="99" t="s">
        <v>10084</v>
      </c>
      <c r="R274" s="58"/>
      <c r="S274" s="58"/>
      <c r="T274" s="58"/>
      <c r="U274" s="58"/>
      <c r="V274" s="58"/>
      <c r="W274" s="58"/>
      <c r="X274" s="58"/>
    </row>
    <row r="275" ht="25.5" spans="1:24">
      <c r="A275" s="99" t="s">
        <v>3594</v>
      </c>
      <c r="B275" s="100" t="s">
        <v>149</v>
      </c>
      <c r="C275" s="100" t="s">
        <v>3595</v>
      </c>
      <c r="D275" s="100" t="s">
        <v>2961</v>
      </c>
      <c r="E275" s="101" t="s">
        <v>3084</v>
      </c>
      <c r="F275" s="99" t="s">
        <v>10085</v>
      </c>
      <c r="G275" s="99"/>
      <c r="H275" s="99" t="s">
        <v>10086</v>
      </c>
      <c r="I275" s="99"/>
      <c r="J275" s="99" t="s">
        <v>10087</v>
      </c>
      <c r="K275" s="99"/>
      <c r="L275" s="102">
        <v>9541.442652</v>
      </c>
      <c r="M275" s="99" t="s">
        <v>10011</v>
      </c>
      <c r="N275" s="102">
        <v>18263287.6443638</v>
      </c>
      <c r="O275" s="99" t="s">
        <v>10088</v>
      </c>
      <c r="R275" s="58"/>
      <c r="S275" s="58"/>
      <c r="T275" s="58"/>
      <c r="U275" s="58"/>
      <c r="V275" s="58"/>
      <c r="W275" s="58"/>
      <c r="X275" s="58"/>
    </row>
    <row r="276" ht="76.5" spans="1:24">
      <c r="A276" s="99" t="s">
        <v>5896</v>
      </c>
      <c r="B276" s="100" t="s">
        <v>139</v>
      </c>
      <c r="C276" s="100" t="s">
        <v>5897</v>
      </c>
      <c r="D276" s="100" t="s">
        <v>2961</v>
      </c>
      <c r="E276" s="101" t="s">
        <v>134</v>
      </c>
      <c r="F276" s="99" t="s">
        <v>10089</v>
      </c>
      <c r="G276" s="99"/>
      <c r="H276" s="99" t="s">
        <v>10090</v>
      </c>
      <c r="I276" s="99"/>
      <c r="J276" s="99" t="s">
        <v>10091</v>
      </c>
      <c r="K276" s="99"/>
      <c r="L276" s="102">
        <v>9500.69637</v>
      </c>
      <c r="M276" s="99" t="s">
        <v>10011</v>
      </c>
      <c r="N276" s="102">
        <v>18272788.3407338</v>
      </c>
      <c r="O276" s="99" t="s">
        <v>10092</v>
      </c>
      <c r="R276" s="58"/>
      <c r="S276" s="58"/>
      <c r="T276" s="58"/>
      <c r="U276" s="58"/>
      <c r="V276" s="58"/>
      <c r="W276" s="58"/>
      <c r="X276" s="58"/>
    </row>
    <row r="277" ht="25.5" spans="1:24">
      <c r="A277" s="99" t="s">
        <v>3318</v>
      </c>
      <c r="B277" s="100" t="s">
        <v>139</v>
      </c>
      <c r="C277" s="100" t="s">
        <v>3319</v>
      </c>
      <c r="D277" s="100" t="s">
        <v>2961</v>
      </c>
      <c r="E277" s="101" t="s">
        <v>393</v>
      </c>
      <c r="F277" s="99" t="s">
        <v>10093</v>
      </c>
      <c r="G277" s="99"/>
      <c r="H277" s="99" t="s">
        <v>10094</v>
      </c>
      <c r="I277" s="99"/>
      <c r="J277" s="99" t="s">
        <v>10095</v>
      </c>
      <c r="K277" s="99"/>
      <c r="L277" s="102">
        <v>9496.1468780343</v>
      </c>
      <c r="M277" s="99" t="s">
        <v>10011</v>
      </c>
      <c r="N277" s="102">
        <v>18282284.4876118</v>
      </c>
      <c r="O277" s="99" t="s">
        <v>10096</v>
      </c>
      <c r="R277" s="58"/>
      <c r="S277" s="58"/>
      <c r="T277" s="58"/>
      <c r="U277" s="58"/>
      <c r="V277" s="58"/>
      <c r="W277" s="58"/>
      <c r="X277" s="58"/>
    </row>
    <row r="278" ht="25.5" spans="1:24">
      <c r="A278" s="99" t="s">
        <v>4661</v>
      </c>
      <c r="B278" s="100" t="s">
        <v>132</v>
      </c>
      <c r="C278" s="100" t="s">
        <v>4662</v>
      </c>
      <c r="D278" s="100" t="s">
        <v>2961</v>
      </c>
      <c r="E278" s="101" t="s">
        <v>134</v>
      </c>
      <c r="F278" s="99" t="s">
        <v>9091</v>
      </c>
      <c r="G278" s="99"/>
      <c r="H278" s="99" t="s">
        <v>10097</v>
      </c>
      <c r="I278" s="99"/>
      <c r="J278" s="99" t="s">
        <v>10097</v>
      </c>
      <c r="K278" s="99"/>
      <c r="L278" s="102">
        <v>9485.43</v>
      </c>
      <c r="M278" s="99" t="s">
        <v>10011</v>
      </c>
      <c r="N278" s="102">
        <v>18291769.9176118</v>
      </c>
      <c r="O278" s="99" t="s">
        <v>10098</v>
      </c>
      <c r="R278" s="58"/>
      <c r="S278" s="58"/>
      <c r="T278" s="58"/>
      <c r="U278" s="58"/>
      <c r="V278" s="58"/>
      <c r="W278" s="58"/>
      <c r="X278" s="58"/>
    </row>
    <row r="279" ht="25.5" spans="1:24">
      <c r="A279" s="99" t="s">
        <v>5780</v>
      </c>
      <c r="B279" s="100" t="s">
        <v>77</v>
      </c>
      <c r="C279" s="100" t="s">
        <v>5781</v>
      </c>
      <c r="D279" s="100" t="s">
        <v>3395</v>
      </c>
      <c r="E279" s="101" t="s">
        <v>134</v>
      </c>
      <c r="F279" s="99" t="s">
        <v>10099</v>
      </c>
      <c r="G279" s="99"/>
      <c r="H279" s="99" t="s">
        <v>10100</v>
      </c>
      <c r="I279" s="99"/>
      <c r="J279" s="99" t="s">
        <v>10101</v>
      </c>
      <c r="K279" s="99"/>
      <c r="L279" s="102">
        <v>9442.79003786366</v>
      </c>
      <c r="M279" s="99" t="s">
        <v>10011</v>
      </c>
      <c r="N279" s="102">
        <v>18301212.7076497</v>
      </c>
      <c r="O279" s="99" t="s">
        <v>10102</v>
      </c>
      <c r="R279" s="58"/>
      <c r="S279" s="58"/>
      <c r="T279" s="58"/>
      <c r="U279" s="58"/>
      <c r="V279" s="58"/>
      <c r="W279" s="58"/>
      <c r="X279" s="58"/>
    </row>
    <row r="280" spans="1:24">
      <c r="A280" s="99" t="s">
        <v>4396</v>
      </c>
      <c r="B280" s="100" t="s">
        <v>132</v>
      </c>
      <c r="C280" s="100" t="s">
        <v>4397</v>
      </c>
      <c r="D280" s="100" t="s">
        <v>2961</v>
      </c>
      <c r="E280" s="101" t="s">
        <v>134</v>
      </c>
      <c r="F280" s="99" t="s">
        <v>9934</v>
      </c>
      <c r="G280" s="99"/>
      <c r="H280" s="99" t="s">
        <v>10103</v>
      </c>
      <c r="I280" s="99"/>
      <c r="J280" s="99" t="s">
        <v>10104</v>
      </c>
      <c r="K280" s="99"/>
      <c r="L280" s="102">
        <v>9396.38</v>
      </c>
      <c r="M280" s="99" t="s">
        <v>10011</v>
      </c>
      <c r="N280" s="102">
        <v>18310609.0876497</v>
      </c>
      <c r="O280" s="99" t="s">
        <v>10105</v>
      </c>
      <c r="R280" s="58"/>
      <c r="S280" s="58"/>
      <c r="T280" s="58"/>
      <c r="U280" s="58"/>
      <c r="V280" s="58"/>
      <c r="W280" s="58"/>
      <c r="X280" s="58"/>
    </row>
    <row r="281" ht="38.25" spans="1:24">
      <c r="A281" s="99" t="s">
        <v>6066</v>
      </c>
      <c r="B281" s="100" t="s">
        <v>139</v>
      </c>
      <c r="C281" s="100" t="s">
        <v>6067</v>
      </c>
      <c r="D281" s="100" t="s">
        <v>2961</v>
      </c>
      <c r="E281" s="101" t="s">
        <v>204</v>
      </c>
      <c r="F281" s="99" t="s">
        <v>10106</v>
      </c>
      <c r="G281" s="99"/>
      <c r="H281" s="99" t="s">
        <v>10107</v>
      </c>
      <c r="I281" s="99"/>
      <c r="J281" s="99" t="s">
        <v>10108</v>
      </c>
      <c r="K281" s="99"/>
      <c r="L281" s="102">
        <v>9200.92254642</v>
      </c>
      <c r="M281" s="99" t="s">
        <v>10011</v>
      </c>
      <c r="N281" s="102">
        <v>18319810.0101961</v>
      </c>
      <c r="O281" s="99" t="s">
        <v>10109</v>
      </c>
      <c r="R281" s="58"/>
      <c r="S281" s="58"/>
      <c r="T281" s="58"/>
      <c r="U281" s="58"/>
      <c r="V281" s="58"/>
      <c r="W281" s="58"/>
      <c r="X281" s="58"/>
    </row>
    <row r="282" ht="25.5" spans="1:24">
      <c r="A282" s="99" t="s">
        <v>3268</v>
      </c>
      <c r="B282" s="100" t="s">
        <v>77</v>
      </c>
      <c r="C282" s="100" t="s">
        <v>3269</v>
      </c>
      <c r="D282" s="100" t="s">
        <v>2961</v>
      </c>
      <c r="E282" s="101" t="s">
        <v>3270</v>
      </c>
      <c r="F282" s="99" t="s">
        <v>10110</v>
      </c>
      <c r="G282" s="99"/>
      <c r="H282" s="99" t="s">
        <v>10111</v>
      </c>
      <c r="I282" s="99"/>
      <c r="J282" s="99" t="s">
        <v>7675</v>
      </c>
      <c r="K282" s="99"/>
      <c r="L282" s="102">
        <v>9169.2</v>
      </c>
      <c r="M282" s="99" t="s">
        <v>10011</v>
      </c>
      <c r="N282" s="102">
        <v>18328979.2101961</v>
      </c>
      <c r="O282" s="99" t="s">
        <v>10112</v>
      </c>
      <c r="R282" s="58"/>
      <c r="S282" s="58"/>
      <c r="T282" s="58"/>
      <c r="U282" s="58"/>
      <c r="V282" s="58"/>
      <c r="W282" s="58"/>
      <c r="X282" s="58"/>
    </row>
    <row r="283" spans="1:24">
      <c r="A283" s="99" t="s">
        <v>5634</v>
      </c>
      <c r="B283" s="100" t="s">
        <v>139</v>
      </c>
      <c r="C283" s="100" t="s">
        <v>5635</v>
      </c>
      <c r="D283" s="100" t="s">
        <v>2896</v>
      </c>
      <c r="E283" s="101" t="s">
        <v>2897</v>
      </c>
      <c r="F283" s="99" t="s">
        <v>10113</v>
      </c>
      <c r="G283" s="99"/>
      <c r="H283" s="99" t="s">
        <v>10114</v>
      </c>
      <c r="I283" s="99"/>
      <c r="J283" s="99" t="s">
        <v>10115</v>
      </c>
      <c r="K283" s="99"/>
      <c r="L283" s="102">
        <v>9107.7382540225</v>
      </c>
      <c r="M283" s="99" t="s">
        <v>10011</v>
      </c>
      <c r="N283" s="102">
        <v>18338086.9484501</v>
      </c>
      <c r="O283" s="99" t="s">
        <v>10116</v>
      </c>
      <c r="R283" s="58"/>
      <c r="S283" s="58"/>
      <c r="T283" s="58"/>
      <c r="U283" s="58"/>
      <c r="V283" s="58"/>
      <c r="W283" s="58"/>
      <c r="X283" s="58"/>
    </row>
    <row r="284" spans="1:24">
      <c r="A284" s="99" t="s">
        <v>4209</v>
      </c>
      <c r="B284" s="100" t="s">
        <v>132</v>
      </c>
      <c r="C284" s="100" t="s">
        <v>1302</v>
      </c>
      <c r="D284" s="100" t="s">
        <v>2961</v>
      </c>
      <c r="E284" s="101" t="s">
        <v>134</v>
      </c>
      <c r="F284" s="99" t="s">
        <v>9183</v>
      </c>
      <c r="G284" s="99"/>
      <c r="H284" s="99" t="s">
        <v>10117</v>
      </c>
      <c r="I284" s="99"/>
      <c r="J284" s="99" t="s">
        <v>10118</v>
      </c>
      <c r="K284" s="99"/>
      <c r="L284" s="102">
        <v>9080.34</v>
      </c>
      <c r="M284" s="99" t="s">
        <v>10011</v>
      </c>
      <c r="N284" s="102">
        <v>18347167.2884501</v>
      </c>
      <c r="O284" s="99" t="s">
        <v>10119</v>
      </c>
      <c r="R284" s="58"/>
      <c r="S284" s="58"/>
      <c r="T284" s="58"/>
      <c r="U284" s="58"/>
      <c r="V284" s="58"/>
      <c r="W284" s="58"/>
      <c r="X284" s="58"/>
    </row>
    <row r="285" ht="25.5" spans="1:24">
      <c r="A285" s="99" t="s">
        <v>3958</v>
      </c>
      <c r="B285" s="100" t="s">
        <v>149</v>
      </c>
      <c r="C285" s="100" t="s">
        <v>3959</v>
      </c>
      <c r="D285" s="100" t="s">
        <v>2961</v>
      </c>
      <c r="E285" s="101" t="s">
        <v>204</v>
      </c>
      <c r="F285" s="99" t="s">
        <v>10120</v>
      </c>
      <c r="G285" s="99"/>
      <c r="H285" s="99" t="s">
        <v>10121</v>
      </c>
      <c r="I285" s="99"/>
      <c r="J285" s="99" t="s">
        <v>10122</v>
      </c>
      <c r="K285" s="99"/>
      <c r="L285" s="102">
        <v>9041.054</v>
      </c>
      <c r="M285" s="99" t="s">
        <v>10011</v>
      </c>
      <c r="N285" s="102">
        <v>18356208.3424501</v>
      </c>
      <c r="O285" s="99" t="s">
        <v>10123</v>
      </c>
      <c r="R285" s="58"/>
      <c r="S285" s="58"/>
      <c r="T285" s="58"/>
      <c r="U285" s="58"/>
      <c r="V285" s="58"/>
      <c r="W285" s="58"/>
      <c r="X285" s="58"/>
    </row>
    <row r="286" spans="1:24">
      <c r="A286" s="99" t="s">
        <v>4554</v>
      </c>
      <c r="B286" s="100" t="s">
        <v>132</v>
      </c>
      <c r="C286" s="100" t="s">
        <v>4555</v>
      </c>
      <c r="D286" s="100" t="s">
        <v>2961</v>
      </c>
      <c r="E286" s="101" t="s">
        <v>134</v>
      </c>
      <c r="F286" s="99" t="s">
        <v>10124</v>
      </c>
      <c r="G286" s="99"/>
      <c r="H286" s="99" t="s">
        <v>10125</v>
      </c>
      <c r="I286" s="99"/>
      <c r="J286" s="99" t="s">
        <v>10126</v>
      </c>
      <c r="K286" s="99"/>
      <c r="L286" s="102">
        <v>8977.8</v>
      </c>
      <c r="M286" s="99" t="s">
        <v>10127</v>
      </c>
      <c r="N286" s="102">
        <v>18365186.1424501</v>
      </c>
      <c r="O286" s="99" t="s">
        <v>10128</v>
      </c>
      <c r="R286" s="58"/>
      <c r="S286" s="58"/>
      <c r="T286" s="58"/>
      <c r="U286" s="58"/>
      <c r="V286" s="58"/>
      <c r="W286" s="58"/>
      <c r="X286" s="58"/>
    </row>
    <row r="287" ht="63.75" spans="1:24">
      <c r="A287" s="99" t="s">
        <v>4282</v>
      </c>
      <c r="B287" s="100" t="s">
        <v>132</v>
      </c>
      <c r="C287" s="100" t="s">
        <v>4283</v>
      </c>
      <c r="D287" s="100" t="s">
        <v>2961</v>
      </c>
      <c r="E287" s="101" t="s">
        <v>134</v>
      </c>
      <c r="F287" s="99" t="s">
        <v>9091</v>
      </c>
      <c r="G287" s="99"/>
      <c r="H287" s="99" t="s">
        <v>10129</v>
      </c>
      <c r="I287" s="99"/>
      <c r="J287" s="99" t="s">
        <v>10129</v>
      </c>
      <c r="K287" s="99"/>
      <c r="L287" s="102">
        <v>8840.46</v>
      </c>
      <c r="M287" s="99" t="s">
        <v>10127</v>
      </c>
      <c r="N287" s="102">
        <v>18374026.6024501</v>
      </c>
      <c r="O287" s="99" t="s">
        <v>10130</v>
      </c>
      <c r="R287" s="58"/>
      <c r="S287" s="58"/>
      <c r="T287" s="58"/>
      <c r="U287" s="58"/>
      <c r="V287" s="58"/>
      <c r="W287" s="58"/>
      <c r="X287" s="58"/>
    </row>
    <row r="288" ht="25.5" spans="1:24">
      <c r="A288" s="99" t="s">
        <v>3161</v>
      </c>
      <c r="B288" s="100" t="s">
        <v>139</v>
      </c>
      <c r="C288" s="100" t="s">
        <v>3162</v>
      </c>
      <c r="D288" s="100" t="s">
        <v>2961</v>
      </c>
      <c r="E288" s="101" t="s">
        <v>134</v>
      </c>
      <c r="F288" s="99" t="s">
        <v>10131</v>
      </c>
      <c r="G288" s="99"/>
      <c r="H288" s="99" t="s">
        <v>7276</v>
      </c>
      <c r="I288" s="99"/>
      <c r="J288" s="99" t="s">
        <v>10132</v>
      </c>
      <c r="K288" s="99"/>
      <c r="L288" s="102">
        <v>8813.01934198</v>
      </c>
      <c r="M288" s="99" t="s">
        <v>10127</v>
      </c>
      <c r="N288" s="102">
        <v>18382839.6217921</v>
      </c>
      <c r="O288" s="99" t="s">
        <v>10133</v>
      </c>
      <c r="R288" s="58"/>
      <c r="S288" s="58"/>
      <c r="T288" s="58"/>
      <c r="U288" s="58"/>
      <c r="V288" s="58"/>
      <c r="W288" s="58"/>
      <c r="X288" s="58"/>
    </row>
    <row r="289" ht="25.5" spans="1:24">
      <c r="A289" s="99" t="s">
        <v>4552</v>
      </c>
      <c r="B289" s="100" t="s">
        <v>132</v>
      </c>
      <c r="C289" s="100" t="s">
        <v>4553</v>
      </c>
      <c r="D289" s="100" t="s">
        <v>2961</v>
      </c>
      <c r="E289" s="101" t="s">
        <v>134</v>
      </c>
      <c r="F289" s="99" t="s">
        <v>10124</v>
      </c>
      <c r="G289" s="99"/>
      <c r="H289" s="99" t="s">
        <v>10134</v>
      </c>
      <c r="I289" s="99"/>
      <c r="J289" s="99" t="s">
        <v>10135</v>
      </c>
      <c r="K289" s="99"/>
      <c r="L289" s="102">
        <v>8758.2</v>
      </c>
      <c r="M289" s="99" t="s">
        <v>10127</v>
      </c>
      <c r="N289" s="102">
        <v>18391597.8217921</v>
      </c>
      <c r="O289" s="99" t="s">
        <v>10136</v>
      </c>
      <c r="R289" s="58"/>
      <c r="S289" s="58"/>
      <c r="T289" s="58"/>
      <c r="U289" s="58"/>
      <c r="V289" s="58"/>
      <c r="W289" s="58"/>
      <c r="X289" s="58"/>
    </row>
    <row r="290" ht="38.25" spans="1:24">
      <c r="A290" s="99" t="s">
        <v>3560</v>
      </c>
      <c r="B290" s="100" t="s">
        <v>139</v>
      </c>
      <c r="C290" s="100" t="s">
        <v>3561</v>
      </c>
      <c r="D290" s="100" t="s">
        <v>2961</v>
      </c>
      <c r="E290" s="101" t="s">
        <v>141</v>
      </c>
      <c r="F290" s="99" t="s">
        <v>10137</v>
      </c>
      <c r="G290" s="99"/>
      <c r="H290" s="99" t="s">
        <v>10138</v>
      </c>
      <c r="I290" s="99"/>
      <c r="J290" s="99" t="s">
        <v>10139</v>
      </c>
      <c r="K290" s="99"/>
      <c r="L290" s="102">
        <v>8694.7776</v>
      </c>
      <c r="M290" s="99" t="s">
        <v>10127</v>
      </c>
      <c r="N290" s="102">
        <v>18400292.5993921</v>
      </c>
      <c r="O290" s="99" t="s">
        <v>10140</v>
      </c>
      <c r="R290" s="58"/>
      <c r="S290" s="58"/>
      <c r="T290" s="58"/>
      <c r="U290" s="58"/>
      <c r="V290" s="58"/>
      <c r="W290" s="58"/>
      <c r="X290" s="58"/>
    </row>
    <row r="291" ht="25.5" spans="1:24">
      <c r="A291" s="99" t="s">
        <v>5314</v>
      </c>
      <c r="B291" s="100" t="s">
        <v>139</v>
      </c>
      <c r="C291" s="100" t="s">
        <v>5315</v>
      </c>
      <c r="D291" s="100" t="s">
        <v>2961</v>
      </c>
      <c r="E291" s="101" t="s">
        <v>2897</v>
      </c>
      <c r="F291" s="99" t="s">
        <v>9873</v>
      </c>
      <c r="G291" s="99"/>
      <c r="H291" s="99" t="s">
        <v>6700</v>
      </c>
      <c r="I291" s="99"/>
      <c r="J291" s="99" t="s">
        <v>10141</v>
      </c>
      <c r="K291" s="99"/>
      <c r="L291" s="102">
        <v>8684.87017794505</v>
      </c>
      <c r="M291" s="99" t="s">
        <v>10127</v>
      </c>
      <c r="N291" s="102">
        <v>18408977.4695701</v>
      </c>
      <c r="O291" s="99" t="s">
        <v>10142</v>
      </c>
      <c r="R291" s="58"/>
      <c r="S291" s="58"/>
      <c r="T291" s="58"/>
      <c r="U291" s="58"/>
      <c r="V291" s="58"/>
      <c r="W291" s="58"/>
      <c r="X291" s="58"/>
    </row>
    <row r="292" ht="127.5" spans="1:24">
      <c r="A292" s="99" t="s">
        <v>4258</v>
      </c>
      <c r="B292" s="100" t="s">
        <v>132</v>
      </c>
      <c r="C292" s="100" t="s">
        <v>1407</v>
      </c>
      <c r="D292" s="100" t="s">
        <v>2961</v>
      </c>
      <c r="E292" s="101" t="s">
        <v>134</v>
      </c>
      <c r="F292" s="99" t="s">
        <v>9091</v>
      </c>
      <c r="G292" s="99"/>
      <c r="H292" s="99" t="s">
        <v>10143</v>
      </c>
      <c r="I292" s="99"/>
      <c r="J292" s="99" t="s">
        <v>10143</v>
      </c>
      <c r="K292" s="99"/>
      <c r="L292" s="102">
        <v>8583.83</v>
      </c>
      <c r="M292" s="99" t="s">
        <v>10127</v>
      </c>
      <c r="N292" s="102">
        <v>18417561.2995701</v>
      </c>
      <c r="O292" s="99" t="s">
        <v>10144</v>
      </c>
      <c r="R292" s="58"/>
      <c r="S292" s="58"/>
      <c r="T292" s="58"/>
      <c r="U292" s="58"/>
      <c r="V292" s="58"/>
      <c r="W292" s="58"/>
      <c r="X292" s="58"/>
    </row>
    <row r="293" ht="25.5" spans="1:24">
      <c r="A293" s="99" t="s">
        <v>3353</v>
      </c>
      <c r="B293" s="100" t="s">
        <v>149</v>
      </c>
      <c r="C293" s="100" t="s">
        <v>3354</v>
      </c>
      <c r="D293" s="100" t="s">
        <v>2961</v>
      </c>
      <c r="E293" s="101" t="s">
        <v>134</v>
      </c>
      <c r="F293" s="99" t="s">
        <v>9091</v>
      </c>
      <c r="G293" s="99"/>
      <c r="H293" s="99" t="s">
        <v>10145</v>
      </c>
      <c r="I293" s="99"/>
      <c r="J293" s="99" t="s">
        <v>10145</v>
      </c>
      <c r="K293" s="99"/>
      <c r="L293" s="102">
        <v>8500</v>
      </c>
      <c r="M293" s="99" t="s">
        <v>10127</v>
      </c>
      <c r="N293" s="102">
        <v>18426061.2995701</v>
      </c>
      <c r="O293" s="99" t="s">
        <v>10146</v>
      </c>
      <c r="R293" s="58"/>
      <c r="S293" s="58"/>
      <c r="T293" s="58"/>
      <c r="U293" s="58"/>
      <c r="V293" s="58"/>
      <c r="W293" s="58"/>
      <c r="X293" s="58"/>
    </row>
    <row r="294" spans="1:24">
      <c r="A294" s="99" t="s">
        <v>4592</v>
      </c>
      <c r="B294" s="100" t="s">
        <v>132</v>
      </c>
      <c r="C294" s="100" t="s">
        <v>4593</v>
      </c>
      <c r="D294" s="100" t="s">
        <v>2961</v>
      </c>
      <c r="E294" s="101" t="s">
        <v>134</v>
      </c>
      <c r="F294" s="99" t="s">
        <v>10147</v>
      </c>
      <c r="G294" s="99"/>
      <c r="H294" s="99" t="s">
        <v>10148</v>
      </c>
      <c r="I294" s="99"/>
      <c r="J294" s="99" t="s">
        <v>10149</v>
      </c>
      <c r="K294" s="99"/>
      <c r="L294" s="102">
        <v>8478.29</v>
      </c>
      <c r="M294" s="99" t="s">
        <v>10127</v>
      </c>
      <c r="N294" s="102">
        <v>18434539.5895701</v>
      </c>
      <c r="O294" s="99" t="s">
        <v>10150</v>
      </c>
      <c r="R294" s="58"/>
      <c r="S294" s="58"/>
      <c r="T294" s="58"/>
      <c r="U294" s="58"/>
      <c r="V294" s="58"/>
      <c r="W294" s="58"/>
      <c r="X294" s="58"/>
    </row>
    <row r="295" spans="1:24">
      <c r="A295" s="99" t="s">
        <v>5710</v>
      </c>
      <c r="B295" s="100" t="s">
        <v>139</v>
      </c>
      <c r="C295" s="100" t="s">
        <v>5711</v>
      </c>
      <c r="D295" s="100" t="s">
        <v>2896</v>
      </c>
      <c r="E295" s="101" t="s">
        <v>2897</v>
      </c>
      <c r="F295" s="99" t="s">
        <v>10151</v>
      </c>
      <c r="G295" s="99"/>
      <c r="H295" s="99" t="s">
        <v>10152</v>
      </c>
      <c r="I295" s="99"/>
      <c r="J295" s="99" t="s">
        <v>10153</v>
      </c>
      <c r="K295" s="99"/>
      <c r="L295" s="102">
        <v>8448.93343100931</v>
      </c>
      <c r="M295" s="99" t="s">
        <v>10127</v>
      </c>
      <c r="N295" s="102">
        <v>18442988.5230011</v>
      </c>
      <c r="O295" s="99" t="s">
        <v>10154</v>
      </c>
      <c r="R295" s="58"/>
      <c r="S295" s="58"/>
      <c r="T295" s="58"/>
      <c r="U295" s="58"/>
      <c r="V295" s="58"/>
      <c r="W295" s="58"/>
      <c r="X295" s="58"/>
    </row>
    <row r="296" ht="25.5" spans="1:24">
      <c r="A296" s="99" t="s">
        <v>5525</v>
      </c>
      <c r="B296" s="100" t="s">
        <v>77</v>
      </c>
      <c r="C296" s="100" t="s">
        <v>5526</v>
      </c>
      <c r="D296" s="100" t="s">
        <v>2896</v>
      </c>
      <c r="E296" s="101" t="s">
        <v>2897</v>
      </c>
      <c r="F296" s="99" t="s">
        <v>10155</v>
      </c>
      <c r="G296" s="99"/>
      <c r="H296" s="99" t="s">
        <v>9371</v>
      </c>
      <c r="I296" s="99"/>
      <c r="J296" s="99" t="s">
        <v>10156</v>
      </c>
      <c r="K296" s="99"/>
      <c r="L296" s="102">
        <v>8432.426496</v>
      </c>
      <c r="M296" s="99" t="s">
        <v>10127</v>
      </c>
      <c r="N296" s="102">
        <v>18451420.9494971</v>
      </c>
      <c r="O296" s="99" t="s">
        <v>10157</v>
      </c>
      <c r="R296" s="58"/>
      <c r="S296" s="58"/>
      <c r="T296" s="58"/>
      <c r="U296" s="58"/>
      <c r="V296" s="58"/>
      <c r="W296" s="58"/>
      <c r="X296" s="58"/>
    </row>
    <row r="297" ht="63.75" spans="1:24">
      <c r="A297" s="99" t="s">
        <v>3681</v>
      </c>
      <c r="B297" s="100" t="s">
        <v>132</v>
      </c>
      <c r="C297" s="100" t="s">
        <v>3682</v>
      </c>
      <c r="D297" s="100" t="s">
        <v>2961</v>
      </c>
      <c r="E297" s="101" t="s">
        <v>134</v>
      </c>
      <c r="F297" s="99" t="s">
        <v>9183</v>
      </c>
      <c r="G297" s="99"/>
      <c r="H297" s="99" t="s">
        <v>10158</v>
      </c>
      <c r="I297" s="99"/>
      <c r="J297" s="99" t="s">
        <v>10159</v>
      </c>
      <c r="K297" s="99"/>
      <c r="L297" s="102">
        <v>8398</v>
      </c>
      <c r="M297" s="99" t="s">
        <v>10127</v>
      </c>
      <c r="N297" s="102">
        <v>18459818.9494971</v>
      </c>
      <c r="O297" s="99" t="s">
        <v>10160</v>
      </c>
      <c r="R297" s="58"/>
      <c r="S297" s="58"/>
      <c r="T297" s="58"/>
      <c r="U297" s="58"/>
      <c r="V297" s="58"/>
      <c r="W297" s="58"/>
      <c r="X297" s="58"/>
    </row>
    <row r="298" ht="25.5" spans="1:24">
      <c r="A298" s="99" t="s">
        <v>3903</v>
      </c>
      <c r="B298" s="100" t="s">
        <v>139</v>
      </c>
      <c r="C298" s="100" t="s">
        <v>3904</v>
      </c>
      <c r="D298" s="100" t="s">
        <v>2961</v>
      </c>
      <c r="E298" s="101" t="s">
        <v>134</v>
      </c>
      <c r="F298" s="99" t="s">
        <v>10161</v>
      </c>
      <c r="G298" s="99"/>
      <c r="H298" s="99" t="s">
        <v>10162</v>
      </c>
      <c r="I298" s="99"/>
      <c r="J298" s="99" t="s">
        <v>10163</v>
      </c>
      <c r="K298" s="99"/>
      <c r="L298" s="102">
        <v>8349.44</v>
      </c>
      <c r="M298" s="99" t="s">
        <v>10127</v>
      </c>
      <c r="N298" s="102">
        <v>18468168.3894971</v>
      </c>
      <c r="O298" s="99" t="s">
        <v>10164</v>
      </c>
      <c r="R298" s="58"/>
      <c r="S298" s="58"/>
      <c r="T298" s="58"/>
      <c r="U298" s="58"/>
      <c r="V298" s="58"/>
      <c r="W298" s="58"/>
      <c r="X298" s="58"/>
    </row>
    <row r="299" ht="25.5" spans="1:24">
      <c r="A299" s="99" t="s">
        <v>3802</v>
      </c>
      <c r="B299" s="100" t="s">
        <v>149</v>
      </c>
      <c r="C299" s="100" t="s">
        <v>3803</v>
      </c>
      <c r="D299" s="100" t="s">
        <v>2961</v>
      </c>
      <c r="E299" s="101" t="s">
        <v>134</v>
      </c>
      <c r="F299" s="99" t="s">
        <v>10124</v>
      </c>
      <c r="G299" s="99"/>
      <c r="H299" s="99" t="s">
        <v>10165</v>
      </c>
      <c r="I299" s="99"/>
      <c r="J299" s="99" t="s">
        <v>10166</v>
      </c>
      <c r="K299" s="99"/>
      <c r="L299" s="102">
        <v>8316.3</v>
      </c>
      <c r="M299" s="99" t="s">
        <v>10127</v>
      </c>
      <c r="N299" s="102">
        <v>18476484.6894971</v>
      </c>
      <c r="O299" s="99" t="s">
        <v>10167</v>
      </c>
      <c r="R299" s="58"/>
      <c r="S299" s="58"/>
      <c r="T299" s="58"/>
      <c r="U299" s="58"/>
      <c r="V299" s="58"/>
      <c r="W299" s="58"/>
      <c r="X299" s="58"/>
    </row>
    <row r="300" spans="1:24">
      <c r="A300" s="99" t="s">
        <v>4180</v>
      </c>
      <c r="B300" s="100" t="s">
        <v>149</v>
      </c>
      <c r="C300" s="100" t="s">
        <v>4181</v>
      </c>
      <c r="D300" s="100" t="s">
        <v>2961</v>
      </c>
      <c r="E300" s="101" t="s">
        <v>204</v>
      </c>
      <c r="F300" s="99" t="s">
        <v>10168</v>
      </c>
      <c r="G300" s="99"/>
      <c r="H300" s="99" t="s">
        <v>10169</v>
      </c>
      <c r="I300" s="99"/>
      <c r="J300" s="99" t="s">
        <v>10170</v>
      </c>
      <c r="K300" s="99"/>
      <c r="L300" s="102">
        <v>8305.76</v>
      </c>
      <c r="M300" s="99" t="s">
        <v>10127</v>
      </c>
      <c r="N300" s="102">
        <v>18484790.4494971</v>
      </c>
      <c r="O300" s="99" t="s">
        <v>10171</v>
      </c>
      <c r="R300" s="58"/>
      <c r="S300" s="58"/>
      <c r="T300" s="58"/>
      <c r="U300" s="58"/>
      <c r="V300" s="58"/>
      <c r="W300" s="58"/>
      <c r="X300" s="58"/>
    </row>
    <row r="301" ht="51" spans="1:24">
      <c r="A301" s="99" t="s">
        <v>3501</v>
      </c>
      <c r="B301" s="100" t="s">
        <v>139</v>
      </c>
      <c r="C301" s="100" t="s">
        <v>3502</v>
      </c>
      <c r="D301" s="100" t="s">
        <v>2961</v>
      </c>
      <c r="E301" s="101" t="s">
        <v>393</v>
      </c>
      <c r="F301" s="99" t="s">
        <v>10172</v>
      </c>
      <c r="G301" s="99"/>
      <c r="H301" s="99" t="s">
        <v>10173</v>
      </c>
      <c r="I301" s="99"/>
      <c r="J301" s="99" t="s">
        <v>10174</v>
      </c>
      <c r="K301" s="99"/>
      <c r="L301" s="102">
        <v>8112.96</v>
      </c>
      <c r="M301" s="99" t="s">
        <v>10127</v>
      </c>
      <c r="N301" s="102">
        <v>18492903.4094971</v>
      </c>
      <c r="O301" s="99" t="s">
        <v>10175</v>
      </c>
      <c r="R301" s="58"/>
      <c r="S301" s="58"/>
      <c r="T301" s="58"/>
      <c r="U301" s="58"/>
      <c r="V301" s="58"/>
      <c r="W301" s="58"/>
      <c r="X301" s="58"/>
    </row>
    <row r="302" spans="1:24">
      <c r="A302" s="99" t="s">
        <v>5360</v>
      </c>
      <c r="B302" s="100" t="s">
        <v>139</v>
      </c>
      <c r="C302" s="100" t="s">
        <v>5361</v>
      </c>
      <c r="D302" s="100" t="s">
        <v>2961</v>
      </c>
      <c r="E302" s="101" t="s">
        <v>393</v>
      </c>
      <c r="F302" s="99" t="s">
        <v>10176</v>
      </c>
      <c r="G302" s="99"/>
      <c r="H302" s="99" t="s">
        <v>10177</v>
      </c>
      <c r="I302" s="99"/>
      <c r="J302" s="99" t="s">
        <v>10178</v>
      </c>
      <c r="K302" s="99"/>
      <c r="L302" s="102">
        <v>8103.9871653675</v>
      </c>
      <c r="M302" s="99" t="s">
        <v>10127</v>
      </c>
      <c r="N302" s="102">
        <v>18501007.3966624</v>
      </c>
      <c r="O302" s="99" t="s">
        <v>10179</v>
      </c>
      <c r="R302" s="58"/>
      <c r="S302" s="58"/>
      <c r="T302" s="58"/>
      <c r="U302" s="58"/>
      <c r="V302" s="58"/>
      <c r="W302" s="58"/>
      <c r="X302" s="58"/>
    </row>
    <row r="303" spans="1:24">
      <c r="A303" s="99" t="s">
        <v>4416</v>
      </c>
      <c r="B303" s="100" t="s">
        <v>149</v>
      </c>
      <c r="C303" s="100" t="s">
        <v>4417</v>
      </c>
      <c r="D303" s="100" t="s">
        <v>2961</v>
      </c>
      <c r="E303" s="101" t="s">
        <v>204</v>
      </c>
      <c r="F303" s="99" t="s">
        <v>10180</v>
      </c>
      <c r="G303" s="99"/>
      <c r="H303" s="99" t="s">
        <v>10181</v>
      </c>
      <c r="I303" s="99"/>
      <c r="J303" s="99" t="s">
        <v>10182</v>
      </c>
      <c r="K303" s="99"/>
      <c r="L303" s="102">
        <v>8101.764</v>
      </c>
      <c r="M303" s="99" t="s">
        <v>10127</v>
      </c>
      <c r="N303" s="102">
        <v>18509109.1606624</v>
      </c>
      <c r="O303" s="99" t="s">
        <v>10183</v>
      </c>
      <c r="R303" s="58"/>
      <c r="S303" s="58"/>
      <c r="T303" s="58"/>
      <c r="U303" s="58"/>
      <c r="V303" s="58"/>
      <c r="W303" s="58"/>
      <c r="X303" s="58"/>
    </row>
    <row r="304" spans="1:24">
      <c r="A304" s="99" t="s">
        <v>4421</v>
      </c>
      <c r="B304" s="100" t="s">
        <v>149</v>
      </c>
      <c r="C304" s="100" t="s">
        <v>4422</v>
      </c>
      <c r="D304" s="100" t="s">
        <v>2961</v>
      </c>
      <c r="E304" s="101" t="s">
        <v>134</v>
      </c>
      <c r="F304" s="99" t="s">
        <v>10184</v>
      </c>
      <c r="G304" s="99"/>
      <c r="H304" s="99" t="s">
        <v>10185</v>
      </c>
      <c r="I304" s="99"/>
      <c r="J304" s="99" t="s">
        <v>10186</v>
      </c>
      <c r="K304" s="99"/>
      <c r="L304" s="102">
        <v>8078.64</v>
      </c>
      <c r="M304" s="99" t="s">
        <v>10127</v>
      </c>
      <c r="N304" s="102">
        <v>18517187.8006624</v>
      </c>
      <c r="O304" s="99" t="s">
        <v>10187</v>
      </c>
      <c r="R304" s="58"/>
      <c r="S304" s="58"/>
      <c r="T304" s="58"/>
      <c r="U304" s="58"/>
      <c r="V304" s="58"/>
      <c r="W304" s="58"/>
      <c r="X304" s="58"/>
    </row>
    <row r="305" ht="25.5" spans="1:24">
      <c r="A305" s="99" t="s">
        <v>4056</v>
      </c>
      <c r="B305" s="100" t="s">
        <v>139</v>
      </c>
      <c r="C305" s="100" t="s">
        <v>4057</v>
      </c>
      <c r="D305" s="100" t="s">
        <v>2961</v>
      </c>
      <c r="E305" s="101" t="s">
        <v>134</v>
      </c>
      <c r="F305" s="99" t="s">
        <v>10188</v>
      </c>
      <c r="G305" s="99"/>
      <c r="H305" s="99" t="s">
        <v>10189</v>
      </c>
      <c r="I305" s="99"/>
      <c r="J305" s="99" t="s">
        <v>10190</v>
      </c>
      <c r="K305" s="99"/>
      <c r="L305" s="102">
        <v>8027.5</v>
      </c>
      <c r="M305" s="99" t="s">
        <v>10127</v>
      </c>
      <c r="N305" s="102">
        <v>18525215.3006624</v>
      </c>
      <c r="O305" s="99" t="s">
        <v>10191</v>
      </c>
      <c r="R305" s="58"/>
      <c r="S305" s="58"/>
      <c r="T305" s="58"/>
      <c r="U305" s="58"/>
      <c r="V305" s="58"/>
      <c r="W305" s="58"/>
      <c r="X305" s="58"/>
    </row>
    <row r="306" ht="25.5" spans="1:24">
      <c r="A306" s="99" t="s">
        <v>5036</v>
      </c>
      <c r="B306" s="100" t="s">
        <v>139</v>
      </c>
      <c r="C306" s="100" t="s">
        <v>5037</v>
      </c>
      <c r="D306" s="100" t="s">
        <v>2961</v>
      </c>
      <c r="E306" s="101" t="s">
        <v>204</v>
      </c>
      <c r="F306" s="99" t="s">
        <v>10192</v>
      </c>
      <c r="G306" s="99"/>
      <c r="H306" s="99" t="s">
        <v>10193</v>
      </c>
      <c r="I306" s="99"/>
      <c r="J306" s="99" t="s">
        <v>10194</v>
      </c>
      <c r="K306" s="99"/>
      <c r="L306" s="102">
        <v>8016.864777</v>
      </c>
      <c r="M306" s="99" t="s">
        <v>10127</v>
      </c>
      <c r="N306" s="102">
        <v>18533232.1654394</v>
      </c>
      <c r="O306" s="99" t="s">
        <v>10195</v>
      </c>
      <c r="R306" s="58"/>
      <c r="S306" s="58"/>
      <c r="T306" s="58"/>
      <c r="U306" s="58"/>
      <c r="V306" s="58"/>
      <c r="W306" s="58"/>
      <c r="X306" s="58"/>
    </row>
    <row r="307" spans="1:24">
      <c r="A307" s="99" t="s">
        <v>2988</v>
      </c>
      <c r="B307" s="100" t="s">
        <v>149</v>
      </c>
      <c r="C307" s="100" t="s">
        <v>2989</v>
      </c>
      <c r="D307" s="100" t="s">
        <v>2896</v>
      </c>
      <c r="E307" s="101" t="s">
        <v>2897</v>
      </c>
      <c r="F307" s="99" t="s">
        <v>10196</v>
      </c>
      <c r="G307" s="99"/>
      <c r="H307" s="99" t="s">
        <v>9460</v>
      </c>
      <c r="I307" s="99"/>
      <c r="J307" s="99" t="s">
        <v>10197</v>
      </c>
      <c r="K307" s="99"/>
      <c r="L307" s="102">
        <v>7963.15654368</v>
      </c>
      <c r="M307" s="99" t="s">
        <v>10127</v>
      </c>
      <c r="N307" s="102">
        <v>18541195.3219831</v>
      </c>
      <c r="O307" s="99" t="s">
        <v>10198</v>
      </c>
      <c r="R307" s="58"/>
      <c r="S307" s="58"/>
      <c r="T307" s="58"/>
      <c r="U307" s="58"/>
      <c r="V307" s="58"/>
      <c r="W307" s="58"/>
      <c r="X307" s="58"/>
    </row>
    <row r="308" ht="51" spans="1:24">
      <c r="A308" s="99" t="s">
        <v>4074</v>
      </c>
      <c r="B308" s="100" t="s">
        <v>139</v>
      </c>
      <c r="C308" s="100" t="s">
        <v>4075</v>
      </c>
      <c r="D308" s="100" t="s">
        <v>2961</v>
      </c>
      <c r="E308" s="101" t="s">
        <v>204</v>
      </c>
      <c r="F308" s="99" t="s">
        <v>10199</v>
      </c>
      <c r="G308" s="99"/>
      <c r="H308" s="99" t="s">
        <v>10200</v>
      </c>
      <c r="I308" s="99"/>
      <c r="J308" s="99" t="s">
        <v>10201</v>
      </c>
      <c r="K308" s="99"/>
      <c r="L308" s="102">
        <v>7947.698</v>
      </c>
      <c r="M308" s="99" t="s">
        <v>10127</v>
      </c>
      <c r="N308" s="102">
        <v>18549143.0199831</v>
      </c>
      <c r="O308" s="99" t="s">
        <v>10202</v>
      </c>
      <c r="R308" s="58"/>
      <c r="S308" s="58"/>
      <c r="T308" s="58"/>
      <c r="U308" s="58"/>
      <c r="V308" s="58"/>
      <c r="W308" s="58"/>
      <c r="X308" s="58"/>
    </row>
    <row r="309" ht="63.75" spans="1:24">
      <c r="A309" s="99" t="s">
        <v>4725</v>
      </c>
      <c r="B309" s="100" t="s">
        <v>132</v>
      </c>
      <c r="C309" s="100" t="s">
        <v>4726</v>
      </c>
      <c r="D309" s="100" t="s">
        <v>3395</v>
      </c>
      <c r="E309" s="101" t="s">
        <v>134</v>
      </c>
      <c r="F309" s="99" t="s">
        <v>9183</v>
      </c>
      <c r="G309" s="99" t="s">
        <v>9093</v>
      </c>
      <c r="H309" s="99" t="s">
        <v>10203</v>
      </c>
      <c r="I309" s="99" t="s">
        <v>10204</v>
      </c>
      <c r="J309" s="99" t="s">
        <v>10205</v>
      </c>
      <c r="K309" s="99" t="s">
        <v>8660</v>
      </c>
      <c r="L309" s="102">
        <v>7892.22</v>
      </c>
      <c r="M309" s="99" t="s">
        <v>10127</v>
      </c>
      <c r="N309" s="102">
        <v>18557035.2399831</v>
      </c>
      <c r="O309" s="99" t="s">
        <v>10206</v>
      </c>
      <c r="R309" s="58"/>
      <c r="S309" s="58"/>
      <c r="T309" s="58"/>
      <c r="U309" s="58"/>
      <c r="V309" s="58"/>
      <c r="W309" s="58"/>
      <c r="X309" s="58"/>
    </row>
    <row r="310" ht="127.5" spans="1:24">
      <c r="A310" s="99" t="s">
        <v>4234</v>
      </c>
      <c r="B310" s="100" t="s">
        <v>132</v>
      </c>
      <c r="C310" s="100" t="s">
        <v>4235</v>
      </c>
      <c r="D310" s="100" t="s">
        <v>2961</v>
      </c>
      <c r="E310" s="101" t="s">
        <v>134</v>
      </c>
      <c r="F310" s="99" t="s">
        <v>9091</v>
      </c>
      <c r="G310" s="99"/>
      <c r="H310" s="99" t="s">
        <v>10207</v>
      </c>
      <c r="I310" s="99"/>
      <c r="J310" s="99" t="s">
        <v>10207</v>
      </c>
      <c r="K310" s="99"/>
      <c r="L310" s="102">
        <v>7812.79</v>
      </c>
      <c r="M310" s="99" t="s">
        <v>10127</v>
      </c>
      <c r="N310" s="102">
        <v>18564848.0299831</v>
      </c>
      <c r="O310" s="99" t="s">
        <v>10208</v>
      </c>
      <c r="R310" s="58"/>
      <c r="S310" s="58"/>
      <c r="T310" s="58"/>
      <c r="U310" s="58"/>
      <c r="V310" s="58"/>
      <c r="W310" s="58"/>
      <c r="X310" s="58"/>
    </row>
    <row r="311" ht="127.5" spans="1:24">
      <c r="A311" s="99" t="s">
        <v>4248</v>
      </c>
      <c r="B311" s="100" t="s">
        <v>132</v>
      </c>
      <c r="C311" s="100" t="s">
        <v>4249</v>
      </c>
      <c r="D311" s="100" t="s">
        <v>2961</v>
      </c>
      <c r="E311" s="101" t="s">
        <v>134</v>
      </c>
      <c r="F311" s="99" t="s">
        <v>9091</v>
      </c>
      <c r="G311" s="99"/>
      <c r="H311" s="99" t="s">
        <v>10207</v>
      </c>
      <c r="I311" s="99"/>
      <c r="J311" s="99" t="s">
        <v>10207</v>
      </c>
      <c r="K311" s="99"/>
      <c r="L311" s="102">
        <v>7812.79</v>
      </c>
      <c r="M311" s="99" t="s">
        <v>10127</v>
      </c>
      <c r="N311" s="102">
        <v>18572660.8199831</v>
      </c>
      <c r="O311" s="99" t="s">
        <v>10209</v>
      </c>
      <c r="R311" s="58"/>
      <c r="S311" s="58"/>
      <c r="T311" s="58"/>
      <c r="U311" s="58"/>
      <c r="V311" s="58"/>
      <c r="W311" s="58"/>
      <c r="X311" s="58"/>
    </row>
    <row r="312" ht="127.5" spans="1:24">
      <c r="A312" s="99" t="s">
        <v>4240</v>
      </c>
      <c r="B312" s="100" t="s">
        <v>132</v>
      </c>
      <c r="C312" s="100" t="s">
        <v>4241</v>
      </c>
      <c r="D312" s="100" t="s">
        <v>2961</v>
      </c>
      <c r="E312" s="101" t="s">
        <v>134</v>
      </c>
      <c r="F312" s="99" t="s">
        <v>9091</v>
      </c>
      <c r="G312" s="99"/>
      <c r="H312" s="99" t="s">
        <v>10210</v>
      </c>
      <c r="I312" s="99"/>
      <c r="J312" s="99" t="s">
        <v>10210</v>
      </c>
      <c r="K312" s="99"/>
      <c r="L312" s="102">
        <v>7793.65</v>
      </c>
      <c r="M312" s="99" t="s">
        <v>10127</v>
      </c>
      <c r="N312" s="102">
        <v>18580454.4699831</v>
      </c>
      <c r="O312" s="99" t="s">
        <v>10211</v>
      </c>
      <c r="R312" s="58"/>
      <c r="S312" s="58"/>
      <c r="T312" s="58"/>
      <c r="U312" s="58"/>
      <c r="V312" s="58"/>
      <c r="W312" s="58"/>
      <c r="X312" s="58"/>
    </row>
    <row r="313" ht="127.5" spans="1:24">
      <c r="A313" s="99" t="s">
        <v>4254</v>
      </c>
      <c r="B313" s="100" t="s">
        <v>132</v>
      </c>
      <c r="C313" s="100" t="s">
        <v>4255</v>
      </c>
      <c r="D313" s="100" t="s">
        <v>2961</v>
      </c>
      <c r="E313" s="101" t="s">
        <v>134</v>
      </c>
      <c r="F313" s="99" t="s">
        <v>9091</v>
      </c>
      <c r="G313" s="99"/>
      <c r="H313" s="99" t="s">
        <v>10212</v>
      </c>
      <c r="I313" s="99"/>
      <c r="J313" s="99" t="s">
        <v>10212</v>
      </c>
      <c r="K313" s="99"/>
      <c r="L313" s="102">
        <v>7775.64</v>
      </c>
      <c r="M313" s="99" t="s">
        <v>10127</v>
      </c>
      <c r="N313" s="102">
        <v>18588230.1099831</v>
      </c>
      <c r="O313" s="99" t="s">
        <v>10213</v>
      </c>
      <c r="R313" s="58"/>
      <c r="S313" s="58"/>
      <c r="T313" s="58"/>
      <c r="U313" s="58"/>
      <c r="V313" s="58"/>
      <c r="W313" s="58"/>
      <c r="X313" s="58"/>
    </row>
    <row r="314" ht="25.5" spans="1:24">
      <c r="A314" s="99" t="s">
        <v>3547</v>
      </c>
      <c r="B314" s="100" t="s">
        <v>132</v>
      </c>
      <c r="C314" s="100" t="s">
        <v>3548</v>
      </c>
      <c r="D314" s="100" t="s">
        <v>2961</v>
      </c>
      <c r="E314" s="101" t="s">
        <v>141</v>
      </c>
      <c r="F314" s="99" t="s">
        <v>10214</v>
      </c>
      <c r="G314" s="99"/>
      <c r="H314" s="99" t="s">
        <v>10215</v>
      </c>
      <c r="I314" s="99"/>
      <c r="J314" s="99" t="s">
        <v>10216</v>
      </c>
      <c r="K314" s="99"/>
      <c r="L314" s="102">
        <v>7757.0376</v>
      </c>
      <c r="M314" s="99" t="s">
        <v>10127</v>
      </c>
      <c r="N314" s="102">
        <v>18595987.1475831</v>
      </c>
      <c r="O314" s="99" t="s">
        <v>10217</v>
      </c>
      <c r="R314" s="58"/>
      <c r="S314" s="58"/>
      <c r="T314" s="58"/>
      <c r="U314" s="58"/>
      <c r="V314" s="58"/>
      <c r="W314" s="58"/>
      <c r="X314" s="58"/>
    </row>
    <row r="315" spans="1:24">
      <c r="A315" s="99" t="s">
        <v>4386</v>
      </c>
      <c r="B315" s="100" t="s">
        <v>139</v>
      </c>
      <c r="C315" s="100" t="s">
        <v>4387</v>
      </c>
      <c r="D315" s="100" t="s">
        <v>2961</v>
      </c>
      <c r="E315" s="101" t="s">
        <v>134</v>
      </c>
      <c r="F315" s="99" t="s">
        <v>10218</v>
      </c>
      <c r="G315" s="99"/>
      <c r="H315" s="99" t="s">
        <v>10219</v>
      </c>
      <c r="I315" s="99"/>
      <c r="J315" s="99" t="s">
        <v>10220</v>
      </c>
      <c r="K315" s="99"/>
      <c r="L315" s="102">
        <v>7719.0863</v>
      </c>
      <c r="M315" s="99" t="s">
        <v>10127</v>
      </c>
      <c r="N315" s="102">
        <v>18603706.2338831</v>
      </c>
      <c r="O315" s="99" t="s">
        <v>10221</v>
      </c>
      <c r="R315" s="58"/>
      <c r="S315" s="58"/>
      <c r="T315" s="58"/>
      <c r="U315" s="58"/>
      <c r="V315" s="58"/>
      <c r="W315" s="58"/>
      <c r="X315" s="58"/>
    </row>
    <row r="316" spans="1:24">
      <c r="A316" s="99" t="s">
        <v>5100</v>
      </c>
      <c r="B316" s="100" t="s">
        <v>139</v>
      </c>
      <c r="C316" s="100" t="s">
        <v>5101</v>
      </c>
      <c r="D316" s="100" t="s">
        <v>2961</v>
      </c>
      <c r="E316" s="101" t="s">
        <v>393</v>
      </c>
      <c r="F316" s="99" t="s">
        <v>10222</v>
      </c>
      <c r="G316" s="99"/>
      <c r="H316" s="99" t="s">
        <v>10223</v>
      </c>
      <c r="I316" s="99"/>
      <c r="J316" s="99" t="s">
        <v>10224</v>
      </c>
      <c r="K316" s="99"/>
      <c r="L316" s="102">
        <v>7692.7656</v>
      </c>
      <c r="M316" s="99" t="s">
        <v>10127</v>
      </c>
      <c r="N316" s="102">
        <v>18611398.9994831</v>
      </c>
      <c r="O316" s="99" t="s">
        <v>10225</v>
      </c>
      <c r="R316" s="58"/>
      <c r="S316" s="58"/>
      <c r="T316" s="58"/>
      <c r="U316" s="58"/>
      <c r="V316" s="58"/>
      <c r="W316" s="58"/>
      <c r="X316" s="58"/>
    </row>
    <row r="317" ht="127.5" spans="1:24">
      <c r="A317" s="99" t="s">
        <v>4252</v>
      </c>
      <c r="B317" s="100" t="s">
        <v>132</v>
      </c>
      <c r="C317" s="100" t="s">
        <v>4253</v>
      </c>
      <c r="D317" s="100" t="s">
        <v>2961</v>
      </c>
      <c r="E317" s="101" t="s">
        <v>134</v>
      </c>
      <c r="F317" s="99" t="s">
        <v>9091</v>
      </c>
      <c r="G317" s="99"/>
      <c r="H317" s="99" t="s">
        <v>10226</v>
      </c>
      <c r="I317" s="99"/>
      <c r="J317" s="99" t="s">
        <v>10226</v>
      </c>
      <c r="K317" s="99"/>
      <c r="L317" s="102">
        <v>7663.08</v>
      </c>
      <c r="M317" s="99" t="s">
        <v>10127</v>
      </c>
      <c r="N317" s="102">
        <v>18619062.0794831</v>
      </c>
      <c r="O317" s="99" t="s">
        <v>10227</v>
      </c>
      <c r="R317" s="58"/>
      <c r="S317" s="58"/>
      <c r="T317" s="58"/>
      <c r="U317" s="58"/>
      <c r="V317" s="58"/>
      <c r="W317" s="58"/>
      <c r="X317" s="58"/>
    </row>
    <row r="318" ht="25.5" spans="1:24">
      <c r="A318" s="99" t="s">
        <v>4509</v>
      </c>
      <c r="B318" s="100" t="s">
        <v>149</v>
      </c>
      <c r="C318" s="100" t="s">
        <v>4510</v>
      </c>
      <c r="D318" s="100" t="s">
        <v>2961</v>
      </c>
      <c r="E318" s="101" t="s">
        <v>1491</v>
      </c>
      <c r="F318" s="99" t="s">
        <v>10228</v>
      </c>
      <c r="G318" s="99"/>
      <c r="H318" s="99" t="s">
        <v>10229</v>
      </c>
      <c r="I318" s="99"/>
      <c r="J318" s="99" t="s">
        <v>10230</v>
      </c>
      <c r="K318" s="99"/>
      <c r="L318" s="102">
        <v>7646.64</v>
      </c>
      <c r="M318" s="99" t="s">
        <v>10127</v>
      </c>
      <c r="N318" s="102">
        <v>18626708.7194831</v>
      </c>
      <c r="O318" s="99" t="s">
        <v>10231</v>
      </c>
      <c r="R318" s="58"/>
      <c r="S318" s="58"/>
      <c r="T318" s="58"/>
      <c r="U318" s="58"/>
      <c r="V318" s="58"/>
      <c r="W318" s="58"/>
      <c r="X318" s="58"/>
    </row>
    <row r="319" ht="25.5" spans="1:24">
      <c r="A319" s="99" t="s">
        <v>5040</v>
      </c>
      <c r="B319" s="100" t="s">
        <v>139</v>
      </c>
      <c r="C319" s="100" t="s">
        <v>5041</v>
      </c>
      <c r="D319" s="100" t="s">
        <v>2961</v>
      </c>
      <c r="E319" s="101" t="s">
        <v>204</v>
      </c>
      <c r="F319" s="99" t="s">
        <v>10232</v>
      </c>
      <c r="G319" s="99"/>
      <c r="H319" s="99" t="s">
        <v>10233</v>
      </c>
      <c r="I319" s="99"/>
      <c r="J319" s="99" t="s">
        <v>10234</v>
      </c>
      <c r="K319" s="99"/>
      <c r="L319" s="102">
        <v>7583.875034</v>
      </c>
      <c r="M319" s="99" t="s">
        <v>10127</v>
      </c>
      <c r="N319" s="102">
        <v>18634292.5945171</v>
      </c>
      <c r="O319" s="99" t="s">
        <v>10235</v>
      </c>
      <c r="R319" s="58"/>
      <c r="S319" s="58"/>
      <c r="T319" s="58"/>
      <c r="U319" s="58"/>
      <c r="V319" s="58"/>
      <c r="W319" s="58"/>
      <c r="X319" s="58"/>
    </row>
    <row r="320" ht="25.5" spans="1:24">
      <c r="A320" s="99" t="s">
        <v>3007</v>
      </c>
      <c r="B320" s="100" t="s">
        <v>139</v>
      </c>
      <c r="C320" s="100" t="s">
        <v>3008</v>
      </c>
      <c r="D320" s="100" t="s">
        <v>2961</v>
      </c>
      <c r="E320" s="101" t="s">
        <v>204</v>
      </c>
      <c r="F320" s="99" t="s">
        <v>10236</v>
      </c>
      <c r="G320" s="99"/>
      <c r="H320" s="99" t="s">
        <v>10237</v>
      </c>
      <c r="I320" s="99"/>
      <c r="J320" s="99" t="s">
        <v>10238</v>
      </c>
      <c r="K320" s="99"/>
      <c r="L320" s="102">
        <v>7570.400428332</v>
      </c>
      <c r="M320" s="99" t="s">
        <v>10127</v>
      </c>
      <c r="N320" s="102">
        <v>18641862.9949455</v>
      </c>
      <c r="O320" s="99" t="s">
        <v>10239</v>
      </c>
      <c r="R320" s="58"/>
      <c r="S320" s="58"/>
      <c r="T320" s="58"/>
      <c r="U320" s="58"/>
      <c r="V320" s="58"/>
      <c r="W320" s="58"/>
      <c r="X320" s="58"/>
    </row>
    <row r="321" ht="25.5" spans="1:24">
      <c r="A321" s="99" t="s">
        <v>3889</v>
      </c>
      <c r="B321" s="100" t="s">
        <v>77</v>
      </c>
      <c r="C321" s="100" t="s">
        <v>3890</v>
      </c>
      <c r="D321" s="100" t="s">
        <v>2961</v>
      </c>
      <c r="E321" s="101" t="s">
        <v>134</v>
      </c>
      <c r="F321" s="99" t="s">
        <v>9856</v>
      </c>
      <c r="G321" s="99"/>
      <c r="H321" s="99" t="s">
        <v>10240</v>
      </c>
      <c r="I321" s="99"/>
      <c r="J321" s="99" t="s">
        <v>10241</v>
      </c>
      <c r="K321" s="99"/>
      <c r="L321" s="102">
        <v>7547.84</v>
      </c>
      <c r="M321" s="99" t="s">
        <v>10127</v>
      </c>
      <c r="N321" s="102">
        <v>18649410.8349455</v>
      </c>
      <c r="O321" s="99" t="s">
        <v>10242</v>
      </c>
      <c r="R321" s="58"/>
      <c r="S321" s="58"/>
      <c r="T321" s="58"/>
      <c r="U321" s="58"/>
      <c r="V321" s="58"/>
      <c r="W321" s="58"/>
      <c r="X321" s="58"/>
    </row>
    <row r="322" ht="25.5" spans="1:24">
      <c r="A322" s="99" t="s">
        <v>5624</v>
      </c>
      <c r="B322" s="100" t="s">
        <v>139</v>
      </c>
      <c r="C322" s="100" t="s">
        <v>5625</v>
      </c>
      <c r="D322" s="100" t="s">
        <v>2961</v>
      </c>
      <c r="E322" s="101" t="s">
        <v>393</v>
      </c>
      <c r="F322" s="99" t="s">
        <v>10243</v>
      </c>
      <c r="G322" s="99"/>
      <c r="H322" s="99" t="s">
        <v>10244</v>
      </c>
      <c r="I322" s="99"/>
      <c r="J322" s="99" t="s">
        <v>10245</v>
      </c>
      <c r="K322" s="99"/>
      <c r="L322" s="102">
        <v>7545.70166973359</v>
      </c>
      <c r="M322" s="99" t="s">
        <v>10127</v>
      </c>
      <c r="N322" s="102">
        <v>18656956.5366152</v>
      </c>
      <c r="O322" s="99" t="s">
        <v>10246</v>
      </c>
      <c r="R322" s="58"/>
      <c r="S322" s="58"/>
      <c r="T322" s="58"/>
      <c r="U322" s="58"/>
      <c r="V322" s="58"/>
      <c r="W322" s="58"/>
      <c r="X322" s="58"/>
    </row>
    <row r="323" spans="1:24">
      <c r="A323" s="99" t="s">
        <v>4566</v>
      </c>
      <c r="B323" s="100" t="s">
        <v>132</v>
      </c>
      <c r="C323" s="100" t="s">
        <v>4567</v>
      </c>
      <c r="D323" s="100" t="s">
        <v>2961</v>
      </c>
      <c r="E323" s="101" t="s">
        <v>134</v>
      </c>
      <c r="F323" s="99" t="s">
        <v>10247</v>
      </c>
      <c r="G323" s="99"/>
      <c r="H323" s="99" t="s">
        <v>10248</v>
      </c>
      <c r="I323" s="99"/>
      <c r="J323" s="99" t="s">
        <v>10249</v>
      </c>
      <c r="K323" s="99"/>
      <c r="L323" s="102">
        <v>7537.04</v>
      </c>
      <c r="M323" s="99" t="s">
        <v>10127</v>
      </c>
      <c r="N323" s="102">
        <v>18664493.5766152</v>
      </c>
      <c r="O323" s="99" t="s">
        <v>10250</v>
      </c>
      <c r="R323" s="58"/>
      <c r="S323" s="58"/>
      <c r="T323" s="58"/>
      <c r="U323" s="58"/>
      <c r="V323" s="58"/>
      <c r="W323" s="58"/>
      <c r="X323" s="58"/>
    </row>
    <row r="324" ht="63.75" spans="1:24">
      <c r="A324" s="99" t="s">
        <v>4276</v>
      </c>
      <c r="B324" s="100" t="s">
        <v>132</v>
      </c>
      <c r="C324" s="100" t="s">
        <v>4277</v>
      </c>
      <c r="D324" s="100" t="s">
        <v>2961</v>
      </c>
      <c r="E324" s="101" t="s">
        <v>134</v>
      </c>
      <c r="F324" s="99" t="s">
        <v>9091</v>
      </c>
      <c r="G324" s="99"/>
      <c r="H324" s="99" t="s">
        <v>10251</v>
      </c>
      <c r="I324" s="99"/>
      <c r="J324" s="99" t="s">
        <v>10251</v>
      </c>
      <c r="K324" s="99"/>
      <c r="L324" s="102">
        <v>7532.52</v>
      </c>
      <c r="M324" s="99" t="s">
        <v>10127</v>
      </c>
      <c r="N324" s="102">
        <v>18672026.0966152</v>
      </c>
      <c r="O324" s="99" t="s">
        <v>10252</v>
      </c>
      <c r="R324" s="58"/>
      <c r="S324" s="58"/>
      <c r="T324" s="58"/>
      <c r="U324" s="58"/>
      <c r="V324" s="58"/>
      <c r="W324" s="58"/>
      <c r="X324" s="58"/>
    </row>
    <row r="325" ht="63.75" spans="1:24">
      <c r="A325" s="99" t="s">
        <v>4278</v>
      </c>
      <c r="B325" s="100" t="s">
        <v>132</v>
      </c>
      <c r="C325" s="100" t="s">
        <v>4279</v>
      </c>
      <c r="D325" s="100" t="s">
        <v>2961</v>
      </c>
      <c r="E325" s="101" t="s">
        <v>134</v>
      </c>
      <c r="F325" s="99" t="s">
        <v>9091</v>
      </c>
      <c r="G325" s="99"/>
      <c r="H325" s="99" t="s">
        <v>10253</v>
      </c>
      <c r="I325" s="99"/>
      <c r="J325" s="99" t="s">
        <v>10253</v>
      </c>
      <c r="K325" s="99"/>
      <c r="L325" s="102">
        <v>7513.38</v>
      </c>
      <c r="M325" s="99" t="s">
        <v>10127</v>
      </c>
      <c r="N325" s="102">
        <v>18679539.4766152</v>
      </c>
      <c r="O325" s="99" t="s">
        <v>10254</v>
      </c>
      <c r="R325" s="58"/>
      <c r="S325" s="58"/>
      <c r="T325" s="58"/>
      <c r="U325" s="58"/>
      <c r="V325" s="58"/>
      <c r="W325" s="58"/>
      <c r="X325" s="58"/>
    </row>
    <row r="326" ht="25.5" spans="1:24">
      <c r="A326" s="99" t="s">
        <v>5293</v>
      </c>
      <c r="B326" s="100" t="s">
        <v>139</v>
      </c>
      <c r="C326" s="100" t="s">
        <v>5294</v>
      </c>
      <c r="D326" s="100" t="s">
        <v>2961</v>
      </c>
      <c r="E326" s="101" t="s">
        <v>3084</v>
      </c>
      <c r="F326" s="99" t="s">
        <v>10255</v>
      </c>
      <c r="G326" s="99"/>
      <c r="H326" s="99" t="s">
        <v>10256</v>
      </c>
      <c r="I326" s="99"/>
      <c r="J326" s="99" t="s">
        <v>10257</v>
      </c>
      <c r="K326" s="99"/>
      <c r="L326" s="102">
        <v>7500.00762</v>
      </c>
      <c r="M326" s="99" t="s">
        <v>10127</v>
      </c>
      <c r="N326" s="102">
        <v>18687039.4842352</v>
      </c>
      <c r="O326" s="99" t="s">
        <v>10258</v>
      </c>
      <c r="R326" s="58"/>
      <c r="S326" s="58"/>
      <c r="T326" s="58"/>
      <c r="U326" s="58"/>
      <c r="V326" s="58"/>
      <c r="W326" s="58"/>
      <c r="X326" s="58"/>
    </row>
    <row r="327" spans="1:24">
      <c r="A327" s="99" t="s">
        <v>4984</v>
      </c>
      <c r="B327" s="100" t="s">
        <v>139</v>
      </c>
      <c r="C327" s="100" t="s">
        <v>4985</v>
      </c>
      <c r="D327" s="100" t="s">
        <v>2961</v>
      </c>
      <c r="E327" s="101" t="s">
        <v>134</v>
      </c>
      <c r="F327" s="99" t="s">
        <v>10259</v>
      </c>
      <c r="G327" s="99"/>
      <c r="H327" s="99" t="s">
        <v>10260</v>
      </c>
      <c r="I327" s="99"/>
      <c r="J327" s="99" t="s">
        <v>10261</v>
      </c>
      <c r="K327" s="99"/>
      <c r="L327" s="102">
        <v>7410.08</v>
      </c>
      <c r="M327" s="99" t="s">
        <v>10127</v>
      </c>
      <c r="N327" s="102">
        <v>18694449.5642352</v>
      </c>
      <c r="O327" s="99" t="s">
        <v>10262</v>
      </c>
      <c r="R327" s="58"/>
      <c r="S327" s="58"/>
      <c r="T327" s="58"/>
      <c r="U327" s="58"/>
      <c r="V327" s="58"/>
      <c r="W327" s="58"/>
      <c r="X327" s="58"/>
    </row>
    <row r="328" ht="63.75" spans="1:24">
      <c r="A328" s="99" t="s">
        <v>4284</v>
      </c>
      <c r="B328" s="100" t="s">
        <v>132</v>
      </c>
      <c r="C328" s="100" t="s">
        <v>4285</v>
      </c>
      <c r="D328" s="100" t="s">
        <v>2961</v>
      </c>
      <c r="E328" s="101" t="s">
        <v>134</v>
      </c>
      <c r="F328" s="99" t="s">
        <v>9091</v>
      </c>
      <c r="G328" s="99"/>
      <c r="H328" s="99" t="s">
        <v>10263</v>
      </c>
      <c r="I328" s="99"/>
      <c r="J328" s="99" t="s">
        <v>10263</v>
      </c>
      <c r="K328" s="99"/>
      <c r="L328" s="102">
        <v>7337.79</v>
      </c>
      <c r="M328" s="99" t="s">
        <v>10127</v>
      </c>
      <c r="N328" s="102">
        <v>18701787.3542352</v>
      </c>
      <c r="O328" s="99" t="s">
        <v>10264</v>
      </c>
      <c r="R328" s="58"/>
      <c r="S328" s="58"/>
      <c r="T328" s="58"/>
      <c r="U328" s="58"/>
      <c r="V328" s="58"/>
      <c r="W328" s="58"/>
      <c r="X328" s="58"/>
    </row>
    <row r="329" ht="25.5" spans="1:24">
      <c r="A329" s="99" t="s">
        <v>2715</v>
      </c>
      <c r="B329" s="100" t="s">
        <v>139</v>
      </c>
      <c r="C329" s="100" t="s">
        <v>2716</v>
      </c>
      <c r="D329" s="100" t="s">
        <v>2961</v>
      </c>
      <c r="E329" s="101" t="s">
        <v>279</v>
      </c>
      <c r="F329" s="99" t="s">
        <v>10265</v>
      </c>
      <c r="G329" s="99"/>
      <c r="H329" s="99" t="s">
        <v>7888</v>
      </c>
      <c r="I329" s="99"/>
      <c r="J329" s="99" t="s">
        <v>10266</v>
      </c>
      <c r="K329" s="99"/>
      <c r="L329" s="102">
        <v>7314.9081347907</v>
      </c>
      <c r="M329" s="99" t="s">
        <v>10127</v>
      </c>
      <c r="N329" s="102">
        <v>18709102.26237</v>
      </c>
      <c r="O329" s="99" t="s">
        <v>10267</v>
      </c>
      <c r="R329" s="58"/>
      <c r="S329" s="58"/>
      <c r="T329" s="58"/>
      <c r="U329" s="58"/>
      <c r="V329" s="58"/>
      <c r="W329" s="58"/>
      <c r="X329" s="58"/>
    </row>
    <row r="330" ht="25.5" spans="1:24">
      <c r="A330" s="99" t="s">
        <v>3466</v>
      </c>
      <c r="B330" s="100" t="s">
        <v>139</v>
      </c>
      <c r="C330" s="100" t="s">
        <v>3467</v>
      </c>
      <c r="D330" s="100" t="s">
        <v>2961</v>
      </c>
      <c r="E330" s="101" t="s">
        <v>393</v>
      </c>
      <c r="F330" s="99" t="s">
        <v>10268</v>
      </c>
      <c r="G330" s="99"/>
      <c r="H330" s="99" t="s">
        <v>10269</v>
      </c>
      <c r="I330" s="99"/>
      <c r="J330" s="99" t="s">
        <v>10270</v>
      </c>
      <c r="K330" s="99"/>
      <c r="L330" s="102">
        <v>7313.384722</v>
      </c>
      <c r="M330" s="99" t="s">
        <v>10127</v>
      </c>
      <c r="N330" s="102">
        <v>18716415.647092</v>
      </c>
      <c r="O330" s="99" t="s">
        <v>10271</v>
      </c>
      <c r="R330" s="58"/>
      <c r="S330" s="58"/>
      <c r="T330" s="58"/>
      <c r="U330" s="58"/>
      <c r="V330" s="58"/>
      <c r="W330" s="58"/>
      <c r="X330" s="58"/>
    </row>
    <row r="331" ht="25.5" spans="1:24">
      <c r="A331" s="99" t="s">
        <v>6012</v>
      </c>
      <c r="B331" s="100" t="s">
        <v>139</v>
      </c>
      <c r="C331" s="100" t="s">
        <v>6013</v>
      </c>
      <c r="D331" s="100" t="s">
        <v>2961</v>
      </c>
      <c r="E331" s="101" t="s">
        <v>2925</v>
      </c>
      <c r="F331" s="99" t="s">
        <v>9742</v>
      </c>
      <c r="G331" s="99"/>
      <c r="H331" s="99" t="s">
        <v>10272</v>
      </c>
      <c r="I331" s="99"/>
      <c r="J331" s="99" t="s">
        <v>10273</v>
      </c>
      <c r="K331" s="99"/>
      <c r="L331" s="102">
        <v>7169.04</v>
      </c>
      <c r="M331" s="99" t="s">
        <v>10127</v>
      </c>
      <c r="N331" s="102">
        <v>18723584.687092</v>
      </c>
      <c r="O331" s="99" t="s">
        <v>10274</v>
      </c>
      <c r="R331" s="58"/>
      <c r="S331" s="58"/>
      <c r="T331" s="58"/>
      <c r="U331" s="58"/>
      <c r="V331" s="58"/>
      <c r="W331" s="58"/>
      <c r="X331" s="58"/>
    </row>
    <row r="332" spans="1:24">
      <c r="A332" s="99" t="s">
        <v>3592</v>
      </c>
      <c r="B332" s="100" t="s">
        <v>149</v>
      </c>
      <c r="C332" s="100" t="s">
        <v>3593</v>
      </c>
      <c r="D332" s="100" t="s">
        <v>2961</v>
      </c>
      <c r="E332" s="101" t="s">
        <v>3084</v>
      </c>
      <c r="F332" s="99" t="s">
        <v>10085</v>
      </c>
      <c r="G332" s="99"/>
      <c r="H332" s="99" t="s">
        <v>10275</v>
      </c>
      <c r="I332" s="99"/>
      <c r="J332" s="99" t="s">
        <v>10276</v>
      </c>
      <c r="K332" s="99"/>
      <c r="L332" s="102">
        <v>7155.723988</v>
      </c>
      <c r="M332" s="99" t="s">
        <v>10127</v>
      </c>
      <c r="N332" s="102">
        <v>18730740.41108</v>
      </c>
      <c r="O332" s="99" t="s">
        <v>10277</v>
      </c>
      <c r="R332" s="58"/>
      <c r="S332" s="58"/>
      <c r="T332" s="58"/>
      <c r="U332" s="58"/>
      <c r="V332" s="58"/>
      <c r="W332" s="58"/>
      <c r="X332" s="58"/>
    </row>
    <row r="333" ht="38.25" spans="1:24">
      <c r="A333" s="99" t="s">
        <v>5191</v>
      </c>
      <c r="B333" s="100" t="s">
        <v>77</v>
      </c>
      <c r="C333" s="100" t="s">
        <v>5192</v>
      </c>
      <c r="D333" s="100" t="s">
        <v>2961</v>
      </c>
      <c r="E333" s="101" t="s">
        <v>134</v>
      </c>
      <c r="F333" s="99" t="s">
        <v>9550</v>
      </c>
      <c r="G333" s="99"/>
      <c r="H333" s="99" t="s">
        <v>7776</v>
      </c>
      <c r="I333" s="99"/>
      <c r="J333" s="99" t="s">
        <v>7777</v>
      </c>
      <c r="K333" s="99"/>
      <c r="L333" s="102">
        <v>7121.84</v>
      </c>
      <c r="M333" s="99" t="s">
        <v>10127</v>
      </c>
      <c r="N333" s="102">
        <v>18737862.25108</v>
      </c>
      <c r="O333" s="99" t="s">
        <v>10278</v>
      </c>
      <c r="R333" s="58"/>
      <c r="S333" s="58"/>
      <c r="T333" s="58"/>
      <c r="U333" s="58"/>
      <c r="V333" s="58"/>
      <c r="W333" s="58"/>
      <c r="X333" s="58"/>
    </row>
    <row r="334" spans="1:24">
      <c r="A334" s="99" t="s">
        <v>5104</v>
      </c>
      <c r="B334" s="100" t="s">
        <v>149</v>
      </c>
      <c r="C334" s="100" t="s">
        <v>5105</v>
      </c>
      <c r="D334" s="100" t="s">
        <v>2961</v>
      </c>
      <c r="E334" s="101" t="s">
        <v>393</v>
      </c>
      <c r="F334" s="99" t="s">
        <v>10279</v>
      </c>
      <c r="G334" s="99"/>
      <c r="H334" s="99" t="s">
        <v>10280</v>
      </c>
      <c r="I334" s="99"/>
      <c r="J334" s="99" t="s">
        <v>10281</v>
      </c>
      <c r="K334" s="99"/>
      <c r="L334" s="102">
        <v>7101.325</v>
      </c>
      <c r="M334" s="99" t="s">
        <v>10127</v>
      </c>
      <c r="N334" s="102">
        <v>18744963.57608</v>
      </c>
      <c r="O334" s="99" t="s">
        <v>10282</v>
      </c>
      <c r="R334" s="58"/>
      <c r="S334" s="58"/>
      <c r="T334" s="58"/>
      <c r="U334" s="58"/>
      <c r="V334" s="58"/>
      <c r="W334" s="58"/>
      <c r="X334" s="58"/>
    </row>
    <row r="335" ht="25.5" spans="1:24">
      <c r="A335" s="99" t="s">
        <v>4669</v>
      </c>
      <c r="B335" s="100" t="s">
        <v>139</v>
      </c>
      <c r="C335" s="100" t="s">
        <v>4670</v>
      </c>
      <c r="D335" s="100" t="s">
        <v>2961</v>
      </c>
      <c r="E335" s="101" t="s">
        <v>204</v>
      </c>
      <c r="F335" s="99" t="s">
        <v>10283</v>
      </c>
      <c r="G335" s="99"/>
      <c r="H335" s="99" t="s">
        <v>9057</v>
      </c>
      <c r="I335" s="99"/>
      <c r="J335" s="99" t="s">
        <v>10284</v>
      </c>
      <c r="K335" s="99"/>
      <c r="L335" s="102">
        <v>7061.5338885</v>
      </c>
      <c r="M335" s="99" t="s">
        <v>10127</v>
      </c>
      <c r="N335" s="102">
        <v>18752025.1099685</v>
      </c>
      <c r="O335" s="99" t="s">
        <v>10285</v>
      </c>
      <c r="R335" s="58"/>
      <c r="S335" s="58"/>
      <c r="T335" s="58"/>
      <c r="U335" s="58"/>
      <c r="V335" s="58"/>
      <c r="W335" s="58"/>
      <c r="X335" s="58"/>
    </row>
    <row r="336" spans="1:24">
      <c r="A336" s="99" t="s">
        <v>3859</v>
      </c>
      <c r="B336" s="100" t="s">
        <v>149</v>
      </c>
      <c r="C336" s="100" t="s">
        <v>3860</v>
      </c>
      <c r="D336" s="100" t="s">
        <v>2961</v>
      </c>
      <c r="E336" s="101" t="s">
        <v>134</v>
      </c>
      <c r="F336" s="99" t="s">
        <v>10286</v>
      </c>
      <c r="G336" s="99"/>
      <c r="H336" s="99" t="s">
        <v>10287</v>
      </c>
      <c r="I336" s="99"/>
      <c r="J336" s="99" t="s">
        <v>10288</v>
      </c>
      <c r="K336" s="99"/>
      <c r="L336" s="102">
        <v>7033.6</v>
      </c>
      <c r="M336" s="99" t="s">
        <v>10127</v>
      </c>
      <c r="N336" s="102">
        <v>18759058.7099685</v>
      </c>
      <c r="O336" s="99" t="s">
        <v>10289</v>
      </c>
      <c r="R336" s="58"/>
      <c r="S336" s="58"/>
      <c r="T336" s="58"/>
      <c r="U336" s="58"/>
      <c r="V336" s="58"/>
      <c r="W336" s="58"/>
      <c r="X336" s="58"/>
    </row>
    <row r="337" ht="25.5" spans="1:24">
      <c r="A337" s="99" t="s">
        <v>5312</v>
      </c>
      <c r="B337" s="100" t="s">
        <v>139</v>
      </c>
      <c r="C337" s="100" t="s">
        <v>5313</v>
      </c>
      <c r="D337" s="100" t="s">
        <v>2961</v>
      </c>
      <c r="E337" s="101" t="s">
        <v>2897</v>
      </c>
      <c r="F337" s="99" t="s">
        <v>9238</v>
      </c>
      <c r="G337" s="99"/>
      <c r="H337" s="99" t="s">
        <v>7358</v>
      </c>
      <c r="I337" s="99"/>
      <c r="J337" s="99" t="s">
        <v>10290</v>
      </c>
      <c r="K337" s="99"/>
      <c r="L337" s="102">
        <v>7000.34451319952</v>
      </c>
      <c r="M337" s="99" t="s">
        <v>10127</v>
      </c>
      <c r="N337" s="102">
        <v>18766059.0544817</v>
      </c>
      <c r="O337" s="99" t="s">
        <v>10291</v>
      </c>
      <c r="R337" s="58"/>
      <c r="S337" s="58"/>
      <c r="T337" s="58"/>
      <c r="U337" s="58"/>
      <c r="V337" s="58"/>
      <c r="W337" s="58"/>
      <c r="X337" s="58"/>
    </row>
    <row r="338" ht="38.25" spans="1:24">
      <c r="A338" s="99" t="s">
        <v>6056</v>
      </c>
      <c r="B338" s="100" t="s">
        <v>139</v>
      </c>
      <c r="C338" s="100" t="s">
        <v>6057</v>
      </c>
      <c r="D338" s="100" t="s">
        <v>2961</v>
      </c>
      <c r="E338" s="101" t="s">
        <v>204</v>
      </c>
      <c r="F338" s="99" t="s">
        <v>10292</v>
      </c>
      <c r="G338" s="99"/>
      <c r="H338" s="99" t="s">
        <v>10293</v>
      </c>
      <c r="I338" s="99"/>
      <c r="J338" s="99" t="s">
        <v>10294</v>
      </c>
      <c r="K338" s="99"/>
      <c r="L338" s="102">
        <v>6986.78918145</v>
      </c>
      <c r="M338" s="99" t="s">
        <v>10295</v>
      </c>
      <c r="N338" s="102">
        <v>18773045.8436631</v>
      </c>
      <c r="O338" s="99" t="s">
        <v>10296</v>
      </c>
      <c r="R338" s="58"/>
      <c r="S338" s="58"/>
      <c r="T338" s="58"/>
      <c r="U338" s="58"/>
      <c r="V338" s="58"/>
      <c r="W338" s="58"/>
      <c r="X338" s="58"/>
    </row>
    <row r="339" spans="1:24">
      <c r="A339" s="99" t="s">
        <v>5750</v>
      </c>
      <c r="B339" s="100" t="s">
        <v>139</v>
      </c>
      <c r="C339" s="100" t="s">
        <v>5751</v>
      </c>
      <c r="D339" s="100" t="s">
        <v>2896</v>
      </c>
      <c r="E339" s="101" t="s">
        <v>2925</v>
      </c>
      <c r="F339" s="99" t="s">
        <v>10297</v>
      </c>
      <c r="G339" s="99"/>
      <c r="H339" s="99" t="s">
        <v>10298</v>
      </c>
      <c r="I339" s="99"/>
      <c r="J339" s="99" t="s">
        <v>10299</v>
      </c>
      <c r="K339" s="99"/>
      <c r="L339" s="102">
        <v>6944.77608</v>
      </c>
      <c r="M339" s="99" t="s">
        <v>10295</v>
      </c>
      <c r="N339" s="102">
        <v>18779990.6197431</v>
      </c>
      <c r="O339" s="99" t="s">
        <v>10300</v>
      </c>
      <c r="R339" s="58"/>
      <c r="S339" s="58"/>
      <c r="T339" s="58"/>
      <c r="U339" s="58"/>
      <c r="V339" s="58"/>
      <c r="W339" s="58"/>
      <c r="X339" s="58"/>
    </row>
    <row r="340" ht="25.5" spans="1:24">
      <c r="A340" s="99" t="s">
        <v>4067</v>
      </c>
      <c r="B340" s="100" t="s">
        <v>149</v>
      </c>
      <c r="C340" s="100" t="s">
        <v>4068</v>
      </c>
      <c r="D340" s="100" t="s">
        <v>2961</v>
      </c>
      <c r="E340" s="101" t="s">
        <v>134</v>
      </c>
      <c r="F340" s="99" t="s">
        <v>10301</v>
      </c>
      <c r="G340" s="99"/>
      <c r="H340" s="99" t="s">
        <v>10302</v>
      </c>
      <c r="I340" s="99"/>
      <c r="J340" s="99" t="s">
        <v>10303</v>
      </c>
      <c r="K340" s="99"/>
      <c r="L340" s="102">
        <v>6912.59</v>
      </c>
      <c r="M340" s="99" t="s">
        <v>10295</v>
      </c>
      <c r="N340" s="102">
        <v>18786903.2097431</v>
      </c>
      <c r="O340" s="99" t="s">
        <v>10304</v>
      </c>
      <c r="R340" s="58"/>
      <c r="S340" s="58"/>
      <c r="T340" s="58"/>
      <c r="U340" s="58"/>
      <c r="V340" s="58"/>
      <c r="W340" s="58"/>
      <c r="X340" s="58"/>
    </row>
    <row r="341" ht="38.25" spans="1:24">
      <c r="A341" s="99" t="s">
        <v>4839</v>
      </c>
      <c r="B341" s="100" t="s">
        <v>132</v>
      </c>
      <c r="C341" s="100" t="s">
        <v>4840</v>
      </c>
      <c r="D341" s="100" t="s">
        <v>2961</v>
      </c>
      <c r="E341" s="101" t="s">
        <v>134</v>
      </c>
      <c r="F341" s="99" t="s">
        <v>9091</v>
      </c>
      <c r="G341" s="99"/>
      <c r="H341" s="99" t="s">
        <v>10305</v>
      </c>
      <c r="I341" s="99"/>
      <c r="J341" s="99" t="s">
        <v>10305</v>
      </c>
      <c r="K341" s="99"/>
      <c r="L341" s="102">
        <v>6880.92</v>
      </c>
      <c r="M341" s="99" t="s">
        <v>10295</v>
      </c>
      <c r="N341" s="102">
        <v>18793784.1297431</v>
      </c>
      <c r="O341" s="99" t="s">
        <v>10306</v>
      </c>
      <c r="R341" s="58"/>
      <c r="S341" s="58"/>
      <c r="T341" s="58"/>
      <c r="U341" s="58"/>
      <c r="V341" s="58"/>
      <c r="W341" s="58"/>
      <c r="X341" s="58"/>
    </row>
    <row r="342" ht="25.5" spans="1:24">
      <c r="A342" s="99" t="s">
        <v>1851</v>
      </c>
      <c r="B342" s="100" t="s">
        <v>796</v>
      </c>
      <c r="C342" s="100" t="s">
        <v>1852</v>
      </c>
      <c r="D342" s="100" t="s">
        <v>2961</v>
      </c>
      <c r="E342" s="101" t="s">
        <v>334</v>
      </c>
      <c r="F342" s="99" t="s">
        <v>9091</v>
      </c>
      <c r="G342" s="99"/>
      <c r="H342" s="99" t="s">
        <v>7799</v>
      </c>
      <c r="I342" s="99"/>
      <c r="J342" s="99" t="s">
        <v>7799</v>
      </c>
      <c r="K342" s="99"/>
      <c r="L342" s="102">
        <v>6852.11</v>
      </c>
      <c r="M342" s="99" t="s">
        <v>10295</v>
      </c>
      <c r="N342" s="102">
        <v>18800636.2397431</v>
      </c>
      <c r="O342" s="99" t="s">
        <v>10307</v>
      </c>
      <c r="R342" s="58"/>
      <c r="S342" s="58"/>
      <c r="T342" s="58"/>
      <c r="U342" s="58"/>
      <c r="V342" s="58"/>
      <c r="W342" s="58"/>
      <c r="X342" s="58"/>
    </row>
    <row r="343" spans="1:24">
      <c r="A343" s="99" t="s">
        <v>5772</v>
      </c>
      <c r="B343" s="100" t="s">
        <v>139</v>
      </c>
      <c r="C343" s="100" t="s">
        <v>5773</v>
      </c>
      <c r="D343" s="100" t="s">
        <v>2896</v>
      </c>
      <c r="E343" s="101" t="s">
        <v>2897</v>
      </c>
      <c r="F343" s="99" t="s">
        <v>10308</v>
      </c>
      <c r="G343" s="99"/>
      <c r="H343" s="99" t="s">
        <v>10309</v>
      </c>
      <c r="I343" s="99"/>
      <c r="J343" s="99" t="s">
        <v>10310</v>
      </c>
      <c r="K343" s="99"/>
      <c r="L343" s="102">
        <v>6851.32600824777</v>
      </c>
      <c r="M343" s="99" t="s">
        <v>10295</v>
      </c>
      <c r="N343" s="102">
        <v>18807487.5657514</v>
      </c>
      <c r="O343" s="99" t="s">
        <v>10311</v>
      </c>
      <c r="R343" s="58"/>
      <c r="S343" s="58"/>
      <c r="T343" s="58"/>
      <c r="U343" s="58"/>
      <c r="V343" s="58"/>
      <c r="W343" s="58"/>
      <c r="X343" s="58"/>
    </row>
    <row r="344" ht="25.5" spans="1:24">
      <c r="A344" s="99" t="s">
        <v>5858</v>
      </c>
      <c r="B344" s="100" t="s">
        <v>77</v>
      </c>
      <c r="C344" s="100" t="s">
        <v>5859</v>
      </c>
      <c r="D344" s="100" t="s">
        <v>3395</v>
      </c>
      <c r="E344" s="101" t="s">
        <v>134</v>
      </c>
      <c r="F344" s="99" t="s">
        <v>10312</v>
      </c>
      <c r="G344" s="99"/>
      <c r="H344" s="99" t="s">
        <v>10313</v>
      </c>
      <c r="I344" s="99"/>
      <c r="J344" s="99" t="s">
        <v>10314</v>
      </c>
      <c r="K344" s="99"/>
      <c r="L344" s="102">
        <v>6833.29185</v>
      </c>
      <c r="M344" s="99" t="s">
        <v>10295</v>
      </c>
      <c r="N344" s="102">
        <v>18814320.8576014</v>
      </c>
      <c r="O344" s="99" t="s">
        <v>10315</v>
      </c>
      <c r="R344" s="58"/>
      <c r="S344" s="58"/>
      <c r="T344" s="58"/>
      <c r="U344" s="58"/>
      <c r="V344" s="58"/>
      <c r="W344" s="58"/>
      <c r="X344" s="58"/>
    </row>
    <row r="345" ht="25.5" spans="1:24">
      <c r="A345" s="99" t="s">
        <v>3772</v>
      </c>
      <c r="B345" s="100" t="s">
        <v>139</v>
      </c>
      <c r="C345" s="100" t="s">
        <v>3773</v>
      </c>
      <c r="D345" s="100" t="s">
        <v>2961</v>
      </c>
      <c r="E345" s="101" t="s">
        <v>134</v>
      </c>
      <c r="F345" s="99" t="s">
        <v>10316</v>
      </c>
      <c r="G345" s="99"/>
      <c r="H345" s="99" t="s">
        <v>10317</v>
      </c>
      <c r="I345" s="99"/>
      <c r="J345" s="99" t="s">
        <v>10318</v>
      </c>
      <c r="K345" s="99"/>
      <c r="L345" s="102">
        <v>6832.84</v>
      </c>
      <c r="M345" s="99" t="s">
        <v>10295</v>
      </c>
      <c r="N345" s="102">
        <v>18821153.6976014</v>
      </c>
      <c r="O345" s="99" t="s">
        <v>10319</v>
      </c>
      <c r="R345" s="58"/>
      <c r="S345" s="58"/>
      <c r="T345" s="58"/>
      <c r="U345" s="58"/>
      <c r="V345" s="58"/>
      <c r="W345" s="58"/>
      <c r="X345" s="58"/>
    </row>
    <row r="346" spans="1:24">
      <c r="A346" s="99" t="s">
        <v>4564</v>
      </c>
      <c r="B346" s="100" t="s">
        <v>132</v>
      </c>
      <c r="C346" s="100" t="s">
        <v>4565</v>
      </c>
      <c r="D346" s="100" t="s">
        <v>2961</v>
      </c>
      <c r="E346" s="101" t="s">
        <v>134</v>
      </c>
      <c r="F346" s="99" t="s">
        <v>9183</v>
      </c>
      <c r="G346" s="99"/>
      <c r="H346" s="99" t="s">
        <v>10320</v>
      </c>
      <c r="I346" s="99"/>
      <c r="J346" s="99" t="s">
        <v>10321</v>
      </c>
      <c r="K346" s="99"/>
      <c r="L346" s="102">
        <v>6777.62</v>
      </c>
      <c r="M346" s="99" t="s">
        <v>10295</v>
      </c>
      <c r="N346" s="102">
        <v>18827931.3176014</v>
      </c>
      <c r="O346" s="99" t="s">
        <v>10322</v>
      </c>
      <c r="R346" s="58"/>
      <c r="S346" s="58"/>
      <c r="T346" s="58"/>
      <c r="U346" s="58"/>
      <c r="V346" s="58"/>
      <c r="W346" s="58"/>
      <c r="X346" s="58"/>
    </row>
    <row r="347" ht="25.5" spans="1:24">
      <c r="A347" s="103" t="s">
        <v>4046</v>
      </c>
      <c r="B347" s="104" t="s">
        <v>139</v>
      </c>
      <c r="C347" s="104" t="s">
        <v>4047</v>
      </c>
      <c r="D347" s="104" t="s">
        <v>2961</v>
      </c>
      <c r="E347" s="105" t="s">
        <v>134</v>
      </c>
      <c r="F347" s="103" t="s">
        <v>10323</v>
      </c>
      <c r="G347" s="103"/>
      <c r="H347" s="103" t="s">
        <v>10324</v>
      </c>
      <c r="I347" s="103"/>
      <c r="J347" s="103" t="s">
        <v>10325</v>
      </c>
      <c r="K347" s="103"/>
      <c r="L347" s="106">
        <v>6692.84</v>
      </c>
      <c r="M347" s="103" t="s">
        <v>10295</v>
      </c>
      <c r="N347" s="106">
        <v>18834624.1576014</v>
      </c>
      <c r="O347" s="103" t="s">
        <v>10326</v>
      </c>
      <c r="R347" s="58"/>
      <c r="S347" s="58"/>
      <c r="T347" s="58"/>
      <c r="U347" s="58"/>
      <c r="V347" s="58"/>
      <c r="W347" s="58"/>
      <c r="X347" s="58"/>
    </row>
    <row r="348" ht="25.5" spans="1:24">
      <c r="A348" s="103" t="s">
        <v>4435</v>
      </c>
      <c r="B348" s="104" t="s">
        <v>149</v>
      </c>
      <c r="C348" s="104" t="s">
        <v>4436</v>
      </c>
      <c r="D348" s="104" t="s">
        <v>2961</v>
      </c>
      <c r="E348" s="105" t="s">
        <v>134</v>
      </c>
      <c r="F348" s="103" t="s">
        <v>10327</v>
      </c>
      <c r="G348" s="103"/>
      <c r="H348" s="103" t="s">
        <v>10328</v>
      </c>
      <c r="I348" s="103"/>
      <c r="J348" s="103" t="s">
        <v>10329</v>
      </c>
      <c r="K348" s="103"/>
      <c r="L348" s="106">
        <v>6673</v>
      </c>
      <c r="M348" s="103" t="s">
        <v>10295</v>
      </c>
      <c r="N348" s="106">
        <v>18841297.1576014</v>
      </c>
      <c r="O348" s="103" t="s">
        <v>10330</v>
      </c>
      <c r="R348" s="58"/>
      <c r="S348" s="58"/>
      <c r="T348" s="58"/>
      <c r="U348" s="58"/>
      <c r="V348" s="58"/>
      <c r="W348" s="58"/>
      <c r="X348" s="58"/>
    </row>
    <row r="349" ht="51" spans="1:24">
      <c r="A349" s="103" t="s">
        <v>4717</v>
      </c>
      <c r="B349" s="104" t="s">
        <v>132</v>
      </c>
      <c r="C349" s="104" t="s">
        <v>4718</v>
      </c>
      <c r="D349" s="104" t="s">
        <v>3395</v>
      </c>
      <c r="E349" s="105" t="s">
        <v>134</v>
      </c>
      <c r="F349" s="103" t="s">
        <v>9183</v>
      </c>
      <c r="G349" s="103" t="s">
        <v>9093</v>
      </c>
      <c r="H349" s="103" t="s">
        <v>10331</v>
      </c>
      <c r="I349" s="103" t="s">
        <v>10332</v>
      </c>
      <c r="J349" s="103" t="s">
        <v>10333</v>
      </c>
      <c r="K349" s="103" t="s">
        <v>8660</v>
      </c>
      <c r="L349" s="106">
        <v>6600.96</v>
      </c>
      <c r="M349" s="103" t="s">
        <v>10295</v>
      </c>
      <c r="N349" s="106">
        <v>18847898.1176014</v>
      </c>
      <c r="O349" s="103" t="s">
        <v>10334</v>
      </c>
      <c r="R349" s="58"/>
      <c r="S349" s="58"/>
      <c r="T349" s="58"/>
      <c r="U349" s="58"/>
      <c r="V349" s="58"/>
      <c r="W349" s="58"/>
      <c r="X349" s="58"/>
    </row>
    <row r="350" ht="38.25" spans="1:24">
      <c r="A350" s="103" t="s">
        <v>3125</v>
      </c>
      <c r="B350" s="104" t="s">
        <v>139</v>
      </c>
      <c r="C350" s="104" t="s">
        <v>3126</v>
      </c>
      <c r="D350" s="104" t="s">
        <v>2961</v>
      </c>
      <c r="E350" s="105" t="s">
        <v>141</v>
      </c>
      <c r="F350" s="103" t="s">
        <v>10335</v>
      </c>
      <c r="G350" s="103"/>
      <c r="H350" s="103" t="s">
        <v>10336</v>
      </c>
      <c r="I350" s="103"/>
      <c r="J350" s="103" t="s">
        <v>10337</v>
      </c>
      <c r="K350" s="103"/>
      <c r="L350" s="106">
        <v>6335.0521635</v>
      </c>
      <c r="M350" s="103" t="s">
        <v>10295</v>
      </c>
      <c r="N350" s="106">
        <v>18854233.1697649</v>
      </c>
      <c r="O350" s="103" t="s">
        <v>10338</v>
      </c>
      <c r="R350" s="58"/>
      <c r="S350" s="58"/>
      <c r="T350" s="58"/>
      <c r="U350" s="58"/>
      <c r="V350" s="58"/>
      <c r="W350" s="58"/>
      <c r="X350" s="58"/>
    </row>
    <row r="351" ht="25.5" spans="1:24">
      <c r="A351" s="103" t="s">
        <v>6010</v>
      </c>
      <c r="B351" s="104" t="s">
        <v>139</v>
      </c>
      <c r="C351" s="104" t="s">
        <v>6011</v>
      </c>
      <c r="D351" s="104" t="s">
        <v>2961</v>
      </c>
      <c r="E351" s="105" t="s">
        <v>2925</v>
      </c>
      <c r="F351" s="103" t="s">
        <v>9742</v>
      </c>
      <c r="G351" s="103"/>
      <c r="H351" s="103" t="s">
        <v>10339</v>
      </c>
      <c r="I351" s="103"/>
      <c r="J351" s="103" t="s">
        <v>10340</v>
      </c>
      <c r="K351" s="103"/>
      <c r="L351" s="106">
        <v>6286.32</v>
      </c>
      <c r="M351" s="103" t="s">
        <v>10295</v>
      </c>
      <c r="N351" s="106">
        <v>18860519.4897649</v>
      </c>
      <c r="O351" s="103" t="s">
        <v>10341</v>
      </c>
      <c r="R351" s="58"/>
      <c r="S351" s="58"/>
      <c r="T351" s="58"/>
      <c r="U351" s="58"/>
      <c r="V351" s="58"/>
      <c r="W351" s="58"/>
      <c r="X351" s="58"/>
    </row>
    <row r="352" ht="38.25" spans="1:24">
      <c r="A352" s="103" t="s">
        <v>4837</v>
      </c>
      <c r="B352" s="104" t="s">
        <v>132</v>
      </c>
      <c r="C352" s="104" t="s">
        <v>4838</v>
      </c>
      <c r="D352" s="104" t="s">
        <v>2961</v>
      </c>
      <c r="E352" s="105" t="s">
        <v>134</v>
      </c>
      <c r="F352" s="103" t="s">
        <v>9091</v>
      </c>
      <c r="G352" s="103"/>
      <c r="H352" s="103" t="s">
        <v>10342</v>
      </c>
      <c r="I352" s="103"/>
      <c r="J352" s="103" t="s">
        <v>10342</v>
      </c>
      <c r="K352" s="103"/>
      <c r="L352" s="106">
        <v>6242.49</v>
      </c>
      <c r="M352" s="103" t="s">
        <v>10295</v>
      </c>
      <c r="N352" s="106">
        <v>18866761.9797649</v>
      </c>
      <c r="O352" s="103" t="s">
        <v>10343</v>
      </c>
      <c r="R352" s="58"/>
      <c r="S352" s="58"/>
      <c r="T352" s="58"/>
      <c r="U352" s="58"/>
      <c r="V352" s="58"/>
      <c r="W352" s="58"/>
      <c r="X352" s="58"/>
    </row>
    <row r="353" ht="63.75" spans="1:24">
      <c r="A353" s="103" t="s">
        <v>5822</v>
      </c>
      <c r="B353" s="104" t="s">
        <v>139</v>
      </c>
      <c r="C353" s="104" t="s">
        <v>5823</v>
      </c>
      <c r="D353" s="104" t="s">
        <v>2961</v>
      </c>
      <c r="E353" s="105" t="s">
        <v>1491</v>
      </c>
      <c r="F353" s="103" t="s">
        <v>10344</v>
      </c>
      <c r="G353" s="103"/>
      <c r="H353" s="103" t="s">
        <v>10345</v>
      </c>
      <c r="I353" s="103"/>
      <c r="J353" s="103" t="s">
        <v>10346</v>
      </c>
      <c r="K353" s="103"/>
      <c r="L353" s="106">
        <v>6178.2532</v>
      </c>
      <c r="M353" s="103" t="s">
        <v>10295</v>
      </c>
      <c r="N353" s="106">
        <v>18872940.2329649</v>
      </c>
      <c r="O353" s="103" t="s">
        <v>10347</v>
      </c>
      <c r="R353" s="58"/>
      <c r="S353" s="58"/>
      <c r="T353" s="58"/>
      <c r="U353" s="58"/>
      <c r="V353" s="58"/>
      <c r="W353" s="58"/>
      <c r="X353" s="58"/>
    </row>
    <row r="354" ht="63.75" spans="1:24">
      <c r="A354" s="103" t="s">
        <v>5459</v>
      </c>
      <c r="B354" s="104" t="s">
        <v>139</v>
      </c>
      <c r="C354" s="104" t="s">
        <v>5460</v>
      </c>
      <c r="D354" s="104" t="s">
        <v>2961</v>
      </c>
      <c r="E354" s="105" t="s">
        <v>5461</v>
      </c>
      <c r="F354" s="103" t="s">
        <v>10348</v>
      </c>
      <c r="G354" s="103"/>
      <c r="H354" s="103" t="s">
        <v>10349</v>
      </c>
      <c r="I354" s="103"/>
      <c r="J354" s="103" t="s">
        <v>10350</v>
      </c>
      <c r="K354" s="103"/>
      <c r="L354" s="106">
        <v>6164.684310352</v>
      </c>
      <c r="M354" s="103" t="s">
        <v>10295</v>
      </c>
      <c r="N354" s="106">
        <v>18879104.9172752</v>
      </c>
      <c r="O354" s="103" t="s">
        <v>10351</v>
      </c>
      <c r="R354" s="58"/>
      <c r="S354" s="58"/>
      <c r="T354" s="58"/>
      <c r="U354" s="58"/>
      <c r="V354" s="58"/>
      <c r="W354" s="58"/>
      <c r="X354" s="58"/>
    </row>
    <row r="355" ht="25.5" spans="1:24">
      <c r="A355" s="103" t="s">
        <v>4614</v>
      </c>
      <c r="B355" s="104" t="s">
        <v>139</v>
      </c>
      <c r="C355" s="104" t="s">
        <v>4615</v>
      </c>
      <c r="D355" s="104" t="s">
        <v>2961</v>
      </c>
      <c r="E355" s="105" t="s">
        <v>134</v>
      </c>
      <c r="F355" s="103" t="s">
        <v>9742</v>
      </c>
      <c r="G355" s="103"/>
      <c r="H355" s="103" t="s">
        <v>10352</v>
      </c>
      <c r="I355" s="103"/>
      <c r="J355" s="103" t="s">
        <v>10353</v>
      </c>
      <c r="K355" s="103"/>
      <c r="L355" s="106">
        <v>6144.24</v>
      </c>
      <c r="M355" s="103" t="s">
        <v>10295</v>
      </c>
      <c r="N355" s="106">
        <v>18885249.1572752</v>
      </c>
      <c r="O355" s="103" t="s">
        <v>10354</v>
      </c>
      <c r="R355" s="58"/>
      <c r="S355" s="58"/>
      <c r="T355" s="58"/>
      <c r="U355" s="58"/>
      <c r="V355" s="58"/>
      <c r="W355" s="58"/>
      <c r="X355" s="58"/>
    </row>
    <row r="356" ht="25.5" spans="1:24">
      <c r="A356" s="103" t="s">
        <v>5322</v>
      </c>
      <c r="B356" s="104" t="s">
        <v>139</v>
      </c>
      <c r="C356" s="104" t="s">
        <v>5323</v>
      </c>
      <c r="D356" s="104" t="s">
        <v>2961</v>
      </c>
      <c r="E356" s="105" t="s">
        <v>2897</v>
      </c>
      <c r="F356" s="103" t="s">
        <v>10355</v>
      </c>
      <c r="G356" s="103"/>
      <c r="H356" s="103" t="s">
        <v>9239</v>
      </c>
      <c r="I356" s="103"/>
      <c r="J356" s="103" t="s">
        <v>10356</v>
      </c>
      <c r="K356" s="103"/>
      <c r="L356" s="106">
        <v>6121.68685951108</v>
      </c>
      <c r="M356" s="103" t="s">
        <v>10295</v>
      </c>
      <c r="N356" s="106">
        <v>18891370.8441347</v>
      </c>
      <c r="O356" s="103" t="s">
        <v>10357</v>
      </c>
      <c r="R356" s="58"/>
      <c r="S356" s="58"/>
      <c r="T356" s="58"/>
      <c r="U356" s="58"/>
      <c r="V356" s="58"/>
      <c r="W356" s="58"/>
      <c r="X356" s="58"/>
    </row>
    <row r="357" spans="1:24">
      <c r="A357" s="103" t="s">
        <v>5519</v>
      </c>
      <c r="B357" s="104" t="s">
        <v>139</v>
      </c>
      <c r="C357" s="104" t="s">
        <v>5520</v>
      </c>
      <c r="D357" s="104" t="s">
        <v>2896</v>
      </c>
      <c r="E357" s="105" t="s">
        <v>2897</v>
      </c>
      <c r="F357" s="103" t="s">
        <v>10358</v>
      </c>
      <c r="G357" s="103"/>
      <c r="H357" s="103" t="s">
        <v>10359</v>
      </c>
      <c r="I357" s="103"/>
      <c r="J357" s="103" t="s">
        <v>10360</v>
      </c>
      <c r="K357" s="103"/>
      <c r="L357" s="106">
        <v>6075.06199579212</v>
      </c>
      <c r="M357" s="103" t="s">
        <v>10295</v>
      </c>
      <c r="N357" s="106">
        <v>18897445.9061305</v>
      </c>
      <c r="O357" s="103" t="s">
        <v>10361</v>
      </c>
      <c r="R357" s="58"/>
      <c r="S357" s="58"/>
      <c r="T357" s="58"/>
      <c r="U357" s="58"/>
      <c r="V357" s="58"/>
      <c r="W357" s="58"/>
      <c r="X357" s="58"/>
    </row>
    <row r="358" ht="25.5" spans="1:24">
      <c r="A358" s="103" t="s">
        <v>5774</v>
      </c>
      <c r="B358" s="104" t="s">
        <v>77</v>
      </c>
      <c r="C358" s="104" t="s">
        <v>5775</v>
      </c>
      <c r="D358" s="104" t="s">
        <v>2896</v>
      </c>
      <c r="E358" s="105" t="s">
        <v>2897</v>
      </c>
      <c r="F358" s="103" t="s">
        <v>10362</v>
      </c>
      <c r="G358" s="103"/>
      <c r="H358" s="103" t="s">
        <v>10363</v>
      </c>
      <c r="I358" s="103"/>
      <c r="J358" s="103" t="s">
        <v>10364</v>
      </c>
      <c r="K358" s="103"/>
      <c r="L358" s="106">
        <v>5992.083356532</v>
      </c>
      <c r="M358" s="103" t="s">
        <v>10295</v>
      </c>
      <c r="N358" s="106">
        <v>18903437.9894871</v>
      </c>
      <c r="O358" s="103" t="s">
        <v>10365</v>
      </c>
      <c r="R358" s="58"/>
      <c r="S358" s="58"/>
      <c r="T358" s="58"/>
      <c r="U358" s="58"/>
      <c r="V358" s="58"/>
      <c r="W358" s="58"/>
      <c r="X358" s="58"/>
    </row>
    <row r="359" ht="25.5" spans="1:24">
      <c r="A359" s="103" t="s">
        <v>3818</v>
      </c>
      <c r="B359" s="104" t="s">
        <v>149</v>
      </c>
      <c r="C359" s="104" t="s">
        <v>3819</v>
      </c>
      <c r="D359" s="104" t="s">
        <v>2961</v>
      </c>
      <c r="E359" s="105" t="s">
        <v>134</v>
      </c>
      <c r="F359" s="103" t="s">
        <v>9152</v>
      </c>
      <c r="G359" s="103"/>
      <c r="H359" s="103" t="s">
        <v>10366</v>
      </c>
      <c r="I359" s="103"/>
      <c r="J359" s="103" t="s">
        <v>10367</v>
      </c>
      <c r="K359" s="103"/>
      <c r="L359" s="106">
        <v>5926.8</v>
      </c>
      <c r="M359" s="103" t="s">
        <v>10295</v>
      </c>
      <c r="N359" s="106">
        <v>18909364.7894871</v>
      </c>
      <c r="O359" s="103" t="s">
        <v>10368</v>
      </c>
      <c r="R359" s="58"/>
      <c r="S359" s="58"/>
      <c r="T359" s="58"/>
      <c r="U359" s="58"/>
      <c r="V359" s="58"/>
      <c r="W359" s="58"/>
      <c r="X359" s="58"/>
    </row>
    <row r="360" ht="51" spans="1:24">
      <c r="A360" s="103" t="s">
        <v>4610</v>
      </c>
      <c r="B360" s="104" t="s">
        <v>139</v>
      </c>
      <c r="C360" s="104" t="s">
        <v>4611</v>
      </c>
      <c r="D360" s="104" t="s">
        <v>2961</v>
      </c>
      <c r="E360" s="105" t="s">
        <v>134</v>
      </c>
      <c r="F360" s="103" t="s">
        <v>10369</v>
      </c>
      <c r="G360" s="103"/>
      <c r="H360" s="103" t="s">
        <v>10370</v>
      </c>
      <c r="I360" s="103"/>
      <c r="J360" s="103" t="s">
        <v>10371</v>
      </c>
      <c r="K360" s="103"/>
      <c r="L360" s="106">
        <v>5886</v>
      </c>
      <c r="M360" s="103" t="s">
        <v>10295</v>
      </c>
      <c r="N360" s="106">
        <v>18915250.7894871</v>
      </c>
      <c r="O360" s="103" t="s">
        <v>10372</v>
      </c>
      <c r="R360" s="58"/>
      <c r="S360" s="58"/>
      <c r="T360" s="58"/>
      <c r="U360" s="58"/>
      <c r="V360" s="58"/>
      <c r="W360" s="58"/>
      <c r="X360" s="58"/>
    </row>
    <row r="361" spans="1:24">
      <c r="A361" s="103" t="s">
        <v>4374</v>
      </c>
      <c r="B361" s="104" t="s">
        <v>132</v>
      </c>
      <c r="C361" s="104" t="s">
        <v>1543</v>
      </c>
      <c r="D361" s="104" t="s">
        <v>4145</v>
      </c>
      <c r="E361" s="105" t="s">
        <v>134</v>
      </c>
      <c r="F361" s="103" t="s">
        <v>9091</v>
      </c>
      <c r="G361" s="103"/>
      <c r="H361" s="103" t="s">
        <v>7863</v>
      </c>
      <c r="I361" s="103"/>
      <c r="J361" s="103" t="s">
        <v>7863</v>
      </c>
      <c r="K361" s="103"/>
      <c r="L361" s="106">
        <v>5850</v>
      </c>
      <c r="M361" s="103" t="s">
        <v>10295</v>
      </c>
      <c r="N361" s="106">
        <v>18921100.7894871</v>
      </c>
      <c r="O361" s="103" t="s">
        <v>10373</v>
      </c>
      <c r="R361" s="58"/>
      <c r="S361" s="58"/>
      <c r="T361" s="58"/>
      <c r="U361" s="58"/>
      <c r="V361" s="58"/>
      <c r="W361" s="58"/>
      <c r="X361" s="58"/>
    </row>
    <row r="362" ht="38.25" spans="1:24">
      <c r="A362" s="103" t="s">
        <v>3935</v>
      </c>
      <c r="B362" s="104" t="s">
        <v>139</v>
      </c>
      <c r="C362" s="104" t="s">
        <v>3936</v>
      </c>
      <c r="D362" s="104" t="s">
        <v>2961</v>
      </c>
      <c r="E362" s="105" t="s">
        <v>134</v>
      </c>
      <c r="F362" s="103" t="s">
        <v>9401</v>
      </c>
      <c r="G362" s="103"/>
      <c r="H362" s="103" t="s">
        <v>10374</v>
      </c>
      <c r="I362" s="103"/>
      <c r="J362" s="103" t="s">
        <v>10375</v>
      </c>
      <c r="K362" s="103"/>
      <c r="L362" s="106">
        <v>5844.7</v>
      </c>
      <c r="M362" s="103" t="s">
        <v>10295</v>
      </c>
      <c r="N362" s="106">
        <v>18926945.4894871</v>
      </c>
      <c r="O362" s="103" t="s">
        <v>10376</v>
      </c>
      <c r="R362" s="58"/>
      <c r="S362" s="58"/>
      <c r="T362" s="58"/>
      <c r="U362" s="58"/>
      <c r="V362" s="58"/>
      <c r="W362" s="58"/>
      <c r="X362" s="58"/>
    </row>
    <row r="363" ht="25.5" spans="1:24">
      <c r="A363" s="103" t="s">
        <v>5346</v>
      </c>
      <c r="B363" s="104" t="s">
        <v>139</v>
      </c>
      <c r="C363" s="104" t="s">
        <v>5347</v>
      </c>
      <c r="D363" s="104" t="s">
        <v>2961</v>
      </c>
      <c r="E363" s="105" t="s">
        <v>2925</v>
      </c>
      <c r="F363" s="103" t="s">
        <v>10377</v>
      </c>
      <c r="G363" s="103"/>
      <c r="H363" s="103" t="s">
        <v>10378</v>
      </c>
      <c r="I363" s="103"/>
      <c r="J363" s="103" t="s">
        <v>10379</v>
      </c>
      <c r="K363" s="103"/>
      <c r="L363" s="106">
        <v>5834.52</v>
      </c>
      <c r="M363" s="103" t="s">
        <v>10295</v>
      </c>
      <c r="N363" s="106">
        <v>18932780.0094871</v>
      </c>
      <c r="O363" s="103" t="s">
        <v>10380</v>
      </c>
      <c r="R363" s="58"/>
      <c r="S363" s="58"/>
      <c r="T363" s="58"/>
      <c r="U363" s="58"/>
      <c r="V363" s="58"/>
      <c r="W363" s="58"/>
      <c r="X363" s="58"/>
    </row>
    <row r="364" spans="1:24">
      <c r="A364" s="103" t="s">
        <v>5316</v>
      </c>
      <c r="B364" s="104" t="s">
        <v>139</v>
      </c>
      <c r="C364" s="104" t="s">
        <v>5317</v>
      </c>
      <c r="D364" s="104" t="s">
        <v>2896</v>
      </c>
      <c r="E364" s="105" t="s">
        <v>2897</v>
      </c>
      <c r="F364" s="103" t="s">
        <v>10381</v>
      </c>
      <c r="G364" s="103"/>
      <c r="H364" s="103" t="s">
        <v>9127</v>
      </c>
      <c r="I364" s="103"/>
      <c r="J364" s="103" t="s">
        <v>10382</v>
      </c>
      <c r="K364" s="103"/>
      <c r="L364" s="106">
        <v>5829.34203601574</v>
      </c>
      <c r="M364" s="103" t="s">
        <v>10295</v>
      </c>
      <c r="N364" s="106">
        <v>18938609.3515231</v>
      </c>
      <c r="O364" s="103" t="s">
        <v>10383</v>
      </c>
      <c r="R364" s="58"/>
      <c r="S364" s="58"/>
      <c r="T364" s="58"/>
      <c r="U364" s="58"/>
      <c r="V364" s="58"/>
      <c r="W364" s="58"/>
      <c r="X364" s="58"/>
    </row>
    <row r="365" ht="51" spans="1:24">
      <c r="A365" s="103" t="s">
        <v>4715</v>
      </c>
      <c r="B365" s="104" t="s">
        <v>132</v>
      </c>
      <c r="C365" s="104" t="s">
        <v>4716</v>
      </c>
      <c r="D365" s="104" t="s">
        <v>3395</v>
      </c>
      <c r="E365" s="105" t="s">
        <v>134</v>
      </c>
      <c r="F365" s="103" t="s">
        <v>9183</v>
      </c>
      <c r="G365" s="103" t="s">
        <v>9093</v>
      </c>
      <c r="H365" s="103" t="s">
        <v>10384</v>
      </c>
      <c r="I365" s="103" t="s">
        <v>10385</v>
      </c>
      <c r="J365" s="103" t="s">
        <v>10386</v>
      </c>
      <c r="K365" s="103" t="s">
        <v>8660</v>
      </c>
      <c r="L365" s="106">
        <v>5822.2</v>
      </c>
      <c r="M365" s="103" t="s">
        <v>10295</v>
      </c>
      <c r="N365" s="106">
        <v>18944431.5515231</v>
      </c>
      <c r="O365" s="103" t="s">
        <v>10387</v>
      </c>
      <c r="R365" s="58"/>
      <c r="S365" s="58"/>
      <c r="T365" s="58"/>
      <c r="U365" s="58"/>
      <c r="V365" s="58"/>
      <c r="W365" s="58"/>
      <c r="X365" s="58"/>
    </row>
    <row r="366" spans="1:24">
      <c r="A366" s="103" t="s">
        <v>3822</v>
      </c>
      <c r="B366" s="104" t="s">
        <v>77</v>
      </c>
      <c r="C366" s="104" t="s">
        <v>3823</v>
      </c>
      <c r="D366" s="104" t="s">
        <v>2961</v>
      </c>
      <c r="E366" s="105" t="s">
        <v>134</v>
      </c>
      <c r="F366" s="103" t="s">
        <v>10388</v>
      </c>
      <c r="G366" s="103"/>
      <c r="H366" s="103" t="s">
        <v>10389</v>
      </c>
      <c r="I366" s="103"/>
      <c r="J366" s="103" t="s">
        <v>10390</v>
      </c>
      <c r="K366" s="103"/>
      <c r="L366" s="106">
        <v>5817.06</v>
      </c>
      <c r="M366" s="103" t="s">
        <v>10295</v>
      </c>
      <c r="N366" s="106">
        <v>18950248.6115231</v>
      </c>
      <c r="O366" s="103" t="s">
        <v>10391</v>
      </c>
      <c r="R366" s="58"/>
      <c r="S366" s="58"/>
      <c r="T366" s="58"/>
      <c r="U366" s="58"/>
      <c r="V366" s="58"/>
      <c r="W366" s="58"/>
      <c r="X366" s="58"/>
    </row>
    <row r="367" ht="25.5" spans="1:24">
      <c r="A367" s="103" t="s">
        <v>5816</v>
      </c>
      <c r="B367" s="104" t="s">
        <v>139</v>
      </c>
      <c r="C367" s="104" t="s">
        <v>5817</v>
      </c>
      <c r="D367" s="104" t="s">
        <v>2961</v>
      </c>
      <c r="E367" s="105" t="s">
        <v>2925</v>
      </c>
      <c r="F367" s="103" t="s">
        <v>9742</v>
      </c>
      <c r="G367" s="103"/>
      <c r="H367" s="103" t="s">
        <v>10392</v>
      </c>
      <c r="I367" s="103"/>
      <c r="J367" s="103" t="s">
        <v>10393</v>
      </c>
      <c r="K367" s="103"/>
      <c r="L367" s="106">
        <v>5807.76</v>
      </c>
      <c r="M367" s="103" t="s">
        <v>10295</v>
      </c>
      <c r="N367" s="106">
        <v>18956056.3715231</v>
      </c>
      <c r="O367" s="103" t="s">
        <v>10394</v>
      </c>
      <c r="R367" s="58"/>
      <c r="S367" s="58"/>
      <c r="T367" s="58"/>
      <c r="U367" s="58"/>
      <c r="V367" s="58"/>
      <c r="W367" s="58"/>
      <c r="X367" s="58"/>
    </row>
    <row r="368" spans="1:24">
      <c r="A368" s="103" t="s">
        <v>5139</v>
      </c>
      <c r="B368" s="104" t="s">
        <v>139</v>
      </c>
      <c r="C368" s="104" t="s">
        <v>5140</v>
      </c>
      <c r="D368" s="104" t="s">
        <v>4145</v>
      </c>
      <c r="E368" s="105" t="s">
        <v>141</v>
      </c>
      <c r="F368" s="103" t="s">
        <v>10395</v>
      </c>
      <c r="G368" s="103"/>
      <c r="H368" s="103" t="s">
        <v>10396</v>
      </c>
      <c r="I368" s="103"/>
      <c r="J368" s="103" t="s">
        <v>10397</v>
      </c>
      <c r="K368" s="103"/>
      <c r="L368" s="106">
        <v>5754.5145</v>
      </c>
      <c r="M368" s="103" t="s">
        <v>10295</v>
      </c>
      <c r="N368" s="106">
        <v>18961810.8860231</v>
      </c>
      <c r="O368" s="103" t="s">
        <v>10398</v>
      </c>
      <c r="R368" s="58"/>
      <c r="S368" s="58"/>
      <c r="T368" s="58"/>
      <c r="U368" s="58"/>
      <c r="V368" s="58"/>
      <c r="W368" s="58"/>
      <c r="X368" s="58"/>
    </row>
    <row r="369" ht="25.5" spans="1:24">
      <c r="A369" s="103" t="s">
        <v>4507</v>
      </c>
      <c r="B369" s="104" t="s">
        <v>139</v>
      </c>
      <c r="C369" s="104" t="s">
        <v>4508</v>
      </c>
      <c r="D369" s="104" t="s">
        <v>2961</v>
      </c>
      <c r="E369" s="105" t="s">
        <v>134</v>
      </c>
      <c r="F369" s="103" t="s">
        <v>10399</v>
      </c>
      <c r="G369" s="103"/>
      <c r="H369" s="103" t="s">
        <v>10400</v>
      </c>
      <c r="I369" s="103"/>
      <c r="J369" s="103" t="s">
        <v>10401</v>
      </c>
      <c r="K369" s="103"/>
      <c r="L369" s="106">
        <v>5668.46</v>
      </c>
      <c r="M369" s="103" t="s">
        <v>10295</v>
      </c>
      <c r="N369" s="106">
        <v>18967479.3460231</v>
      </c>
      <c r="O369" s="103" t="s">
        <v>10402</v>
      </c>
      <c r="R369" s="58"/>
      <c r="S369" s="58"/>
      <c r="T369" s="58"/>
      <c r="U369" s="58"/>
      <c r="V369" s="58"/>
      <c r="W369" s="58"/>
      <c r="X369" s="58"/>
    </row>
    <row r="370" ht="38.25" spans="1:24">
      <c r="A370" s="103" t="s">
        <v>4229</v>
      </c>
      <c r="B370" s="104" t="s">
        <v>132</v>
      </c>
      <c r="C370" s="104" t="s">
        <v>1347</v>
      </c>
      <c r="D370" s="104" t="s">
        <v>2961</v>
      </c>
      <c r="E370" s="105" t="s">
        <v>134</v>
      </c>
      <c r="F370" s="103" t="s">
        <v>9152</v>
      </c>
      <c r="G370" s="103"/>
      <c r="H370" s="103" t="s">
        <v>10403</v>
      </c>
      <c r="I370" s="103"/>
      <c r="J370" s="103" t="s">
        <v>10404</v>
      </c>
      <c r="K370" s="103"/>
      <c r="L370" s="106">
        <v>5651.96</v>
      </c>
      <c r="M370" s="103" t="s">
        <v>10295</v>
      </c>
      <c r="N370" s="106">
        <v>18973131.3060231</v>
      </c>
      <c r="O370" s="103" t="s">
        <v>10405</v>
      </c>
      <c r="R370" s="58"/>
      <c r="S370" s="58"/>
      <c r="T370" s="58"/>
      <c r="U370" s="58"/>
      <c r="V370" s="58"/>
      <c r="W370" s="58"/>
      <c r="X370" s="58"/>
    </row>
    <row r="371" ht="38.25" spans="1:24">
      <c r="A371" s="103" t="s">
        <v>3005</v>
      </c>
      <c r="B371" s="104" t="s">
        <v>139</v>
      </c>
      <c r="C371" s="104" t="s">
        <v>3006</v>
      </c>
      <c r="D371" s="104" t="s">
        <v>2961</v>
      </c>
      <c r="E371" s="105" t="s">
        <v>141</v>
      </c>
      <c r="F371" s="103" t="s">
        <v>10406</v>
      </c>
      <c r="G371" s="103"/>
      <c r="H371" s="103" t="s">
        <v>10407</v>
      </c>
      <c r="I371" s="103"/>
      <c r="J371" s="103" t="s">
        <v>10408</v>
      </c>
      <c r="K371" s="103"/>
      <c r="L371" s="106">
        <v>5631.259095</v>
      </c>
      <c r="M371" s="103" t="s">
        <v>10295</v>
      </c>
      <c r="N371" s="106">
        <v>18978762.5651181</v>
      </c>
      <c r="O371" s="103" t="s">
        <v>10409</v>
      </c>
      <c r="R371" s="58"/>
      <c r="S371" s="58"/>
      <c r="T371" s="58"/>
      <c r="U371" s="58"/>
      <c r="V371" s="58"/>
      <c r="W371" s="58"/>
      <c r="X371" s="58"/>
    </row>
    <row r="372" ht="38.25" spans="1:24">
      <c r="A372" s="103" t="s">
        <v>3885</v>
      </c>
      <c r="B372" s="104" t="s">
        <v>77</v>
      </c>
      <c r="C372" s="104" t="s">
        <v>3886</v>
      </c>
      <c r="D372" s="104" t="s">
        <v>2961</v>
      </c>
      <c r="E372" s="105" t="s">
        <v>134</v>
      </c>
      <c r="F372" s="103" t="s">
        <v>9550</v>
      </c>
      <c r="G372" s="103"/>
      <c r="H372" s="103" t="s">
        <v>10410</v>
      </c>
      <c r="I372" s="103"/>
      <c r="J372" s="103" t="s">
        <v>10411</v>
      </c>
      <c r="K372" s="103"/>
      <c r="L372" s="106">
        <v>5600</v>
      </c>
      <c r="M372" s="103" t="s">
        <v>10295</v>
      </c>
      <c r="N372" s="106">
        <v>18984362.5651181</v>
      </c>
      <c r="O372" s="103" t="s">
        <v>10412</v>
      </c>
      <c r="R372" s="58"/>
      <c r="S372" s="58"/>
      <c r="T372" s="58"/>
      <c r="U372" s="58"/>
      <c r="V372" s="58"/>
      <c r="W372" s="58"/>
      <c r="X372" s="58"/>
    </row>
    <row r="373" ht="38.25" spans="1:24">
      <c r="A373" s="103" t="s">
        <v>3092</v>
      </c>
      <c r="B373" s="104" t="s">
        <v>139</v>
      </c>
      <c r="C373" s="104" t="s">
        <v>3093</v>
      </c>
      <c r="D373" s="104" t="s">
        <v>2961</v>
      </c>
      <c r="E373" s="105" t="s">
        <v>204</v>
      </c>
      <c r="F373" s="103" t="s">
        <v>10413</v>
      </c>
      <c r="G373" s="103"/>
      <c r="H373" s="103" t="s">
        <v>10414</v>
      </c>
      <c r="I373" s="103"/>
      <c r="J373" s="103" t="s">
        <v>10415</v>
      </c>
      <c r="K373" s="103"/>
      <c r="L373" s="106">
        <v>5554.60703856</v>
      </c>
      <c r="M373" s="103" t="s">
        <v>10295</v>
      </c>
      <c r="N373" s="106">
        <v>18989917.1721566</v>
      </c>
      <c r="O373" s="103" t="s">
        <v>10416</v>
      </c>
      <c r="R373" s="58"/>
      <c r="S373" s="58"/>
      <c r="T373" s="58"/>
      <c r="U373" s="58"/>
      <c r="V373" s="58"/>
      <c r="W373" s="58"/>
      <c r="X373" s="58"/>
    </row>
    <row r="374" ht="25.5" spans="1:24">
      <c r="A374" s="103" t="s">
        <v>5426</v>
      </c>
      <c r="B374" s="104" t="s">
        <v>139</v>
      </c>
      <c r="C374" s="104" t="s">
        <v>5427</v>
      </c>
      <c r="D374" s="104" t="s">
        <v>2961</v>
      </c>
      <c r="E374" s="105" t="s">
        <v>2925</v>
      </c>
      <c r="F374" s="103" t="s">
        <v>10377</v>
      </c>
      <c r="G374" s="103"/>
      <c r="H374" s="103" t="s">
        <v>10417</v>
      </c>
      <c r="I374" s="103"/>
      <c r="J374" s="103" t="s">
        <v>10418</v>
      </c>
      <c r="K374" s="103"/>
      <c r="L374" s="106">
        <v>5548</v>
      </c>
      <c r="M374" s="103" t="s">
        <v>10295</v>
      </c>
      <c r="N374" s="106">
        <v>18995465.1721566</v>
      </c>
      <c r="O374" s="103" t="s">
        <v>10419</v>
      </c>
      <c r="R374" s="58"/>
      <c r="S374" s="58"/>
      <c r="T374" s="58"/>
      <c r="U374" s="58"/>
      <c r="V374" s="58"/>
      <c r="W374" s="58"/>
      <c r="X374" s="58"/>
    </row>
    <row r="375" ht="25.5" spans="1:24">
      <c r="A375" s="103" t="s">
        <v>4832</v>
      </c>
      <c r="B375" s="104" t="s">
        <v>149</v>
      </c>
      <c r="C375" s="104" t="s">
        <v>4833</v>
      </c>
      <c r="D375" s="104" t="s">
        <v>2961</v>
      </c>
      <c r="E375" s="105" t="s">
        <v>134</v>
      </c>
      <c r="F375" s="103" t="s">
        <v>9152</v>
      </c>
      <c r="G375" s="103"/>
      <c r="H375" s="103" t="s">
        <v>10420</v>
      </c>
      <c r="I375" s="103"/>
      <c r="J375" s="103" t="s">
        <v>10421</v>
      </c>
      <c r="K375" s="103"/>
      <c r="L375" s="106">
        <v>5488.56</v>
      </c>
      <c r="M375" s="103" t="s">
        <v>10295</v>
      </c>
      <c r="N375" s="106">
        <v>19000953.7321566</v>
      </c>
      <c r="O375" s="103" t="s">
        <v>10422</v>
      </c>
      <c r="R375" s="58"/>
      <c r="S375" s="58"/>
      <c r="T375" s="58"/>
      <c r="U375" s="58"/>
      <c r="V375" s="58"/>
      <c r="W375" s="58"/>
      <c r="X375" s="58"/>
    </row>
    <row r="376" ht="25.5" spans="1:24">
      <c r="A376" s="103" t="s">
        <v>4212</v>
      </c>
      <c r="B376" s="104" t="s">
        <v>132</v>
      </c>
      <c r="C376" s="104" t="s">
        <v>1311</v>
      </c>
      <c r="D376" s="104" t="s">
        <v>2961</v>
      </c>
      <c r="E376" s="105" t="s">
        <v>134</v>
      </c>
      <c r="F376" s="103" t="s">
        <v>10423</v>
      </c>
      <c r="G376" s="103"/>
      <c r="H376" s="103" t="s">
        <v>10424</v>
      </c>
      <c r="I376" s="103"/>
      <c r="J376" s="103" t="s">
        <v>10425</v>
      </c>
      <c r="K376" s="103"/>
      <c r="L376" s="106">
        <v>5449.02</v>
      </c>
      <c r="M376" s="103" t="s">
        <v>10295</v>
      </c>
      <c r="N376" s="106">
        <v>19006402.7521566</v>
      </c>
      <c r="O376" s="103" t="s">
        <v>10426</v>
      </c>
      <c r="R376" s="58"/>
      <c r="S376" s="58"/>
      <c r="T376" s="58"/>
      <c r="U376" s="58"/>
      <c r="V376" s="58"/>
      <c r="W376" s="58"/>
      <c r="X376" s="58"/>
    </row>
    <row r="377" spans="1:24">
      <c r="A377" s="103" t="s">
        <v>3660</v>
      </c>
      <c r="B377" s="104" t="s">
        <v>149</v>
      </c>
      <c r="C377" s="104" t="s">
        <v>3661</v>
      </c>
      <c r="D377" s="104" t="s">
        <v>2896</v>
      </c>
      <c r="E377" s="105" t="s">
        <v>2897</v>
      </c>
      <c r="F377" s="103" t="s">
        <v>10427</v>
      </c>
      <c r="G377" s="103"/>
      <c r="H377" s="103" t="s">
        <v>9456</v>
      </c>
      <c r="I377" s="103"/>
      <c r="J377" s="103" t="s">
        <v>10428</v>
      </c>
      <c r="K377" s="103"/>
      <c r="L377" s="106">
        <v>5441.146713936</v>
      </c>
      <c r="M377" s="103" t="s">
        <v>10295</v>
      </c>
      <c r="N377" s="106">
        <v>19011843.8988706</v>
      </c>
      <c r="O377" s="103" t="s">
        <v>10429</v>
      </c>
      <c r="R377" s="58"/>
      <c r="S377" s="58"/>
      <c r="T377" s="58"/>
      <c r="U377" s="58"/>
      <c r="V377" s="58"/>
      <c r="W377" s="58"/>
      <c r="X377" s="58"/>
    </row>
    <row r="378" spans="1:24">
      <c r="A378" s="103" t="s">
        <v>3790</v>
      </c>
      <c r="B378" s="104" t="s">
        <v>149</v>
      </c>
      <c r="C378" s="104" t="s">
        <v>3791</v>
      </c>
      <c r="D378" s="104" t="s">
        <v>2961</v>
      </c>
      <c r="E378" s="105" t="s">
        <v>134</v>
      </c>
      <c r="F378" s="103" t="s">
        <v>9601</v>
      </c>
      <c r="G378" s="103"/>
      <c r="H378" s="103" t="s">
        <v>10430</v>
      </c>
      <c r="I378" s="103"/>
      <c r="J378" s="103" t="s">
        <v>10431</v>
      </c>
      <c r="K378" s="103"/>
      <c r="L378" s="106">
        <v>5424.74</v>
      </c>
      <c r="M378" s="103" t="s">
        <v>10295</v>
      </c>
      <c r="N378" s="106">
        <v>19017268.6388706</v>
      </c>
      <c r="O378" s="103" t="s">
        <v>10432</v>
      </c>
      <c r="R378" s="58"/>
      <c r="S378" s="58"/>
      <c r="T378" s="58"/>
      <c r="U378" s="58"/>
      <c r="V378" s="58"/>
      <c r="W378" s="58"/>
      <c r="X378" s="58"/>
    </row>
    <row r="379" ht="38.25" spans="1:24">
      <c r="A379" s="103" t="s">
        <v>3407</v>
      </c>
      <c r="B379" s="104" t="s">
        <v>139</v>
      </c>
      <c r="C379" s="104" t="s">
        <v>3408</v>
      </c>
      <c r="D379" s="104" t="s">
        <v>3395</v>
      </c>
      <c r="E379" s="105" t="s">
        <v>3398</v>
      </c>
      <c r="F379" s="103" t="s">
        <v>10433</v>
      </c>
      <c r="G379" s="103"/>
      <c r="H379" s="103" t="s">
        <v>10434</v>
      </c>
      <c r="I379" s="103"/>
      <c r="J379" s="103" t="s">
        <v>10435</v>
      </c>
      <c r="K379" s="103"/>
      <c r="L379" s="106">
        <v>5391.75</v>
      </c>
      <c r="M379" s="103" t="s">
        <v>10295</v>
      </c>
      <c r="N379" s="106">
        <v>19022660.3888706</v>
      </c>
      <c r="O379" s="103" t="s">
        <v>10436</v>
      </c>
      <c r="R379" s="58"/>
      <c r="S379" s="58"/>
      <c r="T379" s="58"/>
      <c r="U379" s="58"/>
      <c r="V379" s="58"/>
      <c r="W379" s="58"/>
      <c r="X379" s="58"/>
    </row>
    <row r="380" spans="1:24">
      <c r="A380" s="103" t="s">
        <v>3787</v>
      </c>
      <c r="B380" s="104" t="s">
        <v>132</v>
      </c>
      <c r="C380" s="104" t="s">
        <v>3788</v>
      </c>
      <c r="D380" s="104" t="s">
        <v>2961</v>
      </c>
      <c r="E380" s="105" t="s">
        <v>134</v>
      </c>
      <c r="F380" s="103" t="s">
        <v>9183</v>
      </c>
      <c r="G380" s="103"/>
      <c r="H380" s="103" t="s">
        <v>10437</v>
      </c>
      <c r="I380" s="103"/>
      <c r="J380" s="103" t="s">
        <v>10438</v>
      </c>
      <c r="K380" s="103"/>
      <c r="L380" s="106">
        <v>5309.38</v>
      </c>
      <c r="M380" s="103" t="s">
        <v>10295</v>
      </c>
      <c r="N380" s="106">
        <v>19027969.7688706</v>
      </c>
      <c r="O380" s="103" t="s">
        <v>10439</v>
      </c>
      <c r="R380" s="58"/>
      <c r="S380" s="58"/>
      <c r="T380" s="58"/>
      <c r="U380" s="58"/>
      <c r="V380" s="58"/>
      <c r="W380" s="58"/>
      <c r="X380" s="58"/>
    </row>
    <row r="381" ht="63.75" spans="1:24">
      <c r="A381" s="103" t="s">
        <v>5824</v>
      </c>
      <c r="B381" s="104" t="s">
        <v>139</v>
      </c>
      <c r="C381" s="104" t="s">
        <v>5825</v>
      </c>
      <c r="D381" s="104" t="s">
        <v>2961</v>
      </c>
      <c r="E381" s="105" t="s">
        <v>134</v>
      </c>
      <c r="F381" s="103" t="s">
        <v>10440</v>
      </c>
      <c r="G381" s="103"/>
      <c r="H381" s="103" t="s">
        <v>8588</v>
      </c>
      <c r="I381" s="103"/>
      <c r="J381" s="103" t="s">
        <v>10441</v>
      </c>
      <c r="K381" s="103"/>
      <c r="L381" s="106">
        <v>5303.184</v>
      </c>
      <c r="M381" s="103" t="s">
        <v>10295</v>
      </c>
      <c r="N381" s="106">
        <v>19033272.9528706</v>
      </c>
      <c r="O381" s="103" t="s">
        <v>10442</v>
      </c>
      <c r="R381" s="58"/>
      <c r="S381" s="58"/>
      <c r="T381" s="58"/>
      <c r="U381" s="58"/>
      <c r="V381" s="58"/>
      <c r="W381" s="58"/>
      <c r="X381" s="58"/>
    </row>
    <row r="382" ht="25.5" spans="1:24">
      <c r="A382" s="103" t="s">
        <v>4208</v>
      </c>
      <c r="B382" s="104" t="s">
        <v>132</v>
      </c>
      <c r="C382" s="104" t="s">
        <v>1299</v>
      </c>
      <c r="D382" s="104" t="s">
        <v>2961</v>
      </c>
      <c r="E382" s="105" t="s">
        <v>134</v>
      </c>
      <c r="F382" s="103" t="s">
        <v>9091</v>
      </c>
      <c r="G382" s="103"/>
      <c r="H382" s="103" t="s">
        <v>10443</v>
      </c>
      <c r="I382" s="103"/>
      <c r="J382" s="103" t="s">
        <v>10443</v>
      </c>
      <c r="K382" s="103"/>
      <c r="L382" s="106">
        <v>5300</v>
      </c>
      <c r="M382" s="103" t="s">
        <v>10295</v>
      </c>
      <c r="N382" s="106">
        <v>19038572.9528706</v>
      </c>
      <c r="O382" s="103" t="s">
        <v>10444</v>
      </c>
      <c r="R382" s="58"/>
      <c r="S382" s="58"/>
      <c r="T382" s="58"/>
      <c r="U382" s="58"/>
      <c r="V382" s="58"/>
      <c r="W382" s="58"/>
      <c r="X382" s="58"/>
    </row>
    <row r="383" ht="38.25" spans="1:24">
      <c r="A383" s="103" t="s">
        <v>4021</v>
      </c>
      <c r="B383" s="104" t="s">
        <v>77</v>
      </c>
      <c r="C383" s="104" t="s">
        <v>4022</v>
      </c>
      <c r="D383" s="104" t="s">
        <v>2961</v>
      </c>
      <c r="E383" s="105" t="s">
        <v>134</v>
      </c>
      <c r="F383" s="103" t="s">
        <v>10445</v>
      </c>
      <c r="G383" s="103"/>
      <c r="H383" s="103" t="s">
        <v>10446</v>
      </c>
      <c r="I383" s="103"/>
      <c r="J383" s="103" t="s">
        <v>10447</v>
      </c>
      <c r="K383" s="103"/>
      <c r="L383" s="106">
        <v>5241.4362</v>
      </c>
      <c r="M383" s="103" t="s">
        <v>10295</v>
      </c>
      <c r="N383" s="106">
        <v>19043814.3890706</v>
      </c>
      <c r="O383" s="103" t="s">
        <v>10448</v>
      </c>
      <c r="R383" s="58"/>
      <c r="S383" s="58"/>
      <c r="T383" s="58"/>
      <c r="U383" s="58"/>
      <c r="V383" s="58"/>
      <c r="W383" s="58"/>
      <c r="X383" s="58"/>
    </row>
    <row r="384" ht="38.25" spans="1:24">
      <c r="A384" s="103" t="s">
        <v>4539</v>
      </c>
      <c r="B384" s="104" t="s">
        <v>139</v>
      </c>
      <c r="C384" s="104" t="s">
        <v>4540</v>
      </c>
      <c r="D384" s="104" t="s">
        <v>2961</v>
      </c>
      <c r="E384" s="105" t="s">
        <v>134</v>
      </c>
      <c r="F384" s="103" t="s">
        <v>10449</v>
      </c>
      <c r="G384" s="103"/>
      <c r="H384" s="103" t="s">
        <v>10450</v>
      </c>
      <c r="I384" s="103"/>
      <c r="J384" s="103" t="s">
        <v>10451</v>
      </c>
      <c r="K384" s="103"/>
      <c r="L384" s="106">
        <v>5168.94</v>
      </c>
      <c r="M384" s="103" t="s">
        <v>10295</v>
      </c>
      <c r="N384" s="106">
        <v>19048983.3290706</v>
      </c>
      <c r="O384" s="103" t="s">
        <v>10452</v>
      </c>
      <c r="R384" s="58"/>
      <c r="S384" s="58"/>
      <c r="T384" s="58"/>
      <c r="U384" s="58"/>
      <c r="V384" s="58"/>
      <c r="W384" s="58"/>
      <c r="X384" s="58"/>
    </row>
    <row r="385" ht="25.5" spans="1:24">
      <c r="A385" s="103" t="s">
        <v>4478</v>
      </c>
      <c r="B385" s="104" t="s">
        <v>77</v>
      </c>
      <c r="C385" s="104" t="s">
        <v>4479</v>
      </c>
      <c r="D385" s="104" t="s">
        <v>2961</v>
      </c>
      <c r="E385" s="105" t="s">
        <v>134</v>
      </c>
      <c r="F385" s="103" t="s">
        <v>9837</v>
      </c>
      <c r="G385" s="103"/>
      <c r="H385" s="103" t="s">
        <v>10453</v>
      </c>
      <c r="I385" s="103"/>
      <c r="J385" s="103" t="s">
        <v>10454</v>
      </c>
      <c r="K385" s="103"/>
      <c r="L385" s="106">
        <v>5065.1568</v>
      </c>
      <c r="M385" s="103" t="s">
        <v>10295</v>
      </c>
      <c r="N385" s="106">
        <v>19054048.4858706</v>
      </c>
      <c r="O385" s="103" t="s">
        <v>10455</v>
      </c>
      <c r="R385" s="58"/>
      <c r="S385" s="58"/>
      <c r="T385" s="58"/>
      <c r="U385" s="58"/>
      <c r="V385" s="58"/>
      <c r="W385" s="58"/>
      <c r="X385" s="58"/>
    </row>
    <row r="386" spans="1:24">
      <c r="A386" s="103" t="s">
        <v>4294</v>
      </c>
      <c r="B386" s="104" t="s">
        <v>796</v>
      </c>
      <c r="C386" s="104" t="s">
        <v>4295</v>
      </c>
      <c r="D386" s="104" t="s">
        <v>2896</v>
      </c>
      <c r="E386" s="105" t="s">
        <v>3707</v>
      </c>
      <c r="F386" s="103" t="s">
        <v>10456</v>
      </c>
      <c r="G386" s="103"/>
      <c r="H386" s="103" t="s">
        <v>10457</v>
      </c>
      <c r="I386" s="103"/>
      <c r="J386" s="103" t="s">
        <v>10458</v>
      </c>
      <c r="K386" s="103"/>
      <c r="L386" s="106">
        <v>4979.65</v>
      </c>
      <c r="M386" s="103" t="s">
        <v>10459</v>
      </c>
      <c r="N386" s="106">
        <v>19059028.1358706</v>
      </c>
      <c r="O386" s="103" t="s">
        <v>10460</v>
      </c>
      <c r="R386" s="58"/>
      <c r="S386" s="58"/>
      <c r="T386" s="58"/>
      <c r="U386" s="58"/>
      <c r="V386" s="58"/>
      <c r="W386" s="58"/>
      <c r="X386" s="58"/>
    </row>
    <row r="387" ht="25.5" spans="1:24">
      <c r="A387" s="103" t="s">
        <v>3848</v>
      </c>
      <c r="B387" s="104" t="s">
        <v>139</v>
      </c>
      <c r="C387" s="104" t="s">
        <v>3849</v>
      </c>
      <c r="D387" s="104" t="s">
        <v>2961</v>
      </c>
      <c r="E387" s="105" t="s">
        <v>134</v>
      </c>
      <c r="F387" s="103" t="s">
        <v>10461</v>
      </c>
      <c r="G387" s="103"/>
      <c r="H387" s="103" t="s">
        <v>10462</v>
      </c>
      <c r="I387" s="103"/>
      <c r="J387" s="103" t="s">
        <v>10463</v>
      </c>
      <c r="K387" s="103"/>
      <c r="L387" s="106">
        <v>4979.39</v>
      </c>
      <c r="M387" s="103" t="s">
        <v>10459</v>
      </c>
      <c r="N387" s="106">
        <v>19064007.5258706</v>
      </c>
      <c r="O387" s="103" t="s">
        <v>10464</v>
      </c>
      <c r="R387" s="58"/>
      <c r="S387" s="58"/>
      <c r="T387" s="58"/>
      <c r="U387" s="58"/>
      <c r="V387" s="58"/>
      <c r="W387" s="58"/>
      <c r="X387" s="58"/>
    </row>
    <row r="388" ht="25.5" spans="1:24">
      <c r="A388" s="103" t="s">
        <v>4652</v>
      </c>
      <c r="B388" s="104" t="s">
        <v>132</v>
      </c>
      <c r="C388" s="104" t="s">
        <v>1970</v>
      </c>
      <c r="D388" s="104" t="s">
        <v>3395</v>
      </c>
      <c r="E388" s="105" t="s">
        <v>134</v>
      </c>
      <c r="F388" s="103" t="s">
        <v>9091</v>
      </c>
      <c r="G388" s="103" t="s">
        <v>9093</v>
      </c>
      <c r="H388" s="103" t="s">
        <v>10465</v>
      </c>
      <c r="I388" s="103" t="s">
        <v>10466</v>
      </c>
      <c r="J388" s="103" t="s">
        <v>10465</v>
      </c>
      <c r="K388" s="103" t="s">
        <v>8660</v>
      </c>
      <c r="L388" s="106">
        <v>4972.45</v>
      </c>
      <c r="M388" s="103" t="s">
        <v>10459</v>
      </c>
      <c r="N388" s="106">
        <v>19068979.9758706</v>
      </c>
      <c r="O388" s="103" t="s">
        <v>10467</v>
      </c>
      <c r="R388" s="58"/>
      <c r="S388" s="58"/>
      <c r="T388" s="58"/>
      <c r="U388" s="58"/>
      <c r="V388" s="58"/>
      <c r="W388" s="58"/>
      <c r="X388" s="58"/>
    </row>
    <row r="389" spans="1:24">
      <c r="A389" s="103" t="s">
        <v>5734</v>
      </c>
      <c r="B389" s="104" t="s">
        <v>139</v>
      </c>
      <c r="C389" s="104" t="s">
        <v>5735</v>
      </c>
      <c r="D389" s="104" t="s">
        <v>2896</v>
      </c>
      <c r="E389" s="105" t="s">
        <v>2897</v>
      </c>
      <c r="F389" s="103" t="s">
        <v>10468</v>
      </c>
      <c r="G389" s="103"/>
      <c r="H389" s="103" t="s">
        <v>9281</v>
      </c>
      <c r="I389" s="103"/>
      <c r="J389" s="103" t="s">
        <v>10469</v>
      </c>
      <c r="K389" s="103"/>
      <c r="L389" s="106">
        <v>4917.02973592085</v>
      </c>
      <c r="M389" s="103" t="s">
        <v>10459</v>
      </c>
      <c r="N389" s="106">
        <v>19073897.0056065</v>
      </c>
      <c r="O389" s="103" t="s">
        <v>10470</v>
      </c>
      <c r="R389" s="58"/>
      <c r="S389" s="58"/>
      <c r="T389" s="58"/>
      <c r="U389" s="58"/>
      <c r="V389" s="58"/>
      <c r="W389" s="58"/>
      <c r="X389" s="58"/>
    </row>
    <row r="390" spans="1:24">
      <c r="A390" s="103" t="s">
        <v>5527</v>
      </c>
      <c r="B390" s="104" t="s">
        <v>77</v>
      </c>
      <c r="C390" s="104" t="s">
        <v>5528</v>
      </c>
      <c r="D390" s="104" t="s">
        <v>2961</v>
      </c>
      <c r="E390" s="105" t="s">
        <v>3084</v>
      </c>
      <c r="F390" s="103" t="s">
        <v>10471</v>
      </c>
      <c r="G390" s="103"/>
      <c r="H390" s="103" t="s">
        <v>10472</v>
      </c>
      <c r="I390" s="103"/>
      <c r="J390" s="103" t="s">
        <v>10473</v>
      </c>
      <c r="K390" s="103"/>
      <c r="L390" s="106">
        <v>4912.416151</v>
      </c>
      <c r="M390" s="103" t="s">
        <v>10459</v>
      </c>
      <c r="N390" s="106">
        <v>19078809.4217575</v>
      </c>
      <c r="O390" s="103" t="s">
        <v>10474</v>
      </c>
      <c r="R390" s="58"/>
      <c r="S390" s="58"/>
      <c r="T390" s="58"/>
      <c r="U390" s="58"/>
      <c r="V390" s="58"/>
      <c r="W390" s="58"/>
      <c r="X390" s="58"/>
    </row>
    <row r="391" ht="25.5" spans="1:24">
      <c r="A391" s="103" t="s">
        <v>3814</v>
      </c>
      <c r="B391" s="104" t="s">
        <v>139</v>
      </c>
      <c r="C391" s="104" t="s">
        <v>3815</v>
      </c>
      <c r="D391" s="104" t="s">
        <v>2961</v>
      </c>
      <c r="E391" s="105" t="s">
        <v>134</v>
      </c>
      <c r="F391" s="103" t="s">
        <v>9810</v>
      </c>
      <c r="G391" s="103"/>
      <c r="H391" s="103" t="s">
        <v>10475</v>
      </c>
      <c r="I391" s="103"/>
      <c r="J391" s="103" t="s">
        <v>10476</v>
      </c>
      <c r="K391" s="103"/>
      <c r="L391" s="106">
        <v>4864.5</v>
      </c>
      <c r="M391" s="103" t="s">
        <v>10459</v>
      </c>
      <c r="N391" s="106">
        <v>19083673.9217575</v>
      </c>
      <c r="O391" s="103" t="s">
        <v>10477</v>
      </c>
      <c r="R391" s="58"/>
      <c r="S391" s="58"/>
      <c r="T391" s="58"/>
      <c r="U391" s="58"/>
      <c r="V391" s="58"/>
      <c r="W391" s="58"/>
      <c r="X391" s="58"/>
    </row>
    <row r="392" ht="25.5" spans="1:24">
      <c r="A392" s="103" t="s">
        <v>4619</v>
      </c>
      <c r="B392" s="104" t="s">
        <v>77</v>
      </c>
      <c r="C392" s="104" t="s">
        <v>4620</v>
      </c>
      <c r="D392" s="104" t="s">
        <v>2896</v>
      </c>
      <c r="E392" s="105" t="s">
        <v>2897</v>
      </c>
      <c r="F392" s="103" t="s">
        <v>10478</v>
      </c>
      <c r="G392" s="103"/>
      <c r="H392" s="103" t="s">
        <v>9371</v>
      </c>
      <c r="I392" s="103"/>
      <c r="J392" s="103" t="s">
        <v>10479</v>
      </c>
      <c r="K392" s="103"/>
      <c r="L392" s="106">
        <v>4852.61634</v>
      </c>
      <c r="M392" s="103" t="s">
        <v>10459</v>
      </c>
      <c r="N392" s="106">
        <v>19088526.5380975</v>
      </c>
      <c r="O392" s="103" t="s">
        <v>10480</v>
      </c>
      <c r="R392" s="58"/>
      <c r="S392" s="58"/>
      <c r="T392" s="58"/>
      <c r="U392" s="58"/>
      <c r="V392" s="58"/>
      <c r="W392" s="58"/>
      <c r="X392" s="58"/>
    </row>
    <row r="393" spans="1:24">
      <c r="A393" s="103" t="s">
        <v>3283</v>
      </c>
      <c r="B393" s="104" t="s">
        <v>149</v>
      </c>
      <c r="C393" s="104" t="s">
        <v>3284</v>
      </c>
      <c r="D393" s="104" t="s">
        <v>2896</v>
      </c>
      <c r="E393" s="105" t="s">
        <v>2897</v>
      </c>
      <c r="F393" s="103" t="s">
        <v>10481</v>
      </c>
      <c r="G393" s="103"/>
      <c r="H393" s="103" t="s">
        <v>9359</v>
      </c>
      <c r="I393" s="103"/>
      <c r="J393" s="103" t="s">
        <v>10482</v>
      </c>
      <c r="K393" s="103"/>
      <c r="L393" s="106">
        <v>4841.2817628583</v>
      </c>
      <c r="M393" s="103" t="s">
        <v>10459</v>
      </c>
      <c r="N393" s="106">
        <v>19093367.8198604</v>
      </c>
      <c r="O393" s="103" t="s">
        <v>10483</v>
      </c>
      <c r="R393" s="58"/>
      <c r="S393" s="58"/>
      <c r="T393" s="58"/>
      <c r="U393" s="58"/>
      <c r="V393" s="58"/>
      <c r="W393" s="58"/>
      <c r="X393" s="58"/>
    </row>
    <row r="394" ht="38.25" spans="1:24">
      <c r="A394" s="103" t="s">
        <v>3330</v>
      </c>
      <c r="B394" s="104" t="s">
        <v>139</v>
      </c>
      <c r="C394" s="104" t="s">
        <v>3331</v>
      </c>
      <c r="D394" s="104" t="s">
        <v>2961</v>
      </c>
      <c r="E394" s="105" t="s">
        <v>141</v>
      </c>
      <c r="F394" s="103" t="s">
        <v>10484</v>
      </c>
      <c r="G394" s="103"/>
      <c r="H394" s="103" t="s">
        <v>10485</v>
      </c>
      <c r="I394" s="103"/>
      <c r="J394" s="103" t="s">
        <v>10486</v>
      </c>
      <c r="K394" s="103"/>
      <c r="L394" s="106">
        <v>4746.7541759022</v>
      </c>
      <c r="M394" s="103" t="s">
        <v>10459</v>
      </c>
      <c r="N394" s="106">
        <v>19098114.5740363</v>
      </c>
      <c r="O394" s="103" t="s">
        <v>10487</v>
      </c>
      <c r="R394" s="58"/>
      <c r="S394" s="58"/>
      <c r="T394" s="58"/>
      <c r="U394" s="58"/>
      <c r="V394" s="58"/>
      <c r="W394" s="58"/>
      <c r="X394" s="58"/>
    </row>
    <row r="395" spans="1:24">
      <c r="A395" s="103" t="s">
        <v>5646</v>
      </c>
      <c r="B395" s="104" t="s">
        <v>139</v>
      </c>
      <c r="C395" s="104" t="s">
        <v>5647</v>
      </c>
      <c r="D395" s="104" t="s">
        <v>2896</v>
      </c>
      <c r="E395" s="105" t="s">
        <v>2897</v>
      </c>
      <c r="F395" s="103" t="s">
        <v>10488</v>
      </c>
      <c r="G395" s="103"/>
      <c r="H395" s="103" t="s">
        <v>10489</v>
      </c>
      <c r="I395" s="103"/>
      <c r="J395" s="103" t="s">
        <v>10490</v>
      </c>
      <c r="K395" s="103"/>
      <c r="L395" s="106">
        <v>4730.6487584</v>
      </c>
      <c r="M395" s="103" t="s">
        <v>10459</v>
      </c>
      <c r="N395" s="106">
        <v>19102845.2227947</v>
      </c>
      <c r="O395" s="103" t="s">
        <v>10491</v>
      </c>
      <c r="R395" s="58"/>
      <c r="S395" s="58"/>
      <c r="T395" s="58"/>
      <c r="U395" s="58"/>
      <c r="V395" s="58"/>
      <c r="W395" s="58"/>
      <c r="X395" s="58"/>
    </row>
    <row r="396" ht="25.5" spans="1:24">
      <c r="A396" s="103" t="s">
        <v>4409</v>
      </c>
      <c r="B396" s="104" t="s">
        <v>149</v>
      </c>
      <c r="C396" s="104" t="s">
        <v>4410</v>
      </c>
      <c r="D396" s="104" t="s">
        <v>2961</v>
      </c>
      <c r="E396" s="105" t="s">
        <v>134</v>
      </c>
      <c r="F396" s="103" t="s">
        <v>10492</v>
      </c>
      <c r="G396" s="103"/>
      <c r="H396" s="103" t="s">
        <v>10493</v>
      </c>
      <c r="I396" s="103"/>
      <c r="J396" s="103" t="s">
        <v>10494</v>
      </c>
      <c r="K396" s="103"/>
      <c r="L396" s="106">
        <v>4679.8</v>
      </c>
      <c r="M396" s="103" t="s">
        <v>10459</v>
      </c>
      <c r="N396" s="106">
        <v>19107525.0227947</v>
      </c>
      <c r="O396" s="103" t="s">
        <v>10495</v>
      </c>
      <c r="R396" s="58"/>
      <c r="S396" s="58"/>
      <c r="T396" s="58"/>
      <c r="U396" s="58"/>
      <c r="V396" s="58"/>
      <c r="W396" s="58"/>
      <c r="X396" s="58"/>
    </row>
    <row r="397" spans="1:24">
      <c r="A397" s="103" t="s">
        <v>5754</v>
      </c>
      <c r="B397" s="104" t="s">
        <v>139</v>
      </c>
      <c r="C397" s="104" t="s">
        <v>5755</v>
      </c>
      <c r="D397" s="104" t="s">
        <v>2896</v>
      </c>
      <c r="E397" s="105" t="s">
        <v>2897</v>
      </c>
      <c r="F397" s="103" t="s">
        <v>10496</v>
      </c>
      <c r="G397" s="103"/>
      <c r="H397" s="103" t="s">
        <v>10497</v>
      </c>
      <c r="I397" s="103"/>
      <c r="J397" s="103" t="s">
        <v>10498</v>
      </c>
      <c r="K397" s="103"/>
      <c r="L397" s="106">
        <v>4636.99601305162</v>
      </c>
      <c r="M397" s="103" t="s">
        <v>10459</v>
      </c>
      <c r="N397" s="106">
        <v>19112162.0188077</v>
      </c>
      <c r="O397" s="103" t="s">
        <v>10499</v>
      </c>
      <c r="R397" s="58"/>
      <c r="S397" s="58"/>
      <c r="T397" s="58"/>
      <c r="U397" s="58"/>
      <c r="V397" s="58"/>
      <c r="W397" s="58"/>
      <c r="X397" s="58"/>
    </row>
    <row r="398" ht="25.5" spans="1:24">
      <c r="A398" s="103" t="s">
        <v>4574</v>
      </c>
      <c r="B398" s="104" t="s">
        <v>132</v>
      </c>
      <c r="C398" s="104" t="s">
        <v>4575</v>
      </c>
      <c r="D398" s="104" t="s">
        <v>2961</v>
      </c>
      <c r="E398" s="105" t="s">
        <v>134</v>
      </c>
      <c r="F398" s="103" t="s">
        <v>9091</v>
      </c>
      <c r="G398" s="103"/>
      <c r="H398" s="103" t="s">
        <v>10500</v>
      </c>
      <c r="I398" s="103"/>
      <c r="J398" s="103" t="s">
        <v>10500</v>
      </c>
      <c r="K398" s="103"/>
      <c r="L398" s="106">
        <v>4525.03</v>
      </c>
      <c r="M398" s="103" t="s">
        <v>10459</v>
      </c>
      <c r="N398" s="106">
        <v>19116687.0488077</v>
      </c>
      <c r="O398" s="103" t="s">
        <v>10501</v>
      </c>
      <c r="R398" s="58"/>
      <c r="S398" s="58"/>
      <c r="T398" s="58"/>
      <c r="U398" s="58"/>
      <c r="V398" s="58"/>
      <c r="W398" s="58"/>
      <c r="X398" s="58"/>
    </row>
    <row r="399" ht="38.25" spans="1:24">
      <c r="A399" s="103" t="s">
        <v>3899</v>
      </c>
      <c r="B399" s="104" t="s">
        <v>139</v>
      </c>
      <c r="C399" s="104" t="s">
        <v>3900</v>
      </c>
      <c r="D399" s="104" t="s">
        <v>2961</v>
      </c>
      <c r="E399" s="105" t="s">
        <v>134</v>
      </c>
      <c r="F399" s="103" t="s">
        <v>9550</v>
      </c>
      <c r="G399" s="103"/>
      <c r="H399" s="103" t="s">
        <v>10502</v>
      </c>
      <c r="I399" s="103"/>
      <c r="J399" s="103" t="s">
        <v>10503</v>
      </c>
      <c r="K399" s="103"/>
      <c r="L399" s="106">
        <v>4491.12</v>
      </c>
      <c r="M399" s="103" t="s">
        <v>10459</v>
      </c>
      <c r="N399" s="106">
        <v>19121178.1688077</v>
      </c>
      <c r="O399" s="103" t="s">
        <v>10504</v>
      </c>
      <c r="R399" s="58"/>
      <c r="S399" s="58"/>
      <c r="T399" s="58"/>
      <c r="U399" s="58"/>
      <c r="V399" s="58"/>
      <c r="W399" s="58"/>
      <c r="X399" s="58"/>
    </row>
    <row r="400" ht="25.5" spans="1:24">
      <c r="A400" s="103" t="s">
        <v>5270</v>
      </c>
      <c r="B400" s="104" t="s">
        <v>139</v>
      </c>
      <c r="C400" s="104" t="s">
        <v>5271</v>
      </c>
      <c r="D400" s="104" t="s">
        <v>2961</v>
      </c>
      <c r="E400" s="105" t="s">
        <v>279</v>
      </c>
      <c r="F400" s="103" t="s">
        <v>10505</v>
      </c>
      <c r="G400" s="103"/>
      <c r="H400" s="103" t="s">
        <v>9904</v>
      </c>
      <c r="I400" s="103"/>
      <c r="J400" s="103" t="s">
        <v>10506</v>
      </c>
      <c r="K400" s="103"/>
      <c r="L400" s="106">
        <v>4432.11626241902</v>
      </c>
      <c r="M400" s="103" t="s">
        <v>10459</v>
      </c>
      <c r="N400" s="106">
        <v>19125610.2850701</v>
      </c>
      <c r="O400" s="103" t="s">
        <v>10507</v>
      </c>
      <c r="R400" s="58"/>
      <c r="S400" s="58"/>
      <c r="T400" s="58"/>
      <c r="U400" s="58"/>
      <c r="V400" s="58"/>
      <c r="W400" s="58"/>
      <c r="X400" s="58"/>
    </row>
    <row r="401" spans="1:24">
      <c r="A401" s="103" t="s">
        <v>5762</v>
      </c>
      <c r="B401" s="104" t="s">
        <v>139</v>
      </c>
      <c r="C401" s="104" t="s">
        <v>5763</v>
      </c>
      <c r="D401" s="104" t="s">
        <v>2896</v>
      </c>
      <c r="E401" s="105" t="s">
        <v>2925</v>
      </c>
      <c r="F401" s="103" t="s">
        <v>10508</v>
      </c>
      <c r="G401" s="103"/>
      <c r="H401" s="103" t="s">
        <v>10509</v>
      </c>
      <c r="I401" s="103"/>
      <c r="J401" s="103" t="s">
        <v>10510</v>
      </c>
      <c r="K401" s="103"/>
      <c r="L401" s="106">
        <v>4363.1634852</v>
      </c>
      <c r="M401" s="103" t="s">
        <v>10459</v>
      </c>
      <c r="N401" s="106">
        <v>19129973.4485553</v>
      </c>
      <c r="O401" s="103" t="s">
        <v>10511</v>
      </c>
      <c r="R401" s="58"/>
      <c r="S401" s="58"/>
      <c r="T401" s="58"/>
      <c r="U401" s="58"/>
      <c r="V401" s="58"/>
      <c r="W401" s="58"/>
      <c r="X401" s="58"/>
    </row>
    <row r="402" ht="51" spans="1:24">
      <c r="A402" s="103" t="s">
        <v>3403</v>
      </c>
      <c r="B402" s="104" t="s">
        <v>139</v>
      </c>
      <c r="C402" s="104" t="s">
        <v>3404</v>
      </c>
      <c r="D402" s="104" t="s">
        <v>3395</v>
      </c>
      <c r="E402" s="105" t="s">
        <v>3398</v>
      </c>
      <c r="F402" s="103" t="s">
        <v>10512</v>
      </c>
      <c r="G402" s="103"/>
      <c r="H402" s="103" t="s">
        <v>10513</v>
      </c>
      <c r="I402" s="103"/>
      <c r="J402" s="103" t="s">
        <v>10514</v>
      </c>
      <c r="K402" s="103"/>
      <c r="L402" s="106">
        <v>4339.7936472</v>
      </c>
      <c r="M402" s="103" t="s">
        <v>10459</v>
      </c>
      <c r="N402" s="106">
        <v>19134313.2422025</v>
      </c>
      <c r="O402" s="103" t="s">
        <v>10515</v>
      </c>
      <c r="R402" s="58"/>
      <c r="S402" s="58"/>
      <c r="T402" s="58"/>
      <c r="U402" s="58"/>
      <c r="V402" s="58"/>
      <c r="W402" s="58"/>
      <c r="X402" s="58"/>
    </row>
    <row r="403" ht="38.25" spans="1:24">
      <c r="A403" s="103" t="s">
        <v>3669</v>
      </c>
      <c r="B403" s="104" t="s">
        <v>796</v>
      </c>
      <c r="C403" s="104" t="s">
        <v>3670</v>
      </c>
      <c r="D403" s="104" t="s">
        <v>3395</v>
      </c>
      <c r="E403" s="105" t="s">
        <v>334</v>
      </c>
      <c r="F403" s="103" t="s">
        <v>9183</v>
      </c>
      <c r="G403" s="103"/>
      <c r="H403" s="103" t="s">
        <v>8006</v>
      </c>
      <c r="I403" s="103"/>
      <c r="J403" s="103" t="s">
        <v>8007</v>
      </c>
      <c r="K403" s="103"/>
      <c r="L403" s="106">
        <v>4330.02</v>
      </c>
      <c r="M403" s="103" t="s">
        <v>10459</v>
      </c>
      <c r="N403" s="106">
        <v>19138643.2622025</v>
      </c>
      <c r="O403" s="103" t="s">
        <v>10516</v>
      </c>
      <c r="R403" s="58"/>
      <c r="S403" s="58"/>
      <c r="T403" s="58"/>
      <c r="U403" s="58"/>
      <c r="V403" s="58"/>
      <c r="W403" s="58"/>
      <c r="X403" s="58"/>
    </row>
    <row r="404" ht="25.5" spans="1:24">
      <c r="A404" s="103" t="s">
        <v>4580</v>
      </c>
      <c r="B404" s="104" t="s">
        <v>139</v>
      </c>
      <c r="C404" s="104" t="s">
        <v>4581</v>
      </c>
      <c r="D404" s="104" t="s">
        <v>2961</v>
      </c>
      <c r="E404" s="105" t="s">
        <v>134</v>
      </c>
      <c r="F404" s="103" t="s">
        <v>10517</v>
      </c>
      <c r="G404" s="103"/>
      <c r="H404" s="103" t="s">
        <v>10518</v>
      </c>
      <c r="I404" s="103"/>
      <c r="J404" s="103" t="s">
        <v>10519</v>
      </c>
      <c r="K404" s="103"/>
      <c r="L404" s="106">
        <v>4267.29</v>
      </c>
      <c r="M404" s="103" t="s">
        <v>10459</v>
      </c>
      <c r="N404" s="106">
        <v>19142910.5522025</v>
      </c>
      <c r="O404" s="103" t="s">
        <v>10520</v>
      </c>
      <c r="R404" s="58"/>
      <c r="S404" s="58"/>
      <c r="T404" s="58"/>
      <c r="U404" s="58"/>
      <c r="V404" s="58"/>
      <c r="W404" s="58"/>
      <c r="X404" s="58"/>
    </row>
    <row r="405" ht="25.5" spans="1:24">
      <c r="A405" s="103" t="s">
        <v>3334</v>
      </c>
      <c r="B405" s="104" t="s">
        <v>139</v>
      </c>
      <c r="C405" s="104" t="s">
        <v>3335</v>
      </c>
      <c r="D405" s="104" t="s">
        <v>2961</v>
      </c>
      <c r="E405" s="105" t="s">
        <v>204</v>
      </c>
      <c r="F405" s="103" t="s">
        <v>10521</v>
      </c>
      <c r="G405" s="103"/>
      <c r="H405" s="103" t="s">
        <v>10522</v>
      </c>
      <c r="I405" s="103"/>
      <c r="J405" s="103" t="s">
        <v>10523</v>
      </c>
      <c r="K405" s="103"/>
      <c r="L405" s="106">
        <v>4169.72658013099</v>
      </c>
      <c r="M405" s="103" t="s">
        <v>10459</v>
      </c>
      <c r="N405" s="106">
        <v>19147080.2787827</v>
      </c>
      <c r="O405" s="103" t="s">
        <v>10524</v>
      </c>
      <c r="R405" s="58"/>
      <c r="S405" s="58"/>
      <c r="T405" s="58"/>
      <c r="U405" s="58"/>
      <c r="V405" s="58"/>
      <c r="W405" s="58"/>
      <c r="X405" s="58"/>
    </row>
    <row r="406" ht="25.5" spans="1:24">
      <c r="A406" s="103" t="s">
        <v>3455</v>
      </c>
      <c r="B406" s="104" t="s">
        <v>77</v>
      </c>
      <c r="C406" s="104" t="s">
        <v>3456</v>
      </c>
      <c r="D406" s="104" t="s">
        <v>2961</v>
      </c>
      <c r="E406" s="105" t="s">
        <v>141</v>
      </c>
      <c r="F406" s="103" t="s">
        <v>10525</v>
      </c>
      <c r="G406" s="103"/>
      <c r="H406" s="103" t="s">
        <v>9464</v>
      </c>
      <c r="I406" s="103"/>
      <c r="J406" s="103" t="s">
        <v>10526</v>
      </c>
      <c r="K406" s="103"/>
      <c r="L406" s="106">
        <v>4167.7482</v>
      </c>
      <c r="M406" s="103" t="s">
        <v>10459</v>
      </c>
      <c r="N406" s="106">
        <v>19151248.0269827</v>
      </c>
      <c r="O406" s="103" t="s">
        <v>10527</v>
      </c>
      <c r="R406" s="58"/>
      <c r="S406" s="58"/>
      <c r="T406" s="58"/>
      <c r="U406" s="58"/>
      <c r="V406" s="58"/>
      <c r="W406" s="58"/>
      <c r="X406" s="58"/>
    </row>
    <row r="407" spans="1:24">
      <c r="A407" s="103" t="s">
        <v>4192</v>
      </c>
      <c r="B407" s="104" t="s">
        <v>132</v>
      </c>
      <c r="C407" s="104" t="s">
        <v>4193</v>
      </c>
      <c r="D407" s="104" t="s">
        <v>2961</v>
      </c>
      <c r="E407" s="105" t="s">
        <v>134</v>
      </c>
      <c r="F407" s="103" t="s">
        <v>9091</v>
      </c>
      <c r="G407" s="103"/>
      <c r="H407" s="103" t="s">
        <v>10528</v>
      </c>
      <c r="I407" s="103"/>
      <c r="J407" s="103" t="s">
        <v>10528</v>
      </c>
      <c r="K407" s="103"/>
      <c r="L407" s="106">
        <v>4164.15</v>
      </c>
      <c r="M407" s="103" t="s">
        <v>10459</v>
      </c>
      <c r="N407" s="106">
        <v>19155412.1769827</v>
      </c>
      <c r="O407" s="103" t="s">
        <v>10529</v>
      </c>
      <c r="R407" s="58"/>
      <c r="S407" s="58"/>
      <c r="T407" s="58"/>
      <c r="U407" s="58"/>
      <c r="V407" s="58"/>
      <c r="W407" s="58"/>
      <c r="X407" s="58"/>
    </row>
    <row r="408" spans="1:24">
      <c r="A408" s="103" t="s">
        <v>5358</v>
      </c>
      <c r="B408" s="104" t="s">
        <v>139</v>
      </c>
      <c r="C408" s="104" t="s">
        <v>5359</v>
      </c>
      <c r="D408" s="104" t="s">
        <v>2961</v>
      </c>
      <c r="E408" s="105" t="s">
        <v>393</v>
      </c>
      <c r="F408" s="103" t="s">
        <v>10530</v>
      </c>
      <c r="G408" s="103"/>
      <c r="H408" s="103" t="s">
        <v>10531</v>
      </c>
      <c r="I408" s="103"/>
      <c r="J408" s="103" t="s">
        <v>10532</v>
      </c>
      <c r="K408" s="103"/>
      <c r="L408" s="106">
        <v>4130.8208634</v>
      </c>
      <c r="M408" s="103" t="s">
        <v>10459</v>
      </c>
      <c r="N408" s="106">
        <v>19159542.9978461</v>
      </c>
      <c r="O408" s="103" t="s">
        <v>10533</v>
      </c>
      <c r="R408" s="58"/>
      <c r="S408" s="58"/>
      <c r="T408" s="58"/>
      <c r="U408" s="58"/>
      <c r="V408" s="58"/>
      <c r="W408" s="58"/>
      <c r="X408" s="58"/>
    </row>
    <row r="409" ht="25.5" spans="1:24">
      <c r="A409" s="103" t="s">
        <v>3495</v>
      </c>
      <c r="B409" s="104" t="s">
        <v>139</v>
      </c>
      <c r="C409" s="104" t="s">
        <v>3496</v>
      </c>
      <c r="D409" s="104" t="s">
        <v>2961</v>
      </c>
      <c r="E409" s="105" t="s">
        <v>3084</v>
      </c>
      <c r="F409" s="103" t="s">
        <v>10534</v>
      </c>
      <c r="G409" s="103"/>
      <c r="H409" s="103" t="s">
        <v>10535</v>
      </c>
      <c r="I409" s="103"/>
      <c r="J409" s="103" t="s">
        <v>10536</v>
      </c>
      <c r="K409" s="103"/>
      <c r="L409" s="106">
        <v>4111.61174592</v>
      </c>
      <c r="M409" s="103" t="s">
        <v>10459</v>
      </c>
      <c r="N409" s="106">
        <v>19163654.609592</v>
      </c>
      <c r="O409" s="103" t="s">
        <v>10537</v>
      </c>
      <c r="R409" s="58"/>
      <c r="S409" s="58"/>
      <c r="T409" s="58"/>
      <c r="U409" s="58"/>
      <c r="V409" s="58"/>
      <c r="W409" s="58"/>
      <c r="X409" s="58"/>
    </row>
    <row r="410" ht="38.25" spans="1:24">
      <c r="A410" s="103" t="s">
        <v>3386</v>
      </c>
      <c r="B410" s="104" t="s">
        <v>139</v>
      </c>
      <c r="C410" s="104" t="s">
        <v>3387</v>
      </c>
      <c r="D410" s="104" t="s">
        <v>2961</v>
      </c>
      <c r="E410" s="105" t="s">
        <v>204</v>
      </c>
      <c r="F410" s="103" t="s">
        <v>10538</v>
      </c>
      <c r="G410" s="103"/>
      <c r="H410" s="103" t="s">
        <v>10539</v>
      </c>
      <c r="I410" s="103"/>
      <c r="J410" s="103" t="s">
        <v>10540</v>
      </c>
      <c r="K410" s="103"/>
      <c r="L410" s="106">
        <v>4048.134288</v>
      </c>
      <c r="M410" s="103" t="s">
        <v>10459</v>
      </c>
      <c r="N410" s="106">
        <v>19167702.74388</v>
      </c>
      <c r="O410" s="103" t="s">
        <v>10541</v>
      </c>
      <c r="R410" s="58"/>
      <c r="S410" s="58"/>
      <c r="T410" s="58"/>
      <c r="U410" s="58"/>
      <c r="V410" s="58"/>
      <c r="W410" s="58"/>
      <c r="X410" s="58"/>
    </row>
    <row r="411" ht="63.75" spans="1:24">
      <c r="A411" s="103" t="s">
        <v>4727</v>
      </c>
      <c r="B411" s="104" t="s">
        <v>132</v>
      </c>
      <c r="C411" s="104" t="s">
        <v>4728</v>
      </c>
      <c r="D411" s="104" t="s">
        <v>3395</v>
      </c>
      <c r="E411" s="105" t="s">
        <v>134</v>
      </c>
      <c r="F411" s="103" t="s">
        <v>9091</v>
      </c>
      <c r="G411" s="103" t="s">
        <v>9093</v>
      </c>
      <c r="H411" s="103" t="s">
        <v>10542</v>
      </c>
      <c r="I411" s="103" t="s">
        <v>10543</v>
      </c>
      <c r="J411" s="103" t="s">
        <v>10542</v>
      </c>
      <c r="K411" s="103" t="s">
        <v>8660</v>
      </c>
      <c r="L411" s="106">
        <v>3999.43</v>
      </c>
      <c r="M411" s="103" t="s">
        <v>10459</v>
      </c>
      <c r="N411" s="106">
        <v>19171702.17388</v>
      </c>
      <c r="O411" s="103" t="s">
        <v>10544</v>
      </c>
      <c r="R411" s="58"/>
      <c r="S411" s="58"/>
      <c r="T411" s="58"/>
      <c r="U411" s="58"/>
      <c r="V411" s="58"/>
      <c r="W411" s="58"/>
      <c r="X411" s="58"/>
    </row>
    <row r="412" ht="38.25" spans="1:24">
      <c r="A412" s="103" t="s">
        <v>3534</v>
      </c>
      <c r="B412" s="104" t="s">
        <v>139</v>
      </c>
      <c r="C412" s="104" t="s">
        <v>3535</v>
      </c>
      <c r="D412" s="104" t="s">
        <v>2961</v>
      </c>
      <c r="E412" s="105" t="s">
        <v>393</v>
      </c>
      <c r="F412" s="103" t="s">
        <v>10545</v>
      </c>
      <c r="G412" s="103"/>
      <c r="H412" s="103" t="s">
        <v>10546</v>
      </c>
      <c r="I412" s="103"/>
      <c r="J412" s="103" t="s">
        <v>10547</v>
      </c>
      <c r="K412" s="103"/>
      <c r="L412" s="106">
        <v>3966.8214226</v>
      </c>
      <c r="M412" s="103" t="s">
        <v>10459</v>
      </c>
      <c r="N412" s="106">
        <v>19175668.9953026</v>
      </c>
      <c r="O412" s="103" t="s">
        <v>10548</v>
      </c>
      <c r="R412" s="58"/>
      <c r="S412" s="58"/>
      <c r="T412" s="58"/>
      <c r="U412" s="58"/>
      <c r="V412" s="58"/>
      <c r="W412" s="58"/>
      <c r="X412" s="58"/>
    </row>
    <row r="413" ht="25.5" spans="1:24">
      <c r="A413" s="103" t="s">
        <v>5722</v>
      </c>
      <c r="B413" s="104" t="s">
        <v>139</v>
      </c>
      <c r="C413" s="104" t="s">
        <v>5723</v>
      </c>
      <c r="D413" s="104" t="s">
        <v>2896</v>
      </c>
      <c r="E413" s="105" t="s">
        <v>2897</v>
      </c>
      <c r="F413" s="103" t="s">
        <v>10549</v>
      </c>
      <c r="G413" s="103"/>
      <c r="H413" s="103" t="s">
        <v>10550</v>
      </c>
      <c r="I413" s="103"/>
      <c r="J413" s="103" t="s">
        <v>10551</v>
      </c>
      <c r="K413" s="103"/>
      <c r="L413" s="106">
        <v>3945.06326367584</v>
      </c>
      <c r="M413" s="103" t="s">
        <v>10459</v>
      </c>
      <c r="N413" s="106">
        <v>19179614.0585662</v>
      </c>
      <c r="O413" s="103" t="s">
        <v>10552</v>
      </c>
      <c r="R413" s="58"/>
      <c r="S413" s="58"/>
      <c r="T413" s="58"/>
      <c r="U413" s="58"/>
      <c r="V413" s="58"/>
      <c r="W413" s="58"/>
      <c r="X413" s="58"/>
    </row>
    <row r="414" ht="38.25" spans="1:24">
      <c r="A414" s="103" t="s">
        <v>3878</v>
      </c>
      <c r="B414" s="104" t="s">
        <v>77</v>
      </c>
      <c r="C414" s="104" t="s">
        <v>3879</v>
      </c>
      <c r="D414" s="104" t="s">
        <v>2961</v>
      </c>
      <c r="E414" s="105" t="s">
        <v>204</v>
      </c>
      <c r="F414" s="103" t="s">
        <v>10553</v>
      </c>
      <c r="G414" s="103"/>
      <c r="H414" s="103" t="s">
        <v>10554</v>
      </c>
      <c r="I414" s="103"/>
      <c r="J414" s="103" t="s">
        <v>10555</v>
      </c>
      <c r="K414" s="103"/>
      <c r="L414" s="106">
        <v>3920.112</v>
      </c>
      <c r="M414" s="103" t="s">
        <v>10459</v>
      </c>
      <c r="N414" s="106">
        <v>19183534.1705662</v>
      </c>
      <c r="O414" s="103" t="s">
        <v>10556</v>
      </c>
      <c r="R414" s="58"/>
      <c r="S414" s="58"/>
      <c r="T414" s="58"/>
      <c r="U414" s="58"/>
      <c r="V414" s="58"/>
      <c r="W414" s="58"/>
      <c r="X414" s="58"/>
    </row>
    <row r="415" ht="25.5" spans="1:24">
      <c r="A415" s="103" t="s">
        <v>5042</v>
      </c>
      <c r="B415" s="104" t="s">
        <v>139</v>
      </c>
      <c r="C415" s="104" t="s">
        <v>5043</v>
      </c>
      <c r="D415" s="104" t="s">
        <v>2961</v>
      </c>
      <c r="E415" s="105" t="s">
        <v>204</v>
      </c>
      <c r="F415" s="103" t="s">
        <v>10557</v>
      </c>
      <c r="G415" s="103"/>
      <c r="H415" s="103" t="s">
        <v>7580</v>
      </c>
      <c r="I415" s="103"/>
      <c r="J415" s="103" t="s">
        <v>10558</v>
      </c>
      <c r="K415" s="103"/>
      <c r="L415" s="106">
        <v>3886.204948</v>
      </c>
      <c r="M415" s="103" t="s">
        <v>10459</v>
      </c>
      <c r="N415" s="106">
        <v>19187420.3755143</v>
      </c>
      <c r="O415" s="103" t="s">
        <v>10559</v>
      </c>
      <c r="R415" s="58"/>
      <c r="S415" s="58"/>
      <c r="T415" s="58"/>
      <c r="U415" s="58"/>
      <c r="V415" s="58"/>
      <c r="W415" s="58"/>
      <c r="X415" s="58"/>
    </row>
    <row r="416" ht="25.5" spans="1:24">
      <c r="A416" s="103" t="s">
        <v>5438</v>
      </c>
      <c r="B416" s="104" t="s">
        <v>796</v>
      </c>
      <c r="C416" s="104" t="s">
        <v>5439</v>
      </c>
      <c r="D416" s="104" t="s">
        <v>2896</v>
      </c>
      <c r="E416" s="105" t="s">
        <v>3707</v>
      </c>
      <c r="F416" s="103" t="s">
        <v>10560</v>
      </c>
      <c r="G416" s="103"/>
      <c r="H416" s="103" t="s">
        <v>10561</v>
      </c>
      <c r="I416" s="103"/>
      <c r="J416" s="103" t="s">
        <v>10562</v>
      </c>
      <c r="K416" s="103"/>
      <c r="L416" s="106">
        <v>3861.856884</v>
      </c>
      <c r="M416" s="103" t="s">
        <v>10459</v>
      </c>
      <c r="N416" s="106">
        <v>19191282.2323982</v>
      </c>
      <c r="O416" s="103" t="s">
        <v>10563</v>
      </c>
      <c r="R416" s="58"/>
      <c r="S416" s="58"/>
      <c r="T416" s="58"/>
      <c r="U416" s="58"/>
      <c r="V416" s="58"/>
      <c r="W416" s="58"/>
      <c r="X416" s="58"/>
    </row>
    <row r="417" ht="25.5" spans="1:24">
      <c r="A417" s="103" t="s">
        <v>5402</v>
      </c>
      <c r="B417" s="104" t="s">
        <v>139</v>
      </c>
      <c r="C417" s="104" t="s">
        <v>5403</v>
      </c>
      <c r="D417" s="104" t="s">
        <v>2961</v>
      </c>
      <c r="E417" s="105" t="s">
        <v>2897</v>
      </c>
      <c r="F417" s="103" t="s">
        <v>10564</v>
      </c>
      <c r="G417" s="103"/>
      <c r="H417" s="103" t="s">
        <v>10565</v>
      </c>
      <c r="I417" s="103"/>
      <c r="J417" s="103" t="s">
        <v>10566</v>
      </c>
      <c r="K417" s="103"/>
      <c r="L417" s="106">
        <v>3837.214374064</v>
      </c>
      <c r="M417" s="103" t="s">
        <v>10459</v>
      </c>
      <c r="N417" s="106">
        <v>19195119.4467723</v>
      </c>
      <c r="O417" s="103" t="s">
        <v>10567</v>
      </c>
      <c r="R417" s="58"/>
      <c r="S417" s="58"/>
      <c r="T417" s="58"/>
      <c r="U417" s="58"/>
      <c r="V417" s="58"/>
      <c r="W417" s="58"/>
      <c r="X417" s="58"/>
    </row>
    <row r="418" ht="51" spans="1:24">
      <c r="A418" s="103" t="s">
        <v>3678</v>
      </c>
      <c r="B418" s="104" t="s">
        <v>139</v>
      </c>
      <c r="C418" s="104" t="s">
        <v>3679</v>
      </c>
      <c r="D418" s="104" t="s">
        <v>3680</v>
      </c>
      <c r="E418" s="105" t="s">
        <v>134</v>
      </c>
      <c r="F418" s="103" t="s">
        <v>9183</v>
      </c>
      <c r="G418" s="103"/>
      <c r="H418" s="103" t="s">
        <v>10568</v>
      </c>
      <c r="I418" s="103"/>
      <c r="J418" s="103" t="s">
        <v>10569</v>
      </c>
      <c r="K418" s="103"/>
      <c r="L418" s="106">
        <v>3778.54</v>
      </c>
      <c r="M418" s="103" t="s">
        <v>10459</v>
      </c>
      <c r="N418" s="106">
        <v>19198897.9867723</v>
      </c>
      <c r="O418" s="103" t="s">
        <v>10570</v>
      </c>
      <c r="R418" s="58"/>
      <c r="S418" s="58"/>
      <c r="T418" s="58"/>
      <c r="U418" s="58"/>
      <c r="V418" s="58"/>
      <c r="W418" s="58"/>
      <c r="X418" s="58"/>
    </row>
    <row r="419" ht="25.5" spans="1:24">
      <c r="A419" s="103" t="s">
        <v>5706</v>
      </c>
      <c r="B419" s="104" t="s">
        <v>139</v>
      </c>
      <c r="C419" s="104" t="s">
        <v>5707</v>
      </c>
      <c r="D419" s="104" t="s">
        <v>2896</v>
      </c>
      <c r="E419" s="105" t="s">
        <v>2897</v>
      </c>
      <c r="F419" s="103" t="s">
        <v>10571</v>
      </c>
      <c r="G419" s="103"/>
      <c r="H419" s="103" t="s">
        <v>10572</v>
      </c>
      <c r="I419" s="103"/>
      <c r="J419" s="103" t="s">
        <v>10573</v>
      </c>
      <c r="K419" s="103"/>
      <c r="L419" s="106">
        <v>3758.79293586479</v>
      </c>
      <c r="M419" s="103" t="s">
        <v>10459</v>
      </c>
      <c r="N419" s="106">
        <v>19202656.7797082</v>
      </c>
      <c r="O419" s="103" t="s">
        <v>10574</v>
      </c>
      <c r="R419" s="58"/>
      <c r="S419" s="58"/>
      <c r="T419" s="58"/>
      <c r="U419" s="58"/>
      <c r="V419" s="58"/>
      <c r="W419" s="58"/>
      <c r="X419" s="58"/>
    </row>
    <row r="420" ht="25.5" spans="1:24">
      <c r="A420" s="103" t="s">
        <v>5038</v>
      </c>
      <c r="B420" s="104" t="s">
        <v>139</v>
      </c>
      <c r="C420" s="104" t="s">
        <v>5039</v>
      </c>
      <c r="D420" s="104" t="s">
        <v>2961</v>
      </c>
      <c r="E420" s="105" t="s">
        <v>204</v>
      </c>
      <c r="F420" s="103" t="s">
        <v>10575</v>
      </c>
      <c r="G420" s="103"/>
      <c r="H420" s="103" t="s">
        <v>10576</v>
      </c>
      <c r="I420" s="103"/>
      <c r="J420" s="103" t="s">
        <v>10577</v>
      </c>
      <c r="K420" s="103"/>
      <c r="L420" s="106">
        <v>3749.823624</v>
      </c>
      <c r="M420" s="103" t="s">
        <v>10459</v>
      </c>
      <c r="N420" s="106">
        <v>19206406.6033322</v>
      </c>
      <c r="O420" s="103" t="s">
        <v>10578</v>
      </c>
      <c r="R420" s="58"/>
      <c r="S420" s="58"/>
      <c r="T420" s="58"/>
      <c r="U420" s="58"/>
      <c r="V420" s="58"/>
      <c r="W420" s="58"/>
      <c r="X420" s="58"/>
    </row>
    <row r="421" spans="1:24">
      <c r="A421" s="103" t="s">
        <v>4214</v>
      </c>
      <c r="B421" s="104" t="s">
        <v>132</v>
      </c>
      <c r="C421" s="104" t="s">
        <v>1317</v>
      </c>
      <c r="D421" s="104" t="s">
        <v>2961</v>
      </c>
      <c r="E421" s="105" t="s">
        <v>134</v>
      </c>
      <c r="F421" s="103" t="s">
        <v>9183</v>
      </c>
      <c r="G421" s="103"/>
      <c r="H421" s="103" t="s">
        <v>10579</v>
      </c>
      <c r="I421" s="103"/>
      <c r="J421" s="103" t="s">
        <v>10580</v>
      </c>
      <c r="K421" s="103"/>
      <c r="L421" s="106">
        <v>3749.8</v>
      </c>
      <c r="M421" s="103" t="s">
        <v>10459</v>
      </c>
      <c r="N421" s="106">
        <v>19210156.4033322</v>
      </c>
      <c r="O421" s="103" t="s">
        <v>10581</v>
      </c>
      <c r="R421" s="58"/>
      <c r="S421" s="58"/>
      <c r="T421" s="58"/>
      <c r="U421" s="58"/>
      <c r="V421" s="58"/>
      <c r="W421" s="58"/>
      <c r="X421" s="58"/>
    </row>
    <row r="422" ht="25.5" spans="1:24">
      <c r="A422" s="103" t="s">
        <v>4792</v>
      </c>
      <c r="B422" s="104" t="s">
        <v>149</v>
      </c>
      <c r="C422" s="104" t="s">
        <v>4793</v>
      </c>
      <c r="D422" s="104" t="s">
        <v>2961</v>
      </c>
      <c r="E422" s="105" t="s">
        <v>134</v>
      </c>
      <c r="F422" s="103" t="s">
        <v>10582</v>
      </c>
      <c r="G422" s="103"/>
      <c r="H422" s="103" t="s">
        <v>10583</v>
      </c>
      <c r="I422" s="103"/>
      <c r="J422" s="103" t="s">
        <v>10584</v>
      </c>
      <c r="K422" s="103"/>
      <c r="L422" s="106">
        <v>3745.56</v>
      </c>
      <c r="M422" s="103" t="s">
        <v>10459</v>
      </c>
      <c r="N422" s="106">
        <v>19213901.9633322</v>
      </c>
      <c r="O422" s="103" t="s">
        <v>10585</v>
      </c>
      <c r="R422" s="58"/>
      <c r="S422" s="58"/>
      <c r="T422" s="58"/>
      <c r="U422" s="58"/>
      <c r="V422" s="58"/>
      <c r="W422" s="58"/>
      <c r="X422" s="58"/>
    </row>
    <row r="423" ht="63.75" spans="1:24">
      <c r="A423" s="103" t="s">
        <v>4723</v>
      </c>
      <c r="B423" s="104" t="s">
        <v>132</v>
      </c>
      <c r="C423" s="104" t="s">
        <v>4724</v>
      </c>
      <c r="D423" s="104" t="s">
        <v>3395</v>
      </c>
      <c r="E423" s="105" t="s">
        <v>134</v>
      </c>
      <c r="F423" s="103" t="s">
        <v>9091</v>
      </c>
      <c r="G423" s="103" t="s">
        <v>9093</v>
      </c>
      <c r="H423" s="103" t="s">
        <v>10586</v>
      </c>
      <c r="I423" s="103" t="s">
        <v>10587</v>
      </c>
      <c r="J423" s="103" t="s">
        <v>10586</v>
      </c>
      <c r="K423" s="103" t="s">
        <v>8660</v>
      </c>
      <c r="L423" s="106">
        <v>3725.85</v>
      </c>
      <c r="M423" s="103" t="s">
        <v>10459</v>
      </c>
      <c r="N423" s="106">
        <v>19217627.8133322</v>
      </c>
      <c r="O423" s="103" t="s">
        <v>10588</v>
      </c>
      <c r="R423" s="58"/>
      <c r="S423" s="58"/>
      <c r="T423" s="58"/>
      <c r="U423" s="58"/>
      <c r="V423" s="58"/>
      <c r="W423" s="58"/>
      <c r="X423" s="58"/>
    </row>
    <row r="424" ht="25.5" spans="1:24">
      <c r="A424" s="103" t="s">
        <v>4201</v>
      </c>
      <c r="B424" s="104" t="s">
        <v>132</v>
      </c>
      <c r="C424" s="104" t="s">
        <v>4202</v>
      </c>
      <c r="D424" s="104" t="s">
        <v>2961</v>
      </c>
      <c r="E424" s="105" t="s">
        <v>134</v>
      </c>
      <c r="F424" s="103" t="s">
        <v>9091</v>
      </c>
      <c r="G424" s="103"/>
      <c r="H424" s="103" t="s">
        <v>10589</v>
      </c>
      <c r="I424" s="103"/>
      <c r="J424" s="103" t="s">
        <v>10589</v>
      </c>
      <c r="K424" s="103"/>
      <c r="L424" s="106">
        <v>3654.23</v>
      </c>
      <c r="M424" s="103" t="s">
        <v>10459</v>
      </c>
      <c r="N424" s="106">
        <v>19221282.0433322</v>
      </c>
      <c r="O424" s="103" t="s">
        <v>10590</v>
      </c>
      <c r="R424" s="58"/>
      <c r="S424" s="58"/>
      <c r="T424" s="58"/>
      <c r="U424" s="58"/>
      <c r="V424" s="58"/>
      <c r="W424" s="58"/>
      <c r="X424" s="58"/>
    </row>
    <row r="425" ht="38.25" spans="1:24">
      <c r="A425" s="103" t="s">
        <v>3444</v>
      </c>
      <c r="B425" s="104" t="s">
        <v>139</v>
      </c>
      <c r="C425" s="104" t="s">
        <v>3445</v>
      </c>
      <c r="D425" s="104" t="s">
        <v>2961</v>
      </c>
      <c r="E425" s="105" t="s">
        <v>204</v>
      </c>
      <c r="F425" s="103" t="s">
        <v>10591</v>
      </c>
      <c r="G425" s="103"/>
      <c r="H425" s="103" t="s">
        <v>10592</v>
      </c>
      <c r="I425" s="103"/>
      <c r="J425" s="103" t="s">
        <v>10593</v>
      </c>
      <c r="K425" s="103"/>
      <c r="L425" s="106">
        <v>3631.01657828</v>
      </c>
      <c r="M425" s="103" t="s">
        <v>10459</v>
      </c>
      <c r="N425" s="106">
        <v>19224913.0599105</v>
      </c>
      <c r="O425" s="103" t="s">
        <v>10594</v>
      </c>
      <c r="R425" s="58"/>
      <c r="S425" s="58"/>
      <c r="T425" s="58"/>
      <c r="U425" s="58"/>
      <c r="V425" s="58"/>
      <c r="W425" s="58"/>
      <c r="X425" s="58"/>
    </row>
    <row r="426" ht="25.5" spans="1:24">
      <c r="A426" s="103" t="s">
        <v>5086</v>
      </c>
      <c r="B426" s="104" t="s">
        <v>139</v>
      </c>
      <c r="C426" s="104" t="s">
        <v>5087</v>
      </c>
      <c r="D426" s="104" t="s">
        <v>2961</v>
      </c>
      <c r="E426" s="105" t="s">
        <v>393</v>
      </c>
      <c r="F426" s="103" t="s">
        <v>10595</v>
      </c>
      <c r="G426" s="103"/>
      <c r="H426" s="103" t="s">
        <v>10596</v>
      </c>
      <c r="I426" s="103"/>
      <c r="J426" s="103" t="s">
        <v>10597</v>
      </c>
      <c r="K426" s="103"/>
      <c r="L426" s="106">
        <v>3624.723</v>
      </c>
      <c r="M426" s="103" t="s">
        <v>10459</v>
      </c>
      <c r="N426" s="106">
        <v>19228537.7829105</v>
      </c>
      <c r="O426" s="103" t="s">
        <v>10598</v>
      </c>
      <c r="R426" s="58"/>
      <c r="S426" s="58"/>
      <c r="T426" s="58"/>
      <c r="U426" s="58"/>
      <c r="V426" s="58"/>
      <c r="W426" s="58"/>
      <c r="X426" s="58"/>
    </row>
    <row r="427" spans="1:24">
      <c r="A427" s="103" t="s">
        <v>5694</v>
      </c>
      <c r="B427" s="104" t="s">
        <v>139</v>
      </c>
      <c r="C427" s="104" t="s">
        <v>5695</v>
      </c>
      <c r="D427" s="104" t="s">
        <v>2896</v>
      </c>
      <c r="E427" s="105" t="s">
        <v>2897</v>
      </c>
      <c r="F427" s="103" t="s">
        <v>10599</v>
      </c>
      <c r="G427" s="103"/>
      <c r="H427" s="103" t="s">
        <v>10600</v>
      </c>
      <c r="I427" s="103"/>
      <c r="J427" s="103" t="s">
        <v>10601</v>
      </c>
      <c r="K427" s="103"/>
      <c r="L427" s="106">
        <v>3611.475219925</v>
      </c>
      <c r="M427" s="103" t="s">
        <v>10459</v>
      </c>
      <c r="N427" s="106">
        <v>19232149.2581304</v>
      </c>
      <c r="O427" s="103" t="s">
        <v>10602</v>
      </c>
      <c r="R427" s="58"/>
      <c r="S427" s="58"/>
      <c r="T427" s="58"/>
      <c r="U427" s="58"/>
      <c r="V427" s="58"/>
      <c r="W427" s="58"/>
      <c r="X427" s="58"/>
    </row>
    <row r="428" ht="25.5" spans="1:24">
      <c r="A428" s="103" t="s">
        <v>4052</v>
      </c>
      <c r="B428" s="104" t="s">
        <v>139</v>
      </c>
      <c r="C428" s="104" t="s">
        <v>4053</v>
      </c>
      <c r="D428" s="104" t="s">
        <v>2961</v>
      </c>
      <c r="E428" s="105" t="s">
        <v>134</v>
      </c>
      <c r="F428" s="103" t="s">
        <v>10603</v>
      </c>
      <c r="G428" s="103"/>
      <c r="H428" s="103" t="s">
        <v>10604</v>
      </c>
      <c r="I428" s="103"/>
      <c r="J428" s="103" t="s">
        <v>10605</v>
      </c>
      <c r="K428" s="103"/>
      <c r="L428" s="106">
        <v>3599.45</v>
      </c>
      <c r="M428" s="103" t="s">
        <v>10459</v>
      </c>
      <c r="N428" s="106">
        <v>19235748.7081304</v>
      </c>
      <c r="O428" s="103" t="s">
        <v>10606</v>
      </c>
      <c r="R428" s="58"/>
      <c r="S428" s="58"/>
      <c r="T428" s="58"/>
      <c r="U428" s="58"/>
      <c r="V428" s="58"/>
      <c r="W428" s="58"/>
      <c r="X428" s="58"/>
    </row>
    <row r="429" spans="1:24">
      <c r="A429" s="103" t="s">
        <v>5414</v>
      </c>
      <c r="B429" s="104" t="s">
        <v>139</v>
      </c>
      <c r="C429" s="104" t="s">
        <v>5415</v>
      </c>
      <c r="D429" s="104" t="s">
        <v>2896</v>
      </c>
      <c r="E429" s="105" t="s">
        <v>2897</v>
      </c>
      <c r="F429" s="103" t="s">
        <v>10607</v>
      </c>
      <c r="G429" s="103"/>
      <c r="H429" s="103" t="s">
        <v>9127</v>
      </c>
      <c r="I429" s="103"/>
      <c r="J429" s="103" t="s">
        <v>10608</v>
      </c>
      <c r="K429" s="103"/>
      <c r="L429" s="106">
        <v>3573.9318393649</v>
      </c>
      <c r="M429" s="103" t="s">
        <v>10459</v>
      </c>
      <c r="N429" s="106">
        <v>19239322.6399697</v>
      </c>
      <c r="O429" s="103" t="s">
        <v>10609</v>
      </c>
      <c r="R429" s="58"/>
      <c r="S429" s="58"/>
      <c r="T429" s="58"/>
      <c r="U429" s="58"/>
      <c r="V429" s="58"/>
      <c r="W429" s="58"/>
      <c r="X429" s="58"/>
    </row>
    <row r="430" ht="25.5" spans="1:24">
      <c r="A430" s="103" t="s">
        <v>4054</v>
      </c>
      <c r="B430" s="104" t="s">
        <v>139</v>
      </c>
      <c r="C430" s="104" t="s">
        <v>4055</v>
      </c>
      <c r="D430" s="104" t="s">
        <v>2961</v>
      </c>
      <c r="E430" s="105" t="s">
        <v>134</v>
      </c>
      <c r="F430" s="103" t="s">
        <v>10610</v>
      </c>
      <c r="G430" s="103"/>
      <c r="H430" s="103" t="s">
        <v>10611</v>
      </c>
      <c r="I430" s="103"/>
      <c r="J430" s="103" t="s">
        <v>10612</v>
      </c>
      <c r="K430" s="103"/>
      <c r="L430" s="106">
        <v>3562.125</v>
      </c>
      <c r="M430" s="103" t="s">
        <v>10459</v>
      </c>
      <c r="N430" s="106">
        <v>19242884.7649697</v>
      </c>
      <c r="O430" s="103" t="s">
        <v>10613</v>
      </c>
      <c r="R430" s="58"/>
      <c r="S430" s="58"/>
      <c r="T430" s="58"/>
      <c r="U430" s="58"/>
      <c r="V430" s="58"/>
      <c r="W430" s="58"/>
      <c r="X430" s="58"/>
    </row>
    <row r="431" ht="38.25" spans="1:24">
      <c r="A431" s="103" t="s">
        <v>3781</v>
      </c>
      <c r="B431" s="104" t="s">
        <v>139</v>
      </c>
      <c r="C431" s="104" t="s">
        <v>3782</v>
      </c>
      <c r="D431" s="104" t="s">
        <v>2961</v>
      </c>
      <c r="E431" s="105" t="s">
        <v>204</v>
      </c>
      <c r="F431" s="103" t="s">
        <v>9550</v>
      </c>
      <c r="G431" s="103"/>
      <c r="H431" s="103" t="s">
        <v>10614</v>
      </c>
      <c r="I431" s="103"/>
      <c r="J431" s="103" t="s">
        <v>10615</v>
      </c>
      <c r="K431" s="103"/>
      <c r="L431" s="106">
        <v>3552.32</v>
      </c>
      <c r="M431" s="103" t="s">
        <v>10459</v>
      </c>
      <c r="N431" s="106">
        <v>19246437.0849697</v>
      </c>
      <c r="O431" s="103" t="s">
        <v>10616</v>
      </c>
      <c r="R431" s="58"/>
      <c r="S431" s="58"/>
      <c r="T431" s="58"/>
      <c r="U431" s="58"/>
      <c r="V431" s="58"/>
      <c r="W431" s="58"/>
      <c r="X431" s="58"/>
    </row>
    <row r="432" ht="38.25" spans="1:24">
      <c r="A432" s="103" t="s">
        <v>3846</v>
      </c>
      <c r="B432" s="104" t="s">
        <v>139</v>
      </c>
      <c r="C432" s="104" t="s">
        <v>3847</v>
      </c>
      <c r="D432" s="104" t="s">
        <v>2961</v>
      </c>
      <c r="E432" s="105" t="s">
        <v>134</v>
      </c>
      <c r="F432" s="103" t="s">
        <v>10617</v>
      </c>
      <c r="G432" s="103"/>
      <c r="H432" s="103" t="s">
        <v>10618</v>
      </c>
      <c r="I432" s="103"/>
      <c r="J432" s="103" t="s">
        <v>10619</v>
      </c>
      <c r="K432" s="103"/>
      <c r="L432" s="106">
        <v>3529.72</v>
      </c>
      <c r="M432" s="103" t="s">
        <v>10459</v>
      </c>
      <c r="N432" s="106">
        <v>19249966.8049698</v>
      </c>
      <c r="O432" s="103" t="s">
        <v>10620</v>
      </c>
      <c r="R432" s="58"/>
      <c r="S432" s="58"/>
      <c r="T432" s="58"/>
      <c r="U432" s="58"/>
      <c r="V432" s="58"/>
      <c r="W432" s="58"/>
      <c r="X432" s="58"/>
    </row>
    <row r="433" ht="25.5" spans="1:24">
      <c r="A433" s="103" t="s">
        <v>3830</v>
      </c>
      <c r="B433" s="104" t="s">
        <v>77</v>
      </c>
      <c r="C433" s="104" t="s">
        <v>3831</v>
      </c>
      <c r="D433" s="104" t="s">
        <v>2896</v>
      </c>
      <c r="E433" s="105" t="s">
        <v>2897</v>
      </c>
      <c r="F433" s="103" t="s">
        <v>10621</v>
      </c>
      <c r="G433" s="103"/>
      <c r="H433" s="103" t="s">
        <v>9322</v>
      </c>
      <c r="I433" s="103"/>
      <c r="J433" s="103" t="s">
        <v>10622</v>
      </c>
      <c r="K433" s="103"/>
      <c r="L433" s="106">
        <v>3520.54618</v>
      </c>
      <c r="M433" s="103" t="s">
        <v>10459</v>
      </c>
      <c r="N433" s="106">
        <v>19253487.3511497</v>
      </c>
      <c r="O433" s="103" t="s">
        <v>10623</v>
      </c>
      <c r="R433" s="58"/>
      <c r="S433" s="58"/>
      <c r="T433" s="58"/>
      <c r="U433" s="58"/>
      <c r="V433" s="58"/>
      <c r="W433" s="58"/>
      <c r="X433" s="58"/>
    </row>
    <row r="434" spans="1:24">
      <c r="A434" s="103" t="s">
        <v>5214</v>
      </c>
      <c r="B434" s="104" t="s">
        <v>149</v>
      </c>
      <c r="C434" s="104" t="s">
        <v>5215</v>
      </c>
      <c r="D434" s="104" t="s">
        <v>2961</v>
      </c>
      <c r="E434" s="105" t="s">
        <v>134</v>
      </c>
      <c r="F434" s="103" t="s">
        <v>10624</v>
      </c>
      <c r="G434" s="103"/>
      <c r="H434" s="103" t="s">
        <v>10625</v>
      </c>
      <c r="I434" s="103"/>
      <c r="J434" s="103" t="s">
        <v>10626</v>
      </c>
      <c r="K434" s="103"/>
      <c r="L434" s="106">
        <v>3519.8061252</v>
      </c>
      <c r="M434" s="103" t="s">
        <v>10459</v>
      </c>
      <c r="N434" s="106">
        <v>19257007.157275</v>
      </c>
      <c r="O434" s="103" t="s">
        <v>10627</v>
      </c>
      <c r="R434" s="58"/>
      <c r="S434" s="58"/>
      <c r="T434" s="58"/>
      <c r="U434" s="58"/>
      <c r="V434" s="58"/>
      <c r="W434" s="58"/>
      <c r="X434" s="58"/>
    </row>
    <row r="435" ht="25.5" spans="1:24">
      <c r="A435" s="103" t="s">
        <v>4433</v>
      </c>
      <c r="B435" s="104" t="s">
        <v>149</v>
      </c>
      <c r="C435" s="104" t="s">
        <v>4434</v>
      </c>
      <c r="D435" s="104" t="s">
        <v>2961</v>
      </c>
      <c r="E435" s="105" t="s">
        <v>134</v>
      </c>
      <c r="F435" s="103" t="s">
        <v>10327</v>
      </c>
      <c r="G435" s="103"/>
      <c r="H435" s="103" t="s">
        <v>10628</v>
      </c>
      <c r="I435" s="103"/>
      <c r="J435" s="103" t="s">
        <v>10629</v>
      </c>
      <c r="K435" s="103"/>
      <c r="L435" s="106">
        <v>3508.5</v>
      </c>
      <c r="M435" s="103" t="s">
        <v>10459</v>
      </c>
      <c r="N435" s="106">
        <v>19260515.657275</v>
      </c>
      <c r="O435" s="103" t="s">
        <v>10630</v>
      </c>
      <c r="R435" s="58"/>
      <c r="S435" s="58"/>
      <c r="T435" s="58"/>
      <c r="U435" s="58"/>
      <c r="V435" s="58"/>
      <c r="W435" s="58"/>
      <c r="X435" s="58"/>
    </row>
    <row r="436" ht="25.5" spans="1:24">
      <c r="A436" s="103" t="s">
        <v>4804</v>
      </c>
      <c r="B436" s="104" t="s">
        <v>132</v>
      </c>
      <c r="C436" s="104" t="s">
        <v>4805</v>
      </c>
      <c r="D436" s="104" t="s">
        <v>2961</v>
      </c>
      <c r="E436" s="105" t="s">
        <v>134</v>
      </c>
      <c r="F436" s="103" t="s">
        <v>9152</v>
      </c>
      <c r="G436" s="103"/>
      <c r="H436" s="103" t="s">
        <v>10631</v>
      </c>
      <c r="I436" s="103"/>
      <c r="J436" s="103" t="s">
        <v>10632</v>
      </c>
      <c r="K436" s="103"/>
      <c r="L436" s="106">
        <v>3485.84</v>
      </c>
      <c r="M436" s="103" t="s">
        <v>10459</v>
      </c>
      <c r="N436" s="106">
        <v>19264001.497275</v>
      </c>
      <c r="O436" s="103" t="s">
        <v>10633</v>
      </c>
      <c r="R436" s="58"/>
      <c r="S436" s="58"/>
      <c r="T436" s="58"/>
      <c r="U436" s="58"/>
      <c r="V436" s="58"/>
      <c r="W436" s="58"/>
      <c r="X436" s="58"/>
    </row>
    <row r="437" spans="1:24">
      <c r="A437" s="103" t="s">
        <v>4991</v>
      </c>
      <c r="B437" s="104" t="s">
        <v>149</v>
      </c>
      <c r="C437" s="104" t="s">
        <v>4992</v>
      </c>
      <c r="D437" s="104" t="s">
        <v>2961</v>
      </c>
      <c r="E437" s="105" t="s">
        <v>134</v>
      </c>
      <c r="F437" s="103" t="s">
        <v>10634</v>
      </c>
      <c r="G437" s="103"/>
      <c r="H437" s="103" t="s">
        <v>10635</v>
      </c>
      <c r="I437" s="103"/>
      <c r="J437" s="103" t="s">
        <v>10636</v>
      </c>
      <c r="K437" s="103"/>
      <c r="L437" s="106">
        <v>3448.9</v>
      </c>
      <c r="M437" s="103" t="s">
        <v>10459</v>
      </c>
      <c r="N437" s="106">
        <v>19267450.3972749</v>
      </c>
      <c r="O437" s="103" t="s">
        <v>10637</v>
      </c>
      <c r="R437" s="58"/>
      <c r="S437" s="58"/>
      <c r="T437" s="58"/>
      <c r="U437" s="58"/>
      <c r="V437" s="58"/>
      <c r="W437" s="58"/>
      <c r="X437" s="58"/>
    </row>
    <row r="438" spans="1:24">
      <c r="A438" s="103" t="s">
        <v>5445</v>
      </c>
      <c r="B438" s="104" t="s">
        <v>796</v>
      </c>
      <c r="C438" s="104" t="s">
        <v>5446</v>
      </c>
      <c r="D438" s="104" t="s">
        <v>2961</v>
      </c>
      <c r="E438" s="105" t="s">
        <v>3712</v>
      </c>
      <c r="F438" s="103" t="s">
        <v>10638</v>
      </c>
      <c r="G438" s="103"/>
      <c r="H438" s="103" t="s">
        <v>6738</v>
      </c>
      <c r="I438" s="103"/>
      <c r="J438" s="103" t="s">
        <v>10639</v>
      </c>
      <c r="K438" s="103"/>
      <c r="L438" s="106">
        <v>3436.18136</v>
      </c>
      <c r="M438" s="103" t="s">
        <v>10459</v>
      </c>
      <c r="N438" s="106">
        <v>19270886.5786349</v>
      </c>
      <c r="O438" s="103" t="s">
        <v>10640</v>
      </c>
      <c r="R438" s="58"/>
      <c r="S438" s="58"/>
      <c r="T438" s="58"/>
      <c r="U438" s="58"/>
      <c r="V438" s="58"/>
      <c r="W438" s="58"/>
      <c r="X438" s="58"/>
    </row>
    <row r="439" ht="25.5" spans="1:24">
      <c r="A439" s="103" t="s">
        <v>5096</v>
      </c>
      <c r="B439" s="104" t="s">
        <v>77</v>
      </c>
      <c r="C439" s="104" t="s">
        <v>5097</v>
      </c>
      <c r="D439" s="104" t="s">
        <v>2961</v>
      </c>
      <c r="E439" s="105" t="s">
        <v>279</v>
      </c>
      <c r="F439" s="103" t="s">
        <v>10641</v>
      </c>
      <c r="G439" s="103"/>
      <c r="H439" s="103" t="s">
        <v>10642</v>
      </c>
      <c r="I439" s="103"/>
      <c r="J439" s="103" t="s">
        <v>10643</v>
      </c>
      <c r="K439" s="103"/>
      <c r="L439" s="106">
        <v>3368.7720885</v>
      </c>
      <c r="M439" s="103" t="s">
        <v>10459</v>
      </c>
      <c r="N439" s="106">
        <v>19274255.3507234</v>
      </c>
      <c r="O439" s="103" t="s">
        <v>10644</v>
      </c>
      <c r="R439" s="58"/>
      <c r="S439" s="58"/>
      <c r="T439" s="58"/>
      <c r="U439" s="58"/>
      <c r="V439" s="58"/>
      <c r="W439" s="58"/>
      <c r="X439" s="58"/>
    </row>
    <row r="440" ht="51" spans="1:24">
      <c r="A440" s="103" t="s">
        <v>4719</v>
      </c>
      <c r="B440" s="104" t="s">
        <v>132</v>
      </c>
      <c r="C440" s="104" t="s">
        <v>4720</v>
      </c>
      <c r="D440" s="104" t="s">
        <v>3395</v>
      </c>
      <c r="E440" s="105" t="s">
        <v>134</v>
      </c>
      <c r="F440" s="103" t="s">
        <v>9091</v>
      </c>
      <c r="G440" s="103" t="s">
        <v>9093</v>
      </c>
      <c r="H440" s="103" t="s">
        <v>10645</v>
      </c>
      <c r="I440" s="103" t="s">
        <v>10646</v>
      </c>
      <c r="J440" s="103" t="s">
        <v>10645</v>
      </c>
      <c r="K440" s="103" t="s">
        <v>8660</v>
      </c>
      <c r="L440" s="106">
        <v>3362.07</v>
      </c>
      <c r="M440" s="103" t="s">
        <v>10459</v>
      </c>
      <c r="N440" s="106">
        <v>19277617.4207234</v>
      </c>
      <c r="O440" s="103" t="s">
        <v>10647</v>
      </c>
      <c r="R440" s="58"/>
      <c r="S440" s="58"/>
      <c r="T440" s="58"/>
      <c r="U440" s="58"/>
      <c r="V440" s="58"/>
      <c r="W440" s="58"/>
      <c r="X440" s="58"/>
    </row>
    <row r="441" ht="25.5" spans="1:24">
      <c r="A441" s="103" t="s">
        <v>3603</v>
      </c>
      <c r="B441" s="104" t="s">
        <v>77</v>
      </c>
      <c r="C441" s="104" t="s">
        <v>3604</v>
      </c>
      <c r="D441" s="104" t="s">
        <v>2961</v>
      </c>
      <c r="E441" s="105" t="s">
        <v>141</v>
      </c>
      <c r="F441" s="103" t="s">
        <v>10648</v>
      </c>
      <c r="G441" s="103"/>
      <c r="H441" s="103" t="s">
        <v>10649</v>
      </c>
      <c r="I441" s="103"/>
      <c r="J441" s="103" t="s">
        <v>10650</v>
      </c>
      <c r="K441" s="103"/>
      <c r="L441" s="106">
        <v>3331.02</v>
      </c>
      <c r="M441" s="103" t="s">
        <v>10459</v>
      </c>
      <c r="N441" s="106">
        <v>19280948.4407234</v>
      </c>
      <c r="O441" s="103" t="s">
        <v>10651</v>
      </c>
      <c r="R441" s="58"/>
      <c r="S441" s="58"/>
      <c r="T441" s="58"/>
      <c r="U441" s="58"/>
      <c r="V441" s="58"/>
      <c r="W441" s="58"/>
      <c r="X441" s="58"/>
    </row>
    <row r="442" spans="1:24">
      <c r="A442" s="103" t="s">
        <v>3937</v>
      </c>
      <c r="B442" s="104" t="s">
        <v>77</v>
      </c>
      <c r="C442" s="104" t="s">
        <v>3938</v>
      </c>
      <c r="D442" s="104" t="s">
        <v>2961</v>
      </c>
      <c r="E442" s="105" t="s">
        <v>134</v>
      </c>
      <c r="F442" s="103" t="s">
        <v>10652</v>
      </c>
      <c r="G442" s="103"/>
      <c r="H442" s="103" t="s">
        <v>9239</v>
      </c>
      <c r="I442" s="103"/>
      <c r="J442" s="103" t="s">
        <v>10653</v>
      </c>
      <c r="K442" s="103"/>
      <c r="L442" s="106">
        <v>3326.4231</v>
      </c>
      <c r="M442" s="103" t="s">
        <v>10459</v>
      </c>
      <c r="N442" s="106">
        <v>19284274.8638234</v>
      </c>
      <c r="O442" s="103" t="s">
        <v>10654</v>
      </c>
      <c r="R442" s="58"/>
      <c r="S442" s="58"/>
      <c r="T442" s="58"/>
      <c r="U442" s="58"/>
      <c r="V442" s="58"/>
      <c r="W442" s="58"/>
      <c r="X442" s="58"/>
    </row>
    <row r="443" ht="38.25" spans="1:24">
      <c r="A443" s="103" t="s">
        <v>3023</v>
      </c>
      <c r="B443" s="104" t="s">
        <v>139</v>
      </c>
      <c r="C443" s="104" t="s">
        <v>3024</v>
      </c>
      <c r="D443" s="104" t="s">
        <v>2961</v>
      </c>
      <c r="E443" s="105" t="s">
        <v>141</v>
      </c>
      <c r="F443" s="103" t="s">
        <v>10655</v>
      </c>
      <c r="G443" s="103"/>
      <c r="H443" s="103" t="s">
        <v>10656</v>
      </c>
      <c r="I443" s="103"/>
      <c r="J443" s="103" t="s">
        <v>10657</v>
      </c>
      <c r="K443" s="103"/>
      <c r="L443" s="106">
        <v>3315.96573803616</v>
      </c>
      <c r="M443" s="103" t="s">
        <v>10459</v>
      </c>
      <c r="N443" s="106">
        <v>19287590.8295615</v>
      </c>
      <c r="O443" s="103" t="s">
        <v>10658</v>
      </c>
      <c r="R443" s="58"/>
      <c r="S443" s="58"/>
      <c r="T443" s="58"/>
      <c r="U443" s="58"/>
      <c r="V443" s="58"/>
      <c r="W443" s="58"/>
      <c r="X443" s="58"/>
    </row>
    <row r="444" ht="25.5" spans="1:24">
      <c r="A444" s="103" t="s">
        <v>3009</v>
      </c>
      <c r="B444" s="104" t="s">
        <v>139</v>
      </c>
      <c r="C444" s="104" t="s">
        <v>3010</v>
      </c>
      <c r="D444" s="104" t="s">
        <v>2961</v>
      </c>
      <c r="E444" s="105" t="s">
        <v>204</v>
      </c>
      <c r="F444" s="103" t="s">
        <v>10659</v>
      </c>
      <c r="G444" s="103"/>
      <c r="H444" s="103" t="s">
        <v>10660</v>
      </c>
      <c r="I444" s="103"/>
      <c r="J444" s="103" t="s">
        <v>10661</v>
      </c>
      <c r="K444" s="103"/>
      <c r="L444" s="106">
        <v>3302.58832827</v>
      </c>
      <c r="M444" s="103" t="s">
        <v>10459</v>
      </c>
      <c r="N444" s="106">
        <v>19290893.4178898</v>
      </c>
      <c r="O444" s="103" t="s">
        <v>10662</v>
      </c>
      <c r="R444" s="58"/>
      <c r="S444" s="58"/>
      <c r="T444" s="58"/>
      <c r="U444" s="58"/>
      <c r="V444" s="58"/>
      <c r="W444" s="58"/>
      <c r="X444" s="58"/>
    </row>
    <row r="445" ht="25.5" spans="1:24">
      <c r="A445" s="103" t="s">
        <v>5178</v>
      </c>
      <c r="B445" s="104" t="s">
        <v>139</v>
      </c>
      <c r="C445" s="104" t="s">
        <v>5179</v>
      </c>
      <c r="D445" s="104" t="s">
        <v>2961</v>
      </c>
      <c r="E445" s="105" t="s">
        <v>393</v>
      </c>
      <c r="F445" s="103" t="s">
        <v>10663</v>
      </c>
      <c r="G445" s="103"/>
      <c r="H445" s="103" t="s">
        <v>8705</v>
      </c>
      <c r="I445" s="103"/>
      <c r="J445" s="103" t="s">
        <v>10664</v>
      </c>
      <c r="K445" s="103"/>
      <c r="L445" s="106">
        <v>3275.6823895</v>
      </c>
      <c r="M445" s="103" t="s">
        <v>10459</v>
      </c>
      <c r="N445" s="106">
        <v>19294169.1002793</v>
      </c>
      <c r="O445" s="103" t="s">
        <v>10665</v>
      </c>
      <c r="R445" s="58"/>
      <c r="S445" s="58"/>
      <c r="T445" s="58"/>
      <c r="U445" s="58"/>
      <c r="V445" s="58"/>
      <c r="W445" s="58"/>
      <c r="X445" s="58"/>
    </row>
    <row r="446" ht="25.5" spans="1:24">
      <c r="A446" s="103" t="s">
        <v>5838</v>
      </c>
      <c r="B446" s="104" t="s">
        <v>77</v>
      </c>
      <c r="C446" s="104" t="s">
        <v>5839</v>
      </c>
      <c r="D446" s="104" t="s">
        <v>2961</v>
      </c>
      <c r="E446" s="105" t="s">
        <v>134</v>
      </c>
      <c r="F446" s="103" t="s">
        <v>10666</v>
      </c>
      <c r="G446" s="103"/>
      <c r="H446" s="103" t="s">
        <v>10667</v>
      </c>
      <c r="I446" s="103"/>
      <c r="J446" s="103" t="s">
        <v>10668</v>
      </c>
      <c r="K446" s="103"/>
      <c r="L446" s="106">
        <v>3253.824</v>
      </c>
      <c r="M446" s="103" t="s">
        <v>10459</v>
      </c>
      <c r="N446" s="106">
        <v>19297422.9242793</v>
      </c>
      <c r="O446" s="103" t="s">
        <v>10669</v>
      </c>
      <c r="R446" s="58"/>
      <c r="S446" s="58"/>
      <c r="T446" s="58"/>
      <c r="U446" s="58"/>
      <c r="V446" s="58"/>
      <c r="W446" s="58"/>
      <c r="X446" s="58"/>
    </row>
    <row r="447" ht="51" spans="1:24">
      <c r="A447" s="103" t="s">
        <v>6068</v>
      </c>
      <c r="B447" s="104" t="s">
        <v>139</v>
      </c>
      <c r="C447" s="104" t="s">
        <v>6069</v>
      </c>
      <c r="D447" s="104" t="s">
        <v>2961</v>
      </c>
      <c r="E447" s="105" t="s">
        <v>204</v>
      </c>
      <c r="F447" s="103" t="s">
        <v>10106</v>
      </c>
      <c r="G447" s="103"/>
      <c r="H447" s="103" t="s">
        <v>10670</v>
      </c>
      <c r="I447" s="103"/>
      <c r="J447" s="103" t="s">
        <v>10671</v>
      </c>
      <c r="K447" s="103"/>
      <c r="L447" s="106">
        <v>3230.481638538</v>
      </c>
      <c r="M447" s="103" t="s">
        <v>10459</v>
      </c>
      <c r="N447" s="106">
        <v>19300653.4059178</v>
      </c>
      <c r="O447" s="103" t="s">
        <v>10672</v>
      </c>
      <c r="R447" s="58"/>
      <c r="S447" s="58"/>
      <c r="T447" s="58"/>
      <c r="U447" s="58"/>
      <c r="V447" s="58"/>
      <c r="W447" s="58"/>
      <c r="X447" s="58"/>
    </row>
    <row r="448" ht="25.5" spans="1:24">
      <c r="A448" s="103" t="s">
        <v>5110</v>
      </c>
      <c r="B448" s="104" t="s">
        <v>149</v>
      </c>
      <c r="C448" s="104" t="s">
        <v>5111</v>
      </c>
      <c r="D448" s="104" t="s">
        <v>2961</v>
      </c>
      <c r="E448" s="105" t="s">
        <v>141</v>
      </c>
      <c r="F448" s="103" t="s">
        <v>10673</v>
      </c>
      <c r="G448" s="103"/>
      <c r="H448" s="103" t="s">
        <v>10674</v>
      </c>
      <c r="I448" s="103"/>
      <c r="J448" s="103" t="s">
        <v>10675</v>
      </c>
      <c r="K448" s="103"/>
      <c r="L448" s="106">
        <v>3226.0338</v>
      </c>
      <c r="M448" s="103" t="s">
        <v>10459</v>
      </c>
      <c r="N448" s="106">
        <v>19303879.4397178</v>
      </c>
      <c r="O448" s="103" t="s">
        <v>10676</v>
      </c>
      <c r="R448" s="58"/>
      <c r="S448" s="58"/>
      <c r="T448" s="58"/>
      <c r="U448" s="58"/>
      <c r="V448" s="58"/>
      <c r="W448" s="58"/>
      <c r="X448" s="58"/>
    </row>
    <row r="449" spans="1:24">
      <c r="A449" s="103" t="s">
        <v>5434</v>
      </c>
      <c r="B449" s="104" t="s">
        <v>139</v>
      </c>
      <c r="C449" s="104" t="s">
        <v>5435</v>
      </c>
      <c r="D449" s="104" t="s">
        <v>2896</v>
      </c>
      <c r="E449" s="105" t="s">
        <v>2897</v>
      </c>
      <c r="F449" s="103" t="s">
        <v>10677</v>
      </c>
      <c r="G449" s="103"/>
      <c r="H449" s="103" t="s">
        <v>10678</v>
      </c>
      <c r="I449" s="103"/>
      <c r="J449" s="103" t="s">
        <v>10679</v>
      </c>
      <c r="K449" s="103"/>
      <c r="L449" s="106">
        <v>3224.55121841341</v>
      </c>
      <c r="M449" s="103" t="s">
        <v>10459</v>
      </c>
      <c r="N449" s="106">
        <v>19307103.9909362</v>
      </c>
      <c r="O449" s="103" t="s">
        <v>10680</v>
      </c>
      <c r="R449" s="58"/>
      <c r="S449" s="58"/>
      <c r="T449" s="58"/>
      <c r="U449" s="58"/>
      <c r="V449" s="58"/>
      <c r="W449" s="58"/>
      <c r="X449" s="58"/>
    </row>
    <row r="450" spans="1:24">
      <c r="A450" s="103" t="s">
        <v>2990</v>
      </c>
      <c r="B450" s="104" t="s">
        <v>149</v>
      </c>
      <c r="C450" s="104" t="s">
        <v>2991</v>
      </c>
      <c r="D450" s="104" t="s">
        <v>2896</v>
      </c>
      <c r="E450" s="105" t="s">
        <v>2897</v>
      </c>
      <c r="F450" s="103" t="s">
        <v>10681</v>
      </c>
      <c r="G450" s="103"/>
      <c r="H450" s="103" t="s">
        <v>9460</v>
      </c>
      <c r="I450" s="103"/>
      <c r="J450" s="103" t="s">
        <v>10682</v>
      </c>
      <c r="K450" s="103"/>
      <c r="L450" s="106">
        <v>3209.07635138304</v>
      </c>
      <c r="M450" s="103" t="s">
        <v>10459</v>
      </c>
      <c r="N450" s="106">
        <v>19310313.0672876</v>
      </c>
      <c r="O450" s="103" t="s">
        <v>10683</v>
      </c>
      <c r="R450" s="58"/>
      <c r="S450" s="58"/>
      <c r="T450" s="58"/>
      <c r="U450" s="58"/>
      <c r="V450" s="58"/>
      <c r="W450" s="58"/>
      <c r="X450" s="58"/>
    </row>
    <row r="451" ht="25.5" spans="1:24">
      <c r="A451" s="103" t="s">
        <v>3820</v>
      </c>
      <c r="B451" s="104" t="s">
        <v>139</v>
      </c>
      <c r="C451" s="104" t="s">
        <v>3821</v>
      </c>
      <c r="D451" s="104" t="s">
        <v>2961</v>
      </c>
      <c r="E451" s="105" t="s">
        <v>134</v>
      </c>
      <c r="F451" s="103" t="s">
        <v>10388</v>
      </c>
      <c r="G451" s="103"/>
      <c r="H451" s="103" t="s">
        <v>10684</v>
      </c>
      <c r="I451" s="103"/>
      <c r="J451" s="103" t="s">
        <v>10685</v>
      </c>
      <c r="K451" s="103"/>
      <c r="L451" s="106">
        <v>3206.88</v>
      </c>
      <c r="M451" s="103" t="s">
        <v>10459</v>
      </c>
      <c r="N451" s="106">
        <v>19313519.9472876</v>
      </c>
      <c r="O451" s="103" t="s">
        <v>10686</v>
      </c>
      <c r="R451" s="58"/>
      <c r="S451" s="58"/>
      <c r="T451" s="58"/>
      <c r="U451" s="58"/>
      <c r="V451" s="58"/>
      <c r="W451" s="58"/>
      <c r="X451" s="58"/>
    </row>
    <row r="452" ht="25.5" spans="1:24">
      <c r="A452" s="103" t="s">
        <v>4651</v>
      </c>
      <c r="B452" s="104" t="s">
        <v>132</v>
      </c>
      <c r="C452" s="104" t="s">
        <v>1967</v>
      </c>
      <c r="D452" s="104" t="s">
        <v>3395</v>
      </c>
      <c r="E452" s="105" t="s">
        <v>134</v>
      </c>
      <c r="F452" s="103" t="s">
        <v>9091</v>
      </c>
      <c r="G452" s="103" t="s">
        <v>9093</v>
      </c>
      <c r="H452" s="103" t="s">
        <v>10687</v>
      </c>
      <c r="I452" s="103" t="s">
        <v>10688</v>
      </c>
      <c r="J452" s="103" t="s">
        <v>10687</v>
      </c>
      <c r="K452" s="103" t="s">
        <v>8660</v>
      </c>
      <c r="L452" s="106">
        <v>3195.08</v>
      </c>
      <c r="M452" s="103" t="s">
        <v>10459</v>
      </c>
      <c r="N452" s="106">
        <v>19316715.0272876</v>
      </c>
      <c r="O452" s="103" t="s">
        <v>10689</v>
      </c>
      <c r="R452" s="58"/>
      <c r="S452" s="58"/>
      <c r="T452" s="58"/>
      <c r="U452" s="58"/>
      <c r="V452" s="58"/>
      <c r="W452" s="58"/>
      <c r="X452" s="58"/>
    </row>
    <row r="453" ht="38.25" spans="1:24">
      <c r="A453" s="103" t="s">
        <v>4292</v>
      </c>
      <c r="B453" s="104" t="s">
        <v>149</v>
      </c>
      <c r="C453" s="104" t="s">
        <v>4293</v>
      </c>
      <c r="D453" s="104" t="s">
        <v>2961</v>
      </c>
      <c r="E453" s="105" t="s">
        <v>134</v>
      </c>
      <c r="F453" s="103" t="s">
        <v>10582</v>
      </c>
      <c r="G453" s="103"/>
      <c r="H453" s="103" t="s">
        <v>10690</v>
      </c>
      <c r="I453" s="103"/>
      <c r="J453" s="103" t="s">
        <v>10691</v>
      </c>
      <c r="K453" s="103"/>
      <c r="L453" s="106">
        <v>3128.4</v>
      </c>
      <c r="M453" s="103" t="s">
        <v>10459</v>
      </c>
      <c r="N453" s="106">
        <v>19319843.4272876</v>
      </c>
      <c r="O453" s="103" t="s">
        <v>10692</v>
      </c>
      <c r="R453" s="58"/>
      <c r="S453" s="58"/>
      <c r="T453" s="58"/>
      <c r="U453" s="58"/>
      <c r="V453" s="58"/>
      <c r="W453" s="58"/>
      <c r="X453" s="58"/>
    </row>
    <row r="454" spans="1:24">
      <c r="A454" s="103" t="s">
        <v>5135</v>
      </c>
      <c r="B454" s="104" t="s">
        <v>139</v>
      </c>
      <c r="C454" s="104" t="s">
        <v>5136</v>
      </c>
      <c r="D454" s="104" t="s">
        <v>2961</v>
      </c>
      <c r="E454" s="105" t="s">
        <v>393</v>
      </c>
      <c r="F454" s="103" t="s">
        <v>10693</v>
      </c>
      <c r="G454" s="103"/>
      <c r="H454" s="103" t="s">
        <v>9610</v>
      </c>
      <c r="I454" s="103"/>
      <c r="J454" s="103" t="s">
        <v>10694</v>
      </c>
      <c r="K454" s="103"/>
      <c r="L454" s="106">
        <v>3074.410062</v>
      </c>
      <c r="M454" s="103" t="s">
        <v>10459</v>
      </c>
      <c r="N454" s="106">
        <v>19322917.8373496</v>
      </c>
      <c r="O454" s="103" t="s">
        <v>10695</v>
      </c>
      <c r="R454" s="58"/>
      <c r="S454" s="58"/>
      <c r="T454" s="58"/>
      <c r="U454" s="58"/>
      <c r="V454" s="58"/>
      <c r="W454" s="58"/>
      <c r="X454" s="58"/>
    </row>
    <row r="455" ht="38.25" spans="1:24">
      <c r="A455" s="103" t="s">
        <v>6058</v>
      </c>
      <c r="B455" s="104" t="s">
        <v>139</v>
      </c>
      <c r="C455" s="104" t="s">
        <v>6059</v>
      </c>
      <c r="D455" s="104" t="s">
        <v>2961</v>
      </c>
      <c r="E455" s="105" t="s">
        <v>204</v>
      </c>
      <c r="F455" s="103" t="s">
        <v>10696</v>
      </c>
      <c r="G455" s="103"/>
      <c r="H455" s="103" t="s">
        <v>10047</v>
      </c>
      <c r="I455" s="103"/>
      <c r="J455" s="103" t="s">
        <v>10697</v>
      </c>
      <c r="K455" s="103"/>
      <c r="L455" s="106">
        <v>3060.8173656</v>
      </c>
      <c r="M455" s="103" t="s">
        <v>10459</v>
      </c>
      <c r="N455" s="106">
        <v>19325978.6547152</v>
      </c>
      <c r="O455" s="103" t="s">
        <v>10698</v>
      </c>
      <c r="R455" s="58"/>
      <c r="S455" s="58"/>
      <c r="T455" s="58"/>
      <c r="U455" s="58"/>
      <c r="V455" s="58"/>
      <c r="W455" s="58"/>
      <c r="X455" s="58"/>
    </row>
    <row r="456" ht="51" spans="1:24">
      <c r="A456" s="103" t="s">
        <v>4737</v>
      </c>
      <c r="B456" s="104" t="s">
        <v>132</v>
      </c>
      <c r="C456" s="104" t="s">
        <v>4738</v>
      </c>
      <c r="D456" s="104" t="s">
        <v>3395</v>
      </c>
      <c r="E456" s="105" t="s">
        <v>134</v>
      </c>
      <c r="F456" s="103" t="s">
        <v>9091</v>
      </c>
      <c r="G456" s="103" t="s">
        <v>9093</v>
      </c>
      <c r="H456" s="103" t="s">
        <v>10699</v>
      </c>
      <c r="I456" s="103" t="s">
        <v>10700</v>
      </c>
      <c r="J456" s="103" t="s">
        <v>10699</v>
      </c>
      <c r="K456" s="103" t="s">
        <v>8660</v>
      </c>
      <c r="L456" s="106">
        <v>3025.9</v>
      </c>
      <c r="M456" s="103" t="s">
        <v>10459</v>
      </c>
      <c r="N456" s="106">
        <v>19329004.5547152</v>
      </c>
      <c r="O456" s="103" t="s">
        <v>10701</v>
      </c>
      <c r="R456" s="58"/>
      <c r="S456" s="58"/>
      <c r="T456" s="58"/>
      <c r="U456" s="58"/>
      <c r="V456" s="58"/>
      <c r="W456" s="58"/>
      <c r="X456" s="58"/>
    </row>
    <row r="457" ht="38.25" spans="1:24">
      <c r="A457" s="103" t="s">
        <v>3121</v>
      </c>
      <c r="B457" s="104" t="s">
        <v>139</v>
      </c>
      <c r="C457" s="104" t="s">
        <v>3122</v>
      </c>
      <c r="D457" s="104" t="s">
        <v>2961</v>
      </c>
      <c r="E457" s="105" t="s">
        <v>204</v>
      </c>
      <c r="F457" s="103" t="s">
        <v>10702</v>
      </c>
      <c r="G457" s="103"/>
      <c r="H457" s="103" t="s">
        <v>10703</v>
      </c>
      <c r="I457" s="103"/>
      <c r="J457" s="103" t="s">
        <v>10704</v>
      </c>
      <c r="K457" s="103"/>
      <c r="L457" s="106">
        <v>3020.394645</v>
      </c>
      <c r="M457" s="103" t="s">
        <v>10459</v>
      </c>
      <c r="N457" s="106">
        <v>19332024.9493602</v>
      </c>
      <c r="O457" s="103" t="s">
        <v>10705</v>
      </c>
      <c r="R457" s="58"/>
      <c r="S457" s="58"/>
      <c r="T457" s="58"/>
      <c r="U457" s="58"/>
      <c r="V457" s="58"/>
      <c r="W457" s="58"/>
      <c r="X457" s="58"/>
    </row>
    <row r="458" ht="25.5" spans="1:24">
      <c r="A458" s="103" t="s">
        <v>4896</v>
      </c>
      <c r="B458" s="104" t="s">
        <v>149</v>
      </c>
      <c r="C458" s="104" t="s">
        <v>4897</v>
      </c>
      <c r="D458" s="104" t="s">
        <v>2961</v>
      </c>
      <c r="E458" s="105" t="s">
        <v>204</v>
      </c>
      <c r="F458" s="103" t="s">
        <v>10706</v>
      </c>
      <c r="G458" s="103"/>
      <c r="H458" s="103" t="s">
        <v>10707</v>
      </c>
      <c r="I458" s="103"/>
      <c r="J458" s="103" t="s">
        <v>10708</v>
      </c>
      <c r="K458" s="103"/>
      <c r="L458" s="106">
        <v>3019.527</v>
      </c>
      <c r="M458" s="103" t="s">
        <v>10459</v>
      </c>
      <c r="N458" s="106">
        <v>19335044.4763602</v>
      </c>
      <c r="O458" s="103" t="s">
        <v>10709</v>
      </c>
      <c r="R458" s="58"/>
      <c r="S458" s="58"/>
      <c r="T458" s="58"/>
      <c r="U458" s="58"/>
      <c r="V458" s="58"/>
      <c r="W458" s="58"/>
      <c r="X458" s="58"/>
    </row>
    <row r="459" ht="25.5" spans="1:24">
      <c r="A459" s="103" t="s">
        <v>4634</v>
      </c>
      <c r="B459" s="104" t="s">
        <v>149</v>
      </c>
      <c r="C459" s="104" t="s">
        <v>4635</v>
      </c>
      <c r="D459" s="104" t="s">
        <v>2961</v>
      </c>
      <c r="E459" s="105" t="s">
        <v>134</v>
      </c>
      <c r="F459" s="103" t="s">
        <v>9091</v>
      </c>
      <c r="G459" s="103"/>
      <c r="H459" s="103" t="s">
        <v>10710</v>
      </c>
      <c r="I459" s="103"/>
      <c r="J459" s="103" t="s">
        <v>10710</v>
      </c>
      <c r="K459" s="103"/>
      <c r="L459" s="106">
        <v>3013.98</v>
      </c>
      <c r="M459" s="103" t="s">
        <v>10459</v>
      </c>
      <c r="N459" s="106">
        <v>19338058.4563602</v>
      </c>
      <c r="O459" s="103" t="s">
        <v>10711</v>
      </c>
      <c r="R459" s="58"/>
      <c r="S459" s="58"/>
      <c r="T459" s="58"/>
      <c r="U459" s="58"/>
      <c r="V459" s="58"/>
      <c r="W459" s="58"/>
      <c r="X459" s="58"/>
    </row>
    <row r="460" ht="25.5" spans="1:24">
      <c r="A460" s="103" t="s">
        <v>4390</v>
      </c>
      <c r="B460" s="104" t="s">
        <v>132</v>
      </c>
      <c r="C460" s="104" t="s">
        <v>1584</v>
      </c>
      <c r="D460" s="104" t="s">
        <v>2961</v>
      </c>
      <c r="E460" s="105" t="s">
        <v>134</v>
      </c>
      <c r="F460" s="103" t="s">
        <v>10712</v>
      </c>
      <c r="G460" s="103"/>
      <c r="H460" s="103" t="s">
        <v>7374</v>
      </c>
      <c r="I460" s="103"/>
      <c r="J460" s="103" t="s">
        <v>10713</v>
      </c>
      <c r="K460" s="103"/>
      <c r="L460" s="106">
        <v>3000.84</v>
      </c>
      <c r="M460" s="103" t="s">
        <v>10459</v>
      </c>
      <c r="N460" s="106">
        <v>19341059.2963602</v>
      </c>
      <c r="O460" s="103" t="s">
        <v>10714</v>
      </c>
      <c r="R460" s="58"/>
      <c r="S460" s="58"/>
      <c r="T460" s="58"/>
      <c r="U460" s="58"/>
      <c r="V460" s="58"/>
      <c r="W460" s="58"/>
      <c r="X460" s="58"/>
    </row>
    <row r="461" ht="25.5" spans="1:24">
      <c r="A461" s="103" t="s">
        <v>6022</v>
      </c>
      <c r="B461" s="104" t="s">
        <v>139</v>
      </c>
      <c r="C461" s="104" t="s">
        <v>6023</v>
      </c>
      <c r="D461" s="104" t="s">
        <v>2961</v>
      </c>
      <c r="E461" s="105" t="s">
        <v>134</v>
      </c>
      <c r="F461" s="103" t="s">
        <v>10715</v>
      </c>
      <c r="G461" s="103"/>
      <c r="H461" s="103" t="s">
        <v>10716</v>
      </c>
      <c r="I461" s="103"/>
      <c r="J461" s="103" t="s">
        <v>10717</v>
      </c>
      <c r="K461" s="103"/>
      <c r="L461" s="106">
        <v>2998.94994</v>
      </c>
      <c r="M461" s="103" t="s">
        <v>10459</v>
      </c>
      <c r="N461" s="106">
        <v>19344058.2463002</v>
      </c>
      <c r="O461" s="103" t="s">
        <v>10718</v>
      </c>
      <c r="R461" s="58"/>
      <c r="S461" s="58"/>
      <c r="T461" s="58"/>
      <c r="U461" s="58"/>
      <c r="V461" s="58"/>
      <c r="W461" s="58"/>
      <c r="X461" s="58"/>
    </row>
    <row r="462" ht="25.5" spans="1:24">
      <c r="A462" s="103" t="s">
        <v>4475</v>
      </c>
      <c r="B462" s="104" t="s">
        <v>77</v>
      </c>
      <c r="C462" s="104" t="s">
        <v>4476</v>
      </c>
      <c r="D462" s="104" t="s">
        <v>2961</v>
      </c>
      <c r="E462" s="105" t="s">
        <v>134</v>
      </c>
      <c r="F462" s="103" t="s">
        <v>10719</v>
      </c>
      <c r="G462" s="103"/>
      <c r="H462" s="103" t="s">
        <v>10720</v>
      </c>
      <c r="I462" s="103"/>
      <c r="J462" s="103" t="s">
        <v>10721</v>
      </c>
      <c r="K462" s="103"/>
      <c r="L462" s="106">
        <v>2986.25184</v>
      </c>
      <c r="M462" s="103" t="s">
        <v>10722</v>
      </c>
      <c r="N462" s="106">
        <v>19347044.4981402</v>
      </c>
      <c r="O462" s="103" t="s">
        <v>10723</v>
      </c>
      <c r="R462" s="58"/>
      <c r="S462" s="58"/>
      <c r="T462" s="58"/>
      <c r="U462" s="58"/>
      <c r="V462" s="58"/>
      <c r="W462" s="58"/>
      <c r="X462" s="58"/>
    </row>
    <row r="463" ht="25.5" spans="1:24">
      <c r="A463" s="103" t="s">
        <v>4403</v>
      </c>
      <c r="B463" s="104" t="s">
        <v>149</v>
      </c>
      <c r="C463" s="104" t="s">
        <v>4404</v>
      </c>
      <c r="D463" s="104" t="s">
        <v>2961</v>
      </c>
      <c r="E463" s="105" t="s">
        <v>134</v>
      </c>
      <c r="F463" s="103" t="s">
        <v>10724</v>
      </c>
      <c r="G463" s="103"/>
      <c r="H463" s="103" t="s">
        <v>10725</v>
      </c>
      <c r="I463" s="103"/>
      <c r="J463" s="103" t="s">
        <v>10726</v>
      </c>
      <c r="K463" s="103"/>
      <c r="L463" s="106">
        <v>2961</v>
      </c>
      <c r="M463" s="103" t="s">
        <v>10722</v>
      </c>
      <c r="N463" s="106">
        <v>19350005.4981402</v>
      </c>
      <c r="O463" s="103" t="s">
        <v>10727</v>
      </c>
      <c r="R463" s="58"/>
      <c r="S463" s="58"/>
      <c r="T463" s="58"/>
      <c r="U463" s="58"/>
      <c r="V463" s="58"/>
      <c r="W463" s="58"/>
      <c r="X463" s="58"/>
    </row>
    <row r="464" ht="38.25" spans="1:24">
      <c r="A464" s="103" t="s">
        <v>4081</v>
      </c>
      <c r="B464" s="104" t="s">
        <v>77</v>
      </c>
      <c r="C464" s="104" t="s">
        <v>4082</v>
      </c>
      <c r="D464" s="104" t="s">
        <v>2961</v>
      </c>
      <c r="E464" s="105" t="s">
        <v>134</v>
      </c>
      <c r="F464" s="103" t="s">
        <v>10728</v>
      </c>
      <c r="G464" s="103"/>
      <c r="H464" s="103" t="s">
        <v>10729</v>
      </c>
      <c r="I464" s="103"/>
      <c r="J464" s="103" t="s">
        <v>10730</v>
      </c>
      <c r="K464" s="103"/>
      <c r="L464" s="106">
        <v>2951.2575</v>
      </c>
      <c r="M464" s="103" t="s">
        <v>10722</v>
      </c>
      <c r="N464" s="106">
        <v>19352956.7556402</v>
      </c>
      <c r="O464" s="103" t="s">
        <v>10731</v>
      </c>
      <c r="R464" s="58"/>
      <c r="S464" s="58"/>
      <c r="T464" s="58"/>
      <c r="U464" s="58"/>
      <c r="V464" s="58"/>
      <c r="W464" s="58"/>
      <c r="X464" s="58"/>
    </row>
    <row r="465" ht="38.25" spans="1:24">
      <c r="A465" s="103" t="s">
        <v>3850</v>
      </c>
      <c r="B465" s="104" t="s">
        <v>139</v>
      </c>
      <c r="C465" s="104" t="s">
        <v>3851</v>
      </c>
      <c r="D465" s="104" t="s">
        <v>2961</v>
      </c>
      <c r="E465" s="105" t="s">
        <v>134</v>
      </c>
      <c r="F465" s="103" t="s">
        <v>10461</v>
      </c>
      <c r="G465" s="103"/>
      <c r="H465" s="103" t="s">
        <v>10732</v>
      </c>
      <c r="I465" s="103"/>
      <c r="J465" s="103" t="s">
        <v>10733</v>
      </c>
      <c r="K465" s="103"/>
      <c r="L465" s="106">
        <v>2941.9</v>
      </c>
      <c r="M465" s="103" t="s">
        <v>10722</v>
      </c>
      <c r="N465" s="106">
        <v>19355898.6556402</v>
      </c>
      <c r="O465" s="103" t="s">
        <v>10734</v>
      </c>
      <c r="R465" s="58"/>
      <c r="S465" s="58"/>
      <c r="T465" s="58"/>
      <c r="U465" s="58"/>
      <c r="V465" s="58"/>
      <c r="W465" s="58"/>
      <c r="X465" s="58"/>
    </row>
    <row r="466" ht="38.25" spans="1:24">
      <c r="A466" s="103" t="s">
        <v>4411</v>
      </c>
      <c r="B466" s="104" t="s">
        <v>139</v>
      </c>
      <c r="C466" s="104" t="s">
        <v>4412</v>
      </c>
      <c r="D466" s="104" t="s">
        <v>2961</v>
      </c>
      <c r="E466" s="105" t="s">
        <v>134</v>
      </c>
      <c r="F466" s="103" t="s">
        <v>10735</v>
      </c>
      <c r="G466" s="103"/>
      <c r="H466" s="103" t="s">
        <v>10736</v>
      </c>
      <c r="I466" s="103"/>
      <c r="J466" s="103" t="s">
        <v>10737</v>
      </c>
      <c r="K466" s="103"/>
      <c r="L466" s="106">
        <v>2908.71</v>
      </c>
      <c r="M466" s="103" t="s">
        <v>10722</v>
      </c>
      <c r="N466" s="106">
        <v>19358807.3656402</v>
      </c>
      <c r="O466" s="103" t="s">
        <v>10738</v>
      </c>
      <c r="R466" s="58"/>
      <c r="S466" s="58"/>
      <c r="T466" s="58"/>
      <c r="U466" s="58"/>
      <c r="V466" s="58"/>
      <c r="W466" s="58"/>
      <c r="X466" s="58"/>
    </row>
    <row r="467" ht="25.5" spans="1:24">
      <c r="A467" s="103" t="s">
        <v>4401</v>
      </c>
      <c r="B467" s="104" t="s">
        <v>77</v>
      </c>
      <c r="C467" s="104" t="s">
        <v>4402</v>
      </c>
      <c r="D467" s="104" t="s">
        <v>2961</v>
      </c>
      <c r="E467" s="105" t="s">
        <v>134</v>
      </c>
      <c r="F467" s="103" t="s">
        <v>10739</v>
      </c>
      <c r="G467" s="103"/>
      <c r="H467" s="103" t="s">
        <v>10740</v>
      </c>
      <c r="I467" s="103"/>
      <c r="J467" s="103" t="s">
        <v>8193</v>
      </c>
      <c r="K467" s="103"/>
      <c r="L467" s="106">
        <v>2882.88</v>
      </c>
      <c r="M467" s="103" t="s">
        <v>10722</v>
      </c>
      <c r="N467" s="106">
        <v>19361690.2456402</v>
      </c>
      <c r="O467" s="103" t="s">
        <v>10741</v>
      </c>
      <c r="R467" s="58"/>
      <c r="S467" s="58"/>
      <c r="T467" s="58"/>
      <c r="U467" s="58"/>
      <c r="V467" s="58"/>
      <c r="W467" s="58"/>
      <c r="X467" s="58"/>
    </row>
    <row r="468" ht="51" spans="1:24">
      <c r="A468" s="103" t="s">
        <v>6054</v>
      </c>
      <c r="B468" s="104" t="s">
        <v>139</v>
      </c>
      <c r="C468" s="104" t="s">
        <v>6055</v>
      </c>
      <c r="D468" s="104" t="s">
        <v>2961</v>
      </c>
      <c r="E468" s="105" t="s">
        <v>204</v>
      </c>
      <c r="F468" s="103" t="s">
        <v>10742</v>
      </c>
      <c r="G468" s="103"/>
      <c r="H468" s="103" t="s">
        <v>10743</v>
      </c>
      <c r="I468" s="103"/>
      <c r="J468" s="103" t="s">
        <v>10744</v>
      </c>
      <c r="K468" s="103"/>
      <c r="L468" s="106">
        <v>2881.95264</v>
      </c>
      <c r="M468" s="103" t="s">
        <v>10722</v>
      </c>
      <c r="N468" s="106">
        <v>19364572.1982802</v>
      </c>
      <c r="O468" s="103" t="s">
        <v>10745</v>
      </c>
      <c r="R468" s="58"/>
      <c r="S468" s="58"/>
      <c r="T468" s="58"/>
      <c r="U468" s="58"/>
      <c r="V468" s="58"/>
      <c r="W468" s="58"/>
      <c r="X468" s="58"/>
    </row>
    <row r="469" ht="25.5" spans="1:24">
      <c r="A469" s="103" t="s">
        <v>5203</v>
      </c>
      <c r="B469" s="104" t="s">
        <v>139</v>
      </c>
      <c r="C469" s="104" t="s">
        <v>5204</v>
      </c>
      <c r="D469" s="104" t="s">
        <v>2961</v>
      </c>
      <c r="E469" s="105" t="s">
        <v>393</v>
      </c>
      <c r="F469" s="103" t="s">
        <v>10746</v>
      </c>
      <c r="G469" s="103"/>
      <c r="H469" s="103" t="s">
        <v>10747</v>
      </c>
      <c r="I469" s="103"/>
      <c r="J469" s="103" t="s">
        <v>10748</v>
      </c>
      <c r="K469" s="103"/>
      <c r="L469" s="106">
        <v>2875.33174923</v>
      </c>
      <c r="M469" s="103" t="s">
        <v>10722</v>
      </c>
      <c r="N469" s="106">
        <v>19367447.5300294</v>
      </c>
      <c r="O469" s="103" t="s">
        <v>10749</v>
      </c>
      <c r="R469" s="58"/>
      <c r="S469" s="58"/>
      <c r="T469" s="58"/>
      <c r="U469" s="58"/>
      <c r="V469" s="58"/>
      <c r="W469" s="58"/>
      <c r="X469" s="58"/>
    </row>
    <row r="470" ht="25.5" spans="1:24">
      <c r="A470" s="103" t="s">
        <v>3931</v>
      </c>
      <c r="B470" s="104" t="s">
        <v>139</v>
      </c>
      <c r="C470" s="104" t="s">
        <v>3932</v>
      </c>
      <c r="D470" s="104" t="s">
        <v>2961</v>
      </c>
      <c r="E470" s="105" t="s">
        <v>134</v>
      </c>
      <c r="F470" s="103" t="s">
        <v>10750</v>
      </c>
      <c r="G470" s="103"/>
      <c r="H470" s="103" t="s">
        <v>10751</v>
      </c>
      <c r="I470" s="103"/>
      <c r="J470" s="103" t="s">
        <v>10752</v>
      </c>
      <c r="K470" s="103"/>
      <c r="L470" s="106">
        <v>2871.03248</v>
      </c>
      <c r="M470" s="103" t="s">
        <v>10722</v>
      </c>
      <c r="N470" s="106">
        <v>19370318.5625094</v>
      </c>
      <c r="O470" s="103" t="s">
        <v>10753</v>
      </c>
      <c r="R470" s="58"/>
      <c r="S470" s="58"/>
      <c r="T470" s="58"/>
      <c r="U470" s="58"/>
      <c r="V470" s="58"/>
      <c r="W470" s="58"/>
      <c r="X470" s="58"/>
    </row>
    <row r="471" spans="1:24">
      <c r="A471" s="103" t="s">
        <v>3614</v>
      </c>
      <c r="B471" s="104" t="s">
        <v>139</v>
      </c>
      <c r="C471" s="104" t="s">
        <v>3615</v>
      </c>
      <c r="D471" s="104" t="s">
        <v>2961</v>
      </c>
      <c r="E471" s="105" t="s">
        <v>204</v>
      </c>
      <c r="F471" s="103" t="s">
        <v>10754</v>
      </c>
      <c r="G471" s="103"/>
      <c r="H471" s="103" t="s">
        <v>10755</v>
      </c>
      <c r="I471" s="103"/>
      <c r="J471" s="103" t="s">
        <v>10756</v>
      </c>
      <c r="K471" s="103"/>
      <c r="L471" s="106">
        <v>2858.3320241</v>
      </c>
      <c r="M471" s="103" t="s">
        <v>10722</v>
      </c>
      <c r="N471" s="106">
        <v>19373176.8945335</v>
      </c>
      <c r="O471" s="103" t="s">
        <v>10757</v>
      </c>
      <c r="R471" s="58"/>
      <c r="S471" s="58"/>
      <c r="T471" s="58"/>
      <c r="U471" s="58"/>
      <c r="V471" s="58"/>
      <c r="W471" s="58"/>
      <c r="X471" s="58"/>
    </row>
    <row r="472" ht="38.25" spans="1:24">
      <c r="A472" s="103" t="s">
        <v>5261</v>
      </c>
      <c r="B472" s="104" t="s">
        <v>139</v>
      </c>
      <c r="C472" s="104" t="s">
        <v>5262</v>
      </c>
      <c r="D472" s="104" t="s">
        <v>2961</v>
      </c>
      <c r="E472" s="105" t="s">
        <v>134</v>
      </c>
      <c r="F472" s="103" t="s">
        <v>10758</v>
      </c>
      <c r="G472" s="103"/>
      <c r="H472" s="103" t="s">
        <v>10759</v>
      </c>
      <c r="I472" s="103"/>
      <c r="J472" s="103" t="s">
        <v>10760</v>
      </c>
      <c r="K472" s="103"/>
      <c r="L472" s="106">
        <v>2839.599</v>
      </c>
      <c r="M472" s="103" t="s">
        <v>10722</v>
      </c>
      <c r="N472" s="106">
        <v>19376016.4935335</v>
      </c>
      <c r="O472" s="103" t="s">
        <v>10761</v>
      </c>
      <c r="R472" s="58"/>
      <c r="S472" s="58"/>
      <c r="T472" s="58"/>
      <c r="U472" s="58"/>
      <c r="V472" s="58"/>
      <c r="W472" s="58"/>
      <c r="X472" s="58"/>
    </row>
    <row r="473" ht="38.25" spans="1:24">
      <c r="A473" s="103" t="s">
        <v>4121</v>
      </c>
      <c r="B473" s="104" t="s">
        <v>139</v>
      </c>
      <c r="C473" s="104" t="s">
        <v>4122</v>
      </c>
      <c r="D473" s="104" t="s">
        <v>2961</v>
      </c>
      <c r="E473" s="105" t="s">
        <v>204</v>
      </c>
      <c r="F473" s="103" t="s">
        <v>10762</v>
      </c>
      <c r="G473" s="103"/>
      <c r="H473" s="103" t="s">
        <v>10763</v>
      </c>
      <c r="I473" s="103"/>
      <c r="J473" s="103" t="s">
        <v>10764</v>
      </c>
      <c r="K473" s="103"/>
      <c r="L473" s="106">
        <v>2825.0048</v>
      </c>
      <c r="M473" s="103" t="s">
        <v>10722</v>
      </c>
      <c r="N473" s="106">
        <v>19378841.4983335</v>
      </c>
      <c r="O473" s="103" t="s">
        <v>10765</v>
      </c>
      <c r="R473" s="58"/>
      <c r="S473" s="58"/>
      <c r="T473" s="58"/>
      <c r="U473" s="58"/>
      <c r="V473" s="58"/>
      <c r="W473" s="58"/>
      <c r="X473" s="58"/>
    </row>
    <row r="474" ht="25.5" spans="1:24">
      <c r="A474" s="103" t="s">
        <v>4163</v>
      </c>
      <c r="B474" s="104" t="s">
        <v>149</v>
      </c>
      <c r="C474" s="104" t="s">
        <v>4164</v>
      </c>
      <c r="D474" s="104" t="s">
        <v>2961</v>
      </c>
      <c r="E474" s="105" t="s">
        <v>134</v>
      </c>
      <c r="F474" s="103" t="s">
        <v>10766</v>
      </c>
      <c r="G474" s="103"/>
      <c r="H474" s="103" t="s">
        <v>10767</v>
      </c>
      <c r="I474" s="103"/>
      <c r="J474" s="103" t="s">
        <v>10768</v>
      </c>
      <c r="K474" s="103"/>
      <c r="L474" s="106">
        <v>2819.6</v>
      </c>
      <c r="M474" s="103" t="s">
        <v>10722</v>
      </c>
      <c r="N474" s="106">
        <v>19381661.0983335</v>
      </c>
      <c r="O474" s="103" t="s">
        <v>10769</v>
      </c>
      <c r="R474" s="58"/>
      <c r="S474" s="58"/>
      <c r="T474" s="58"/>
      <c r="U474" s="58"/>
      <c r="V474" s="58"/>
      <c r="W474" s="58"/>
      <c r="X474" s="58"/>
    </row>
    <row r="475" ht="25.5" spans="1:24">
      <c r="A475" s="103" t="s">
        <v>4446</v>
      </c>
      <c r="B475" s="104" t="s">
        <v>796</v>
      </c>
      <c r="C475" s="104" t="s">
        <v>4447</v>
      </c>
      <c r="D475" s="104" t="s">
        <v>2896</v>
      </c>
      <c r="E475" s="105" t="s">
        <v>3707</v>
      </c>
      <c r="F475" s="103" t="s">
        <v>10770</v>
      </c>
      <c r="G475" s="103"/>
      <c r="H475" s="103" t="s">
        <v>10771</v>
      </c>
      <c r="I475" s="103"/>
      <c r="J475" s="103" t="s">
        <v>10772</v>
      </c>
      <c r="K475" s="103"/>
      <c r="L475" s="106">
        <v>2812.44</v>
      </c>
      <c r="M475" s="103" t="s">
        <v>10722</v>
      </c>
      <c r="N475" s="106">
        <v>19384473.5383335</v>
      </c>
      <c r="O475" s="103" t="s">
        <v>10773</v>
      </c>
      <c r="R475" s="58"/>
      <c r="S475" s="58"/>
      <c r="T475" s="58"/>
      <c r="U475" s="58"/>
      <c r="V475" s="58"/>
      <c r="W475" s="58"/>
      <c r="X475" s="58"/>
    </row>
    <row r="476" spans="1:24">
      <c r="A476" s="103" t="s">
        <v>5243</v>
      </c>
      <c r="B476" s="104" t="s">
        <v>132</v>
      </c>
      <c r="C476" s="104" t="s">
        <v>5244</v>
      </c>
      <c r="D476" s="104" t="s">
        <v>2961</v>
      </c>
      <c r="E476" s="105" t="s">
        <v>141</v>
      </c>
      <c r="F476" s="103" t="s">
        <v>10774</v>
      </c>
      <c r="G476" s="103"/>
      <c r="H476" s="103" t="s">
        <v>8497</v>
      </c>
      <c r="I476" s="103"/>
      <c r="J476" s="103" t="s">
        <v>10775</v>
      </c>
      <c r="K476" s="103"/>
      <c r="L476" s="106">
        <v>2793.02388</v>
      </c>
      <c r="M476" s="103" t="s">
        <v>10722</v>
      </c>
      <c r="N476" s="106">
        <v>19387266.5622135</v>
      </c>
      <c r="O476" s="103" t="s">
        <v>10776</v>
      </c>
      <c r="R476" s="58"/>
      <c r="S476" s="58"/>
      <c r="T476" s="58"/>
      <c r="U476" s="58"/>
      <c r="V476" s="58"/>
      <c r="W476" s="58"/>
      <c r="X476" s="58"/>
    </row>
    <row r="477" ht="25.5" spans="1:24">
      <c r="A477" s="103" t="s">
        <v>6008</v>
      </c>
      <c r="B477" s="104" t="s">
        <v>139</v>
      </c>
      <c r="C477" s="104" t="s">
        <v>6009</v>
      </c>
      <c r="D477" s="104" t="s">
        <v>2961</v>
      </c>
      <c r="E477" s="105" t="s">
        <v>2925</v>
      </c>
      <c r="F477" s="103" t="s">
        <v>9742</v>
      </c>
      <c r="G477" s="103"/>
      <c r="H477" s="103" t="s">
        <v>10777</v>
      </c>
      <c r="I477" s="103"/>
      <c r="J477" s="103" t="s">
        <v>10778</v>
      </c>
      <c r="K477" s="103"/>
      <c r="L477" s="106">
        <v>2754.48</v>
      </c>
      <c r="M477" s="103" t="s">
        <v>10722</v>
      </c>
      <c r="N477" s="106">
        <v>19390021.0422135</v>
      </c>
      <c r="O477" s="103" t="s">
        <v>10779</v>
      </c>
      <c r="R477" s="58"/>
      <c r="S477" s="58"/>
      <c r="T477" s="58"/>
      <c r="U477" s="58"/>
      <c r="V477" s="58"/>
      <c r="W477" s="58"/>
      <c r="X477" s="58"/>
    </row>
    <row r="478" ht="25.5" spans="1:24">
      <c r="A478" s="103" t="s">
        <v>5274</v>
      </c>
      <c r="B478" s="104" t="s">
        <v>149</v>
      </c>
      <c r="C478" s="104" t="s">
        <v>5275</v>
      </c>
      <c r="D478" s="104" t="s">
        <v>2961</v>
      </c>
      <c r="E478" s="105" t="s">
        <v>134</v>
      </c>
      <c r="F478" s="103" t="s">
        <v>9585</v>
      </c>
      <c r="G478" s="103"/>
      <c r="H478" s="103" t="s">
        <v>10780</v>
      </c>
      <c r="I478" s="103"/>
      <c r="J478" s="103" t="s">
        <v>10781</v>
      </c>
      <c r="K478" s="103"/>
      <c r="L478" s="106">
        <v>2730</v>
      </c>
      <c r="M478" s="103" t="s">
        <v>10722</v>
      </c>
      <c r="N478" s="106">
        <v>19392751.0422135</v>
      </c>
      <c r="O478" s="103" t="s">
        <v>10782</v>
      </c>
      <c r="R478" s="58"/>
      <c r="S478" s="58"/>
      <c r="T478" s="58"/>
      <c r="U478" s="58"/>
      <c r="V478" s="58"/>
      <c r="W478" s="58"/>
      <c r="X478" s="58"/>
    </row>
    <row r="479" ht="25.5" spans="1:24">
      <c r="A479" s="103" t="s">
        <v>4790</v>
      </c>
      <c r="B479" s="104" t="s">
        <v>149</v>
      </c>
      <c r="C479" s="104" t="s">
        <v>4791</v>
      </c>
      <c r="D479" s="104" t="s">
        <v>2961</v>
      </c>
      <c r="E479" s="105" t="s">
        <v>134</v>
      </c>
      <c r="F479" s="103" t="s">
        <v>10783</v>
      </c>
      <c r="G479" s="103"/>
      <c r="H479" s="103" t="s">
        <v>10784</v>
      </c>
      <c r="I479" s="103"/>
      <c r="J479" s="103" t="s">
        <v>10785</v>
      </c>
      <c r="K479" s="103"/>
      <c r="L479" s="106">
        <v>2722.5</v>
      </c>
      <c r="M479" s="103" t="s">
        <v>10722</v>
      </c>
      <c r="N479" s="106">
        <v>19395473.5422135</v>
      </c>
      <c r="O479" s="103" t="s">
        <v>10786</v>
      </c>
      <c r="R479" s="58"/>
      <c r="S479" s="58"/>
      <c r="T479" s="58"/>
      <c r="U479" s="58"/>
      <c r="V479" s="58"/>
      <c r="W479" s="58"/>
      <c r="X479" s="58"/>
    </row>
    <row r="480" ht="25.5" spans="1:24">
      <c r="A480" s="103" t="s">
        <v>3832</v>
      </c>
      <c r="B480" s="104" t="s">
        <v>139</v>
      </c>
      <c r="C480" s="104" t="s">
        <v>3833</v>
      </c>
      <c r="D480" s="104" t="s">
        <v>2961</v>
      </c>
      <c r="E480" s="105" t="s">
        <v>134</v>
      </c>
      <c r="F480" s="103" t="s">
        <v>9418</v>
      </c>
      <c r="G480" s="103"/>
      <c r="H480" s="103" t="s">
        <v>10787</v>
      </c>
      <c r="I480" s="103"/>
      <c r="J480" s="103" t="s">
        <v>10788</v>
      </c>
      <c r="K480" s="103"/>
      <c r="L480" s="106">
        <v>2720.78</v>
      </c>
      <c r="M480" s="103" t="s">
        <v>10722</v>
      </c>
      <c r="N480" s="106">
        <v>19398194.3222135</v>
      </c>
      <c r="O480" s="103" t="s">
        <v>10789</v>
      </c>
      <c r="R480" s="58"/>
      <c r="S480" s="58"/>
      <c r="T480" s="58"/>
      <c r="U480" s="58"/>
      <c r="V480" s="58"/>
      <c r="W480" s="58"/>
      <c r="X480" s="58"/>
    </row>
    <row r="481" ht="25.5" spans="1:24">
      <c r="A481" s="103" t="s">
        <v>4701</v>
      </c>
      <c r="B481" s="104" t="s">
        <v>149</v>
      </c>
      <c r="C481" s="104" t="s">
        <v>4702</v>
      </c>
      <c r="D481" s="104" t="s">
        <v>2961</v>
      </c>
      <c r="E481" s="105" t="s">
        <v>134</v>
      </c>
      <c r="F481" s="103" t="s">
        <v>10790</v>
      </c>
      <c r="G481" s="103"/>
      <c r="H481" s="103" t="s">
        <v>10791</v>
      </c>
      <c r="I481" s="103"/>
      <c r="J481" s="103" t="s">
        <v>10792</v>
      </c>
      <c r="K481" s="103"/>
      <c r="L481" s="106">
        <v>2688</v>
      </c>
      <c r="M481" s="103" t="s">
        <v>10722</v>
      </c>
      <c r="N481" s="106">
        <v>19400882.3222135</v>
      </c>
      <c r="O481" s="103" t="s">
        <v>10793</v>
      </c>
      <c r="R481" s="58"/>
      <c r="S481" s="58"/>
      <c r="T481" s="58"/>
      <c r="U481" s="58"/>
      <c r="V481" s="58"/>
      <c r="W481" s="58"/>
      <c r="X481" s="58"/>
    </row>
    <row r="482" spans="1:24">
      <c r="A482" s="103" t="s">
        <v>4186</v>
      </c>
      <c r="B482" s="104" t="s">
        <v>132</v>
      </c>
      <c r="C482" s="104" t="s">
        <v>4187</v>
      </c>
      <c r="D482" s="104" t="s">
        <v>2961</v>
      </c>
      <c r="E482" s="105" t="s">
        <v>204</v>
      </c>
      <c r="F482" s="103" t="s">
        <v>10794</v>
      </c>
      <c r="G482" s="103"/>
      <c r="H482" s="103" t="s">
        <v>10795</v>
      </c>
      <c r="I482" s="103"/>
      <c r="J482" s="103" t="s">
        <v>10796</v>
      </c>
      <c r="K482" s="103"/>
      <c r="L482" s="106">
        <v>2687.904</v>
      </c>
      <c r="M482" s="103" t="s">
        <v>10722</v>
      </c>
      <c r="N482" s="106">
        <v>19403570.2262135</v>
      </c>
      <c r="O482" s="103" t="s">
        <v>10797</v>
      </c>
      <c r="R482" s="58"/>
      <c r="S482" s="58"/>
      <c r="T482" s="58"/>
      <c r="U482" s="58"/>
      <c r="V482" s="58"/>
      <c r="W482" s="58"/>
      <c r="X482" s="58"/>
    </row>
    <row r="483" ht="38.25" spans="1:24">
      <c r="A483" s="103" t="s">
        <v>4079</v>
      </c>
      <c r="B483" s="104" t="s">
        <v>77</v>
      </c>
      <c r="C483" s="104" t="s">
        <v>4080</v>
      </c>
      <c r="D483" s="104" t="s">
        <v>2961</v>
      </c>
      <c r="E483" s="105" t="s">
        <v>134</v>
      </c>
      <c r="F483" s="103" t="s">
        <v>10728</v>
      </c>
      <c r="G483" s="103"/>
      <c r="H483" s="103" t="s">
        <v>10798</v>
      </c>
      <c r="I483" s="103"/>
      <c r="J483" s="103" t="s">
        <v>10799</v>
      </c>
      <c r="K483" s="103"/>
      <c r="L483" s="106">
        <v>2687.6475</v>
      </c>
      <c r="M483" s="103" t="s">
        <v>10722</v>
      </c>
      <c r="N483" s="106">
        <v>19406257.8737135</v>
      </c>
      <c r="O483" s="103" t="s">
        <v>10800</v>
      </c>
      <c r="R483" s="58"/>
      <c r="S483" s="58"/>
      <c r="T483" s="58"/>
      <c r="U483" s="58"/>
      <c r="V483" s="58"/>
      <c r="W483" s="58"/>
      <c r="X483" s="58"/>
    </row>
    <row r="484" ht="25.5" spans="1:24">
      <c r="A484" s="103" t="s">
        <v>4313</v>
      </c>
      <c r="B484" s="104" t="s">
        <v>77</v>
      </c>
      <c r="C484" s="104" t="s">
        <v>4314</v>
      </c>
      <c r="D484" s="104" t="s">
        <v>2961</v>
      </c>
      <c r="E484" s="105" t="s">
        <v>204</v>
      </c>
      <c r="F484" s="103" t="s">
        <v>10801</v>
      </c>
      <c r="G484" s="103"/>
      <c r="H484" s="103" t="s">
        <v>10802</v>
      </c>
      <c r="I484" s="103"/>
      <c r="J484" s="103" t="s">
        <v>10803</v>
      </c>
      <c r="K484" s="103"/>
      <c r="L484" s="106">
        <v>2687.01673086</v>
      </c>
      <c r="M484" s="103" t="s">
        <v>10722</v>
      </c>
      <c r="N484" s="106">
        <v>19408944.8904444</v>
      </c>
      <c r="O484" s="103" t="s">
        <v>10804</v>
      </c>
      <c r="R484" s="58"/>
      <c r="S484" s="58"/>
      <c r="T484" s="58"/>
      <c r="U484" s="58"/>
      <c r="V484" s="58"/>
      <c r="W484" s="58"/>
      <c r="X484" s="58"/>
    </row>
    <row r="485" ht="51" spans="1:24">
      <c r="A485" s="103" t="s">
        <v>4735</v>
      </c>
      <c r="B485" s="104" t="s">
        <v>132</v>
      </c>
      <c r="C485" s="104" t="s">
        <v>4736</v>
      </c>
      <c r="D485" s="104" t="s">
        <v>3395</v>
      </c>
      <c r="E485" s="105" t="s">
        <v>134</v>
      </c>
      <c r="F485" s="103" t="s">
        <v>9091</v>
      </c>
      <c r="G485" s="103" t="s">
        <v>9093</v>
      </c>
      <c r="H485" s="103" t="s">
        <v>10805</v>
      </c>
      <c r="I485" s="103" t="s">
        <v>10806</v>
      </c>
      <c r="J485" s="103" t="s">
        <v>10805</v>
      </c>
      <c r="K485" s="103" t="s">
        <v>8660</v>
      </c>
      <c r="L485" s="106">
        <v>2660.54</v>
      </c>
      <c r="M485" s="103" t="s">
        <v>10722</v>
      </c>
      <c r="N485" s="106">
        <v>19411605.4304444</v>
      </c>
      <c r="O485" s="103" t="s">
        <v>10807</v>
      </c>
      <c r="R485" s="58"/>
      <c r="S485" s="58"/>
      <c r="T485" s="58"/>
      <c r="U485" s="58"/>
      <c r="V485" s="58"/>
      <c r="W485" s="58"/>
      <c r="X485" s="58"/>
    </row>
    <row r="486" ht="38.25" spans="1:24">
      <c r="A486" s="103" t="s">
        <v>3320</v>
      </c>
      <c r="B486" s="104" t="s">
        <v>139</v>
      </c>
      <c r="C486" s="104" t="s">
        <v>3321</v>
      </c>
      <c r="D486" s="104" t="s">
        <v>2961</v>
      </c>
      <c r="E486" s="105" t="s">
        <v>134</v>
      </c>
      <c r="F486" s="103" t="s">
        <v>10808</v>
      </c>
      <c r="G486" s="103"/>
      <c r="H486" s="103" t="s">
        <v>6996</v>
      </c>
      <c r="I486" s="103"/>
      <c r="J486" s="103" t="s">
        <v>10809</v>
      </c>
      <c r="K486" s="103"/>
      <c r="L486" s="106">
        <v>2653.02882801784</v>
      </c>
      <c r="M486" s="103" t="s">
        <v>10722</v>
      </c>
      <c r="N486" s="106">
        <v>19414258.4592724</v>
      </c>
      <c r="O486" s="103" t="s">
        <v>10810</v>
      </c>
      <c r="R486" s="58"/>
      <c r="S486" s="58"/>
      <c r="T486" s="58"/>
      <c r="U486" s="58"/>
      <c r="V486" s="58"/>
      <c r="W486" s="58"/>
      <c r="X486" s="58"/>
    </row>
    <row r="487" spans="1:24">
      <c r="A487" s="103" t="s">
        <v>4343</v>
      </c>
      <c r="B487" s="104" t="s">
        <v>796</v>
      </c>
      <c r="C487" s="104" t="s">
        <v>4344</v>
      </c>
      <c r="D487" s="104" t="s">
        <v>2961</v>
      </c>
      <c r="E487" s="105" t="s">
        <v>3712</v>
      </c>
      <c r="F487" s="103" t="s">
        <v>10811</v>
      </c>
      <c r="G487" s="103"/>
      <c r="H487" s="103" t="s">
        <v>10812</v>
      </c>
      <c r="I487" s="103"/>
      <c r="J487" s="103" t="s">
        <v>10813</v>
      </c>
      <c r="K487" s="103"/>
      <c r="L487" s="106">
        <v>2618.86176</v>
      </c>
      <c r="M487" s="103" t="s">
        <v>10722</v>
      </c>
      <c r="N487" s="106">
        <v>19416877.3210324</v>
      </c>
      <c r="O487" s="103" t="s">
        <v>10814</v>
      </c>
      <c r="R487" s="58"/>
      <c r="S487" s="58"/>
      <c r="T487" s="58"/>
      <c r="U487" s="58"/>
      <c r="V487" s="58"/>
      <c r="W487" s="58"/>
      <c r="X487" s="58"/>
    </row>
    <row r="488" ht="25.5" spans="1:24">
      <c r="A488" s="103" t="s">
        <v>3338</v>
      </c>
      <c r="B488" s="104" t="s">
        <v>139</v>
      </c>
      <c r="C488" s="104" t="s">
        <v>3339</v>
      </c>
      <c r="D488" s="104" t="s">
        <v>2961</v>
      </c>
      <c r="E488" s="105" t="s">
        <v>204</v>
      </c>
      <c r="F488" s="103" t="s">
        <v>10815</v>
      </c>
      <c r="G488" s="103"/>
      <c r="H488" s="103" t="s">
        <v>10816</v>
      </c>
      <c r="I488" s="103"/>
      <c r="J488" s="103" t="s">
        <v>10817</v>
      </c>
      <c r="K488" s="103"/>
      <c r="L488" s="106">
        <v>2575.128348</v>
      </c>
      <c r="M488" s="103" t="s">
        <v>10722</v>
      </c>
      <c r="N488" s="106">
        <v>19419452.4493804</v>
      </c>
      <c r="O488" s="103" t="s">
        <v>10818</v>
      </c>
      <c r="R488" s="58"/>
      <c r="S488" s="58"/>
      <c r="T488" s="58"/>
      <c r="U488" s="58"/>
      <c r="V488" s="58"/>
      <c r="W488" s="58"/>
      <c r="X488" s="58"/>
    </row>
    <row r="489" ht="25.5" spans="1:24">
      <c r="A489" s="103" t="s">
        <v>4802</v>
      </c>
      <c r="B489" s="104" t="s">
        <v>132</v>
      </c>
      <c r="C489" s="104" t="s">
        <v>4803</v>
      </c>
      <c r="D489" s="104" t="s">
        <v>2961</v>
      </c>
      <c r="E489" s="105" t="s">
        <v>134</v>
      </c>
      <c r="F489" s="103" t="s">
        <v>9585</v>
      </c>
      <c r="G489" s="103"/>
      <c r="H489" s="103" t="s">
        <v>10819</v>
      </c>
      <c r="I489" s="103"/>
      <c r="J489" s="103" t="s">
        <v>10820</v>
      </c>
      <c r="K489" s="103"/>
      <c r="L489" s="106">
        <v>2539.32</v>
      </c>
      <c r="M489" s="103" t="s">
        <v>10722</v>
      </c>
      <c r="N489" s="106">
        <v>19421991.7693804</v>
      </c>
      <c r="O489" s="103" t="s">
        <v>10821</v>
      </c>
      <c r="R489" s="58"/>
      <c r="S489" s="58"/>
      <c r="T489" s="58"/>
      <c r="U489" s="58"/>
      <c r="V489" s="58"/>
      <c r="W489" s="58"/>
      <c r="X489" s="58"/>
    </row>
    <row r="490" spans="1:24">
      <c r="A490" s="103" t="s">
        <v>4177</v>
      </c>
      <c r="B490" s="104" t="s">
        <v>149</v>
      </c>
      <c r="C490" s="104" t="s">
        <v>4178</v>
      </c>
      <c r="D490" s="104" t="s">
        <v>2961</v>
      </c>
      <c r="E490" s="105" t="s">
        <v>204</v>
      </c>
      <c r="F490" s="103" t="s">
        <v>10822</v>
      </c>
      <c r="G490" s="103"/>
      <c r="H490" s="103" t="s">
        <v>10823</v>
      </c>
      <c r="I490" s="103"/>
      <c r="J490" s="103" t="s">
        <v>10824</v>
      </c>
      <c r="K490" s="103"/>
      <c r="L490" s="106">
        <v>2519.04</v>
      </c>
      <c r="M490" s="103" t="s">
        <v>10722</v>
      </c>
      <c r="N490" s="106">
        <v>19424510.8093804</v>
      </c>
      <c r="O490" s="103" t="s">
        <v>10825</v>
      </c>
      <c r="R490" s="58"/>
      <c r="S490" s="58"/>
      <c r="T490" s="58"/>
      <c r="U490" s="58"/>
      <c r="V490" s="58"/>
      <c r="W490" s="58"/>
      <c r="X490" s="58"/>
    </row>
    <row r="491" ht="25.5" spans="1:24">
      <c r="A491" s="103" t="s">
        <v>4101</v>
      </c>
      <c r="B491" s="104" t="s">
        <v>139</v>
      </c>
      <c r="C491" s="104" t="s">
        <v>4102</v>
      </c>
      <c r="D491" s="104" t="s">
        <v>2961</v>
      </c>
      <c r="E491" s="105" t="s">
        <v>134</v>
      </c>
      <c r="F491" s="103" t="s">
        <v>10826</v>
      </c>
      <c r="G491" s="103"/>
      <c r="H491" s="103" t="s">
        <v>10827</v>
      </c>
      <c r="I491" s="103"/>
      <c r="J491" s="103" t="s">
        <v>10828</v>
      </c>
      <c r="K491" s="103"/>
      <c r="L491" s="106">
        <v>2507.27365</v>
      </c>
      <c r="M491" s="103" t="s">
        <v>10722</v>
      </c>
      <c r="N491" s="106">
        <v>19427018.0830304</v>
      </c>
      <c r="O491" s="103" t="s">
        <v>10829</v>
      </c>
      <c r="R491" s="58"/>
      <c r="S491" s="58"/>
      <c r="T491" s="58"/>
      <c r="U491" s="58"/>
      <c r="V491" s="58"/>
      <c r="W491" s="58"/>
      <c r="X491" s="58"/>
    </row>
    <row r="492" spans="1:24">
      <c r="A492" s="103" t="s">
        <v>4287</v>
      </c>
      <c r="B492" s="104" t="s">
        <v>77</v>
      </c>
      <c r="C492" s="104" t="s">
        <v>4288</v>
      </c>
      <c r="D492" s="104" t="s">
        <v>2961</v>
      </c>
      <c r="E492" s="105" t="s">
        <v>204</v>
      </c>
      <c r="F492" s="103" t="s">
        <v>10830</v>
      </c>
      <c r="G492" s="103"/>
      <c r="H492" s="103" t="s">
        <v>10831</v>
      </c>
      <c r="I492" s="103"/>
      <c r="J492" s="103" t="s">
        <v>10832</v>
      </c>
      <c r="K492" s="103"/>
      <c r="L492" s="106">
        <v>2498.16</v>
      </c>
      <c r="M492" s="103" t="s">
        <v>10722</v>
      </c>
      <c r="N492" s="106">
        <v>19429516.2430304</v>
      </c>
      <c r="O492" s="103" t="s">
        <v>10833</v>
      </c>
      <c r="R492" s="58"/>
      <c r="S492" s="58"/>
      <c r="T492" s="58"/>
      <c r="U492" s="58"/>
      <c r="V492" s="58"/>
      <c r="W492" s="58"/>
      <c r="X492" s="58"/>
    </row>
    <row r="493" ht="38.25" spans="1:24">
      <c r="A493" s="103" t="s">
        <v>3539</v>
      </c>
      <c r="B493" s="104" t="s">
        <v>139</v>
      </c>
      <c r="C493" s="104" t="s">
        <v>3540</v>
      </c>
      <c r="D493" s="104" t="s">
        <v>2961</v>
      </c>
      <c r="E493" s="105" t="s">
        <v>141</v>
      </c>
      <c r="F493" s="103" t="s">
        <v>10834</v>
      </c>
      <c r="G493" s="103"/>
      <c r="H493" s="103" t="s">
        <v>10835</v>
      </c>
      <c r="I493" s="103"/>
      <c r="J493" s="103" t="s">
        <v>10836</v>
      </c>
      <c r="K493" s="103"/>
      <c r="L493" s="106">
        <v>2488.3815762</v>
      </c>
      <c r="M493" s="103" t="s">
        <v>10722</v>
      </c>
      <c r="N493" s="106">
        <v>19432004.6246066</v>
      </c>
      <c r="O493" s="103" t="s">
        <v>10837</v>
      </c>
      <c r="R493" s="58"/>
      <c r="S493" s="58"/>
      <c r="T493" s="58"/>
      <c r="U493" s="58"/>
      <c r="V493" s="58"/>
      <c r="W493" s="58"/>
      <c r="X493" s="58"/>
    </row>
    <row r="494" ht="63.75" spans="1:24">
      <c r="A494" s="103" t="s">
        <v>3036</v>
      </c>
      <c r="B494" s="104" t="s">
        <v>139</v>
      </c>
      <c r="C494" s="104" t="s">
        <v>3037</v>
      </c>
      <c r="D494" s="104" t="s">
        <v>2961</v>
      </c>
      <c r="E494" s="105" t="s">
        <v>1491</v>
      </c>
      <c r="F494" s="103" t="s">
        <v>10838</v>
      </c>
      <c r="G494" s="103"/>
      <c r="H494" s="103" t="s">
        <v>10839</v>
      </c>
      <c r="I494" s="103"/>
      <c r="J494" s="103" t="s">
        <v>10840</v>
      </c>
      <c r="K494" s="103"/>
      <c r="L494" s="106">
        <v>2487.336</v>
      </c>
      <c r="M494" s="103" t="s">
        <v>10722</v>
      </c>
      <c r="N494" s="106">
        <v>19434491.9606066</v>
      </c>
      <c r="O494" s="103" t="s">
        <v>10841</v>
      </c>
      <c r="R494" s="58"/>
      <c r="S494" s="58"/>
      <c r="T494" s="58"/>
      <c r="U494" s="58"/>
      <c r="V494" s="58"/>
      <c r="W494" s="58"/>
      <c r="X494" s="58"/>
    </row>
    <row r="495" ht="25.5" spans="1:24">
      <c r="A495" s="103" t="s">
        <v>3840</v>
      </c>
      <c r="B495" s="104" t="s">
        <v>149</v>
      </c>
      <c r="C495" s="104" t="s">
        <v>3841</v>
      </c>
      <c r="D495" s="104" t="s">
        <v>2961</v>
      </c>
      <c r="E495" s="105" t="s">
        <v>204</v>
      </c>
      <c r="F495" s="103" t="s">
        <v>10842</v>
      </c>
      <c r="G495" s="103"/>
      <c r="H495" s="103" t="s">
        <v>10843</v>
      </c>
      <c r="I495" s="103"/>
      <c r="J495" s="103" t="s">
        <v>10844</v>
      </c>
      <c r="K495" s="103"/>
      <c r="L495" s="106">
        <v>2475.4608</v>
      </c>
      <c r="M495" s="103" t="s">
        <v>10722</v>
      </c>
      <c r="N495" s="106">
        <v>19436967.4214066</v>
      </c>
      <c r="O495" s="103" t="s">
        <v>10845</v>
      </c>
      <c r="R495" s="58"/>
      <c r="S495" s="58"/>
      <c r="T495" s="58"/>
      <c r="U495" s="58"/>
      <c r="V495" s="58"/>
      <c r="W495" s="58"/>
      <c r="X495" s="58"/>
    </row>
    <row r="496" ht="25.5" spans="1:24">
      <c r="A496" s="103" t="s">
        <v>3473</v>
      </c>
      <c r="B496" s="104" t="s">
        <v>139</v>
      </c>
      <c r="C496" s="104" t="s">
        <v>3474</v>
      </c>
      <c r="D496" s="104" t="s">
        <v>2961</v>
      </c>
      <c r="E496" s="105" t="s">
        <v>3084</v>
      </c>
      <c r="F496" s="103" t="s">
        <v>10846</v>
      </c>
      <c r="G496" s="103"/>
      <c r="H496" s="103" t="s">
        <v>10847</v>
      </c>
      <c r="I496" s="103"/>
      <c r="J496" s="103" t="s">
        <v>10848</v>
      </c>
      <c r="K496" s="103"/>
      <c r="L496" s="106">
        <v>2452.2981012</v>
      </c>
      <c r="M496" s="103" t="s">
        <v>10722</v>
      </c>
      <c r="N496" s="106">
        <v>19439419.7195078</v>
      </c>
      <c r="O496" s="103" t="s">
        <v>10849</v>
      </c>
      <c r="R496" s="58"/>
      <c r="S496" s="58"/>
      <c r="T496" s="58"/>
      <c r="U496" s="58"/>
      <c r="V496" s="58"/>
      <c r="W496" s="58"/>
      <c r="X496" s="58"/>
    </row>
    <row r="497" spans="1:24">
      <c r="A497" s="103" t="s">
        <v>4448</v>
      </c>
      <c r="B497" s="104" t="s">
        <v>796</v>
      </c>
      <c r="C497" s="104" t="s">
        <v>4449</v>
      </c>
      <c r="D497" s="104" t="s">
        <v>2961</v>
      </c>
      <c r="E497" s="105" t="s">
        <v>334</v>
      </c>
      <c r="F497" s="103" t="s">
        <v>9262</v>
      </c>
      <c r="G497" s="103"/>
      <c r="H497" s="103" t="s">
        <v>10850</v>
      </c>
      <c r="I497" s="103"/>
      <c r="J497" s="103" t="s">
        <v>10851</v>
      </c>
      <c r="K497" s="103"/>
      <c r="L497" s="106">
        <v>2433.4</v>
      </c>
      <c r="M497" s="103" t="s">
        <v>10722</v>
      </c>
      <c r="N497" s="106">
        <v>19441853.1195078</v>
      </c>
      <c r="O497" s="103" t="s">
        <v>10852</v>
      </c>
      <c r="R497" s="58"/>
      <c r="S497" s="58"/>
      <c r="T497" s="58"/>
      <c r="U497" s="58"/>
      <c r="V497" s="58"/>
      <c r="W497" s="58"/>
      <c r="X497" s="58"/>
    </row>
    <row r="498" ht="25.5" spans="1:24">
      <c r="A498" s="103" t="s">
        <v>4427</v>
      </c>
      <c r="B498" s="104" t="s">
        <v>149</v>
      </c>
      <c r="C498" s="104" t="s">
        <v>4428</v>
      </c>
      <c r="D498" s="104" t="s">
        <v>2961</v>
      </c>
      <c r="E498" s="105" t="s">
        <v>134</v>
      </c>
      <c r="F498" s="103" t="s">
        <v>10634</v>
      </c>
      <c r="G498" s="103"/>
      <c r="H498" s="103" t="s">
        <v>7664</v>
      </c>
      <c r="I498" s="103"/>
      <c r="J498" s="103" t="s">
        <v>10853</v>
      </c>
      <c r="K498" s="103"/>
      <c r="L498" s="106">
        <v>2429.7</v>
      </c>
      <c r="M498" s="103" t="s">
        <v>10722</v>
      </c>
      <c r="N498" s="106">
        <v>19444282.8195078</v>
      </c>
      <c r="O498" s="103" t="s">
        <v>10854</v>
      </c>
      <c r="R498" s="58"/>
      <c r="S498" s="58"/>
      <c r="T498" s="58"/>
      <c r="U498" s="58"/>
      <c r="V498" s="58"/>
      <c r="W498" s="58"/>
      <c r="X498" s="58"/>
    </row>
    <row r="499" spans="1:24">
      <c r="A499" s="103" t="s">
        <v>4290</v>
      </c>
      <c r="B499" s="104" t="s">
        <v>77</v>
      </c>
      <c r="C499" s="104" t="s">
        <v>4291</v>
      </c>
      <c r="D499" s="104" t="s">
        <v>2961</v>
      </c>
      <c r="E499" s="105" t="s">
        <v>204</v>
      </c>
      <c r="F499" s="103" t="s">
        <v>10855</v>
      </c>
      <c r="G499" s="103"/>
      <c r="H499" s="103" t="s">
        <v>10856</v>
      </c>
      <c r="I499" s="103"/>
      <c r="J499" s="103" t="s">
        <v>10857</v>
      </c>
      <c r="K499" s="103"/>
      <c r="L499" s="106">
        <v>2414.94</v>
      </c>
      <c r="M499" s="103" t="s">
        <v>10722</v>
      </c>
      <c r="N499" s="106">
        <v>19446697.7595078</v>
      </c>
      <c r="O499" s="103" t="s">
        <v>10858</v>
      </c>
      <c r="R499" s="58"/>
      <c r="S499" s="58"/>
      <c r="T499" s="58"/>
      <c r="U499" s="58"/>
      <c r="V499" s="58"/>
      <c r="W499" s="58"/>
      <c r="X499" s="58"/>
    </row>
    <row r="500" ht="25.5" spans="1:24">
      <c r="A500" s="103" t="s">
        <v>3367</v>
      </c>
      <c r="B500" s="104" t="s">
        <v>77</v>
      </c>
      <c r="C500" s="104" t="s">
        <v>3368</v>
      </c>
      <c r="D500" s="104" t="s">
        <v>2961</v>
      </c>
      <c r="E500" s="105" t="s">
        <v>393</v>
      </c>
      <c r="F500" s="103" t="s">
        <v>10859</v>
      </c>
      <c r="G500" s="103"/>
      <c r="H500" s="103" t="s">
        <v>8705</v>
      </c>
      <c r="I500" s="103"/>
      <c r="J500" s="103" t="s">
        <v>10860</v>
      </c>
      <c r="K500" s="103"/>
      <c r="L500" s="106">
        <v>2414.412488</v>
      </c>
      <c r="M500" s="103" t="s">
        <v>10722</v>
      </c>
      <c r="N500" s="106">
        <v>19449112.1719958</v>
      </c>
      <c r="O500" s="103" t="s">
        <v>10861</v>
      </c>
      <c r="R500" s="58"/>
      <c r="S500" s="58"/>
      <c r="T500" s="58"/>
      <c r="U500" s="58"/>
      <c r="V500" s="58"/>
      <c r="W500" s="58"/>
      <c r="X500" s="58"/>
    </row>
    <row r="501" ht="25.5" spans="1:24">
      <c r="A501" s="103" t="s">
        <v>3893</v>
      </c>
      <c r="B501" s="104" t="s">
        <v>77</v>
      </c>
      <c r="C501" s="104" t="s">
        <v>3894</v>
      </c>
      <c r="D501" s="104" t="s">
        <v>2961</v>
      </c>
      <c r="E501" s="105" t="s">
        <v>134</v>
      </c>
      <c r="F501" s="103" t="s">
        <v>9856</v>
      </c>
      <c r="G501" s="103"/>
      <c r="H501" s="103" t="s">
        <v>10862</v>
      </c>
      <c r="I501" s="103"/>
      <c r="J501" s="103" t="s">
        <v>10863</v>
      </c>
      <c r="K501" s="103"/>
      <c r="L501" s="106">
        <v>2400</v>
      </c>
      <c r="M501" s="103" t="s">
        <v>10722</v>
      </c>
      <c r="N501" s="106">
        <v>19451512.1719958</v>
      </c>
      <c r="O501" s="103" t="s">
        <v>10864</v>
      </c>
      <c r="R501" s="58"/>
      <c r="S501" s="58"/>
      <c r="T501" s="58"/>
      <c r="U501" s="58"/>
      <c r="V501" s="58"/>
      <c r="W501" s="58"/>
      <c r="X501" s="58"/>
    </row>
    <row r="502" ht="25.5" spans="1:24">
      <c r="A502" s="103" t="s">
        <v>3811</v>
      </c>
      <c r="B502" s="104" t="s">
        <v>149</v>
      </c>
      <c r="C502" s="104" t="s">
        <v>900</v>
      </c>
      <c r="D502" s="104" t="s">
        <v>2961</v>
      </c>
      <c r="E502" s="105" t="s">
        <v>134</v>
      </c>
      <c r="F502" s="103" t="s">
        <v>9152</v>
      </c>
      <c r="G502" s="103"/>
      <c r="H502" s="103" t="s">
        <v>10865</v>
      </c>
      <c r="I502" s="103"/>
      <c r="J502" s="103" t="s">
        <v>10866</v>
      </c>
      <c r="K502" s="103"/>
      <c r="L502" s="106">
        <v>2391.28</v>
      </c>
      <c r="M502" s="103" t="s">
        <v>10722</v>
      </c>
      <c r="N502" s="106">
        <v>19453903.4519958</v>
      </c>
      <c r="O502" s="103" t="s">
        <v>10867</v>
      </c>
      <c r="R502" s="58"/>
      <c r="S502" s="58"/>
      <c r="T502" s="58"/>
      <c r="U502" s="58"/>
      <c r="V502" s="58"/>
      <c r="W502" s="58"/>
      <c r="X502" s="58"/>
    </row>
    <row r="503" ht="38.25" spans="1:24">
      <c r="A503" s="103" t="s">
        <v>4429</v>
      </c>
      <c r="B503" s="104" t="s">
        <v>77</v>
      </c>
      <c r="C503" s="104" t="s">
        <v>4430</v>
      </c>
      <c r="D503" s="104" t="s">
        <v>2961</v>
      </c>
      <c r="E503" s="105" t="s">
        <v>134</v>
      </c>
      <c r="F503" s="103" t="s">
        <v>10868</v>
      </c>
      <c r="G503" s="103"/>
      <c r="H503" s="103" t="s">
        <v>10869</v>
      </c>
      <c r="I503" s="103"/>
      <c r="J503" s="103" t="s">
        <v>10870</v>
      </c>
      <c r="K503" s="103"/>
      <c r="L503" s="106">
        <v>2386.12</v>
      </c>
      <c r="M503" s="103" t="s">
        <v>10722</v>
      </c>
      <c r="N503" s="106">
        <v>19456289.5719958</v>
      </c>
      <c r="O503" s="103" t="s">
        <v>10871</v>
      </c>
      <c r="R503" s="58"/>
      <c r="S503" s="58"/>
      <c r="T503" s="58"/>
      <c r="U503" s="58"/>
      <c r="V503" s="58"/>
      <c r="W503" s="58"/>
      <c r="X503" s="58"/>
    </row>
    <row r="504" ht="25.5" spans="1:24">
      <c r="A504" s="103" t="s">
        <v>5249</v>
      </c>
      <c r="B504" s="104" t="s">
        <v>149</v>
      </c>
      <c r="C504" s="104" t="s">
        <v>5250</v>
      </c>
      <c r="D504" s="104" t="s">
        <v>2961</v>
      </c>
      <c r="E504" s="105" t="s">
        <v>134</v>
      </c>
      <c r="F504" s="103" t="s">
        <v>10872</v>
      </c>
      <c r="G504" s="103"/>
      <c r="H504" s="103" t="s">
        <v>10873</v>
      </c>
      <c r="I504" s="103"/>
      <c r="J504" s="103" t="s">
        <v>10874</v>
      </c>
      <c r="K504" s="103"/>
      <c r="L504" s="106">
        <v>2367.56232</v>
      </c>
      <c r="M504" s="103" t="s">
        <v>10722</v>
      </c>
      <c r="N504" s="106">
        <v>19458657.1343158</v>
      </c>
      <c r="O504" s="103" t="s">
        <v>10875</v>
      </c>
      <c r="R504" s="58"/>
      <c r="S504" s="58"/>
      <c r="T504" s="58"/>
      <c r="U504" s="58"/>
      <c r="V504" s="58"/>
      <c r="W504" s="58"/>
      <c r="X504" s="58"/>
    </row>
    <row r="505" ht="38.25" spans="1:24">
      <c r="A505" s="103" t="s">
        <v>3399</v>
      </c>
      <c r="B505" s="104" t="s">
        <v>139</v>
      </c>
      <c r="C505" s="104" t="s">
        <v>3400</v>
      </c>
      <c r="D505" s="104" t="s">
        <v>3395</v>
      </c>
      <c r="E505" s="105" t="s">
        <v>3398</v>
      </c>
      <c r="F505" s="103" t="s">
        <v>10876</v>
      </c>
      <c r="G505" s="103"/>
      <c r="H505" s="103" t="s">
        <v>10877</v>
      </c>
      <c r="I505" s="103"/>
      <c r="J505" s="103" t="s">
        <v>10878</v>
      </c>
      <c r="K505" s="103"/>
      <c r="L505" s="106">
        <v>2364.39936</v>
      </c>
      <c r="M505" s="103" t="s">
        <v>10722</v>
      </c>
      <c r="N505" s="106">
        <v>19461021.5336758</v>
      </c>
      <c r="O505" s="103" t="s">
        <v>10879</v>
      </c>
      <c r="R505" s="58"/>
      <c r="S505" s="58"/>
      <c r="T505" s="58"/>
      <c r="U505" s="58"/>
      <c r="V505" s="58"/>
      <c r="W505" s="58"/>
      <c r="X505" s="58"/>
    </row>
    <row r="506" ht="25.5" spans="1:24">
      <c r="A506" s="103" t="s">
        <v>5830</v>
      </c>
      <c r="B506" s="104" t="s">
        <v>77</v>
      </c>
      <c r="C506" s="104" t="s">
        <v>5831</v>
      </c>
      <c r="D506" s="104" t="s">
        <v>2961</v>
      </c>
      <c r="E506" s="105" t="s">
        <v>134</v>
      </c>
      <c r="F506" s="103" t="s">
        <v>10880</v>
      </c>
      <c r="G506" s="103"/>
      <c r="H506" s="103" t="s">
        <v>10881</v>
      </c>
      <c r="I506" s="103"/>
      <c r="J506" s="103" t="s">
        <v>10882</v>
      </c>
      <c r="K506" s="103"/>
      <c r="L506" s="106">
        <v>2347.92</v>
      </c>
      <c r="M506" s="103" t="s">
        <v>10722</v>
      </c>
      <c r="N506" s="106">
        <v>19463369.4536758</v>
      </c>
      <c r="O506" s="103" t="s">
        <v>10883</v>
      </c>
      <c r="R506" s="58"/>
      <c r="S506" s="58"/>
      <c r="T506" s="58"/>
      <c r="U506" s="58"/>
      <c r="V506" s="58"/>
      <c r="W506" s="58"/>
      <c r="X506" s="58"/>
    </row>
    <row r="507" ht="25.5" spans="1:24">
      <c r="A507" s="103" t="s">
        <v>4796</v>
      </c>
      <c r="B507" s="104" t="s">
        <v>149</v>
      </c>
      <c r="C507" s="104" t="s">
        <v>4797</v>
      </c>
      <c r="D507" s="104" t="s">
        <v>2961</v>
      </c>
      <c r="E507" s="105" t="s">
        <v>134</v>
      </c>
      <c r="F507" s="103" t="s">
        <v>10423</v>
      </c>
      <c r="G507" s="103"/>
      <c r="H507" s="103" t="s">
        <v>10884</v>
      </c>
      <c r="I507" s="103"/>
      <c r="J507" s="103" t="s">
        <v>10885</v>
      </c>
      <c r="K507" s="103"/>
      <c r="L507" s="106">
        <v>2334.78</v>
      </c>
      <c r="M507" s="103" t="s">
        <v>10722</v>
      </c>
      <c r="N507" s="106">
        <v>19465704.2336758</v>
      </c>
      <c r="O507" s="103" t="s">
        <v>10886</v>
      </c>
      <c r="R507" s="58"/>
      <c r="S507" s="58"/>
      <c r="T507" s="58"/>
      <c r="U507" s="58"/>
      <c r="V507" s="58"/>
      <c r="W507" s="58"/>
      <c r="X507" s="58"/>
    </row>
    <row r="508" spans="1:24">
      <c r="A508" s="103" t="s">
        <v>4461</v>
      </c>
      <c r="B508" s="104" t="s">
        <v>149</v>
      </c>
      <c r="C508" s="104" t="s">
        <v>4462</v>
      </c>
      <c r="D508" s="104" t="s">
        <v>2961</v>
      </c>
      <c r="E508" s="105" t="s">
        <v>134</v>
      </c>
      <c r="F508" s="103" t="s">
        <v>10712</v>
      </c>
      <c r="G508" s="103"/>
      <c r="H508" s="103" t="s">
        <v>10887</v>
      </c>
      <c r="I508" s="103"/>
      <c r="J508" s="103" t="s">
        <v>10888</v>
      </c>
      <c r="K508" s="103"/>
      <c r="L508" s="106">
        <v>2290.92</v>
      </c>
      <c r="M508" s="103" t="s">
        <v>10722</v>
      </c>
      <c r="N508" s="106">
        <v>19467995.1536758</v>
      </c>
      <c r="O508" s="103" t="s">
        <v>10889</v>
      </c>
      <c r="R508" s="58"/>
      <c r="S508" s="58"/>
      <c r="T508" s="58"/>
      <c r="U508" s="58"/>
      <c r="V508" s="58"/>
      <c r="W508" s="58"/>
      <c r="X508" s="58"/>
    </row>
    <row r="509" ht="25.5" spans="1:24">
      <c r="A509" s="103" t="s">
        <v>4693</v>
      </c>
      <c r="B509" s="104" t="s">
        <v>149</v>
      </c>
      <c r="C509" s="104" t="s">
        <v>2041</v>
      </c>
      <c r="D509" s="104" t="s">
        <v>2961</v>
      </c>
      <c r="E509" s="105" t="s">
        <v>134</v>
      </c>
      <c r="F509" s="103" t="s">
        <v>10423</v>
      </c>
      <c r="G509" s="103"/>
      <c r="H509" s="103" t="s">
        <v>10890</v>
      </c>
      <c r="I509" s="103"/>
      <c r="J509" s="103" t="s">
        <v>10891</v>
      </c>
      <c r="K509" s="103"/>
      <c r="L509" s="106">
        <v>2279.88</v>
      </c>
      <c r="M509" s="103" t="s">
        <v>10722</v>
      </c>
      <c r="N509" s="106">
        <v>19470275.0336758</v>
      </c>
      <c r="O509" s="103" t="s">
        <v>10892</v>
      </c>
      <c r="R509" s="58"/>
      <c r="S509" s="58"/>
      <c r="T509" s="58"/>
      <c r="U509" s="58"/>
      <c r="V509" s="58"/>
      <c r="W509" s="58"/>
      <c r="X509" s="58"/>
    </row>
    <row r="510" ht="51" spans="1:24">
      <c r="A510" s="103" t="s">
        <v>5061</v>
      </c>
      <c r="B510" s="104" t="s">
        <v>139</v>
      </c>
      <c r="C510" s="104" t="s">
        <v>5062</v>
      </c>
      <c r="D510" s="104" t="s">
        <v>2961</v>
      </c>
      <c r="E510" s="105" t="s">
        <v>141</v>
      </c>
      <c r="F510" s="103" t="s">
        <v>10893</v>
      </c>
      <c r="G510" s="103"/>
      <c r="H510" s="103" t="s">
        <v>10894</v>
      </c>
      <c r="I510" s="103"/>
      <c r="J510" s="103" t="s">
        <v>10895</v>
      </c>
      <c r="K510" s="103"/>
      <c r="L510" s="106">
        <v>2275.168</v>
      </c>
      <c r="M510" s="103" t="s">
        <v>10722</v>
      </c>
      <c r="N510" s="106">
        <v>19472550.2016758</v>
      </c>
      <c r="O510" s="103" t="s">
        <v>10896</v>
      </c>
      <c r="R510" s="58"/>
      <c r="S510" s="58"/>
      <c r="T510" s="58"/>
      <c r="U510" s="58"/>
      <c r="V510" s="58"/>
      <c r="W510" s="58"/>
      <c r="X510" s="58"/>
    </row>
    <row r="511" ht="25.5" spans="1:24">
      <c r="A511" s="103" t="s">
        <v>4821</v>
      </c>
      <c r="B511" s="104" t="s">
        <v>132</v>
      </c>
      <c r="C511" s="104" t="s">
        <v>4822</v>
      </c>
      <c r="D511" s="104" t="s">
        <v>2961</v>
      </c>
      <c r="E511" s="105" t="s">
        <v>134</v>
      </c>
      <c r="F511" s="103" t="s">
        <v>9183</v>
      </c>
      <c r="G511" s="103"/>
      <c r="H511" s="103" t="s">
        <v>10897</v>
      </c>
      <c r="I511" s="103"/>
      <c r="J511" s="103" t="s">
        <v>10898</v>
      </c>
      <c r="K511" s="103"/>
      <c r="L511" s="106">
        <v>2265.92</v>
      </c>
      <c r="M511" s="103" t="s">
        <v>10722</v>
      </c>
      <c r="N511" s="106">
        <v>19474816.1216758</v>
      </c>
      <c r="O511" s="103" t="s">
        <v>10899</v>
      </c>
      <c r="R511" s="58"/>
      <c r="S511" s="58"/>
      <c r="T511" s="58"/>
      <c r="U511" s="58"/>
      <c r="V511" s="58"/>
      <c r="W511" s="58"/>
      <c r="X511" s="58"/>
    </row>
    <row r="512" ht="38.25" spans="1:24">
      <c r="A512" s="103" t="s">
        <v>4222</v>
      </c>
      <c r="B512" s="104" t="s">
        <v>132</v>
      </c>
      <c r="C512" s="104" t="s">
        <v>1329</v>
      </c>
      <c r="D512" s="104" t="s">
        <v>2961</v>
      </c>
      <c r="E512" s="105" t="s">
        <v>134</v>
      </c>
      <c r="F512" s="103" t="s">
        <v>9091</v>
      </c>
      <c r="G512" s="103"/>
      <c r="H512" s="103" t="s">
        <v>10900</v>
      </c>
      <c r="I512" s="103"/>
      <c r="J512" s="103" t="s">
        <v>10900</v>
      </c>
      <c r="K512" s="103"/>
      <c r="L512" s="106">
        <v>2254.42</v>
      </c>
      <c r="M512" s="103" t="s">
        <v>10722</v>
      </c>
      <c r="N512" s="106">
        <v>19477070.5416758</v>
      </c>
      <c r="O512" s="103" t="s">
        <v>10901</v>
      </c>
      <c r="R512" s="58"/>
      <c r="S512" s="58"/>
      <c r="T512" s="58"/>
      <c r="U512" s="58"/>
      <c r="V512" s="58"/>
      <c r="W512" s="58"/>
      <c r="X512" s="58"/>
    </row>
    <row r="513" ht="25.5" spans="1:24">
      <c r="A513" s="103" t="s">
        <v>3951</v>
      </c>
      <c r="B513" s="104" t="s">
        <v>77</v>
      </c>
      <c r="C513" s="104" t="s">
        <v>3952</v>
      </c>
      <c r="D513" s="104" t="s">
        <v>2961</v>
      </c>
      <c r="E513" s="105" t="s">
        <v>134</v>
      </c>
      <c r="F513" s="103" t="s">
        <v>10902</v>
      </c>
      <c r="G513" s="103"/>
      <c r="H513" s="103" t="s">
        <v>10903</v>
      </c>
      <c r="I513" s="103"/>
      <c r="J513" s="103" t="s">
        <v>10904</v>
      </c>
      <c r="K513" s="103"/>
      <c r="L513" s="106">
        <v>2253.4443</v>
      </c>
      <c r="M513" s="103" t="s">
        <v>10722</v>
      </c>
      <c r="N513" s="106">
        <v>19479323.9859758</v>
      </c>
      <c r="O513" s="103" t="s">
        <v>10905</v>
      </c>
      <c r="R513" s="58"/>
      <c r="S513" s="58"/>
      <c r="T513" s="58"/>
      <c r="U513" s="58"/>
      <c r="V513" s="58"/>
      <c r="W513" s="58"/>
      <c r="X513" s="58"/>
    </row>
    <row r="514" spans="1:24">
      <c r="A514" s="103" t="s">
        <v>4935</v>
      </c>
      <c r="B514" s="104" t="s">
        <v>139</v>
      </c>
      <c r="C514" s="104" t="s">
        <v>4936</v>
      </c>
      <c r="D514" s="104" t="s">
        <v>2961</v>
      </c>
      <c r="E514" s="105" t="s">
        <v>134</v>
      </c>
      <c r="F514" s="103" t="s">
        <v>10634</v>
      </c>
      <c r="G514" s="103"/>
      <c r="H514" s="103" t="s">
        <v>10906</v>
      </c>
      <c r="I514" s="103"/>
      <c r="J514" s="103" t="s">
        <v>10907</v>
      </c>
      <c r="K514" s="103"/>
      <c r="L514" s="106">
        <v>2249.52</v>
      </c>
      <c r="M514" s="103" t="s">
        <v>10722</v>
      </c>
      <c r="N514" s="106">
        <v>19481573.5059758</v>
      </c>
      <c r="O514" s="103" t="s">
        <v>10908</v>
      </c>
      <c r="R514" s="58"/>
      <c r="S514" s="58"/>
      <c r="T514" s="58"/>
      <c r="U514" s="58"/>
      <c r="V514" s="58"/>
      <c r="W514" s="58"/>
      <c r="X514" s="58"/>
    </row>
    <row r="515" spans="1:24">
      <c r="A515" s="103" t="s">
        <v>4359</v>
      </c>
      <c r="B515" s="104" t="s">
        <v>139</v>
      </c>
      <c r="C515" s="104" t="s">
        <v>4360</v>
      </c>
      <c r="D515" s="104" t="s">
        <v>2961</v>
      </c>
      <c r="E515" s="105" t="s">
        <v>204</v>
      </c>
      <c r="F515" s="103" t="s">
        <v>10909</v>
      </c>
      <c r="G515" s="103"/>
      <c r="H515" s="103" t="s">
        <v>8910</v>
      </c>
      <c r="I515" s="103"/>
      <c r="J515" s="103" t="s">
        <v>10910</v>
      </c>
      <c r="K515" s="103"/>
      <c r="L515" s="106">
        <v>2239.65</v>
      </c>
      <c r="M515" s="103" t="s">
        <v>10722</v>
      </c>
      <c r="N515" s="106">
        <v>19483813.1559758</v>
      </c>
      <c r="O515" s="103" t="s">
        <v>10911</v>
      </c>
      <c r="R515" s="58"/>
      <c r="S515" s="58"/>
      <c r="T515" s="58"/>
      <c r="U515" s="58"/>
      <c r="V515" s="58"/>
      <c r="W515" s="58"/>
      <c r="X515" s="58"/>
    </row>
    <row r="516" ht="25.5" spans="1:24">
      <c r="A516" s="103" t="s">
        <v>3117</v>
      </c>
      <c r="B516" s="104" t="s">
        <v>139</v>
      </c>
      <c r="C516" s="104" t="s">
        <v>3118</v>
      </c>
      <c r="D516" s="104" t="s">
        <v>2961</v>
      </c>
      <c r="E516" s="105" t="s">
        <v>3069</v>
      </c>
      <c r="F516" s="103" t="s">
        <v>10912</v>
      </c>
      <c r="G516" s="103"/>
      <c r="H516" s="103" t="s">
        <v>10913</v>
      </c>
      <c r="I516" s="103"/>
      <c r="J516" s="103" t="s">
        <v>10914</v>
      </c>
      <c r="K516" s="103"/>
      <c r="L516" s="106">
        <v>2186.38753067</v>
      </c>
      <c r="M516" s="103" t="s">
        <v>10722</v>
      </c>
      <c r="N516" s="106">
        <v>19485999.5435065</v>
      </c>
      <c r="O516" s="103" t="s">
        <v>10915</v>
      </c>
      <c r="R516" s="58"/>
      <c r="S516" s="58"/>
      <c r="T516" s="58"/>
      <c r="U516" s="58"/>
      <c r="V516" s="58"/>
      <c r="W516" s="58"/>
      <c r="X516" s="58"/>
    </row>
    <row r="517" ht="25.5" spans="1:24">
      <c r="A517" s="103" t="s">
        <v>5386</v>
      </c>
      <c r="B517" s="104" t="s">
        <v>139</v>
      </c>
      <c r="C517" s="104" t="s">
        <v>5387</v>
      </c>
      <c r="D517" s="104" t="s">
        <v>2961</v>
      </c>
      <c r="E517" s="105" t="s">
        <v>2897</v>
      </c>
      <c r="F517" s="103" t="s">
        <v>10916</v>
      </c>
      <c r="G517" s="103"/>
      <c r="H517" s="103" t="s">
        <v>9021</v>
      </c>
      <c r="I517" s="103"/>
      <c r="J517" s="103" t="s">
        <v>10917</v>
      </c>
      <c r="K517" s="103"/>
      <c r="L517" s="106">
        <v>2166.58822770842</v>
      </c>
      <c r="M517" s="103" t="s">
        <v>10722</v>
      </c>
      <c r="N517" s="106">
        <v>19488166.1317342</v>
      </c>
      <c r="O517" s="103" t="s">
        <v>10918</v>
      </c>
      <c r="R517" s="58"/>
      <c r="S517" s="58"/>
      <c r="T517" s="58"/>
      <c r="U517" s="58"/>
      <c r="V517" s="58"/>
      <c r="W517" s="58"/>
      <c r="X517" s="58"/>
    </row>
    <row r="518" spans="1:24">
      <c r="A518" s="103" t="s">
        <v>4211</v>
      </c>
      <c r="B518" s="104" t="s">
        <v>132</v>
      </c>
      <c r="C518" s="104" t="s">
        <v>1308</v>
      </c>
      <c r="D518" s="104" t="s">
        <v>2961</v>
      </c>
      <c r="E518" s="105" t="s">
        <v>134</v>
      </c>
      <c r="F518" s="103" t="s">
        <v>9183</v>
      </c>
      <c r="G518" s="103"/>
      <c r="H518" s="103" t="s">
        <v>10919</v>
      </c>
      <c r="I518" s="103"/>
      <c r="J518" s="103" t="s">
        <v>10920</v>
      </c>
      <c r="K518" s="103"/>
      <c r="L518" s="106">
        <v>2142</v>
      </c>
      <c r="M518" s="103" t="s">
        <v>10722</v>
      </c>
      <c r="N518" s="106">
        <v>19490308.1317342</v>
      </c>
      <c r="O518" s="103" t="s">
        <v>10921</v>
      </c>
      <c r="R518" s="58"/>
      <c r="S518" s="58"/>
      <c r="T518" s="58"/>
      <c r="U518" s="58"/>
      <c r="V518" s="58"/>
      <c r="W518" s="58"/>
      <c r="X518" s="58"/>
    </row>
    <row r="519" ht="25.5" spans="1:24">
      <c r="A519" s="103" t="s">
        <v>3945</v>
      </c>
      <c r="B519" s="104" t="s">
        <v>77</v>
      </c>
      <c r="C519" s="104" t="s">
        <v>3946</v>
      </c>
      <c r="D519" s="104" t="s">
        <v>2961</v>
      </c>
      <c r="E519" s="105" t="s">
        <v>134</v>
      </c>
      <c r="F519" s="103" t="s">
        <v>10922</v>
      </c>
      <c r="G519" s="103"/>
      <c r="H519" s="103" t="s">
        <v>8177</v>
      </c>
      <c r="I519" s="103"/>
      <c r="J519" s="103" t="s">
        <v>10923</v>
      </c>
      <c r="K519" s="103"/>
      <c r="L519" s="106">
        <v>2116.37484</v>
      </c>
      <c r="M519" s="103" t="s">
        <v>10722</v>
      </c>
      <c r="N519" s="106">
        <v>19492424.5065742</v>
      </c>
      <c r="O519" s="103" t="s">
        <v>10924</v>
      </c>
      <c r="R519" s="58"/>
      <c r="S519" s="58"/>
      <c r="T519" s="58"/>
      <c r="U519" s="58"/>
      <c r="V519" s="58"/>
      <c r="W519" s="58"/>
      <c r="X519" s="58"/>
    </row>
    <row r="520" ht="25.5" spans="1:24">
      <c r="A520" s="103" t="s">
        <v>3826</v>
      </c>
      <c r="B520" s="104" t="s">
        <v>149</v>
      </c>
      <c r="C520" s="104" t="s">
        <v>921</v>
      </c>
      <c r="D520" s="104" t="s">
        <v>2961</v>
      </c>
      <c r="E520" s="105" t="s">
        <v>134</v>
      </c>
      <c r="F520" s="103" t="s">
        <v>10925</v>
      </c>
      <c r="G520" s="103"/>
      <c r="H520" s="103" t="s">
        <v>10926</v>
      </c>
      <c r="I520" s="103"/>
      <c r="J520" s="103" t="s">
        <v>10927</v>
      </c>
      <c r="K520" s="103"/>
      <c r="L520" s="106">
        <v>2097.15</v>
      </c>
      <c r="M520" s="103" t="s">
        <v>10722</v>
      </c>
      <c r="N520" s="106">
        <v>19494521.6565742</v>
      </c>
      <c r="O520" s="103" t="s">
        <v>10928</v>
      </c>
      <c r="R520" s="58"/>
      <c r="S520" s="58"/>
      <c r="T520" s="58"/>
      <c r="U520" s="58"/>
      <c r="V520" s="58"/>
      <c r="W520" s="58"/>
      <c r="X520" s="58"/>
    </row>
    <row r="521" ht="51" spans="1:24">
      <c r="A521" s="103" t="s">
        <v>5832</v>
      </c>
      <c r="B521" s="104" t="s">
        <v>77</v>
      </c>
      <c r="C521" s="104" t="s">
        <v>5833</v>
      </c>
      <c r="D521" s="104" t="s">
        <v>2961</v>
      </c>
      <c r="E521" s="105" t="s">
        <v>134</v>
      </c>
      <c r="F521" s="103" t="s">
        <v>10929</v>
      </c>
      <c r="G521" s="103"/>
      <c r="H521" s="103" t="s">
        <v>10930</v>
      </c>
      <c r="I521" s="103"/>
      <c r="J521" s="103" t="s">
        <v>10931</v>
      </c>
      <c r="K521" s="103"/>
      <c r="L521" s="106">
        <v>2056.68</v>
      </c>
      <c r="M521" s="103" t="s">
        <v>10722</v>
      </c>
      <c r="N521" s="106">
        <v>19496578.3365742</v>
      </c>
      <c r="O521" s="103" t="s">
        <v>10932</v>
      </c>
      <c r="R521" s="58"/>
      <c r="S521" s="58"/>
      <c r="T521" s="58"/>
      <c r="U521" s="58"/>
      <c r="V521" s="58"/>
      <c r="W521" s="58"/>
      <c r="X521" s="58"/>
    </row>
    <row r="522" ht="25.5" spans="1:24">
      <c r="A522" s="103" t="s">
        <v>4311</v>
      </c>
      <c r="B522" s="104" t="s">
        <v>77</v>
      </c>
      <c r="C522" s="104" t="s">
        <v>4312</v>
      </c>
      <c r="D522" s="104" t="s">
        <v>2961</v>
      </c>
      <c r="E522" s="105" t="s">
        <v>393</v>
      </c>
      <c r="F522" s="103" t="s">
        <v>10933</v>
      </c>
      <c r="G522" s="103"/>
      <c r="H522" s="103" t="s">
        <v>10934</v>
      </c>
      <c r="I522" s="103"/>
      <c r="J522" s="103" t="s">
        <v>10935</v>
      </c>
      <c r="K522" s="103"/>
      <c r="L522" s="106">
        <v>2047.73184</v>
      </c>
      <c r="M522" s="103" t="s">
        <v>10722</v>
      </c>
      <c r="N522" s="106">
        <v>19498626.0684142</v>
      </c>
      <c r="O522" s="103" t="s">
        <v>10936</v>
      </c>
      <c r="R522" s="58"/>
      <c r="S522" s="58"/>
      <c r="T522" s="58"/>
      <c r="U522" s="58"/>
      <c r="V522" s="58"/>
      <c r="W522" s="58"/>
      <c r="X522" s="58"/>
    </row>
    <row r="523" ht="25.5" spans="1:24">
      <c r="A523" s="103" t="s">
        <v>5440</v>
      </c>
      <c r="B523" s="104" t="s">
        <v>796</v>
      </c>
      <c r="C523" s="104" t="s">
        <v>5441</v>
      </c>
      <c r="D523" s="104" t="s">
        <v>2961</v>
      </c>
      <c r="E523" s="105" t="s">
        <v>334</v>
      </c>
      <c r="F523" s="103" t="s">
        <v>10937</v>
      </c>
      <c r="G523" s="103"/>
      <c r="H523" s="103" t="s">
        <v>9768</v>
      </c>
      <c r="I523" s="103"/>
      <c r="J523" s="103" t="s">
        <v>10938</v>
      </c>
      <c r="K523" s="103"/>
      <c r="L523" s="106">
        <v>2047.5</v>
      </c>
      <c r="M523" s="103" t="s">
        <v>10722</v>
      </c>
      <c r="N523" s="106">
        <v>19500673.5684142</v>
      </c>
      <c r="O523" s="103" t="s">
        <v>10939</v>
      </c>
      <c r="R523" s="58"/>
      <c r="S523" s="58"/>
      <c r="T523" s="58"/>
      <c r="U523" s="58"/>
      <c r="V523" s="58"/>
      <c r="W523" s="58"/>
      <c r="X523" s="58"/>
    </row>
    <row r="524" ht="25.5" spans="1:24">
      <c r="A524" s="103" t="s">
        <v>3019</v>
      </c>
      <c r="B524" s="104" t="s">
        <v>139</v>
      </c>
      <c r="C524" s="104" t="s">
        <v>3020</v>
      </c>
      <c r="D524" s="104" t="s">
        <v>2961</v>
      </c>
      <c r="E524" s="105" t="s">
        <v>204</v>
      </c>
      <c r="F524" s="103" t="s">
        <v>10940</v>
      </c>
      <c r="G524" s="103"/>
      <c r="H524" s="103" t="s">
        <v>10941</v>
      </c>
      <c r="I524" s="103"/>
      <c r="J524" s="103" t="s">
        <v>10942</v>
      </c>
      <c r="K524" s="103"/>
      <c r="L524" s="106">
        <v>2018.202348</v>
      </c>
      <c r="M524" s="103" t="s">
        <v>10722</v>
      </c>
      <c r="N524" s="106">
        <v>19502691.7707622</v>
      </c>
      <c r="O524" s="103" t="s">
        <v>10943</v>
      </c>
      <c r="R524" s="58"/>
      <c r="S524" s="58"/>
      <c r="T524" s="58"/>
      <c r="U524" s="58"/>
      <c r="V524" s="58"/>
      <c r="W524" s="58"/>
      <c r="X524" s="58"/>
    </row>
    <row r="525" spans="1:24">
      <c r="A525" s="103" t="s">
        <v>3475</v>
      </c>
      <c r="B525" s="104" t="s">
        <v>139</v>
      </c>
      <c r="C525" s="104" t="s">
        <v>3476</v>
      </c>
      <c r="D525" s="104" t="s">
        <v>2961</v>
      </c>
      <c r="E525" s="105" t="s">
        <v>3084</v>
      </c>
      <c r="F525" s="103" t="s">
        <v>10944</v>
      </c>
      <c r="G525" s="103"/>
      <c r="H525" s="103" t="s">
        <v>10945</v>
      </c>
      <c r="I525" s="103"/>
      <c r="J525" s="103" t="s">
        <v>10946</v>
      </c>
      <c r="K525" s="103"/>
      <c r="L525" s="106">
        <v>2011.401133</v>
      </c>
      <c r="M525" s="103" t="s">
        <v>10722</v>
      </c>
      <c r="N525" s="106">
        <v>19504703.1718952</v>
      </c>
      <c r="O525" s="103" t="s">
        <v>10947</v>
      </c>
      <c r="R525" s="58"/>
      <c r="S525" s="58"/>
      <c r="T525" s="58"/>
      <c r="U525" s="58"/>
      <c r="V525" s="58"/>
      <c r="W525" s="58"/>
      <c r="X525" s="58"/>
    </row>
    <row r="526" ht="38.25" spans="1:24">
      <c r="A526" s="103" t="s">
        <v>4459</v>
      </c>
      <c r="B526" s="104" t="s">
        <v>139</v>
      </c>
      <c r="C526" s="104" t="s">
        <v>4460</v>
      </c>
      <c r="D526" s="104" t="s">
        <v>2961</v>
      </c>
      <c r="E526" s="105" t="s">
        <v>134</v>
      </c>
      <c r="F526" s="103" t="s">
        <v>10712</v>
      </c>
      <c r="G526" s="103"/>
      <c r="H526" s="103" t="s">
        <v>10948</v>
      </c>
      <c r="I526" s="103"/>
      <c r="J526" s="103" t="s">
        <v>10949</v>
      </c>
      <c r="K526" s="103"/>
      <c r="L526" s="106">
        <v>1980.16</v>
      </c>
      <c r="M526" s="103" t="s">
        <v>10722</v>
      </c>
      <c r="N526" s="106">
        <v>19506683.3318952</v>
      </c>
      <c r="O526" s="103" t="s">
        <v>10950</v>
      </c>
      <c r="R526" s="58"/>
      <c r="S526" s="58"/>
      <c r="T526" s="58"/>
      <c r="U526" s="58"/>
      <c r="V526" s="58"/>
      <c r="W526" s="58"/>
      <c r="X526" s="58"/>
    </row>
    <row r="527" ht="25.5" spans="1:24">
      <c r="A527" s="103" t="s">
        <v>4468</v>
      </c>
      <c r="B527" s="104" t="s">
        <v>139</v>
      </c>
      <c r="C527" s="104" t="s">
        <v>4469</v>
      </c>
      <c r="D527" s="104" t="s">
        <v>2961</v>
      </c>
      <c r="E527" s="105" t="s">
        <v>134</v>
      </c>
      <c r="F527" s="103" t="s">
        <v>10951</v>
      </c>
      <c r="G527" s="103"/>
      <c r="H527" s="103" t="s">
        <v>10952</v>
      </c>
      <c r="I527" s="103"/>
      <c r="J527" s="103" t="s">
        <v>10953</v>
      </c>
      <c r="K527" s="103"/>
      <c r="L527" s="106">
        <v>1972.88</v>
      </c>
      <c r="M527" s="103" t="s">
        <v>10722</v>
      </c>
      <c r="N527" s="106">
        <v>19508656.2118952</v>
      </c>
      <c r="O527" s="103" t="s">
        <v>10954</v>
      </c>
      <c r="R527" s="58"/>
      <c r="S527" s="58"/>
      <c r="T527" s="58"/>
      <c r="U527" s="58"/>
      <c r="V527" s="58"/>
      <c r="W527" s="58"/>
      <c r="X527" s="58"/>
    </row>
    <row r="528" ht="38.25" spans="1:24">
      <c r="A528" s="103" t="s">
        <v>3629</v>
      </c>
      <c r="B528" s="104" t="s">
        <v>77</v>
      </c>
      <c r="C528" s="104" t="s">
        <v>3630</v>
      </c>
      <c r="D528" s="104" t="s">
        <v>2896</v>
      </c>
      <c r="E528" s="105" t="s">
        <v>2897</v>
      </c>
      <c r="F528" s="103" t="s">
        <v>10955</v>
      </c>
      <c r="G528" s="103"/>
      <c r="H528" s="103" t="s">
        <v>9371</v>
      </c>
      <c r="I528" s="103"/>
      <c r="J528" s="103" t="s">
        <v>10956</v>
      </c>
      <c r="K528" s="103"/>
      <c r="L528" s="106">
        <v>1968.362136</v>
      </c>
      <c r="M528" s="103" t="s">
        <v>10722</v>
      </c>
      <c r="N528" s="106">
        <v>19510624.5740312</v>
      </c>
      <c r="O528" s="103" t="s">
        <v>10957</v>
      </c>
      <c r="R528" s="58"/>
      <c r="S528" s="58"/>
      <c r="T528" s="58"/>
      <c r="U528" s="58"/>
      <c r="V528" s="58"/>
      <c r="W528" s="58"/>
      <c r="X528" s="58"/>
    </row>
    <row r="529" ht="38.25" spans="1:24">
      <c r="A529" s="103" t="s">
        <v>4119</v>
      </c>
      <c r="B529" s="104" t="s">
        <v>139</v>
      </c>
      <c r="C529" s="104" t="s">
        <v>4120</v>
      </c>
      <c r="D529" s="104" t="s">
        <v>2961</v>
      </c>
      <c r="E529" s="105" t="s">
        <v>204</v>
      </c>
      <c r="F529" s="103" t="s">
        <v>10762</v>
      </c>
      <c r="G529" s="103"/>
      <c r="H529" s="103" t="s">
        <v>10958</v>
      </c>
      <c r="I529" s="103"/>
      <c r="J529" s="103" t="s">
        <v>10959</v>
      </c>
      <c r="K529" s="103"/>
      <c r="L529" s="106">
        <v>1964.572</v>
      </c>
      <c r="M529" s="103" t="s">
        <v>10722</v>
      </c>
      <c r="N529" s="106">
        <v>19512589.1460312</v>
      </c>
      <c r="O529" s="103" t="s">
        <v>10960</v>
      </c>
      <c r="R529" s="58"/>
      <c r="S529" s="58"/>
      <c r="T529" s="58"/>
      <c r="U529" s="58"/>
      <c r="V529" s="58"/>
      <c r="W529" s="58"/>
      <c r="X529" s="58"/>
    </row>
    <row r="530" spans="1:24">
      <c r="A530" s="103" t="s">
        <v>5418</v>
      </c>
      <c r="B530" s="104" t="s">
        <v>139</v>
      </c>
      <c r="C530" s="104" t="s">
        <v>5419</v>
      </c>
      <c r="D530" s="104" t="s">
        <v>2896</v>
      </c>
      <c r="E530" s="105" t="s">
        <v>2925</v>
      </c>
      <c r="F530" s="103" t="s">
        <v>10508</v>
      </c>
      <c r="G530" s="103"/>
      <c r="H530" s="103" t="s">
        <v>10961</v>
      </c>
      <c r="I530" s="103"/>
      <c r="J530" s="103" t="s">
        <v>10962</v>
      </c>
      <c r="K530" s="103"/>
      <c r="L530" s="106">
        <v>1963.5453258</v>
      </c>
      <c r="M530" s="103" t="s">
        <v>10722</v>
      </c>
      <c r="N530" s="106">
        <v>19514552.691357</v>
      </c>
      <c r="O530" s="103" t="s">
        <v>10963</v>
      </c>
      <c r="R530" s="58"/>
      <c r="S530" s="58"/>
      <c r="T530" s="58"/>
      <c r="U530" s="58"/>
      <c r="V530" s="58"/>
      <c r="W530" s="58"/>
      <c r="X530" s="58"/>
    </row>
    <row r="531" ht="25.5" spans="1:24">
      <c r="A531" s="103" t="s">
        <v>4309</v>
      </c>
      <c r="B531" s="104" t="s">
        <v>77</v>
      </c>
      <c r="C531" s="104" t="s">
        <v>4310</v>
      </c>
      <c r="D531" s="104" t="s">
        <v>2961</v>
      </c>
      <c r="E531" s="105" t="s">
        <v>141</v>
      </c>
      <c r="F531" s="103" t="s">
        <v>10964</v>
      </c>
      <c r="G531" s="103"/>
      <c r="H531" s="103" t="s">
        <v>10965</v>
      </c>
      <c r="I531" s="103"/>
      <c r="J531" s="103" t="s">
        <v>10966</v>
      </c>
      <c r="K531" s="103"/>
      <c r="L531" s="106">
        <v>1950.3099</v>
      </c>
      <c r="M531" s="103" t="s">
        <v>10722</v>
      </c>
      <c r="N531" s="106">
        <v>19516503.001257</v>
      </c>
      <c r="O531" s="103" t="s">
        <v>10967</v>
      </c>
      <c r="R531" s="58"/>
      <c r="S531" s="58"/>
      <c r="T531" s="58"/>
      <c r="U531" s="58"/>
      <c r="V531" s="58"/>
      <c r="W531" s="58"/>
      <c r="X531" s="58"/>
    </row>
    <row r="532" ht="25.5" spans="1:24">
      <c r="A532" s="103" t="s">
        <v>4526</v>
      </c>
      <c r="B532" s="104" t="s">
        <v>149</v>
      </c>
      <c r="C532" s="104" t="s">
        <v>4527</v>
      </c>
      <c r="D532" s="104" t="s">
        <v>2961</v>
      </c>
      <c r="E532" s="105" t="s">
        <v>134</v>
      </c>
      <c r="F532" s="103" t="s">
        <v>10423</v>
      </c>
      <c r="G532" s="103"/>
      <c r="H532" s="103" t="s">
        <v>10968</v>
      </c>
      <c r="I532" s="103"/>
      <c r="J532" s="103" t="s">
        <v>10969</v>
      </c>
      <c r="K532" s="103"/>
      <c r="L532" s="106">
        <v>1950</v>
      </c>
      <c r="M532" s="103" t="s">
        <v>10722</v>
      </c>
      <c r="N532" s="106">
        <v>19518453.001257</v>
      </c>
      <c r="O532" s="103" t="s">
        <v>10970</v>
      </c>
      <c r="R532" s="58"/>
      <c r="S532" s="58"/>
      <c r="T532" s="58"/>
      <c r="U532" s="58"/>
      <c r="V532" s="58"/>
      <c r="W532" s="58"/>
      <c r="X532" s="58"/>
    </row>
    <row r="533" ht="25.5" spans="1:24">
      <c r="A533" s="103" t="s">
        <v>5348</v>
      </c>
      <c r="B533" s="104" t="s">
        <v>139</v>
      </c>
      <c r="C533" s="104" t="s">
        <v>5349</v>
      </c>
      <c r="D533" s="104" t="s">
        <v>2961</v>
      </c>
      <c r="E533" s="105" t="s">
        <v>2925</v>
      </c>
      <c r="F533" s="103" t="s">
        <v>9566</v>
      </c>
      <c r="G533" s="103"/>
      <c r="H533" s="103" t="s">
        <v>10971</v>
      </c>
      <c r="I533" s="103"/>
      <c r="J533" s="103" t="s">
        <v>10972</v>
      </c>
      <c r="K533" s="103"/>
      <c r="L533" s="106">
        <v>1947.96</v>
      </c>
      <c r="M533" s="103" t="s">
        <v>10722</v>
      </c>
      <c r="N533" s="106">
        <v>19520400.961257</v>
      </c>
      <c r="O533" s="103" t="s">
        <v>10973</v>
      </c>
      <c r="R533" s="58"/>
      <c r="S533" s="58"/>
      <c r="T533" s="58"/>
      <c r="U533" s="58"/>
      <c r="V533" s="58"/>
      <c r="W533" s="58"/>
      <c r="X533" s="58"/>
    </row>
    <row r="534" ht="25.5" spans="1:24">
      <c r="A534" s="103" t="s">
        <v>3954</v>
      </c>
      <c r="B534" s="104" t="s">
        <v>149</v>
      </c>
      <c r="C534" s="104" t="s">
        <v>3955</v>
      </c>
      <c r="D534" s="104" t="s">
        <v>2961</v>
      </c>
      <c r="E534" s="105" t="s">
        <v>204</v>
      </c>
      <c r="F534" s="103" t="s">
        <v>10974</v>
      </c>
      <c r="G534" s="103"/>
      <c r="H534" s="103" t="s">
        <v>10975</v>
      </c>
      <c r="I534" s="103"/>
      <c r="J534" s="103" t="s">
        <v>10976</v>
      </c>
      <c r="K534" s="103"/>
      <c r="L534" s="106">
        <v>1945.68</v>
      </c>
      <c r="M534" s="103" t="s">
        <v>10722</v>
      </c>
      <c r="N534" s="106">
        <v>19522346.641257</v>
      </c>
      <c r="O534" s="103" t="s">
        <v>10977</v>
      </c>
      <c r="R534" s="58"/>
      <c r="S534" s="58"/>
      <c r="T534" s="58"/>
      <c r="U534" s="58"/>
      <c r="V534" s="58"/>
      <c r="W534" s="58"/>
      <c r="X534" s="58"/>
    </row>
    <row r="535" ht="25.5" spans="1:24">
      <c r="A535" s="103" t="s">
        <v>5126</v>
      </c>
      <c r="B535" s="104" t="s">
        <v>132</v>
      </c>
      <c r="C535" s="104" t="s">
        <v>5127</v>
      </c>
      <c r="D535" s="104" t="s">
        <v>2961</v>
      </c>
      <c r="E535" s="105" t="s">
        <v>134</v>
      </c>
      <c r="F535" s="103" t="s">
        <v>10978</v>
      </c>
      <c r="G535" s="103"/>
      <c r="H535" s="103" t="s">
        <v>10720</v>
      </c>
      <c r="I535" s="103"/>
      <c r="J535" s="103" t="s">
        <v>10979</v>
      </c>
      <c r="K535" s="103"/>
      <c r="L535" s="106">
        <v>1941.96282</v>
      </c>
      <c r="M535" s="103" t="s">
        <v>10722</v>
      </c>
      <c r="N535" s="106">
        <v>19524288.604077</v>
      </c>
      <c r="O535" s="103" t="s">
        <v>10980</v>
      </c>
      <c r="R535" s="58"/>
      <c r="S535" s="58"/>
      <c r="T535" s="58"/>
      <c r="U535" s="58"/>
      <c r="V535" s="58"/>
      <c r="W535" s="58"/>
      <c r="X535" s="58"/>
    </row>
    <row r="536" ht="38.25" spans="1:24">
      <c r="A536" s="103" t="s">
        <v>3462</v>
      </c>
      <c r="B536" s="104" t="s">
        <v>139</v>
      </c>
      <c r="C536" s="104" t="s">
        <v>3463</v>
      </c>
      <c r="D536" s="104" t="s">
        <v>2961</v>
      </c>
      <c r="E536" s="105" t="s">
        <v>1491</v>
      </c>
      <c r="F536" s="103" t="s">
        <v>10981</v>
      </c>
      <c r="G536" s="103"/>
      <c r="H536" s="103" t="s">
        <v>10982</v>
      </c>
      <c r="I536" s="103"/>
      <c r="J536" s="103" t="s">
        <v>10983</v>
      </c>
      <c r="K536" s="103"/>
      <c r="L536" s="106">
        <v>1941.204</v>
      </c>
      <c r="M536" s="103" t="s">
        <v>10722</v>
      </c>
      <c r="N536" s="106">
        <v>19526229.808077</v>
      </c>
      <c r="O536" s="103" t="s">
        <v>10984</v>
      </c>
      <c r="R536" s="58"/>
      <c r="S536" s="58"/>
      <c r="T536" s="58"/>
      <c r="U536" s="58"/>
      <c r="V536" s="58"/>
      <c r="W536" s="58"/>
      <c r="X536" s="58"/>
    </row>
    <row r="537" ht="25.5" spans="1:24">
      <c r="A537" s="103" t="s">
        <v>4713</v>
      </c>
      <c r="B537" s="104" t="s">
        <v>149</v>
      </c>
      <c r="C537" s="104" t="s">
        <v>4714</v>
      </c>
      <c r="D537" s="104" t="s">
        <v>2961</v>
      </c>
      <c r="E537" s="105" t="s">
        <v>134</v>
      </c>
      <c r="F537" s="103" t="s">
        <v>10492</v>
      </c>
      <c r="G537" s="103"/>
      <c r="H537" s="103" t="s">
        <v>7996</v>
      </c>
      <c r="I537" s="103"/>
      <c r="J537" s="103" t="s">
        <v>10985</v>
      </c>
      <c r="K537" s="103"/>
      <c r="L537" s="106">
        <v>1938</v>
      </c>
      <c r="M537" s="103" t="s">
        <v>10722</v>
      </c>
      <c r="N537" s="106">
        <v>19528167.808077</v>
      </c>
      <c r="O537" s="103" t="s">
        <v>10986</v>
      </c>
      <c r="R537" s="58"/>
      <c r="S537" s="58"/>
      <c r="T537" s="58"/>
      <c r="U537" s="58"/>
      <c r="V537" s="58"/>
      <c r="W537" s="58"/>
      <c r="X537" s="58"/>
    </row>
    <row r="538" spans="1:24">
      <c r="A538" s="103" t="s">
        <v>5746</v>
      </c>
      <c r="B538" s="104" t="s">
        <v>139</v>
      </c>
      <c r="C538" s="104" t="s">
        <v>5747</v>
      </c>
      <c r="D538" s="104" t="s">
        <v>2896</v>
      </c>
      <c r="E538" s="105" t="s">
        <v>2897</v>
      </c>
      <c r="F538" s="103" t="s">
        <v>10987</v>
      </c>
      <c r="G538" s="103"/>
      <c r="H538" s="103" t="s">
        <v>10988</v>
      </c>
      <c r="I538" s="103"/>
      <c r="J538" s="103" t="s">
        <v>10989</v>
      </c>
      <c r="K538" s="103"/>
      <c r="L538" s="106">
        <v>1924.26505758211</v>
      </c>
      <c r="M538" s="103" t="s">
        <v>10722</v>
      </c>
      <c r="N538" s="106">
        <v>19530092.0731346</v>
      </c>
      <c r="O538" s="103" t="s">
        <v>10990</v>
      </c>
      <c r="R538" s="58"/>
      <c r="S538" s="58"/>
      <c r="T538" s="58"/>
      <c r="U538" s="58"/>
      <c r="V538" s="58"/>
      <c r="W538" s="58"/>
      <c r="X538" s="58"/>
    </row>
    <row r="539" spans="1:24">
      <c r="A539" s="103" t="s">
        <v>4213</v>
      </c>
      <c r="B539" s="104" t="s">
        <v>132</v>
      </c>
      <c r="C539" s="104" t="s">
        <v>1314</v>
      </c>
      <c r="D539" s="104" t="s">
        <v>2961</v>
      </c>
      <c r="E539" s="105" t="s">
        <v>134</v>
      </c>
      <c r="F539" s="103" t="s">
        <v>9183</v>
      </c>
      <c r="G539" s="103"/>
      <c r="H539" s="103" t="s">
        <v>10991</v>
      </c>
      <c r="I539" s="103"/>
      <c r="J539" s="103" t="s">
        <v>10992</v>
      </c>
      <c r="K539" s="103"/>
      <c r="L539" s="106">
        <v>1909.62</v>
      </c>
      <c r="M539" s="103" t="s">
        <v>10722</v>
      </c>
      <c r="N539" s="106">
        <v>19532001.6931346</v>
      </c>
      <c r="O539" s="103" t="s">
        <v>10993</v>
      </c>
      <c r="R539" s="58"/>
      <c r="S539" s="58"/>
      <c r="T539" s="58"/>
      <c r="U539" s="58"/>
      <c r="V539" s="58"/>
      <c r="W539" s="58"/>
      <c r="X539" s="58"/>
    </row>
    <row r="540" ht="25.5" spans="1:24">
      <c r="A540" s="103" t="s">
        <v>3460</v>
      </c>
      <c r="B540" s="104" t="s">
        <v>77</v>
      </c>
      <c r="C540" s="104" t="s">
        <v>3461</v>
      </c>
      <c r="D540" s="104" t="s">
        <v>2896</v>
      </c>
      <c r="E540" s="105" t="s">
        <v>2897</v>
      </c>
      <c r="F540" s="103" t="s">
        <v>10994</v>
      </c>
      <c r="G540" s="103"/>
      <c r="H540" s="103" t="s">
        <v>9322</v>
      </c>
      <c r="I540" s="103"/>
      <c r="J540" s="103" t="s">
        <v>10995</v>
      </c>
      <c r="K540" s="103"/>
      <c r="L540" s="106">
        <v>1905.5941317</v>
      </c>
      <c r="M540" s="103" t="s">
        <v>10722</v>
      </c>
      <c r="N540" s="106">
        <v>19533907.2872663</v>
      </c>
      <c r="O540" s="103" t="s">
        <v>10996</v>
      </c>
      <c r="R540" s="58"/>
      <c r="S540" s="58"/>
      <c r="T540" s="58"/>
      <c r="U540" s="58"/>
      <c r="V540" s="58"/>
      <c r="W540" s="58"/>
      <c r="X540" s="58"/>
    </row>
    <row r="541" spans="1:24">
      <c r="A541" s="103" t="s">
        <v>4970</v>
      </c>
      <c r="B541" s="104" t="s">
        <v>149</v>
      </c>
      <c r="C541" s="104" t="s">
        <v>4971</v>
      </c>
      <c r="D541" s="104" t="s">
        <v>2961</v>
      </c>
      <c r="E541" s="105" t="s">
        <v>134</v>
      </c>
      <c r="F541" s="103" t="s">
        <v>10006</v>
      </c>
      <c r="G541" s="103"/>
      <c r="H541" s="103" t="s">
        <v>9281</v>
      </c>
      <c r="I541" s="103"/>
      <c r="J541" s="103" t="s">
        <v>10997</v>
      </c>
      <c r="K541" s="103"/>
      <c r="L541" s="106">
        <v>1900.08</v>
      </c>
      <c r="M541" s="103" t="s">
        <v>10722</v>
      </c>
      <c r="N541" s="106">
        <v>19535807.3672663</v>
      </c>
      <c r="O541" s="103" t="s">
        <v>10998</v>
      </c>
      <c r="R541" s="58"/>
      <c r="S541" s="58"/>
      <c r="T541" s="58"/>
      <c r="U541" s="58"/>
      <c r="V541" s="58"/>
      <c r="W541" s="58"/>
      <c r="X541" s="58"/>
    </row>
    <row r="542" ht="25.5" spans="1:24">
      <c r="A542" s="103" t="s">
        <v>5276</v>
      </c>
      <c r="B542" s="104" t="s">
        <v>149</v>
      </c>
      <c r="C542" s="104" t="s">
        <v>5277</v>
      </c>
      <c r="D542" s="104" t="s">
        <v>2961</v>
      </c>
      <c r="E542" s="105" t="s">
        <v>134</v>
      </c>
      <c r="F542" s="103" t="s">
        <v>9585</v>
      </c>
      <c r="G542" s="103"/>
      <c r="H542" s="103" t="s">
        <v>10999</v>
      </c>
      <c r="I542" s="103"/>
      <c r="J542" s="103" t="s">
        <v>11000</v>
      </c>
      <c r="K542" s="103"/>
      <c r="L542" s="106">
        <v>1890</v>
      </c>
      <c r="M542" s="103" t="s">
        <v>10722</v>
      </c>
      <c r="N542" s="106">
        <v>19537697.3672663</v>
      </c>
      <c r="O542" s="103" t="s">
        <v>11001</v>
      </c>
      <c r="R542" s="58"/>
      <c r="S542" s="58"/>
      <c r="T542" s="58"/>
      <c r="U542" s="58"/>
      <c r="V542" s="58"/>
      <c r="W542" s="58"/>
      <c r="X542" s="58"/>
    </row>
    <row r="543" ht="38.25" spans="1:24">
      <c r="A543" s="103" t="s">
        <v>5324</v>
      </c>
      <c r="B543" s="104" t="s">
        <v>139</v>
      </c>
      <c r="C543" s="104" t="s">
        <v>5325</v>
      </c>
      <c r="D543" s="104" t="s">
        <v>2961</v>
      </c>
      <c r="E543" s="105" t="s">
        <v>2897</v>
      </c>
      <c r="F543" s="103" t="s">
        <v>10355</v>
      </c>
      <c r="G543" s="103"/>
      <c r="H543" s="103" t="s">
        <v>8627</v>
      </c>
      <c r="I543" s="103"/>
      <c r="J543" s="103" t="s">
        <v>11002</v>
      </c>
      <c r="K543" s="103"/>
      <c r="L543" s="106">
        <v>1883.59595677264</v>
      </c>
      <c r="M543" s="103" t="s">
        <v>10722</v>
      </c>
      <c r="N543" s="106">
        <v>19539580.963223</v>
      </c>
      <c r="O543" s="103" t="s">
        <v>11003</v>
      </c>
      <c r="R543" s="58"/>
      <c r="S543" s="58"/>
      <c r="T543" s="58"/>
      <c r="U543" s="58"/>
      <c r="V543" s="58"/>
      <c r="W543" s="58"/>
      <c r="X543" s="58"/>
    </row>
    <row r="544" spans="1:24">
      <c r="A544" s="103" t="s">
        <v>4521</v>
      </c>
      <c r="B544" s="104" t="s">
        <v>149</v>
      </c>
      <c r="C544" s="104" t="s">
        <v>4522</v>
      </c>
      <c r="D544" s="104" t="s">
        <v>2961</v>
      </c>
      <c r="E544" s="105" t="s">
        <v>134</v>
      </c>
      <c r="F544" s="103" t="s">
        <v>9418</v>
      </c>
      <c r="G544" s="103"/>
      <c r="H544" s="103" t="s">
        <v>11004</v>
      </c>
      <c r="I544" s="103"/>
      <c r="J544" s="103" t="s">
        <v>11005</v>
      </c>
      <c r="K544" s="103"/>
      <c r="L544" s="106">
        <v>1856</v>
      </c>
      <c r="M544" s="103" t="s">
        <v>10722</v>
      </c>
      <c r="N544" s="106">
        <v>19541436.963223</v>
      </c>
      <c r="O544" s="103" t="s">
        <v>11006</v>
      </c>
      <c r="R544" s="58"/>
      <c r="S544" s="58"/>
      <c r="T544" s="58"/>
      <c r="U544" s="58"/>
      <c r="V544" s="58"/>
      <c r="W544" s="58"/>
      <c r="X544" s="58"/>
    </row>
    <row r="545" ht="38.25" spans="1:24">
      <c r="A545" s="103" t="s">
        <v>5289</v>
      </c>
      <c r="B545" s="104" t="s">
        <v>77</v>
      </c>
      <c r="C545" s="104" t="s">
        <v>5290</v>
      </c>
      <c r="D545" s="104" t="s">
        <v>2896</v>
      </c>
      <c r="E545" s="105" t="s">
        <v>2897</v>
      </c>
      <c r="F545" s="103" t="s">
        <v>11007</v>
      </c>
      <c r="G545" s="103"/>
      <c r="H545" s="103" t="s">
        <v>9371</v>
      </c>
      <c r="I545" s="103"/>
      <c r="J545" s="103" t="s">
        <v>11008</v>
      </c>
      <c r="K545" s="103"/>
      <c r="L545" s="106">
        <v>1849.129542</v>
      </c>
      <c r="M545" s="103" t="s">
        <v>10722</v>
      </c>
      <c r="N545" s="106">
        <v>19543286.092765</v>
      </c>
      <c r="O545" s="103" t="s">
        <v>11006</v>
      </c>
      <c r="R545" s="58"/>
      <c r="S545" s="58"/>
      <c r="T545" s="58"/>
      <c r="U545" s="58"/>
      <c r="V545" s="58"/>
      <c r="W545" s="58"/>
      <c r="X545" s="58"/>
    </row>
    <row r="546" ht="25.5" spans="1:24">
      <c r="A546" s="103" t="s">
        <v>5928</v>
      </c>
      <c r="B546" s="104" t="s">
        <v>77</v>
      </c>
      <c r="C546" s="104" t="s">
        <v>5929</v>
      </c>
      <c r="D546" s="104" t="s">
        <v>2961</v>
      </c>
      <c r="E546" s="105" t="s">
        <v>134</v>
      </c>
      <c r="F546" s="103" t="s">
        <v>11009</v>
      </c>
      <c r="G546" s="103"/>
      <c r="H546" s="103" t="s">
        <v>11010</v>
      </c>
      <c r="I546" s="103"/>
      <c r="J546" s="103" t="s">
        <v>11011</v>
      </c>
      <c r="K546" s="103"/>
      <c r="L546" s="106">
        <v>1819.04325384749</v>
      </c>
      <c r="M546" s="103" t="s">
        <v>10722</v>
      </c>
      <c r="N546" s="106">
        <v>19545105.1360189</v>
      </c>
      <c r="O546" s="103" t="s">
        <v>11012</v>
      </c>
      <c r="R546" s="58"/>
      <c r="S546" s="58"/>
      <c r="T546" s="58"/>
      <c r="U546" s="58"/>
      <c r="V546" s="58"/>
      <c r="W546" s="58"/>
      <c r="X546" s="58"/>
    </row>
    <row r="547" spans="1:24">
      <c r="A547" s="103" t="s">
        <v>3082</v>
      </c>
      <c r="B547" s="104" t="s">
        <v>139</v>
      </c>
      <c r="C547" s="104" t="s">
        <v>3083</v>
      </c>
      <c r="D547" s="104" t="s">
        <v>2961</v>
      </c>
      <c r="E547" s="105" t="s">
        <v>3084</v>
      </c>
      <c r="F547" s="103" t="s">
        <v>11013</v>
      </c>
      <c r="G547" s="103"/>
      <c r="H547" s="103" t="s">
        <v>11014</v>
      </c>
      <c r="I547" s="103"/>
      <c r="J547" s="103" t="s">
        <v>11015</v>
      </c>
      <c r="K547" s="103"/>
      <c r="L547" s="106">
        <v>1810.755</v>
      </c>
      <c r="M547" s="103" t="s">
        <v>10722</v>
      </c>
      <c r="N547" s="106">
        <v>19546915.8910189</v>
      </c>
      <c r="O547" s="103" t="s">
        <v>11016</v>
      </c>
      <c r="R547" s="58"/>
      <c r="S547" s="58"/>
      <c r="T547" s="58"/>
      <c r="U547" s="58"/>
      <c r="V547" s="58"/>
      <c r="W547" s="58"/>
      <c r="X547" s="58"/>
    </row>
    <row r="548" ht="38.25" spans="1:24">
      <c r="A548" s="103" t="s">
        <v>3753</v>
      </c>
      <c r="B548" s="104" t="s">
        <v>139</v>
      </c>
      <c r="C548" s="104" t="s">
        <v>3754</v>
      </c>
      <c r="D548" s="104" t="s">
        <v>2961</v>
      </c>
      <c r="E548" s="105" t="s">
        <v>134</v>
      </c>
      <c r="F548" s="103" t="s">
        <v>11017</v>
      </c>
      <c r="G548" s="103"/>
      <c r="H548" s="103" t="s">
        <v>11018</v>
      </c>
      <c r="I548" s="103"/>
      <c r="J548" s="103" t="s">
        <v>11019</v>
      </c>
      <c r="K548" s="103"/>
      <c r="L548" s="106">
        <v>1806.95</v>
      </c>
      <c r="M548" s="103" t="s">
        <v>10722</v>
      </c>
      <c r="N548" s="106">
        <v>19548722.8410189</v>
      </c>
      <c r="O548" s="103" t="s">
        <v>11020</v>
      </c>
      <c r="R548" s="58"/>
      <c r="S548" s="58"/>
      <c r="T548" s="58"/>
      <c r="U548" s="58"/>
      <c r="V548" s="58"/>
      <c r="W548" s="58"/>
      <c r="X548" s="58"/>
    </row>
    <row r="549" spans="1:24">
      <c r="A549" s="103" t="s">
        <v>3828</v>
      </c>
      <c r="B549" s="104" t="s">
        <v>77</v>
      </c>
      <c r="C549" s="104" t="s">
        <v>3829</v>
      </c>
      <c r="D549" s="104" t="s">
        <v>2961</v>
      </c>
      <c r="E549" s="105" t="s">
        <v>134</v>
      </c>
      <c r="F549" s="103" t="s">
        <v>9418</v>
      </c>
      <c r="G549" s="103"/>
      <c r="H549" s="103" t="s">
        <v>11021</v>
      </c>
      <c r="I549" s="103"/>
      <c r="J549" s="103" t="s">
        <v>11022</v>
      </c>
      <c r="K549" s="103"/>
      <c r="L549" s="106">
        <v>1796.84</v>
      </c>
      <c r="M549" s="103" t="s">
        <v>10722</v>
      </c>
      <c r="N549" s="106">
        <v>19550519.6810189</v>
      </c>
      <c r="O549" s="103" t="s">
        <v>11023</v>
      </c>
      <c r="R549" s="58"/>
      <c r="S549" s="58"/>
      <c r="T549" s="58"/>
      <c r="U549" s="58"/>
      <c r="V549" s="58"/>
      <c r="W549" s="58"/>
      <c r="X549" s="58"/>
    </row>
    <row r="550" ht="38.25" spans="1:24">
      <c r="A550" s="103" t="s">
        <v>3766</v>
      </c>
      <c r="B550" s="104" t="s">
        <v>139</v>
      </c>
      <c r="C550" s="104" t="s">
        <v>3767</v>
      </c>
      <c r="D550" s="104" t="s">
        <v>2961</v>
      </c>
      <c r="E550" s="105" t="s">
        <v>134</v>
      </c>
      <c r="F550" s="103" t="s">
        <v>11024</v>
      </c>
      <c r="G550" s="103"/>
      <c r="H550" s="103" t="s">
        <v>11025</v>
      </c>
      <c r="I550" s="103"/>
      <c r="J550" s="103" t="s">
        <v>11026</v>
      </c>
      <c r="K550" s="103"/>
      <c r="L550" s="106">
        <v>1794.6158916</v>
      </c>
      <c r="M550" s="103" t="s">
        <v>10722</v>
      </c>
      <c r="N550" s="106">
        <v>19552314.2969105</v>
      </c>
      <c r="O550" s="103" t="s">
        <v>11027</v>
      </c>
      <c r="R550" s="58"/>
      <c r="S550" s="58"/>
      <c r="T550" s="58"/>
      <c r="U550" s="58"/>
      <c r="V550" s="58"/>
      <c r="W550" s="58"/>
      <c r="X550" s="58"/>
    </row>
    <row r="551" ht="38.25" spans="1:24">
      <c r="A551" s="103" t="s">
        <v>4612</v>
      </c>
      <c r="B551" s="104" t="s">
        <v>139</v>
      </c>
      <c r="C551" s="104" t="s">
        <v>4613</v>
      </c>
      <c r="D551" s="104" t="s">
        <v>2961</v>
      </c>
      <c r="E551" s="105" t="s">
        <v>134</v>
      </c>
      <c r="F551" s="103" t="s">
        <v>9742</v>
      </c>
      <c r="G551" s="103"/>
      <c r="H551" s="103" t="s">
        <v>11028</v>
      </c>
      <c r="I551" s="103"/>
      <c r="J551" s="103" t="s">
        <v>11029</v>
      </c>
      <c r="K551" s="103"/>
      <c r="L551" s="106">
        <v>1793.76</v>
      </c>
      <c r="M551" s="103" t="s">
        <v>10722</v>
      </c>
      <c r="N551" s="106">
        <v>19554108.0569105</v>
      </c>
      <c r="O551" s="103" t="s">
        <v>11030</v>
      </c>
      <c r="R551" s="58"/>
      <c r="S551" s="58"/>
      <c r="T551" s="58"/>
      <c r="U551" s="58"/>
      <c r="V551" s="58"/>
      <c r="W551" s="58"/>
      <c r="X551" s="58"/>
    </row>
    <row r="552" ht="76.5" spans="1:24">
      <c r="A552" s="103" t="s">
        <v>3046</v>
      </c>
      <c r="B552" s="104" t="s">
        <v>139</v>
      </c>
      <c r="C552" s="104" t="s">
        <v>3047</v>
      </c>
      <c r="D552" s="104" t="s">
        <v>2961</v>
      </c>
      <c r="E552" s="105" t="s">
        <v>141</v>
      </c>
      <c r="F552" s="103" t="s">
        <v>9152</v>
      </c>
      <c r="G552" s="103"/>
      <c r="H552" s="103" t="s">
        <v>11031</v>
      </c>
      <c r="I552" s="103"/>
      <c r="J552" s="103" t="s">
        <v>11032</v>
      </c>
      <c r="K552" s="103"/>
      <c r="L552" s="106">
        <v>1793</v>
      </c>
      <c r="M552" s="103" t="s">
        <v>10722</v>
      </c>
      <c r="N552" s="106">
        <v>19555901.0569105</v>
      </c>
      <c r="O552" s="103" t="s">
        <v>11033</v>
      </c>
      <c r="R552" s="58"/>
      <c r="S552" s="58"/>
      <c r="T552" s="58"/>
      <c r="U552" s="58"/>
      <c r="V552" s="58"/>
      <c r="W552" s="58"/>
      <c r="X552" s="58"/>
    </row>
    <row r="553" ht="25.5" spans="1:24">
      <c r="A553" s="103" t="s">
        <v>4774</v>
      </c>
      <c r="B553" s="104" t="s">
        <v>132</v>
      </c>
      <c r="C553" s="104" t="s">
        <v>4775</v>
      </c>
      <c r="D553" s="104" t="s">
        <v>2961</v>
      </c>
      <c r="E553" s="105" t="s">
        <v>134</v>
      </c>
      <c r="F553" s="103" t="s">
        <v>9183</v>
      </c>
      <c r="G553" s="103"/>
      <c r="H553" s="103" t="s">
        <v>11034</v>
      </c>
      <c r="I553" s="103"/>
      <c r="J553" s="103" t="s">
        <v>11035</v>
      </c>
      <c r="K553" s="103"/>
      <c r="L553" s="106">
        <v>1790.3</v>
      </c>
      <c r="M553" s="103" t="s">
        <v>10722</v>
      </c>
      <c r="N553" s="106">
        <v>19557691.3569105</v>
      </c>
      <c r="O553" s="103" t="s">
        <v>11036</v>
      </c>
      <c r="R553" s="58"/>
      <c r="S553" s="58"/>
      <c r="T553" s="58"/>
      <c r="U553" s="58"/>
      <c r="V553" s="58"/>
      <c r="W553" s="58"/>
      <c r="X553" s="58"/>
    </row>
    <row r="554" ht="51" spans="1:24">
      <c r="A554" s="103" t="s">
        <v>5908</v>
      </c>
      <c r="B554" s="104" t="s">
        <v>139</v>
      </c>
      <c r="C554" s="104" t="s">
        <v>5909</v>
      </c>
      <c r="D554" s="104" t="s">
        <v>3680</v>
      </c>
      <c r="E554" s="105" t="s">
        <v>134</v>
      </c>
      <c r="F554" s="103" t="s">
        <v>11037</v>
      </c>
      <c r="G554" s="103"/>
      <c r="H554" s="103" t="s">
        <v>11038</v>
      </c>
      <c r="I554" s="103"/>
      <c r="J554" s="103" t="s">
        <v>11039</v>
      </c>
      <c r="K554" s="103"/>
      <c r="L554" s="106">
        <v>1790.02469663636</v>
      </c>
      <c r="M554" s="103" t="s">
        <v>10722</v>
      </c>
      <c r="N554" s="106">
        <v>19559481.3816071</v>
      </c>
      <c r="O554" s="103" t="s">
        <v>11040</v>
      </c>
      <c r="R554" s="58"/>
      <c r="S554" s="58"/>
      <c r="T554" s="58"/>
      <c r="U554" s="58"/>
      <c r="V554" s="58"/>
      <c r="W554" s="58"/>
      <c r="X554" s="58"/>
    </row>
    <row r="555" ht="63.75" spans="1:24">
      <c r="A555" s="103" t="s">
        <v>3053</v>
      </c>
      <c r="B555" s="104" t="s">
        <v>139</v>
      </c>
      <c r="C555" s="104" t="s">
        <v>3054</v>
      </c>
      <c r="D555" s="104" t="s">
        <v>2961</v>
      </c>
      <c r="E555" s="105" t="s">
        <v>141</v>
      </c>
      <c r="F555" s="103" t="s">
        <v>11041</v>
      </c>
      <c r="G555" s="103"/>
      <c r="H555" s="103" t="s">
        <v>11042</v>
      </c>
      <c r="I555" s="103"/>
      <c r="J555" s="103" t="s">
        <v>11043</v>
      </c>
      <c r="K555" s="103"/>
      <c r="L555" s="106">
        <v>1789.8408</v>
      </c>
      <c r="M555" s="103" t="s">
        <v>10722</v>
      </c>
      <c r="N555" s="106">
        <v>19561271.2224071</v>
      </c>
      <c r="O555" s="103" t="s">
        <v>11040</v>
      </c>
      <c r="R555" s="58"/>
      <c r="S555" s="58"/>
      <c r="T555" s="58"/>
      <c r="U555" s="58"/>
      <c r="V555" s="58"/>
      <c r="W555" s="58"/>
      <c r="X555" s="58"/>
    </row>
    <row r="556" ht="25.5" spans="1:24">
      <c r="A556" s="103" t="s">
        <v>5587</v>
      </c>
      <c r="B556" s="104" t="s">
        <v>77</v>
      </c>
      <c r="C556" s="104" t="s">
        <v>5588</v>
      </c>
      <c r="D556" s="104" t="s">
        <v>2896</v>
      </c>
      <c r="E556" s="105" t="s">
        <v>2897</v>
      </c>
      <c r="F556" s="103" t="s">
        <v>11044</v>
      </c>
      <c r="G556" s="103"/>
      <c r="H556" s="103" t="s">
        <v>11045</v>
      </c>
      <c r="I556" s="103"/>
      <c r="J556" s="103" t="s">
        <v>11046</v>
      </c>
      <c r="K556" s="103"/>
      <c r="L556" s="106">
        <v>1788.48257236756</v>
      </c>
      <c r="M556" s="103" t="s">
        <v>10722</v>
      </c>
      <c r="N556" s="106">
        <v>19563059.7049795</v>
      </c>
      <c r="O556" s="103" t="s">
        <v>11047</v>
      </c>
      <c r="R556" s="58"/>
      <c r="S556" s="58"/>
      <c r="T556" s="58"/>
      <c r="U556" s="58"/>
      <c r="V556" s="58"/>
      <c r="W556" s="58"/>
      <c r="X556" s="58"/>
    </row>
    <row r="557" ht="25.5" spans="1:24">
      <c r="A557" s="103" t="s">
        <v>5051</v>
      </c>
      <c r="B557" s="104" t="s">
        <v>139</v>
      </c>
      <c r="C557" s="104" t="s">
        <v>5052</v>
      </c>
      <c r="D557" s="104" t="s">
        <v>2961</v>
      </c>
      <c r="E557" s="105" t="s">
        <v>141</v>
      </c>
      <c r="F557" s="103" t="s">
        <v>11048</v>
      </c>
      <c r="G557" s="103"/>
      <c r="H557" s="103" t="s">
        <v>11049</v>
      </c>
      <c r="I557" s="103"/>
      <c r="J557" s="103" t="s">
        <v>11050</v>
      </c>
      <c r="K557" s="103"/>
      <c r="L557" s="106">
        <v>1752.67545824</v>
      </c>
      <c r="M557" s="103" t="s">
        <v>10722</v>
      </c>
      <c r="N557" s="106">
        <v>19564812.3804377</v>
      </c>
      <c r="O557" s="103" t="s">
        <v>11051</v>
      </c>
      <c r="R557" s="58"/>
      <c r="S557" s="58"/>
      <c r="T557" s="58"/>
      <c r="U557" s="58"/>
      <c r="V557" s="58"/>
      <c r="W557" s="58"/>
      <c r="X557" s="58"/>
    </row>
    <row r="558" spans="1:24">
      <c r="A558" s="103" t="s">
        <v>5718</v>
      </c>
      <c r="B558" s="104" t="s">
        <v>139</v>
      </c>
      <c r="C558" s="104" t="s">
        <v>5719</v>
      </c>
      <c r="D558" s="104" t="s">
        <v>2896</v>
      </c>
      <c r="E558" s="105" t="s">
        <v>2897</v>
      </c>
      <c r="F558" s="103" t="s">
        <v>11052</v>
      </c>
      <c r="G558" s="103"/>
      <c r="H558" s="103" t="s">
        <v>11053</v>
      </c>
      <c r="I558" s="103"/>
      <c r="J558" s="103" t="s">
        <v>11054</v>
      </c>
      <c r="K558" s="103"/>
      <c r="L558" s="106">
        <v>1747.1031231485</v>
      </c>
      <c r="M558" s="103" t="s">
        <v>10722</v>
      </c>
      <c r="N558" s="106">
        <v>19566559.4835609</v>
      </c>
      <c r="O558" s="103" t="s">
        <v>11055</v>
      </c>
      <c r="R558" s="58"/>
      <c r="S558" s="58"/>
      <c r="T558" s="58"/>
      <c r="U558" s="58"/>
      <c r="V558" s="58"/>
      <c r="W558" s="58"/>
      <c r="X558" s="58"/>
    </row>
    <row r="559" ht="51" spans="1:24">
      <c r="A559" s="103" t="s">
        <v>5872</v>
      </c>
      <c r="B559" s="104" t="s">
        <v>139</v>
      </c>
      <c r="C559" s="104" t="s">
        <v>5873</v>
      </c>
      <c r="D559" s="104" t="s">
        <v>3680</v>
      </c>
      <c r="E559" s="105" t="s">
        <v>134</v>
      </c>
      <c r="F559" s="103" t="s">
        <v>11056</v>
      </c>
      <c r="G559" s="103"/>
      <c r="H559" s="103" t="s">
        <v>11057</v>
      </c>
      <c r="I559" s="103"/>
      <c r="J559" s="103" t="s">
        <v>11058</v>
      </c>
      <c r="K559" s="103"/>
      <c r="L559" s="106">
        <v>1741.783624256</v>
      </c>
      <c r="M559" s="103" t="s">
        <v>10722</v>
      </c>
      <c r="N559" s="106">
        <v>19568301.2671851</v>
      </c>
      <c r="O559" s="103" t="s">
        <v>11059</v>
      </c>
      <c r="R559" s="58"/>
      <c r="S559" s="58"/>
      <c r="T559" s="58"/>
      <c r="U559" s="58"/>
      <c r="V559" s="58"/>
      <c r="W559" s="58"/>
      <c r="X559" s="58"/>
    </row>
    <row r="560" ht="51" spans="1:24">
      <c r="A560" s="103" t="s">
        <v>4175</v>
      </c>
      <c r="B560" s="104" t="s">
        <v>139</v>
      </c>
      <c r="C560" s="104" t="s">
        <v>4176</v>
      </c>
      <c r="D560" s="104" t="s">
        <v>2961</v>
      </c>
      <c r="E560" s="105" t="s">
        <v>204</v>
      </c>
      <c r="F560" s="103" t="s">
        <v>11060</v>
      </c>
      <c r="G560" s="103"/>
      <c r="H560" s="103" t="s">
        <v>11061</v>
      </c>
      <c r="I560" s="103"/>
      <c r="J560" s="103" t="s">
        <v>11062</v>
      </c>
      <c r="K560" s="103"/>
      <c r="L560" s="106">
        <v>1731.84</v>
      </c>
      <c r="M560" s="103" t="s">
        <v>10722</v>
      </c>
      <c r="N560" s="106">
        <v>19570033.1071851</v>
      </c>
      <c r="O560" s="103" t="s">
        <v>11063</v>
      </c>
      <c r="R560" s="58"/>
      <c r="S560" s="58"/>
      <c r="T560" s="58"/>
      <c r="U560" s="58"/>
      <c r="V560" s="58"/>
      <c r="W560" s="58"/>
      <c r="X560" s="58"/>
    </row>
    <row r="561" ht="51" spans="1:24">
      <c r="A561" s="103" t="s">
        <v>3034</v>
      </c>
      <c r="B561" s="104" t="s">
        <v>139</v>
      </c>
      <c r="C561" s="104" t="s">
        <v>3035</v>
      </c>
      <c r="D561" s="104" t="s">
        <v>2961</v>
      </c>
      <c r="E561" s="105" t="s">
        <v>134</v>
      </c>
      <c r="F561" s="103" t="s">
        <v>10423</v>
      </c>
      <c r="G561" s="103"/>
      <c r="H561" s="103" t="s">
        <v>11064</v>
      </c>
      <c r="I561" s="103"/>
      <c r="J561" s="103" t="s">
        <v>11065</v>
      </c>
      <c r="K561" s="103"/>
      <c r="L561" s="106">
        <v>1728.12</v>
      </c>
      <c r="M561" s="103" t="s">
        <v>10722</v>
      </c>
      <c r="N561" s="106">
        <v>19571761.2271851</v>
      </c>
      <c r="O561" s="103" t="s">
        <v>11066</v>
      </c>
      <c r="R561" s="58"/>
      <c r="S561" s="58"/>
      <c r="T561" s="58"/>
      <c r="U561" s="58"/>
      <c r="V561" s="58"/>
      <c r="W561" s="58"/>
      <c r="X561" s="58"/>
    </row>
    <row r="562" ht="25.5" spans="1:24">
      <c r="A562" s="103" t="s">
        <v>3775</v>
      </c>
      <c r="B562" s="104" t="s">
        <v>796</v>
      </c>
      <c r="C562" s="104" t="s">
        <v>3776</v>
      </c>
      <c r="D562" s="104" t="s">
        <v>2961</v>
      </c>
      <c r="E562" s="105" t="s">
        <v>334</v>
      </c>
      <c r="F562" s="103" t="s">
        <v>11067</v>
      </c>
      <c r="G562" s="103"/>
      <c r="H562" s="103" t="s">
        <v>7202</v>
      </c>
      <c r="I562" s="103"/>
      <c r="J562" s="103" t="s">
        <v>11068</v>
      </c>
      <c r="K562" s="103"/>
      <c r="L562" s="106">
        <v>1714.8</v>
      </c>
      <c r="M562" s="103" t="s">
        <v>10722</v>
      </c>
      <c r="N562" s="106">
        <v>19573476.0271851</v>
      </c>
      <c r="O562" s="103" t="s">
        <v>11069</v>
      </c>
      <c r="R562" s="58"/>
      <c r="S562" s="58"/>
      <c r="T562" s="58"/>
      <c r="U562" s="58"/>
      <c r="V562" s="58"/>
      <c r="W562" s="58"/>
      <c r="X562" s="58"/>
    </row>
    <row r="563" spans="1:24">
      <c r="A563" s="103" t="s">
        <v>5218</v>
      </c>
      <c r="B563" s="104" t="s">
        <v>149</v>
      </c>
      <c r="C563" s="104" t="s">
        <v>5219</v>
      </c>
      <c r="D563" s="104" t="s">
        <v>2961</v>
      </c>
      <c r="E563" s="105" t="s">
        <v>134</v>
      </c>
      <c r="F563" s="103" t="s">
        <v>11070</v>
      </c>
      <c r="G563" s="103"/>
      <c r="H563" s="103" t="s">
        <v>11071</v>
      </c>
      <c r="I563" s="103"/>
      <c r="J563" s="103" t="s">
        <v>11072</v>
      </c>
      <c r="K563" s="103"/>
      <c r="L563" s="106">
        <v>1712.4730057</v>
      </c>
      <c r="M563" s="103" t="s">
        <v>10722</v>
      </c>
      <c r="N563" s="106">
        <v>19575188.5001908</v>
      </c>
      <c r="O563" s="103" t="s">
        <v>11069</v>
      </c>
      <c r="R563" s="58"/>
      <c r="S563" s="58"/>
      <c r="T563" s="58"/>
      <c r="U563" s="58"/>
      <c r="V563" s="58"/>
      <c r="W563" s="58"/>
      <c r="X563" s="58"/>
    </row>
    <row r="564" spans="1:24">
      <c r="A564" s="103" t="s">
        <v>3674</v>
      </c>
      <c r="B564" s="104" t="s">
        <v>139</v>
      </c>
      <c r="C564" s="104" t="s">
        <v>3675</v>
      </c>
      <c r="D564" s="104" t="s">
        <v>2961</v>
      </c>
      <c r="E564" s="105" t="s">
        <v>134</v>
      </c>
      <c r="F564" s="103" t="s">
        <v>11073</v>
      </c>
      <c r="G564" s="103"/>
      <c r="H564" s="103" t="s">
        <v>6830</v>
      </c>
      <c r="I564" s="103"/>
      <c r="J564" s="103" t="s">
        <v>11074</v>
      </c>
      <c r="K564" s="103"/>
      <c r="L564" s="106">
        <v>1700.8</v>
      </c>
      <c r="M564" s="103" t="s">
        <v>10722</v>
      </c>
      <c r="N564" s="106">
        <v>19576889.3001908</v>
      </c>
      <c r="O564" s="103" t="s">
        <v>11075</v>
      </c>
      <c r="R564" s="58"/>
      <c r="S564" s="58"/>
      <c r="T564" s="58"/>
      <c r="U564" s="58"/>
      <c r="V564" s="58"/>
      <c r="W564" s="58"/>
      <c r="X564" s="58"/>
    </row>
    <row r="565" ht="63.75" spans="1:24">
      <c r="A565" s="103" t="s">
        <v>3685</v>
      </c>
      <c r="B565" s="104" t="s">
        <v>132</v>
      </c>
      <c r="C565" s="104" t="s">
        <v>3686</v>
      </c>
      <c r="D565" s="104" t="s">
        <v>2961</v>
      </c>
      <c r="E565" s="105" t="s">
        <v>134</v>
      </c>
      <c r="F565" s="103" t="s">
        <v>9183</v>
      </c>
      <c r="G565" s="103"/>
      <c r="H565" s="103" t="s">
        <v>11076</v>
      </c>
      <c r="I565" s="103"/>
      <c r="J565" s="103" t="s">
        <v>11077</v>
      </c>
      <c r="K565" s="103"/>
      <c r="L565" s="106">
        <v>1688</v>
      </c>
      <c r="M565" s="103" t="s">
        <v>10722</v>
      </c>
      <c r="N565" s="106">
        <v>19578577.3001908</v>
      </c>
      <c r="O565" s="103" t="s">
        <v>11078</v>
      </c>
      <c r="R565" s="58"/>
      <c r="S565" s="58"/>
      <c r="T565" s="58"/>
      <c r="U565" s="58"/>
      <c r="V565" s="58"/>
      <c r="W565" s="58"/>
      <c r="X565" s="58"/>
    </row>
    <row r="566" ht="38.25" spans="1:24">
      <c r="A566" s="103" t="s">
        <v>3099</v>
      </c>
      <c r="B566" s="104" t="s">
        <v>139</v>
      </c>
      <c r="C566" s="104" t="s">
        <v>3100</v>
      </c>
      <c r="D566" s="104" t="s">
        <v>2961</v>
      </c>
      <c r="E566" s="105" t="s">
        <v>134</v>
      </c>
      <c r="F566" s="103" t="s">
        <v>11079</v>
      </c>
      <c r="G566" s="103"/>
      <c r="H566" s="103" t="s">
        <v>6607</v>
      </c>
      <c r="I566" s="103"/>
      <c r="J566" s="103" t="s">
        <v>11080</v>
      </c>
      <c r="K566" s="103"/>
      <c r="L566" s="106">
        <v>1671.028506</v>
      </c>
      <c r="M566" s="103" t="s">
        <v>10722</v>
      </c>
      <c r="N566" s="106">
        <v>19580248.3286968</v>
      </c>
      <c r="O566" s="103" t="s">
        <v>11081</v>
      </c>
      <c r="R566" s="58"/>
      <c r="S566" s="58"/>
      <c r="T566" s="58"/>
      <c r="U566" s="58"/>
      <c r="V566" s="58"/>
      <c r="W566" s="58"/>
      <c r="X566" s="58"/>
    </row>
    <row r="567" ht="25.5" spans="1:24">
      <c r="A567" s="103" t="s">
        <v>3962</v>
      </c>
      <c r="B567" s="104" t="s">
        <v>149</v>
      </c>
      <c r="C567" s="104" t="s">
        <v>3963</v>
      </c>
      <c r="D567" s="104" t="s">
        <v>2961</v>
      </c>
      <c r="E567" s="105" t="s">
        <v>134</v>
      </c>
      <c r="F567" s="103" t="s">
        <v>11082</v>
      </c>
      <c r="G567" s="103"/>
      <c r="H567" s="103" t="s">
        <v>11083</v>
      </c>
      <c r="I567" s="103"/>
      <c r="J567" s="103" t="s">
        <v>11084</v>
      </c>
      <c r="K567" s="103"/>
      <c r="L567" s="106">
        <v>1663.97</v>
      </c>
      <c r="M567" s="103" t="s">
        <v>10722</v>
      </c>
      <c r="N567" s="106">
        <v>19581912.2986968</v>
      </c>
      <c r="O567" s="103" t="s">
        <v>11085</v>
      </c>
      <c r="R567" s="58"/>
      <c r="S567" s="58"/>
      <c r="T567" s="58"/>
      <c r="U567" s="58"/>
      <c r="V567" s="58"/>
      <c r="W567" s="58"/>
      <c r="X567" s="58"/>
    </row>
    <row r="568" spans="1:24">
      <c r="A568" s="103" t="s">
        <v>5189</v>
      </c>
      <c r="B568" s="104" t="s">
        <v>139</v>
      </c>
      <c r="C568" s="104" t="s">
        <v>5190</v>
      </c>
      <c r="D568" s="104" t="s">
        <v>2961</v>
      </c>
      <c r="E568" s="105" t="s">
        <v>3084</v>
      </c>
      <c r="F568" s="103" t="s">
        <v>11086</v>
      </c>
      <c r="G568" s="103"/>
      <c r="H568" s="103" t="s">
        <v>11087</v>
      </c>
      <c r="I568" s="103"/>
      <c r="J568" s="103" t="s">
        <v>11088</v>
      </c>
      <c r="K568" s="103"/>
      <c r="L568" s="106">
        <v>1632.5667904</v>
      </c>
      <c r="M568" s="103" t="s">
        <v>10722</v>
      </c>
      <c r="N568" s="106">
        <v>19583544.8654872</v>
      </c>
      <c r="O568" s="103" t="s">
        <v>11089</v>
      </c>
      <c r="R568" s="58"/>
      <c r="S568" s="58"/>
      <c r="T568" s="58"/>
      <c r="U568" s="58"/>
      <c r="V568" s="58"/>
      <c r="W568" s="58"/>
      <c r="X568" s="58"/>
    </row>
    <row r="569" spans="1:24">
      <c r="A569" s="103" t="s">
        <v>4696</v>
      </c>
      <c r="B569" s="104" t="s">
        <v>149</v>
      </c>
      <c r="C569" s="104" t="s">
        <v>4697</v>
      </c>
      <c r="D569" s="104" t="s">
        <v>2961</v>
      </c>
      <c r="E569" s="105" t="s">
        <v>134</v>
      </c>
      <c r="F569" s="103" t="s">
        <v>9183</v>
      </c>
      <c r="G569" s="103"/>
      <c r="H569" s="103" t="s">
        <v>11090</v>
      </c>
      <c r="I569" s="103"/>
      <c r="J569" s="103" t="s">
        <v>11091</v>
      </c>
      <c r="K569" s="103"/>
      <c r="L569" s="106">
        <v>1631.26</v>
      </c>
      <c r="M569" s="103" t="s">
        <v>10722</v>
      </c>
      <c r="N569" s="106">
        <v>19585176.1254872</v>
      </c>
      <c r="O569" s="103" t="s">
        <v>11089</v>
      </c>
      <c r="R569" s="58"/>
      <c r="S569" s="58"/>
      <c r="T569" s="58"/>
      <c r="U569" s="58"/>
      <c r="V569" s="58"/>
      <c r="W569" s="58"/>
      <c r="X569" s="58"/>
    </row>
    <row r="570" spans="1:24">
      <c r="A570" s="103" t="s">
        <v>4885</v>
      </c>
      <c r="B570" s="104" t="s">
        <v>149</v>
      </c>
      <c r="C570" s="104" t="s">
        <v>4886</v>
      </c>
      <c r="D570" s="104" t="s">
        <v>2961</v>
      </c>
      <c r="E570" s="105" t="s">
        <v>204</v>
      </c>
      <c r="F570" s="103" t="s">
        <v>11092</v>
      </c>
      <c r="G570" s="103"/>
      <c r="H570" s="103" t="s">
        <v>11093</v>
      </c>
      <c r="I570" s="103"/>
      <c r="J570" s="103" t="s">
        <v>11094</v>
      </c>
      <c r="K570" s="103"/>
      <c r="L570" s="106">
        <v>1608.8625</v>
      </c>
      <c r="M570" s="103" t="s">
        <v>10722</v>
      </c>
      <c r="N570" s="106">
        <v>19586784.9879872</v>
      </c>
      <c r="O570" s="103" t="s">
        <v>11095</v>
      </c>
      <c r="R570" s="58"/>
      <c r="S570" s="58"/>
      <c r="T570" s="58"/>
      <c r="U570" s="58"/>
      <c r="V570" s="58"/>
      <c r="W570" s="58"/>
      <c r="X570" s="58"/>
    </row>
    <row r="571" spans="1:24">
      <c r="A571" s="103" t="s">
        <v>5449</v>
      </c>
      <c r="B571" s="104" t="s">
        <v>796</v>
      </c>
      <c r="C571" s="104" t="s">
        <v>5450</v>
      </c>
      <c r="D571" s="104" t="s">
        <v>2961</v>
      </c>
      <c r="E571" s="105" t="s">
        <v>279</v>
      </c>
      <c r="F571" s="103" t="s">
        <v>11096</v>
      </c>
      <c r="G571" s="103"/>
      <c r="H571" s="103" t="s">
        <v>7729</v>
      </c>
      <c r="I571" s="103"/>
      <c r="J571" s="103" t="s">
        <v>11097</v>
      </c>
      <c r="K571" s="103"/>
      <c r="L571" s="106">
        <v>1599.60081144</v>
      </c>
      <c r="M571" s="103" t="s">
        <v>10722</v>
      </c>
      <c r="N571" s="106">
        <v>19588384.5887987</v>
      </c>
      <c r="O571" s="103" t="s">
        <v>11098</v>
      </c>
      <c r="R571" s="58"/>
      <c r="S571" s="58"/>
      <c r="T571" s="58"/>
      <c r="U571" s="58"/>
      <c r="V571" s="58"/>
      <c r="W571" s="58"/>
      <c r="X571" s="58"/>
    </row>
    <row r="572" ht="25.5" spans="1:24">
      <c r="A572" s="103" t="s">
        <v>4798</v>
      </c>
      <c r="B572" s="104" t="s">
        <v>132</v>
      </c>
      <c r="C572" s="104" t="s">
        <v>4799</v>
      </c>
      <c r="D572" s="104" t="s">
        <v>2961</v>
      </c>
      <c r="E572" s="105" t="s">
        <v>134</v>
      </c>
      <c r="F572" s="103" t="s">
        <v>9183</v>
      </c>
      <c r="G572" s="103"/>
      <c r="H572" s="103" t="s">
        <v>11099</v>
      </c>
      <c r="I572" s="103"/>
      <c r="J572" s="103" t="s">
        <v>11100</v>
      </c>
      <c r="K572" s="103"/>
      <c r="L572" s="106">
        <v>1577.84</v>
      </c>
      <c r="M572" s="103" t="s">
        <v>10722</v>
      </c>
      <c r="N572" s="106">
        <v>19589962.4287987</v>
      </c>
      <c r="O572" s="103" t="s">
        <v>11101</v>
      </c>
      <c r="R572" s="58"/>
      <c r="S572" s="58"/>
      <c r="T572" s="58"/>
      <c r="U572" s="58"/>
      <c r="V572" s="58"/>
      <c r="W572" s="58"/>
      <c r="X572" s="58"/>
    </row>
    <row r="573" ht="25.5" spans="1:24">
      <c r="A573" s="103" t="s">
        <v>3044</v>
      </c>
      <c r="B573" s="104" t="s">
        <v>139</v>
      </c>
      <c r="C573" s="104" t="s">
        <v>3045</v>
      </c>
      <c r="D573" s="104" t="s">
        <v>2961</v>
      </c>
      <c r="E573" s="105" t="s">
        <v>134</v>
      </c>
      <c r="F573" s="103" t="s">
        <v>11102</v>
      </c>
      <c r="G573" s="103"/>
      <c r="H573" s="103" t="s">
        <v>11103</v>
      </c>
      <c r="I573" s="103"/>
      <c r="J573" s="103" t="s">
        <v>11104</v>
      </c>
      <c r="K573" s="103"/>
      <c r="L573" s="106">
        <v>1536.538398</v>
      </c>
      <c r="M573" s="103" t="s">
        <v>10722</v>
      </c>
      <c r="N573" s="106">
        <v>19591498.9671967</v>
      </c>
      <c r="O573" s="103" t="s">
        <v>11105</v>
      </c>
      <c r="R573" s="58"/>
      <c r="S573" s="58"/>
      <c r="T573" s="58"/>
      <c r="U573" s="58"/>
      <c r="V573" s="58"/>
      <c r="W573" s="58"/>
      <c r="X573" s="58"/>
    </row>
    <row r="574" ht="25.5" spans="1:24">
      <c r="A574" s="103" t="s">
        <v>4218</v>
      </c>
      <c r="B574" s="104" t="s">
        <v>132</v>
      </c>
      <c r="C574" s="104" t="s">
        <v>4219</v>
      </c>
      <c r="D574" s="104" t="s">
        <v>2961</v>
      </c>
      <c r="E574" s="105" t="s">
        <v>134</v>
      </c>
      <c r="F574" s="103" t="s">
        <v>9091</v>
      </c>
      <c r="G574" s="103"/>
      <c r="H574" s="103" t="s">
        <v>11106</v>
      </c>
      <c r="I574" s="103"/>
      <c r="J574" s="103" t="s">
        <v>11106</v>
      </c>
      <c r="K574" s="103"/>
      <c r="L574" s="106">
        <v>1506.62</v>
      </c>
      <c r="M574" s="103" t="s">
        <v>10722</v>
      </c>
      <c r="N574" s="106">
        <v>19593005.5871967</v>
      </c>
      <c r="O574" s="103" t="s">
        <v>11105</v>
      </c>
      <c r="R574" s="58"/>
      <c r="S574" s="58"/>
      <c r="T574" s="58"/>
      <c r="U574" s="58"/>
      <c r="V574" s="58"/>
      <c r="W574" s="58"/>
      <c r="X574" s="58"/>
    </row>
    <row r="575" spans="1:24">
      <c r="A575" s="103" t="s">
        <v>4973</v>
      </c>
      <c r="B575" s="104" t="s">
        <v>149</v>
      </c>
      <c r="C575" s="104" t="s">
        <v>4974</v>
      </c>
      <c r="D575" s="104" t="s">
        <v>2961</v>
      </c>
      <c r="E575" s="105" t="s">
        <v>134</v>
      </c>
      <c r="F575" s="103" t="s">
        <v>9183</v>
      </c>
      <c r="G575" s="103"/>
      <c r="H575" s="103" t="s">
        <v>11107</v>
      </c>
      <c r="I575" s="103"/>
      <c r="J575" s="103" t="s">
        <v>11108</v>
      </c>
      <c r="K575" s="103"/>
      <c r="L575" s="106">
        <v>1500.3</v>
      </c>
      <c r="M575" s="103" t="s">
        <v>10722</v>
      </c>
      <c r="N575" s="106">
        <v>19594505.8871967</v>
      </c>
      <c r="O575" s="103" t="s">
        <v>11109</v>
      </c>
      <c r="R575" s="58"/>
      <c r="S575" s="58"/>
      <c r="T575" s="58"/>
      <c r="U575" s="58"/>
      <c r="V575" s="58"/>
      <c r="W575" s="58"/>
      <c r="X575" s="58"/>
    </row>
    <row r="576" ht="25.5" spans="1:24">
      <c r="A576" s="103" t="s">
        <v>4169</v>
      </c>
      <c r="B576" s="104" t="s">
        <v>139</v>
      </c>
      <c r="C576" s="104" t="s">
        <v>4170</v>
      </c>
      <c r="D576" s="104" t="s">
        <v>2961</v>
      </c>
      <c r="E576" s="105" t="s">
        <v>134</v>
      </c>
      <c r="F576" s="103" t="s">
        <v>11110</v>
      </c>
      <c r="G576" s="103"/>
      <c r="H576" s="103" t="s">
        <v>11111</v>
      </c>
      <c r="I576" s="103"/>
      <c r="J576" s="103" t="s">
        <v>11112</v>
      </c>
      <c r="K576" s="103"/>
      <c r="L576" s="106">
        <v>1499.85</v>
      </c>
      <c r="M576" s="103" t="s">
        <v>10722</v>
      </c>
      <c r="N576" s="106">
        <v>19596005.7371967</v>
      </c>
      <c r="O576" s="103" t="s">
        <v>11113</v>
      </c>
      <c r="R576" s="58"/>
      <c r="S576" s="58"/>
      <c r="T576" s="58"/>
      <c r="U576" s="58"/>
      <c r="V576" s="58"/>
      <c r="W576" s="58"/>
      <c r="X576" s="58"/>
    </row>
    <row r="577" ht="25.5" spans="1:24">
      <c r="A577" s="103" t="s">
        <v>2964</v>
      </c>
      <c r="B577" s="104" t="s">
        <v>139</v>
      </c>
      <c r="C577" s="104" t="s">
        <v>2965</v>
      </c>
      <c r="D577" s="104" t="s">
        <v>2961</v>
      </c>
      <c r="E577" s="105" t="s">
        <v>204</v>
      </c>
      <c r="F577" s="103" t="s">
        <v>11114</v>
      </c>
      <c r="G577" s="103"/>
      <c r="H577" s="103" t="s">
        <v>11115</v>
      </c>
      <c r="I577" s="103"/>
      <c r="J577" s="103" t="s">
        <v>11116</v>
      </c>
      <c r="K577" s="103"/>
      <c r="L577" s="106">
        <v>1475.4734567</v>
      </c>
      <c r="M577" s="103" t="s">
        <v>10722</v>
      </c>
      <c r="N577" s="106">
        <v>19597481.2106534</v>
      </c>
      <c r="O577" s="103" t="s">
        <v>11117</v>
      </c>
      <c r="R577" s="58"/>
      <c r="S577" s="58"/>
      <c r="T577" s="58"/>
      <c r="U577" s="58"/>
      <c r="V577" s="58"/>
      <c r="W577" s="58"/>
      <c r="X577" s="58"/>
    </row>
    <row r="578" spans="1:24">
      <c r="A578" s="103" t="s">
        <v>4454</v>
      </c>
      <c r="B578" s="104" t="s">
        <v>132</v>
      </c>
      <c r="C578" s="104" t="s">
        <v>1669</v>
      </c>
      <c r="D578" s="104" t="s">
        <v>2961</v>
      </c>
      <c r="E578" s="105" t="s">
        <v>134</v>
      </c>
      <c r="F578" s="103" t="s">
        <v>10770</v>
      </c>
      <c r="G578" s="103"/>
      <c r="H578" s="103" t="s">
        <v>11118</v>
      </c>
      <c r="I578" s="103"/>
      <c r="J578" s="103" t="s">
        <v>11119</v>
      </c>
      <c r="K578" s="103"/>
      <c r="L578" s="106">
        <v>1466.48</v>
      </c>
      <c r="M578" s="103" t="s">
        <v>10722</v>
      </c>
      <c r="N578" s="106">
        <v>19598947.6906534</v>
      </c>
      <c r="O578" s="103" t="s">
        <v>11117</v>
      </c>
      <c r="R578" s="58"/>
      <c r="S578" s="58"/>
      <c r="T578" s="58"/>
      <c r="U578" s="58"/>
      <c r="V578" s="58"/>
      <c r="W578" s="58"/>
      <c r="X578" s="58"/>
    </row>
    <row r="579" spans="1:24">
      <c r="A579" s="103" t="s">
        <v>4030</v>
      </c>
      <c r="B579" s="104" t="s">
        <v>149</v>
      </c>
      <c r="C579" s="104" t="s">
        <v>4031</v>
      </c>
      <c r="D579" s="104" t="s">
        <v>2961</v>
      </c>
      <c r="E579" s="105" t="s">
        <v>204</v>
      </c>
      <c r="F579" s="103" t="s">
        <v>9810</v>
      </c>
      <c r="G579" s="103"/>
      <c r="H579" s="103" t="s">
        <v>11120</v>
      </c>
      <c r="I579" s="103"/>
      <c r="J579" s="103" t="s">
        <v>11121</v>
      </c>
      <c r="K579" s="103"/>
      <c r="L579" s="106">
        <v>1466.4</v>
      </c>
      <c r="M579" s="103" t="s">
        <v>10722</v>
      </c>
      <c r="N579" s="106">
        <v>19600414.0906534</v>
      </c>
      <c r="O579" s="103" t="s">
        <v>11122</v>
      </c>
      <c r="R579" s="58"/>
      <c r="S579" s="58"/>
      <c r="T579" s="58"/>
      <c r="U579" s="58"/>
      <c r="V579" s="58"/>
      <c r="W579" s="58"/>
      <c r="X579" s="58"/>
    </row>
    <row r="580" ht="25.5" spans="1:24">
      <c r="A580" s="103" t="s">
        <v>4891</v>
      </c>
      <c r="B580" s="104" t="s">
        <v>149</v>
      </c>
      <c r="C580" s="104" t="s">
        <v>4892</v>
      </c>
      <c r="D580" s="104" t="s">
        <v>2961</v>
      </c>
      <c r="E580" s="105" t="s">
        <v>204</v>
      </c>
      <c r="F580" s="103" t="s">
        <v>11123</v>
      </c>
      <c r="G580" s="103"/>
      <c r="H580" s="103" t="s">
        <v>11124</v>
      </c>
      <c r="I580" s="103"/>
      <c r="J580" s="103" t="s">
        <v>11125</v>
      </c>
      <c r="K580" s="103"/>
      <c r="L580" s="106">
        <v>1464.13575</v>
      </c>
      <c r="M580" s="103" t="s">
        <v>10722</v>
      </c>
      <c r="N580" s="106">
        <v>19601878.2264034</v>
      </c>
      <c r="O580" s="103" t="s">
        <v>11126</v>
      </c>
      <c r="R580" s="58"/>
      <c r="S580" s="58"/>
      <c r="T580" s="58"/>
      <c r="U580" s="58"/>
      <c r="V580" s="58"/>
      <c r="W580" s="58"/>
      <c r="X580" s="58"/>
    </row>
    <row r="581" ht="25.5" spans="1:24">
      <c r="A581" s="103" t="s">
        <v>4572</v>
      </c>
      <c r="B581" s="104" t="s">
        <v>796</v>
      </c>
      <c r="C581" s="104" t="s">
        <v>4573</v>
      </c>
      <c r="D581" s="104" t="s">
        <v>2961</v>
      </c>
      <c r="E581" s="105" t="s">
        <v>1508</v>
      </c>
      <c r="F581" s="103" t="s">
        <v>11127</v>
      </c>
      <c r="G581" s="103"/>
      <c r="H581" s="103" t="s">
        <v>11128</v>
      </c>
      <c r="I581" s="103"/>
      <c r="J581" s="103" t="s">
        <v>11129</v>
      </c>
      <c r="K581" s="103"/>
      <c r="L581" s="106">
        <v>1457.59075</v>
      </c>
      <c r="M581" s="103" t="s">
        <v>10722</v>
      </c>
      <c r="N581" s="106">
        <v>19603335.8171534</v>
      </c>
      <c r="O581" s="103" t="s">
        <v>11130</v>
      </c>
      <c r="R581" s="58"/>
      <c r="S581" s="58"/>
      <c r="T581" s="58"/>
      <c r="U581" s="58"/>
      <c r="V581" s="58"/>
      <c r="W581" s="58"/>
      <c r="X581" s="58"/>
    </row>
    <row r="582" ht="38.25" spans="1:24">
      <c r="A582" s="103" t="s">
        <v>3393</v>
      </c>
      <c r="B582" s="104" t="s">
        <v>139</v>
      </c>
      <c r="C582" s="104" t="s">
        <v>3394</v>
      </c>
      <c r="D582" s="104" t="s">
        <v>3395</v>
      </c>
      <c r="E582" s="105" t="s">
        <v>2925</v>
      </c>
      <c r="F582" s="103" t="s">
        <v>11131</v>
      </c>
      <c r="G582" s="103"/>
      <c r="H582" s="103" t="s">
        <v>11132</v>
      </c>
      <c r="I582" s="103"/>
      <c r="J582" s="103" t="s">
        <v>11133</v>
      </c>
      <c r="K582" s="103"/>
      <c r="L582" s="106">
        <v>1451.4540976</v>
      </c>
      <c r="M582" s="103" t="s">
        <v>10722</v>
      </c>
      <c r="N582" s="106">
        <v>19604787.271251</v>
      </c>
      <c r="O582" s="103" t="s">
        <v>11130</v>
      </c>
      <c r="R582" s="58"/>
      <c r="S582" s="58"/>
      <c r="T582" s="58"/>
      <c r="U582" s="58"/>
      <c r="V582" s="58"/>
      <c r="W582" s="58"/>
      <c r="X582" s="58"/>
    </row>
    <row r="583" spans="1:24">
      <c r="A583" s="103" t="s">
        <v>4296</v>
      </c>
      <c r="B583" s="104" t="s">
        <v>796</v>
      </c>
      <c r="C583" s="104" t="s">
        <v>4297</v>
      </c>
      <c r="D583" s="104" t="s">
        <v>2961</v>
      </c>
      <c r="E583" s="105" t="s">
        <v>334</v>
      </c>
      <c r="F583" s="103" t="s">
        <v>10423</v>
      </c>
      <c r="G583" s="103"/>
      <c r="H583" s="103" t="s">
        <v>11134</v>
      </c>
      <c r="I583" s="103"/>
      <c r="J583" s="103" t="s">
        <v>11135</v>
      </c>
      <c r="K583" s="103"/>
      <c r="L583" s="106">
        <v>1445.7</v>
      </c>
      <c r="M583" s="103" t="s">
        <v>10722</v>
      </c>
      <c r="N583" s="106">
        <v>19606232.971251</v>
      </c>
      <c r="O583" s="103" t="s">
        <v>11136</v>
      </c>
      <c r="R583" s="58"/>
      <c r="S583" s="58"/>
      <c r="T583" s="58"/>
      <c r="U583" s="58"/>
      <c r="V583" s="58"/>
      <c r="W583" s="58"/>
      <c r="X583" s="58"/>
    </row>
    <row r="584" spans="1:24">
      <c r="A584" s="103" t="s">
        <v>3721</v>
      </c>
      <c r="B584" s="104" t="s">
        <v>796</v>
      </c>
      <c r="C584" s="104" t="s">
        <v>3722</v>
      </c>
      <c r="D584" s="104" t="s">
        <v>2961</v>
      </c>
      <c r="E584" s="105" t="s">
        <v>334</v>
      </c>
      <c r="F584" s="103" t="s">
        <v>9433</v>
      </c>
      <c r="G584" s="103"/>
      <c r="H584" s="103" t="s">
        <v>11137</v>
      </c>
      <c r="I584" s="103"/>
      <c r="J584" s="103" t="s">
        <v>11138</v>
      </c>
      <c r="K584" s="103"/>
      <c r="L584" s="106">
        <v>1445.13</v>
      </c>
      <c r="M584" s="103" t="s">
        <v>10722</v>
      </c>
      <c r="N584" s="106">
        <v>19607678.101251</v>
      </c>
      <c r="O584" s="103" t="s">
        <v>11139</v>
      </c>
      <c r="R584" s="58"/>
      <c r="S584" s="58"/>
      <c r="T584" s="58"/>
      <c r="U584" s="58"/>
      <c r="V584" s="58"/>
      <c r="W584" s="58"/>
      <c r="X584" s="58"/>
    </row>
    <row r="585" ht="25.5" spans="1:24">
      <c r="A585" s="103" t="s">
        <v>4946</v>
      </c>
      <c r="B585" s="104" t="s">
        <v>149</v>
      </c>
      <c r="C585" s="104" t="s">
        <v>4947</v>
      </c>
      <c r="D585" s="104" t="s">
        <v>2961</v>
      </c>
      <c r="E585" s="105" t="s">
        <v>134</v>
      </c>
      <c r="F585" s="103" t="s">
        <v>10259</v>
      </c>
      <c r="G585" s="103"/>
      <c r="H585" s="103" t="s">
        <v>11140</v>
      </c>
      <c r="I585" s="103"/>
      <c r="J585" s="103" t="s">
        <v>11141</v>
      </c>
      <c r="K585" s="103"/>
      <c r="L585" s="106">
        <v>1436.32</v>
      </c>
      <c r="M585" s="103" t="s">
        <v>10722</v>
      </c>
      <c r="N585" s="106">
        <v>19609114.421251</v>
      </c>
      <c r="O585" s="103" t="s">
        <v>11139</v>
      </c>
      <c r="R585" s="58"/>
      <c r="S585" s="58"/>
      <c r="T585" s="58"/>
      <c r="U585" s="58"/>
      <c r="V585" s="58"/>
      <c r="W585" s="58"/>
      <c r="X585" s="58"/>
    </row>
    <row r="586" ht="25.5" spans="1:24">
      <c r="A586" s="103" t="s">
        <v>4853</v>
      </c>
      <c r="B586" s="104" t="s">
        <v>149</v>
      </c>
      <c r="C586" s="104" t="s">
        <v>4854</v>
      </c>
      <c r="D586" s="104" t="s">
        <v>2961</v>
      </c>
      <c r="E586" s="105" t="s">
        <v>134</v>
      </c>
      <c r="F586" s="103" t="s">
        <v>11142</v>
      </c>
      <c r="G586" s="103"/>
      <c r="H586" s="103" t="s">
        <v>11143</v>
      </c>
      <c r="I586" s="103"/>
      <c r="J586" s="103" t="s">
        <v>11144</v>
      </c>
      <c r="K586" s="103"/>
      <c r="L586" s="106">
        <v>1435</v>
      </c>
      <c r="M586" s="103" t="s">
        <v>10722</v>
      </c>
      <c r="N586" s="106">
        <v>19610549.421251</v>
      </c>
      <c r="O586" s="103" t="s">
        <v>11145</v>
      </c>
      <c r="R586" s="58"/>
      <c r="S586" s="58"/>
      <c r="T586" s="58"/>
      <c r="U586" s="58"/>
      <c r="V586" s="58"/>
      <c r="W586" s="58"/>
      <c r="X586" s="58"/>
    </row>
    <row r="587" ht="25.5" spans="1:24">
      <c r="A587" s="103" t="s">
        <v>4786</v>
      </c>
      <c r="B587" s="104" t="s">
        <v>149</v>
      </c>
      <c r="C587" s="104" t="s">
        <v>4787</v>
      </c>
      <c r="D587" s="104" t="s">
        <v>2961</v>
      </c>
      <c r="E587" s="105" t="s">
        <v>134</v>
      </c>
      <c r="F587" s="103" t="s">
        <v>11146</v>
      </c>
      <c r="G587" s="103"/>
      <c r="H587" s="103" t="s">
        <v>11147</v>
      </c>
      <c r="I587" s="103"/>
      <c r="J587" s="103" t="s">
        <v>11148</v>
      </c>
      <c r="K587" s="103"/>
      <c r="L587" s="106">
        <v>1431.91</v>
      </c>
      <c r="M587" s="103" t="s">
        <v>10722</v>
      </c>
      <c r="N587" s="106">
        <v>19611981.331251</v>
      </c>
      <c r="O587" s="103" t="s">
        <v>11149</v>
      </c>
      <c r="R587" s="58"/>
      <c r="S587" s="58"/>
      <c r="T587" s="58"/>
      <c r="U587" s="58"/>
      <c r="V587" s="58"/>
      <c r="W587" s="58"/>
      <c r="X587" s="58"/>
    </row>
    <row r="588" spans="1:24">
      <c r="A588" s="103" t="s">
        <v>4010</v>
      </c>
      <c r="B588" s="104" t="s">
        <v>149</v>
      </c>
      <c r="C588" s="104" t="s">
        <v>4011</v>
      </c>
      <c r="D588" s="104" t="s">
        <v>2961</v>
      </c>
      <c r="E588" s="105" t="s">
        <v>2925</v>
      </c>
      <c r="F588" s="103" t="s">
        <v>11150</v>
      </c>
      <c r="G588" s="103"/>
      <c r="H588" s="103" t="s">
        <v>11151</v>
      </c>
      <c r="I588" s="103"/>
      <c r="J588" s="103" t="s">
        <v>11152</v>
      </c>
      <c r="K588" s="103"/>
      <c r="L588" s="106">
        <v>1425</v>
      </c>
      <c r="M588" s="103" t="s">
        <v>10722</v>
      </c>
      <c r="N588" s="106">
        <v>19613406.331251</v>
      </c>
      <c r="O588" s="103" t="s">
        <v>11153</v>
      </c>
      <c r="R588" s="58"/>
      <c r="S588" s="58"/>
      <c r="T588" s="58"/>
      <c r="U588" s="58"/>
      <c r="V588" s="58"/>
      <c r="W588" s="58"/>
      <c r="X588" s="58"/>
    </row>
    <row r="589" spans="1:24">
      <c r="A589" s="103" t="s">
        <v>4931</v>
      </c>
      <c r="B589" s="104" t="s">
        <v>139</v>
      </c>
      <c r="C589" s="104" t="s">
        <v>4932</v>
      </c>
      <c r="D589" s="104" t="s">
        <v>2961</v>
      </c>
      <c r="E589" s="105" t="s">
        <v>134</v>
      </c>
      <c r="F589" s="103" t="s">
        <v>10855</v>
      </c>
      <c r="G589" s="103"/>
      <c r="H589" s="103" t="s">
        <v>10047</v>
      </c>
      <c r="I589" s="103"/>
      <c r="J589" s="103" t="s">
        <v>11154</v>
      </c>
      <c r="K589" s="103"/>
      <c r="L589" s="106">
        <v>1419</v>
      </c>
      <c r="M589" s="103" t="s">
        <v>10722</v>
      </c>
      <c r="N589" s="106">
        <v>19614825.331251</v>
      </c>
      <c r="O589" s="103" t="s">
        <v>11153</v>
      </c>
      <c r="R589" s="58"/>
      <c r="S589" s="58"/>
      <c r="T589" s="58"/>
      <c r="U589" s="58"/>
      <c r="V589" s="58"/>
      <c r="W589" s="58"/>
      <c r="X589" s="58"/>
    </row>
    <row r="590" ht="38.25" spans="1:24">
      <c r="A590" s="103" t="s">
        <v>4699</v>
      </c>
      <c r="B590" s="104" t="s">
        <v>77</v>
      </c>
      <c r="C590" s="104" t="s">
        <v>4700</v>
      </c>
      <c r="D590" s="104" t="s">
        <v>2961</v>
      </c>
      <c r="E590" s="105" t="s">
        <v>134</v>
      </c>
      <c r="F590" s="103" t="s">
        <v>11155</v>
      </c>
      <c r="G590" s="103"/>
      <c r="H590" s="103" t="s">
        <v>11156</v>
      </c>
      <c r="I590" s="103"/>
      <c r="J590" s="103" t="s">
        <v>11157</v>
      </c>
      <c r="K590" s="103"/>
      <c r="L590" s="106">
        <v>1408.96</v>
      </c>
      <c r="M590" s="103" t="s">
        <v>10722</v>
      </c>
      <c r="N590" s="106">
        <v>19616234.291251</v>
      </c>
      <c r="O590" s="103" t="s">
        <v>11158</v>
      </c>
      <c r="R590" s="58"/>
      <c r="S590" s="58"/>
      <c r="T590" s="58"/>
      <c r="U590" s="58"/>
      <c r="V590" s="58"/>
      <c r="W590" s="58"/>
      <c r="X590" s="58"/>
    </row>
    <row r="591" ht="25.5" spans="1:24">
      <c r="A591" s="103" t="s">
        <v>6096</v>
      </c>
      <c r="B591" s="104" t="s">
        <v>139</v>
      </c>
      <c r="C591" s="104" t="s">
        <v>6097</v>
      </c>
      <c r="D591" s="104" t="s">
        <v>2961</v>
      </c>
      <c r="E591" s="105" t="s">
        <v>134</v>
      </c>
      <c r="F591" s="103" t="s">
        <v>9183</v>
      </c>
      <c r="G591" s="103"/>
      <c r="H591" s="103" t="s">
        <v>11159</v>
      </c>
      <c r="I591" s="103"/>
      <c r="J591" s="103" t="s">
        <v>11160</v>
      </c>
      <c r="K591" s="103"/>
      <c r="L591" s="106">
        <v>1384.24</v>
      </c>
      <c r="M591" s="103" t="s">
        <v>10722</v>
      </c>
      <c r="N591" s="106">
        <v>19617618.531251</v>
      </c>
      <c r="O591" s="103" t="s">
        <v>11161</v>
      </c>
      <c r="R591" s="58"/>
      <c r="S591" s="58"/>
      <c r="T591" s="58"/>
      <c r="U591" s="58"/>
      <c r="V591" s="58"/>
      <c r="W591" s="58"/>
      <c r="X591" s="58"/>
    </row>
    <row r="592" ht="25.5" spans="1:24">
      <c r="A592" s="103" t="s">
        <v>4511</v>
      </c>
      <c r="B592" s="104" t="s">
        <v>149</v>
      </c>
      <c r="C592" s="104" t="s">
        <v>4512</v>
      </c>
      <c r="D592" s="104" t="s">
        <v>2961</v>
      </c>
      <c r="E592" s="105" t="s">
        <v>204</v>
      </c>
      <c r="F592" s="103" t="s">
        <v>11162</v>
      </c>
      <c r="G592" s="103"/>
      <c r="H592" s="103" t="s">
        <v>11163</v>
      </c>
      <c r="I592" s="103"/>
      <c r="J592" s="103" t="s">
        <v>11164</v>
      </c>
      <c r="K592" s="103"/>
      <c r="L592" s="106">
        <v>1382.29</v>
      </c>
      <c r="M592" s="103" t="s">
        <v>10722</v>
      </c>
      <c r="N592" s="106">
        <v>19619000.821251</v>
      </c>
      <c r="O592" s="103" t="s">
        <v>11161</v>
      </c>
      <c r="R592" s="58"/>
      <c r="S592" s="58"/>
      <c r="T592" s="58"/>
      <c r="U592" s="58"/>
      <c r="V592" s="58"/>
      <c r="W592" s="58"/>
      <c r="X592" s="58"/>
    </row>
    <row r="593" spans="1:24">
      <c r="A593" s="103" t="s">
        <v>5798</v>
      </c>
      <c r="B593" s="104" t="s">
        <v>796</v>
      </c>
      <c r="C593" s="104" t="s">
        <v>5799</v>
      </c>
      <c r="D593" s="104" t="s">
        <v>2896</v>
      </c>
      <c r="E593" s="105" t="s">
        <v>3707</v>
      </c>
      <c r="F593" s="103" t="s">
        <v>11165</v>
      </c>
      <c r="G593" s="103"/>
      <c r="H593" s="103" t="s">
        <v>10771</v>
      </c>
      <c r="I593" s="103"/>
      <c r="J593" s="103" t="s">
        <v>11166</v>
      </c>
      <c r="K593" s="103"/>
      <c r="L593" s="106">
        <v>1367.0329284</v>
      </c>
      <c r="M593" s="103" t="s">
        <v>10722</v>
      </c>
      <c r="N593" s="106">
        <v>19620367.8541794</v>
      </c>
      <c r="O593" s="103" t="s">
        <v>11167</v>
      </c>
      <c r="R593" s="58"/>
      <c r="S593" s="58"/>
      <c r="T593" s="58"/>
      <c r="U593" s="58"/>
      <c r="V593" s="58"/>
      <c r="W593" s="58"/>
      <c r="X593" s="58"/>
    </row>
    <row r="594" ht="25.5" spans="1:24">
      <c r="A594" s="103" t="s">
        <v>4442</v>
      </c>
      <c r="B594" s="104" t="s">
        <v>77</v>
      </c>
      <c r="C594" s="104" t="s">
        <v>4443</v>
      </c>
      <c r="D594" s="104" t="s">
        <v>2961</v>
      </c>
      <c r="E594" s="105" t="s">
        <v>134</v>
      </c>
      <c r="F594" s="103" t="s">
        <v>9478</v>
      </c>
      <c r="G594" s="103"/>
      <c r="H594" s="103" t="s">
        <v>11168</v>
      </c>
      <c r="I594" s="103"/>
      <c r="J594" s="103" t="s">
        <v>11169</v>
      </c>
      <c r="K594" s="103"/>
      <c r="L594" s="106">
        <v>1366.12</v>
      </c>
      <c r="M594" s="103" t="s">
        <v>10722</v>
      </c>
      <c r="N594" s="106">
        <v>19621733.9741794</v>
      </c>
      <c r="O594" s="103" t="s">
        <v>11170</v>
      </c>
      <c r="R594" s="58"/>
      <c r="S594" s="58"/>
      <c r="T594" s="58"/>
      <c r="U594" s="58"/>
      <c r="V594" s="58"/>
      <c r="W594" s="58"/>
      <c r="X594" s="58"/>
    </row>
    <row r="595" ht="25.5" spans="1:24">
      <c r="A595" s="103" t="s">
        <v>3857</v>
      </c>
      <c r="B595" s="104" t="s">
        <v>139</v>
      </c>
      <c r="C595" s="104" t="s">
        <v>3858</v>
      </c>
      <c r="D595" s="104" t="s">
        <v>2961</v>
      </c>
      <c r="E595" s="105" t="s">
        <v>134</v>
      </c>
      <c r="F595" s="103" t="s">
        <v>10582</v>
      </c>
      <c r="G595" s="103"/>
      <c r="H595" s="103" t="s">
        <v>11171</v>
      </c>
      <c r="I595" s="103"/>
      <c r="J595" s="103" t="s">
        <v>11172</v>
      </c>
      <c r="K595" s="103"/>
      <c r="L595" s="106">
        <v>1337.64</v>
      </c>
      <c r="M595" s="103" t="s">
        <v>10722</v>
      </c>
      <c r="N595" s="106">
        <v>19623071.6141794</v>
      </c>
      <c r="O595" s="103" t="s">
        <v>11170</v>
      </c>
      <c r="R595" s="58"/>
      <c r="S595" s="58"/>
      <c r="T595" s="58"/>
      <c r="U595" s="58"/>
      <c r="V595" s="58"/>
      <c r="W595" s="58"/>
      <c r="X595" s="58"/>
    </row>
    <row r="596" spans="1:24">
      <c r="A596" s="103" t="s">
        <v>5201</v>
      </c>
      <c r="B596" s="104" t="s">
        <v>139</v>
      </c>
      <c r="C596" s="104" t="s">
        <v>5202</v>
      </c>
      <c r="D596" s="104" t="s">
        <v>2961</v>
      </c>
      <c r="E596" s="105" t="s">
        <v>393</v>
      </c>
      <c r="F596" s="103" t="s">
        <v>11173</v>
      </c>
      <c r="G596" s="103"/>
      <c r="H596" s="103" t="s">
        <v>11174</v>
      </c>
      <c r="I596" s="103"/>
      <c r="J596" s="103" t="s">
        <v>11175</v>
      </c>
      <c r="K596" s="103"/>
      <c r="L596" s="106">
        <v>1333.48974234</v>
      </c>
      <c r="M596" s="103" t="s">
        <v>10722</v>
      </c>
      <c r="N596" s="106">
        <v>19624405.1039217</v>
      </c>
      <c r="O596" s="103" t="s">
        <v>11176</v>
      </c>
      <c r="R596" s="58"/>
      <c r="S596" s="58"/>
      <c r="T596" s="58"/>
      <c r="U596" s="58"/>
      <c r="V596" s="58"/>
      <c r="W596" s="58"/>
      <c r="X596" s="58"/>
    </row>
    <row r="597" ht="25.5" spans="1:24">
      <c r="A597" s="103" t="s">
        <v>4794</v>
      </c>
      <c r="B597" s="104" t="s">
        <v>149</v>
      </c>
      <c r="C597" s="104" t="s">
        <v>4795</v>
      </c>
      <c r="D597" s="104" t="s">
        <v>2961</v>
      </c>
      <c r="E597" s="105" t="s">
        <v>134</v>
      </c>
      <c r="F597" s="103" t="s">
        <v>9585</v>
      </c>
      <c r="G597" s="103"/>
      <c r="H597" s="103" t="s">
        <v>11177</v>
      </c>
      <c r="I597" s="103"/>
      <c r="J597" s="103" t="s">
        <v>11178</v>
      </c>
      <c r="K597" s="103"/>
      <c r="L597" s="106">
        <v>1328.25</v>
      </c>
      <c r="M597" s="103" t="s">
        <v>10722</v>
      </c>
      <c r="N597" s="106">
        <v>19625733.3539217</v>
      </c>
      <c r="O597" s="103" t="s">
        <v>11179</v>
      </c>
      <c r="R597" s="58"/>
      <c r="S597" s="58"/>
      <c r="T597" s="58"/>
      <c r="U597" s="58"/>
      <c r="V597" s="58"/>
      <c r="W597" s="58"/>
      <c r="X597" s="58"/>
    </row>
    <row r="598" ht="25.5" spans="1:24">
      <c r="A598" s="103" t="s">
        <v>5473</v>
      </c>
      <c r="B598" s="104" t="s">
        <v>139</v>
      </c>
      <c r="C598" s="104" t="s">
        <v>5474</v>
      </c>
      <c r="D598" s="104" t="s">
        <v>5444</v>
      </c>
      <c r="E598" s="105" t="s">
        <v>5228</v>
      </c>
      <c r="F598" s="103" t="s">
        <v>11180</v>
      </c>
      <c r="G598" s="103"/>
      <c r="H598" s="103" t="s">
        <v>11181</v>
      </c>
      <c r="I598" s="103"/>
      <c r="J598" s="103" t="s">
        <v>11182</v>
      </c>
      <c r="K598" s="103"/>
      <c r="L598" s="106">
        <v>1324.69464772196</v>
      </c>
      <c r="M598" s="103" t="s">
        <v>10722</v>
      </c>
      <c r="N598" s="106">
        <v>19627058.0485694</v>
      </c>
      <c r="O598" s="103" t="s">
        <v>11179</v>
      </c>
      <c r="R598" s="58"/>
      <c r="S598" s="58"/>
      <c r="T598" s="58"/>
      <c r="U598" s="58"/>
      <c r="V598" s="58"/>
      <c r="W598" s="58"/>
      <c r="X598" s="58"/>
    </row>
    <row r="599" ht="38.25" spans="1:24">
      <c r="A599" s="103" t="s">
        <v>3736</v>
      </c>
      <c r="B599" s="104" t="s">
        <v>139</v>
      </c>
      <c r="C599" s="104" t="s">
        <v>3737</v>
      </c>
      <c r="D599" s="104" t="s">
        <v>2961</v>
      </c>
      <c r="E599" s="105" t="s">
        <v>134</v>
      </c>
      <c r="F599" s="103" t="s">
        <v>9401</v>
      </c>
      <c r="G599" s="103"/>
      <c r="H599" s="103" t="s">
        <v>11183</v>
      </c>
      <c r="I599" s="103"/>
      <c r="J599" s="103" t="s">
        <v>11184</v>
      </c>
      <c r="K599" s="103"/>
      <c r="L599" s="106">
        <v>1323.9</v>
      </c>
      <c r="M599" s="103" t="s">
        <v>10722</v>
      </c>
      <c r="N599" s="106">
        <v>19628381.9485694</v>
      </c>
      <c r="O599" s="103" t="s">
        <v>11185</v>
      </c>
      <c r="R599" s="58"/>
      <c r="S599" s="58"/>
      <c r="T599" s="58"/>
      <c r="U599" s="58"/>
      <c r="V599" s="58"/>
      <c r="W599" s="58"/>
      <c r="X599" s="58"/>
    </row>
    <row r="600" ht="51" spans="1:24">
      <c r="A600" s="103" t="s">
        <v>3405</v>
      </c>
      <c r="B600" s="104" t="s">
        <v>139</v>
      </c>
      <c r="C600" s="104" t="s">
        <v>3406</v>
      </c>
      <c r="D600" s="104" t="s">
        <v>3395</v>
      </c>
      <c r="E600" s="105" t="s">
        <v>3398</v>
      </c>
      <c r="F600" s="103" t="s">
        <v>10512</v>
      </c>
      <c r="G600" s="103"/>
      <c r="H600" s="103" t="s">
        <v>11186</v>
      </c>
      <c r="I600" s="103"/>
      <c r="J600" s="103" t="s">
        <v>11187</v>
      </c>
      <c r="K600" s="103"/>
      <c r="L600" s="106">
        <v>1312.371858</v>
      </c>
      <c r="M600" s="103" t="s">
        <v>10722</v>
      </c>
      <c r="N600" s="106">
        <v>19629694.3204274</v>
      </c>
      <c r="O600" s="103" t="s">
        <v>11188</v>
      </c>
      <c r="R600" s="58"/>
      <c r="S600" s="58"/>
      <c r="T600" s="58"/>
      <c r="U600" s="58"/>
      <c r="V600" s="58"/>
      <c r="W600" s="58"/>
      <c r="X600" s="58"/>
    </row>
    <row r="601" ht="25.5" spans="1:24">
      <c r="A601" s="103" t="s">
        <v>3956</v>
      </c>
      <c r="B601" s="104" t="s">
        <v>149</v>
      </c>
      <c r="C601" s="104" t="s">
        <v>3957</v>
      </c>
      <c r="D601" s="104" t="s">
        <v>2961</v>
      </c>
      <c r="E601" s="105" t="s">
        <v>204</v>
      </c>
      <c r="F601" s="103" t="s">
        <v>10783</v>
      </c>
      <c r="G601" s="103"/>
      <c r="H601" s="103" t="s">
        <v>11189</v>
      </c>
      <c r="I601" s="103"/>
      <c r="J601" s="103" t="s">
        <v>11190</v>
      </c>
      <c r="K601" s="103"/>
      <c r="L601" s="106">
        <v>1283.92</v>
      </c>
      <c r="M601" s="103" t="s">
        <v>10722</v>
      </c>
      <c r="N601" s="106">
        <v>19630978.2404274</v>
      </c>
      <c r="O601" s="103" t="s">
        <v>11188</v>
      </c>
      <c r="R601" s="58"/>
      <c r="S601" s="58"/>
      <c r="T601" s="58"/>
      <c r="U601" s="58"/>
      <c r="V601" s="58"/>
      <c r="W601" s="58"/>
      <c r="X601" s="58"/>
    </row>
    <row r="602" ht="25.5" spans="1:24">
      <c r="A602" s="103" t="s">
        <v>4171</v>
      </c>
      <c r="B602" s="104" t="s">
        <v>149</v>
      </c>
      <c r="C602" s="104" t="s">
        <v>4172</v>
      </c>
      <c r="D602" s="104" t="s">
        <v>2961</v>
      </c>
      <c r="E602" s="105" t="s">
        <v>1491</v>
      </c>
      <c r="F602" s="103" t="s">
        <v>11191</v>
      </c>
      <c r="G602" s="103"/>
      <c r="H602" s="103" t="s">
        <v>11192</v>
      </c>
      <c r="I602" s="103"/>
      <c r="J602" s="103" t="s">
        <v>11193</v>
      </c>
      <c r="K602" s="103"/>
      <c r="L602" s="106">
        <v>1281.6</v>
      </c>
      <c r="M602" s="103" t="s">
        <v>10722</v>
      </c>
      <c r="N602" s="106">
        <v>19632259.8404274</v>
      </c>
      <c r="O602" s="103" t="s">
        <v>11194</v>
      </c>
      <c r="R602" s="58"/>
      <c r="S602" s="58"/>
      <c r="T602" s="58"/>
      <c r="U602" s="58"/>
      <c r="V602" s="58"/>
      <c r="W602" s="58"/>
      <c r="X602" s="58"/>
    </row>
    <row r="603" ht="25.5" spans="1:24">
      <c r="A603" s="103" t="s">
        <v>4671</v>
      </c>
      <c r="B603" s="104" t="s">
        <v>149</v>
      </c>
      <c r="C603" s="104" t="s">
        <v>4672</v>
      </c>
      <c r="D603" s="104" t="s">
        <v>2961</v>
      </c>
      <c r="E603" s="105" t="s">
        <v>134</v>
      </c>
      <c r="F603" s="103" t="s">
        <v>10259</v>
      </c>
      <c r="G603" s="103"/>
      <c r="H603" s="103" t="s">
        <v>11195</v>
      </c>
      <c r="I603" s="103"/>
      <c r="J603" s="103" t="s">
        <v>11196</v>
      </c>
      <c r="K603" s="103"/>
      <c r="L603" s="106">
        <v>1278.4</v>
      </c>
      <c r="M603" s="103" t="s">
        <v>10722</v>
      </c>
      <c r="N603" s="106">
        <v>19633538.2404274</v>
      </c>
      <c r="O603" s="103" t="s">
        <v>11197</v>
      </c>
      <c r="R603" s="58"/>
      <c r="S603" s="58"/>
      <c r="T603" s="58"/>
      <c r="U603" s="58"/>
      <c r="V603" s="58"/>
      <c r="W603" s="58"/>
      <c r="X603" s="58"/>
    </row>
    <row r="604" spans="1:24">
      <c r="A604" s="103" t="s">
        <v>3869</v>
      </c>
      <c r="B604" s="104" t="s">
        <v>149</v>
      </c>
      <c r="C604" s="104" t="s">
        <v>3870</v>
      </c>
      <c r="D604" s="104" t="s">
        <v>2961</v>
      </c>
      <c r="E604" s="105" t="s">
        <v>141</v>
      </c>
      <c r="F604" s="103" t="s">
        <v>11198</v>
      </c>
      <c r="G604" s="103"/>
      <c r="H604" s="103" t="s">
        <v>11199</v>
      </c>
      <c r="I604" s="103"/>
      <c r="J604" s="103" t="s">
        <v>11200</v>
      </c>
      <c r="K604" s="103"/>
      <c r="L604" s="106">
        <v>1269.081</v>
      </c>
      <c r="M604" s="103" t="s">
        <v>10722</v>
      </c>
      <c r="N604" s="106">
        <v>19634807.3214274</v>
      </c>
      <c r="O604" s="103" t="s">
        <v>11197</v>
      </c>
      <c r="R604" s="58"/>
      <c r="S604" s="58"/>
      <c r="T604" s="58"/>
      <c r="U604" s="58"/>
      <c r="V604" s="58"/>
      <c r="W604" s="58"/>
      <c r="X604" s="58"/>
    </row>
    <row r="605" ht="38.25" spans="1:24">
      <c r="A605" s="103" t="s">
        <v>2959</v>
      </c>
      <c r="B605" s="104" t="s">
        <v>139</v>
      </c>
      <c r="C605" s="104" t="s">
        <v>2960</v>
      </c>
      <c r="D605" s="104" t="s">
        <v>2961</v>
      </c>
      <c r="E605" s="105" t="s">
        <v>141</v>
      </c>
      <c r="F605" s="103" t="s">
        <v>11201</v>
      </c>
      <c r="G605" s="103"/>
      <c r="H605" s="103" t="s">
        <v>11202</v>
      </c>
      <c r="I605" s="103"/>
      <c r="J605" s="103" t="s">
        <v>11203</v>
      </c>
      <c r="K605" s="103"/>
      <c r="L605" s="106">
        <v>1260</v>
      </c>
      <c r="M605" s="103" t="s">
        <v>10722</v>
      </c>
      <c r="N605" s="106">
        <v>19636067.3214274</v>
      </c>
      <c r="O605" s="103" t="s">
        <v>11204</v>
      </c>
      <c r="R605" s="58"/>
      <c r="S605" s="58"/>
      <c r="T605" s="58"/>
      <c r="U605" s="58"/>
      <c r="V605" s="58"/>
      <c r="W605" s="58"/>
      <c r="X605" s="58"/>
    </row>
    <row r="606" spans="1:24">
      <c r="A606" s="103" t="s">
        <v>3493</v>
      </c>
      <c r="B606" s="104" t="s">
        <v>139</v>
      </c>
      <c r="C606" s="104" t="s">
        <v>3494</v>
      </c>
      <c r="D606" s="104" t="s">
        <v>2961</v>
      </c>
      <c r="E606" s="105" t="s">
        <v>393</v>
      </c>
      <c r="F606" s="103" t="s">
        <v>11205</v>
      </c>
      <c r="G606" s="103"/>
      <c r="H606" s="103" t="s">
        <v>11206</v>
      </c>
      <c r="I606" s="103"/>
      <c r="J606" s="103" t="s">
        <v>11207</v>
      </c>
      <c r="K606" s="103"/>
      <c r="L606" s="106">
        <v>1247.357904</v>
      </c>
      <c r="M606" s="103" t="s">
        <v>10722</v>
      </c>
      <c r="N606" s="106">
        <v>19637314.6793314</v>
      </c>
      <c r="O606" s="103" t="s">
        <v>11208</v>
      </c>
      <c r="R606" s="58"/>
      <c r="S606" s="58"/>
      <c r="T606" s="58"/>
      <c r="U606" s="58"/>
      <c r="V606" s="58"/>
      <c r="W606" s="58"/>
      <c r="X606" s="58"/>
    </row>
    <row r="607" ht="25.5" spans="1:24">
      <c r="A607" s="103" t="s">
        <v>5926</v>
      </c>
      <c r="B607" s="104" t="s">
        <v>77</v>
      </c>
      <c r="C607" s="104" t="s">
        <v>5927</v>
      </c>
      <c r="D607" s="104" t="s">
        <v>2896</v>
      </c>
      <c r="E607" s="105" t="s">
        <v>2897</v>
      </c>
      <c r="F607" s="103" t="s">
        <v>11209</v>
      </c>
      <c r="G607" s="103"/>
      <c r="H607" s="103" t="s">
        <v>11045</v>
      </c>
      <c r="I607" s="103"/>
      <c r="J607" s="103" t="s">
        <v>11210</v>
      </c>
      <c r="K607" s="103"/>
      <c r="L607" s="106">
        <v>1242.4319187</v>
      </c>
      <c r="M607" s="103" t="s">
        <v>10722</v>
      </c>
      <c r="N607" s="106">
        <v>19638557.1112501</v>
      </c>
      <c r="O607" s="103" t="s">
        <v>11208</v>
      </c>
      <c r="R607" s="58"/>
      <c r="S607" s="58"/>
      <c r="T607" s="58"/>
      <c r="U607" s="58"/>
      <c r="V607" s="58"/>
      <c r="W607" s="58"/>
      <c r="X607" s="58"/>
    </row>
    <row r="608" spans="1:24">
      <c r="A608" s="103" t="s">
        <v>5836</v>
      </c>
      <c r="B608" s="104" t="s">
        <v>77</v>
      </c>
      <c r="C608" s="104" t="s">
        <v>5837</v>
      </c>
      <c r="D608" s="104" t="s">
        <v>2961</v>
      </c>
      <c r="E608" s="105" t="s">
        <v>134</v>
      </c>
      <c r="F608" s="103" t="s">
        <v>11211</v>
      </c>
      <c r="G608" s="103"/>
      <c r="H608" s="103" t="s">
        <v>11212</v>
      </c>
      <c r="I608" s="103"/>
      <c r="J608" s="103" t="s">
        <v>11213</v>
      </c>
      <c r="K608" s="103"/>
      <c r="L608" s="106">
        <v>1232.784</v>
      </c>
      <c r="M608" s="103" t="s">
        <v>10722</v>
      </c>
      <c r="N608" s="106">
        <v>19639789.8952501</v>
      </c>
      <c r="O608" s="103" t="s">
        <v>11214</v>
      </c>
      <c r="R608" s="58"/>
      <c r="S608" s="58"/>
      <c r="T608" s="58"/>
      <c r="U608" s="58"/>
      <c r="V608" s="58"/>
      <c r="W608" s="58"/>
      <c r="X608" s="58"/>
    </row>
    <row r="609" ht="38.25" spans="1:24">
      <c r="A609" s="103" t="s">
        <v>5495</v>
      </c>
      <c r="B609" s="104" t="s">
        <v>77</v>
      </c>
      <c r="C609" s="104" t="s">
        <v>5496</v>
      </c>
      <c r="D609" s="104" t="s">
        <v>3395</v>
      </c>
      <c r="E609" s="105" t="s">
        <v>134</v>
      </c>
      <c r="F609" s="103" t="s">
        <v>11215</v>
      </c>
      <c r="G609" s="103"/>
      <c r="H609" s="103" t="s">
        <v>11216</v>
      </c>
      <c r="I609" s="103"/>
      <c r="J609" s="103" t="s">
        <v>11217</v>
      </c>
      <c r="K609" s="103"/>
      <c r="L609" s="106">
        <v>1220.989328832</v>
      </c>
      <c r="M609" s="103" t="s">
        <v>10722</v>
      </c>
      <c r="N609" s="106">
        <v>19641010.884579</v>
      </c>
      <c r="O609" s="103" t="s">
        <v>11214</v>
      </c>
      <c r="R609" s="58"/>
      <c r="S609" s="58"/>
      <c r="T609" s="58"/>
      <c r="U609" s="58"/>
      <c r="V609" s="58"/>
      <c r="W609" s="58"/>
      <c r="X609" s="58"/>
    </row>
    <row r="610" ht="38.25" spans="1:24">
      <c r="A610" s="103" t="s">
        <v>3442</v>
      </c>
      <c r="B610" s="104" t="s">
        <v>139</v>
      </c>
      <c r="C610" s="104" t="s">
        <v>3443</v>
      </c>
      <c r="D610" s="104" t="s">
        <v>2961</v>
      </c>
      <c r="E610" s="105" t="s">
        <v>204</v>
      </c>
      <c r="F610" s="103" t="s">
        <v>11218</v>
      </c>
      <c r="G610" s="103"/>
      <c r="H610" s="103" t="s">
        <v>8002</v>
      </c>
      <c r="I610" s="103"/>
      <c r="J610" s="103" t="s">
        <v>11219</v>
      </c>
      <c r="K610" s="103"/>
      <c r="L610" s="106">
        <v>1219.04664656</v>
      </c>
      <c r="M610" s="103" t="s">
        <v>10722</v>
      </c>
      <c r="N610" s="106">
        <v>19642229.9312255</v>
      </c>
      <c r="O610" s="103" t="s">
        <v>11220</v>
      </c>
      <c r="R610" s="58"/>
      <c r="S610" s="58"/>
      <c r="T610" s="58"/>
      <c r="U610" s="58"/>
      <c r="V610" s="58"/>
      <c r="W610" s="58"/>
      <c r="X610" s="58"/>
    </row>
    <row r="611" ht="25.5" spans="1:24">
      <c r="A611" s="103" t="s">
        <v>4584</v>
      </c>
      <c r="B611" s="104" t="s">
        <v>139</v>
      </c>
      <c r="C611" s="104" t="s">
        <v>4585</v>
      </c>
      <c r="D611" s="104" t="s">
        <v>2961</v>
      </c>
      <c r="E611" s="105" t="s">
        <v>134</v>
      </c>
      <c r="F611" s="103" t="s">
        <v>9518</v>
      </c>
      <c r="G611" s="103"/>
      <c r="H611" s="103" t="s">
        <v>10359</v>
      </c>
      <c r="I611" s="103"/>
      <c r="J611" s="103" t="s">
        <v>11221</v>
      </c>
      <c r="K611" s="103"/>
      <c r="L611" s="106">
        <v>1218.72</v>
      </c>
      <c r="M611" s="103" t="s">
        <v>10722</v>
      </c>
      <c r="N611" s="106">
        <v>19643448.6512255</v>
      </c>
      <c r="O611" s="103" t="s">
        <v>11222</v>
      </c>
      <c r="R611" s="58"/>
      <c r="S611" s="58"/>
      <c r="T611" s="58"/>
      <c r="U611" s="58"/>
      <c r="V611" s="58"/>
      <c r="W611" s="58"/>
      <c r="X611" s="58"/>
    </row>
    <row r="612" ht="38.25" spans="1:24">
      <c r="A612" s="103" t="s">
        <v>6062</v>
      </c>
      <c r="B612" s="104" t="s">
        <v>139</v>
      </c>
      <c r="C612" s="104" t="s">
        <v>6063</v>
      </c>
      <c r="D612" s="104" t="s">
        <v>2961</v>
      </c>
      <c r="E612" s="105" t="s">
        <v>204</v>
      </c>
      <c r="F612" s="103" t="s">
        <v>11223</v>
      </c>
      <c r="G612" s="103"/>
      <c r="H612" s="103" t="s">
        <v>11224</v>
      </c>
      <c r="I612" s="103"/>
      <c r="J612" s="103" t="s">
        <v>11225</v>
      </c>
      <c r="K612" s="103"/>
      <c r="L612" s="106">
        <v>1214.116039872</v>
      </c>
      <c r="M612" s="103" t="s">
        <v>10722</v>
      </c>
      <c r="N612" s="106">
        <v>19644662.7672654</v>
      </c>
      <c r="O612" s="103" t="s">
        <v>11222</v>
      </c>
      <c r="R612" s="58"/>
      <c r="S612" s="58"/>
      <c r="T612" s="58"/>
      <c r="U612" s="58"/>
      <c r="V612" s="58"/>
      <c r="W612" s="58"/>
      <c r="X612" s="58"/>
    </row>
    <row r="613" ht="25.5" spans="1:24">
      <c r="A613" s="103" t="s">
        <v>4825</v>
      </c>
      <c r="B613" s="104" t="s">
        <v>132</v>
      </c>
      <c r="C613" s="104" t="s">
        <v>4826</v>
      </c>
      <c r="D613" s="104" t="s">
        <v>2961</v>
      </c>
      <c r="E613" s="105" t="s">
        <v>134</v>
      </c>
      <c r="F613" s="103" t="s">
        <v>9091</v>
      </c>
      <c r="G613" s="103"/>
      <c r="H613" s="103" t="s">
        <v>11226</v>
      </c>
      <c r="I613" s="103"/>
      <c r="J613" s="103" t="s">
        <v>11226</v>
      </c>
      <c r="K613" s="103"/>
      <c r="L613" s="106">
        <v>1206.74</v>
      </c>
      <c r="M613" s="103" t="s">
        <v>10722</v>
      </c>
      <c r="N613" s="106">
        <v>19645869.5072654</v>
      </c>
      <c r="O613" s="103" t="s">
        <v>11227</v>
      </c>
      <c r="R613" s="58"/>
      <c r="S613" s="58"/>
      <c r="T613" s="58"/>
      <c r="U613" s="58"/>
      <c r="V613" s="58"/>
      <c r="W613" s="58"/>
      <c r="X613" s="58"/>
    </row>
    <row r="614" ht="25.5" spans="1:24">
      <c r="A614" s="103" t="s">
        <v>5702</v>
      </c>
      <c r="B614" s="104" t="s">
        <v>139</v>
      </c>
      <c r="C614" s="104" t="s">
        <v>5703</v>
      </c>
      <c r="D614" s="104" t="s">
        <v>2896</v>
      </c>
      <c r="E614" s="105" t="s">
        <v>2897</v>
      </c>
      <c r="F614" s="103" t="s">
        <v>11228</v>
      </c>
      <c r="G614" s="103"/>
      <c r="H614" s="103" t="s">
        <v>11229</v>
      </c>
      <c r="I614" s="103"/>
      <c r="J614" s="103" t="s">
        <v>11230</v>
      </c>
      <c r="K614" s="103"/>
      <c r="L614" s="106">
        <v>1183.3392636</v>
      </c>
      <c r="M614" s="103" t="s">
        <v>10722</v>
      </c>
      <c r="N614" s="106">
        <v>19647052.846529</v>
      </c>
      <c r="O614" s="103" t="s">
        <v>11231</v>
      </c>
      <c r="R614" s="58"/>
      <c r="S614" s="58"/>
      <c r="T614" s="58"/>
      <c r="U614" s="58"/>
      <c r="V614" s="58"/>
      <c r="W614" s="58"/>
      <c r="X614" s="58"/>
    </row>
    <row r="615" ht="38.25" spans="1:24">
      <c r="A615" s="103" t="s">
        <v>3457</v>
      </c>
      <c r="B615" s="104" t="s">
        <v>77</v>
      </c>
      <c r="C615" s="104" t="s">
        <v>3458</v>
      </c>
      <c r="D615" s="104" t="s">
        <v>2961</v>
      </c>
      <c r="E615" s="105" t="s">
        <v>3459</v>
      </c>
      <c r="F615" s="103" t="s">
        <v>11232</v>
      </c>
      <c r="G615" s="103"/>
      <c r="H615" s="103" t="s">
        <v>11233</v>
      </c>
      <c r="I615" s="103"/>
      <c r="J615" s="103" t="s">
        <v>11234</v>
      </c>
      <c r="K615" s="103"/>
      <c r="L615" s="106">
        <v>1181.782448</v>
      </c>
      <c r="M615" s="103" t="s">
        <v>10722</v>
      </c>
      <c r="N615" s="106">
        <v>19648234.628977</v>
      </c>
      <c r="O615" s="103" t="s">
        <v>11235</v>
      </c>
      <c r="R615" s="58"/>
      <c r="S615" s="58"/>
      <c r="T615" s="58"/>
      <c r="U615" s="58"/>
      <c r="V615" s="58"/>
      <c r="W615" s="58"/>
      <c r="X615" s="58"/>
    </row>
    <row r="616" spans="1:24">
      <c r="A616" s="103" t="s">
        <v>4184</v>
      </c>
      <c r="B616" s="104" t="s">
        <v>132</v>
      </c>
      <c r="C616" s="104" t="s">
        <v>4185</v>
      </c>
      <c r="D616" s="104" t="s">
        <v>2961</v>
      </c>
      <c r="E616" s="105" t="s">
        <v>204</v>
      </c>
      <c r="F616" s="103" t="s">
        <v>11236</v>
      </c>
      <c r="G616" s="103"/>
      <c r="H616" s="103" t="s">
        <v>11237</v>
      </c>
      <c r="I616" s="103"/>
      <c r="J616" s="103" t="s">
        <v>11238</v>
      </c>
      <c r="K616" s="103"/>
      <c r="L616" s="106">
        <v>1175.958</v>
      </c>
      <c r="M616" s="103" t="s">
        <v>10722</v>
      </c>
      <c r="N616" s="106">
        <v>19649410.586977</v>
      </c>
      <c r="O616" s="103" t="s">
        <v>11235</v>
      </c>
      <c r="R616" s="58"/>
      <c r="S616" s="58"/>
      <c r="T616" s="58"/>
      <c r="U616" s="58"/>
      <c r="V616" s="58"/>
      <c r="W616" s="58"/>
      <c r="X616" s="58"/>
    </row>
    <row r="617" ht="25.5" spans="1:24">
      <c r="A617" s="103" t="s">
        <v>4823</v>
      </c>
      <c r="B617" s="104" t="s">
        <v>132</v>
      </c>
      <c r="C617" s="104" t="s">
        <v>4824</v>
      </c>
      <c r="D617" s="104" t="s">
        <v>2961</v>
      </c>
      <c r="E617" s="105" t="s">
        <v>134</v>
      </c>
      <c r="F617" s="103" t="s">
        <v>9091</v>
      </c>
      <c r="G617" s="103"/>
      <c r="H617" s="103" t="s">
        <v>11239</v>
      </c>
      <c r="I617" s="103"/>
      <c r="J617" s="103" t="s">
        <v>11239</v>
      </c>
      <c r="K617" s="103"/>
      <c r="L617" s="106">
        <v>1171.68</v>
      </c>
      <c r="M617" s="103" t="s">
        <v>10722</v>
      </c>
      <c r="N617" s="106">
        <v>19650582.266977</v>
      </c>
      <c r="O617" s="103" t="s">
        <v>11240</v>
      </c>
      <c r="R617" s="58"/>
      <c r="S617" s="58"/>
      <c r="T617" s="58"/>
      <c r="U617" s="58"/>
      <c r="V617" s="58"/>
      <c r="W617" s="58"/>
      <c r="X617" s="58"/>
    </row>
    <row r="618" spans="1:24">
      <c r="A618" s="103" t="s">
        <v>4306</v>
      </c>
      <c r="B618" s="104" t="s">
        <v>149</v>
      </c>
      <c r="C618" s="104" t="s">
        <v>4307</v>
      </c>
      <c r="D618" s="104" t="s">
        <v>2961</v>
      </c>
      <c r="E618" s="105" t="s">
        <v>134</v>
      </c>
      <c r="F618" s="103" t="s">
        <v>9585</v>
      </c>
      <c r="G618" s="103"/>
      <c r="H618" s="103" t="s">
        <v>8602</v>
      </c>
      <c r="I618" s="103"/>
      <c r="J618" s="103" t="s">
        <v>8603</v>
      </c>
      <c r="K618" s="103"/>
      <c r="L618" s="106">
        <v>1161</v>
      </c>
      <c r="M618" s="103" t="s">
        <v>10722</v>
      </c>
      <c r="N618" s="106">
        <v>19651743.266977</v>
      </c>
      <c r="O618" s="103" t="s">
        <v>11240</v>
      </c>
      <c r="R618" s="58"/>
      <c r="S618" s="58"/>
      <c r="T618" s="58"/>
      <c r="U618" s="58"/>
      <c r="V618" s="58"/>
      <c r="W618" s="58"/>
      <c r="X618" s="58"/>
    </row>
    <row r="619" ht="25.5" spans="1:24">
      <c r="A619" s="103" t="s">
        <v>4630</v>
      </c>
      <c r="B619" s="104" t="s">
        <v>139</v>
      </c>
      <c r="C619" s="104" t="s">
        <v>4631</v>
      </c>
      <c r="D619" s="104" t="s">
        <v>2961</v>
      </c>
      <c r="E619" s="105" t="s">
        <v>134</v>
      </c>
      <c r="F619" s="103" t="s">
        <v>9152</v>
      </c>
      <c r="G619" s="103"/>
      <c r="H619" s="103" t="s">
        <v>11241</v>
      </c>
      <c r="I619" s="103"/>
      <c r="J619" s="103" t="s">
        <v>11242</v>
      </c>
      <c r="K619" s="103"/>
      <c r="L619" s="106">
        <v>1160</v>
      </c>
      <c r="M619" s="103" t="s">
        <v>10722</v>
      </c>
      <c r="N619" s="106">
        <v>19652903.266977</v>
      </c>
      <c r="O619" s="103" t="s">
        <v>11243</v>
      </c>
      <c r="R619" s="58"/>
      <c r="S619" s="58"/>
      <c r="T619" s="58"/>
      <c r="U619" s="58"/>
      <c r="V619" s="58"/>
      <c r="W619" s="58"/>
      <c r="X619" s="58"/>
    </row>
    <row r="620" ht="25.5" spans="1:24">
      <c r="A620" s="103" t="s">
        <v>3482</v>
      </c>
      <c r="B620" s="104" t="s">
        <v>139</v>
      </c>
      <c r="C620" s="104" t="s">
        <v>3483</v>
      </c>
      <c r="D620" s="104" t="s">
        <v>2961</v>
      </c>
      <c r="E620" s="105" t="s">
        <v>204</v>
      </c>
      <c r="F620" s="103" t="s">
        <v>11244</v>
      </c>
      <c r="G620" s="103"/>
      <c r="H620" s="103" t="s">
        <v>11245</v>
      </c>
      <c r="I620" s="103"/>
      <c r="J620" s="103" t="s">
        <v>11246</v>
      </c>
      <c r="K620" s="103"/>
      <c r="L620" s="106">
        <v>1142.31</v>
      </c>
      <c r="M620" s="103" t="s">
        <v>10722</v>
      </c>
      <c r="N620" s="106">
        <v>19654045.576977</v>
      </c>
      <c r="O620" s="103" t="s">
        <v>11247</v>
      </c>
      <c r="R620" s="58"/>
      <c r="S620" s="58"/>
      <c r="T620" s="58"/>
      <c r="U620" s="58"/>
      <c r="V620" s="58"/>
      <c r="W620" s="58"/>
      <c r="X620" s="58"/>
    </row>
    <row r="621" ht="25.5" spans="1:24">
      <c r="A621" s="103" t="s">
        <v>4345</v>
      </c>
      <c r="B621" s="104" t="s">
        <v>796</v>
      </c>
      <c r="C621" s="104" t="s">
        <v>4346</v>
      </c>
      <c r="D621" s="104" t="s">
        <v>2961</v>
      </c>
      <c r="E621" s="105" t="s">
        <v>334</v>
      </c>
      <c r="F621" s="103" t="s">
        <v>11248</v>
      </c>
      <c r="G621" s="103"/>
      <c r="H621" s="103" t="s">
        <v>11249</v>
      </c>
      <c r="I621" s="103"/>
      <c r="J621" s="103" t="s">
        <v>11250</v>
      </c>
      <c r="K621" s="103"/>
      <c r="L621" s="106">
        <v>1140.048</v>
      </c>
      <c r="M621" s="103" t="s">
        <v>10722</v>
      </c>
      <c r="N621" s="106">
        <v>19655185.624977</v>
      </c>
      <c r="O621" s="103" t="s">
        <v>11247</v>
      </c>
      <c r="R621" s="58"/>
      <c r="S621" s="58"/>
      <c r="T621" s="58"/>
      <c r="U621" s="58"/>
      <c r="V621" s="58"/>
      <c r="W621" s="58"/>
      <c r="X621" s="58"/>
    </row>
    <row r="622" spans="1:24">
      <c r="A622" s="103" t="s">
        <v>3388</v>
      </c>
      <c r="B622" s="104" t="s">
        <v>139</v>
      </c>
      <c r="C622" s="104" t="s">
        <v>3389</v>
      </c>
      <c r="D622" s="104" t="s">
        <v>2961</v>
      </c>
      <c r="E622" s="105" t="s">
        <v>393</v>
      </c>
      <c r="F622" s="103" t="s">
        <v>11251</v>
      </c>
      <c r="G622" s="103"/>
      <c r="H622" s="103" t="s">
        <v>11252</v>
      </c>
      <c r="I622" s="103"/>
      <c r="J622" s="103" t="s">
        <v>11253</v>
      </c>
      <c r="K622" s="103"/>
      <c r="L622" s="106">
        <v>1133.78470073</v>
      </c>
      <c r="M622" s="103" t="s">
        <v>10722</v>
      </c>
      <c r="N622" s="106">
        <v>19656319.4096777</v>
      </c>
      <c r="O622" s="103" t="s">
        <v>11254</v>
      </c>
      <c r="R622" s="58"/>
      <c r="S622" s="58"/>
      <c r="T622" s="58"/>
      <c r="U622" s="58"/>
      <c r="V622" s="58"/>
      <c r="W622" s="58"/>
      <c r="X622" s="58"/>
    </row>
    <row r="623" spans="1:24">
      <c r="A623" s="103" t="s">
        <v>3050</v>
      </c>
      <c r="B623" s="104" t="s">
        <v>139</v>
      </c>
      <c r="C623" s="104" t="s">
        <v>3051</v>
      </c>
      <c r="D623" s="104" t="s">
        <v>2961</v>
      </c>
      <c r="E623" s="105" t="s">
        <v>134</v>
      </c>
      <c r="F623" s="103" t="s">
        <v>11255</v>
      </c>
      <c r="G623" s="103"/>
      <c r="H623" s="103" t="s">
        <v>11256</v>
      </c>
      <c r="I623" s="103"/>
      <c r="J623" s="103" t="s">
        <v>11257</v>
      </c>
      <c r="K623" s="103"/>
      <c r="L623" s="106">
        <v>1129.1940242</v>
      </c>
      <c r="M623" s="103" t="s">
        <v>10722</v>
      </c>
      <c r="N623" s="106">
        <v>19657448.6037019</v>
      </c>
      <c r="O623" s="103" t="s">
        <v>11254</v>
      </c>
      <c r="R623" s="58"/>
      <c r="S623" s="58"/>
      <c r="T623" s="58"/>
      <c r="U623" s="58"/>
      <c r="V623" s="58"/>
      <c r="W623" s="58"/>
      <c r="X623" s="58"/>
    </row>
    <row r="624" ht="51" spans="1:24">
      <c r="A624" s="103" t="s">
        <v>6070</v>
      </c>
      <c r="B624" s="104" t="s">
        <v>139</v>
      </c>
      <c r="C624" s="104" t="s">
        <v>6071</v>
      </c>
      <c r="D624" s="104" t="s">
        <v>2961</v>
      </c>
      <c r="E624" s="105" t="s">
        <v>204</v>
      </c>
      <c r="F624" s="103" t="s">
        <v>11258</v>
      </c>
      <c r="G624" s="103"/>
      <c r="H624" s="103" t="s">
        <v>11259</v>
      </c>
      <c r="I624" s="103"/>
      <c r="J624" s="103" t="s">
        <v>11260</v>
      </c>
      <c r="K624" s="103"/>
      <c r="L624" s="106">
        <v>1121.4201555</v>
      </c>
      <c r="M624" s="103" t="s">
        <v>10722</v>
      </c>
      <c r="N624" s="106">
        <v>19658570.0238574</v>
      </c>
      <c r="O624" s="103" t="s">
        <v>11261</v>
      </c>
      <c r="R624" s="58"/>
      <c r="S624" s="58"/>
      <c r="T624" s="58"/>
      <c r="U624" s="58"/>
      <c r="V624" s="58"/>
      <c r="W624" s="58"/>
      <c r="X624" s="58"/>
    </row>
    <row r="625" ht="25.5" spans="1:24">
      <c r="A625" s="103" t="s">
        <v>862</v>
      </c>
      <c r="B625" s="104" t="s">
        <v>796</v>
      </c>
      <c r="C625" s="104" t="s">
        <v>863</v>
      </c>
      <c r="D625" s="104" t="s">
        <v>2961</v>
      </c>
      <c r="E625" s="105" t="s">
        <v>334</v>
      </c>
      <c r="F625" s="103" t="s">
        <v>11262</v>
      </c>
      <c r="G625" s="103"/>
      <c r="H625" s="103" t="s">
        <v>7484</v>
      </c>
      <c r="I625" s="103"/>
      <c r="J625" s="103" t="s">
        <v>11263</v>
      </c>
      <c r="K625" s="103"/>
      <c r="L625" s="106">
        <v>1118.16</v>
      </c>
      <c r="M625" s="103" t="s">
        <v>10722</v>
      </c>
      <c r="N625" s="106">
        <v>19659688.1838574</v>
      </c>
      <c r="O625" s="103" t="s">
        <v>11261</v>
      </c>
      <c r="R625" s="58"/>
      <c r="S625" s="58"/>
      <c r="T625" s="58"/>
      <c r="U625" s="58"/>
      <c r="V625" s="58"/>
      <c r="W625" s="58"/>
      <c r="X625" s="58"/>
    </row>
    <row r="626" spans="1:24">
      <c r="A626" s="103" t="s">
        <v>2980</v>
      </c>
      <c r="B626" s="104" t="s">
        <v>149</v>
      </c>
      <c r="C626" s="104" t="s">
        <v>2981</v>
      </c>
      <c r="D626" s="104" t="s">
        <v>2896</v>
      </c>
      <c r="E626" s="105" t="s">
        <v>2897</v>
      </c>
      <c r="F626" s="103" t="s">
        <v>11264</v>
      </c>
      <c r="G626" s="103"/>
      <c r="H626" s="103" t="s">
        <v>9460</v>
      </c>
      <c r="I626" s="103"/>
      <c r="J626" s="103" t="s">
        <v>11265</v>
      </c>
      <c r="K626" s="103"/>
      <c r="L626" s="106">
        <v>1114.5551301888</v>
      </c>
      <c r="M626" s="103" t="s">
        <v>10722</v>
      </c>
      <c r="N626" s="106">
        <v>19660802.7389876</v>
      </c>
      <c r="O626" s="103" t="s">
        <v>11266</v>
      </c>
      <c r="R626" s="58"/>
      <c r="S626" s="58"/>
      <c r="T626" s="58"/>
      <c r="U626" s="58"/>
      <c r="V626" s="58"/>
      <c r="W626" s="58"/>
      <c r="X626" s="58"/>
    </row>
    <row r="627" spans="1:24">
      <c r="A627" s="103" t="s">
        <v>3968</v>
      </c>
      <c r="B627" s="104" t="s">
        <v>149</v>
      </c>
      <c r="C627" s="104" t="s">
        <v>3969</v>
      </c>
      <c r="D627" s="104" t="s">
        <v>2961</v>
      </c>
      <c r="E627" s="105" t="s">
        <v>134</v>
      </c>
      <c r="F627" s="103" t="s">
        <v>11267</v>
      </c>
      <c r="G627" s="103"/>
      <c r="H627" s="103" t="s">
        <v>11268</v>
      </c>
      <c r="I627" s="103"/>
      <c r="J627" s="103" t="s">
        <v>11269</v>
      </c>
      <c r="K627" s="103"/>
      <c r="L627" s="106">
        <v>1112.96</v>
      </c>
      <c r="M627" s="103" t="s">
        <v>10722</v>
      </c>
      <c r="N627" s="106">
        <v>19661915.6989876</v>
      </c>
      <c r="O627" s="103" t="s">
        <v>11266</v>
      </c>
      <c r="R627" s="58"/>
      <c r="S627" s="58"/>
      <c r="T627" s="58"/>
      <c r="U627" s="58"/>
      <c r="V627" s="58"/>
      <c r="W627" s="58"/>
      <c r="X627" s="58"/>
    </row>
    <row r="628" ht="25.5" spans="1:24">
      <c r="A628" s="103" t="s">
        <v>4819</v>
      </c>
      <c r="B628" s="104" t="s">
        <v>132</v>
      </c>
      <c r="C628" s="104" t="s">
        <v>4820</v>
      </c>
      <c r="D628" s="104" t="s">
        <v>2961</v>
      </c>
      <c r="E628" s="105" t="s">
        <v>134</v>
      </c>
      <c r="F628" s="103" t="s">
        <v>9091</v>
      </c>
      <c r="G628" s="103"/>
      <c r="H628" s="103" t="s">
        <v>11270</v>
      </c>
      <c r="I628" s="103"/>
      <c r="J628" s="103" t="s">
        <v>11270</v>
      </c>
      <c r="K628" s="103"/>
      <c r="L628" s="106">
        <v>1095.36</v>
      </c>
      <c r="M628" s="103" t="s">
        <v>10722</v>
      </c>
      <c r="N628" s="106">
        <v>19663011.0589876</v>
      </c>
      <c r="O628" s="103" t="s">
        <v>11271</v>
      </c>
      <c r="R628" s="58"/>
      <c r="S628" s="58"/>
      <c r="T628" s="58"/>
      <c r="U628" s="58"/>
      <c r="V628" s="58"/>
      <c r="W628" s="58"/>
      <c r="X628" s="58"/>
    </row>
    <row r="629" ht="25.5" spans="1:24">
      <c r="A629" s="103" t="s">
        <v>5016</v>
      </c>
      <c r="B629" s="104" t="s">
        <v>139</v>
      </c>
      <c r="C629" s="104" t="s">
        <v>5017</v>
      </c>
      <c r="D629" s="104" t="s">
        <v>2961</v>
      </c>
      <c r="E629" s="105" t="s">
        <v>134</v>
      </c>
      <c r="F629" s="103" t="s">
        <v>11272</v>
      </c>
      <c r="G629" s="103"/>
      <c r="H629" s="103" t="s">
        <v>11273</v>
      </c>
      <c r="I629" s="103"/>
      <c r="J629" s="103" t="s">
        <v>11274</v>
      </c>
      <c r="K629" s="103"/>
      <c r="L629" s="106">
        <v>1089.4</v>
      </c>
      <c r="M629" s="103" t="s">
        <v>10722</v>
      </c>
      <c r="N629" s="106">
        <v>19664100.4589876</v>
      </c>
      <c r="O629" s="103" t="s">
        <v>11275</v>
      </c>
      <c r="R629" s="58"/>
      <c r="S629" s="58"/>
      <c r="T629" s="58"/>
      <c r="U629" s="58"/>
      <c r="V629" s="58"/>
      <c r="W629" s="58"/>
      <c r="X629" s="58"/>
    </row>
    <row r="630" spans="1:24">
      <c r="A630" s="103" t="s">
        <v>5569</v>
      </c>
      <c r="B630" s="104" t="s">
        <v>139</v>
      </c>
      <c r="C630" s="104" t="s">
        <v>5570</v>
      </c>
      <c r="D630" s="104" t="s">
        <v>2961</v>
      </c>
      <c r="E630" s="105" t="s">
        <v>3084</v>
      </c>
      <c r="F630" s="103" t="s">
        <v>11276</v>
      </c>
      <c r="G630" s="103"/>
      <c r="H630" s="103" t="s">
        <v>8002</v>
      </c>
      <c r="I630" s="103"/>
      <c r="J630" s="103" t="s">
        <v>11277</v>
      </c>
      <c r="K630" s="103"/>
      <c r="L630" s="106">
        <v>1070.01689186911</v>
      </c>
      <c r="M630" s="103" t="s">
        <v>10722</v>
      </c>
      <c r="N630" s="106">
        <v>19665170.4758795</v>
      </c>
      <c r="O630" s="103" t="s">
        <v>11275</v>
      </c>
      <c r="R630" s="58"/>
      <c r="S630" s="58"/>
      <c r="T630" s="58"/>
      <c r="U630" s="58"/>
      <c r="V630" s="58"/>
      <c r="W630" s="58"/>
      <c r="X630" s="58"/>
    </row>
    <row r="631" ht="38.25" spans="1:24">
      <c r="A631" s="103" t="s">
        <v>3761</v>
      </c>
      <c r="B631" s="104" t="s">
        <v>139</v>
      </c>
      <c r="C631" s="104" t="s">
        <v>3762</v>
      </c>
      <c r="D631" s="104" t="s">
        <v>2961</v>
      </c>
      <c r="E631" s="105" t="s">
        <v>134</v>
      </c>
      <c r="F631" s="103" t="s">
        <v>11278</v>
      </c>
      <c r="G631" s="103"/>
      <c r="H631" s="103" t="s">
        <v>11279</v>
      </c>
      <c r="I631" s="103"/>
      <c r="J631" s="103" t="s">
        <v>11280</v>
      </c>
      <c r="K631" s="103"/>
      <c r="L631" s="106">
        <v>1069.16825</v>
      </c>
      <c r="M631" s="103" t="s">
        <v>10722</v>
      </c>
      <c r="N631" s="106">
        <v>19666239.6441295</v>
      </c>
      <c r="O631" s="103" t="s">
        <v>11281</v>
      </c>
      <c r="R631" s="58"/>
      <c r="S631" s="58"/>
      <c r="T631" s="58"/>
      <c r="U631" s="58"/>
      <c r="V631" s="58"/>
      <c r="W631" s="58"/>
      <c r="X631" s="58"/>
    </row>
    <row r="632" spans="1:24">
      <c r="A632" s="103" t="s">
        <v>5902</v>
      </c>
      <c r="B632" s="104" t="s">
        <v>149</v>
      </c>
      <c r="C632" s="104" t="s">
        <v>5903</v>
      </c>
      <c r="D632" s="104" t="s">
        <v>2896</v>
      </c>
      <c r="E632" s="105" t="s">
        <v>2897</v>
      </c>
      <c r="F632" s="103" t="s">
        <v>11282</v>
      </c>
      <c r="G632" s="103"/>
      <c r="H632" s="103" t="s">
        <v>11283</v>
      </c>
      <c r="I632" s="103"/>
      <c r="J632" s="103" t="s">
        <v>11284</v>
      </c>
      <c r="K632" s="103"/>
      <c r="L632" s="106">
        <v>1062.55745184</v>
      </c>
      <c r="M632" s="103" t="s">
        <v>10722</v>
      </c>
      <c r="N632" s="106">
        <v>19667302.2015813</v>
      </c>
      <c r="O632" s="103" t="s">
        <v>11281</v>
      </c>
      <c r="R632" s="58"/>
      <c r="S632" s="58"/>
      <c r="T632" s="58"/>
      <c r="U632" s="58"/>
      <c r="V632" s="58"/>
      <c r="W632" s="58"/>
      <c r="X632" s="58"/>
    </row>
    <row r="633" ht="38.25" spans="1:24">
      <c r="A633" s="103" t="s">
        <v>4038</v>
      </c>
      <c r="B633" s="104" t="s">
        <v>139</v>
      </c>
      <c r="C633" s="104" t="s">
        <v>4039</v>
      </c>
      <c r="D633" s="104" t="s">
        <v>2961</v>
      </c>
      <c r="E633" s="105" t="s">
        <v>134</v>
      </c>
      <c r="F633" s="103" t="s">
        <v>11285</v>
      </c>
      <c r="G633" s="103"/>
      <c r="H633" s="103" t="s">
        <v>6939</v>
      </c>
      <c r="I633" s="103"/>
      <c r="J633" s="103" t="s">
        <v>11286</v>
      </c>
      <c r="K633" s="103"/>
      <c r="L633" s="106">
        <v>1062.38808</v>
      </c>
      <c r="M633" s="103" t="s">
        <v>10722</v>
      </c>
      <c r="N633" s="106">
        <v>19668364.5896613</v>
      </c>
      <c r="O633" s="103" t="s">
        <v>11287</v>
      </c>
      <c r="R633" s="58"/>
      <c r="S633" s="58"/>
      <c r="T633" s="58"/>
      <c r="U633" s="58"/>
      <c r="V633" s="58"/>
      <c r="W633" s="58"/>
      <c r="X633" s="58"/>
    </row>
    <row r="634" ht="38.25" spans="1:24">
      <c r="A634" s="103" t="s">
        <v>4621</v>
      </c>
      <c r="B634" s="104" t="s">
        <v>77</v>
      </c>
      <c r="C634" s="104" t="s">
        <v>4622</v>
      </c>
      <c r="D634" s="104" t="s">
        <v>2961</v>
      </c>
      <c r="E634" s="105" t="s">
        <v>134</v>
      </c>
      <c r="F634" s="103" t="s">
        <v>11288</v>
      </c>
      <c r="G634" s="103"/>
      <c r="H634" s="103" t="s">
        <v>11289</v>
      </c>
      <c r="I634" s="103"/>
      <c r="J634" s="103" t="s">
        <v>11290</v>
      </c>
      <c r="K634" s="103"/>
      <c r="L634" s="106">
        <v>1057.4289</v>
      </c>
      <c r="M634" s="103" t="s">
        <v>10722</v>
      </c>
      <c r="N634" s="106">
        <v>19669422.0185613</v>
      </c>
      <c r="O634" s="103" t="s">
        <v>11287</v>
      </c>
      <c r="R634" s="58"/>
      <c r="S634" s="58"/>
      <c r="T634" s="58"/>
      <c r="U634" s="58"/>
      <c r="V634" s="58"/>
      <c r="W634" s="58"/>
      <c r="X634" s="58"/>
    </row>
    <row r="635" ht="25.5" spans="1:24">
      <c r="A635" s="103" t="s">
        <v>5406</v>
      </c>
      <c r="B635" s="104" t="s">
        <v>139</v>
      </c>
      <c r="C635" s="104" t="s">
        <v>5407</v>
      </c>
      <c r="D635" s="104" t="s">
        <v>2961</v>
      </c>
      <c r="E635" s="105" t="s">
        <v>2897</v>
      </c>
      <c r="F635" s="103" t="s">
        <v>10564</v>
      </c>
      <c r="G635" s="103"/>
      <c r="H635" s="103" t="s">
        <v>6895</v>
      </c>
      <c r="I635" s="103"/>
      <c r="J635" s="103" t="s">
        <v>11291</v>
      </c>
      <c r="K635" s="103"/>
      <c r="L635" s="106">
        <v>1052.687129168</v>
      </c>
      <c r="M635" s="103" t="s">
        <v>10722</v>
      </c>
      <c r="N635" s="106">
        <v>19670474.7056905</v>
      </c>
      <c r="O635" s="103" t="s">
        <v>11292</v>
      </c>
      <c r="R635" s="58"/>
      <c r="S635" s="58"/>
      <c r="T635" s="58"/>
      <c r="U635" s="58"/>
      <c r="V635" s="58"/>
      <c r="W635" s="58"/>
      <c r="X635" s="58"/>
    </row>
    <row r="636" spans="1:24">
      <c r="A636" s="103" t="s">
        <v>4602</v>
      </c>
      <c r="B636" s="104" t="s">
        <v>149</v>
      </c>
      <c r="C636" s="104" t="s">
        <v>4603</v>
      </c>
      <c r="D636" s="104" t="s">
        <v>2961</v>
      </c>
      <c r="E636" s="105" t="s">
        <v>134</v>
      </c>
      <c r="F636" s="103" t="s">
        <v>9433</v>
      </c>
      <c r="G636" s="103"/>
      <c r="H636" s="103" t="s">
        <v>11293</v>
      </c>
      <c r="I636" s="103"/>
      <c r="J636" s="103" t="s">
        <v>11294</v>
      </c>
      <c r="K636" s="103"/>
      <c r="L636" s="106">
        <v>1051.92</v>
      </c>
      <c r="M636" s="103" t="s">
        <v>10722</v>
      </c>
      <c r="N636" s="106">
        <v>19671526.6256905</v>
      </c>
      <c r="O636" s="103" t="s">
        <v>11292</v>
      </c>
      <c r="R636" s="58"/>
      <c r="S636" s="58"/>
      <c r="T636" s="58"/>
      <c r="U636" s="58"/>
      <c r="V636" s="58"/>
      <c r="W636" s="58"/>
      <c r="X636" s="58"/>
    </row>
    <row r="637" spans="1:24">
      <c r="A637" s="103" t="s">
        <v>4413</v>
      </c>
      <c r="B637" s="104" t="s">
        <v>77</v>
      </c>
      <c r="C637" s="104" t="s">
        <v>4414</v>
      </c>
      <c r="D637" s="104" t="s">
        <v>2961</v>
      </c>
      <c r="E637" s="105" t="s">
        <v>134</v>
      </c>
      <c r="F637" s="103" t="s">
        <v>10735</v>
      </c>
      <c r="G637" s="103"/>
      <c r="H637" s="103" t="s">
        <v>11295</v>
      </c>
      <c r="I637" s="103"/>
      <c r="J637" s="103" t="s">
        <v>11296</v>
      </c>
      <c r="K637" s="103"/>
      <c r="L637" s="106">
        <v>1051.08</v>
      </c>
      <c r="M637" s="103" t="s">
        <v>10722</v>
      </c>
      <c r="N637" s="106">
        <v>19672577.7056905</v>
      </c>
      <c r="O637" s="103" t="s">
        <v>11297</v>
      </c>
      <c r="R637" s="58"/>
      <c r="S637" s="58"/>
      <c r="T637" s="58"/>
      <c r="U637" s="58"/>
      <c r="V637" s="58"/>
      <c r="W637" s="58"/>
      <c r="X637" s="58"/>
    </row>
    <row r="638" ht="51" spans="1:24">
      <c r="A638" s="103" t="s">
        <v>3032</v>
      </c>
      <c r="B638" s="104" t="s">
        <v>139</v>
      </c>
      <c r="C638" s="104" t="s">
        <v>3033</v>
      </c>
      <c r="D638" s="104" t="s">
        <v>2961</v>
      </c>
      <c r="E638" s="105" t="s">
        <v>134</v>
      </c>
      <c r="F638" s="103" t="s">
        <v>9152</v>
      </c>
      <c r="G638" s="103"/>
      <c r="H638" s="103" t="s">
        <v>11298</v>
      </c>
      <c r="I638" s="103"/>
      <c r="J638" s="103" t="s">
        <v>11299</v>
      </c>
      <c r="K638" s="103"/>
      <c r="L638" s="106">
        <v>1047.16</v>
      </c>
      <c r="M638" s="103" t="s">
        <v>10722</v>
      </c>
      <c r="N638" s="106">
        <v>19673624.8656905</v>
      </c>
      <c r="O638" s="103" t="s">
        <v>11297</v>
      </c>
      <c r="R638" s="58"/>
      <c r="S638" s="58"/>
      <c r="T638" s="58"/>
      <c r="U638" s="58"/>
      <c r="V638" s="58"/>
      <c r="W638" s="58"/>
      <c r="X638" s="58"/>
    </row>
    <row r="639" ht="25.5" spans="1:24">
      <c r="A639" s="103" t="s">
        <v>4578</v>
      </c>
      <c r="B639" s="104" t="s">
        <v>139</v>
      </c>
      <c r="C639" s="104" t="s">
        <v>4579</v>
      </c>
      <c r="D639" s="104" t="s">
        <v>2961</v>
      </c>
      <c r="E639" s="105" t="s">
        <v>134</v>
      </c>
      <c r="F639" s="103" t="s">
        <v>10286</v>
      </c>
      <c r="G639" s="103"/>
      <c r="H639" s="103" t="s">
        <v>11300</v>
      </c>
      <c r="I639" s="103"/>
      <c r="J639" s="103" t="s">
        <v>11301</v>
      </c>
      <c r="K639" s="103"/>
      <c r="L639" s="106">
        <v>1039.36</v>
      </c>
      <c r="M639" s="103" t="s">
        <v>10722</v>
      </c>
      <c r="N639" s="106">
        <v>19674664.2256905</v>
      </c>
      <c r="O639" s="103" t="s">
        <v>11302</v>
      </c>
      <c r="R639" s="58"/>
      <c r="S639" s="58"/>
      <c r="T639" s="58"/>
      <c r="U639" s="58"/>
      <c r="V639" s="58"/>
      <c r="W639" s="58"/>
      <c r="X639" s="58"/>
    </row>
    <row r="640" spans="1:24">
      <c r="A640" s="103" t="s">
        <v>5892</v>
      </c>
      <c r="B640" s="104" t="s">
        <v>139</v>
      </c>
      <c r="C640" s="104" t="s">
        <v>5893</v>
      </c>
      <c r="D640" s="104" t="s">
        <v>2961</v>
      </c>
      <c r="E640" s="105" t="s">
        <v>134</v>
      </c>
      <c r="F640" s="103" t="s">
        <v>11303</v>
      </c>
      <c r="G640" s="103"/>
      <c r="H640" s="103" t="s">
        <v>11304</v>
      </c>
      <c r="I640" s="103"/>
      <c r="J640" s="103" t="s">
        <v>11305</v>
      </c>
      <c r="K640" s="103"/>
      <c r="L640" s="106">
        <v>1038.8462</v>
      </c>
      <c r="M640" s="103" t="s">
        <v>10722</v>
      </c>
      <c r="N640" s="106">
        <v>19675703.0718905</v>
      </c>
      <c r="O640" s="103" t="s">
        <v>11302</v>
      </c>
      <c r="R640" s="58"/>
      <c r="S640" s="58"/>
      <c r="T640" s="58"/>
      <c r="U640" s="58"/>
      <c r="V640" s="58"/>
      <c r="W640" s="58"/>
      <c r="X640" s="58"/>
    </row>
    <row r="641" ht="25.5" spans="1:24">
      <c r="A641" s="103" t="s">
        <v>4044</v>
      </c>
      <c r="B641" s="104" t="s">
        <v>139</v>
      </c>
      <c r="C641" s="104" t="s">
        <v>4045</v>
      </c>
      <c r="D641" s="104" t="s">
        <v>2961</v>
      </c>
      <c r="E641" s="105" t="s">
        <v>134</v>
      </c>
      <c r="F641" s="103" t="s">
        <v>10724</v>
      </c>
      <c r="G641" s="103"/>
      <c r="H641" s="103" t="s">
        <v>11306</v>
      </c>
      <c r="I641" s="103"/>
      <c r="J641" s="103" t="s">
        <v>11307</v>
      </c>
      <c r="K641" s="103"/>
      <c r="L641" s="106">
        <v>1032.3</v>
      </c>
      <c r="M641" s="103" t="s">
        <v>10722</v>
      </c>
      <c r="N641" s="106">
        <v>19676735.3718905</v>
      </c>
      <c r="O641" s="103" t="s">
        <v>11308</v>
      </c>
      <c r="R641" s="58"/>
      <c r="S641" s="58"/>
      <c r="T641" s="58"/>
      <c r="U641" s="58"/>
      <c r="V641" s="58"/>
      <c r="W641" s="58"/>
      <c r="X641" s="58"/>
    </row>
    <row r="642" ht="51" spans="1:24">
      <c r="A642" s="103" t="s">
        <v>3446</v>
      </c>
      <c r="B642" s="104" t="s">
        <v>139</v>
      </c>
      <c r="C642" s="104" t="s">
        <v>3447</v>
      </c>
      <c r="D642" s="104" t="s">
        <v>2961</v>
      </c>
      <c r="E642" s="105" t="s">
        <v>393</v>
      </c>
      <c r="F642" s="103" t="s">
        <v>11309</v>
      </c>
      <c r="G642" s="103"/>
      <c r="H642" s="103" t="s">
        <v>11310</v>
      </c>
      <c r="I642" s="103"/>
      <c r="J642" s="103" t="s">
        <v>11311</v>
      </c>
      <c r="K642" s="103"/>
      <c r="L642" s="106">
        <v>1026.5977898</v>
      </c>
      <c r="M642" s="103" t="s">
        <v>10722</v>
      </c>
      <c r="N642" s="106">
        <v>19677761.9696803</v>
      </c>
      <c r="O642" s="103" t="s">
        <v>11308</v>
      </c>
      <c r="R642" s="58"/>
      <c r="S642" s="58"/>
      <c r="T642" s="58"/>
      <c r="U642" s="58"/>
      <c r="V642" s="58"/>
      <c r="W642" s="58"/>
      <c r="X642" s="58"/>
    </row>
    <row r="643" spans="1:24">
      <c r="A643" s="103" t="s">
        <v>4898</v>
      </c>
      <c r="B643" s="104" t="s">
        <v>149</v>
      </c>
      <c r="C643" s="104" t="s">
        <v>4899</v>
      </c>
      <c r="D643" s="104" t="s">
        <v>2961</v>
      </c>
      <c r="E643" s="105" t="s">
        <v>204</v>
      </c>
      <c r="F643" s="103" t="s">
        <v>11312</v>
      </c>
      <c r="G643" s="103"/>
      <c r="H643" s="103" t="s">
        <v>11313</v>
      </c>
      <c r="I643" s="103"/>
      <c r="J643" s="103" t="s">
        <v>11314</v>
      </c>
      <c r="K643" s="103"/>
      <c r="L643" s="106">
        <v>1016.379</v>
      </c>
      <c r="M643" s="103" t="s">
        <v>10722</v>
      </c>
      <c r="N643" s="106">
        <v>19678778.3486803</v>
      </c>
      <c r="O643" s="103" t="s">
        <v>11315</v>
      </c>
      <c r="R643" s="58"/>
      <c r="S643" s="58"/>
      <c r="T643" s="58"/>
      <c r="U643" s="58"/>
      <c r="V643" s="58"/>
      <c r="W643" s="58"/>
      <c r="X643" s="58"/>
    </row>
    <row r="644" ht="25.5" spans="1:24">
      <c r="A644" s="103" t="s">
        <v>5521</v>
      </c>
      <c r="B644" s="104" t="s">
        <v>77</v>
      </c>
      <c r="C644" s="104" t="s">
        <v>5522</v>
      </c>
      <c r="D644" s="104" t="s">
        <v>3395</v>
      </c>
      <c r="E644" s="105" t="s">
        <v>134</v>
      </c>
      <c r="F644" s="103" t="s">
        <v>11316</v>
      </c>
      <c r="G644" s="103"/>
      <c r="H644" s="103" t="s">
        <v>11317</v>
      </c>
      <c r="I644" s="103"/>
      <c r="J644" s="103" t="s">
        <v>11318</v>
      </c>
      <c r="K644" s="103"/>
      <c r="L644" s="106">
        <v>1013.89696275663</v>
      </c>
      <c r="M644" s="103" t="s">
        <v>10722</v>
      </c>
      <c r="N644" s="106">
        <v>19679792.245643</v>
      </c>
      <c r="O644" s="103" t="s">
        <v>11315</v>
      </c>
      <c r="R644" s="58"/>
      <c r="S644" s="58"/>
      <c r="T644" s="58"/>
      <c r="U644" s="58"/>
      <c r="V644" s="58"/>
      <c r="W644" s="58"/>
      <c r="X644" s="58"/>
    </row>
    <row r="645" ht="25.5" spans="1:24">
      <c r="A645" s="103" t="s">
        <v>3855</v>
      </c>
      <c r="B645" s="104" t="s">
        <v>139</v>
      </c>
      <c r="C645" s="104" t="s">
        <v>3856</v>
      </c>
      <c r="D645" s="104" t="s">
        <v>2961</v>
      </c>
      <c r="E645" s="105" t="s">
        <v>134</v>
      </c>
      <c r="F645" s="103" t="s">
        <v>9152</v>
      </c>
      <c r="G645" s="103"/>
      <c r="H645" s="103" t="s">
        <v>11319</v>
      </c>
      <c r="I645" s="103"/>
      <c r="J645" s="103" t="s">
        <v>11320</v>
      </c>
      <c r="K645" s="103"/>
      <c r="L645" s="106">
        <v>1012.76</v>
      </c>
      <c r="M645" s="103" t="s">
        <v>10722</v>
      </c>
      <c r="N645" s="106">
        <v>19680805.005643</v>
      </c>
      <c r="O645" s="103" t="s">
        <v>11321</v>
      </c>
      <c r="R645" s="58"/>
      <c r="S645" s="58"/>
      <c r="T645" s="58"/>
      <c r="U645" s="58"/>
      <c r="V645" s="58"/>
      <c r="W645" s="58"/>
      <c r="X645" s="58"/>
    </row>
    <row r="646" ht="25.5" spans="1:24">
      <c r="A646" s="103" t="s">
        <v>4815</v>
      </c>
      <c r="B646" s="104" t="s">
        <v>132</v>
      </c>
      <c r="C646" s="104" t="s">
        <v>4816</v>
      </c>
      <c r="D646" s="104" t="s">
        <v>2961</v>
      </c>
      <c r="E646" s="105" t="s">
        <v>134</v>
      </c>
      <c r="F646" s="103" t="s">
        <v>9091</v>
      </c>
      <c r="G646" s="103"/>
      <c r="H646" s="103" t="s">
        <v>11322</v>
      </c>
      <c r="I646" s="103"/>
      <c r="J646" s="103" t="s">
        <v>11322</v>
      </c>
      <c r="K646" s="103"/>
      <c r="L646" s="106">
        <v>1006.14</v>
      </c>
      <c r="M646" s="103" t="s">
        <v>10722</v>
      </c>
      <c r="N646" s="106">
        <v>19681811.145643</v>
      </c>
      <c r="O646" s="103" t="s">
        <v>11321</v>
      </c>
      <c r="R646" s="58"/>
      <c r="S646" s="58"/>
      <c r="T646" s="58"/>
      <c r="U646" s="58"/>
      <c r="V646" s="58"/>
      <c r="W646" s="58"/>
      <c r="X646" s="58"/>
    </row>
    <row r="647" ht="25.5" spans="1:24">
      <c r="A647" s="103" t="s">
        <v>3887</v>
      </c>
      <c r="B647" s="104" t="s">
        <v>77</v>
      </c>
      <c r="C647" s="104" t="s">
        <v>3888</v>
      </c>
      <c r="D647" s="104" t="s">
        <v>2961</v>
      </c>
      <c r="E647" s="105" t="s">
        <v>393</v>
      </c>
      <c r="F647" s="103" t="s">
        <v>11323</v>
      </c>
      <c r="G647" s="103"/>
      <c r="H647" s="103" t="s">
        <v>11324</v>
      </c>
      <c r="I647" s="103"/>
      <c r="J647" s="103" t="s">
        <v>11325</v>
      </c>
      <c r="K647" s="103"/>
      <c r="L647" s="106">
        <v>1000.27045018561</v>
      </c>
      <c r="M647" s="103" t="s">
        <v>10722</v>
      </c>
      <c r="N647" s="106">
        <v>19682811.4160932</v>
      </c>
      <c r="O647" s="103" t="s">
        <v>11326</v>
      </c>
      <c r="R647" s="58"/>
      <c r="S647" s="58"/>
      <c r="T647" s="58"/>
      <c r="U647" s="58"/>
      <c r="V647" s="58"/>
      <c r="W647" s="58"/>
      <c r="X647" s="58"/>
    </row>
    <row r="648" spans="1:24">
      <c r="A648" s="103" t="s">
        <v>4944</v>
      </c>
      <c r="B648" s="104" t="s">
        <v>149</v>
      </c>
      <c r="C648" s="104" t="s">
        <v>4945</v>
      </c>
      <c r="D648" s="104" t="s">
        <v>2961</v>
      </c>
      <c r="E648" s="105" t="s">
        <v>134</v>
      </c>
      <c r="F648" s="103" t="s">
        <v>9152</v>
      </c>
      <c r="G648" s="103"/>
      <c r="H648" s="103" t="s">
        <v>11327</v>
      </c>
      <c r="I648" s="103"/>
      <c r="J648" s="103" t="s">
        <v>11328</v>
      </c>
      <c r="K648" s="103"/>
      <c r="L648" s="106">
        <v>999.6</v>
      </c>
      <c r="M648" s="103" t="s">
        <v>10722</v>
      </c>
      <c r="N648" s="106">
        <v>19683811.0160932</v>
      </c>
      <c r="O648" s="103" t="s">
        <v>11326</v>
      </c>
      <c r="R648" s="58"/>
      <c r="S648" s="58"/>
      <c r="T648" s="58"/>
      <c r="U648" s="58"/>
      <c r="V648" s="58"/>
      <c r="W648" s="58"/>
      <c r="X648" s="58"/>
    </row>
    <row r="649" ht="25.5" spans="1:24">
      <c r="A649" s="103" t="s">
        <v>4817</v>
      </c>
      <c r="B649" s="104" t="s">
        <v>132</v>
      </c>
      <c r="C649" s="104" t="s">
        <v>4818</v>
      </c>
      <c r="D649" s="104" t="s">
        <v>2961</v>
      </c>
      <c r="E649" s="105" t="s">
        <v>134</v>
      </c>
      <c r="F649" s="103" t="s">
        <v>9091</v>
      </c>
      <c r="G649" s="103"/>
      <c r="H649" s="103" t="s">
        <v>11329</v>
      </c>
      <c r="I649" s="103"/>
      <c r="J649" s="103" t="s">
        <v>11329</v>
      </c>
      <c r="K649" s="103"/>
      <c r="L649" s="106">
        <v>980.89</v>
      </c>
      <c r="M649" s="103" t="s">
        <v>11330</v>
      </c>
      <c r="N649" s="106">
        <v>19684791.9060932</v>
      </c>
      <c r="O649" s="103" t="s">
        <v>11331</v>
      </c>
      <c r="R649" s="58"/>
      <c r="S649" s="58"/>
      <c r="T649" s="58"/>
      <c r="U649" s="58"/>
      <c r="V649" s="58"/>
      <c r="W649" s="58"/>
      <c r="X649" s="58"/>
    </row>
    <row r="650" ht="25.5" spans="1:24">
      <c r="A650" s="103" t="s">
        <v>4378</v>
      </c>
      <c r="B650" s="104" t="s">
        <v>139</v>
      </c>
      <c r="C650" s="104" t="s">
        <v>4379</v>
      </c>
      <c r="D650" s="104" t="s">
        <v>2961</v>
      </c>
      <c r="E650" s="105" t="s">
        <v>279</v>
      </c>
      <c r="F650" s="103" t="s">
        <v>11332</v>
      </c>
      <c r="G650" s="103"/>
      <c r="H650" s="103" t="s">
        <v>11333</v>
      </c>
      <c r="I650" s="103"/>
      <c r="J650" s="103" t="s">
        <v>11334</v>
      </c>
      <c r="K650" s="103"/>
      <c r="L650" s="106">
        <v>979.16968656</v>
      </c>
      <c r="M650" s="103" t="s">
        <v>11330</v>
      </c>
      <c r="N650" s="106">
        <v>19685771.0757798</v>
      </c>
      <c r="O650" s="103" t="s">
        <v>11331</v>
      </c>
      <c r="R650" s="58"/>
      <c r="S650" s="58"/>
      <c r="T650" s="58"/>
      <c r="U650" s="58"/>
      <c r="V650" s="58"/>
      <c r="W650" s="58"/>
      <c r="X650" s="58"/>
    </row>
    <row r="651" ht="51" spans="1:24">
      <c r="A651" s="103" t="s">
        <v>5826</v>
      </c>
      <c r="B651" s="104" t="s">
        <v>77</v>
      </c>
      <c r="C651" s="104" t="s">
        <v>5827</v>
      </c>
      <c r="D651" s="104" t="s">
        <v>2961</v>
      </c>
      <c r="E651" s="105" t="s">
        <v>134</v>
      </c>
      <c r="F651" s="103" t="s">
        <v>11335</v>
      </c>
      <c r="G651" s="103"/>
      <c r="H651" s="103" t="s">
        <v>11336</v>
      </c>
      <c r="I651" s="103"/>
      <c r="J651" s="103" t="s">
        <v>11337</v>
      </c>
      <c r="K651" s="103"/>
      <c r="L651" s="106">
        <v>978.12</v>
      </c>
      <c r="M651" s="103" t="s">
        <v>11330</v>
      </c>
      <c r="N651" s="106">
        <v>19686749.1957798</v>
      </c>
      <c r="O651" s="103" t="s">
        <v>11338</v>
      </c>
      <c r="R651" s="58"/>
      <c r="S651" s="58"/>
      <c r="T651" s="58"/>
      <c r="U651" s="58"/>
      <c r="V651" s="58"/>
      <c r="W651" s="58"/>
      <c r="X651" s="58"/>
    </row>
    <row r="652" ht="38.25" spans="1:24">
      <c r="A652" s="103" t="s">
        <v>4830</v>
      </c>
      <c r="B652" s="104" t="s">
        <v>77</v>
      </c>
      <c r="C652" s="104" t="s">
        <v>4831</v>
      </c>
      <c r="D652" s="104" t="s">
        <v>2961</v>
      </c>
      <c r="E652" s="105" t="s">
        <v>134</v>
      </c>
      <c r="F652" s="103" t="s">
        <v>9091</v>
      </c>
      <c r="G652" s="103"/>
      <c r="H652" s="103" t="s">
        <v>11339</v>
      </c>
      <c r="I652" s="103"/>
      <c r="J652" s="103" t="s">
        <v>11339</v>
      </c>
      <c r="K652" s="103"/>
      <c r="L652" s="106">
        <v>975.38</v>
      </c>
      <c r="M652" s="103" t="s">
        <v>11330</v>
      </c>
      <c r="N652" s="106">
        <v>19687724.5757798</v>
      </c>
      <c r="O652" s="103" t="s">
        <v>11338</v>
      </c>
      <c r="R652" s="58"/>
      <c r="S652" s="58"/>
      <c r="T652" s="58"/>
      <c r="U652" s="58"/>
      <c r="V652" s="58"/>
      <c r="W652" s="58"/>
      <c r="X652" s="58"/>
    </row>
    <row r="653" ht="25.5" spans="1:24">
      <c r="A653" s="103" t="s">
        <v>4813</v>
      </c>
      <c r="B653" s="104" t="s">
        <v>132</v>
      </c>
      <c r="C653" s="104" t="s">
        <v>4814</v>
      </c>
      <c r="D653" s="104" t="s">
        <v>2961</v>
      </c>
      <c r="E653" s="105" t="s">
        <v>134</v>
      </c>
      <c r="F653" s="103" t="s">
        <v>9091</v>
      </c>
      <c r="G653" s="103"/>
      <c r="H653" s="103" t="s">
        <v>11340</v>
      </c>
      <c r="I653" s="103"/>
      <c r="J653" s="103" t="s">
        <v>11340</v>
      </c>
      <c r="K653" s="103"/>
      <c r="L653" s="106">
        <v>972.27</v>
      </c>
      <c r="M653" s="103" t="s">
        <v>11330</v>
      </c>
      <c r="N653" s="106">
        <v>19688696.8457798</v>
      </c>
      <c r="O653" s="103" t="s">
        <v>11341</v>
      </c>
      <c r="R653" s="58"/>
      <c r="S653" s="58"/>
      <c r="T653" s="58"/>
      <c r="U653" s="58"/>
      <c r="V653" s="58"/>
      <c r="W653" s="58"/>
      <c r="X653" s="58"/>
    </row>
    <row r="654" ht="25.5" spans="1:24">
      <c r="A654" s="103" t="s">
        <v>3941</v>
      </c>
      <c r="B654" s="104" t="s">
        <v>77</v>
      </c>
      <c r="C654" s="104" t="s">
        <v>3942</v>
      </c>
      <c r="D654" s="104" t="s">
        <v>2961</v>
      </c>
      <c r="E654" s="105" t="s">
        <v>134</v>
      </c>
      <c r="F654" s="103" t="s">
        <v>11342</v>
      </c>
      <c r="G654" s="103"/>
      <c r="H654" s="103" t="s">
        <v>11343</v>
      </c>
      <c r="I654" s="103"/>
      <c r="J654" s="103" t="s">
        <v>11344</v>
      </c>
      <c r="K654" s="103"/>
      <c r="L654" s="106">
        <v>963.964848</v>
      </c>
      <c r="M654" s="103" t="s">
        <v>11330</v>
      </c>
      <c r="N654" s="106">
        <v>19689660.8106278</v>
      </c>
      <c r="O654" s="103" t="s">
        <v>11341</v>
      </c>
      <c r="R654" s="58"/>
      <c r="S654" s="58"/>
      <c r="T654" s="58"/>
      <c r="U654" s="58"/>
      <c r="V654" s="58"/>
      <c r="W654" s="58"/>
      <c r="X654" s="58"/>
    </row>
    <row r="655" spans="1:24">
      <c r="A655" s="103" t="s">
        <v>3816</v>
      </c>
      <c r="B655" s="104" t="s">
        <v>139</v>
      </c>
      <c r="C655" s="104" t="s">
        <v>3817</v>
      </c>
      <c r="D655" s="104" t="s">
        <v>2961</v>
      </c>
      <c r="E655" s="105" t="s">
        <v>393</v>
      </c>
      <c r="F655" s="103" t="s">
        <v>11345</v>
      </c>
      <c r="G655" s="103"/>
      <c r="H655" s="103" t="s">
        <v>11346</v>
      </c>
      <c r="I655" s="103"/>
      <c r="J655" s="103" t="s">
        <v>11347</v>
      </c>
      <c r="K655" s="103"/>
      <c r="L655" s="106">
        <v>963.806811</v>
      </c>
      <c r="M655" s="103" t="s">
        <v>11330</v>
      </c>
      <c r="N655" s="106">
        <v>19690624.6174388</v>
      </c>
      <c r="O655" s="103" t="s">
        <v>11348</v>
      </c>
      <c r="R655" s="58"/>
      <c r="S655" s="58"/>
      <c r="T655" s="58"/>
      <c r="U655" s="58"/>
      <c r="V655" s="58"/>
      <c r="W655" s="58"/>
      <c r="X655" s="58"/>
    </row>
    <row r="656" ht="25.5" spans="1:24">
      <c r="A656" s="103" t="s">
        <v>3640</v>
      </c>
      <c r="B656" s="104" t="s">
        <v>132</v>
      </c>
      <c r="C656" s="104" t="s">
        <v>3641</v>
      </c>
      <c r="D656" s="104" t="s">
        <v>2961</v>
      </c>
      <c r="E656" s="105" t="s">
        <v>134</v>
      </c>
      <c r="F656" s="103" t="s">
        <v>11349</v>
      </c>
      <c r="G656" s="103"/>
      <c r="H656" s="103" t="s">
        <v>11350</v>
      </c>
      <c r="I656" s="103"/>
      <c r="J656" s="103" t="s">
        <v>11351</v>
      </c>
      <c r="K656" s="103"/>
      <c r="L656" s="106">
        <v>958.05</v>
      </c>
      <c r="M656" s="103" t="s">
        <v>11330</v>
      </c>
      <c r="N656" s="106">
        <v>19691582.6674388</v>
      </c>
      <c r="O656" s="103" t="s">
        <v>11348</v>
      </c>
      <c r="R656" s="58"/>
      <c r="S656" s="58"/>
      <c r="T656" s="58"/>
      <c r="U656" s="58"/>
      <c r="V656" s="58"/>
      <c r="W656" s="58"/>
      <c r="X656" s="58"/>
    </row>
    <row r="657" ht="25.5" spans="1:24">
      <c r="A657" s="103" t="s">
        <v>3734</v>
      </c>
      <c r="B657" s="104" t="s">
        <v>132</v>
      </c>
      <c r="C657" s="104" t="s">
        <v>3735</v>
      </c>
      <c r="D657" s="104" t="s">
        <v>2961</v>
      </c>
      <c r="E657" s="105" t="s">
        <v>134</v>
      </c>
      <c r="F657" s="103" t="s">
        <v>10259</v>
      </c>
      <c r="G657" s="103"/>
      <c r="H657" s="103" t="s">
        <v>11352</v>
      </c>
      <c r="I657" s="103"/>
      <c r="J657" s="103" t="s">
        <v>11353</v>
      </c>
      <c r="K657" s="103"/>
      <c r="L657" s="106">
        <v>947.52</v>
      </c>
      <c r="M657" s="103" t="s">
        <v>11330</v>
      </c>
      <c r="N657" s="106">
        <v>19692530.1874388</v>
      </c>
      <c r="O657" s="103" t="s">
        <v>11354</v>
      </c>
      <c r="R657" s="58"/>
      <c r="S657" s="58"/>
      <c r="T657" s="58"/>
      <c r="U657" s="58"/>
      <c r="V657" s="58"/>
      <c r="W657" s="58"/>
      <c r="X657" s="58"/>
    </row>
    <row r="658" ht="25.5" spans="1:24">
      <c r="A658" s="103" t="s">
        <v>5491</v>
      </c>
      <c r="B658" s="104" t="s">
        <v>77</v>
      </c>
      <c r="C658" s="104" t="s">
        <v>5492</v>
      </c>
      <c r="D658" s="104" t="s">
        <v>2961</v>
      </c>
      <c r="E658" s="105" t="s">
        <v>3084</v>
      </c>
      <c r="F658" s="103" t="s">
        <v>11355</v>
      </c>
      <c r="G658" s="103"/>
      <c r="H658" s="103" t="s">
        <v>11356</v>
      </c>
      <c r="I658" s="103"/>
      <c r="J658" s="103" t="s">
        <v>11357</v>
      </c>
      <c r="K658" s="103"/>
      <c r="L658" s="106">
        <v>946.445193155</v>
      </c>
      <c r="M658" s="103" t="s">
        <v>11330</v>
      </c>
      <c r="N658" s="106">
        <v>19693476.6326319</v>
      </c>
      <c r="O658" s="103" t="s">
        <v>11354</v>
      </c>
      <c r="R658" s="58"/>
      <c r="S658" s="58"/>
      <c r="T658" s="58"/>
      <c r="U658" s="58"/>
      <c r="V658" s="58"/>
      <c r="W658" s="58"/>
      <c r="X658" s="58"/>
    </row>
    <row r="659" ht="25.5" spans="1:24">
      <c r="A659" s="103" t="s">
        <v>4811</v>
      </c>
      <c r="B659" s="104" t="s">
        <v>132</v>
      </c>
      <c r="C659" s="104" t="s">
        <v>4812</v>
      </c>
      <c r="D659" s="104" t="s">
        <v>2961</v>
      </c>
      <c r="E659" s="105" t="s">
        <v>134</v>
      </c>
      <c r="F659" s="103" t="s">
        <v>9091</v>
      </c>
      <c r="G659" s="103"/>
      <c r="H659" s="103" t="s">
        <v>11358</v>
      </c>
      <c r="I659" s="103"/>
      <c r="J659" s="103" t="s">
        <v>11358</v>
      </c>
      <c r="K659" s="103"/>
      <c r="L659" s="106">
        <v>946.1</v>
      </c>
      <c r="M659" s="103" t="s">
        <v>11330</v>
      </c>
      <c r="N659" s="106">
        <v>19694422.7326319</v>
      </c>
      <c r="O659" s="103" t="s">
        <v>11359</v>
      </c>
      <c r="R659" s="58"/>
      <c r="S659" s="58"/>
      <c r="T659" s="58"/>
      <c r="U659" s="58"/>
      <c r="V659" s="58"/>
      <c r="W659" s="58"/>
      <c r="X659" s="58"/>
    </row>
    <row r="660" spans="1:24">
      <c r="A660" s="103" t="s">
        <v>5130</v>
      </c>
      <c r="B660" s="104" t="s">
        <v>139</v>
      </c>
      <c r="C660" s="104" t="s">
        <v>5131</v>
      </c>
      <c r="D660" s="104" t="s">
        <v>2961</v>
      </c>
      <c r="E660" s="105" t="s">
        <v>393</v>
      </c>
      <c r="F660" s="103" t="s">
        <v>11360</v>
      </c>
      <c r="G660" s="103"/>
      <c r="H660" s="103" t="s">
        <v>10611</v>
      </c>
      <c r="I660" s="103"/>
      <c r="J660" s="103" t="s">
        <v>11361</v>
      </c>
      <c r="K660" s="103"/>
      <c r="L660" s="106">
        <v>941.56365</v>
      </c>
      <c r="M660" s="103" t="s">
        <v>11330</v>
      </c>
      <c r="N660" s="106">
        <v>19695364.2962819</v>
      </c>
      <c r="O660" s="103" t="s">
        <v>11359</v>
      </c>
      <c r="R660" s="58"/>
      <c r="S660" s="58"/>
      <c r="T660" s="58"/>
      <c r="U660" s="58"/>
      <c r="V660" s="58"/>
      <c r="W660" s="58"/>
      <c r="X660" s="58"/>
    </row>
    <row r="661" spans="1:24">
      <c r="A661" s="103" t="s">
        <v>4967</v>
      </c>
      <c r="B661" s="104" t="s">
        <v>149</v>
      </c>
      <c r="C661" s="104" t="s">
        <v>4968</v>
      </c>
      <c r="D661" s="104" t="s">
        <v>2961</v>
      </c>
      <c r="E661" s="105" t="s">
        <v>134</v>
      </c>
      <c r="F661" s="103" t="s">
        <v>11146</v>
      </c>
      <c r="G661" s="103"/>
      <c r="H661" s="103" t="s">
        <v>11362</v>
      </c>
      <c r="I661" s="103"/>
      <c r="J661" s="103" t="s">
        <v>11363</v>
      </c>
      <c r="K661" s="103"/>
      <c r="L661" s="106">
        <v>934.83</v>
      </c>
      <c r="M661" s="103" t="s">
        <v>11330</v>
      </c>
      <c r="N661" s="106">
        <v>19696299.1262819</v>
      </c>
      <c r="O661" s="103" t="s">
        <v>11364</v>
      </c>
      <c r="R661" s="58"/>
      <c r="S661" s="58"/>
      <c r="T661" s="58"/>
      <c r="U661" s="58"/>
      <c r="V661" s="58"/>
      <c r="W661" s="58"/>
      <c r="X661" s="58"/>
    </row>
    <row r="662" ht="25.5" spans="1:24">
      <c r="A662" s="103" t="s">
        <v>4206</v>
      </c>
      <c r="B662" s="104" t="s">
        <v>77</v>
      </c>
      <c r="C662" s="104" t="s">
        <v>4207</v>
      </c>
      <c r="D662" s="104" t="s">
        <v>2896</v>
      </c>
      <c r="E662" s="105" t="s">
        <v>2897</v>
      </c>
      <c r="F662" s="103" t="s">
        <v>11365</v>
      </c>
      <c r="G662" s="103"/>
      <c r="H662" s="103" t="s">
        <v>11366</v>
      </c>
      <c r="I662" s="103"/>
      <c r="J662" s="103" t="s">
        <v>11367</v>
      </c>
      <c r="K662" s="103"/>
      <c r="L662" s="106">
        <v>925.39526</v>
      </c>
      <c r="M662" s="103" t="s">
        <v>11330</v>
      </c>
      <c r="N662" s="106">
        <v>19697224.5215419</v>
      </c>
      <c r="O662" s="103" t="s">
        <v>11364</v>
      </c>
      <c r="R662" s="58"/>
      <c r="S662" s="58"/>
      <c r="T662" s="58"/>
      <c r="U662" s="58"/>
      <c r="V662" s="58"/>
      <c r="W662" s="58"/>
      <c r="X662" s="58"/>
    </row>
    <row r="663" ht="25.5" spans="1:24">
      <c r="A663" s="103" t="s">
        <v>3792</v>
      </c>
      <c r="B663" s="104" t="s">
        <v>149</v>
      </c>
      <c r="C663" s="104" t="s">
        <v>3793</v>
      </c>
      <c r="D663" s="104" t="s">
        <v>2961</v>
      </c>
      <c r="E663" s="105" t="s">
        <v>134</v>
      </c>
      <c r="F663" s="103" t="s">
        <v>9601</v>
      </c>
      <c r="G663" s="103"/>
      <c r="H663" s="103" t="s">
        <v>11368</v>
      </c>
      <c r="I663" s="103"/>
      <c r="J663" s="103" t="s">
        <v>11369</v>
      </c>
      <c r="K663" s="103"/>
      <c r="L663" s="106">
        <v>925.1</v>
      </c>
      <c r="M663" s="103" t="s">
        <v>11330</v>
      </c>
      <c r="N663" s="106">
        <v>19698149.6215419</v>
      </c>
      <c r="O663" s="103" t="s">
        <v>11370</v>
      </c>
      <c r="R663" s="58"/>
      <c r="S663" s="58"/>
      <c r="T663" s="58"/>
      <c r="U663" s="58"/>
      <c r="V663" s="58"/>
      <c r="W663" s="58"/>
      <c r="X663" s="58"/>
    </row>
    <row r="664" ht="38.25" spans="1:24">
      <c r="A664" s="103" t="s">
        <v>4810</v>
      </c>
      <c r="B664" s="104" t="s">
        <v>132</v>
      </c>
      <c r="C664" s="104" t="s">
        <v>2285</v>
      </c>
      <c r="D664" s="104" t="s">
        <v>2961</v>
      </c>
      <c r="E664" s="105" t="s">
        <v>134</v>
      </c>
      <c r="F664" s="103" t="s">
        <v>9091</v>
      </c>
      <c r="G664" s="103"/>
      <c r="H664" s="103" t="s">
        <v>11371</v>
      </c>
      <c r="I664" s="103"/>
      <c r="J664" s="103" t="s">
        <v>11371</v>
      </c>
      <c r="K664" s="103"/>
      <c r="L664" s="106">
        <v>923.32</v>
      </c>
      <c r="M664" s="103" t="s">
        <v>11330</v>
      </c>
      <c r="N664" s="106">
        <v>19699072.9415419</v>
      </c>
      <c r="O664" s="103" t="s">
        <v>11370</v>
      </c>
      <c r="R664" s="58"/>
      <c r="S664" s="58"/>
      <c r="T664" s="58"/>
      <c r="U664" s="58"/>
      <c r="V664" s="58"/>
      <c r="W664" s="58"/>
      <c r="X664" s="58"/>
    </row>
    <row r="665" ht="25.5" spans="1:24">
      <c r="A665" s="103" t="s">
        <v>5173</v>
      </c>
      <c r="B665" s="104" t="s">
        <v>139</v>
      </c>
      <c r="C665" s="104" t="s">
        <v>5174</v>
      </c>
      <c r="D665" s="104" t="s">
        <v>2961</v>
      </c>
      <c r="E665" s="105" t="s">
        <v>134</v>
      </c>
      <c r="F665" s="103" t="s">
        <v>11372</v>
      </c>
      <c r="G665" s="103"/>
      <c r="H665" s="103" t="s">
        <v>11373</v>
      </c>
      <c r="I665" s="103"/>
      <c r="J665" s="103" t="s">
        <v>11374</v>
      </c>
      <c r="K665" s="103"/>
      <c r="L665" s="106">
        <v>922.30381034</v>
      </c>
      <c r="M665" s="103" t="s">
        <v>11330</v>
      </c>
      <c r="N665" s="106">
        <v>19699995.2453523</v>
      </c>
      <c r="O665" s="103" t="s">
        <v>11375</v>
      </c>
      <c r="R665" s="58"/>
      <c r="S665" s="58"/>
      <c r="T665" s="58"/>
      <c r="U665" s="58"/>
      <c r="V665" s="58"/>
      <c r="W665" s="58"/>
      <c r="X665" s="58"/>
    </row>
    <row r="666" ht="25.5" spans="1:24">
      <c r="A666" s="103" t="s">
        <v>4808</v>
      </c>
      <c r="B666" s="104" t="s">
        <v>132</v>
      </c>
      <c r="C666" s="104" t="s">
        <v>4809</v>
      </c>
      <c r="D666" s="104" t="s">
        <v>2961</v>
      </c>
      <c r="E666" s="105" t="s">
        <v>134</v>
      </c>
      <c r="F666" s="103" t="s">
        <v>9091</v>
      </c>
      <c r="G666" s="103"/>
      <c r="H666" s="103" t="s">
        <v>11376</v>
      </c>
      <c r="I666" s="103"/>
      <c r="J666" s="103" t="s">
        <v>11376</v>
      </c>
      <c r="K666" s="103"/>
      <c r="L666" s="106">
        <v>918.04</v>
      </c>
      <c r="M666" s="103" t="s">
        <v>11330</v>
      </c>
      <c r="N666" s="106">
        <v>19700913.2853523</v>
      </c>
      <c r="O666" s="103" t="s">
        <v>11375</v>
      </c>
      <c r="R666" s="58"/>
      <c r="S666" s="58"/>
      <c r="T666" s="58"/>
      <c r="U666" s="58"/>
      <c r="V666" s="58"/>
      <c r="W666" s="58"/>
      <c r="X666" s="58"/>
    </row>
    <row r="667" ht="38.25" spans="1:24">
      <c r="A667" s="103" t="s">
        <v>3178</v>
      </c>
      <c r="B667" s="104" t="s">
        <v>139</v>
      </c>
      <c r="C667" s="104" t="s">
        <v>3179</v>
      </c>
      <c r="D667" s="104" t="s">
        <v>2961</v>
      </c>
      <c r="E667" s="105" t="s">
        <v>134</v>
      </c>
      <c r="F667" s="103" t="s">
        <v>11377</v>
      </c>
      <c r="G667" s="103"/>
      <c r="H667" s="103" t="s">
        <v>11378</v>
      </c>
      <c r="I667" s="103"/>
      <c r="J667" s="103" t="s">
        <v>11379</v>
      </c>
      <c r="K667" s="103"/>
      <c r="L667" s="106">
        <v>916.9249</v>
      </c>
      <c r="M667" s="103" t="s">
        <v>11330</v>
      </c>
      <c r="N667" s="106">
        <v>19701830.2102523</v>
      </c>
      <c r="O667" s="103" t="s">
        <v>11375</v>
      </c>
      <c r="R667" s="58"/>
      <c r="S667" s="58"/>
      <c r="T667" s="58"/>
      <c r="U667" s="58"/>
      <c r="V667" s="58"/>
      <c r="W667" s="58"/>
      <c r="X667" s="58"/>
    </row>
    <row r="668" ht="38.25" spans="1:24">
      <c r="A668" s="103" t="s">
        <v>3503</v>
      </c>
      <c r="B668" s="104" t="s">
        <v>139</v>
      </c>
      <c r="C668" s="104" t="s">
        <v>3504</v>
      </c>
      <c r="D668" s="104" t="s">
        <v>2961</v>
      </c>
      <c r="E668" s="105" t="s">
        <v>393</v>
      </c>
      <c r="F668" s="103" t="s">
        <v>11380</v>
      </c>
      <c r="G668" s="103"/>
      <c r="H668" s="103" t="s">
        <v>11381</v>
      </c>
      <c r="I668" s="103"/>
      <c r="J668" s="103" t="s">
        <v>11382</v>
      </c>
      <c r="K668" s="103"/>
      <c r="L668" s="106">
        <v>907.6053</v>
      </c>
      <c r="M668" s="103" t="s">
        <v>11330</v>
      </c>
      <c r="N668" s="106">
        <v>19702737.8155523</v>
      </c>
      <c r="O668" s="103" t="s">
        <v>11383</v>
      </c>
      <c r="R668" s="58"/>
      <c r="S668" s="58"/>
      <c r="T668" s="58"/>
      <c r="U668" s="58"/>
      <c r="V668" s="58"/>
      <c r="W668" s="58"/>
      <c r="X668" s="58"/>
    </row>
    <row r="669" ht="38.25" spans="1:24">
      <c r="A669" s="103" t="s">
        <v>4034</v>
      </c>
      <c r="B669" s="104" t="s">
        <v>139</v>
      </c>
      <c r="C669" s="104" t="s">
        <v>4035</v>
      </c>
      <c r="D669" s="104" t="s">
        <v>2961</v>
      </c>
      <c r="E669" s="105" t="s">
        <v>134</v>
      </c>
      <c r="F669" s="103" t="s">
        <v>11384</v>
      </c>
      <c r="G669" s="103"/>
      <c r="H669" s="103" t="s">
        <v>11385</v>
      </c>
      <c r="I669" s="103"/>
      <c r="J669" s="103" t="s">
        <v>11386</v>
      </c>
      <c r="K669" s="103"/>
      <c r="L669" s="106">
        <v>907.1</v>
      </c>
      <c r="M669" s="103" t="s">
        <v>11330</v>
      </c>
      <c r="N669" s="106">
        <v>19703644.9155523</v>
      </c>
      <c r="O669" s="103" t="s">
        <v>11383</v>
      </c>
      <c r="R669" s="58"/>
      <c r="S669" s="58"/>
      <c r="T669" s="58"/>
      <c r="U669" s="58"/>
      <c r="V669" s="58"/>
      <c r="W669" s="58"/>
      <c r="X669" s="58"/>
    </row>
    <row r="670" ht="51" spans="1:24">
      <c r="A670" s="103" t="s">
        <v>4425</v>
      </c>
      <c r="B670" s="104" t="s">
        <v>139</v>
      </c>
      <c r="C670" s="104" t="s">
        <v>4426</v>
      </c>
      <c r="D670" s="104" t="s">
        <v>2961</v>
      </c>
      <c r="E670" s="105" t="s">
        <v>204</v>
      </c>
      <c r="F670" s="103" t="s">
        <v>11387</v>
      </c>
      <c r="G670" s="103"/>
      <c r="H670" s="103" t="s">
        <v>11388</v>
      </c>
      <c r="I670" s="103"/>
      <c r="J670" s="103" t="s">
        <v>11389</v>
      </c>
      <c r="K670" s="103"/>
      <c r="L670" s="106">
        <v>906.29</v>
      </c>
      <c r="M670" s="103" t="s">
        <v>11330</v>
      </c>
      <c r="N670" s="106">
        <v>19704551.2055523</v>
      </c>
      <c r="O670" s="103" t="s">
        <v>11390</v>
      </c>
      <c r="R670" s="58"/>
      <c r="S670" s="58"/>
      <c r="T670" s="58"/>
      <c r="U670" s="58"/>
      <c r="V670" s="58"/>
      <c r="W670" s="58"/>
      <c r="X670" s="58"/>
    </row>
    <row r="671" spans="1:24">
      <c r="A671" s="103" t="s">
        <v>3369</v>
      </c>
      <c r="B671" s="104" t="s">
        <v>77</v>
      </c>
      <c r="C671" s="104" t="s">
        <v>3370</v>
      </c>
      <c r="D671" s="104" t="s">
        <v>2961</v>
      </c>
      <c r="E671" s="105" t="s">
        <v>393</v>
      </c>
      <c r="F671" s="103" t="s">
        <v>11391</v>
      </c>
      <c r="G671" s="103"/>
      <c r="H671" s="103" t="s">
        <v>11392</v>
      </c>
      <c r="I671" s="103"/>
      <c r="J671" s="103" t="s">
        <v>11393</v>
      </c>
      <c r="K671" s="103"/>
      <c r="L671" s="106">
        <v>901.81632</v>
      </c>
      <c r="M671" s="103" t="s">
        <v>11330</v>
      </c>
      <c r="N671" s="106">
        <v>19705453.0218723</v>
      </c>
      <c r="O671" s="103" t="s">
        <v>11390</v>
      </c>
      <c r="R671" s="58"/>
      <c r="S671" s="58"/>
      <c r="T671" s="58"/>
      <c r="U671" s="58"/>
      <c r="V671" s="58"/>
      <c r="W671" s="58"/>
      <c r="X671" s="58"/>
    </row>
    <row r="672" ht="25.5" spans="1:24">
      <c r="A672" s="103" t="s">
        <v>4806</v>
      </c>
      <c r="B672" s="104" t="s">
        <v>132</v>
      </c>
      <c r="C672" s="104" t="s">
        <v>4807</v>
      </c>
      <c r="D672" s="104" t="s">
        <v>2961</v>
      </c>
      <c r="E672" s="105" t="s">
        <v>134</v>
      </c>
      <c r="F672" s="103" t="s">
        <v>9091</v>
      </c>
      <c r="G672" s="103"/>
      <c r="H672" s="103" t="s">
        <v>11394</v>
      </c>
      <c r="I672" s="103"/>
      <c r="J672" s="103" t="s">
        <v>11394</v>
      </c>
      <c r="K672" s="103"/>
      <c r="L672" s="106">
        <v>891.88</v>
      </c>
      <c r="M672" s="103" t="s">
        <v>11330</v>
      </c>
      <c r="N672" s="106">
        <v>19706344.9018723</v>
      </c>
      <c r="O672" s="103" t="s">
        <v>11395</v>
      </c>
      <c r="R672" s="58"/>
      <c r="S672" s="58"/>
      <c r="T672" s="58"/>
      <c r="U672" s="58"/>
      <c r="V672" s="58"/>
      <c r="W672" s="58"/>
      <c r="X672" s="58"/>
    </row>
    <row r="673" spans="1:24">
      <c r="A673" s="103" t="s">
        <v>3966</v>
      </c>
      <c r="B673" s="104" t="s">
        <v>132</v>
      </c>
      <c r="C673" s="104" t="s">
        <v>3967</v>
      </c>
      <c r="D673" s="104" t="s">
        <v>2961</v>
      </c>
      <c r="E673" s="105" t="s">
        <v>134</v>
      </c>
      <c r="F673" s="103" t="s">
        <v>11396</v>
      </c>
      <c r="G673" s="103"/>
      <c r="H673" s="103" t="s">
        <v>9848</v>
      </c>
      <c r="I673" s="103"/>
      <c r="J673" s="103" t="s">
        <v>11397</v>
      </c>
      <c r="K673" s="103"/>
      <c r="L673" s="106">
        <v>885.04</v>
      </c>
      <c r="M673" s="103" t="s">
        <v>11330</v>
      </c>
      <c r="N673" s="106">
        <v>19707229.9418723</v>
      </c>
      <c r="O673" s="103" t="s">
        <v>11395</v>
      </c>
      <c r="R673" s="58"/>
      <c r="S673" s="58"/>
      <c r="T673" s="58"/>
      <c r="U673" s="58"/>
      <c r="V673" s="58"/>
      <c r="W673" s="58"/>
      <c r="X673" s="58"/>
    </row>
    <row r="674" ht="38.25" spans="1:24">
      <c r="A674" s="103" t="s">
        <v>3028</v>
      </c>
      <c r="B674" s="104" t="s">
        <v>139</v>
      </c>
      <c r="C674" s="104" t="s">
        <v>3029</v>
      </c>
      <c r="D674" s="104" t="s">
        <v>2961</v>
      </c>
      <c r="E674" s="105" t="s">
        <v>134</v>
      </c>
      <c r="F674" s="103" t="s">
        <v>10124</v>
      </c>
      <c r="G674" s="103"/>
      <c r="H674" s="103" t="s">
        <v>11398</v>
      </c>
      <c r="I674" s="103"/>
      <c r="J674" s="103" t="s">
        <v>11399</v>
      </c>
      <c r="K674" s="103"/>
      <c r="L674" s="106">
        <v>872.4</v>
      </c>
      <c r="M674" s="103" t="s">
        <v>11330</v>
      </c>
      <c r="N674" s="106">
        <v>19708102.3418723</v>
      </c>
      <c r="O674" s="103" t="s">
        <v>11400</v>
      </c>
      <c r="R674" s="58"/>
      <c r="S674" s="58"/>
      <c r="T674" s="58"/>
      <c r="U674" s="58"/>
      <c r="V674" s="58"/>
      <c r="W674" s="58"/>
      <c r="X674" s="58"/>
    </row>
    <row r="675" spans="1:24">
      <c r="A675" s="103" t="s">
        <v>4933</v>
      </c>
      <c r="B675" s="104" t="s">
        <v>139</v>
      </c>
      <c r="C675" s="104" t="s">
        <v>4934</v>
      </c>
      <c r="D675" s="104" t="s">
        <v>2961</v>
      </c>
      <c r="E675" s="105" t="s">
        <v>134</v>
      </c>
      <c r="F675" s="103" t="s">
        <v>11349</v>
      </c>
      <c r="G675" s="103"/>
      <c r="H675" s="103" t="s">
        <v>11401</v>
      </c>
      <c r="I675" s="103"/>
      <c r="J675" s="103" t="s">
        <v>11402</v>
      </c>
      <c r="K675" s="103"/>
      <c r="L675" s="106">
        <v>870.75</v>
      </c>
      <c r="M675" s="103" t="s">
        <v>11330</v>
      </c>
      <c r="N675" s="106">
        <v>19708973.0918723</v>
      </c>
      <c r="O675" s="103" t="s">
        <v>11400</v>
      </c>
      <c r="R675" s="58"/>
      <c r="S675" s="58"/>
      <c r="T675" s="58"/>
      <c r="U675" s="58"/>
      <c r="V675" s="58"/>
      <c r="W675" s="58"/>
      <c r="X675" s="58"/>
    </row>
    <row r="676" ht="51" spans="1:24">
      <c r="A676" s="103" t="s">
        <v>6060</v>
      </c>
      <c r="B676" s="104" t="s">
        <v>139</v>
      </c>
      <c r="C676" s="104" t="s">
        <v>6061</v>
      </c>
      <c r="D676" s="104" t="s">
        <v>2961</v>
      </c>
      <c r="E676" s="105" t="s">
        <v>204</v>
      </c>
      <c r="F676" s="103" t="s">
        <v>10696</v>
      </c>
      <c r="G676" s="103"/>
      <c r="H676" s="103" t="s">
        <v>11403</v>
      </c>
      <c r="I676" s="103"/>
      <c r="J676" s="103" t="s">
        <v>11404</v>
      </c>
      <c r="K676" s="103"/>
      <c r="L676" s="106">
        <v>870.553404216</v>
      </c>
      <c r="M676" s="103" t="s">
        <v>11330</v>
      </c>
      <c r="N676" s="106">
        <v>19709843.6452765</v>
      </c>
      <c r="O676" s="103" t="s">
        <v>11400</v>
      </c>
      <c r="R676" s="58"/>
      <c r="S676" s="58"/>
      <c r="T676" s="58"/>
      <c r="U676" s="58"/>
      <c r="V676" s="58"/>
      <c r="W676" s="58"/>
      <c r="X676" s="58"/>
    </row>
    <row r="677" spans="1:24">
      <c r="A677" s="103" t="s">
        <v>5030</v>
      </c>
      <c r="B677" s="104" t="s">
        <v>149</v>
      </c>
      <c r="C677" s="104" t="s">
        <v>5031</v>
      </c>
      <c r="D677" s="104" t="s">
        <v>2961</v>
      </c>
      <c r="E677" s="105" t="s">
        <v>393</v>
      </c>
      <c r="F677" s="103" t="s">
        <v>11405</v>
      </c>
      <c r="G677" s="103"/>
      <c r="H677" s="103" t="s">
        <v>11406</v>
      </c>
      <c r="I677" s="103"/>
      <c r="J677" s="103" t="s">
        <v>11407</v>
      </c>
      <c r="K677" s="103"/>
      <c r="L677" s="106">
        <v>868.02</v>
      </c>
      <c r="M677" s="103" t="s">
        <v>11330</v>
      </c>
      <c r="N677" s="106">
        <v>19710711.6652765</v>
      </c>
      <c r="O677" s="103" t="s">
        <v>11408</v>
      </c>
      <c r="R677" s="58"/>
      <c r="S677" s="58"/>
      <c r="T677" s="58"/>
      <c r="U677" s="58"/>
      <c r="V677" s="58"/>
      <c r="W677" s="58"/>
      <c r="X677" s="58"/>
    </row>
    <row r="678" spans="1:24">
      <c r="A678" s="103" t="s">
        <v>5666</v>
      </c>
      <c r="B678" s="104" t="s">
        <v>139</v>
      </c>
      <c r="C678" s="104" t="s">
        <v>5667</v>
      </c>
      <c r="D678" s="104" t="s">
        <v>2896</v>
      </c>
      <c r="E678" s="105" t="s">
        <v>2897</v>
      </c>
      <c r="F678" s="103" t="s">
        <v>11409</v>
      </c>
      <c r="G678" s="103"/>
      <c r="H678" s="103" t="s">
        <v>11410</v>
      </c>
      <c r="I678" s="103"/>
      <c r="J678" s="103" t="s">
        <v>11411</v>
      </c>
      <c r="K678" s="103"/>
      <c r="L678" s="106">
        <v>864.678052069155</v>
      </c>
      <c r="M678" s="103" t="s">
        <v>11330</v>
      </c>
      <c r="N678" s="106">
        <v>19711576.3433286</v>
      </c>
      <c r="O678" s="103" t="s">
        <v>11408</v>
      </c>
      <c r="R678" s="58"/>
      <c r="S678" s="58"/>
      <c r="T678" s="58"/>
      <c r="U678" s="58"/>
      <c r="V678" s="58"/>
      <c r="W678" s="58"/>
      <c r="X678" s="58"/>
    </row>
    <row r="679" ht="51" spans="1:24">
      <c r="A679" s="103" t="s">
        <v>5597</v>
      </c>
      <c r="B679" s="104" t="s">
        <v>139</v>
      </c>
      <c r="C679" s="104" t="s">
        <v>5598</v>
      </c>
      <c r="D679" s="104" t="s">
        <v>3680</v>
      </c>
      <c r="E679" s="105" t="s">
        <v>134</v>
      </c>
      <c r="F679" s="103" t="s">
        <v>11412</v>
      </c>
      <c r="G679" s="103"/>
      <c r="H679" s="103" t="s">
        <v>11413</v>
      </c>
      <c r="I679" s="103"/>
      <c r="J679" s="103" t="s">
        <v>11414</v>
      </c>
      <c r="K679" s="103"/>
      <c r="L679" s="106">
        <v>861.49442493</v>
      </c>
      <c r="M679" s="103" t="s">
        <v>11330</v>
      </c>
      <c r="N679" s="106">
        <v>19712437.8377535</v>
      </c>
      <c r="O679" s="103" t="s">
        <v>11415</v>
      </c>
      <c r="R679" s="58"/>
      <c r="S679" s="58"/>
      <c r="T679" s="58"/>
      <c r="U679" s="58"/>
      <c r="V679" s="58"/>
      <c r="W679" s="58"/>
      <c r="X679" s="58"/>
    </row>
    <row r="680" spans="1:24">
      <c r="A680" s="103" t="s">
        <v>4523</v>
      </c>
      <c r="B680" s="104" t="s">
        <v>149</v>
      </c>
      <c r="C680" s="104" t="s">
        <v>4524</v>
      </c>
      <c r="D680" s="104" t="s">
        <v>2896</v>
      </c>
      <c r="E680" s="105" t="s">
        <v>2897</v>
      </c>
      <c r="F680" s="103" t="s">
        <v>11416</v>
      </c>
      <c r="G680" s="103"/>
      <c r="H680" s="103" t="s">
        <v>9456</v>
      </c>
      <c r="I680" s="103"/>
      <c r="J680" s="103" t="s">
        <v>11417</v>
      </c>
      <c r="K680" s="103"/>
      <c r="L680" s="106">
        <v>853.4552832</v>
      </c>
      <c r="M680" s="103" t="s">
        <v>11330</v>
      </c>
      <c r="N680" s="106">
        <v>19713291.2930367</v>
      </c>
      <c r="O680" s="103" t="s">
        <v>11415</v>
      </c>
      <c r="R680" s="58"/>
      <c r="S680" s="58"/>
      <c r="T680" s="58"/>
      <c r="U680" s="58"/>
      <c r="V680" s="58"/>
      <c r="W680" s="58"/>
      <c r="X680" s="58"/>
    </row>
    <row r="681" ht="25.5" spans="1:24">
      <c r="A681" s="103" t="s">
        <v>4058</v>
      </c>
      <c r="B681" s="104" t="s">
        <v>139</v>
      </c>
      <c r="C681" s="104" t="s">
        <v>4059</v>
      </c>
      <c r="D681" s="104" t="s">
        <v>2961</v>
      </c>
      <c r="E681" s="105" t="s">
        <v>134</v>
      </c>
      <c r="F681" s="103" t="s">
        <v>10279</v>
      </c>
      <c r="G681" s="103"/>
      <c r="H681" s="103" t="s">
        <v>11418</v>
      </c>
      <c r="I681" s="103"/>
      <c r="J681" s="103" t="s">
        <v>11419</v>
      </c>
      <c r="K681" s="103"/>
      <c r="L681" s="106">
        <v>845.075</v>
      </c>
      <c r="M681" s="103" t="s">
        <v>11330</v>
      </c>
      <c r="N681" s="106">
        <v>19714136.3680367</v>
      </c>
      <c r="O681" s="103" t="s">
        <v>11420</v>
      </c>
      <c r="R681" s="58"/>
      <c r="S681" s="58"/>
      <c r="T681" s="58"/>
      <c r="U681" s="58"/>
      <c r="V681" s="58"/>
      <c r="W681" s="58"/>
      <c r="X681" s="58"/>
    </row>
    <row r="682" spans="1:24">
      <c r="A682" s="103" t="s">
        <v>6034</v>
      </c>
      <c r="B682" s="104" t="s">
        <v>139</v>
      </c>
      <c r="C682" s="104" t="s">
        <v>6035</v>
      </c>
      <c r="D682" s="104" t="s">
        <v>2961</v>
      </c>
      <c r="E682" s="105" t="s">
        <v>134</v>
      </c>
      <c r="F682" s="103" t="s">
        <v>11421</v>
      </c>
      <c r="G682" s="103"/>
      <c r="H682" s="103" t="s">
        <v>10269</v>
      </c>
      <c r="I682" s="103"/>
      <c r="J682" s="103" t="s">
        <v>11422</v>
      </c>
      <c r="K682" s="103"/>
      <c r="L682" s="106">
        <v>837.09292</v>
      </c>
      <c r="M682" s="103" t="s">
        <v>11330</v>
      </c>
      <c r="N682" s="106">
        <v>19714973.4609567</v>
      </c>
      <c r="O682" s="103" t="s">
        <v>11420</v>
      </c>
      <c r="R682" s="58"/>
      <c r="S682" s="58"/>
      <c r="T682" s="58"/>
      <c r="U682" s="58"/>
      <c r="V682" s="58"/>
      <c r="W682" s="58"/>
      <c r="X682" s="58"/>
    </row>
    <row r="683" ht="25.5" spans="1:24">
      <c r="A683" s="103" t="s">
        <v>4888</v>
      </c>
      <c r="B683" s="104" t="s">
        <v>149</v>
      </c>
      <c r="C683" s="104" t="s">
        <v>4889</v>
      </c>
      <c r="D683" s="104" t="s">
        <v>2961</v>
      </c>
      <c r="E683" s="105" t="s">
        <v>204</v>
      </c>
      <c r="F683" s="103" t="s">
        <v>11423</v>
      </c>
      <c r="G683" s="103"/>
      <c r="H683" s="103" t="s">
        <v>11424</v>
      </c>
      <c r="I683" s="103"/>
      <c r="J683" s="103" t="s">
        <v>11425</v>
      </c>
      <c r="K683" s="103"/>
      <c r="L683" s="106">
        <v>832.78125</v>
      </c>
      <c r="M683" s="103" t="s">
        <v>11330</v>
      </c>
      <c r="N683" s="106">
        <v>19715806.2422067</v>
      </c>
      <c r="O683" s="103" t="s">
        <v>11420</v>
      </c>
      <c r="R683" s="58"/>
      <c r="S683" s="58"/>
      <c r="T683" s="58"/>
      <c r="U683" s="58"/>
      <c r="V683" s="58"/>
      <c r="W683" s="58"/>
      <c r="X683" s="58"/>
    </row>
    <row r="684" ht="25.5" spans="1:24">
      <c r="A684" s="103" t="s">
        <v>4800</v>
      </c>
      <c r="B684" s="104" t="s">
        <v>132</v>
      </c>
      <c r="C684" s="104" t="s">
        <v>4801</v>
      </c>
      <c r="D684" s="104" t="s">
        <v>2961</v>
      </c>
      <c r="E684" s="105" t="s">
        <v>134</v>
      </c>
      <c r="F684" s="103" t="s">
        <v>9091</v>
      </c>
      <c r="G684" s="103"/>
      <c r="H684" s="103" t="s">
        <v>11426</v>
      </c>
      <c r="I684" s="103"/>
      <c r="J684" s="103" t="s">
        <v>11426</v>
      </c>
      <c r="K684" s="103"/>
      <c r="L684" s="106">
        <v>831.73</v>
      </c>
      <c r="M684" s="103" t="s">
        <v>11330</v>
      </c>
      <c r="N684" s="106">
        <v>19716637.9722067</v>
      </c>
      <c r="O684" s="103" t="s">
        <v>11427</v>
      </c>
      <c r="R684" s="58"/>
      <c r="S684" s="58"/>
      <c r="T684" s="58"/>
      <c r="U684" s="58"/>
      <c r="V684" s="58"/>
      <c r="W684" s="58"/>
      <c r="X684" s="58"/>
    </row>
    <row r="685" ht="38.25" spans="1:24">
      <c r="A685" s="103" t="s">
        <v>3863</v>
      </c>
      <c r="B685" s="104" t="s">
        <v>139</v>
      </c>
      <c r="C685" s="104" t="s">
        <v>3864</v>
      </c>
      <c r="D685" s="104" t="s">
        <v>2961</v>
      </c>
      <c r="E685" s="105" t="s">
        <v>134</v>
      </c>
      <c r="F685" s="103" t="s">
        <v>11428</v>
      </c>
      <c r="G685" s="103"/>
      <c r="H685" s="103" t="s">
        <v>11429</v>
      </c>
      <c r="I685" s="103"/>
      <c r="J685" s="103" t="s">
        <v>11430</v>
      </c>
      <c r="K685" s="103"/>
      <c r="L685" s="106">
        <v>830.700070198</v>
      </c>
      <c r="M685" s="103" t="s">
        <v>11330</v>
      </c>
      <c r="N685" s="106">
        <v>19717468.6722769</v>
      </c>
      <c r="O685" s="103" t="s">
        <v>11427</v>
      </c>
      <c r="R685" s="58"/>
      <c r="S685" s="58"/>
      <c r="T685" s="58"/>
      <c r="U685" s="58"/>
      <c r="V685" s="58"/>
      <c r="W685" s="58"/>
      <c r="X685" s="58"/>
    </row>
    <row r="686" spans="1:24">
      <c r="A686" s="103" t="s">
        <v>5226</v>
      </c>
      <c r="B686" s="104" t="s">
        <v>149</v>
      </c>
      <c r="C686" s="104" t="s">
        <v>5227</v>
      </c>
      <c r="D686" s="104" t="s">
        <v>2961</v>
      </c>
      <c r="E686" s="105" t="s">
        <v>5228</v>
      </c>
      <c r="F686" s="103" t="s">
        <v>11431</v>
      </c>
      <c r="G686" s="103"/>
      <c r="H686" s="103" t="s">
        <v>11432</v>
      </c>
      <c r="I686" s="103"/>
      <c r="J686" s="103" t="s">
        <v>11433</v>
      </c>
      <c r="K686" s="103"/>
      <c r="L686" s="106">
        <v>827.126976</v>
      </c>
      <c r="M686" s="103" t="s">
        <v>11330</v>
      </c>
      <c r="N686" s="106">
        <v>19718295.7992529</v>
      </c>
      <c r="O686" s="103" t="s">
        <v>11434</v>
      </c>
      <c r="R686" s="58"/>
      <c r="S686" s="58"/>
      <c r="T686" s="58"/>
      <c r="U686" s="58"/>
      <c r="V686" s="58"/>
      <c r="W686" s="58"/>
      <c r="X686" s="58"/>
    </row>
    <row r="687" ht="25.5" spans="1:24">
      <c r="A687" s="103" t="s">
        <v>4541</v>
      </c>
      <c r="B687" s="104" t="s">
        <v>139</v>
      </c>
      <c r="C687" s="104" t="s">
        <v>4542</v>
      </c>
      <c r="D687" s="104" t="s">
        <v>2961</v>
      </c>
      <c r="E687" s="105" t="s">
        <v>134</v>
      </c>
      <c r="F687" s="103" t="s">
        <v>9518</v>
      </c>
      <c r="G687" s="103"/>
      <c r="H687" s="103" t="s">
        <v>11435</v>
      </c>
      <c r="I687" s="103"/>
      <c r="J687" s="103" t="s">
        <v>11436</v>
      </c>
      <c r="K687" s="103"/>
      <c r="L687" s="106">
        <v>822.72</v>
      </c>
      <c r="M687" s="103" t="s">
        <v>11330</v>
      </c>
      <c r="N687" s="106">
        <v>19719118.5192529</v>
      </c>
      <c r="O687" s="103" t="s">
        <v>11434</v>
      </c>
      <c r="R687" s="58"/>
      <c r="S687" s="58"/>
      <c r="T687" s="58"/>
      <c r="U687" s="58"/>
      <c r="V687" s="58"/>
      <c r="W687" s="58"/>
      <c r="X687" s="58"/>
    </row>
    <row r="688" ht="25.5" spans="1:24">
      <c r="A688" s="103" t="s">
        <v>4042</v>
      </c>
      <c r="B688" s="104" t="s">
        <v>139</v>
      </c>
      <c r="C688" s="104" t="s">
        <v>4043</v>
      </c>
      <c r="D688" s="104" t="s">
        <v>2961</v>
      </c>
      <c r="E688" s="105" t="s">
        <v>134</v>
      </c>
      <c r="F688" s="103" t="s">
        <v>11437</v>
      </c>
      <c r="G688" s="103"/>
      <c r="H688" s="103" t="s">
        <v>11438</v>
      </c>
      <c r="I688" s="103"/>
      <c r="J688" s="103" t="s">
        <v>11439</v>
      </c>
      <c r="K688" s="103"/>
      <c r="L688" s="106">
        <v>820.26</v>
      </c>
      <c r="M688" s="103" t="s">
        <v>11330</v>
      </c>
      <c r="N688" s="106">
        <v>19719938.7792529</v>
      </c>
      <c r="O688" s="103" t="s">
        <v>11440</v>
      </c>
      <c r="R688" s="58"/>
      <c r="S688" s="58"/>
      <c r="T688" s="58"/>
      <c r="U688" s="58"/>
      <c r="V688" s="58"/>
      <c r="W688" s="58"/>
      <c r="X688" s="58"/>
    </row>
    <row r="689" ht="25.5" spans="1:24">
      <c r="A689" s="103" t="s">
        <v>6024</v>
      </c>
      <c r="B689" s="104" t="s">
        <v>139</v>
      </c>
      <c r="C689" s="104" t="s">
        <v>6025</v>
      </c>
      <c r="D689" s="104" t="s">
        <v>2961</v>
      </c>
      <c r="E689" s="105" t="s">
        <v>134</v>
      </c>
      <c r="F689" s="103" t="s">
        <v>11441</v>
      </c>
      <c r="G689" s="103"/>
      <c r="H689" s="103" t="s">
        <v>11249</v>
      </c>
      <c r="I689" s="103"/>
      <c r="J689" s="103" t="s">
        <v>11442</v>
      </c>
      <c r="K689" s="103"/>
      <c r="L689" s="106">
        <v>819.97272</v>
      </c>
      <c r="M689" s="103" t="s">
        <v>11330</v>
      </c>
      <c r="N689" s="106">
        <v>19720758.7519729</v>
      </c>
      <c r="O689" s="103" t="s">
        <v>11440</v>
      </c>
      <c r="R689" s="58"/>
      <c r="S689" s="58"/>
      <c r="T689" s="58"/>
      <c r="U689" s="58"/>
      <c r="V689" s="58"/>
      <c r="W689" s="58"/>
      <c r="X689" s="58"/>
    </row>
    <row r="690" ht="25.5" spans="1:24">
      <c r="A690" s="103" t="s">
        <v>3933</v>
      </c>
      <c r="B690" s="104" t="s">
        <v>139</v>
      </c>
      <c r="C690" s="104" t="s">
        <v>3934</v>
      </c>
      <c r="D690" s="104" t="s">
        <v>2961</v>
      </c>
      <c r="E690" s="105" t="s">
        <v>134</v>
      </c>
      <c r="F690" s="103" t="s">
        <v>11443</v>
      </c>
      <c r="G690" s="103"/>
      <c r="H690" s="103" t="s">
        <v>11444</v>
      </c>
      <c r="I690" s="103"/>
      <c r="J690" s="103" t="s">
        <v>11445</v>
      </c>
      <c r="K690" s="103"/>
      <c r="L690" s="106">
        <v>816.48</v>
      </c>
      <c r="M690" s="103" t="s">
        <v>11330</v>
      </c>
      <c r="N690" s="106">
        <v>19721575.2319729</v>
      </c>
      <c r="O690" s="103" t="s">
        <v>11440</v>
      </c>
      <c r="R690" s="58"/>
      <c r="S690" s="58"/>
      <c r="T690" s="58"/>
      <c r="U690" s="58"/>
      <c r="V690" s="58"/>
      <c r="W690" s="58"/>
      <c r="X690" s="58"/>
    </row>
    <row r="691" ht="38.25" spans="1:24">
      <c r="A691" s="103" t="s">
        <v>4339</v>
      </c>
      <c r="B691" s="104" t="s">
        <v>796</v>
      </c>
      <c r="C691" s="104" t="s">
        <v>4340</v>
      </c>
      <c r="D691" s="104" t="s">
        <v>2961</v>
      </c>
      <c r="E691" s="105" t="s">
        <v>1508</v>
      </c>
      <c r="F691" s="103" t="s">
        <v>11446</v>
      </c>
      <c r="G691" s="103"/>
      <c r="H691" s="103" t="s">
        <v>11447</v>
      </c>
      <c r="I691" s="103"/>
      <c r="J691" s="103" t="s">
        <v>11448</v>
      </c>
      <c r="K691" s="103"/>
      <c r="L691" s="106">
        <v>816.048</v>
      </c>
      <c r="M691" s="103" t="s">
        <v>11330</v>
      </c>
      <c r="N691" s="106">
        <v>19722391.2799729</v>
      </c>
      <c r="O691" s="103" t="s">
        <v>11449</v>
      </c>
      <c r="R691" s="58"/>
      <c r="S691" s="58"/>
      <c r="T691" s="58"/>
      <c r="U691" s="58"/>
      <c r="V691" s="58"/>
      <c r="W691" s="58"/>
      <c r="X691" s="58"/>
    </row>
    <row r="692" spans="1:24">
      <c r="A692" s="103" t="s">
        <v>5585</v>
      </c>
      <c r="B692" s="104" t="s">
        <v>77</v>
      </c>
      <c r="C692" s="104" t="s">
        <v>5586</v>
      </c>
      <c r="D692" s="104" t="s">
        <v>2961</v>
      </c>
      <c r="E692" s="105" t="s">
        <v>2925</v>
      </c>
      <c r="F692" s="103" t="s">
        <v>11450</v>
      </c>
      <c r="G692" s="103"/>
      <c r="H692" s="103" t="s">
        <v>11451</v>
      </c>
      <c r="I692" s="103"/>
      <c r="J692" s="103" t="s">
        <v>11452</v>
      </c>
      <c r="K692" s="103"/>
      <c r="L692" s="106">
        <v>811.47483065352</v>
      </c>
      <c r="M692" s="103" t="s">
        <v>11330</v>
      </c>
      <c r="N692" s="106">
        <v>19723202.7548036</v>
      </c>
      <c r="O692" s="103" t="s">
        <v>11449</v>
      </c>
      <c r="R692" s="58"/>
      <c r="S692" s="58"/>
      <c r="T692" s="58"/>
      <c r="U692" s="58"/>
      <c r="V692" s="58"/>
      <c r="W692" s="58"/>
      <c r="X692" s="58"/>
    </row>
    <row r="693" ht="25.5" spans="1:24">
      <c r="A693" s="103" t="s">
        <v>4363</v>
      </c>
      <c r="B693" s="104" t="s">
        <v>149</v>
      </c>
      <c r="C693" s="104" t="s">
        <v>4364</v>
      </c>
      <c r="D693" s="104" t="s">
        <v>2961</v>
      </c>
      <c r="E693" s="105" t="s">
        <v>134</v>
      </c>
      <c r="F693" s="103" t="s">
        <v>9601</v>
      </c>
      <c r="G693" s="103"/>
      <c r="H693" s="103" t="s">
        <v>11453</v>
      </c>
      <c r="I693" s="103"/>
      <c r="J693" s="103" t="s">
        <v>11454</v>
      </c>
      <c r="K693" s="103"/>
      <c r="L693" s="106">
        <v>809.68</v>
      </c>
      <c r="M693" s="103" t="s">
        <v>11330</v>
      </c>
      <c r="N693" s="106">
        <v>19724012.4348036</v>
      </c>
      <c r="O693" s="103" t="s">
        <v>11455</v>
      </c>
      <c r="R693" s="58"/>
      <c r="S693" s="58"/>
      <c r="T693" s="58"/>
      <c r="U693" s="58"/>
      <c r="V693" s="58"/>
      <c r="W693" s="58"/>
      <c r="X693" s="58"/>
    </row>
    <row r="694" ht="25.5" spans="1:24">
      <c r="A694" s="103" t="s">
        <v>4455</v>
      </c>
      <c r="B694" s="104" t="s">
        <v>149</v>
      </c>
      <c r="C694" s="104" t="s">
        <v>4456</v>
      </c>
      <c r="D694" s="104" t="s">
        <v>2961</v>
      </c>
      <c r="E694" s="105" t="s">
        <v>134</v>
      </c>
      <c r="F694" s="103" t="s">
        <v>10712</v>
      </c>
      <c r="G694" s="103"/>
      <c r="H694" s="103" t="s">
        <v>11456</v>
      </c>
      <c r="I694" s="103"/>
      <c r="J694" s="103" t="s">
        <v>11457</v>
      </c>
      <c r="K694" s="103"/>
      <c r="L694" s="106">
        <v>803.08</v>
      </c>
      <c r="M694" s="103" t="s">
        <v>11330</v>
      </c>
      <c r="N694" s="106">
        <v>19724815.5148036</v>
      </c>
      <c r="O694" s="103" t="s">
        <v>11455</v>
      </c>
      <c r="R694" s="58"/>
      <c r="S694" s="58"/>
      <c r="T694" s="58"/>
      <c r="U694" s="58"/>
      <c r="V694" s="58"/>
      <c r="W694" s="58"/>
      <c r="X694" s="58"/>
    </row>
    <row r="695" ht="25.5" spans="1:24">
      <c r="A695" s="103" t="s">
        <v>5583</v>
      </c>
      <c r="B695" s="104" t="s">
        <v>77</v>
      </c>
      <c r="C695" s="104" t="s">
        <v>5584</v>
      </c>
      <c r="D695" s="104" t="s">
        <v>2896</v>
      </c>
      <c r="E695" s="105" t="s">
        <v>2897</v>
      </c>
      <c r="F695" s="103" t="s">
        <v>11458</v>
      </c>
      <c r="G695" s="103"/>
      <c r="H695" s="103" t="s">
        <v>11459</v>
      </c>
      <c r="I695" s="103"/>
      <c r="J695" s="103" t="s">
        <v>11460</v>
      </c>
      <c r="K695" s="103"/>
      <c r="L695" s="106">
        <v>801.641563902722</v>
      </c>
      <c r="M695" s="103" t="s">
        <v>11330</v>
      </c>
      <c r="N695" s="106">
        <v>19725617.1563675</v>
      </c>
      <c r="O695" s="103" t="s">
        <v>11455</v>
      </c>
      <c r="R695" s="58"/>
      <c r="S695" s="58"/>
      <c r="T695" s="58"/>
      <c r="U695" s="58"/>
      <c r="V695" s="58"/>
      <c r="W695" s="58"/>
      <c r="X695" s="58"/>
    </row>
    <row r="696" ht="38.25" spans="1:24">
      <c r="A696" s="103" t="s">
        <v>3783</v>
      </c>
      <c r="B696" s="104" t="s">
        <v>139</v>
      </c>
      <c r="C696" s="104" t="s">
        <v>3784</v>
      </c>
      <c r="D696" s="104" t="s">
        <v>2961</v>
      </c>
      <c r="E696" s="105" t="s">
        <v>204</v>
      </c>
      <c r="F696" s="103" t="s">
        <v>10423</v>
      </c>
      <c r="G696" s="103"/>
      <c r="H696" s="103" t="s">
        <v>11461</v>
      </c>
      <c r="I696" s="103"/>
      <c r="J696" s="103" t="s">
        <v>11462</v>
      </c>
      <c r="K696" s="103"/>
      <c r="L696" s="106">
        <v>796.2</v>
      </c>
      <c r="M696" s="103" t="s">
        <v>11330</v>
      </c>
      <c r="N696" s="106">
        <v>19726413.3563675</v>
      </c>
      <c r="O696" s="103" t="s">
        <v>11463</v>
      </c>
      <c r="R696" s="58"/>
      <c r="S696" s="58"/>
      <c r="T696" s="58"/>
      <c r="U696" s="58"/>
      <c r="V696" s="58"/>
      <c r="W696" s="58"/>
      <c r="X696" s="58"/>
    </row>
    <row r="697" spans="1:24">
      <c r="A697" s="103" t="s">
        <v>5922</v>
      </c>
      <c r="B697" s="104" t="s">
        <v>149</v>
      </c>
      <c r="C697" s="104" t="s">
        <v>5923</v>
      </c>
      <c r="D697" s="104" t="s">
        <v>2896</v>
      </c>
      <c r="E697" s="105" t="s">
        <v>2897</v>
      </c>
      <c r="F697" s="103" t="s">
        <v>10423</v>
      </c>
      <c r="G697" s="103"/>
      <c r="H697" s="103" t="s">
        <v>11464</v>
      </c>
      <c r="I697" s="103"/>
      <c r="J697" s="103" t="s">
        <v>11465</v>
      </c>
      <c r="K697" s="103"/>
      <c r="L697" s="106">
        <v>795.193104</v>
      </c>
      <c r="M697" s="103" t="s">
        <v>11330</v>
      </c>
      <c r="N697" s="106">
        <v>19727208.5494715</v>
      </c>
      <c r="O697" s="103" t="s">
        <v>11463</v>
      </c>
      <c r="R697" s="58"/>
      <c r="S697" s="58"/>
      <c r="T697" s="58"/>
      <c r="U697" s="58"/>
      <c r="V697" s="58"/>
      <c r="W697" s="58"/>
      <c r="X697" s="58"/>
    </row>
    <row r="698" spans="1:24">
      <c r="A698" s="103" t="s">
        <v>5328</v>
      </c>
      <c r="B698" s="104" t="s">
        <v>139</v>
      </c>
      <c r="C698" s="104" t="s">
        <v>5329</v>
      </c>
      <c r="D698" s="104" t="s">
        <v>2896</v>
      </c>
      <c r="E698" s="105" t="s">
        <v>2897</v>
      </c>
      <c r="F698" s="103" t="s">
        <v>11466</v>
      </c>
      <c r="G698" s="103"/>
      <c r="H698" s="103" t="s">
        <v>9127</v>
      </c>
      <c r="I698" s="103"/>
      <c r="J698" s="103" t="s">
        <v>11467</v>
      </c>
      <c r="K698" s="103"/>
      <c r="L698" s="106">
        <v>778.154296408</v>
      </c>
      <c r="M698" s="103" t="s">
        <v>11330</v>
      </c>
      <c r="N698" s="106">
        <v>19727986.7037679</v>
      </c>
      <c r="O698" s="103" t="s">
        <v>11468</v>
      </c>
      <c r="R698" s="58"/>
      <c r="S698" s="58"/>
      <c r="T698" s="58"/>
      <c r="U698" s="58"/>
      <c r="V698" s="58"/>
      <c r="W698" s="58"/>
      <c r="X698" s="58"/>
    </row>
    <row r="699" ht="25.5" spans="1:24">
      <c r="A699" s="103" t="s">
        <v>5028</v>
      </c>
      <c r="B699" s="104" t="s">
        <v>139</v>
      </c>
      <c r="C699" s="104" t="s">
        <v>5029</v>
      </c>
      <c r="D699" s="104" t="s">
        <v>2961</v>
      </c>
      <c r="E699" s="105" t="s">
        <v>134</v>
      </c>
      <c r="F699" s="103" t="s">
        <v>9152</v>
      </c>
      <c r="G699" s="103"/>
      <c r="H699" s="103" t="s">
        <v>11469</v>
      </c>
      <c r="I699" s="103"/>
      <c r="J699" s="103" t="s">
        <v>11470</v>
      </c>
      <c r="K699" s="103"/>
      <c r="L699" s="106">
        <v>750.52</v>
      </c>
      <c r="M699" s="103" t="s">
        <v>11330</v>
      </c>
      <c r="N699" s="106">
        <v>19728737.2237679</v>
      </c>
      <c r="O699" s="103" t="s">
        <v>11468</v>
      </c>
      <c r="R699" s="58"/>
      <c r="S699" s="58"/>
      <c r="T699" s="58"/>
      <c r="U699" s="58"/>
      <c r="V699" s="58"/>
      <c r="W699" s="58"/>
      <c r="X699" s="58"/>
    </row>
    <row r="700" ht="25.5" spans="1:24">
      <c r="A700" s="103" t="s">
        <v>3647</v>
      </c>
      <c r="B700" s="104" t="s">
        <v>139</v>
      </c>
      <c r="C700" s="104" t="s">
        <v>3648</v>
      </c>
      <c r="D700" s="104" t="s">
        <v>2961</v>
      </c>
      <c r="E700" s="105" t="s">
        <v>134</v>
      </c>
      <c r="F700" s="103" t="s">
        <v>10868</v>
      </c>
      <c r="G700" s="103"/>
      <c r="H700" s="103" t="s">
        <v>11471</v>
      </c>
      <c r="I700" s="103"/>
      <c r="J700" s="103" t="s">
        <v>11472</v>
      </c>
      <c r="K700" s="103"/>
      <c r="L700" s="106">
        <v>745.8</v>
      </c>
      <c r="M700" s="103" t="s">
        <v>11330</v>
      </c>
      <c r="N700" s="106">
        <v>19729483.0237679</v>
      </c>
      <c r="O700" s="103" t="s">
        <v>11473</v>
      </c>
      <c r="R700" s="58"/>
      <c r="S700" s="58"/>
      <c r="T700" s="58"/>
      <c r="U700" s="58"/>
      <c r="V700" s="58"/>
      <c r="W700" s="58"/>
      <c r="X700" s="58"/>
    </row>
    <row r="701" ht="25.5" spans="1:24">
      <c r="A701" s="103" t="s">
        <v>3438</v>
      </c>
      <c r="B701" s="104" t="s">
        <v>139</v>
      </c>
      <c r="C701" s="104" t="s">
        <v>3439</v>
      </c>
      <c r="D701" s="104" t="s">
        <v>2961</v>
      </c>
      <c r="E701" s="105" t="s">
        <v>134</v>
      </c>
      <c r="F701" s="103" t="s">
        <v>11474</v>
      </c>
      <c r="G701" s="103"/>
      <c r="H701" s="103" t="s">
        <v>7149</v>
      </c>
      <c r="I701" s="103"/>
      <c r="J701" s="103" t="s">
        <v>11475</v>
      </c>
      <c r="K701" s="103"/>
      <c r="L701" s="106">
        <v>744.46495984</v>
      </c>
      <c r="M701" s="103" t="s">
        <v>11330</v>
      </c>
      <c r="N701" s="106">
        <v>19730227.4887277</v>
      </c>
      <c r="O701" s="103" t="s">
        <v>11473</v>
      </c>
      <c r="R701" s="58"/>
      <c r="S701" s="58"/>
      <c r="T701" s="58"/>
      <c r="U701" s="58"/>
      <c r="V701" s="58"/>
      <c r="W701" s="58"/>
      <c r="X701" s="58"/>
    </row>
    <row r="702" ht="25.5" spans="1:24">
      <c r="A702" s="103" t="s">
        <v>3409</v>
      </c>
      <c r="B702" s="104" t="s">
        <v>139</v>
      </c>
      <c r="C702" s="104" t="s">
        <v>3410</v>
      </c>
      <c r="D702" s="104" t="s">
        <v>2961</v>
      </c>
      <c r="E702" s="105" t="s">
        <v>204</v>
      </c>
      <c r="F702" s="103" t="s">
        <v>11476</v>
      </c>
      <c r="G702" s="103"/>
      <c r="H702" s="103" t="s">
        <v>11477</v>
      </c>
      <c r="I702" s="103"/>
      <c r="J702" s="103" t="s">
        <v>11478</v>
      </c>
      <c r="K702" s="103"/>
      <c r="L702" s="106">
        <v>721.3643892</v>
      </c>
      <c r="M702" s="103" t="s">
        <v>11330</v>
      </c>
      <c r="N702" s="106">
        <v>19730948.8531169</v>
      </c>
      <c r="O702" s="103" t="s">
        <v>11473</v>
      </c>
      <c r="R702" s="58"/>
      <c r="S702" s="58"/>
      <c r="T702" s="58"/>
      <c r="U702" s="58"/>
      <c r="V702" s="58"/>
      <c r="W702" s="58"/>
      <c r="X702" s="58"/>
    </row>
    <row r="703" ht="51" spans="1:24">
      <c r="A703" s="103" t="s">
        <v>5543</v>
      </c>
      <c r="B703" s="104" t="s">
        <v>139</v>
      </c>
      <c r="C703" s="104" t="s">
        <v>5544</v>
      </c>
      <c r="D703" s="104" t="s">
        <v>3680</v>
      </c>
      <c r="E703" s="105" t="s">
        <v>134</v>
      </c>
      <c r="F703" s="103" t="s">
        <v>11479</v>
      </c>
      <c r="G703" s="103"/>
      <c r="H703" s="103" t="s">
        <v>11480</v>
      </c>
      <c r="I703" s="103"/>
      <c r="J703" s="103" t="s">
        <v>11481</v>
      </c>
      <c r="K703" s="103"/>
      <c r="L703" s="106">
        <v>717.10433852333</v>
      </c>
      <c r="M703" s="103" t="s">
        <v>11330</v>
      </c>
      <c r="N703" s="106">
        <v>19731665.9574554</v>
      </c>
      <c r="O703" s="103" t="s">
        <v>11482</v>
      </c>
      <c r="R703" s="58"/>
      <c r="S703" s="58"/>
      <c r="T703" s="58"/>
      <c r="U703" s="58"/>
      <c r="V703" s="58"/>
      <c r="W703" s="58"/>
      <c r="X703" s="58"/>
    </row>
    <row r="704" ht="25.5" spans="1:24">
      <c r="A704" s="103" t="s">
        <v>4894</v>
      </c>
      <c r="B704" s="104" t="s">
        <v>149</v>
      </c>
      <c r="C704" s="104" t="s">
        <v>4895</v>
      </c>
      <c r="D704" s="104" t="s">
        <v>2961</v>
      </c>
      <c r="E704" s="105" t="s">
        <v>204</v>
      </c>
      <c r="F704" s="103" t="s">
        <v>11312</v>
      </c>
      <c r="G704" s="103"/>
      <c r="H704" s="103" t="s">
        <v>11483</v>
      </c>
      <c r="I704" s="103"/>
      <c r="J704" s="103" t="s">
        <v>11484</v>
      </c>
      <c r="K704" s="103"/>
      <c r="L704" s="106">
        <v>711.41175</v>
      </c>
      <c r="M704" s="103" t="s">
        <v>11330</v>
      </c>
      <c r="N704" s="106">
        <v>19732377.3692054</v>
      </c>
      <c r="O704" s="103" t="s">
        <v>11482</v>
      </c>
      <c r="R704" s="58"/>
      <c r="S704" s="58"/>
      <c r="T704" s="58"/>
      <c r="U704" s="58"/>
      <c r="V704" s="58"/>
      <c r="W704" s="58"/>
      <c r="X704" s="58"/>
    </row>
    <row r="705" ht="25.5" spans="1:24">
      <c r="A705" s="103" t="s">
        <v>3770</v>
      </c>
      <c r="B705" s="104" t="s">
        <v>139</v>
      </c>
      <c r="C705" s="104" t="s">
        <v>3771</v>
      </c>
      <c r="D705" s="104" t="s">
        <v>2961</v>
      </c>
      <c r="E705" s="105" t="s">
        <v>134</v>
      </c>
      <c r="F705" s="103" t="s">
        <v>11485</v>
      </c>
      <c r="G705" s="103"/>
      <c r="H705" s="103" t="s">
        <v>11486</v>
      </c>
      <c r="I705" s="103"/>
      <c r="J705" s="103" t="s">
        <v>11487</v>
      </c>
      <c r="K705" s="103"/>
      <c r="L705" s="106">
        <v>690.536472</v>
      </c>
      <c r="M705" s="103" t="s">
        <v>11330</v>
      </c>
      <c r="N705" s="106">
        <v>19733067.9056774</v>
      </c>
      <c r="O705" s="103" t="s">
        <v>11482</v>
      </c>
      <c r="R705" s="58"/>
      <c r="S705" s="58"/>
      <c r="T705" s="58"/>
      <c r="U705" s="58"/>
      <c r="V705" s="58"/>
      <c r="W705" s="58"/>
      <c r="X705" s="58"/>
    </row>
    <row r="706" ht="25.5" spans="1:24">
      <c r="A706" s="103" t="s">
        <v>5840</v>
      </c>
      <c r="B706" s="104" t="s">
        <v>139</v>
      </c>
      <c r="C706" s="104" t="s">
        <v>5841</v>
      </c>
      <c r="D706" s="104" t="s">
        <v>2961</v>
      </c>
      <c r="E706" s="105" t="s">
        <v>134</v>
      </c>
      <c r="F706" s="103" t="s">
        <v>11488</v>
      </c>
      <c r="G706" s="103"/>
      <c r="H706" s="103" t="s">
        <v>11268</v>
      </c>
      <c r="I706" s="103"/>
      <c r="J706" s="103" t="s">
        <v>11489</v>
      </c>
      <c r="K706" s="103"/>
      <c r="L706" s="106">
        <v>675.2791176</v>
      </c>
      <c r="M706" s="103" t="s">
        <v>11330</v>
      </c>
      <c r="N706" s="106">
        <v>19733743.184795</v>
      </c>
      <c r="O706" s="103" t="s">
        <v>11490</v>
      </c>
      <c r="R706" s="58"/>
      <c r="S706" s="58"/>
      <c r="T706" s="58"/>
      <c r="U706" s="58"/>
      <c r="V706" s="58"/>
      <c r="W706" s="58"/>
      <c r="X706" s="58"/>
    </row>
    <row r="707" ht="25.5" spans="1:24">
      <c r="A707" s="103" t="s">
        <v>4847</v>
      </c>
      <c r="B707" s="104" t="s">
        <v>149</v>
      </c>
      <c r="C707" s="104" t="s">
        <v>4848</v>
      </c>
      <c r="D707" s="104" t="s">
        <v>2961</v>
      </c>
      <c r="E707" s="105" t="s">
        <v>134</v>
      </c>
      <c r="F707" s="103" t="s">
        <v>10124</v>
      </c>
      <c r="G707" s="103"/>
      <c r="H707" s="103" t="s">
        <v>10094</v>
      </c>
      <c r="I707" s="103"/>
      <c r="J707" s="103" t="s">
        <v>11491</v>
      </c>
      <c r="K707" s="103"/>
      <c r="L707" s="106">
        <v>660</v>
      </c>
      <c r="M707" s="103" t="s">
        <v>11330</v>
      </c>
      <c r="N707" s="106">
        <v>19734403.184795</v>
      </c>
      <c r="O707" s="103" t="s">
        <v>11490</v>
      </c>
      <c r="R707" s="58"/>
      <c r="S707" s="58"/>
      <c r="T707" s="58"/>
      <c r="U707" s="58"/>
      <c r="V707" s="58"/>
      <c r="W707" s="58"/>
      <c r="X707" s="58"/>
    </row>
    <row r="708" ht="25.5" spans="1:24">
      <c r="A708" s="103" t="s">
        <v>3723</v>
      </c>
      <c r="B708" s="104" t="s">
        <v>139</v>
      </c>
      <c r="C708" s="104" t="s">
        <v>3724</v>
      </c>
      <c r="D708" s="104" t="s">
        <v>2961</v>
      </c>
      <c r="E708" s="105" t="s">
        <v>134</v>
      </c>
      <c r="F708" s="103" t="s">
        <v>9152</v>
      </c>
      <c r="G708" s="103"/>
      <c r="H708" s="103" t="s">
        <v>11492</v>
      </c>
      <c r="I708" s="103"/>
      <c r="J708" s="103" t="s">
        <v>11493</v>
      </c>
      <c r="K708" s="103"/>
      <c r="L708" s="106">
        <v>659.64</v>
      </c>
      <c r="M708" s="103" t="s">
        <v>11330</v>
      </c>
      <c r="N708" s="106">
        <v>19735062.824795</v>
      </c>
      <c r="O708" s="103" t="s">
        <v>11494</v>
      </c>
      <c r="R708" s="58"/>
      <c r="S708" s="58"/>
      <c r="T708" s="58"/>
      <c r="U708" s="58"/>
      <c r="V708" s="58"/>
      <c r="W708" s="58"/>
      <c r="X708" s="58"/>
    </row>
    <row r="709" spans="1:24">
      <c r="A709" s="103" t="s">
        <v>4982</v>
      </c>
      <c r="B709" s="104" t="s">
        <v>139</v>
      </c>
      <c r="C709" s="104" t="s">
        <v>4983</v>
      </c>
      <c r="D709" s="104" t="s">
        <v>2961</v>
      </c>
      <c r="E709" s="105" t="s">
        <v>134</v>
      </c>
      <c r="F709" s="103" t="s">
        <v>9183</v>
      </c>
      <c r="G709" s="103"/>
      <c r="H709" s="103" t="s">
        <v>11495</v>
      </c>
      <c r="I709" s="103"/>
      <c r="J709" s="103" t="s">
        <v>11496</v>
      </c>
      <c r="K709" s="103"/>
      <c r="L709" s="106">
        <v>648.44</v>
      </c>
      <c r="M709" s="103" t="s">
        <v>11330</v>
      </c>
      <c r="N709" s="106">
        <v>19735711.264795</v>
      </c>
      <c r="O709" s="103" t="s">
        <v>11494</v>
      </c>
      <c r="R709" s="58"/>
      <c r="S709" s="58"/>
      <c r="T709" s="58"/>
      <c r="U709" s="58"/>
      <c r="V709" s="58"/>
      <c r="W709" s="58"/>
      <c r="X709" s="58"/>
    </row>
    <row r="710" ht="25.5" spans="1:24">
      <c r="A710" s="103" t="s">
        <v>3842</v>
      </c>
      <c r="B710" s="104" t="s">
        <v>149</v>
      </c>
      <c r="C710" s="104" t="s">
        <v>3843</v>
      </c>
      <c r="D710" s="104" t="s">
        <v>2961</v>
      </c>
      <c r="E710" s="105" t="s">
        <v>141</v>
      </c>
      <c r="F710" s="103" t="s">
        <v>11497</v>
      </c>
      <c r="G710" s="103"/>
      <c r="H710" s="103" t="s">
        <v>11498</v>
      </c>
      <c r="I710" s="103"/>
      <c r="J710" s="103" t="s">
        <v>11499</v>
      </c>
      <c r="K710" s="103"/>
      <c r="L710" s="106">
        <v>642.411</v>
      </c>
      <c r="M710" s="103" t="s">
        <v>11330</v>
      </c>
      <c r="N710" s="106">
        <v>19736353.675795</v>
      </c>
      <c r="O710" s="103" t="s">
        <v>11494</v>
      </c>
      <c r="R710" s="58"/>
      <c r="S710" s="58"/>
      <c r="T710" s="58"/>
      <c r="U710" s="58"/>
      <c r="V710" s="58"/>
      <c r="W710" s="58"/>
      <c r="X710" s="58"/>
    </row>
    <row r="711" spans="1:24">
      <c r="A711" s="103" t="s">
        <v>3471</v>
      </c>
      <c r="B711" s="104" t="s">
        <v>139</v>
      </c>
      <c r="C711" s="104" t="s">
        <v>3472</v>
      </c>
      <c r="D711" s="104" t="s">
        <v>2961</v>
      </c>
      <c r="E711" s="105" t="s">
        <v>3084</v>
      </c>
      <c r="F711" s="103" t="s">
        <v>11500</v>
      </c>
      <c r="G711" s="103"/>
      <c r="H711" s="103" t="s">
        <v>8780</v>
      </c>
      <c r="I711" s="103"/>
      <c r="J711" s="103" t="s">
        <v>11501</v>
      </c>
      <c r="K711" s="103"/>
      <c r="L711" s="106">
        <v>638.5789943</v>
      </c>
      <c r="M711" s="103" t="s">
        <v>11330</v>
      </c>
      <c r="N711" s="106">
        <v>19736992.2547893</v>
      </c>
      <c r="O711" s="103" t="s">
        <v>11502</v>
      </c>
      <c r="R711" s="58"/>
      <c r="S711" s="58"/>
      <c r="T711" s="58"/>
      <c r="U711" s="58"/>
      <c r="V711" s="58"/>
      <c r="W711" s="58"/>
      <c r="X711" s="58"/>
    </row>
    <row r="712" ht="51" spans="1:24">
      <c r="A712" s="103" t="s">
        <v>6052</v>
      </c>
      <c r="B712" s="104" t="s">
        <v>139</v>
      </c>
      <c r="C712" s="104" t="s">
        <v>6053</v>
      </c>
      <c r="D712" s="104" t="s">
        <v>3680</v>
      </c>
      <c r="E712" s="105" t="s">
        <v>134</v>
      </c>
      <c r="F712" s="103" t="s">
        <v>11503</v>
      </c>
      <c r="G712" s="103"/>
      <c r="H712" s="103" t="s">
        <v>11504</v>
      </c>
      <c r="I712" s="103"/>
      <c r="J712" s="103" t="s">
        <v>11505</v>
      </c>
      <c r="K712" s="103"/>
      <c r="L712" s="106">
        <v>631.135964858868</v>
      </c>
      <c r="M712" s="103" t="s">
        <v>11330</v>
      </c>
      <c r="N712" s="106">
        <v>19737623.3907542</v>
      </c>
      <c r="O712" s="103" t="s">
        <v>11502</v>
      </c>
      <c r="R712" s="58"/>
      <c r="S712" s="58"/>
      <c r="T712" s="58"/>
      <c r="U712" s="58"/>
      <c r="V712" s="58"/>
      <c r="W712" s="58"/>
      <c r="X712" s="58"/>
    </row>
    <row r="713" ht="25.5" spans="1:24">
      <c r="A713" s="103" t="s">
        <v>4849</v>
      </c>
      <c r="B713" s="104" t="s">
        <v>149</v>
      </c>
      <c r="C713" s="104" t="s">
        <v>4850</v>
      </c>
      <c r="D713" s="104" t="s">
        <v>2961</v>
      </c>
      <c r="E713" s="105" t="s">
        <v>134</v>
      </c>
      <c r="F713" s="103" t="s">
        <v>10369</v>
      </c>
      <c r="G713" s="103"/>
      <c r="H713" s="103" t="s">
        <v>6619</v>
      </c>
      <c r="I713" s="103"/>
      <c r="J713" s="103" t="s">
        <v>11506</v>
      </c>
      <c r="K713" s="103"/>
      <c r="L713" s="106">
        <v>621</v>
      </c>
      <c r="M713" s="103" t="s">
        <v>11330</v>
      </c>
      <c r="N713" s="106">
        <v>19738244.3907542</v>
      </c>
      <c r="O713" s="103" t="s">
        <v>11502</v>
      </c>
      <c r="R713" s="58"/>
      <c r="S713" s="58"/>
      <c r="T713" s="58"/>
      <c r="U713" s="58"/>
      <c r="V713" s="58"/>
      <c r="W713" s="58"/>
      <c r="X713" s="58"/>
    </row>
    <row r="714" spans="1:24">
      <c r="A714" s="103" t="s">
        <v>4050</v>
      </c>
      <c r="B714" s="104" t="s">
        <v>149</v>
      </c>
      <c r="C714" s="104" t="s">
        <v>4051</v>
      </c>
      <c r="D714" s="104" t="s">
        <v>2961</v>
      </c>
      <c r="E714" s="105" t="s">
        <v>134</v>
      </c>
      <c r="F714" s="103" t="s">
        <v>9183</v>
      </c>
      <c r="G714" s="103"/>
      <c r="H714" s="103" t="s">
        <v>11507</v>
      </c>
      <c r="I714" s="103"/>
      <c r="J714" s="103" t="s">
        <v>11508</v>
      </c>
      <c r="K714" s="103"/>
      <c r="L714" s="106">
        <v>610.92</v>
      </c>
      <c r="M714" s="103" t="s">
        <v>11330</v>
      </c>
      <c r="N714" s="106">
        <v>19738855.3107542</v>
      </c>
      <c r="O714" s="103" t="s">
        <v>11509</v>
      </c>
      <c r="R714" s="58"/>
      <c r="S714" s="58"/>
      <c r="T714" s="58"/>
      <c r="U714" s="58"/>
      <c r="V714" s="58"/>
      <c r="W714" s="58"/>
      <c r="X714" s="58"/>
    </row>
    <row r="715" ht="25.5" spans="1:24">
      <c r="A715" s="103" t="s">
        <v>4863</v>
      </c>
      <c r="B715" s="104" t="s">
        <v>149</v>
      </c>
      <c r="C715" s="104" t="s">
        <v>4864</v>
      </c>
      <c r="D715" s="104" t="s">
        <v>2961</v>
      </c>
      <c r="E715" s="105" t="s">
        <v>134</v>
      </c>
      <c r="F715" s="103" t="s">
        <v>11142</v>
      </c>
      <c r="G715" s="103"/>
      <c r="H715" s="103" t="s">
        <v>9040</v>
      </c>
      <c r="I715" s="103"/>
      <c r="J715" s="103" t="s">
        <v>11510</v>
      </c>
      <c r="K715" s="103"/>
      <c r="L715" s="106">
        <v>610.9</v>
      </c>
      <c r="M715" s="103" t="s">
        <v>11330</v>
      </c>
      <c r="N715" s="106">
        <v>19739466.2107542</v>
      </c>
      <c r="O715" s="103" t="s">
        <v>11509</v>
      </c>
      <c r="R715" s="58"/>
      <c r="S715" s="58"/>
      <c r="T715" s="58"/>
      <c r="U715" s="58"/>
      <c r="V715" s="58"/>
      <c r="W715" s="58"/>
      <c r="X715" s="58"/>
    </row>
    <row r="716" ht="25.5" spans="1:24">
      <c r="A716" s="103" t="s">
        <v>4586</v>
      </c>
      <c r="B716" s="104" t="s">
        <v>139</v>
      </c>
      <c r="C716" s="104" t="s">
        <v>4587</v>
      </c>
      <c r="D716" s="104" t="s">
        <v>2961</v>
      </c>
      <c r="E716" s="105" t="s">
        <v>134</v>
      </c>
      <c r="F716" s="103" t="s">
        <v>11349</v>
      </c>
      <c r="G716" s="103"/>
      <c r="H716" s="103" t="s">
        <v>11511</v>
      </c>
      <c r="I716" s="103"/>
      <c r="J716" s="103" t="s">
        <v>11512</v>
      </c>
      <c r="K716" s="103"/>
      <c r="L716" s="106">
        <v>609.9</v>
      </c>
      <c r="M716" s="103" t="s">
        <v>11330</v>
      </c>
      <c r="N716" s="106">
        <v>19740076.1107542</v>
      </c>
      <c r="O716" s="103" t="s">
        <v>11509</v>
      </c>
      <c r="R716" s="58"/>
      <c r="S716" s="58"/>
      <c r="T716" s="58"/>
      <c r="U716" s="58"/>
      <c r="V716" s="58"/>
      <c r="W716" s="58"/>
      <c r="X716" s="58"/>
    </row>
    <row r="717" ht="25.5" spans="1:24">
      <c r="A717" s="103" t="s">
        <v>5112</v>
      </c>
      <c r="B717" s="104" t="s">
        <v>149</v>
      </c>
      <c r="C717" s="104" t="s">
        <v>5113</v>
      </c>
      <c r="D717" s="104" t="s">
        <v>2961</v>
      </c>
      <c r="E717" s="105" t="s">
        <v>393</v>
      </c>
      <c r="F717" s="103" t="s">
        <v>11513</v>
      </c>
      <c r="G717" s="103"/>
      <c r="H717" s="103" t="s">
        <v>11514</v>
      </c>
      <c r="I717" s="103"/>
      <c r="J717" s="103" t="s">
        <v>11515</v>
      </c>
      <c r="K717" s="103"/>
      <c r="L717" s="106">
        <v>608.1867</v>
      </c>
      <c r="M717" s="103" t="s">
        <v>11330</v>
      </c>
      <c r="N717" s="106">
        <v>19740684.2974542</v>
      </c>
      <c r="O717" s="103" t="s">
        <v>11516</v>
      </c>
      <c r="R717" s="58"/>
      <c r="S717" s="58"/>
      <c r="T717" s="58"/>
      <c r="U717" s="58"/>
      <c r="V717" s="58"/>
      <c r="W717" s="58"/>
      <c r="X717" s="58"/>
    </row>
    <row r="718" ht="38.25" spans="1:24">
      <c r="A718" s="103" t="s">
        <v>3672</v>
      </c>
      <c r="B718" s="104" t="s">
        <v>139</v>
      </c>
      <c r="C718" s="104" t="s">
        <v>3673</v>
      </c>
      <c r="D718" s="104" t="s">
        <v>2961</v>
      </c>
      <c r="E718" s="105" t="s">
        <v>134</v>
      </c>
      <c r="F718" s="103" t="s">
        <v>11517</v>
      </c>
      <c r="G718" s="103"/>
      <c r="H718" s="103" t="s">
        <v>11518</v>
      </c>
      <c r="I718" s="103"/>
      <c r="J718" s="103" t="s">
        <v>11519</v>
      </c>
      <c r="K718" s="103"/>
      <c r="L718" s="106">
        <v>607.78982</v>
      </c>
      <c r="M718" s="103" t="s">
        <v>11330</v>
      </c>
      <c r="N718" s="106">
        <v>19741292.0872742</v>
      </c>
      <c r="O718" s="103" t="s">
        <v>11516</v>
      </c>
      <c r="R718" s="58"/>
      <c r="S718" s="58"/>
      <c r="T718" s="58"/>
      <c r="U718" s="58"/>
      <c r="V718" s="58"/>
      <c r="W718" s="58"/>
      <c r="X718" s="58"/>
    </row>
    <row r="719" spans="1:24">
      <c r="A719" s="103" t="s">
        <v>3836</v>
      </c>
      <c r="B719" s="104" t="s">
        <v>149</v>
      </c>
      <c r="C719" s="104" t="s">
        <v>3837</v>
      </c>
      <c r="D719" s="104" t="s">
        <v>2896</v>
      </c>
      <c r="E719" s="105" t="s">
        <v>2897</v>
      </c>
      <c r="F719" s="103" t="s">
        <v>11520</v>
      </c>
      <c r="G719" s="103"/>
      <c r="H719" s="103" t="s">
        <v>9456</v>
      </c>
      <c r="I719" s="103"/>
      <c r="J719" s="103" t="s">
        <v>11521</v>
      </c>
      <c r="K719" s="103"/>
      <c r="L719" s="106">
        <v>606.732849648</v>
      </c>
      <c r="M719" s="103" t="s">
        <v>11330</v>
      </c>
      <c r="N719" s="106">
        <v>19741898.8201238</v>
      </c>
      <c r="O719" s="103" t="s">
        <v>11516</v>
      </c>
      <c r="R719" s="58"/>
      <c r="S719" s="58"/>
      <c r="T719" s="58"/>
      <c r="U719" s="58"/>
      <c r="V719" s="58"/>
      <c r="W719" s="58"/>
      <c r="X719" s="58"/>
    </row>
    <row r="720" ht="25.5" spans="1:24">
      <c r="A720" s="103" t="s">
        <v>4851</v>
      </c>
      <c r="B720" s="104" t="s">
        <v>149</v>
      </c>
      <c r="C720" s="104" t="s">
        <v>4852</v>
      </c>
      <c r="D720" s="104" t="s">
        <v>2961</v>
      </c>
      <c r="E720" s="105" t="s">
        <v>134</v>
      </c>
      <c r="F720" s="103" t="s">
        <v>11146</v>
      </c>
      <c r="G720" s="103"/>
      <c r="H720" s="103" t="s">
        <v>11522</v>
      </c>
      <c r="I720" s="103"/>
      <c r="J720" s="103" t="s">
        <v>11523</v>
      </c>
      <c r="K720" s="103"/>
      <c r="L720" s="106">
        <v>605.2</v>
      </c>
      <c r="M720" s="103" t="s">
        <v>11330</v>
      </c>
      <c r="N720" s="106">
        <v>19742504.0201238</v>
      </c>
      <c r="O720" s="103" t="s">
        <v>11524</v>
      </c>
      <c r="R720" s="58"/>
      <c r="S720" s="58"/>
      <c r="T720" s="58"/>
      <c r="U720" s="58"/>
      <c r="V720" s="58"/>
      <c r="W720" s="58"/>
      <c r="X720" s="58"/>
    </row>
    <row r="721" spans="1:24">
      <c r="A721" s="103" t="s">
        <v>5238</v>
      </c>
      <c r="B721" s="104" t="s">
        <v>149</v>
      </c>
      <c r="C721" s="104" t="s">
        <v>5239</v>
      </c>
      <c r="D721" s="104" t="s">
        <v>2961</v>
      </c>
      <c r="E721" s="105" t="s">
        <v>134</v>
      </c>
      <c r="F721" s="103" t="s">
        <v>9183</v>
      </c>
      <c r="G721" s="103"/>
      <c r="H721" s="103" t="s">
        <v>8927</v>
      </c>
      <c r="I721" s="103"/>
      <c r="J721" s="103" t="s">
        <v>11525</v>
      </c>
      <c r="K721" s="103"/>
      <c r="L721" s="106">
        <v>600</v>
      </c>
      <c r="M721" s="103" t="s">
        <v>11330</v>
      </c>
      <c r="N721" s="106">
        <v>19743104.0201238</v>
      </c>
      <c r="O721" s="103" t="s">
        <v>11524</v>
      </c>
      <c r="R721" s="58"/>
      <c r="S721" s="58"/>
      <c r="T721" s="58"/>
      <c r="U721" s="58"/>
      <c r="V721" s="58"/>
      <c r="W721" s="58"/>
      <c r="X721" s="58"/>
    </row>
    <row r="722" ht="25.5" spans="1:24">
      <c r="A722" s="103" t="s">
        <v>3730</v>
      </c>
      <c r="B722" s="104" t="s">
        <v>132</v>
      </c>
      <c r="C722" s="104" t="s">
        <v>3731</v>
      </c>
      <c r="D722" s="104" t="s">
        <v>2961</v>
      </c>
      <c r="E722" s="105" t="s">
        <v>134</v>
      </c>
      <c r="F722" s="103" t="s">
        <v>9401</v>
      </c>
      <c r="G722" s="103"/>
      <c r="H722" s="103" t="s">
        <v>11526</v>
      </c>
      <c r="I722" s="103"/>
      <c r="J722" s="103" t="s">
        <v>11527</v>
      </c>
      <c r="K722" s="103"/>
      <c r="L722" s="106">
        <v>599</v>
      </c>
      <c r="M722" s="103" t="s">
        <v>11330</v>
      </c>
      <c r="N722" s="106">
        <v>19743703.0201238</v>
      </c>
      <c r="O722" s="103" t="s">
        <v>11524</v>
      </c>
      <c r="R722" s="58"/>
      <c r="S722" s="58"/>
      <c r="T722" s="58"/>
      <c r="U722" s="58"/>
      <c r="V722" s="58"/>
      <c r="W722" s="58"/>
      <c r="X722" s="58"/>
    </row>
    <row r="723" spans="1:24">
      <c r="A723" s="103" t="s">
        <v>4097</v>
      </c>
      <c r="B723" s="104" t="s">
        <v>139</v>
      </c>
      <c r="C723" s="104" t="s">
        <v>4098</v>
      </c>
      <c r="D723" s="104" t="s">
        <v>2961</v>
      </c>
      <c r="E723" s="105" t="s">
        <v>393</v>
      </c>
      <c r="F723" s="103" t="s">
        <v>11528</v>
      </c>
      <c r="G723" s="103"/>
      <c r="H723" s="103" t="s">
        <v>11529</v>
      </c>
      <c r="I723" s="103"/>
      <c r="J723" s="103" t="s">
        <v>11530</v>
      </c>
      <c r="K723" s="103"/>
      <c r="L723" s="106">
        <v>593.80377</v>
      </c>
      <c r="M723" s="103" t="s">
        <v>11330</v>
      </c>
      <c r="N723" s="106">
        <v>19744296.8238938</v>
      </c>
      <c r="O723" s="103" t="s">
        <v>11524</v>
      </c>
      <c r="R723" s="58"/>
      <c r="S723" s="58"/>
      <c r="T723" s="58"/>
      <c r="U723" s="58"/>
      <c r="V723" s="58"/>
      <c r="W723" s="58"/>
      <c r="X723" s="58"/>
    </row>
    <row r="724" ht="25.5" spans="1:24">
      <c r="A724" s="103" t="s">
        <v>4788</v>
      </c>
      <c r="B724" s="104" t="s">
        <v>149</v>
      </c>
      <c r="C724" s="104" t="s">
        <v>4789</v>
      </c>
      <c r="D724" s="104" t="s">
        <v>2961</v>
      </c>
      <c r="E724" s="105" t="s">
        <v>134</v>
      </c>
      <c r="F724" s="103" t="s">
        <v>11017</v>
      </c>
      <c r="G724" s="103"/>
      <c r="H724" s="103" t="s">
        <v>11531</v>
      </c>
      <c r="I724" s="103"/>
      <c r="J724" s="103" t="s">
        <v>11532</v>
      </c>
      <c r="K724" s="103"/>
      <c r="L724" s="106">
        <v>591.25</v>
      </c>
      <c r="M724" s="103" t="s">
        <v>11330</v>
      </c>
      <c r="N724" s="106">
        <v>19744888.0738938</v>
      </c>
      <c r="O724" s="103" t="s">
        <v>11533</v>
      </c>
      <c r="R724" s="58"/>
      <c r="S724" s="58"/>
      <c r="T724" s="58"/>
      <c r="U724" s="58"/>
      <c r="V724" s="58"/>
      <c r="W724" s="58"/>
      <c r="X724" s="58"/>
    </row>
    <row r="725" spans="1:24">
      <c r="A725" s="103" t="s">
        <v>3719</v>
      </c>
      <c r="B725" s="104" t="s">
        <v>796</v>
      </c>
      <c r="C725" s="104" t="s">
        <v>3720</v>
      </c>
      <c r="D725" s="104" t="s">
        <v>2961</v>
      </c>
      <c r="E725" s="105" t="s">
        <v>334</v>
      </c>
      <c r="F725" s="103" t="s">
        <v>9152</v>
      </c>
      <c r="G725" s="103"/>
      <c r="H725" s="103" t="s">
        <v>11534</v>
      </c>
      <c r="I725" s="103"/>
      <c r="J725" s="103" t="s">
        <v>11535</v>
      </c>
      <c r="K725" s="103"/>
      <c r="L725" s="106">
        <v>589.56</v>
      </c>
      <c r="M725" s="103" t="s">
        <v>11330</v>
      </c>
      <c r="N725" s="106">
        <v>19745477.6338938</v>
      </c>
      <c r="O725" s="103" t="s">
        <v>11533</v>
      </c>
      <c r="R725" s="58"/>
      <c r="S725" s="58"/>
      <c r="T725" s="58"/>
      <c r="U725" s="58"/>
      <c r="V725" s="58"/>
      <c r="W725" s="58"/>
      <c r="X725" s="58"/>
    </row>
    <row r="726" ht="25.5" spans="1:24">
      <c r="A726" s="103" t="s">
        <v>5241</v>
      </c>
      <c r="B726" s="104" t="s">
        <v>149</v>
      </c>
      <c r="C726" s="104" t="s">
        <v>5242</v>
      </c>
      <c r="D726" s="104" t="s">
        <v>2961</v>
      </c>
      <c r="E726" s="105" t="s">
        <v>141</v>
      </c>
      <c r="F726" s="103" t="s">
        <v>11536</v>
      </c>
      <c r="G726" s="103"/>
      <c r="H726" s="103" t="s">
        <v>11537</v>
      </c>
      <c r="I726" s="103"/>
      <c r="J726" s="103" t="s">
        <v>11538</v>
      </c>
      <c r="K726" s="103"/>
      <c r="L726" s="106">
        <v>586.11</v>
      </c>
      <c r="M726" s="103" t="s">
        <v>11330</v>
      </c>
      <c r="N726" s="106">
        <v>19746063.7438938</v>
      </c>
      <c r="O726" s="103" t="s">
        <v>11533</v>
      </c>
      <c r="R726" s="58"/>
      <c r="S726" s="58"/>
      <c r="T726" s="58"/>
      <c r="U726" s="58"/>
      <c r="V726" s="58"/>
      <c r="W726" s="58"/>
      <c r="X726" s="58"/>
    </row>
    <row r="727" spans="1:24">
      <c r="A727" s="103" t="s">
        <v>5007</v>
      </c>
      <c r="B727" s="104" t="s">
        <v>149</v>
      </c>
      <c r="C727" s="104" t="s">
        <v>5008</v>
      </c>
      <c r="D727" s="104" t="s">
        <v>2961</v>
      </c>
      <c r="E727" s="105" t="s">
        <v>134</v>
      </c>
      <c r="F727" s="103" t="s">
        <v>9152</v>
      </c>
      <c r="G727" s="103"/>
      <c r="H727" s="103" t="s">
        <v>11539</v>
      </c>
      <c r="I727" s="103"/>
      <c r="J727" s="103" t="s">
        <v>11540</v>
      </c>
      <c r="K727" s="103"/>
      <c r="L727" s="106">
        <v>583.92</v>
      </c>
      <c r="M727" s="103" t="s">
        <v>11330</v>
      </c>
      <c r="N727" s="106">
        <v>19746647.6638938</v>
      </c>
      <c r="O727" s="103" t="s">
        <v>11541</v>
      </c>
      <c r="R727" s="58"/>
      <c r="S727" s="58"/>
      <c r="T727" s="58"/>
      <c r="U727" s="58"/>
      <c r="V727" s="58"/>
      <c r="W727" s="58"/>
      <c r="X727" s="58"/>
    </row>
    <row r="728" ht="25.5" spans="1:24">
      <c r="A728" s="103" t="s">
        <v>5090</v>
      </c>
      <c r="B728" s="104" t="s">
        <v>139</v>
      </c>
      <c r="C728" s="104" t="s">
        <v>5091</v>
      </c>
      <c r="D728" s="104" t="s">
        <v>2961</v>
      </c>
      <c r="E728" s="105" t="s">
        <v>393</v>
      </c>
      <c r="F728" s="103" t="s">
        <v>10595</v>
      </c>
      <c r="G728" s="103"/>
      <c r="H728" s="103" t="s">
        <v>6610</v>
      </c>
      <c r="I728" s="103"/>
      <c r="J728" s="103" t="s">
        <v>11542</v>
      </c>
      <c r="K728" s="103"/>
      <c r="L728" s="106">
        <v>574.58572</v>
      </c>
      <c r="M728" s="103" t="s">
        <v>11330</v>
      </c>
      <c r="N728" s="106">
        <v>19747222.2496138</v>
      </c>
      <c r="O728" s="103" t="s">
        <v>11541</v>
      </c>
      <c r="R728" s="58"/>
      <c r="S728" s="58"/>
      <c r="T728" s="58"/>
      <c r="U728" s="58"/>
      <c r="V728" s="58"/>
      <c r="W728" s="58"/>
      <c r="X728" s="58"/>
    </row>
    <row r="729" ht="25.5" spans="1:24">
      <c r="A729" s="103" t="s">
        <v>3242</v>
      </c>
      <c r="B729" s="104" t="s">
        <v>139</v>
      </c>
      <c r="C729" s="104" t="s">
        <v>3243</v>
      </c>
      <c r="D729" s="104" t="s">
        <v>2961</v>
      </c>
      <c r="E729" s="105" t="s">
        <v>134</v>
      </c>
      <c r="F729" s="103" t="s">
        <v>11543</v>
      </c>
      <c r="G729" s="103"/>
      <c r="H729" s="103" t="s">
        <v>11544</v>
      </c>
      <c r="I729" s="103"/>
      <c r="J729" s="103" t="s">
        <v>11545</v>
      </c>
      <c r="K729" s="103"/>
      <c r="L729" s="106">
        <v>574.49</v>
      </c>
      <c r="M729" s="103" t="s">
        <v>11330</v>
      </c>
      <c r="N729" s="106">
        <v>19747796.7396138</v>
      </c>
      <c r="O729" s="103" t="s">
        <v>11541</v>
      </c>
      <c r="R729" s="58"/>
      <c r="S729" s="58"/>
      <c r="T729" s="58"/>
      <c r="U729" s="58"/>
      <c r="V729" s="58"/>
      <c r="W729" s="58"/>
      <c r="X729" s="58"/>
    </row>
    <row r="730" spans="1:24">
      <c r="A730" s="103" t="s">
        <v>5180</v>
      </c>
      <c r="B730" s="104" t="s">
        <v>139</v>
      </c>
      <c r="C730" s="104" t="s">
        <v>5181</v>
      </c>
      <c r="D730" s="104" t="s">
        <v>2961</v>
      </c>
      <c r="E730" s="105" t="s">
        <v>3084</v>
      </c>
      <c r="F730" s="103" t="s">
        <v>11546</v>
      </c>
      <c r="G730" s="103"/>
      <c r="H730" s="103" t="s">
        <v>11547</v>
      </c>
      <c r="I730" s="103"/>
      <c r="J730" s="103" t="s">
        <v>11548</v>
      </c>
      <c r="K730" s="103"/>
      <c r="L730" s="106">
        <v>573.381666</v>
      </c>
      <c r="M730" s="103" t="s">
        <v>11330</v>
      </c>
      <c r="N730" s="106">
        <v>19748370.1212798</v>
      </c>
      <c r="O730" s="103" t="s">
        <v>11541</v>
      </c>
      <c r="R730" s="58"/>
      <c r="S730" s="58"/>
      <c r="T730" s="58"/>
      <c r="U730" s="58"/>
      <c r="V730" s="58"/>
      <c r="W730" s="58"/>
      <c r="X730" s="58"/>
    </row>
    <row r="731" ht="38.25" spans="1:24">
      <c r="A731" s="103" t="s">
        <v>3435</v>
      </c>
      <c r="B731" s="104" t="s">
        <v>139</v>
      </c>
      <c r="C731" s="104" t="s">
        <v>3436</v>
      </c>
      <c r="D731" s="104" t="s">
        <v>2961</v>
      </c>
      <c r="E731" s="105" t="s">
        <v>204</v>
      </c>
      <c r="F731" s="103" t="s">
        <v>11549</v>
      </c>
      <c r="G731" s="103"/>
      <c r="H731" s="103" t="s">
        <v>11550</v>
      </c>
      <c r="I731" s="103"/>
      <c r="J731" s="103" t="s">
        <v>11551</v>
      </c>
      <c r="K731" s="103"/>
      <c r="L731" s="106">
        <v>571.705932</v>
      </c>
      <c r="M731" s="103" t="s">
        <v>11330</v>
      </c>
      <c r="N731" s="106">
        <v>19748941.8272118</v>
      </c>
      <c r="O731" s="103" t="s">
        <v>11552</v>
      </c>
      <c r="R731" s="58"/>
      <c r="S731" s="58"/>
      <c r="T731" s="58"/>
      <c r="U731" s="58"/>
      <c r="V731" s="58"/>
      <c r="W731" s="58"/>
      <c r="X731" s="58"/>
    </row>
    <row r="732" ht="25.5" spans="1:24">
      <c r="A732" s="103" t="s">
        <v>5890</v>
      </c>
      <c r="B732" s="104" t="s">
        <v>77</v>
      </c>
      <c r="C732" s="104" t="s">
        <v>5891</v>
      </c>
      <c r="D732" s="104" t="s">
        <v>2896</v>
      </c>
      <c r="E732" s="105" t="s">
        <v>2897</v>
      </c>
      <c r="F732" s="103" t="s">
        <v>11553</v>
      </c>
      <c r="G732" s="103"/>
      <c r="H732" s="103" t="s">
        <v>11554</v>
      </c>
      <c r="I732" s="103"/>
      <c r="J732" s="103" t="s">
        <v>11555</v>
      </c>
      <c r="K732" s="103"/>
      <c r="L732" s="106">
        <v>569.4209976</v>
      </c>
      <c r="M732" s="103" t="s">
        <v>11330</v>
      </c>
      <c r="N732" s="106">
        <v>19749511.2482094</v>
      </c>
      <c r="O732" s="103" t="s">
        <v>11552</v>
      </c>
      <c r="R732" s="58"/>
      <c r="S732" s="58"/>
      <c r="T732" s="58"/>
      <c r="U732" s="58"/>
      <c r="V732" s="58"/>
      <c r="W732" s="58"/>
      <c r="X732" s="58"/>
    </row>
    <row r="733" spans="1:24">
      <c r="A733" s="103" t="s">
        <v>3414</v>
      </c>
      <c r="B733" s="104" t="s">
        <v>149</v>
      </c>
      <c r="C733" s="104" t="s">
        <v>3415</v>
      </c>
      <c r="D733" s="104" t="s">
        <v>2961</v>
      </c>
      <c r="E733" s="105" t="s">
        <v>2897</v>
      </c>
      <c r="F733" s="103" t="s">
        <v>11556</v>
      </c>
      <c r="G733" s="103"/>
      <c r="H733" s="103" t="s">
        <v>11557</v>
      </c>
      <c r="I733" s="103"/>
      <c r="J733" s="103" t="s">
        <v>11558</v>
      </c>
      <c r="K733" s="103"/>
      <c r="L733" s="106">
        <v>568.4898618</v>
      </c>
      <c r="M733" s="103" t="s">
        <v>11330</v>
      </c>
      <c r="N733" s="106">
        <v>19750079.7380712</v>
      </c>
      <c r="O733" s="103" t="s">
        <v>11552</v>
      </c>
      <c r="R733" s="58"/>
      <c r="S733" s="58"/>
      <c r="T733" s="58"/>
      <c r="U733" s="58"/>
      <c r="V733" s="58"/>
      <c r="W733" s="58"/>
      <c r="X733" s="58"/>
    </row>
    <row r="734" spans="1:24">
      <c r="A734" s="103" t="s">
        <v>4419</v>
      </c>
      <c r="B734" s="104" t="s">
        <v>149</v>
      </c>
      <c r="C734" s="104" t="s">
        <v>4420</v>
      </c>
      <c r="D734" s="104" t="s">
        <v>2961</v>
      </c>
      <c r="E734" s="105" t="s">
        <v>204</v>
      </c>
      <c r="F734" s="103" t="s">
        <v>11559</v>
      </c>
      <c r="G734" s="103"/>
      <c r="H734" s="103" t="s">
        <v>11560</v>
      </c>
      <c r="I734" s="103"/>
      <c r="J734" s="103" t="s">
        <v>11561</v>
      </c>
      <c r="K734" s="103"/>
      <c r="L734" s="106">
        <v>568</v>
      </c>
      <c r="M734" s="103" t="s">
        <v>11330</v>
      </c>
      <c r="N734" s="106">
        <v>19750647.7380712</v>
      </c>
      <c r="O734" s="103" t="s">
        <v>11562</v>
      </c>
      <c r="R734" s="58"/>
      <c r="S734" s="58"/>
      <c r="T734" s="58"/>
      <c r="U734" s="58"/>
      <c r="V734" s="58"/>
      <c r="W734" s="58"/>
      <c r="X734" s="58"/>
    </row>
    <row r="735" ht="38.25" spans="1:24">
      <c r="A735" s="103" t="s">
        <v>3396</v>
      </c>
      <c r="B735" s="104" t="s">
        <v>139</v>
      </c>
      <c r="C735" s="104" t="s">
        <v>3397</v>
      </c>
      <c r="D735" s="104" t="s">
        <v>3395</v>
      </c>
      <c r="E735" s="105" t="s">
        <v>3398</v>
      </c>
      <c r="F735" s="103" t="s">
        <v>11563</v>
      </c>
      <c r="G735" s="103"/>
      <c r="H735" s="103" t="s">
        <v>11564</v>
      </c>
      <c r="I735" s="103"/>
      <c r="J735" s="103" t="s">
        <v>11565</v>
      </c>
      <c r="K735" s="103"/>
      <c r="L735" s="106">
        <v>567.7401856</v>
      </c>
      <c r="M735" s="103" t="s">
        <v>11330</v>
      </c>
      <c r="N735" s="106">
        <v>19751215.4782568</v>
      </c>
      <c r="O735" s="103" t="s">
        <v>11562</v>
      </c>
      <c r="R735" s="58"/>
      <c r="S735" s="58"/>
      <c r="T735" s="58"/>
      <c r="U735" s="58"/>
      <c r="V735" s="58"/>
      <c r="W735" s="58"/>
      <c r="X735" s="58"/>
    </row>
    <row r="736" spans="1:24">
      <c r="A736" s="103" t="s">
        <v>4861</v>
      </c>
      <c r="B736" s="104" t="s">
        <v>149</v>
      </c>
      <c r="C736" s="104" t="s">
        <v>4862</v>
      </c>
      <c r="D736" s="104" t="s">
        <v>2961</v>
      </c>
      <c r="E736" s="105" t="s">
        <v>134</v>
      </c>
      <c r="F736" s="103" t="s">
        <v>10161</v>
      </c>
      <c r="G736" s="103"/>
      <c r="H736" s="103" t="s">
        <v>11566</v>
      </c>
      <c r="I736" s="103"/>
      <c r="J736" s="103" t="s">
        <v>11567</v>
      </c>
      <c r="K736" s="103"/>
      <c r="L736" s="106">
        <v>567.6</v>
      </c>
      <c r="M736" s="103" t="s">
        <v>11330</v>
      </c>
      <c r="N736" s="106">
        <v>19751783.0782568</v>
      </c>
      <c r="O736" s="103" t="s">
        <v>11562</v>
      </c>
      <c r="R736" s="58"/>
      <c r="S736" s="58"/>
      <c r="T736" s="58"/>
      <c r="U736" s="58"/>
      <c r="V736" s="58"/>
      <c r="W736" s="58"/>
      <c r="X736" s="58"/>
    </row>
    <row r="737" spans="1:24">
      <c r="A737" s="103" t="s">
        <v>5212</v>
      </c>
      <c r="B737" s="104" t="s">
        <v>149</v>
      </c>
      <c r="C737" s="104" t="s">
        <v>5213</v>
      </c>
      <c r="D737" s="104" t="s">
        <v>2961</v>
      </c>
      <c r="E737" s="105" t="s">
        <v>134</v>
      </c>
      <c r="F737" s="103" t="s">
        <v>11568</v>
      </c>
      <c r="G737" s="103"/>
      <c r="H737" s="103" t="s">
        <v>6757</v>
      </c>
      <c r="I737" s="103"/>
      <c r="J737" s="103" t="s">
        <v>11569</v>
      </c>
      <c r="K737" s="103"/>
      <c r="L737" s="106">
        <v>564.0101</v>
      </c>
      <c r="M737" s="103" t="s">
        <v>11330</v>
      </c>
      <c r="N737" s="106">
        <v>19752347.0883568</v>
      </c>
      <c r="O737" s="103" t="s">
        <v>11562</v>
      </c>
      <c r="R737" s="58"/>
      <c r="S737" s="58"/>
      <c r="T737" s="58"/>
      <c r="U737" s="58"/>
      <c r="V737" s="58"/>
      <c r="W737" s="58"/>
      <c r="X737" s="58"/>
    </row>
    <row r="738" ht="25.5" spans="1:24">
      <c r="A738" s="103" t="s">
        <v>3988</v>
      </c>
      <c r="B738" s="104" t="s">
        <v>149</v>
      </c>
      <c r="C738" s="104" t="s">
        <v>3989</v>
      </c>
      <c r="D738" s="104" t="s">
        <v>2961</v>
      </c>
      <c r="E738" s="105" t="s">
        <v>134</v>
      </c>
      <c r="F738" s="103" t="s">
        <v>9585</v>
      </c>
      <c r="G738" s="103"/>
      <c r="H738" s="103" t="s">
        <v>11570</v>
      </c>
      <c r="I738" s="103"/>
      <c r="J738" s="103" t="s">
        <v>11571</v>
      </c>
      <c r="K738" s="103"/>
      <c r="L738" s="106">
        <v>563.82</v>
      </c>
      <c r="M738" s="103" t="s">
        <v>11330</v>
      </c>
      <c r="N738" s="106">
        <v>19752910.9083568</v>
      </c>
      <c r="O738" s="103" t="s">
        <v>11572</v>
      </c>
      <c r="R738" s="58"/>
      <c r="S738" s="58"/>
      <c r="T738" s="58"/>
      <c r="U738" s="58"/>
      <c r="V738" s="58"/>
      <c r="W738" s="58"/>
      <c r="X738" s="58"/>
    </row>
    <row r="739" ht="38.25" spans="1:24">
      <c r="A739" s="103" t="s">
        <v>3929</v>
      </c>
      <c r="B739" s="104" t="s">
        <v>139</v>
      </c>
      <c r="C739" s="104" t="s">
        <v>3930</v>
      </c>
      <c r="D739" s="104" t="s">
        <v>2961</v>
      </c>
      <c r="E739" s="105" t="s">
        <v>134</v>
      </c>
      <c r="F739" s="103" t="s">
        <v>9401</v>
      </c>
      <c r="G739" s="103"/>
      <c r="H739" s="103" t="s">
        <v>11573</v>
      </c>
      <c r="I739" s="103"/>
      <c r="J739" s="103" t="s">
        <v>11574</v>
      </c>
      <c r="K739" s="103"/>
      <c r="L739" s="106">
        <v>563.6</v>
      </c>
      <c r="M739" s="103" t="s">
        <v>11330</v>
      </c>
      <c r="N739" s="106">
        <v>19753474.5083568</v>
      </c>
      <c r="O739" s="103" t="s">
        <v>11572</v>
      </c>
      <c r="R739" s="58"/>
      <c r="S739" s="58"/>
      <c r="T739" s="58"/>
      <c r="U739" s="58"/>
      <c r="V739" s="58"/>
      <c r="W739" s="58"/>
      <c r="X739" s="58"/>
    </row>
    <row r="740" spans="1:24">
      <c r="A740" s="103" t="s">
        <v>3666</v>
      </c>
      <c r="B740" s="104" t="s">
        <v>149</v>
      </c>
      <c r="C740" s="104" t="s">
        <v>3667</v>
      </c>
      <c r="D740" s="104" t="s">
        <v>2961</v>
      </c>
      <c r="E740" s="105" t="s">
        <v>134</v>
      </c>
      <c r="F740" s="103" t="s">
        <v>10423</v>
      </c>
      <c r="G740" s="103"/>
      <c r="H740" s="103" t="s">
        <v>11575</v>
      </c>
      <c r="I740" s="103"/>
      <c r="J740" s="103" t="s">
        <v>11576</v>
      </c>
      <c r="K740" s="103"/>
      <c r="L740" s="106">
        <v>561.96</v>
      </c>
      <c r="M740" s="103" t="s">
        <v>11330</v>
      </c>
      <c r="N740" s="106">
        <v>19754036.4683568</v>
      </c>
      <c r="O740" s="103" t="s">
        <v>11572</v>
      </c>
      <c r="R740" s="58"/>
      <c r="S740" s="58"/>
      <c r="T740" s="58"/>
      <c r="U740" s="58"/>
      <c r="V740" s="58"/>
      <c r="W740" s="58"/>
      <c r="X740" s="58"/>
    </row>
    <row r="741" ht="25.5" spans="1:24">
      <c r="A741" s="103" t="s">
        <v>3244</v>
      </c>
      <c r="B741" s="104" t="s">
        <v>139</v>
      </c>
      <c r="C741" s="104" t="s">
        <v>3245</v>
      </c>
      <c r="D741" s="104" t="s">
        <v>2961</v>
      </c>
      <c r="E741" s="105" t="s">
        <v>134</v>
      </c>
      <c r="F741" s="103" t="s">
        <v>11543</v>
      </c>
      <c r="G741" s="103"/>
      <c r="H741" s="103" t="s">
        <v>11577</v>
      </c>
      <c r="I741" s="103"/>
      <c r="J741" s="103" t="s">
        <v>11578</v>
      </c>
      <c r="K741" s="103"/>
      <c r="L741" s="106">
        <v>555.54032</v>
      </c>
      <c r="M741" s="103" t="s">
        <v>11330</v>
      </c>
      <c r="N741" s="106">
        <v>19754592.0086768</v>
      </c>
      <c r="O741" s="103" t="s">
        <v>11579</v>
      </c>
      <c r="R741" s="58"/>
      <c r="S741" s="58"/>
      <c r="T741" s="58"/>
      <c r="U741" s="58"/>
      <c r="V741" s="58"/>
      <c r="W741" s="58"/>
      <c r="X741" s="58"/>
    </row>
    <row r="742" ht="38.25" spans="1:24">
      <c r="A742" s="103" t="s">
        <v>3450</v>
      </c>
      <c r="B742" s="104" t="s">
        <v>139</v>
      </c>
      <c r="C742" s="104" t="s">
        <v>3451</v>
      </c>
      <c r="D742" s="104" t="s">
        <v>2961</v>
      </c>
      <c r="E742" s="105" t="s">
        <v>204</v>
      </c>
      <c r="F742" s="103" t="s">
        <v>11580</v>
      </c>
      <c r="G742" s="103"/>
      <c r="H742" s="103" t="s">
        <v>11581</v>
      </c>
      <c r="I742" s="103"/>
      <c r="J742" s="103" t="s">
        <v>11582</v>
      </c>
      <c r="K742" s="103"/>
      <c r="L742" s="106">
        <v>554.12715096</v>
      </c>
      <c r="M742" s="103" t="s">
        <v>11330</v>
      </c>
      <c r="N742" s="106">
        <v>19755146.1358278</v>
      </c>
      <c r="O742" s="103" t="s">
        <v>11579</v>
      </c>
      <c r="R742" s="58"/>
      <c r="S742" s="58"/>
      <c r="T742" s="58"/>
      <c r="U742" s="58"/>
      <c r="V742" s="58"/>
      <c r="W742" s="58"/>
      <c r="X742" s="58"/>
    </row>
    <row r="743" ht="25.5" spans="1:24">
      <c r="A743" s="103" t="s">
        <v>3853</v>
      </c>
      <c r="B743" s="104" t="s">
        <v>139</v>
      </c>
      <c r="C743" s="104" t="s">
        <v>3854</v>
      </c>
      <c r="D743" s="104" t="s">
        <v>2961</v>
      </c>
      <c r="E743" s="105" t="s">
        <v>134</v>
      </c>
      <c r="F743" s="103" t="s">
        <v>9152</v>
      </c>
      <c r="G743" s="103"/>
      <c r="H743" s="103" t="s">
        <v>11583</v>
      </c>
      <c r="I743" s="103"/>
      <c r="J743" s="103" t="s">
        <v>11584</v>
      </c>
      <c r="K743" s="103"/>
      <c r="L743" s="106">
        <v>553.16</v>
      </c>
      <c r="M743" s="103" t="s">
        <v>11330</v>
      </c>
      <c r="N743" s="106">
        <v>19755699.2958278</v>
      </c>
      <c r="O743" s="103" t="s">
        <v>11579</v>
      </c>
      <c r="R743" s="58"/>
      <c r="S743" s="58"/>
      <c r="T743" s="58"/>
      <c r="U743" s="58"/>
      <c r="V743" s="58"/>
      <c r="W743" s="58"/>
      <c r="X743" s="58"/>
    </row>
    <row r="744" ht="25.5" spans="1:24">
      <c r="A744" s="103" t="s">
        <v>6028</v>
      </c>
      <c r="B744" s="104" t="s">
        <v>139</v>
      </c>
      <c r="C744" s="104" t="s">
        <v>6029</v>
      </c>
      <c r="D744" s="104" t="s">
        <v>2961</v>
      </c>
      <c r="E744" s="105" t="s">
        <v>134</v>
      </c>
      <c r="F744" s="103" t="s">
        <v>10783</v>
      </c>
      <c r="G744" s="103"/>
      <c r="H744" s="103" t="s">
        <v>11585</v>
      </c>
      <c r="I744" s="103"/>
      <c r="J744" s="103" t="s">
        <v>11586</v>
      </c>
      <c r="K744" s="103"/>
      <c r="L744" s="106">
        <v>551.54</v>
      </c>
      <c r="M744" s="103" t="s">
        <v>11330</v>
      </c>
      <c r="N744" s="106">
        <v>19756250.8358278</v>
      </c>
      <c r="O744" s="103" t="s">
        <v>11579</v>
      </c>
      <c r="R744" s="58"/>
      <c r="S744" s="58"/>
      <c r="T744" s="58"/>
      <c r="U744" s="58"/>
      <c r="V744" s="58"/>
      <c r="W744" s="58"/>
      <c r="X744" s="58"/>
    </row>
    <row r="745" ht="25.5" spans="1:24">
      <c r="A745" s="103" t="s">
        <v>4165</v>
      </c>
      <c r="B745" s="104" t="s">
        <v>139</v>
      </c>
      <c r="C745" s="104" t="s">
        <v>4166</v>
      </c>
      <c r="D745" s="104" t="s">
        <v>2961</v>
      </c>
      <c r="E745" s="105" t="s">
        <v>134</v>
      </c>
      <c r="F745" s="103" t="s">
        <v>10461</v>
      </c>
      <c r="G745" s="103"/>
      <c r="H745" s="103" t="s">
        <v>11587</v>
      </c>
      <c r="I745" s="103"/>
      <c r="J745" s="103" t="s">
        <v>11588</v>
      </c>
      <c r="K745" s="103"/>
      <c r="L745" s="106">
        <v>547.56</v>
      </c>
      <c r="M745" s="103" t="s">
        <v>11330</v>
      </c>
      <c r="N745" s="106">
        <v>19756798.3958278</v>
      </c>
      <c r="O745" s="103" t="s">
        <v>11589</v>
      </c>
      <c r="R745" s="58"/>
      <c r="S745" s="58"/>
      <c r="T745" s="58"/>
      <c r="U745" s="58"/>
      <c r="V745" s="58"/>
      <c r="W745" s="58"/>
      <c r="X745" s="58"/>
    </row>
    <row r="746" spans="1:24">
      <c r="A746" s="103" t="s">
        <v>5842</v>
      </c>
      <c r="B746" s="104" t="s">
        <v>796</v>
      </c>
      <c r="C746" s="104" t="s">
        <v>5843</v>
      </c>
      <c r="D746" s="104" t="s">
        <v>2896</v>
      </c>
      <c r="E746" s="105" t="s">
        <v>3707</v>
      </c>
      <c r="F746" s="103" t="s">
        <v>11590</v>
      </c>
      <c r="G746" s="103"/>
      <c r="H746" s="103" t="s">
        <v>10771</v>
      </c>
      <c r="I746" s="103"/>
      <c r="J746" s="103" t="s">
        <v>7700</v>
      </c>
      <c r="K746" s="103"/>
      <c r="L746" s="106">
        <v>543.987036</v>
      </c>
      <c r="M746" s="103" t="s">
        <v>11330</v>
      </c>
      <c r="N746" s="106">
        <v>19757342.3828638</v>
      </c>
      <c r="O746" s="103" t="s">
        <v>11589</v>
      </c>
      <c r="R746" s="58"/>
      <c r="S746" s="58"/>
      <c r="T746" s="58"/>
      <c r="U746" s="58"/>
      <c r="V746" s="58"/>
      <c r="W746" s="58"/>
      <c r="X746" s="58"/>
    </row>
    <row r="747" spans="1:24">
      <c r="A747" s="103" t="s">
        <v>5806</v>
      </c>
      <c r="B747" s="104" t="s">
        <v>796</v>
      </c>
      <c r="C747" s="104" t="s">
        <v>5807</v>
      </c>
      <c r="D747" s="104" t="s">
        <v>2961</v>
      </c>
      <c r="E747" s="105" t="s">
        <v>279</v>
      </c>
      <c r="F747" s="103" t="s">
        <v>11591</v>
      </c>
      <c r="G747" s="103"/>
      <c r="H747" s="103" t="s">
        <v>11592</v>
      </c>
      <c r="I747" s="103"/>
      <c r="J747" s="103" t="s">
        <v>11593</v>
      </c>
      <c r="K747" s="103"/>
      <c r="L747" s="106">
        <v>542.57006736</v>
      </c>
      <c r="M747" s="103" t="s">
        <v>11330</v>
      </c>
      <c r="N747" s="106">
        <v>19757884.9529312</v>
      </c>
      <c r="O747" s="103" t="s">
        <v>11589</v>
      </c>
      <c r="R747" s="58"/>
      <c r="S747" s="58"/>
      <c r="T747" s="58"/>
      <c r="U747" s="58"/>
      <c r="V747" s="58"/>
      <c r="W747" s="58"/>
      <c r="X747" s="58"/>
    </row>
    <row r="748" ht="38.25" spans="1:24">
      <c r="A748" s="103" t="s">
        <v>4024</v>
      </c>
      <c r="B748" s="104" t="s">
        <v>77</v>
      </c>
      <c r="C748" s="104" t="s">
        <v>4025</v>
      </c>
      <c r="D748" s="104" t="s">
        <v>2961</v>
      </c>
      <c r="E748" s="105" t="s">
        <v>134</v>
      </c>
      <c r="F748" s="103" t="s">
        <v>11594</v>
      </c>
      <c r="G748" s="103"/>
      <c r="H748" s="103" t="s">
        <v>11595</v>
      </c>
      <c r="I748" s="103"/>
      <c r="J748" s="103" t="s">
        <v>11596</v>
      </c>
      <c r="K748" s="103"/>
      <c r="L748" s="106">
        <v>540.4322</v>
      </c>
      <c r="M748" s="103" t="s">
        <v>11330</v>
      </c>
      <c r="N748" s="106">
        <v>19758425.3851312</v>
      </c>
      <c r="O748" s="103" t="s">
        <v>11597</v>
      </c>
      <c r="R748" s="58"/>
      <c r="S748" s="58"/>
      <c r="T748" s="58"/>
      <c r="U748" s="58"/>
      <c r="V748" s="58"/>
      <c r="W748" s="58"/>
      <c r="X748" s="58"/>
    </row>
    <row r="749" ht="25.5" spans="1:24">
      <c r="A749" s="103" t="s">
        <v>3448</v>
      </c>
      <c r="B749" s="104" t="s">
        <v>139</v>
      </c>
      <c r="C749" s="104" t="s">
        <v>3449</v>
      </c>
      <c r="D749" s="104" t="s">
        <v>2961</v>
      </c>
      <c r="E749" s="105" t="s">
        <v>3069</v>
      </c>
      <c r="F749" s="103" t="s">
        <v>11598</v>
      </c>
      <c r="G749" s="103"/>
      <c r="H749" s="103" t="s">
        <v>9054</v>
      </c>
      <c r="I749" s="103"/>
      <c r="J749" s="103" t="s">
        <v>11599</v>
      </c>
      <c r="K749" s="103"/>
      <c r="L749" s="106">
        <v>538.43469472</v>
      </c>
      <c r="M749" s="103" t="s">
        <v>11330</v>
      </c>
      <c r="N749" s="106">
        <v>19758963.8198259</v>
      </c>
      <c r="O749" s="103" t="s">
        <v>11597</v>
      </c>
      <c r="R749" s="58"/>
      <c r="S749" s="58"/>
      <c r="T749" s="58"/>
      <c r="U749" s="58"/>
      <c r="V749" s="58"/>
      <c r="W749" s="58"/>
      <c r="X749" s="58"/>
    </row>
    <row r="750" ht="51" spans="1:24">
      <c r="A750" s="103" t="s">
        <v>6072</v>
      </c>
      <c r="B750" s="104" t="s">
        <v>139</v>
      </c>
      <c r="C750" s="104" t="s">
        <v>6073</v>
      </c>
      <c r="D750" s="104" t="s">
        <v>2961</v>
      </c>
      <c r="E750" s="105" t="s">
        <v>204</v>
      </c>
      <c r="F750" s="103" t="s">
        <v>11600</v>
      </c>
      <c r="G750" s="103"/>
      <c r="H750" s="103" t="s">
        <v>11601</v>
      </c>
      <c r="I750" s="103"/>
      <c r="J750" s="103" t="s">
        <v>11602</v>
      </c>
      <c r="K750" s="103"/>
      <c r="L750" s="106">
        <v>535.5138528</v>
      </c>
      <c r="M750" s="103" t="s">
        <v>11330</v>
      </c>
      <c r="N750" s="106">
        <v>19759499.3336787</v>
      </c>
      <c r="O750" s="103" t="s">
        <v>11597</v>
      </c>
      <c r="R750" s="58"/>
      <c r="S750" s="58"/>
      <c r="T750" s="58"/>
      <c r="U750" s="58"/>
      <c r="V750" s="58"/>
      <c r="W750" s="58"/>
      <c r="X750" s="58"/>
    </row>
    <row r="751" spans="1:24">
      <c r="A751" s="103" t="s">
        <v>5231</v>
      </c>
      <c r="B751" s="104" t="s">
        <v>149</v>
      </c>
      <c r="C751" s="104" t="s">
        <v>5232</v>
      </c>
      <c r="D751" s="104" t="s">
        <v>2961</v>
      </c>
      <c r="E751" s="105" t="s">
        <v>393</v>
      </c>
      <c r="F751" s="103" t="s">
        <v>11603</v>
      </c>
      <c r="G751" s="103"/>
      <c r="H751" s="103" t="s">
        <v>11604</v>
      </c>
      <c r="I751" s="103"/>
      <c r="J751" s="103" t="s">
        <v>11605</v>
      </c>
      <c r="K751" s="103"/>
      <c r="L751" s="106">
        <v>526.8611712</v>
      </c>
      <c r="M751" s="103" t="s">
        <v>11330</v>
      </c>
      <c r="N751" s="106">
        <v>19760026.1948499</v>
      </c>
      <c r="O751" s="103" t="s">
        <v>11597</v>
      </c>
      <c r="R751" s="58"/>
      <c r="S751" s="58"/>
      <c r="T751" s="58"/>
      <c r="U751" s="58"/>
      <c r="V751" s="58"/>
      <c r="W751" s="58"/>
      <c r="X751" s="58"/>
    </row>
    <row r="752" ht="25.5" spans="1:24">
      <c r="A752" s="103" t="s">
        <v>3949</v>
      </c>
      <c r="B752" s="104" t="s">
        <v>77</v>
      </c>
      <c r="C752" s="104" t="s">
        <v>3950</v>
      </c>
      <c r="D752" s="104" t="s">
        <v>2961</v>
      </c>
      <c r="E752" s="105" t="s">
        <v>134</v>
      </c>
      <c r="F752" s="103" t="s">
        <v>11606</v>
      </c>
      <c r="G752" s="103"/>
      <c r="H752" s="103" t="s">
        <v>11607</v>
      </c>
      <c r="I752" s="103"/>
      <c r="J752" s="103" t="s">
        <v>11608</v>
      </c>
      <c r="K752" s="103"/>
      <c r="L752" s="106">
        <v>526.06008</v>
      </c>
      <c r="M752" s="103" t="s">
        <v>11330</v>
      </c>
      <c r="N752" s="106">
        <v>19760552.2549299</v>
      </c>
      <c r="O752" s="103" t="s">
        <v>11609</v>
      </c>
      <c r="R752" s="58"/>
      <c r="S752" s="58"/>
      <c r="T752" s="58"/>
      <c r="U752" s="58"/>
      <c r="V752" s="58"/>
      <c r="W752" s="58"/>
      <c r="X752" s="58"/>
    </row>
    <row r="753" spans="1:24">
      <c r="A753" s="103" t="s">
        <v>5802</v>
      </c>
      <c r="B753" s="104" t="s">
        <v>796</v>
      </c>
      <c r="C753" s="104" t="s">
        <v>5803</v>
      </c>
      <c r="D753" s="104" t="s">
        <v>2961</v>
      </c>
      <c r="E753" s="105" t="s">
        <v>279</v>
      </c>
      <c r="F753" s="103" t="s">
        <v>11591</v>
      </c>
      <c r="G753" s="103"/>
      <c r="H753" s="103" t="s">
        <v>11610</v>
      </c>
      <c r="I753" s="103"/>
      <c r="J753" s="103" t="s">
        <v>11611</v>
      </c>
      <c r="K753" s="103"/>
      <c r="L753" s="106">
        <v>523.0746936</v>
      </c>
      <c r="M753" s="103" t="s">
        <v>11330</v>
      </c>
      <c r="N753" s="106">
        <v>19761075.3296235</v>
      </c>
      <c r="O753" s="103" t="s">
        <v>11609</v>
      </c>
      <c r="R753" s="58"/>
      <c r="S753" s="58"/>
      <c r="T753" s="58"/>
      <c r="U753" s="58"/>
      <c r="V753" s="58"/>
      <c r="W753" s="58"/>
      <c r="X753" s="58"/>
    </row>
    <row r="754" spans="1:24">
      <c r="A754" s="103" t="s">
        <v>3982</v>
      </c>
      <c r="B754" s="104" t="s">
        <v>132</v>
      </c>
      <c r="C754" s="104" t="s">
        <v>3983</v>
      </c>
      <c r="D754" s="104" t="s">
        <v>2961</v>
      </c>
      <c r="E754" s="105" t="s">
        <v>134</v>
      </c>
      <c r="F754" s="103" t="s">
        <v>10423</v>
      </c>
      <c r="G754" s="103"/>
      <c r="H754" s="103" t="s">
        <v>7367</v>
      </c>
      <c r="I754" s="103"/>
      <c r="J754" s="103" t="s">
        <v>11612</v>
      </c>
      <c r="K754" s="103"/>
      <c r="L754" s="106">
        <v>521.64</v>
      </c>
      <c r="M754" s="103" t="s">
        <v>11330</v>
      </c>
      <c r="N754" s="106">
        <v>19761596.9696235</v>
      </c>
      <c r="O754" s="103" t="s">
        <v>11609</v>
      </c>
      <c r="R754" s="58"/>
      <c r="S754" s="58"/>
      <c r="T754" s="58"/>
      <c r="U754" s="58"/>
      <c r="V754" s="58"/>
      <c r="W754" s="58"/>
      <c r="X754" s="58"/>
    </row>
    <row r="755" spans="1:24">
      <c r="A755" s="103" t="s">
        <v>4596</v>
      </c>
      <c r="B755" s="104" t="s">
        <v>139</v>
      </c>
      <c r="C755" s="104" t="s">
        <v>4597</v>
      </c>
      <c r="D755" s="104" t="s">
        <v>2961</v>
      </c>
      <c r="E755" s="105" t="s">
        <v>134</v>
      </c>
      <c r="F755" s="103" t="s">
        <v>9091</v>
      </c>
      <c r="G755" s="103"/>
      <c r="H755" s="103" t="s">
        <v>11613</v>
      </c>
      <c r="I755" s="103"/>
      <c r="J755" s="103" t="s">
        <v>11613</v>
      </c>
      <c r="K755" s="103"/>
      <c r="L755" s="106">
        <v>518.78</v>
      </c>
      <c r="M755" s="103" t="s">
        <v>11330</v>
      </c>
      <c r="N755" s="106">
        <v>19762115.7496235</v>
      </c>
      <c r="O755" s="103" t="s">
        <v>11609</v>
      </c>
      <c r="R755" s="58"/>
      <c r="S755" s="58"/>
      <c r="T755" s="58"/>
      <c r="U755" s="58"/>
      <c r="V755" s="58"/>
      <c r="W755" s="58"/>
      <c r="X755" s="58"/>
    </row>
    <row r="756" spans="1:24">
      <c r="A756" s="103" t="s">
        <v>2982</v>
      </c>
      <c r="B756" s="104" t="s">
        <v>149</v>
      </c>
      <c r="C756" s="104" t="s">
        <v>2983</v>
      </c>
      <c r="D756" s="104" t="s">
        <v>2896</v>
      </c>
      <c r="E756" s="105" t="s">
        <v>2897</v>
      </c>
      <c r="F756" s="103" t="s">
        <v>11614</v>
      </c>
      <c r="G756" s="103"/>
      <c r="H756" s="103" t="s">
        <v>9359</v>
      </c>
      <c r="I756" s="103"/>
      <c r="J756" s="103" t="s">
        <v>11615</v>
      </c>
      <c r="K756" s="103"/>
      <c r="L756" s="106">
        <v>508.190878088</v>
      </c>
      <c r="M756" s="103" t="s">
        <v>11330</v>
      </c>
      <c r="N756" s="106">
        <v>19762623.9405016</v>
      </c>
      <c r="O756" s="103" t="s">
        <v>11616</v>
      </c>
      <c r="R756" s="58"/>
      <c r="S756" s="58"/>
      <c r="T756" s="58"/>
      <c r="U756" s="58"/>
      <c r="V756" s="58"/>
      <c r="W756" s="58"/>
      <c r="X756" s="58"/>
    </row>
    <row r="757" ht="25.5" spans="1:24">
      <c r="A757" s="103" t="s">
        <v>4709</v>
      </c>
      <c r="B757" s="104" t="s">
        <v>149</v>
      </c>
      <c r="C757" s="104" t="s">
        <v>4710</v>
      </c>
      <c r="D757" s="104" t="s">
        <v>2961</v>
      </c>
      <c r="E757" s="105" t="s">
        <v>134</v>
      </c>
      <c r="F757" s="103" t="s">
        <v>10124</v>
      </c>
      <c r="G757" s="103"/>
      <c r="H757" s="103" t="s">
        <v>11617</v>
      </c>
      <c r="I757" s="103"/>
      <c r="J757" s="103" t="s">
        <v>11618</v>
      </c>
      <c r="K757" s="103"/>
      <c r="L757" s="106">
        <v>507</v>
      </c>
      <c r="M757" s="103" t="s">
        <v>11330</v>
      </c>
      <c r="N757" s="106">
        <v>19763130.9405016</v>
      </c>
      <c r="O757" s="103" t="s">
        <v>11616</v>
      </c>
      <c r="R757" s="58"/>
      <c r="S757" s="58"/>
      <c r="T757" s="58"/>
      <c r="U757" s="58"/>
      <c r="V757" s="58"/>
      <c r="W757" s="58"/>
      <c r="X757" s="58"/>
    </row>
    <row r="758" ht="25.5" spans="1:24">
      <c r="A758" s="103" t="s">
        <v>4372</v>
      </c>
      <c r="B758" s="104" t="s">
        <v>149</v>
      </c>
      <c r="C758" s="104" t="s">
        <v>4373</v>
      </c>
      <c r="D758" s="104" t="s">
        <v>2961</v>
      </c>
      <c r="E758" s="105" t="s">
        <v>134</v>
      </c>
      <c r="F758" s="103" t="s">
        <v>9091</v>
      </c>
      <c r="G758" s="103"/>
      <c r="H758" s="103" t="s">
        <v>11619</v>
      </c>
      <c r="I758" s="103"/>
      <c r="J758" s="103" t="s">
        <v>11619</v>
      </c>
      <c r="K758" s="103"/>
      <c r="L758" s="106">
        <v>504.42</v>
      </c>
      <c r="M758" s="103" t="s">
        <v>11330</v>
      </c>
      <c r="N758" s="106">
        <v>19763635.3605016</v>
      </c>
      <c r="O758" s="103" t="s">
        <v>11616</v>
      </c>
      <c r="R758" s="58"/>
      <c r="S758" s="58"/>
      <c r="T758" s="58"/>
      <c r="U758" s="58"/>
      <c r="V758" s="58"/>
      <c r="W758" s="58"/>
      <c r="X758" s="58"/>
    </row>
    <row r="759" ht="25.5" spans="1:24">
      <c r="A759" s="103" t="s">
        <v>3155</v>
      </c>
      <c r="B759" s="104" t="s">
        <v>139</v>
      </c>
      <c r="C759" s="104" t="s">
        <v>3156</v>
      </c>
      <c r="D759" s="104" t="s">
        <v>2961</v>
      </c>
      <c r="E759" s="105" t="s">
        <v>204</v>
      </c>
      <c r="F759" s="103" t="s">
        <v>11620</v>
      </c>
      <c r="G759" s="103"/>
      <c r="H759" s="103" t="s">
        <v>11621</v>
      </c>
      <c r="I759" s="103"/>
      <c r="J759" s="103" t="s">
        <v>11622</v>
      </c>
      <c r="K759" s="103"/>
      <c r="L759" s="106">
        <v>500.364</v>
      </c>
      <c r="M759" s="103" t="s">
        <v>11330</v>
      </c>
      <c r="N759" s="106">
        <v>19764135.7245016</v>
      </c>
      <c r="O759" s="103" t="s">
        <v>11616</v>
      </c>
      <c r="R759" s="58"/>
      <c r="S759" s="58"/>
      <c r="T759" s="58"/>
      <c r="U759" s="58"/>
      <c r="V759" s="58"/>
      <c r="W759" s="58"/>
      <c r="X759" s="58"/>
    </row>
    <row r="760" ht="38.25" spans="1:24">
      <c r="A760" s="103" t="s">
        <v>4608</v>
      </c>
      <c r="B760" s="104" t="s">
        <v>139</v>
      </c>
      <c r="C760" s="104" t="s">
        <v>4609</v>
      </c>
      <c r="D760" s="104" t="s">
        <v>2961</v>
      </c>
      <c r="E760" s="105" t="s">
        <v>134</v>
      </c>
      <c r="F760" s="103" t="s">
        <v>9742</v>
      </c>
      <c r="G760" s="103"/>
      <c r="H760" s="103" t="s">
        <v>11623</v>
      </c>
      <c r="I760" s="103"/>
      <c r="J760" s="103" t="s">
        <v>11624</v>
      </c>
      <c r="K760" s="103"/>
      <c r="L760" s="106">
        <v>498.24</v>
      </c>
      <c r="M760" s="103" t="s">
        <v>11330</v>
      </c>
      <c r="N760" s="106">
        <v>19764633.9645016</v>
      </c>
      <c r="O760" s="103" t="s">
        <v>11625</v>
      </c>
      <c r="R760" s="58"/>
      <c r="S760" s="58"/>
      <c r="T760" s="58"/>
      <c r="U760" s="58"/>
      <c r="V760" s="58"/>
      <c r="W760" s="58"/>
      <c r="X760" s="58"/>
    </row>
    <row r="761" ht="63.75" spans="1:24">
      <c r="A761" s="103" t="s">
        <v>5886</v>
      </c>
      <c r="B761" s="104" t="s">
        <v>139</v>
      </c>
      <c r="C761" s="104" t="s">
        <v>5887</v>
      </c>
      <c r="D761" s="104" t="s">
        <v>3680</v>
      </c>
      <c r="E761" s="105" t="s">
        <v>134</v>
      </c>
      <c r="F761" s="103" t="s">
        <v>11626</v>
      </c>
      <c r="G761" s="103"/>
      <c r="H761" s="103" t="s">
        <v>11627</v>
      </c>
      <c r="I761" s="103"/>
      <c r="J761" s="103" t="s">
        <v>11628</v>
      </c>
      <c r="K761" s="103"/>
      <c r="L761" s="106">
        <v>497.49</v>
      </c>
      <c r="M761" s="103" t="s">
        <v>11330</v>
      </c>
      <c r="N761" s="106">
        <v>19765131.4545016</v>
      </c>
      <c r="O761" s="103" t="s">
        <v>11625</v>
      </c>
      <c r="R761" s="58"/>
      <c r="S761" s="58"/>
      <c r="T761" s="58"/>
      <c r="U761" s="58"/>
      <c r="V761" s="58"/>
      <c r="W761" s="58"/>
      <c r="X761" s="58"/>
    </row>
    <row r="762" ht="25.5" spans="1:24">
      <c r="A762" s="103" t="s">
        <v>3627</v>
      </c>
      <c r="B762" s="104" t="s">
        <v>77</v>
      </c>
      <c r="C762" s="104" t="s">
        <v>3628</v>
      </c>
      <c r="D762" s="104" t="s">
        <v>2961</v>
      </c>
      <c r="E762" s="105" t="s">
        <v>134</v>
      </c>
      <c r="F762" s="103" t="s">
        <v>11629</v>
      </c>
      <c r="G762" s="103"/>
      <c r="H762" s="103" t="s">
        <v>11630</v>
      </c>
      <c r="I762" s="103"/>
      <c r="J762" s="103" t="s">
        <v>11631</v>
      </c>
      <c r="K762" s="103"/>
      <c r="L762" s="106">
        <v>493.444875</v>
      </c>
      <c r="M762" s="103" t="s">
        <v>11330</v>
      </c>
      <c r="N762" s="106">
        <v>19765624.8993766</v>
      </c>
      <c r="O762" s="103" t="s">
        <v>11625</v>
      </c>
      <c r="R762" s="58"/>
      <c r="S762" s="58"/>
      <c r="T762" s="58"/>
      <c r="U762" s="58"/>
      <c r="V762" s="58"/>
      <c r="W762" s="58"/>
      <c r="X762" s="58"/>
    </row>
    <row r="763" spans="1:24">
      <c r="A763" s="103" t="s">
        <v>2984</v>
      </c>
      <c r="B763" s="104" t="s">
        <v>149</v>
      </c>
      <c r="C763" s="104" t="s">
        <v>2985</v>
      </c>
      <c r="D763" s="104" t="s">
        <v>2896</v>
      </c>
      <c r="E763" s="105" t="s">
        <v>2897</v>
      </c>
      <c r="F763" s="103" t="s">
        <v>11632</v>
      </c>
      <c r="G763" s="103"/>
      <c r="H763" s="103" t="s">
        <v>9456</v>
      </c>
      <c r="I763" s="103"/>
      <c r="J763" s="103" t="s">
        <v>11633</v>
      </c>
      <c r="K763" s="103"/>
      <c r="L763" s="106">
        <v>490.716272088</v>
      </c>
      <c r="M763" s="103" t="s">
        <v>11330</v>
      </c>
      <c r="N763" s="106">
        <v>19766115.6156486</v>
      </c>
      <c r="O763" s="103" t="s">
        <v>11625</v>
      </c>
      <c r="R763" s="58"/>
      <c r="S763" s="58"/>
      <c r="T763" s="58"/>
      <c r="U763" s="58"/>
      <c r="V763" s="58"/>
      <c r="W763" s="58"/>
      <c r="X763" s="58"/>
    </row>
    <row r="764" spans="1:24">
      <c r="A764" s="103" t="s">
        <v>4641</v>
      </c>
      <c r="B764" s="104" t="s">
        <v>132</v>
      </c>
      <c r="C764" s="104" t="s">
        <v>4642</v>
      </c>
      <c r="D764" s="104" t="s">
        <v>2961</v>
      </c>
      <c r="E764" s="105" t="s">
        <v>134</v>
      </c>
      <c r="F764" s="103" t="s">
        <v>9585</v>
      </c>
      <c r="G764" s="103"/>
      <c r="H764" s="103" t="s">
        <v>8820</v>
      </c>
      <c r="I764" s="103"/>
      <c r="J764" s="103" t="s">
        <v>8821</v>
      </c>
      <c r="K764" s="103"/>
      <c r="L764" s="106">
        <v>489</v>
      </c>
      <c r="M764" s="103" t="s">
        <v>11330</v>
      </c>
      <c r="N764" s="106">
        <v>19766604.6156486</v>
      </c>
      <c r="O764" s="103" t="s">
        <v>11634</v>
      </c>
      <c r="R764" s="58"/>
      <c r="S764" s="58"/>
      <c r="T764" s="58"/>
      <c r="U764" s="58"/>
      <c r="V764" s="58"/>
      <c r="W764" s="58"/>
      <c r="X764" s="58"/>
    </row>
    <row r="765" ht="38.25" spans="1:24">
      <c r="A765" s="103" t="s">
        <v>4341</v>
      </c>
      <c r="B765" s="104" t="s">
        <v>796</v>
      </c>
      <c r="C765" s="104" t="s">
        <v>4342</v>
      </c>
      <c r="D765" s="104" t="s">
        <v>2961</v>
      </c>
      <c r="E765" s="105" t="s">
        <v>1508</v>
      </c>
      <c r="F765" s="103" t="s">
        <v>11635</v>
      </c>
      <c r="G765" s="103"/>
      <c r="H765" s="103" t="s">
        <v>11636</v>
      </c>
      <c r="I765" s="103"/>
      <c r="J765" s="103" t="s">
        <v>11637</v>
      </c>
      <c r="K765" s="103"/>
      <c r="L765" s="106">
        <v>484.38</v>
      </c>
      <c r="M765" s="103" t="s">
        <v>11330</v>
      </c>
      <c r="N765" s="106">
        <v>19767088.9956486</v>
      </c>
      <c r="O765" s="103" t="s">
        <v>11634</v>
      </c>
      <c r="R765" s="58"/>
      <c r="S765" s="58"/>
      <c r="T765" s="58"/>
      <c r="U765" s="58"/>
      <c r="V765" s="58"/>
      <c r="W765" s="58"/>
      <c r="X765" s="58"/>
    </row>
    <row r="766" ht="25.5" spans="1:24">
      <c r="A766" s="103" t="s">
        <v>4582</v>
      </c>
      <c r="B766" s="104" t="s">
        <v>139</v>
      </c>
      <c r="C766" s="104" t="s">
        <v>4583</v>
      </c>
      <c r="D766" s="104" t="s">
        <v>2961</v>
      </c>
      <c r="E766" s="105" t="s">
        <v>134</v>
      </c>
      <c r="F766" s="103" t="s">
        <v>11638</v>
      </c>
      <c r="G766" s="103"/>
      <c r="H766" s="103" t="s">
        <v>11639</v>
      </c>
      <c r="I766" s="103"/>
      <c r="J766" s="103" t="s">
        <v>11640</v>
      </c>
      <c r="K766" s="103"/>
      <c r="L766" s="106">
        <v>482.08</v>
      </c>
      <c r="M766" s="103" t="s">
        <v>11330</v>
      </c>
      <c r="N766" s="106">
        <v>19767571.0756487</v>
      </c>
      <c r="O766" s="103" t="s">
        <v>11634</v>
      </c>
      <c r="R766" s="58"/>
      <c r="S766" s="58"/>
      <c r="T766" s="58"/>
      <c r="U766" s="58"/>
      <c r="V766" s="58"/>
      <c r="W766" s="58"/>
      <c r="X766" s="58"/>
    </row>
    <row r="767" ht="25.5" spans="1:24">
      <c r="A767" s="103" t="s">
        <v>3895</v>
      </c>
      <c r="B767" s="104" t="s">
        <v>77</v>
      </c>
      <c r="C767" s="104" t="s">
        <v>3896</v>
      </c>
      <c r="D767" s="104" t="s">
        <v>2961</v>
      </c>
      <c r="E767" s="105" t="s">
        <v>134</v>
      </c>
      <c r="F767" s="103" t="s">
        <v>9550</v>
      </c>
      <c r="G767" s="103"/>
      <c r="H767" s="103" t="s">
        <v>11641</v>
      </c>
      <c r="I767" s="103"/>
      <c r="J767" s="103" t="s">
        <v>11642</v>
      </c>
      <c r="K767" s="103"/>
      <c r="L767" s="106">
        <v>480</v>
      </c>
      <c r="M767" s="103" t="s">
        <v>11330</v>
      </c>
      <c r="N767" s="106">
        <v>19768051.0756487</v>
      </c>
      <c r="O767" s="103" t="s">
        <v>11634</v>
      </c>
      <c r="R767" s="58"/>
      <c r="S767" s="58"/>
      <c r="T767" s="58"/>
      <c r="U767" s="58"/>
      <c r="V767" s="58"/>
      <c r="W767" s="58"/>
      <c r="X767" s="58"/>
    </row>
    <row r="768" spans="1:24">
      <c r="A768" s="103" t="s">
        <v>4173</v>
      </c>
      <c r="B768" s="104" t="s">
        <v>149</v>
      </c>
      <c r="C768" s="104" t="s">
        <v>4174</v>
      </c>
      <c r="D768" s="104" t="s">
        <v>2961</v>
      </c>
      <c r="E768" s="105" t="s">
        <v>134</v>
      </c>
      <c r="F768" s="103" t="s">
        <v>9800</v>
      </c>
      <c r="G768" s="103"/>
      <c r="H768" s="103" t="s">
        <v>11643</v>
      </c>
      <c r="I768" s="103"/>
      <c r="J768" s="103" t="s">
        <v>11644</v>
      </c>
      <c r="K768" s="103"/>
      <c r="L768" s="106">
        <v>472.5</v>
      </c>
      <c r="M768" s="103" t="s">
        <v>11330</v>
      </c>
      <c r="N768" s="106">
        <v>19768523.5756487</v>
      </c>
      <c r="O768" s="103" t="s">
        <v>11645</v>
      </c>
      <c r="R768" s="58"/>
      <c r="S768" s="58"/>
      <c r="T768" s="58"/>
      <c r="U768" s="58"/>
      <c r="V768" s="58"/>
      <c r="W768" s="58"/>
      <c r="X768" s="58"/>
    </row>
    <row r="769" spans="1:24">
      <c r="A769" s="103" t="s">
        <v>4528</v>
      </c>
      <c r="B769" s="104" t="s">
        <v>149</v>
      </c>
      <c r="C769" s="104" t="s">
        <v>4529</v>
      </c>
      <c r="D769" s="104" t="s">
        <v>2896</v>
      </c>
      <c r="E769" s="105" t="s">
        <v>2897</v>
      </c>
      <c r="F769" s="103" t="s">
        <v>11646</v>
      </c>
      <c r="G769" s="103"/>
      <c r="H769" s="103" t="s">
        <v>11647</v>
      </c>
      <c r="I769" s="103"/>
      <c r="J769" s="103" t="s">
        <v>11648</v>
      </c>
      <c r="K769" s="103"/>
      <c r="L769" s="106">
        <v>466.5320352</v>
      </c>
      <c r="M769" s="103" t="s">
        <v>11330</v>
      </c>
      <c r="N769" s="106">
        <v>19768990.1076838</v>
      </c>
      <c r="O769" s="103" t="s">
        <v>11645</v>
      </c>
      <c r="R769" s="58"/>
      <c r="S769" s="58"/>
      <c r="T769" s="58"/>
      <c r="U769" s="58"/>
      <c r="V769" s="58"/>
      <c r="W769" s="58"/>
      <c r="X769" s="58"/>
    </row>
    <row r="770" spans="1:24">
      <c r="A770" s="103" t="s">
        <v>5010</v>
      </c>
      <c r="B770" s="104" t="s">
        <v>149</v>
      </c>
      <c r="C770" s="104" t="s">
        <v>5011</v>
      </c>
      <c r="D770" s="104" t="s">
        <v>2961</v>
      </c>
      <c r="E770" s="105" t="s">
        <v>204</v>
      </c>
      <c r="F770" s="103" t="s">
        <v>11649</v>
      </c>
      <c r="G770" s="103"/>
      <c r="H770" s="103" t="s">
        <v>11650</v>
      </c>
      <c r="I770" s="103"/>
      <c r="J770" s="103" t="s">
        <v>11651</v>
      </c>
      <c r="K770" s="103"/>
      <c r="L770" s="106">
        <v>463.144</v>
      </c>
      <c r="M770" s="103" t="s">
        <v>11330</v>
      </c>
      <c r="N770" s="106">
        <v>19769453.2516838</v>
      </c>
      <c r="O770" s="103" t="s">
        <v>11645</v>
      </c>
      <c r="R770" s="58"/>
      <c r="S770" s="58"/>
      <c r="T770" s="58"/>
      <c r="U770" s="58"/>
      <c r="V770" s="58"/>
      <c r="W770" s="58"/>
      <c r="X770" s="58"/>
    </row>
    <row r="771" ht="25.5" spans="1:24">
      <c r="A771" s="103" t="s">
        <v>3891</v>
      </c>
      <c r="B771" s="104" t="s">
        <v>77</v>
      </c>
      <c r="C771" s="104" t="s">
        <v>3892</v>
      </c>
      <c r="D771" s="104" t="s">
        <v>2961</v>
      </c>
      <c r="E771" s="105" t="s">
        <v>134</v>
      </c>
      <c r="F771" s="103" t="s">
        <v>9550</v>
      </c>
      <c r="G771" s="103"/>
      <c r="H771" s="103" t="s">
        <v>11652</v>
      </c>
      <c r="I771" s="103"/>
      <c r="J771" s="103" t="s">
        <v>11653</v>
      </c>
      <c r="K771" s="103"/>
      <c r="L771" s="106">
        <v>461.44</v>
      </c>
      <c r="M771" s="103" t="s">
        <v>11330</v>
      </c>
      <c r="N771" s="106">
        <v>19769914.6916839</v>
      </c>
      <c r="O771" s="103" t="s">
        <v>11645</v>
      </c>
      <c r="R771" s="58"/>
      <c r="S771" s="58"/>
      <c r="T771" s="58"/>
      <c r="U771" s="58"/>
      <c r="V771" s="58"/>
      <c r="W771" s="58"/>
      <c r="X771" s="58"/>
    </row>
    <row r="772" ht="25.5" spans="1:24">
      <c r="A772" s="103" t="s">
        <v>4473</v>
      </c>
      <c r="B772" s="104" t="s">
        <v>77</v>
      </c>
      <c r="C772" s="104" t="s">
        <v>4474</v>
      </c>
      <c r="D772" s="104" t="s">
        <v>2961</v>
      </c>
      <c r="E772" s="105" t="s">
        <v>134</v>
      </c>
      <c r="F772" s="103" t="s">
        <v>11654</v>
      </c>
      <c r="G772" s="103"/>
      <c r="H772" s="103" t="s">
        <v>11655</v>
      </c>
      <c r="I772" s="103"/>
      <c r="J772" s="103" t="s">
        <v>11656</v>
      </c>
      <c r="K772" s="103"/>
      <c r="L772" s="106">
        <v>455.480064</v>
      </c>
      <c r="M772" s="103" t="s">
        <v>11330</v>
      </c>
      <c r="N772" s="106">
        <v>19770370.1717478</v>
      </c>
      <c r="O772" s="103" t="s">
        <v>11645</v>
      </c>
      <c r="R772" s="58"/>
      <c r="S772" s="58"/>
      <c r="T772" s="58"/>
      <c r="U772" s="58"/>
      <c r="V772" s="58"/>
      <c r="W772" s="58"/>
      <c r="X772" s="58"/>
    </row>
    <row r="773" ht="38.25" spans="1:24">
      <c r="A773" s="103" t="s">
        <v>4560</v>
      </c>
      <c r="B773" s="104" t="s">
        <v>132</v>
      </c>
      <c r="C773" s="104" t="s">
        <v>4561</v>
      </c>
      <c r="D773" s="104" t="s">
        <v>2961</v>
      </c>
      <c r="E773" s="105" t="s">
        <v>134</v>
      </c>
      <c r="F773" s="103" t="s">
        <v>9183</v>
      </c>
      <c r="G773" s="103"/>
      <c r="H773" s="103" t="s">
        <v>11657</v>
      </c>
      <c r="I773" s="103"/>
      <c r="J773" s="103" t="s">
        <v>11658</v>
      </c>
      <c r="K773" s="103"/>
      <c r="L773" s="106">
        <v>455.04</v>
      </c>
      <c r="M773" s="103" t="s">
        <v>11330</v>
      </c>
      <c r="N773" s="106">
        <v>19770825.2117478</v>
      </c>
      <c r="O773" s="103" t="s">
        <v>11659</v>
      </c>
      <c r="R773" s="58"/>
      <c r="S773" s="58"/>
      <c r="T773" s="58"/>
      <c r="U773" s="58"/>
      <c r="V773" s="58"/>
      <c r="W773" s="58"/>
      <c r="X773" s="58"/>
    </row>
    <row r="774" ht="25.5" spans="1:24">
      <c r="A774" s="103" t="s">
        <v>3148</v>
      </c>
      <c r="B774" s="104" t="s">
        <v>139</v>
      </c>
      <c r="C774" s="104" t="s">
        <v>3149</v>
      </c>
      <c r="D774" s="104" t="s">
        <v>2961</v>
      </c>
      <c r="E774" s="105" t="s">
        <v>134</v>
      </c>
      <c r="F774" s="103" t="s">
        <v>11660</v>
      </c>
      <c r="G774" s="103"/>
      <c r="H774" s="103" t="s">
        <v>8232</v>
      </c>
      <c r="I774" s="103"/>
      <c r="J774" s="103" t="s">
        <v>11661</v>
      </c>
      <c r="K774" s="103"/>
      <c r="L774" s="106">
        <v>448.980337152</v>
      </c>
      <c r="M774" s="103" t="s">
        <v>11330</v>
      </c>
      <c r="N774" s="106">
        <v>19771274.192085</v>
      </c>
      <c r="O774" s="103" t="s">
        <v>11659</v>
      </c>
      <c r="R774" s="58"/>
      <c r="S774" s="58"/>
      <c r="T774" s="58"/>
      <c r="U774" s="58"/>
      <c r="V774" s="58"/>
      <c r="W774" s="58"/>
      <c r="X774" s="58"/>
    </row>
    <row r="775" spans="1:24">
      <c r="A775" s="103" t="s">
        <v>2532</v>
      </c>
      <c r="B775" s="104" t="s">
        <v>796</v>
      </c>
      <c r="C775" s="104" t="s">
        <v>2533</v>
      </c>
      <c r="D775" s="104" t="s">
        <v>2961</v>
      </c>
      <c r="E775" s="105" t="s">
        <v>334</v>
      </c>
      <c r="F775" s="103" t="s">
        <v>11662</v>
      </c>
      <c r="G775" s="103"/>
      <c r="H775" s="103" t="s">
        <v>7309</v>
      </c>
      <c r="I775" s="103"/>
      <c r="J775" s="103" t="s">
        <v>8838</v>
      </c>
      <c r="K775" s="103"/>
      <c r="L775" s="106">
        <v>447.48</v>
      </c>
      <c r="M775" s="103" t="s">
        <v>11330</v>
      </c>
      <c r="N775" s="106">
        <v>19771721.672085</v>
      </c>
      <c r="O775" s="103" t="s">
        <v>11659</v>
      </c>
      <c r="R775" s="58"/>
      <c r="S775" s="58"/>
      <c r="T775" s="58"/>
      <c r="U775" s="58"/>
      <c r="V775" s="58"/>
      <c r="W775" s="58"/>
      <c r="X775" s="58"/>
    </row>
    <row r="776" spans="1:24">
      <c r="A776" s="103" t="s">
        <v>3725</v>
      </c>
      <c r="B776" s="104" t="s">
        <v>139</v>
      </c>
      <c r="C776" s="104" t="s">
        <v>3726</v>
      </c>
      <c r="D776" s="104" t="s">
        <v>2961</v>
      </c>
      <c r="E776" s="105" t="s">
        <v>134</v>
      </c>
      <c r="F776" s="103" t="s">
        <v>10582</v>
      </c>
      <c r="G776" s="103"/>
      <c r="H776" s="103" t="s">
        <v>11663</v>
      </c>
      <c r="I776" s="103"/>
      <c r="J776" s="103" t="s">
        <v>11664</v>
      </c>
      <c r="K776" s="103"/>
      <c r="L776" s="106">
        <v>447</v>
      </c>
      <c r="M776" s="103" t="s">
        <v>11330</v>
      </c>
      <c r="N776" s="106">
        <v>19772168.672085</v>
      </c>
      <c r="O776" s="103" t="s">
        <v>11659</v>
      </c>
      <c r="R776" s="58"/>
      <c r="S776" s="58"/>
      <c r="T776" s="58"/>
      <c r="U776" s="58"/>
      <c r="V776" s="58"/>
      <c r="W776" s="58"/>
      <c r="X776" s="58"/>
    </row>
    <row r="777" ht="25.5" spans="1:24">
      <c r="A777" s="103" t="s">
        <v>3189</v>
      </c>
      <c r="B777" s="104" t="s">
        <v>139</v>
      </c>
      <c r="C777" s="104" t="s">
        <v>3190</v>
      </c>
      <c r="D777" s="104" t="s">
        <v>2961</v>
      </c>
      <c r="E777" s="105" t="s">
        <v>134</v>
      </c>
      <c r="F777" s="103" t="s">
        <v>9401</v>
      </c>
      <c r="G777" s="103"/>
      <c r="H777" s="103" t="s">
        <v>11665</v>
      </c>
      <c r="I777" s="103"/>
      <c r="J777" s="103" t="s">
        <v>11664</v>
      </c>
      <c r="K777" s="103"/>
      <c r="L777" s="106">
        <v>447</v>
      </c>
      <c r="M777" s="103" t="s">
        <v>11330</v>
      </c>
      <c r="N777" s="106">
        <v>19772615.672085</v>
      </c>
      <c r="O777" s="103" t="s">
        <v>11666</v>
      </c>
      <c r="R777" s="58"/>
      <c r="S777" s="58"/>
      <c r="T777" s="58"/>
      <c r="U777" s="58"/>
      <c r="V777" s="58"/>
      <c r="W777" s="58"/>
      <c r="X777" s="58"/>
    </row>
    <row r="778" ht="25.5" spans="1:24">
      <c r="A778" s="103" t="s">
        <v>4841</v>
      </c>
      <c r="B778" s="104" t="s">
        <v>149</v>
      </c>
      <c r="C778" s="104" t="s">
        <v>4842</v>
      </c>
      <c r="D778" s="104" t="s">
        <v>2961</v>
      </c>
      <c r="E778" s="105" t="s">
        <v>134</v>
      </c>
      <c r="F778" s="103" t="s">
        <v>10868</v>
      </c>
      <c r="G778" s="103"/>
      <c r="H778" s="103" t="s">
        <v>11667</v>
      </c>
      <c r="I778" s="103"/>
      <c r="J778" s="103" t="s">
        <v>11668</v>
      </c>
      <c r="K778" s="103"/>
      <c r="L778" s="106">
        <v>440</v>
      </c>
      <c r="M778" s="103" t="s">
        <v>11330</v>
      </c>
      <c r="N778" s="106">
        <v>19773055.672085</v>
      </c>
      <c r="O778" s="103" t="s">
        <v>11666</v>
      </c>
      <c r="R778" s="58"/>
      <c r="S778" s="58"/>
      <c r="T778" s="58"/>
      <c r="U778" s="58"/>
      <c r="V778" s="58"/>
      <c r="W778" s="58"/>
      <c r="X778" s="58"/>
    </row>
    <row r="779" ht="25.5" spans="1:24">
      <c r="A779" s="103" t="s">
        <v>4431</v>
      </c>
      <c r="B779" s="104" t="s">
        <v>77</v>
      </c>
      <c r="C779" s="104" t="s">
        <v>4432</v>
      </c>
      <c r="D779" s="104" t="s">
        <v>2961</v>
      </c>
      <c r="E779" s="105" t="s">
        <v>134</v>
      </c>
      <c r="F779" s="103" t="s">
        <v>10327</v>
      </c>
      <c r="G779" s="103"/>
      <c r="H779" s="103" t="s">
        <v>11669</v>
      </c>
      <c r="I779" s="103"/>
      <c r="J779" s="103" t="s">
        <v>11670</v>
      </c>
      <c r="K779" s="103"/>
      <c r="L779" s="106">
        <v>439.5</v>
      </c>
      <c r="M779" s="103" t="s">
        <v>11330</v>
      </c>
      <c r="N779" s="106">
        <v>19773495.172085</v>
      </c>
      <c r="O779" s="103" t="s">
        <v>11666</v>
      </c>
      <c r="R779" s="58"/>
      <c r="S779" s="58"/>
      <c r="T779" s="58"/>
      <c r="U779" s="58"/>
      <c r="V779" s="58"/>
      <c r="W779" s="58"/>
      <c r="X779" s="58"/>
    </row>
    <row r="780" ht="25.5" spans="1:24">
      <c r="A780" s="103" t="s">
        <v>3208</v>
      </c>
      <c r="B780" s="104" t="s">
        <v>139</v>
      </c>
      <c r="C780" s="104" t="s">
        <v>3209</v>
      </c>
      <c r="D780" s="104" t="s">
        <v>2961</v>
      </c>
      <c r="E780" s="105" t="s">
        <v>134</v>
      </c>
      <c r="F780" s="103" t="s">
        <v>9091</v>
      </c>
      <c r="G780" s="103"/>
      <c r="H780" s="103" t="s">
        <v>11671</v>
      </c>
      <c r="I780" s="103"/>
      <c r="J780" s="103" t="s">
        <v>11671</v>
      </c>
      <c r="K780" s="103"/>
      <c r="L780" s="106">
        <v>439</v>
      </c>
      <c r="M780" s="103" t="s">
        <v>11330</v>
      </c>
      <c r="N780" s="106">
        <v>19773934.172085</v>
      </c>
      <c r="O780" s="103" t="s">
        <v>11666</v>
      </c>
      <c r="R780" s="58"/>
      <c r="S780" s="58"/>
      <c r="T780" s="58"/>
      <c r="U780" s="58"/>
      <c r="V780" s="58"/>
      <c r="W780" s="58"/>
      <c r="X780" s="58"/>
    </row>
    <row r="781" ht="25.5" spans="1:24">
      <c r="A781" s="103" t="s">
        <v>4594</v>
      </c>
      <c r="B781" s="104" t="s">
        <v>149</v>
      </c>
      <c r="C781" s="104" t="s">
        <v>4595</v>
      </c>
      <c r="D781" s="104" t="s">
        <v>2961</v>
      </c>
      <c r="E781" s="105" t="s">
        <v>134</v>
      </c>
      <c r="F781" s="103" t="s">
        <v>9091</v>
      </c>
      <c r="G781" s="103"/>
      <c r="H781" s="103" t="s">
        <v>11672</v>
      </c>
      <c r="I781" s="103"/>
      <c r="J781" s="103" t="s">
        <v>11672</v>
      </c>
      <c r="K781" s="103"/>
      <c r="L781" s="106">
        <v>437.42</v>
      </c>
      <c r="M781" s="103" t="s">
        <v>11330</v>
      </c>
      <c r="N781" s="106">
        <v>19774371.592085</v>
      </c>
      <c r="O781" s="103" t="s">
        <v>11666</v>
      </c>
      <c r="R781" s="58"/>
      <c r="S781" s="58"/>
      <c r="T781" s="58"/>
      <c r="U781" s="58"/>
      <c r="V781" s="58"/>
      <c r="W781" s="58"/>
      <c r="X781" s="58"/>
    </row>
    <row r="782" spans="1:24">
      <c r="A782" s="103" t="s">
        <v>3664</v>
      </c>
      <c r="B782" s="104" t="s">
        <v>149</v>
      </c>
      <c r="C782" s="104" t="s">
        <v>3665</v>
      </c>
      <c r="D782" s="104" t="s">
        <v>2961</v>
      </c>
      <c r="E782" s="105" t="s">
        <v>134</v>
      </c>
      <c r="F782" s="103" t="s">
        <v>10423</v>
      </c>
      <c r="G782" s="103"/>
      <c r="H782" s="103" t="s">
        <v>11673</v>
      </c>
      <c r="I782" s="103"/>
      <c r="J782" s="103" t="s">
        <v>11674</v>
      </c>
      <c r="K782" s="103"/>
      <c r="L782" s="106">
        <v>437.16</v>
      </c>
      <c r="M782" s="103" t="s">
        <v>11330</v>
      </c>
      <c r="N782" s="106">
        <v>19774808.752085</v>
      </c>
      <c r="O782" s="103" t="s">
        <v>11675</v>
      </c>
      <c r="R782" s="58"/>
      <c r="S782" s="58"/>
      <c r="T782" s="58"/>
      <c r="U782" s="58"/>
      <c r="V782" s="58"/>
      <c r="W782" s="58"/>
      <c r="X782" s="58"/>
    </row>
    <row r="783" ht="25.5" spans="1:24">
      <c r="A783" s="103" t="s">
        <v>5026</v>
      </c>
      <c r="B783" s="104" t="s">
        <v>139</v>
      </c>
      <c r="C783" s="104" t="s">
        <v>5027</v>
      </c>
      <c r="D783" s="104" t="s">
        <v>2961</v>
      </c>
      <c r="E783" s="105" t="s">
        <v>134</v>
      </c>
      <c r="F783" s="103" t="s">
        <v>9152</v>
      </c>
      <c r="G783" s="103"/>
      <c r="H783" s="103" t="s">
        <v>9027</v>
      </c>
      <c r="I783" s="103"/>
      <c r="J783" s="103" t="s">
        <v>11676</v>
      </c>
      <c r="K783" s="103"/>
      <c r="L783" s="106">
        <v>434.64</v>
      </c>
      <c r="M783" s="103" t="s">
        <v>11330</v>
      </c>
      <c r="N783" s="106">
        <v>19775243.392085</v>
      </c>
      <c r="O783" s="103" t="s">
        <v>11675</v>
      </c>
      <c r="R783" s="58"/>
      <c r="S783" s="58"/>
      <c r="T783" s="58"/>
      <c r="U783" s="58"/>
      <c r="V783" s="58"/>
      <c r="W783" s="58"/>
      <c r="X783" s="58"/>
    </row>
    <row r="784" ht="25.5" spans="1:24">
      <c r="A784" s="103" t="s">
        <v>4649</v>
      </c>
      <c r="B784" s="104" t="s">
        <v>149</v>
      </c>
      <c r="C784" s="104" t="s">
        <v>4650</v>
      </c>
      <c r="D784" s="104" t="s">
        <v>2961</v>
      </c>
      <c r="E784" s="105" t="s">
        <v>134</v>
      </c>
      <c r="F784" s="103" t="s">
        <v>9856</v>
      </c>
      <c r="G784" s="103"/>
      <c r="H784" s="103" t="s">
        <v>11677</v>
      </c>
      <c r="I784" s="103"/>
      <c r="J784" s="103" t="s">
        <v>11678</v>
      </c>
      <c r="K784" s="103"/>
      <c r="L784" s="106">
        <v>433.6</v>
      </c>
      <c r="M784" s="103" t="s">
        <v>11330</v>
      </c>
      <c r="N784" s="106">
        <v>19775676.992085</v>
      </c>
      <c r="O784" s="103" t="s">
        <v>11675</v>
      </c>
      <c r="R784" s="58"/>
      <c r="S784" s="58"/>
      <c r="T784" s="58"/>
      <c r="U784" s="58"/>
      <c r="V784" s="58"/>
      <c r="W784" s="58"/>
      <c r="X784" s="58"/>
    </row>
    <row r="785" ht="38.25" spans="1:24">
      <c r="A785" s="103" t="s">
        <v>6026</v>
      </c>
      <c r="B785" s="104" t="s">
        <v>139</v>
      </c>
      <c r="C785" s="104" t="s">
        <v>6027</v>
      </c>
      <c r="D785" s="104" t="s">
        <v>2961</v>
      </c>
      <c r="E785" s="105" t="s">
        <v>134</v>
      </c>
      <c r="F785" s="103" t="s">
        <v>11441</v>
      </c>
      <c r="G785" s="103"/>
      <c r="H785" s="103" t="s">
        <v>9874</v>
      </c>
      <c r="I785" s="103"/>
      <c r="J785" s="103" t="s">
        <v>11679</v>
      </c>
      <c r="K785" s="103"/>
      <c r="L785" s="106">
        <v>426.25566</v>
      </c>
      <c r="M785" s="103" t="s">
        <v>11330</v>
      </c>
      <c r="N785" s="106">
        <v>19776103.247745</v>
      </c>
      <c r="O785" s="103" t="s">
        <v>11675</v>
      </c>
      <c r="R785" s="58"/>
      <c r="S785" s="58"/>
      <c r="T785" s="58"/>
      <c r="U785" s="58"/>
      <c r="V785" s="58"/>
      <c r="W785" s="58"/>
      <c r="X785" s="58"/>
    </row>
    <row r="786" ht="25.5" spans="1:24">
      <c r="A786" s="103" t="s">
        <v>3990</v>
      </c>
      <c r="B786" s="104" t="s">
        <v>149</v>
      </c>
      <c r="C786" s="104" t="s">
        <v>3991</v>
      </c>
      <c r="D786" s="104" t="s">
        <v>2961</v>
      </c>
      <c r="E786" s="105" t="s">
        <v>134</v>
      </c>
      <c r="F786" s="103" t="s">
        <v>9585</v>
      </c>
      <c r="G786" s="103"/>
      <c r="H786" s="103" t="s">
        <v>11680</v>
      </c>
      <c r="I786" s="103"/>
      <c r="J786" s="103" t="s">
        <v>11681</v>
      </c>
      <c r="K786" s="103"/>
      <c r="L786" s="106">
        <v>425.28</v>
      </c>
      <c r="M786" s="103" t="s">
        <v>11330</v>
      </c>
      <c r="N786" s="106">
        <v>19776528.527745</v>
      </c>
      <c r="O786" s="103" t="s">
        <v>11682</v>
      </c>
      <c r="R786" s="58"/>
      <c r="S786" s="58"/>
      <c r="T786" s="58"/>
      <c r="U786" s="58"/>
      <c r="V786" s="58"/>
      <c r="W786" s="58"/>
      <c r="X786" s="58"/>
    </row>
    <row r="787" ht="25.5" spans="1:24">
      <c r="A787" s="103" t="s">
        <v>5344</v>
      </c>
      <c r="B787" s="104" t="s">
        <v>139</v>
      </c>
      <c r="C787" s="104" t="s">
        <v>5345</v>
      </c>
      <c r="D787" s="104" t="s">
        <v>2961</v>
      </c>
      <c r="E787" s="105" t="s">
        <v>2925</v>
      </c>
      <c r="F787" s="103" t="s">
        <v>10377</v>
      </c>
      <c r="G787" s="103"/>
      <c r="H787" s="103" t="s">
        <v>11683</v>
      </c>
      <c r="I787" s="103"/>
      <c r="J787" s="103" t="s">
        <v>11684</v>
      </c>
      <c r="K787" s="103"/>
      <c r="L787" s="106">
        <v>423.32</v>
      </c>
      <c r="M787" s="103" t="s">
        <v>11330</v>
      </c>
      <c r="N787" s="106">
        <v>19776951.847745</v>
      </c>
      <c r="O787" s="103" t="s">
        <v>11682</v>
      </c>
      <c r="R787" s="58"/>
      <c r="S787" s="58"/>
      <c r="T787" s="58"/>
      <c r="U787" s="58"/>
      <c r="V787" s="58"/>
      <c r="W787" s="58"/>
      <c r="X787" s="58"/>
    </row>
    <row r="788" ht="38.25" spans="1:24">
      <c r="A788" s="103" t="s">
        <v>4703</v>
      </c>
      <c r="B788" s="104" t="s">
        <v>132</v>
      </c>
      <c r="C788" s="104" t="s">
        <v>4704</v>
      </c>
      <c r="D788" s="104" t="s">
        <v>2961</v>
      </c>
      <c r="E788" s="105" t="s">
        <v>134</v>
      </c>
      <c r="F788" s="103" t="s">
        <v>10492</v>
      </c>
      <c r="G788" s="103"/>
      <c r="H788" s="103" t="s">
        <v>11685</v>
      </c>
      <c r="I788" s="103"/>
      <c r="J788" s="103" t="s">
        <v>11686</v>
      </c>
      <c r="K788" s="103"/>
      <c r="L788" s="106">
        <v>417.6</v>
      </c>
      <c r="M788" s="103" t="s">
        <v>11330</v>
      </c>
      <c r="N788" s="106">
        <v>19777369.447745</v>
      </c>
      <c r="O788" s="103" t="s">
        <v>11682</v>
      </c>
      <c r="R788" s="58"/>
      <c r="S788" s="58"/>
      <c r="T788" s="58"/>
      <c r="U788" s="58"/>
      <c r="V788" s="58"/>
      <c r="W788" s="58"/>
      <c r="X788" s="58"/>
    </row>
    <row r="789" ht="25.5" spans="1:24">
      <c r="A789" s="103" t="s">
        <v>3649</v>
      </c>
      <c r="B789" s="104" t="s">
        <v>139</v>
      </c>
      <c r="C789" s="104" t="s">
        <v>3650</v>
      </c>
      <c r="D789" s="104" t="s">
        <v>2961</v>
      </c>
      <c r="E789" s="105" t="s">
        <v>134</v>
      </c>
      <c r="F789" s="103" t="s">
        <v>9550</v>
      </c>
      <c r="G789" s="103"/>
      <c r="H789" s="103" t="s">
        <v>11687</v>
      </c>
      <c r="I789" s="103"/>
      <c r="J789" s="103" t="s">
        <v>11688</v>
      </c>
      <c r="K789" s="103"/>
      <c r="L789" s="106">
        <v>416.08</v>
      </c>
      <c r="M789" s="103" t="s">
        <v>11330</v>
      </c>
      <c r="N789" s="106">
        <v>19777785.527745</v>
      </c>
      <c r="O789" s="103" t="s">
        <v>11682</v>
      </c>
      <c r="R789" s="58"/>
      <c r="S789" s="58"/>
      <c r="T789" s="58"/>
      <c r="U789" s="58"/>
      <c r="V789" s="58"/>
      <c r="W789" s="58"/>
      <c r="X789" s="58"/>
    </row>
    <row r="790" spans="1:24">
      <c r="A790" s="103" t="s">
        <v>3653</v>
      </c>
      <c r="B790" s="104" t="s">
        <v>139</v>
      </c>
      <c r="C790" s="104" t="s">
        <v>3654</v>
      </c>
      <c r="D790" s="104" t="s">
        <v>2961</v>
      </c>
      <c r="E790" s="105" t="s">
        <v>134</v>
      </c>
      <c r="F790" s="103" t="s">
        <v>10423</v>
      </c>
      <c r="G790" s="103"/>
      <c r="H790" s="103" t="s">
        <v>11689</v>
      </c>
      <c r="I790" s="103"/>
      <c r="J790" s="103" t="s">
        <v>11690</v>
      </c>
      <c r="K790" s="103"/>
      <c r="L790" s="106">
        <v>414.9</v>
      </c>
      <c r="M790" s="103" t="s">
        <v>11330</v>
      </c>
      <c r="N790" s="106">
        <v>19778200.427745</v>
      </c>
      <c r="O790" s="103" t="s">
        <v>11682</v>
      </c>
      <c r="R790" s="58"/>
      <c r="S790" s="58"/>
      <c r="T790" s="58"/>
      <c r="U790" s="58"/>
      <c r="V790" s="58"/>
      <c r="W790" s="58"/>
      <c r="X790" s="58"/>
    </row>
    <row r="791" ht="25.5" spans="1:24">
      <c r="A791" s="103" t="s">
        <v>5265</v>
      </c>
      <c r="B791" s="104" t="s">
        <v>139</v>
      </c>
      <c r="C791" s="104" t="s">
        <v>5266</v>
      </c>
      <c r="D791" s="104" t="s">
        <v>2961</v>
      </c>
      <c r="E791" s="105" t="s">
        <v>393</v>
      </c>
      <c r="F791" s="103" t="s">
        <v>11691</v>
      </c>
      <c r="G791" s="103"/>
      <c r="H791" s="103" t="s">
        <v>11692</v>
      </c>
      <c r="I791" s="103"/>
      <c r="J791" s="103" t="s">
        <v>11693</v>
      </c>
      <c r="K791" s="103"/>
      <c r="L791" s="106">
        <v>413.95536</v>
      </c>
      <c r="M791" s="103" t="s">
        <v>11330</v>
      </c>
      <c r="N791" s="106">
        <v>19778614.383105</v>
      </c>
      <c r="O791" s="103" t="s">
        <v>11694</v>
      </c>
      <c r="R791" s="58"/>
      <c r="S791" s="58"/>
      <c r="T791" s="58"/>
      <c r="U791" s="58"/>
      <c r="V791" s="58"/>
      <c r="W791" s="58"/>
      <c r="X791" s="58"/>
    </row>
    <row r="792" spans="1:24">
      <c r="A792" s="103" t="s">
        <v>3011</v>
      </c>
      <c r="B792" s="104" t="s">
        <v>139</v>
      </c>
      <c r="C792" s="104" t="s">
        <v>3012</v>
      </c>
      <c r="D792" s="104" t="s">
        <v>2961</v>
      </c>
      <c r="E792" s="105" t="s">
        <v>393</v>
      </c>
      <c r="F792" s="103" t="s">
        <v>11695</v>
      </c>
      <c r="G792" s="103"/>
      <c r="H792" s="103" t="s">
        <v>11696</v>
      </c>
      <c r="I792" s="103"/>
      <c r="J792" s="103" t="s">
        <v>11697</v>
      </c>
      <c r="K792" s="103"/>
      <c r="L792" s="106">
        <v>411.4114355</v>
      </c>
      <c r="M792" s="103" t="s">
        <v>11330</v>
      </c>
      <c r="N792" s="106">
        <v>19779025.7945405</v>
      </c>
      <c r="O792" s="103" t="s">
        <v>11694</v>
      </c>
      <c r="R792" s="58"/>
      <c r="S792" s="58"/>
      <c r="T792" s="58"/>
      <c r="U792" s="58"/>
      <c r="V792" s="58"/>
      <c r="W792" s="58"/>
      <c r="X792" s="58"/>
    </row>
    <row r="793" ht="51" spans="1:24">
      <c r="A793" s="103" t="s">
        <v>5483</v>
      </c>
      <c r="B793" s="104" t="s">
        <v>139</v>
      </c>
      <c r="C793" s="104" t="s">
        <v>5484</v>
      </c>
      <c r="D793" s="104" t="s">
        <v>3680</v>
      </c>
      <c r="E793" s="105" t="s">
        <v>134</v>
      </c>
      <c r="F793" s="103" t="s">
        <v>11698</v>
      </c>
      <c r="G793" s="103"/>
      <c r="H793" s="103" t="s">
        <v>11699</v>
      </c>
      <c r="I793" s="103"/>
      <c r="J793" s="103" t="s">
        <v>11700</v>
      </c>
      <c r="K793" s="103"/>
      <c r="L793" s="106">
        <v>408.729938769367</v>
      </c>
      <c r="M793" s="103" t="s">
        <v>11330</v>
      </c>
      <c r="N793" s="106">
        <v>19779434.5244793</v>
      </c>
      <c r="O793" s="103" t="s">
        <v>11694</v>
      </c>
      <c r="R793" s="58"/>
      <c r="S793" s="58"/>
      <c r="T793" s="58"/>
      <c r="U793" s="58"/>
      <c r="V793" s="58"/>
      <c r="W793" s="58"/>
      <c r="X793" s="58"/>
    </row>
    <row r="794" spans="1:24">
      <c r="A794" s="103" t="s">
        <v>3800</v>
      </c>
      <c r="B794" s="104" t="s">
        <v>149</v>
      </c>
      <c r="C794" s="104" t="s">
        <v>3801</v>
      </c>
      <c r="D794" s="104" t="s">
        <v>2961</v>
      </c>
      <c r="E794" s="105" t="s">
        <v>134</v>
      </c>
      <c r="F794" s="103" t="s">
        <v>9601</v>
      </c>
      <c r="G794" s="103"/>
      <c r="H794" s="103" t="s">
        <v>11701</v>
      </c>
      <c r="I794" s="103"/>
      <c r="J794" s="103" t="s">
        <v>11702</v>
      </c>
      <c r="K794" s="103"/>
      <c r="L794" s="106">
        <v>403.1</v>
      </c>
      <c r="M794" s="103" t="s">
        <v>11330</v>
      </c>
      <c r="N794" s="106">
        <v>19779837.6244793</v>
      </c>
      <c r="O794" s="103" t="s">
        <v>11694</v>
      </c>
      <c r="R794" s="58"/>
      <c r="S794" s="58"/>
      <c r="T794" s="58"/>
      <c r="U794" s="58"/>
      <c r="V794" s="58"/>
      <c r="W794" s="58"/>
      <c r="X794" s="58"/>
    </row>
    <row r="795" ht="25.5" spans="1:24">
      <c r="A795" s="103" t="s">
        <v>3123</v>
      </c>
      <c r="B795" s="104" t="s">
        <v>139</v>
      </c>
      <c r="C795" s="104" t="s">
        <v>3124</v>
      </c>
      <c r="D795" s="104" t="s">
        <v>2961</v>
      </c>
      <c r="E795" s="105" t="s">
        <v>3069</v>
      </c>
      <c r="F795" s="103" t="s">
        <v>11703</v>
      </c>
      <c r="G795" s="103"/>
      <c r="H795" s="103" t="s">
        <v>11704</v>
      </c>
      <c r="I795" s="103"/>
      <c r="J795" s="103" t="s">
        <v>11705</v>
      </c>
      <c r="K795" s="103"/>
      <c r="L795" s="106">
        <v>401.778216</v>
      </c>
      <c r="M795" s="103" t="s">
        <v>11330</v>
      </c>
      <c r="N795" s="106">
        <v>19780239.4026953</v>
      </c>
      <c r="O795" s="103" t="s">
        <v>11694</v>
      </c>
      <c r="R795" s="58"/>
      <c r="S795" s="58"/>
      <c r="T795" s="58"/>
      <c r="U795" s="58"/>
      <c r="V795" s="58"/>
      <c r="W795" s="58"/>
      <c r="X795" s="58"/>
    </row>
    <row r="796" ht="25.5" spans="1:24">
      <c r="A796" s="103" t="s">
        <v>3332</v>
      </c>
      <c r="B796" s="104" t="s">
        <v>139</v>
      </c>
      <c r="C796" s="104" t="s">
        <v>3333</v>
      </c>
      <c r="D796" s="104" t="s">
        <v>2961</v>
      </c>
      <c r="E796" s="105" t="s">
        <v>393</v>
      </c>
      <c r="F796" s="103" t="s">
        <v>11706</v>
      </c>
      <c r="G796" s="103"/>
      <c r="H796" s="103" t="s">
        <v>11707</v>
      </c>
      <c r="I796" s="103"/>
      <c r="J796" s="103" t="s">
        <v>11708</v>
      </c>
      <c r="K796" s="103"/>
      <c r="L796" s="106">
        <v>397.1360361</v>
      </c>
      <c r="M796" s="103" t="s">
        <v>11330</v>
      </c>
      <c r="N796" s="106">
        <v>19780636.5387314</v>
      </c>
      <c r="O796" s="103" t="s">
        <v>11709</v>
      </c>
      <c r="R796" s="58"/>
      <c r="S796" s="58"/>
      <c r="T796" s="58"/>
      <c r="U796" s="58"/>
      <c r="V796" s="58"/>
      <c r="W796" s="58"/>
      <c r="X796" s="58"/>
    </row>
    <row r="797" spans="1:24">
      <c r="A797" s="103" t="s">
        <v>4048</v>
      </c>
      <c r="B797" s="104" t="s">
        <v>149</v>
      </c>
      <c r="C797" s="104" t="s">
        <v>4049</v>
      </c>
      <c r="D797" s="104" t="s">
        <v>2961</v>
      </c>
      <c r="E797" s="105" t="s">
        <v>134</v>
      </c>
      <c r="F797" s="103" t="s">
        <v>10423</v>
      </c>
      <c r="G797" s="103"/>
      <c r="H797" s="103" t="s">
        <v>11710</v>
      </c>
      <c r="I797" s="103"/>
      <c r="J797" s="103" t="s">
        <v>11711</v>
      </c>
      <c r="K797" s="103"/>
      <c r="L797" s="106">
        <v>394.14</v>
      </c>
      <c r="M797" s="103" t="s">
        <v>11330</v>
      </c>
      <c r="N797" s="106">
        <v>19781030.6787314</v>
      </c>
      <c r="O797" s="103" t="s">
        <v>11709</v>
      </c>
      <c r="R797" s="58"/>
      <c r="S797" s="58"/>
      <c r="T797" s="58"/>
      <c r="U797" s="58"/>
      <c r="V797" s="58"/>
      <c r="W797" s="58"/>
      <c r="X797" s="58"/>
    </row>
    <row r="798" ht="38.25" spans="1:24">
      <c r="A798" s="103" t="s">
        <v>3119</v>
      </c>
      <c r="B798" s="104" t="s">
        <v>139</v>
      </c>
      <c r="C798" s="104" t="s">
        <v>3120</v>
      </c>
      <c r="D798" s="104" t="s">
        <v>2961</v>
      </c>
      <c r="E798" s="105" t="s">
        <v>134</v>
      </c>
      <c r="F798" s="103" t="s">
        <v>11712</v>
      </c>
      <c r="G798" s="103"/>
      <c r="H798" s="103" t="s">
        <v>11713</v>
      </c>
      <c r="I798" s="103"/>
      <c r="J798" s="103" t="s">
        <v>11714</v>
      </c>
      <c r="K798" s="103"/>
      <c r="L798" s="106">
        <v>392.593068</v>
      </c>
      <c r="M798" s="103" t="s">
        <v>11330</v>
      </c>
      <c r="N798" s="106">
        <v>19781423.2717994</v>
      </c>
      <c r="O798" s="103" t="s">
        <v>11709</v>
      </c>
      <c r="R798" s="58"/>
      <c r="S798" s="58"/>
      <c r="T798" s="58"/>
      <c r="U798" s="58"/>
      <c r="V798" s="58"/>
      <c r="W798" s="58"/>
      <c r="X798" s="58"/>
    </row>
    <row r="799" spans="1:24">
      <c r="A799" s="103" t="s">
        <v>3732</v>
      </c>
      <c r="B799" s="104" t="s">
        <v>132</v>
      </c>
      <c r="C799" s="104" t="s">
        <v>3733</v>
      </c>
      <c r="D799" s="104" t="s">
        <v>2961</v>
      </c>
      <c r="E799" s="105" t="s">
        <v>134</v>
      </c>
      <c r="F799" s="103" t="s">
        <v>11017</v>
      </c>
      <c r="G799" s="103"/>
      <c r="H799" s="103" t="s">
        <v>11715</v>
      </c>
      <c r="I799" s="103"/>
      <c r="J799" s="103" t="s">
        <v>7973</v>
      </c>
      <c r="K799" s="103"/>
      <c r="L799" s="106">
        <v>388.5</v>
      </c>
      <c r="M799" s="103" t="s">
        <v>11330</v>
      </c>
      <c r="N799" s="106">
        <v>19781811.7717994</v>
      </c>
      <c r="O799" s="103" t="s">
        <v>11709</v>
      </c>
      <c r="R799" s="58"/>
      <c r="S799" s="58"/>
      <c r="T799" s="58"/>
      <c r="U799" s="58"/>
      <c r="V799" s="58"/>
      <c r="W799" s="58"/>
      <c r="X799" s="58"/>
    </row>
    <row r="800" ht="25.5" spans="1:24">
      <c r="A800" s="103" t="s">
        <v>4167</v>
      </c>
      <c r="B800" s="104" t="s">
        <v>139</v>
      </c>
      <c r="C800" s="104" t="s">
        <v>4168</v>
      </c>
      <c r="D800" s="104" t="s">
        <v>2961</v>
      </c>
      <c r="E800" s="105" t="s">
        <v>134</v>
      </c>
      <c r="F800" s="103" t="s">
        <v>10783</v>
      </c>
      <c r="G800" s="103"/>
      <c r="H800" s="103" t="s">
        <v>11716</v>
      </c>
      <c r="I800" s="103"/>
      <c r="J800" s="103" t="s">
        <v>11717</v>
      </c>
      <c r="K800" s="103"/>
      <c r="L800" s="106">
        <v>386.76</v>
      </c>
      <c r="M800" s="103" t="s">
        <v>11330</v>
      </c>
      <c r="N800" s="106">
        <v>19782198.5317994</v>
      </c>
      <c r="O800" s="103" t="s">
        <v>11709</v>
      </c>
      <c r="R800" s="58"/>
      <c r="S800" s="58"/>
      <c r="T800" s="58"/>
      <c r="U800" s="58"/>
      <c r="V800" s="58"/>
      <c r="W800" s="58"/>
      <c r="X800" s="58"/>
    </row>
    <row r="801" ht="63.75" spans="1:24">
      <c r="A801" s="103" t="s">
        <v>3038</v>
      </c>
      <c r="B801" s="104" t="s">
        <v>139</v>
      </c>
      <c r="C801" s="104" t="s">
        <v>3039</v>
      </c>
      <c r="D801" s="104" t="s">
        <v>2961</v>
      </c>
      <c r="E801" s="105" t="s">
        <v>1491</v>
      </c>
      <c r="F801" s="103" t="s">
        <v>9152</v>
      </c>
      <c r="G801" s="103"/>
      <c r="H801" s="103" t="s">
        <v>11718</v>
      </c>
      <c r="I801" s="103"/>
      <c r="J801" s="103" t="s">
        <v>11719</v>
      </c>
      <c r="K801" s="103"/>
      <c r="L801" s="106">
        <v>380.44</v>
      </c>
      <c r="M801" s="103" t="s">
        <v>11330</v>
      </c>
      <c r="N801" s="106">
        <v>19782578.9717994</v>
      </c>
      <c r="O801" s="103" t="s">
        <v>11720</v>
      </c>
      <c r="R801" s="58"/>
      <c r="S801" s="58"/>
      <c r="T801" s="58"/>
      <c r="U801" s="58"/>
      <c r="V801" s="58"/>
      <c r="W801" s="58"/>
      <c r="X801" s="58"/>
    </row>
    <row r="802" spans="1:24">
      <c r="A802" s="103" t="s">
        <v>4182</v>
      </c>
      <c r="B802" s="104" t="s">
        <v>149</v>
      </c>
      <c r="C802" s="104" t="s">
        <v>4183</v>
      </c>
      <c r="D802" s="104" t="s">
        <v>2961</v>
      </c>
      <c r="E802" s="105" t="s">
        <v>204</v>
      </c>
      <c r="F802" s="103" t="s">
        <v>10388</v>
      </c>
      <c r="G802" s="103"/>
      <c r="H802" s="103" t="s">
        <v>11721</v>
      </c>
      <c r="I802" s="103"/>
      <c r="J802" s="103" t="s">
        <v>11722</v>
      </c>
      <c r="K802" s="103"/>
      <c r="L802" s="106">
        <v>379.44</v>
      </c>
      <c r="M802" s="103" t="s">
        <v>11330</v>
      </c>
      <c r="N802" s="106">
        <v>19782958.4117994</v>
      </c>
      <c r="O802" s="103" t="s">
        <v>11720</v>
      </c>
      <c r="R802" s="58"/>
      <c r="S802" s="58"/>
      <c r="T802" s="58"/>
      <c r="U802" s="58"/>
      <c r="V802" s="58"/>
      <c r="W802" s="58"/>
      <c r="X802" s="58"/>
    </row>
    <row r="803" spans="1:24">
      <c r="A803" s="103" t="s">
        <v>3943</v>
      </c>
      <c r="B803" s="104" t="s">
        <v>77</v>
      </c>
      <c r="C803" s="104" t="s">
        <v>3944</v>
      </c>
      <c r="D803" s="104" t="s">
        <v>2961</v>
      </c>
      <c r="E803" s="105" t="s">
        <v>134</v>
      </c>
      <c r="F803" s="103" t="s">
        <v>11723</v>
      </c>
      <c r="G803" s="103"/>
      <c r="H803" s="103" t="s">
        <v>7358</v>
      </c>
      <c r="I803" s="103"/>
      <c r="J803" s="103" t="s">
        <v>11724</v>
      </c>
      <c r="K803" s="103"/>
      <c r="L803" s="106">
        <v>372.1872</v>
      </c>
      <c r="M803" s="103" t="s">
        <v>11330</v>
      </c>
      <c r="N803" s="106">
        <v>19783330.5989994</v>
      </c>
      <c r="O803" s="103" t="s">
        <v>11720</v>
      </c>
      <c r="R803" s="58"/>
      <c r="S803" s="58"/>
      <c r="T803" s="58"/>
      <c r="U803" s="58"/>
      <c r="V803" s="58"/>
      <c r="W803" s="58"/>
      <c r="X803" s="58"/>
    </row>
    <row r="804" spans="1:24">
      <c r="A804" s="103" t="s">
        <v>3947</v>
      </c>
      <c r="B804" s="104" t="s">
        <v>77</v>
      </c>
      <c r="C804" s="104" t="s">
        <v>3948</v>
      </c>
      <c r="D804" s="104" t="s">
        <v>2961</v>
      </c>
      <c r="E804" s="105" t="s">
        <v>134</v>
      </c>
      <c r="F804" s="103" t="s">
        <v>11723</v>
      </c>
      <c r="G804" s="103"/>
      <c r="H804" s="103" t="s">
        <v>7358</v>
      </c>
      <c r="I804" s="103"/>
      <c r="J804" s="103" t="s">
        <v>11724</v>
      </c>
      <c r="K804" s="103"/>
      <c r="L804" s="106">
        <v>372.1872</v>
      </c>
      <c r="M804" s="103" t="s">
        <v>11330</v>
      </c>
      <c r="N804" s="106">
        <v>19783702.7861994</v>
      </c>
      <c r="O804" s="103" t="s">
        <v>11720</v>
      </c>
      <c r="R804" s="58"/>
      <c r="S804" s="58"/>
      <c r="T804" s="58"/>
      <c r="U804" s="58"/>
      <c r="V804" s="58"/>
      <c r="W804" s="58"/>
      <c r="X804" s="58"/>
    </row>
    <row r="805" ht="38.25" spans="1:24">
      <c r="A805" s="103" t="s">
        <v>5814</v>
      </c>
      <c r="B805" s="104" t="s">
        <v>139</v>
      </c>
      <c r="C805" s="104" t="s">
        <v>5815</v>
      </c>
      <c r="D805" s="104" t="s">
        <v>2961</v>
      </c>
      <c r="E805" s="105" t="s">
        <v>2925</v>
      </c>
      <c r="F805" s="103" t="s">
        <v>9742</v>
      </c>
      <c r="G805" s="103"/>
      <c r="H805" s="103" t="s">
        <v>10971</v>
      </c>
      <c r="I805" s="103"/>
      <c r="J805" s="103" t="s">
        <v>11725</v>
      </c>
      <c r="K805" s="103"/>
      <c r="L805" s="106">
        <v>371.04</v>
      </c>
      <c r="M805" s="103" t="s">
        <v>11330</v>
      </c>
      <c r="N805" s="106">
        <v>19784073.8261994</v>
      </c>
      <c r="O805" s="103" t="s">
        <v>11720</v>
      </c>
      <c r="R805" s="58"/>
      <c r="S805" s="58"/>
      <c r="T805" s="58"/>
      <c r="U805" s="58"/>
      <c r="V805" s="58"/>
      <c r="W805" s="58"/>
      <c r="X805" s="58"/>
    </row>
    <row r="806" spans="1:24">
      <c r="A806" s="103" t="s">
        <v>5698</v>
      </c>
      <c r="B806" s="104" t="s">
        <v>139</v>
      </c>
      <c r="C806" s="104" t="s">
        <v>5699</v>
      </c>
      <c r="D806" s="104" t="s">
        <v>2896</v>
      </c>
      <c r="E806" s="105" t="s">
        <v>2897</v>
      </c>
      <c r="F806" s="103" t="s">
        <v>11726</v>
      </c>
      <c r="G806" s="103"/>
      <c r="H806" s="103" t="s">
        <v>11727</v>
      </c>
      <c r="I806" s="103"/>
      <c r="J806" s="103" t="s">
        <v>11728</v>
      </c>
      <c r="K806" s="103"/>
      <c r="L806" s="106">
        <v>368.927605242319</v>
      </c>
      <c r="M806" s="103" t="s">
        <v>11330</v>
      </c>
      <c r="N806" s="106">
        <v>19784442.7538046</v>
      </c>
      <c r="O806" s="103" t="s">
        <v>11729</v>
      </c>
      <c r="R806" s="58"/>
      <c r="S806" s="58"/>
      <c r="T806" s="58"/>
      <c r="U806" s="58"/>
      <c r="V806" s="58"/>
      <c r="W806" s="58"/>
      <c r="X806" s="58"/>
    </row>
    <row r="807" spans="1:24">
      <c r="A807" s="103" t="s">
        <v>4859</v>
      </c>
      <c r="B807" s="104" t="s">
        <v>149</v>
      </c>
      <c r="C807" s="104" t="s">
        <v>4860</v>
      </c>
      <c r="D807" s="104" t="s">
        <v>2961</v>
      </c>
      <c r="E807" s="105" t="s">
        <v>134</v>
      </c>
      <c r="F807" s="103" t="s">
        <v>10124</v>
      </c>
      <c r="G807" s="103"/>
      <c r="H807" s="103" t="s">
        <v>11730</v>
      </c>
      <c r="I807" s="103"/>
      <c r="J807" s="103" t="s">
        <v>11731</v>
      </c>
      <c r="K807" s="103"/>
      <c r="L807" s="106">
        <v>358.5</v>
      </c>
      <c r="M807" s="103" t="s">
        <v>11330</v>
      </c>
      <c r="N807" s="106">
        <v>19784801.2538046</v>
      </c>
      <c r="O807" s="103" t="s">
        <v>11729</v>
      </c>
      <c r="R807" s="58"/>
      <c r="S807" s="58"/>
      <c r="T807" s="58"/>
      <c r="U807" s="58"/>
      <c r="V807" s="58"/>
      <c r="W807" s="58"/>
      <c r="X807" s="58"/>
    </row>
    <row r="808" ht="25.5" spans="1:24">
      <c r="A808" s="103" t="s">
        <v>4484</v>
      </c>
      <c r="B808" s="104" t="s">
        <v>77</v>
      </c>
      <c r="C808" s="104" t="s">
        <v>4485</v>
      </c>
      <c r="D808" s="104" t="s">
        <v>2961</v>
      </c>
      <c r="E808" s="105" t="s">
        <v>134</v>
      </c>
      <c r="F808" s="103" t="s">
        <v>10423</v>
      </c>
      <c r="G808" s="103"/>
      <c r="H808" s="103" t="s">
        <v>11732</v>
      </c>
      <c r="I808" s="103"/>
      <c r="J808" s="103" t="s">
        <v>11733</v>
      </c>
      <c r="K808" s="103"/>
      <c r="L808" s="106">
        <v>357.06</v>
      </c>
      <c r="M808" s="103" t="s">
        <v>11330</v>
      </c>
      <c r="N808" s="106">
        <v>19785158.3138046</v>
      </c>
      <c r="O808" s="103" t="s">
        <v>11729</v>
      </c>
      <c r="R808" s="58"/>
      <c r="S808" s="58"/>
      <c r="T808" s="58"/>
      <c r="U808" s="58"/>
      <c r="V808" s="58"/>
      <c r="W808" s="58"/>
      <c r="X808" s="58"/>
    </row>
    <row r="809" spans="1:24">
      <c r="A809" s="103" t="s">
        <v>3651</v>
      </c>
      <c r="B809" s="104" t="s">
        <v>139</v>
      </c>
      <c r="C809" s="104" t="s">
        <v>3652</v>
      </c>
      <c r="D809" s="104" t="s">
        <v>2961</v>
      </c>
      <c r="E809" s="105" t="s">
        <v>134</v>
      </c>
      <c r="F809" s="103" t="s">
        <v>9550</v>
      </c>
      <c r="G809" s="103"/>
      <c r="H809" s="103" t="s">
        <v>10546</v>
      </c>
      <c r="I809" s="103"/>
      <c r="J809" s="103" t="s">
        <v>11734</v>
      </c>
      <c r="K809" s="103"/>
      <c r="L809" s="106">
        <v>349.28</v>
      </c>
      <c r="M809" s="103" t="s">
        <v>11330</v>
      </c>
      <c r="N809" s="106">
        <v>19785507.5938046</v>
      </c>
      <c r="O809" s="103" t="s">
        <v>11729</v>
      </c>
      <c r="R809" s="58"/>
      <c r="S809" s="58"/>
      <c r="T809" s="58"/>
      <c r="U809" s="58"/>
      <c r="V809" s="58"/>
      <c r="W809" s="58"/>
      <c r="X809" s="58"/>
    </row>
    <row r="810" spans="1:24">
      <c r="A810" s="103" t="s">
        <v>3376</v>
      </c>
      <c r="B810" s="104" t="s">
        <v>139</v>
      </c>
      <c r="C810" s="104" t="s">
        <v>3377</v>
      </c>
      <c r="D810" s="104" t="s">
        <v>2961</v>
      </c>
      <c r="E810" s="105" t="s">
        <v>141</v>
      </c>
      <c r="F810" s="103" t="s">
        <v>11735</v>
      </c>
      <c r="G810" s="103"/>
      <c r="H810" s="103" t="s">
        <v>11736</v>
      </c>
      <c r="I810" s="103"/>
      <c r="J810" s="103" t="s">
        <v>11737</v>
      </c>
      <c r="K810" s="103"/>
      <c r="L810" s="106">
        <v>349.14152</v>
      </c>
      <c r="M810" s="103" t="s">
        <v>11330</v>
      </c>
      <c r="N810" s="106">
        <v>19785856.7353246</v>
      </c>
      <c r="O810" s="103" t="s">
        <v>11729</v>
      </c>
      <c r="R810" s="58"/>
      <c r="S810" s="58"/>
      <c r="T810" s="58"/>
      <c r="U810" s="58"/>
      <c r="V810" s="58"/>
      <c r="W810" s="58"/>
      <c r="X810" s="58"/>
    </row>
    <row r="811" ht="25.5" spans="1:24">
      <c r="A811" s="103" t="s">
        <v>4466</v>
      </c>
      <c r="B811" s="104" t="s">
        <v>796</v>
      </c>
      <c r="C811" s="104" t="s">
        <v>4467</v>
      </c>
      <c r="D811" s="104" t="s">
        <v>2961</v>
      </c>
      <c r="E811" s="105" t="s">
        <v>334</v>
      </c>
      <c r="F811" s="103" t="s">
        <v>11738</v>
      </c>
      <c r="G811" s="103"/>
      <c r="H811" s="103" t="s">
        <v>6796</v>
      </c>
      <c r="I811" s="103"/>
      <c r="J811" s="103" t="s">
        <v>11739</v>
      </c>
      <c r="K811" s="103"/>
      <c r="L811" s="106">
        <v>348.6</v>
      </c>
      <c r="M811" s="103" t="s">
        <v>11330</v>
      </c>
      <c r="N811" s="106">
        <v>19786205.3353246</v>
      </c>
      <c r="O811" s="103" t="s">
        <v>11729</v>
      </c>
      <c r="R811" s="58"/>
      <c r="S811" s="58"/>
      <c r="T811" s="58"/>
      <c r="U811" s="58"/>
      <c r="V811" s="58"/>
      <c r="W811" s="58"/>
      <c r="X811" s="58"/>
    </row>
    <row r="812" ht="25.5" spans="1:24">
      <c r="A812" s="103" t="s">
        <v>4683</v>
      </c>
      <c r="B812" s="104" t="s">
        <v>139</v>
      </c>
      <c r="C812" s="104" t="s">
        <v>4684</v>
      </c>
      <c r="D812" s="104" t="s">
        <v>2961</v>
      </c>
      <c r="E812" s="105" t="s">
        <v>134</v>
      </c>
      <c r="F812" s="103" t="s">
        <v>9091</v>
      </c>
      <c r="G812" s="103"/>
      <c r="H812" s="103" t="s">
        <v>11740</v>
      </c>
      <c r="I812" s="103"/>
      <c r="J812" s="103" t="s">
        <v>11740</v>
      </c>
      <c r="K812" s="103"/>
      <c r="L812" s="106">
        <v>347.3</v>
      </c>
      <c r="M812" s="103" t="s">
        <v>11330</v>
      </c>
      <c r="N812" s="106">
        <v>19786552.6353246</v>
      </c>
      <c r="O812" s="103" t="s">
        <v>11741</v>
      </c>
      <c r="R812" s="58"/>
      <c r="S812" s="58"/>
      <c r="T812" s="58"/>
      <c r="U812" s="58"/>
      <c r="V812" s="58"/>
      <c r="W812" s="58"/>
      <c r="X812" s="58"/>
    </row>
    <row r="813" ht="25.5" spans="1:24">
      <c r="A813" s="103" t="s">
        <v>3632</v>
      </c>
      <c r="B813" s="104" t="s">
        <v>77</v>
      </c>
      <c r="C813" s="104" t="s">
        <v>3633</v>
      </c>
      <c r="D813" s="104" t="s">
        <v>2961</v>
      </c>
      <c r="E813" s="105" t="s">
        <v>134</v>
      </c>
      <c r="F813" s="103" t="s">
        <v>11742</v>
      </c>
      <c r="G813" s="103"/>
      <c r="H813" s="103" t="s">
        <v>11743</v>
      </c>
      <c r="I813" s="103"/>
      <c r="J813" s="103" t="s">
        <v>11744</v>
      </c>
      <c r="K813" s="103"/>
      <c r="L813" s="106">
        <v>344.59425</v>
      </c>
      <c r="M813" s="103" t="s">
        <v>11330</v>
      </c>
      <c r="N813" s="106">
        <v>19786897.2295746</v>
      </c>
      <c r="O813" s="103" t="s">
        <v>11741</v>
      </c>
      <c r="R813" s="58"/>
      <c r="S813" s="58"/>
      <c r="T813" s="58"/>
      <c r="U813" s="58"/>
      <c r="V813" s="58"/>
      <c r="W813" s="58"/>
      <c r="X813" s="58"/>
    </row>
    <row r="814" ht="25.5" spans="1:24">
      <c r="A814" s="103" t="s">
        <v>3601</v>
      </c>
      <c r="B814" s="104" t="s">
        <v>77</v>
      </c>
      <c r="C814" s="104" t="s">
        <v>3602</v>
      </c>
      <c r="D814" s="104" t="s">
        <v>2896</v>
      </c>
      <c r="E814" s="105" t="s">
        <v>2897</v>
      </c>
      <c r="F814" s="103" t="s">
        <v>11745</v>
      </c>
      <c r="G814" s="103"/>
      <c r="H814" s="103" t="s">
        <v>9371</v>
      </c>
      <c r="I814" s="103"/>
      <c r="J814" s="103" t="s">
        <v>11746</v>
      </c>
      <c r="K814" s="103"/>
      <c r="L814" s="106">
        <v>344.17656</v>
      </c>
      <c r="M814" s="103" t="s">
        <v>11330</v>
      </c>
      <c r="N814" s="106">
        <v>19787241.4061346</v>
      </c>
      <c r="O814" s="103" t="s">
        <v>11741</v>
      </c>
      <c r="R814" s="58"/>
      <c r="S814" s="58"/>
      <c r="T814" s="58"/>
      <c r="U814" s="58"/>
      <c r="V814" s="58"/>
      <c r="W814" s="58"/>
      <c r="X814" s="58"/>
    </row>
    <row r="815" ht="25.5" spans="1:24">
      <c r="A815" s="103" t="s">
        <v>4627</v>
      </c>
      <c r="B815" s="104" t="s">
        <v>139</v>
      </c>
      <c r="C815" s="104" t="s">
        <v>4628</v>
      </c>
      <c r="D815" s="104" t="s">
        <v>2961</v>
      </c>
      <c r="E815" s="105" t="s">
        <v>134</v>
      </c>
      <c r="F815" s="103" t="s">
        <v>9585</v>
      </c>
      <c r="G815" s="103"/>
      <c r="H815" s="103" t="s">
        <v>11747</v>
      </c>
      <c r="I815" s="103"/>
      <c r="J815" s="103" t="s">
        <v>11748</v>
      </c>
      <c r="K815" s="103"/>
      <c r="L815" s="106">
        <v>342.57</v>
      </c>
      <c r="M815" s="103" t="s">
        <v>11330</v>
      </c>
      <c r="N815" s="106">
        <v>19787583.9761346</v>
      </c>
      <c r="O815" s="103" t="s">
        <v>11741</v>
      </c>
      <c r="R815" s="58"/>
      <c r="S815" s="58"/>
      <c r="T815" s="58"/>
      <c r="U815" s="58"/>
      <c r="V815" s="58"/>
      <c r="W815" s="58"/>
      <c r="X815" s="58"/>
    </row>
    <row r="816" spans="1:24">
      <c r="A816" s="103" t="s">
        <v>3758</v>
      </c>
      <c r="B816" s="104" t="s">
        <v>149</v>
      </c>
      <c r="C816" s="104" t="s">
        <v>3759</v>
      </c>
      <c r="D816" s="104" t="s">
        <v>2961</v>
      </c>
      <c r="E816" s="105" t="s">
        <v>134</v>
      </c>
      <c r="F816" s="103" t="s">
        <v>11017</v>
      </c>
      <c r="G816" s="103"/>
      <c r="H816" s="103" t="s">
        <v>11749</v>
      </c>
      <c r="I816" s="103"/>
      <c r="J816" s="103" t="s">
        <v>11750</v>
      </c>
      <c r="K816" s="103"/>
      <c r="L816" s="106">
        <v>342.5</v>
      </c>
      <c r="M816" s="103" t="s">
        <v>11330</v>
      </c>
      <c r="N816" s="106">
        <v>19787926.4761346</v>
      </c>
      <c r="O816" s="103" t="s">
        <v>11741</v>
      </c>
      <c r="R816" s="58"/>
      <c r="S816" s="58"/>
      <c r="T816" s="58"/>
      <c r="U816" s="58"/>
      <c r="V816" s="58"/>
      <c r="W816" s="58"/>
      <c r="X816" s="58"/>
    </row>
    <row r="817" ht="38.25" spans="1:24">
      <c r="A817" s="103" t="s">
        <v>3184</v>
      </c>
      <c r="B817" s="104" t="s">
        <v>139</v>
      </c>
      <c r="C817" s="104" t="s">
        <v>3185</v>
      </c>
      <c r="D817" s="104" t="s">
        <v>2961</v>
      </c>
      <c r="E817" s="105" t="s">
        <v>134</v>
      </c>
      <c r="F817" s="103" t="s">
        <v>9091</v>
      </c>
      <c r="G817" s="103"/>
      <c r="H817" s="103" t="s">
        <v>11751</v>
      </c>
      <c r="I817" s="103"/>
      <c r="J817" s="103" t="s">
        <v>11751</v>
      </c>
      <c r="K817" s="103"/>
      <c r="L817" s="106">
        <v>342.24</v>
      </c>
      <c r="M817" s="103" t="s">
        <v>11330</v>
      </c>
      <c r="N817" s="106">
        <v>19788268.7161346</v>
      </c>
      <c r="O817" s="103" t="s">
        <v>11741</v>
      </c>
      <c r="R817" s="58"/>
      <c r="S817" s="58"/>
      <c r="T817" s="58"/>
      <c r="U817" s="58"/>
      <c r="V817" s="58"/>
      <c r="W817" s="58"/>
      <c r="X817" s="58"/>
    </row>
    <row r="818" ht="25.5" spans="1:24">
      <c r="A818" s="103" t="s">
        <v>3468</v>
      </c>
      <c r="B818" s="104" t="s">
        <v>139</v>
      </c>
      <c r="C818" s="104" t="s">
        <v>3469</v>
      </c>
      <c r="D818" s="104" t="s">
        <v>2961</v>
      </c>
      <c r="E818" s="105" t="s">
        <v>3069</v>
      </c>
      <c r="F818" s="103" t="s">
        <v>11752</v>
      </c>
      <c r="G818" s="103"/>
      <c r="H818" s="103" t="s">
        <v>11753</v>
      </c>
      <c r="I818" s="103"/>
      <c r="J818" s="103" t="s">
        <v>11754</v>
      </c>
      <c r="K818" s="103"/>
      <c r="L818" s="106">
        <v>338.973978</v>
      </c>
      <c r="M818" s="103" t="s">
        <v>11330</v>
      </c>
      <c r="N818" s="106">
        <v>19788607.6901126</v>
      </c>
      <c r="O818" s="103" t="s">
        <v>11755</v>
      </c>
      <c r="R818" s="58"/>
      <c r="S818" s="58"/>
      <c r="T818" s="58"/>
      <c r="U818" s="58"/>
      <c r="V818" s="58"/>
      <c r="W818" s="58"/>
      <c r="X818" s="58"/>
    </row>
    <row r="819" ht="25.5" spans="1:24">
      <c r="A819" s="103" t="s">
        <v>5182</v>
      </c>
      <c r="B819" s="104" t="s">
        <v>149</v>
      </c>
      <c r="C819" s="104" t="s">
        <v>5183</v>
      </c>
      <c r="D819" s="104" t="s">
        <v>2961</v>
      </c>
      <c r="E819" s="105" t="s">
        <v>134</v>
      </c>
      <c r="F819" s="103" t="s">
        <v>11756</v>
      </c>
      <c r="G819" s="103"/>
      <c r="H819" s="103" t="s">
        <v>11757</v>
      </c>
      <c r="I819" s="103"/>
      <c r="J819" s="103" t="s">
        <v>11758</v>
      </c>
      <c r="K819" s="103"/>
      <c r="L819" s="106">
        <v>333.891712</v>
      </c>
      <c r="M819" s="103" t="s">
        <v>11330</v>
      </c>
      <c r="N819" s="106">
        <v>19788941.5818246</v>
      </c>
      <c r="O819" s="103" t="s">
        <v>11755</v>
      </c>
      <c r="R819" s="58"/>
      <c r="S819" s="58"/>
      <c r="T819" s="58"/>
      <c r="U819" s="58"/>
      <c r="V819" s="58"/>
      <c r="W819" s="58"/>
      <c r="X819" s="58"/>
    </row>
    <row r="820" ht="25.5" spans="1:24">
      <c r="A820" s="103" t="s">
        <v>3696</v>
      </c>
      <c r="B820" s="104" t="s">
        <v>77</v>
      </c>
      <c r="C820" s="104" t="s">
        <v>3697</v>
      </c>
      <c r="D820" s="104" t="s">
        <v>2961</v>
      </c>
      <c r="E820" s="105" t="s">
        <v>134</v>
      </c>
      <c r="F820" s="103" t="s">
        <v>11759</v>
      </c>
      <c r="G820" s="103"/>
      <c r="H820" s="103" t="s">
        <v>11760</v>
      </c>
      <c r="I820" s="103"/>
      <c r="J820" s="103" t="s">
        <v>11761</v>
      </c>
      <c r="K820" s="103"/>
      <c r="L820" s="106">
        <v>330.645</v>
      </c>
      <c r="M820" s="103" t="s">
        <v>11330</v>
      </c>
      <c r="N820" s="106">
        <v>19789272.2268246</v>
      </c>
      <c r="O820" s="103" t="s">
        <v>11755</v>
      </c>
      <c r="R820" s="58"/>
      <c r="S820" s="58"/>
      <c r="T820" s="58"/>
      <c r="U820" s="58"/>
      <c r="V820" s="58"/>
      <c r="W820" s="58"/>
      <c r="X820" s="58"/>
    </row>
    <row r="821" spans="1:24">
      <c r="A821" s="103" t="s">
        <v>3785</v>
      </c>
      <c r="B821" s="104" t="s">
        <v>132</v>
      </c>
      <c r="C821" s="104" t="s">
        <v>3786</v>
      </c>
      <c r="D821" s="104" t="s">
        <v>2961</v>
      </c>
      <c r="E821" s="105" t="s">
        <v>134</v>
      </c>
      <c r="F821" s="103" t="s">
        <v>11762</v>
      </c>
      <c r="G821" s="103"/>
      <c r="H821" s="103" t="s">
        <v>11763</v>
      </c>
      <c r="I821" s="103"/>
      <c r="J821" s="103" t="s">
        <v>11764</v>
      </c>
      <c r="K821" s="103"/>
      <c r="L821" s="106">
        <v>330.3825</v>
      </c>
      <c r="M821" s="103" t="s">
        <v>11330</v>
      </c>
      <c r="N821" s="106">
        <v>19789602.6093246</v>
      </c>
      <c r="O821" s="103" t="s">
        <v>11755</v>
      </c>
      <c r="R821" s="58"/>
      <c r="S821" s="58"/>
      <c r="T821" s="58"/>
      <c r="U821" s="58"/>
      <c r="V821" s="58"/>
      <c r="W821" s="58"/>
      <c r="X821" s="58"/>
    </row>
    <row r="822" ht="38.25" spans="1:24">
      <c r="A822" s="103" t="s">
        <v>3042</v>
      </c>
      <c r="B822" s="104" t="s">
        <v>139</v>
      </c>
      <c r="C822" s="104" t="s">
        <v>3043</v>
      </c>
      <c r="D822" s="104" t="s">
        <v>2961</v>
      </c>
      <c r="E822" s="105" t="s">
        <v>204</v>
      </c>
      <c r="F822" s="103" t="s">
        <v>11765</v>
      </c>
      <c r="G822" s="103"/>
      <c r="H822" s="103" t="s">
        <v>11766</v>
      </c>
      <c r="I822" s="103"/>
      <c r="J822" s="103" t="s">
        <v>11764</v>
      </c>
      <c r="K822" s="103"/>
      <c r="L822" s="106">
        <v>330.37908</v>
      </c>
      <c r="M822" s="103" t="s">
        <v>11330</v>
      </c>
      <c r="N822" s="106">
        <v>19789932.9884046</v>
      </c>
      <c r="O822" s="103" t="s">
        <v>11755</v>
      </c>
      <c r="R822" s="58"/>
      <c r="S822" s="58"/>
      <c r="T822" s="58"/>
      <c r="U822" s="58"/>
      <c r="V822" s="58"/>
      <c r="W822" s="58"/>
      <c r="X822" s="58"/>
    </row>
    <row r="823" spans="1:24">
      <c r="A823" s="103" t="s">
        <v>2978</v>
      </c>
      <c r="B823" s="104" t="s">
        <v>149</v>
      </c>
      <c r="C823" s="104" t="s">
        <v>2979</v>
      </c>
      <c r="D823" s="104" t="s">
        <v>2896</v>
      </c>
      <c r="E823" s="105" t="s">
        <v>2897</v>
      </c>
      <c r="F823" s="103" t="s">
        <v>11767</v>
      </c>
      <c r="G823" s="103"/>
      <c r="H823" s="103" t="s">
        <v>11768</v>
      </c>
      <c r="I823" s="103"/>
      <c r="J823" s="103" t="s">
        <v>11769</v>
      </c>
      <c r="K823" s="103"/>
      <c r="L823" s="106">
        <v>329.46636</v>
      </c>
      <c r="M823" s="103" t="s">
        <v>11330</v>
      </c>
      <c r="N823" s="106">
        <v>19790262.4547646</v>
      </c>
      <c r="O823" s="103" t="s">
        <v>11755</v>
      </c>
      <c r="R823" s="58"/>
      <c r="S823" s="58"/>
      <c r="T823" s="58"/>
      <c r="U823" s="58"/>
      <c r="V823" s="58"/>
      <c r="W823" s="58"/>
      <c r="X823" s="58"/>
    </row>
    <row r="824" spans="1:24">
      <c r="A824" s="103" t="s">
        <v>4091</v>
      </c>
      <c r="B824" s="104" t="s">
        <v>149</v>
      </c>
      <c r="C824" s="104" t="s">
        <v>4092</v>
      </c>
      <c r="D824" s="104" t="s">
        <v>2961</v>
      </c>
      <c r="E824" s="105" t="s">
        <v>279</v>
      </c>
      <c r="F824" s="103" t="s">
        <v>11770</v>
      </c>
      <c r="G824" s="103"/>
      <c r="H824" s="103" t="s">
        <v>7344</v>
      </c>
      <c r="I824" s="103"/>
      <c r="J824" s="103" t="s">
        <v>11771</v>
      </c>
      <c r="K824" s="103"/>
      <c r="L824" s="106">
        <v>326.375</v>
      </c>
      <c r="M824" s="103" t="s">
        <v>11330</v>
      </c>
      <c r="N824" s="106">
        <v>19790588.8297646</v>
      </c>
      <c r="O824" s="103" t="s">
        <v>11772</v>
      </c>
      <c r="R824" s="58"/>
      <c r="S824" s="58"/>
      <c r="T824" s="58"/>
      <c r="U824" s="58"/>
      <c r="V824" s="58"/>
      <c r="W824" s="58"/>
      <c r="X824" s="58"/>
    </row>
    <row r="825" ht="25.5" spans="1:24">
      <c r="A825" s="103" t="s">
        <v>5057</v>
      </c>
      <c r="B825" s="104" t="s">
        <v>77</v>
      </c>
      <c r="C825" s="104" t="s">
        <v>5058</v>
      </c>
      <c r="D825" s="104" t="s">
        <v>2961</v>
      </c>
      <c r="E825" s="105" t="s">
        <v>393</v>
      </c>
      <c r="F825" s="103" t="s">
        <v>10666</v>
      </c>
      <c r="G825" s="103"/>
      <c r="H825" s="103" t="s">
        <v>11773</v>
      </c>
      <c r="I825" s="103"/>
      <c r="J825" s="103" t="s">
        <v>11774</v>
      </c>
      <c r="K825" s="103"/>
      <c r="L825" s="106">
        <v>314.496</v>
      </c>
      <c r="M825" s="103" t="s">
        <v>11330</v>
      </c>
      <c r="N825" s="106">
        <v>19790903.3257646</v>
      </c>
      <c r="O825" s="103" t="s">
        <v>11772</v>
      </c>
      <c r="R825" s="58"/>
      <c r="S825" s="58"/>
      <c r="T825" s="58"/>
      <c r="U825" s="58"/>
      <c r="V825" s="58"/>
      <c r="W825" s="58"/>
      <c r="X825" s="58"/>
    </row>
    <row r="826" ht="51" spans="1:24">
      <c r="A826" s="103" t="s">
        <v>5944</v>
      </c>
      <c r="B826" s="104" t="s">
        <v>139</v>
      </c>
      <c r="C826" s="104" t="s">
        <v>5945</v>
      </c>
      <c r="D826" s="104" t="s">
        <v>3680</v>
      </c>
      <c r="E826" s="105" t="s">
        <v>134</v>
      </c>
      <c r="F826" s="103" t="s">
        <v>11775</v>
      </c>
      <c r="G826" s="103"/>
      <c r="H826" s="103" t="s">
        <v>11776</v>
      </c>
      <c r="I826" s="103"/>
      <c r="J826" s="103" t="s">
        <v>11777</v>
      </c>
      <c r="K826" s="103"/>
      <c r="L826" s="106">
        <v>305.108111035243</v>
      </c>
      <c r="M826" s="103" t="s">
        <v>11330</v>
      </c>
      <c r="N826" s="106">
        <v>19791208.4338756</v>
      </c>
      <c r="O826" s="103" t="s">
        <v>11772</v>
      </c>
      <c r="R826" s="58"/>
      <c r="S826" s="58"/>
      <c r="T826" s="58"/>
      <c r="U826" s="58"/>
      <c r="V826" s="58"/>
      <c r="W826" s="58"/>
      <c r="X826" s="58"/>
    </row>
    <row r="827" spans="1:24">
      <c r="A827" s="103" t="s">
        <v>5410</v>
      </c>
      <c r="B827" s="104" t="s">
        <v>139</v>
      </c>
      <c r="C827" s="104" t="s">
        <v>5411</v>
      </c>
      <c r="D827" s="104" t="s">
        <v>2896</v>
      </c>
      <c r="E827" s="105" t="s">
        <v>2897</v>
      </c>
      <c r="F827" s="103" t="s">
        <v>11778</v>
      </c>
      <c r="G827" s="103"/>
      <c r="H827" s="103" t="s">
        <v>9127</v>
      </c>
      <c r="I827" s="103"/>
      <c r="J827" s="103" t="s">
        <v>11779</v>
      </c>
      <c r="K827" s="103"/>
      <c r="L827" s="106">
        <v>300.730842</v>
      </c>
      <c r="M827" s="103" t="s">
        <v>11330</v>
      </c>
      <c r="N827" s="106">
        <v>19791509.1647176</v>
      </c>
      <c r="O827" s="103" t="s">
        <v>11772</v>
      </c>
      <c r="R827" s="58"/>
      <c r="S827" s="58"/>
      <c r="T827" s="58"/>
      <c r="U827" s="58"/>
      <c r="V827" s="58"/>
      <c r="W827" s="58"/>
      <c r="X827" s="58"/>
    </row>
    <row r="828" spans="1:24">
      <c r="A828" s="103" t="s">
        <v>3067</v>
      </c>
      <c r="B828" s="104" t="s">
        <v>139</v>
      </c>
      <c r="C828" s="104" t="s">
        <v>3068</v>
      </c>
      <c r="D828" s="104" t="s">
        <v>2961</v>
      </c>
      <c r="E828" s="105" t="s">
        <v>3069</v>
      </c>
      <c r="F828" s="103" t="s">
        <v>11780</v>
      </c>
      <c r="G828" s="103"/>
      <c r="H828" s="103" t="s">
        <v>11781</v>
      </c>
      <c r="I828" s="103"/>
      <c r="J828" s="103" t="s">
        <v>11782</v>
      </c>
      <c r="K828" s="103"/>
      <c r="L828" s="106">
        <v>296.761038</v>
      </c>
      <c r="M828" s="103" t="s">
        <v>11330</v>
      </c>
      <c r="N828" s="106">
        <v>19791805.9257556</v>
      </c>
      <c r="O828" s="103" t="s">
        <v>11772</v>
      </c>
      <c r="R828" s="58"/>
      <c r="S828" s="58"/>
      <c r="T828" s="58"/>
      <c r="U828" s="58"/>
      <c r="V828" s="58"/>
      <c r="W828" s="58"/>
      <c r="X828" s="58"/>
    </row>
    <row r="829" spans="1:24">
      <c r="A829" s="103" t="s">
        <v>3705</v>
      </c>
      <c r="B829" s="104" t="s">
        <v>796</v>
      </c>
      <c r="C829" s="104" t="s">
        <v>3706</v>
      </c>
      <c r="D829" s="104" t="s">
        <v>2896</v>
      </c>
      <c r="E829" s="105" t="s">
        <v>3707</v>
      </c>
      <c r="F829" s="103" t="s">
        <v>11783</v>
      </c>
      <c r="G829" s="103"/>
      <c r="H829" s="103" t="s">
        <v>10771</v>
      </c>
      <c r="I829" s="103"/>
      <c r="J829" s="103" t="s">
        <v>11784</v>
      </c>
      <c r="K829" s="103"/>
      <c r="L829" s="106">
        <v>296.529</v>
      </c>
      <c r="M829" s="103" t="s">
        <v>11330</v>
      </c>
      <c r="N829" s="106">
        <v>19792102.4547556</v>
      </c>
      <c r="O829" s="103" t="s">
        <v>11772</v>
      </c>
      <c r="R829" s="58"/>
      <c r="S829" s="58"/>
      <c r="T829" s="58"/>
      <c r="U829" s="58"/>
      <c r="V829" s="58"/>
      <c r="W829" s="58"/>
      <c r="X829" s="58"/>
    </row>
    <row r="830" ht="25.5" spans="1:24">
      <c r="A830" s="103" t="s">
        <v>4370</v>
      </c>
      <c r="B830" s="104" t="s">
        <v>77</v>
      </c>
      <c r="C830" s="104" t="s">
        <v>4371</v>
      </c>
      <c r="D830" s="104" t="s">
        <v>2961</v>
      </c>
      <c r="E830" s="105" t="s">
        <v>134</v>
      </c>
      <c r="F830" s="103" t="s">
        <v>11785</v>
      </c>
      <c r="G830" s="103"/>
      <c r="H830" s="103" t="s">
        <v>11786</v>
      </c>
      <c r="I830" s="103"/>
      <c r="J830" s="103" t="s">
        <v>11787</v>
      </c>
      <c r="K830" s="103"/>
      <c r="L830" s="106">
        <v>295.32</v>
      </c>
      <c r="M830" s="103" t="s">
        <v>11330</v>
      </c>
      <c r="N830" s="106">
        <v>19792397.7747556</v>
      </c>
      <c r="O830" s="103" t="s">
        <v>11788</v>
      </c>
      <c r="R830" s="58"/>
      <c r="S830" s="58"/>
      <c r="T830" s="58"/>
      <c r="U830" s="58"/>
      <c r="V830" s="58"/>
      <c r="W830" s="58"/>
      <c r="X830" s="58"/>
    </row>
    <row r="831" spans="1:24">
      <c r="A831" s="103" t="s">
        <v>5032</v>
      </c>
      <c r="B831" s="104" t="s">
        <v>149</v>
      </c>
      <c r="C831" s="104" t="s">
        <v>5033</v>
      </c>
      <c r="D831" s="104" t="s">
        <v>2961</v>
      </c>
      <c r="E831" s="105" t="s">
        <v>393</v>
      </c>
      <c r="F831" s="103" t="s">
        <v>11789</v>
      </c>
      <c r="G831" s="103"/>
      <c r="H831" s="103" t="s">
        <v>11790</v>
      </c>
      <c r="I831" s="103"/>
      <c r="J831" s="103" t="s">
        <v>11791</v>
      </c>
      <c r="K831" s="103"/>
      <c r="L831" s="106">
        <v>294.257</v>
      </c>
      <c r="M831" s="103" t="s">
        <v>11330</v>
      </c>
      <c r="N831" s="106">
        <v>19792692.0317556</v>
      </c>
      <c r="O831" s="103" t="s">
        <v>11788</v>
      </c>
      <c r="R831" s="58"/>
      <c r="S831" s="58"/>
      <c r="T831" s="58"/>
      <c r="U831" s="58"/>
      <c r="V831" s="58"/>
      <c r="W831" s="58"/>
      <c r="X831" s="58"/>
    </row>
    <row r="832" ht="25.5" spans="1:24">
      <c r="A832" s="103" t="s">
        <v>5599</v>
      </c>
      <c r="B832" s="104" t="s">
        <v>77</v>
      </c>
      <c r="C832" s="104" t="s">
        <v>5600</v>
      </c>
      <c r="D832" s="104" t="s">
        <v>2961</v>
      </c>
      <c r="E832" s="105" t="s">
        <v>5601</v>
      </c>
      <c r="F832" s="103" t="s">
        <v>11792</v>
      </c>
      <c r="G832" s="103"/>
      <c r="H832" s="103" t="s">
        <v>7882</v>
      </c>
      <c r="I832" s="103"/>
      <c r="J832" s="103" t="s">
        <v>11793</v>
      </c>
      <c r="K832" s="103"/>
      <c r="L832" s="106">
        <v>290.515099392</v>
      </c>
      <c r="M832" s="103" t="s">
        <v>11330</v>
      </c>
      <c r="N832" s="106">
        <v>19792982.546855</v>
      </c>
      <c r="O832" s="103" t="s">
        <v>11788</v>
      </c>
      <c r="R832" s="58"/>
      <c r="S832" s="58"/>
      <c r="T832" s="58"/>
      <c r="U832" s="58"/>
      <c r="V832" s="58"/>
      <c r="W832" s="58"/>
      <c r="X832" s="58"/>
    </row>
    <row r="833" ht="38.25" spans="1:24">
      <c r="A833" s="103" t="s">
        <v>3865</v>
      </c>
      <c r="B833" s="104" t="s">
        <v>139</v>
      </c>
      <c r="C833" s="104" t="s">
        <v>3866</v>
      </c>
      <c r="D833" s="104" t="s">
        <v>2961</v>
      </c>
      <c r="E833" s="105" t="s">
        <v>141</v>
      </c>
      <c r="F833" s="103" t="s">
        <v>11794</v>
      </c>
      <c r="G833" s="103"/>
      <c r="H833" s="103" t="s">
        <v>11795</v>
      </c>
      <c r="I833" s="103"/>
      <c r="J833" s="103" t="s">
        <v>11796</v>
      </c>
      <c r="K833" s="103"/>
      <c r="L833" s="106">
        <v>290.21837</v>
      </c>
      <c r="M833" s="103" t="s">
        <v>11330</v>
      </c>
      <c r="N833" s="106">
        <v>19793272.765225</v>
      </c>
      <c r="O833" s="103" t="s">
        <v>11788</v>
      </c>
      <c r="R833" s="58"/>
      <c r="S833" s="58"/>
      <c r="T833" s="58"/>
      <c r="U833" s="58"/>
      <c r="V833" s="58"/>
      <c r="W833" s="58"/>
      <c r="X833" s="58"/>
    </row>
    <row r="834" ht="38.25" spans="1:24">
      <c r="A834" s="103" t="s">
        <v>4625</v>
      </c>
      <c r="B834" s="104" t="s">
        <v>139</v>
      </c>
      <c r="C834" s="104" t="s">
        <v>4626</v>
      </c>
      <c r="D834" s="104" t="s">
        <v>2961</v>
      </c>
      <c r="E834" s="105" t="s">
        <v>134</v>
      </c>
      <c r="F834" s="103" t="s">
        <v>9585</v>
      </c>
      <c r="G834" s="103"/>
      <c r="H834" s="103" t="s">
        <v>7831</v>
      </c>
      <c r="I834" s="103"/>
      <c r="J834" s="103" t="s">
        <v>11797</v>
      </c>
      <c r="K834" s="103"/>
      <c r="L834" s="106">
        <v>286.5</v>
      </c>
      <c r="M834" s="103" t="s">
        <v>11330</v>
      </c>
      <c r="N834" s="106">
        <v>19793559.265225</v>
      </c>
      <c r="O834" s="103" t="s">
        <v>11788</v>
      </c>
      <c r="R834" s="58"/>
      <c r="S834" s="58"/>
      <c r="T834" s="58"/>
      <c r="U834" s="58"/>
      <c r="V834" s="58"/>
      <c r="W834" s="58"/>
      <c r="X834" s="58"/>
    </row>
    <row r="835" spans="1:24">
      <c r="A835" s="103" t="s">
        <v>4855</v>
      </c>
      <c r="B835" s="104" t="s">
        <v>149</v>
      </c>
      <c r="C835" s="104" t="s">
        <v>4856</v>
      </c>
      <c r="D835" s="104" t="s">
        <v>2961</v>
      </c>
      <c r="E835" s="105" t="s">
        <v>134</v>
      </c>
      <c r="F835" s="103" t="s">
        <v>10868</v>
      </c>
      <c r="G835" s="103"/>
      <c r="H835" s="103" t="s">
        <v>11798</v>
      </c>
      <c r="I835" s="103"/>
      <c r="J835" s="103" t="s">
        <v>11799</v>
      </c>
      <c r="K835" s="103"/>
      <c r="L835" s="106">
        <v>286</v>
      </c>
      <c r="M835" s="103" t="s">
        <v>11330</v>
      </c>
      <c r="N835" s="106">
        <v>19793845.265225</v>
      </c>
      <c r="O835" s="103" t="s">
        <v>11788</v>
      </c>
      <c r="R835" s="58"/>
      <c r="S835" s="58"/>
      <c r="T835" s="58"/>
      <c r="U835" s="58"/>
      <c r="V835" s="58"/>
      <c r="W835" s="58"/>
      <c r="X835" s="58"/>
    </row>
    <row r="836" ht="25.5" spans="1:24">
      <c r="A836" s="103" t="s">
        <v>4535</v>
      </c>
      <c r="B836" s="104" t="s">
        <v>132</v>
      </c>
      <c r="C836" s="104" t="s">
        <v>4536</v>
      </c>
      <c r="D836" s="104" t="s">
        <v>2961</v>
      </c>
      <c r="E836" s="105" t="s">
        <v>204</v>
      </c>
      <c r="F836" s="103" t="s">
        <v>11800</v>
      </c>
      <c r="G836" s="103"/>
      <c r="H836" s="103" t="s">
        <v>11801</v>
      </c>
      <c r="I836" s="103"/>
      <c r="J836" s="103" t="s">
        <v>11802</v>
      </c>
      <c r="K836" s="103"/>
      <c r="L836" s="106">
        <v>285.88</v>
      </c>
      <c r="M836" s="103" t="s">
        <v>11330</v>
      </c>
      <c r="N836" s="106">
        <v>19794131.145225</v>
      </c>
      <c r="O836" s="103" t="s">
        <v>11788</v>
      </c>
      <c r="R836" s="58"/>
      <c r="S836" s="58"/>
      <c r="T836" s="58"/>
      <c r="U836" s="58"/>
      <c r="V836" s="58"/>
      <c r="W836" s="58"/>
      <c r="X836" s="58"/>
    </row>
    <row r="837" ht="38.25" spans="1:24">
      <c r="A837" s="103" t="s">
        <v>4027</v>
      </c>
      <c r="B837" s="104" t="s">
        <v>77</v>
      </c>
      <c r="C837" s="104" t="s">
        <v>4028</v>
      </c>
      <c r="D837" s="104" t="s">
        <v>2961</v>
      </c>
      <c r="E837" s="105" t="s">
        <v>134</v>
      </c>
      <c r="F837" s="103" t="s">
        <v>11742</v>
      </c>
      <c r="G837" s="103"/>
      <c r="H837" s="103" t="s">
        <v>11803</v>
      </c>
      <c r="I837" s="103"/>
      <c r="J837" s="103" t="s">
        <v>11804</v>
      </c>
      <c r="K837" s="103"/>
      <c r="L837" s="106">
        <v>285.57375</v>
      </c>
      <c r="M837" s="103" t="s">
        <v>11330</v>
      </c>
      <c r="N837" s="106">
        <v>19794416.718975</v>
      </c>
      <c r="O837" s="103" t="s">
        <v>11805</v>
      </c>
      <c r="R837" s="58"/>
      <c r="S837" s="58"/>
      <c r="T837" s="58"/>
      <c r="U837" s="58"/>
      <c r="V837" s="58"/>
      <c r="W837" s="58"/>
      <c r="X837" s="58"/>
    </row>
    <row r="838" ht="25.5" spans="1:24">
      <c r="A838" s="103" t="s">
        <v>4496</v>
      </c>
      <c r="B838" s="104" t="s">
        <v>77</v>
      </c>
      <c r="C838" s="104" t="s">
        <v>4497</v>
      </c>
      <c r="D838" s="104" t="s">
        <v>2961</v>
      </c>
      <c r="E838" s="105" t="s">
        <v>134</v>
      </c>
      <c r="F838" s="103" t="s">
        <v>11017</v>
      </c>
      <c r="G838" s="103"/>
      <c r="H838" s="103" t="s">
        <v>11806</v>
      </c>
      <c r="I838" s="103"/>
      <c r="J838" s="103" t="s">
        <v>11807</v>
      </c>
      <c r="K838" s="103"/>
      <c r="L838" s="106">
        <v>280.7</v>
      </c>
      <c r="M838" s="103" t="s">
        <v>11330</v>
      </c>
      <c r="N838" s="106">
        <v>19794697.418975</v>
      </c>
      <c r="O838" s="103" t="s">
        <v>11805</v>
      </c>
      <c r="R838" s="58"/>
      <c r="S838" s="58"/>
      <c r="T838" s="58"/>
      <c r="U838" s="58"/>
      <c r="V838" s="58"/>
      <c r="W838" s="58"/>
      <c r="X838" s="58"/>
    </row>
    <row r="839" spans="1:24">
      <c r="A839" s="103" t="s">
        <v>4513</v>
      </c>
      <c r="B839" s="104" t="s">
        <v>132</v>
      </c>
      <c r="C839" s="104" t="s">
        <v>4514</v>
      </c>
      <c r="D839" s="104" t="s">
        <v>2961</v>
      </c>
      <c r="E839" s="105" t="s">
        <v>1508</v>
      </c>
      <c r="F839" s="103" t="s">
        <v>11808</v>
      </c>
      <c r="G839" s="103"/>
      <c r="H839" s="103" t="s">
        <v>11809</v>
      </c>
      <c r="I839" s="103"/>
      <c r="J839" s="103" t="s">
        <v>11810</v>
      </c>
      <c r="K839" s="103"/>
      <c r="L839" s="106">
        <v>279.07</v>
      </c>
      <c r="M839" s="103" t="s">
        <v>11330</v>
      </c>
      <c r="N839" s="106">
        <v>19794976.488975</v>
      </c>
      <c r="O839" s="103" t="s">
        <v>11805</v>
      </c>
      <c r="R839" s="58"/>
      <c r="S839" s="58"/>
      <c r="T839" s="58"/>
      <c r="U839" s="58"/>
      <c r="V839" s="58"/>
      <c r="W839" s="58"/>
      <c r="X839" s="58"/>
    </row>
    <row r="840" ht="25.5" spans="1:24">
      <c r="A840" s="103" t="s">
        <v>5420</v>
      </c>
      <c r="B840" s="104" t="s">
        <v>139</v>
      </c>
      <c r="C840" s="104" t="s">
        <v>5421</v>
      </c>
      <c r="D840" s="104" t="s">
        <v>2961</v>
      </c>
      <c r="E840" s="105" t="s">
        <v>2925</v>
      </c>
      <c r="F840" s="103" t="s">
        <v>9183</v>
      </c>
      <c r="G840" s="103"/>
      <c r="H840" s="103" t="s">
        <v>11811</v>
      </c>
      <c r="I840" s="103"/>
      <c r="J840" s="103" t="s">
        <v>11812</v>
      </c>
      <c r="K840" s="103"/>
      <c r="L840" s="106">
        <v>277.96</v>
      </c>
      <c r="M840" s="103" t="s">
        <v>11330</v>
      </c>
      <c r="N840" s="106">
        <v>19795254.448975</v>
      </c>
      <c r="O840" s="103" t="s">
        <v>11805</v>
      </c>
      <c r="R840" s="58"/>
      <c r="S840" s="58"/>
      <c r="T840" s="58"/>
      <c r="U840" s="58"/>
      <c r="V840" s="58"/>
      <c r="W840" s="58"/>
      <c r="X840" s="58"/>
    </row>
    <row r="841" spans="1:24">
      <c r="A841" s="103" t="s">
        <v>4003</v>
      </c>
      <c r="B841" s="104" t="s">
        <v>149</v>
      </c>
      <c r="C841" s="104" t="s">
        <v>4004</v>
      </c>
      <c r="D841" s="104" t="s">
        <v>2961</v>
      </c>
      <c r="E841" s="105" t="s">
        <v>134</v>
      </c>
      <c r="F841" s="103" t="s">
        <v>11813</v>
      </c>
      <c r="G841" s="103"/>
      <c r="H841" s="103" t="s">
        <v>11814</v>
      </c>
      <c r="I841" s="103"/>
      <c r="J841" s="103" t="s">
        <v>11815</v>
      </c>
      <c r="K841" s="103"/>
      <c r="L841" s="106">
        <v>276.564</v>
      </c>
      <c r="M841" s="103" t="s">
        <v>11330</v>
      </c>
      <c r="N841" s="106">
        <v>19795531.012975</v>
      </c>
      <c r="O841" s="103" t="s">
        <v>11805</v>
      </c>
      <c r="R841" s="58"/>
      <c r="S841" s="58"/>
      <c r="T841" s="58"/>
      <c r="U841" s="58"/>
      <c r="V841" s="58"/>
      <c r="W841" s="58"/>
      <c r="X841" s="58"/>
    </row>
    <row r="842" spans="1:24">
      <c r="A842" s="103" t="s">
        <v>4463</v>
      </c>
      <c r="B842" s="104" t="s">
        <v>149</v>
      </c>
      <c r="C842" s="104" t="s">
        <v>1682</v>
      </c>
      <c r="D842" s="104" t="s">
        <v>2961</v>
      </c>
      <c r="E842" s="105" t="s">
        <v>134</v>
      </c>
      <c r="F842" s="103" t="s">
        <v>10712</v>
      </c>
      <c r="G842" s="103"/>
      <c r="H842" s="103" t="s">
        <v>11816</v>
      </c>
      <c r="I842" s="103"/>
      <c r="J842" s="103" t="s">
        <v>11817</v>
      </c>
      <c r="K842" s="103"/>
      <c r="L842" s="106">
        <v>276.42</v>
      </c>
      <c r="M842" s="103" t="s">
        <v>11330</v>
      </c>
      <c r="N842" s="106">
        <v>19795807.432975</v>
      </c>
      <c r="O842" s="103" t="s">
        <v>11805</v>
      </c>
      <c r="R842" s="58"/>
      <c r="S842" s="58"/>
      <c r="T842" s="58"/>
      <c r="U842" s="58"/>
      <c r="V842" s="58"/>
      <c r="W842" s="58"/>
      <c r="X842" s="58"/>
    </row>
    <row r="843" spans="1:24">
      <c r="A843" s="103" t="s">
        <v>5118</v>
      </c>
      <c r="B843" s="104" t="s">
        <v>139</v>
      </c>
      <c r="C843" s="104" t="s">
        <v>5119</v>
      </c>
      <c r="D843" s="104" t="s">
        <v>2961</v>
      </c>
      <c r="E843" s="105" t="s">
        <v>393</v>
      </c>
      <c r="F843" s="103" t="s">
        <v>11818</v>
      </c>
      <c r="G843" s="103"/>
      <c r="H843" s="103" t="s">
        <v>11819</v>
      </c>
      <c r="I843" s="103"/>
      <c r="J843" s="103" t="s">
        <v>11820</v>
      </c>
      <c r="K843" s="103"/>
      <c r="L843" s="106">
        <v>275.14872</v>
      </c>
      <c r="M843" s="103" t="s">
        <v>11330</v>
      </c>
      <c r="N843" s="106">
        <v>19796082.581695</v>
      </c>
      <c r="O843" s="103" t="s">
        <v>11805</v>
      </c>
      <c r="R843" s="58"/>
      <c r="S843" s="58"/>
      <c r="T843" s="58"/>
      <c r="U843" s="58"/>
      <c r="V843" s="58"/>
      <c r="W843" s="58"/>
      <c r="X843" s="58"/>
    </row>
    <row r="844" spans="1:24">
      <c r="A844" s="103" t="s">
        <v>3655</v>
      </c>
      <c r="B844" s="104" t="s">
        <v>149</v>
      </c>
      <c r="C844" s="104" t="s">
        <v>3656</v>
      </c>
      <c r="D844" s="104" t="s">
        <v>2961</v>
      </c>
      <c r="E844" s="105" t="s">
        <v>134</v>
      </c>
      <c r="F844" s="103" t="s">
        <v>11146</v>
      </c>
      <c r="G844" s="103"/>
      <c r="H844" s="103" t="s">
        <v>11821</v>
      </c>
      <c r="I844" s="103"/>
      <c r="J844" s="103" t="s">
        <v>11822</v>
      </c>
      <c r="K844" s="103"/>
      <c r="L844" s="106">
        <v>271.83</v>
      </c>
      <c r="M844" s="103" t="s">
        <v>11330</v>
      </c>
      <c r="N844" s="106">
        <v>19796354.411695</v>
      </c>
      <c r="O844" s="103" t="s">
        <v>11823</v>
      </c>
      <c r="R844" s="58"/>
      <c r="S844" s="58"/>
      <c r="T844" s="58"/>
      <c r="U844" s="58"/>
      <c r="V844" s="58"/>
      <c r="W844" s="58"/>
      <c r="X844" s="58"/>
    </row>
    <row r="845" spans="1:24">
      <c r="A845" s="103" t="s">
        <v>5920</v>
      </c>
      <c r="B845" s="104" t="s">
        <v>149</v>
      </c>
      <c r="C845" s="104" t="s">
        <v>5921</v>
      </c>
      <c r="D845" s="104" t="s">
        <v>2961</v>
      </c>
      <c r="E845" s="105" t="s">
        <v>134</v>
      </c>
      <c r="F845" s="103" t="s">
        <v>9091</v>
      </c>
      <c r="G845" s="103"/>
      <c r="H845" s="103" t="s">
        <v>11824</v>
      </c>
      <c r="I845" s="103"/>
      <c r="J845" s="103" t="s">
        <v>11824</v>
      </c>
      <c r="K845" s="103"/>
      <c r="L845" s="106">
        <v>271.47</v>
      </c>
      <c r="M845" s="103" t="s">
        <v>11330</v>
      </c>
      <c r="N845" s="106">
        <v>19796625.881695</v>
      </c>
      <c r="O845" s="103" t="s">
        <v>11823</v>
      </c>
      <c r="R845" s="58"/>
      <c r="S845" s="58"/>
      <c r="T845" s="58"/>
      <c r="U845" s="58"/>
      <c r="V845" s="58"/>
      <c r="W845" s="58"/>
      <c r="X845" s="58"/>
    </row>
    <row r="846" ht="63.75" spans="1:24">
      <c r="A846" s="103" t="s">
        <v>5966</v>
      </c>
      <c r="B846" s="104" t="s">
        <v>139</v>
      </c>
      <c r="C846" s="104" t="s">
        <v>5967</v>
      </c>
      <c r="D846" s="104" t="s">
        <v>3680</v>
      </c>
      <c r="E846" s="105" t="s">
        <v>134</v>
      </c>
      <c r="F846" s="103" t="s">
        <v>11825</v>
      </c>
      <c r="G846" s="103"/>
      <c r="H846" s="103" t="s">
        <v>11826</v>
      </c>
      <c r="I846" s="103"/>
      <c r="J846" s="103" t="s">
        <v>11827</v>
      </c>
      <c r="K846" s="103"/>
      <c r="L846" s="106">
        <v>260.734721571406</v>
      </c>
      <c r="M846" s="103" t="s">
        <v>11330</v>
      </c>
      <c r="N846" s="106">
        <v>19796886.6164166</v>
      </c>
      <c r="O846" s="103" t="s">
        <v>11823</v>
      </c>
      <c r="R846" s="58"/>
      <c r="S846" s="58"/>
      <c r="T846" s="58"/>
      <c r="U846" s="58"/>
      <c r="V846" s="58"/>
      <c r="W846" s="58"/>
      <c r="X846" s="58"/>
    </row>
    <row r="847" ht="51" spans="1:24">
      <c r="A847" s="103" t="s">
        <v>6064</v>
      </c>
      <c r="B847" s="104" t="s">
        <v>139</v>
      </c>
      <c r="C847" s="104" t="s">
        <v>6065</v>
      </c>
      <c r="D847" s="104" t="s">
        <v>2961</v>
      </c>
      <c r="E847" s="105" t="s">
        <v>204</v>
      </c>
      <c r="F847" s="103" t="s">
        <v>11223</v>
      </c>
      <c r="G847" s="103"/>
      <c r="H847" s="103" t="s">
        <v>11828</v>
      </c>
      <c r="I847" s="103"/>
      <c r="J847" s="103" t="s">
        <v>11829</v>
      </c>
      <c r="K847" s="103"/>
      <c r="L847" s="106">
        <v>260.378112384</v>
      </c>
      <c r="M847" s="103" t="s">
        <v>11330</v>
      </c>
      <c r="N847" s="106">
        <v>19797146.994529</v>
      </c>
      <c r="O847" s="103" t="s">
        <v>11823</v>
      </c>
      <c r="R847" s="58"/>
      <c r="S847" s="58"/>
      <c r="T847" s="58"/>
      <c r="U847" s="58"/>
      <c r="V847" s="58"/>
      <c r="W847" s="58"/>
      <c r="X847" s="58"/>
    </row>
    <row r="848" ht="25.5" spans="1:24">
      <c r="A848" s="103" t="s">
        <v>4843</v>
      </c>
      <c r="B848" s="104" t="s">
        <v>149</v>
      </c>
      <c r="C848" s="104" t="s">
        <v>4844</v>
      </c>
      <c r="D848" s="104" t="s">
        <v>2961</v>
      </c>
      <c r="E848" s="105" t="s">
        <v>134</v>
      </c>
      <c r="F848" s="103" t="s">
        <v>11830</v>
      </c>
      <c r="G848" s="103"/>
      <c r="H848" s="103" t="s">
        <v>11831</v>
      </c>
      <c r="I848" s="103"/>
      <c r="J848" s="103" t="s">
        <v>11832</v>
      </c>
      <c r="K848" s="103"/>
      <c r="L848" s="106">
        <v>254.70612</v>
      </c>
      <c r="M848" s="103" t="s">
        <v>11330</v>
      </c>
      <c r="N848" s="106">
        <v>19797401.700649</v>
      </c>
      <c r="O848" s="103" t="s">
        <v>11823</v>
      </c>
      <c r="R848" s="58"/>
      <c r="S848" s="58"/>
      <c r="T848" s="58"/>
      <c r="U848" s="58"/>
      <c r="V848" s="58"/>
      <c r="W848" s="58"/>
      <c r="X848" s="58"/>
    </row>
    <row r="849" ht="25.5" spans="1:24">
      <c r="A849" s="103" t="s">
        <v>5059</v>
      </c>
      <c r="B849" s="104" t="s">
        <v>149</v>
      </c>
      <c r="C849" s="104" t="s">
        <v>5060</v>
      </c>
      <c r="D849" s="104" t="s">
        <v>2961</v>
      </c>
      <c r="E849" s="105" t="s">
        <v>393</v>
      </c>
      <c r="F849" s="103" t="s">
        <v>11833</v>
      </c>
      <c r="G849" s="103"/>
      <c r="H849" s="103" t="s">
        <v>11834</v>
      </c>
      <c r="I849" s="103"/>
      <c r="J849" s="103" t="s">
        <v>11835</v>
      </c>
      <c r="K849" s="103"/>
      <c r="L849" s="106">
        <v>250.88</v>
      </c>
      <c r="M849" s="103" t="s">
        <v>11330</v>
      </c>
      <c r="N849" s="106">
        <v>19797652.580649</v>
      </c>
      <c r="O849" s="103" t="s">
        <v>11823</v>
      </c>
      <c r="R849" s="58"/>
      <c r="S849" s="58"/>
      <c r="T849" s="58"/>
      <c r="U849" s="58"/>
      <c r="V849" s="58"/>
      <c r="W849" s="58"/>
      <c r="X849" s="58"/>
    </row>
    <row r="850" ht="25.5" spans="1:24">
      <c r="A850" s="103" t="s">
        <v>4761</v>
      </c>
      <c r="B850" s="104" t="s">
        <v>149</v>
      </c>
      <c r="C850" s="104" t="s">
        <v>4762</v>
      </c>
      <c r="D850" s="104" t="s">
        <v>2961</v>
      </c>
      <c r="E850" s="105" t="s">
        <v>134</v>
      </c>
      <c r="F850" s="103" t="s">
        <v>9091</v>
      </c>
      <c r="G850" s="103"/>
      <c r="H850" s="103" t="s">
        <v>11327</v>
      </c>
      <c r="I850" s="103"/>
      <c r="J850" s="103" t="s">
        <v>11327</v>
      </c>
      <c r="K850" s="103"/>
      <c r="L850" s="106">
        <v>249.9</v>
      </c>
      <c r="M850" s="103" t="s">
        <v>11330</v>
      </c>
      <c r="N850" s="106">
        <v>19797902.480649</v>
      </c>
      <c r="O850" s="103" t="s">
        <v>11823</v>
      </c>
      <c r="R850" s="58"/>
      <c r="S850" s="58"/>
      <c r="T850" s="58"/>
      <c r="U850" s="58"/>
      <c r="V850" s="58"/>
      <c r="W850" s="58"/>
      <c r="X850" s="58"/>
    </row>
    <row r="851" spans="1:24">
      <c r="A851" s="103" t="s">
        <v>5073</v>
      </c>
      <c r="B851" s="104" t="s">
        <v>139</v>
      </c>
      <c r="C851" s="104" t="s">
        <v>5074</v>
      </c>
      <c r="D851" s="104" t="s">
        <v>2961</v>
      </c>
      <c r="E851" s="105" t="s">
        <v>3084</v>
      </c>
      <c r="F851" s="103" t="s">
        <v>11836</v>
      </c>
      <c r="G851" s="103"/>
      <c r="H851" s="103" t="s">
        <v>11837</v>
      </c>
      <c r="I851" s="103"/>
      <c r="J851" s="103" t="s">
        <v>11838</v>
      </c>
      <c r="K851" s="103"/>
      <c r="L851" s="106">
        <v>249.20538</v>
      </c>
      <c r="M851" s="103" t="s">
        <v>11330</v>
      </c>
      <c r="N851" s="106">
        <v>19798151.686029</v>
      </c>
      <c r="O851" s="103" t="s">
        <v>11823</v>
      </c>
      <c r="R851" s="58"/>
      <c r="S851" s="58"/>
      <c r="T851" s="58"/>
      <c r="U851" s="58"/>
      <c r="V851" s="58"/>
      <c r="W851" s="58"/>
      <c r="X851" s="58"/>
    </row>
    <row r="852" spans="1:24">
      <c r="A852" s="103" t="s">
        <v>5199</v>
      </c>
      <c r="B852" s="104" t="s">
        <v>139</v>
      </c>
      <c r="C852" s="104" t="s">
        <v>5200</v>
      </c>
      <c r="D852" s="104" t="s">
        <v>2961</v>
      </c>
      <c r="E852" s="105" t="s">
        <v>393</v>
      </c>
      <c r="F852" s="103" t="s">
        <v>11839</v>
      </c>
      <c r="G852" s="103"/>
      <c r="H852" s="103" t="s">
        <v>11840</v>
      </c>
      <c r="I852" s="103"/>
      <c r="J852" s="103" t="s">
        <v>11841</v>
      </c>
      <c r="K852" s="103"/>
      <c r="L852" s="106">
        <v>248.67149736</v>
      </c>
      <c r="M852" s="103" t="s">
        <v>11330</v>
      </c>
      <c r="N852" s="106">
        <v>19798400.3575264</v>
      </c>
      <c r="O852" s="103" t="s">
        <v>11842</v>
      </c>
      <c r="R852" s="58"/>
      <c r="S852" s="58"/>
      <c r="T852" s="58"/>
      <c r="U852" s="58"/>
      <c r="V852" s="58"/>
      <c r="W852" s="58"/>
      <c r="X852" s="58"/>
    </row>
    <row r="853" spans="1:24">
      <c r="A853" s="103" t="s">
        <v>4032</v>
      </c>
      <c r="B853" s="104" t="s">
        <v>132</v>
      </c>
      <c r="C853" s="104" t="s">
        <v>4033</v>
      </c>
      <c r="D853" s="104" t="s">
        <v>2961</v>
      </c>
      <c r="E853" s="105" t="s">
        <v>204</v>
      </c>
      <c r="F853" s="103" t="s">
        <v>9183</v>
      </c>
      <c r="G853" s="103"/>
      <c r="H853" s="103" t="s">
        <v>11843</v>
      </c>
      <c r="I853" s="103"/>
      <c r="J853" s="103" t="s">
        <v>11844</v>
      </c>
      <c r="K853" s="103"/>
      <c r="L853" s="106">
        <v>248.04</v>
      </c>
      <c r="M853" s="103" t="s">
        <v>11330</v>
      </c>
      <c r="N853" s="106">
        <v>19798648.3975264</v>
      </c>
      <c r="O853" s="103" t="s">
        <v>11842</v>
      </c>
      <c r="R853" s="58"/>
      <c r="S853" s="58"/>
      <c r="T853" s="58"/>
      <c r="U853" s="58"/>
      <c r="V853" s="58"/>
      <c r="W853" s="58"/>
      <c r="X853" s="58"/>
    </row>
    <row r="854" ht="51" spans="1:24">
      <c r="A854" s="103" t="s">
        <v>3048</v>
      </c>
      <c r="B854" s="104" t="s">
        <v>139</v>
      </c>
      <c r="C854" s="104" t="s">
        <v>3049</v>
      </c>
      <c r="D854" s="104" t="s">
        <v>2961</v>
      </c>
      <c r="E854" s="105" t="s">
        <v>204</v>
      </c>
      <c r="F854" s="103" t="s">
        <v>11845</v>
      </c>
      <c r="G854" s="103"/>
      <c r="H854" s="103" t="s">
        <v>11846</v>
      </c>
      <c r="I854" s="103"/>
      <c r="J854" s="103" t="s">
        <v>11847</v>
      </c>
      <c r="K854" s="103"/>
      <c r="L854" s="106">
        <v>244.58784</v>
      </c>
      <c r="M854" s="103" t="s">
        <v>11330</v>
      </c>
      <c r="N854" s="106">
        <v>19798892.9853664</v>
      </c>
      <c r="O854" s="103" t="s">
        <v>11842</v>
      </c>
      <c r="R854" s="58"/>
      <c r="S854" s="58"/>
      <c r="T854" s="58"/>
      <c r="U854" s="58"/>
      <c r="V854" s="58"/>
      <c r="W854" s="58"/>
      <c r="X854" s="58"/>
    </row>
    <row r="855" spans="1:24">
      <c r="A855" s="103" t="s">
        <v>4394</v>
      </c>
      <c r="B855" s="104" t="s">
        <v>149</v>
      </c>
      <c r="C855" s="104" t="s">
        <v>4395</v>
      </c>
      <c r="D855" s="104" t="s">
        <v>2961</v>
      </c>
      <c r="E855" s="105" t="s">
        <v>204</v>
      </c>
      <c r="F855" s="103" t="s">
        <v>11848</v>
      </c>
      <c r="G855" s="103"/>
      <c r="H855" s="103" t="s">
        <v>8548</v>
      </c>
      <c r="I855" s="103"/>
      <c r="J855" s="103" t="s">
        <v>11849</v>
      </c>
      <c r="K855" s="103"/>
      <c r="L855" s="106">
        <v>244.477</v>
      </c>
      <c r="M855" s="103" t="s">
        <v>11330</v>
      </c>
      <c r="N855" s="106">
        <v>19799137.4623664</v>
      </c>
      <c r="O855" s="103" t="s">
        <v>11842</v>
      </c>
      <c r="R855" s="58"/>
      <c r="S855" s="58"/>
      <c r="T855" s="58"/>
      <c r="U855" s="58"/>
      <c r="V855" s="58"/>
      <c r="W855" s="58"/>
      <c r="X855" s="58"/>
    </row>
    <row r="856" spans="1:24">
      <c r="A856" s="103" t="s">
        <v>5002</v>
      </c>
      <c r="B856" s="104" t="s">
        <v>149</v>
      </c>
      <c r="C856" s="104" t="s">
        <v>5003</v>
      </c>
      <c r="D856" s="104" t="s">
        <v>2961</v>
      </c>
      <c r="E856" s="105" t="s">
        <v>134</v>
      </c>
      <c r="F856" s="103" t="s">
        <v>10423</v>
      </c>
      <c r="G856" s="103"/>
      <c r="H856" s="103" t="s">
        <v>11850</v>
      </c>
      <c r="I856" s="103"/>
      <c r="J856" s="103" t="s">
        <v>11851</v>
      </c>
      <c r="K856" s="103"/>
      <c r="L856" s="106">
        <v>242.94</v>
      </c>
      <c r="M856" s="103" t="s">
        <v>11330</v>
      </c>
      <c r="N856" s="106">
        <v>19799380.4023664</v>
      </c>
      <c r="O856" s="103" t="s">
        <v>11842</v>
      </c>
      <c r="R856" s="58"/>
      <c r="S856" s="58"/>
      <c r="T856" s="58"/>
      <c r="U856" s="58"/>
      <c r="V856" s="58"/>
      <c r="W856" s="58"/>
      <c r="X856" s="58"/>
    </row>
    <row r="857" spans="1:24">
      <c r="A857" s="103" t="s">
        <v>3970</v>
      </c>
      <c r="B857" s="104" t="s">
        <v>139</v>
      </c>
      <c r="C857" s="104" t="s">
        <v>3971</v>
      </c>
      <c r="D857" s="104" t="s">
        <v>2961</v>
      </c>
      <c r="E857" s="105" t="s">
        <v>134</v>
      </c>
      <c r="F857" s="103" t="s">
        <v>11267</v>
      </c>
      <c r="G857" s="103"/>
      <c r="H857" s="103" t="s">
        <v>7017</v>
      </c>
      <c r="I857" s="103"/>
      <c r="J857" s="103" t="s">
        <v>11852</v>
      </c>
      <c r="K857" s="103"/>
      <c r="L857" s="106">
        <v>236.8</v>
      </c>
      <c r="M857" s="103" t="s">
        <v>11330</v>
      </c>
      <c r="N857" s="106">
        <v>19799617.2023664</v>
      </c>
      <c r="O857" s="103" t="s">
        <v>11842</v>
      </c>
      <c r="R857" s="58"/>
      <c r="S857" s="58"/>
      <c r="T857" s="58"/>
      <c r="U857" s="58"/>
      <c r="V857" s="58"/>
      <c r="W857" s="58"/>
      <c r="X857" s="58"/>
    </row>
    <row r="858" spans="1:24">
      <c r="A858" s="103" t="s">
        <v>5245</v>
      </c>
      <c r="B858" s="104" t="s">
        <v>149</v>
      </c>
      <c r="C858" s="104" t="s">
        <v>5246</v>
      </c>
      <c r="D858" s="104" t="s">
        <v>2961</v>
      </c>
      <c r="E858" s="105" t="s">
        <v>393</v>
      </c>
      <c r="F858" s="103" t="s">
        <v>11853</v>
      </c>
      <c r="G858" s="103"/>
      <c r="H858" s="103" t="s">
        <v>11854</v>
      </c>
      <c r="I858" s="103"/>
      <c r="J858" s="103" t="s">
        <v>11855</v>
      </c>
      <c r="K858" s="103"/>
      <c r="L858" s="106">
        <v>234.4524</v>
      </c>
      <c r="M858" s="103" t="s">
        <v>11330</v>
      </c>
      <c r="N858" s="106">
        <v>19799851.6547664</v>
      </c>
      <c r="O858" s="103" t="s">
        <v>11842</v>
      </c>
      <c r="R858" s="58"/>
      <c r="S858" s="58"/>
      <c r="T858" s="58"/>
      <c r="U858" s="58"/>
      <c r="V858" s="58"/>
      <c r="W858" s="58"/>
      <c r="X858" s="58"/>
    </row>
    <row r="859" ht="38.25" spans="1:24">
      <c r="A859" s="103" t="s">
        <v>3065</v>
      </c>
      <c r="B859" s="104" t="s">
        <v>139</v>
      </c>
      <c r="C859" s="104" t="s">
        <v>3066</v>
      </c>
      <c r="D859" s="104" t="s">
        <v>2961</v>
      </c>
      <c r="E859" s="105" t="s">
        <v>134</v>
      </c>
      <c r="F859" s="103" t="s">
        <v>11856</v>
      </c>
      <c r="G859" s="103"/>
      <c r="H859" s="103" t="s">
        <v>11857</v>
      </c>
      <c r="I859" s="103"/>
      <c r="J859" s="103" t="s">
        <v>11858</v>
      </c>
      <c r="K859" s="103"/>
      <c r="L859" s="106">
        <v>232.142</v>
      </c>
      <c r="M859" s="103" t="s">
        <v>11330</v>
      </c>
      <c r="N859" s="106">
        <v>19800083.7967664</v>
      </c>
      <c r="O859" s="103" t="s">
        <v>11842</v>
      </c>
      <c r="R859" s="58"/>
      <c r="S859" s="58"/>
      <c r="T859" s="58"/>
      <c r="U859" s="58"/>
      <c r="V859" s="58"/>
      <c r="W859" s="58"/>
      <c r="X859" s="58"/>
    </row>
    <row r="860" ht="38.25" spans="1:24">
      <c r="A860" s="103" t="s">
        <v>4347</v>
      </c>
      <c r="B860" s="104" t="s">
        <v>796</v>
      </c>
      <c r="C860" s="104" t="s">
        <v>4348</v>
      </c>
      <c r="D860" s="104" t="s">
        <v>2961</v>
      </c>
      <c r="E860" s="105" t="s">
        <v>1508</v>
      </c>
      <c r="F860" s="103" t="s">
        <v>11859</v>
      </c>
      <c r="G860" s="103"/>
      <c r="H860" s="103" t="s">
        <v>11860</v>
      </c>
      <c r="I860" s="103"/>
      <c r="J860" s="103" t="s">
        <v>11861</v>
      </c>
      <c r="K860" s="103"/>
      <c r="L860" s="106">
        <v>231.225696</v>
      </c>
      <c r="M860" s="103" t="s">
        <v>11330</v>
      </c>
      <c r="N860" s="106">
        <v>19800315.0224624</v>
      </c>
      <c r="O860" s="103" t="s">
        <v>11842</v>
      </c>
      <c r="R860" s="58"/>
      <c r="S860" s="58"/>
      <c r="T860" s="58"/>
      <c r="U860" s="58"/>
      <c r="V860" s="58"/>
      <c r="W860" s="58"/>
      <c r="X860" s="58"/>
    </row>
    <row r="861" spans="1:24">
      <c r="A861" s="103" t="s">
        <v>5714</v>
      </c>
      <c r="B861" s="104" t="s">
        <v>139</v>
      </c>
      <c r="C861" s="104" t="s">
        <v>5715</v>
      </c>
      <c r="D861" s="104" t="s">
        <v>2896</v>
      </c>
      <c r="E861" s="105" t="s">
        <v>2897</v>
      </c>
      <c r="F861" s="103" t="s">
        <v>11862</v>
      </c>
      <c r="G861" s="103"/>
      <c r="H861" s="103" t="s">
        <v>11863</v>
      </c>
      <c r="I861" s="103"/>
      <c r="J861" s="103" t="s">
        <v>11864</v>
      </c>
      <c r="K861" s="103"/>
      <c r="L861" s="106">
        <v>231.177320464964</v>
      </c>
      <c r="M861" s="103" t="s">
        <v>11330</v>
      </c>
      <c r="N861" s="106">
        <v>19800546.1997828</v>
      </c>
      <c r="O861" s="103" t="s">
        <v>11865</v>
      </c>
      <c r="R861" s="58"/>
      <c r="S861" s="58"/>
      <c r="T861" s="58"/>
      <c r="U861" s="58"/>
      <c r="V861" s="58"/>
      <c r="W861" s="58"/>
      <c r="X861" s="58"/>
    </row>
    <row r="862" spans="1:24">
      <c r="A862" s="103" t="s">
        <v>3643</v>
      </c>
      <c r="B862" s="104" t="s">
        <v>139</v>
      </c>
      <c r="C862" s="104" t="s">
        <v>3644</v>
      </c>
      <c r="D862" s="104" t="s">
        <v>2961</v>
      </c>
      <c r="E862" s="105" t="s">
        <v>134</v>
      </c>
      <c r="F862" s="103" t="s">
        <v>11866</v>
      </c>
      <c r="G862" s="103"/>
      <c r="H862" s="103" t="s">
        <v>11867</v>
      </c>
      <c r="I862" s="103"/>
      <c r="J862" s="103" t="s">
        <v>11868</v>
      </c>
      <c r="K862" s="103"/>
      <c r="L862" s="106">
        <v>229.283024</v>
      </c>
      <c r="M862" s="103" t="s">
        <v>11330</v>
      </c>
      <c r="N862" s="106">
        <v>19800775.4828068</v>
      </c>
      <c r="O862" s="103" t="s">
        <v>11865</v>
      </c>
      <c r="R862" s="58"/>
      <c r="S862" s="58"/>
      <c r="T862" s="58"/>
      <c r="U862" s="58"/>
      <c r="V862" s="58"/>
      <c r="W862" s="58"/>
      <c r="X862" s="58"/>
    </row>
    <row r="863" spans="1:24">
      <c r="A863" s="103" t="s">
        <v>5758</v>
      </c>
      <c r="B863" s="104" t="s">
        <v>139</v>
      </c>
      <c r="C863" s="104" t="s">
        <v>5759</v>
      </c>
      <c r="D863" s="104" t="s">
        <v>2896</v>
      </c>
      <c r="E863" s="105" t="s">
        <v>2897</v>
      </c>
      <c r="F863" s="103" t="s">
        <v>11869</v>
      </c>
      <c r="G863" s="103"/>
      <c r="H863" s="103" t="s">
        <v>11870</v>
      </c>
      <c r="I863" s="103"/>
      <c r="J863" s="103" t="s">
        <v>11871</v>
      </c>
      <c r="K863" s="103"/>
      <c r="L863" s="106">
        <v>216.41256699</v>
      </c>
      <c r="M863" s="103" t="s">
        <v>11330</v>
      </c>
      <c r="N863" s="106">
        <v>19800991.8953738</v>
      </c>
      <c r="O863" s="103" t="s">
        <v>11865</v>
      </c>
      <c r="R863" s="58"/>
      <c r="S863" s="58"/>
      <c r="T863" s="58"/>
      <c r="U863" s="58"/>
      <c r="V863" s="58"/>
      <c r="W863" s="58"/>
      <c r="X863" s="58"/>
    </row>
    <row r="864" spans="1:24">
      <c r="A864" s="103" t="s">
        <v>4623</v>
      </c>
      <c r="B864" s="104" t="s">
        <v>77</v>
      </c>
      <c r="C864" s="104" t="s">
        <v>4624</v>
      </c>
      <c r="D864" s="104" t="s">
        <v>2961</v>
      </c>
      <c r="E864" s="105" t="s">
        <v>134</v>
      </c>
      <c r="F864" s="103" t="s">
        <v>11872</v>
      </c>
      <c r="G864" s="103"/>
      <c r="H864" s="103" t="s">
        <v>11873</v>
      </c>
      <c r="I864" s="103"/>
      <c r="J864" s="103" t="s">
        <v>11874</v>
      </c>
      <c r="K864" s="103"/>
      <c r="L864" s="106">
        <v>212.6938</v>
      </c>
      <c r="M864" s="103" t="s">
        <v>11330</v>
      </c>
      <c r="N864" s="106">
        <v>19801204.5891738</v>
      </c>
      <c r="O864" s="103" t="s">
        <v>11865</v>
      </c>
      <c r="R864" s="58"/>
      <c r="S864" s="58"/>
      <c r="T864" s="58"/>
      <c r="U864" s="58"/>
      <c r="V864" s="58"/>
      <c r="W864" s="58"/>
      <c r="X864" s="58"/>
    </row>
    <row r="865" ht="38.25" spans="1:24">
      <c r="A865" s="103" t="s">
        <v>3452</v>
      </c>
      <c r="B865" s="104" t="s">
        <v>139</v>
      </c>
      <c r="C865" s="104" t="s">
        <v>3453</v>
      </c>
      <c r="D865" s="104" t="s">
        <v>2961</v>
      </c>
      <c r="E865" s="105" t="s">
        <v>204</v>
      </c>
      <c r="F865" s="103" t="s">
        <v>11875</v>
      </c>
      <c r="G865" s="103"/>
      <c r="H865" s="103" t="s">
        <v>6884</v>
      </c>
      <c r="I865" s="103"/>
      <c r="J865" s="103" t="s">
        <v>11876</v>
      </c>
      <c r="K865" s="103"/>
      <c r="L865" s="106">
        <v>210.96359488</v>
      </c>
      <c r="M865" s="103" t="s">
        <v>11330</v>
      </c>
      <c r="N865" s="106">
        <v>19801415.5527687</v>
      </c>
      <c r="O865" s="103" t="s">
        <v>11865</v>
      </c>
      <c r="R865" s="58"/>
      <c r="S865" s="58"/>
      <c r="T865" s="58"/>
      <c r="U865" s="58"/>
      <c r="V865" s="58"/>
      <c r="W865" s="58"/>
      <c r="X865" s="58"/>
    </row>
    <row r="866" ht="25.5" spans="1:24">
      <c r="A866" s="103" t="s">
        <v>4845</v>
      </c>
      <c r="B866" s="104" t="s">
        <v>149</v>
      </c>
      <c r="C866" s="104" t="s">
        <v>4846</v>
      </c>
      <c r="D866" s="104" t="s">
        <v>2961</v>
      </c>
      <c r="E866" s="105" t="s">
        <v>134</v>
      </c>
      <c r="F866" s="103" t="s">
        <v>9401</v>
      </c>
      <c r="G866" s="103"/>
      <c r="H866" s="103" t="s">
        <v>11877</v>
      </c>
      <c r="I866" s="103"/>
      <c r="J866" s="103" t="s">
        <v>11878</v>
      </c>
      <c r="K866" s="103"/>
      <c r="L866" s="106">
        <v>210</v>
      </c>
      <c r="M866" s="103" t="s">
        <v>11330</v>
      </c>
      <c r="N866" s="106">
        <v>19801625.5527687</v>
      </c>
      <c r="O866" s="103" t="s">
        <v>11865</v>
      </c>
      <c r="R866" s="58"/>
      <c r="S866" s="58"/>
      <c r="T866" s="58"/>
      <c r="U866" s="58"/>
      <c r="V866" s="58"/>
      <c r="W866" s="58"/>
      <c r="X866" s="58"/>
    </row>
    <row r="867" ht="25.5" spans="1:24">
      <c r="A867" s="103" t="s">
        <v>5263</v>
      </c>
      <c r="B867" s="104" t="s">
        <v>149</v>
      </c>
      <c r="C867" s="104" t="s">
        <v>5264</v>
      </c>
      <c r="D867" s="104" t="s">
        <v>2961</v>
      </c>
      <c r="E867" s="105" t="s">
        <v>141</v>
      </c>
      <c r="F867" s="103" t="s">
        <v>11879</v>
      </c>
      <c r="G867" s="103"/>
      <c r="H867" s="103" t="s">
        <v>8867</v>
      </c>
      <c r="I867" s="103"/>
      <c r="J867" s="103" t="s">
        <v>11880</v>
      </c>
      <c r="K867" s="103"/>
      <c r="L867" s="106">
        <v>207.207</v>
      </c>
      <c r="M867" s="103" t="s">
        <v>11330</v>
      </c>
      <c r="N867" s="106">
        <v>19801832.7597687</v>
      </c>
      <c r="O867" s="103" t="s">
        <v>11865</v>
      </c>
      <c r="R867" s="58"/>
      <c r="S867" s="58"/>
      <c r="T867" s="58"/>
      <c r="U867" s="58"/>
      <c r="V867" s="58"/>
      <c r="W867" s="58"/>
      <c r="X867" s="58"/>
    </row>
    <row r="868" ht="38.25" spans="1:24">
      <c r="A868" s="103" t="s">
        <v>5509</v>
      </c>
      <c r="B868" s="104" t="s">
        <v>139</v>
      </c>
      <c r="C868" s="104" t="s">
        <v>5510</v>
      </c>
      <c r="D868" s="104" t="s">
        <v>2961</v>
      </c>
      <c r="E868" s="105" t="s">
        <v>204</v>
      </c>
      <c r="F868" s="103" t="s">
        <v>11881</v>
      </c>
      <c r="G868" s="103"/>
      <c r="H868" s="103" t="s">
        <v>11882</v>
      </c>
      <c r="I868" s="103"/>
      <c r="J868" s="103" t="s">
        <v>11883</v>
      </c>
      <c r="K868" s="103"/>
      <c r="L868" s="106">
        <v>206.526619</v>
      </c>
      <c r="M868" s="103" t="s">
        <v>11330</v>
      </c>
      <c r="N868" s="106">
        <v>19802039.2863877</v>
      </c>
      <c r="O868" s="103" t="s">
        <v>11865</v>
      </c>
      <c r="R868" s="58"/>
      <c r="S868" s="58"/>
      <c r="T868" s="58"/>
      <c r="U868" s="58"/>
      <c r="V868" s="58"/>
      <c r="W868" s="58"/>
      <c r="X868" s="58"/>
    </row>
    <row r="869" ht="51" spans="1:24">
      <c r="A869" s="103" t="s">
        <v>5918</v>
      </c>
      <c r="B869" s="104" t="s">
        <v>139</v>
      </c>
      <c r="C869" s="104" t="s">
        <v>5919</v>
      </c>
      <c r="D869" s="104" t="s">
        <v>3680</v>
      </c>
      <c r="E869" s="105" t="s">
        <v>134</v>
      </c>
      <c r="F869" s="103" t="s">
        <v>11884</v>
      </c>
      <c r="G869" s="103"/>
      <c r="H869" s="103" t="s">
        <v>11885</v>
      </c>
      <c r="I869" s="103"/>
      <c r="J869" s="103" t="s">
        <v>11886</v>
      </c>
      <c r="K869" s="103"/>
      <c r="L869" s="106">
        <v>205.255770086224</v>
      </c>
      <c r="M869" s="103" t="s">
        <v>11330</v>
      </c>
      <c r="N869" s="106">
        <v>19802244.5421578</v>
      </c>
      <c r="O869" s="103" t="s">
        <v>11865</v>
      </c>
      <c r="R869" s="58"/>
      <c r="S869" s="58"/>
      <c r="T869" s="58"/>
      <c r="U869" s="58"/>
      <c r="V869" s="58"/>
      <c r="W869" s="58"/>
      <c r="X869" s="58"/>
    </row>
    <row r="870" spans="1:24">
      <c r="A870" s="103" t="s">
        <v>4008</v>
      </c>
      <c r="B870" s="104" t="s">
        <v>149</v>
      </c>
      <c r="C870" s="104" t="s">
        <v>4009</v>
      </c>
      <c r="D870" s="104" t="s">
        <v>2961</v>
      </c>
      <c r="E870" s="105" t="s">
        <v>134</v>
      </c>
      <c r="F870" s="103" t="s">
        <v>10735</v>
      </c>
      <c r="G870" s="103"/>
      <c r="H870" s="103" t="s">
        <v>9491</v>
      </c>
      <c r="I870" s="103"/>
      <c r="J870" s="103" t="s">
        <v>11887</v>
      </c>
      <c r="K870" s="103"/>
      <c r="L870" s="106">
        <v>205.2</v>
      </c>
      <c r="M870" s="103" t="s">
        <v>11330</v>
      </c>
      <c r="N870" s="106">
        <v>19802449.7421578</v>
      </c>
      <c r="O870" s="103" t="s">
        <v>11888</v>
      </c>
      <c r="R870" s="58"/>
      <c r="S870" s="58"/>
      <c r="T870" s="58"/>
      <c r="U870" s="58"/>
      <c r="V870" s="58"/>
      <c r="W870" s="58"/>
      <c r="X870" s="58"/>
    </row>
    <row r="871" spans="1:24">
      <c r="A871" s="103" t="s">
        <v>4986</v>
      </c>
      <c r="B871" s="104" t="s">
        <v>149</v>
      </c>
      <c r="C871" s="104" t="s">
        <v>4987</v>
      </c>
      <c r="D871" s="104" t="s">
        <v>2961</v>
      </c>
      <c r="E871" s="105" t="s">
        <v>134</v>
      </c>
      <c r="F871" s="103" t="s">
        <v>11082</v>
      </c>
      <c r="G871" s="103"/>
      <c r="H871" s="103" t="s">
        <v>11889</v>
      </c>
      <c r="I871" s="103"/>
      <c r="J871" s="103" t="s">
        <v>11890</v>
      </c>
      <c r="K871" s="103"/>
      <c r="L871" s="106">
        <v>201.25</v>
      </c>
      <c r="M871" s="103" t="s">
        <v>11330</v>
      </c>
      <c r="N871" s="106">
        <v>19802650.9921578</v>
      </c>
      <c r="O871" s="103" t="s">
        <v>11888</v>
      </c>
      <c r="R871" s="58"/>
      <c r="S871" s="58"/>
      <c r="T871" s="58"/>
      <c r="U871" s="58"/>
      <c r="V871" s="58"/>
      <c r="W871" s="58"/>
      <c r="X871" s="58"/>
    </row>
    <row r="872" spans="1:24">
      <c r="A872" s="103" t="s">
        <v>4988</v>
      </c>
      <c r="B872" s="104" t="s">
        <v>149</v>
      </c>
      <c r="C872" s="104" t="s">
        <v>4989</v>
      </c>
      <c r="D872" s="104" t="s">
        <v>2961</v>
      </c>
      <c r="E872" s="105" t="s">
        <v>134</v>
      </c>
      <c r="F872" s="103" t="s">
        <v>11082</v>
      </c>
      <c r="G872" s="103"/>
      <c r="H872" s="103" t="s">
        <v>11889</v>
      </c>
      <c r="I872" s="103"/>
      <c r="J872" s="103" t="s">
        <v>11890</v>
      </c>
      <c r="K872" s="103"/>
      <c r="L872" s="106">
        <v>201.25</v>
      </c>
      <c r="M872" s="103" t="s">
        <v>11330</v>
      </c>
      <c r="N872" s="106">
        <v>19802852.2421578</v>
      </c>
      <c r="O872" s="103" t="s">
        <v>11888</v>
      </c>
      <c r="R872" s="58"/>
      <c r="S872" s="58"/>
      <c r="T872" s="58"/>
      <c r="U872" s="58"/>
      <c r="V872" s="58"/>
      <c r="W872" s="58"/>
      <c r="X872" s="58"/>
    </row>
    <row r="873" ht="38.25" spans="1:24">
      <c r="A873" s="103" t="s">
        <v>4036</v>
      </c>
      <c r="B873" s="104" t="s">
        <v>139</v>
      </c>
      <c r="C873" s="104" t="s">
        <v>4037</v>
      </c>
      <c r="D873" s="104" t="s">
        <v>2961</v>
      </c>
      <c r="E873" s="105" t="s">
        <v>134</v>
      </c>
      <c r="F873" s="103" t="s">
        <v>9152</v>
      </c>
      <c r="G873" s="103"/>
      <c r="H873" s="103" t="s">
        <v>11891</v>
      </c>
      <c r="I873" s="103"/>
      <c r="J873" s="103" t="s">
        <v>11892</v>
      </c>
      <c r="K873" s="103"/>
      <c r="L873" s="106">
        <v>199.6</v>
      </c>
      <c r="M873" s="103" t="s">
        <v>11330</v>
      </c>
      <c r="N873" s="106">
        <v>19803051.8421578</v>
      </c>
      <c r="O873" s="103" t="s">
        <v>11888</v>
      </c>
      <c r="R873" s="58"/>
      <c r="S873" s="58"/>
      <c r="T873" s="58"/>
      <c r="U873" s="58"/>
      <c r="V873" s="58"/>
      <c r="W873" s="58"/>
      <c r="X873" s="58"/>
    </row>
    <row r="874" ht="25.5" spans="1:24">
      <c r="A874" s="103" t="s">
        <v>5014</v>
      </c>
      <c r="B874" s="104" t="s">
        <v>139</v>
      </c>
      <c r="C874" s="104" t="s">
        <v>5015</v>
      </c>
      <c r="D874" s="104" t="s">
        <v>2961</v>
      </c>
      <c r="E874" s="105" t="s">
        <v>134</v>
      </c>
      <c r="F874" s="103" t="s">
        <v>9975</v>
      </c>
      <c r="G874" s="103"/>
      <c r="H874" s="103" t="s">
        <v>8214</v>
      </c>
      <c r="I874" s="103"/>
      <c r="J874" s="103" t="s">
        <v>11893</v>
      </c>
      <c r="K874" s="103"/>
      <c r="L874" s="106">
        <v>197.12</v>
      </c>
      <c r="M874" s="103" t="s">
        <v>11330</v>
      </c>
      <c r="N874" s="106">
        <v>19803248.9621578</v>
      </c>
      <c r="O874" s="103" t="s">
        <v>11888</v>
      </c>
      <c r="R874" s="58"/>
      <c r="S874" s="58"/>
      <c r="T874" s="58"/>
      <c r="U874" s="58"/>
      <c r="V874" s="58"/>
      <c r="W874" s="58"/>
      <c r="X874" s="58"/>
    </row>
    <row r="875" spans="1:24">
      <c r="A875" s="103" t="s">
        <v>3964</v>
      </c>
      <c r="B875" s="104" t="s">
        <v>132</v>
      </c>
      <c r="C875" s="104" t="s">
        <v>3965</v>
      </c>
      <c r="D875" s="104" t="s">
        <v>2961</v>
      </c>
      <c r="E875" s="105" t="s">
        <v>134</v>
      </c>
      <c r="F875" s="103" t="s">
        <v>9091</v>
      </c>
      <c r="G875" s="103"/>
      <c r="H875" s="103" t="s">
        <v>11894</v>
      </c>
      <c r="I875" s="103"/>
      <c r="J875" s="103" t="s">
        <v>11894</v>
      </c>
      <c r="K875" s="103"/>
      <c r="L875" s="106">
        <v>197.07</v>
      </c>
      <c r="M875" s="103" t="s">
        <v>11330</v>
      </c>
      <c r="N875" s="106">
        <v>19803446.0321578</v>
      </c>
      <c r="O875" s="103" t="s">
        <v>11888</v>
      </c>
      <c r="R875" s="58"/>
      <c r="S875" s="58"/>
      <c r="T875" s="58"/>
      <c r="U875" s="58"/>
      <c r="V875" s="58"/>
      <c r="W875" s="58"/>
      <c r="X875" s="58"/>
    </row>
    <row r="876" ht="25.5" spans="1:24">
      <c r="A876" s="103" t="s">
        <v>4490</v>
      </c>
      <c r="B876" s="104" t="s">
        <v>77</v>
      </c>
      <c r="C876" s="104" t="s">
        <v>4491</v>
      </c>
      <c r="D876" s="104" t="s">
        <v>2961</v>
      </c>
      <c r="E876" s="105" t="s">
        <v>134</v>
      </c>
      <c r="F876" s="103" t="s">
        <v>9152</v>
      </c>
      <c r="G876" s="103"/>
      <c r="H876" s="103" t="s">
        <v>11895</v>
      </c>
      <c r="I876" s="103"/>
      <c r="J876" s="103" t="s">
        <v>11896</v>
      </c>
      <c r="K876" s="103"/>
      <c r="L876" s="106">
        <v>195.76</v>
      </c>
      <c r="M876" s="103" t="s">
        <v>11330</v>
      </c>
      <c r="N876" s="106">
        <v>19803641.7921578</v>
      </c>
      <c r="O876" s="103" t="s">
        <v>11888</v>
      </c>
      <c r="R876" s="58"/>
      <c r="S876" s="58"/>
      <c r="T876" s="58"/>
      <c r="U876" s="58"/>
      <c r="V876" s="58"/>
      <c r="W876" s="58"/>
      <c r="X876" s="58"/>
    </row>
    <row r="877" ht="25.5" spans="1:24">
      <c r="A877" s="103" t="s">
        <v>5034</v>
      </c>
      <c r="B877" s="104" t="s">
        <v>139</v>
      </c>
      <c r="C877" s="104" t="s">
        <v>5035</v>
      </c>
      <c r="D877" s="104" t="s">
        <v>2961</v>
      </c>
      <c r="E877" s="105" t="s">
        <v>204</v>
      </c>
      <c r="F877" s="103" t="s">
        <v>11897</v>
      </c>
      <c r="G877" s="103"/>
      <c r="H877" s="103" t="s">
        <v>11898</v>
      </c>
      <c r="I877" s="103"/>
      <c r="J877" s="103" t="s">
        <v>11899</v>
      </c>
      <c r="K877" s="103"/>
      <c r="L877" s="106">
        <v>194.8125</v>
      </c>
      <c r="M877" s="103" t="s">
        <v>11330</v>
      </c>
      <c r="N877" s="106">
        <v>19803836.6046578</v>
      </c>
      <c r="O877" s="103" t="s">
        <v>11888</v>
      </c>
      <c r="R877" s="58"/>
      <c r="S877" s="58"/>
      <c r="T877" s="58"/>
      <c r="U877" s="58"/>
      <c r="V877" s="58"/>
      <c r="W877" s="58"/>
      <c r="X877" s="58"/>
    </row>
    <row r="878" spans="1:24">
      <c r="A878" s="103" t="s">
        <v>3972</v>
      </c>
      <c r="B878" s="104" t="s">
        <v>77</v>
      </c>
      <c r="C878" s="104" t="s">
        <v>3973</v>
      </c>
      <c r="D878" s="104" t="s">
        <v>2961</v>
      </c>
      <c r="E878" s="105" t="s">
        <v>134</v>
      </c>
      <c r="F878" s="103" t="s">
        <v>11900</v>
      </c>
      <c r="G878" s="103"/>
      <c r="H878" s="103" t="s">
        <v>7358</v>
      </c>
      <c r="I878" s="103"/>
      <c r="J878" s="103" t="s">
        <v>11901</v>
      </c>
      <c r="K878" s="103"/>
      <c r="L878" s="106">
        <v>189.44</v>
      </c>
      <c r="M878" s="103" t="s">
        <v>11330</v>
      </c>
      <c r="N878" s="106">
        <v>19804026.0446578</v>
      </c>
      <c r="O878" s="103" t="s">
        <v>11888</v>
      </c>
      <c r="R878" s="58"/>
      <c r="S878" s="58"/>
      <c r="T878" s="58"/>
      <c r="U878" s="58"/>
      <c r="V878" s="58"/>
      <c r="W878" s="58"/>
      <c r="X878" s="58"/>
    </row>
    <row r="879" ht="25.5" spans="1:24">
      <c r="A879" s="103" t="s">
        <v>4570</v>
      </c>
      <c r="B879" s="104" t="s">
        <v>139</v>
      </c>
      <c r="C879" s="104" t="s">
        <v>4571</v>
      </c>
      <c r="D879" s="104" t="s">
        <v>2961</v>
      </c>
      <c r="E879" s="105" t="s">
        <v>279</v>
      </c>
      <c r="F879" s="103" t="s">
        <v>11902</v>
      </c>
      <c r="G879" s="103"/>
      <c r="H879" s="103" t="s">
        <v>11903</v>
      </c>
      <c r="I879" s="103"/>
      <c r="J879" s="103" t="s">
        <v>11904</v>
      </c>
      <c r="K879" s="103"/>
      <c r="L879" s="106">
        <v>185.50106503422</v>
      </c>
      <c r="M879" s="103" t="s">
        <v>11330</v>
      </c>
      <c r="N879" s="106">
        <v>19804211.5457228</v>
      </c>
      <c r="O879" s="103" t="s">
        <v>11888</v>
      </c>
      <c r="R879" s="58"/>
      <c r="S879" s="58"/>
      <c r="T879" s="58"/>
      <c r="U879" s="58"/>
      <c r="V879" s="58"/>
      <c r="W879" s="58"/>
      <c r="X879" s="58"/>
    </row>
    <row r="880" ht="38.25" spans="1:24">
      <c r="A880" s="103" t="s">
        <v>5984</v>
      </c>
      <c r="B880" s="104" t="s">
        <v>139</v>
      </c>
      <c r="C880" s="104" t="s">
        <v>5985</v>
      </c>
      <c r="D880" s="104" t="s">
        <v>2961</v>
      </c>
      <c r="E880" s="105" t="s">
        <v>134</v>
      </c>
      <c r="F880" s="103" t="s">
        <v>11543</v>
      </c>
      <c r="G880" s="103"/>
      <c r="H880" s="103" t="s">
        <v>11905</v>
      </c>
      <c r="I880" s="103"/>
      <c r="J880" s="103" t="s">
        <v>11906</v>
      </c>
      <c r="K880" s="103"/>
      <c r="L880" s="106">
        <v>184.76504</v>
      </c>
      <c r="M880" s="103" t="s">
        <v>11330</v>
      </c>
      <c r="N880" s="106">
        <v>19804396.3107628</v>
      </c>
      <c r="O880" s="103" t="s">
        <v>11907</v>
      </c>
      <c r="R880" s="58"/>
      <c r="S880" s="58"/>
      <c r="T880" s="58"/>
      <c r="U880" s="58"/>
      <c r="V880" s="58"/>
      <c r="W880" s="58"/>
      <c r="X880" s="58"/>
    </row>
    <row r="881" ht="51" spans="1:24">
      <c r="A881" s="103" t="s">
        <v>4739</v>
      </c>
      <c r="B881" s="104" t="s">
        <v>132</v>
      </c>
      <c r="C881" s="104" t="s">
        <v>4740</v>
      </c>
      <c r="D881" s="104" t="s">
        <v>3395</v>
      </c>
      <c r="E881" s="105" t="s">
        <v>134</v>
      </c>
      <c r="F881" s="103" t="s">
        <v>9091</v>
      </c>
      <c r="G881" s="103" t="s">
        <v>9093</v>
      </c>
      <c r="H881" s="103" t="s">
        <v>11908</v>
      </c>
      <c r="I881" s="103" t="s">
        <v>11909</v>
      </c>
      <c r="J881" s="103" t="s">
        <v>11908</v>
      </c>
      <c r="K881" s="103" t="s">
        <v>8660</v>
      </c>
      <c r="L881" s="106">
        <v>184.65</v>
      </c>
      <c r="M881" s="103" t="s">
        <v>11330</v>
      </c>
      <c r="N881" s="106">
        <v>19804580.9607628</v>
      </c>
      <c r="O881" s="103" t="s">
        <v>11907</v>
      </c>
      <c r="R881" s="58"/>
      <c r="S881" s="58"/>
      <c r="T881" s="58"/>
      <c r="U881" s="58"/>
      <c r="V881" s="58"/>
      <c r="W881" s="58"/>
      <c r="X881" s="58"/>
    </row>
    <row r="882" ht="25.5" spans="1:24">
      <c r="A882" s="103" t="s">
        <v>5224</v>
      </c>
      <c r="B882" s="104" t="s">
        <v>149</v>
      </c>
      <c r="C882" s="104" t="s">
        <v>5225</v>
      </c>
      <c r="D882" s="104" t="s">
        <v>2961</v>
      </c>
      <c r="E882" s="105" t="s">
        <v>393</v>
      </c>
      <c r="F882" s="103" t="s">
        <v>11910</v>
      </c>
      <c r="G882" s="103"/>
      <c r="H882" s="103" t="s">
        <v>11911</v>
      </c>
      <c r="I882" s="103"/>
      <c r="J882" s="103" t="s">
        <v>11912</v>
      </c>
      <c r="K882" s="103"/>
      <c r="L882" s="106">
        <v>180.9590432</v>
      </c>
      <c r="M882" s="103" t="s">
        <v>11330</v>
      </c>
      <c r="N882" s="106">
        <v>19804761.919806</v>
      </c>
      <c r="O882" s="103" t="s">
        <v>11907</v>
      </c>
      <c r="R882" s="58"/>
      <c r="S882" s="58"/>
      <c r="T882" s="58"/>
      <c r="U882" s="58"/>
      <c r="V882" s="58"/>
      <c r="W882" s="58"/>
      <c r="X882" s="58"/>
    </row>
    <row r="883" spans="1:24">
      <c r="A883" s="103" t="s">
        <v>3662</v>
      </c>
      <c r="B883" s="104" t="s">
        <v>149</v>
      </c>
      <c r="C883" s="104" t="s">
        <v>3663</v>
      </c>
      <c r="D883" s="104" t="s">
        <v>2961</v>
      </c>
      <c r="E883" s="105" t="s">
        <v>204</v>
      </c>
      <c r="F883" s="103" t="s">
        <v>11913</v>
      </c>
      <c r="G883" s="103"/>
      <c r="H883" s="103" t="s">
        <v>6867</v>
      </c>
      <c r="I883" s="103"/>
      <c r="J883" s="103" t="s">
        <v>11914</v>
      </c>
      <c r="K883" s="103"/>
      <c r="L883" s="106">
        <v>180.761</v>
      </c>
      <c r="M883" s="103" t="s">
        <v>11330</v>
      </c>
      <c r="N883" s="106">
        <v>19804942.680806</v>
      </c>
      <c r="O883" s="103" t="s">
        <v>11907</v>
      </c>
      <c r="R883" s="58"/>
      <c r="S883" s="58"/>
      <c r="T883" s="58"/>
      <c r="U883" s="58"/>
      <c r="V883" s="58"/>
      <c r="W883" s="58"/>
      <c r="X883" s="58"/>
    </row>
    <row r="884" spans="1:24">
      <c r="A884" s="103" t="s">
        <v>4095</v>
      </c>
      <c r="B884" s="104" t="s">
        <v>149</v>
      </c>
      <c r="C884" s="104" t="s">
        <v>4096</v>
      </c>
      <c r="D884" s="104" t="s">
        <v>2961</v>
      </c>
      <c r="E884" s="105" t="s">
        <v>393</v>
      </c>
      <c r="F884" s="103" t="s">
        <v>11915</v>
      </c>
      <c r="G884" s="103"/>
      <c r="H884" s="103" t="s">
        <v>6636</v>
      </c>
      <c r="I884" s="103"/>
      <c r="J884" s="103" t="s">
        <v>11916</v>
      </c>
      <c r="K884" s="103"/>
      <c r="L884" s="106">
        <v>180.60426</v>
      </c>
      <c r="M884" s="103" t="s">
        <v>11330</v>
      </c>
      <c r="N884" s="106">
        <v>19805123.285066</v>
      </c>
      <c r="O884" s="103" t="s">
        <v>11907</v>
      </c>
      <c r="R884" s="58"/>
      <c r="S884" s="58"/>
      <c r="T884" s="58"/>
      <c r="U884" s="58"/>
      <c r="V884" s="58"/>
      <c r="W884" s="58"/>
      <c r="X884" s="58"/>
    </row>
    <row r="885" ht="38.25" spans="1:24">
      <c r="A885" s="103" t="s">
        <v>3127</v>
      </c>
      <c r="B885" s="104" t="s">
        <v>139</v>
      </c>
      <c r="C885" s="104" t="s">
        <v>3128</v>
      </c>
      <c r="D885" s="104" t="s">
        <v>2961</v>
      </c>
      <c r="E885" s="105" t="s">
        <v>393</v>
      </c>
      <c r="F885" s="103" t="s">
        <v>11917</v>
      </c>
      <c r="G885" s="103"/>
      <c r="H885" s="103" t="s">
        <v>9620</v>
      </c>
      <c r="I885" s="103"/>
      <c r="J885" s="103" t="s">
        <v>11918</v>
      </c>
      <c r="K885" s="103"/>
      <c r="L885" s="106">
        <v>180.089175</v>
      </c>
      <c r="M885" s="103" t="s">
        <v>11330</v>
      </c>
      <c r="N885" s="106">
        <v>19805303.374241</v>
      </c>
      <c r="O885" s="103" t="s">
        <v>11907</v>
      </c>
      <c r="R885" s="58"/>
      <c r="S885" s="58"/>
      <c r="T885" s="58"/>
      <c r="U885" s="58"/>
      <c r="V885" s="58"/>
      <c r="W885" s="58"/>
      <c r="X885" s="58"/>
    </row>
    <row r="886" ht="25.5" spans="1:24">
      <c r="A886" s="103" t="s">
        <v>4957</v>
      </c>
      <c r="B886" s="104" t="s">
        <v>139</v>
      </c>
      <c r="C886" s="104" t="s">
        <v>4958</v>
      </c>
      <c r="D886" s="104" t="s">
        <v>2961</v>
      </c>
      <c r="E886" s="105" t="s">
        <v>134</v>
      </c>
      <c r="F886" s="103" t="s">
        <v>11919</v>
      </c>
      <c r="G886" s="103"/>
      <c r="H886" s="103" t="s">
        <v>11920</v>
      </c>
      <c r="I886" s="103"/>
      <c r="J886" s="103" t="s">
        <v>11921</v>
      </c>
      <c r="K886" s="103"/>
      <c r="L886" s="106">
        <v>178.49424</v>
      </c>
      <c r="M886" s="103" t="s">
        <v>11330</v>
      </c>
      <c r="N886" s="106">
        <v>19805481.868481</v>
      </c>
      <c r="O886" s="103" t="s">
        <v>11907</v>
      </c>
      <c r="R886" s="58"/>
      <c r="S886" s="58"/>
      <c r="T886" s="58"/>
      <c r="U886" s="58"/>
      <c r="V886" s="58"/>
      <c r="W886" s="58"/>
      <c r="X886" s="58"/>
    </row>
    <row r="887" ht="38.25" spans="1:24">
      <c r="A887" s="103" t="s">
        <v>3115</v>
      </c>
      <c r="B887" s="104" t="s">
        <v>139</v>
      </c>
      <c r="C887" s="104" t="s">
        <v>3116</v>
      </c>
      <c r="D887" s="104" t="s">
        <v>2961</v>
      </c>
      <c r="E887" s="105" t="s">
        <v>134</v>
      </c>
      <c r="F887" s="103" t="s">
        <v>11922</v>
      </c>
      <c r="G887" s="103"/>
      <c r="H887" s="103" t="s">
        <v>6884</v>
      </c>
      <c r="I887" s="103"/>
      <c r="J887" s="103" t="s">
        <v>11923</v>
      </c>
      <c r="K887" s="103"/>
      <c r="L887" s="106">
        <v>175.41546432</v>
      </c>
      <c r="M887" s="103" t="s">
        <v>11330</v>
      </c>
      <c r="N887" s="106">
        <v>19805657.2839453</v>
      </c>
      <c r="O887" s="103" t="s">
        <v>11907</v>
      </c>
      <c r="R887" s="58"/>
      <c r="S887" s="58"/>
      <c r="T887" s="58"/>
      <c r="U887" s="58"/>
      <c r="V887" s="58"/>
      <c r="W887" s="58"/>
      <c r="X887" s="58"/>
    </row>
    <row r="888" spans="1:24">
      <c r="A888" s="103" t="s">
        <v>4883</v>
      </c>
      <c r="B888" s="104" t="s">
        <v>149</v>
      </c>
      <c r="C888" s="104" t="s">
        <v>4884</v>
      </c>
      <c r="D888" s="104" t="s">
        <v>2896</v>
      </c>
      <c r="E888" s="105" t="s">
        <v>2897</v>
      </c>
      <c r="F888" s="103" t="s">
        <v>10423</v>
      </c>
      <c r="G888" s="103"/>
      <c r="H888" s="103" t="s">
        <v>9359</v>
      </c>
      <c r="I888" s="103"/>
      <c r="J888" s="103" t="s">
        <v>11924</v>
      </c>
      <c r="K888" s="103"/>
      <c r="L888" s="106">
        <v>173.968464</v>
      </c>
      <c r="M888" s="103" t="s">
        <v>11330</v>
      </c>
      <c r="N888" s="106">
        <v>19805831.2524093</v>
      </c>
      <c r="O888" s="103" t="s">
        <v>11907</v>
      </c>
      <c r="R888" s="58"/>
      <c r="S888" s="58"/>
      <c r="T888" s="58"/>
      <c r="U888" s="58"/>
      <c r="V888" s="58"/>
      <c r="W888" s="58"/>
      <c r="X888" s="58"/>
    </row>
    <row r="889" ht="25.5" spans="1:24">
      <c r="A889" s="103" t="s">
        <v>3285</v>
      </c>
      <c r="B889" s="104" t="s">
        <v>149</v>
      </c>
      <c r="C889" s="104" t="s">
        <v>3286</v>
      </c>
      <c r="D889" s="104" t="s">
        <v>2961</v>
      </c>
      <c r="E889" s="105" t="s">
        <v>2897</v>
      </c>
      <c r="F889" s="103" t="s">
        <v>11925</v>
      </c>
      <c r="G889" s="103"/>
      <c r="H889" s="103" t="s">
        <v>11926</v>
      </c>
      <c r="I889" s="103"/>
      <c r="J889" s="103" t="s">
        <v>11927</v>
      </c>
      <c r="K889" s="103"/>
      <c r="L889" s="106">
        <v>173.039625</v>
      </c>
      <c r="M889" s="103" t="s">
        <v>11330</v>
      </c>
      <c r="N889" s="106">
        <v>19806004.2920343</v>
      </c>
      <c r="O889" s="103" t="s">
        <v>11907</v>
      </c>
      <c r="R889" s="58"/>
      <c r="S889" s="58"/>
      <c r="T889" s="58"/>
      <c r="U889" s="58"/>
      <c r="V889" s="58"/>
      <c r="W889" s="58"/>
      <c r="X889" s="58"/>
    </row>
    <row r="890" spans="1:24">
      <c r="A890" s="103" t="s">
        <v>4665</v>
      </c>
      <c r="B890" s="104" t="s">
        <v>149</v>
      </c>
      <c r="C890" s="104" t="s">
        <v>4666</v>
      </c>
      <c r="D890" s="104" t="s">
        <v>2896</v>
      </c>
      <c r="E890" s="105" t="s">
        <v>2897</v>
      </c>
      <c r="F890" s="103" t="s">
        <v>11928</v>
      </c>
      <c r="G890" s="103"/>
      <c r="H890" s="103" t="s">
        <v>9359</v>
      </c>
      <c r="I890" s="103"/>
      <c r="J890" s="103" t="s">
        <v>11929</v>
      </c>
      <c r="K890" s="103"/>
      <c r="L890" s="106">
        <v>172.112800384</v>
      </c>
      <c r="M890" s="103" t="s">
        <v>11330</v>
      </c>
      <c r="N890" s="106">
        <v>19806176.4048347</v>
      </c>
      <c r="O890" s="103" t="s">
        <v>11907</v>
      </c>
      <c r="R890" s="58"/>
      <c r="S890" s="58"/>
      <c r="T890" s="58"/>
      <c r="U890" s="58"/>
      <c r="V890" s="58"/>
      <c r="W890" s="58"/>
      <c r="X890" s="58"/>
    </row>
    <row r="891" spans="1:24">
      <c r="A891" s="103" t="s">
        <v>3611</v>
      </c>
      <c r="B891" s="104" t="s">
        <v>139</v>
      </c>
      <c r="C891" s="104" t="s">
        <v>3612</v>
      </c>
      <c r="D891" s="104" t="s">
        <v>2961</v>
      </c>
      <c r="E891" s="105" t="s">
        <v>204</v>
      </c>
      <c r="F891" s="103" t="s">
        <v>11930</v>
      </c>
      <c r="G891" s="103"/>
      <c r="H891" s="103" t="s">
        <v>11931</v>
      </c>
      <c r="I891" s="103"/>
      <c r="J891" s="103" t="s">
        <v>11932</v>
      </c>
      <c r="K891" s="103"/>
      <c r="L891" s="106">
        <v>171.92486696</v>
      </c>
      <c r="M891" s="103" t="s">
        <v>11330</v>
      </c>
      <c r="N891" s="106">
        <v>19806348.3297017</v>
      </c>
      <c r="O891" s="103" t="s">
        <v>11933</v>
      </c>
      <c r="R891" s="58"/>
      <c r="S891" s="58"/>
      <c r="T891" s="58"/>
      <c r="U891" s="58"/>
      <c r="V891" s="58"/>
      <c r="W891" s="58"/>
      <c r="X891" s="58"/>
    </row>
    <row r="892" ht="25.5" spans="1:24">
      <c r="A892" s="103" t="s">
        <v>5442</v>
      </c>
      <c r="B892" s="104" t="s">
        <v>796</v>
      </c>
      <c r="C892" s="104" t="s">
        <v>5443</v>
      </c>
      <c r="D892" s="104" t="s">
        <v>5444</v>
      </c>
      <c r="E892" s="105" t="s">
        <v>3712</v>
      </c>
      <c r="F892" s="103" t="s">
        <v>11934</v>
      </c>
      <c r="G892" s="103"/>
      <c r="H892" s="103" t="s">
        <v>6738</v>
      </c>
      <c r="I892" s="103"/>
      <c r="J892" s="103" t="s">
        <v>11935</v>
      </c>
      <c r="K892" s="103"/>
      <c r="L892" s="106">
        <v>171.809068</v>
      </c>
      <c r="M892" s="103" t="s">
        <v>11330</v>
      </c>
      <c r="N892" s="106">
        <v>19806520.1387697</v>
      </c>
      <c r="O892" s="103" t="s">
        <v>11933</v>
      </c>
      <c r="R892" s="58"/>
      <c r="S892" s="58"/>
      <c r="T892" s="58"/>
      <c r="U892" s="58"/>
      <c r="V892" s="58"/>
      <c r="W892" s="58"/>
      <c r="X892" s="58"/>
    </row>
    <row r="893" ht="38.25" spans="1:24">
      <c r="A893" s="103" t="s">
        <v>5888</v>
      </c>
      <c r="B893" s="104" t="s">
        <v>139</v>
      </c>
      <c r="C893" s="104" t="s">
        <v>5889</v>
      </c>
      <c r="D893" s="104" t="s">
        <v>2961</v>
      </c>
      <c r="E893" s="105" t="s">
        <v>134</v>
      </c>
      <c r="F893" s="103" t="s">
        <v>11936</v>
      </c>
      <c r="G893" s="103"/>
      <c r="H893" s="103" t="s">
        <v>11937</v>
      </c>
      <c r="I893" s="103"/>
      <c r="J893" s="103" t="s">
        <v>11938</v>
      </c>
      <c r="K893" s="103"/>
      <c r="L893" s="106">
        <v>170.32204</v>
      </c>
      <c r="M893" s="103" t="s">
        <v>11330</v>
      </c>
      <c r="N893" s="106">
        <v>19806690.4608097</v>
      </c>
      <c r="O893" s="103" t="s">
        <v>11933</v>
      </c>
      <c r="R893" s="58"/>
      <c r="S893" s="58"/>
      <c r="T893" s="58"/>
      <c r="U893" s="58"/>
      <c r="V893" s="58"/>
      <c r="W893" s="58"/>
      <c r="X893" s="58"/>
    </row>
    <row r="894" ht="25.5" spans="1:24">
      <c r="A894" s="103" t="s">
        <v>4367</v>
      </c>
      <c r="B894" s="104" t="s">
        <v>149</v>
      </c>
      <c r="C894" s="104" t="s">
        <v>4368</v>
      </c>
      <c r="D894" s="104" t="s">
        <v>2961</v>
      </c>
      <c r="E894" s="105" t="s">
        <v>134</v>
      </c>
      <c r="F894" s="103" t="s">
        <v>11939</v>
      </c>
      <c r="G894" s="103"/>
      <c r="H894" s="103" t="s">
        <v>11940</v>
      </c>
      <c r="I894" s="103"/>
      <c r="J894" s="103" t="s">
        <v>11941</v>
      </c>
      <c r="K894" s="103"/>
      <c r="L894" s="106">
        <v>168.1884</v>
      </c>
      <c r="M894" s="103" t="s">
        <v>11330</v>
      </c>
      <c r="N894" s="106">
        <v>19806858.6492097</v>
      </c>
      <c r="O894" s="103" t="s">
        <v>11933</v>
      </c>
      <c r="R894" s="58"/>
      <c r="S894" s="58"/>
      <c r="T894" s="58"/>
      <c r="U894" s="58"/>
      <c r="V894" s="58"/>
      <c r="W894" s="58"/>
      <c r="X894" s="58"/>
    </row>
    <row r="895" spans="1:24">
      <c r="A895" s="103" t="s">
        <v>4423</v>
      </c>
      <c r="B895" s="104" t="s">
        <v>132</v>
      </c>
      <c r="C895" s="104" t="s">
        <v>4424</v>
      </c>
      <c r="D895" s="104" t="s">
        <v>2961</v>
      </c>
      <c r="E895" s="105" t="s">
        <v>134</v>
      </c>
      <c r="F895" s="103" t="s">
        <v>9518</v>
      </c>
      <c r="G895" s="103"/>
      <c r="H895" s="103" t="s">
        <v>11942</v>
      </c>
      <c r="I895" s="103"/>
      <c r="J895" s="103" t="s">
        <v>11943</v>
      </c>
      <c r="K895" s="103"/>
      <c r="L895" s="106">
        <v>165.6</v>
      </c>
      <c r="M895" s="103" t="s">
        <v>11330</v>
      </c>
      <c r="N895" s="106">
        <v>19807024.2492097</v>
      </c>
      <c r="O895" s="103" t="s">
        <v>11933</v>
      </c>
      <c r="R895" s="58"/>
      <c r="S895" s="58"/>
      <c r="T895" s="58"/>
      <c r="U895" s="58"/>
      <c r="V895" s="58"/>
      <c r="W895" s="58"/>
      <c r="X895" s="58"/>
    </row>
    <row r="896" ht="25.5" spans="1:24">
      <c r="A896" s="103" t="s">
        <v>4040</v>
      </c>
      <c r="B896" s="104" t="s">
        <v>139</v>
      </c>
      <c r="C896" s="104" t="s">
        <v>4041</v>
      </c>
      <c r="D896" s="104" t="s">
        <v>2961</v>
      </c>
      <c r="E896" s="105" t="s">
        <v>134</v>
      </c>
      <c r="F896" s="103" t="s">
        <v>10582</v>
      </c>
      <c r="G896" s="103"/>
      <c r="H896" s="103" t="s">
        <v>11944</v>
      </c>
      <c r="I896" s="103"/>
      <c r="J896" s="103" t="s">
        <v>11945</v>
      </c>
      <c r="K896" s="103"/>
      <c r="L896" s="106">
        <v>164.52</v>
      </c>
      <c r="M896" s="103" t="s">
        <v>11330</v>
      </c>
      <c r="N896" s="106">
        <v>19807188.7692097</v>
      </c>
      <c r="O896" s="103" t="s">
        <v>11933</v>
      </c>
      <c r="R896" s="58"/>
      <c r="S896" s="58"/>
      <c r="T896" s="58"/>
      <c r="U896" s="58"/>
      <c r="V896" s="58"/>
      <c r="W896" s="58"/>
      <c r="X896" s="58"/>
    </row>
    <row r="897" spans="1:24">
      <c r="A897" s="103" t="s">
        <v>3798</v>
      </c>
      <c r="B897" s="104" t="s">
        <v>149</v>
      </c>
      <c r="C897" s="104" t="s">
        <v>3799</v>
      </c>
      <c r="D897" s="104" t="s">
        <v>2961</v>
      </c>
      <c r="E897" s="105" t="s">
        <v>393</v>
      </c>
      <c r="F897" s="103" t="s">
        <v>11946</v>
      </c>
      <c r="G897" s="103"/>
      <c r="H897" s="103" t="s">
        <v>11947</v>
      </c>
      <c r="I897" s="103"/>
      <c r="J897" s="103" t="s">
        <v>11948</v>
      </c>
      <c r="K897" s="103"/>
      <c r="L897" s="106">
        <v>162.6625</v>
      </c>
      <c r="M897" s="103" t="s">
        <v>11330</v>
      </c>
      <c r="N897" s="106">
        <v>19807351.4317097</v>
      </c>
      <c r="O897" s="103" t="s">
        <v>11933</v>
      </c>
      <c r="R897" s="58"/>
      <c r="S897" s="58"/>
      <c r="T897" s="58"/>
      <c r="U897" s="58"/>
      <c r="V897" s="58"/>
      <c r="W897" s="58"/>
      <c r="X897" s="58"/>
    </row>
    <row r="898" spans="1:24">
      <c r="A898" s="103" t="s">
        <v>5185</v>
      </c>
      <c r="B898" s="104" t="s">
        <v>139</v>
      </c>
      <c r="C898" s="104" t="s">
        <v>5186</v>
      </c>
      <c r="D898" s="104" t="s">
        <v>2961</v>
      </c>
      <c r="E898" s="105" t="s">
        <v>3084</v>
      </c>
      <c r="F898" s="103" t="s">
        <v>11949</v>
      </c>
      <c r="G898" s="103"/>
      <c r="H898" s="103" t="s">
        <v>11950</v>
      </c>
      <c r="I898" s="103"/>
      <c r="J898" s="103" t="s">
        <v>11951</v>
      </c>
      <c r="K898" s="103"/>
      <c r="L898" s="106">
        <v>162.120192</v>
      </c>
      <c r="M898" s="103" t="s">
        <v>11330</v>
      </c>
      <c r="N898" s="106">
        <v>19807513.5519017</v>
      </c>
      <c r="O898" s="103" t="s">
        <v>11933</v>
      </c>
      <c r="R898" s="58"/>
      <c r="S898" s="58"/>
      <c r="T898" s="58"/>
      <c r="U898" s="58"/>
      <c r="V898" s="58"/>
      <c r="W898" s="58"/>
      <c r="X898" s="58"/>
    </row>
    <row r="899" spans="1:24">
      <c r="A899" s="103" t="s">
        <v>3984</v>
      </c>
      <c r="B899" s="104" t="s">
        <v>132</v>
      </c>
      <c r="C899" s="104" t="s">
        <v>3985</v>
      </c>
      <c r="D899" s="104" t="s">
        <v>2961</v>
      </c>
      <c r="E899" s="105" t="s">
        <v>134</v>
      </c>
      <c r="F899" s="103" t="s">
        <v>9183</v>
      </c>
      <c r="G899" s="103"/>
      <c r="H899" s="103" t="s">
        <v>7133</v>
      </c>
      <c r="I899" s="103"/>
      <c r="J899" s="103" t="s">
        <v>11952</v>
      </c>
      <c r="K899" s="103"/>
      <c r="L899" s="106">
        <v>161.88</v>
      </c>
      <c r="M899" s="103" t="s">
        <v>11330</v>
      </c>
      <c r="N899" s="106">
        <v>19807675.4319017</v>
      </c>
      <c r="O899" s="103" t="s">
        <v>11933</v>
      </c>
      <c r="R899" s="58"/>
      <c r="S899" s="58"/>
      <c r="T899" s="58"/>
      <c r="U899" s="58"/>
      <c r="V899" s="58"/>
      <c r="W899" s="58"/>
      <c r="X899" s="58"/>
    </row>
    <row r="900" spans="1:24">
      <c r="A900" s="103" t="s">
        <v>5511</v>
      </c>
      <c r="B900" s="104" t="s">
        <v>77</v>
      </c>
      <c r="C900" s="104" t="s">
        <v>5512</v>
      </c>
      <c r="D900" s="104" t="s">
        <v>2961</v>
      </c>
      <c r="E900" s="105" t="s">
        <v>204</v>
      </c>
      <c r="F900" s="103" t="s">
        <v>11953</v>
      </c>
      <c r="G900" s="103"/>
      <c r="H900" s="103" t="s">
        <v>11954</v>
      </c>
      <c r="I900" s="103"/>
      <c r="J900" s="103" t="s">
        <v>11955</v>
      </c>
      <c r="K900" s="103"/>
      <c r="L900" s="106">
        <v>160.93</v>
      </c>
      <c r="M900" s="103" t="s">
        <v>11330</v>
      </c>
      <c r="N900" s="106">
        <v>19807836.3619017</v>
      </c>
      <c r="O900" s="103" t="s">
        <v>11933</v>
      </c>
      <c r="R900" s="58"/>
      <c r="S900" s="58"/>
      <c r="T900" s="58"/>
      <c r="U900" s="58"/>
      <c r="V900" s="58"/>
      <c r="W900" s="58"/>
      <c r="X900" s="58"/>
    </row>
    <row r="901" ht="25.5" spans="1:24">
      <c r="A901" s="103" t="s">
        <v>3992</v>
      </c>
      <c r="B901" s="104" t="s">
        <v>149</v>
      </c>
      <c r="C901" s="104" t="s">
        <v>3993</v>
      </c>
      <c r="D901" s="104" t="s">
        <v>2961</v>
      </c>
      <c r="E901" s="105" t="s">
        <v>134</v>
      </c>
      <c r="F901" s="103" t="s">
        <v>9183</v>
      </c>
      <c r="G901" s="103"/>
      <c r="H901" s="103" t="s">
        <v>11956</v>
      </c>
      <c r="I901" s="103"/>
      <c r="J901" s="103" t="s">
        <v>11957</v>
      </c>
      <c r="K901" s="103"/>
      <c r="L901" s="106">
        <v>159.2</v>
      </c>
      <c r="M901" s="103" t="s">
        <v>11330</v>
      </c>
      <c r="N901" s="106">
        <v>19807995.5619017</v>
      </c>
      <c r="O901" s="103" t="s">
        <v>11933</v>
      </c>
      <c r="R901" s="58"/>
      <c r="S901" s="58"/>
      <c r="T901" s="58"/>
      <c r="U901" s="58"/>
      <c r="V901" s="58"/>
      <c r="W901" s="58"/>
      <c r="X901" s="58"/>
    </row>
    <row r="902" spans="1:24">
      <c r="A902" s="103" t="s">
        <v>4089</v>
      </c>
      <c r="B902" s="104" t="s">
        <v>149</v>
      </c>
      <c r="C902" s="104" t="s">
        <v>4090</v>
      </c>
      <c r="D902" s="104" t="s">
        <v>2961</v>
      </c>
      <c r="E902" s="105" t="s">
        <v>3084</v>
      </c>
      <c r="F902" s="103" t="s">
        <v>11958</v>
      </c>
      <c r="G902" s="103"/>
      <c r="H902" s="103" t="s">
        <v>11959</v>
      </c>
      <c r="I902" s="103"/>
      <c r="J902" s="103" t="s">
        <v>11960</v>
      </c>
      <c r="K902" s="103"/>
      <c r="L902" s="106">
        <v>157.70097</v>
      </c>
      <c r="M902" s="103" t="s">
        <v>11330</v>
      </c>
      <c r="N902" s="106">
        <v>19808153.2628717</v>
      </c>
      <c r="O902" s="103" t="s">
        <v>11933</v>
      </c>
      <c r="R902" s="58"/>
      <c r="S902" s="58"/>
      <c r="T902" s="58"/>
      <c r="U902" s="58"/>
      <c r="V902" s="58"/>
      <c r="W902" s="58"/>
      <c r="X902" s="58"/>
    </row>
    <row r="903" ht="38.25" spans="1:24">
      <c r="A903" s="103" t="s">
        <v>3806</v>
      </c>
      <c r="B903" s="104" t="s">
        <v>139</v>
      </c>
      <c r="C903" s="104" t="s">
        <v>3807</v>
      </c>
      <c r="D903" s="104" t="s">
        <v>2961</v>
      </c>
      <c r="E903" s="105" t="s">
        <v>134</v>
      </c>
      <c r="F903" s="103" t="s">
        <v>11349</v>
      </c>
      <c r="G903" s="103"/>
      <c r="H903" s="103" t="s">
        <v>11961</v>
      </c>
      <c r="I903" s="103"/>
      <c r="J903" s="103" t="s">
        <v>11962</v>
      </c>
      <c r="K903" s="103"/>
      <c r="L903" s="106">
        <v>155.7</v>
      </c>
      <c r="M903" s="103" t="s">
        <v>11330</v>
      </c>
      <c r="N903" s="106">
        <v>19808308.9628717</v>
      </c>
      <c r="O903" s="103" t="s">
        <v>11933</v>
      </c>
      <c r="R903" s="58"/>
      <c r="S903" s="58"/>
      <c r="T903" s="58"/>
      <c r="U903" s="58"/>
      <c r="V903" s="58"/>
      <c r="W903" s="58"/>
      <c r="X903" s="58"/>
    </row>
    <row r="904" ht="38.25" spans="1:24">
      <c r="A904" s="103" t="s">
        <v>3768</v>
      </c>
      <c r="B904" s="104" t="s">
        <v>139</v>
      </c>
      <c r="C904" s="104" t="s">
        <v>3769</v>
      </c>
      <c r="D904" s="104" t="s">
        <v>2961</v>
      </c>
      <c r="E904" s="105" t="s">
        <v>134</v>
      </c>
      <c r="F904" s="103" t="s">
        <v>11963</v>
      </c>
      <c r="G904" s="103"/>
      <c r="H904" s="103" t="s">
        <v>8790</v>
      </c>
      <c r="I904" s="103"/>
      <c r="J904" s="103" t="s">
        <v>11964</v>
      </c>
      <c r="K904" s="103"/>
      <c r="L904" s="106">
        <v>155.403108</v>
      </c>
      <c r="M904" s="103" t="s">
        <v>11330</v>
      </c>
      <c r="N904" s="106">
        <v>19808464.3659797</v>
      </c>
      <c r="O904" s="103" t="s">
        <v>11965</v>
      </c>
      <c r="R904" s="58"/>
      <c r="S904" s="58"/>
      <c r="T904" s="58"/>
      <c r="U904" s="58"/>
      <c r="V904" s="58"/>
      <c r="W904" s="58"/>
      <c r="X904" s="58"/>
    </row>
    <row r="905" ht="25.5" spans="1:24">
      <c r="A905" s="103" t="s">
        <v>4879</v>
      </c>
      <c r="B905" s="104" t="s">
        <v>149</v>
      </c>
      <c r="C905" s="104" t="s">
        <v>4880</v>
      </c>
      <c r="D905" s="104" t="s">
        <v>2961</v>
      </c>
      <c r="E905" s="105" t="s">
        <v>204</v>
      </c>
      <c r="F905" s="103" t="s">
        <v>11966</v>
      </c>
      <c r="G905" s="103"/>
      <c r="H905" s="103" t="s">
        <v>11967</v>
      </c>
      <c r="I905" s="103"/>
      <c r="J905" s="103" t="s">
        <v>11968</v>
      </c>
      <c r="K905" s="103"/>
      <c r="L905" s="106">
        <v>155.21625</v>
      </c>
      <c r="M905" s="103" t="s">
        <v>11330</v>
      </c>
      <c r="N905" s="106">
        <v>19808619.5822297</v>
      </c>
      <c r="O905" s="103" t="s">
        <v>11965</v>
      </c>
      <c r="R905" s="58"/>
      <c r="S905" s="58"/>
      <c r="T905" s="58"/>
      <c r="U905" s="58"/>
      <c r="V905" s="58"/>
      <c r="W905" s="58"/>
      <c r="X905" s="58"/>
    </row>
    <row r="906" spans="1:24">
      <c r="A906" s="103" t="s">
        <v>4673</v>
      </c>
      <c r="B906" s="104" t="s">
        <v>149</v>
      </c>
      <c r="C906" s="104" t="s">
        <v>4674</v>
      </c>
      <c r="D906" s="104" t="s">
        <v>2961</v>
      </c>
      <c r="E906" s="105" t="s">
        <v>134</v>
      </c>
      <c r="F906" s="103" t="s">
        <v>9401</v>
      </c>
      <c r="G906" s="103"/>
      <c r="H906" s="103" t="s">
        <v>11882</v>
      </c>
      <c r="I906" s="103"/>
      <c r="J906" s="103" t="s">
        <v>11969</v>
      </c>
      <c r="K906" s="103"/>
      <c r="L906" s="106">
        <v>155</v>
      </c>
      <c r="M906" s="103" t="s">
        <v>11330</v>
      </c>
      <c r="N906" s="106">
        <v>19808774.5822297</v>
      </c>
      <c r="O906" s="103" t="s">
        <v>11965</v>
      </c>
      <c r="R906" s="58"/>
      <c r="S906" s="58"/>
      <c r="T906" s="58"/>
      <c r="U906" s="58"/>
      <c r="V906" s="58"/>
      <c r="W906" s="58"/>
      <c r="X906" s="58"/>
    </row>
    <row r="907" spans="1:24">
      <c r="A907" s="103" t="s">
        <v>3090</v>
      </c>
      <c r="B907" s="104" t="s">
        <v>139</v>
      </c>
      <c r="C907" s="104" t="s">
        <v>3091</v>
      </c>
      <c r="D907" s="104" t="s">
        <v>2961</v>
      </c>
      <c r="E907" s="105" t="s">
        <v>393</v>
      </c>
      <c r="F907" s="103" t="s">
        <v>11970</v>
      </c>
      <c r="G907" s="103"/>
      <c r="H907" s="103" t="s">
        <v>11971</v>
      </c>
      <c r="I907" s="103"/>
      <c r="J907" s="103" t="s">
        <v>11972</v>
      </c>
      <c r="K907" s="103"/>
      <c r="L907" s="106">
        <v>151.9265976</v>
      </c>
      <c r="M907" s="103" t="s">
        <v>11330</v>
      </c>
      <c r="N907" s="106">
        <v>19808926.5088273</v>
      </c>
      <c r="O907" s="103" t="s">
        <v>11965</v>
      </c>
      <c r="R907" s="58"/>
      <c r="S907" s="58"/>
      <c r="T907" s="58"/>
      <c r="U907" s="58"/>
      <c r="V907" s="58"/>
      <c r="W907" s="58"/>
      <c r="X907" s="58"/>
    </row>
    <row r="908" ht="25.5" spans="1:24">
      <c r="A908" s="103" t="s">
        <v>3342</v>
      </c>
      <c r="B908" s="104" t="s">
        <v>139</v>
      </c>
      <c r="C908" s="104" t="s">
        <v>3343</v>
      </c>
      <c r="D908" s="104" t="s">
        <v>2961</v>
      </c>
      <c r="E908" s="105" t="s">
        <v>3084</v>
      </c>
      <c r="F908" s="103" t="s">
        <v>11973</v>
      </c>
      <c r="G908" s="103"/>
      <c r="H908" s="103" t="s">
        <v>11974</v>
      </c>
      <c r="I908" s="103"/>
      <c r="J908" s="103" t="s">
        <v>11975</v>
      </c>
      <c r="K908" s="103"/>
      <c r="L908" s="106">
        <v>146.856531889895</v>
      </c>
      <c r="M908" s="103" t="s">
        <v>11330</v>
      </c>
      <c r="N908" s="106">
        <v>19809073.3653592</v>
      </c>
      <c r="O908" s="103" t="s">
        <v>11965</v>
      </c>
      <c r="R908" s="58"/>
      <c r="S908" s="58"/>
      <c r="T908" s="58"/>
      <c r="U908" s="58"/>
      <c r="V908" s="58"/>
      <c r="W908" s="58"/>
      <c r="X908" s="58"/>
    </row>
    <row r="909" ht="25.5" spans="1:24">
      <c r="A909" s="103" t="s">
        <v>5487</v>
      </c>
      <c r="B909" s="104" t="s">
        <v>77</v>
      </c>
      <c r="C909" s="104" t="s">
        <v>5488</v>
      </c>
      <c r="D909" s="104" t="s">
        <v>2961</v>
      </c>
      <c r="E909" s="105" t="s">
        <v>393</v>
      </c>
      <c r="F909" s="103" t="s">
        <v>11976</v>
      </c>
      <c r="G909" s="103"/>
      <c r="H909" s="103" t="s">
        <v>11977</v>
      </c>
      <c r="I909" s="103"/>
      <c r="J909" s="103" t="s">
        <v>11978</v>
      </c>
      <c r="K909" s="103"/>
      <c r="L909" s="106">
        <v>142.892910134</v>
      </c>
      <c r="M909" s="103" t="s">
        <v>11330</v>
      </c>
      <c r="N909" s="106">
        <v>19809216.2582693</v>
      </c>
      <c r="O909" s="103" t="s">
        <v>11965</v>
      </c>
      <c r="R909" s="58"/>
      <c r="S909" s="58"/>
      <c r="T909" s="58"/>
      <c r="U909" s="58"/>
      <c r="V909" s="58"/>
      <c r="W909" s="58"/>
      <c r="X909" s="58"/>
    </row>
    <row r="910" ht="25.5" spans="1:24">
      <c r="A910" s="103" t="s">
        <v>5024</v>
      </c>
      <c r="B910" s="104" t="s">
        <v>139</v>
      </c>
      <c r="C910" s="104" t="s">
        <v>5025</v>
      </c>
      <c r="D910" s="104" t="s">
        <v>2961</v>
      </c>
      <c r="E910" s="105" t="s">
        <v>134</v>
      </c>
      <c r="F910" s="103" t="s">
        <v>9183</v>
      </c>
      <c r="G910" s="103"/>
      <c r="H910" s="103" t="s">
        <v>11979</v>
      </c>
      <c r="I910" s="103"/>
      <c r="J910" s="103" t="s">
        <v>11980</v>
      </c>
      <c r="K910" s="103"/>
      <c r="L910" s="106">
        <v>142.64</v>
      </c>
      <c r="M910" s="103" t="s">
        <v>11330</v>
      </c>
      <c r="N910" s="106">
        <v>19809358.8982693</v>
      </c>
      <c r="O910" s="103" t="s">
        <v>11965</v>
      </c>
      <c r="R910" s="58"/>
      <c r="S910" s="58"/>
      <c r="T910" s="58"/>
      <c r="U910" s="58"/>
      <c r="V910" s="58"/>
      <c r="W910" s="58"/>
      <c r="X910" s="58"/>
    </row>
    <row r="911" ht="25.5" spans="1:24">
      <c r="A911" s="103" t="s">
        <v>5022</v>
      </c>
      <c r="B911" s="104" t="s">
        <v>139</v>
      </c>
      <c r="C911" s="104" t="s">
        <v>5023</v>
      </c>
      <c r="D911" s="104" t="s">
        <v>2961</v>
      </c>
      <c r="E911" s="105" t="s">
        <v>134</v>
      </c>
      <c r="F911" s="103" t="s">
        <v>9183</v>
      </c>
      <c r="G911" s="103"/>
      <c r="H911" s="103" t="s">
        <v>11979</v>
      </c>
      <c r="I911" s="103"/>
      <c r="J911" s="103" t="s">
        <v>11980</v>
      </c>
      <c r="K911" s="103"/>
      <c r="L911" s="106">
        <v>142.64</v>
      </c>
      <c r="M911" s="103" t="s">
        <v>11330</v>
      </c>
      <c r="N911" s="106">
        <v>19809501.5382693</v>
      </c>
      <c r="O911" s="103" t="s">
        <v>11965</v>
      </c>
      <c r="R911" s="58"/>
      <c r="S911" s="58"/>
      <c r="T911" s="58"/>
      <c r="U911" s="58"/>
      <c r="V911" s="58"/>
      <c r="W911" s="58"/>
      <c r="X911" s="58"/>
    </row>
    <row r="912" spans="1:24">
      <c r="A912" s="103" t="s">
        <v>5932</v>
      </c>
      <c r="B912" s="104" t="s">
        <v>77</v>
      </c>
      <c r="C912" s="104" t="s">
        <v>5933</v>
      </c>
      <c r="D912" s="104" t="s">
        <v>2961</v>
      </c>
      <c r="E912" s="105" t="s">
        <v>134</v>
      </c>
      <c r="F912" s="103" t="s">
        <v>11981</v>
      </c>
      <c r="G912" s="103"/>
      <c r="H912" s="103" t="s">
        <v>11982</v>
      </c>
      <c r="I912" s="103"/>
      <c r="J912" s="103" t="s">
        <v>11983</v>
      </c>
      <c r="K912" s="103"/>
      <c r="L912" s="106">
        <v>141.75269052</v>
      </c>
      <c r="M912" s="103" t="s">
        <v>11330</v>
      </c>
      <c r="N912" s="106">
        <v>19809643.2909598</v>
      </c>
      <c r="O912" s="103" t="s">
        <v>11965</v>
      </c>
      <c r="R912" s="58"/>
      <c r="S912" s="58"/>
      <c r="T912" s="58"/>
      <c r="U912" s="58"/>
      <c r="V912" s="58"/>
      <c r="W912" s="58"/>
      <c r="X912" s="58"/>
    </row>
    <row r="913" ht="25.5" spans="1:24">
      <c r="A913" s="103" t="s">
        <v>3999</v>
      </c>
      <c r="B913" s="104" t="s">
        <v>149</v>
      </c>
      <c r="C913" s="104" t="s">
        <v>4000</v>
      </c>
      <c r="D913" s="104" t="s">
        <v>2961</v>
      </c>
      <c r="E913" s="105" t="s">
        <v>134</v>
      </c>
      <c r="F913" s="103" t="s">
        <v>11984</v>
      </c>
      <c r="G913" s="103"/>
      <c r="H913" s="103" t="s">
        <v>11985</v>
      </c>
      <c r="I913" s="103"/>
      <c r="J913" s="103" t="s">
        <v>11986</v>
      </c>
      <c r="K913" s="103"/>
      <c r="L913" s="106">
        <v>140.59998594</v>
      </c>
      <c r="M913" s="103" t="s">
        <v>11330</v>
      </c>
      <c r="N913" s="106">
        <v>19809783.8909458</v>
      </c>
      <c r="O913" s="103" t="s">
        <v>11965</v>
      </c>
      <c r="R913" s="58"/>
      <c r="S913" s="58"/>
      <c r="T913" s="58"/>
      <c r="U913" s="58"/>
      <c r="V913" s="58"/>
      <c r="W913" s="58"/>
      <c r="X913" s="58"/>
    </row>
    <row r="914" ht="25.5" spans="1:24">
      <c r="A914" s="103" t="s">
        <v>5114</v>
      </c>
      <c r="B914" s="104" t="s">
        <v>149</v>
      </c>
      <c r="C914" s="104" t="s">
        <v>5115</v>
      </c>
      <c r="D914" s="104" t="s">
        <v>2961</v>
      </c>
      <c r="E914" s="105" t="s">
        <v>393</v>
      </c>
      <c r="F914" s="103" t="s">
        <v>11987</v>
      </c>
      <c r="G914" s="103"/>
      <c r="H914" s="103" t="s">
        <v>11988</v>
      </c>
      <c r="I914" s="103"/>
      <c r="J914" s="103" t="s">
        <v>11989</v>
      </c>
      <c r="K914" s="103"/>
      <c r="L914" s="106">
        <v>137.69005</v>
      </c>
      <c r="M914" s="103" t="s">
        <v>11330</v>
      </c>
      <c r="N914" s="106">
        <v>19809921.5809958</v>
      </c>
      <c r="O914" s="103" t="s">
        <v>11965</v>
      </c>
      <c r="R914" s="58"/>
      <c r="S914" s="58"/>
      <c r="T914" s="58"/>
      <c r="U914" s="58"/>
      <c r="V914" s="58"/>
      <c r="W914" s="58"/>
      <c r="X914" s="58"/>
    </row>
    <row r="915" ht="25.5" spans="1:24">
      <c r="A915" s="103" t="s">
        <v>5776</v>
      </c>
      <c r="B915" s="104" t="s">
        <v>77</v>
      </c>
      <c r="C915" s="104" t="s">
        <v>5777</v>
      </c>
      <c r="D915" s="104" t="s">
        <v>3395</v>
      </c>
      <c r="E915" s="105" t="s">
        <v>134</v>
      </c>
      <c r="F915" s="103" t="s">
        <v>11990</v>
      </c>
      <c r="G915" s="103"/>
      <c r="H915" s="103" t="s">
        <v>11991</v>
      </c>
      <c r="I915" s="103"/>
      <c r="J915" s="103" t="s">
        <v>11992</v>
      </c>
      <c r="K915" s="103"/>
      <c r="L915" s="106">
        <v>135.574572596064</v>
      </c>
      <c r="M915" s="103" t="s">
        <v>11330</v>
      </c>
      <c r="N915" s="106">
        <v>19810057.1555684</v>
      </c>
      <c r="O915" s="103" t="s">
        <v>11965</v>
      </c>
      <c r="R915" s="58"/>
      <c r="S915" s="58"/>
      <c r="T915" s="58"/>
      <c r="U915" s="58"/>
      <c r="V915" s="58"/>
      <c r="W915" s="58"/>
      <c r="X915" s="58"/>
    </row>
    <row r="916" spans="1:24">
      <c r="A916" s="103" t="s">
        <v>5205</v>
      </c>
      <c r="B916" s="104" t="s">
        <v>139</v>
      </c>
      <c r="C916" s="104" t="s">
        <v>5206</v>
      </c>
      <c r="D916" s="104" t="s">
        <v>2961</v>
      </c>
      <c r="E916" s="105" t="s">
        <v>393</v>
      </c>
      <c r="F916" s="103" t="s">
        <v>11993</v>
      </c>
      <c r="G916" s="103"/>
      <c r="H916" s="103" t="s">
        <v>11994</v>
      </c>
      <c r="I916" s="103"/>
      <c r="J916" s="103" t="s">
        <v>11995</v>
      </c>
      <c r="K916" s="103"/>
      <c r="L916" s="106">
        <v>133.37149896</v>
      </c>
      <c r="M916" s="103" t="s">
        <v>11330</v>
      </c>
      <c r="N916" s="106">
        <v>19810190.5270673</v>
      </c>
      <c r="O916" s="103" t="s">
        <v>11965</v>
      </c>
      <c r="R916" s="58"/>
      <c r="S916" s="58"/>
      <c r="T916" s="58"/>
      <c r="U916" s="58"/>
      <c r="V916" s="58"/>
      <c r="W916" s="58"/>
      <c r="X916" s="58"/>
    </row>
    <row r="917" spans="1:24">
      <c r="A917" s="103" t="s">
        <v>5253</v>
      </c>
      <c r="B917" s="104" t="s">
        <v>132</v>
      </c>
      <c r="C917" s="104" t="s">
        <v>5254</v>
      </c>
      <c r="D917" s="104" t="s">
        <v>2961</v>
      </c>
      <c r="E917" s="105" t="s">
        <v>134</v>
      </c>
      <c r="F917" s="103" t="s">
        <v>11996</v>
      </c>
      <c r="G917" s="103"/>
      <c r="H917" s="103" t="s">
        <v>11997</v>
      </c>
      <c r="I917" s="103"/>
      <c r="J917" s="103" t="s">
        <v>11998</v>
      </c>
      <c r="K917" s="103"/>
      <c r="L917" s="106">
        <v>132.88365</v>
      </c>
      <c r="M917" s="103" t="s">
        <v>11330</v>
      </c>
      <c r="N917" s="106">
        <v>19810323.4107173</v>
      </c>
      <c r="O917" s="103" t="s">
        <v>11999</v>
      </c>
      <c r="R917" s="58"/>
      <c r="S917" s="58"/>
      <c r="T917" s="58"/>
      <c r="U917" s="58"/>
      <c r="V917" s="58"/>
      <c r="W917" s="58"/>
      <c r="X917" s="58"/>
    </row>
    <row r="918" ht="25.5" spans="1:24">
      <c r="A918" s="103" t="s">
        <v>3622</v>
      </c>
      <c r="B918" s="104" t="s">
        <v>139</v>
      </c>
      <c r="C918" s="104" t="s">
        <v>3623</v>
      </c>
      <c r="D918" s="104" t="s">
        <v>2961</v>
      </c>
      <c r="E918" s="105" t="s">
        <v>134</v>
      </c>
      <c r="F918" s="103" t="s">
        <v>10327</v>
      </c>
      <c r="G918" s="103"/>
      <c r="H918" s="103" t="s">
        <v>12000</v>
      </c>
      <c r="I918" s="103"/>
      <c r="J918" s="103" t="s">
        <v>12001</v>
      </c>
      <c r="K918" s="103"/>
      <c r="L918" s="106">
        <v>130.25</v>
      </c>
      <c r="M918" s="103" t="s">
        <v>11330</v>
      </c>
      <c r="N918" s="106">
        <v>19810453.6607173</v>
      </c>
      <c r="O918" s="103" t="s">
        <v>11999</v>
      </c>
      <c r="R918" s="58"/>
      <c r="S918" s="58"/>
      <c r="T918" s="58"/>
      <c r="U918" s="58"/>
      <c r="V918" s="58"/>
      <c r="W918" s="58"/>
      <c r="X918" s="58"/>
    </row>
    <row r="919" ht="25.5" spans="1:24">
      <c r="A919" s="103" t="s">
        <v>4685</v>
      </c>
      <c r="B919" s="104" t="s">
        <v>139</v>
      </c>
      <c r="C919" s="104" t="s">
        <v>4686</v>
      </c>
      <c r="D919" s="104" t="s">
        <v>2961</v>
      </c>
      <c r="E919" s="105" t="s">
        <v>134</v>
      </c>
      <c r="F919" s="103" t="s">
        <v>9091</v>
      </c>
      <c r="G919" s="103"/>
      <c r="H919" s="103" t="s">
        <v>12002</v>
      </c>
      <c r="I919" s="103"/>
      <c r="J919" s="103" t="s">
        <v>12002</v>
      </c>
      <c r="K919" s="103"/>
      <c r="L919" s="106">
        <v>126.9</v>
      </c>
      <c r="M919" s="103" t="s">
        <v>11330</v>
      </c>
      <c r="N919" s="106">
        <v>19810580.5607173</v>
      </c>
      <c r="O919" s="103" t="s">
        <v>11999</v>
      </c>
      <c r="R919" s="58"/>
      <c r="S919" s="58"/>
      <c r="T919" s="58"/>
      <c r="U919" s="58"/>
      <c r="V919" s="58"/>
      <c r="W919" s="58"/>
      <c r="X919" s="58"/>
    </row>
    <row r="920" ht="25.5" spans="1:24">
      <c r="A920" s="103" t="s">
        <v>5808</v>
      </c>
      <c r="B920" s="104" t="s">
        <v>139</v>
      </c>
      <c r="C920" s="104" t="s">
        <v>5809</v>
      </c>
      <c r="D920" s="104" t="s">
        <v>2961</v>
      </c>
      <c r="E920" s="105" t="s">
        <v>134</v>
      </c>
      <c r="F920" s="103" t="s">
        <v>12003</v>
      </c>
      <c r="G920" s="103"/>
      <c r="H920" s="103" t="s">
        <v>12004</v>
      </c>
      <c r="I920" s="103"/>
      <c r="J920" s="103" t="s">
        <v>12005</v>
      </c>
      <c r="K920" s="103"/>
      <c r="L920" s="106">
        <v>126.27076</v>
      </c>
      <c r="M920" s="103" t="s">
        <v>11330</v>
      </c>
      <c r="N920" s="106">
        <v>19810706.8314773</v>
      </c>
      <c r="O920" s="103" t="s">
        <v>11999</v>
      </c>
      <c r="R920" s="58"/>
      <c r="S920" s="58"/>
      <c r="T920" s="58"/>
      <c r="U920" s="58"/>
      <c r="V920" s="58"/>
      <c r="W920" s="58"/>
      <c r="X920" s="58"/>
    </row>
    <row r="921" ht="25.5" spans="1:24">
      <c r="A921" s="103" t="s">
        <v>6080</v>
      </c>
      <c r="B921" s="104" t="s">
        <v>77</v>
      </c>
      <c r="C921" s="104" t="s">
        <v>6081</v>
      </c>
      <c r="D921" s="104" t="s">
        <v>2961</v>
      </c>
      <c r="E921" s="105" t="s">
        <v>393</v>
      </c>
      <c r="F921" s="103" t="s">
        <v>12006</v>
      </c>
      <c r="G921" s="103"/>
      <c r="H921" s="103" t="s">
        <v>12007</v>
      </c>
      <c r="I921" s="103"/>
      <c r="J921" s="103" t="s">
        <v>12008</v>
      </c>
      <c r="K921" s="103"/>
      <c r="L921" s="106">
        <v>124.8067119211</v>
      </c>
      <c r="M921" s="103" t="s">
        <v>11330</v>
      </c>
      <c r="N921" s="106">
        <v>19810831.6381892</v>
      </c>
      <c r="O921" s="103" t="s">
        <v>11999</v>
      </c>
      <c r="R921" s="58"/>
      <c r="S921" s="58"/>
      <c r="T921" s="58"/>
      <c r="U921" s="58"/>
      <c r="V921" s="58"/>
      <c r="W921" s="58"/>
      <c r="X921" s="58"/>
    </row>
    <row r="922" ht="38.25" spans="1:24">
      <c r="A922" s="103" t="s">
        <v>6094</v>
      </c>
      <c r="B922" s="104" t="s">
        <v>139</v>
      </c>
      <c r="C922" s="104" t="s">
        <v>6095</v>
      </c>
      <c r="D922" s="104" t="s">
        <v>2961</v>
      </c>
      <c r="E922" s="105" t="s">
        <v>134</v>
      </c>
      <c r="F922" s="103" t="s">
        <v>9152</v>
      </c>
      <c r="G922" s="103"/>
      <c r="H922" s="103" t="s">
        <v>12009</v>
      </c>
      <c r="I922" s="103"/>
      <c r="J922" s="103" t="s">
        <v>12010</v>
      </c>
      <c r="K922" s="103"/>
      <c r="L922" s="106">
        <v>120.52</v>
      </c>
      <c r="M922" s="103" t="s">
        <v>11330</v>
      </c>
      <c r="N922" s="106">
        <v>19810952.1581892</v>
      </c>
      <c r="O922" s="103" t="s">
        <v>11999</v>
      </c>
      <c r="R922" s="58"/>
      <c r="S922" s="58"/>
      <c r="T922" s="58"/>
      <c r="U922" s="58"/>
      <c r="V922" s="58"/>
      <c r="W922" s="58"/>
      <c r="X922" s="58"/>
    </row>
    <row r="923" spans="1:24">
      <c r="A923" s="103" t="s">
        <v>4353</v>
      </c>
      <c r="B923" s="104" t="s">
        <v>796</v>
      </c>
      <c r="C923" s="104" t="s">
        <v>4354</v>
      </c>
      <c r="D923" s="104" t="s">
        <v>2961</v>
      </c>
      <c r="E923" s="105" t="s">
        <v>3712</v>
      </c>
      <c r="F923" s="103" t="s">
        <v>12011</v>
      </c>
      <c r="G923" s="103"/>
      <c r="H923" s="103" t="s">
        <v>12012</v>
      </c>
      <c r="I923" s="103"/>
      <c r="J923" s="103" t="s">
        <v>12013</v>
      </c>
      <c r="K923" s="103"/>
      <c r="L923" s="106">
        <v>119.295936</v>
      </c>
      <c r="M923" s="103" t="s">
        <v>11330</v>
      </c>
      <c r="N923" s="106">
        <v>19811071.4541252</v>
      </c>
      <c r="O923" s="103" t="s">
        <v>11999</v>
      </c>
      <c r="R923" s="58"/>
      <c r="S923" s="58"/>
      <c r="T923" s="58"/>
      <c r="U923" s="58"/>
      <c r="V923" s="58"/>
      <c r="W923" s="58"/>
      <c r="X923" s="58"/>
    </row>
    <row r="924" spans="1:24">
      <c r="A924" s="103" t="s">
        <v>4337</v>
      </c>
      <c r="B924" s="104" t="s">
        <v>796</v>
      </c>
      <c r="C924" s="104" t="s">
        <v>4338</v>
      </c>
      <c r="D924" s="104" t="s">
        <v>2961</v>
      </c>
      <c r="E924" s="105" t="s">
        <v>3712</v>
      </c>
      <c r="F924" s="103" t="s">
        <v>12014</v>
      </c>
      <c r="G924" s="103"/>
      <c r="H924" s="103" t="s">
        <v>8705</v>
      </c>
      <c r="I924" s="103"/>
      <c r="J924" s="103" t="s">
        <v>12015</v>
      </c>
      <c r="K924" s="103"/>
      <c r="L924" s="106">
        <v>118.71156</v>
      </c>
      <c r="M924" s="103" t="s">
        <v>11330</v>
      </c>
      <c r="N924" s="106">
        <v>19811190.1656852</v>
      </c>
      <c r="O924" s="103" t="s">
        <v>11999</v>
      </c>
      <c r="R924" s="58"/>
      <c r="S924" s="58"/>
      <c r="T924" s="58"/>
      <c r="U924" s="58"/>
      <c r="V924" s="58"/>
      <c r="W924" s="58"/>
      <c r="X924" s="58"/>
    </row>
    <row r="925" ht="51" spans="1:24">
      <c r="A925" s="103" t="s">
        <v>5616</v>
      </c>
      <c r="B925" s="104" t="s">
        <v>139</v>
      </c>
      <c r="C925" s="104" t="s">
        <v>5617</v>
      </c>
      <c r="D925" s="104" t="s">
        <v>3680</v>
      </c>
      <c r="E925" s="105" t="s">
        <v>134</v>
      </c>
      <c r="F925" s="103" t="s">
        <v>12016</v>
      </c>
      <c r="G925" s="103"/>
      <c r="H925" s="103" t="s">
        <v>12017</v>
      </c>
      <c r="I925" s="103"/>
      <c r="J925" s="103" t="s">
        <v>12018</v>
      </c>
      <c r="K925" s="103"/>
      <c r="L925" s="106">
        <v>116.630082108508</v>
      </c>
      <c r="M925" s="103" t="s">
        <v>11330</v>
      </c>
      <c r="N925" s="106">
        <v>19811306.7957673</v>
      </c>
      <c r="O925" s="103" t="s">
        <v>11999</v>
      </c>
      <c r="R925" s="58"/>
      <c r="S925" s="58"/>
      <c r="T925" s="58"/>
      <c r="U925" s="58"/>
      <c r="V925" s="58"/>
      <c r="W925" s="58"/>
      <c r="X925" s="58"/>
    </row>
    <row r="926" ht="25.5" spans="1:24">
      <c r="A926" s="103" t="s">
        <v>5812</v>
      </c>
      <c r="B926" s="104" t="s">
        <v>139</v>
      </c>
      <c r="C926" s="104" t="s">
        <v>5813</v>
      </c>
      <c r="D926" s="104" t="s">
        <v>2961</v>
      </c>
      <c r="E926" s="105" t="s">
        <v>204</v>
      </c>
      <c r="F926" s="103" t="s">
        <v>12019</v>
      </c>
      <c r="G926" s="103"/>
      <c r="H926" s="103" t="s">
        <v>10958</v>
      </c>
      <c r="I926" s="103"/>
      <c r="J926" s="103" t="s">
        <v>12020</v>
      </c>
      <c r="K926" s="103"/>
      <c r="L926" s="106">
        <v>116.5375215</v>
      </c>
      <c r="M926" s="103" t="s">
        <v>11330</v>
      </c>
      <c r="N926" s="106">
        <v>19811423.3332888</v>
      </c>
      <c r="O926" s="103" t="s">
        <v>11999</v>
      </c>
      <c r="R926" s="58"/>
      <c r="S926" s="58"/>
      <c r="T926" s="58"/>
      <c r="U926" s="58"/>
      <c r="V926" s="58"/>
      <c r="W926" s="58"/>
      <c r="X926" s="58"/>
    </row>
    <row r="927" ht="25.5" spans="1:24">
      <c r="A927" s="103" t="s">
        <v>3159</v>
      </c>
      <c r="B927" s="104" t="s">
        <v>139</v>
      </c>
      <c r="C927" s="104" t="s">
        <v>3160</v>
      </c>
      <c r="D927" s="104" t="s">
        <v>2961</v>
      </c>
      <c r="E927" s="105" t="s">
        <v>134</v>
      </c>
      <c r="F927" s="103" t="s">
        <v>10855</v>
      </c>
      <c r="G927" s="103"/>
      <c r="H927" s="103" t="s">
        <v>12021</v>
      </c>
      <c r="I927" s="103"/>
      <c r="J927" s="103" t="s">
        <v>12022</v>
      </c>
      <c r="K927" s="103"/>
      <c r="L927" s="106">
        <v>115.83</v>
      </c>
      <c r="M927" s="103" t="s">
        <v>11330</v>
      </c>
      <c r="N927" s="106">
        <v>19811539.1632888</v>
      </c>
      <c r="O927" s="103" t="s">
        <v>11999</v>
      </c>
      <c r="R927" s="58"/>
      <c r="S927" s="58"/>
      <c r="T927" s="58"/>
      <c r="U927" s="58"/>
      <c r="V927" s="58"/>
      <c r="W927" s="58"/>
      <c r="X927" s="58"/>
    </row>
    <row r="928" ht="25.5" spans="1:24">
      <c r="A928" s="103" t="s">
        <v>5606</v>
      </c>
      <c r="B928" s="104" t="s">
        <v>139</v>
      </c>
      <c r="C928" s="104" t="s">
        <v>5607</v>
      </c>
      <c r="D928" s="104" t="s">
        <v>2961</v>
      </c>
      <c r="E928" s="105" t="s">
        <v>134</v>
      </c>
      <c r="F928" s="103" t="s">
        <v>12023</v>
      </c>
      <c r="G928" s="103"/>
      <c r="H928" s="103" t="s">
        <v>7407</v>
      </c>
      <c r="I928" s="103"/>
      <c r="J928" s="103" t="s">
        <v>12024</v>
      </c>
      <c r="K928" s="103"/>
      <c r="L928" s="106">
        <v>115.07634</v>
      </c>
      <c r="M928" s="103" t="s">
        <v>11330</v>
      </c>
      <c r="N928" s="106">
        <v>19811654.2396288</v>
      </c>
      <c r="O928" s="103" t="s">
        <v>11999</v>
      </c>
      <c r="R928" s="58"/>
      <c r="S928" s="58"/>
      <c r="T928" s="58"/>
      <c r="U928" s="58"/>
      <c r="V928" s="58"/>
      <c r="W928" s="58"/>
      <c r="X928" s="58"/>
    </row>
    <row r="929" spans="1:24">
      <c r="A929" s="103" t="s">
        <v>5004</v>
      </c>
      <c r="B929" s="104" t="s">
        <v>149</v>
      </c>
      <c r="C929" s="104" t="s">
        <v>5005</v>
      </c>
      <c r="D929" s="104" t="s">
        <v>2961</v>
      </c>
      <c r="E929" s="105" t="s">
        <v>134</v>
      </c>
      <c r="F929" s="103" t="s">
        <v>9183</v>
      </c>
      <c r="G929" s="103"/>
      <c r="H929" s="103" t="s">
        <v>12025</v>
      </c>
      <c r="I929" s="103"/>
      <c r="J929" s="103" t="s">
        <v>12026</v>
      </c>
      <c r="K929" s="103"/>
      <c r="L929" s="106">
        <v>114.98</v>
      </c>
      <c r="M929" s="103" t="s">
        <v>11330</v>
      </c>
      <c r="N929" s="106">
        <v>19811769.2196288</v>
      </c>
      <c r="O929" s="103" t="s">
        <v>11999</v>
      </c>
      <c r="R929" s="58"/>
      <c r="S929" s="58"/>
      <c r="T929" s="58"/>
      <c r="U929" s="58"/>
      <c r="V929" s="58"/>
      <c r="W929" s="58"/>
      <c r="X929" s="58"/>
    </row>
    <row r="930" ht="25.5" spans="1:24">
      <c r="A930" s="103" t="s">
        <v>4361</v>
      </c>
      <c r="B930" s="104" t="s">
        <v>149</v>
      </c>
      <c r="C930" s="104" t="s">
        <v>4362</v>
      </c>
      <c r="D930" s="104" t="s">
        <v>2961</v>
      </c>
      <c r="E930" s="105" t="s">
        <v>134</v>
      </c>
      <c r="F930" s="103" t="s">
        <v>12027</v>
      </c>
      <c r="G930" s="103"/>
      <c r="H930" s="103" t="s">
        <v>12028</v>
      </c>
      <c r="I930" s="103"/>
      <c r="J930" s="103" t="s">
        <v>12029</v>
      </c>
      <c r="K930" s="103"/>
      <c r="L930" s="106">
        <v>114.84</v>
      </c>
      <c r="M930" s="103" t="s">
        <v>11330</v>
      </c>
      <c r="N930" s="106">
        <v>19811884.0596288</v>
      </c>
      <c r="O930" s="103" t="s">
        <v>11999</v>
      </c>
      <c r="R930" s="58"/>
      <c r="S930" s="58"/>
      <c r="T930" s="58"/>
      <c r="U930" s="58"/>
      <c r="V930" s="58"/>
      <c r="W930" s="58"/>
      <c r="X930" s="58"/>
    </row>
    <row r="931" spans="1:24">
      <c r="A931" s="103" t="s">
        <v>3287</v>
      </c>
      <c r="B931" s="104" t="s">
        <v>149</v>
      </c>
      <c r="C931" s="104" t="s">
        <v>3288</v>
      </c>
      <c r="D931" s="104" t="s">
        <v>2961</v>
      </c>
      <c r="E931" s="105" t="s">
        <v>2897</v>
      </c>
      <c r="F931" s="103" t="s">
        <v>12030</v>
      </c>
      <c r="G931" s="103"/>
      <c r="H931" s="103" t="s">
        <v>12031</v>
      </c>
      <c r="I931" s="103"/>
      <c r="J931" s="103" t="s">
        <v>12032</v>
      </c>
      <c r="K931" s="103"/>
      <c r="L931" s="106">
        <v>113.315625</v>
      </c>
      <c r="M931" s="103" t="s">
        <v>11330</v>
      </c>
      <c r="N931" s="106">
        <v>19811997.3752538</v>
      </c>
      <c r="O931" s="103" t="s">
        <v>11999</v>
      </c>
      <c r="R931" s="58"/>
      <c r="S931" s="58"/>
      <c r="T931" s="58"/>
      <c r="U931" s="58"/>
      <c r="V931" s="58"/>
      <c r="W931" s="58"/>
      <c r="X931" s="58"/>
    </row>
    <row r="932" ht="25.5" spans="1:24">
      <c r="A932" s="103" t="s">
        <v>4161</v>
      </c>
      <c r="B932" s="104" t="s">
        <v>77</v>
      </c>
      <c r="C932" s="104" t="s">
        <v>4162</v>
      </c>
      <c r="D932" s="104" t="s">
        <v>2961</v>
      </c>
      <c r="E932" s="105" t="s">
        <v>134</v>
      </c>
      <c r="F932" s="103" t="s">
        <v>10423</v>
      </c>
      <c r="G932" s="103"/>
      <c r="H932" s="103" t="s">
        <v>12033</v>
      </c>
      <c r="I932" s="103"/>
      <c r="J932" s="103" t="s">
        <v>12034</v>
      </c>
      <c r="K932" s="103"/>
      <c r="L932" s="106">
        <v>112.74</v>
      </c>
      <c r="M932" s="103" t="s">
        <v>11330</v>
      </c>
      <c r="N932" s="106">
        <v>19812110.1152538</v>
      </c>
      <c r="O932" s="103" t="s">
        <v>11999</v>
      </c>
      <c r="R932" s="58"/>
      <c r="S932" s="58"/>
      <c r="T932" s="58"/>
      <c r="U932" s="58"/>
      <c r="V932" s="58"/>
      <c r="W932" s="58"/>
      <c r="X932" s="58"/>
    </row>
    <row r="933" spans="1:24">
      <c r="A933" s="103" t="s">
        <v>5982</v>
      </c>
      <c r="B933" s="104" t="s">
        <v>796</v>
      </c>
      <c r="C933" s="104" t="s">
        <v>5983</v>
      </c>
      <c r="D933" s="104" t="s">
        <v>2961</v>
      </c>
      <c r="E933" s="105" t="s">
        <v>3712</v>
      </c>
      <c r="F933" s="103" t="s">
        <v>12035</v>
      </c>
      <c r="G933" s="103"/>
      <c r="H933" s="103" t="s">
        <v>12036</v>
      </c>
      <c r="I933" s="103"/>
      <c r="J933" s="103" t="s">
        <v>12037</v>
      </c>
      <c r="K933" s="103"/>
      <c r="L933" s="106">
        <v>111.969</v>
      </c>
      <c r="M933" s="103" t="s">
        <v>11330</v>
      </c>
      <c r="N933" s="106">
        <v>19812222.0842538</v>
      </c>
      <c r="O933" s="103" t="s">
        <v>11999</v>
      </c>
      <c r="R933" s="58"/>
      <c r="S933" s="58"/>
      <c r="T933" s="58"/>
      <c r="U933" s="58"/>
      <c r="V933" s="58"/>
      <c r="W933" s="58"/>
      <c r="X933" s="58"/>
    </row>
    <row r="934" ht="38.25" spans="1:24">
      <c r="A934" s="103" t="s">
        <v>3101</v>
      </c>
      <c r="B934" s="104" t="s">
        <v>139</v>
      </c>
      <c r="C934" s="104" t="s">
        <v>3102</v>
      </c>
      <c r="D934" s="104" t="s">
        <v>2961</v>
      </c>
      <c r="E934" s="105" t="s">
        <v>1491</v>
      </c>
      <c r="F934" s="103" t="s">
        <v>11079</v>
      </c>
      <c r="G934" s="103"/>
      <c r="H934" s="103" t="s">
        <v>6884</v>
      </c>
      <c r="I934" s="103"/>
      <c r="J934" s="103" t="s">
        <v>12038</v>
      </c>
      <c r="K934" s="103"/>
      <c r="L934" s="106">
        <v>110.2534272</v>
      </c>
      <c r="M934" s="103" t="s">
        <v>11330</v>
      </c>
      <c r="N934" s="106">
        <v>19812332.337681</v>
      </c>
      <c r="O934" s="103" t="s">
        <v>12039</v>
      </c>
      <c r="R934" s="58"/>
      <c r="S934" s="58"/>
      <c r="T934" s="58"/>
      <c r="U934" s="58"/>
      <c r="V934" s="58"/>
      <c r="W934" s="58"/>
      <c r="X934" s="58"/>
    </row>
    <row r="935" spans="1:24">
      <c r="A935" s="103" t="s">
        <v>3974</v>
      </c>
      <c r="B935" s="104" t="s">
        <v>77</v>
      </c>
      <c r="C935" s="104" t="s">
        <v>3975</v>
      </c>
      <c r="D935" s="104" t="s">
        <v>2961</v>
      </c>
      <c r="E935" s="105" t="s">
        <v>134</v>
      </c>
      <c r="F935" s="103" t="s">
        <v>11267</v>
      </c>
      <c r="G935" s="103"/>
      <c r="H935" s="103" t="s">
        <v>7309</v>
      </c>
      <c r="I935" s="103"/>
      <c r="J935" s="103" t="s">
        <v>12040</v>
      </c>
      <c r="K935" s="103"/>
      <c r="L935" s="106">
        <v>106.56</v>
      </c>
      <c r="M935" s="103" t="s">
        <v>11330</v>
      </c>
      <c r="N935" s="106">
        <v>19812438.897681</v>
      </c>
      <c r="O935" s="103" t="s">
        <v>12039</v>
      </c>
      <c r="R935" s="58"/>
      <c r="S935" s="58"/>
      <c r="T935" s="58"/>
      <c r="U935" s="58"/>
      <c r="V935" s="58"/>
      <c r="W935" s="58"/>
      <c r="X935" s="58"/>
    </row>
    <row r="936" ht="63.75" spans="1:24">
      <c r="A936" s="103" t="s">
        <v>5545</v>
      </c>
      <c r="B936" s="104" t="s">
        <v>139</v>
      </c>
      <c r="C936" s="104" t="s">
        <v>5546</v>
      </c>
      <c r="D936" s="104" t="s">
        <v>3680</v>
      </c>
      <c r="E936" s="105" t="s">
        <v>134</v>
      </c>
      <c r="F936" s="103" t="s">
        <v>12041</v>
      </c>
      <c r="G936" s="103"/>
      <c r="H936" s="103" t="s">
        <v>12042</v>
      </c>
      <c r="I936" s="103"/>
      <c r="J936" s="103" t="s">
        <v>12043</v>
      </c>
      <c r="K936" s="103"/>
      <c r="L936" s="106">
        <v>105.993592259319</v>
      </c>
      <c r="M936" s="103" t="s">
        <v>11330</v>
      </c>
      <c r="N936" s="106">
        <v>19812544.8912733</v>
      </c>
      <c r="O936" s="103" t="s">
        <v>12039</v>
      </c>
      <c r="R936" s="58"/>
      <c r="S936" s="58"/>
      <c r="T936" s="58"/>
      <c r="U936" s="58"/>
      <c r="V936" s="58"/>
      <c r="W936" s="58"/>
      <c r="X936" s="58"/>
    </row>
    <row r="937" ht="25.5" spans="1:24">
      <c r="A937" s="103" t="s">
        <v>3565</v>
      </c>
      <c r="B937" s="104" t="s">
        <v>149</v>
      </c>
      <c r="C937" s="104" t="s">
        <v>3566</v>
      </c>
      <c r="D937" s="104" t="s">
        <v>2961</v>
      </c>
      <c r="E937" s="105" t="s">
        <v>204</v>
      </c>
      <c r="F937" s="103" t="s">
        <v>9523</v>
      </c>
      <c r="G937" s="103"/>
      <c r="H937" s="103" t="s">
        <v>12044</v>
      </c>
      <c r="I937" s="103"/>
      <c r="J937" s="103" t="s">
        <v>12045</v>
      </c>
      <c r="K937" s="103"/>
      <c r="L937" s="106">
        <v>105.0732</v>
      </c>
      <c r="M937" s="103" t="s">
        <v>11330</v>
      </c>
      <c r="N937" s="106">
        <v>19812649.9644733</v>
      </c>
      <c r="O937" s="103" t="s">
        <v>12039</v>
      </c>
      <c r="R937" s="58"/>
      <c r="S937" s="58"/>
      <c r="T937" s="58"/>
      <c r="U937" s="58"/>
      <c r="V937" s="58"/>
      <c r="W937" s="58"/>
      <c r="X937" s="58"/>
    </row>
    <row r="938" ht="25.5" spans="1:24">
      <c r="A938" s="103" t="s">
        <v>5451</v>
      </c>
      <c r="B938" s="104" t="s">
        <v>139</v>
      </c>
      <c r="C938" s="104" t="s">
        <v>5452</v>
      </c>
      <c r="D938" s="104" t="s">
        <v>2961</v>
      </c>
      <c r="E938" s="105" t="s">
        <v>393</v>
      </c>
      <c r="F938" s="103" t="s">
        <v>12046</v>
      </c>
      <c r="G938" s="103"/>
      <c r="H938" s="103" t="s">
        <v>12047</v>
      </c>
      <c r="I938" s="103"/>
      <c r="J938" s="103" t="s">
        <v>12048</v>
      </c>
      <c r="K938" s="103"/>
      <c r="L938" s="106">
        <v>103.57632</v>
      </c>
      <c r="M938" s="103" t="s">
        <v>11330</v>
      </c>
      <c r="N938" s="106">
        <v>19812753.5407933</v>
      </c>
      <c r="O938" s="103" t="s">
        <v>12039</v>
      </c>
      <c r="R938" s="58"/>
      <c r="S938" s="58"/>
      <c r="T938" s="58"/>
      <c r="U938" s="58"/>
      <c r="V938" s="58"/>
      <c r="W938" s="58"/>
      <c r="X938" s="58"/>
    </row>
    <row r="939" spans="1:24">
      <c r="A939" s="103" t="s">
        <v>3976</v>
      </c>
      <c r="B939" s="104" t="s">
        <v>132</v>
      </c>
      <c r="C939" s="104" t="s">
        <v>3977</v>
      </c>
      <c r="D939" s="104" t="s">
        <v>2961</v>
      </c>
      <c r="E939" s="105" t="s">
        <v>134</v>
      </c>
      <c r="F939" s="103" t="s">
        <v>10423</v>
      </c>
      <c r="G939" s="103"/>
      <c r="H939" s="103" t="s">
        <v>12049</v>
      </c>
      <c r="I939" s="103"/>
      <c r="J939" s="103" t="s">
        <v>12050</v>
      </c>
      <c r="K939" s="103"/>
      <c r="L939" s="106">
        <v>103.32</v>
      </c>
      <c r="M939" s="103" t="s">
        <v>11330</v>
      </c>
      <c r="N939" s="106">
        <v>19812856.8607933</v>
      </c>
      <c r="O939" s="103" t="s">
        <v>12039</v>
      </c>
      <c r="R939" s="58"/>
      <c r="S939" s="58"/>
      <c r="T939" s="58"/>
      <c r="U939" s="58"/>
      <c r="V939" s="58"/>
      <c r="W939" s="58"/>
      <c r="X939" s="58"/>
    </row>
    <row r="940" ht="25.5" spans="1:24">
      <c r="A940" s="103" t="s">
        <v>6020</v>
      </c>
      <c r="B940" s="104" t="s">
        <v>139</v>
      </c>
      <c r="C940" s="104" t="s">
        <v>6021</v>
      </c>
      <c r="D940" s="104" t="s">
        <v>2961</v>
      </c>
      <c r="E940" s="105" t="s">
        <v>2897</v>
      </c>
      <c r="F940" s="103" t="s">
        <v>12051</v>
      </c>
      <c r="G940" s="103"/>
      <c r="H940" s="103" t="s">
        <v>12052</v>
      </c>
      <c r="I940" s="103"/>
      <c r="J940" s="103" t="s">
        <v>12053</v>
      </c>
      <c r="K940" s="103"/>
      <c r="L940" s="106">
        <v>103.1032912</v>
      </c>
      <c r="M940" s="103" t="s">
        <v>11330</v>
      </c>
      <c r="N940" s="106">
        <v>19812959.9640845</v>
      </c>
      <c r="O940" s="103" t="s">
        <v>12039</v>
      </c>
      <c r="R940" s="58"/>
      <c r="S940" s="58"/>
      <c r="T940" s="58"/>
      <c r="U940" s="58"/>
      <c r="V940" s="58"/>
      <c r="W940" s="58"/>
      <c r="X940" s="58"/>
    </row>
    <row r="941" spans="1:24">
      <c r="A941" s="103" t="s">
        <v>4099</v>
      </c>
      <c r="B941" s="104" t="s">
        <v>149</v>
      </c>
      <c r="C941" s="104" t="s">
        <v>4100</v>
      </c>
      <c r="D941" s="104" t="s">
        <v>2961</v>
      </c>
      <c r="E941" s="105" t="s">
        <v>279</v>
      </c>
      <c r="F941" s="103" t="s">
        <v>12054</v>
      </c>
      <c r="G941" s="103"/>
      <c r="H941" s="103" t="s">
        <v>11333</v>
      </c>
      <c r="I941" s="103"/>
      <c r="J941" s="103" t="s">
        <v>12055</v>
      </c>
      <c r="K941" s="103"/>
      <c r="L941" s="106">
        <v>101.1582</v>
      </c>
      <c r="M941" s="103" t="s">
        <v>11330</v>
      </c>
      <c r="N941" s="106">
        <v>19813061.1222845</v>
      </c>
      <c r="O941" s="103" t="s">
        <v>12039</v>
      </c>
      <c r="R941" s="58"/>
      <c r="S941" s="58"/>
      <c r="T941" s="58"/>
      <c r="U941" s="58"/>
      <c r="V941" s="58"/>
      <c r="W941" s="58"/>
      <c r="X941" s="58"/>
    </row>
    <row r="942" ht="25.5" spans="1:24">
      <c r="A942" s="103" t="s">
        <v>4152</v>
      </c>
      <c r="B942" s="104" t="s">
        <v>77</v>
      </c>
      <c r="C942" s="104" t="s">
        <v>4153</v>
      </c>
      <c r="D942" s="104" t="s">
        <v>2961</v>
      </c>
      <c r="E942" s="105" t="s">
        <v>134</v>
      </c>
      <c r="F942" s="103" t="s">
        <v>10423</v>
      </c>
      <c r="G942" s="103"/>
      <c r="H942" s="103" t="s">
        <v>12056</v>
      </c>
      <c r="I942" s="103"/>
      <c r="J942" s="103" t="s">
        <v>12057</v>
      </c>
      <c r="K942" s="103"/>
      <c r="L942" s="106">
        <v>100.32</v>
      </c>
      <c r="M942" s="103" t="s">
        <v>11330</v>
      </c>
      <c r="N942" s="106">
        <v>19813161.4422845</v>
      </c>
      <c r="O942" s="103" t="s">
        <v>12039</v>
      </c>
      <c r="R942" s="58"/>
      <c r="S942" s="58"/>
      <c r="T942" s="58"/>
      <c r="U942" s="58"/>
      <c r="V942" s="58"/>
      <c r="W942" s="58"/>
      <c r="X942" s="58"/>
    </row>
    <row r="943" ht="25.5" spans="1:24">
      <c r="A943" s="103" t="s">
        <v>4502</v>
      </c>
      <c r="B943" s="104" t="s">
        <v>77</v>
      </c>
      <c r="C943" s="104" t="s">
        <v>4503</v>
      </c>
      <c r="D943" s="104" t="s">
        <v>2961</v>
      </c>
      <c r="E943" s="105" t="s">
        <v>134</v>
      </c>
      <c r="F943" s="103" t="s">
        <v>9183</v>
      </c>
      <c r="G943" s="103"/>
      <c r="H943" s="103" t="s">
        <v>7036</v>
      </c>
      <c r="I943" s="103"/>
      <c r="J943" s="103" t="s">
        <v>7755</v>
      </c>
      <c r="K943" s="103"/>
      <c r="L943" s="106">
        <v>94.7</v>
      </c>
      <c r="M943" s="103" t="s">
        <v>11330</v>
      </c>
      <c r="N943" s="106">
        <v>19813256.1422845</v>
      </c>
      <c r="O943" s="103" t="s">
        <v>12039</v>
      </c>
      <c r="R943" s="58"/>
      <c r="S943" s="58"/>
      <c r="T943" s="58"/>
      <c r="U943" s="58"/>
      <c r="V943" s="58"/>
      <c r="W943" s="58"/>
      <c r="X943" s="58"/>
    </row>
    <row r="944" spans="1:24">
      <c r="A944" s="103" t="s">
        <v>5523</v>
      </c>
      <c r="B944" s="104" t="s">
        <v>77</v>
      </c>
      <c r="C944" s="104" t="s">
        <v>5524</v>
      </c>
      <c r="D944" s="104" t="s">
        <v>2961</v>
      </c>
      <c r="E944" s="105" t="s">
        <v>134</v>
      </c>
      <c r="F944" s="103" t="s">
        <v>12058</v>
      </c>
      <c r="G944" s="103"/>
      <c r="H944" s="103" t="s">
        <v>12059</v>
      </c>
      <c r="I944" s="103"/>
      <c r="J944" s="103" t="s">
        <v>7716</v>
      </c>
      <c r="K944" s="103"/>
      <c r="L944" s="106">
        <v>94.1534472384</v>
      </c>
      <c r="M944" s="103" t="s">
        <v>11330</v>
      </c>
      <c r="N944" s="106">
        <v>19813350.2957317</v>
      </c>
      <c r="O944" s="103" t="s">
        <v>12039</v>
      </c>
      <c r="R944" s="58"/>
      <c r="S944" s="58"/>
      <c r="T944" s="58"/>
      <c r="U944" s="58"/>
      <c r="V944" s="58"/>
      <c r="W944" s="58"/>
      <c r="X944" s="58"/>
    </row>
    <row r="945" spans="1:24">
      <c r="A945" s="103" t="s">
        <v>5229</v>
      </c>
      <c r="B945" s="104" t="s">
        <v>149</v>
      </c>
      <c r="C945" s="104" t="s">
        <v>5230</v>
      </c>
      <c r="D945" s="104" t="s">
        <v>2961</v>
      </c>
      <c r="E945" s="105" t="s">
        <v>141</v>
      </c>
      <c r="F945" s="103" t="s">
        <v>12060</v>
      </c>
      <c r="G945" s="103"/>
      <c r="H945" s="103" t="s">
        <v>12061</v>
      </c>
      <c r="I945" s="103"/>
      <c r="J945" s="103" t="s">
        <v>7570</v>
      </c>
      <c r="K945" s="103"/>
      <c r="L945" s="106">
        <v>92.07744</v>
      </c>
      <c r="M945" s="103" t="s">
        <v>11330</v>
      </c>
      <c r="N945" s="106">
        <v>19813442.3731717</v>
      </c>
      <c r="O945" s="103" t="s">
        <v>12039</v>
      </c>
      <c r="R945" s="58"/>
      <c r="S945" s="58"/>
      <c r="T945" s="58"/>
      <c r="U945" s="58"/>
      <c r="V945" s="58"/>
      <c r="W945" s="58"/>
      <c r="X945" s="58"/>
    </row>
    <row r="946" spans="1:24">
      <c r="A946" s="103" t="s">
        <v>4857</v>
      </c>
      <c r="B946" s="104" t="s">
        <v>149</v>
      </c>
      <c r="C946" s="104" t="s">
        <v>4858</v>
      </c>
      <c r="D946" s="104" t="s">
        <v>2961</v>
      </c>
      <c r="E946" s="105" t="s">
        <v>134</v>
      </c>
      <c r="F946" s="103" t="s">
        <v>12062</v>
      </c>
      <c r="G946" s="103"/>
      <c r="H946" s="103" t="s">
        <v>12063</v>
      </c>
      <c r="I946" s="103"/>
      <c r="J946" s="103" t="s">
        <v>12064</v>
      </c>
      <c r="K946" s="103"/>
      <c r="L946" s="106">
        <v>91.759</v>
      </c>
      <c r="M946" s="103" t="s">
        <v>11330</v>
      </c>
      <c r="N946" s="106">
        <v>19813534.1321717</v>
      </c>
      <c r="O946" s="103" t="s">
        <v>12039</v>
      </c>
      <c r="R946" s="58"/>
      <c r="S946" s="58"/>
      <c r="T946" s="58"/>
      <c r="U946" s="58"/>
      <c r="V946" s="58"/>
      <c r="W946" s="58"/>
      <c r="X946" s="58"/>
    </row>
    <row r="947" spans="1:24">
      <c r="A947" s="103" t="s">
        <v>5388</v>
      </c>
      <c r="B947" s="104" t="s">
        <v>139</v>
      </c>
      <c r="C947" s="104" t="s">
        <v>5389</v>
      </c>
      <c r="D947" s="104" t="s">
        <v>2896</v>
      </c>
      <c r="E947" s="105" t="s">
        <v>2897</v>
      </c>
      <c r="F947" s="103" t="s">
        <v>12065</v>
      </c>
      <c r="G947" s="103"/>
      <c r="H947" s="103" t="s">
        <v>12066</v>
      </c>
      <c r="I947" s="103"/>
      <c r="J947" s="103" t="s">
        <v>12067</v>
      </c>
      <c r="K947" s="103"/>
      <c r="L947" s="106">
        <v>90.9495697968</v>
      </c>
      <c r="M947" s="103" t="s">
        <v>11330</v>
      </c>
      <c r="N947" s="106">
        <v>19813625.0817415</v>
      </c>
      <c r="O947" s="103" t="s">
        <v>12039</v>
      </c>
      <c r="R947" s="58"/>
      <c r="S947" s="58"/>
      <c r="T947" s="58"/>
      <c r="U947" s="58"/>
      <c r="V947" s="58"/>
      <c r="W947" s="58"/>
      <c r="X947" s="58"/>
    </row>
    <row r="948" spans="1:24">
      <c r="A948" s="103" t="s">
        <v>4902</v>
      </c>
      <c r="B948" s="104" t="s">
        <v>149</v>
      </c>
      <c r="C948" s="104" t="s">
        <v>4903</v>
      </c>
      <c r="D948" s="104" t="s">
        <v>2961</v>
      </c>
      <c r="E948" s="105" t="s">
        <v>204</v>
      </c>
      <c r="F948" s="103" t="s">
        <v>11966</v>
      </c>
      <c r="G948" s="103"/>
      <c r="H948" s="103" t="s">
        <v>11306</v>
      </c>
      <c r="I948" s="103"/>
      <c r="J948" s="103" t="s">
        <v>7464</v>
      </c>
      <c r="K948" s="103"/>
      <c r="L948" s="106">
        <v>90.32625</v>
      </c>
      <c r="M948" s="103" t="s">
        <v>11330</v>
      </c>
      <c r="N948" s="106">
        <v>19813715.4079915</v>
      </c>
      <c r="O948" s="103" t="s">
        <v>12039</v>
      </c>
      <c r="R948" s="58"/>
      <c r="S948" s="58"/>
      <c r="T948" s="58"/>
      <c r="U948" s="58"/>
      <c r="V948" s="58"/>
      <c r="W948" s="58"/>
      <c r="X948" s="58"/>
    </row>
    <row r="949" ht="25.5" spans="1:24">
      <c r="A949" s="103" t="s">
        <v>3844</v>
      </c>
      <c r="B949" s="104" t="s">
        <v>139</v>
      </c>
      <c r="C949" s="104" t="s">
        <v>3845</v>
      </c>
      <c r="D949" s="104" t="s">
        <v>2961</v>
      </c>
      <c r="E949" s="105" t="s">
        <v>134</v>
      </c>
      <c r="F949" s="103" t="s">
        <v>9091</v>
      </c>
      <c r="G949" s="103"/>
      <c r="H949" s="103" t="s">
        <v>12068</v>
      </c>
      <c r="I949" s="103"/>
      <c r="J949" s="103" t="s">
        <v>12068</v>
      </c>
      <c r="K949" s="103"/>
      <c r="L949" s="106">
        <v>90.16</v>
      </c>
      <c r="M949" s="103" t="s">
        <v>11330</v>
      </c>
      <c r="N949" s="106">
        <v>19813805.5679915</v>
      </c>
      <c r="O949" s="103" t="s">
        <v>12039</v>
      </c>
      <c r="R949" s="58"/>
      <c r="S949" s="58"/>
      <c r="T949" s="58"/>
      <c r="U949" s="58"/>
      <c r="V949" s="58"/>
      <c r="W949" s="58"/>
      <c r="X949" s="58"/>
    </row>
    <row r="950" ht="25.5" spans="1:24">
      <c r="A950" s="103" t="s">
        <v>5428</v>
      </c>
      <c r="B950" s="104" t="s">
        <v>139</v>
      </c>
      <c r="C950" s="104" t="s">
        <v>5429</v>
      </c>
      <c r="D950" s="104" t="s">
        <v>2961</v>
      </c>
      <c r="E950" s="105" t="s">
        <v>2925</v>
      </c>
      <c r="F950" s="103" t="s">
        <v>10377</v>
      </c>
      <c r="G950" s="103"/>
      <c r="H950" s="103" t="s">
        <v>12069</v>
      </c>
      <c r="I950" s="103"/>
      <c r="J950" s="103" t="s">
        <v>12070</v>
      </c>
      <c r="K950" s="103"/>
      <c r="L950" s="106">
        <v>89.3</v>
      </c>
      <c r="M950" s="103" t="s">
        <v>11330</v>
      </c>
      <c r="N950" s="106">
        <v>19813894.8679915</v>
      </c>
      <c r="O950" s="103" t="s">
        <v>12039</v>
      </c>
      <c r="R950" s="58"/>
      <c r="S950" s="58"/>
      <c r="T950" s="58"/>
      <c r="U950" s="58"/>
      <c r="V950" s="58"/>
      <c r="W950" s="58"/>
      <c r="X950" s="58"/>
    </row>
    <row r="951" spans="1:24">
      <c r="A951" s="103" t="s">
        <v>3960</v>
      </c>
      <c r="B951" s="104" t="s">
        <v>132</v>
      </c>
      <c r="C951" s="104" t="s">
        <v>3961</v>
      </c>
      <c r="D951" s="104" t="s">
        <v>2961</v>
      </c>
      <c r="E951" s="105" t="s">
        <v>134</v>
      </c>
      <c r="F951" s="103" t="s">
        <v>9091</v>
      </c>
      <c r="G951" s="103"/>
      <c r="H951" s="103" t="s">
        <v>7367</v>
      </c>
      <c r="I951" s="103"/>
      <c r="J951" s="103" t="s">
        <v>7367</v>
      </c>
      <c r="K951" s="103"/>
      <c r="L951" s="106">
        <v>86.94</v>
      </c>
      <c r="M951" s="103" t="s">
        <v>11330</v>
      </c>
      <c r="N951" s="106">
        <v>19813981.8079915</v>
      </c>
      <c r="O951" s="103" t="s">
        <v>12039</v>
      </c>
      <c r="R951" s="58"/>
      <c r="S951" s="58"/>
      <c r="T951" s="58"/>
      <c r="U951" s="58"/>
      <c r="V951" s="58"/>
      <c r="W951" s="58"/>
      <c r="X951" s="58"/>
    </row>
    <row r="952" spans="1:24">
      <c r="A952" s="103" t="s">
        <v>3336</v>
      </c>
      <c r="B952" s="104" t="s">
        <v>139</v>
      </c>
      <c r="C952" s="104" t="s">
        <v>3337</v>
      </c>
      <c r="D952" s="104" t="s">
        <v>2961</v>
      </c>
      <c r="E952" s="105" t="s">
        <v>393</v>
      </c>
      <c r="F952" s="103" t="s">
        <v>12071</v>
      </c>
      <c r="G952" s="103"/>
      <c r="H952" s="103" t="s">
        <v>12072</v>
      </c>
      <c r="I952" s="103"/>
      <c r="J952" s="103" t="s">
        <v>12073</v>
      </c>
      <c r="K952" s="103"/>
      <c r="L952" s="106">
        <v>85.3949398</v>
      </c>
      <c r="M952" s="103" t="s">
        <v>11330</v>
      </c>
      <c r="N952" s="106">
        <v>19814067.2029313</v>
      </c>
      <c r="O952" s="103" t="s">
        <v>12039</v>
      </c>
      <c r="R952" s="58"/>
      <c r="S952" s="58"/>
      <c r="T952" s="58"/>
      <c r="U952" s="58"/>
      <c r="V952" s="58"/>
      <c r="W952" s="58"/>
      <c r="X952" s="58"/>
    </row>
    <row r="953" spans="1:24">
      <c r="A953" s="103" t="s">
        <v>4351</v>
      </c>
      <c r="B953" s="104" t="s">
        <v>796</v>
      </c>
      <c r="C953" s="104" t="s">
        <v>4352</v>
      </c>
      <c r="D953" s="104" t="s">
        <v>2961</v>
      </c>
      <c r="E953" s="105" t="s">
        <v>141</v>
      </c>
      <c r="F953" s="103" t="s">
        <v>12074</v>
      </c>
      <c r="G953" s="103"/>
      <c r="H953" s="103" t="s">
        <v>12075</v>
      </c>
      <c r="I953" s="103"/>
      <c r="J953" s="103" t="s">
        <v>12076</v>
      </c>
      <c r="K953" s="103"/>
      <c r="L953" s="106">
        <v>85.06512</v>
      </c>
      <c r="M953" s="103" t="s">
        <v>11330</v>
      </c>
      <c r="N953" s="106">
        <v>19814152.2680513</v>
      </c>
      <c r="O953" s="103" t="s">
        <v>12039</v>
      </c>
      <c r="R953" s="58"/>
      <c r="S953" s="58"/>
      <c r="T953" s="58"/>
      <c r="U953" s="58"/>
      <c r="V953" s="58"/>
      <c r="W953" s="58"/>
      <c r="X953" s="58"/>
    </row>
    <row r="954" ht="25.5" spans="1:24">
      <c r="A954" s="103" t="s">
        <v>4505</v>
      </c>
      <c r="B954" s="104" t="s">
        <v>77</v>
      </c>
      <c r="C954" s="104" t="s">
        <v>4506</v>
      </c>
      <c r="D954" s="104" t="s">
        <v>2961</v>
      </c>
      <c r="E954" s="105" t="s">
        <v>134</v>
      </c>
      <c r="F954" s="103" t="s">
        <v>9183</v>
      </c>
      <c r="G954" s="103"/>
      <c r="H954" s="103" t="s">
        <v>12077</v>
      </c>
      <c r="I954" s="103"/>
      <c r="J954" s="103" t="s">
        <v>12078</v>
      </c>
      <c r="K954" s="103"/>
      <c r="L954" s="106">
        <v>82.32</v>
      </c>
      <c r="M954" s="103" t="s">
        <v>11330</v>
      </c>
      <c r="N954" s="106">
        <v>19814234.5880513</v>
      </c>
      <c r="O954" s="103" t="s">
        <v>12039</v>
      </c>
      <c r="R954" s="58"/>
      <c r="S954" s="58"/>
      <c r="T954" s="58"/>
      <c r="U954" s="58"/>
      <c r="V954" s="58"/>
      <c r="W954" s="58"/>
      <c r="X954" s="58"/>
    </row>
    <row r="955" ht="25.5" spans="1:24">
      <c r="A955" s="103" t="s">
        <v>5020</v>
      </c>
      <c r="B955" s="104" t="s">
        <v>139</v>
      </c>
      <c r="C955" s="104" t="s">
        <v>5021</v>
      </c>
      <c r="D955" s="104" t="s">
        <v>2961</v>
      </c>
      <c r="E955" s="105" t="s">
        <v>134</v>
      </c>
      <c r="F955" s="103" t="s">
        <v>9183</v>
      </c>
      <c r="G955" s="103"/>
      <c r="H955" s="103" t="s">
        <v>11511</v>
      </c>
      <c r="I955" s="103"/>
      <c r="J955" s="103" t="s">
        <v>12079</v>
      </c>
      <c r="K955" s="103"/>
      <c r="L955" s="106">
        <v>81.32</v>
      </c>
      <c r="M955" s="103" t="s">
        <v>11330</v>
      </c>
      <c r="N955" s="106">
        <v>19814315.9080513</v>
      </c>
      <c r="O955" s="103" t="s">
        <v>12080</v>
      </c>
      <c r="R955" s="58"/>
      <c r="S955" s="58"/>
      <c r="T955" s="58"/>
      <c r="U955" s="58"/>
      <c r="V955" s="58"/>
      <c r="W955" s="58"/>
      <c r="X955" s="58"/>
    </row>
    <row r="956" spans="1:24">
      <c r="A956" s="103" t="s">
        <v>6088</v>
      </c>
      <c r="B956" s="104" t="s">
        <v>77</v>
      </c>
      <c r="C956" s="104" t="s">
        <v>6089</v>
      </c>
      <c r="D956" s="104" t="s">
        <v>2961</v>
      </c>
      <c r="E956" s="105" t="s">
        <v>393</v>
      </c>
      <c r="F956" s="103" t="s">
        <v>12081</v>
      </c>
      <c r="G956" s="103"/>
      <c r="H956" s="103" t="s">
        <v>12082</v>
      </c>
      <c r="I956" s="103"/>
      <c r="J956" s="103" t="s">
        <v>12083</v>
      </c>
      <c r="K956" s="103"/>
      <c r="L956" s="106">
        <v>80.171278484</v>
      </c>
      <c r="M956" s="103" t="s">
        <v>11330</v>
      </c>
      <c r="N956" s="106">
        <v>19814396.0793298</v>
      </c>
      <c r="O956" s="103" t="s">
        <v>12080</v>
      </c>
      <c r="R956" s="58"/>
      <c r="S956" s="58"/>
      <c r="T956" s="58"/>
      <c r="U956" s="58"/>
      <c r="V956" s="58"/>
      <c r="W956" s="58"/>
      <c r="X956" s="58"/>
    </row>
    <row r="957" ht="25.5" spans="1:24">
      <c r="A957" s="103" t="s">
        <v>5447</v>
      </c>
      <c r="B957" s="104" t="s">
        <v>796</v>
      </c>
      <c r="C957" s="104" t="s">
        <v>5448</v>
      </c>
      <c r="D957" s="104" t="s">
        <v>5444</v>
      </c>
      <c r="E957" s="105" t="s">
        <v>279</v>
      </c>
      <c r="F957" s="103" t="s">
        <v>12084</v>
      </c>
      <c r="G957" s="103"/>
      <c r="H957" s="103" t="s">
        <v>7729</v>
      </c>
      <c r="I957" s="103"/>
      <c r="J957" s="103" t="s">
        <v>12085</v>
      </c>
      <c r="K957" s="103"/>
      <c r="L957" s="106">
        <v>79.980040572</v>
      </c>
      <c r="M957" s="103" t="s">
        <v>11330</v>
      </c>
      <c r="N957" s="106">
        <v>19814476.0593704</v>
      </c>
      <c r="O957" s="103" t="s">
        <v>12080</v>
      </c>
      <c r="R957" s="58"/>
      <c r="S957" s="58"/>
      <c r="T957" s="58"/>
      <c r="U957" s="58"/>
      <c r="V957" s="58"/>
      <c r="W957" s="58"/>
      <c r="X957" s="58"/>
    </row>
    <row r="958" ht="25.5" spans="1:24">
      <c r="A958" s="103" t="s">
        <v>4481</v>
      </c>
      <c r="B958" s="104" t="s">
        <v>77</v>
      </c>
      <c r="C958" s="104" t="s">
        <v>4482</v>
      </c>
      <c r="D958" s="104" t="s">
        <v>2961</v>
      </c>
      <c r="E958" s="105" t="s">
        <v>134</v>
      </c>
      <c r="F958" s="103" t="s">
        <v>9183</v>
      </c>
      <c r="G958" s="103"/>
      <c r="H958" s="103" t="s">
        <v>12086</v>
      </c>
      <c r="I958" s="103"/>
      <c r="J958" s="103" t="s">
        <v>12087</v>
      </c>
      <c r="K958" s="103"/>
      <c r="L958" s="106">
        <v>79.56</v>
      </c>
      <c r="M958" s="103" t="s">
        <v>11330</v>
      </c>
      <c r="N958" s="106">
        <v>19814555.6193704</v>
      </c>
      <c r="O958" s="103" t="s">
        <v>12080</v>
      </c>
      <c r="R958" s="58"/>
      <c r="S958" s="58"/>
      <c r="T958" s="58"/>
      <c r="U958" s="58"/>
      <c r="V958" s="58"/>
      <c r="W958" s="58"/>
      <c r="X958" s="58"/>
    </row>
    <row r="959" spans="1:24">
      <c r="A959" s="103" t="s">
        <v>3994</v>
      </c>
      <c r="B959" s="104" t="s">
        <v>132</v>
      </c>
      <c r="C959" s="104" t="s">
        <v>3995</v>
      </c>
      <c r="D959" s="104" t="s">
        <v>2961</v>
      </c>
      <c r="E959" s="105" t="s">
        <v>134</v>
      </c>
      <c r="F959" s="103" t="s">
        <v>9091</v>
      </c>
      <c r="G959" s="103"/>
      <c r="H959" s="103" t="s">
        <v>12088</v>
      </c>
      <c r="I959" s="103"/>
      <c r="J959" s="103" t="s">
        <v>12088</v>
      </c>
      <c r="K959" s="103"/>
      <c r="L959" s="106">
        <v>79</v>
      </c>
      <c r="M959" s="103" t="s">
        <v>11330</v>
      </c>
      <c r="N959" s="106">
        <v>19814634.6193704</v>
      </c>
      <c r="O959" s="103" t="s">
        <v>12080</v>
      </c>
      <c r="R959" s="58"/>
      <c r="S959" s="58"/>
      <c r="T959" s="58"/>
      <c r="U959" s="58"/>
      <c r="V959" s="58"/>
      <c r="W959" s="58"/>
      <c r="X959" s="58"/>
    </row>
    <row r="960" spans="1:24">
      <c r="A960" s="103" t="s">
        <v>3297</v>
      </c>
      <c r="B960" s="104" t="s">
        <v>149</v>
      </c>
      <c r="C960" s="104" t="s">
        <v>3298</v>
      </c>
      <c r="D960" s="104" t="s">
        <v>2896</v>
      </c>
      <c r="E960" s="105" t="s">
        <v>2897</v>
      </c>
      <c r="F960" s="103" t="s">
        <v>12089</v>
      </c>
      <c r="G960" s="103"/>
      <c r="H960" s="103" t="s">
        <v>9807</v>
      </c>
      <c r="I960" s="103"/>
      <c r="J960" s="103" t="s">
        <v>12090</v>
      </c>
      <c r="K960" s="103"/>
      <c r="L960" s="106">
        <v>78.5434955928</v>
      </c>
      <c r="M960" s="103" t="s">
        <v>11330</v>
      </c>
      <c r="N960" s="106">
        <v>19814713.162866</v>
      </c>
      <c r="O960" s="103" t="s">
        <v>12080</v>
      </c>
      <c r="R960" s="58"/>
      <c r="S960" s="58"/>
      <c r="T960" s="58"/>
      <c r="U960" s="58"/>
      <c r="V960" s="58"/>
      <c r="W960" s="58"/>
      <c r="X960" s="58"/>
    </row>
    <row r="961" ht="25.5" spans="1:24">
      <c r="A961" s="103" t="s">
        <v>3194</v>
      </c>
      <c r="B961" s="104" t="s">
        <v>139</v>
      </c>
      <c r="C961" s="104" t="s">
        <v>3195</v>
      </c>
      <c r="D961" s="104" t="s">
        <v>2961</v>
      </c>
      <c r="E961" s="105" t="s">
        <v>134</v>
      </c>
      <c r="F961" s="103" t="s">
        <v>9401</v>
      </c>
      <c r="G961" s="103"/>
      <c r="H961" s="103" t="s">
        <v>12091</v>
      </c>
      <c r="I961" s="103"/>
      <c r="J961" s="103" t="s">
        <v>12092</v>
      </c>
      <c r="K961" s="103"/>
      <c r="L961" s="106">
        <v>78</v>
      </c>
      <c r="M961" s="103" t="s">
        <v>11330</v>
      </c>
      <c r="N961" s="106">
        <v>19814791.162866</v>
      </c>
      <c r="O961" s="103" t="s">
        <v>12080</v>
      </c>
      <c r="R961" s="58"/>
      <c r="S961" s="58"/>
      <c r="T961" s="58"/>
      <c r="U961" s="58"/>
      <c r="V961" s="58"/>
      <c r="W961" s="58"/>
      <c r="X961" s="58"/>
    </row>
    <row r="962" spans="1:24">
      <c r="A962" s="103" t="s">
        <v>3808</v>
      </c>
      <c r="B962" s="104" t="s">
        <v>139</v>
      </c>
      <c r="C962" s="104" t="s">
        <v>3809</v>
      </c>
      <c r="D962" s="104" t="s">
        <v>2961</v>
      </c>
      <c r="E962" s="105" t="s">
        <v>134</v>
      </c>
      <c r="F962" s="103" t="s">
        <v>9183</v>
      </c>
      <c r="G962" s="103"/>
      <c r="H962" s="103" t="s">
        <v>12093</v>
      </c>
      <c r="I962" s="103"/>
      <c r="J962" s="103" t="s">
        <v>12094</v>
      </c>
      <c r="K962" s="103"/>
      <c r="L962" s="106">
        <v>77</v>
      </c>
      <c r="M962" s="103" t="s">
        <v>11330</v>
      </c>
      <c r="N962" s="106">
        <v>19814868.162866</v>
      </c>
      <c r="O962" s="103" t="s">
        <v>12080</v>
      </c>
      <c r="R962" s="58"/>
      <c r="S962" s="58"/>
      <c r="T962" s="58"/>
      <c r="U962" s="58"/>
      <c r="V962" s="58"/>
      <c r="W962" s="58"/>
      <c r="X962" s="58"/>
    </row>
    <row r="963" spans="1:24">
      <c r="A963" s="103" t="s">
        <v>5788</v>
      </c>
      <c r="B963" s="104" t="s">
        <v>796</v>
      </c>
      <c r="C963" s="104" t="s">
        <v>5789</v>
      </c>
      <c r="D963" s="104" t="s">
        <v>2961</v>
      </c>
      <c r="E963" s="105" t="s">
        <v>3712</v>
      </c>
      <c r="F963" s="103" t="s">
        <v>12095</v>
      </c>
      <c r="G963" s="103"/>
      <c r="H963" s="103" t="s">
        <v>12096</v>
      </c>
      <c r="I963" s="103"/>
      <c r="J963" s="103" t="s">
        <v>12097</v>
      </c>
      <c r="K963" s="103"/>
      <c r="L963" s="106">
        <v>76.57344</v>
      </c>
      <c r="M963" s="103" t="s">
        <v>11330</v>
      </c>
      <c r="N963" s="106">
        <v>19814944.736306</v>
      </c>
      <c r="O963" s="103" t="s">
        <v>12080</v>
      </c>
      <c r="R963" s="58"/>
      <c r="S963" s="58"/>
      <c r="T963" s="58"/>
      <c r="U963" s="58"/>
      <c r="V963" s="58"/>
      <c r="W963" s="58"/>
      <c r="X963" s="58"/>
    </row>
    <row r="964" ht="38.25" spans="1:24">
      <c r="A964" s="103" t="s">
        <v>5507</v>
      </c>
      <c r="B964" s="104" t="s">
        <v>139</v>
      </c>
      <c r="C964" s="104" t="s">
        <v>5508</v>
      </c>
      <c r="D964" s="104" t="s">
        <v>2961</v>
      </c>
      <c r="E964" s="105" t="s">
        <v>204</v>
      </c>
      <c r="F964" s="103" t="s">
        <v>12098</v>
      </c>
      <c r="G964" s="103"/>
      <c r="H964" s="103" t="s">
        <v>10177</v>
      </c>
      <c r="I964" s="103"/>
      <c r="J964" s="103" t="s">
        <v>12099</v>
      </c>
      <c r="K964" s="103"/>
      <c r="L964" s="106">
        <v>75.182181</v>
      </c>
      <c r="M964" s="103" t="s">
        <v>11330</v>
      </c>
      <c r="N964" s="106">
        <v>19815019.918487</v>
      </c>
      <c r="O964" s="103" t="s">
        <v>12080</v>
      </c>
      <c r="R964" s="58"/>
      <c r="S964" s="58"/>
      <c r="T964" s="58"/>
      <c r="U964" s="58"/>
      <c r="V964" s="58"/>
      <c r="W964" s="58"/>
      <c r="X964" s="58"/>
    </row>
    <row r="965" spans="1:24">
      <c r="A965" s="103" t="s">
        <v>3986</v>
      </c>
      <c r="B965" s="104" t="s">
        <v>132</v>
      </c>
      <c r="C965" s="104" t="s">
        <v>3987</v>
      </c>
      <c r="D965" s="104" t="s">
        <v>2961</v>
      </c>
      <c r="E965" s="105" t="s">
        <v>134</v>
      </c>
      <c r="F965" s="103" t="s">
        <v>9091</v>
      </c>
      <c r="G965" s="103"/>
      <c r="H965" s="103" t="s">
        <v>12100</v>
      </c>
      <c r="I965" s="103"/>
      <c r="J965" s="103" t="s">
        <v>12100</v>
      </c>
      <c r="K965" s="103"/>
      <c r="L965" s="106">
        <v>74.95</v>
      </c>
      <c r="M965" s="103" t="s">
        <v>11330</v>
      </c>
      <c r="N965" s="106">
        <v>19815094.868487</v>
      </c>
      <c r="O965" s="103" t="s">
        <v>12080</v>
      </c>
      <c r="R965" s="58"/>
      <c r="S965" s="58"/>
      <c r="T965" s="58"/>
      <c r="U965" s="58"/>
      <c r="V965" s="58"/>
      <c r="W965" s="58"/>
      <c r="X965" s="58"/>
    </row>
    <row r="966" ht="25.5" spans="1:24">
      <c r="A966" s="103" t="s">
        <v>3616</v>
      </c>
      <c r="B966" s="104" t="s">
        <v>139</v>
      </c>
      <c r="C966" s="104" t="s">
        <v>3617</v>
      </c>
      <c r="D966" s="104" t="s">
        <v>2961</v>
      </c>
      <c r="E966" s="105" t="s">
        <v>134</v>
      </c>
      <c r="F966" s="103" t="s">
        <v>12101</v>
      </c>
      <c r="G966" s="103"/>
      <c r="H966" s="103" t="s">
        <v>12102</v>
      </c>
      <c r="I966" s="103"/>
      <c r="J966" s="103" t="s">
        <v>12103</v>
      </c>
      <c r="K966" s="103"/>
      <c r="L966" s="106">
        <v>74.9427336</v>
      </c>
      <c r="M966" s="103" t="s">
        <v>11330</v>
      </c>
      <c r="N966" s="106">
        <v>19815169.8112206</v>
      </c>
      <c r="O966" s="103" t="s">
        <v>12080</v>
      </c>
      <c r="R966" s="58"/>
      <c r="S966" s="58"/>
      <c r="T966" s="58"/>
      <c r="U966" s="58"/>
      <c r="V966" s="58"/>
      <c r="W966" s="58"/>
      <c r="X966" s="58"/>
    </row>
    <row r="967" spans="1:24">
      <c r="A967" s="103" t="s">
        <v>5790</v>
      </c>
      <c r="B967" s="104" t="s">
        <v>796</v>
      </c>
      <c r="C967" s="104" t="s">
        <v>5791</v>
      </c>
      <c r="D967" s="104" t="s">
        <v>2961</v>
      </c>
      <c r="E967" s="105" t="s">
        <v>3712</v>
      </c>
      <c r="F967" s="103" t="s">
        <v>12095</v>
      </c>
      <c r="G967" s="103"/>
      <c r="H967" s="103" t="s">
        <v>12104</v>
      </c>
      <c r="I967" s="103"/>
      <c r="J967" s="103" t="s">
        <v>12105</v>
      </c>
      <c r="K967" s="103"/>
      <c r="L967" s="106">
        <v>74.45376</v>
      </c>
      <c r="M967" s="103" t="s">
        <v>11330</v>
      </c>
      <c r="N967" s="106">
        <v>19815244.2649806</v>
      </c>
      <c r="O967" s="103" t="s">
        <v>12080</v>
      </c>
      <c r="R967" s="58"/>
      <c r="S967" s="58"/>
      <c r="T967" s="58"/>
      <c r="U967" s="58"/>
      <c r="V967" s="58"/>
      <c r="W967" s="58"/>
      <c r="X967" s="58"/>
    </row>
    <row r="968" spans="1:24">
      <c r="A968" s="103" t="s">
        <v>5257</v>
      </c>
      <c r="B968" s="104" t="s">
        <v>132</v>
      </c>
      <c r="C968" s="104" t="s">
        <v>5258</v>
      </c>
      <c r="D968" s="104" t="s">
        <v>2961</v>
      </c>
      <c r="E968" s="105" t="s">
        <v>134</v>
      </c>
      <c r="F968" s="103" t="s">
        <v>12106</v>
      </c>
      <c r="G968" s="103"/>
      <c r="H968" s="103" t="s">
        <v>12107</v>
      </c>
      <c r="I968" s="103"/>
      <c r="J968" s="103" t="s">
        <v>12108</v>
      </c>
      <c r="K968" s="103"/>
      <c r="L968" s="106">
        <v>72.576</v>
      </c>
      <c r="M968" s="103" t="s">
        <v>11330</v>
      </c>
      <c r="N968" s="106">
        <v>19815316.8409806</v>
      </c>
      <c r="O968" s="103" t="s">
        <v>12080</v>
      </c>
      <c r="R968" s="58"/>
      <c r="S968" s="58"/>
      <c r="T968" s="58"/>
      <c r="U968" s="58"/>
      <c r="V968" s="58"/>
      <c r="W968" s="58"/>
      <c r="X968" s="58"/>
    </row>
    <row r="969" ht="25.5" spans="1:24">
      <c r="A969" s="103" t="s">
        <v>3167</v>
      </c>
      <c r="B969" s="104" t="s">
        <v>139</v>
      </c>
      <c r="C969" s="104" t="s">
        <v>3168</v>
      </c>
      <c r="D969" s="104" t="s">
        <v>2961</v>
      </c>
      <c r="E969" s="105" t="s">
        <v>134</v>
      </c>
      <c r="F969" s="103" t="s">
        <v>9742</v>
      </c>
      <c r="G969" s="103"/>
      <c r="H969" s="103" t="s">
        <v>10229</v>
      </c>
      <c r="I969" s="103"/>
      <c r="J969" s="103" t="s">
        <v>12109</v>
      </c>
      <c r="K969" s="103"/>
      <c r="L969" s="106">
        <v>72.48</v>
      </c>
      <c r="M969" s="103" t="s">
        <v>11330</v>
      </c>
      <c r="N969" s="106">
        <v>19815389.3209806</v>
      </c>
      <c r="O969" s="103" t="s">
        <v>12080</v>
      </c>
      <c r="R969" s="58"/>
      <c r="S969" s="58"/>
      <c r="T969" s="58"/>
      <c r="U969" s="58"/>
      <c r="V969" s="58"/>
      <c r="W969" s="58"/>
      <c r="X969" s="58"/>
    </row>
    <row r="970" ht="25.5" spans="1:24">
      <c r="A970" s="103" t="s">
        <v>4681</v>
      </c>
      <c r="B970" s="104" t="s">
        <v>139</v>
      </c>
      <c r="C970" s="104" t="s">
        <v>4682</v>
      </c>
      <c r="D970" s="104" t="s">
        <v>2961</v>
      </c>
      <c r="E970" s="105" t="s">
        <v>134</v>
      </c>
      <c r="F970" s="103" t="s">
        <v>10582</v>
      </c>
      <c r="G970" s="103"/>
      <c r="H970" s="103" t="s">
        <v>9848</v>
      </c>
      <c r="I970" s="103"/>
      <c r="J970" s="103" t="s">
        <v>8500</v>
      </c>
      <c r="K970" s="103"/>
      <c r="L970" s="106">
        <v>71.76</v>
      </c>
      <c r="M970" s="103" t="s">
        <v>11330</v>
      </c>
      <c r="N970" s="106">
        <v>19815461.0809806</v>
      </c>
      <c r="O970" s="103" t="s">
        <v>12080</v>
      </c>
      <c r="R970" s="58"/>
      <c r="S970" s="58"/>
      <c r="T970" s="58"/>
      <c r="U970" s="58"/>
      <c r="V970" s="58"/>
      <c r="W970" s="58"/>
      <c r="X970" s="58"/>
    </row>
    <row r="971" spans="1:24">
      <c r="A971" s="103" t="s">
        <v>5497</v>
      </c>
      <c r="B971" s="104" t="s">
        <v>77</v>
      </c>
      <c r="C971" s="104" t="s">
        <v>5498</v>
      </c>
      <c r="D971" s="104" t="s">
        <v>2961</v>
      </c>
      <c r="E971" s="105" t="s">
        <v>5228</v>
      </c>
      <c r="F971" s="103" t="s">
        <v>12110</v>
      </c>
      <c r="G971" s="103"/>
      <c r="H971" s="103" t="s">
        <v>12111</v>
      </c>
      <c r="I971" s="103"/>
      <c r="J971" s="103" t="s">
        <v>12112</v>
      </c>
      <c r="K971" s="103"/>
      <c r="L971" s="106">
        <v>71.4714</v>
      </c>
      <c r="M971" s="103" t="s">
        <v>11330</v>
      </c>
      <c r="N971" s="106">
        <v>19815532.5523806</v>
      </c>
      <c r="O971" s="103" t="s">
        <v>12080</v>
      </c>
      <c r="R971" s="58"/>
      <c r="S971" s="58"/>
      <c r="T971" s="58"/>
      <c r="U971" s="58"/>
      <c r="V971" s="58"/>
      <c r="W971" s="58"/>
      <c r="X971" s="58"/>
    </row>
    <row r="972" spans="1:24">
      <c r="A972" s="103" t="s">
        <v>5796</v>
      </c>
      <c r="B972" s="104" t="s">
        <v>796</v>
      </c>
      <c r="C972" s="104" t="s">
        <v>5797</v>
      </c>
      <c r="D972" s="104" t="s">
        <v>2961</v>
      </c>
      <c r="E972" s="105" t="s">
        <v>3712</v>
      </c>
      <c r="F972" s="103" t="s">
        <v>12113</v>
      </c>
      <c r="G972" s="103"/>
      <c r="H972" s="103" t="s">
        <v>9515</v>
      </c>
      <c r="I972" s="103"/>
      <c r="J972" s="103" t="s">
        <v>12114</v>
      </c>
      <c r="K972" s="103"/>
      <c r="L972" s="106">
        <v>69.3312</v>
      </c>
      <c r="M972" s="103" t="s">
        <v>11330</v>
      </c>
      <c r="N972" s="106">
        <v>19815601.8835806</v>
      </c>
      <c r="O972" s="103" t="s">
        <v>12080</v>
      </c>
      <c r="R972" s="58"/>
      <c r="S972" s="58"/>
      <c r="T972" s="58"/>
      <c r="U972" s="58"/>
      <c r="V972" s="58"/>
      <c r="W972" s="58"/>
      <c r="X972" s="58"/>
    </row>
    <row r="973" ht="25.5" spans="1:24">
      <c r="A973" s="103" t="s">
        <v>4060</v>
      </c>
      <c r="B973" s="104" t="s">
        <v>139</v>
      </c>
      <c r="C973" s="104" t="s">
        <v>4061</v>
      </c>
      <c r="D973" s="104" t="s">
        <v>2961</v>
      </c>
      <c r="E973" s="105" t="s">
        <v>134</v>
      </c>
      <c r="F973" s="103" t="s">
        <v>11349</v>
      </c>
      <c r="G973" s="103"/>
      <c r="H973" s="103" t="s">
        <v>12115</v>
      </c>
      <c r="I973" s="103"/>
      <c r="J973" s="103" t="s">
        <v>11689</v>
      </c>
      <c r="K973" s="103"/>
      <c r="L973" s="106">
        <v>69.15</v>
      </c>
      <c r="M973" s="103" t="s">
        <v>11330</v>
      </c>
      <c r="N973" s="106">
        <v>19815671.0335806</v>
      </c>
      <c r="O973" s="103" t="s">
        <v>12080</v>
      </c>
      <c r="R973" s="58"/>
      <c r="S973" s="58"/>
      <c r="T973" s="58"/>
      <c r="U973" s="58"/>
      <c r="V973" s="58"/>
      <c r="W973" s="58"/>
      <c r="X973" s="58"/>
    </row>
    <row r="974" spans="1:24">
      <c r="A974" s="103" t="s">
        <v>4980</v>
      </c>
      <c r="B974" s="104" t="s">
        <v>139</v>
      </c>
      <c r="C974" s="104" t="s">
        <v>4981</v>
      </c>
      <c r="D974" s="104" t="s">
        <v>2961</v>
      </c>
      <c r="E974" s="105" t="s">
        <v>134</v>
      </c>
      <c r="F974" s="103" t="s">
        <v>9183</v>
      </c>
      <c r="G974" s="103"/>
      <c r="H974" s="103" t="s">
        <v>12116</v>
      </c>
      <c r="I974" s="103"/>
      <c r="J974" s="103" t="s">
        <v>12117</v>
      </c>
      <c r="K974" s="103"/>
      <c r="L974" s="106">
        <v>68.92</v>
      </c>
      <c r="M974" s="103" t="s">
        <v>11330</v>
      </c>
      <c r="N974" s="106">
        <v>19815739.9535806</v>
      </c>
      <c r="O974" s="103" t="s">
        <v>12080</v>
      </c>
      <c r="R974" s="58"/>
      <c r="S974" s="58"/>
      <c r="T974" s="58"/>
      <c r="U974" s="58"/>
      <c r="V974" s="58"/>
      <c r="W974" s="58"/>
      <c r="X974" s="58"/>
    </row>
    <row r="975" ht="25.5" spans="1:24">
      <c r="A975" s="103" t="s">
        <v>4677</v>
      </c>
      <c r="B975" s="104" t="s">
        <v>139</v>
      </c>
      <c r="C975" s="104" t="s">
        <v>4678</v>
      </c>
      <c r="D975" s="104" t="s">
        <v>2961</v>
      </c>
      <c r="E975" s="105" t="s">
        <v>134</v>
      </c>
      <c r="F975" s="103" t="s">
        <v>9091</v>
      </c>
      <c r="G975" s="103"/>
      <c r="H975" s="103" t="s">
        <v>12118</v>
      </c>
      <c r="I975" s="103"/>
      <c r="J975" s="103" t="s">
        <v>12118</v>
      </c>
      <c r="K975" s="103"/>
      <c r="L975" s="106">
        <v>68.68</v>
      </c>
      <c r="M975" s="103" t="s">
        <v>11330</v>
      </c>
      <c r="N975" s="106">
        <v>19815808.6335806</v>
      </c>
      <c r="O975" s="103" t="s">
        <v>12080</v>
      </c>
      <c r="R975" s="58"/>
      <c r="S975" s="58"/>
      <c r="T975" s="58"/>
      <c r="U975" s="58"/>
      <c r="V975" s="58"/>
      <c r="W975" s="58"/>
      <c r="X975" s="58"/>
    </row>
    <row r="976" ht="25.5" spans="1:24">
      <c r="A976" s="103" t="s">
        <v>6018</v>
      </c>
      <c r="B976" s="104" t="s">
        <v>139</v>
      </c>
      <c r="C976" s="104" t="s">
        <v>6019</v>
      </c>
      <c r="D976" s="104" t="s">
        <v>2961</v>
      </c>
      <c r="E976" s="105" t="s">
        <v>2897</v>
      </c>
      <c r="F976" s="103" t="s">
        <v>12051</v>
      </c>
      <c r="G976" s="103"/>
      <c r="H976" s="103" t="s">
        <v>11373</v>
      </c>
      <c r="I976" s="103"/>
      <c r="J976" s="103" t="s">
        <v>12119</v>
      </c>
      <c r="K976" s="103"/>
      <c r="L976" s="106">
        <v>68.5466936</v>
      </c>
      <c r="M976" s="103" t="s">
        <v>11330</v>
      </c>
      <c r="N976" s="106">
        <v>19815877.1802742</v>
      </c>
      <c r="O976" s="103" t="s">
        <v>12080</v>
      </c>
      <c r="R976" s="58"/>
      <c r="S976" s="58"/>
      <c r="T976" s="58"/>
      <c r="U976" s="58"/>
      <c r="V976" s="58"/>
      <c r="W976" s="58"/>
      <c r="X976" s="58"/>
    </row>
    <row r="977" ht="25.5" spans="1:24">
      <c r="A977" s="103" t="s">
        <v>4155</v>
      </c>
      <c r="B977" s="104" t="s">
        <v>77</v>
      </c>
      <c r="C977" s="104" t="s">
        <v>4156</v>
      </c>
      <c r="D977" s="104" t="s">
        <v>2961</v>
      </c>
      <c r="E977" s="105" t="s">
        <v>134</v>
      </c>
      <c r="F977" s="103" t="s">
        <v>10423</v>
      </c>
      <c r="G977" s="103"/>
      <c r="H977" s="103" t="s">
        <v>12120</v>
      </c>
      <c r="I977" s="103"/>
      <c r="J977" s="103" t="s">
        <v>12121</v>
      </c>
      <c r="K977" s="103"/>
      <c r="L977" s="106">
        <v>68.52</v>
      </c>
      <c r="M977" s="103" t="s">
        <v>11330</v>
      </c>
      <c r="N977" s="106">
        <v>19815945.7002742</v>
      </c>
      <c r="O977" s="103" t="s">
        <v>12080</v>
      </c>
      <c r="R977" s="58"/>
      <c r="S977" s="58"/>
      <c r="T977" s="58"/>
      <c r="U977" s="58"/>
      <c r="V977" s="58"/>
      <c r="W977" s="58"/>
      <c r="X977" s="58"/>
    </row>
    <row r="978" spans="1:24">
      <c r="A978" s="103" t="s">
        <v>4005</v>
      </c>
      <c r="B978" s="104" t="s">
        <v>139</v>
      </c>
      <c r="C978" s="104" t="s">
        <v>4006</v>
      </c>
      <c r="D978" s="104" t="s">
        <v>2961</v>
      </c>
      <c r="E978" s="105" t="s">
        <v>134</v>
      </c>
      <c r="F978" s="103" t="s">
        <v>12122</v>
      </c>
      <c r="G978" s="103"/>
      <c r="H978" s="103" t="s">
        <v>6904</v>
      </c>
      <c r="I978" s="103"/>
      <c r="J978" s="103" t="s">
        <v>12123</v>
      </c>
      <c r="K978" s="103"/>
      <c r="L978" s="106">
        <v>68.4</v>
      </c>
      <c r="M978" s="103" t="s">
        <v>11330</v>
      </c>
      <c r="N978" s="106">
        <v>19816014.1002742</v>
      </c>
      <c r="O978" s="103" t="s">
        <v>12080</v>
      </c>
      <c r="R978" s="58"/>
      <c r="S978" s="58"/>
      <c r="T978" s="58"/>
      <c r="U978" s="58"/>
      <c r="V978" s="58"/>
      <c r="W978" s="58"/>
      <c r="X978" s="58"/>
    </row>
    <row r="979" ht="51" spans="1:24">
      <c r="A979" s="103" t="s">
        <v>5567</v>
      </c>
      <c r="B979" s="104" t="s">
        <v>139</v>
      </c>
      <c r="C979" s="104" t="s">
        <v>5568</v>
      </c>
      <c r="D979" s="104" t="s">
        <v>3680</v>
      </c>
      <c r="E979" s="105" t="s">
        <v>134</v>
      </c>
      <c r="F979" s="103" t="s">
        <v>12124</v>
      </c>
      <c r="G979" s="103"/>
      <c r="H979" s="103" t="s">
        <v>12125</v>
      </c>
      <c r="I979" s="103"/>
      <c r="J979" s="103" t="s">
        <v>6896</v>
      </c>
      <c r="K979" s="103"/>
      <c r="L979" s="106">
        <v>68.1425167965978</v>
      </c>
      <c r="M979" s="103" t="s">
        <v>11330</v>
      </c>
      <c r="N979" s="106">
        <v>19816082.242791</v>
      </c>
      <c r="O979" s="103" t="s">
        <v>12080</v>
      </c>
      <c r="R979" s="58"/>
      <c r="S979" s="58"/>
      <c r="T979" s="58"/>
      <c r="U979" s="58"/>
      <c r="V979" s="58"/>
      <c r="W979" s="58"/>
      <c r="X979" s="58"/>
    </row>
    <row r="980" spans="1:24">
      <c r="A980" s="103" t="s">
        <v>3997</v>
      </c>
      <c r="B980" s="104" t="s">
        <v>139</v>
      </c>
      <c r="C980" s="104" t="s">
        <v>3998</v>
      </c>
      <c r="D980" s="104" t="s">
        <v>2961</v>
      </c>
      <c r="E980" s="105" t="s">
        <v>204</v>
      </c>
      <c r="F980" s="103" t="s">
        <v>12126</v>
      </c>
      <c r="G980" s="103"/>
      <c r="H980" s="103" t="s">
        <v>12127</v>
      </c>
      <c r="I980" s="103"/>
      <c r="J980" s="103" t="s">
        <v>12128</v>
      </c>
      <c r="K980" s="103"/>
      <c r="L980" s="106">
        <v>67.57464</v>
      </c>
      <c r="M980" s="103" t="s">
        <v>11330</v>
      </c>
      <c r="N980" s="106">
        <v>19816149.817431</v>
      </c>
      <c r="O980" s="103" t="s">
        <v>12080</v>
      </c>
      <c r="R980" s="58"/>
      <c r="S980" s="58"/>
      <c r="T980" s="58"/>
      <c r="U980" s="58"/>
      <c r="V980" s="58"/>
      <c r="W980" s="58"/>
      <c r="X980" s="58"/>
    </row>
    <row r="981" ht="25.5" spans="1:24">
      <c r="A981" s="103" t="s">
        <v>4694</v>
      </c>
      <c r="B981" s="104" t="s">
        <v>149</v>
      </c>
      <c r="C981" s="104" t="s">
        <v>4695</v>
      </c>
      <c r="D981" s="104" t="s">
        <v>2961</v>
      </c>
      <c r="E981" s="105" t="s">
        <v>134</v>
      </c>
      <c r="F981" s="103" t="s">
        <v>9183</v>
      </c>
      <c r="G981" s="103"/>
      <c r="H981" s="103" t="s">
        <v>12129</v>
      </c>
      <c r="I981" s="103"/>
      <c r="J981" s="103" t="s">
        <v>12130</v>
      </c>
      <c r="K981" s="103"/>
      <c r="L981" s="106">
        <v>65.98</v>
      </c>
      <c r="M981" s="103" t="s">
        <v>11330</v>
      </c>
      <c r="N981" s="106">
        <v>19816215.797431</v>
      </c>
      <c r="O981" s="103" t="s">
        <v>12080</v>
      </c>
      <c r="R981" s="58"/>
      <c r="S981" s="58"/>
      <c r="T981" s="58"/>
      <c r="U981" s="58"/>
      <c r="V981" s="58"/>
      <c r="W981" s="58"/>
      <c r="X981" s="58"/>
    </row>
    <row r="982" ht="25.5" spans="1:24">
      <c r="A982" s="103" t="s">
        <v>3638</v>
      </c>
      <c r="B982" s="104" t="s">
        <v>139</v>
      </c>
      <c r="C982" s="104" t="s">
        <v>3639</v>
      </c>
      <c r="D982" s="104" t="s">
        <v>2961</v>
      </c>
      <c r="E982" s="105" t="s">
        <v>393</v>
      </c>
      <c r="F982" s="103" t="s">
        <v>12131</v>
      </c>
      <c r="G982" s="103"/>
      <c r="H982" s="103" t="s">
        <v>12132</v>
      </c>
      <c r="I982" s="103"/>
      <c r="J982" s="103" t="s">
        <v>12133</v>
      </c>
      <c r="K982" s="103"/>
      <c r="L982" s="106">
        <v>65.96235</v>
      </c>
      <c r="M982" s="103" t="s">
        <v>11330</v>
      </c>
      <c r="N982" s="106">
        <v>19816281.759781</v>
      </c>
      <c r="O982" s="103" t="s">
        <v>12080</v>
      </c>
      <c r="R982" s="58"/>
      <c r="S982" s="58"/>
      <c r="T982" s="58"/>
      <c r="U982" s="58"/>
      <c r="V982" s="58"/>
      <c r="W982" s="58"/>
      <c r="X982" s="58"/>
    </row>
    <row r="983" spans="1:24">
      <c r="A983" s="103" t="s">
        <v>3834</v>
      </c>
      <c r="B983" s="104" t="s">
        <v>149</v>
      </c>
      <c r="C983" s="104" t="s">
        <v>3835</v>
      </c>
      <c r="D983" s="104" t="s">
        <v>2961</v>
      </c>
      <c r="E983" s="105" t="s">
        <v>134</v>
      </c>
      <c r="F983" s="103" t="s">
        <v>9091</v>
      </c>
      <c r="G983" s="103"/>
      <c r="H983" s="103" t="s">
        <v>12134</v>
      </c>
      <c r="I983" s="103"/>
      <c r="J983" s="103" t="s">
        <v>12134</v>
      </c>
      <c r="K983" s="103"/>
      <c r="L983" s="106">
        <v>63.84</v>
      </c>
      <c r="M983" s="103" t="s">
        <v>11330</v>
      </c>
      <c r="N983" s="106">
        <v>19816345.599781</v>
      </c>
      <c r="O983" s="103" t="s">
        <v>12135</v>
      </c>
      <c r="R983" s="58"/>
      <c r="S983" s="58"/>
      <c r="T983" s="58"/>
      <c r="U983" s="58"/>
      <c r="V983" s="58"/>
      <c r="W983" s="58"/>
      <c r="X983" s="58"/>
    </row>
    <row r="984" ht="51" spans="1:24">
      <c r="A984" s="103" t="s">
        <v>6108</v>
      </c>
      <c r="B984" s="104" t="s">
        <v>139</v>
      </c>
      <c r="C984" s="104" t="s">
        <v>6109</v>
      </c>
      <c r="D984" s="104" t="s">
        <v>3680</v>
      </c>
      <c r="E984" s="105" t="s">
        <v>134</v>
      </c>
      <c r="F984" s="103" t="s">
        <v>12136</v>
      </c>
      <c r="G984" s="103"/>
      <c r="H984" s="103" t="s">
        <v>12137</v>
      </c>
      <c r="I984" s="103"/>
      <c r="J984" s="103" t="s">
        <v>12138</v>
      </c>
      <c r="K984" s="103"/>
      <c r="L984" s="106">
        <v>62.9160456318387</v>
      </c>
      <c r="M984" s="103" t="s">
        <v>11330</v>
      </c>
      <c r="N984" s="106">
        <v>19816408.5158266</v>
      </c>
      <c r="O984" s="103" t="s">
        <v>12135</v>
      </c>
      <c r="R984" s="58"/>
      <c r="S984" s="58"/>
      <c r="T984" s="58"/>
      <c r="U984" s="58"/>
      <c r="V984" s="58"/>
      <c r="W984" s="58"/>
      <c r="X984" s="58"/>
    </row>
    <row r="985" spans="1:24">
      <c r="A985" s="103" t="s">
        <v>4349</v>
      </c>
      <c r="B985" s="104" t="s">
        <v>796</v>
      </c>
      <c r="C985" s="104" t="s">
        <v>4350</v>
      </c>
      <c r="D985" s="104" t="s">
        <v>2961</v>
      </c>
      <c r="E985" s="105" t="s">
        <v>3712</v>
      </c>
      <c r="F985" s="103" t="s">
        <v>12139</v>
      </c>
      <c r="G985" s="103"/>
      <c r="H985" s="103" t="s">
        <v>12140</v>
      </c>
      <c r="I985" s="103"/>
      <c r="J985" s="103" t="s">
        <v>12141</v>
      </c>
      <c r="K985" s="103"/>
      <c r="L985" s="106">
        <v>62.43408</v>
      </c>
      <c r="M985" s="103" t="s">
        <v>11330</v>
      </c>
      <c r="N985" s="106">
        <v>19816470.9499066</v>
      </c>
      <c r="O985" s="103" t="s">
        <v>12135</v>
      </c>
      <c r="R985" s="58"/>
      <c r="S985" s="58"/>
      <c r="T985" s="58"/>
      <c r="U985" s="58"/>
      <c r="V985" s="58"/>
      <c r="W985" s="58"/>
      <c r="X985" s="58"/>
    </row>
    <row r="986" ht="25.5" spans="1:24">
      <c r="A986" s="103" t="s">
        <v>4667</v>
      </c>
      <c r="B986" s="104" t="s">
        <v>149</v>
      </c>
      <c r="C986" s="104" t="s">
        <v>4668</v>
      </c>
      <c r="D986" s="104" t="s">
        <v>2961</v>
      </c>
      <c r="E986" s="105" t="s">
        <v>141</v>
      </c>
      <c r="F986" s="103" t="s">
        <v>9183</v>
      </c>
      <c r="G986" s="103"/>
      <c r="H986" s="103" t="s">
        <v>12142</v>
      </c>
      <c r="I986" s="103"/>
      <c r="J986" s="103" t="s">
        <v>12143</v>
      </c>
      <c r="K986" s="103"/>
      <c r="L986" s="106">
        <v>61.72</v>
      </c>
      <c r="M986" s="103" t="s">
        <v>11330</v>
      </c>
      <c r="N986" s="106">
        <v>19816532.6699066</v>
      </c>
      <c r="O986" s="103" t="s">
        <v>12135</v>
      </c>
      <c r="R986" s="58"/>
      <c r="S986" s="58"/>
      <c r="T986" s="58"/>
      <c r="U986" s="58"/>
      <c r="V986" s="58"/>
      <c r="W986" s="58"/>
      <c r="X986" s="58"/>
    </row>
    <row r="987" ht="25.5" spans="1:24">
      <c r="A987" s="103" t="s">
        <v>4543</v>
      </c>
      <c r="B987" s="104" t="s">
        <v>139</v>
      </c>
      <c r="C987" s="104" t="s">
        <v>4544</v>
      </c>
      <c r="D987" s="104" t="s">
        <v>2961</v>
      </c>
      <c r="E987" s="105" t="s">
        <v>134</v>
      </c>
      <c r="F987" s="103" t="s">
        <v>9585</v>
      </c>
      <c r="G987" s="103"/>
      <c r="H987" s="103" t="s">
        <v>12144</v>
      </c>
      <c r="I987" s="103"/>
      <c r="J987" s="103" t="s">
        <v>12145</v>
      </c>
      <c r="K987" s="103"/>
      <c r="L987" s="106">
        <v>61.2</v>
      </c>
      <c r="M987" s="103" t="s">
        <v>11330</v>
      </c>
      <c r="N987" s="106">
        <v>19816593.8699066</v>
      </c>
      <c r="O987" s="103" t="s">
        <v>12135</v>
      </c>
      <c r="R987" s="58"/>
      <c r="S987" s="58"/>
      <c r="T987" s="58"/>
      <c r="U987" s="58"/>
      <c r="V987" s="58"/>
      <c r="W987" s="58"/>
      <c r="X987" s="58"/>
    </row>
    <row r="988" spans="1:24">
      <c r="A988" s="103" t="s">
        <v>3871</v>
      </c>
      <c r="B988" s="104" t="s">
        <v>149</v>
      </c>
      <c r="C988" s="104" t="s">
        <v>3872</v>
      </c>
      <c r="D988" s="104" t="s">
        <v>2961</v>
      </c>
      <c r="E988" s="105" t="s">
        <v>134</v>
      </c>
      <c r="F988" s="103" t="s">
        <v>12146</v>
      </c>
      <c r="G988" s="103"/>
      <c r="H988" s="103" t="s">
        <v>12147</v>
      </c>
      <c r="I988" s="103"/>
      <c r="J988" s="103" t="s">
        <v>12148</v>
      </c>
      <c r="K988" s="103"/>
      <c r="L988" s="106">
        <v>60.777</v>
      </c>
      <c r="M988" s="103" t="s">
        <v>11330</v>
      </c>
      <c r="N988" s="106">
        <v>19816654.6469066</v>
      </c>
      <c r="O988" s="103" t="s">
        <v>12135</v>
      </c>
      <c r="R988" s="58"/>
      <c r="S988" s="58"/>
      <c r="T988" s="58"/>
      <c r="U988" s="58"/>
      <c r="V988" s="58"/>
      <c r="W988" s="58"/>
      <c r="X988" s="58"/>
    </row>
    <row r="989" ht="38.25" spans="1:24">
      <c r="A989" s="103" t="s">
        <v>6040</v>
      </c>
      <c r="B989" s="104" t="s">
        <v>139</v>
      </c>
      <c r="C989" s="104" t="s">
        <v>6041</v>
      </c>
      <c r="D989" s="104" t="s">
        <v>2961</v>
      </c>
      <c r="E989" s="105" t="s">
        <v>134</v>
      </c>
      <c r="F989" s="103" t="s">
        <v>9091</v>
      </c>
      <c r="G989" s="103"/>
      <c r="H989" s="103" t="s">
        <v>9018</v>
      </c>
      <c r="I989" s="103"/>
      <c r="J989" s="103" t="s">
        <v>9018</v>
      </c>
      <c r="K989" s="103"/>
      <c r="L989" s="106">
        <v>60.31</v>
      </c>
      <c r="M989" s="103" t="s">
        <v>11330</v>
      </c>
      <c r="N989" s="106">
        <v>19816714.9569066</v>
      </c>
      <c r="O989" s="103" t="s">
        <v>12135</v>
      </c>
      <c r="R989" s="58"/>
      <c r="S989" s="58"/>
      <c r="T989" s="58"/>
      <c r="U989" s="58"/>
      <c r="V989" s="58"/>
      <c r="W989" s="58"/>
      <c r="X989" s="58"/>
    </row>
    <row r="990" spans="1:24">
      <c r="A990" s="103" t="s">
        <v>3658</v>
      </c>
      <c r="B990" s="104" t="s">
        <v>149</v>
      </c>
      <c r="C990" s="104" t="s">
        <v>3659</v>
      </c>
      <c r="D990" s="104" t="s">
        <v>2961</v>
      </c>
      <c r="E990" s="105" t="s">
        <v>134</v>
      </c>
      <c r="F990" s="103" t="s">
        <v>9152</v>
      </c>
      <c r="G990" s="103"/>
      <c r="H990" s="103" t="s">
        <v>12149</v>
      </c>
      <c r="I990" s="103"/>
      <c r="J990" s="103" t="s">
        <v>12150</v>
      </c>
      <c r="K990" s="103"/>
      <c r="L990" s="106">
        <v>59.72</v>
      </c>
      <c r="M990" s="103" t="s">
        <v>11330</v>
      </c>
      <c r="N990" s="106">
        <v>19816774.6769066</v>
      </c>
      <c r="O990" s="103" t="s">
        <v>12135</v>
      </c>
      <c r="R990" s="58"/>
      <c r="S990" s="58"/>
      <c r="T990" s="58"/>
      <c r="U990" s="58"/>
      <c r="V990" s="58"/>
      <c r="W990" s="58"/>
      <c r="X990" s="58"/>
    </row>
    <row r="991" ht="25.5" spans="1:24">
      <c r="A991" s="103" t="s">
        <v>4487</v>
      </c>
      <c r="B991" s="104" t="s">
        <v>77</v>
      </c>
      <c r="C991" s="104" t="s">
        <v>4488</v>
      </c>
      <c r="D991" s="104" t="s">
        <v>2961</v>
      </c>
      <c r="E991" s="105" t="s">
        <v>134</v>
      </c>
      <c r="F991" s="103" t="s">
        <v>9091</v>
      </c>
      <c r="G991" s="103"/>
      <c r="H991" s="103" t="s">
        <v>12151</v>
      </c>
      <c r="I991" s="103"/>
      <c r="J991" s="103" t="s">
        <v>12151</v>
      </c>
      <c r="K991" s="103"/>
      <c r="L991" s="106">
        <v>58.76</v>
      </c>
      <c r="M991" s="103" t="s">
        <v>11330</v>
      </c>
      <c r="N991" s="106">
        <v>19816833.4369066</v>
      </c>
      <c r="O991" s="103" t="s">
        <v>12135</v>
      </c>
      <c r="R991" s="58"/>
      <c r="S991" s="58"/>
      <c r="T991" s="58"/>
      <c r="U991" s="58"/>
      <c r="V991" s="58"/>
      <c r="W991" s="58"/>
      <c r="X991" s="58"/>
    </row>
    <row r="992" ht="38.25" spans="1:24">
      <c r="A992" s="103" t="s">
        <v>5457</v>
      </c>
      <c r="B992" s="104" t="s">
        <v>77</v>
      </c>
      <c r="C992" s="104" t="s">
        <v>5458</v>
      </c>
      <c r="D992" s="104" t="s">
        <v>2961</v>
      </c>
      <c r="E992" s="105" t="s">
        <v>393</v>
      </c>
      <c r="F992" s="103" t="s">
        <v>12152</v>
      </c>
      <c r="G992" s="103"/>
      <c r="H992" s="103" t="s">
        <v>12153</v>
      </c>
      <c r="I992" s="103"/>
      <c r="J992" s="103" t="s">
        <v>12154</v>
      </c>
      <c r="K992" s="103"/>
      <c r="L992" s="106">
        <v>56.3148352676582</v>
      </c>
      <c r="M992" s="103" t="s">
        <v>11330</v>
      </c>
      <c r="N992" s="106">
        <v>19816889.7517419</v>
      </c>
      <c r="O992" s="103" t="s">
        <v>12135</v>
      </c>
      <c r="R992" s="58"/>
      <c r="S992" s="58"/>
      <c r="T992" s="58"/>
      <c r="U992" s="58"/>
      <c r="V992" s="58"/>
      <c r="W992" s="58"/>
      <c r="X992" s="58"/>
    </row>
    <row r="993" ht="25.5" spans="1:24">
      <c r="A993" s="103" t="s">
        <v>5515</v>
      </c>
      <c r="B993" s="104" t="s">
        <v>139</v>
      </c>
      <c r="C993" s="104" t="s">
        <v>5516</v>
      </c>
      <c r="D993" s="104" t="s">
        <v>2961</v>
      </c>
      <c r="E993" s="105" t="s">
        <v>134</v>
      </c>
      <c r="F993" s="103" t="s">
        <v>12155</v>
      </c>
      <c r="G993" s="103"/>
      <c r="H993" s="103" t="s">
        <v>6743</v>
      </c>
      <c r="I993" s="103"/>
      <c r="J993" s="103" t="s">
        <v>12156</v>
      </c>
      <c r="K993" s="103"/>
      <c r="L993" s="106">
        <v>56.20409424</v>
      </c>
      <c r="M993" s="103" t="s">
        <v>11330</v>
      </c>
      <c r="N993" s="106">
        <v>19816945.9558361</v>
      </c>
      <c r="O993" s="103" t="s">
        <v>12135</v>
      </c>
      <c r="R993" s="58"/>
      <c r="S993" s="58"/>
      <c r="T993" s="58"/>
      <c r="U993" s="58"/>
      <c r="V993" s="58"/>
      <c r="W993" s="58"/>
      <c r="X993" s="58"/>
    </row>
    <row r="994" ht="25.5" spans="1:24">
      <c r="A994" s="103" t="s">
        <v>3106</v>
      </c>
      <c r="B994" s="104" t="s">
        <v>77</v>
      </c>
      <c r="C994" s="104" t="s">
        <v>3107</v>
      </c>
      <c r="D994" s="104" t="s">
        <v>2896</v>
      </c>
      <c r="E994" s="105" t="s">
        <v>2897</v>
      </c>
      <c r="F994" s="103" t="s">
        <v>12157</v>
      </c>
      <c r="G994" s="103"/>
      <c r="H994" s="103" t="s">
        <v>9371</v>
      </c>
      <c r="I994" s="103"/>
      <c r="J994" s="103" t="s">
        <v>12158</v>
      </c>
      <c r="K994" s="103"/>
      <c r="L994" s="106">
        <v>54.6312</v>
      </c>
      <c r="M994" s="103" t="s">
        <v>11330</v>
      </c>
      <c r="N994" s="106">
        <v>19817000.5870361</v>
      </c>
      <c r="O994" s="103" t="s">
        <v>12135</v>
      </c>
      <c r="R994" s="58"/>
      <c r="S994" s="58"/>
      <c r="T994" s="58"/>
      <c r="U994" s="58"/>
      <c r="V994" s="58"/>
      <c r="W994" s="58"/>
      <c r="X994" s="58"/>
    </row>
    <row r="995" ht="38.25" spans="1:24">
      <c r="A995" s="103" t="s">
        <v>6090</v>
      </c>
      <c r="B995" s="104" t="s">
        <v>77</v>
      </c>
      <c r="C995" s="104" t="s">
        <v>6091</v>
      </c>
      <c r="D995" s="104" t="s">
        <v>2961</v>
      </c>
      <c r="E995" s="105" t="s">
        <v>393</v>
      </c>
      <c r="F995" s="103" t="s">
        <v>12159</v>
      </c>
      <c r="G995" s="103"/>
      <c r="H995" s="103" t="s">
        <v>12160</v>
      </c>
      <c r="I995" s="103"/>
      <c r="J995" s="103" t="s">
        <v>8798</v>
      </c>
      <c r="K995" s="103"/>
      <c r="L995" s="106">
        <v>54.37362411954</v>
      </c>
      <c r="M995" s="103" t="s">
        <v>11330</v>
      </c>
      <c r="N995" s="106">
        <v>19817054.9606602</v>
      </c>
      <c r="O995" s="103" t="s">
        <v>12135</v>
      </c>
      <c r="R995" s="58"/>
      <c r="S995" s="58"/>
      <c r="T995" s="58"/>
      <c r="U995" s="58"/>
      <c r="V995" s="58"/>
      <c r="W995" s="58"/>
      <c r="X995" s="58"/>
    </row>
    <row r="996" spans="1:24">
      <c r="A996" s="103" t="s">
        <v>4900</v>
      </c>
      <c r="B996" s="104" t="s">
        <v>149</v>
      </c>
      <c r="C996" s="104" t="s">
        <v>4901</v>
      </c>
      <c r="D996" s="104" t="s">
        <v>2961</v>
      </c>
      <c r="E996" s="105" t="s">
        <v>204</v>
      </c>
      <c r="F996" s="103" t="s">
        <v>12161</v>
      </c>
      <c r="G996" s="103"/>
      <c r="H996" s="103" t="s">
        <v>12162</v>
      </c>
      <c r="I996" s="103"/>
      <c r="J996" s="103" t="s">
        <v>12163</v>
      </c>
      <c r="K996" s="103"/>
      <c r="L996" s="106">
        <v>54.243</v>
      </c>
      <c r="M996" s="103" t="s">
        <v>11330</v>
      </c>
      <c r="N996" s="106">
        <v>19817109.2036602</v>
      </c>
      <c r="O996" s="103" t="s">
        <v>12135</v>
      </c>
      <c r="R996" s="58"/>
      <c r="S996" s="58"/>
      <c r="T996" s="58"/>
      <c r="U996" s="58"/>
      <c r="V996" s="58"/>
      <c r="W996" s="58"/>
      <c r="X996" s="58"/>
    </row>
    <row r="997" spans="1:24">
      <c r="A997" s="103" t="s">
        <v>4964</v>
      </c>
      <c r="B997" s="104" t="s">
        <v>149</v>
      </c>
      <c r="C997" s="104" t="s">
        <v>4965</v>
      </c>
      <c r="D997" s="104" t="s">
        <v>2961</v>
      </c>
      <c r="E997" s="105" t="s">
        <v>134</v>
      </c>
      <c r="F997" s="103" t="s">
        <v>9585</v>
      </c>
      <c r="G997" s="103"/>
      <c r="H997" s="103" t="s">
        <v>12164</v>
      </c>
      <c r="I997" s="103"/>
      <c r="J997" s="103" t="s">
        <v>12165</v>
      </c>
      <c r="K997" s="103"/>
      <c r="L997" s="106">
        <v>53.73</v>
      </c>
      <c r="M997" s="103" t="s">
        <v>11330</v>
      </c>
      <c r="N997" s="106">
        <v>19817162.9336602</v>
      </c>
      <c r="O997" s="103" t="s">
        <v>12135</v>
      </c>
      <c r="R997" s="58"/>
      <c r="S997" s="58"/>
      <c r="T997" s="58"/>
      <c r="U997" s="58"/>
      <c r="V997" s="58"/>
      <c r="W997" s="58"/>
      <c r="X997" s="58"/>
    </row>
    <row r="998" spans="1:24">
      <c r="A998" s="103" t="s">
        <v>3618</v>
      </c>
      <c r="B998" s="104" t="s">
        <v>139</v>
      </c>
      <c r="C998" s="104" t="s">
        <v>3619</v>
      </c>
      <c r="D998" s="104" t="s">
        <v>2961</v>
      </c>
      <c r="E998" s="105" t="s">
        <v>134</v>
      </c>
      <c r="F998" s="103" t="s">
        <v>12166</v>
      </c>
      <c r="G998" s="103"/>
      <c r="H998" s="103" t="s">
        <v>12167</v>
      </c>
      <c r="I998" s="103"/>
      <c r="J998" s="103" t="s">
        <v>12168</v>
      </c>
      <c r="K998" s="103"/>
      <c r="L998" s="106">
        <v>51.99288512</v>
      </c>
      <c r="M998" s="103" t="s">
        <v>11330</v>
      </c>
      <c r="N998" s="106">
        <v>19817214.9265454</v>
      </c>
      <c r="O998" s="103" t="s">
        <v>12135</v>
      </c>
      <c r="R998" s="58"/>
      <c r="S998" s="58"/>
      <c r="T998" s="58"/>
      <c r="U998" s="58"/>
      <c r="V998" s="58"/>
      <c r="W998" s="58"/>
      <c r="X998" s="58"/>
    </row>
    <row r="999" ht="25.5" spans="1:24">
      <c r="A999" s="103" t="s">
        <v>4158</v>
      </c>
      <c r="B999" s="104" t="s">
        <v>77</v>
      </c>
      <c r="C999" s="104" t="s">
        <v>4159</v>
      </c>
      <c r="D999" s="104" t="s">
        <v>2961</v>
      </c>
      <c r="E999" s="105" t="s">
        <v>134</v>
      </c>
      <c r="F999" s="103" t="s">
        <v>9183</v>
      </c>
      <c r="G999" s="103"/>
      <c r="H999" s="103" t="s">
        <v>12169</v>
      </c>
      <c r="I999" s="103"/>
      <c r="J999" s="103" t="s">
        <v>12170</v>
      </c>
      <c r="K999" s="103"/>
      <c r="L999" s="106">
        <v>50.88</v>
      </c>
      <c r="M999" s="103" t="s">
        <v>11330</v>
      </c>
      <c r="N999" s="106">
        <v>19817265.8065454</v>
      </c>
      <c r="O999" s="103" t="s">
        <v>12135</v>
      </c>
      <c r="R999" s="58"/>
      <c r="S999" s="58"/>
      <c r="T999" s="58"/>
      <c r="U999" s="58"/>
      <c r="V999" s="58"/>
      <c r="W999" s="58"/>
      <c r="X999" s="58"/>
    </row>
    <row r="1000" ht="25.5" spans="1:24">
      <c r="A1000" s="103" t="s">
        <v>5018</v>
      </c>
      <c r="B1000" s="104" t="s">
        <v>139</v>
      </c>
      <c r="C1000" s="104" t="s">
        <v>5019</v>
      </c>
      <c r="D1000" s="104" t="s">
        <v>2961</v>
      </c>
      <c r="E1000" s="105" t="s">
        <v>134</v>
      </c>
      <c r="F1000" s="103" t="s">
        <v>9183</v>
      </c>
      <c r="G1000" s="103"/>
      <c r="H1000" s="103" t="s">
        <v>10359</v>
      </c>
      <c r="I1000" s="103"/>
      <c r="J1000" s="103" t="s">
        <v>12171</v>
      </c>
      <c r="K1000" s="103"/>
      <c r="L1000" s="106">
        <v>50.78</v>
      </c>
      <c r="M1000" s="103" t="s">
        <v>11330</v>
      </c>
      <c r="N1000" s="106">
        <v>19817316.5865454</v>
      </c>
      <c r="O1000" s="103" t="s">
        <v>12135</v>
      </c>
      <c r="R1000" s="58"/>
      <c r="S1000" s="58"/>
      <c r="T1000" s="58"/>
      <c r="U1000" s="58"/>
      <c r="V1000" s="58"/>
      <c r="W1000" s="58"/>
      <c r="X1000" s="58"/>
    </row>
    <row r="1001" spans="1:15">
      <c r="A1001" s="103" t="s">
        <v>4087</v>
      </c>
      <c r="B1001" s="104" t="s">
        <v>149</v>
      </c>
      <c r="C1001" s="104" t="s">
        <v>4088</v>
      </c>
      <c r="D1001" s="104" t="s">
        <v>2961</v>
      </c>
      <c r="E1001" s="105" t="s">
        <v>279</v>
      </c>
      <c r="F1001" s="103" t="s">
        <v>12172</v>
      </c>
      <c r="G1001" s="103"/>
      <c r="H1001" s="103" t="s">
        <v>7462</v>
      </c>
      <c r="I1001" s="103"/>
      <c r="J1001" s="103" t="s">
        <v>12173</v>
      </c>
      <c r="K1001" s="103"/>
      <c r="L1001" s="106">
        <v>50.56875</v>
      </c>
      <c r="M1001" s="103" t="s">
        <v>11330</v>
      </c>
      <c r="N1001" s="106">
        <v>19817367.1552954</v>
      </c>
      <c r="O1001" s="103" t="s">
        <v>12135</v>
      </c>
    </row>
    <row r="1002" spans="1:15">
      <c r="A1002" s="103" t="s">
        <v>4365</v>
      </c>
      <c r="B1002" s="104" t="s">
        <v>149</v>
      </c>
      <c r="C1002" s="104" t="s">
        <v>4366</v>
      </c>
      <c r="D1002" s="104" t="s">
        <v>2961</v>
      </c>
      <c r="E1002" s="105" t="s">
        <v>134</v>
      </c>
      <c r="F1002" s="103" t="s">
        <v>12174</v>
      </c>
      <c r="G1002" s="103"/>
      <c r="H1002" s="103" t="s">
        <v>12175</v>
      </c>
      <c r="I1002" s="103"/>
      <c r="J1002" s="103" t="s">
        <v>12176</v>
      </c>
      <c r="K1002" s="103"/>
      <c r="L1002" s="106">
        <v>50.52931</v>
      </c>
      <c r="M1002" s="103" t="s">
        <v>11330</v>
      </c>
      <c r="N1002" s="106">
        <v>19817417.6846054</v>
      </c>
      <c r="O1002" s="103" t="s">
        <v>12135</v>
      </c>
    </row>
    <row r="1003" ht="25.5" spans="1:15">
      <c r="A1003" s="103" t="s">
        <v>5894</v>
      </c>
      <c r="B1003" s="104" t="s">
        <v>139</v>
      </c>
      <c r="C1003" s="104" t="s">
        <v>5895</v>
      </c>
      <c r="D1003" s="104" t="s">
        <v>2961</v>
      </c>
      <c r="E1003" s="105" t="s">
        <v>134</v>
      </c>
      <c r="F1003" s="103" t="s">
        <v>10423</v>
      </c>
      <c r="G1003" s="103"/>
      <c r="H1003" s="103" t="s">
        <v>11846</v>
      </c>
      <c r="I1003" s="103"/>
      <c r="J1003" s="103" t="s">
        <v>12177</v>
      </c>
      <c r="K1003" s="103"/>
      <c r="L1003" s="106">
        <v>50.4</v>
      </c>
      <c r="M1003" s="103" t="s">
        <v>11330</v>
      </c>
      <c r="N1003" s="106">
        <v>19817468.0846054</v>
      </c>
      <c r="O1003" s="103" t="s">
        <v>12135</v>
      </c>
    </row>
    <row r="1004" spans="1:15">
      <c r="A1004" s="103" t="s">
        <v>3708</v>
      </c>
      <c r="B1004" s="104" t="s">
        <v>796</v>
      </c>
      <c r="C1004" s="104" t="s">
        <v>3709</v>
      </c>
      <c r="D1004" s="104" t="s">
        <v>2961</v>
      </c>
      <c r="E1004" s="105" t="s">
        <v>334</v>
      </c>
      <c r="F1004" s="103" t="s">
        <v>9091</v>
      </c>
      <c r="G1004" s="103"/>
      <c r="H1004" s="103" t="s">
        <v>12178</v>
      </c>
      <c r="I1004" s="103"/>
      <c r="J1004" s="103" t="s">
        <v>12178</v>
      </c>
      <c r="K1004" s="103"/>
      <c r="L1004" s="106">
        <v>50.35</v>
      </c>
      <c r="M1004" s="103" t="s">
        <v>11330</v>
      </c>
      <c r="N1004" s="106">
        <v>19817518.4346054</v>
      </c>
      <c r="O1004" s="103" t="s">
        <v>12135</v>
      </c>
    </row>
    <row r="1005" spans="1:15">
      <c r="A1005" s="103" t="s">
        <v>4103</v>
      </c>
      <c r="B1005" s="104" t="s">
        <v>149</v>
      </c>
      <c r="C1005" s="104" t="s">
        <v>4104</v>
      </c>
      <c r="D1005" s="104" t="s">
        <v>2961</v>
      </c>
      <c r="E1005" s="105" t="s">
        <v>279</v>
      </c>
      <c r="F1005" s="103" t="s">
        <v>12172</v>
      </c>
      <c r="G1005" s="103"/>
      <c r="H1005" s="103" t="s">
        <v>9904</v>
      </c>
      <c r="I1005" s="103"/>
      <c r="J1005" s="103" t="s">
        <v>8474</v>
      </c>
      <c r="K1005" s="103"/>
      <c r="L1005" s="106">
        <v>50.3037</v>
      </c>
      <c r="M1005" s="103" t="s">
        <v>11330</v>
      </c>
      <c r="N1005" s="106">
        <v>19817568.7383054</v>
      </c>
      <c r="O1005" s="103" t="s">
        <v>12135</v>
      </c>
    </row>
    <row r="1006" ht="25.5" spans="1:15">
      <c r="A1006" s="103" t="s">
        <v>3157</v>
      </c>
      <c r="B1006" s="104" t="s">
        <v>139</v>
      </c>
      <c r="C1006" s="104" t="s">
        <v>3158</v>
      </c>
      <c r="D1006" s="104" t="s">
        <v>2961</v>
      </c>
      <c r="E1006" s="105" t="s">
        <v>134</v>
      </c>
      <c r="F1006" s="103" t="s">
        <v>10855</v>
      </c>
      <c r="G1006" s="103"/>
      <c r="H1006" s="103" t="s">
        <v>12179</v>
      </c>
      <c r="I1006" s="103"/>
      <c r="J1006" s="103" t="s">
        <v>12180</v>
      </c>
      <c r="K1006" s="103"/>
      <c r="L1006" s="106">
        <v>50.16</v>
      </c>
      <c r="M1006" s="103" t="s">
        <v>11330</v>
      </c>
      <c r="N1006" s="106">
        <v>19817618.8983054</v>
      </c>
      <c r="O1006" s="103" t="s">
        <v>12135</v>
      </c>
    </row>
    <row r="1007" ht="38.25" spans="1:15">
      <c r="A1007" s="103" t="s">
        <v>4707</v>
      </c>
      <c r="B1007" s="104" t="s">
        <v>132</v>
      </c>
      <c r="C1007" s="104" t="s">
        <v>4708</v>
      </c>
      <c r="D1007" s="104" t="s">
        <v>2961</v>
      </c>
      <c r="E1007" s="105" t="s">
        <v>134</v>
      </c>
      <c r="F1007" s="103" t="s">
        <v>9183</v>
      </c>
      <c r="G1007" s="103"/>
      <c r="H1007" s="103" t="s">
        <v>12181</v>
      </c>
      <c r="I1007" s="103"/>
      <c r="J1007" s="103" t="s">
        <v>12182</v>
      </c>
      <c r="K1007" s="103"/>
      <c r="L1007" s="106">
        <v>50.1</v>
      </c>
      <c r="M1007" s="103" t="s">
        <v>11330</v>
      </c>
      <c r="N1007" s="106">
        <v>19817668.9983054</v>
      </c>
      <c r="O1007" s="103" t="s">
        <v>12135</v>
      </c>
    </row>
    <row r="1008" ht="25.5" spans="1:15">
      <c r="A1008" s="103" t="s">
        <v>4675</v>
      </c>
      <c r="B1008" s="104" t="s">
        <v>139</v>
      </c>
      <c r="C1008" s="104" t="s">
        <v>4676</v>
      </c>
      <c r="D1008" s="104" t="s">
        <v>2961</v>
      </c>
      <c r="E1008" s="105" t="s">
        <v>134</v>
      </c>
      <c r="F1008" s="103" t="s">
        <v>9152</v>
      </c>
      <c r="G1008" s="103"/>
      <c r="H1008" s="103" t="s">
        <v>12183</v>
      </c>
      <c r="I1008" s="103"/>
      <c r="J1008" s="103" t="s">
        <v>12184</v>
      </c>
      <c r="K1008" s="103"/>
      <c r="L1008" s="106">
        <v>48.36</v>
      </c>
      <c r="M1008" s="103" t="s">
        <v>11330</v>
      </c>
      <c r="N1008" s="106">
        <v>19817717.3583054</v>
      </c>
      <c r="O1008" s="103" t="s">
        <v>12135</v>
      </c>
    </row>
    <row r="1009" spans="1:15">
      <c r="A1009" s="103" t="s">
        <v>5259</v>
      </c>
      <c r="B1009" s="104" t="s">
        <v>132</v>
      </c>
      <c r="C1009" s="104" t="s">
        <v>5260</v>
      </c>
      <c r="D1009" s="104" t="s">
        <v>2961</v>
      </c>
      <c r="E1009" s="105" t="s">
        <v>134</v>
      </c>
      <c r="F1009" s="103" t="s">
        <v>9550</v>
      </c>
      <c r="G1009" s="103"/>
      <c r="H1009" s="103" t="s">
        <v>12185</v>
      </c>
      <c r="I1009" s="103"/>
      <c r="J1009" s="103" t="s">
        <v>12186</v>
      </c>
      <c r="K1009" s="103"/>
      <c r="L1009" s="106">
        <v>47.12</v>
      </c>
      <c r="M1009" s="103" t="s">
        <v>11330</v>
      </c>
      <c r="N1009" s="106">
        <v>19817764.4783054</v>
      </c>
      <c r="O1009" s="103" t="s">
        <v>12135</v>
      </c>
    </row>
    <row r="1010" spans="1:15">
      <c r="A1010" s="103" t="s">
        <v>6078</v>
      </c>
      <c r="B1010" s="104" t="s">
        <v>77</v>
      </c>
      <c r="C1010" s="104" t="s">
        <v>6079</v>
      </c>
      <c r="D1010" s="104" t="s">
        <v>2961</v>
      </c>
      <c r="E1010" s="105" t="s">
        <v>393</v>
      </c>
      <c r="F1010" s="103" t="s">
        <v>12187</v>
      </c>
      <c r="G1010" s="103"/>
      <c r="H1010" s="103" t="s">
        <v>12188</v>
      </c>
      <c r="I1010" s="103"/>
      <c r="J1010" s="103" t="s">
        <v>12189</v>
      </c>
      <c r="K1010" s="103"/>
      <c r="L1010" s="106">
        <v>46.23490481302</v>
      </c>
      <c r="M1010" s="103" t="s">
        <v>11330</v>
      </c>
      <c r="N1010" s="106">
        <v>19817810.7132102</v>
      </c>
      <c r="O1010" s="103" t="s">
        <v>12135</v>
      </c>
    </row>
    <row r="1011" spans="1:15">
      <c r="A1011" s="103" t="s">
        <v>6084</v>
      </c>
      <c r="B1011" s="104" t="s">
        <v>77</v>
      </c>
      <c r="C1011" s="104" t="s">
        <v>6085</v>
      </c>
      <c r="D1011" s="104" t="s">
        <v>2961</v>
      </c>
      <c r="E1011" s="105" t="s">
        <v>393</v>
      </c>
      <c r="F1011" s="103" t="s">
        <v>12187</v>
      </c>
      <c r="G1011" s="103"/>
      <c r="H1011" s="103" t="s">
        <v>12188</v>
      </c>
      <c r="I1011" s="103"/>
      <c r="J1011" s="103" t="s">
        <v>12189</v>
      </c>
      <c r="K1011" s="103"/>
      <c r="L1011" s="106">
        <v>46.23490481302</v>
      </c>
      <c r="M1011" s="103" t="s">
        <v>11330</v>
      </c>
      <c r="N1011" s="106">
        <v>19817856.948115</v>
      </c>
      <c r="O1011" s="103" t="s">
        <v>12135</v>
      </c>
    </row>
    <row r="1012" spans="1:15">
      <c r="A1012" s="103" t="s">
        <v>3058</v>
      </c>
      <c r="B1012" s="104" t="s">
        <v>139</v>
      </c>
      <c r="C1012" s="104" t="s">
        <v>3059</v>
      </c>
      <c r="D1012" s="104" t="s">
        <v>2961</v>
      </c>
      <c r="E1012" s="105" t="s">
        <v>393</v>
      </c>
      <c r="F1012" s="103" t="s">
        <v>12190</v>
      </c>
      <c r="G1012" s="103"/>
      <c r="H1012" s="103" t="s">
        <v>12191</v>
      </c>
      <c r="I1012" s="103"/>
      <c r="J1012" s="103" t="s">
        <v>12192</v>
      </c>
      <c r="K1012" s="103"/>
      <c r="L1012" s="106">
        <v>45.87462594</v>
      </c>
      <c r="M1012" s="103" t="s">
        <v>11330</v>
      </c>
      <c r="N1012" s="106">
        <v>19817902.8227409</v>
      </c>
      <c r="O1012" s="103" t="s">
        <v>12135</v>
      </c>
    </row>
    <row r="1013" ht="38.25" spans="1:15">
      <c r="A1013" s="103" t="s">
        <v>3763</v>
      </c>
      <c r="B1013" s="104" t="s">
        <v>139</v>
      </c>
      <c r="C1013" s="104" t="s">
        <v>3764</v>
      </c>
      <c r="D1013" s="104" t="s">
        <v>2961</v>
      </c>
      <c r="E1013" s="105" t="s">
        <v>134</v>
      </c>
      <c r="F1013" s="103" t="s">
        <v>12193</v>
      </c>
      <c r="G1013" s="103"/>
      <c r="H1013" s="103" t="s">
        <v>6610</v>
      </c>
      <c r="I1013" s="103"/>
      <c r="J1013" s="103" t="s">
        <v>12194</v>
      </c>
      <c r="K1013" s="103"/>
      <c r="L1013" s="106">
        <v>45.856776</v>
      </c>
      <c r="M1013" s="103" t="s">
        <v>11330</v>
      </c>
      <c r="N1013" s="106">
        <v>19817948.6795169</v>
      </c>
      <c r="O1013" s="103" t="s">
        <v>12135</v>
      </c>
    </row>
    <row r="1014" spans="1:15">
      <c r="A1014" s="103" t="s">
        <v>5012</v>
      </c>
      <c r="B1014" s="104" t="s">
        <v>139</v>
      </c>
      <c r="C1014" s="104" t="s">
        <v>5013</v>
      </c>
      <c r="D1014" s="104" t="s">
        <v>2961</v>
      </c>
      <c r="E1014" s="105" t="s">
        <v>134</v>
      </c>
      <c r="F1014" s="103" t="s">
        <v>12195</v>
      </c>
      <c r="G1014" s="103"/>
      <c r="H1014" s="103" t="s">
        <v>6664</v>
      </c>
      <c r="I1014" s="103"/>
      <c r="J1014" s="103" t="s">
        <v>8245</v>
      </c>
      <c r="K1014" s="103"/>
      <c r="L1014" s="106">
        <v>45.6832</v>
      </c>
      <c r="M1014" s="103" t="s">
        <v>11330</v>
      </c>
      <c r="N1014" s="106">
        <v>19817994.3627169</v>
      </c>
      <c r="O1014" s="103" t="s">
        <v>12135</v>
      </c>
    </row>
    <row r="1015" ht="25.5" spans="1:15">
      <c r="A1015" s="103" t="s">
        <v>6092</v>
      </c>
      <c r="B1015" s="104" t="s">
        <v>77</v>
      </c>
      <c r="C1015" s="104" t="s">
        <v>6093</v>
      </c>
      <c r="D1015" s="104" t="s">
        <v>2961</v>
      </c>
      <c r="E1015" s="105" t="s">
        <v>393</v>
      </c>
      <c r="F1015" s="103" t="s">
        <v>12196</v>
      </c>
      <c r="G1015" s="103"/>
      <c r="H1015" s="103" t="s">
        <v>12197</v>
      </c>
      <c r="I1015" s="103"/>
      <c r="J1015" s="103" t="s">
        <v>10546</v>
      </c>
      <c r="K1015" s="103"/>
      <c r="L1015" s="106">
        <v>43.661021239792</v>
      </c>
      <c r="M1015" s="103" t="s">
        <v>11330</v>
      </c>
      <c r="N1015" s="106">
        <v>19818038.0237382</v>
      </c>
      <c r="O1015" s="103" t="s">
        <v>12135</v>
      </c>
    </row>
    <row r="1016" ht="25.5" spans="1:15">
      <c r="A1016" s="103" t="s">
        <v>6086</v>
      </c>
      <c r="B1016" s="104" t="s">
        <v>77</v>
      </c>
      <c r="C1016" s="104" t="s">
        <v>6087</v>
      </c>
      <c r="D1016" s="104" t="s">
        <v>2961</v>
      </c>
      <c r="E1016" s="105" t="s">
        <v>393</v>
      </c>
      <c r="F1016" s="103" t="s">
        <v>12196</v>
      </c>
      <c r="G1016" s="103"/>
      <c r="H1016" s="103" t="s">
        <v>12198</v>
      </c>
      <c r="I1016" s="103"/>
      <c r="J1016" s="103" t="s">
        <v>12199</v>
      </c>
      <c r="K1016" s="103"/>
      <c r="L1016" s="106">
        <v>42.659621670072</v>
      </c>
      <c r="M1016" s="103" t="s">
        <v>11330</v>
      </c>
      <c r="N1016" s="106">
        <v>19818080.6833598</v>
      </c>
      <c r="O1016" s="103" t="s">
        <v>12135</v>
      </c>
    </row>
    <row r="1017" ht="51" spans="1:15">
      <c r="A1017" s="103" t="s">
        <v>6076</v>
      </c>
      <c r="B1017" s="104" t="s">
        <v>77</v>
      </c>
      <c r="C1017" s="104" t="s">
        <v>6077</v>
      </c>
      <c r="D1017" s="104" t="s">
        <v>2961</v>
      </c>
      <c r="E1017" s="105" t="s">
        <v>393</v>
      </c>
      <c r="F1017" s="103" t="s">
        <v>12200</v>
      </c>
      <c r="G1017" s="103"/>
      <c r="H1017" s="103" t="s">
        <v>12021</v>
      </c>
      <c r="I1017" s="103"/>
      <c r="J1017" s="103" t="s">
        <v>12201</v>
      </c>
      <c r="K1017" s="103"/>
      <c r="L1017" s="106">
        <v>41.082491488896</v>
      </c>
      <c r="M1017" s="103" t="s">
        <v>11330</v>
      </c>
      <c r="N1017" s="106">
        <v>19818121.7658513</v>
      </c>
      <c r="O1017" s="103" t="s">
        <v>12135</v>
      </c>
    </row>
    <row r="1018" ht="25.5" spans="1:15">
      <c r="A1018" s="103" t="s">
        <v>5122</v>
      </c>
      <c r="B1018" s="104" t="s">
        <v>139</v>
      </c>
      <c r="C1018" s="104" t="s">
        <v>5123</v>
      </c>
      <c r="D1018" s="104" t="s">
        <v>2961</v>
      </c>
      <c r="E1018" s="105" t="s">
        <v>141</v>
      </c>
      <c r="F1018" s="103" t="s">
        <v>12202</v>
      </c>
      <c r="G1018" s="103"/>
      <c r="H1018" s="103" t="s">
        <v>12203</v>
      </c>
      <c r="I1018" s="103"/>
      <c r="J1018" s="103" t="s">
        <v>12204</v>
      </c>
      <c r="K1018" s="103"/>
      <c r="L1018" s="106">
        <v>40.3944975</v>
      </c>
      <c r="M1018" s="103" t="s">
        <v>11330</v>
      </c>
      <c r="N1018" s="106">
        <v>19818162.1603488</v>
      </c>
      <c r="O1018" s="103" t="s">
        <v>12135</v>
      </c>
    </row>
    <row r="1019" spans="1:15">
      <c r="A1019" s="103" t="s">
        <v>3609</v>
      </c>
      <c r="B1019" s="104" t="s">
        <v>139</v>
      </c>
      <c r="C1019" s="104" t="s">
        <v>3610</v>
      </c>
      <c r="D1019" s="104" t="s">
        <v>2961</v>
      </c>
      <c r="E1019" s="105" t="s">
        <v>134</v>
      </c>
      <c r="F1019" s="103" t="s">
        <v>12205</v>
      </c>
      <c r="G1019" s="103"/>
      <c r="H1019" s="103" t="s">
        <v>12206</v>
      </c>
      <c r="I1019" s="103"/>
      <c r="J1019" s="103" t="s">
        <v>12207</v>
      </c>
      <c r="K1019" s="103"/>
      <c r="L1019" s="106">
        <v>39.61282208</v>
      </c>
      <c r="M1019" s="103" t="s">
        <v>11330</v>
      </c>
      <c r="N1019" s="106">
        <v>19818201.7731709</v>
      </c>
      <c r="O1019" s="103" t="s">
        <v>12135</v>
      </c>
    </row>
    <row r="1020" ht="51" spans="1:15">
      <c r="A1020" s="103" t="s">
        <v>5471</v>
      </c>
      <c r="B1020" s="104" t="s">
        <v>139</v>
      </c>
      <c r="C1020" s="104" t="s">
        <v>5472</v>
      </c>
      <c r="D1020" s="104" t="s">
        <v>3680</v>
      </c>
      <c r="E1020" s="105" t="s">
        <v>134</v>
      </c>
      <c r="F1020" s="103" t="s">
        <v>12208</v>
      </c>
      <c r="G1020" s="103"/>
      <c r="H1020" s="103" t="s">
        <v>12209</v>
      </c>
      <c r="I1020" s="103"/>
      <c r="J1020" s="103" t="s">
        <v>12210</v>
      </c>
      <c r="K1020" s="103"/>
      <c r="L1020" s="106">
        <v>39.0064113504039</v>
      </c>
      <c r="M1020" s="103" t="s">
        <v>11330</v>
      </c>
      <c r="N1020" s="106">
        <v>19818240.7795823</v>
      </c>
      <c r="O1020" s="103" t="s">
        <v>12135</v>
      </c>
    </row>
    <row r="1021" spans="1:15">
      <c r="A1021" s="103" t="s">
        <v>4994</v>
      </c>
      <c r="B1021" s="104" t="s">
        <v>149</v>
      </c>
      <c r="C1021" s="104" t="s">
        <v>4995</v>
      </c>
      <c r="D1021" s="104" t="s">
        <v>2961</v>
      </c>
      <c r="E1021" s="105" t="s">
        <v>134</v>
      </c>
      <c r="F1021" s="103" t="s">
        <v>10634</v>
      </c>
      <c r="G1021" s="103"/>
      <c r="H1021" s="103" t="s">
        <v>6641</v>
      </c>
      <c r="I1021" s="103"/>
      <c r="J1021" s="103" t="s">
        <v>12211</v>
      </c>
      <c r="K1021" s="103"/>
      <c r="L1021" s="106">
        <v>38.74</v>
      </c>
      <c r="M1021" s="103" t="s">
        <v>11330</v>
      </c>
      <c r="N1021" s="106">
        <v>19818279.5195823</v>
      </c>
      <c r="O1021" s="103" t="s">
        <v>12135</v>
      </c>
    </row>
    <row r="1022" ht="25.5" spans="1:15">
      <c r="A1022" s="103" t="s">
        <v>5251</v>
      </c>
      <c r="B1022" s="104" t="s">
        <v>139</v>
      </c>
      <c r="C1022" s="104" t="s">
        <v>5252</v>
      </c>
      <c r="D1022" s="104" t="s">
        <v>2961</v>
      </c>
      <c r="E1022" s="105" t="s">
        <v>141</v>
      </c>
      <c r="F1022" s="103" t="s">
        <v>12212</v>
      </c>
      <c r="G1022" s="103"/>
      <c r="H1022" s="103" t="s">
        <v>12213</v>
      </c>
      <c r="I1022" s="103"/>
      <c r="J1022" s="103" t="s">
        <v>12214</v>
      </c>
      <c r="K1022" s="103"/>
      <c r="L1022" s="106">
        <v>37.9143</v>
      </c>
      <c r="M1022" s="103" t="s">
        <v>11330</v>
      </c>
      <c r="N1022" s="106">
        <v>19818317.4338823</v>
      </c>
      <c r="O1022" s="103" t="s">
        <v>12215</v>
      </c>
    </row>
    <row r="1023" spans="1:15">
      <c r="A1023" s="103" t="s">
        <v>4001</v>
      </c>
      <c r="B1023" s="104" t="s">
        <v>149</v>
      </c>
      <c r="C1023" s="104" t="s">
        <v>4002</v>
      </c>
      <c r="D1023" s="104" t="s">
        <v>2961</v>
      </c>
      <c r="E1023" s="105" t="s">
        <v>134</v>
      </c>
      <c r="F1023" s="103" t="s">
        <v>12122</v>
      </c>
      <c r="G1023" s="103"/>
      <c r="H1023" s="103" t="s">
        <v>7095</v>
      </c>
      <c r="I1023" s="103"/>
      <c r="J1023" s="103" t="s">
        <v>12216</v>
      </c>
      <c r="K1023" s="103"/>
      <c r="L1023" s="106">
        <v>36.48</v>
      </c>
      <c r="M1023" s="103" t="s">
        <v>11330</v>
      </c>
      <c r="N1023" s="106">
        <v>19818353.9138823</v>
      </c>
      <c r="O1023" s="103" t="s">
        <v>12215</v>
      </c>
    </row>
    <row r="1024" ht="25.5" spans="1:15">
      <c r="A1024" s="103" t="s">
        <v>4647</v>
      </c>
      <c r="B1024" s="104" t="s">
        <v>77</v>
      </c>
      <c r="C1024" s="104" t="s">
        <v>4648</v>
      </c>
      <c r="D1024" s="104" t="s">
        <v>2961</v>
      </c>
      <c r="E1024" s="105" t="s">
        <v>134</v>
      </c>
      <c r="F1024" s="103" t="s">
        <v>9152</v>
      </c>
      <c r="G1024" s="103"/>
      <c r="H1024" s="103" t="s">
        <v>12217</v>
      </c>
      <c r="I1024" s="103"/>
      <c r="J1024" s="103" t="s">
        <v>12218</v>
      </c>
      <c r="K1024" s="103"/>
      <c r="L1024" s="106">
        <v>36</v>
      </c>
      <c r="M1024" s="103" t="s">
        <v>11330</v>
      </c>
      <c r="N1024" s="106">
        <v>19818389.9138823</v>
      </c>
      <c r="O1024" s="103" t="s">
        <v>12215</v>
      </c>
    </row>
    <row r="1025" ht="25.5" spans="1:15">
      <c r="A1025" s="103" t="s">
        <v>3867</v>
      </c>
      <c r="B1025" s="104" t="s">
        <v>139</v>
      </c>
      <c r="C1025" s="104" t="s">
        <v>3868</v>
      </c>
      <c r="D1025" s="104" t="s">
        <v>2961</v>
      </c>
      <c r="E1025" s="105" t="s">
        <v>134</v>
      </c>
      <c r="F1025" s="103" t="s">
        <v>9183</v>
      </c>
      <c r="G1025" s="103"/>
      <c r="H1025" s="103" t="s">
        <v>12219</v>
      </c>
      <c r="I1025" s="103"/>
      <c r="J1025" s="103" t="s">
        <v>12220</v>
      </c>
      <c r="K1025" s="103"/>
      <c r="L1025" s="106">
        <v>33.72</v>
      </c>
      <c r="M1025" s="103" t="s">
        <v>11330</v>
      </c>
      <c r="N1025" s="106">
        <v>19818423.6338823</v>
      </c>
      <c r="O1025" s="103" t="s">
        <v>12215</v>
      </c>
    </row>
    <row r="1026" ht="38.25" spans="1:15">
      <c r="A1026" s="103" t="s">
        <v>3187</v>
      </c>
      <c r="B1026" s="104" t="s">
        <v>139</v>
      </c>
      <c r="C1026" s="104" t="s">
        <v>3188</v>
      </c>
      <c r="D1026" s="104" t="s">
        <v>2961</v>
      </c>
      <c r="E1026" s="105" t="s">
        <v>134</v>
      </c>
      <c r="F1026" s="103" t="s">
        <v>10492</v>
      </c>
      <c r="G1026" s="103"/>
      <c r="H1026" s="103" t="s">
        <v>12221</v>
      </c>
      <c r="I1026" s="103"/>
      <c r="J1026" s="103" t="s">
        <v>12222</v>
      </c>
      <c r="K1026" s="103"/>
      <c r="L1026" s="106">
        <v>33</v>
      </c>
      <c r="M1026" s="103" t="s">
        <v>11330</v>
      </c>
      <c r="N1026" s="106">
        <v>19818456.6338823</v>
      </c>
      <c r="O1026" s="103" t="s">
        <v>12215</v>
      </c>
    </row>
    <row r="1027" spans="1:15">
      <c r="A1027" s="103" t="s">
        <v>5287</v>
      </c>
      <c r="B1027" s="104" t="s">
        <v>77</v>
      </c>
      <c r="C1027" s="104" t="s">
        <v>5288</v>
      </c>
      <c r="D1027" s="104" t="s">
        <v>2961</v>
      </c>
      <c r="E1027" s="105" t="s">
        <v>393</v>
      </c>
      <c r="F1027" s="103" t="s">
        <v>12223</v>
      </c>
      <c r="G1027" s="103"/>
      <c r="H1027" s="103" t="s">
        <v>12224</v>
      </c>
      <c r="I1027" s="103"/>
      <c r="J1027" s="103" t="s">
        <v>12225</v>
      </c>
      <c r="K1027" s="103"/>
      <c r="L1027" s="106">
        <v>32.43</v>
      </c>
      <c r="M1027" s="103" t="s">
        <v>11330</v>
      </c>
      <c r="N1027" s="106">
        <v>19818489.0638823</v>
      </c>
      <c r="O1027" s="103" t="s">
        <v>12215</v>
      </c>
    </row>
    <row r="1028" ht="25.5" spans="1:15">
      <c r="A1028" s="103" t="s">
        <v>4679</v>
      </c>
      <c r="B1028" s="104" t="s">
        <v>132</v>
      </c>
      <c r="C1028" s="104" t="s">
        <v>4680</v>
      </c>
      <c r="D1028" s="104" t="s">
        <v>2961</v>
      </c>
      <c r="E1028" s="105" t="s">
        <v>134</v>
      </c>
      <c r="F1028" s="103" t="s">
        <v>9183</v>
      </c>
      <c r="G1028" s="103"/>
      <c r="H1028" s="103" t="s">
        <v>12226</v>
      </c>
      <c r="I1028" s="103"/>
      <c r="J1028" s="103" t="s">
        <v>12227</v>
      </c>
      <c r="K1028" s="103"/>
      <c r="L1028" s="106">
        <v>32.4</v>
      </c>
      <c r="M1028" s="103" t="s">
        <v>11330</v>
      </c>
      <c r="N1028" s="106">
        <v>19818521.4638823</v>
      </c>
      <c r="O1028" s="103" t="s">
        <v>12215</v>
      </c>
    </row>
    <row r="1029" ht="25.5" spans="1:15">
      <c r="A1029" s="103" t="s">
        <v>4499</v>
      </c>
      <c r="B1029" s="104" t="s">
        <v>77</v>
      </c>
      <c r="C1029" s="104" t="s">
        <v>4500</v>
      </c>
      <c r="D1029" s="104" t="s">
        <v>2961</v>
      </c>
      <c r="E1029" s="105" t="s">
        <v>134</v>
      </c>
      <c r="F1029" s="103" t="s">
        <v>9091</v>
      </c>
      <c r="G1029" s="103"/>
      <c r="H1029" s="103" t="s">
        <v>12228</v>
      </c>
      <c r="I1029" s="103"/>
      <c r="J1029" s="103" t="s">
        <v>12228</v>
      </c>
      <c r="K1029" s="103"/>
      <c r="L1029" s="106">
        <v>31.96</v>
      </c>
      <c r="M1029" s="103" t="s">
        <v>11330</v>
      </c>
      <c r="N1029" s="106">
        <v>19818553.4238823</v>
      </c>
      <c r="O1029" s="103" t="s">
        <v>12215</v>
      </c>
    </row>
    <row r="1030" ht="25.5" spans="1:15">
      <c r="A1030" s="103" t="s">
        <v>5247</v>
      </c>
      <c r="B1030" s="104" t="s">
        <v>149</v>
      </c>
      <c r="C1030" s="104" t="s">
        <v>5248</v>
      </c>
      <c r="D1030" s="104" t="s">
        <v>2961</v>
      </c>
      <c r="E1030" s="105" t="s">
        <v>141</v>
      </c>
      <c r="F1030" s="103" t="s">
        <v>11536</v>
      </c>
      <c r="G1030" s="103"/>
      <c r="H1030" s="103" t="s">
        <v>12229</v>
      </c>
      <c r="I1030" s="103"/>
      <c r="J1030" s="103" t="s">
        <v>12230</v>
      </c>
      <c r="K1030" s="103"/>
      <c r="L1030" s="106">
        <v>31.332</v>
      </c>
      <c r="M1030" s="103" t="s">
        <v>11330</v>
      </c>
      <c r="N1030" s="106">
        <v>19818584.7558823</v>
      </c>
      <c r="O1030" s="103" t="s">
        <v>12215</v>
      </c>
    </row>
    <row r="1031" spans="1:15">
      <c r="A1031" s="103" t="s">
        <v>5792</v>
      </c>
      <c r="B1031" s="104" t="s">
        <v>796</v>
      </c>
      <c r="C1031" s="104" t="s">
        <v>5793</v>
      </c>
      <c r="D1031" s="104" t="s">
        <v>2961</v>
      </c>
      <c r="E1031" s="105" t="s">
        <v>3712</v>
      </c>
      <c r="F1031" s="103" t="s">
        <v>12231</v>
      </c>
      <c r="G1031" s="103"/>
      <c r="H1031" s="103" t="s">
        <v>12232</v>
      </c>
      <c r="I1031" s="103"/>
      <c r="J1031" s="103" t="s">
        <v>12233</v>
      </c>
      <c r="K1031" s="103"/>
      <c r="L1031" s="106">
        <v>31.2432</v>
      </c>
      <c r="M1031" s="103" t="s">
        <v>11330</v>
      </c>
      <c r="N1031" s="106">
        <v>19818615.9990823</v>
      </c>
      <c r="O1031" s="103" t="s">
        <v>12215</v>
      </c>
    </row>
    <row r="1032" ht="25.5" spans="1:15">
      <c r="A1032" s="103" t="s">
        <v>6098</v>
      </c>
      <c r="B1032" s="104" t="s">
        <v>139</v>
      </c>
      <c r="C1032" s="104" t="s">
        <v>6099</v>
      </c>
      <c r="D1032" s="104" t="s">
        <v>2961</v>
      </c>
      <c r="E1032" s="105" t="s">
        <v>134</v>
      </c>
      <c r="F1032" s="103" t="s">
        <v>9183</v>
      </c>
      <c r="G1032" s="103"/>
      <c r="H1032" s="103" t="s">
        <v>12234</v>
      </c>
      <c r="I1032" s="103"/>
      <c r="J1032" s="103" t="s">
        <v>12235</v>
      </c>
      <c r="K1032" s="103"/>
      <c r="L1032" s="106">
        <v>30.82</v>
      </c>
      <c r="M1032" s="103" t="s">
        <v>11330</v>
      </c>
      <c r="N1032" s="106">
        <v>19818646.8190823</v>
      </c>
      <c r="O1032" s="103" t="s">
        <v>12215</v>
      </c>
    </row>
    <row r="1033" ht="25.5" spans="1:15">
      <c r="A1033" s="103" t="s">
        <v>4493</v>
      </c>
      <c r="B1033" s="104" t="s">
        <v>77</v>
      </c>
      <c r="C1033" s="104" t="s">
        <v>4494</v>
      </c>
      <c r="D1033" s="104" t="s">
        <v>2961</v>
      </c>
      <c r="E1033" s="105" t="s">
        <v>134</v>
      </c>
      <c r="F1033" s="103" t="s">
        <v>9091</v>
      </c>
      <c r="G1033" s="103"/>
      <c r="H1033" s="103" t="s">
        <v>12236</v>
      </c>
      <c r="I1033" s="103"/>
      <c r="J1033" s="103" t="s">
        <v>12236</v>
      </c>
      <c r="K1033" s="103"/>
      <c r="L1033" s="106">
        <v>30.72</v>
      </c>
      <c r="M1033" s="103" t="s">
        <v>11330</v>
      </c>
      <c r="N1033" s="106">
        <v>19818677.5390823</v>
      </c>
      <c r="O1033" s="103" t="s">
        <v>12215</v>
      </c>
    </row>
    <row r="1034" ht="25.5" spans="1:15">
      <c r="A1034" s="103" t="s">
        <v>4776</v>
      </c>
      <c r="B1034" s="104" t="s">
        <v>132</v>
      </c>
      <c r="C1034" s="104" t="s">
        <v>4777</v>
      </c>
      <c r="D1034" s="104" t="s">
        <v>2961</v>
      </c>
      <c r="E1034" s="105" t="s">
        <v>134</v>
      </c>
      <c r="F1034" s="103" t="s">
        <v>9091</v>
      </c>
      <c r="G1034" s="103"/>
      <c r="H1034" s="103" t="s">
        <v>12237</v>
      </c>
      <c r="I1034" s="103"/>
      <c r="J1034" s="103" t="s">
        <v>12237</v>
      </c>
      <c r="K1034" s="103"/>
      <c r="L1034" s="106">
        <v>30.27</v>
      </c>
      <c r="M1034" s="103" t="s">
        <v>11330</v>
      </c>
      <c r="N1034" s="106">
        <v>19818707.8090823</v>
      </c>
      <c r="O1034" s="103" t="s">
        <v>12215</v>
      </c>
    </row>
    <row r="1035" ht="25.5" spans="1:15">
      <c r="A1035" s="103" t="s">
        <v>3624</v>
      </c>
      <c r="B1035" s="104" t="s">
        <v>139</v>
      </c>
      <c r="C1035" s="104" t="s">
        <v>3625</v>
      </c>
      <c r="D1035" s="104" t="s">
        <v>2961</v>
      </c>
      <c r="E1035" s="105" t="s">
        <v>134</v>
      </c>
      <c r="F1035" s="103" t="s">
        <v>9585</v>
      </c>
      <c r="G1035" s="103"/>
      <c r="H1035" s="103" t="s">
        <v>12238</v>
      </c>
      <c r="I1035" s="103"/>
      <c r="J1035" s="103" t="s">
        <v>12239</v>
      </c>
      <c r="K1035" s="103"/>
      <c r="L1035" s="106">
        <v>30.15</v>
      </c>
      <c r="M1035" s="103" t="s">
        <v>11330</v>
      </c>
      <c r="N1035" s="106">
        <v>19818737.9590823</v>
      </c>
      <c r="O1035" s="103" t="s">
        <v>12215</v>
      </c>
    </row>
    <row r="1036" ht="63.75" spans="1:15">
      <c r="A1036" s="103" t="s">
        <v>5874</v>
      </c>
      <c r="B1036" s="104" t="s">
        <v>139</v>
      </c>
      <c r="C1036" s="104" t="s">
        <v>5875</v>
      </c>
      <c r="D1036" s="104" t="s">
        <v>3680</v>
      </c>
      <c r="E1036" s="105" t="s">
        <v>134</v>
      </c>
      <c r="F1036" s="103" t="s">
        <v>12240</v>
      </c>
      <c r="G1036" s="103"/>
      <c r="H1036" s="103" t="s">
        <v>12241</v>
      </c>
      <c r="I1036" s="103"/>
      <c r="J1036" s="103" t="s">
        <v>11045</v>
      </c>
      <c r="K1036" s="103"/>
      <c r="L1036" s="106">
        <v>29.473689784</v>
      </c>
      <c r="M1036" s="103" t="s">
        <v>11330</v>
      </c>
      <c r="N1036" s="106">
        <v>19818767.432772</v>
      </c>
      <c r="O1036" s="103" t="s">
        <v>12215</v>
      </c>
    </row>
    <row r="1037" ht="25.5" spans="1:15">
      <c r="A1037" s="103" t="s">
        <v>3688</v>
      </c>
      <c r="B1037" s="104" t="s">
        <v>77</v>
      </c>
      <c r="C1037" s="104" t="s">
        <v>3689</v>
      </c>
      <c r="D1037" s="104" t="s">
        <v>2961</v>
      </c>
      <c r="E1037" s="105" t="s">
        <v>134</v>
      </c>
      <c r="F1037" s="103" t="s">
        <v>12242</v>
      </c>
      <c r="G1037" s="103"/>
      <c r="H1037" s="103" t="s">
        <v>12243</v>
      </c>
      <c r="I1037" s="103"/>
      <c r="J1037" s="103" t="s">
        <v>12244</v>
      </c>
      <c r="K1037" s="103"/>
      <c r="L1037" s="106">
        <v>29.34524</v>
      </c>
      <c r="M1037" s="103" t="s">
        <v>11330</v>
      </c>
      <c r="N1037" s="106">
        <v>19818796.778012</v>
      </c>
      <c r="O1037" s="103" t="s">
        <v>12215</v>
      </c>
    </row>
    <row r="1038" ht="25.5" spans="1:15">
      <c r="A1038" s="103" t="s">
        <v>5820</v>
      </c>
      <c r="B1038" s="104" t="s">
        <v>139</v>
      </c>
      <c r="C1038" s="104" t="s">
        <v>5821</v>
      </c>
      <c r="D1038" s="104" t="s">
        <v>2961</v>
      </c>
      <c r="E1038" s="105" t="s">
        <v>2897</v>
      </c>
      <c r="F1038" s="103" t="s">
        <v>10377</v>
      </c>
      <c r="G1038" s="103"/>
      <c r="H1038" s="103" t="s">
        <v>10531</v>
      </c>
      <c r="I1038" s="103"/>
      <c r="J1038" s="103" t="s">
        <v>12245</v>
      </c>
      <c r="K1038" s="103"/>
      <c r="L1038" s="106">
        <v>29.26</v>
      </c>
      <c r="M1038" s="103" t="s">
        <v>11330</v>
      </c>
      <c r="N1038" s="106">
        <v>19818826.038012</v>
      </c>
      <c r="O1038" s="103" t="s">
        <v>12215</v>
      </c>
    </row>
    <row r="1039" spans="1:15">
      <c r="A1039" s="103" t="s">
        <v>3293</v>
      </c>
      <c r="B1039" s="104" t="s">
        <v>149</v>
      </c>
      <c r="C1039" s="104" t="s">
        <v>3294</v>
      </c>
      <c r="D1039" s="104" t="s">
        <v>2896</v>
      </c>
      <c r="E1039" s="105" t="s">
        <v>2897</v>
      </c>
      <c r="F1039" s="103" t="s">
        <v>12246</v>
      </c>
      <c r="G1039" s="103"/>
      <c r="H1039" s="103" t="s">
        <v>9359</v>
      </c>
      <c r="I1039" s="103"/>
      <c r="J1039" s="103" t="s">
        <v>12247</v>
      </c>
      <c r="K1039" s="103"/>
      <c r="L1039" s="106">
        <v>29.22213527982</v>
      </c>
      <c r="M1039" s="103" t="s">
        <v>11330</v>
      </c>
      <c r="N1039" s="106">
        <v>19818855.2601473</v>
      </c>
      <c r="O1039" s="103" t="s">
        <v>12215</v>
      </c>
    </row>
    <row r="1040" ht="25.5" spans="1:15">
      <c r="A1040" s="103" t="s">
        <v>3645</v>
      </c>
      <c r="B1040" s="104" t="s">
        <v>139</v>
      </c>
      <c r="C1040" s="104" t="s">
        <v>3646</v>
      </c>
      <c r="D1040" s="104" t="s">
        <v>2961</v>
      </c>
      <c r="E1040" s="105" t="s">
        <v>134</v>
      </c>
      <c r="F1040" s="103" t="s">
        <v>9152</v>
      </c>
      <c r="G1040" s="103"/>
      <c r="H1040" s="103" t="s">
        <v>12248</v>
      </c>
      <c r="I1040" s="103"/>
      <c r="J1040" s="103" t="s">
        <v>10656</v>
      </c>
      <c r="K1040" s="103"/>
      <c r="L1040" s="106">
        <v>28.92</v>
      </c>
      <c r="M1040" s="103" t="s">
        <v>11330</v>
      </c>
      <c r="N1040" s="106">
        <v>19818884.1801473</v>
      </c>
      <c r="O1040" s="103" t="s">
        <v>12215</v>
      </c>
    </row>
    <row r="1041" spans="1:15">
      <c r="A1041" s="103" t="s">
        <v>5222</v>
      </c>
      <c r="B1041" s="104" t="s">
        <v>149</v>
      </c>
      <c r="C1041" s="104" t="s">
        <v>5223</v>
      </c>
      <c r="D1041" s="104" t="s">
        <v>2961</v>
      </c>
      <c r="E1041" s="105" t="s">
        <v>134</v>
      </c>
      <c r="F1041" s="103" t="s">
        <v>12249</v>
      </c>
      <c r="G1041" s="103"/>
      <c r="H1041" s="103" t="s">
        <v>6830</v>
      </c>
      <c r="I1041" s="103"/>
      <c r="J1041" s="103" t="s">
        <v>12250</v>
      </c>
      <c r="K1041" s="103"/>
      <c r="L1041" s="106">
        <v>28.288</v>
      </c>
      <c r="M1041" s="103" t="s">
        <v>11330</v>
      </c>
      <c r="N1041" s="106">
        <v>19818912.4681473</v>
      </c>
      <c r="O1041" s="103" t="s">
        <v>12215</v>
      </c>
    </row>
    <row r="1042" ht="25.5" spans="1:15">
      <c r="A1042" s="103" t="s">
        <v>3740</v>
      </c>
      <c r="B1042" s="104" t="s">
        <v>77</v>
      </c>
      <c r="C1042" s="104" t="s">
        <v>3741</v>
      </c>
      <c r="D1042" s="104" t="s">
        <v>2961</v>
      </c>
      <c r="E1042" s="105" t="s">
        <v>134</v>
      </c>
      <c r="F1042" s="103" t="s">
        <v>9091</v>
      </c>
      <c r="G1042" s="103"/>
      <c r="H1042" s="103" t="s">
        <v>9076</v>
      </c>
      <c r="I1042" s="103"/>
      <c r="J1042" s="103" t="s">
        <v>9076</v>
      </c>
      <c r="K1042" s="103"/>
      <c r="L1042" s="106">
        <v>28.08</v>
      </c>
      <c r="M1042" s="103" t="s">
        <v>11330</v>
      </c>
      <c r="N1042" s="106">
        <v>19818940.5481473</v>
      </c>
      <c r="O1042" s="103" t="s">
        <v>12215</v>
      </c>
    </row>
    <row r="1043" spans="1:15">
      <c r="A1043" s="103" t="s">
        <v>5804</v>
      </c>
      <c r="B1043" s="104" t="s">
        <v>796</v>
      </c>
      <c r="C1043" s="104" t="s">
        <v>5805</v>
      </c>
      <c r="D1043" s="104" t="s">
        <v>5444</v>
      </c>
      <c r="E1043" s="105" t="s">
        <v>279</v>
      </c>
      <c r="F1043" s="103" t="s">
        <v>12251</v>
      </c>
      <c r="G1043" s="103"/>
      <c r="H1043" s="103" t="s">
        <v>11592</v>
      </c>
      <c r="I1043" s="103"/>
      <c r="J1043" s="103" t="s">
        <v>12252</v>
      </c>
      <c r="K1043" s="103"/>
      <c r="L1043" s="106">
        <v>27.128503368</v>
      </c>
      <c r="M1043" s="103" t="s">
        <v>11330</v>
      </c>
      <c r="N1043" s="106">
        <v>19818967.6766507</v>
      </c>
      <c r="O1043" s="103" t="s">
        <v>12215</v>
      </c>
    </row>
    <row r="1044" ht="25.5" spans="1:15">
      <c r="A1044" s="103" t="s">
        <v>5986</v>
      </c>
      <c r="B1044" s="104" t="s">
        <v>139</v>
      </c>
      <c r="C1044" s="104" t="s">
        <v>5987</v>
      </c>
      <c r="D1044" s="104" t="s">
        <v>2961</v>
      </c>
      <c r="E1044" s="105" t="s">
        <v>134</v>
      </c>
      <c r="F1044" s="103" t="s">
        <v>9091</v>
      </c>
      <c r="G1044" s="103"/>
      <c r="H1044" s="103" t="s">
        <v>12253</v>
      </c>
      <c r="I1044" s="103"/>
      <c r="J1044" s="103" t="s">
        <v>12253</v>
      </c>
      <c r="K1044" s="103"/>
      <c r="L1044" s="106">
        <v>26.21</v>
      </c>
      <c r="M1044" s="103" t="s">
        <v>11330</v>
      </c>
      <c r="N1044" s="106">
        <v>19818993.8866507</v>
      </c>
      <c r="O1044" s="103" t="s">
        <v>12215</v>
      </c>
    </row>
    <row r="1045" spans="1:15">
      <c r="A1045" s="103" t="s">
        <v>5800</v>
      </c>
      <c r="B1045" s="104" t="s">
        <v>796</v>
      </c>
      <c r="C1045" s="104" t="s">
        <v>5801</v>
      </c>
      <c r="D1045" s="104" t="s">
        <v>5444</v>
      </c>
      <c r="E1045" s="105" t="s">
        <v>279</v>
      </c>
      <c r="F1045" s="103" t="s">
        <v>12251</v>
      </c>
      <c r="G1045" s="103"/>
      <c r="H1045" s="103" t="s">
        <v>11610</v>
      </c>
      <c r="I1045" s="103"/>
      <c r="J1045" s="103" t="s">
        <v>12254</v>
      </c>
      <c r="K1045" s="103"/>
      <c r="L1045" s="106">
        <v>26.15373468</v>
      </c>
      <c r="M1045" s="103" t="s">
        <v>11330</v>
      </c>
      <c r="N1045" s="106">
        <v>19819020.0403854</v>
      </c>
      <c r="O1045" s="103" t="s">
        <v>12215</v>
      </c>
    </row>
    <row r="1046" ht="25.5" spans="1:15">
      <c r="A1046" s="103" t="s">
        <v>4062</v>
      </c>
      <c r="B1046" s="104" t="s">
        <v>139</v>
      </c>
      <c r="C1046" s="104" t="s">
        <v>4063</v>
      </c>
      <c r="D1046" s="104" t="s">
        <v>2961</v>
      </c>
      <c r="E1046" s="105" t="s">
        <v>134</v>
      </c>
      <c r="F1046" s="103" t="s">
        <v>12255</v>
      </c>
      <c r="G1046" s="103"/>
      <c r="H1046" s="103" t="s">
        <v>12256</v>
      </c>
      <c r="I1046" s="103"/>
      <c r="J1046" s="103" t="s">
        <v>12257</v>
      </c>
      <c r="K1046" s="103"/>
      <c r="L1046" s="106">
        <v>25.925</v>
      </c>
      <c r="M1046" s="103" t="s">
        <v>11330</v>
      </c>
      <c r="N1046" s="106">
        <v>19819045.9653854</v>
      </c>
      <c r="O1046" s="103" t="s">
        <v>12215</v>
      </c>
    </row>
    <row r="1047" spans="1:15">
      <c r="A1047" s="103" t="s">
        <v>5682</v>
      </c>
      <c r="B1047" s="104" t="s">
        <v>139</v>
      </c>
      <c r="C1047" s="104" t="s">
        <v>5683</v>
      </c>
      <c r="D1047" s="104" t="s">
        <v>2896</v>
      </c>
      <c r="E1047" s="105" t="s">
        <v>2897</v>
      </c>
      <c r="F1047" s="103" t="s">
        <v>12258</v>
      </c>
      <c r="G1047" s="103"/>
      <c r="H1047" s="103" t="s">
        <v>12259</v>
      </c>
      <c r="I1047" s="103"/>
      <c r="J1047" s="103" t="s">
        <v>12260</v>
      </c>
      <c r="K1047" s="103"/>
      <c r="L1047" s="106">
        <v>25.0913758</v>
      </c>
      <c r="M1047" s="103" t="s">
        <v>11330</v>
      </c>
      <c r="N1047" s="106">
        <v>19819071.0567612</v>
      </c>
      <c r="O1047" s="103" t="s">
        <v>12215</v>
      </c>
    </row>
    <row r="1048" ht="38.25" spans="1:15">
      <c r="A1048" s="103" t="s">
        <v>3713</v>
      </c>
      <c r="B1048" s="104" t="s">
        <v>796</v>
      </c>
      <c r="C1048" s="104" t="s">
        <v>3714</v>
      </c>
      <c r="D1048" s="104" t="s">
        <v>3715</v>
      </c>
      <c r="E1048" s="105" t="s">
        <v>3716</v>
      </c>
      <c r="F1048" s="103" t="s">
        <v>12261</v>
      </c>
      <c r="G1048" s="103"/>
      <c r="H1048" s="103" t="s">
        <v>7797</v>
      </c>
      <c r="I1048" s="103"/>
      <c r="J1048" s="103" t="s">
        <v>12262</v>
      </c>
      <c r="K1048" s="103"/>
      <c r="L1048" s="106">
        <v>24.509096076</v>
      </c>
      <c r="M1048" s="103" t="s">
        <v>11330</v>
      </c>
      <c r="N1048" s="106">
        <v>19819095.5658572</v>
      </c>
      <c r="O1048" s="103" t="s">
        <v>12215</v>
      </c>
    </row>
    <row r="1049" ht="38.25" spans="1:15">
      <c r="A1049" s="103" t="s">
        <v>5390</v>
      </c>
      <c r="B1049" s="104" t="s">
        <v>139</v>
      </c>
      <c r="C1049" s="104" t="s">
        <v>5391</v>
      </c>
      <c r="D1049" s="104" t="s">
        <v>2961</v>
      </c>
      <c r="E1049" s="105" t="s">
        <v>2897</v>
      </c>
      <c r="F1049" s="103" t="s">
        <v>10916</v>
      </c>
      <c r="G1049" s="103"/>
      <c r="H1049" s="103" t="s">
        <v>8174</v>
      </c>
      <c r="I1049" s="103"/>
      <c r="J1049" s="103" t="s">
        <v>12259</v>
      </c>
      <c r="K1049" s="103"/>
      <c r="L1049" s="106">
        <v>24.34368795178</v>
      </c>
      <c r="M1049" s="103" t="s">
        <v>11330</v>
      </c>
      <c r="N1049" s="106">
        <v>19819119.9095452</v>
      </c>
      <c r="O1049" s="103" t="s">
        <v>12215</v>
      </c>
    </row>
    <row r="1050" ht="25.5" spans="1:15">
      <c r="A1050" s="103" t="s">
        <v>5794</v>
      </c>
      <c r="B1050" s="104" t="s">
        <v>796</v>
      </c>
      <c r="C1050" s="104" t="s">
        <v>5795</v>
      </c>
      <c r="D1050" s="104" t="s">
        <v>2961</v>
      </c>
      <c r="E1050" s="105" t="s">
        <v>334</v>
      </c>
      <c r="F1050" s="103" t="s">
        <v>12263</v>
      </c>
      <c r="G1050" s="103"/>
      <c r="H1050" s="103" t="s">
        <v>7005</v>
      </c>
      <c r="I1050" s="103"/>
      <c r="J1050" s="103" t="s">
        <v>10572</v>
      </c>
      <c r="K1050" s="103"/>
      <c r="L1050" s="106">
        <v>23.184</v>
      </c>
      <c r="M1050" s="103" t="s">
        <v>11330</v>
      </c>
      <c r="N1050" s="106">
        <v>19819143.0935452</v>
      </c>
      <c r="O1050" s="103" t="s">
        <v>12215</v>
      </c>
    </row>
    <row r="1051" spans="1:15">
      <c r="A1051" s="103" t="s">
        <v>6074</v>
      </c>
      <c r="B1051" s="104" t="s">
        <v>77</v>
      </c>
      <c r="C1051" s="104" t="s">
        <v>6075</v>
      </c>
      <c r="D1051" s="104" t="s">
        <v>2961</v>
      </c>
      <c r="E1051" s="105" t="s">
        <v>393</v>
      </c>
      <c r="F1051" s="103" t="s">
        <v>12081</v>
      </c>
      <c r="G1051" s="103"/>
      <c r="H1051" s="103" t="s">
        <v>7642</v>
      </c>
      <c r="I1051" s="103"/>
      <c r="J1051" s="103" t="s">
        <v>12264</v>
      </c>
      <c r="K1051" s="103"/>
      <c r="L1051" s="106">
        <v>23.0232931676</v>
      </c>
      <c r="M1051" s="103" t="s">
        <v>11330</v>
      </c>
      <c r="N1051" s="106">
        <v>19819166.1168384</v>
      </c>
      <c r="O1051" s="103" t="s">
        <v>12215</v>
      </c>
    </row>
    <row r="1052" ht="38.25" spans="1:15">
      <c r="A1052" s="103" t="s">
        <v>4705</v>
      </c>
      <c r="B1052" s="104" t="s">
        <v>77</v>
      </c>
      <c r="C1052" s="104" t="s">
        <v>4706</v>
      </c>
      <c r="D1052" s="104" t="s">
        <v>2961</v>
      </c>
      <c r="E1052" s="105" t="s">
        <v>134</v>
      </c>
      <c r="F1052" s="103" t="s">
        <v>9183</v>
      </c>
      <c r="G1052" s="103"/>
      <c r="H1052" s="103" t="s">
        <v>12265</v>
      </c>
      <c r="I1052" s="103"/>
      <c r="J1052" s="103" t="s">
        <v>12266</v>
      </c>
      <c r="K1052" s="103"/>
      <c r="L1052" s="106">
        <v>22.04</v>
      </c>
      <c r="M1052" s="103" t="s">
        <v>11330</v>
      </c>
      <c r="N1052" s="106">
        <v>19819188.1568384</v>
      </c>
      <c r="O1052" s="103" t="s">
        <v>12215</v>
      </c>
    </row>
    <row r="1053" spans="1:15">
      <c r="A1053" s="103" t="s">
        <v>4691</v>
      </c>
      <c r="B1053" s="104" t="s">
        <v>132</v>
      </c>
      <c r="C1053" s="104" t="s">
        <v>4692</v>
      </c>
      <c r="D1053" s="104" t="s">
        <v>2961</v>
      </c>
      <c r="E1053" s="105" t="s">
        <v>134</v>
      </c>
      <c r="F1053" s="103" t="s">
        <v>10423</v>
      </c>
      <c r="G1053" s="103"/>
      <c r="H1053" s="103" t="s">
        <v>12267</v>
      </c>
      <c r="I1053" s="103"/>
      <c r="J1053" s="103" t="s">
        <v>12268</v>
      </c>
      <c r="K1053" s="103"/>
      <c r="L1053" s="106">
        <v>21.9</v>
      </c>
      <c r="M1053" s="103" t="s">
        <v>11330</v>
      </c>
      <c r="N1053" s="106">
        <v>19819210.0568384</v>
      </c>
      <c r="O1053" s="103" t="s">
        <v>12215</v>
      </c>
    </row>
    <row r="1054" spans="1:15">
      <c r="A1054" s="103" t="s">
        <v>4689</v>
      </c>
      <c r="B1054" s="104" t="s">
        <v>132</v>
      </c>
      <c r="C1054" s="104" t="s">
        <v>4690</v>
      </c>
      <c r="D1054" s="104" t="s">
        <v>2961</v>
      </c>
      <c r="E1054" s="105" t="s">
        <v>134</v>
      </c>
      <c r="F1054" s="103" t="s">
        <v>10423</v>
      </c>
      <c r="G1054" s="103"/>
      <c r="H1054" s="103" t="s">
        <v>12269</v>
      </c>
      <c r="I1054" s="103"/>
      <c r="J1054" s="103" t="s">
        <v>12270</v>
      </c>
      <c r="K1054" s="103"/>
      <c r="L1054" s="106">
        <v>20.58</v>
      </c>
      <c r="M1054" s="103" t="s">
        <v>11330</v>
      </c>
      <c r="N1054" s="106">
        <v>19819230.6368384</v>
      </c>
      <c r="O1054" s="103" t="s">
        <v>12215</v>
      </c>
    </row>
    <row r="1055" ht="25.5" spans="1:15">
      <c r="A1055" s="103" t="s">
        <v>5422</v>
      </c>
      <c r="B1055" s="104" t="s">
        <v>139</v>
      </c>
      <c r="C1055" s="104" t="s">
        <v>5423</v>
      </c>
      <c r="D1055" s="104" t="s">
        <v>2961</v>
      </c>
      <c r="E1055" s="105" t="s">
        <v>2925</v>
      </c>
      <c r="F1055" s="103" t="s">
        <v>9183</v>
      </c>
      <c r="G1055" s="103"/>
      <c r="H1055" s="103" t="s">
        <v>12271</v>
      </c>
      <c r="I1055" s="103"/>
      <c r="J1055" s="103" t="s">
        <v>12272</v>
      </c>
      <c r="K1055" s="103"/>
      <c r="L1055" s="106">
        <v>19.78</v>
      </c>
      <c r="M1055" s="103" t="s">
        <v>11330</v>
      </c>
      <c r="N1055" s="106">
        <v>19819250.4168384</v>
      </c>
      <c r="O1055" s="103" t="s">
        <v>12215</v>
      </c>
    </row>
    <row r="1056" spans="1:15">
      <c r="A1056" s="103" t="s">
        <v>3794</v>
      </c>
      <c r="B1056" s="104" t="s">
        <v>149</v>
      </c>
      <c r="C1056" s="104" t="s">
        <v>3795</v>
      </c>
      <c r="D1056" s="104" t="s">
        <v>2961</v>
      </c>
      <c r="E1056" s="105" t="s">
        <v>134</v>
      </c>
      <c r="F1056" s="103" t="s">
        <v>9418</v>
      </c>
      <c r="G1056" s="103"/>
      <c r="H1056" s="103" t="s">
        <v>6879</v>
      </c>
      <c r="I1056" s="103"/>
      <c r="J1056" s="103" t="s">
        <v>9080</v>
      </c>
      <c r="K1056" s="103"/>
      <c r="L1056" s="106">
        <v>19.72</v>
      </c>
      <c r="M1056" s="103" t="s">
        <v>11330</v>
      </c>
      <c r="N1056" s="106">
        <v>19819270.1368384</v>
      </c>
      <c r="O1056" s="103" t="s">
        <v>12215</v>
      </c>
    </row>
    <row r="1057" spans="1:15">
      <c r="A1057" s="103" t="s">
        <v>5956</v>
      </c>
      <c r="B1057" s="104" t="s">
        <v>139</v>
      </c>
      <c r="C1057" s="104" t="s">
        <v>5957</v>
      </c>
      <c r="D1057" s="104" t="s">
        <v>2961</v>
      </c>
      <c r="E1057" s="105" t="s">
        <v>3084</v>
      </c>
      <c r="F1057" s="103" t="s">
        <v>12273</v>
      </c>
      <c r="G1057" s="103"/>
      <c r="H1057" s="103" t="s">
        <v>12274</v>
      </c>
      <c r="I1057" s="103"/>
      <c r="J1057" s="103" t="s">
        <v>12275</v>
      </c>
      <c r="K1057" s="103"/>
      <c r="L1057" s="106">
        <v>19.42132815</v>
      </c>
      <c r="M1057" s="103" t="s">
        <v>11330</v>
      </c>
      <c r="N1057" s="106">
        <v>19819289.5581665</v>
      </c>
      <c r="O1057" s="103" t="s">
        <v>12215</v>
      </c>
    </row>
    <row r="1058" ht="25.5" spans="1:15">
      <c r="A1058" s="103" t="s">
        <v>3030</v>
      </c>
      <c r="B1058" s="104" t="s">
        <v>139</v>
      </c>
      <c r="C1058" s="104" t="s">
        <v>3031</v>
      </c>
      <c r="D1058" s="104" t="s">
        <v>2961</v>
      </c>
      <c r="E1058" s="105" t="s">
        <v>134</v>
      </c>
      <c r="F1058" s="103" t="s">
        <v>12276</v>
      </c>
      <c r="G1058" s="103"/>
      <c r="H1058" s="103" t="s">
        <v>7309</v>
      </c>
      <c r="I1058" s="103"/>
      <c r="J1058" s="103" t="s">
        <v>12277</v>
      </c>
      <c r="K1058" s="103"/>
      <c r="L1058" s="106">
        <v>17.82</v>
      </c>
      <c r="M1058" s="103" t="s">
        <v>11330</v>
      </c>
      <c r="N1058" s="106">
        <v>19819307.3781665</v>
      </c>
      <c r="O1058" s="103" t="s">
        <v>12215</v>
      </c>
    </row>
    <row r="1059" spans="1:15">
      <c r="A1059" s="103" t="s">
        <v>3861</v>
      </c>
      <c r="B1059" s="104" t="s">
        <v>139</v>
      </c>
      <c r="C1059" s="104" t="s">
        <v>3862</v>
      </c>
      <c r="D1059" s="104" t="s">
        <v>2961</v>
      </c>
      <c r="E1059" s="105" t="s">
        <v>393</v>
      </c>
      <c r="F1059" s="103" t="s">
        <v>12278</v>
      </c>
      <c r="G1059" s="103"/>
      <c r="H1059" s="103" t="s">
        <v>12279</v>
      </c>
      <c r="I1059" s="103"/>
      <c r="J1059" s="103" t="s">
        <v>8843</v>
      </c>
      <c r="K1059" s="103"/>
      <c r="L1059" s="106">
        <v>17.7709</v>
      </c>
      <c r="M1059" s="103" t="s">
        <v>11330</v>
      </c>
      <c r="N1059" s="106">
        <v>19819325.1490665</v>
      </c>
      <c r="O1059" s="103" t="s">
        <v>12215</v>
      </c>
    </row>
    <row r="1060" spans="1:15">
      <c r="A1060" s="103" t="s">
        <v>3738</v>
      </c>
      <c r="B1060" s="104" t="s">
        <v>139</v>
      </c>
      <c r="C1060" s="104" t="s">
        <v>3739</v>
      </c>
      <c r="D1060" s="104" t="s">
        <v>2961</v>
      </c>
      <c r="E1060" s="105" t="s">
        <v>134</v>
      </c>
      <c r="F1060" s="103" t="s">
        <v>12280</v>
      </c>
      <c r="G1060" s="103"/>
      <c r="H1060" s="103" t="s">
        <v>12267</v>
      </c>
      <c r="I1060" s="103"/>
      <c r="J1060" s="103" t="s">
        <v>12281</v>
      </c>
      <c r="K1060" s="103"/>
      <c r="L1060" s="106">
        <v>17.361955</v>
      </c>
      <c r="M1060" s="103" t="s">
        <v>11330</v>
      </c>
      <c r="N1060" s="106">
        <v>19819342.5110215</v>
      </c>
      <c r="O1060" s="103" t="s">
        <v>12215</v>
      </c>
    </row>
    <row r="1061" spans="1:15">
      <c r="A1061" s="103" t="s">
        <v>4687</v>
      </c>
      <c r="B1061" s="104" t="s">
        <v>139</v>
      </c>
      <c r="C1061" s="104" t="s">
        <v>4688</v>
      </c>
      <c r="D1061" s="104" t="s">
        <v>2961</v>
      </c>
      <c r="E1061" s="105" t="s">
        <v>134</v>
      </c>
      <c r="F1061" s="103" t="s">
        <v>9183</v>
      </c>
      <c r="G1061" s="103"/>
      <c r="H1061" s="103" t="s">
        <v>12282</v>
      </c>
      <c r="I1061" s="103"/>
      <c r="J1061" s="103" t="s">
        <v>12283</v>
      </c>
      <c r="K1061" s="103"/>
      <c r="L1061" s="106">
        <v>16.32</v>
      </c>
      <c r="M1061" s="103" t="s">
        <v>11330</v>
      </c>
      <c r="N1061" s="106">
        <v>19819358.8310215</v>
      </c>
      <c r="O1061" s="103" t="s">
        <v>12215</v>
      </c>
    </row>
    <row r="1062" spans="1:15">
      <c r="A1062" s="103" t="s">
        <v>5504</v>
      </c>
      <c r="B1062" s="104" t="s">
        <v>796</v>
      </c>
      <c r="C1062" s="104" t="s">
        <v>5505</v>
      </c>
      <c r="D1062" s="104" t="s">
        <v>2961</v>
      </c>
      <c r="E1062" s="105" t="s">
        <v>5506</v>
      </c>
      <c r="F1062" s="103" t="s">
        <v>12284</v>
      </c>
      <c r="G1062" s="103"/>
      <c r="H1062" s="103" t="s">
        <v>12285</v>
      </c>
      <c r="I1062" s="103"/>
      <c r="J1062" s="103" t="s">
        <v>12286</v>
      </c>
      <c r="K1062" s="103"/>
      <c r="L1062" s="106">
        <v>16.188630528</v>
      </c>
      <c r="M1062" s="103" t="s">
        <v>11330</v>
      </c>
      <c r="N1062" s="106">
        <v>19819375.019652</v>
      </c>
      <c r="O1062" s="103" t="s">
        <v>12215</v>
      </c>
    </row>
    <row r="1063" spans="1:15">
      <c r="A1063" s="103" t="s">
        <v>4996</v>
      </c>
      <c r="B1063" s="104" t="s">
        <v>149</v>
      </c>
      <c r="C1063" s="104" t="s">
        <v>4997</v>
      </c>
      <c r="D1063" s="104" t="s">
        <v>2961</v>
      </c>
      <c r="E1063" s="105" t="s">
        <v>134</v>
      </c>
      <c r="F1063" s="103" t="s">
        <v>12287</v>
      </c>
      <c r="G1063" s="103"/>
      <c r="H1063" s="103" t="s">
        <v>12288</v>
      </c>
      <c r="I1063" s="103"/>
      <c r="J1063" s="103" t="s">
        <v>12289</v>
      </c>
      <c r="K1063" s="103"/>
      <c r="L1063" s="106">
        <v>15.444</v>
      </c>
      <c r="M1063" s="103" t="s">
        <v>11330</v>
      </c>
      <c r="N1063" s="106">
        <v>19819390.463652</v>
      </c>
      <c r="O1063" s="103" t="s">
        <v>12215</v>
      </c>
    </row>
    <row r="1064" spans="1:15">
      <c r="A1064" s="103" t="s">
        <v>3978</v>
      </c>
      <c r="B1064" s="104" t="s">
        <v>132</v>
      </c>
      <c r="C1064" s="104" t="s">
        <v>3979</v>
      </c>
      <c r="D1064" s="104" t="s">
        <v>2961</v>
      </c>
      <c r="E1064" s="105" t="s">
        <v>134</v>
      </c>
      <c r="F1064" s="103" t="s">
        <v>9091</v>
      </c>
      <c r="G1064" s="103"/>
      <c r="H1064" s="103" t="s">
        <v>11049</v>
      </c>
      <c r="I1064" s="103"/>
      <c r="J1064" s="103" t="s">
        <v>11049</v>
      </c>
      <c r="K1064" s="103"/>
      <c r="L1064" s="106">
        <v>15.26</v>
      </c>
      <c r="M1064" s="103" t="s">
        <v>11330</v>
      </c>
      <c r="N1064" s="106">
        <v>19819405.723652</v>
      </c>
      <c r="O1064" s="103" t="s">
        <v>12215</v>
      </c>
    </row>
    <row r="1065" ht="38.25" spans="1:15">
      <c r="A1065" s="103" t="s">
        <v>5453</v>
      </c>
      <c r="B1065" s="104" t="s">
        <v>139</v>
      </c>
      <c r="C1065" s="104" t="s">
        <v>5454</v>
      </c>
      <c r="D1065" s="104" t="s">
        <v>2961</v>
      </c>
      <c r="E1065" s="105" t="s">
        <v>134</v>
      </c>
      <c r="F1065" s="103" t="s">
        <v>12290</v>
      </c>
      <c r="G1065" s="103"/>
      <c r="H1065" s="103" t="s">
        <v>6752</v>
      </c>
      <c r="I1065" s="103"/>
      <c r="J1065" s="103" t="s">
        <v>12291</v>
      </c>
      <c r="K1065" s="103"/>
      <c r="L1065" s="106">
        <v>14.256</v>
      </c>
      <c r="M1065" s="103" t="s">
        <v>11330</v>
      </c>
      <c r="N1065" s="106">
        <v>19819419.979652</v>
      </c>
      <c r="O1065" s="103" t="s">
        <v>12215</v>
      </c>
    </row>
    <row r="1066" ht="38.25" spans="1:15">
      <c r="A1066" s="103" t="s">
        <v>5502</v>
      </c>
      <c r="B1066" s="104" t="s">
        <v>796</v>
      </c>
      <c r="C1066" s="104" t="s">
        <v>5503</v>
      </c>
      <c r="D1066" s="104" t="s">
        <v>3395</v>
      </c>
      <c r="E1066" s="105" t="s">
        <v>334</v>
      </c>
      <c r="F1066" s="103" t="s">
        <v>12292</v>
      </c>
      <c r="G1066" s="103"/>
      <c r="H1066" s="103" t="s">
        <v>12293</v>
      </c>
      <c r="I1066" s="103"/>
      <c r="J1066" s="103" t="s">
        <v>12294</v>
      </c>
      <c r="K1066" s="103"/>
      <c r="L1066" s="106">
        <v>14.0367712692</v>
      </c>
      <c r="M1066" s="103" t="s">
        <v>11330</v>
      </c>
      <c r="N1066" s="106">
        <v>19819434.0164233</v>
      </c>
      <c r="O1066" s="103" t="s">
        <v>12215</v>
      </c>
    </row>
    <row r="1067" ht="25.5" spans="1:15">
      <c r="A1067" s="103" t="s">
        <v>5255</v>
      </c>
      <c r="B1067" s="104" t="s">
        <v>139</v>
      </c>
      <c r="C1067" s="104" t="s">
        <v>5256</v>
      </c>
      <c r="D1067" s="104" t="s">
        <v>2961</v>
      </c>
      <c r="E1067" s="105" t="s">
        <v>141</v>
      </c>
      <c r="F1067" s="103" t="s">
        <v>12295</v>
      </c>
      <c r="G1067" s="103"/>
      <c r="H1067" s="103" t="s">
        <v>12296</v>
      </c>
      <c r="I1067" s="103"/>
      <c r="J1067" s="103" t="s">
        <v>12297</v>
      </c>
      <c r="K1067" s="103"/>
      <c r="L1067" s="106">
        <v>13.81536</v>
      </c>
      <c r="M1067" s="103" t="s">
        <v>11330</v>
      </c>
      <c r="N1067" s="106">
        <v>19819447.8317833</v>
      </c>
      <c r="O1067" s="103" t="s">
        <v>12215</v>
      </c>
    </row>
    <row r="1068" ht="38.25" spans="1:15">
      <c r="A1068" s="103" t="s">
        <v>3192</v>
      </c>
      <c r="B1068" s="104" t="s">
        <v>139</v>
      </c>
      <c r="C1068" s="104" t="s">
        <v>3193</v>
      </c>
      <c r="D1068" s="104" t="s">
        <v>2961</v>
      </c>
      <c r="E1068" s="105" t="s">
        <v>134</v>
      </c>
      <c r="F1068" s="103" t="s">
        <v>9401</v>
      </c>
      <c r="G1068" s="103"/>
      <c r="H1068" s="103" t="s">
        <v>12298</v>
      </c>
      <c r="I1068" s="103"/>
      <c r="J1068" s="103" t="s">
        <v>12299</v>
      </c>
      <c r="K1068" s="103"/>
      <c r="L1068" s="106">
        <v>13.8</v>
      </c>
      <c r="M1068" s="103" t="s">
        <v>11330</v>
      </c>
      <c r="N1068" s="106">
        <v>19819461.6317833</v>
      </c>
      <c r="O1068" s="103" t="s">
        <v>12215</v>
      </c>
    </row>
    <row r="1069" spans="1:15">
      <c r="A1069" s="103" t="s">
        <v>3340</v>
      </c>
      <c r="B1069" s="104" t="s">
        <v>139</v>
      </c>
      <c r="C1069" s="104" t="s">
        <v>3341</v>
      </c>
      <c r="D1069" s="104" t="s">
        <v>2961</v>
      </c>
      <c r="E1069" s="105" t="s">
        <v>393</v>
      </c>
      <c r="F1069" s="103" t="s">
        <v>12300</v>
      </c>
      <c r="G1069" s="103"/>
      <c r="H1069" s="103" t="s">
        <v>12301</v>
      </c>
      <c r="I1069" s="103"/>
      <c r="J1069" s="103" t="s">
        <v>12302</v>
      </c>
      <c r="K1069" s="103"/>
      <c r="L1069" s="106">
        <v>13.696879211125</v>
      </c>
      <c r="M1069" s="103" t="s">
        <v>11330</v>
      </c>
      <c r="N1069" s="106">
        <v>19819475.3286625</v>
      </c>
      <c r="O1069" s="103" t="s">
        <v>12215</v>
      </c>
    </row>
    <row r="1070" ht="38.25" spans="1:15">
      <c r="A1070" s="103" t="s">
        <v>5810</v>
      </c>
      <c r="B1070" s="104" t="s">
        <v>139</v>
      </c>
      <c r="C1070" s="104" t="s">
        <v>5811</v>
      </c>
      <c r="D1070" s="104" t="s">
        <v>2961</v>
      </c>
      <c r="E1070" s="105" t="s">
        <v>134</v>
      </c>
      <c r="F1070" s="103" t="s">
        <v>12003</v>
      </c>
      <c r="G1070" s="103"/>
      <c r="H1070" s="103" t="s">
        <v>12303</v>
      </c>
      <c r="I1070" s="103"/>
      <c r="J1070" s="103" t="s">
        <v>12304</v>
      </c>
      <c r="K1070" s="103"/>
      <c r="L1070" s="106">
        <v>13.34266</v>
      </c>
      <c r="M1070" s="103" t="s">
        <v>11330</v>
      </c>
      <c r="N1070" s="106">
        <v>19819488.6713225</v>
      </c>
      <c r="O1070" s="103" t="s">
        <v>12215</v>
      </c>
    </row>
    <row r="1071" ht="25.5" spans="1:15">
      <c r="A1071" s="103" t="s">
        <v>5296</v>
      </c>
      <c r="B1071" s="104" t="s">
        <v>139</v>
      </c>
      <c r="C1071" s="104" t="s">
        <v>5297</v>
      </c>
      <c r="D1071" s="104" t="s">
        <v>2961</v>
      </c>
      <c r="E1071" s="105" t="s">
        <v>134</v>
      </c>
      <c r="F1071" s="103" t="s">
        <v>9091</v>
      </c>
      <c r="G1071" s="103"/>
      <c r="H1071" s="103" t="s">
        <v>12305</v>
      </c>
      <c r="I1071" s="103"/>
      <c r="J1071" s="103" t="s">
        <v>12305</v>
      </c>
      <c r="K1071" s="103"/>
      <c r="L1071" s="106">
        <v>12.84</v>
      </c>
      <c r="M1071" s="103" t="s">
        <v>11330</v>
      </c>
      <c r="N1071" s="106">
        <v>19819501.5113225</v>
      </c>
      <c r="O1071" s="103" t="s">
        <v>12215</v>
      </c>
    </row>
    <row r="1072" ht="38.25" spans="1:15">
      <c r="A1072" s="103" t="s">
        <v>5934</v>
      </c>
      <c r="B1072" s="104" t="s">
        <v>77</v>
      </c>
      <c r="C1072" s="104" t="s">
        <v>5935</v>
      </c>
      <c r="D1072" s="104" t="s">
        <v>3395</v>
      </c>
      <c r="E1072" s="105" t="s">
        <v>134</v>
      </c>
      <c r="F1072" s="103" t="s">
        <v>12306</v>
      </c>
      <c r="G1072" s="103"/>
      <c r="H1072" s="103" t="s">
        <v>12307</v>
      </c>
      <c r="I1072" s="103"/>
      <c r="J1072" s="103" t="s">
        <v>12308</v>
      </c>
      <c r="K1072" s="103"/>
      <c r="L1072" s="106">
        <v>12.6710094735</v>
      </c>
      <c r="M1072" s="103" t="s">
        <v>11330</v>
      </c>
      <c r="N1072" s="106">
        <v>19819514.182332</v>
      </c>
      <c r="O1072" s="103" t="s">
        <v>12215</v>
      </c>
    </row>
    <row r="1073" spans="1:15">
      <c r="A1073" s="103" t="s">
        <v>3980</v>
      </c>
      <c r="B1073" s="104" t="s">
        <v>132</v>
      </c>
      <c r="C1073" s="104" t="s">
        <v>3981</v>
      </c>
      <c r="D1073" s="104" t="s">
        <v>2961</v>
      </c>
      <c r="E1073" s="105" t="s">
        <v>134</v>
      </c>
      <c r="F1073" s="103" t="s">
        <v>9091</v>
      </c>
      <c r="G1073" s="103"/>
      <c r="H1073" s="103" t="s">
        <v>12309</v>
      </c>
      <c r="I1073" s="103"/>
      <c r="J1073" s="103" t="s">
        <v>12309</v>
      </c>
      <c r="K1073" s="103"/>
      <c r="L1073" s="106">
        <v>12.38</v>
      </c>
      <c r="M1073" s="103" t="s">
        <v>11330</v>
      </c>
      <c r="N1073" s="106">
        <v>19819526.562332</v>
      </c>
      <c r="O1073" s="103" t="s">
        <v>12215</v>
      </c>
    </row>
    <row r="1074" ht="25.5" spans="1:15">
      <c r="A1074" s="103" t="s">
        <v>5602</v>
      </c>
      <c r="B1074" s="104" t="s">
        <v>139</v>
      </c>
      <c r="C1074" s="104" t="s">
        <v>5603</v>
      </c>
      <c r="D1074" s="104" t="s">
        <v>2961</v>
      </c>
      <c r="E1074" s="105" t="s">
        <v>279</v>
      </c>
      <c r="F1074" s="103" t="s">
        <v>12310</v>
      </c>
      <c r="G1074" s="103"/>
      <c r="H1074" s="103" t="s">
        <v>12311</v>
      </c>
      <c r="I1074" s="103"/>
      <c r="J1074" s="103" t="s">
        <v>7143</v>
      </c>
      <c r="K1074" s="103"/>
      <c r="L1074" s="106">
        <v>12.0315989988</v>
      </c>
      <c r="M1074" s="103" t="s">
        <v>11330</v>
      </c>
      <c r="N1074" s="106">
        <v>19819538.593931</v>
      </c>
      <c r="O1074" s="103" t="s">
        <v>12215</v>
      </c>
    </row>
    <row r="1075" spans="1:15">
      <c r="A1075" s="103" t="s">
        <v>6082</v>
      </c>
      <c r="B1075" s="104" t="s">
        <v>77</v>
      </c>
      <c r="C1075" s="104" t="s">
        <v>6083</v>
      </c>
      <c r="D1075" s="104" t="s">
        <v>2961</v>
      </c>
      <c r="E1075" s="105" t="s">
        <v>393</v>
      </c>
      <c r="F1075" s="103" t="s">
        <v>12312</v>
      </c>
      <c r="G1075" s="103"/>
      <c r="H1075" s="103" t="s">
        <v>12313</v>
      </c>
      <c r="I1075" s="103"/>
      <c r="J1075" s="103" t="s">
        <v>12314</v>
      </c>
      <c r="K1075" s="103"/>
      <c r="L1075" s="106">
        <v>11.72220740152</v>
      </c>
      <c r="M1075" s="103" t="s">
        <v>11330</v>
      </c>
      <c r="N1075" s="106">
        <v>19819550.3161384</v>
      </c>
      <c r="O1075" s="103" t="s">
        <v>12215</v>
      </c>
    </row>
    <row r="1076" ht="38.25" spans="1:15">
      <c r="A1076" s="103" t="s">
        <v>5370</v>
      </c>
      <c r="B1076" s="104" t="s">
        <v>139</v>
      </c>
      <c r="C1076" s="104" t="s">
        <v>5371</v>
      </c>
      <c r="D1076" s="104" t="s">
        <v>2961</v>
      </c>
      <c r="E1076" s="105" t="s">
        <v>3084</v>
      </c>
      <c r="F1076" s="103" t="s">
        <v>12315</v>
      </c>
      <c r="G1076" s="103"/>
      <c r="H1076" s="103" t="s">
        <v>6664</v>
      </c>
      <c r="I1076" s="103"/>
      <c r="J1076" s="103" t="s">
        <v>9632</v>
      </c>
      <c r="K1076" s="103"/>
      <c r="L1076" s="106">
        <v>11.6356090464</v>
      </c>
      <c r="M1076" s="103" t="s">
        <v>11330</v>
      </c>
      <c r="N1076" s="106">
        <v>19819561.9517474</v>
      </c>
      <c r="O1076" s="103" t="s">
        <v>12215</v>
      </c>
    </row>
    <row r="1077" ht="51" spans="1:15">
      <c r="A1077" s="103" t="s">
        <v>6006</v>
      </c>
      <c r="B1077" s="104" t="s">
        <v>139</v>
      </c>
      <c r="C1077" s="104" t="s">
        <v>6007</v>
      </c>
      <c r="D1077" s="104" t="s">
        <v>3680</v>
      </c>
      <c r="E1077" s="105" t="s">
        <v>134</v>
      </c>
      <c r="F1077" s="103" t="s">
        <v>12316</v>
      </c>
      <c r="G1077" s="103"/>
      <c r="H1077" s="103" t="s">
        <v>12317</v>
      </c>
      <c r="I1077" s="103"/>
      <c r="J1077" s="103" t="s">
        <v>12318</v>
      </c>
      <c r="K1077" s="103"/>
      <c r="L1077" s="106">
        <v>11.0941049874059</v>
      </c>
      <c r="M1077" s="103" t="s">
        <v>11330</v>
      </c>
      <c r="N1077" s="106">
        <v>19819573.0458524</v>
      </c>
      <c r="O1077" s="103" t="s">
        <v>12215</v>
      </c>
    </row>
    <row r="1078" spans="1:15">
      <c r="A1078" s="103" t="s">
        <v>5000</v>
      </c>
      <c r="B1078" s="104" t="s">
        <v>149</v>
      </c>
      <c r="C1078" s="104" t="s">
        <v>5001</v>
      </c>
      <c r="D1078" s="104" t="s">
        <v>2961</v>
      </c>
      <c r="E1078" s="105" t="s">
        <v>134</v>
      </c>
      <c r="F1078" s="103" t="s">
        <v>12319</v>
      </c>
      <c r="G1078" s="103"/>
      <c r="H1078" s="103" t="s">
        <v>12320</v>
      </c>
      <c r="I1078" s="103"/>
      <c r="J1078" s="103" t="s">
        <v>12321</v>
      </c>
      <c r="K1078" s="103"/>
      <c r="L1078" s="106">
        <v>10.9746</v>
      </c>
      <c r="M1078" s="103" t="s">
        <v>11330</v>
      </c>
      <c r="N1078" s="106">
        <v>19819584.0204524</v>
      </c>
      <c r="O1078" s="103" t="s">
        <v>12215</v>
      </c>
    </row>
    <row r="1079" ht="25.5" spans="1:15">
      <c r="A1079" s="103" t="s">
        <v>3620</v>
      </c>
      <c r="B1079" s="104" t="s">
        <v>139</v>
      </c>
      <c r="C1079" s="104" t="s">
        <v>3621</v>
      </c>
      <c r="D1079" s="104" t="s">
        <v>2961</v>
      </c>
      <c r="E1079" s="105" t="s">
        <v>134</v>
      </c>
      <c r="F1079" s="103" t="s">
        <v>12322</v>
      </c>
      <c r="G1079" s="103"/>
      <c r="H1079" s="103" t="s">
        <v>6705</v>
      </c>
      <c r="I1079" s="103"/>
      <c r="J1079" s="103" t="s">
        <v>12323</v>
      </c>
      <c r="K1079" s="103"/>
      <c r="L1079" s="106">
        <v>10.7008</v>
      </c>
      <c r="M1079" s="103" t="s">
        <v>11330</v>
      </c>
      <c r="N1079" s="106">
        <v>19819594.7212524</v>
      </c>
      <c r="O1079" s="103" t="s">
        <v>12215</v>
      </c>
    </row>
    <row r="1080" ht="63.75" spans="1:15">
      <c r="A1080" s="103" t="s">
        <v>5579</v>
      </c>
      <c r="B1080" s="104" t="s">
        <v>139</v>
      </c>
      <c r="C1080" s="104" t="s">
        <v>5580</v>
      </c>
      <c r="D1080" s="104" t="s">
        <v>3680</v>
      </c>
      <c r="E1080" s="105" t="s">
        <v>134</v>
      </c>
      <c r="F1080" s="103" t="s">
        <v>12324</v>
      </c>
      <c r="G1080" s="103"/>
      <c r="H1080" s="103" t="s">
        <v>12325</v>
      </c>
      <c r="I1080" s="103"/>
      <c r="J1080" s="103" t="s">
        <v>12326</v>
      </c>
      <c r="K1080" s="103"/>
      <c r="L1080" s="106">
        <v>10.2849491690978</v>
      </c>
      <c r="M1080" s="103" t="s">
        <v>11330</v>
      </c>
      <c r="N1080" s="106">
        <v>19819605.0062016</v>
      </c>
      <c r="O1080" s="103" t="s">
        <v>12215</v>
      </c>
    </row>
    <row r="1081" ht="25.5" spans="1:15">
      <c r="A1081" s="103" t="s">
        <v>6030</v>
      </c>
      <c r="B1081" s="104" t="s">
        <v>139</v>
      </c>
      <c r="C1081" s="104" t="s">
        <v>6031</v>
      </c>
      <c r="D1081" s="104" t="s">
        <v>2961</v>
      </c>
      <c r="E1081" s="105" t="s">
        <v>134</v>
      </c>
      <c r="F1081" s="103" t="s">
        <v>12327</v>
      </c>
      <c r="G1081" s="103"/>
      <c r="H1081" s="103" t="s">
        <v>12328</v>
      </c>
      <c r="I1081" s="103"/>
      <c r="J1081" s="103" t="s">
        <v>12329</v>
      </c>
      <c r="K1081" s="103"/>
      <c r="L1081" s="106">
        <v>9.175</v>
      </c>
      <c r="M1081" s="103" t="s">
        <v>11330</v>
      </c>
      <c r="N1081" s="106">
        <v>19819614.1812016</v>
      </c>
      <c r="O1081" s="103" t="s">
        <v>12215</v>
      </c>
    </row>
    <row r="1082" spans="1:15">
      <c r="A1082" s="103" t="s">
        <v>3745</v>
      </c>
      <c r="B1082" s="104" t="s">
        <v>77</v>
      </c>
      <c r="C1082" s="104" t="s">
        <v>3746</v>
      </c>
      <c r="D1082" s="104" t="s">
        <v>2961</v>
      </c>
      <c r="E1082" s="105" t="s">
        <v>134</v>
      </c>
      <c r="F1082" s="103" t="s">
        <v>9091</v>
      </c>
      <c r="G1082" s="103"/>
      <c r="H1082" s="103" t="s">
        <v>12330</v>
      </c>
      <c r="I1082" s="103"/>
      <c r="J1082" s="103" t="s">
        <v>12330</v>
      </c>
      <c r="K1082" s="103"/>
      <c r="L1082" s="106">
        <v>9.15</v>
      </c>
      <c r="M1082" s="103" t="s">
        <v>11330</v>
      </c>
      <c r="N1082" s="106">
        <v>19819623.3312016</v>
      </c>
      <c r="O1082" s="103" t="s">
        <v>12215</v>
      </c>
    </row>
    <row r="1083" ht="38.25" spans="1:15">
      <c r="A1083" s="103" t="s">
        <v>3070</v>
      </c>
      <c r="B1083" s="104" t="s">
        <v>139</v>
      </c>
      <c r="C1083" s="104" t="s">
        <v>3071</v>
      </c>
      <c r="D1083" s="104" t="s">
        <v>2961</v>
      </c>
      <c r="E1083" s="105" t="s">
        <v>204</v>
      </c>
      <c r="F1083" s="103" t="s">
        <v>11536</v>
      </c>
      <c r="G1083" s="103"/>
      <c r="H1083" s="103" t="s">
        <v>12206</v>
      </c>
      <c r="I1083" s="103"/>
      <c r="J1083" s="103" t="s">
        <v>12331</v>
      </c>
      <c r="K1083" s="103"/>
      <c r="L1083" s="106">
        <v>8.736</v>
      </c>
      <c r="M1083" s="103" t="s">
        <v>11330</v>
      </c>
      <c r="N1083" s="106">
        <v>19819632.0672016</v>
      </c>
      <c r="O1083" s="103" t="s">
        <v>12215</v>
      </c>
    </row>
    <row r="1084" ht="25.5" spans="1:15">
      <c r="A1084" s="103" t="s">
        <v>4955</v>
      </c>
      <c r="B1084" s="104" t="s">
        <v>139</v>
      </c>
      <c r="C1084" s="104" t="s">
        <v>4956</v>
      </c>
      <c r="D1084" s="104" t="s">
        <v>2961</v>
      </c>
      <c r="E1084" s="105" t="s">
        <v>134</v>
      </c>
      <c r="F1084" s="103" t="s">
        <v>12332</v>
      </c>
      <c r="G1084" s="103"/>
      <c r="H1084" s="103" t="s">
        <v>12333</v>
      </c>
      <c r="I1084" s="103"/>
      <c r="J1084" s="103" t="s">
        <v>11860</v>
      </c>
      <c r="K1084" s="103"/>
      <c r="L1084" s="106">
        <v>8.180022</v>
      </c>
      <c r="M1084" s="103" t="s">
        <v>11330</v>
      </c>
      <c r="N1084" s="106">
        <v>19819640.2472236</v>
      </c>
      <c r="O1084" s="103" t="s">
        <v>12215</v>
      </c>
    </row>
    <row r="1085" spans="1:15">
      <c r="A1085" s="103" t="s">
        <v>4998</v>
      </c>
      <c r="B1085" s="104" t="s">
        <v>149</v>
      </c>
      <c r="C1085" s="104" t="s">
        <v>4999</v>
      </c>
      <c r="D1085" s="104" t="s">
        <v>2961</v>
      </c>
      <c r="E1085" s="105" t="s">
        <v>134</v>
      </c>
      <c r="F1085" s="103" t="s">
        <v>12334</v>
      </c>
      <c r="G1085" s="103"/>
      <c r="H1085" s="103" t="s">
        <v>12335</v>
      </c>
      <c r="I1085" s="103"/>
      <c r="J1085" s="103" t="s">
        <v>12336</v>
      </c>
      <c r="K1085" s="103"/>
      <c r="L1085" s="106">
        <v>7.956</v>
      </c>
      <c r="M1085" s="103" t="s">
        <v>11330</v>
      </c>
      <c r="N1085" s="106">
        <v>19819648.2032236</v>
      </c>
      <c r="O1085" s="103" t="s">
        <v>12215</v>
      </c>
    </row>
    <row r="1086" spans="1:15">
      <c r="A1086" s="103" t="s">
        <v>3710</v>
      </c>
      <c r="B1086" s="104" t="s">
        <v>796</v>
      </c>
      <c r="C1086" s="104" t="s">
        <v>3711</v>
      </c>
      <c r="D1086" s="104" t="s">
        <v>2961</v>
      </c>
      <c r="E1086" s="105" t="s">
        <v>3712</v>
      </c>
      <c r="F1086" s="103" t="s">
        <v>12337</v>
      </c>
      <c r="G1086" s="103"/>
      <c r="H1086" s="103" t="s">
        <v>11954</v>
      </c>
      <c r="I1086" s="103"/>
      <c r="J1086" s="103" t="s">
        <v>10812</v>
      </c>
      <c r="K1086" s="103"/>
      <c r="L1086" s="106">
        <v>7.315</v>
      </c>
      <c r="M1086" s="103" t="s">
        <v>11330</v>
      </c>
      <c r="N1086" s="106">
        <v>19819655.5182236</v>
      </c>
      <c r="O1086" s="103" t="s">
        <v>12215</v>
      </c>
    </row>
    <row r="1087" ht="25.5" spans="1:15">
      <c r="A1087" s="103" t="s">
        <v>5233</v>
      </c>
      <c r="B1087" s="104" t="s">
        <v>149</v>
      </c>
      <c r="C1087" s="104" t="s">
        <v>5234</v>
      </c>
      <c r="D1087" s="104" t="s">
        <v>2961</v>
      </c>
      <c r="E1087" s="105" t="s">
        <v>2897</v>
      </c>
      <c r="F1087" s="103" t="s">
        <v>12338</v>
      </c>
      <c r="G1087" s="103"/>
      <c r="H1087" s="103" t="s">
        <v>8232</v>
      </c>
      <c r="I1087" s="103"/>
      <c r="J1087" s="103" t="s">
        <v>12339</v>
      </c>
      <c r="K1087" s="103"/>
      <c r="L1087" s="106">
        <v>7.0267392</v>
      </c>
      <c r="M1087" s="103" t="s">
        <v>11330</v>
      </c>
      <c r="N1087" s="106">
        <v>19819662.5449628</v>
      </c>
      <c r="O1087" s="103" t="s">
        <v>12215</v>
      </c>
    </row>
    <row r="1088" spans="1:15">
      <c r="A1088" s="103" t="s">
        <v>3690</v>
      </c>
      <c r="B1088" s="104" t="s">
        <v>77</v>
      </c>
      <c r="C1088" s="104" t="s">
        <v>3691</v>
      </c>
      <c r="D1088" s="104" t="s">
        <v>2961</v>
      </c>
      <c r="E1088" s="105" t="s">
        <v>134</v>
      </c>
      <c r="F1088" s="103" t="s">
        <v>9183</v>
      </c>
      <c r="G1088" s="103"/>
      <c r="H1088" s="103" t="s">
        <v>9646</v>
      </c>
      <c r="I1088" s="103"/>
      <c r="J1088" s="103" t="s">
        <v>12340</v>
      </c>
      <c r="K1088" s="103"/>
      <c r="L1088" s="106">
        <v>6.82</v>
      </c>
      <c r="M1088" s="103" t="s">
        <v>11330</v>
      </c>
      <c r="N1088" s="106">
        <v>19819669.3649628</v>
      </c>
      <c r="O1088" s="103" t="s">
        <v>12215</v>
      </c>
    </row>
    <row r="1089" ht="25.5" spans="1:15">
      <c r="A1089" s="103" t="s">
        <v>6038</v>
      </c>
      <c r="B1089" s="104" t="s">
        <v>139</v>
      </c>
      <c r="C1089" s="104" t="s">
        <v>6039</v>
      </c>
      <c r="D1089" s="104" t="s">
        <v>2961</v>
      </c>
      <c r="E1089" s="105" t="s">
        <v>2897</v>
      </c>
      <c r="F1089" s="103" t="s">
        <v>12341</v>
      </c>
      <c r="G1089" s="103"/>
      <c r="H1089" s="103" t="s">
        <v>12342</v>
      </c>
      <c r="I1089" s="103"/>
      <c r="J1089" s="103" t="s">
        <v>12343</v>
      </c>
      <c r="K1089" s="103"/>
      <c r="L1089" s="106">
        <v>6.438</v>
      </c>
      <c r="M1089" s="103" t="s">
        <v>11330</v>
      </c>
      <c r="N1089" s="106">
        <v>19819675.8029628</v>
      </c>
      <c r="O1089" s="103" t="s">
        <v>12215</v>
      </c>
    </row>
    <row r="1090" ht="25.5" spans="1:15">
      <c r="A1090" s="103" t="s">
        <v>3692</v>
      </c>
      <c r="B1090" s="104" t="s">
        <v>77</v>
      </c>
      <c r="C1090" s="104" t="s">
        <v>3693</v>
      </c>
      <c r="D1090" s="104" t="s">
        <v>2961</v>
      </c>
      <c r="E1090" s="105" t="s">
        <v>134</v>
      </c>
      <c r="F1090" s="103" t="s">
        <v>12344</v>
      </c>
      <c r="G1090" s="103"/>
      <c r="H1090" s="103" t="s">
        <v>12345</v>
      </c>
      <c r="I1090" s="103"/>
      <c r="J1090" s="103" t="s">
        <v>12346</v>
      </c>
      <c r="K1090" s="103"/>
      <c r="L1090" s="106">
        <v>6.3448</v>
      </c>
      <c r="M1090" s="103" t="s">
        <v>11330</v>
      </c>
      <c r="N1090" s="106">
        <v>19819682.1477628</v>
      </c>
      <c r="O1090" s="103" t="s">
        <v>12215</v>
      </c>
    </row>
    <row r="1091" ht="38.25" spans="1:15">
      <c r="A1091" s="103" t="s">
        <v>6114</v>
      </c>
      <c r="B1091" s="104" t="s">
        <v>796</v>
      </c>
      <c r="C1091" s="104" t="s">
        <v>6115</v>
      </c>
      <c r="D1091" s="104" t="s">
        <v>3395</v>
      </c>
      <c r="E1091" s="105" t="s">
        <v>5506</v>
      </c>
      <c r="F1091" s="103" t="s">
        <v>12347</v>
      </c>
      <c r="G1091" s="103"/>
      <c r="H1091" s="103" t="s">
        <v>12285</v>
      </c>
      <c r="I1091" s="103"/>
      <c r="J1091" s="103" t="s">
        <v>12348</v>
      </c>
      <c r="K1091" s="103"/>
      <c r="L1091" s="106">
        <v>6.255599616</v>
      </c>
      <c r="M1091" s="103" t="s">
        <v>11330</v>
      </c>
      <c r="N1091" s="106">
        <v>19819688.4033624</v>
      </c>
      <c r="O1091" s="103" t="s">
        <v>12215</v>
      </c>
    </row>
    <row r="1092" spans="1:15">
      <c r="A1092" s="103" t="s">
        <v>5187</v>
      </c>
      <c r="B1092" s="104" t="s">
        <v>139</v>
      </c>
      <c r="C1092" s="104" t="s">
        <v>5188</v>
      </c>
      <c r="D1092" s="104" t="s">
        <v>2961</v>
      </c>
      <c r="E1092" s="105" t="s">
        <v>134</v>
      </c>
      <c r="F1092" s="103" t="s">
        <v>12349</v>
      </c>
      <c r="G1092" s="103"/>
      <c r="H1092" s="103" t="s">
        <v>12350</v>
      </c>
      <c r="I1092" s="103"/>
      <c r="J1092" s="103" t="s">
        <v>9965</v>
      </c>
      <c r="K1092" s="103"/>
      <c r="L1092" s="106">
        <v>5.999136</v>
      </c>
      <c r="M1092" s="103" t="s">
        <v>11330</v>
      </c>
      <c r="N1092" s="106">
        <v>19819694.4024984</v>
      </c>
      <c r="O1092" s="103" t="s">
        <v>12215</v>
      </c>
    </row>
    <row r="1093" spans="1:15">
      <c r="A1093" s="103" t="s">
        <v>2966</v>
      </c>
      <c r="B1093" s="104" t="s">
        <v>139</v>
      </c>
      <c r="C1093" s="104" t="s">
        <v>2967</v>
      </c>
      <c r="D1093" s="104" t="s">
        <v>2961</v>
      </c>
      <c r="E1093" s="105" t="s">
        <v>393</v>
      </c>
      <c r="F1093" s="103" t="s">
        <v>12351</v>
      </c>
      <c r="G1093" s="103"/>
      <c r="H1093" s="103" t="s">
        <v>12072</v>
      </c>
      <c r="I1093" s="103"/>
      <c r="J1093" s="103" t="s">
        <v>12352</v>
      </c>
      <c r="K1093" s="103"/>
      <c r="L1093" s="106">
        <v>5.3114534</v>
      </c>
      <c r="M1093" s="103" t="s">
        <v>11330</v>
      </c>
      <c r="N1093" s="106">
        <v>19819699.7139518</v>
      </c>
      <c r="O1093" s="103" t="s">
        <v>12215</v>
      </c>
    </row>
    <row r="1094" ht="25.5" spans="1:15">
      <c r="A1094" s="103" t="s">
        <v>3747</v>
      </c>
      <c r="B1094" s="104" t="s">
        <v>77</v>
      </c>
      <c r="C1094" s="104" t="s">
        <v>3748</v>
      </c>
      <c r="D1094" s="104" t="s">
        <v>2961</v>
      </c>
      <c r="E1094" s="105" t="s">
        <v>134</v>
      </c>
      <c r="F1094" s="103" t="s">
        <v>12353</v>
      </c>
      <c r="G1094" s="103"/>
      <c r="H1094" s="103" t="s">
        <v>12354</v>
      </c>
      <c r="I1094" s="103"/>
      <c r="J1094" s="103" t="s">
        <v>12355</v>
      </c>
      <c r="K1094" s="103"/>
      <c r="L1094" s="106">
        <v>5.247</v>
      </c>
      <c r="M1094" s="103" t="s">
        <v>11330</v>
      </c>
      <c r="N1094" s="106">
        <v>19819704.9609518</v>
      </c>
      <c r="O1094" s="103" t="s">
        <v>12215</v>
      </c>
    </row>
    <row r="1095" ht="51" spans="1:15">
      <c r="A1095" s="103" t="s">
        <v>5856</v>
      </c>
      <c r="B1095" s="104" t="s">
        <v>139</v>
      </c>
      <c r="C1095" s="104" t="s">
        <v>5857</v>
      </c>
      <c r="D1095" s="104" t="s">
        <v>3680</v>
      </c>
      <c r="E1095" s="105" t="s">
        <v>134</v>
      </c>
      <c r="F1095" s="103" t="s">
        <v>12356</v>
      </c>
      <c r="G1095" s="103"/>
      <c r="H1095" s="103" t="s">
        <v>12357</v>
      </c>
      <c r="I1095" s="103"/>
      <c r="J1095" s="103" t="s">
        <v>12358</v>
      </c>
      <c r="K1095" s="103"/>
      <c r="L1095" s="106">
        <v>5.12683691482628</v>
      </c>
      <c r="M1095" s="103" t="s">
        <v>11330</v>
      </c>
      <c r="N1095" s="106">
        <v>19819710.0877887</v>
      </c>
      <c r="O1095" s="103" t="s">
        <v>12215</v>
      </c>
    </row>
    <row r="1096" spans="1:15">
      <c r="A1096" s="103" t="s">
        <v>5120</v>
      </c>
      <c r="B1096" s="104" t="s">
        <v>139</v>
      </c>
      <c r="C1096" s="104" t="s">
        <v>5121</v>
      </c>
      <c r="D1096" s="104" t="s">
        <v>2961</v>
      </c>
      <c r="E1096" s="105" t="s">
        <v>393</v>
      </c>
      <c r="F1096" s="103" t="s">
        <v>12359</v>
      </c>
      <c r="G1096" s="103"/>
      <c r="H1096" s="103" t="s">
        <v>12360</v>
      </c>
      <c r="I1096" s="103"/>
      <c r="J1096" s="103" t="s">
        <v>7008</v>
      </c>
      <c r="K1096" s="103"/>
      <c r="L1096" s="106">
        <v>4.96179</v>
      </c>
      <c r="M1096" s="103" t="s">
        <v>11330</v>
      </c>
      <c r="N1096" s="106">
        <v>19819715.0495787</v>
      </c>
      <c r="O1096" s="103" t="s">
        <v>12215</v>
      </c>
    </row>
    <row r="1097" spans="1:15">
      <c r="A1097" s="103" t="s">
        <v>3700</v>
      </c>
      <c r="B1097" s="104" t="s">
        <v>77</v>
      </c>
      <c r="C1097" s="104" t="s">
        <v>3701</v>
      </c>
      <c r="D1097" s="104" t="s">
        <v>2961</v>
      </c>
      <c r="E1097" s="105" t="s">
        <v>134</v>
      </c>
      <c r="F1097" s="103" t="s">
        <v>9152</v>
      </c>
      <c r="G1097" s="103"/>
      <c r="H1097" s="103" t="s">
        <v>12361</v>
      </c>
      <c r="I1097" s="103"/>
      <c r="J1097" s="103" t="s">
        <v>10751</v>
      </c>
      <c r="K1097" s="103"/>
      <c r="L1097" s="106">
        <v>4.64</v>
      </c>
      <c r="M1097" s="103" t="s">
        <v>11330</v>
      </c>
      <c r="N1097" s="106">
        <v>19819719.6895787</v>
      </c>
      <c r="O1097" s="103" t="s">
        <v>12215</v>
      </c>
    </row>
    <row r="1098" spans="1:15">
      <c r="A1098" s="103" t="s">
        <v>3702</v>
      </c>
      <c r="B1098" s="104" t="s">
        <v>77</v>
      </c>
      <c r="C1098" s="104" t="s">
        <v>3703</v>
      </c>
      <c r="D1098" s="104" t="s">
        <v>2961</v>
      </c>
      <c r="E1098" s="105" t="s">
        <v>134</v>
      </c>
      <c r="F1098" s="103" t="s">
        <v>9183</v>
      </c>
      <c r="G1098" s="103"/>
      <c r="H1098" s="103" t="s">
        <v>12362</v>
      </c>
      <c r="I1098" s="103"/>
      <c r="J1098" s="103" t="s">
        <v>12363</v>
      </c>
      <c r="K1098" s="103"/>
      <c r="L1098" s="106">
        <v>4.62</v>
      </c>
      <c r="M1098" s="103" t="s">
        <v>11330</v>
      </c>
      <c r="N1098" s="106">
        <v>19819724.3095787</v>
      </c>
      <c r="O1098" s="103" t="s">
        <v>12215</v>
      </c>
    </row>
    <row r="1099" ht="25.5" spans="1:15">
      <c r="A1099" s="103" t="s">
        <v>3698</v>
      </c>
      <c r="B1099" s="104" t="s">
        <v>77</v>
      </c>
      <c r="C1099" s="104" t="s">
        <v>3699</v>
      </c>
      <c r="D1099" s="104" t="s">
        <v>2961</v>
      </c>
      <c r="E1099" s="105" t="s">
        <v>134</v>
      </c>
      <c r="F1099" s="103" t="s">
        <v>9183</v>
      </c>
      <c r="G1099" s="103"/>
      <c r="H1099" s="103" t="s">
        <v>12364</v>
      </c>
      <c r="I1099" s="103"/>
      <c r="J1099" s="103" t="s">
        <v>12365</v>
      </c>
      <c r="K1099" s="103"/>
      <c r="L1099" s="106">
        <v>4.54</v>
      </c>
      <c r="M1099" s="103" t="s">
        <v>11330</v>
      </c>
      <c r="N1099" s="106">
        <v>19819728.8495787</v>
      </c>
      <c r="O1099" s="103" t="s">
        <v>12215</v>
      </c>
    </row>
    <row r="1100" ht="25.5" spans="1:15">
      <c r="A1100" s="103" t="s">
        <v>3743</v>
      </c>
      <c r="B1100" s="104" t="s">
        <v>77</v>
      </c>
      <c r="C1100" s="104" t="s">
        <v>3744</v>
      </c>
      <c r="D1100" s="104" t="s">
        <v>2961</v>
      </c>
      <c r="E1100" s="105" t="s">
        <v>134</v>
      </c>
      <c r="F1100" s="103" t="s">
        <v>9091</v>
      </c>
      <c r="G1100" s="103"/>
      <c r="H1100" s="103" t="s">
        <v>12366</v>
      </c>
      <c r="I1100" s="103"/>
      <c r="J1100" s="103" t="s">
        <v>12366</v>
      </c>
      <c r="K1100" s="103"/>
      <c r="L1100" s="106">
        <v>4.14</v>
      </c>
      <c r="M1100" s="103" t="s">
        <v>11330</v>
      </c>
      <c r="N1100" s="106">
        <v>19819732.9895787</v>
      </c>
      <c r="O1100" s="103" t="s">
        <v>12215</v>
      </c>
    </row>
    <row r="1101" spans="1:15">
      <c r="A1101" s="103" t="s">
        <v>3289</v>
      </c>
      <c r="B1101" s="104" t="s">
        <v>149</v>
      </c>
      <c r="C1101" s="104" t="s">
        <v>3290</v>
      </c>
      <c r="D1101" s="104" t="s">
        <v>2961</v>
      </c>
      <c r="E1101" s="105" t="s">
        <v>2897</v>
      </c>
      <c r="F1101" s="103" t="s">
        <v>12367</v>
      </c>
      <c r="G1101" s="103"/>
      <c r="H1101" s="103" t="s">
        <v>12368</v>
      </c>
      <c r="I1101" s="103"/>
      <c r="J1101" s="103" t="s">
        <v>12369</v>
      </c>
      <c r="K1101" s="103"/>
      <c r="L1101" s="106">
        <v>3.9105</v>
      </c>
      <c r="M1101" s="103" t="s">
        <v>11330</v>
      </c>
      <c r="N1101" s="106">
        <v>19819736.9000787</v>
      </c>
      <c r="O1101" s="103" t="s">
        <v>12215</v>
      </c>
    </row>
    <row r="1102" spans="1:15">
      <c r="A1102" s="103" t="s">
        <v>5291</v>
      </c>
      <c r="B1102" s="104" t="s">
        <v>77</v>
      </c>
      <c r="C1102" s="104" t="s">
        <v>5292</v>
      </c>
      <c r="D1102" s="104" t="s">
        <v>2961</v>
      </c>
      <c r="E1102" s="105" t="s">
        <v>3084</v>
      </c>
      <c r="F1102" s="103" t="s">
        <v>12223</v>
      </c>
      <c r="G1102" s="103"/>
      <c r="H1102" s="103" t="s">
        <v>9882</v>
      </c>
      <c r="I1102" s="103"/>
      <c r="J1102" s="103" t="s">
        <v>7249</v>
      </c>
      <c r="K1102" s="103"/>
      <c r="L1102" s="106">
        <v>3.84</v>
      </c>
      <c r="M1102" s="103" t="s">
        <v>11330</v>
      </c>
      <c r="N1102" s="106">
        <v>19819740.7400787</v>
      </c>
      <c r="O1102" s="103" t="s">
        <v>12215</v>
      </c>
    </row>
    <row r="1103" spans="1:15">
      <c r="A1103" s="103" t="s">
        <v>3384</v>
      </c>
      <c r="B1103" s="104" t="s">
        <v>139</v>
      </c>
      <c r="C1103" s="104" t="s">
        <v>3385</v>
      </c>
      <c r="D1103" s="104" t="s">
        <v>2961</v>
      </c>
      <c r="E1103" s="105" t="s">
        <v>393</v>
      </c>
      <c r="F1103" s="103" t="s">
        <v>12370</v>
      </c>
      <c r="G1103" s="103"/>
      <c r="H1103" s="103" t="s">
        <v>12371</v>
      </c>
      <c r="I1103" s="103"/>
      <c r="J1103" s="103" t="s">
        <v>12372</v>
      </c>
      <c r="K1103" s="103"/>
      <c r="L1103" s="106">
        <v>3.765911</v>
      </c>
      <c r="M1103" s="103" t="s">
        <v>11330</v>
      </c>
      <c r="N1103" s="106">
        <v>19819744.5059897</v>
      </c>
      <c r="O1103" s="103" t="s">
        <v>12215</v>
      </c>
    </row>
    <row r="1104" spans="1:15">
      <c r="A1104" s="103" t="s">
        <v>4199</v>
      </c>
      <c r="B1104" s="104" t="s">
        <v>77</v>
      </c>
      <c r="C1104" s="104" t="s">
        <v>4200</v>
      </c>
      <c r="D1104" s="104" t="s">
        <v>2961</v>
      </c>
      <c r="E1104" s="105" t="s">
        <v>134</v>
      </c>
      <c r="F1104" s="103" t="s">
        <v>12373</v>
      </c>
      <c r="G1104" s="103"/>
      <c r="H1104" s="103" t="s">
        <v>8329</v>
      </c>
      <c r="I1104" s="103"/>
      <c r="J1104" s="103" t="s">
        <v>11557</v>
      </c>
      <c r="K1104" s="103"/>
      <c r="L1104" s="106">
        <v>2.373672</v>
      </c>
      <c r="M1104" s="103" t="s">
        <v>11330</v>
      </c>
      <c r="N1104" s="106">
        <v>19819746.8796617</v>
      </c>
      <c r="O1104" s="103" t="s">
        <v>12215</v>
      </c>
    </row>
    <row r="1105" ht="25.5" spans="1:15">
      <c r="A1105" s="103" t="s">
        <v>6112</v>
      </c>
      <c r="B1105" s="104" t="s">
        <v>796</v>
      </c>
      <c r="C1105" s="104" t="s">
        <v>6113</v>
      </c>
      <c r="D1105" s="104" t="s">
        <v>3395</v>
      </c>
      <c r="E1105" s="105" t="s">
        <v>334</v>
      </c>
      <c r="F1105" s="103" t="s">
        <v>12374</v>
      </c>
      <c r="G1105" s="103"/>
      <c r="H1105" s="103" t="s">
        <v>12375</v>
      </c>
      <c r="I1105" s="103"/>
      <c r="J1105" s="103" t="s">
        <v>12362</v>
      </c>
      <c r="K1105" s="103"/>
      <c r="L1105" s="106">
        <v>2.314584</v>
      </c>
      <c r="M1105" s="103" t="s">
        <v>11330</v>
      </c>
      <c r="N1105" s="106">
        <v>19819749.1942457</v>
      </c>
      <c r="O1105" s="103" t="s">
        <v>12215</v>
      </c>
    </row>
    <row r="1106" ht="38.25" spans="1:15">
      <c r="A1106" s="103" t="s">
        <v>5618</v>
      </c>
      <c r="B1106" s="104" t="s">
        <v>139</v>
      </c>
      <c r="C1106" s="104" t="s">
        <v>5619</v>
      </c>
      <c r="D1106" s="104" t="s">
        <v>2961</v>
      </c>
      <c r="E1106" s="105" t="s">
        <v>134</v>
      </c>
      <c r="F1106" s="103" t="s">
        <v>12376</v>
      </c>
      <c r="G1106" s="103"/>
      <c r="H1106" s="103" t="s">
        <v>12377</v>
      </c>
      <c r="I1106" s="103"/>
      <c r="J1106" s="103" t="s">
        <v>12362</v>
      </c>
      <c r="K1106" s="103"/>
      <c r="L1106" s="106">
        <v>2.305151699328</v>
      </c>
      <c r="M1106" s="103" t="s">
        <v>11330</v>
      </c>
      <c r="N1106" s="106">
        <v>19819751.4993974</v>
      </c>
      <c r="O1106" s="103" t="s">
        <v>12215</v>
      </c>
    </row>
    <row r="1107" ht="25.5" spans="1:15">
      <c r="A1107" s="103" t="s">
        <v>3751</v>
      </c>
      <c r="B1107" s="104" t="s">
        <v>77</v>
      </c>
      <c r="C1107" s="104" t="s">
        <v>3752</v>
      </c>
      <c r="D1107" s="104" t="s">
        <v>2961</v>
      </c>
      <c r="E1107" s="105" t="s">
        <v>134</v>
      </c>
      <c r="F1107" s="103" t="s">
        <v>9091</v>
      </c>
      <c r="G1107" s="103"/>
      <c r="H1107" s="103" t="s">
        <v>12378</v>
      </c>
      <c r="I1107" s="103"/>
      <c r="J1107" s="103" t="s">
        <v>12378</v>
      </c>
      <c r="K1107" s="103"/>
      <c r="L1107" s="106">
        <v>1.93</v>
      </c>
      <c r="M1107" s="103" t="s">
        <v>11330</v>
      </c>
      <c r="N1107" s="106">
        <v>19819753.4293974</v>
      </c>
      <c r="O1107" s="103" t="s">
        <v>12215</v>
      </c>
    </row>
    <row r="1108" ht="25.5" spans="1:15">
      <c r="A1108" s="103" t="s">
        <v>5300</v>
      </c>
      <c r="B1108" s="104" t="s">
        <v>139</v>
      </c>
      <c r="C1108" s="104" t="s">
        <v>5301</v>
      </c>
      <c r="D1108" s="104" t="s">
        <v>2961</v>
      </c>
      <c r="E1108" s="105" t="s">
        <v>134</v>
      </c>
      <c r="F1108" s="103" t="s">
        <v>9183</v>
      </c>
      <c r="G1108" s="103"/>
      <c r="H1108" s="103" t="s">
        <v>6682</v>
      </c>
      <c r="I1108" s="103"/>
      <c r="J1108" s="103" t="s">
        <v>12379</v>
      </c>
      <c r="K1108" s="103"/>
      <c r="L1108" s="106">
        <v>1.86</v>
      </c>
      <c r="M1108" s="103" t="s">
        <v>11330</v>
      </c>
      <c r="N1108" s="106">
        <v>19819755.2893974</v>
      </c>
      <c r="O1108" s="103" t="s">
        <v>12215</v>
      </c>
    </row>
    <row r="1109" spans="1:15">
      <c r="A1109" s="103" t="s">
        <v>3694</v>
      </c>
      <c r="B1109" s="104" t="s">
        <v>77</v>
      </c>
      <c r="C1109" s="104" t="s">
        <v>3695</v>
      </c>
      <c r="D1109" s="104" t="s">
        <v>2961</v>
      </c>
      <c r="E1109" s="105" t="s">
        <v>134</v>
      </c>
      <c r="F1109" s="103" t="s">
        <v>9091</v>
      </c>
      <c r="G1109" s="103"/>
      <c r="H1109" s="103" t="s">
        <v>8069</v>
      </c>
      <c r="I1109" s="103"/>
      <c r="J1109" s="103" t="s">
        <v>8069</v>
      </c>
      <c r="K1109" s="103"/>
      <c r="L1109" s="106">
        <v>1.57</v>
      </c>
      <c r="M1109" s="103" t="s">
        <v>11330</v>
      </c>
      <c r="N1109" s="106">
        <v>19819756.8593974</v>
      </c>
      <c r="O1109" s="103" t="s">
        <v>12215</v>
      </c>
    </row>
    <row r="1110" ht="25.5" spans="1:15">
      <c r="A1110" s="103" t="s">
        <v>3110</v>
      </c>
      <c r="B1110" s="104" t="s">
        <v>77</v>
      </c>
      <c r="C1110" s="104" t="s">
        <v>3111</v>
      </c>
      <c r="D1110" s="104" t="s">
        <v>2961</v>
      </c>
      <c r="E1110" s="105" t="s">
        <v>393</v>
      </c>
      <c r="F1110" s="103" t="s">
        <v>12380</v>
      </c>
      <c r="G1110" s="103"/>
      <c r="H1110" s="103" t="s">
        <v>12381</v>
      </c>
      <c r="I1110" s="103"/>
      <c r="J1110" s="103" t="s">
        <v>12382</v>
      </c>
      <c r="K1110" s="103"/>
      <c r="L1110" s="106">
        <v>1.535</v>
      </c>
      <c r="M1110" s="103" t="s">
        <v>11330</v>
      </c>
      <c r="N1110" s="106">
        <v>19819758.3943974</v>
      </c>
      <c r="O1110" s="103" t="s">
        <v>12215</v>
      </c>
    </row>
    <row r="1111" spans="1:15">
      <c r="A1111" s="103" t="s">
        <v>2962</v>
      </c>
      <c r="B1111" s="104" t="s">
        <v>139</v>
      </c>
      <c r="C1111" s="104" t="s">
        <v>2963</v>
      </c>
      <c r="D1111" s="104" t="s">
        <v>2961</v>
      </c>
      <c r="E1111" s="105" t="s">
        <v>393</v>
      </c>
      <c r="F1111" s="103" t="s">
        <v>12383</v>
      </c>
      <c r="G1111" s="103"/>
      <c r="H1111" s="103" t="s">
        <v>12384</v>
      </c>
      <c r="I1111" s="103"/>
      <c r="J1111" s="103" t="s">
        <v>12061</v>
      </c>
      <c r="K1111" s="103"/>
      <c r="L1111" s="106">
        <v>1.2444012</v>
      </c>
      <c r="M1111" s="103" t="s">
        <v>11330</v>
      </c>
      <c r="N1111" s="106">
        <v>19819759.6387986</v>
      </c>
      <c r="O1111" s="103" t="s">
        <v>12215</v>
      </c>
    </row>
    <row r="1112" spans="1:15">
      <c r="A1112" s="103" t="s">
        <v>3291</v>
      </c>
      <c r="B1112" s="104" t="s">
        <v>149</v>
      </c>
      <c r="C1112" s="104" t="s">
        <v>3292</v>
      </c>
      <c r="D1112" s="104" t="s">
        <v>2961</v>
      </c>
      <c r="E1112" s="105" t="s">
        <v>2897</v>
      </c>
      <c r="F1112" s="103" t="s">
        <v>12385</v>
      </c>
      <c r="G1112" s="103"/>
      <c r="H1112" s="103" t="s">
        <v>12386</v>
      </c>
      <c r="I1112" s="103"/>
      <c r="J1112" s="103" t="s">
        <v>11373</v>
      </c>
      <c r="K1112" s="103"/>
      <c r="L1112" s="106">
        <v>1.2057375</v>
      </c>
      <c r="M1112" s="103" t="s">
        <v>11330</v>
      </c>
      <c r="N1112" s="106">
        <v>19819760.8445361</v>
      </c>
      <c r="O1112" s="103" t="s">
        <v>12215</v>
      </c>
    </row>
    <row r="1113" spans="1:15">
      <c r="A1113" s="103" t="s">
        <v>3301</v>
      </c>
      <c r="B1113" s="104" t="s">
        <v>149</v>
      </c>
      <c r="C1113" s="104" t="s">
        <v>3302</v>
      </c>
      <c r="D1113" s="104" t="s">
        <v>2896</v>
      </c>
      <c r="E1113" s="105" t="s">
        <v>2897</v>
      </c>
      <c r="F1113" s="103" t="s">
        <v>12387</v>
      </c>
      <c r="G1113" s="103"/>
      <c r="H1113" s="103" t="s">
        <v>12388</v>
      </c>
      <c r="I1113" s="103"/>
      <c r="J1113" s="103" t="s">
        <v>12389</v>
      </c>
      <c r="K1113" s="103"/>
      <c r="L1113" s="106">
        <v>1.17077325024</v>
      </c>
      <c r="M1113" s="103" t="s">
        <v>11330</v>
      </c>
      <c r="N1113" s="106">
        <v>19819762.0153094</v>
      </c>
      <c r="O1113" s="103" t="s">
        <v>12215</v>
      </c>
    </row>
    <row r="1114" spans="1:15">
      <c r="A1114" s="103" t="s">
        <v>3299</v>
      </c>
      <c r="B1114" s="104" t="s">
        <v>149</v>
      </c>
      <c r="C1114" s="104" t="s">
        <v>3300</v>
      </c>
      <c r="D1114" s="104" t="s">
        <v>2896</v>
      </c>
      <c r="E1114" s="105" t="s">
        <v>2897</v>
      </c>
      <c r="F1114" s="103" t="s">
        <v>12390</v>
      </c>
      <c r="G1114" s="103"/>
      <c r="H1114" s="103" t="s">
        <v>12391</v>
      </c>
      <c r="I1114" s="103"/>
      <c r="J1114" s="103" t="s">
        <v>12392</v>
      </c>
      <c r="K1114" s="103"/>
      <c r="L1114" s="106">
        <v>0.80471727024</v>
      </c>
      <c r="M1114" s="103" t="s">
        <v>11330</v>
      </c>
      <c r="N1114" s="106">
        <v>19819762.8200267</v>
      </c>
      <c r="O1114" s="103" t="s">
        <v>12215</v>
      </c>
    </row>
    <row r="1115" spans="1:15">
      <c r="A1115" s="103" t="s">
        <v>3749</v>
      </c>
      <c r="B1115" s="104" t="s">
        <v>77</v>
      </c>
      <c r="C1115" s="104" t="s">
        <v>3750</v>
      </c>
      <c r="D1115" s="104" t="s">
        <v>2961</v>
      </c>
      <c r="E1115" s="105" t="s">
        <v>134</v>
      </c>
      <c r="F1115" s="103" t="s">
        <v>9091</v>
      </c>
      <c r="G1115" s="103"/>
      <c r="H1115" s="103" t="s">
        <v>12393</v>
      </c>
      <c r="I1115" s="103"/>
      <c r="J1115" s="103" t="s">
        <v>12393</v>
      </c>
      <c r="K1115" s="103"/>
      <c r="L1115" s="106">
        <v>0.55</v>
      </c>
      <c r="M1115" s="103" t="s">
        <v>11330</v>
      </c>
      <c r="N1115" s="106">
        <v>19819763.3700267</v>
      </c>
      <c r="O1115" s="103" t="s">
        <v>12215</v>
      </c>
    </row>
    <row r="1116" ht="25.5" spans="1:15">
      <c r="A1116" s="103" t="s">
        <v>6036</v>
      </c>
      <c r="B1116" s="104" t="s">
        <v>139</v>
      </c>
      <c r="C1116" s="104" t="s">
        <v>6037</v>
      </c>
      <c r="D1116" s="104" t="s">
        <v>2961</v>
      </c>
      <c r="E1116" s="105" t="s">
        <v>2897</v>
      </c>
      <c r="F1116" s="103" t="s">
        <v>12341</v>
      </c>
      <c r="G1116" s="103"/>
      <c r="H1116" s="103" t="s">
        <v>7573</v>
      </c>
      <c r="I1116" s="103"/>
      <c r="J1116" s="103" t="s">
        <v>8627</v>
      </c>
      <c r="K1116" s="103"/>
      <c r="L1116" s="106">
        <v>0.435</v>
      </c>
      <c r="M1116" s="103" t="s">
        <v>11330</v>
      </c>
      <c r="N1116" s="106">
        <v>19819763.8050267</v>
      </c>
      <c r="O1116" s="103" t="s">
        <v>12215</v>
      </c>
    </row>
    <row r="1117" ht="38.25" spans="1:15">
      <c r="A1117" s="103" t="s">
        <v>5489</v>
      </c>
      <c r="B1117" s="104" t="s">
        <v>77</v>
      </c>
      <c r="C1117" s="104" t="s">
        <v>5490</v>
      </c>
      <c r="D1117" s="104" t="s">
        <v>3395</v>
      </c>
      <c r="E1117" s="105" t="s">
        <v>134</v>
      </c>
      <c r="F1117" s="103" t="s">
        <v>12394</v>
      </c>
      <c r="G1117" s="103"/>
      <c r="H1117" s="103" t="s">
        <v>12395</v>
      </c>
      <c r="I1117" s="103"/>
      <c r="J1117" s="103" t="s">
        <v>6790</v>
      </c>
      <c r="K1117" s="103"/>
      <c r="L1117" s="106">
        <v>0.433159242</v>
      </c>
      <c r="M1117" s="103" t="s">
        <v>11330</v>
      </c>
      <c r="N1117" s="106">
        <v>19819764.2381859</v>
      </c>
      <c r="O1117" s="103" t="s">
        <v>12215</v>
      </c>
    </row>
    <row r="1118" ht="25.5" spans="1:15">
      <c r="A1118" s="103" t="s">
        <v>5818</v>
      </c>
      <c r="B1118" s="104" t="s">
        <v>139</v>
      </c>
      <c r="C1118" s="104" t="s">
        <v>5819</v>
      </c>
      <c r="D1118" s="104" t="s">
        <v>2961</v>
      </c>
      <c r="E1118" s="105" t="s">
        <v>2897</v>
      </c>
      <c r="F1118" s="103" t="s">
        <v>10377</v>
      </c>
      <c r="G1118" s="103"/>
      <c r="H1118" s="103" t="s">
        <v>8174</v>
      </c>
      <c r="I1118" s="103"/>
      <c r="J1118" s="103" t="s">
        <v>6853</v>
      </c>
      <c r="K1118" s="103"/>
      <c r="L1118" s="106">
        <v>0.38</v>
      </c>
      <c r="M1118" s="103" t="s">
        <v>11330</v>
      </c>
      <c r="N1118" s="106">
        <v>19819764.6181859</v>
      </c>
      <c r="O1118" s="103" t="s">
        <v>12215</v>
      </c>
    </row>
    <row r="1119" spans="1:15">
      <c r="A1119" s="103" t="s">
        <v>3756</v>
      </c>
      <c r="B1119" s="104" t="s">
        <v>149</v>
      </c>
      <c r="C1119" s="104" t="s">
        <v>3757</v>
      </c>
      <c r="D1119" s="104" t="s">
        <v>2961</v>
      </c>
      <c r="E1119" s="105" t="s">
        <v>204</v>
      </c>
      <c r="F1119" s="103" t="s">
        <v>12396</v>
      </c>
      <c r="G1119" s="103"/>
      <c r="H1119" s="103" t="s">
        <v>6631</v>
      </c>
      <c r="I1119" s="103"/>
      <c r="J1119" s="103" t="s">
        <v>6879</v>
      </c>
      <c r="K1119" s="103"/>
      <c r="L1119" s="106">
        <v>0.344</v>
      </c>
      <c r="M1119" s="103" t="s">
        <v>11330</v>
      </c>
      <c r="N1119" s="106">
        <v>19819764.9621859</v>
      </c>
      <c r="O1119" s="103" t="s">
        <v>12215</v>
      </c>
    </row>
    <row r="1120" spans="1:15">
      <c r="A1120" s="103" t="s">
        <v>3295</v>
      </c>
      <c r="B1120" s="104" t="s">
        <v>149</v>
      </c>
      <c r="C1120" s="104" t="s">
        <v>3296</v>
      </c>
      <c r="D1120" s="104" t="s">
        <v>2896</v>
      </c>
      <c r="E1120" s="105" t="s">
        <v>2897</v>
      </c>
      <c r="F1120" s="103" t="s">
        <v>12385</v>
      </c>
      <c r="G1120" s="103"/>
      <c r="H1120" s="103" t="s">
        <v>9807</v>
      </c>
      <c r="I1120" s="103"/>
      <c r="J1120" s="103" t="s">
        <v>7017</v>
      </c>
      <c r="K1120" s="103"/>
      <c r="L1120" s="106">
        <v>0.1971653244</v>
      </c>
      <c r="M1120" s="103" t="s">
        <v>11330</v>
      </c>
      <c r="N1120" s="106">
        <v>19819765.1593512</v>
      </c>
      <c r="O1120" s="103" t="s">
        <v>12215</v>
      </c>
    </row>
    <row r="1121" ht="38.25" spans="1:15">
      <c r="A1121" s="103" t="s">
        <v>5372</v>
      </c>
      <c r="B1121" s="104" t="s">
        <v>139</v>
      </c>
      <c r="C1121" s="104" t="s">
        <v>5373</v>
      </c>
      <c r="D1121" s="104" t="s">
        <v>2961</v>
      </c>
      <c r="E1121" s="105" t="s">
        <v>3084</v>
      </c>
      <c r="F1121" s="103" t="s">
        <v>12397</v>
      </c>
      <c r="G1121" s="103"/>
      <c r="H1121" s="103" t="s">
        <v>12398</v>
      </c>
      <c r="I1121" s="103"/>
      <c r="J1121" s="103" t="s">
        <v>7930</v>
      </c>
      <c r="K1121" s="103"/>
      <c r="L1121" s="106">
        <v>0.021711375</v>
      </c>
      <c r="M1121" s="103" t="s">
        <v>11330</v>
      </c>
      <c r="N1121" s="106">
        <v>19819765.1810626</v>
      </c>
      <c r="O1121" s="103" t="s">
        <v>12215</v>
      </c>
    </row>
    <row r="1122" ht="38.25" spans="1:15">
      <c r="A1122" s="103" t="s">
        <v>6116</v>
      </c>
      <c r="B1122" s="104" t="s">
        <v>796</v>
      </c>
      <c r="C1122" s="104" t="s">
        <v>6117</v>
      </c>
      <c r="D1122" s="104" t="s">
        <v>3395</v>
      </c>
      <c r="E1122" s="105" t="s">
        <v>334</v>
      </c>
      <c r="F1122" s="103" t="s">
        <v>12399</v>
      </c>
      <c r="G1122" s="103"/>
      <c r="H1122" s="103" t="s">
        <v>12375</v>
      </c>
      <c r="I1122" s="103"/>
      <c r="J1122" s="103" t="s">
        <v>8174</v>
      </c>
      <c r="K1122" s="103"/>
      <c r="L1122" s="106">
        <v>0.006943752</v>
      </c>
      <c r="M1122" s="103" t="s">
        <v>11330</v>
      </c>
      <c r="N1122" s="106">
        <v>19819765.1880063</v>
      </c>
      <c r="O1122" s="103" t="s">
        <v>12215</v>
      </c>
    </row>
    <row r="1123" spans="1:15">
      <c r="A1123" s="107"/>
      <c r="B1123" s="107"/>
      <c r="C1123" s="107"/>
      <c r="D1123" s="107"/>
      <c r="E1123" s="107"/>
      <c r="F1123" s="107"/>
      <c r="G1123" s="107"/>
      <c r="H1123" s="107"/>
      <c r="I1123" s="107"/>
      <c r="J1123" s="107"/>
      <c r="K1123" s="107"/>
      <c r="L1123" s="107"/>
      <c r="M1123" s="107"/>
      <c r="N1123" s="107"/>
      <c r="O1123" s="107"/>
    </row>
    <row r="1124" spans="1:14">
      <c r="A1124" s="108"/>
      <c r="B1124" s="108"/>
      <c r="C1124" s="108"/>
      <c r="D1124" s="108"/>
      <c r="E1124" s="108"/>
      <c r="F1124" s="108"/>
      <c r="G1124" s="108"/>
      <c r="H1124" s="108"/>
      <c r="I1124" s="108"/>
      <c r="J1124" s="108"/>
      <c r="K1124" s="114"/>
      <c r="L1124" s="114" t="s">
        <v>12400</v>
      </c>
      <c r="M1124" s="114"/>
      <c r="N1124" s="114"/>
    </row>
    <row r="1125" ht="35.05" customHeight="1" spans="1:15">
      <c r="A1125" s="108"/>
      <c r="B1125" s="108"/>
      <c r="C1125" s="108"/>
      <c r="D1125" s="108"/>
      <c r="E1125" s="108"/>
      <c r="F1125" s="108"/>
      <c r="G1125" s="108"/>
      <c r="H1125" s="108"/>
      <c r="I1125" s="108"/>
      <c r="J1125" s="108"/>
      <c r="K1125" s="114" t="s">
        <v>3395</v>
      </c>
      <c r="L1125" s="114"/>
      <c r="M1125" s="114"/>
      <c r="N1125" s="108"/>
      <c r="O1125" s="108" t="s">
        <v>12401</v>
      </c>
    </row>
    <row r="1126" ht="23.85" customHeight="1" spans="1:15">
      <c r="A1126" s="108"/>
      <c r="B1126" s="108"/>
      <c r="C1126" s="108"/>
      <c r="D1126" s="108"/>
      <c r="E1126" s="108"/>
      <c r="F1126" s="108"/>
      <c r="G1126" s="108"/>
      <c r="H1126" s="108"/>
      <c r="I1126" s="108"/>
      <c r="J1126" s="108"/>
      <c r="K1126" s="114" t="s">
        <v>3680</v>
      </c>
      <c r="L1126" s="114"/>
      <c r="M1126" s="114"/>
      <c r="N1126" s="108"/>
      <c r="O1126" s="108" t="s">
        <v>12402</v>
      </c>
    </row>
    <row r="1127" ht="35.05" customHeight="1" spans="1:15">
      <c r="A1127" s="108"/>
      <c r="B1127" s="108"/>
      <c r="C1127" s="108"/>
      <c r="D1127" s="108"/>
      <c r="E1127" s="108"/>
      <c r="F1127" s="108"/>
      <c r="G1127" s="108"/>
      <c r="H1127" s="108"/>
      <c r="I1127" s="108"/>
      <c r="J1127" s="108"/>
      <c r="K1127" s="114" t="s">
        <v>2896</v>
      </c>
      <c r="L1127" s="114"/>
      <c r="M1127" s="114"/>
      <c r="N1127" s="108"/>
      <c r="O1127" s="108" t="s">
        <v>12403</v>
      </c>
    </row>
    <row r="1128" ht="35.05" customHeight="1" spans="1:15">
      <c r="A1128" s="108"/>
      <c r="B1128" s="108"/>
      <c r="C1128" s="108"/>
      <c r="D1128" s="108"/>
      <c r="E1128" s="108"/>
      <c r="F1128" s="108"/>
      <c r="G1128" s="108"/>
      <c r="H1128" s="108"/>
      <c r="I1128" s="108"/>
      <c r="J1128" s="108"/>
      <c r="K1128" s="114" t="s">
        <v>2961</v>
      </c>
      <c r="L1128" s="114"/>
      <c r="M1128" s="114"/>
      <c r="N1128" s="108"/>
      <c r="O1128" s="108" t="s">
        <v>12404</v>
      </c>
    </row>
    <row r="1129" ht="23.85" customHeight="1" spans="1:15">
      <c r="A1129" s="108"/>
      <c r="B1129" s="108"/>
      <c r="C1129" s="108"/>
      <c r="D1129" s="108"/>
      <c r="E1129" s="108"/>
      <c r="F1129" s="108"/>
      <c r="G1129" s="108"/>
      <c r="H1129" s="108"/>
      <c r="I1129" s="108"/>
      <c r="J1129" s="108"/>
      <c r="K1129" s="114" t="s">
        <v>4145</v>
      </c>
      <c r="L1129" s="114"/>
      <c r="M1129" s="114"/>
      <c r="N1129" s="108"/>
      <c r="O1129" s="108" t="s">
        <v>12405</v>
      </c>
    </row>
    <row r="1130" ht="15" customHeight="1" spans="1:15">
      <c r="A1130" s="108"/>
      <c r="B1130" s="108"/>
      <c r="C1130" s="108"/>
      <c r="D1130" s="108"/>
      <c r="E1130" s="108"/>
      <c r="F1130" s="108"/>
      <c r="G1130" s="108"/>
      <c r="H1130" s="108"/>
      <c r="I1130" s="108"/>
      <c r="J1130" s="108"/>
      <c r="K1130" s="114" t="s">
        <v>12406</v>
      </c>
      <c r="L1130" s="114"/>
      <c r="M1130" s="114"/>
      <c r="N1130" s="108"/>
      <c r="O1130" s="108" t="s">
        <v>12407</v>
      </c>
    </row>
    <row r="1131" ht="15" customHeight="1" spans="1:15">
      <c r="A1131" s="108"/>
      <c r="B1131" s="108"/>
      <c r="C1131" s="108"/>
      <c r="D1131" s="108"/>
      <c r="E1131" s="108"/>
      <c r="F1131" s="108"/>
      <c r="G1131" s="108"/>
      <c r="H1131" s="108"/>
      <c r="I1131" s="108"/>
      <c r="J1131" s="108"/>
      <c r="K1131" s="114" t="s">
        <v>12408</v>
      </c>
      <c r="L1131" s="114"/>
      <c r="M1131" s="114"/>
      <c r="N1131" s="108"/>
      <c r="O1131" s="108" t="s">
        <v>12407</v>
      </c>
    </row>
    <row r="1132" ht="15" customHeight="1" spans="1:15">
      <c r="A1132" s="108"/>
      <c r="B1132" s="108"/>
      <c r="C1132" s="108"/>
      <c r="D1132" s="108"/>
      <c r="E1132" s="108"/>
      <c r="F1132" s="108"/>
      <c r="G1132" s="108"/>
      <c r="H1132" s="108"/>
      <c r="I1132" s="108"/>
      <c r="J1132" s="108"/>
      <c r="K1132" s="114" t="s">
        <v>12409</v>
      </c>
      <c r="L1132" s="114"/>
      <c r="M1132" s="114"/>
      <c r="N1132" s="108"/>
      <c r="O1132" s="108" t="s">
        <v>12407</v>
      </c>
    </row>
    <row r="1133" ht="15" customHeight="1" spans="1:15">
      <c r="A1133" s="108"/>
      <c r="B1133" s="108"/>
      <c r="C1133" s="108"/>
      <c r="D1133" s="108"/>
      <c r="E1133" s="108"/>
      <c r="F1133" s="108"/>
      <c r="G1133" s="108"/>
      <c r="H1133" s="108"/>
      <c r="I1133" s="108"/>
      <c r="J1133" s="108"/>
      <c r="K1133" s="114" t="s">
        <v>12410</v>
      </c>
      <c r="L1133" s="114"/>
      <c r="M1133" s="114"/>
      <c r="N1133" s="108"/>
      <c r="O1133" s="108" t="s">
        <v>12407</v>
      </c>
    </row>
    <row r="1134" ht="15" customHeight="1" spans="1:15">
      <c r="A1134" s="108"/>
      <c r="B1134" s="108"/>
      <c r="C1134" s="108"/>
      <c r="D1134" s="108"/>
      <c r="E1134" s="108"/>
      <c r="F1134" s="108"/>
      <c r="G1134" s="108"/>
      <c r="H1134" s="108"/>
      <c r="I1134" s="108"/>
      <c r="J1134" s="108"/>
      <c r="K1134" s="114" t="s">
        <v>12411</v>
      </c>
      <c r="L1134" s="114"/>
      <c r="M1134" s="114"/>
      <c r="N1134" s="108"/>
      <c r="O1134" s="108" t="s">
        <v>12407</v>
      </c>
    </row>
    <row r="1135" ht="23.85" customHeight="1" spans="1:15">
      <c r="A1135" s="108"/>
      <c r="B1135" s="108"/>
      <c r="C1135" s="108"/>
      <c r="D1135" s="108"/>
      <c r="E1135" s="108"/>
      <c r="F1135" s="108"/>
      <c r="G1135" s="108"/>
      <c r="H1135" s="108"/>
      <c r="I1135" s="108"/>
      <c r="J1135" s="108"/>
      <c r="K1135" s="114" t="s">
        <v>5444</v>
      </c>
      <c r="L1135" s="114"/>
      <c r="M1135" s="114"/>
      <c r="N1135" s="108"/>
      <c r="O1135" s="108" t="s">
        <v>12412</v>
      </c>
    </row>
    <row r="1136" ht="15" customHeight="1" spans="1:15">
      <c r="A1136" s="108"/>
      <c r="B1136" s="108"/>
      <c r="C1136" s="108"/>
      <c r="D1136" s="108"/>
      <c r="E1136" s="108"/>
      <c r="F1136" s="108"/>
      <c r="G1136" s="108"/>
      <c r="H1136" s="108"/>
      <c r="I1136" s="108"/>
      <c r="J1136" s="108"/>
      <c r="K1136" s="114" t="s">
        <v>3715</v>
      </c>
      <c r="L1136" s="114"/>
      <c r="M1136" s="114"/>
      <c r="N1136" s="108"/>
      <c r="O1136" s="108" t="s">
        <v>12413</v>
      </c>
    </row>
    <row r="1137" spans="1:15">
      <c r="A1137" s="107"/>
      <c r="B1137" s="107"/>
      <c r="C1137" s="107"/>
      <c r="D1137" s="107"/>
      <c r="E1137" s="107"/>
      <c r="F1137" s="107"/>
      <c r="G1137" s="107"/>
      <c r="H1137" s="107"/>
      <c r="I1137" s="107"/>
      <c r="J1137" s="107"/>
      <c r="K1137" s="107"/>
      <c r="L1137" s="107"/>
      <c r="M1137" s="107"/>
      <c r="N1137" s="107"/>
      <c r="O1137" s="107"/>
    </row>
    <row r="1138" ht="15" customHeight="1" spans="1:15">
      <c r="A1138" s="109"/>
      <c r="B1138" s="109"/>
      <c r="C1138" s="110"/>
      <c r="D1138" s="111"/>
      <c r="E1138" s="111"/>
      <c r="F1138" s="111"/>
      <c r="G1138" s="111"/>
      <c r="H1138" s="111"/>
      <c r="I1138" s="111"/>
      <c r="J1138" s="111"/>
      <c r="K1138" s="115" t="s">
        <v>2880</v>
      </c>
      <c r="L1138" s="115"/>
      <c r="M1138" s="116">
        <v>19963738.7</v>
      </c>
      <c r="N1138" s="116"/>
      <c r="O1138" s="116"/>
    </row>
    <row r="1139" ht="15" customHeight="1" spans="1:15">
      <c r="A1139" s="109"/>
      <c r="B1139" s="109"/>
      <c r="C1139" s="110"/>
      <c r="D1139" s="111"/>
      <c r="E1139" s="111"/>
      <c r="F1139" s="111"/>
      <c r="G1139" s="111"/>
      <c r="H1139" s="111"/>
      <c r="I1139" s="111"/>
      <c r="J1139" s="111"/>
      <c r="K1139" s="115" t="s">
        <v>2881</v>
      </c>
      <c r="L1139" s="115"/>
      <c r="M1139" s="116">
        <v>4628600.9</v>
      </c>
      <c r="N1139" s="116"/>
      <c r="O1139" s="116"/>
    </row>
    <row r="1140" ht="15" customHeight="1" spans="1:15">
      <c r="A1140" s="109"/>
      <c r="B1140" s="109"/>
      <c r="C1140" s="110"/>
      <c r="D1140" s="111"/>
      <c r="E1140" s="111"/>
      <c r="F1140" s="111"/>
      <c r="G1140" s="111"/>
      <c r="H1140" s="111"/>
      <c r="I1140" s="111"/>
      <c r="J1140" s="111"/>
      <c r="K1140" s="115" t="s">
        <v>2882</v>
      </c>
      <c r="L1140" s="115"/>
      <c r="M1140" s="116">
        <v>24592339.6</v>
      </c>
      <c r="N1140" s="116"/>
      <c r="O1140" s="116"/>
    </row>
    <row r="1141" spans="1:15">
      <c r="A1141" s="112"/>
      <c r="B1141" s="112"/>
      <c r="C1141" s="112"/>
      <c r="D1141" s="112"/>
      <c r="E1141" s="112"/>
      <c r="F1141" s="112"/>
      <c r="G1141" s="112"/>
      <c r="H1141" s="112"/>
      <c r="I1141" s="112"/>
      <c r="J1141" s="112"/>
      <c r="K1141" s="112"/>
      <c r="L1141" s="112"/>
      <c r="M1141" s="112"/>
      <c r="N1141" s="112"/>
      <c r="O1141" s="112"/>
    </row>
    <row r="1142" customHeight="1" spans="1:15">
      <c r="A1142" s="113" t="s">
        <v>2885</v>
      </c>
      <c r="B1142" s="113"/>
      <c r="C1142" s="113"/>
      <c r="D1142" s="113"/>
      <c r="E1142" s="113"/>
      <c r="F1142" s="113"/>
      <c r="G1142" s="113"/>
      <c r="H1142" s="113"/>
      <c r="I1142" s="113"/>
      <c r="J1142" s="113"/>
      <c r="K1142" s="113"/>
      <c r="L1142" s="113"/>
      <c r="M1142" s="113"/>
      <c r="N1142" s="113"/>
      <c r="O1142" s="113"/>
    </row>
  </sheetData>
  <autoFilter xmlns:etc="http://www.wps.cn/officeDocument/2017/etCustomData" ref="A8:I1122" etc:filterBottomFollowUsedRange="0">
    <extLst/>
  </autoFilter>
  <mergeCells count="44">
    <mergeCell ref="A1:I1"/>
    <mergeCell ref="A2:I2"/>
    <mergeCell ref="A3:D3"/>
    <mergeCell ref="E3:G3"/>
    <mergeCell ref="H3:I3"/>
    <mergeCell ref="A4:D4"/>
    <mergeCell ref="E4:G4"/>
    <mergeCell ref="H4:I4"/>
    <mergeCell ref="A5:D5"/>
    <mergeCell ref="A6:D6"/>
    <mergeCell ref="A7:I7"/>
    <mergeCell ref="K1124:N1124"/>
    <mergeCell ref="K1125:M1125"/>
    <mergeCell ref="K1126:M1126"/>
    <mergeCell ref="K1127:M1127"/>
    <mergeCell ref="K1128:M1128"/>
    <mergeCell ref="K1129:M1129"/>
    <mergeCell ref="K1130:M1130"/>
    <mergeCell ref="K1131:M1131"/>
    <mergeCell ref="K1132:M1132"/>
    <mergeCell ref="K1133:M1133"/>
    <mergeCell ref="K1134:M1134"/>
    <mergeCell ref="K1135:M1135"/>
    <mergeCell ref="K1136:M1136"/>
    <mergeCell ref="A1138:B1138"/>
    <mergeCell ref="K1138:L1138"/>
    <mergeCell ref="M1138:O1138"/>
    <mergeCell ref="A1139:B1139"/>
    <mergeCell ref="K1139:L1139"/>
    <mergeCell ref="M1139:O1139"/>
    <mergeCell ref="A1140:B1140"/>
    <mergeCell ref="K1140:L1140"/>
    <mergeCell ref="M1140:O1140"/>
    <mergeCell ref="A1142:O1142"/>
    <mergeCell ref="A8:A9"/>
    <mergeCell ref="B8:B9"/>
    <mergeCell ref="C8:C9"/>
    <mergeCell ref="D8:D9"/>
    <mergeCell ref="F8:F9"/>
    <mergeCell ref="M8:M9"/>
    <mergeCell ref="N8:N9"/>
    <mergeCell ref="O8:O9"/>
    <mergeCell ref="P8:P9"/>
    <mergeCell ref="Q8:Q9"/>
  </mergeCells>
  <printOptions horizontalCentered="1"/>
  <pageMargins left="0.511805555555556" right="0.511805555555556" top="0.590277777777778" bottom="0.7875" header="0" footer="0.511811023622047"/>
  <pageSetup paperSize="9" fitToHeight="0" orientation="landscape" horizontalDpi="300" verticalDpi="300"/>
  <headerFooter>
    <oddHeader>&amp;L </oddHeader>
  </headerFooter>
  <drawing r:id="rId1"/>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S1000"/>
  <sheetViews>
    <sheetView zoomScale="50" zoomScaleNormal="50" workbookViewId="0">
      <selection activeCell="P1" sqref="P1"/>
    </sheetView>
  </sheetViews>
  <sheetFormatPr defaultColWidth="12.625" defaultRowHeight="14.25"/>
  <cols>
    <col min="1" max="1" width="5.61666666666667" style="1" customWidth="1"/>
    <col min="2" max="2" width="49.7583333333333" style="1" customWidth="1"/>
    <col min="3" max="3" width="16.8833333333333" style="1" customWidth="1"/>
    <col min="4" max="16" width="14.3833333333333" style="1" customWidth="1"/>
    <col min="17" max="17" width="13.8833333333333" style="1" customWidth="1"/>
    <col min="18" max="18" width="15.1166666666667" style="1" customWidth="1"/>
    <col min="19" max="19" width="12" style="1" customWidth="1"/>
    <col min="20" max="27" width="8.61666666666667" style="1" customWidth="1"/>
  </cols>
  <sheetData>
    <row r="1" ht="18.75" customHeight="1" spans="1:16">
      <c r="A1" s="2"/>
      <c r="B1" s="3"/>
      <c r="C1" s="3"/>
      <c r="D1" s="3"/>
      <c r="E1" s="3"/>
      <c r="F1" s="3"/>
      <c r="G1" s="3"/>
      <c r="H1" s="3"/>
      <c r="I1" s="37" t="s">
        <v>12414</v>
      </c>
      <c r="J1" s="37"/>
      <c r="K1" s="38" t="s">
        <v>12415</v>
      </c>
      <c r="L1" s="39" t="s">
        <v>9</v>
      </c>
      <c r="M1" s="40" t="s">
        <v>12</v>
      </c>
      <c r="N1" s="37" t="s">
        <v>12416</v>
      </c>
      <c r="O1" s="37"/>
      <c r="P1" s="41"/>
    </row>
    <row r="2" ht="100.5" customHeight="1" spans="1:16">
      <c r="A2" s="4"/>
      <c r="B2" s="5"/>
      <c r="C2" s="5"/>
      <c r="D2" s="5"/>
      <c r="E2" s="5"/>
      <c r="F2" s="5"/>
      <c r="G2" s="5"/>
      <c r="H2" s="5"/>
      <c r="I2" s="42" t="s">
        <v>12417</v>
      </c>
      <c r="J2" s="42"/>
      <c r="K2" s="43">
        <f>BDI!$D$66</f>
        <v>0.2549</v>
      </c>
      <c r="L2" s="43">
        <f>BDI_DIF.!D67</f>
        <v>0.1612</v>
      </c>
      <c r="M2" s="44" t="str">
        <f>RESUMO!I16</f>
        <v>R21</v>
      </c>
      <c r="N2" s="5" t="s">
        <v>12418</v>
      </c>
      <c r="O2" s="5"/>
      <c r="P2" s="45"/>
    </row>
    <row r="3" ht="31.5" customHeight="1" spans="1:16">
      <c r="A3" s="4"/>
      <c r="B3" s="6" t="s">
        <v>12419</v>
      </c>
      <c r="C3" s="5"/>
      <c r="D3" s="5"/>
      <c r="E3" s="5"/>
      <c r="F3" s="5"/>
      <c r="G3" s="5"/>
      <c r="H3" s="5"/>
      <c r="I3" s="5"/>
      <c r="J3" s="5"/>
      <c r="K3" s="5"/>
      <c r="L3" s="5"/>
      <c r="M3" s="5"/>
      <c r="N3" s="5"/>
      <c r="O3" s="5"/>
      <c r="P3" s="45"/>
    </row>
    <row r="4" ht="18.75" customHeight="1" spans="1:16">
      <c r="A4" s="4"/>
      <c r="B4" s="5" t="s">
        <v>12420</v>
      </c>
      <c r="C4" s="5"/>
      <c r="D4" s="5"/>
      <c r="E4" s="5"/>
      <c r="F4" s="5"/>
      <c r="G4" s="5"/>
      <c r="H4" s="5"/>
      <c r="I4" s="5"/>
      <c r="J4" s="5"/>
      <c r="K4" s="5"/>
      <c r="L4" s="5"/>
      <c r="M4" s="5"/>
      <c r="N4" s="5"/>
      <c r="O4" s="5"/>
      <c r="P4" s="45"/>
    </row>
    <row r="5" ht="19.5" customHeight="1" spans="1:16">
      <c r="A5" s="4"/>
      <c r="B5" s="5"/>
      <c r="C5" s="5"/>
      <c r="D5" s="7"/>
      <c r="E5" s="7"/>
      <c r="F5" s="5"/>
      <c r="G5" s="5"/>
      <c r="H5" s="5"/>
      <c r="I5" s="46" t="s">
        <v>12421</v>
      </c>
      <c r="J5" s="5"/>
      <c r="K5" s="5"/>
      <c r="L5" s="5"/>
      <c r="M5" s="5"/>
      <c r="N5" s="5"/>
      <c r="O5" s="5"/>
      <c r="P5" s="45"/>
    </row>
    <row r="6" ht="23.25" customHeight="1" spans="1:16">
      <c r="A6" s="8" t="s">
        <v>62</v>
      </c>
      <c r="B6" s="9" t="s">
        <v>65</v>
      </c>
      <c r="C6" s="10" t="s">
        <v>12422</v>
      </c>
      <c r="D6" s="10" t="s">
        <v>12423</v>
      </c>
      <c r="E6" s="10" t="s">
        <v>12424</v>
      </c>
      <c r="F6" s="10" t="s">
        <v>12425</v>
      </c>
      <c r="G6" s="10" t="s">
        <v>12426</v>
      </c>
      <c r="H6" s="10" t="s">
        <v>12427</v>
      </c>
      <c r="I6" s="10" t="s">
        <v>12428</v>
      </c>
      <c r="J6" s="10" t="s">
        <v>12429</v>
      </c>
      <c r="K6" s="10" t="s">
        <v>12430</v>
      </c>
      <c r="L6" s="10" t="s">
        <v>12431</v>
      </c>
      <c r="M6" s="10" t="s">
        <v>12432</v>
      </c>
      <c r="N6" s="10" t="s">
        <v>12433</v>
      </c>
      <c r="O6" s="10" t="s">
        <v>12434</v>
      </c>
      <c r="P6" s="47" t="s">
        <v>12435</v>
      </c>
    </row>
    <row r="7" ht="18" customHeight="1" spans="1:18">
      <c r="A7" s="11">
        <v>1</v>
      </c>
      <c r="B7" s="12" t="str">
        <f>RESUMO!B18</f>
        <v>PROJETOS</v>
      </c>
      <c r="C7" s="13">
        <f>VLOOKUP(B7,RESUMO!$B$18:$I$38,8,FALSE())</f>
        <v>128905.04</v>
      </c>
      <c r="D7" s="14"/>
      <c r="E7" s="15"/>
      <c r="F7" s="15"/>
      <c r="G7" s="15"/>
      <c r="H7" s="15"/>
      <c r="I7" s="15"/>
      <c r="J7" s="15"/>
      <c r="K7" s="15"/>
      <c r="L7" s="15"/>
      <c r="M7" s="15"/>
      <c r="N7" s="15"/>
      <c r="O7" s="15"/>
      <c r="P7" s="48">
        <v>1</v>
      </c>
      <c r="R7" s="34">
        <f>SUM(E7:P7)</f>
        <v>1</v>
      </c>
    </row>
    <row r="8" ht="18" customHeight="1" spans="1:19">
      <c r="A8" s="11"/>
      <c r="B8" s="12"/>
      <c r="C8" s="12"/>
      <c r="D8" s="16"/>
      <c r="E8" s="17">
        <f>ROUNDDOWN($C7*E7,4)</f>
        <v>0</v>
      </c>
      <c r="F8" s="17">
        <f>ROUNDDOWN($C7*F7,4)</f>
        <v>0</v>
      </c>
      <c r="G8" s="17">
        <f>ROUNDDOWN($C7*G7,4)</f>
        <v>0</v>
      </c>
      <c r="H8" s="17">
        <f>ROUNDDOWN($C7*H7,4)</f>
        <v>0</v>
      </c>
      <c r="I8" s="17">
        <f>ROUNDDOWN($C7*I7,4)</f>
        <v>0</v>
      </c>
      <c r="J8" s="17">
        <f>ROUNDDOWN($C7*J7,4)</f>
        <v>0</v>
      </c>
      <c r="K8" s="17">
        <f>ROUNDDOWN($C7*K7,4)</f>
        <v>0</v>
      </c>
      <c r="L8" s="17">
        <f>ROUNDDOWN($C7*L7,4)</f>
        <v>0</v>
      </c>
      <c r="M8" s="17">
        <f>ROUNDDOWN($C7*M7,4)</f>
        <v>0</v>
      </c>
      <c r="N8" s="17">
        <f>ROUNDDOWN($C7*N7,4)</f>
        <v>0</v>
      </c>
      <c r="O8" s="17">
        <f>ROUNDDOWN($C7*O7,4)</f>
        <v>0</v>
      </c>
      <c r="P8" s="49">
        <f>ROUNDDOWN($C7*P7,4)</f>
        <v>128905.04</v>
      </c>
      <c r="R8" s="35">
        <f>ROUND(SUM(E8:P8),2)</f>
        <v>128905.04</v>
      </c>
      <c r="S8" s="58" t="str">
        <f>IF(R8=C7,"OK","DIF")</f>
        <v>OK</v>
      </c>
    </row>
    <row r="9" ht="18" customHeight="1" spans="1:18">
      <c r="A9" s="18">
        <v>2</v>
      </c>
      <c r="B9" s="19" t="str">
        <f>RESUMO!B19</f>
        <v>GERENCIAMENTO DE OBRAS / FISCALIZAÇÃO</v>
      </c>
      <c r="C9" s="20">
        <f>VLOOKUP(B9,RESUMO!$B$18:$I$38,8,FALSE())</f>
        <v>1806412.06</v>
      </c>
      <c r="D9" s="21">
        <f>SUM(D8,D12,D14,D16,D18,D20,D22,D24,D26,D28,D30,D32,D34,D36,D38,D40,D42,D44,D46,D48)/(SUM($C$7,$C$9,$C$11,$C$13,$C$15,$C$17,$C$19,$C$21,$C$23,$C$25,$C$27,$C$29,$C$31,$C$33,$C$35,$C$37,$C$39,$C$41,$C$43,$C$45,$C$47)-$C$9)</f>
        <v>0.00115957462576922</v>
      </c>
      <c r="E9" s="21">
        <f>SUM(E8,E12,E14,E16,E18,E20,E22,E24,E26,E28,E30,E32,E34,E36,E38,E40,E42,E44,E46,E48)/(SUM($C$7,$C$9,$C$11,$C$13,$C$15,$C$17,$C$19,$C$21,$C$23,$C$25,$C$27,$C$29,$C$31,$C$33,$C$35,$C$37,$C$39,$C$41,$C$43,$C$45,$C$47)-$C$9)</f>
        <v>0.0109994789046889</v>
      </c>
      <c r="F9" s="21">
        <f>SUM(F8,F12,F14,F16,F18,F20,F22,F24,F26,F28,F30,F32,F34,F36,F38,F40,F42,F44,F46,F48)/(SUM($C$7,$C$9,$C$11,$C$13,$C$15,$C$17,$C$19,$C$21,$C$23,$C$25,$C$27,$C$29,$C$31,$C$33,$C$35,$C$37,$C$39,$C$41,$C$43,$C$45,$C$47)-$C$9)</f>
        <v>0.0196812632934406</v>
      </c>
      <c r="G9" s="21">
        <f>SUM(G8,G12,G14,G16,G18,G20,G22,G24,G26,G28,G30,G32,G34,G36,G38,G40,G42,G44,G46,G48)/(SUM($C$7,$C$9,$C$11,$C$13,$C$15,$C$17,$C$19,$C$21,$C$23,$C$25,$C$27,$C$29,$C$31,$C$33,$C$35,$C$37,$C$39,$C$41,$C$43,$C$45,$C$47)-$C$9)</f>
        <v>0.0591645248995644</v>
      </c>
      <c r="H9" s="21">
        <f>SUM(H8,H12,H14,H16,H18,H20,H22,H24,H26,H28,H30,H32,H34,H36,H38,H40,H42,H44,H46,H48)/(SUM($C$7,$C$9,$C$11,$C$13,$C$15,$C$17,$C$19,$C$21,$C$23,$C$25,$C$27,$C$29,$C$31,$C$33,$C$35,$C$37,$C$39,$C$41,$C$43,$C$45,$C$47)-$C$9)</f>
        <v>0.0785275016765896</v>
      </c>
      <c r="I9" s="21">
        <f>SUM(I8,I12,I14,I16,I18,I20,I22,I24,I26,I28,I30,I32,I34,I36,I38,I40,I42,I44,I46,I48)/(SUM($C$7,$C$9,$C$11,$C$13,$C$15,$C$17,$C$19,$C$21,$C$23,$C$25,$C$27,$C$29,$C$31,$C$33,$C$35,$C$37,$C$39,$C$41,$C$43,$C$45,$C$47)-$C$9)</f>
        <v>0.0785275016765896</v>
      </c>
      <c r="J9" s="21">
        <f>SUM(J8,J12,J14,J16,J18,J20,J22,J24,J26,J28,J30,J32,J34,J36,J38,J40,J42,J44,J46,J48)/(SUM($C$7,$C$9,$C$11,$C$13,$C$15,$C$17,$C$19,$C$21,$C$23,$C$25,$C$27,$C$29,$C$31,$C$33,$C$35,$C$37,$C$39,$C$41,$C$43,$C$45,$C$47)-$C$9)</f>
        <v>0.0847899671719925</v>
      </c>
      <c r="K9" s="21">
        <f>SUM(K8,K12,K14,K16,K18,K20,K22,K24,K26,K28,K30,K32,K34,K36,K38,K40,K42,K44,K46,K48)/(SUM($C$7,$C$9,$C$11,$C$13,$C$15,$C$17,$C$19,$C$21,$C$23,$C$25,$C$27,$C$29,$C$31,$C$33,$C$35,$C$37,$C$39,$C$41,$C$43,$C$45,$C$47)-$C$9)</f>
        <v>0.110581921643379</v>
      </c>
      <c r="L9" s="21">
        <f>SUM(L8,L12,L14,L16,L18,L20,L22,L24,L26,L28,L30,L32,L34,L36,L38,L40,L42,L44,L46,L48)/(SUM($C$7,$C$9,$C$11,$C$13,$C$15,$C$17,$C$19,$C$21,$C$23,$C$25,$C$27,$C$29,$C$31,$C$33,$C$35,$C$37,$C$39,$C$41,$C$43,$C$45,$C$47)-$C$9)</f>
        <v>0.119778237752616</v>
      </c>
      <c r="M9" s="21">
        <f>SUM(M8,M12,M14,M16,M18,M20,M22,M24,M26,M28,M30,M32,M34,M36,M38,M40,M42,M44,M46,M48)/(SUM($C$7,$C$9,$C$11,$C$13,$C$15,$C$17,$C$19,$C$21,$C$23,$C$25,$C$27,$C$29,$C$31,$C$33,$C$35,$C$37,$C$39,$C$41,$C$43,$C$45,$C$47)-$C$9)</f>
        <v>0.120753613561259</v>
      </c>
      <c r="N9" s="21">
        <f>SUM(N8,N12,N14,N16,N18,N20,N22,N24,N26,N28,N30,N32,N34,N36,N38,N40,N42,N44,N46,N48)/(SUM($C$7,$C$9,$C$11,$C$13,$C$15,$C$17,$C$19,$C$21,$C$23,$C$25,$C$27,$C$29,$C$31,$C$33,$C$35,$C$37,$C$39,$C$41,$C$43,$C$45,$C$47)-$C$9)</f>
        <v>0.0895471781220279</v>
      </c>
      <c r="O9" s="21">
        <f>SUM(O8,O12,O14,O16,O18,O20,O22,O24,O26,O28,O30,O32,O34,O36,O38,O40,O42,O44,O46,O48)/(SUM($C$7,$C$9,$C$11,$C$13,$C$15,$C$17,$C$19,$C$21,$C$23,$C$25,$C$27,$C$29,$C$31,$C$33,$C$35,$C$37,$C$39,$C$41,$C$43,$C$45,$C$47)-$C$9)</f>
        <v>0.110416007541644</v>
      </c>
      <c r="P9" s="50">
        <f>SUM(P8,P12,P14,P16,P18,P20,P22,P24,P26,P28,P30,P32,P34,P36,P38,P40,P42,P44,P46,P48)/(SUM($C$7,$C$9,$C$11,$C$13,$C$15,$C$17,$C$19,$C$21,$C$23,$C$25,$C$27,$C$29,$C$31,$C$33,$C$35,$C$37,$C$39,$C$41,$C$43,$C$45,$C$47)-$C$9)</f>
        <v>0.116073229077775</v>
      </c>
      <c r="R9" s="34">
        <f>SUM(D9:P9)</f>
        <v>0.999999999947336</v>
      </c>
    </row>
    <row r="10" ht="18" customHeight="1" spans="1:19">
      <c r="A10" s="18"/>
      <c r="B10" s="19"/>
      <c r="C10" s="19"/>
      <c r="D10" s="17">
        <f>ROUNDDOWN($C9*D9,4)</f>
        <v>2094.6695</v>
      </c>
      <c r="E10" s="17">
        <f>ROUNDDOWN($C9*E9,4)</f>
        <v>19869.5913</v>
      </c>
      <c r="F10" s="17">
        <f>ROUNDDOWN($C9*F9,4)</f>
        <v>35552.4713</v>
      </c>
      <c r="G10" s="17">
        <f>ROUNDDOWN($C9*G9,4)</f>
        <v>106875.5113</v>
      </c>
      <c r="H10" s="17">
        <f>ROUNDDOWN($C9*H9,4)</f>
        <v>141853.026</v>
      </c>
      <c r="I10" s="17">
        <f>ROUNDDOWN($C9*I9,4)</f>
        <v>141853.026</v>
      </c>
      <c r="J10" s="17">
        <f>ROUNDDOWN($C9*J9,4)</f>
        <v>153165.6192</v>
      </c>
      <c r="K10" s="17">
        <f>ROUNDDOWN($C9*K9,4)</f>
        <v>199756.5168</v>
      </c>
      <c r="L10" s="17">
        <f>ROUNDDOWN($C9*L9,4)</f>
        <v>216368.8532</v>
      </c>
      <c r="M10" s="17">
        <f>ROUNDDOWN($C9*M9,4)</f>
        <v>218130.7838</v>
      </c>
      <c r="N10" s="17">
        <f>ROUNDDOWN($C9*N9,4)</f>
        <v>161759.1024</v>
      </c>
      <c r="O10" s="17">
        <f>ROUNDDOWN($C9*O9,4)</f>
        <v>199456.8076</v>
      </c>
      <c r="P10" s="49">
        <f>ROUNDDOWN($C9*P9,4)</f>
        <v>209676.0808</v>
      </c>
      <c r="R10" s="35">
        <f>ROUND(SUM(D10:P10),2)</f>
        <v>1806412.06</v>
      </c>
      <c r="S10" s="58" t="str">
        <f>IF(R10=C9,"OK","DIF")</f>
        <v>OK</v>
      </c>
    </row>
    <row r="11" ht="18" customHeight="1" spans="1:18">
      <c r="A11" s="18">
        <v>3</v>
      </c>
      <c r="B11" s="19" t="str">
        <f>RESUMO!B20</f>
        <v>SERVIÇOS PRELIMINARES</v>
      </c>
      <c r="C11" s="20">
        <f>VLOOKUP(B11,RESUMO!$B$18:$I$38,8,FALSE())</f>
        <v>424790.73</v>
      </c>
      <c r="D11" s="22">
        <f>TRUNC(26435.67/424790.73,4)</f>
        <v>0.0622</v>
      </c>
      <c r="E11" s="21">
        <f t="shared" ref="E11:J11" si="0">(100%-6.22%)/6</f>
        <v>0.1563</v>
      </c>
      <c r="F11" s="21">
        <f t="shared" si="0"/>
        <v>0.1563</v>
      </c>
      <c r="G11" s="21">
        <f t="shared" si="0"/>
        <v>0.1563</v>
      </c>
      <c r="H11" s="21">
        <f t="shared" si="0"/>
        <v>0.1563</v>
      </c>
      <c r="I11" s="21">
        <f t="shared" si="0"/>
        <v>0.1563</v>
      </c>
      <c r="J11" s="21">
        <f t="shared" si="0"/>
        <v>0.1563</v>
      </c>
      <c r="K11" s="51"/>
      <c r="L11" s="51"/>
      <c r="M11" s="51"/>
      <c r="N11" s="51"/>
      <c r="O11" s="52"/>
      <c r="P11" s="53"/>
      <c r="R11" s="34">
        <f>SUM(D11:P11)</f>
        <v>1</v>
      </c>
    </row>
    <row r="12" ht="18" customHeight="1" spans="1:19">
      <c r="A12" s="18"/>
      <c r="B12" s="19"/>
      <c r="C12" s="19"/>
      <c r="D12" s="17">
        <f>ROUNDDOWN($C11*D11,4)</f>
        <v>26421.9834</v>
      </c>
      <c r="E12" s="17">
        <f>ROUNDDOWN($C11*E11,4)</f>
        <v>66394.791</v>
      </c>
      <c r="F12" s="17">
        <f>ROUNDDOWN($C11*F11,4)</f>
        <v>66394.791</v>
      </c>
      <c r="G12" s="17">
        <f>ROUNDDOWN($C11*G11,4)</f>
        <v>66394.791</v>
      </c>
      <c r="H12" s="17">
        <f>ROUNDDOWN($C11*H11,4)</f>
        <v>66394.791</v>
      </c>
      <c r="I12" s="17">
        <f>ROUNDDOWN($C11*I11,4)</f>
        <v>66394.791</v>
      </c>
      <c r="J12" s="17">
        <f>ROUNDDOWN($C11*J11,4)</f>
        <v>66394.791</v>
      </c>
      <c r="K12" s="17">
        <f>ROUNDDOWN($C11*K11,4)</f>
        <v>0</v>
      </c>
      <c r="L12" s="17">
        <f>ROUNDDOWN($C11*L11,4)</f>
        <v>0</v>
      </c>
      <c r="M12" s="17">
        <f>ROUNDDOWN($C11*M11,4)</f>
        <v>0</v>
      </c>
      <c r="N12" s="17">
        <f>ROUNDDOWN($C11*N11,4)</f>
        <v>0</v>
      </c>
      <c r="O12" s="17">
        <f>ROUNDDOWN($C11*O11,4)</f>
        <v>0</v>
      </c>
      <c r="P12" s="49">
        <f>ROUNDDOWN($C11*P11,4)</f>
        <v>0</v>
      </c>
      <c r="R12" s="35">
        <f>ROUND(SUM(D12:P12),2)</f>
        <v>424790.73</v>
      </c>
      <c r="S12" s="58" t="str">
        <f>IF(R12=C11,"OK","DIF")</f>
        <v>OK</v>
      </c>
    </row>
    <row r="13" ht="18" customHeight="1" spans="1:18">
      <c r="A13" s="18">
        <v>4</v>
      </c>
      <c r="B13" s="19" t="str">
        <f>RESUMO!B21</f>
        <v>MOVIMENTO DE TERRA</v>
      </c>
      <c r="C13" s="20">
        <f>VLOOKUP(B13,RESUMO!$B$18:$I$38,8,FALSE())</f>
        <v>31617.87</v>
      </c>
      <c r="D13" s="22"/>
      <c r="E13" s="21">
        <f>100%/3</f>
        <v>0.333333333333333</v>
      </c>
      <c r="F13" s="21">
        <f>100%/3</f>
        <v>0.333333333333333</v>
      </c>
      <c r="G13" s="21">
        <f>100%/3</f>
        <v>0.333333333333333</v>
      </c>
      <c r="H13" s="21"/>
      <c r="I13" s="21"/>
      <c r="J13" s="21"/>
      <c r="K13" s="21"/>
      <c r="L13" s="21"/>
      <c r="M13" s="21"/>
      <c r="N13" s="21"/>
      <c r="O13" s="21"/>
      <c r="P13" s="50"/>
      <c r="R13" s="34">
        <f>SUM(E13:P13)</f>
        <v>1</v>
      </c>
    </row>
    <row r="14" ht="18" customHeight="1" spans="1:19">
      <c r="A14" s="18"/>
      <c r="B14" s="19"/>
      <c r="C14" s="19"/>
      <c r="D14" s="16"/>
      <c r="E14" s="17">
        <f>ROUNDDOWN($C13*E13,4)</f>
        <v>10539.29</v>
      </c>
      <c r="F14" s="17">
        <f>ROUNDDOWN($C13*F13,4)</f>
        <v>10539.29</v>
      </c>
      <c r="G14" s="17">
        <f>ROUNDDOWN($C13*G13,4)</f>
        <v>10539.29</v>
      </c>
      <c r="H14" s="17">
        <f>ROUNDDOWN($C13*H13,4)</f>
        <v>0</v>
      </c>
      <c r="I14" s="17">
        <f>ROUNDDOWN($C13*I13,4)</f>
        <v>0</v>
      </c>
      <c r="J14" s="17">
        <f>ROUNDDOWN($C13*J13,4)</f>
        <v>0</v>
      </c>
      <c r="K14" s="17">
        <f>ROUNDDOWN($C13*K13,4)</f>
        <v>0</v>
      </c>
      <c r="L14" s="17">
        <f>ROUNDDOWN($C13*L13,4)</f>
        <v>0</v>
      </c>
      <c r="M14" s="17">
        <f>ROUNDDOWN($C13*M13,4)</f>
        <v>0</v>
      </c>
      <c r="N14" s="17">
        <f>ROUNDDOWN($C13*N13,4)</f>
        <v>0</v>
      </c>
      <c r="O14" s="17">
        <f>ROUNDDOWN($C13*O13,4)</f>
        <v>0</v>
      </c>
      <c r="P14" s="49">
        <f>ROUNDDOWN($C13*P13,4)</f>
        <v>0</v>
      </c>
      <c r="R14" s="35">
        <f>ROUND(SUM(E14:P14),2)</f>
        <v>31617.87</v>
      </c>
      <c r="S14" s="58" t="str">
        <f>IF(R14=C13,"OK","DIF")</f>
        <v>OK</v>
      </c>
    </row>
    <row r="15" ht="18" customHeight="1" spans="1:18">
      <c r="A15" s="18">
        <v>5</v>
      </c>
      <c r="B15" s="19" t="str">
        <f>RESUMO!B22</f>
        <v>FUNDAÇÃO E INFRAESTRUTURA</v>
      </c>
      <c r="C15" s="20">
        <f>VLOOKUP(B15,RESUMO!$B$18:$I$38,8,FALSE())</f>
        <v>395645.02</v>
      </c>
      <c r="D15" s="22"/>
      <c r="E15" s="21"/>
      <c r="F15" s="21">
        <v>0.5</v>
      </c>
      <c r="G15" s="21">
        <v>0.5</v>
      </c>
      <c r="H15" s="21"/>
      <c r="I15" s="21"/>
      <c r="J15" s="21"/>
      <c r="K15" s="21"/>
      <c r="L15" s="21"/>
      <c r="M15" s="21"/>
      <c r="N15" s="21"/>
      <c r="O15" s="21"/>
      <c r="P15" s="50"/>
      <c r="R15" s="34">
        <f>SUM(E15:P15)</f>
        <v>1</v>
      </c>
    </row>
    <row r="16" ht="18" customHeight="1" spans="1:19">
      <c r="A16" s="18"/>
      <c r="B16" s="19"/>
      <c r="C16" s="19"/>
      <c r="D16" s="16"/>
      <c r="E16" s="17">
        <f>ROUNDDOWN($C15*E15,4)</f>
        <v>0</v>
      </c>
      <c r="F16" s="17">
        <f>ROUNDDOWN($C15*F15,4)</f>
        <v>197822.51</v>
      </c>
      <c r="G16" s="17">
        <f>ROUNDDOWN($C15*G15,4)</f>
        <v>197822.51</v>
      </c>
      <c r="H16" s="17">
        <f>ROUNDDOWN($C15*H15,4)</f>
        <v>0</v>
      </c>
      <c r="I16" s="17">
        <f>ROUNDDOWN($C15*I15,4)</f>
        <v>0</v>
      </c>
      <c r="J16" s="17">
        <f>ROUNDDOWN($C15*J15,4)</f>
        <v>0</v>
      </c>
      <c r="K16" s="17">
        <f>ROUNDDOWN($C15*K15,4)</f>
        <v>0</v>
      </c>
      <c r="L16" s="17">
        <f>ROUNDDOWN($C15*L15,4)</f>
        <v>0</v>
      </c>
      <c r="M16" s="17">
        <f>ROUNDDOWN($C15*M15,4)</f>
        <v>0</v>
      </c>
      <c r="N16" s="17">
        <f>ROUNDDOWN($C15*N15,4)</f>
        <v>0</v>
      </c>
      <c r="O16" s="17">
        <f>ROUNDDOWN($C15*O15,4)</f>
        <v>0</v>
      </c>
      <c r="P16" s="49">
        <f>ROUNDDOWN($C15*P15,4)</f>
        <v>0</v>
      </c>
      <c r="R16" s="35">
        <f>ROUND(SUM(E16:P16),2)</f>
        <v>395645.02</v>
      </c>
      <c r="S16" s="58" t="str">
        <f>IF(R16=C15,"OK","DIF")</f>
        <v>OK</v>
      </c>
    </row>
    <row r="17" ht="18" customHeight="1" spans="1:18">
      <c r="A17" s="18">
        <v>6</v>
      </c>
      <c r="B17" s="19" t="str">
        <f>RESUMO!B23</f>
        <v>SUPERESTRUTURA</v>
      </c>
      <c r="C17" s="20">
        <f>VLOOKUP(B17,RESUMO!$B$18:$I$38,8,FALSE())</f>
        <v>538800.04</v>
      </c>
      <c r="D17" s="22"/>
      <c r="E17" s="21"/>
      <c r="F17" s="21"/>
      <c r="G17" s="21"/>
      <c r="H17" s="21">
        <f>100%/3</f>
        <v>0.333333333333333</v>
      </c>
      <c r="I17" s="21">
        <f>100%/3</f>
        <v>0.333333333333333</v>
      </c>
      <c r="J17" s="21">
        <f>100%/3</f>
        <v>0.333333333333333</v>
      </c>
      <c r="K17" s="21"/>
      <c r="L17" s="21"/>
      <c r="M17" s="21"/>
      <c r="N17" s="21"/>
      <c r="O17" s="21"/>
      <c r="P17" s="50"/>
      <c r="R17" s="34">
        <f>SUM(E17:P17)</f>
        <v>1</v>
      </c>
    </row>
    <row r="18" ht="18" customHeight="1" spans="1:19">
      <c r="A18" s="18"/>
      <c r="B18" s="19"/>
      <c r="C18" s="19"/>
      <c r="D18" s="16"/>
      <c r="E18" s="17">
        <f>ROUNDDOWN($C17*E17,4)</f>
        <v>0</v>
      </c>
      <c r="F18" s="17">
        <f>ROUNDDOWN($C17*F17,4)</f>
        <v>0</v>
      </c>
      <c r="G18" s="17">
        <f>ROUNDDOWN($C17*G17,4)</f>
        <v>0</v>
      </c>
      <c r="H18" s="17">
        <f>ROUNDDOWN($C17*H17,4)</f>
        <v>179600.0133</v>
      </c>
      <c r="I18" s="17">
        <f>ROUNDDOWN($C17*I17,4)</f>
        <v>179600.0133</v>
      </c>
      <c r="J18" s="17">
        <f>ROUNDDOWN($C17*J17,4)</f>
        <v>179600.0133</v>
      </c>
      <c r="K18" s="17">
        <f>ROUNDDOWN($C17*K17,4)</f>
        <v>0</v>
      </c>
      <c r="L18" s="17">
        <f>ROUNDDOWN($C17*L17,4)</f>
        <v>0</v>
      </c>
      <c r="M18" s="17">
        <f>ROUNDDOWN($C17*M17,4)</f>
        <v>0</v>
      </c>
      <c r="N18" s="17">
        <f>ROUNDDOWN($C17*N17,4)</f>
        <v>0</v>
      </c>
      <c r="O18" s="17">
        <f>ROUNDDOWN($C17*O17,4)</f>
        <v>0</v>
      </c>
      <c r="P18" s="49">
        <f>ROUNDDOWN($C17*P17,4)</f>
        <v>0</v>
      </c>
      <c r="R18" s="35">
        <f>ROUND(SUM(E18:P18),2)</f>
        <v>538800.04</v>
      </c>
      <c r="S18" s="58" t="str">
        <f>IF(R18=C17,"OK","DIF")</f>
        <v>OK</v>
      </c>
    </row>
    <row r="19" ht="18" customHeight="1" spans="1:18">
      <c r="A19" s="18">
        <v>7</v>
      </c>
      <c r="B19" s="19" t="str">
        <f>RESUMO!B24</f>
        <v>ELEMENTOS DE FECHAMENTO</v>
      </c>
      <c r="C19" s="20">
        <f>VLOOKUP(B19,RESUMO!$B$18:$I$38,8,FALSE())</f>
        <v>89452.13</v>
      </c>
      <c r="D19" s="22"/>
      <c r="E19" s="21"/>
      <c r="F19" s="21"/>
      <c r="G19" s="21"/>
      <c r="H19" s="21">
        <f>100%/4</f>
        <v>0.25</v>
      </c>
      <c r="I19" s="21">
        <f>100%/4</f>
        <v>0.25</v>
      </c>
      <c r="J19" s="21">
        <f>100%/4</f>
        <v>0.25</v>
      </c>
      <c r="K19" s="21">
        <f>100%/4</f>
        <v>0.25</v>
      </c>
      <c r="L19" s="21"/>
      <c r="M19" s="21"/>
      <c r="N19" s="21"/>
      <c r="O19" s="21"/>
      <c r="P19" s="50"/>
      <c r="R19" s="34">
        <f>SUM(E19:P19)</f>
        <v>1</v>
      </c>
    </row>
    <row r="20" ht="18" customHeight="1" spans="1:19">
      <c r="A20" s="18"/>
      <c r="B20" s="19"/>
      <c r="C20" s="19"/>
      <c r="D20" s="16"/>
      <c r="E20" s="17">
        <f>ROUNDDOWN($C19*E19,4)</f>
        <v>0</v>
      </c>
      <c r="F20" s="17">
        <f>ROUNDDOWN($C19*F19,4)</f>
        <v>0</v>
      </c>
      <c r="G20" s="17">
        <f>ROUNDDOWN($C19*G19,4)</f>
        <v>0</v>
      </c>
      <c r="H20" s="17">
        <f>ROUNDDOWN($C19*H19,4)</f>
        <v>22363.0325</v>
      </c>
      <c r="I20" s="17">
        <f>ROUNDDOWN($C19*I19,4)</f>
        <v>22363.0325</v>
      </c>
      <c r="J20" s="17">
        <f>ROUNDDOWN($C19*J19,4)</f>
        <v>22363.0325</v>
      </c>
      <c r="K20" s="17">
        <f>ROUNDDOWN($C19*K19,4)</f>
        <v>22363.0325</v>
      </c>
      <c r="L20" s="17">
        <f>ROUNDDOWN($C19*L19,4)</f>
        <v>0</v>
      </c>
      <c r="M20" s="17">
        <f>ROUNDDOWN($C19*M19,4)</f>
        <v>0</v>
      </c>
      <c r="N20" s="17">
        <f>ROUNDDOWN($C19*N19,4)</f>
        <v>0</v>
      </c>
      <c r="O20" s="17">
        <f>ROUNDDOWN($C19*O19,4)</f>
        <v>0</v>
      </c>
      <c r="P20" s="49">
        <f>ROUNDDOWN($C19*P19,4)</f>
        <v>0</v>
      </c>
      <c r="R20" s="35">
        <f>ROUND(SUM(E20:P20),2)</f>
        <v>89452.13</v>
      </c>
      <c r="S20" s="58" t="str">
        <f>IF(R20=C19,"OK","DIF")</f>
        <v>OK</v>
      </c>
    </row>
    <row r="21" ht="18" customHeight="1" spans="1:18">
      <c r="A21" s="18">
        <v>8</v>
      </c>
      <c r="B21" s="19" t="str">
        <f>RESUMO!B25</f>
        <v>COBERTURAS</v>
      </c>
      <c r="C21" s="20">
        <f>VLOOKUP(B21,RESUMO!$B$18:$I$38,8,FALSE())</f>
        <v>79099.69</v>
      </c>
      <c r="D21" s="22"/>
      <c r="E21" s="21"/>
      <c r="F21" s="21"/>
      <c r="G21" s="21"/>
      <c r="H21" s="21"/>
      <c r="I21" s="21"/>
      <c r="J21" s="21">
        <v>0.5</v>
      </c>
      <c r="K21" s="21">
        <v>0.5</v>
      </c>
      <c r="L21" s="21"/>
      <c r="M21" s="21"/>
      <c r="N21" s="21"/>
      <c r="O21" s="21"/>
      <c r="P21" s="50"/>
      <c r="R21" s="34">
        <f>SUM(E21:P21)</f>
        <v>1</v>
      </c>
    </row>
    <row r="22" ht="18" customHeight="1" spans="1:19">
      <c r="A22" s="18"/>
      <c r="B22" s="19"/>
      <c r="C22" s="19"/>
      <c r="D22" s="16"/>
      <c r="E22" s="17">
        <f>ROUNDDOWN($C21*E21,4)</f>
        <v>0</v>
      </c>
      <c r="F22" s="17">
        <f>ROUNDDOWN($C21*F21,4)</f>
        <v>0</v>
      </c>
      <c r="G22" s="17">
        <f>ROUNDDOWN($C21*G21,4)</f>
        <v>0</v>
      </c>
      <c r="H22" s="17">
        <f>ROUNDDOWN($C21*H21,4)</f>
        <v>0</v>
      </c>
      <c r="I22" s="17">
        <f>ROUNDDOWN($C21*I21,4)</f>
        <v>0</v>
      </c>
      <c r="J22" s="17">
        <f>ROUNDDOWN($C21*J21,4)</f>
        <v>39549.845</v>
      </c>
      <c r="K22" s="17">
        <f>ROUNDDOWN($C21*K21,4)</f>
        <v>39549.845</v>
      </c>
      <c r="L22" s="17">
        <f>ROUNDDOWN($C21*L21,4)</f>
        <v>0</v>
      </c>
      <c r="M22" s="17">
        <f>ROUNDDOWN($C21*M21,4)</f>
        <v>0</v>
      </c>
      <c r="N22" s="17">
        <f>ROUNDDOWN($C21*N21,4)</f>
        <v>0</v>
      </c>
      <c r="O22" s="17">
        <f>ROUNDDOWN($C21*O21,4)</f>
        <v>0</v>
      </c>
      <c r="P22" s="49">
        <f>ROUNDDOWN($C21*P21,4)</f>
        <v>0</v>
      </c>
      <c r="R22" s="35">
        <f>ROUND(SUM(E22:P22),2)</f>
        <v>79099.69</v>
      </c>
      <c r="S22" s="58" t="str">
        <f>IF(R22=C21,"OK","DIF")</f>
        <v>OK</v>
      </c>
    </row>
    <row r="23" ht="18" customHeight="1" spans="1:18">
      <c r="A23" s="18">
        <v>9</v>
      </c>
      <c r="B23" s="19" t="str">
        <f>RESUMO!B26</f>
        <v>IMPERMEABILIZAÇÃO, ISOLAMENTO TÉRMICO E ACÚSTICO</v>
      </c>
      <c r="C23" s="20">
        <f>VLOOKUP(B23,RESUMO!$B$18:$I$38,8,FALSE())</f>
        <v>206292.48</v>
      </c>
      <c r="D23" s="22"/>
      <c r="E23" s="21"/>
      <c r="F23" s="21"/>
      <c r="G23" s="21"/>
      <c r="H23" s="21"/>
      <c r="I23" s="21"/>
      <c r="J23" s="21">
        <v>0.5</v>
      </c>
      <c r="K23" s="21">
        <v>0.5</v>
      </c>
      <c r="L23" s="21"/>
      <c r="M23" s="21"/>
      <c r="N23" s="21"/>
      <c r="O23" s="21"/>
      <c r="P23" s="50"/>
      <c r="R23" s="34">
        <f>SUM(E23:P23)</f>
        <v>1</v>
      </c>
    </row>
    <row r="24" ht="18" customHeight="1" spans="1:19">
      <c r="A24" s="18"/>
      <c r="B24" s="19"/>
      <c r="C24" s="19"/>
      <c r="D24" s="16"/>
      <c r="E24" s="17">
        <f>ROUNDDOWN($C23*E23,4)</f>
        <v>0</v>
      </c>
      <c r="F24" s="17">
        <f>ROUNDDOWN($C23*F23,4)</f>
        <v>0</v>
      </c>
      <c r="G24" s="17">
        <f>ROUNDDOWN($C23*G23,4)</f>
        <v>0</v>
      </c>
      <c r="H24" s="17">
        <f>ROUNDDOWN($C23*H23,4)</f>
        <v>0</v>
      </c>
      <c r="I24" s="17">
        <f>ROUNDDOWN($C23*I23,4)</f>
        <v>0</v>
      </c>
      <c r="J24" s="17">
        <f>ROUNDDOWN($C23*J23,4)</f>
        <v>103146.24</v>
      </c>
      <c r="K24" s="17">
        <f>ROUNDDOWN($C23*K23,4)</f>
        <v>103146.24</v>
      </c>
      <c r="L24" s="17">
        <f>ROUNDDOWN($C23*L23,4)</f>
        <v>0</v>
      </c>
      <c r="M24" s="17">
        <f>ROUNDDOWN($C23*M23,4)</f>
        <v>0</v>
      </c>
      <c r="N24" s="17">
        <f>ROUNDDOWN($C23*N23,4)</f>
        <v>0</v>
      </c>
      <c r="O24" s="17">
        <f>ROUNDDOWN($C23*O23,4)</f>
        <v>0</v>
      </c>
      <c r="P24" s="49">
        <f>ROUNDDOWN($C23*P23,4)</f>
        <v>0</v>
      </c>
      <c r="R24" s="35">
        <f>ROUND(SUM(E24:P24),2)</f>
        <v>206292.48</v>
      </c>
      <c r="S24" s="58" t="str">
        <f>IF(R24=C23,"OK","DIF")</f>
        <v>OK</v>
      </c>
    </row>
    <row r="25" ht="18" customHeight="1" spans="1:18">
      <c r="A25" s="18">
        <v>10</v>
      </c>
      <c r="B25" s="19" t="str">
        <f>RESUMO!B27</f>
        <v>ESQUADRIAS E VIDROS</v>
      </c>
      <c r="C25" s="20">
        <f>VLOOKUP(B25,RESUMO!$B$18:$I$38,8,FALSE())</f>
        <v>1919498.97</v>
      </c>
      <c r="D25" s="22"/>
      <c r="E25" s="21"/>
      <c r="F25" s="21"/>
      <c r="G25" s="21"/>
      <c r="H25" s="21"/>
      <c r="I25" s="21"/>
      <c r="J25" s="21"/>
      <c r="K25" s="21">
        <f>100%/3</f>
        <v>0.333333333333333</v>
      </c>
      <c r="L25" s="21">
        <f>100%/3</f>
        <v>0.333333333333333</v>
      </c>
      <c r="M25" s="21">
        <f>100%/3</f>
        <v>0.333333333333333</v>
      </c>
      <c r="N25" s="21"/>
      <c r="O25" s="21"/>
      <c r="P25" s="50"/>
      <c r="R25" s="34">
        <f>SUM(E25:P25)</f>
        <v>1</v>
      </c>
    </row>
    <row r="26" ht="18" customHeight="1" spans="1:19">
      <c r="A26" s="18"/>
      <c r="B26" s="19"/>
      <c r="C26" s="19"/>
      <c r="D26" s="16"/>
      <c r="E26" s="17">
        <f>ROUNDDOWN($C25*E25,4)</f>
        <v>0</v>
      </c>
      <c r="F26" s="17">
        <f>ROUNDDOWN($C25*F25,4)</f>
        <v>0</v>
      </c>
      <c r="G26" s="17">
        <f>ROUNDDOWN($C25*G25,4)</f>
        <v>0</v>
      </c>
      <c r="H26" s="17">
        <f>ROUNDDOWN($C25*H25,4)</f>
        <v>0</v>
      </c>
      <c r="I26" s="17">
        <f>ROUNDDOWN($C25*I25,4)</f>
        <v>0</v>
      </c>
      <c r="J26" s="17">
        <f>ROUNDDOWN($C25*J25,4)</f>
        <v>0</v>
      </c>
      <c r="K26" s="17">
        <f>ROUNDDOWN($C25*K25,4)</f>
        <v>639832.99</v>
      </c>
      <c r="L26" s="17">
        <f>ROUNDDOWN($C25*L25,4)</f>
        <v>639832.99</v>
      </c>
      <c r="M26" s="17">
        <f>ROUNDDOWN($C25*M25,4)</f>
        <v>639832.99</v>
      </c>
      <c r="N26" s="17">
        <f>ROUNDDOWN($C25*N25,4)</f>
        <v>0</v>
      </c>
      <c r="O26" s="17">
        <f>ROUNDDOWN($C25*O25,4)</f>
        <v>0</v>
      </c>
      <c r="P26" s="49">
        <f>ROUNDDOWN($C25*P25,4)</f>
        <v>0</v>
      </c>
      <c r="R26" s="35">
        <f>ROUND(SUM(E26:P26),2)</f>
        <v>1919498.97</v>
      </c>
      <c r="S26" s="58" t="str">
        <f>IF(R26=C25,"OK","DIF")</f>
        <v>OK</v>
      </c>
    </row>
    <row r="27" ht="18" customHeight="1" spans="1:18">
      <c r="A27" s="18">
        <v>11</v>
      </c>
      <c r="B27" s="19" t="str">
        <f>RESUMO!B28</f>
        <v>INSTALAÇÕES HIDRÁULICAS E SANITÁRIAS</v>
      </c>
      <c r="C27" s="20">
        <f>VLOOKUP(B27,RESUMO!$B$18:$I$38,8,FALSE())</f>
        <v>560198.88</v>
      </c>
      <c r="D27" s="22"/>
      <c r="E27" s="21"/>
      <c r="F27" s="21"/>
      <c r="G27" s="21"/>
      <c r="H27" s="21"/>
      <c r="I27" s="21"/>
      <c r="J27" s="21"/>
      <c r="K27" s="21"/>
      <c r="L27" s="21">
        <v>0.5</v>
      </c>
      <c r="M27" s="21">
        <v>0.5</v>
      </c>
      <c r="N27" s="21"/>
      <c r="O27" s="21"/>
      <c r="P27" s="50"/>
      <c r="R27" s="34">
        <f>SUM(E27:P27)</f>
        <v>1</v>
      </c>
    </row>
    <row r="28" ht="18" customHeight="1" spans="1:19">
      <c r="A28" s="18"/>
      <c r="B28" s="19"/>
      <c r="C28" s="19"/>
      <c r="D28" s="16"/>
      <c r="E28" s="17">
        <f>ROUNDDOWN($C27*E27,4)</f>
        <v>0</v>
      </c>
      <c r="F28" s="17">
        <f>ROUNDDOWN($C27*F27,4)</f>
        <v>0</v>
      </c>
      <c r="G28" s="17">
        <f>ROUNDDOWN($C27*G27,4)</f>
        <v>0</v>
      </c>
      <c r="H28" s="17">
        <f>ROUNDDOWN($C27*H27,4)</f>
        <v>0</v>
      </c>
      <c r="I28" s="17">
        <f>ROUNDDOWN($C27*I27,4)</f>
        <v>0</v>
      </c>
      <c r="J28" s="17">
        <f>ROUNDDOWN($C27*J27,4)</f>
        <v>0</v>
      </c>
      <c r="K28" s="17">
        <f>ROUNDDOWN($C27*K27,4)</f>
        <v>0</v>
      </c>
      <c r="L28" s="17">
        <f>ROUNDDOWN($C27*L27,4)</f>
        <v>280099.44</v>
      </c>
      <c r="M28" s="17">
        <f>ROUNDDOWN($C27*M27,4)</f>
        <v>280099.44</v>
      </c>
      <c r="N28" s="17">
        <f>ROUNDDOWN($C27*N27,4)</f>
        <v>0</v>
      </c>
      <c r="O28" s="17">
        <f>ROUNDDOWN($C27*O27,4)</f>
        <v>0</v>
      </c>
      <c r="P28" s="49">
        <f>ROUNDDOWN($C27*P27,4)</f>
        <v>0</v>
      </c>
      <c r="R28" s="35">
        <f>ROUND(SUM(E28:P28),2)</f>
        <v>560198.88</v>
      </c>
      <c r="S28" s="58" t="str">
        <f>IF(R28=C27,"OK","DIF")</f>
        <v>OK</v>
      </c>
    </row>
    <row r="29" ht="18" customHeight="1" spans="1:18">
      <c r="A29" s="18">
        <v>12</v>
      </c>
      <c r="B29" s="19" t="str">
        <f>RESUMO!B29</f>
        <v>INSTALAÇÕES ELÉTRICAS</v>
      </c>
      <c r="C29" s="20">
        <f>VLOOKUP(B29,RESUMO!$B$18:$I$38,8,FALSE())</f>
        <v>8154071.06</v>
      </c>
      <c r="D29" s="22"/>
      <c r="E29" s="21"/>
      <c r="F29" s="21"/>
      <c r="G29" s="21">
        <f t="shared" ref="G29:P29" si="1">100%/10</f>
        <v>0.1</v>
      </c>
      <c r="H29" s="21">
        <f t="shared" si="1"/>
        <v>0.1</v>
      </c>
      <c r="I29" s="21">
        <f t="shared" si="1"/>
        <v>0.1</v>
      </c>
      <c r="J29" s="21">
        <f t="shared" si="1"/>
        <v>0.1</v>
      </c>
      <c r="K29" s="21">
        <f t="shared" si="1"/>
        <v>0.1</v>
      </c>
      <c r="L29" s="21">
        <f t="shared" si="1"/>
        <v>0.1</v>
      </c>
      <c r="M29" s="21">
        <f t="shared" si="1"/>
        <v>0.1</v>
      </c>
      <c r="N29" s="21">
        <f t="shared" si="1"/>
        <v>0.1</v>
      </c>
      <c r="O29" s="21">
        <f t="shared" si="1"/>
        <v>0.1</v>
      </c>
      <c r="P29" s="50">
        <f t="shared" si="1"/>
        <v>0.1</v>
      </c>
      <c r="R29" s="34">
        <f>SUM(E29:P29)</f>
        <v>1</v>
      </c>
    </row>
    <row r="30" ht="18" customHeight="1" spans="1:19">
      <c r="A30" s="18"/>
      <c r="B30" s="19"/>
      <c r="C30" s="19"/>
      <c r="D30" s="16"/>
      <c r="E30" s="17">
        <f>ROUNDDOWN($C29*E29,4)</f>
        <v>0</v>
      </c>
      <c r="F30" s="17">
        <f>ROUNDDOWN($C29*F29,4)</f>
        <v>0</v>
      </c>
      <c r="G30" s="17">
        <f>ROUNDDOWN($C29*G29,4)</f>
        <v>815407.106</v>
      </c>
      <c r="H30" s="17">
        <f>ROUNDDOWN($C29*H29,4)</f>
        <v>815407.106</v>
      </c>
      <c r="I30" s="17">
        <f>ROUNDDOWN($C29*I29,4)</f>
        <v>815407.106</v>
      </c>
      <c r="J30" s="17">
        <f>ROUNDDOWN($C29*J29,4)</f>
        <v>815407.106</v>
      </c>
      <c r="K30" s="17">
        <f>ROUNDDOWN($C29*K29,4)</f>
        <v>815407.106</v>
      </c>
      <c r="L30" s="17">
        <f>ROUNDDOWN($C29*L29,4)</f>
        <v>815407.106</v>
      </c>
      <c r="M30" s="17">
        <f>ROUNDDOWN($C29*M29,4)</f>
        <v>815407.106</v>
      </c>
      <c r="N30" s="17">
        <f>ROUNDDOWN($C29*N29,4)</f>
        <v>815407.106</v>
      </c>
      <c r="O30" s="17">
        <f>ROUNDDOWN($C29*O29,4)</f>
        <v>815407.106</v>
      </c>
      <c r="P30" s="49">
        <f>ROUNDDOWN($C29*P29,4)</f>
        <v>815407.106</v>
      </c>
      <c r="R30" s="35">
        <f>ROUND(SUM(E30:P30),2)</f>
        <v>8154071.06</v>
      </c>
      <c r="S30" s="58" t="str">
        <f>IF(R30=C29,"OK","DIF")</f>
        <v>OK</v>
      </c>
    </row>
    <row r="31" ht="18" customHeight="1" spans="1:18">
      <c r="A31" s="18">
        <v>13</v>
      </c>
      <c r="B31" s="19" t="str">
        <f>RESUMO!B30</f>
        <v>INSTALAÇÕES LÓGICA / TELEFONIA /CFTV</v>
      </c>
      <c r="C31" s="20">
        <f>VLOOKUP(B31,RESUMO!$B$18:$I$38,8,FALSE())</f>
        <v>842556.32</v>
      </c>
      <c r="D31" s="22"/>
      <c r="E31" s="21"/>
      <c r="F31" s="21"/>
      <c r="G31" s="21">
        <f t="shared" ref="G31:P31" si="2">100%/10</f>
        <v>0.1</v>
      </c>
      <c r="H31" s="21">
        <f t="shared" si="2"/>
        <v>0.1</v>
      </c>
      <c r="I31" s="21">
        <f t="shared" si="2"/>
        <v>0.1</v>
      </c>
      <c r="J31" s="21">
        <f t="shared" si="2"/>
        <v>0.1</v>
      </c>
      <c r="K31" s="21">
        <f t="shared" si="2"/>
        <v>0.1</v>
      </c>
      <c r="L31" s="21">
        <f t="shared" si="2"/>
        <v>0.1</v>
      </c>
      <c r="M31" s="21">
        <f t="shared" si="2"/>
        <v>0.1</v>
      </c>
      <c r="N31" s="21">
        <f t="shared" si="2"/>
        <v>0.1</v>
      </c>
      <c r="O31" s="21">
        <f t="shared" si="2"/>
        <v>0.1</v>
      </c>
      <c r="P31" s="50">
        <f t="shared" si="2"/>
        <v>0.1</v>
      </c>
      <c r="R31" s="34">
        <f>SUM(E31:P31)</f>
        <v>1</v>
      </c>
    </row>
    <row r="32" ht="18" customHeight="1" spans="1:19">
      <c r="A32" s="18"/>
      <c r="B32" s="19"/>
      <c r="C32" s="19"/>
      <c r="D32" s="16"/>
      <c r="E32" s="17">
        <f>ROUNDDOWN($C31*E31,4)</f>
        <v>0</v>
      </c>
      <c r="F32" s="17">
        <f>ROUNDDOWN($C31*F31,4)</f>
        <v>0</v>
      </c>
      <c r="G32" s="17">
        <f>ROUNDDOWN($C31*G31,4)</f>
        <v>84255.632</v>
      </c>
      <c r="H32" s="17">
        <f>ROUNDDOWN($C31*H31,4)</f>
        <v>84255.632</v>
      </c>
      <c r="I32" s="17">
        <f>ROUNDDOWN($C31*I31,4)</f>
        <v>84255.632</v>
      </c>
      <c r="J32" s="17">
        <f>ROUNDDOWN($C31*J31,4)</f>
        <v>84255.632</v>
      </c>
      <c r="K32" s="17">
        <f>ROUNDDOWN($C31*K31,4)</f>
        <v>84255.632</v>
      </c>
      <c r="L32" s="17">
        <f>ROUNDDOWN($C31*L31,4)</f>
        <v>84255.632</v>
      </c>
      <c r="M32" s="17">
        <f>ROUNDDOWN($C31*M31,4)</f>
        <v>84255.632</v>
      </c>
      <c r="N32" s="17">
        <f>ROUNDDOWN($C31*N31,4)</f>
        <v>84255.632</v>
      </c>
      <c r="O32" s="17">
        <f>ROUNDDOWN($C31*O31,4)</f>
        <v>84255.632</v>
      </c>
      <c r="P32" s="49">
        <f>ROUNDDOWN($C31*P31,4)</f>
        <v>84255.632</v>
      </c>
      <c r="R32" s="35">
        <f>ROUND(SUM(E32:P32),2)</f>
        <v>842556.32</v>
      </c>
      <c r="S32" s="58" t="str">
        <f>IF(R32=C31,"OK","DIF")</f>
        <v>OK</v>
      </c>
    </row>
    <row r="33" ht="18" customHeight="1" spans="1:18">
      <c r="A33" s="18">
        <v>14</v>
      </c>
      <c r="B33" s="19" t="str">
        <f>RESUMO!B31</f>
        <v>INSTALAÇÃO DE INCÊNDIO</v>
      </c>
      <c r="C33" s="20">
        <f>VLOOKUP(B33,RESUMO!$B$18:$I$38,8,FALSE())</f>
        <v>1915118.98</v>
      </c>
      <c r="D33" s="22"/>
      <c r="E33" s="21">
        <f t="shared" ref="E33:P33" si="3">100%/12</f>
        <v>0.0833333333333333</v>
      </c>
      <c r="F33" s="21">
        <f t="shared" si="3"/>
        <v>0.0833333333333333</v>
      </c>
      <c r="G33" s="21">
        <f t="shared" si="3"/>
        <v>0.0833333333333333</v>
      </c>
      <c r="H33" s="21">
        <f t="shared" si="3"/>
        <v>0.0833333333333333</v>
      </c>
      <c r="I33" s="21">
        <f t="shared" si="3"/>
        <v>0.0833333333333333</v>
      </c>
      <c r="J33" s="21">
        <f t="shared" si="3"/>
        <v>0.0833333333333333</v>
      </c>
      <c r="K33" s="21">
        <f t="shared" si="3"/>
        <v>0.0833333333333333</v>
      </c>
      <c r="L33" s="21">
        <f t="shared" si="3"/>
        <v>0.0833333333333333</v>
      </c>
      <c r="M33" s="21">
        <f t="shared" si="3"/>
        <v>0.0833333333333333</v>
      </c>
      <c r="N33" s="21">
        <f t="shared" si="3"/>
        <v>0.0833333333333333</v>
      </c>
      <c r="O33" s="21">
        <f t="shared" si="3"/>
        <v>0.0833333333333333</v>
      </c>
      <c r="P33" s="50">
        <f t="shared" si="3"/>
        <v>0.0833333333333333</v>
      </c>
      <c r="R33" s="34">
        <f>SUM(E33:P33)</f>
        <v>1</v>
      </c>
    </row>
    <row r="34" ht="18" customHeight="1" spans="1:19">
      <c r="A34" s="18"/>
      <c r="B34" s="19"/>
      <c r="C34" s="19"/>
      <c r="D34" s="16"/>
      <c r="E34" s="17">
        <f>ROUNDDOWN($C33*E33,4)</f>
        <v>159593.2483</v>
      </c>
      <c r="F34" s="17">
        <f>ROUNDDOWN($C33*F33,4)</f>
        <v>159593.2483</v>
      </c>
      <c r="G34" s="17">
        <f>ROUNDDOWN($C33*G33,4)</f>
        <v>159593.2483</v>
      </c>
      <c r="H34" s="17">
        <f>ROUNDDOWN($C33*H33,4)</f>
        <v>159593.2483</v>
      </c>
      <c r="I34" s="17">
        <f>ROUNDDOWN($C33*I33,4)</f>
        <v>159593.2483</v>
      </c>
      <c r="J34" s="17">
        <f>ROUNDDOWN($C33*J33,4)</f>
        <v>159593.2483</v>
      </c>
      <c r="K34" s="17">
        <f>ROUNDDOWN($C33*K33,4)</f>
        <v>159593.2483</v>
      </c>
      <c r="L34" s="17">
        <f>ROUNDDOWN($C33*L33,4)</f>
        <v>159593.2483</v>
      </c>
      <c r="M34" s="17">
        <f>ROUNDDOWN($C33*M33,4)</f>
        <v>159593.2483</v>
      </c>
      <c r="N34" s="17">
        <f>ROUNDDOWN($C33*N33,4)</f>
        <v>159593.2483</v>
      </c>
      <c r="O34" s="17">
        <f>ROUNDDOWN($C33*O33,4)</f>
        <v>159593.2483</v>
      </c>
      <c r="P34" s="49">
        <f>ROUNDDOWN($C33*P33,4)</f>
        <v>159593.2483</v>
      </c>
      <c r="R34" s="35">
        <f>ROUND(SUM(E34:P34),2)</f>
        <v>1915118.98</v>
      </c>
      <c r="S34" s="58" t="str">
        <f>IF(R34=C33,"OK","DIF")</f>
        <v>OK</v>
      </c>
    </row>
    <row r="35" ht="18" customHeight="1" spans="1:18">
      <c r="A35" s="18">
        <v>15</v>
      </c>
      <c r="B35" s="19" t="str">
        <f>RESUMO!B32</f>
        <v>AR CONDICIONADO</v>
      </c>
      <c r="C35" s="20">
        <f>VLOOKUP(B35,RESUMO!$B$18:$I$38,8,FALSE())</f>
        <v>4028419.26</v>
      </c>
      <c r="D35" s="22"/>
      <c r="E35" s="21"/>
      <c r="F35" s="21"/>
      <c r="G35" s="21"/>
      <c r="H35" s="21">
        <f t="shared" ref="H35:P35" si="4">100%/9</f>
        <v>0.111111111111111</v>
      </c>
      <c r="I35" s="21">
        <f t="shared" si="4"/>
        <v>0.111111111111111</v>
      </c>
      <c r="J35" s="21">
        <f t="shared" si="4"/>
        <v>0.111111111111111</v>
      </c>
      <c r="K35" s="21">
        <f t="shared" si="4"/>
        <v>0.111111111111111</v>
      </c>
      <c r="L35" s="21">
        <f t="shared" si="4"/>
        <v>0.111111111111111</v>
      </c>
      <c r="M35" s="21">
        <f t="shared" si="4"/>
        <v>0.111111111111111</v>
      </c>
      <c r="N35" s="21">
        <f t="shared" si="4"/>
        <v>0.111111111111111</v>
      </c>
      <c r="O35" s="21">
        <f t="shared" si="4"/>
        <v>0.111111111111111</v>
      </c>
      <c r="P35" s="50">
        <f t="shared" si="4"/>
        <v>0.111111111111111</v>
      </c>
      <c r="R35" s="34">
        <f>SUM(E35:P35)</f>
        <v>1</v>
      </c>
    </row>
    <row r="36" ht="18" customHeight="1" spans="1:19">
      <c r="A36" s="18"/>
      <c r="B36" s="19"/>
      <c r="C36" s="19"/>
      <c r="D36" s="16"/>
      <c r="E36" s="17">
        <f>ROUNDDOWN($C35*E35,4)</f>
        <v>0</v>
      </c>
      <c r="F36" s="17">
        <f>ROUNDDOWN($C35*F35,4)</f>
        <v>0</v>
      </c>
      <c r="G36" s="17">
        <f>ROUNDDOWN($C35*G35,4)</f>
        <v>0</v>
      </c>
      <c r="H36" s="17">
        <f>ROUNDDOWN($C35*H35,4)</f>
        <v>447602.14</v>
      </c>
      <c r="I36" s="17">
        <f>ROUNDDOWN($C35*I35,4)</f>
        <v>447602.14</v>
      </c>
      <c r="J36" s="17">
        <f>ROUNDDOWN($C35*J35,4)</f>
        <v>447602.14</v>
      </c>
      <c r="K36" s="17">
        <f>ROUNDDOWN($C35*K35,4)</f>
        <v>447602.14</v>
      </c>
      <c r="L36" s="17">
        <f>ROUNDDOWN($C35*L35,4)</f>
        <v>447602.14</v>
      </c>
      <c r="M36" s="17">
        <f>ROUNDDOWN($C35*M35,4)</f>
        <v>447602.14</v>
      </c>
      <c r="N36" s="17">
        <f>ROUNDDOWN($C35*N35,4)</f>
        <v>447602.14</v>
      </c>
      <c r="O36" s="17">
        <f>ROUNDDOWN($C35*O35,4)</f>
        <v>447602.14</v>
      </c>
      <c r="P36" s="49">
        <f>ROUNDDOWN($C35*P35,4)</f>
        <v>447602.14</v>
      </c>
      <c r="R36" s="35">
        <f>ROUND(SUM(E36:P36),2)</f>
        <v>4028419.26</v>
      </c>
      <c r="S36" s="58" t="str">
        <f>IF(R36=C35,"OK","DIF")</f>
        <v>OK</v>
      </c>
    </row>
    <row r="37" ht="18" customHeight="1" spans="1:18">
      <c r="A37" s="18">
        <v>16</v>
      </c>
      <c r="B37" s="19" t="str">
        <f>RESUMO!B33</f>
        <v>REVESTIMENTO PAREDE</v>
      </c>
      <c r="C37" s="20">
        <f>VLOOKUP(B37,RESUMO!$B$18:$I$38,8,FALSE())</f>
        <v>88899.37</v>
      </c>
      <c r="D37" s="22"/>
      <c r="E37" s="21"/>
      <c r="F37" s="21"/>
      <c r="G37" s="21"/>
      <c r="H37" s="21"/>
      <c r="I37" s="21"/>
      <c r="J37" s="21"/>
      <c r="K37" s="21"/>
      <c r="L37" s="21"/>
      <c r="M37" s="21">
        <f>100%/4</f>
        <v>0.25</v>
      </c>
      <c r="N37" s="21">
        <f>100%/4</f>
        <v>0.25</v>
      </c>
      <c r="O37" s="21">
        <f>100%/4</f>
        <v>0.25</v>
      </c>
      <c r="P37" s="50">
        <f>100%/4</f>
        <v>0.25</v>
      </c>
      <c r="R37" s="34">
        <f>SUM(E37:P37)</f>
        <v>1</v>
      </c>
    </row>
    <row r="38" ht="18" customHeight="1" spans="1:19">
      <c r="A38" s="18"/>
      <c r="B38" s="19"/>
      <c r="C38" s="19"/>
      <c r="D38" s="16"/>
      <c r="E38" s="17">
        <f>ROUNDDOWN($C37*E37,4)</f>
        <v>0</v>
      </c>
      <c r="F38" s="17">
        <f>ROUNDDOWN($C37*F37,4)</f>
        <v>0</v>
      </c>
      <c r="G38" s="17">
        <f>ROUNDDOWN($C37*G37,4)</f>
        <v>0</v>
      </c>
      <c r="H38" s="17">
        <f>ROUNDDOWN($C37*H37,4)</f>
        <v>0</v>
      </c>
      <c r="I38" s="17">
        <f>ROUNDDOWN($C37*I37,4)</f>
        <v>0</v>
      </c>
      <c r="J38" s="17">
        <f>ROUNDDOWN($C37*J37,4)</f>
        <v>0</v>
      </c>
      <c r="K38" s="17">
        <f>ROUNDDOWN($C37*K37,4)</f>
        <v>0</v>
      </c>
      <c r="L38" s="17">
        <f>ROUNDDOWN($C37*L37,4)</f>
        <v>0</v>
      </c>
      <c r="M38" s="17">
        <f>ROUNDDOWN($C37*M37,4)</f>
        <v>22224.8425</v>
      </c>
      <c r="N38" s="17">
        <f>ROUNDDOWN($C37*N37,4)</f>
        <v>22224.8425</v>
      </c>
      <c r="O38" s="17">
        <f>ROUNDDOWN($C37*O37,4)</f>
        <v>22224.8425</v>
      </c>
      <c r="P38" s="49">
        <f>ROUNDDOWN($C37*P37,4)</f>
        <v>22224.8425</v>
      </c>
      <c r="R38" s="35">
        <f>ROUND(SUM(E38:P38),2)</f>
        <v>88899.37</v>
      </c>
      <c r="S38" s="58" t="str">
        <f>IF(R38=C37,"OK","DIF")</f>
        <v>OK</v>
      </c>
    </row>
    <row r="39" ht="18" customHeight="1" spans="1:18">
      <c r="A39" s="18">
        <v>17</v>
      </c>
      <c r="B39" s="19" t="str">
        <f>RESUMO!B34</f>
        <v>REVESTIMENTO PISO</v>
      </c>
      <c r="C39" s="20">
        <f>VLOOKUP(B39,RESUMO!$B$18:$I$38,8,FALSE())</f>
        <v>1163132.52</v>
      </c>
      <c r="D39" s="22"/>
      <c r="E39" s="21"/>
      <c r="F39" s="21"/>
      <c r="G39" s="21"/>
      <c r="H39" s="21"/>
      <c r="I39" s="21"/>
      <c r="J39" s="21"/>
      <c r="K39" s="21">
        <f t="shared" ref="K39:P39" si="5">100%/6</f>
        <v>0.166666666666667</v>
      </c>
      <c r="L39" s="21">
        <f t="shared" si="5"/>
        <v>0.166666666666667</v>
      </c>
      <c r="M39" s="21">
        <f t="shared" si="5"/>
        <v>0.166666666666667</v>
      </c>
      <c r="N39" s="21">
        <f t="shared" si="5"/>
        <v>0.166666666666667</v>
      </c>
      <c r="O39" s="21">
        <f t="shared" si="5"/>
        <v>0.166666666666667</v>
      </c>
      <c r="P39" s="50">
        <f t="shared" si="5"/>
        <v>0.166666666666667</v>
      </c>
      <c r="R39" s="34">
        <f>SUM(E39:P39)</f>
        <v>1</v>
      </c>
    </row>
    <row r="40" ht="18" customHeight="1" spans="1:19">
      <c r="A40" s="18"/>
      <c r="B40" s="19"/>
      <c r="C40" s="19"/>
      <c r="D40" s="16"/>
      <c r="E40" s="17">
        <f>ROUNDDOWN($C39*E39,4)</f>
        <v>0</v>
      </c>
      <c r="F40" s="17">
        <f>ROUNDDOWN($C39*F39,4)</f>
        <v>0</v>
      </c>
      <c r="G40" s="17">
        <f>ROUNDDOWN($C39*G39,4)</f>
        <v>0</v>
      </c>
      <c r="H40" s="17">
        <f>ROUNDDOWN($C39*H39,4)</f>
        <v>0</v>
      </c>
      <c r="I40" s="17">
        <f>ROUNDDOWN($C39*I39,4)</f>
        <v>0</v>
      </c>
      <c r="J40" s="17">
        <f>ROUNDDOWN($C39*J39,4)</f>
        <v>0</v>
      </c>
      <c r="K40" s="17">
        <f>ROUNDDOWN($C39*K39,4)</f>
        <v>193855.42</v>
      </c>
      <c r="L40" s="17">
        <f>ROUNDDOWN($C39*L39,4)</f>
        <v>193855.42</v>
      </c>
      <c r="M40" s="17">
        <f>ROUNDDOWN($C39*M39,4)</f>
        <v>193855.42</v>
      </c>
      <c r="N40" s="17">
        <f>ROUNDDOWN($C39*N39,4)</f>
        <v>193855.42</v>
      </c>
      <c r="O40" s="17">
        <f>ROUNDDOWN($C39*O39,4)</f>
        <v>193855.42</v>
      </c>
      <c r="P40" s="49">
        <f>ROUNDDOWN($C39*P39,4)</f>
        <v>193855.42</v>
      </c>
      <c r="R40" s="35">
        <f>ROUND(SUM(E40:P40),2)</f>
        <v>1163132.52</v>
      </c>
      <c r="S40" s="58" t="str">
        <f>IF(R40=C39,"OK","DIF")</f>
        <v>OK</v>
      </c>
    </row>
    <row r="41" ht="18" customHeight="1" spans="1:18">
      <c r="A41" s="18">
        <v>18</v>
      </c>
      <c r="B41" s="19" t="str">
        <f>RESUMO!B35</f>
        <v>PINTURA</v>
      </c>
      <c r="C41" s="20">
        <f>VLOOKUP(B41,RESUMO!$B$18:$I$38,8,FALSE())</f>
        <v>626594.56</v>
      </c>
      <c r="D41" s="22"/>
      <c r="E41" s="21"/>
      <c r="F41" s="21"/>
      <c r="G41" s="21"/>
      <c r="H41" s="21"/>
      <c r="I41" s="21"/>
      <c r="J41" s="21"/>
      <c r="K41" s="21"/>
      <c r="L41" s="21"/>
      <c r="M41" s="21"/>
      <c r="N41" s="21">
        <f>100%/3</f>
        <v>0.333333333333333</v>
      </c>
      <c r="O41" s="21">
        <f>100%/3</f>
        <v>0.333333333333333</v>
      </c>
      <c r="P41" s="50">
        <f>100%/3</f>
        <v>0.333333333333333</v>
      </c>
      <c r="R41" s="34">
        <f>SUM(E41:P41)</f>
        <v>1</v>
      </c>
    </row>
    <row r="42" ht="18" customHeight="1" spans="1:19">
      <c r="A42" s="18"/>
      <c r="B42" s="19"/>
      <c r="C42" s="19"/>
      <c r="D42" s="16"/>
      <c r="E42" s="17">
        <f>ROUNDDOWN($C41*E41,4)</f>
        <v>0</v>
      </c>
      <c r="F42" s="17">
        <f>ROUNDDOWN($C41*F41,4)</f>
        <v>0</v>
      </c>
      <c r="G42" s="17">
        <f>ROUNDDOWN($C41*G41,4)</f>
        <v>0</v>
      </c>
      <c r="H42" s="17">
        <f>ROUNDDOWN($C41*H41,4)</f>
        <v>0</v>
      </c>
      <c r="I42" s="17">
        <f>ROUNDDOWN($C41*I41,4)</f>
        <v>0</v>
      </c>
      <c r="J42" s="17">
        <f>ROUNDDOWN($C41*J41,4)</f>
        <v>0</v>
      </c>
      <c r="K42" s="17">
        <f>ROUNDDOWN($C41*K41,4)</f>
        <v>0</v>
      </c>
      <c r="L42" s="17">
        <f>ROUNDDOWN($C41*L41,4)</f>
        <v>0</v>
      </c>
      <c r="M42" s="17">
        <f>ROUNDDOWN($C41*M41,4)</f>
        <v>0</v>
      </c>
      <c r="N42" s="17">
        <f>ROUNDDOWN($C41*N41,4)</f>
        <v>208864.8533</v>
      </c>
      <c r="O42" s="17">
        <f>ROUNDDOWN($C41*O41,4)</f>
        <v>208864.8533</v>
      </c>
      <c r="P42" s="49">
        <f>ROUNDDOWN($C41*P41,4)</f>
        <v>208864.8533</v>
      </c>
      <c r="R42" s="35">
        <f>ROUND(SUM(E42:P42),2)</f>
        <v>626594.56</v>
      </c>
      <c r="S42" s="58" t="str">
        <f>IF(R42=C41,"OK","DIF")</f>
        <v>OK</v>
      </c>
    </row>
    <row r="43" ht="18" customHeight="1" spans="1:18">
      <c r="A43" s="18">
        <v>19</v>
      </c>
      <c r="B43" s="19" t="str">
        <f>RESUMO!B36</f>
        <v>EQUIPAMENTOS</v>
      </c>
      <c r="C43" s="20">
        <f>VLOOKUP(B43,RESUMO!$B$18:$I$38,8,FALSE())</f>
        <v>472531.35</v>
      </c>
      <c r="D43" s="22"/>
      <c r="E43" s="21"/>
      <c r="F43" s="21"/>
      <c r="G43" s="21"/>
      <c r="H43" s="21"/>
      <c r="I43" s="21"/>
      <c r="J43" s="21"/>
      <c r="K43" s="21"/>
      <c r="L43" s="21">
        <f>100%/5</f>
        <v>0.2</v>
      </c>
      <c r="M43" s="21">
        <f>100%/5</f>
        <v>0.2</v>
      </c>
      <c r="N43" s="21">
        <f>100%/5</f>
        <v>0.2</v>
      </c>
      <c r="O43" s="21">
        <f>100%/5</f>
        <v>0.2</v>
      </c>
      <c r="P43" s="50">
        <f>100%/5</f>
        <v>0.2</v>
      </c>
      <c r="R43" s="34">
        <f>SUM(E43:P43)</f>
        <v>1</v>
      </c>
    </row>
    <row r="44" ht="18" customHeight="1" spans="1:19">
      <c r="A44" s="18"/>
      <c r="B44" s="19"/>
      <c r="C44" s="19"/>
      <c r="D44" s="16"/>
      <c r="E44" s="17">
        <f>ROUNDDOWN($C43*E43,4)</f>
        <v>0</v>
      </c>
      <c r="F44" s="17">
        <f>ROUNDDOWN($C43*F43,4)</f>
        <v>0</v>
      </c>
      <c r="G44" s="17">
        <f>ROUNDDOWN($C43*G43,4)</f>
        <v>0</v>
      </c>
      <c r="H44" s="17">
        <f>ROUNDDOWN($C43*H43,4)</f>
        <v>0</v>
      </c>
      <c r="I44" s="17">
        <f>ROUNDDOWN($C43*I43,4)</f>
        <v>0</v>
      </c>
      <c r="J44" s="17">
        <f>ROUNDDOWN($C43*J43,4)</f>
        <v>0</v>
      </c>
      <c r="K44" s="17">
        <f>ROUNDDOWN($C43*K43,4)</f>
        <v>0</v>
      </c>
      <c r="L44" s="17">
        <f>ROUNDDOWN($C43*L43,4)</f>
        <v>94506.27</v>
      </c>
      <c r="M44" s="17">
        <f>ROUNDDOWN($C43*M43,4)</f>
        <v>94506.27</v>
      </c>
      <c r="N44" s="17">
        <f>ROUNDDOWN($C43*N43,4)</f>
        <v>94506.27</v>
      </c>
      <c r="O44" s="17">
        <f>ROUNDDOWN($C43*O43,4)</f>
        <v>94506.27</v>
      </c>
      <c r="P44" s="49">
        <f>ROUNDDOWN($C43*P43,4)</f>
        <v>94506.27</v>
      </c>
      <c r="R44" s="35">
        <f>ROUND(SUM(E44:P44),2)</f>
        <v>472531.35</v>
      </c>
      <c r="S44" s="58" t="str">
        <f>IF(R44=C43,"OK","DIF")</f>
        <v>OK</v>
      </c>
    </row>
    <row r="45" ht="18" customHeight="1" spans="1:18">
      <c r="A45" s="18">
        <v>20</v>
      </c>
      <c r="B45" s="19" t="str">
        <f>RESUMO!B37</f>
        <v>FORRO</v>
      </c>
      <c r="C45" s="20">
        <f>VLOOKUP(B45,RESUMO!$B$18:$I$38,8,FALSE())</f>
        <v>951031.27</v>
      </c>
      <c r="D45" s="22"/>
      <c r="E45" s="21"/>
      <c r="F45" s="21"/>
      <c r="G45" s="21"/>
      <c r="H45" s="21"/>
      <c r="I45" s="21"/>
      <c r="J45" s="21"/>
      <c r="K45" s="21"/>
      <c r="L45" s="21"/>
      <c r="M45" s="21"/>
      <c r="N45" s="21"/>
      <c r="O45" s="21">
        <v>0.5</v>
      </c>
      <c r="P45" s="50">
        <v>0.5</v>
      </c>
      <c r="R45" s="34">
        <f>SUM(E45:P45)</f>
        <v>1</v>
      </c>
    </row>
    <row r="46" ht="18" customHeight="1" spans="1:19">
      <c r="A46" s="18"/>
      <c r="B46" s="19"/>
      <c r="C46" s="19"/>
      <c r="D46" s="16"/>
      <c r="E46" s="17">
        <f>ROUNDDOWN($C45*E45,4)</f>
        <v>0</v>
      </c>
      <c r="F46" s="17">
        <f>ROUNDDOWN($C45*F45,4)</f>
        <v>0</v>
      </c>
      <c r="G46" s="17">
        <f>ROUNDDOWN($C45*G45,4)</f>
        <v>0</v>
      </c>
      <c r="H46" s="17">
        <f>ROUNDDOWN($C45*H45,4)</f>
        <v>0</v>
      </c>
      <c r="I46" s="17">
        <f>ROUNDDOWN($C45*I45,4)</f>
        <v>0</v>
      </c>
      <c r="J46" s="17">
        <f>ROUNDDOWN($C45*J45,4)</f>
        <v>0</v>
      </c>
      <c r="K46" s="17">
        <f>ROUNDDOWN($C45*K45,4)</f>
        <v>0</v>
      </c>
      <c r="L46" s="17">
        <f>ROUNDDOWN($C45*L45,4)</f>
        <v>0</v>
      </c>
      <c r="M46" s="17">
        <f>ROUNDDOWN($C45*M45,4)</f>
        <v>0</v>
      </c>
      <c r="N46" s="17">
        <f>ROUNDDOWN($C45*N45,4)</f>
        <v>0</v>
      </c>
      <c r="O46" s="17">
        <f>ROUNDDOWN($C45*O45,4)</f>
        <v>475515.635</v>
      </c>
      <c r="P46" s="49">
        <f>ROUNDDOWN($C45*P45,4)</f>
        <v>475515.635</v>
      </c>
      <c r="R46" s="35">
        <f>ROUND(SUM(E46:P46),2)</f>
        <v>951031.27</v>
      </c>
      <c r="S46" s="58" t="str">
        <f>IF(R46=C45,"OK","DIF")</f>
        <v>OK</v>
      </c>
    </row>
    <row r="47" ht="18" customHeight="1" spans="1:18">
      <c r="A47" s="18">
        <v>21</v>
      </c>
      <c r="B47" s="19" t="str">
        <f>RESUMO!B38</f>
        <v>SERVIÇOS COMPLEMENTARES</v>
      </c>
      <c r="C47" s="20">
        <f>VLOOKUP(B47,RESUMO!$B$18:$I$38,8,FALSE())</f>
        <v>169272</v>
      </c>
      <c r="D47" s="22"/>
      <c r="E47" s="21">
        <f t="shared" ref="E47:P47" si="6">100%/12</f>
        <v>0.0833333333333333</v>
      </c>
      <c r="F47" s="21">
        <f t="shared" si="6"/>
        <v>0.0833333333333333</v>
      </c>
      <c r="G47" s="21">
        <f t="shared" si="6"/>
        <v>0.0833333333333333</v>
      </c>
      <c r="H47" s="21">
        <f t="shared" si="6"/>
        <v>0.0833333333333333</v>
      </c>
      <c r="I47" s="21">
        <f t="shared" si="6"/>
        <v>0.0833333333333333</v>
      </c>
      <c r="J47" s="21">
        <f t="shared" si="6"/>
        <v>0.0833333333333333</v>
      </c>
      <c r="K47" s="21">
        <f t="shared" si="6"/>
        <v>0.0833333333333333</v>
      </c>
      <c r="L47" s="21">
        <f t="shared" si="6"/>
        <v>0.0833333333333333</v>
      </c>
      <c r="M47" s="21">
        <f t="shared" si="6"/>
        <v>0.0833333333333333</v>
      </c>
      <c r="N47" s="21">
        <f t="shared" si="6"/>
        <v>0.0833333333333333</v>
      </c>
      <c r="O47" s="21">
        <f t="shared" si="6"/>
        <v>0.0833333333333333</v>
      </c>
      <c r="P47" s="50">
        <f t="shared" si="6"/>
        <v>0.0833333333333333</v>
      </c>
      <c r="R47" s="34">
        <f>SUM(E47:P47)</f>
        <v>1</v>
      </c>
    </row>
    <row r="48" ht="18" customHeight="1" spans="1:19">
      <c r="A48" s="18"/>
      <c r="B48" s="19"/>
      <c r="C48" s="19"/>
      <c r="D48" s="16"/>
      <c r="E48" s="17">
        <f>ROUNDDOWN($C47*E47,4)</f>
        <v>14106</v>
      </c>
      <c r="F48" s="17">
        <f>ROUNDDOWN($C47*F47,4)</f>
        <v>14106</v>
      </c>
      <c r="G48" s="17">
        <f>ROUNDDOWN($C47*G47,4)</f>
        <v>14106</v>
      </c>
      <c r="H48" s="17">
        <f>ROUNDDOWN($C47*H47,4)</f>
        <v>14106</v>
      </c>
      <c r="I48" s="17">
        <f>ROUNDDOWN($C47*I47,4)</f>
        <v>14106</v>
      </c>
      <c r="J48" s="17">
        <f>ROUNDDOWN($C47*J47,4)</f>
        <v>14106</v>
      </c>
      <c r="K48" s="17">
        <f>ROUNDDOWN($C47*K47,4)</f>
        <v>14106</v>
      </c>
      <c r="L48" s="17">
        <f>ROUNDDOWN($C47*L47,4)</f>
        <v>14106</v>
      </c>
      <c r="M48" s="17">
        <f>ROUNDDOWN($C47*M47,4)</f>
        <v>14106</v>
      </c>
      <c r="N48" s="17">
        <f>ROUNDDOWN($C47*N47,4)</f>
        <v>14106</v>
      </c>
      <c r="O48" s="17">
        <f>ROUNDDOWN($C47*O47,4)</f>
        <v>14106</v>
      </c>
      <c r="P48" s="49">
        <f>ROUNDDOWN($C47*P47,4)</f>
        <v>14106</v>
      </c>
      <c r="R48" s="35">
        <f>ROUND(SUM(E48:P48),2)</f>
        <v>169272</v>
      </c>
      <c r="S48" s="58" t="str">
        <f>IF(R48=C47,"OK","DIF")</f>
        <v>OK</v>
      </c>
    </row>
    <row r="49" customHeight="1" spans="1:16">
      <c r="A49" s="23" t="s">
        <v>12436</v>
      </c>
      <c r="B49" s="23"/>
      <c r="C49" s="24">
        <f>SUM(C7:C48)</f>
        <v>24592339.6</v>
      </c>
      <c r="D49" s="25">
        <f t="shared" ref="D49:P49" si="7">D8+D10+D12+D14+D16+D18+D20+D22+D24+D26+D28+D30+D32+D34+D36+D38+D40+D42+D44+D46+D48</f>
        <v>28516.6529</v>
      </c>
      <c r="E49" s="25">
        <f t="shared" si="7"/>
        <v>270502.9206</v>
      </c>
      <c r="F49" s="25">
        <f t="shared" si="7"/>
        <v>484008.3106</v>
      </c>
      <c r="G49" s="25">
        <f t="shared" si="7"/>
        <v>1454994.0886</v>
      </c>
      <c r="H49" s="25">
        <f t="shared" si="7"/>
        <v>1931174.9891</v>
      </c>
      <c r="I49" s="25">
        <f t="shared" si="7"/>
        <v>1931174.9891</v>
      </c>
      <c r="J49" s="25">
        <f t="shared" si="7"/>
        <v>2085183.6673</v>
      </c>
      <c r="K49" s="25">
        <f t="shared" si="7"/>
        <v>2719468.1706</v>
      </c>
      <c r="L49" s="25">
        <f t="shared" si="7"/>
        <v>2945627.0995</v>
      </c>
      <c r="M49" s="25">
        <f t="shared" si="7"/>
        <v>2969613.8726</v>
      </c>
      <c r="N49" s="25">
        <f t="shared" si="7"/>
        <v>2202174.6145</v>
      </c>
      <c r="O49" s="25">
        <f t="shared" si="7"/>
        <v>2715387.9547</v>
      </c>
      <c r="P49" s="54">
        <f t="shared" si="7"/>
        <v>2854512.2679</v>
      </c>
    </row>
    <row r="50" customHeight="1" spans="1:17">
      <c r="A50" s="23" t="s">
        <v>12437</v>
      </c>
      <c r="B50" s="23"/>
      <c r="C50" s="26"/>
      <c r="D50" s="27">
        <f>D49/$C$49</f>
        <v>0.00115957462217218</v>
      </c>
      <c r="E50" s="27">
        <f>E49/$C$49</f>
        <v>0.0109994789027718</v>
      </c>
      <c r="F50" s="27">
        <f>F49/$C$49</f>
        <v>0.0196812632906224</v>
      </c>
      <c r="G50" s="27">
        <f>G49/$C$49</f>
        <v>0.0591645248994528</v>
      </c>
      <c r="H50" s="27">
        <f>H49/$C$49</f>
        <v>0.0785275016737326</v>
      </c>
      <c r="I50" s="27">
        <f>I49/$C$49</f>
        <v>0.0785275016737326</v>
      </c>
      <c r="J50" s="27">
        <f>J49/$C$49</f>
        <v>0.0847899671692888</v>
      </c>
      <c r="K50" s="27">
        <f>K49/$C$49</f>
        <v>0.110581921640347</v>
      </c>
      <c r="L50" s="27">
        <f>L49/$C$49</f>
        <v>0.11977823775254</v>
      </c>
      <c r="M50" s="27">
        <f>M49/$C$49</f>
        <v>0.120753613560216</v>
      </c>
      <c r="N50" s="27">
        <f>N49/$C$49</f>
        <v>0.0895471781180185</v>
      </c>
      <c r="O50" s="27">
        <f>O49/$C$49</f>
        <v>0.110416007540006</v>
      </c>
      <c r="P50" s="55">
        <f>P49/$C$49</f>
        <v>0.116073229075773</v>
      </c>
      <c r="Q50" s="34"/>
    </row>
    <row r="51" customHeight="1" spans="1:17">
      <c r="A51" s="23" t="s">
        <v>12438</v>
      </c>
      <c r="B51" s="23"/>
      <c r="C51" s="26"/>
      <c r="D51" s="25">
        <f>D49</f>
        <v>28516.6529</v>
      </c>
      <c r="E51" s="25">
        <f t="shared" ref="E51:P51" si="8">D51+E49</f>
        <v>299019.5735</v>
      </c>
      <c r="F51" s="25">
        <f t="shared" si="8"/>
        <v>783027.8841</v>
      </c>
      <c r="G51" s="25">
        <f t="shared" si="8"/>
        <v>2238021.9727</v>
      </c>
      <c r="H51" s="25">
        <f t="shared" si="8"/>
        <v>4169196.9618</v>
      </c>
      <c r="I51" s="25">
        <f t="shared" si="8"/>
        <v>6100371.9509</v>
      </c>
      <c r="J51" s="25">
        <f t="shared" si="8"/>
        <v>8185555.6182</v>
      </c>
      <c r="K51" s="25">
        <f t="shared" si="8"/>
        <v>10905023.7888</v>
      </c>
      <c r="L51" s="25">
        <f t="shared" si="8"/>
        <v>13850650.8883</v>
      </c>
      <c r="M51" s="25">
        <f t="shared" si="8"/>
        <v>16820264.7609</v>
      </c>
      <c r="N51" s="25">
        <f t="shared" si="8"/>
        <v>19022439.3754</v>
      </c>
      <c r="O51" s="25">
        <f t="shared" si="8"/>
        <v>21737827.3301</v>
      </c>
      <c r="P51" s="54">
        <f t="shared" si="8"/>
        <v>24592339.598</v>
      </c>
      <c r="Q51" s="35"/>
    </row>
    <row r="52" customHeight="1" spans="1:17">
      <c r="A52" s="28" t="s">
        <v>12439</v>
      </c>
      <c r="B52" s="28"/>
      <c r="C52" s="29"/>
      <c r="D52" s="30">
        <f>D50</f>
        <v>0.00115957462217218</v>
      </c>
      <c r="E52" s="30">
        <f t="shared" ref="E52:P52" si="9">D52+E50</f>
        <v>0.012159053524944</v>
      </c>
      <c r="F52" s="30">
        <f t="shared" si="9"/>
        <v>0.0318403168155664</v>
      </c>
      <c r="G52" s="30">
        <f t="shared" si="9"/>
        <v>0.0910048417150193</v>
      </c>
      <c r="H52" s="30">
        <f t="shared" si="9"/>
        <v>0.169532343388752</v>
      </c>
      <c r="I52" s="30">
        <f t="shared" si="9"/>
        <v>0.248059845062484</v>
      </c>
      <c r="J52" s="30">
        <f t="shared" si="9"/>
        <v>0.332849812231773</v>
      </c>
      <c r="K52" s="30">
        <f t="shared" si="9"/>
        <v>0.44343173387212</v>
      </c>
      <c r="L52" s="30">
        <f t="shared" si="9"/>
        <v>0.56320997162466</v>
      </c>
      <c r="M52" s="30">
        <f t="shared" si="9"/>
        <v>0.683963585184876</v>
      </c>
      <c r="N52" s="30">
        <f t="shared" si="9"/>
        <v>0.773510763302894</v>
      </c>
      <c r="O52" s="30">
        <f t="shared" si="9"/>
        <v>0.883926770842901</v>
      </c>
      <c r="P52" s="56">
        <f t="shared" si="9"/>
        <v>0.999999999918674</v>
      </c>
      <c r="Q52" s="43"/>
    </row>
    <row r="53" customHeight="1" spans="1:16">
      <c r="A53" s="31"/>
      <c r="B53" s="31"/>
      <c r="C53" s="31"/>
      <c r="D53" s="32"/>
      <c r="E53" s="32"/>
      <c r="F53" s="32"/>
      <c r="G53" s="32"/>
      <c r="H53" s="32"/>
      <c r="I53" s="32"/>
      <c r="J53" s="32"/>
      <c r="K53" s="32"/>
      <c r="L53" s="32"/>
      <c r="M53" s="32"/>
      <c r="N53" s="32"/>
      <c r="O53" s="32"/>
      <c r="P53" s="32"/>
    </row>
    <row r="54" customHeight="1" spans="4:16">
      <c r="D54" s="33"/>
      <c r="E54" s="33"/>
      <c r="F54" s="33"/>
      <c r="G54" s="33"/>
      <c r="H54" s="33"/>
      <c r="I54" s="57"/>
      <c r="J54" s="57"/>
      <c r="K54" s="57"/>
      <c r="L54" s="33"/>
      <c r="M54" s="57"/>
      <c r="N54" s="57"/>
      <c r="O54" s="57"/>
      <c r="P54" s="57"/>
    </row>
    <row r="55" customHeight="1" spans="4:16">
      <c r="D55" s="33"/>
      <c r="E55" s="33"/>
      <c r="F55" s="33"/>
      <c r="G55" s="33"/>
      <c r="H55" s="33"/>
      <c r="I55" s="33"/>
      <c r="J55" s="33"/>
      <c r="K55" s="33"/>
      <c r="L55" s="33"/>
      <c r="M55" s="33"/>
      <c r="N55" s="33"/>
      <c r="O55" s="33"/>
      <c r="P55" s="33"/>
    </row>
    <row r="56" customHeight="1" spans="4:16">
      <c r="D56" s="34"/>
      <c r="E56" s="34"/>
      <c r="F56" s="34"/>
      <c r="G56" s="34"/>
      <c r="H56" s="34"/>
      <c r="I56" s="34"/>
      <c r="J56" s="34"/>
      <c r="K56" s="34"/>
      <c r="L56" s="34"/>
      <c r="M56" s="34"/>
      <c r="N56" s="34"/>
      <c r="O56" s="34"/>
      <c r="P56" s="34"/>
    </row>
    <row r="57" customHeight="1" spans="4:16">
      <c r="D57" s="34"/>
      <c r="E57" s="34"/>
      <c r="F57" s="34"/>
      <c r="G57" s="34"/>
      <c r="H57" s="34"/>
      <c r="I57" s="34"/>
      <c r="J57" s="34"/>
      <c r="K57" s="34"/>
      <c r="L57" s="34"/>
      <c r="M57" s="34"/>
      <c r="N57" s="34"/>
      <c r="O57" s="34"/>
      <c r="P57" s="34"/>
    </row>
    <row r="58" customHeight="1" spans="4:16">
      <c r="D58" s="35"/>
      <c r="E58" s="35"/>
      <c r="F58" s="35"/>
      <c r="G58" s="35"/>
      <c r="H58" s="35"/>
      <c r="I58" s="35"/>
      <c r="J58" s="35"/>
      <c r="K58" s="35"/>
      <c r="L58" s="35"/>
      <c r="M58" s="35"/>
      <c r="N58" s="35"/>
      <c r="O58" s="35"/>
      <c r="P58" s="35"/>
    </row>
    <row r="59" customHeight="1"/>
    <row r="60" customHeight="1"/>
    <row r="61" customHeight="1"/>
    <row r="62" customHeight="1" spans="4:5">
      <c r="D62" s="36"/>
      <c r="E62" s="36"/>
    </row>
    <row r="63" customHeight="1" spans="4:5">
      <c r="D63" s="34"/>
      <c r="E63" s="34"/>
    </row>
    <row r="64" customHeight="1"/>
    <row r="65" customHeight="1"/>
    <row r="66" customHeight="1"/>
    <row r="67" customHeight="1"/>
    <row r="68" customHeight="1"/>
    <row r="69" customHeight="1"/>
    <row r="70" customHeight="1"/>
    <row r="71" customHeight="1"/>
    <row r="72" customHeight="1"/>
    <row r="73" customHeight="1"/>
    <row r="74" customHeight="1"/>
    <row r="75" customHeight="1"/>
    <row r="76" customHeight="1"/>
    <row r="77" customHeight="1"/>
    <row r="78" customHeight="1"/>
    <row r="79" customHeight="1"/>
    <row r="80" customHeight="1"/>
    <row r="81" customHeight="1"/>
    <row r="82" customHeight="1"/>
    <row r="83" customHeight="1"/>
    <row r="84" customHeight="1"/>
    <row r="85" customHeight="1"/>
    <row r="86" customHeight="1"/>
    <row r="87" customHeight="1"/>
    <row r="88" customHeight="1"/>
    <row r="89" customHeight="1"/>
    <row r="90" customHeight="1"/>
    <row r="91" customHeight="1"/>
    <row r="92" customHeight="1"/>
    <row r="93" customHeight="1"/>
    <row r="94" customHeight="1"/>
    <row r="95" customHeight="1"/>
    <row r="96" customHeight="1"/>
    <row r="97" customHeight="1"/>
    <row r="98" customHeight="1"/>
    <row r="99" customHeight="1"/>
    <row r="100" customHeight="1"/>
    <row r="101" customHeight="1"/>
    <row r="102" customHeight="1"/>
    <row r="103" customHeight="1"/>
    <row r="104" customHeight="1"/>
    <row r="105" customHeight="1"/>
    <row r="106" customHeight="1"/>
    <row r="107" customHeight="1"/>
    <row r="108" customHeight="1"/>
    <row r="109" customHeight="1"/>
    <row r="110" customHeight="1"/>
    <row r="111" customHeight="1"/>
    <row r="112" customHeight="1"/>
    <row r="113" customHeight="1"/>
    <row r="114" customHeight="1"/>
    <row r="115" customHeight="1"/>
    <row r="116" customHeight="1"/>
    <row r="117" customHeight="1"/>
    <row r="118" customHeight="1"/>
    <row r="119" customHeight="1"/>
    <row r="120" customHeight="1"/>
    <row r="121" customHeight="1"/>
    <row r="122" customHeight="1"/>
    <row r="123" customHeight="1"/>
    <row r="124" customHeight="1"/>
    <row r="125" customHeight="1"/>
    <row r="126" customHeight="1"/>
    <row r="127" customHeight="1"/>
    <row r="128" customHeight="1"/>
    <row r="129" customHeight="1"/>
    <row r="130" customHeight="1"/>
    <row r="131" customHeight="1"/>
    <row r="132" customHeight="1"/>
    <row r="133" customHeight="1"/>
    <row r="134" customHeight="1"/>
    <row r="135" customHeight="1"/>
    <row r="136" customHeight="1"/>
    <row r="137" customHeight="1"/>
    <row r="138" customHeight="1"/>
    <row r="139" customHeight="1"/>
    <row r="140" customHeight="1"/>
    <row r="141" customHeight="1"/>
    <row r="142" customHeight="1"/>
    <row r="143" customHeight="1"/>
    <row r="144" customHeight="1"/>
    <row r="145" customHeight="1"/>
    <row r="146" customHeight="1"/>
    <row r="147" customHeight="1"/>
    <row r="148" customHeight="1"/>
    <row r="149" customHeight="1"/>
    <row r="150" customHeight="1"/>
    <row r="151" customHeight="1"/>
    <row r="152" customHeight="1"/>
    <row r="153" customHeight="1"/>
    <row r="154" customHeight="1"/>
    <row r="155" customHeight="1"/>
    <row r="156" customHeight="1"/>
    <row r="157" customHeight="1"/>
    <row r="158" customHeight="1"/>
    <row r="159" customHeight="1"/>
    <row r="160" customHeight="1"/>
    <row r="161" customHeight="1"/>
    <row r="162" customHeight="1"/>
    <row r="163" customHeight="1"/>
    <row r="164" customHeight="1"/>
    <row r="165" customHeight="1"/>
    <row r="166" customHeight="1"/>
    <row r="167" customHeight="1"/>
    <row r="168" customHeight="1"/>
    <row r="169" customHeight="1"/>
    <row r="170" customHeight="1"/>
    <row r="171" customHeight="1"/>
    <row r="172" customHeight="1"/>
    <row r="173" customHeight="1"/>
    <row r="174" customHeight="1"/>
    <row r="175" customHeight="1"/>
    <row r="176" customHeight="1"/>
    <row r="177" customHeight="1"/>
    <row r="178" customHeight="1"/>
    <row r="179" customHeight="1"/>
    <row r="180" customHeight="1"/>
    <row r="181" customHeight="1"/>
    <row r="182" customHeight="1"/>
    <row r="183" customHeight="1"/>
    <row r="184" customHeight="1"/>
    <row r="185" customHeight="1"/>
    <row r="186" customHeight="1"/>
    <row r="187" customHeight="1"/>
    <row r="188" customHeight="1"/>
    <row r="189" customHeight="1"/>
    <row r="190" customHeight="1"/>
    <row r="191" customHeight="1"/>
    <row r="192" customHeight="1"/>
    <row r="193" customHeight="1"/>
    <row r="194" customHeight="1"/>
    <row r="195" customHeight="1"/>
    <row r="196" customHeight="1"/>
    <row r="197" customHeight="1"/>
    <row r="198" customHeight="1"/>
    <row r="199" customHeight="1"/>
    <row r="200" customHeight="1"/>
    <row r="201" customHeight="1"/>
    <row r="202" customHeight="1"/>
    <row r="203" customHeight="1"/>
    <row r="204" customHeight="1"/>
    <row r="205" customHeight="1"/>
    <row r="206" customHeight="1"/>
    <row r="207" customHeight="1"/>
    <row r="208" customHeight="1"/>
    <row r="209" customHeight="1"/>
    <row r="210" customHeight="1"/>
    <row r="211" customHeight="1"/>
    <row r="212" customHeight="1"/>
    <row r="213" customHeight="1"/>
    <row r="214" customHeight="1"/>
    <row r="215" customHeight="1"/>
    <row r="216" customHeight="1"/>
    <row r="217" customHeight="1"/>
    <row r="218" customHeight="1"/>
    <row r="219" customHeight="1"/>
    <row r="220" customHeight="1"/>
    <row r="221" customHeight="1"/>
    <row r="222" customHeight="1"/>
    <row r="223" customHeight="1"/>
    <row r="224" customHeight="1"/>
    <row r="225" customHeight="1"/>
    <row r="226" customHeight="1"/>
    <row r="227" customHeight="1"/>
    <row r="228" customHeight="1"/>
    <row r="229" customHeight="1"/>
    <row r="230" customHeight="1"/>
    <row r="231" customHeight="1"/>
    <row r="232" customHeight="1"/>
    <row r="233" customHeight="1"/>
    <row r="234" customHeight="1"/>
    <row r="235" customHeight="1"/>
    <row r="236" customHeight="1"/>
    <row r="237" customHeight="1"/>
    <row r="238" customHeight="1"/>
    <row r="239" customHeight="1"/>
    <row r="240" customHeight="1"/>
    <row r="241" customHeight="1"/>
    <row r="242" customHeight="1"/>
    <row r="243" customHeight="1"/>
    <row r="244" customHeight="1"/>
    <row r="245" customHeight="1"/>
    <row r="246" customHeight="1"/>
    <row r="247" customHeight="1"/>
    <row r="248" customHeight="1"/>
    <row r="249" customHeight="1"/>
    <row r="250" customHeight="1"/>
    <row r="251" customHeight="1"/>
    <row r="252" customHeight="1"/>
    <row r="253" customHeight="1"/>
    <row r="254" customHeight="1"/>
    <row r="255" customHeight="1"/>
    <row r="256" customHeight="1"/>
    <row r="257" customHeight="1"/>
    <row r="258" customHeight="1"/>
    <row r="259" customHeight="1"/>
    <row r="260" customHeight="1"/>
    <row r="261" customHeight="1"/>
    <row r="262" customHeight="1"/>
    <row r="263" customHeight="1"/>
    <row r="264" customHeight="1"/>
    <row r="265" customHeight="1"/>
    <row r="266" customHeight="1"/>
    <row r="267" customHeight="1"/>
    <row r="268" customHeight="1"/>
    <row r="269" customHeight="1"/>
    <row r="270" customHeight="1"/>
    <row r="271" customHeight="1"/>
    <row r="272" customHeight="1"/>
    <row r="273" customHeight="1"/>
    <row r="274" customHeight="1"/>
    <row r="275" customHeight="1"/>
    <row r="276" customHeight="1"/>
    <row r="277" customHeight="1"/>
    <row r="278" customHeight="1"/>
    <row r="279" customHeight="1"/>
    <row r="280" customHeight="1"/>
    <row r="281" customHeight="1"/>
    <row r="282" customHeight="1"/>
    <row r="283" customHeight="1"/>
    <row r="284" customHeight="1"/>
    <row r="285" customHeight="1"/>
    <row r="286" customHeight="1"/>
    <row r="287" customHeight="1"/>
    <row r="288" customHeight="1"/>
    <row r="289" customHeight="1"/>
    <row r="290" customHeight="1"/>
    <row r="291" customHeight="1"/>
    <row r="292" customHeight="1"/>
    <row r="293" customHeight="1"/>
    <row r="294" customHeight="1"/>
    <row r="295" customHeight="1"/>
    <row r="296" customHeight="1"/>
    <row r="297" customHeight="1"/>
    <row r="298" customHeight="1"/>
    <row r="299" customHeight="1"/>
    <row r="300" customHeight="1"/>
    <row r="301" customHeight="1"/>
    <row r="302" customHeight="1"/>
    <row r="303" customHeight="1"/>
    <row r="304" customHeight="1"/>
    <row r="305" customHeight="1"/>
    <row r="306" customHeight="1"/>
    <row r="307" customHeight="1"/>
    <row r="308" customHeight="1"/>
    <row r="309" customHeight="1"/>
    <row r="310" customHeight="1"/>
    <row r="311" customHeight="1"/>
    <row r="312" customHeight="1"/>
    <row r="313" customHeight="1"/>
    <row r="314" customHeight="1"/>
    <row r="315" customHeight="1"/>
    <row r="316" customHeight="1"/>
    <row r="317" customHeight="1"/>
    <row r="318" customHeight="1"/>
    <row r="319" customHeight="1"/>
    <row r="320" customHeight="1"/>
    <row r="321" customHeight="1"/>
    <row r="322" customHeight="1"/>
    <row r="323" customHeight="1"/>
    <row r="324" customHeight="1"/>
    <row r="325" customHeight="1"/>
    <row r="326" customHeight="1"/>
    <row r="327" customHeight="1"/>
    <row r="328" customHeight="1"/>
    <row r="329" customHeight="1"/>
    <row r="330" customHeight="1"/>
    <row r="331" customHeight="1"/>
    <row r="332" customHeight="1"/>
    <row r="333" customHeight="1"/>
    <row r="334" customHeight="1"/>
    <row r="335" customHeight="1"/>
    <row r="336" customHeight="1"/>
    <row r="337" customHeight="1"/>
    <row r="338" customHeight="1"/>
    <row r="339" customHeight="1"/>
    <row r="340" customHeight="1"/>
    <row r="341" customHeight="1"/>
    <row r="342" customHeight="1"/>
    <row r="343" customHeight="1"/>
    <row r="344" customHeight="1"/>
    <row r="345" customHeight="1"/>
    <row r="346" customHeight="1"/>
    <row r="347" customHeight="1"/>
    <row r="348" customHeight="1"/>
    <row r="349" customHeight="1"/>
    <row r="350" customHeight="1"/>
    <row r="351" customHeight="1"/>
    <row r="352" customHeight="1"/>
    <row r="353" customHeight="1"/>
    <row r="354" customHeight="1"/>
    <row r="355" customHeight="1"/>
    <row r="356" customHeight="1"/>
    <row r="357" customHeight="1"/>
    <row r="358" customHeight="1"/>
    <row r="359" customHeight="1"/>
    <row r="360" customHeight="1"/>
    <row r="361" customHeight="1"/>
    <row r="362" customHeight="1"/>
    <row r="363" customHeight="1"/>
    <row r="364" customHeight="1"/>
    <row r="365" customHeight="1"/>
    <row r="366" customHeight="1"/>
    <row r="367" customHeight="1"/>
    <row r="368" customHeight="1"/>
    <row r="369" customHeight="1"/>
    <row r="370" customHeight="1"/>
    <row r="371" customHeight="1"/>
    <row r="372" customHeight="1"/>
    <row r="373" customHeight="1"/>
    <row r="374" customHeight="1"/>
    <row r="375" customHeight="1"/>
    <row r="376" customHeight="1"/>
    <row r="377" customHeight="1"/>
    <row r="378" customHeight="1"/>
    <row r="379" customHeight="1"/>
    <row r="380" customHeight="1"/>
    <row r="381" customHeight="1"/>
    <row r="382" customHeight="1"/>
    <row r="383" customHeight="1"/>
    <row r="384" customHeight="1"/>
    <row r="385" customHeight="1"/>
    <row r="386" customHeight="1"/>
    <row r="387" customHeight="1"/>
    <row r="388" customHeight="1"/>
    <row r="389" customHeight="1"/>
    <row r="390" customHeight="1"/>
    <row r="391" customHeight="1"/>
    <row r="392" customHeight="1"/>
    <row r="393" customHeight="1"/>
    <row r="394" customHeight="1"/>
    <row r="395" customHeight="1"/>
    <row r="396" customHeight="1"/>
    <row r="397" customHeight="1"/>
    <row r="398" customHeight="1"/>
    <row r="399" customHeight="1"/>
    <row r="400" customHeight="1"/>
    <row r="401" customHeight="1"/>
    <row r="402" customHeight="1"/>
    <row r="403" customHeight="1"/>
    <row r="404" customHeight="1"/>
    <row r="405" customHeight="1"/>
    <row r="406" customHeight="1"/>
    <row r="407" customHeight="1"/>
    <row r="408" customHeight="1"/>
    <row r="409" customHeight="1"/>
    <row r="410" customHeight="1"/>
    <row r="411" customHeight="1"/>
    <row r="412" customHeight="1"/>
    <row r="413" customHeight="1"/>
    <row r="414" customHeight="1"/>
    <row r="415" customHeight="1"/>
    <row r="416" customHeight="1"/>
    <row r="417" customHeight="1"/>
    <row r="418" customHeight="1"/>
    <row r="419" customHeight="1"/>
    <row r="420" customHeight="1"/>
    <row r="421" customHeight="1"/>
    <row r="422" customHeight="1"/>
    <row r="423" customHeight="1"/>
    <row r="424" customHeight="1"/>
    <row r="425" customHeight="1"/>
    <row r="426" customHeight="1"/>
    <row r="427" customHeight="1"/>
    <row r="428" customHeight="1"/>
    <row r="429" customHeight="1"/>
    <row r="430" customHeight="1"/>
    <row r="431" customHeight="1"/>
    <row r="432" customHeight="1"/>
    <row r="433" customHeight="1"/>
    <row r="434" customHeight="1"/>
    <row r="435" customHeight="1"/>
    <row r="436" customHeight="1"/>
    <row r="437" customHeight="1"/>
    <row r="438" customHeight="1"/>
    <row r="439" customHeight="1"/>
    <row r="440" customHeight="1"/>
    <row r="441" customHeight="1"/>
    <row r="442" customHeight="1"/>
    <row r="443" customHeight="1"/>
    <row r="444" customHeight="1"/>
    <row r="445" customHeight="1"/>
    <row r="446" customHeight="1"/>
    <row r="447" customHeight="1"/>
    <row r="448" customHeight="1"/>
    <row r="449" customHeight="1"/>
    <row r="450" customHeight="1"/>
    <row r="451" customHeight="1"/>
    <row r="452" customHeight="1"/>
    <row r="453" customHeight="1"/>
    <row r="454" customHeight="1"/>
    <row r="455" customHeight="1"/>
    <row r="456" customHeight="1"/>
    <row r="457" customHeight="1"/>
    <row r="458" customHeight="1"/>
    <row r="459" customHeight="1"/>
    <row r="460" customHeight="1"/>
    <row r="461" customHeight="1"/>
    <row r="462" customHeight="1"/>
    <row r="463" customHeight="1"/>
    <row r="464" customHeight="1"/>
    <row r="465" customHeight="1"/>
    <row r="466" customHeight="1"/>
    <row r="467" customHeight="1"/>
    <row r="468" customHeight="1"/>
    <row r="469" customHeight="1"/>
    <row r="470" customHeight="1"/>
    <row r="471" customHeight="1"/>
    <row r="472" customHeight="1"/>
    <row r="473" customHeight="1"/>
    <row r="474" customHeight="1"/>
    <row r="475" customHeight="1"/>
    <row r="476" customHeight="1"/>
    <row r="477" customHeight="1"/>
    <row r="478" customHeight="1"/>
    <row r="479" customHeight="1"/>
    <row r="480" customHeight="1"/>
    <row r="481" customHeight="1"/>
    <row r="482" customHeight="1"/>
    <row r="483" customHeight="1"/>
    <row r="484" customHeight="1"/>
    <row r="485" customHeight="1"/>
    <row r="486" customHeight="1"/>
    <row r="487" customHeight="1"/>
    <row r="488" customHeight="1"/>
    <row r="489" customHeight="1"/>
    <row r="490" customHeight="1"/>
    <row r="491" customHeight="1"/>
    <row r="492" customHeight="1"/>
    <row r="493" customHeight="1"/>
    <row r="494" customHeight="1"/>
    <row r="495" customHeight="1"/>
    <row r="496" customHeight="1"/>
    <row r="497" customHeight="1"/>
    <row r="498" customHeight="1"/>
    <row r="499" customHeight="1"/>
    <row r="500" customHeight="1"/>
    <row r="501" customHeight="1"/>
    <row r="502" customHeight="1"/>
    <row r="503" customHeight="1"/>
    <row r="504" customHeight="1"/>
    <row r="505" customHeight="1"/>
    <row r="506" customHeight="1"/>
    <row r="507" customHeight="1"/>
    <row r="508" customHeight="1"/>
    <row r="509" customHeight="1"/>
    <row r="510" customHeight="1"/>
    <row r="511" customHeight="1"/>
    <row r="512" customHeight="1"/>
    <row r="513" customHeight="1"/>
    <row r="514" customHeight="1"/>
    <row r="515" customHeight="1"/>
    <row r="516" customHeight="1"/>
    <row r="517" customHeight="1"/>
    <row r="518" customHeight="1"/>
    <row r="519" customHeight="1"/>
    <row r="520" customHeight="1"/>
    <row r="521" customHeight="1"/>
    <row r="522" customHeight="1"/>
    <row r="523" customHeight="1"/>
    <row r="524" customHeight="1"/>
    <row r="525" customHeight="1"/>
    <row r="526" customHeight="1"/>
    <row r="527" customHeight="1"/>
    <row r="528" customHeight="1"/>
    <row r="529" customHeight="1"/>
    <row r="530" customHeight="1"/>
    <row r="531" customHeight="1"/>
    <row r="532" customHeight="1"/>
    <row r="533" customHeight="1"/>
    <row r="534" customHeight="1"/>
    <row r="535" customHeight="1"/>
    <row r="536" customHeight="1"/>
    <row r="537" customHeight="1"/>
    <row r="538" customHeight="1"/>
    <row r="539" customHeight="1"/>
    <row r="540" customHeight="1"/>
    <row r="541" customHeight="1"/>
    <row r="542" customHeight="1"/>
    <row r="543" customHeight="1"/>
    <row r="544" customHeight="1"/>
    <row r="545" customHeight="1"/>
    <row r="546" customHeight="1"/>
    <row r="547" customHeight="1"/>
    <row r="548" customHeight="1"/>
    <row r="549" customHeight="1"/>
    <row r="550" customHeight="1"/>
    <row r="551" customHeight="1"/>
    <row r="552" customHeight="1"/>
    <row r="553" customHeight="1"/>
    <row r="554" customHeight="1"/>
    <row r="555" customHeight="1"/>
    <row r="556" customHeight="1"/>
    <row r="557" customHeight="1"/>
    <row r="558" customHeight="1"/>
    <row r="559" customHeight="1"/>
    <row r="560" customHeight="1"/>
    <row r="561" customHeight="1"/>
    <row r="562" customHeight="1"/>
    <row r="563" customHeight="1"/>
    <row r="564" customHeight="1"/>
    <row r="565" customHeight="1"/>
    <row r="566" customHeight="1"/>
    <row r="567" customHeight="1"/>
    <row r="568" customHeight="1"/>
    <row r="569" customHeight="1"/>
    <row r="570" customHeight="1"/>
    <row r="571" customHeight="1"/>
    <row r="572" customHeight="1"/>
    <row r="573" customHeight="1"/>
    <row r="574" customHeight="1"/>
    <row r="575" customHeight="1"/>
    <row r="576" customHeight="1"/>
    <row r="577" customHeight="1"/>
    <row r="578" customHeight="1"/>
    <row r="579" customHeight="1"/>
    <row r="580" customHeight="1"/>
    <row r="581" customHeight="1"/>
    <row r="582" customHeight="1"/>
    <row r="583" customHeight="1"/>
    <row r="584" customHeight="1"/>
    <row r="585" customHeight="1"/>
    <row r="586" customHeight="1"/>
    <row r="587" customHeight="1"/>
    <row r="588" customHeight="1"/>
    <row r="589" customHeight="1"/>
    <row r="590" customHeight="1"/>
    <row r="591" customHeight="1"/>
    <row r="592" customHeight="1"/>
    <row r="593" customHeight="1"/>
    <row r="594" customHeight="1"/>
    <row r="595" customHeight="1"/>
    <row r="596" customHeight="1"/>
    <row r="597" customHeight="1"/>
    <row r="598" customHeight="1"/>
    <row r="599" customHeight="1"/>
    <row r="600" customHeight="1"/>
    <row r="601" customHeight="1"/>
    <row r="602" customHeight="1"/>
    <row r="603" customHeight="1"/>
    <row r="604" customHeight="1"/>
    <row r="605" customHeight="1"/>
    <row r="606" customHeight="1"/>
    <row r="607" customHeight="1"/>
    <row r="608" customHeight="1"/>
    <row r="609" customHeight="1"/>
    <row r="610" customHeight="1"/>
    <row r="611" customHeight="1"/>
    <row r="612" customHeight="1"/>
    <row r="613" customHeight="1"/>
    <row r="614" customHeight="1"/>
    <row r="615" customHeight="1"/>
    <row r="616" customHeight="1"/>
    <row r="617" customHeight="1"/>
    <row r="618" customHeight="1"/>
    <row r="619" customHeight="1"/>
    <row r="620" customHeight="1"/>
    <row r="621" customHeight="1"/>
    <row r="622" customHeight="1"/>
    <row r="623" customHeight="1"/>
    <row r="624" customHeight="1"/>
    <row r="625" customHeight="1"/>
    <row r="626" customHeight="1"/>
    <row r="627" customHeight="1"/>
    <row r="628" customHeight="1"/>
    <row r="629" customHeight="1"/>
    <row r="630" customHeight="1"/>
    <row r="631" customHeight="1"/>
    <row r="632" customHeight="1"/>
    <row r="633" customHeight="1"/>
    <row r="634" customHeight="1"/>
    <row r="635" customHeight="1"/>
    <row r="636" customHeight="1"/>
    <row r="637" customHeight="1"/>
    <row r="638" customHeight="1"/>
    <row r="639" customHeight="1"/>
    <row r="640" customHeight="1"/>
    <row r="641" customHeight="1"/>
    <row r="642" customHeight="1"/>
    <row r="643" customHeight="1"/>
    <row r="644" customHeight="1"/>
    <row r="645" customHeight="1"/>
    <row r="646" customHeight="1"/>
    <row r="647" customHeight="1"/>
    <row r="648" customHeight="1"/>
    <row r="649" customHeight="1"/>
    <row r="650" customHeight="1"/>
    <row r="651" customHeight="1"/>
    <row r="652" customHeight="1"/>
    <row r="653" customHeight="1"/>
    <row r="654" customHeight="1"/>
    <row r="655" customHeight="1"/>
    <row r="656" customHeight="1"/>
    <row r="657" customHeight="1"/>
    <row r="658" customHeight="1"/>
    <row r="659" customHeight="1"/>
    <row r="660" customHeight="1"/>
    <row r="661" customHeight="1"/>
    <row r="662" customHeight="1"/>
    <row r="663" customHeight="1"/>
    <row r="664" customHeight="1"/>
    <row r="665" customHeight="1"/>
    <row r="666" customHeight="1"/>
    <row r="667" customHeight="1"/>
    <row r="668" customHeight="1"/>
    <row r="669" customHeight="1"/>
    <row r="670" customHeight="1"/>
    <row r="671" customHeight="1"/>
    <row r="672" customHeight="1"/>
    <row r="673" customHeight="1"/>
    <row r="674" customHeight="1"/>
    <row r="675" customHeight="1"/>
    <row r="676" customHeight="1"/>
    <row r="677" customHeight="1"/>
    <row r="678" customHeight="1"/>
    <row r="679" customHeight="1"/>
    <row r="680" customHeight="1"/>
    <row r="681" customHeight="1"/>
    <row r="682" customHeight="1"/>
    <row r="683" customHeight="1"/>
    <row r="684" customHeight="1"/>
    <row r="685" customHeight="1"/>
    <row r="686" customHeight="1"/>
    <row r="687" customHeight="1"/>
    <row r="688" customHeight="1"/>
    <row r="689" customHeight="1"/>
    <row r="690" customHeight="1"/>
    <row r="691" customHeight="1"/>
    <row r="692" customHeight="1"/>
    <row r="693" customHeight="1"/>
    <row r="694" customHeight="1"/>
    <row r="695" customHeight="1"/>
    <row r="696" customHeight="1"/>
    <row r="697" customHeight="1"/>
    <row r="698" customHeight="1"/>
    <row r="699" customHeight="1"/>
    <row r="700" customHeight="1"/>
    <row r="701" customHeight="1"/>
    <row r="702" customHeight="1"/>
    <row r="703" customHeight="1"/>
    <row r="704" customHeight="1"/>
    <row r="705" customHeight="1"/>
    <row r="706" customHeight="1"/>
    <row r="707" customHeight="1"/>
    <row r="708" customHeight="1"/>
    <row r="709" customHeight="1"/>
    <row r="710" customHeight="1"/>
    <row r="711" customHeight="1"/>
    <row r="712" customHeight="1"/>
    <row r="713" customHeight="1"/>
    <row r="714" customHeight="1"/>
    <row r="715" customHeight="1"/>
    <row r="716" customHeight="1"/>
    <row r="717" customHeight="1"/>
    <row r="718" customHeight="1"/>
    <row r="719" customHeight="1"/>
    <row r="720" customHeight="1"/>
    <row r="721" customHeight="1"/>
    <row r="722" customHeight="1"/>
    <row r="723" customHeight="1"/>
    <row r="724" customHeight="1"/>
    <row r="725" customHeight="1"/>
    <row r="726" customHeight="1"/>
    <row r="727" customHeight="1"/>
    <row r="728" customHeight="1"/>
    <row r="729" customHeight="1"/>
    <row r="730" customHeight="1"/>
    <row r="731" customHeight="1"/>
    <row r="732" customHeight="1"/>
    <row r="733" customHeight="1"/>
    <row r="734" customHeight="1"/>
    <row r="735" customHeight="1"/>
    <row r="736" customHeight="1"/>
    <row r="737" customHeight="1"/>
    <row r="738" customHeight="1"/>
    <row r="739" customHeight="1"/>
    <row r="740" customHeight="1"/>
    <row r="741" customHeight="1"/>
    <row r="742" customHeight="1"/>
    <row r="743" customHeight="1"/>
    <row r="744" customHeight="1"/>
    <row r="745" customHeight="1"/>
    <row r="746" customHeight="1"/>
    <row r="747" customHeight="1"/>
    <row r="748" customHeight="1"/>
    <row r="749" customHeight="1"/>
    <row r="750" customHeight="1"/>
    <row r="751" customHeight="1"/>
    <row r="752" customHeight="1"/>
    <row r="753" customHeight="1"/>
    <row r="754" customHeight="1"/>
    <row r="755" customHeight="1"/>
    <row r="756" customHeight="1"/>
    <row r="757" customHeight="1"/>
    <row r="758" customHeight="1"/>
    <row r="759" customHeight="1"/>
    <row r="760" customHeight="1"/>
    <row r="761" customHeight="1"/>
    <row r="762" customHeight="1"/>
    <row r="763" customHeight="1"/>
    <row r="764" customHeight="1"/>
    <row r="765" customHeight="1"/>
    <row r="766" customHeight="1"/>
    <row r="767" customHeight="1"/>
    <row r="768" customHeight="1"/>
    <row r="769" customHeight="1"/>
    <row r="770" customHeight="1"/>
    <row r="771" customHeight="1"/>
    <row r="772" customHeight="1"/>
    <row r="773" customHeight="1"/>
    <row r="774" customHeight="1"/>
    <row r="775" customHeight="1"/>
    <row r="776" customHeight="1"/>
    <row r="777" customHeight="1"/>
    <row r="778" customHeight="1"/>
    <row r="779" customHeight="1"/>
    <row r="780" customHeight="1"/>
    <row r="781" customHeight="1"/>
    <row r="782" customHeight="1"/>
    <row r="783" customHeight="1"/>
    <row r="784" customHeight="1"/>
    <row r="785" customHeight="1"/>
    <row r="786" customHeight="1"/>
    <row r="787" customHeight="1"/>
    <row r="788" customHeight="1"/>
    <row r="789" customHeight="1"/>
    <row r="790" customHeight="1"/>
    <row r="791" customHeight="1"/>
    <row r="792" customHeight="1"/>
    <row r="793" customHeight="1"/>
    <row r="794" customHeight="1"/>
    <row r="795" customHeight="1"/>
    <row r="796" customHeight="1"/>
    <row r="797" customHeight="1"/>
    <row r="798" customHeight="1"/>
    <row r="799" customHeight="1"/>
    <row r="800" customHeight="1"/>
    <row r="801" customHeight="1"/>
    <row r="802" customHeight="1"/>
    <row r="803" customHeight="1"/>
    <row r="804" customHeight="1"/>
    <row r="805" customHeight="1"/>
    <row r="806" customHeight="1"/>
    <row r="807" customHeight="1"/>
    <row r="808" customHeight="1"/>
    <row r="809" customHeight="1"/>
    <row r="810" customHeight="1"/>
    <row r="811" customHeight="1"/>
    <row r="812" customHeight="1"/>
    <row r="813" customHeight="1"/>
    <row r="814" customHeight="1"/>
    <row r="815" customHeight="1"/>
    <row r="816" customHeight="1"/>
    <row r="817" customHeight="1"/>
    <row r="818" customHeight="1"/>
    <row r="819" customHeight="1"/>
    <row r="820" customHeight="1"/>
    <row r="821" customHeight="1"/>
    <row r="822" customHeight="1"/>
    <row r="823" customHeight="1"/>
    <row r="824" customHeight="1"/>
    <row r="825" customHeight="1"/>
    <row r="826" customHeight="1"/>
    <row r="827" customHeight="1"/>
    <row r="828" customHeight="1"/>
    <row r="829" customHeight="1"/>
    <row r="830" customHeight="1"/>
    <row r="831" customHeight="1"/>
    <row r="832" customHeight="1"/>
    <row r="833" customHeight="1"/>
    <row r="834" customHeight="1"/>
    <row r="835" customHeight="1"/>
    <row r="836" customHeight="1"/>
    <row r="837" customHeight="1"/>
    <row r="838" customHeight="1"/>
    <row r="839" customHeight="1"/>
    <row r="840" customHeight="1"/>
    <row r="841" customHeight="1"/>
    <row r="842" customHeight="1"/>
    <row r="843" customHeight="1"/>
    <row r="844" customHeight="1"/>
    <row r="845" customHeight="1"/>
    <row r="846" customHeight="1"/>
    <row r="847" customHeight="1"/>
    <row r="848" customHeight="1"/>
    <row r="849" customHeight="1"/>
    <row r="850" customHeight="1"/>
    <row r="851" customHeight="1"/>
    <row r="852" customHeight="1"/>
    <row r="853" customHeight="1"/>
    <row r="854" customHeight="1"/>
    <row r="855" customHeight="1"/>
    <row r="856" customHeight="1"/>
    <row r="857" customHeight="1"/>
    <row r="858" customHeight="1"/>
    <row r="859" customHeight="1"/>
    <row r="860" customHeight="1"/>
    <row r="861" customHeight="1"/>
    <row r="862" customHeight="1"/>
    <row r="863" customHeight="1"/>
    <row r="864" customHeight="1"/>
    <row r="865" customHeight="1"/>
    <row r="866" customHeight="1"/>
    <row r="867" customHeight="1"/>
    <row r="868" customHeight="1"/>
    <row r="869" customHeight="1"/>
    <row r="870" customHeight="1"/>
    <row r="871" customHeight="1"/>
    <row r="872" customHeight="1"/>
    <row r="873" customHeight="1"/>
    <row r="874" customHeight="1"/>
    <row r="875" customHeight="1"/>
    <row r="876" customHeight="1"/>
    <row r="877" customHeight="1"/>
    <row r="878" customHeight="1"/>
    <row r="879" customHeight="1"/>
    <row r="880" customHeight="1"/>
    <row r="881" customHeight="1"/>
    <row r="882" customHeight="1"/>
    <row r="883" customHeight="1"/>
    <row r="884" customHeight="1"/>
    <row r="885" customHeight="1"/>
    <row r="886" customHeight="1"/>
    <row r="887" customHeight="1"/>
    <row r="888" customHeight="1"/>
    <row r="889" customHeight="1"/>
    <row r="890" customHeight="1"/>
    <row r="891" customHeight="1"/>
    <row r="892" customHeight="1"/>
    <row r="893" customHeight="1"/>
    <row r="894" customHeight="1"/>
    <row r="895" customHeight="1"/>
    <row r="896" customHeight="1"/>
    <row r="897" customHeight="1"/>
    <row r="898" customHeight="1"/>
    <row r="899" customHeight="1"/>
    <row r="900" customHeight="1"/>
    <row r="901" customHeight="1"/>
    <row r="902" customHeight="1"/>
    <row r="903" customHeight="1"/>
    <row r="904" customHeight="1"/>
    <row r="905" customHeight="1"/>
    <row r="906" customHeight="1"/>
    <row r="907" customHeight="1"/>
    <row r="908" customHeight="1"/>
    <row r="909" customHeight="1"/>
    <row r="910" customHeight="1"/>
    <row r="911" customHeight="1"/>
    <row r="912" customHeight="1"/>
    <row r="913" customHeight="1"/>
    <row r="914" customHeight="1"/>
    <row r="915" customHeight="1"/>
    <row r="916" customHeight="1"/>
    <row r="917" customHeight="1"/>
    <row r="918" customHeight="1"/>
    <row r="919" customHeight="1"/>
    <row r="920" customHeight="1"/>
    <row r="921" customHeight="1"/>
    <row r="922" customHeight="1"/>
    <row r="923" customHeight="1"/>
    <row r="924" customHeight="1"/>
    <row r="925" customHeight="1"/>
    <row r="926" customHeight="1"/>
    <row r="927" customHeight="1"/>
    <row r="928" customHeight="1"/>
    <row r="929" customHeight="1"/>
    <row r="930" customHeight="1"/>
    <row r="931" customHeight="1"/>
    <row r="932" customHeight="1"/>
    <row r="933" customHeight="1"/>
    <row r="934" customHeight="1"/>
    <row r="935" customHeight="1"/>
    <row r="936" customHeight="1"/>
    <row r="937" customHeight="1"/>
    <row r="938" customHeight="1"/>
    <row r="939" customHeight="1"/>
    <row r="940" customHeight="1"/>
    <row r="941" customHeight="1"/>
    <row r="942" customHeight="1"/>
    <row r="943" customHeight="1"/>
    <row r="944" customHeight="1"/>
    <row r="945" customHeight="1"/>
    <row r="946" customHeight="1"/>
    <row r="947" customHeight="1"/>
    <row r="948" customHeight="1"/>
    <row r="949" customHeight="1"/>
    <row r="950" customHeight="1"/>
    <row r="951" customHeight="1"/>
    <row r="952" customHeight="1"/>
    <row r="953" customHeight="1"/>
    <row r="954" customHeight="1"/>
    <row r="955" customHeight="1"/>
    <row r="956" customHeight="1"/>
    <row r="957" customHeight="1"/>
    <row r="958" customHeight="1"/>
    <row r="959" customHeight="1"/>
    <row r="960" customHeight="1"/>
    <row r="961" customHeight="1"/>
    <row r="962" customHeight="1"/>
    <row r="963" customHeight="1"/>
    <row r="964" customHeight="1"/>
    <row r="965" customHeight="1"/>
    <row r="966" customHeight="1"/>
    <row r="967" customHeight="1"/>
    <row r="968" customHeight="1"/>
    <row r="969" customHeight="1"/>
    <row r="970" customHeight="1"/>
    <row r="971" customHeight="1"/>
    <row r="972" customHeight="1"/>
    <row r="973" customHeight="1"/>
    <row r="974" customHeight="1"/>
    <row r="975" customHeight="1"/>
    <row r="976" customHeight="1"/>
    <row r="977" customHeight="1"/>
    <row r="978" customHeight="1"/>
    <row r="979" customHeight="1"/>
    <row r="980" customHeight="1"/>
    <row r="981" customHeight="1"/>
    <row r="982" customHeight="1"/>
    <row r="983" customHeight="1"/>
    <row r="984" customHeight="1"/>
    <row r="985" customHeight="1"/>
    <row r="986" customHeight="1"/>
    <row r="987" customHeight="1"/>
    <row r="988" customHeight="1"/>
    <row r="989" customHeight="1"/>
    <row r="990" customHeight="1"/>
    <row r="991" customHeight="1"/>
    <row r="992" customHeight="1"/>
    <row r="993" customHeight="1"/>
    <row r="994" customHeight="1"/>
    <row r="995" customHeight="1"/>
    <row r="996" customHeight="1"/>
    <row r="997" customHeight="1"/>
    <row r="998" customHeight="1"/>
    <row r="999" customHeight="1"/>
    <row r="1000" customHeight="1"/>
  </sheetData>
  <mergeCells count="71">
    <mergeCell ref="I1:J1"/>
    <mergeCell ref="N1:O1"/>
    <mergeCell ref="I2:J2"/>
    <mergeCell ref="N2:O2"/>
    <mergeCell ref="A49:B49"/>
    <mergeCell ref="A50:B50"/>
    <mergeCell ref="A51:B51"/>
    <mergeCell ref="A52:B52"/>
    <mergeCell ref="A7:A8"/>
    <mergeCell ref="A9:A10"/>
    <mergeCell ref="A11:A12"/>
    <mergeCell ref="A13:A14"/>
    <mergeCell ref="A15:A16"/>
    <mergeCell ref="A17:A18"/>
    <mergeCell ref="A19:A20"/>
    <mergeCell ref="A21:A22"/>
    <mergeCell ref="A23:A24"/>
    <mergeCell ref="A25:A26"/>
    <mergeCell ref="A27:A28"/>
    <mergeCell ref="A29:A30"/>
    <mergeCell ref="A31:A32"/>
    <mergeCell ref="A33:A34"/>
    <mergeCell ref="A35:A36"/>
    <mergeCell ref="A37:A38"/>
    <mergeCell ref="A39:A40"/>
    <mergeCell ref="A41:A42"/>
    <mergeCell ref="A43:A44"/>
    <mergeCell ref="A45:A46"/>
    <mergeCell ref="A47:A48"/>
    <mergeCell ref="B7:B8"/>
    <mergeCell ref="B9:B10"/>
    <mergeCell ref="B11:B12"/>
    <mergeCell ref="B13:B14"/>
    <mergeCell ref="B15:B16"/>
    <mergeCell ref="B17:B18"/>
    <mergeCell ref="B19:B20"/>
    <mergeCell ref="B21:B22"/>
    <mergeCell ref="B23:B24"/>
    <mergeCell ref="B25:B26"/>
    <mergeCell ref="B27:B28"/>
    <mergeCell ref="B29:B30"/>
    <mergeCell ref="B31:B32"/>
    <mergeCell ref="B33:B34"/>
    <mergeCell ref="B35:B36"/>
    <mergeCell ref="B37:B38"/>
    <mergeCell ref="B39:B40"/>
    <mergeCell ref="B41:B42"/>
    <mergeCell ref="B43:B44"/>
    <mergeCell ref="B45:B46"/>
    <mergeCell ref="B47:B48"/>
    <mergeCell ref="C7:C8"/>
    <mergeCell ref="C9:C10"/>
    <mergeCell ref="C11:C12"/>
    <mergeCell ref="C13:C14"/>
    <mergeCell ref="C15:C16"/>
    <mergeCell ref="C17:C18"/>
    <mergeCell ref="C19:C20"/>
    <mergeCell ref="C21:C22"/>
    <mergeCell ref="C23:C24"/>
    <mergeCell ref="C25:C26"/>
    <mergeCell ref="C27:C28"/>
    <mergeCell ref="C29:C30"/>
    <mergeCell ref="C31:C32"/>
    <mergeCell ref="C33:C34"/>
    <mergeCell ref="C35:C36"/>
    <mergeCell ref="C37:C38"/>
    <mergeCell ref="C39:C40"/>
    <mergeCell ref="C41:C42"/>
    <mergeCell ref="C43:C44"/>
    <mergeCell ref="C45:C46"/>
    <mergeCell ref="C47:C48"/>
  </mergeCells>
  <printOptions horizontalCentered="1"/>
  <pageMargins left="0.39375" right="0.39375" top="0.511805555555556" bottom="0.511805555555556" header="0.511811023622047" footer="0.511811023622047"/>
  <pageSetup paperSize="8" orientation="landscape" horizontalDpi="300" verticalDpi="300"/>
  <headerFooter/>
  <drawing r:id="rId1"/>
</worksheet>
</file>

<file path=docProps/app.xml><?xml version="1.0" encoding="utf-8"?>
<Properties xmlns="http://schemas.openxmlformats.org/officeDocument/2006/extended-properties" xmlns:vt="http://schemas.openxmlformats.org/officeDocument/2006/docPropsVTypes">
  <Application>LibreOffice/24.2.7.2$Linux_X86_64 LibreOffice_project/420$Build-2</Application>
  <HeadingPairs>
    <vt:vector size="2" baseType="variant">
      <vt:variant>
        <vt:lpstr>工作表</vt:lpstr>
      </vt:variant>
      <vt:variant>
        <vt:i4>11</vt:i4>
      </vt:variant>
    </vt:vector>
  </HeadingPairs>
  <TitlesOfParts>
    <vt:vector size="11" baseType="lpstr">
      <vt:lpstr>RESUMO</vt:lpstr>
      <vt:lpstr>Orçamento Sintético</vt:lpstr>
      <vt:lpstr>Orçamento Analitico</vt:lpstr>
      <vt:lpstr>Memória de Cálculo</vt:lpstr>
      <vt:lpstr>Mapa de Cotações</vt:lpstr>
      <vt:lpstr>BDI</vt:lpstr>
      <vt:lpstr>BDI_DIF.</vt:lpstr>
      <vt:lpstr>Enc. Sociais</vt:lpstr>
      <vt:lpstr>Curva ABC de Serviços</vt:lpstr>
      <vt:lpstr>Curva ABC de Insumos</vt:lpstr>
      <vt:lpstr>FISICO-FINANCEIRO</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axlsx</dc:creator>
  <cp:lastModifiedBy>Juliana Borsoi</cp:lastModifiedBy>
  <cp:revision>3</cp:revision>
  <dcterms:created xsi:type="dcterms:W3CDTF">2024-08-02T19:20:00Z</dcterms:created>
  <cp:lastPrinted>2025-10-01T15:33:00Z</cp:lastPrinted>
  <dcterms:modified xsi:type="dcterms:W3CDTF">2025-10-13T17:14:55Z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E377F7A3A0054439AB2DD1C3931D9B56_13</vt:lpwstr>
  </property>
  <property fmtid="{D5CDD505-2E9C-101B-9397-08002B2CF9AE}" pid="3" name="KSOProductBuildVer">
    <vt:lpwstr>1046-12.2.0.22549</vt:lpwstr>
  </property>
</Properties>
</file>